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4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ystemiq.sharepoint.com/Projects/UOT0002/Shared Documents/14_Japan Analysis/Dashboard - Shared with EXTERNALS/"/>
    </mc:Choice>
  </mc:AlternateContent>
  <xr:revisionPtr revIDLastSave="124" documentId="8_{15D50FBB-C353-45FF-888F-379830B6DBDF}" xr6:coauthVersionLast="47" xr6:coauthVersionMax="47" xr10:uidLastSave="{2EE59FE5-D30E-495F-8420-39AC9FEE0E46}"/>
  <bookViews>
    <workbookView xWindow="-90" yWindow="-90" windowWidth="19380" windowHeight="10380" tabRatio="709" firstSheet="42" activeTab="45" xr2:uid="{00000000-000D-0000-FFFF-FFFF00000000}"/>
  </bookViews>
  <sheets>
    <sheet name="COVER SHEET" sheetId="58" r:id="rId1"/>
    <sheet name="Waste Summary Yearly" sheetId="55" state="hidden" r:id="rId2"/>
    <sheet name="Yearly Butadiene" sheetId="51" r:id="rId3"/>
    <sheet name="Yearly BTX" sheetId="45" r:id="rId4"/>
    <sheet name="Yearly Methanol" sheetId="36" r:id="rId5"/>
    <sheet name="Yearly HC Ethylene" sheetId="12" r:id="rId6"/>
    <sheet name="Yearly LC Ethylene" sheetId="14" r:id="rId7"/>
    <sheet name="Yearly HC Propylene" sheetId="15" r:id="rId8"/>
    <sheet name="Yearly LC Propylene" sheetId="16" r:id="rId9"/>
    <sheet name="Yearly Demand Japan" sheetId="57" r:id="rId10"/>
    <sheet name="Yearly Demand - BTX" sheetId="43" r:id="rId11"/>
    <sheet name="Yearly Demand - Eth-Prop" sheetId="6" r:id="rId12"/>
    <sheet name="Yearly Demand - Methanol" sheetId="39" r:id="rId13"/>
    <sheet name="Propylene" sheetId="2" state="hidden" r:id="rId14"/>
    <sheet name="Ethylene" sheetId="1" state="hidden" r:id="rId15"/>
    <sheet name="Yearly Demand - C4" sheetId="50" r:id="rId16"/>
    <sheet name="Demand - Ethylene" sheetId="7" r:id="rId17"/>
    <sheet name="Demand - Propylene" sheetId="25" r:id="rId18"/>
    <sheet name="Demand - Methanol" sheetId="40" r:id="rId19"/>
    <sheet name="Demand - C4" sheetId="49" r:id="rId20"/>
    <sheet name="Demand - BTX" sheetId="44" r:id="rId21"/>
    <sheet name="Demand - Solar" sheetId="13" r:id="rId22"/>
    <sheet name="Demand - Wind" sheetId="11" r:id="rId23"/>
    <sheet name="Production - Industry shares" sheetId="24" r:id="rId24"/>
    <sheet name="R&amp;S - Packaging and hh goods" sheetId="8" r:id="rId25"/>
    <sheet name="R&amp;S - Buildings" sheetId="4" r:id="rId26"/>
    <sheet name="R&amp;S - Transportation" sheetId="3" r:id="rId27"/>
    <sheet name="R&amp;S - Apparel" sheetId="9" r:id="rId28"/>
    <sheet name="R&amp;S - Others" sheetId="26" r:id="rId29"/>
    <sheet name="Ethylene Recycling LC" sheetId="19" r:id="rId30"/>
    <sheet name="Ethylene Recycling HC" sheetId="20" r:id="rId31"/>
    <sheet name="Propylene Recycling LC" sheetId="29" r:id="rId32"/>
    <sheet name="Propylene Recycling HC" sheetId="28" r:id="rId33"/>
    <sheet name="Methanol Recycling LC" sheetId="42" r:id="rId34"/>
    <sheet name="Methanol Recycling HC" sheetId="38" r:id="rId35"/>
    <sheet name="BTX Recycling HC" sheetId="46" r:id="rId36"/>
    <sheet name="BTX Recycling LC" sheetId="48" r:id="rId37"/>
    <sheet name="Butadiene Recycling HC" sheetId="53" r:id="rId38"/>
    <sheet name="Butadiene Recycling LC" sheetId="54" r:id="rId39"/>
    <sheet name="Overall recycling rates" sheetId="33" r:id="rId40"/>
    <sheet name="BTX recycling rates" sheetId="47" r:id="rId41"/>
    <sheet name="Methanol recycling rates" sheetId="41" r:id="rId42"/>
    <sheet name="Ethylene recycling rates" sheetId="34" r:id="rId43"/>
    <sheet name="Waste gen. - Industry shares" sheetId="27" r:id="rId44"/>
    <sheet name="Sankey Ethylene" sheetId="30" r:id="rId45"/>
    <sheet name="Sankey Methanol_detailed" sheetId="37" r:id="rId46"/>
  </sheets>
  <calcPr calcId="191028"/>
  <pivotCaches>
    <pivotCache cacheId="0" r:id="rId47"/>
    <pivotCache cacheId="1" r:id="rId4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N117" i="45" l="1"/>
  <c r="BM117" i="45"/>
  <c r="BL117" i="45"/>
  <c r="BK117" i="45"/>
  <c r="BJ117" i="45"/>
  <c r="BI117" i="45"/>
  <c r="BH117" i="45"/>
  <c r="BG117" i="45"/>
  <c r="BF117" i="45"/>
  <c r="BE117" i="45"/>
  <c r="BD117" i="45"/>
  <c r="BC117" i="45"/>
  <c r="BB117" i="45"/>
  <c r="BA117" i="45"/>
  <c r="AZ117" i="45"/>
  <c r="AY117" i="45"/>
  <c r="AX117" i="45"/>
  <c r="AW117" i="45"/>
  <c r="AV117" i="45"/>
  <c r="AU117" i="45"/>
  <c r="AT117" i="45"/>
  <c r="AS117" i="45"/>
  <c r="AR117" i="45"/>
  <c r="AQ117" i="45"/>
  <c r="AP117" i="45"/>
  <c r="AO117" i="45"/>
  <c r="AN117" i="45"/>
  <c r="AM117" i="45"/>
  <c r="AL117" i="45"/>
  <c r="AK117" i="45"/>
  <c r="AJ117" i="45"/>
  <c r="AH117" i="45"/>
  <c r="AG117" i="45"/>
  <c r="AF117" i="45"/>
  <c r="AE117" i="45"/>
  <c r="AD117" i="45"/>
  <c r="AC117" i="45"/>
  <c r="AB117" i="45"/>
  <c r="AA117" i="45"/>
  <c r="Z117" i="45"/>
  <c r="Y117" i="45"/>
  <c r="X117" i="45"/>
  <c r="W117" i="45"/>
  <c r="V117" i="45"/>
  <c r="U117" i="45"/>
  <c r="T117" i="45"/>
  <c r="S117" i="45"/>
  <c r="R117" i="45"/>
  <c r="Q117" i="45"/>
  <c r="P117" i="45"/>
  <c r="O117" i="45"/>
  <c r="N117" i="45"/>
  <c r="M117" i="45"/>
  <c r="L117" i="45"/>
  <c r="K117" i="45"/>
  <c r="J117" i="45"/>
  <c r="I117" i="45"/>
  <c r="H117" i="45"/>
  <c r="G117" i="45"/>
  <c r="F117" i="45"/>
  <c r="E117" i="45"/>
  <c r="D117" i="45"/>
  <c r="D115" i="45"/>
  <c r="E5" i="45" l="1"/>
  <c r="F5" i="45"/>
  <c r="G5" i="45"/>
  <c r="H5" i="45"/>
  <c r="I5" i="45"/>
  <c r="J5" i="45"/>
  <c r="K5" i="45"/>
  <c r="L5" i="45"/>
  <c r="M5" i="45"/>
  <c r="N5" i="45"/>
  <c r="O5" i="45"/>
  <c r="P5" i="45"/>
  <c r="Q5" i="45"/>
  <c r="R5" i="45"/>
  <c r="S5" i="45"/>
  <c r="T5" i="45"/>
  <c r="U5" i="45"/>
  <c r="V5" i="45"/>
  <c r="W5" i="45"/>
  <c r="X5" i="45"/>
  <c r="Y5" i="45"/>
  <c r="Z5" i="45"/>
  <c r="AA5" i="45"/>
  <c r="AB5" i="45"/>
  <c r="AC5" i="45"/>
  <c r="AD5" i="45"/>
  <c r="AE5" i="45"/>
  <c r="AF5" i="45"/>
  <c r="AG5" i="45"/>
  <c r="AH5" i="45"/>
  <c r="E6" i="45"/>
  <c r="F6" i="45"/>
  <c r="G6" i="45"/>
  <c r="H6" i="45"/>
  <c r="I6" i="45"/>
  <c r="J6" i="45"/>
  <c r="K6" i="45"/>
  <c r="L6" i="45"/>
  <c r="M6" i="45"/>
  <c r="N6" i="45"/>
  <c r="O6" i="45"/>
  <c r="P6" i="45"/>
  <c r="Q6" i="45"/>
  <c r="R6" i="45"/>
  <c r="S6" i="45"/>
  <c r="T6" i="45"/>
  <c r="U6" i="45"/>
  <c r="V6" i="45"/>
  <c r="W6" i="45"/>
  <c r="X6" i="45"/>
  <c r="Y6" i="45"/>
  <c r="Z6" i="45"/>
  <c r="AA6" i="45"/>
  <c r="AB6" i="45"/>
  <c r="AC6" i="45"/>
  <c r="AD6" i="45"/>
  <c r="AE6" i="45"/>
  <c r="AF6" i="45"/>
  <c r="AG6" i="45"/>
  <c r="AH6" i="45"/>
  <c r="E7" i="45"/>
  <c r="F7" i="45"/>
  <c r="G7" i="45"/>
  <c r="H7" i="45"/>
  <c r="I7" i="45"/>
  <c r="J7" i="45"/>
  <c r="K7" i="45"/>
  <c r="L7" i="45"/>
  <c r="M7" i="45"/>
  <c r="N7" i="45"/>
  <c r="O7" i="45"/>
  <c r="P7" i="45"/>
  <c r="Q7" i="45"/>
  <c r="R7" i="45"/>
  <c r="S7" i="45"/>
  <c r="T7" i="45"/>
  <c r="U7" i="45"/>
  <c r="V7" i="45"/>
  <c r="W7" i="45"/>
  <c r="X7" i="45"/>
  <c r="Y7" i="45"/>
  <c r="Z7" i="45"/>
  <c r="AA7" i="45"/>
  <c r="AB7" i="45"/>
  <c r="AC7" i="45"/>
  <c r="AD7" i="45"/>
  <c r="AE7" i="45"/>
  <c r="AF7" i="45"/>
  <c r="AG7" i="45"/>
  <c r="AH7" i="45"/>
  <c r="D7" i="45"/>
  <c r="D6" i="45"/>
  <c r="D5" i="45"/>
  <c r="F4" i="57"/>
  <c r="E4" i="57"/>
  <c r="D4" i="57"/>
  <c r="F16" i="57"/>
  <c r="C3" i="43" l="1"/>
  <c r="D3" i="43"/>
  <c r="E3" i="43"/>
  <c r="F3" i="43"/>
  <c r="G3" i="43"/>
  <c r="H3" i="43"/>
  <c r="I3" i="43"/>
  <c r="J3" i="43"/>
  <c r="I18" i="43"/>
  <c r="I21" i="43" s="1"/>
  <c r="I17" i="43"/>
  <c r="I16" i="43"/>
  <c r="J17" i="43"/>
  <c r="J9" i="43"/>
  <c r="J12" i="43" s="1"/>
  <c r="I9" i="43"/>
  <c r="I12" i="43" s="1"/>
  <c r="H9" i="43"/>
  <c r="G9" i="43"/>
  <c r="F9" i="43"/>
  <c r="F12" i="43" s="1"/>
  <c r="E9" i="43"/>
  <c r="D9" i="43"/>
  <c r="D10" i="43" s="1"/>
  <c r="C9" i="43"/>
  <c r="J8" i="43"/>
  <c r="I8" i="43"/>
  <c r="H8" i="43"/>
  <c r="G8" i="43"/>
  <c r="F8" i="43"/>
  <c r="E8" i="43"/>
  <c r="D8" i="43"/>
  <c r="C10" i="43"/>
  <c r="J7" i="43"/>
  <c r="I7" i="43"/>
  <c r="H7" i="43"/>
  <c r="G7" i="43"/>
  <c r="F7" i="43"/>
  <c r="E7" i="43"/>
  <c r="D7" i="43"/>
  <c r="C8" i="43"/>
  <c r="C7" i="43"/>
  <c r="H12" i="43"/>
  <c r="G12" i="43"/>
  <c r="E12" i="43"/>
  <c r="J27" i="57"/>
  <c r="H27" i="57"/>
  <c r="F27" i="57"/>
  <c r="F28" i="57" s="1"/>
  <c r="J26" i="57"/>
  <c r="F3" i="57" s="1"/>
  <c r="H26" i="57"/>
  <c r="J25" i="57"/>
  <c r="J28" i="57" s="1"/>
  <c r="H25" i="57"/>
  <c r="H28" i="57" s="1"/>
  <c r="F25" i="57"/>
  <c r="F26" i="57" s="1"/>
  <c r="I14" i="57"/>
  <c r="H14" i="57"/>
  <c r="I19" i="43" l="1"/>
  <c r="I20" i="43"/>
  <c r="J16" i="43"/>
  <c r="J18" i="43"/>
  <c r="D12" i="43"/>
  <c r="C12" i="43"/>
  <c r="D11" i="43"/>
  <c r="E10" i="43"/>
  <c r="E11" i="43"/>
  <c r="F10" i="43"/>
  <c r="F11" i="43"/>
  <c r="G10" i="43"/>
  <c r="G11" i="43"/>
  <c r="C11" i="43"/>
  <c r="H10" i="43"/>
  <c r="H11" i="43"/>
  <c r="I10" i="43"/>
  <c r="I11" i="43"/>
  <c r="J10" i="43"/>
  <c r="J11" i="43"/>
  <c r="D3" i="57"/>
  <c r="H30" i="57"/>
  <c r="H31" i="57"/>
  <c r="H32" i="57" s="1"/>
  <c r="J31" i="57"/>
  <c r="J32" i="57" s="1"/>
  <c r="K14" i="57" s="1"/>
  <c r="J14" i="57" s="1"/>
  <c r="J15" i="57" s="1"/>
  <c r="J30" i="57"/>
  <c r="F31" i="57"/>
  <c r="F32" i="57" s="1"/>
  <c r="G14" i="57" s="1"/>
  <c r="F30" i="57"/>
  <c r="E3" i="57"/>
  <c r="I15" i="57" s="1"/>
  <c r="I16" i="57" s="1"/>
  <c r="I17" i="57" s="1"/>
  <c r="I18" i="57" s="1"/>
  <c r="I19" i="57" s="1"/>
  <c r="I20" i="57" s="1"/>
  <c r="I21" i="57" s="1"/>
  <c r="I22" i="57" s="1"/>
  <c r="J20" i="43" l="1"/>
  <c r="J19" i="43"/>
  <c r="J21" i="43"/>
  <c r="F14" i="57"/>
  <c r="F15" i="57" s="1"/>
  <c r="G15" i="57"/>
  <c r="G16" i="57" s="1"/>
  <c r="G17" i="57" s="1"/>
  <c r="G18" i="57" s="1"/>
  <c r="G19" i="57" s="1"/>
  <c r="G20" i="57" s="1"/>
  <c r="G21" i="57" s="1"/>
  <c r="G22" i="57" s="1"/>
  <c r="J20" i="57"/>
  <c r="J19" i="57"/>
  <c r="J16" i="57"/>
  <c r="J18" i="57"/>
  <c r="F6" i="57" s="1"/>
  <c r="J22" i="57"/>
  <c r="F10" i="57" s="1"/>
  <c r="J17" i="57"/>
  <c r="F5" i="57" s="1"/>
  <c r="J21" i="57"/>
  <c r="H15" i="57"/>
  <c r="K15" i="57"/>
  <c r="K16" i="57" s="1"/>
  <c r="K17" i="57" s="1"/>
  <c r="K18" i="57" s="1"/>
  <c r="K19" i="57" s="1"/>
  <c r="K20" i="57" s="1"/>
  <c r="K21" i="57" s="1"/>
  <c r="K22" i="57" s="1"/>
  <c r="F7" i="57" l="1"/>
  <c r="H16" i="57"/>
  <c r="H21" i="57"/>
  <c r="E9" i="57" s="1"/>
  <c r="H17" i="57"/>
  <c r="E5" i="57" s="1"/>
  <c r="H18" i="57"/>
  <c r="E6" i="57" s="1"/>
  <c r="H19" i="57"/>
  <c r="E7" i="57" s="1"/>
  <c r="H22" i="57"/>
  <c r="H20" i="57"/>
  <c r="E8" i="57" s="1"/>
  <c r="F8" i="57"/>
  <c r="K23" i="57"/>
  <c r="F9" i="57"/>
  <c r="F20" i="57"/>
  <c r="F19" i="57"/>
  <c r="F21" i="57"/>
  <c r="F18" i="57"/>
  <c r="F17" i="57"/>
  <c r="F22" i="57"/>
  <c r="G23" i="57" s="1"/>
  <c r="B20" i="57"/>
  <c r="B19" i="57"/>
  <c r="B18" i="57"/>
  <c r="B17" i="57"/>
  <c r="B16" i="57"/>
  <c r="E15" i="57"/>
  <c r="E16" i="57" s="1"/>
  <c r="E17" i="57" s="1"/>
  <c r="E18" i="57" s="1"/>
  <c r="E19" i="57" s="1"/>
  <c r="E20" i="57" s="1"/>
  <c r="E21" i="57" s="1"/>
  <c r="E22" i="57" s="1"/>
  <c r="D15" i="57"/>
  <c r="D22" i="57" s="1"/>
  <c r="C15" i="57"/>
  <c r="C16" i="57" s="1"/>
  <c r="C17" i="57" s="1"/>
  <c r="C18" i="57" s="1"/>
  <c r="C19" i="57" s="1"/>
  <c r="C20" i="57" s="1"/>
  <c r="C21" i="57" s="1"/>
  <c r="C22" i="57" s="1"/>
  <c r="B15" i="57"/>
  <c r="B21" i="57" s="1"/>
  <c r="E10" i="57" l="1"/>
  <c r="I23" i="57"/>
  <c r="D10" i="57"/>
  <c r="B22" i="57"/>
  <c r="D16" i="57"/>
  <c r="D17" i="57"/>
  <c r="D18" i="57"/>
  <c r="D19" i="57"/>
  <c r="D20" i="57"/>
  <c r="D21" i="57"/>
  <c r="D5" i="57"/>
  <c r="D6" i="57"/>
  <c r="D7" i="57"/>
  <c r="D8" i="57"/>
  <c r="D9" i="57"/>
  <c r="L25" i="33" l="1"/>
  <c r="F22" i="33"/>
  <c r="E22" i="33"/>
  <c r="D22" i="33"/>
  <c r="C22" i="33"/>
  <c r="W111" i="28"/>
  <c r="Y111" i="28" s="1"/>
  <c r="M111" i="28"/>
  <c r="U111" i="28" s="1"/>
  <c r="Z111" i="28"/>
  <c r="Q111" i="28"/>
  <c r="J111" i="28"/>
  <c r="I111" i="28"/>
  <c r="E111" i="28"/>
  <c r="W105" i="28"/>
  <c r="O105" i="28" s="1"/>
  <c r="M105" i="28"/>
  <c r="H105" i="28" s="1"/>
  <c r="AE105" i="28"/>
  <c r="P105" i="28"/>
  <c r="E105" i="28"/>
  <c r="W91" i="28"/>
  <c r="AC91" i="28" s="1"/>
  <c r="M91" i="28"/>
  <c r="G91" i="28" s="1"/>
  <c r="W67" i="28"/>
  <c r="AE67" i="28" s="1"/>
  <c r="M67" i="28"/>
  <c r="O67" i="28"/>
  <c r="U67" i="28"/>
  <c r="G67" i="28"/>
  <c r="F67" i="28"/>
  <c r="E67" i="28"/>
  <c r="AG51" i="28"/>
  <c r="AF51" i="28" s="1"/>
  <c r="AA51" i="28"/>
  <c r="Y51" i="28"/>
  <c r="V51" i="28"/>
  <c r="U51" i="28"/>
  <c r="T51" i="28"/>
  <c r="S51" i="28"/>
  <c r="R51" i="28"/>
  <c r="Q51" i="28"/>
  <c r="P51" i="28"/>
  <c r="O51" i="28"/>
  <c r="N51" i="28"/>
  <c r="L51" i="28"/>
  <c r="K51" i="28"/>
  <c r="J51" i="28"/>
  <c r="I51" i="28"/>
  <c r="H51" i="28"/>
  <c r="G51" i="28"/>
  <c r="F51" i="28"/>
  <c r="E51" i="28"/>
  <c r="D51" i="28"/>
  <c r="AG50" i="28"/>
  <c r="AB50" i="28" s="1"/>
  <c r="AE50" i="28"/>
  <c r="AC50" i="28"/>
  <c r="AA50" i="28"/>
  <c r="Z50" i="28"/>
  <c r="Y50" i="28"/>
  <c r="X50" i="28"/>
  <c r="V50" i="28"/>
  <c r="U50" i="28"/>
  <c r="T50" i="28"/>
  <c r="S50" i="28"/>
  <c r="R50" i="28"/>
  <c r="Q50" i="28"/>
  <c r="P50" i="28"/>
  <c r="O50" i="28"/>
  <c r="N50" i="28"/>
  <c r="L50" i="28"/>
  <c r="K50" i="28"/>
  <c r="J50" i="28"/>
  <c r="I50" i="28"/>
  <c r="H50" i="28"/>
  <c r="G50" i="28"/>
  <c r="F50" i="28"/>
  <c r="E50" i="28"/>
  <c r="D50" i="28"/>
  <c r="W206" i="20"/>
  <c r="Y206" i="20" s="1"/>
  <c r="M206" i="20"/>
  <c r="P206" i="20" s="1"/>
  <c r="AF206" i="20"/>
  <c r="Q206" i="20"/>
  <c r="O206" i="20"/>
  <c r="I206" i="20"/>
  <c r="G206" i="20"/>
  <c r="E206" i="20"/>
  <c r="M193" i="20"/>
  <c r="F193" i="20" s="1"/>
  <c r="W193" i="20"/>
  <c r="Z193" i="20" s="1"/>
  <c r="L193" i="20"/>
  <c r="J193" i="20"/>
  <c r="G193" i="20"/>
  <c r="W153" i="20"/>
  <c r="AD153" i="20" s="1"/>
  <c r="M153" i="20"/>
  <c r="Q153" i="20" s="1"/>
  <c r="AF153" i="20"/>
  <c r="AA153" i="20"/>
  <c r="Y153" i="20"/>
  <c r="X153" i="20"/>
  <c r="AC153" i="20"/>
  <c r="S153" i="20"/>
  <c r="P153" i="20"/>
  <c r="U153" i="20"/>
  <c r="H153" i="20"/>
  <c r="F153" i="20"/>
  <c r="W104" i="20"/>
  <c r="AC104" i="20" s="1"/>
  <c r="M104" i="20"/>
  <c r="AG51" i="20"/>
  <c r="AE51" i="20" s="1"/>
  <c r="AF51" i="20"/>
  <c r="AB51" i="20"/>
  <c r="AA51" i="20"/>
  <c r="Z51" i="20"/>
  <c r="Y51" i="20"/>
  <c r="X51" i="20"/>
  <c r="V51" i="20"/>
  <c r="U51" i="20"/>
  <c r="T51" i="20"/>
  <c r="S51" i="20"/>
  <c r="R51" i="20"/>
  <c r="Q51" i="20"/>
  <c r="P51" i="20"/>
  <c r="O51" i="20"/>
  <c r="N51" i="20"/>
  <c r="L51" i="20"/>
  <c r="K51" i="20"/>
  <c r="J51" i="20"/>
  <c r="I51" i="20"/>
  <c r="H51" i="20"/>
  <c r="G51" i="20"/>
  <c r="F51" i="20"/>
  <c r="E51" i="20"/>
  <c r="D51" i="20"/>
  <c r="AG50" i="20"/>
  <c r="AC50" i="20" s="1"/>
  <c r="AF50" i="20"/>
  <c r="AD50" i="20"/>
  <c r="Y50" i="20"/>
  <c r="X50" i="20"/>
  <c r="V50" i="20"/>
  <c r="U50" i="20"/>
  <c r="T50" i="20"/>
  <c r="S50" i="20"/>
  <c r="R50" i="20"/>
  <c r="Q50" i="20"/>
  <c r="P50" i="20"/>
  <c r="O50" i="20"/>
  <c r="N50" i="20"/>
  <c r="L50" i="20"/>
  <c r="K50" i="20"/>
  <c r="J50" i="20"/>
  <c r="I50" i="20"/>
  <c r="H50" i="20"/>
  <c r="G50" i="20"/>
  <c r="F50" i="20"/>
  <c r="E50" i="20"/>
  <c r="D50" i="20"/>
  <c r="I193" i="54"/>
  <c r="J193" i="54" s="1"/>
  <c r="K193" i="54" s="1"/>
  <c r="L193" i="54" s="1"/>
  <c r="M193" i="54" s="1"/>
  <c r="N193" i="54" s="1"/>
  <c r="O193" i="54" s="1"/>
  <c r="P193" i="54" s="1"/>
  <c r="Q193" i="54" s="1"/>
  <c r="R193" i="54" s="1"/>
  <c r="S193" i="54" s="1"/>
  <c r="T193" i="54" s="1"/>
  <c r="U193" i="54" s="1"/>
  <c r="V193" i="54" s="1"/>
  <c r="W193" i="54" s="1"/>
  <c r="X193" i="54" s="1"/>
  <c r="Y193" i="54" s="1"/>
  <c r="Z193" i="54" s="1"/>
  <c r="AA193" i="54" s="1"/>
  <c r="AB193" i="54" s="1"/>
  <c r="AC193" i="54" s="1"/>
  <c r="AD193" i="54" s="1"/>
  <c r="AE193" i="54" s="1"/>
  <c r="AF193" i="54" s="1"/>
  <c r="D193" i="54"/>
  <c r="E193" i="54" s="1"/>
  <c r="F193" i="54" s="1"/>
  <c r="G193" i="54" s="1"/>
  <c r="H193" i="54" s="1"/>
  <c r="D192" i="54"/>
  <c r="E192" i="54" s="1"/>
  <c r="F192" i="54" s="1"/>
  <c r="G192" i="54" s="1"/>
  <c r="H192" i="54" s="1"/>
  <c r="I192" i="54" s="1"/>
  <c r="J192" i="54" s="1"/>
  <c r="K192" i="54" s="1"/>
  <c r="L192" i="54" s="1"/>
  <c r="M192" i="54" s="1"/>
  <c r="N192" i="54" s="1"/>
  <c r="O192" i="54" s="1"/>
  <c r="P192" i="54" s="1"/>
  <c r="Q192" i="54" s="1"/>
  <c r="R192" i="54" s="1"/>
  <c r="S192" i="54" s="1"/>
  <c r="T192" i="54" s="1"/>
  <c r="U192" i="54" s="1"/>
  <c r="V192" i="54" s="1"/>
  <c r="W192" i="54" s="1"/>
  <c r="X192" i="54" s="1"/>
  <c r="Y192" i="54" s="1"/>
  <c r="Z192" i="54" s="1"/>
  <c r="AA192" i="54" s="1"/>
  <c r="AB192" i="54" s="1"/>
  <c r="AC192" i="54" s="1"/>
  <c r="AD192" i="54" s="1"/>
  <c r="AE192" i="54" s="1"/>
  <c r="AF192" i="54" s="1"/>
  <c r="E191" i="54"/>
  <c r="F191" i="54" s="1"/>
  <c r="G191" i="54" s="1"/>
  <c r="H191" i="54" s="1"/>
  <c r="I191" i="54" s="1"/>
  <c r="J191" i="54" s="1"/>
  <c r="K191" i="54" s="1"/>
  <c r="L191" i="54" s="1"/>
  <c r="M191" i="54" s="1"/>
  <c r="N191" i="54" s="1"/>
  <c r="O191" i="54" s="1"/>
  <c r="P191" i="54" s="1"/>
  <c r="Q191" i="54" s="1"/>
  <c r="R191" i="54" s="1"/>
  <c r="S191" i="54" s="1"/>
  <c r="T191" i="54" s="1"/>
  <c r="U191" i="54" s="1"/>
  <c r="V191" i="54" s="1"/>
  <c r="W191" i="54" s="1"/>
  <c r="X191" i="54" s="1"/>
  <c r="Y191" i="54" s="1"/>
  <c r="Z191" i="54" s="1"/>
  <c r="AA191" i="54" s="1"/>
  <c r="AB191" i="54" s="1"/>
  <c r="AC191" i="54" s="1"/>
  <c r="AD191" i="54" s="1"/>
  <c r="AE191" i="54" s="1"/>
  <c r="AF191" i="54" s="1"/>
  <c r="D191" i="54"/>
  <c r="D190" i="54"/>
  <c r="E190" i="54" s="1"/>
  <c r="F190" i="54" s="1"/>
  <c r="G190" i="54" s="1"/>
  <c r="H190" i="54" s="1"/>
  <c r="I190" i="54" s="1"/>
  <c r="J190" i="54" s="1"/>
  <c r="K190" i="54" s="1"/>
  <c r="L190" i="54" s="1"/>
  <c r="M190" i="54" s="1"/>
  <c r="N190" i="54" s="1"/>
  <c r="O190" i="54" s="1"/>
  <c r="P190" i="54" s="1"/>
  <c r="Q190" i="54" s="1"/>
  <c r="R190" i="54" s="1"/>
  <c r="S190" i="54" s="1"/>
  <c r="T190" i="54" s="1"/>
  <c r="U190" i="54" s="1"/>
  <c r="V190" i="54" s="1"/>
  <c r="W190" i="54" s="1"/>
  <c r="X190" i="54" s="1"/>
  <c r="Y190" i="54" s="1"/>
  <c r="Z190" i="54" s="1"/>
  <c r="AA190" i="54" s="1"/>
  <c r="AB190" i="54" s="1"/>
  <c r="AC190" i="54" s="1"/>
  <c r="AD190" i="54" s="1"/>
  <c r="AE190" i="54" s="1"/>
  <c r="AF190" i="54" s="1"/>
  <c r="E189" i="54"/>
  <c r="F189" i="54" s="1"/>
  <c r="G189" i="54" s="1"/>
  <c r="H189" i="54" s="1"/>
  <c r="I189" i="54" s="1"/>
  <c r="J189" i="54" s="1"/>
  <c r="K189" i="54" s="1"/>
  <c r="L189" i="54" s="1"/>
  <c r="M189" i="54" s="1"/>
  <c r="N189" i="54" s="1"/>
  <c r="O189" i="54" s="1"/>
  <c r="P189" i="54" s="1"/>
  <c r="Q189" i="54" s="1"/>
  <c r="R189" i="54" s="1"/>
  <c r="S189" i="54" s="1"/>
  <c r="T189" i="54" s="1"/>
  <c r="U189" i="54" s="1"/>
  <c r="V189" i="54" s="1"/>
  <c r="W189" i="54" s="1"/>
  <c r="X189" i="54" s="1"/>
  <c r="Y189" i="54" s="1"/>
  <c r="Z189" i="54" s="1"/>
  <c r="AA189" i="54" s="1"/>
  <c r="AB189" i="54" s="1"/>
  <c r="AC189" i="54" s="1"/>
  <c r="AD189" i="54" s="1"/>
  <c r="AE189" i="54" s="1"/>
  <c r="AF189" i="54" s="1"/>
  <c r="D189" i="54"/>
  <c r="J188" i="54"/>
  <c r="K188" i="54" s="1"/>
  <c r="L188" i="54" s="1"/>
  <c r="M188" i="54" s="1"/>
  <c r="N188" i="54" s="1"/>
  <c r="O188" i="54" s="1"/>
  <c r="P188" i="54" s="1"/>
  <c r="Q188" i="54" s="1"/>
  <c r="R188" i="54" s="1"/>
  <c r="S188" i="54" s="1"/>
  <c r="T188" i="54" s="1"/>
  <c r="U188" i="54" s="1"/>
  <c r="V188" i="54" s="1"/>
  <c r="W188" i="54" s="1"/>
  <c r="X188" i="54" s="1"/>
  <c r="Y188" i="54" s="1"/>
  <c r="Z188" i="54" s="1"/>
  <c r="AA188" i="54" s="1"/>
  <c r="AB188" i="54" s="1"/>
  <c r="AC188" i="54" s="1"/>
  <c r="AD188" i="54" s="1"/>
  <c r="AE188" i="54" s="1"/>
  <c r="AF188" i="54" s="1"/>
  <c r="D188" i="54"/>
  <c r="E188" i="54" s="1"/>
  <c r="F188" i="54" s="1"/>
  <c r="G188" i="54" s="1"/>
  <c r="H188" i="54" s="1"/>
  <c r="I188" i="54" s="1"/>
  <c r="E187" i="54"/>
  <c r="F187" i="54" s="1"/>
  <c r="G187" i="54" s="1"/>
  <c r="H187" i="54" s="1"/>
  <c r="I187" i="54" s="1"/>
  <c r="J187" i="54" s="1"/>
  <c r="K187" i="54" s="1"/>
  <c r="L187" i="54" s="1"/>
  <c r="M187" i="54" s="1"/>
  <c r="N187" i="54" s="1"/>
  <c r="O187" i="54" s="1"/>
  <c r="P187" i="54" s="1"/>
  <c r="Q187" i="54" s="1"/>
  <c r="R187" i="54" s="1"/>
  <c r="S187" i="54" s="1"/>
  <c r="T187" i="54" s="1"/>
  <c r="U187" i="54" s="1"/>
  <c r="V187" i="54" s="1"/>
  <c r="W187" i="54" s="1"/>
  <c r="X187" i="54" s="1"/>
  <c r="Y187" i="54" s="1"/>
  <c r="Z187" i="54" s="1"/>
  <c r="AA187" i="54" s="1"/>
  <c r="AB187" i="54" s="1"/>
  <c r="AC187" i="54" s="1"/>
  <c r="AD187" i="54" s="1"/>
  <c r="AE187" i="54" s="1"/>
  <c r="AF187" i="54" s="1"/>
  <c r="D187" i="54"/>
  <c r="L186" i="54"/>
  <c r="M186" i="54" s="1"/>
  <c r="N186" i="54" s="1"/>
  <c r="O186" i="54" s="1"/>
  <c r="P186" i="54" s="1"/>
  <c r="Q186" i="54" s="1"/>
  <c r="R186" i="54" s="1"/>
  <c r="S186" i="54" s="1"/>
  <c r="T186" i="54" s="1"/>
  <c r="U186" i="54" s="1"/>
  <c r="V186" i="54" s="1"/>
  <c r="W186" i="54" s="1"/>
  <c r="X186" i="54" s="1"/>
  <c r="Y186" i="54" s="1"/>
  <c r="Z186" i="54" s="1"/>
  <c r="AA186" i="54" s="1"/>
  <c r="AB186" i="54" s="1"/>
  <c r="AC186" i="54" s="1"/>
  <c r="AD186" i="54" s="1"/>
  <c r="AE186" i="54" s="1"/>
  <c r="AF186" i="54" s="1"/>
  <c r="D186" i="54"/>
  <c r="E186" i="54" s="1"/>
  <c r="F186" i="54" s="1"/>
  <c r="G186" i="54" s="1"/>
  <c r="H186" i="54" s="1"/>
  <c r="I186" i="54" s="1"/>
  <c r="J186" i="54" s="1"/>
  <c r="K186" i="54" s="1"/>
  <c r="I185" i="54"/>
  <c r="J185" i="54" s="1"/>
  <c r="K185" i="54" s="1"/>
  <c r="L185" i="54" s="1"/>
  <c r="M185" i="54" s="1"/>
  <c r="N185" i="54" s="1"/>
  <c r="O185" i="54" s="1"/>
  <c r="P185" i="54" s="1"/>
  <c r="Q185" i="54" s="1"/>
  <c r="R185" i="54" s="1"/>
  <c r="S185" i="54" s="1"/>
  <c r="T185" i="54" s="1"/>
  <c r="U185" i="54" s="1"/>
  <c r="V185" i="54" s="1"/>
  <c r="W185" i="54" s="1"/>
  <c r="X185" i="54" s="1"/>
  <c r="Y185" i="54" s="1"/>
  <c r="Z185" i="54" s="1"/>
  <c r="AA185" i="54" s="1"/>
  <c r="AB185" i="54" s="1"/>
  <c r="AC185" i="54" s="1"/>
  <c r="AD185" i="54" s="1"/>
  <c r="AE185" i="54" s="1"/>
  <c r="AF185" i="54" s="1"/>
  <c r="D185" i="54"/>
  <c r="E185" i="54" s="1"/>
  <c r="F185" i="54" s="1"/>
  <c r="G185" i="54" s="1"/>
  <c r="H185" i="54" s="1"/>
  <c r="D184" i="54"/>
  <c r="E184" i="54" s="1"/>
  <c r="F184" i="54" s="1"/>
  <c r="G184" i="54" s="1"/>
  <c r="H184" i="54" s="1"/>
  <c r="I184" i="54" s="1"/>
  <c r="J184" i="54" s="1"/>
  <c r="K184" i="54" s="1"/>
  <c r="L184" i="54" s="1"/>
  <c r="M184" i="54" s="1"/>
  <c r="N184" i="54" s="1"/>
  <c r="O184" i="54" s="1"/>
  <c r="P184" i="54" s="1"/>
  <c r="Q184" i="54" s="1"/>
  <c r="R184" i="54" s="1"/>
  <c r="S184" i="54" s="1"/>
  <c r="T184" i="54" s="1"/>
  <c r="U184" i="54" s="1"/>
  <c r="V184" i="54" s="1"/>
  <c r="W184" i="54" s="1"/>
  <c r="X184" i="54" s="1"/>
  <c r="Y184" i="54" s="1"/>
  <c r="Z184" i="54" s="1"/>
  <c r="AA184" i="54" s="1"/>
  <c r="AB184" i="54" s="1"/>
  <c r="AC184" i="54" s="1"/>
  <c r="AD184" i="54" s="1"/>
  <c r="AE184" i="54" s="1"/>
  <c r="AF184" i="54" s="1"/>
  <c r="E183" i="54"/>
  <c r="F183" i="54" s="1"/>
  <c r="G183" i="54" s="1"/>
  <c r="H183" i="54" s="1"/>
  <c r="I183" i="54" s="1"/>
  <c r="J183" i="54" s="1"/>
  <c r="K183" i="54" s="1"/>
  <c r="L183" i="54" s="1"/>
  <c r="M183" i="54" s="1"/>
  <c r="N183" i="54" s="1"/>
  <c r="O183" i="54" s="1"/>
  <c r="P183" i="54" s="1"/>
  <c r="Q183" i="54" s="1"/>
  <c r="R183" i="54" s="1"/>
  <c r="S183" i="54" s="1"/>
  <c r="T183" i="54" s="1"/>
  <c r="U183" i="54" s="1"/>
  <c r="V183" i="54" s="1"/>
  <c r="W183" i="54" s="1"/>
  <c r="X183" i="54" s="1"/>
  <c r="Y183" i="54" s="1"/>
  <c r="Z183" i="54" s="1"/>
  <c r="AA183" i="54" s="1"/>
  <c r="AB183" i="54" s="1"/>
  <c r="AC183" i="54" s="1"/>
  <c r="AD183" i="54" s="1"/>
  <c r="AE183" i="54" s="1"/>
  <c r="AF183" i="54" s="1"/>
  <c r="D183" i="54"/>
  <c r="D182" i="54"/>
  <c r="E182" i="54" s="1"/>
  <c r="F182" i="54" s="1"/>
  <c r="G182" i="54" s="1"/>
  <c r="H182" i="54" s="1"/>
  <c r="I182" i="54" s="1"/>
  <c r="J182" i="54" s="1"/>
  <c r="K182" i="54" s="1"/>
  <c r="L182" i="54" s="1"/>
  <c r="M182" i="54" s="1"/>
  <c r="N182" i="54" s="1"/>
  <c r="O182" i="54" s="1"/>
  <c r="P182" i="54" s="1"/>
  <c r="Q182" i="54" s="1"/>
  <c r="R182" i="54" s="1"/>
  <c r="S182" i="54" s="1"/>
  <c r="T182" i="54" s="1"/>
  <c r="U182" i="54" s="1"/>
  <c r="V182" i="54" s="1"/>
  <c r="W182" i="54" s="1"/>
  <c r="X182" i="54" s="1"/>
  <c r="Y182" i="54" s="1"/>
  <c r="Z182" i="54" s="1"/>
  <c r="AA182" i="54" s="1"/>
  <c r="AB182" i="54" s="1"/>
  <c r="AC182" i="54" s="1"/>
  <c r="AD182" i="54" s="1"/>
  <c r="AE182" i="54" s="1"/>
  <c r="AF182" i="54" s="1"/>
  <c r="E181" i="54"/>
  <c r="F181" i="54" s="1"/>
  <c r="G181" i="54" s="1"/>
  <c r="H181" i="54" s="1"/>
  <c r="I181" i="54" s="1"/>
  <c r="J181" i="54" s="1"/>
  <c r="K181" i="54" s="1"/>
  <c r="L181" i="54" s="1"/>
  <c r="M181" i="54" s="1"/>
  <c r="N181" i="54" s="1"/>
  <c r="O181" i="54" s="1"/>
  <c r="P181" i="54" s="1"/>
  <c r="Q181" i="54" s="1"/>
  <c r="R181" i="54" s="1"/>
  <c r="S181" i="54" s="1"/>
  <c r="T181" i="54" s="1"/>
  <c r="U181" i="54" s="1"/>
  <c r="V181" i="54" s="1"/>
  <c r="W181" i="54" s="1"/>
  <c r="X181" i="54" s="1"/>
  <c r="Y181" i="54" s="1"/>
  <c r="Z181" i="54" s="1"/>
  <c r="AA181" i="54" s="1"/>
  <c r="AB181" i="54" s="1"/>
  <c r="AC181" i="54" s="1"/>
  <c r="AD181" i="54" s="1"/>
  <c r="AE181" i="54" s="1"/>
  <c r="AF181" i="54" s="1"/>
  <c r="D181" i="54"/>
  <c r="J180" i="54"/>
  <c r="K180" i="54" s="1"/>
  <c r="L180" i="54" s="1"/>
  <c r="M180" i="54" s="1"/>
  <c r="N180" i="54" s="1"/>
  <c r="O180" i="54" s="1"/>
  <c r="P180" i="54" s="1"/>
  <c r="Q180" i="54" s="1"/>
  <c r="R180" i="54" s="1"/>
  <c r="S180" i="54" s="1"/>
  <c r="T180" i="54" s="1"/>
  <c r="U180" i="54" s="1"/>
  <c r="V180" i="54" s="1"/>
  <c r="W180" i="54" s="1"/>
  <c r="X180" i="54" s="1"/>
  <c r="Y180" i="54" s="1"/>
  <c r="Z180" i="54" s="1"/>
  <c r="AA180" i="54" s="1"/>
  <c r="AB180" i="54" s="1"/>
  <c r="AC180" i="54" s="1"/>
  <c r="AD180" i="54" s="1"/>
  <c r="AE180" i="54" s="1"/>
  <c r="AF180" i="54" s="1"/>
  <c r="D180" i="54"/>
  <c r="E180" i="54" s="1"/>
  <c r="F180" i="54" s="1"/>
  <c r="G180" i="54" s="1"/>
  <c r="H180" i="54" s="1"/>
  <c r="I180" i="54" s="1"/>
  <c r="E179" i="54"/>
  <c r="F179" i="54" s="1"/>
  <c r="G179" i="54" s="1"/>
  <c r="H179" i="54" s="1"/>
  <c r="I179" i="54" s="1"/>
  <c r="J179" i="54" s="1"/>
  <c r="K179" i="54" s="1"/>
  <c r="L179" i="54" s="1"/>
  <c r="M179" i="54" s="1"/>
  <c r="N179" i="54" s="1"/>
  <c r="O179" i="54" s="1"/>
  <c r="P179" i="54" s="1"/>
  <c r="Q179" i="54" s="1"/>
  <c r="R179" i="54" s="1"/>
  <c r="S179" i="54" s="1"/>
  <c r="T179" i="54" s="1"/>
  <c r="U179" i="54" s="1"/>
  <c r="V179" i="54" s="1"/>
  <c r="W179" i="54" s="1"/>
  <c r="X179" i="54" s="1"/>
  <c r="Y179" i="54" s="1"/>
  <c r="Z179" i="54" s="1"/>
  <c r="AA179" i="54" s="1"/>
  <c r="AB179" i="54" s="1"/>
  <c r="AC179" i="54" s="1"/>
  <c r="AD179" i="54" s="1"/>
  <c r="AE179" i="54" s="1"/>
  <c r="AF179" i="54" s="1"/>
  <c r="D179" i="54"/>
  <c r="L178" i="54"/>
  <c r="M178" i="54" s="1"/>
  <c r="N178" i="54" s="1"/>
  <c r="O178" i="54" s="1"/>
  <c r="P178" i="54" s="1"/>
  <c r="Q178" i="54" s="1"/>
  <c r="R178" i="54" s="1"/>
  <c r="S178" i="54" s="1"/>
  <c r="T178" i="54" s="1"/>
  <c r="U178" i="54" s="1"/>
  <c r="V178" i="54" s="1"/>
  <c r="W178" i="54" s="1"/>
  <c r="X178" i="54" s="1"/>
  <c r="Y178" i="54" s="1"/>
  <c r="Z178" i="54" s="1"/>
  <c r="AA178" i="54" s="1"/>
  <c r="AB178" i="54" s="1"/>
  <c r="AC178" i="54" s="1"/>
  <c r="AD178" i="54" s="1"/>
  <c r="AE178" i="54" s="1"/>
  <c r="AF178" i="54" s="1"/>
  <c r="D178" i="54"/>
  <c r="E178" i="54" s="1"/>
  <c r="F178" i="54" s="1"/>
  <c r="G178" i="54" s="1"/>
  <c r="H178" i="54" s="1"/>
  <c r="I178" i="54" s="1"/>
  <c r="J178" i="54" s="1"/>
  <c r="K178" i="54" s="1"/>
  <c r="I177" i="54"/>
  <c r="J177" i="54" s="1"/>
  <c r="K177" i="54" s="1"/>
  <c r="L177" i="54" s="1"/>
  <c r="M177" i="54" s="1"/>
  <c r="N177" i="54" s="1"/>
  <c r="O177" i="54" s="1"/>
  <c r="P177" i="54" s="1"/>
  <c r="Q177" i="54" s="1"/>
  <c r="R177" i="54" s="1"/>
  <c r="S177" i="54" s="1"/>
  <c r="T177" i="54" s="1"/>
  <c r="U177" i="54" s="1"/>
  <c r="V177" i="54" s="1"/>
  <c r="W177" i="54" s="1"/>
  <c r="X177" i="54" s="1"/>
  <c r="Y177" i="54" s="1"/>
  <c r="Z177" i="54" s="1"/>
  <c r="AA177" i="54" s="1"/>
  <c r="AB177" i="54" s="1"/>
  <c r="AC177" i="54" s="1"/>
  <c r="AD177" i="54" s="1"/>
  <c r="AE177" i="54" s="1"/>
  <c r="AF177" i="54" s="1"/>
  <c r="D177" i="54"/>
  <c r="E177" i="54" s="1"/>
  <c r="F177" i="54" s="1"/>
  <c r="G177" i="54" s="1"/>
  <c r="H177" i="54" s="1"/>
  <c r="AG176" i="54"/>
  <c r="C176" i="54"/>
  <c r="E175" i="54"/>
  <c r="D175" i="54"/>
  <c r="D176" i="54" s="1"/>
  <c r="D174" i="54"/>
  <c r="E174" i="54" s="1"/>
  <c r="F174" i="54" s="1"/>
  <c r="G174" i="54" s="1"/>
  <c r="H174" i="54" s="1"/>
  <c r="I174" i="54" s="1"/>
  <c r="J174" i="54" s="1"/>
  <c r="K174" i="54" s="1"/>
  <c r="L174" i="54" s="1"/>
  <c r="M174" i="54" s="1"/>
  <c r="N174" i="54" s="1"/>
  <c r="O174" i="54" s="1"/>
  <c r="P174" i="54" s="1"/>
  <c r="Q174" i="54" s="1"/>
  <c r="R174" i="54" s="1"/>
  <c r="S174" i="54" s="1"/>
  <c r="T174" i="54" s="1"/>
  <c r="U174" i="54" s="1"/>
  <c r="V174" i="54" s="1"/>
  <c r="W174" i="54" s="1"/>
  <c r="X174" i="54" s="1"/>
  <c r="Y174" i="54" s="1"/>
  <c r="Z174" i="54" s="1"/>
  <c r="AA174" i="54" s="1"/>
  <c r="AB174" i="54" s="1"/>
  <c r="AC174" i="54" s="1"/>
  <c r="AD174" i="54" s="1"/>
  <c r="AE174" i="54" s="1"/>
  <c r="AF174" i="54" s="1"/>
  <c r="E172" i="54"/>
  <c r="F172" i="54" s="1"/>
  <c r="G172" i="54" s="1"/>
  <c r="H172" i="54" s="1"/>
  <c r="I172" i="54" s="1"/>
  <c r="J172" i="54" s="1"/>
  <c r="K172" i="54" s="1"/>
  <c r="L172" i="54" s="1"/>
  <c r="M172" i="54" s="1"/>
  <c r="N172" i="54" s="1"/>
  <c r="O172" i="54" s="1"/>
  <c r="P172" i="54" s="1"/>
  <c r="Q172" i="54" s="1"/>
  <c r="R172" i="54" s="1"/>
  <c r="S172" i="54" s="1"/>
  <c r="T172" i="54" s="1"/>
  <c r="U172" i="54" s="1"/>
  <c r="V172" i="54" s="1"/>
  <c r="W172" i="54" s="1"/>
  <c r="X172" i="54" s="1"/>
  <c r="Y172" i="54" s="1"/>
  <c r="Z172" i="54" s="1"/>
  <c r="AA172" i="54" s="1"/>
  <c r="AB172" i="54" s="1"/>
  <c r="AC172" i="54" s="1"/>
  <c r="AD172" i="54" s="1"/>
  <c r="AE172" i="54" s="1"/>
  <c r="AF172" i="54" s="1"/>
  <c r="D172" i="54"/>
  <c r="F171" i="54"/>
  <c r="G171" i="54" s="1"/>
  <c r="H171" i="54" s="1"/>
  <c r="I171" i="54" s="1"/>
  <c r="J171" i="54" s="1"/>
  <c r="K171" i="54" s="1"/>
  <c r="L171" i="54" s="1"/>
  <c r="M171" i="54" s="1"/>
  <c r="N171" i="54" s="1"/>
  <c r="O171" i="54" s="1"/>
  <c r="P171" i="54" s="1"/>
  <c r="Q171" i="54" s="1"/>
  <c r="R171" i="54" s="1"/>
  <c r="S171" i="54" s="1"/>
  <c r="T171" i="54" s="1"/>
  <c r="U171" i="54" s="1"/>
  <c r="V171" i="54" s="1"/>
  <c r="W171" i="54" s="1"/>
  <c r="X171" i="54" s="1"/>
  <c r="Y171" i="54" s="1"/>
  <c r="Z171" i="54" s="1"/>
  <c r="AA171" i="54" s="1"/>
  <c r="AB171" i="54" s="1"/>
  <c r="AC171" i="54" s="1"/>
  <c r="AD171" i="54" s="1"/>
  <c r="AE171" i="54" s="1"/>
  <c r="AF171" i="54" s="1"/>
  <c r="D171" i="54"/>
  <c r="E171" i="54" s="1"/>
  <c r="D170" i="54"/>
  <c r="E170" i="54" s="1"/>
  <c r="F170" i="54" s="1"/>
  <c r="G170" i="54" s="1"/>
  <c r="H170" i="54" s="1"/>
  <c r="I170" i="54" s="1"/>
  <c r="J170" i="54" s="1"/>
  <c r="K170" i="54" s="1"/>
  <c r="L170" i="54" s="1"/>
  <c r="M170" i="54" s="1"/>
  <c r="N170" i="54" s="1"/>
  <c r="O170" i="54" s="1"/>
  <c r="P170" i="54" s="1"/>
  <c r="Q170" i="54" s="1"/>
  <c r="R170" i="54" s="1"/>
  <c r="S170" i="54" s="1"/>
  <c r="T170" i="54" s="1"/>
  <c r="U170" i="54" s="1"/>
  <c r="V170" i="54" s="1"/>
  <c r="W170" i="54" s="1"/>
  <c r="X170" i="54" s="1"/>
  <c r="Y170" i="54" s="1"/>
  <c r="Z170" i="54" s="1"/>
  <c r="AA170" i="54" s="1"/>
  <c r="AB170" i="54" s="1"/>
  <c r="AC170" i="54" s="1"/>
  <c r="AD170" i="54" s="1"/>
  <c r="AE170" i="54" s="1"/>
  <c r="AF170" i="54" s="1"/>
  <c r="E169" i="54"/>
  <c r="F169" i="54" s="1"/>
  <c r="G169" i="54" s="1"/>
  <c r="H169" i="54" s="1"/>
  <c r="I169" i="54" s="1"/>
  <c r="J169" i="54" s="1"/>
  <c r="K169" i="54" s="1"/>
  <c r="L169" i="54" s="1"/>
  <c r="M169" i="54" s="1"/>
  <c r="N169" i="54" s="1"/>
  <c r="O169" i="54" s="1"/>
  <c r="P169" i="54" s="1"/>
  <c r="Q169" i="54" s="1"/>
  <c r="R169" i="54" s="1"/>
  <c r="S169" i="54" s="1"/>
  <c r="T169" i="54" s="1"/>
  <c r="U169" i="54" s="1"/>
  <c r="V169" i="54" s="1"/>
  <c r="W169" i="54" s="1"/>
  <c r="X169" i="54" s="1"/>
  <c r="Y169" i="54" s="1"/>
  <c r="Z169" i="54" s="1"/>
  <c r="AA169" i="54" s="1"/>
  <c r="AB169" i="54" s="1"/>
  <c r="AC169" i="54" s="1"/>
  <c r="AD169" i="54" s="1"/>
  <c r="AE169" i="54" s="1"/>
  <c r="AF169" i="54" s="1"/>
  <c r="D169" i="54"/>
  <c r="E168" i="54"/>
  <c r="F168" i="54" s="1"/>
  <c r="G168" i="54" s="1"/>
  <c r="H168" i="54" s="1"/>
  <c r="I168" i="54" s="1"/>
  <c r="J168" i="54" s="1"/>
  <c r="K168" i="54" s="1"/>
  <c r="L168" i="54" s="1"/>
  <c r="M168" i="54" s="1"/>
  <c r="N168" i="54" s="1"/>
  <c r="O168" i="54" s="1"/>
  <c r="P168" i="54" s="1"/>
  <c r="Q168" i="54" s="1"/>
  <c r="R168" i="54" s="1"/>
  <c r="S168" i="54" s="1"/>
  <c r="T168" i="54" s="1"/>
  <c r="U168" i="54" s="1"/>
  <c r="V168" i="54" s="1"/>
  <c r="W168" i="54" s="1"/>
  <c r="X168" i="54" s="1"/>
  <c r="Y168" i="54" s="1"/>
  <c r="Z168" i="54" s="1"/>
  <c r="AA168" i="54" s="1"/>
  <c r="AB168" i="54" s="1"/>
  <c r="AC168" i="54" s="1"/>
  <c r="AD168" i="54" s="1"/>
  <c r="AE168" i="54" s="1"/>
  <c r="AF168" i="54" s="1"/>
  <c r="D168" i="54"/>
  <c r="D167" i="54"/>
  <c r="E167" i="54" s="1"/>
  <c r="F167" i="54" s="1"/>
  <c r="G167" i="54" s="1"/>
  <c r="H167" i="54" s="1"/>
  <c r="I167" i="54" s="1"/>
  <c r="J167" i="54" s="1"/>
  <c r="K167" i="54" s="1"/>
  <c r="L167" i="54" s="1"/>
  <c r="M167" i="54" s="1"/>
  <c r="N167" i="54" s="1"/>
  <c r="O167" i="54" s="1"/>
  <c r="P167" i="54" s="1"/>
  <c r="Q167" i="54" s="1"/>
  <c r="R167" i="54" s="1"/>
  <c r="S167" i="54" s="1"/>
  <c r="T167" i="54" s="1"/>
  <c r="U167" i="54" s="1"/>
  <c r="V167" i="54" s="1"/>
  <c r="W167" i="54" s="1"/>
  <c r="X167" i="54" s="1"/>
  <c r="Y167" i="54" s="1"/>
  <c r="Z167" i="54" s="1"/>
  <c r="AA167" i="54" s="1"/>
  <c r="AB167" i="54" s="1"/>
  <c r="AC167" i="54" s="1"/>
  <c r="AD167" i="54" s="1"/>
  <c r="AE167" i="54" s="1"/>
  <c r="AF167" i="54" s="1"/>
  <c r="E166" i="54"/>
  <c r="F166" i="54" s="1"/>
  <c r="G166" i="54" s="1"/>
  <c r="H166" i="54" s="1"/>
  <c r="I166" i="54" s="1"/>
  <c r="J166" i="54" s="1"/>
  <c r="K166" i="54" s="1"/>
  <c r="L166" i="54" s="1"/>
  <c r="M166" i="54" s="1"/>
  <c r="N166" i="54" s="1"/>
  <c r="O166" i="54" s="1"/>
  <c r="P166" i="54" s="1"/>
  <c r="Q166" i="54" s="1"/>
  <c r="R166" i="54" s="1"/>
  <c r="S166" i="54" s="1"/>
  <c r="T166" i="54" s="1"/>
  <c r="U166" i="54" s="1"/>
  <c r="V166" i="54" s="1"/>
  <c r="W166" i="54" s="1"/>
  <c r="X166" i="54" s="1"/>
  <c r="Y166" i="54" s="1"/>
  <c r="Z166" i="54" s="1"/>
  <c r="AA166" i="54" s="1"/>
  <c r="AB166" i="54" s="1"/>
  <c r="AC166" i="54" s="1"/>
  <c r="AD166" i="54" s="1"/>
  <c r="AE166" i="54" s="1"/>
  <c r="AF166" i="54" s="1"/>
  <c r="D166" i="54"/>
  <c r="D193" i="53"/>
  <c r="E193" i="53" s="1"/>
  <c r="F193" i="53" s="1"/>
  <c r="G193" i="53" s="1"/>
  <c r="H193" i="53" s="1"/>
  <c r="I193" i="53" s="1"/>
  <c r="J193" i="53" s="1"/>
  <c r="K193" i="53" s="1"/>
  <c r="L193" i="53" s="1"/>
  <c r="M193" i="53" s="1"/>
  <c r="N193" i="53" s="1"/>
  <c r="O193" i="53" s="1"/>
  <c r="P193" i="53" s="1"/>
  <c r="Q193" i="53" s="1"/>
  <c r="R193" i="53" s="1"/>
  <c r="S193" i="53" s="1"/>
  <c r="T193" i="53" s="1"/>
  <c r="U193" i="53" s="1"/>
  <c r="V193" i="53" s="1"/>
  <c r="W193" i="53" s="1"/>
  <c r="X193" i="53" s="1"/>
  <c r="Y193" i="53" s="1"/>
  <c r="Z193" i="53" s="1"/>
  <c r="AA193" i="53" s="1"/>
  <c r="AB193" i="53" s="1"/>
  <c r="AC193" i="53" s="1"/>
  <c r="AD193" i="53" s="1"/>
  <c r="AE193" i="53" s="1"/>
  <c r="AF193" i="53" s="1"/>
  <c r="G192" i="53"/>
  <c r="H192" i="53" s="1"/>
  <c r="I192" i="53" s="1"/>
  <c r="J192" i="53" s="1"/>
  <c r="K192" i="53" s="1"/>
  <c r="L192" i="53" s="1"/>
  <c r="M192" i="53" s="1"/>
  <c r="N192" i="53" s="1"/>
  <c r="O192" i="53" s="1"/>
  <c r="P192" i="53" s="1"/>
  <c r="Q192" i="53" s="1"/>
  <c r="R192" i="53" s="1"/>
  <c r="S192" i="53" s="1"/>
  <c r="T192" i="53" s="1"/>
  <c r="U192" i="53" s="1"/>
  <c r="V192" i="53" s="1"/>
  <c r="W192" i="53" s="1"/>
  <c r="X192" i="53" s="1"/>
  <c r="Y192" i="53" s="1"/>
  <c r="Z192" i="53" s="1"/>
  <c r="AA192" i="53" s="1"/>
  <c r="AB192" i="53" s="1"/>
  <c r="AC192" i="53" s="1"/>
  <c r="AD192" i="53" s="1"/>
  <c r="AE192" i="53" s="1"/>
  <c r="AF192" i="53" s="1"/>
  <c r="D192" i="53"/>
  <c r="E192" i="53" s="1"/>
  <c r="F192" i="53" s="1"/>
  <c r="D191" i="53"/>
  <c r="E191" i="53" s="1"/>
  <c r="F191" i="53" s="1"/>
  <c r="G191" i="53" s="1"/>
  <c r="H191" i="53" s="1"/>
  <c r="I191" i="53" s="1"/>
  <c r="J191" i="53" s="1"/>
  <c r="K191" i="53" s="1"/>
  <c r="L191" i="53" s="1"/>
  <c r="M191" i="53" s="1"/>
  <c r="N191" i="53" s="1"/>
  <c r="O191" i="53" s="1"/>
  <c r="P191" i="53" s="1"/>
  <c r="Q191" i="53" s="1"/>
  <c r="R191" i="53" s="1"/>
  <c r="S191" i="53" s="1"/>
  <c r="T191" i="53" s="1"/>
  <c r="U191" i="53" s="1"/>
  <c r="V191" i="53" s="1"/>
  <c r="W191" i="53" s="1"/>
  <c r="X191" i="53" s="1"/>
  <c r="Y191" i="53" s="1"/>
  <c r="Z191" i="53" s="1"/>
  <c r="AA191" i="53" s="1"/>
  <c r="AB191" i="53" s="1"/>
  <c r="AC191" i="53" s="1"/>
  <c r="AD191" i="53" s="1"/>
  <c r="AE191" i="53" s="1"/>
  <c r="AF191" i="53" s="1"/>
  <c r="I190" i="53"/>
  <c r="J190" i="53" s="1"/>
  <c r="K190" i="53" s="1"/>
  <c r="L190" i="53" s="1"/>
  <c r="M190" i="53" s="1"/>
  <c r="N190" i="53" s="1"/>
  <c r="O190" i="53" s="1"/>
  <c r="P190" i="53" s="1"/>
  <c r="Q190" i="53" s="1"/>
  <c r="R190" i="53" s="1"/>
  <c r="S190" i="53" s="1"/>
  <c r="T190" i="53" s="1"/>
  <c r="U190" i="53" s="1"/>
  <c r="V190" i="53" s="1"/>
  <c r="W190" i="53" s="1"/>
  <c r="X190" i="53" s="1"/>
  <c r="Y190" i="53" s="1"/>
  <c r="Z190" i="53" s="1"/>
  <c r="AA190" i="53" s="1"/>
  <c r="AB190" i="53" s="1"/>
  <c r="AC190" i="53" s="1"/>
  <c r="AD190" i="53" s="1"/>
  <c r="AE190" i="53" s="1"/>
  <c r="AF190" i="53" s="1"/>
  <c r="D190" i="53"/>
  <c r="E190" i="53" s="1"/>
  <c r="F190" i="53" s="1"/>
  <c r="G190" i="53" s="1"/>
  <c r="H190" i="53" s="1"/>
  <c r="F189" i="53"/>
  <c r="G189" i="53" s="1"/>
  <c r="H189" i="53" s="1"/>
  <c r="I189" i="53" s="1"/>
  <c r="J189" i="53" s="1"/>
  <c r="K189" i="53" s="1"/>
  <c r="L189" i="53" s="1"/>
  <c r="M189" i="53" s="1"/>
  <c r="N189" i="53" s="1"/>
  <c r="O189" i="53" s="1"/>
  <c r="P189" i="53" s="1"/>
  <c r="Q189" i="53" s="1"/>
  <c r="R189" i="53" s="1"/>
  <c r="S189" i="53" s="1"/>
  <c r="T189" i="53" s="1"/>
  <c r="U189" i="53" s="1"/>
  <c r="V189" i="53" s="1"/>
  <c r="W189" i="53" s="1"/>
  <c r="X189" i="53" s="1"/>
  <c r="Y189" i="53" s="1"/>
  <c r="Z189" i="53" s="1"/>
  <c r="AA189" i="53" s="1"/>
  <c r="AB189" i="53" s="1"/>
  <c r="AC189" i="53" s="1"/>
  <c r="AD189" i="53" s="1"/>
  <c r="AE189" i="53" s="1"/>
  <c r="AF189" i="53" s="1"/>
  <c r="E189" i="53"/>
  <c r="D189" i="53"/>
  <c r="K188" i="53"/>
  <c r="L188" i="53" s="1"/>
  <c r="M188" i="53" s="1"/>
  <c r="N188" i="53" s="1"/>
  <c r="O188" i="53" s="1"/>
  <c r="P188" i="53" s="1"/>
  <c r="Q188" i="53" s="1"/>
  <c r="R188" i="53" s="1"/>
  <c r="S188" i="53" s="1"/>
  <c r="T188" i="53" s="1"/>
  <c r="U188" i="53" s="1"/>
  <c r="V188" i="53" s="1"/>
  <c r="W188" i="53" s="1"/>
  <c r="X188" i="53" s="1"/>
  <c r="Y188" i="53" s="1"/>
  <c r="Z188" i="53" s="1"/>
  <c r="AA188" i="53" s="1"/>
  <c r="AB188" i="53" s="1"/>
  <c r="AC188" i="53" s="1"/>
  <c r="AD188" i="53" s="1"/>
  <c r="AE188" i="53" s="1"/>
  <c r="AF188" i="53" s="1"/>
  <c r="D188" i="53"/>
  <c r="E188" i="53" s="1"/>
  <c r="F188" i="53" s="1"/>
  <c r="G188" i="53" s="1"/>
  <c r="H188" i="53" s="1"/>
  <c r="I188" i="53" s="1"/>
  <c r="J188" i="53" s="1"/>
  <c r="D187" i="53"/>
  <c r="E187" i="53" s="1"/>
  <c r="F187" i="53" s="1"/>
  <c r="G187" i="53" s="1"/>
  <c r="H187" i="53" s="1"/>
  <c r="I187" i="53" s="1"/>
  <c r="J187" i="53" s="1"/>
  <c r="K187" i="53" s="1"/>
  <c r="L187" i="53" s="1"/>
  <c r="M187" i="53" s="1"/>
  <c r="N187" i="53" s="1"/>
  <c r="O187" i="53" s="1"/>
  <c r="P187" i="53" s="1"/>
  <c r="Q187" i="53" s="1"/>
  <c r="R187" i="53" s="1"/>
  <c r="S187" i="53" s="1"/>
  <c r="T187" i="53" s="1"/>
  <c r="U187" i="53" s="1"/>
  <c r="V187" i="53" s="1"/>
  <c r="W187" i="53" s="1"/>
  <c r="X187" i="53" s="1"/>
  <c r="Y187" i="53" s="1"/>
  <c r="Z187" i="53" s="1"/>
  <c r="AA187" i="53" s="1"/>
  <c r="AB187" i="53" s="1"/>
  <c r="AC187" i="53" s="1"/>
  <c r="AD187" i="53" s="1"/>
  <c r="AE187" i="53" s="1"/>
  <c r="AF187" i="53" s="1"/>
  <c r="E186" i="53"/>
  <c r="F186" i="53" s="1"/>
  <c r="G186" i="53" s="1"/>
  <c r="H186" i="53" s="1"/>
  <c r="I186" i="53" s="1"/>
  <c r="J186" i="53" s="1"/>
  <c r="K186" i="53" s="1"/>
  <c r="L186" i="53" s="1"/>
  <c r="M186" i="53" s="1"/>
  <c r="N186" i="53" s="1"/>
  <c r="O186" i="53" s="1"/>
  <c r="P186" i="53" s="1"/>
  <c r="Q186" i="53" s="1"/>
  <c r="R186" i="53" s="1"/>
  <c r="S186" i="53" s="1"/>
  <c r="T186" i="53" s="1"/>
  <c r="U186" i="53" s="1"/>
  <c r="V186" i="53" s="1"/>
  <c r="W186" i="53" s="1"/>
  <c r="X186" i="53" s="1"/>
  <c r="Y186" i="53" s="1"/>
  <c r="Z186" i="53" s="1"/>
  <c r="AA186" i="53" s="1"/>
  <c r="AB186" i="53" s="1"/>
  <c r="AC186" i="53" s="1"/>
  <c r="AD186" i="53" s="1"/>
  <c r="AE186" i="53" s="1"/>
  <c r="AF186" i="53" s="1"/>
  <c r="D186" i="53"/>
  <c r="J185" i="53"/>
  <c r="K185" i="53" s="1"/>
  <c r="L185" i="53" s="1"/>
  <c r="M185" i="53" s="1"/>
  <c r="N185" i="53" s="1"/>
  <c r="O185" i="53" s="1"/>
  <c r="P185" i="53" s="1"/>
  <c r="Q185" i="53" s="1"/>
  <c r="R185" i="53" s="1"/>
  <c r="S185" i="53" s="1"/>
  <c r="T185" i="53" s="1"/>
  <c r="U185" i="53" s="1"/>
  <c r="V185" i="53" s="1"/>
  <c r="W185" i="53" s="1"/>
  <c r="X185" i="53" s="1"/>
  <c r="Y185" i="53" s="1"/>
  <c r="Z185" i="53" s="1"/>
  <c r="AA185" i="53" s="1"/>
  <c r="AB185" i="53" s="1"/>
  <c r="AC185" i="53" s="1"/>
  <c r="AD185" i="53" s="1"/>
  <c r="AE185" i="53" s="1"/>
  <c r="AF185" i="53" s="1"/>
  <c r="D185" i="53"/>
  <c r="E185" i="53" s="1"/>
  <c r="F185" i="53" s="1"/>
  <c r="G185" i="53" s="1"/>
  <c r="H185" i="53" s="1"/>
  <c r="I185" i="53" s="1"/>
  <c r="E184" i="53"/>
  <c r="F184" i="53" s="1"/>
  <c r="G184" i="53" s="1"/>
  <c r="H184" i="53" s="1"/>
  <c r="I184" i="53" s="1"/>
  <c r="J184" i="53" s="1"/>
  <c r="K184" i="53" s="1"/>
  <c r="L184" i="53" s="1"/>
  <c r="M184" i="53" s="1"/>
  <c r="N184" i="53" s="1"/>
  <c r="O184" i="53" s="1"/>
  <c r="P184" i="53" s="1"/>
  <c r="Q184" i="53" s="1"/>
  <c r="R184" i="53" s="1"/>
  <c r="S184" i="53" s="1"/>
  <c r="T184" i="53" s="1"/>
  <c r="U184" i="53" s="1"/>
  <c r="V184" i="53" s="1"/>
  <c r="W184" i="53" s="1"/>
  <c r="X184" i="53" s="1"/>
  <c r="Y184" i="53" s="1"/>
  <c r="Z184" i="53" s="1"/>
  <c r="AA184" i="53" s="1"/>
  <c r="AB184" i="53" s="1"/>
  <c r="AC184" i="53" s="1"/>
  <c r="AD184" i="53" s="1"/>
  <c r="AE184" i="53" s="1"/>
  <c r="AF184" i="53" s="1"/>
  <c r="D184" i="53"/>
  <c r="L183" i="53"/>
  <c r="M183" i="53" s="1"/>
  <c r="N183" i="53" s="1"/>
  <c r="O183" i="53" s="1"/>
  <c r="P183" i="53" s="1"/>
  <c r="Q183" i="53" s="1"/>
  <c r="R183" i="53" s="1"/>
  <c r="S183" i="53" s="1"/>
  <c r="T183" i="53" s="1"/>
  <c r="U183" i="53" s="1"/>
  <c r="V183" i="53" s="1"/>
  <c r="W183" i="53" s="1"/>
  <c r="X183" i="53" s="1"/>
  <c r="Y183" i="53" s="1"/>
  <c r="Z183" i="53" s="1"/>
  <c r="AA183" i="53" s="1"/>
  <c r="AB183" i="53" s="1"/>
  <c r="AC183" i="53" s="1"/>
  <c r="AD183" i="53" s="1"/>
  <c r="AE183" i="53" s="1"/>
  <c r="AF183" i="53" s="1"/>
  <c r="D183" i="53"/>
  <c r="E183" i="53" s="1"/>
  <c r="F183" i="53" s="1"/>
  <c r="G183" i="53" s="1"/>
  <c r="H183" i="53" s="1"/>
  <c r="I183" i="53" s="1"/>
  <c r="J183" i="53" s="1"/>
  <c r="K183" i="53" s="1"/>
  <c r="I182" i="53"/>
  <c r="J182" i="53" s="1"/>
  <c r="K182" i="53" s="1"/>
  <c r="L182" i="53" s="1"/>
  <c r="M182" i="53" s="1"/>
  <c r="N182" i="53" s="1"/>
  <c r="O182" i="53" s="1"/>
  <c r="P182" i="53" s="1"/>
  <c r="Q182" i="53" s="1"/>
  <c r="R182" i="53" s="1"/>
  <c r="S182" i="53" s="1"/>
  <c r="T182" i="53" s="1"/>
  <c r="U182" i="53" s="1"/>
  <c r="V182" i="53" s="1"/>
  <c r="W182" i="53" s="1"/>
  <c r="X182" i="53" s="1"/>
  <c r="Y182" i="53" s="1"/>
  <c r="Z182" i="53" s="1"/>
  <c r="AA182" i="53" s="1"/>
  <c r="AB182" i="53" s="1"/>
  <c r="AC182" i="53" s="1"/>
  <c r="AD182" i="53" s="1"/>
  <c r="AE182" i="53" s="1"/>
  <c r="AF182" i="53" s="1"/>
  <c r="E182" i="53"/>
  <c r="F182" i="53" s="1"/>
  <c r="G182" i="53" s="1"/>
  <c r="H182" i="53" s="1"/>
  <c r="D182" i="53"/>
  <c r="D181" i="53"/>
  <c r="E181" i="53" s="1"/>
  <c r="F181" i="53" s="1"/>
  <c r="G181" i="53" s="1"/>
  <c r="H181" i="53" s="1"/>
  <c r="I181" i="53" s="1"/>
  <c r="J181" i="53" s="1"/>
  <c r="K181" i="53" s="1"/>
  <c r="L181" i="53" s="1"/>
  <c r="M181" i="53" s="1"/>
  <c r="N181" i="53" s="1"/>
  <c r="O181" i="53" s="1"/>
  <c r="P181" i="53" s="1"/>
  <c r="Q181" i="53" s="1"/>
  <c r="R181" i="53" s="1"/>
  <c r="S181" i="53" s="1"/>
  <c r="T181" i="53" s="1"/>
  <c r="U181" i="53" s="1"/>
  <c r="V181" i="53" s="1"/>
  <c r="W181" i="53" s="1"/>
  <c r="X181" i="53" s="1"/>
  <c r="Y181" i="53" s="1"/>
  <c r="Z181" i="53" s="1"/>
  <c r="AA181" i="53" s="1"/>
  <c r="AB181" i="53" s="1"/>
  <c r="AC181" i="53" s="1"/>
  <c r="AD181" i="53" s="1"/>
  <c r="AE181" i="53" s="1"/>
  <c r="AF181" i="53" s="1"/>
  <c r="K180" i="53"/>
  <c r="L180" i="53" s="1"/>
  <c r="M180" i="53" s="1"/>
  <c r="N180" i="53" s="1"/>
  <c r="O180" i="53" s="1"/>
  <c r="P180" i="53" s="1"/>
  <c r="Q180" i="53" s="1"/>
  <c r="R180" i="53" s="1"/>
  <c r="S180" i="53" s="1"/>
  <c r="T180" i="53" s="1"/>
  <c r="U180" i="53" s="1"/>
  <c r="V180" i="53" s="1"/>
  <c r="W180" i="53" s="1"/>
  <c r="X180" i="53" s="1"/>
  <c r="Y180" i="53" s="1"/>
  <c r="Z180" i="53" s="1"/>
  <c r="AA180" i="53" s="1"/>
  <c r="AB180" i="53" s="1"/>
  <c r="AC180" i="53" s="1"/>
  <c r="AD180" i="53" s="1"/>
  <c r="AE180" i="53" s="1"/>
  <c r="AF180" i="53" s="1"/>
  <c r="D180" i="53"/>
  <c r="E180" i="53" s="1"/>
  <c r="F180" i="53" s="1"/>
  <c r="G180" i="53" s="1"/>
  <c r="H180" i="53" s="1"/>
  <c r="I180" i="53" s="1"/>
  <c r="J180" i="53" s="1"/>
  <c r="D179" i="53"/>
  <c r="E179" i="53" s="1"/>
  <c r="F179" i="53" s="1"/>
  <c r="G179" i="53" s="1"/>
  <c r="H179" i="53" s="1"/>
  <c r="I179" i="53" s="1"/>
  <c r="J179" i="53" s="1"/>
  <c r="K179" i="53" s="1"/>
  <c r="L179" i="53" s="1"/>
  <c r="M179" i="53" s="1"/>
  <c r="N179" i="53" s="1"/>
  <c r="O179" i="53" s="1"/>
  <c r="P179" i="53" s="1"/>
  <c r="Q179" i="53" s="1"/>
  <c r="R179" i="53" s="1"/>
  <c r="S179" i="53" s="1"/>
  <c r="T179" i="53" s="1"/>
  <c r="U179" i="53" s="1"/>
  <c r="V179" i="53" s="1"/>
  <c r="W179" i="53" s="1"/>
  <c r="X179" i="53" s="1"/>
  <c r="Y179" i="53" s="1"/>
  <c r="Z179" i="53" s="1"/>
  <c r="AA179" i="53" s="1"/>
  <c r="AB179" i="53" s="1"/>
  <c r="AC179" i="53" s="1"/>
  <c r="AD179" i="53" s="1"/>
  <c r="AE179" i="53" s="1"/>
  <c r="AF179" i="53" s="1"/>
  <c r="E178" i="53"/>
  <c r="F178" i="53" s="1"/>
  <c r="G178" i="53" s="1"/>
  <c r="H178" i="53" s="1"/>
  <c r="I178" i="53" s="1"/>
  <c r="J178" i="53" s="1"/>
  <c r="K178" i="53" s="1"/>
  <c r="L178" i="53" s="1"/>
  <c r="M178" i="53" s="1"/>
  <c r="N178" i="53" s="1"/>
  <c r="O178" i="53" s="1"/>
  <c r="P178" i="53" s="1"/>
  <c r="Q178" i="53" s="1"/>
  <c r="R178" i="53" s="1"/>
  <c r="S178" i="53" s="1"/>
  <c r="T178" i="53" s="1"/>
  <c r="U178" i="53" s="1"/>
  <c r="V178" i="53" s="1"/>
  <c r="W178" i="53" s="1"/>
  <c r="X178" i="53" s="1"/>
  <c r="Y178" i="53" s="1"/>
  <c r="Z178" i="53" s="1"/>
  <c r="AA178" i="53" s="1"/>
  <c r="AB178" i="53" s="1"/>
  <c r="AC178" i="53" s="1"/>
  <c r="AD178" i="53" s="1"/>
  <c r="AE178" i="53" s="1"/>
  <c r="AF178" i="53" s="1"/>
  <c r="D178" i="53"/>
  <c r="J177" i="53"/>
  <c r="K177" i="53" s="1"/>
  <c r="L177" i="53" s="1"/>
  <c r="M177" i="53" s="1"/>
  <c r="N177" i="53" s="1"/>
  <c r="O177" i="53" s="1"/>
  <c r="P177" i="53" s="1"/>
  <c r="Q177" i="53" s="1"/>
  <c r="R177" i="53" s="1"/>
  <c r="S177" i="53" s="1"/>
  <c r="T177" i="53" s="1"/>
  <c r="U177" i="53" s="1"/>
  <c r="V177" i="53" s="1"/>
  <c r="W177" i="53" s="1"/>
  <c r="X177" i="53" s="1"/>
  <c r="Y177" i="53" s="1"/>
  <c r="Z177" i="53" s="1"/>
  <c r="AA177" i="53" s="1"/>
  <c r="AB177" i="53" s="1"/>
  <c r="AC177" i="53" s="1"/>
  <c r="AD177" i="53" s="1"/>
  <c r="AE177" i="53" s="1"/>
  <c r="AF177" i="53" s="1"/>
  <c r="D177" i="53"/>
  <c r="E177" i="53" s="1"/>
  <c r="F177" i="53" s="1"/>
  <c r="G177" i="53" s="1"/>
  <c r="H177" i="53" s="1"/>
  <c r="I177" i="53" s="1"/>
  <c r="AG176" i="53"/>
  <c r="C176" i="53"/>
  <c r="D175" i="53"/>
  <c r="D176" i="53" s="1"/>
  <c r="D174" i="53"/>
  <c r="E174" i="53" s="1"/>
  <c r="F174" i="53" s="1"/>
  <c r="G174" i="53" s="1"/>
  <c r="H174" i="53" s="1"/>
  <c r="I174" i="53" s="1"/>
  <c r="J174" i="53" s="1"/>
  <c r="K174" i="53" s="1"/>
  <c r="L174" i="53" s="1"/>
  <c r="M174" i="53" s="1"/>
  <c r="N174" i="53" s="1"/>
  <c r="O174" i="53" s="1"/>
  <c r="P174" i="53" s="1"/>
  <c r="Q174" i="53" s="1"/>
  <c r="R174" i="53" s="1"/>
  <c r="S174" i="53" s="1"/>
  <c r="T174" i="53" s="1"/>
  <c r="U174" i="53" s="1"/>
  <c r="V174" i="53" s="1"/>
  <c r="W174" i="53" s="1"/>
  <c r="X174" i="53" s="1"/>
  <c r="Y174" i="53" s="1"/>
  <c r="Z174" i="53" s="1"/>
  <c r="AA174" i="53" s="1"/>
  <c r="AB174" i="53" s="1"/>
  <c r="AC174" i="53" s="1"/>
  <c r="AD174" i="53" s="1"/>
  <c r="AE174" i="53" s="1"/>
  <c r="AF174" i="53" s="1"/>
  <c r="H172" i="53"/>
  <c r="I172" i="53" s="1"/>
  <c r="J172" i="53" s="1"/>
  <c r="K172" i="53" s="1"/>
  <c r="L172" i="53" s="1"/>
  <c r="M172" i="53" s="1"/>
  <c r="N172" i="53" s="1"/>
  <c r="O172" i="53" s="1"/>
  <c r="P172" i="53" s="1"/>
  <c r="Q172" i="53" s="1"/>
  <c r="R172" i="53" s="1"/>
  <c r="S172" i="53" s="1"/>
  <c r="T172" i="53" s="1"/>
  <c r="U172" i="53" s="1"/>
  <c r="V172" i="53" s="1"/>
  <c r="W172" i="53" s="1"/>
  <c r="X172" i="53" s="1"/>
  <c r="Y172" i="53" s="1"/>
  <c r="Z172" i="53" s="1"/>
  <c r="AA172" i="53" s="1"/>
  <c r="AB172" i="53" s="1"/>
  <c r="AC172" i="53" s="1"/>
  <c r="AD172" i="53" s="1"/>
  <c r="AE172" i="53" s="1"/>
  <c r="AF172" i="53" s="1"/>
  <c r="D172" i="53"/>
  <c r="E172" i="53" s="1"/>
  <c r="F172" i="53" s="1"/>
  <c r="G172" i="53" s="1"/>
  <c r="M171" i="53"/>
  <c r="N171" i="53" s="1"/>
  <c r="O171" i="53" s="1"/>
  <c r="P171" i="53" s="1"/>
  <c r="Q171" i="53" s="1"/>
  <c r="R171" i="53" s="1"/>
  <c r="S171" i="53" s="1"/>
  <c r="T171" i="53" s="1"/>
  <c r="U171" i="53" s="1"/>
  <c r="V171" i="53" s="1"/>
  <c r="W171" i="53" s="1"/>
  <c r="X171" i="53" s="1"/>
  <c r="Y171" i="53" s="1"/>
  <c r="Z171" i="53" s="1"/>
  <c r="AA171" i="53" s="1"/>
  <c r="AB171" i="53" s="1"/>
  <c r="AC171" i="53" s="1"/>
  <c r="AD171" i="53" s="1"/>
  <c r="AE171" i="53" s="1"/>
  <c r="AF171" i="53" s="1"/>
  <c r="E171" i="53"/>
  <c r="F171" i="53" s="1"/>
  <c r="G171" i="53" s="1"/>
  <c r="H171" i="53" s="1"/>
  <c r="I171" i="53" s="1"/>
  <c r="J171" i="53" s="1"/>
  <c r="K171" i="53" s="1"/>
  <c r="L171" i="53" s="1"/>
  <c r="D171" i="53"/>
  <c r="D170" i="53"/>
  <c r="E170" i="53" s="1"/>
  <c r="F170" i="53" s="1"/>
  <c r="G170" i="53" s="1"/>
  <c r="H170" i="53" s="1"/>
  <c r="I170" i="53" s="1"/>
  <c r="J170" i="53" s="1"/>
  <c r="K170" i="53" s="1"/>
  <c r="L170" i="53" s="1"/>
  <c r="M170" i="53" s="1"/>
  <c r="N170" i="53" s="1"/>
  <c r="O170" i="53" s="1"/>
  <c r="P170" i="53" s="1"/>
  <c r="Q170" i="53" s="1"/>
  <c r="R170" i="53" s="1"/>
  <c r="S170" i="53" s="1"/>
  <c r="T170" i="53" s="1"/>
  <c r="U170" i="53" s="1"/>
  <c r="V170" i="53" s="1"/>
  <c r="W170" i="53" s="1"/>
  <c r="X170" i="53" s="1"/>
  <c r="Y170" i="53" s="1"/>
  <c r="Z170" i="53" s="1"/>
  <c r="AA170" i="53" s="1"/>
  <c r="AB170" i="53" s="1"/>
  <c r="AC170" i="53" s="1"/>
  <c r="AD170" i="53" s="1"/>
  <c r="AE170" i="53" s="1"/>
  <c r="AF170" i="53" s="1"/>
  <c r="D169" i="53"/>
  <c r="E169" i="53" s="1"/>
  <c r="F169" i="53" s="1"/>
  <c r="G169" i="53" s="1"/>
  <c r="H169" i="53" s="1"/>
  <c r="I169" i="53" s="1"/>
  <c r="J169" i="53" s="1"/>
  <c r="K169" i="53" s="1"/>
  <c r="L169" i="53" s="1"/>
  <c r="M169" i="53" s="1"/>
  <c r="N169" i="53" s="1"/>
  <c r="O169" i="53" s="1"/>
  <c r="P169" i="53" s="1"/>
  <c r="Q169" i="53" s="1"/>
  <c r="R169" i="53" s="1"/>
  <c r="S169" i="53" s="1"/>
  <c r="T169" i="53" s="1"/>
  <c r="U169" i="53" s="1"/>
  <c r="V169" i="53" s="1"/>
  <c r="W169" i="53" s="1"/>
  <c r="X169" i="53" s="1"/>
  <c r="Y169" i="53" s="1"/>
  <c r="Z169" i="53" s="1"/>
  <c r="AA169" i="53" s="1"/>
  <c r="AB169" i="53" s="1"/>
  <c r="AC169" i="53" s="1"/>
  <c r="AD169" i="53" s="1"/>
  <c r="AE169" i="53" s="1"/>
  <c r="AF169" i="53" s="1"/>
  <c r="D168" i="53"/>
  <c r="E168" i="53" s="1"/>
  <c r="F168" i="53" s="1"/>
  <c r="G168" i="53" s="1"/>
  <c r="H168" i="53" s="1"/>
  <c r="I168" i="53" s="1"/>
  <c r="J168" i="53" s="1"/>
  <c r="K168" i="53" s="1"/>
  <c r="L168" i="53" s="1"/>
  <c r="M168" i="53" s="1"/>
  <c r="N168" i="53" s="1"/>
  <c r="O168" i="53" s="1"/>
  <c r="P168" i="53" s="1"/>
  <c r="Q168" i="53" s="1"/>
  <c r="R168" i="53" s="1"/>
  <c r="S168" i="53" s="1"/>
  <c r="T168" i="53" s="1"/>
  <c r="U168" i="53" s="1"/>
  <c r="V168" i="53" s="1"/>
  <c r="W168" i="53" s="1"/>
  <c r="X168" i="53" s="1"/>
  <c r="Y168" i="53" s="1"/>
  <c r="Z168" i="53" s="1"/>
  <c r="AA168" i="53" s="1"/>
  <c r="AB168" i="53" s="1"/>
  <c r="AC168" i="53" s="1"/>
  <c r="AD168" i="53" s="1"/>
  <c r="AE168" i="53" s="1"/>
  <c r="AF168" i="53" s="1"/>
  <c r="D167" i="53"/>
  <c r="E167" i="53" s="1"/>
  <c r="F167" i="53" s="1"/>
  <c r="G167" i="53" s="1"/>
  <c r="H167" i="53" s="1"/>
  <c r="I167" i="53" s="1"/>
  <c r="J167" i="53" s="1"/>
  <c r="K167" i="53" s="1"/>
  <c r="L167" i="53" s="1"/>
  <c r="M167" i="53" s="1"/>
  <c r="N167" i="53" s="1"/>
  <c r="O167" i="53" s="1"/>
  <c r="P167" i="53" s="1"/>
  <c r="Q167" i="53" s="1"/>
  <c r="R167" i="53" s="1"/>
  <c r="S167" i="53" s="1"/>
  <c r="T167" i="53" s="1"/>
  <c r="U167" i="53" s="1"/>
  <c r="V167" i="53" s="1"/>
  <c r="W167" i="53" s="1"/>
  <c r="X167" i="53" s="1"/>
  <c r="Y167" i="53" s="1"/>
  <c r="Z167" i="53" s="1"/>
  <c r="AA167" i="53" s="1"/>
  <c r="AB167" i="53" s="1"/>
  <c r="AC167" i="53" s="1"/>
  <c r="AD167" i="53" s="1"/>
  <c r="AE167" i="53" s="1"/>
  <c r="AF167" i="53" s="1"/>
  <c r="E166" i="53"/>
  <c r="F166" i="53" s="1"/>
  <c r="G166" i="53" s="1"/>
  <c r="H166" i="53" s="1"/>
  <c r="I166" i="53" s="1"/>
  <c r="J166" i="53" s="1"/>
  <c r="K166" i="53" s="1"/>
  <c r="L166" i="53" s="1"/>
  <c r="M166" i="53" s="1"/>
  <c r="N166" i="53" s="1"/>
  <c r="O166" i="53" s="1"/>
  <c r="P166" i="53" s="1"/>
  <c r="Q166" i="53" s="1"/>
  <c r="R166" i="53" s="1"/>
  <c r="S166" i="53" s="1"/>
  <c r="T166" i="53" s="1"/>
  <c r="U166" i="53" s="1"/>
  <c r="V166" i="53" s="1"/>
  <c r="W166" i="53" s="1"/>
  <c r="X166" i="53" s="1"/>
  <c r="Y166" i="53" s="1"/>
  <c r="Z166" i="53" s="1"/>
  <c r="AA166" i="53" s="1"/>
  <c r="AB166" i="53" s="1"/>
  <c r="AC166" i="53" s="1"/>
  <c r="AD166" i="53" s="1"/>
  <c r="AE166" i="53" s="1"/>
  <c r="AF166" i="53" s="1"/>
  <c r="D166" i="53"/>
  <c r="E305" i="48"/>
  <c r="F305" i="48" s="1"/>
  <c r="G305" i="48" s="1"/>
  <c r="H305" i="48" s="1"/>
  <c r="I305" i="48" s="1"/>
  <c r="J305" i="48" s="1"/>
  <c r="K305" i="48" s="1"/>
  <c r="L305" i="48" s="1"/>
  <c r="M305" i="48" s="1"/>
  <c r="N305" i="48" s="1"/>
  <c r="O305" i="48" s="1"/>
  <c r="P305" i="48" s="1"/>
  <c r="Q305" i="48" s="1"/>
  <c r="R305" i="48" s="1"/>
  <c r="S305" i="48" s="1"/>
  <c r="T305" i="48" s="1"/>
  <c r="U305" i="48" s="1"/>
  <c r="V305" i="48" s="1"/>
  <c r="W305" i="48" s="1"/>
  <c r="X305" i="48" s="1"/>
  <c r="Y305" i="48" s="1"/>
  <c r="Z305" i="48" s="1"/>
  <c r="AA305" i="48" s="1"/>
  <c r="AB305" i="48" s="1"/>
  <c r="AC305" i="48" s="1"/>
  <c r="AD305" i="48" s="1"/>
  <c r="AE305" i="48" s="1"/>
  <c r="AF305" i="48" s="1"/>
  <c r="D305" i="48"/>
  <c r="E304" i="48"/>
  <c r="F304" i="48" s="1"/>
  <c r="G304" i="48" s="1"/>
  <c r="H304" i="48" s="1"/>
  <c r="I304" i="48" s="1"/>
  <c r="J304" i="48" s="1"/>
  <c r="K304" i="48" s="1"/>
  <c r="L304" i="48" s="1"/>
  <c r="M304" i="48" s="1"/>
  <c r="N304" i="48" s="1"/>
  <c r="O304" i="48" s="1"/>
  <c r="P304" i="48" s="1"/>
  <c r="Q304" i="48" s="1"/>
  <c r="R304" i="48" s="1"/>
  <c r="S304" i="48" s="1"/>
  <c r="T304" i="48" s="1"/>
  <c r="U304" i="48" s="1"/>
  <c r="V304" i="48" s="1"/>
  <c r="W304" i="48" s="1"/>
  <c r="X304" i="48" s="1"/>
  <c r="Y304" i="48" s="1"/>
  <c r="Z304" i="48" s="1"/>
  <c r="AA304" i="48" s="1"/>
  <c r="AB304" i="48" s="1"/>
  <c r="AC304" i="48" s="1"/>
  <c r="AD304" i="48" s="1"/>
  <c r="AE304" i="48" s="1"/>
  <c r="AF304" i="48" s="1"/>
  <c r="D304" i="48"/>
  <c r="D303" i="48"/>
  <c r="E303" i="48" s="1"/>
  <c r="F303" i="48" s="1"/>
  <c r="G303" i="48" s="1"/>
  <c r="H303" i="48" s="1"/>
  <c r="I303" i="48" s="1"/>
  <c r="J303" i="48" s="1"/>
  <c r="K303" i="48" s="1"/>
  <c r="L303" i="48" s="1"/>
  <c r="M303" i="48" s="1"/>
  <c r="N303" i="48" s="1"/>
  <c r="O303" i="48" s="1"/>
  <c r="P303" i="48" s="1"/>
  <c r="Q303" i="48" s="1"/>
  <c r="R303" i="48" s="1"/>
  <c r="S303" i="48" s="1"/>
  <c r="T303" i="48" s="1"/>
  <c r="U303" i="48" s="1"/>
  <c r="V303" i="48" s="1"/>
  <c r="W303" i="48" s="1"/>
  <c r="X303" i="48" s="1"/>
  <c r="Y303" i="48" s="1"/>
  <c r="Z303" i="48" s="1"/>
  <c r="AA303" i="48" s="1"/>
  <c r="AB303" i="48" s="1"/>
  <c r="AC303" i="48" s="1"/>
  <c r="AD303" i="48" s="1"/>
  <c r="AE303" i="48" s="1"/>
  <c r="AF303" i="48" s="1"/>
  <c r="D302" i="48"/>
  <c r="E302" i="48" s="1"/>
  <c r="F302" i="48" s="1"/>
  <c r="G302" i="48" s="1"/>
  <c r="H302" i="48" s="1"/>
  <c r="I302" i="48" s="1"/>
  <c r="J302" i="48" s="1"/>
  <c r="K302" i="48" s="1"/>
  <c r="L302" i="48" s="1"/>
  <c r="M302" i="48" s="1"/>
  <c r="N302" i="48" s="1"/>
  <c r="O302" i="48" s="1"/>
  <c r="P302" i="48" s="1"/>
  <c r="Q302" i="48" s="1"/>
  <c r="R302" i="48" s="1"/>
  <c r="S302" i="48" s="1"/>
  <c r="T302" i="48" s="1"/>
  <c r="U302" i="48" s="1"/>
  <c r="V302" i="48" s="1"/>
  <c r="W302" i="48" s="1"/>
  <c r="X302" i="48" s="1"/>
  <c r="Y302" i="48" s="1"/>
  <c r="Z302" i="48" s="1"/>
  <c r="AA302" i="48" s="1"/>
  <c r="AB302" i="48" s="1"/>
  <c r="AC302" i="48" s="1"/>
  <c r="AD302" i="48" s="1"/>
  <c r="AE302" i="48" s="1"/>
  <c r="AF302" i="48" s="1"/>
  <c r="F301" i="48"/>
  <c r="G301" i="48" s="1"/>
  <c r="H301" i="48" s="1"/>
  <c r="I301" i="48" s="1"/>
  <c r="J301" i="48" s="1"/>
  <c r="K301" i="48" s="1"/>
  <c r="L301" i="48" s="1"/>
  <c r="M301" i="48" s="1"/>
  <c r="N301" i="48" s="1"/>
  <c r="O301" i="48" s="1"/>
  <c r="P301" i="48" s="1"/>
  <c r="Q301" i="48" s="1"/>
  <c r="R301" i="48" s="1"/>
  <c r="S301" i="48" s="1"/>
  <c r="T301" i="48" s="1"/>
  <c r="U301" i="48" s="1"/>
  <c r="V301" i="48" s="1"/>
  <c r="W301" i="48" s="1"/>
  <c r="X301" i="48" s="1"/>
  <c r="Y301" i="48" s="1"/>
  <c r="Z301" i="48" s="1"/>
  <c r="AA301" i="48" s="1"/>
  <c r="AB301" i="48" s="1"/>
  <c r="AC301" i="48" s="1"/>
  <c r="AD301" i="48" s="1"/>
  <c r="AE301" i="48" s="1"/>
  <c r="AF301" i="48" s="1"/>
  <c r="D301" i="48"/>
  <c r="E301" i="48" s="1"/>
  <c r="F300" i="48"/>
  <c r="G300" i="48" s="1"/>
  <c r="H300" i="48" s="1"/>
  <c r="I300" i="48" s="1"/>
  <c r="J300" i="48" s="1"/>
  <c r="K300" i="48" s="1"/>
  <c r="L300" i="48" s="1"/>
  <c r="M300" i="48" s="1"/>
  <c r="N300" i="48" s="1"/>
  <c r="O300" i="48" s="1"/>
  <c r="P300" i="48" s="1"/>
  <c r="Q300" i="48" s="1"/>
  <c r="R300" i="48" s="1"/>
  <c r="S300" i="48" s="1"/>
  <c r="T300" i="48" s="1"/>
  <c r="U300" i="48" s="1"/>
  <c r="V300" i="48" s="1"/>
  <c r="W300" i="48" s="1"/>
  <c r="X300" i="48" s="1"/>
  <c r="Y300" i="48" s="1"/>
  <c r="Z300" i="48" s="1"/>
  <c r="AA300" i="48" s="1"/>
  <c r="AB300" i="48" s="1"/>
  <c r="AC300" i="48" s="1"/>
  <c r="AD300" i="48" s="1"/>
  <c r="AE300" i="48" s="1"/>
  <c r="AF300" i="48" s="1"/>
  <c r="E300" i="48"/>
  <c r="D300" i="48"/>
  <c r="F299" i="48"/>
  <c r="G299" i="48" s="1"/>
  <c r="H299" i="48" s="1"/>
  <c r="I299" i="48" s="1"/>
  <c r="J299" i="48" s="1"/>
  <c r="K299" i="48" s="1"/>
  <c r="L299" i="48" s="1"/>
  <c r="M299" i="48" s="1"/>
  <c r="N299" i="48" s="1"/>
  <c r="O299" i="48" s="1"/>
  <c r="P299" i="48" s="1"/>
  <c r="Q299" i="48" s="1"/>
  <c r="R299" i="48" s="1"/>
  <c r="S299" i="48" s="1"/>
  <c r="T299" i="48" s="1"/>
  <c r="U299" i="48" s="1"/>
  <c r="V299" i="48" s="1"/>
  <c r="W299" i="48" s="1"/>
  <c r="X299" i="48" s="1"/>
  <c r="Y299" i="48" s="1"/>
  <c r="Z299" i="48" s="1"/>
  <c r="AA299" i="48" s="1"/>
  <c r="AB299" i="48" s="1"/>
  <c r="AC299" i="48" s="1"/>
  <c r="AD299" i="48" s="1"/>
  <c r="AE299" i="48" s="1"/>
  <c r="AF299" i="48" s="1"/>
  <c r="D299" i="48"/>
  <c r="E299" i="48" s="1"/>
  <c r="E298" i="48"/>
  <c r="F298" i="48" s="1"/>
  <c r="G298" i="48" s="1"/>
  <c r="H298" i="48" s="1"/>
  <c r="I298" i="48" s="1"/>
  <c r="J298" i="48" s="1"/>
  <c r="K298" i="48" s="1"/>
  <c r="L298" i="48" s="1"/>
  <c r="M298" i="48" s="1"/>
  <c r="N298" i="48" s="1"/>
  <c r="O298" i="48" s="1"/>
  <c r="P298" i="48" s="1"/>
  <c r="Q298" i="48" s="1"/>
  <c r="R298" i="48" s="1"/>
  <c r="S298" i="48" s="1"/>
  <c r="T298" i="48" s="1"/>
  <c r="U298" i="48" s="1"/>
  <c r="V298" i="48" s="1"/>
  <c r="W298" i="48" s="1"/>
  <c r="X298" i="48" s="1"/>
  <c r="Y298" i="48" s="1"/>
  <c r="Z298" i="48" s="1"/>
  <c r="AA298" i="48" s="1"/>
  <c r="AB298" i="48" s="1"/>
  <c r="AC298" i="48" s="1"/>
  <c r="AD298" i="48" s="1"/>
  <c r="AE298" i="48" s="1"/>
  <c r="AF298" i="48" s="1"/>
  <c r="D298" i="48"/>
  <c r="E297" i="48"/>
  <c r="F297" i="48" s="1"/>
  <c r="G297" i="48" s="1"/>
  <c r="H297" i="48" s="1"/>
  <c r="I297" i="48" s="1"/>
  <c r="J297" i="48" s="1"/>
  <c r="K297" i="48" s="1"/>
  <c r="L297" i="48" s="1"/>
  <c r="M297" i="48" s="1"/>
  <c r="N297" i="48" s="1"/>
  <c r="O297" i="48" s="1"/>
  <c r="P297" i="48" s="1"/>
  <c r="Q297" i="48" s="1"/>
  <c r="R297" i="48" s="1"/>
  <c r="S297" i="48" s="1"/>
  <c r="T297" i="48" s="1"/>
  <c r="U297" i="48" s="1"/>
  <c r="V297" i="48" s="1"/>
  <c r="W297" i="48" s="1"/>
  <c r="X297" i="48" s="1"/>
  <c r="Y297" i="48" s="1"/>
  <c r="Z297" i="48" s="1"/>
  <c r="AA297" i="48" s="1"/>
  <c r="AB297" i="48" s="1"/>
  <c r="AC297" i="48" s="1"/>
  <c r="AD297" i="48" s="1"/>
  <c r="AE297" i="48" s="1"/>
  <c r="AF297" i="48" s="1"/>
  <c r="D297" i="48"/>
  <c r="E296" i="48"/>
  <c r="F296" i="48" s="1"/>
  <c r="G296" i="48" s="1"/>
  <c r="H296" i="48" s="1"/>
  <c r="I296" i="48" s="1"/>
  <c r="J296" i="48" s="1"/>
  <c r="K296" i="48" s="1"/>
  <c r="L296" i="48" s="1"/>
  <c r="M296" i="48" s="1"/>
  <c r="N296" i="48" s="1"/>
  <c r="O296" i="48" s="1"/>
  <c r="P296" i="48" s="1"/>
  <c r="Q296" i="48" s="1"/>
  <c r="R296" i="48" s="1"/>
  <c r="S296" i="48" s="1"/>
  <c r="T296" i="48" s="1"/>
  <c r="U296" i="48" s="1"/>
  <c r="V296" i="48" s="1"/>
  <c r="W296" i="48" s="1"/>
  <c r="X296" i="48" s="1"/>
  <c r="Y296" i="48" s="1"/>
  <c r="Z296" i="48" s="1"/>
  <c r="AA296" i="48" s="1"/>
  <c r="AB296" i="48" s="1"/>
  <c r="AC296" i="48" s="1"/>
  <c r="AD296" i="48" s="1"/>
  <c r="AE296" i="48" s="1"/>
  <c r="AF296" i="48" s="1"/>
  <c r="D296" i="48"/>
  <c r="D295" i="48"/>
  <c r="E295" i="48" s="1"/>
  <c r="F295" i="48" s="1"/>
  <c r="G295" i="48" s="1"/>
  <c r="H295" i="48" s="1"/>
  <c r="I295" i="48" s="1"/>
  <c r="J295" i="48" s="1"/>
  <c r="K295" i="48" s="1"/>
  <c r="L295" i="48" s="1"/>
  <c r="M295" i="48" s="1"/>
  <c r="N295" i="48" s="1"/>
  <c r="O295" i="48" s="1"/>
  <c r="P295" i="48" s="1"/>
  <c r="Q295" i="48" s="1"/>
  <c r="R295" i="48" s="1"/>
  <c r="S295" i="48" s="1"/>
  <c r="T295" i="48" s="1"/>
  <c r="U295" i="48" s="1"/>
  <c r="V295" i="48" s="1"/>
  <c r="W295" i="48" s="1"/>
  <c r="X295" i="48" s="1"/>
  <c r="Y295" i="48" s="1"/>
  <c r="Z295" i="48" s="1"/>
  <c r="AA295" i="48" s="1"/>
  <c r="AB295" i="48" s="1"/>
  <c r="AC295" i="48" s="1"/>
  <c r="AD295" i="48" s="1"/>
  <c r="AE295" i="48" s="1"/>
  <c r="AF295" i="48" s="1"/>
  <c r="D294" i="48"/>
  <c r="E294" i="48" s="1"/>
  <c r="F294" i="48" s="1"/>
  <c r="G294" i="48" s="1"/>
  <c r="H294" i="48" s="1"/>
  <c r="I294" i="48" s="1"/>
  <c r="J294" i="48" s="1"/>
  <c r="K294" i="48" s="1"/>
  <c r="L294" i="48" s="1"/>
  <c r="M294" i="48" s="1"/>
  <c r="N294" i="48" s="1"/>
  <c r="O294" i="48" s="1"/>
  <c r="P294" i="48" s="1"/>
  <c r="Q294" i="48" s="1"/>
  <c r="R294" i="48" s="1"/>
  <c r="S294" i="48" s="1"/>
  <c r="T294" i="48" s="1"/>
  <c r="U294" i="48" s="1"/>
  <c r="V294" i="48" s="1"/>
  <c r="W294" i="48" s="1"/>
  <c r="X294" i="48" s="1"/>
  <c r="Y294" i="48" s="1"/>
  <c r="Z294" i="48" s="1"/>
  <c r="AA294" i="48" s="1"/>
  <c r="AB294" i="48" s="1"/>
  <c r="AC294" i="48" s="1"/>
  <c r="AD294" i="48" s="1"/>
  <c r="AE294" i="48" s="1"/>
  <c r="AF294" i="48" s="1"/>
  <c r="D293" i="48"/>
  <c r="E293" i="48" s="1"/>
  <c r="F293" i="48" s="1"/>
  <c r="G293" i="48" s="1"/>
  <c r="H293" i="48" s="1"/>
  <c r="I293" i="48" s="1"/>
  <c r="J293" i="48" s="1"/>
  <c r="K293" i="48" s="1"/>
  <c r="L293" i="48" s="1"/>
  <c r="M293" i="48" s="1"/>
  <c r="N293" i="48" s="1"/>
  <c r="O293" i="48" s="1"/>
  <c r="P293" i="48" s="1"/>
  <c r="Q293" i="48" s="1"/>
  <c r="R293" i="48" s="1"/>
  <c r="S293" i="48" s="1"/>
  <c r="T293" i="48" s="1"/>
  <c r="U293" i="48" s="1"/>
  <c r="V293" i="48" s="1"/>
  <c r="W293" i="48" s="1"/>
  <c r="X293" i="48" s="1"/>
  <c r="Y293" i="48" s="1"/>
  <c r="Z293" i="48" s="1"/>
  <c r="AA293" i="48" s="1"/>
  <c r="AB293" i="48" s="1"/>
  <c r="AC293" i="48" s="1"/>
  <c r="AD293" i="48" s="1"/>
  <c r="AE293" i="48" s="1"/>
  <c r="AF293" i="48" s="1"/>
  <c r="F292" i="48"/>
  <c r="G292" i="48" s="1"/>
  <c r="H292" i="48" s="1"/>
  <c r="I292" i="48" s="1"/>
  <c r="J292" i="48" s="1"/>
  <c r="K292" i="48" s="1"/>
  <c r="L292" i="48" s="1"/>
  <c r="M292" i="48" s="1"/>
  <c r="N292" i="48" s="1"/>
  <c r="O292" i="48" s="1"/>
  <c r="P292" i="48" s="1"/>
  <c r="Q292" i="48" s="1"/>
  <c r="R292" i="48" s="1"/>
  <c r="S292" i="48" s="1"/>
  <c r="T292" i="48" s="1"/>
  <c r="U292" i="48" s="1"/>
  <c r="V292" i="48" s="1"/>
  <c r="W292" i="48" s="1"/>
  <c r="X292" i="48" s="1"/>
  <c r="Y292" i="48" s="1"/>
  <c r="Z292" i="48" s="1"/>
  <c r="AA292" i="48" s="1"/>
  <c r="AB292" i="48" s="1"/>
  <c r="AC292" i="48" s="1"/>
  <c r="AD292" i="48" s="1"/>
  <c r="AE292" i="48" s="1"/>
  <c r="AF292" i="48" s="1"/>
  <c r="E292" i="48"/>
  <c r="D292" i="48"/>
  <c r="D291" i="48"/>
  <c r="E291" i="48" s="1"/>
  <c r="F291" i="48" s="1"/>
  <c r="G291" i="48" s="1"/>
  <c r="H291" i="48" s="1"/>
  <c r="I291" i="48" s="1"/>
  <c r="J291" i="48" s="1"/>
  <c r="K291" i="48" s="1"/>
  <c r="L291" i="48" s="1"/>
  <c r="M291" i="48" s="1"/>
  <c r="N291" i="48" s="1"/>
  <c r="O291" i="48" s="1"/>
  <c r="P291" i="48" s="1"/>
  <c r="Q291" i="48" s="1"/>
  <c r="R291" i="48" s="1"/>
  <c r="S291" i="48" s="1"/>
  <c r="T291" i="48" s="1"/>
  <c r="U291" i="48" s="1"/>
  <c r="V291" i="48" s="1"/>
  <c r="W291" i="48" s="1"/>
  <c r="X291" i="48" s="1"/>
  <c r="Y291" i="48" s="1"/>
  <c r="Z291" i="48" s="1"/>
  <c r="AA291" i="48" s="1"/>
  <c r="AB291" i="48" s="1"/>
  <c r="AC291" i="48" s="1"/>
  <c r="AD291" i="48" s="1"/>
  <c r="AE291" i="48" s="1"/>
  <c r="AF291" i="48" s="1"/>
  <c r="H290" i="48"/>
  <c r="I290" i="48" s="1"/>
  <c r="J290" i="48" s="1"/>
  <c r="K290" i="48" s="1"/>
  <c r="L290" i="48" s="1"/>
  <c r="M290" i="48" s="1"/>
  <c r="N290" i="48" s="1"/>
  <c r="O290" i="48" s="1"/>
  <c r="P290" i="48" s="1"/>
  <c r="Q290" i="48" s="1"/>
  <c r="R290" i="48" s="1"/>
  <c r="S290" i="48" s="1"/>
  <c r="T290" i="48" s="1"/>
  <c r="U290" i="48" s="1"/>
  <c r="V290" i="48" s="1"/>
  <c r="W290" i="48" s="1"/>
  <c r="X290" i="48" s="1"/>
  <c r="Y290" i="48" s="1"/>
  <c r="Z290" i="48" s="1"/>
  <c r="AA290" i="48" s="1"/>
  <c r="AB290" i="48" s="1"/>
  <c r="AC290" i="48" s="1"/>
  <c r="AD290" i="48" s="1"/>
  <c r="AE290" i="48" s="1"/>
  <c r="AF290" i="48" s="1"/>
  <c r="E290" i="48"/>
  <c r="F290" i="48" s="1"/>
  <c r="G290" i="48" s="1"/>
  <c r="D290" i="48"/>
  <c r="H289" i="48"/>
  <c r="I289" i="48" s="1"/>
  <c r="J289" i="48" s="1"/>
  <c r="K289" i="48" s="1"/>
  <c r="L289" i="48" s="1"/>
  <c r="M289" i="48" s="1"/>
  <c r="N289" i="48" s="1"/>
  <c r="O289" i="48" s="1"/>
  <c r="P289" i="48" s="1"/>
  <c r="Q289" i="48" s="1"/>
  <c r="R289" i="48" s="1"/>
  <c r="S289" i="48" s="1"/>
  <c r="T289" i="48" s="1"/>
  <c r="U289" i="48" s="1"/>
  <c r="V289" i="48" s="1"/>
  <c r="W289" i="48" s="1"/>
  <c r="X289" i="48" s="1"/>
  <c r="Y289" i="48" s="1"/>
  <c r="Z289" i="48" s="1"/>
  <c r="AA289" i="48" s="1"/>
  <c r="AB289" i="48" s="1"/>
  <c r="AC289" i="48" s="1"/>
  <c r="AD289" i="48" s="1"/>
  <c r="AE289" i="48" s="1"/>
  <c r="AF289" i="48" s="1"/>
  <c r="E289" i="48"/>
  <c r="F289" i="48" s="1"/>
  <c r="G289" i="48" s="1"/>
  <c r="D289" i="48"/>
  <c r="AG288" i="48"/>
  <c r="C288" i="48"/>
  <c r="D287" i="48"/>
  <c r="F286" i="48"/>
  <c r="G286" i="48" s="1"/>
  <c r="H286" i="48" s="1"/>
  <c r="I286" i="48" s="1"/>
  <c r="J286" i="48" s="1"/>
  <c r="K286" i="48" s="1"/>
  <c r="L286" i="48" s="1"/>
  <c r="M286" i="48" s="1"/>
  <c r="N286" i="48" s="1"/>
  <c r="O286" i="48" s="1"/>
  <c r="P286" i="48" s="1"/>
  <c r="Q286" i="48" s="1"/>
  <c r="R286" i="48" s="1"/>
  <c r="S286" i="48" s="1"/>
  <c r="T286" i="48" s="1"/>
  <c r="U286" i="48" s="1"/>
  <c r="V286" i="48" s="1"/>
  <c r="W286" i="48" s="1"/>
  <c r="X286" i="48" s="1"/>
  <c r="Y286" i="48" s="1"/>
  <c r="Z286" i="48" s="1"/>
  <c r="AA286" i="48" s="1"/>
  <c r="AB286" i="48" s="1"/>
  <c r="AC286" i="48" s="1"/>
  <c r="AD286" i="48" s="1"/>
  <c r="AE286" i="48" s="1"/>
  <c r="AF286" i="48" s="1"/>
  <c r="D286" i="48"/>
  <c r="E286" i="48" s="1"/>
  <c r="F284" i="48"/>
  <c r="G284" i="48" s="1"/>
  <c r="H284" i="48" s="1"/>
  <c r="I284" i="48" s="1"/>
  <c r="J284" i="48" s="1"/>
  <c r="K284" i="48" s="1"/>
  <c r="L284" i="48" s="1"/>
  <c r="M284" i="48" s="1"/>
  <c r="N284" i="48" s="1"/>
  <c r="O284" i="48" s="1"/>
  <c r="P284" i="48" s="1"/>
  <c r="Q284" i="48" s="1"/>
  <c r="R284" i="48" s="1"/>
  <c r="S284" i="48" s="1"/>
  <c r="T284" i="48" s="1"/>
  <c r="U284" i="48" s="1"/>
  <c r="V284" i="48" s="1"/>
  <c r="W284" i="48" s="1"/>
  <c r="X284" i="48" s="1"/>
  <c r="Y284" i="48" s="1"/>
  <c r="Z284" i="48" s="1"/>
  <c r="AA284" i="48" s="1"/>
  <c r="AB284" i="48" s="1"/>
  <c r="AC284" i="48" s="1"/>
  <c r="AD284" i="48" s="1"/>
  <c r="AE284" i="48" s="1"/>
  <c r="AF284" i="48" s="1"/>
  <c r="D284" i="48"/>
  <c r="E284" i="48" s="1"/>
  <c r="E283" i="48"/>
  <c r="F283" i="48" s="1"/>
  <c r="G283" i="48" s="1"/>
  <c r="H283" i="48" s="1"/>
  <c r="I283" i="48" s="1"/>
  <c r="J283" i="48" s="1"/>
  <c r="K283" i="48" s="1"/>
  <c r="L283" i="48" s="1"/>
  <c r="M283" i="48" s="1"/>
  <c r="N283" i="48" s="1"/>
  <c r="O283" i="48" s="1"/>
  <c r="P283" i="48" s="1"/>
  <c r="Q283" i="48" s="1"/>
  <c r="R283" i="48" s="1"/>
  <c r="S283" i="48" s="1"/>
  <c r="T283" i="48" s="1"/>
  <c r="U283" i="48" s="1"/>
  <c r="V283" i="48" s="1"/>
  <c r="W283" i="48" s="1"/>
  <c r="X283" i="48" s="1"/>
  <c r="Y283" i="48" s="1"/>
  <c r="Z283" i="48" s="1"/>
  <c r="AA283" i="48" s="1"/>
  <c r="AB283" i="48" s="1"/>
  <c r="AC283" i="48" s="1"/>
  <c r="AD283" i="48" s="1"/>
  <c r="AE283" i="48" s="1"/>
  <c r="AF283" i="48" s="1"/>
  <c r="D283" i="48"/>
  <c r="E282" i="48"/>
  <c r="F282" i="48" s="1"/>
  <c r="G282" i="48" s="1"/>
  <c r="H282" i="48" s="1"/>
  <c r="I282" i="48" s="1"/>
  <c r="J282" i="48" s="1"/>
  <c r="K282" i="48" s="1"/>
  <c r="L282" i="48" s="1"/>
  <c r="M282" i="48" s="1"/>
  <c r="N282" i="48" s="1"/>
  <c r="O282" i="48" s="1"/>
  <c r="P282" i="48" s="1"/>
  <c r="Q282" i="48" s="1"/>
  <c r="R282" i="48" s="1"/>
  <c r="S282" i="48" s="1"/>
  <c r="T282" i="48" s="1"/>
  <c r="U282" i="48" s="1"/>
  <c r="V282" i="48" s="1"/>
  <c r="W282" i="48" s="1"/>
  <c r="X282" i="48" s="1"/>
  <c r="Y282" i="48" s="1"/>
  <c r="Z282" i="48" s="1"/>
  <c r="AA282" i="48" s="1"/>
  <c r="AB282" i="48" s="1"/>
  <c r="AC282" i="48" s="1"/>
  <c r="AD282" i="48" s="1"/>
  <c r="AE282" i="48" s="1"/>
  <c r="AF282" i="48" s="1"/>
  <c r="D282" i="48"/>
  <c r="D281" i="48"/>
  <c r="E281" i="48" s="1"/>
  <c r="F281" i="48" s="1"/>
  <c r="G281" i="48" s="1"/>
  <c r="H281" i="48" s="1"/>
  <c r="I281" i="48" s="1"/>
  <c r="J281" i="48" s="1"/>
  <c r="K281" i="48" s="1"/>
  <c r="L281" i="48" s="1"/>
  <c r="M281" i="48" s="1"/>
  <c r="N281" i="48" s="1"/>
  <c r="O281" i="48" s="1"/>
  <c r="P281" i="48" s="1"/>
  <c r="Q281" i="48" s="1"/>
  <c r="R281" i="48" s="1"/>
  <c r="S281" i="48" s="1"/>
  <c r="T281" i="48" s="1"/>
  <c r="U281" i="48" s="1"/>
  <c r="V281" i="48" s="1"/>
  <c r="W281" i="48" s="1"/>
  <c r="X281" i="48" s="1"/>
  <c r="Y281" i="48" s="1"/>
  <c r="Z281" i="48" s="1"/>
  <c r="AA281" i="48" s="1"/>
  <c r="AB281" i="48" s="1"/>
  <c r="AC281" i="48" s="1"/>
  <c r="AD281" i="48" s="1"/>
  <c r="AE281" i="48" s="1"/>
  <c r="AF281" i="48" s="1"/>
  <c r="D280" i="48"/>
  <c r="E280" i="48" s="1"/>
  <c r="F280" i="48" s="1"/>
  <c r="G280" i="48" s="1"/>
  <c r="H280" i="48" s="1"/>
  <c r="I280" i="48" s="1"/>
  <c r="J280" i="48" s="1"/>
  <c r="K280" i="48" s="1"/>
  <c r="L280" i="48" s="1"/>
  <c r="M280" i="48" s="1"/>
  <c r="N280" i="48" s="1"/>
  <c r="O280" i="48" s="1"/>
  <c r="P280" i="48" s="1"/>
  <c r="Q280" i="48" s="1"/>
  <c r="R280" i="48" s="1"/>
  <c r="S280" i="48" s="1"/>
  <c r="T280" i="48" s="1"/>
  <c r="U280" i="48" s="1"/>
  <c r="V280" i="48" s="1"/>
  <c r="W280" i="48" s="1"/>
  <c r="X280" i="48" s="1"/>
  <c r="Y280" i="48" s="1"/>
  <c r="Z280" i="48" s="1"/>
  <c r="AA280" i="48" s="1"/>
  <c r="AB280" i="48" s="1"/>
  <c r="AC280" i="48" s="1"/>
  <c r="AD280" i="48" s="1"/>
  <c r="AE280" i="48" s="1"/>
  <c r="AF280" i="48" s="1"/>
  <c r="D279" i="48"/>
  <c r="E279" i="48" s="1"/>
  <c r="F279" i="48" s="1"/>
  <c r="G279" i="48" s="1"/>
  <c r="H279" i="48" s="1"/>
  <c r="I279" i="48" s="1"/>
  <c r="J279" i="48" s="1"/>
  <c r="K279" i="48" s="1"/>
  <c r="L279" i="48" s="1"/>
  <c r="M279" i="48" s="1"/>
  <c r="N279" i="48" s="1"/>
  <c r="O279" i="48" s="1"/>
  <c r="P279" i="48" s="1"/>
  <c r="Q279" i="48" s="1"/>
  <c r="R279" i="48" s="1"/>
  <c r="S279" i="48" s="1"/>
  <c r="T279" i="48" s="1"/>
  <c r="U279" i="48" s="1"/>
  <c r="V279" i="48" s="1"/>
  <c r="W279" i="48" s="1"/>
  <c r="X279" i="48" s="1"/>
  <c r="Y279" i="48" s="1"/>
  <c r="Z279" i="48" s="1"/>
  <c r="AA279" i="48" s="1"/>
  <c r="AB279" i="48" s="1"/>
  <c r="AC279" i="48" s="1"/>
  <c r="AD279" i="48" s="1"/>
  <c r="AE279" i="48" s="1"/>
  <c r="AF279" i="48" s="1"/>
  <c r="E278" i="48"/>
  <c r="F278" i="48" s="1"/>
  <c r="G278" i="48" s="1"/>
  <c r="H278" i="48" s="1"/>
  <c r="I278" i="48" s="1"/>
  <c r="J278" i="48" s="1"/>
  <c r="K278" i="48" s="1"/>
  <c r="L278" i="48" s="1"/>
  <c r="M278" i="48" s="1"/>
  <c r="N278" i="48" s="1"/>
  <c r="O278" i="48" s="1"/>
  <c r="P278" i="48" s="1"/>
  <c r="Q278" i="48" s="1"/>
  <c r="R278" i="48" s="1"/>
  <c r="S278" i="48" s="1"/>
  <c r="T278" i="48" s="1"/>
  <c r="U278" i="48" s="1"/>
  <c r="V278" i="48" s="1"/>
  <c r="W278" i="48" s="1"/>
  <c r="X278" i="48" s="1"/>
  <c r="Y278" i="48" s="1"/>
  <c r="Z278" i="48" s="1"/>
  <c r="AA278" i="48" s="1"/>
  <c r="AB278" i="48" s="1"/>
  <c r="AC278" i="48" s="1"/>
  <c r="AD278" i="48" s="1"/>
  <c r="AE278" i="48" s="1"/>
  <c r="AF278" i="48" s="1"/>
  <c r="D278" i="48"/>
  <c r="J305" i="46"/>
  <c r="K305" i="46" s="1"/>
  <c r="L305" i="46" s="1"/>
  <c r="M305" i="46" s="1"/>
  <c r="N305" i="46" s="1"/>
  <c r="O305" i="46" s="1"/>
  <c r="P305" i="46" s="1"/>
  <c r="Q305" i="46" s="1"/>
  <c r="R305" i="46" s="1"/>
  <c r="S305" i="46" s="1"/>
  <c r="T305" i="46" s="1"/>
  <c r="U305" i="46" s="1"/>
  <c r="V305" i="46" s="1"/>
  <c r="W305" i="46" s="1"/>
  <c r="X305" i="46" s="1"/>
  <c r="Y305" i="46" s="1"/>
  <c r="Z305" i="46" s="1"/>
  <c r="AA305" i="46" s="1"/>
  <c r="AB305" i="46" s="1"/>
  <c r="AC305" i="46" s="1"/>
  <c r="AD305" i="46" s="1"/>
  <c r="AE305" i="46" s="1"/>
  <c r="AF305" i="46" s="1"/>
  <c r="G305" i="46"/>
  <c r="H305" i="46" s="1"/>
  <c r="I305" i="46" s="1"/>
  <c r="F305" i="46"/>
  <c r="E305" i="46"/>
  <c r="D305" i="46"/>
  <c r="G304" i="46"/>
  <c r="H304" i="46" s="1"/>
  <c r="I304" i="46" s="1"/>
  <c r="J304" i="46" s="1"/>
  <c r="K304" i="46" s="1"/>
  <c r="L304" i="46" s="1"/>
  <c r="M304" i="46" s="1"/>
  <c r="N304" i="46" s="1"/>
  <c r="O304" i="46" s="1"/>
  <c r="P304" i="46" s="1"/>
  <c r="Q304" i="46" s="1"/>
  <c r="R304" i="46" s="1"/>
  <c r="S304" i="46" s="1"/>
  <c r="T304" i="46" s="1"/>
  <c r="U304" i="46" s="1"/>
  <c r="V304" i="46" s="1"/>
  <c r="W304" i="46" s="1"/>
  <c r="X304" i="46" s="1"/>
  <c r="Y304" i="46" s="1"/>
  <c r="Z304" i="46" s="1"/>
  <c r="AA304" i="46" s="1"/>
  <c r="AB304" i="46" s="1"/>
  <c r="AC304" i="46" s="1"/>
  <c r="AD304" i="46" s="1"/>
  <c r="AE304" i="46" s="1"/>
  <c r="AF304" i="46" s="1"/>
  <c r="D304" i="46"/>
  <c r="E304" i="46" s="1"/>
  <c r="F304" i="46" s="1"/>
  <c r="I303" i="46"/>
  <c r="J303" i="46" s="1"/>
  <c r="K303" i="46" s="1"/>
  <c r="L303" i="46" s="1"/>
  <c r="M303" i="46" s="1"/>
  <c r="N303" i="46" s="1"/>
  <c r="O303" i="46" s="1"/>
  <c r="P303" i="46" s="1"/>
  <c r="Q303" i="46" s="1"/>
  <c r="R303" i="46" s="1"/>
  <c r="S303" i="46" s="1"/>
  <c r="T303" i="46" s="1"/>
  <c r="U303" i="46" s="1"/>
  <c r="V303" i="46" s="1"/>
  <c r="W303" i="46" s="1"/>
  <c r="X303" i="46" s="1"/>
  <c r="Y303" i="46" s="1"/>
  <c r="Z303" i="46" s="1"/>
  <c r="AA303" i="46" s="1"/>
  <c r="AB303" i="46" s="1"/>
  <c r="AC303" i="46" s="1"/>
  <c r="AD303" i="46" s="1"/>
  <c r="AE303" i="46" s="1"/>
  <c r="AF303" i="46" s="1"/>
  <c r="H303" i="46"/>
  <c r="D303" i="46"/>
  <c r="E303" i="46" s="1"/>
  <c r="F303" i="46" s="1"/>
  <c r="G303" i="46" s="1"/>
  <c r="D302" i="46"/>
  <c r="E302" i="46" s="1"/>
  <c r="F302" i="46" s="1"/>
  <c r="G302" i="46" s="1"/>
  <c r="H302" i="46" s="1"/>
  <c r="I302" i="46" s="1"/>
  <c r="J302" i="46" s="1"/>
  <c r="K302" i="46" s="1"/>
  <c r="L302" i="46" s="1"/>
  <c r="M302" i="46" s="1"/>
  <c r="N302" i="46" s="1"/>
  <c r="O302" i="46" s="1"/>
  <c r="P302" i="46" s="1"/>
  <c r="Q302" i="46" s="1"/>
  <c r="R302" i="46" s="1"/>
  <c r="S302" i="46" s="1"/>
  <c r="T302" i="46" s="1"/>
  <c r="U302" i="46" s="1"/>
  <c r="V302" i="46" s="1"/>
  <c r="W302" i="46" s="1"/>
  <c r="X302" i="46" s="1"/>
  <c r="Y302" i="46" s="1"/>
  <c r="Z302" i="46" s="1"/>
  <c r="AA302" i="46" s="1"/>
  <c r="AB302" i="46" s="1"/>
  <c r="AC302" i="46" s="1"/>
  <c r="AD302" i="46" s="1"/>
  <c r="AE302" i="46" s="1"/>
  <c r="AF302" i="46" s="1"/>
  <c r="D301" i="46"/>
  <c r="E301" i="46" s="1"/>
  <c r="F301" i="46" s="1"/>
  <c r="G301" i="46" s="1"/>
  <c r="H301" i="46" s="1"/>
  <c r="I301" i="46" s="1"/>
  <c r="J301" i="46" s="1"/>
  <c r="K301" i="46" s="1"/>
  <c r="L301" i="46" s="1"/>
  <c r="M301" i="46" s="1"/>
  <c r="N301" i="46" s="1"/>
  <c r="O301" i="46" s="1"/>
  <c r="P301" i="46" s="1"/>
  <c r="Q301" i="46" s="1"/>
  <c r="R301" i="46" s="1"/>
  <c r="S301" i="46" s="1"/>
  <c r="T301" i="46" s="1"/>
  <c r="U301" i="46" s="1"/>
  <c r="V301" i="46" s="1"/>
  <c r="W301" i="46" s="1"/>
  <c r="X301" i="46" s="1"/>
  <c r="Y301" i="46" s="1"/>
  <c r="Z301" i="46" s="1"/>
  <c r="AA301" i="46" s="1"/>
  <c r="AB301" i="46" s="1"/>
  <c r="AC301" i="46" s="1"/>
  <c r="AD301" i="46" s="1"/>
  <c r="AE301" i="46" s="1"/>
  <c r="AF301" i="46" s="1"/>
  <c r="F300" i="46"/>
  <c r="G300" i="46" s="1"/>
  <c r="H300" i="46" s="1"/>
  <c r="I300" i="46" s="1"/>
  <c r="J300" i="46" s="1"/>
  <c r="K300" i="46" s="1"/>
  <c r="L300" i="46" s="1"/>
  <c r="M300" i="46" s="1"/>
  <c r="N300" i="46" s="1"/>
  <c r="O300" i="46" s="1"/>
  <c r="P300" i="46" s="1"/>
  <c r="Q300" i="46" s="1"/>
  <c r="R300" i="46" s="1"/>
  <c r="S300" i="46" s="1"/>
  <c r="T300" i="46" s="1"/>
  <c r="U300" i="46" s="1"/>
  <c r="V300" i="46" s="1"/>
  <c r="W300" i="46" s="1"/>
  <c r="X300" i="46" s="1"/>
  <c r="Y300" i="46" s="1"/>
  <c r="Z300" i="46" s="1"/>
  <c r="AA300" i="46" s="1"/>
  <c r="AB300" i="46" s="1"/>
  <c r="AC300" i="46" s="1"/>
  <c r="AD300" i="46" s="1"/>
  <c r="AE300" i="46" s="1"/>
  <c r="AF300" i="46" s="1"/>
  <c r="D300" i="46"/>
  <c r="E300" i="46" s="1"/>
  <c r="F299" i="46"/>
  <c r="G299" i="46" s="1"/>
  <c r="H299" i="46" s="1"/>
  <c r="I299" i="46" s="1"/>
  <c r="J299" i="46" s="1"/>
  <c r="K299" i="46" s="1"/>
  <c r="L299" i="46" s="1"/>
  <c r="M299" i="46" s="1"/>
  <c r="N299" i="46" s="1"/>
  <c r="O299" i="46" s="1"/>
  <c r="P299" i="46" s="1"/>
  <c r="Q299" i="46" s="1"/>
  <c r="R299" i="46" s="1"/>
  <c r="S299" i="46" s="1"/>
  <c r="T299" i="46" s="1"/>
  <c r="U299" i="46" s="1"/>
  <c r="V299" i="46" s="1"/>
  <c r="W299" i="46" s="1"/>
  <c r="X299" i="46" s="1"/>
  <c r="Y299" i="46" s="1"/>
  <c r="Z299" i="46" s="1"/>
  <c r="AA299" i="46" s="1"/>
  <c r="AB299" i="46" s="1"/>
  <c r="AC299" i="46" s="1"/>
  <c r="AD299" i="46" s="1"/>
  <c r="AE299" i="46" s="1"/>
  <c r="AF299" i="46" s="1"/>
  <c r="E299" i="46"/>
  <c r="D299" i="46"/>
  <c r="E298" i="46"/>
  <c r="F298" i="46" s="1"/>
  <c r="G298" i="46" s="1"/>
  <c r="H298" i="46" s="1"/>
  <c r="I298" i="46" s="1"/>
  <c r="J298" i="46" s="1"/>
  <c r="K298" i="46" s="1"/>
  <c r="L298" i="46" s="1"/>
  <c r="M298" i="46" s="1"/>
  <c r="N298" i="46" s="1"/>
  <c r="O298" i="46" s="1"/>
  <c r="P298" i="46" s="1"/>
  <c r="Q298" i="46" s="1"/>
  <c r="R298" i="46" s="1"/>
  <c r="S298" i="46" s="1"/>
  <c r="T298" i="46" s="1"/>
  <c r="U298" i="46" s="1"/>
  <c r="V298" i="46" s="1"/>
  <c r="W298" i="46" s="1"/>
  <c r="X298" i="46" s="1"/>
  <c r="Y298" i="46" s="1"/>
  <c r="Z298" i="46" s="1"/>
  <c r="AA298" i="46" s="1"/>
  <c r="AB298" i="46" s="1"/>
  <c r="AC298" i="46" s="1"/>
  <c r="AD298" i="46" s="1"/>
  <c r="AE298" i="46" s="1"/>
  <c r="AF298" i="46" s="1"/>
  <c r="D298" i="46"/>
  <c r="F297" i="46"/>
  <c r="G297" i="46" s="1"/>
  <c r="H297" i="46" s="1"/>
  <c r="I297" i="46" s="1"/>
  <c r="J297" i="46" s="1"/>
  <c r="K297" i="46" s="1"/>
  <c r="L297" i="46" s="1"/>
  <c r="M297" i="46" s="1"/>
  <c r="N297" i="46" s="1"/>
  <c r="O297" i="46" s="1"/>
  <c r="P297" i="46" s="1"/>
  <c r="Q297" i="46" s="1"/>
  <c r="R297" i="46" s="1"/>
  <c r="S297" i="46" s="1"/>
  <c r="T297" i="46" s="1"/>
  <c r="U297" i="46" s="1"/>
  <c r="V297" i="46" s="1"/>
  <c r="W297" i="46" s="1"/>
  <c r="X297" i="46" s="1"/>
  <c r="Y297" i="46" s="1"/>
  <c r="Z297" i="46" s="1"/>
  <c r="AA297" i="46" s="1"/>
  <c r="AB297" i="46" s="1"/>
  <c r="AC297" i="46" s="1"/>
  <c r="AD297" i="46" s="1"/>
  <c r="AE297" i="46" s="1"/>
  <c r="AF297" i="46" s="1"/>
  <c r="E297" i="46"/>
  <c r="D297" i="46"/>
  <c r="G296" i="46"/>
  <c r="H296" i="46" s="1"/>
  <c r="I296" i="46" s="1"/>
  <c r="J296" i="46" s="1"/>
  <c r="K296" i="46" s="1"/>
  <c r="L296" i="46" s="1"/>
  <c r="M296" i="46" s="1"/>
  <c r="N296" i="46" s="1"/>
  <c r="O296" i="46" s="1"/>
  <c r="P296" i="46" s="1"/>
  <c r="Q296" i="46" s="1"/>
  <c r="R296" i="46" s="1"/>
  <c r="S296" i="46" s="1"/>
  <c r="T296" i="46" s="1"/>
  <c r="U296" i="46" s="1"/>
  <c r="V296" i="46" s="1"/>
  <c r="W296" i="46" s="1"/>
  <c r="X296" i="46" s="1"/>
  <c r="Y296" i="46" s="1"/>
  <c r="Z296" i="46" s="1"/>
  <c r="AA296" i="46" s="1"/>
  <c r="AB296" i="46" s="1"/>
  <c r="AC296" i="46" s="1"/>
  <c r="AD296" i="46" s="1"/>
  <c r="AE296" i="46" s="1"/>
  <c r="AF296" i="46" s="1"/>
  <c r="E296" i="46"/>
  <c r="F296" i="46" s="1"/>
  <c r="D296" i="46"/>
  <c r="G295" i="46"/>
  <c r="H295" i="46" s="1"/>
  <c r="I295" i="46" s="1"/>
  <c r="J295" i="46" s="1"/>
  <c r="K295" i="46" s="1"/>
  <c r="L295" i="46" s="1"/>
  <c r="M295" i="46" s="1"/>
  <c r="N295" i="46" s="1"/>
  <c r="O295" i="46" s="1"/>
  <c r="P295" i="46" s="1"/>
  <c r="Q295" i="46" s="1"/>
  <c r="R295" i="46" s="1"/>
  <c r="S295" i="46" s="1"/>
  <c r="T295" i="46" s="1"/>
  <c r="U295" i="46" s="1"/>
  <c r="V295" i="46" s="1"/>
  <c r="W295" i="46" s="1"/>
  <c r="X295" i="46" s="1"/>
  <c r="Y295" i="46" s="1"/>
  <c r="Z295" i="46" s="1"/>
  <c r="AA295" i="46" s="1"/>
  <c r="AB295" i="46" s="1"/>
  <c r="AC295" i="46" s="1"/>
  <c r="AD295" i="46" s="1"/>
  <c r="AE295" i="46" s="1"/>
  <c r="AF295" i="46" s="1"/>
  <c r="D295" i="46"/>
  <c r="E295" i="46" s="1"/>
  <c r="F295" i="46" s="1"/>
  <c r="E294" i="46"/>
  <c r="F294" i="46" s="1"/>
  <c r="G294" i="46" s="1"/>
  <c r="H294" i="46" s="1"/>
  <c r="I294" i="46" s="1"/>
  <c r="J294" i="46" s="1"/>
  <c r="K294" i="46" s="1"/>
  <c r="L294" i="46" s="1"/>
  <c r="M294" i="46" s="1"/>
  <c r="N294" i="46" s="1"/>
  <c r="O294" i="46" s="1"/>
  <c r="P294" i="46" s="1"/>
  <c r="Q294" i="46" s="1"/>
  <c r="R294" i="46" s="1"/>
  <c r="S294" i="46" s="1"/>
  <c r="T294" i="46" s="1"/>
  <c r="U294" i="46" s="1"/>
  <c r="V294" i="46" s="1"/>
  <c r="W294" i="46" s="1"/>
  <c r="X294" i="46" s="1"/>
  <c r="Y294" i="46" s="1"/>
  <c r="Z294" i="46" s="1"/>
  <c r="AA294" i="46" s="1"/>
  <c r="AB294" i="46" s="1"/>
  <c r="AC294" i="46" s="1"/>
  <c r="AD294" i="46" s="1"/>
  <c r="AE294" i="46" s="1"/>
  <c r="AF294" i="46" s="1"/>
  <c r="D294" i="46"/>
  <c r="D293" i="46"/>
  <c r="E293" i="46" s="1"/>
  <c r="F293" i="46" s="1"/>
  <c r="G293" i="46" s="1"/>
  <c r="H293" i="46" s="1"/>
  <c r="I293" i="46" s="1"/>
  <c r="J293" i="46" s="1"/>
  <c r="K293" i="46" s="1"/>
  <c r="L293" i="46" s="1"/>
  <c r="M293" i="46" s="1"/>
  <c r="N293" i="46" s="1"/>
  <c r="O293" i="46" s="1"/>
  <c r="P293" i="46" s="1"/>
  <c r="Q293" i="46" s="1"/>
  <c r="R293" i="46" s="1"/>
  <c r="S293" i="46" s="1"/>
  <c r="T293" i="46" s="1"/>
  <c r="U293" i="46" s="1"/>
  <c r="V293" i="46" s="1"/>
  <c r="W293" i="46" s="1"/>
  <c r="X293" i="46" s="1"/>
  <c r="Y293" i="46" s="1"/>
  <c r="Z293" i="46" s="1"/>
  <c r="AA293" i="46" s="1"/>
  <c r="AB293" i="46" s="1"/>
  <c r="AC293" i="46" s="1"/>
  <c r="AD293" i="46" s="1"/>
  <c r="AE293" i="46" s="1"/>
  <c r="AF293" i="46" s="1"/>
  <c r="D292" i="46"/>
  <c r="E292" i="46" s="1"/>
  <c r="F292" i="46" s="1"/>
  <c r="G292" i="46" s="1"/>
  <c r="H292" i="46" s="1"/>
  <c r="I292" i="46" s="1"/>
  <c r="J292" i="46" s="1"/>
  <c r="K292" i="46" s="1"/>
  <c r="L292" i="46" s="1"/>
  <c r="M292" i="46" s="1"/>
  <c r="N292" i="46" s="1"/>
  <c r="O292" i="46" s="1"/>
  <c r="P292" i="46" s="1"/>
  <c r="Q292" i="46" s="1"/>
  <c r="R292" i="46" s="1"/>
  <c r="S292" i="46" s="1"/>
  <c r="T292" i="46" s="1"/>
  <c r="U292" i="46" s="1"/>
  <c r="V292" i="46" s="1"/>
  <c r="W292" i="46" s="1"/>
  <c r="X292" i="46" s="1"/>
  <c r="Y292" i="46" s="1"/>
  <c r="Z292" i="46" s="1"/>
  <c r="AA292" i="46" s="1"/>
  <c r="AB292" i="46" s="1"/>
  <c r="AC292" i="46" s="1"/>
  <c r="AD292" i="46" s="1"/>
  <c r="AE292" i="46" s="1"/>
  <c r="AF292" i="46" s="1"/>
  <c r="D291" i="46"/>
  <c r="E291" i="46" s="1"/>
  <c r="F291" i="46" s="1"/>
  <c r="G291" i="46" s="1"/>
  <c r="H291" i="46" s="1"/>
  <c r="I291" i="46" s="1"/>
  <c r="J291" i="46" s="1"/>
  <c r="K291" i="46" s="1"/>
  <c r="L291" i="46" s="1"/>
  <c r="M291" i="46" s="1"/>
  <c r="N291" i="46" s="1"/>
  <c r="O291" i="46" s="1"/>
  <c r="P291" i="46" s="1"/>
  <c r="Q291" i="46" s="1"/>
  <c r="R291" i="46" s="1"/>
  <c r="S291" i="46" s="1"/>
  <c r="T291" i="46" s="1"/>
  <c r="U291" i="46" s="1"/>
  <c r="V291" i="46" s="1"/>
  <c r="W291" i="46" s="1"/>
  <c r="X291" i="46" s="1"/>
  <c r="Y291" i="46" s="1"/>
  <c r="Z291" i="46" s="1"/>
  <c r="AA291" i="46" s="1"/>
  <c r="AB291" i="46" s="1"/>
  <c r="AC291" i="46" s="1"/>
  <c r="AD291" i="46" s="1"/>
  <c r="AE291" i="46" s="1"/>
  <c r="AF291" i="46" s="1"/>
  <c r="H290" i="46"/>
  <c r="I290" i="46" s="1"/>
  <c r="J290" i="46" s="1"/>
  <c r="K290" i="46" s="1"/>
  <c r="L290" i="46" s="1"/>
  <c r="M290" i="46" s="1"/>
  <c r="N290" i="46" s="1"/>
  <c r="O290" i="46" s="1"/>
  <c r="P290" i="46" s="1"/>
  <c r="Q290" i="46" s="1"/>
  <c r="R290" i="46" s="1"/>
  <c r="S290" i="46" s="1"/>
  <c r="T290" i="46" s="1"/>
  <c r="U290" i="46" s="1"/>
  <c r="V290" i="46" s="1"/>
  <c r="W290" i="46" s="1"/>
  <c r="X290" i="46" s="1"/>
  <c r="Y290" i="46" s="1"/>
  <c r="Z290" i="46" s="1"/>
  <c r="AA290" i="46" s="1"/>
  <c r="AB290" i="46" s="1"/>
  <c r="AC290" i="46" s="1"/>
  <c r="AD290" i="46" s="1"/>
  <c r="AE290" i="46" s="1"/>
  <c r="AF290" i="46" s="1"/>
  <c r="E290" i="46"/>
  <c r="F290" i="46" s="1"/>
  <c r="G290" i="46" s="1"/>
  <c r="D290" i="46"/>
  <c r="M289" i="46"/>
  <c r="N289" i="46" s="1"/>
  <c r="O289" i="46" s="1"/>
  <c r="P289" i="46" s="1"/>
  <c r="Q289" i="46" s="1"/>
  <c r="R289" i="46" s="1"/>
  <c r="S289" i="46" s="1"/>
  <c r="T289" i="46" s="1"/>
  <c r="U289" i="46" s="1"/>
  <c r="V289" i="46" s="1"/>
  <c r="W289" i="46" s="1"/>
  <c r="X289" i="46" s="1"/>
  <c r="Y289" i="46" s="1"/>
  <c r="Z289" i="46" s="1"/>
  <c r="AA289" i="46" s="1"/>
  <c r="AB289" i="46" s="1"/>
  <c r="AC289" i="46" s="1"/>
  <c r="AD289" i="46" s="1"/>
  <c r="AE289" i="46" s="1"/>
  <c r="AF289" i="46" s="1"/>
  <c r="E289" i="46"/>
  <c r="F289" i="46" s="1"/>
  <c r="G289" i="46" s="1"/>
  <c r="H289" i="46" s="1"/>
  <c r="I289" i="46" s="1"/>
  <c r="J289" i="46" s="1"/>
  <c r="K289" i="46" s="1"/>
  <c r="L289" i="46" s="1"/>
  <c r="D289" i="46"/>
  <c r="AG288" i="46"/>
  <c r="F288" i="46"/>
  <c r="D288" i="46"/>
  <c r="C288" i="46"/>
  <c r="F287" i="46"/>
  <c r="G287" i="46" s="1"/>
  <c r="D287" i="46"/>
  <c r="E287" i="46" s="1"/>
  <c r="E288" i="46" s="1"/>
  <c r="G286" i="46"/>
  <c r="H286" i="46" s="1"/>
  <c r="I286" i="46" s="1"/>
  <c r="J286" i="46" s="1"/>
  <c r="K286" i="46" s="1"/>
  <c r="L286" i="46" s="1"/>
  <c r="M286" i="46" s="1"/>
  <c r="N286" i="46" s="1"/>
  <c r="O286" i="46" s="1"/>
  <c r="P286" i="46" s="1"/>
  <c r="Q286" i="46" s="1"/>
  <c r="R286" i="46" s="1"/>
  <c r="S286" i="46" s="1"/>
  <c r="T286" i="46" s="1"/>
  <c r="U286" i="46" s="1"/>
  <c r="V286" i="46" s="1"/>
  <c r="W286" i="46" s="1"/>
  <c r="X286" i="46" s="1"/>
  <c r="Y286" i="46" s="1"/>
  <c r="Z286" i="46" s="1"/>
  <c r="AA286" i="46" s="1"/>
  <c r="AB286" i="46" s="1"/>
  <c r="AC286" i="46" s="1"/>
  <c r="AD286" i="46" s="1"/>
  <c r="AE286" i="46" s="1"/>
  <c r="AF286" i="46" s="1"/>
  <c r="F286" i="46"/>
  <c r="D286" i="46"/>
  <c r="E286" i="46" s="1"/>
  <c r="F284" i="46"/>
  <c r="G284" i="46" s="1"/>
  <c r="H284" i="46" s="1"/>
  <c r="I284" i="46" s="1"/>
  <c r="J284" i="46" s="1"/>
  <c r="K284" i="46" s="1"/>
  <c r="L284" i="46" s="1"/>
  <c r="M284" i="46" s="1"/>
  <c r="N284" i="46" s="1"/>
  <c r="O284" i="46" s="1"/>
  <c r="P284" i="46" s="1"/>
  <c r="Q284" i="46" s="1"/>
  <c r="R284" i="46" s="1"/>
  <c r="S284" i="46" s="1"/>
  <c r="T284" i="46" s="1"/>
  <c r="U284" i="46" s="1"/>
  <c r="V284" i="46" s="1"/>
  <c r="W284" i="46" s="1"/>
  <c r="X284" i="46" s="1"/>
  <c r="Y284" i="46" s="1"/>
  <c r="Z284" i="46" s="1"/>
  <c r="AA284" i="46" s="1"/>
  <c r="AB284" i="46" s="1"/>
  <c r="AC284" i="46" s="1"/>
  <c r="AD284" i="46" s="1"/>
  <c r="AE284" i="46" s="1"/>
  <c r="AF284" i="46" s="1"/>
  <c r="D284" i="46"/>
  <c r="E284" i="46" s="1"/>
  <c r="H283" i="46"/>
  <c r="I283" i="46" s="1"/>
  <c r="J283" i="46" s="1"/>
  <c r="K283" i="46" s="1"/>
  <c r="L283" i="46" s="1"/>
  <c r="M283" i="46" s="1"/>
  <c r="N283" i="46" s="1"/>
  <c r="O283" i="46" s="1"/>
  <c r="P283" i="46" s="1"/>
  <c r="Q283" i="46" s="1"/>
  <c r="R283" i="46" s="1"/>
  <c r="S283" i="46" s="1"/>
  <c r="T283" i="46" s="1"/>
  <c r="U283" i="46" s="1"/>
  <c r="V283" i="46" s="1"/>
  <c r="W283" i="46" s="1"/>
  <c r="X283" i="46" s="1"/>
  <c r="Y283" i="46" s="1"/>
  <c r="Z283" i="46" s="1"/>
  <c r="AA283" i="46" s="1"/>
  <c r="AB283" i="46" s="1"/>
  <c r="AC283" i="46" s="1"/>
  <c r="AD283" i="46" s="1"/>
  <c r="AE283" i="46" s="1"/>
  <c r="AF283" i="46" s="1"/>
  <c r="E283" i="46"/>
  <c r="F283" i="46" s="1"/>
  <c r="G283" i="46" s="1"/>
  <c r="D283" i="46"/>
  <c r="O282" i="46"/>
  <c r="P282" i="46" s="1"/>
  <c r="Q282" i="46" s="1"/>
  <c r="R282" i="46" s="1"/>
  <c r="S282" i="46" s="1"/>
  <c r="T282" i="46" s="1"/>
  <c r="U282" i="46" s="1"/>
  <c r="V282" i="46" s="1"/>
  <c r="W282" i="46" s="1"/>
  <c r="X282" i="46" s="1"/>
  <c r="Y282" i="46" s="1"/>
  <c r="Z282" i="46" s="1"/>
  <c r="AA282" i="46" s="1"/>
  <c r="AB282" i="46" s="1"/>
  <c r="AC282" i="46" s="1"/>
  <c r="AD282" i="46" s="1"/>
  <c r="AE282" i="46" s="1"/>
  <c r="AF282" i="46" s="1"/>
  <c r="E282" i="46"/>
  <c r="F282" i="46" s="1"/>
  <c r="G282" i="46" s="1"/>
  <c r="H282" i="46" s="1"/>
  <c r="I282" i="46" s="1"/>
  <c r="J282" i="46" s="1"/>
  <c r="K282" i="46" s="1"/>
  <c r="L282" i="46" s="1"/>
  <c r="M282" i="46" s="1"/>
  <c r="N282" i="46" s="1"/>
  <c r="D282" i="46"/>
  <c r="M281" i="46"/>
  <c r="N281" i="46" s="1"/>
  <c r="O281" i="46" s="1"/>
  <c r="P281" i="46" s="1"/>
  <c r="Q281" i="46" s="1"/>
  <c r="R281" i="46" s="1"/>
  <c r="S281" i="46" s="1"/>
  <c r="T281" i="46" s="1"/>
  <c r="U281" i="46" s="1"/>
  <c r="V281" i="46" s="1"/>
  <c r="W281" i="46" s="1"/>
  <c r="X281" i="46" s="1"/>
  <c r="Y281" i="46" s="1"/>
  <c r="Z281" i="46" s="1"/>
  <c r="AA281" i="46" s="1"/>
  <c r="AB281" i="46" s="1"/>
  <c r="AC281" i="46" s="1"/>
  <c r="AD281" i="46" s="1"/>
  <c r="AE281" i="46" s="1"/>
  <c r="AF281" i="46" s="1"/>
  <c r="G281" i="46"/>
  <c r="H281" i="46" s="1"/>
  <c r="I281" i="46" s="1"/>
  <c r="J281" i="46" s="1"/>
  <c r="K281" i="46" s="1"/>
  <c r="L281" i="46" s="1"/>
  <c r="E281" i="46"/>
  <c r="F281" i="46" s="1"/>
  <c r="D281" i="46"/>
  <c r="E280" i="46"/>
  <c r="F280" i="46" s="1"/>
  <c r="G280" i="46" s="1"/>
  <c r="H280" i="46" s="1"/>
  <c r="I280" i="46" s="1"/>
  <c r="J280" i="46" s="1"/>
  <c r="K280" i="46" s="1"/>
  <c r="L280" i="46" s="1"/>
  <c r="M280" i="46" s="1"/>
  <c r="N280" i="46" s="1"/>
  <c r="O280" i="46" s="1"/>
  <c r="P280" i="46" s="1"/>
  <c r="Q280" i="46" s="1"/>
  <c r="R280" i="46" s="1"/>
  <c r="S280" i="46" s="1"/>
  <c r="T280" i="46" s="1"/>
  <c r="U280" i="46" s="1"/>
  <c r="V280" i="46" s="1"/>
  <c r="W280" i="46" s="1"/>
  <c r="X280" i="46" s="1"/>
  <c r="Y280" i="46" s="1"/>
  <c r="Z280" i="46" s="1"/>
  <c r="AA280" i="46" s="1"/>
  <c r="AB280" i="46" s="1"/>
  <c r="AC280" i="46" s="1"/>
  <c r="AD280" i="46" s="1"/>
  <c r="AE280" i="46" s="1"/>
  <c r="AF280" i="46" s="1"/>
  <c r="D280" i="46"/>
  <c r="E279" i="46"/>
  <c r="F279" i="46" s="1"/>
  <c r="G279" i="46" s="1"/>
  <c r="H279" i="46" s="1"/>
  <c r="I279" i="46" s="1"/>
  <c r="J279" i="46" s="1"/>
  <c r="K279" i="46" s="1"/>
  <c r="L279" i="46" s="1"/>
  <c r="M279" i="46" s="1"/>
  <c r="N279" i="46" s="1"/>
  <c r="O279" i="46" s="1"/>
  <c r="P279" i="46" s="1"/>
  <c r="Q279" i="46" s="1"/>
  <c r="R279" i="46" s="1"/>
  <c r="S279" i="46" s="1"/>
  <c r="T279" i="46" s="1"/>
  <c r="U279" i="46" s="1"/>
  <c r="V279" i="46" s="1"/>
  <c r="W279" i="46" s="1"/>
  <c r="X279" i="46" s="1"/>
  <c r="Y279" i="46" s="1"/>
  <c r="Z279" i="46" s="1"/>
  <c r="AA279" i="46" s="1"/>
  <c r="AB279" i="46" s="1"/>
  <c r="AC279" i="46" s="1"/>
  <c r="AD279" i="46" s="1"/>
  <c r="AE279" i="46" s="1"/>
  <c r="AF279" i="46" s="1"/>
  <c r="D279" i="46"/>
  <c r="E278" i="46"/>
  <c r="F278" i="46" s="1"/>
  <c r="G278" i="46" s="1"/>
  <c r="H278" i="46" s="1"/>
  <c r="I278" i="46" s="1"/>
  <c r="J278" i="46" s="1"/>
  <c r="K278" i="46" s="1"/>
  <c r="L278" i="46" s="1"/>
  <c r="M278" i="46" s="1"/>
  <c r="N278" i="46" s="1"/>
  <c r="O278" i="46" s="1"/>
  <c r="P278" i="46" s="1"/>
  <c r="Q278" i="46" s="1"/>
  <c r="R278" i="46" s="1"/>
  <c r="S278" i="46" s="1"/>
  <c r="T278" i="46" s="1"/>
  <c r="U278" i="46" s="1"/>
  <c r="V278" i="46" s="1"/>
  <c r="W278" i="46" s="1"/>
  <c r="X278" i="46" s="1"/>
  <c r="Y278" i="46" s="1"/>
  <c r="Z278" i="46" s="1"/>
  <c r="AA278" i="46" s="1"/>
  <c r="AB278" i="46" s="1"/>
  <c r="AC278" i="46" s="1"/>
  <c r="AD278" i="46" s="1"/>
  <c r="AE278" i="46" s="1"/>
  <c r="AF278" i="46" s="1"/>
  <c r="D278" i="46"/>
  <c r="D277" i="38"/>
  <c r="E277" i="38" s="1"/>
  <c r="F277" i="38" s="1"/>
  <c r="G277" i="38" s="1"/>
  <c r="H277" i="38" s="1"/>
  <c r="I277" i="38" s="1"/>
  <c r="J277" i="38" s="1"/>
  <c r="K277" i="38" s="1"/>
  <c r="L277" i="38" s="1"/>
  <c r="M277" i="38" s="1"/>
  <c r="N277" i="38" s="1"/>
  <c r="O277" i="38" s="1"/>
  <c r="P277" i="38" s="1"/>
  <c r="Q277" i="38" s="1"/>
  <c r="R277" i="38" s="1"/>
  <c r="S277" i="38" s="1"/>
  <c r="T277" i="38" s="1"/>
  <c r="U277" i="38" s="1"/>
  <c r="V277" i="38" s="1"/>
  <c r="W277" i="38" s="1"/>
  <c r="X277" i="38" s="1"/>
  <c r="Y277" i="38" s="1"/>
  <c r="Z277" i="38" s="1"/>
  <c r="AA277" i="38" s="1"/>
  <c r="AB277" i="38" s="1"/>
  <c r="AC277" i="38" s="1"/>
  <c r="AD277" i="38" s="1"/>
  <c r="AE277" i="38" s="1"/>
  <c r="AF277" i="38" s="1"/>
  <c r="F276" i="38"/>
  <c r="G276" i="38" s="1"/>
  <c r="H276" i="38" s="1"/>
  <c r="I276" i="38" s="1"/>
  <c r="J276" i="38" s="1"/>
  <c r="K276" i="38" s="1"/>
  <c r="L276" i="38" s="1"/>
  <c r="M276" i="38" s="1"/>
  <c r="N276" i="38" s="1"/>
  <c r="O276" i="38" s="1"/>
  <c r="P276" i="38" s="1"/>
  <c r="Q276" i="38" s="1"/>
  <c r="R276" i="38" s="1"/>
  <c r="S276" i="38" s="1"/>
  <c r="T276" i="38" s="1"/>
  <c r="U276" i="38" s="1"/>
  <c r="V276" i="38" s="1"/>
  <c r="W276" i="38" s="1"/>
  <c r="X276" i="38" s="1"/>
  <c r="Y276" i="38" s="1"/>
  <c r="Z276" i="38" s="1"/>
  <c r="AA276" i="38" s="1"/>
  <c r="AB276" i="38" s="1"/>
  <c r="AC276" i="38" s="1"/>
  <c r="AD276" i="38" s="1"/>
  <c r="AE276" i="38" s="1"/>
  <c r="AF276" i="38" s="1"/>
  <c r="D276" i="38"/>
  <c r="E276" i="38" s="1"/>
  <c r="E275" i="38"/>
  <c r="F275" i="38" s="1"/>
  <c r="G275" i="38" s="1"/>
  <c r="H275" i="38" s="1"/>
  <c r="I275" i="38" s="1"/>
  <c r="J275" i="38" s="1"/>
  <c r="K275" i="38" s="1"/>
  <c r="L275" i="38" s="1"/>
  <c r="M275" i="38" s="1"/>
  <c r="N275" i="38" s="1"/>
  <c r="O275" i="38" s="1"/>
  <c r="P275" i="38" s="1"/>
  <c r="Q275" i="38" s="1"/>
  <c r="R275" i="38" s="1"/>
  <c r="S275" i="38" s="1"/>
  <c r="T275" i="38" s="1"/>
  <c r="U275" i="38" s="1"/>
  <c r="V275" i="38" s="1"/>
  <c r="W275" i="38" s="1"/>
  <c r="X275" i="38" s="1"/>
  <c r="Y275" i="38" s="1"/>
  <c r="Z275" i="38" s="1"/>
  <c r="AA275" i="38" s="1"/>
  <c r="AB275" i="38" s="1"/>
  <c r="AC275" i="38" s="1"/>
  <c r="AD275" i="38" s="1"/>
  <c r="AE275" i="38" s="1"/>
  <c r="AF275" i="38" s="1"/>
  <c r="D275" i="38"/>
  <c r="H274" i="38"/>
  <c r="I274" i="38" s="1"/>
  <c r="J274" i="38" s="1"/>
  <c r="K274" i="38" s="1"/>
  <c r="L274" i="38" s="1"/>
  <c r="M274" i="38" s="1"/>
  <c r="N274" i="38" s="1"/>
  <c r="O274" i="38" s="1"/>
  <c r="P274" i="38" s="1"/>
  <c r="Q274" i="38" s="1"/>
  <c r="R274" i="38" s="1"/>
  <c r="S274" i="38" s="1"/>
  <c r="T274" i="38" s="1"/>
  <c r="U274" i="38" s="1"/>
  <c r="V274" i="38" s="1"/>
  <c r="W274" i="38" s="1"/>
  <c r="X274" i="38" s="1"/>
  <c r="Y274" i="38" s="1"/>
  <c r="Z274" i="38" s="1"/>
  <c r="AA274" i="38" s="1"/>
  <c r="AB274" i="38" s="1"/>
  <c r="AC274" i="38" s="1"/>
  <c r="AD274" i="38" s="1"/>
  <c r="AE274" i="38" s="1"/>
  <c r="AF274" i="38" s="1"/>
  <c r="D274" i="38"/>
  <c r="E274" i="38" s="1"/>
  <c r="F274" i="38" s="1"/>
  <c r="G274" i="38" s="1"/>
  <c r="M273" i="38"/>
  <c r="N273" i="38" s="1"/>
  <c r="O273" i="38" s="1"/>
  <c r="P273" i="38" s="1"/>
  <c r="Q273" i="38" s="1"/>
  <c r="R273" i="38" s="1"/>
  <c r="S273" i="38" s="1"/>
  <c r="T273" i="38" s="1"/>
  <c r="U273" i="38" s="1"/>
  <c r="V273" i="38" s="1"/>
  <c r="W273" i="38" s="1"/>
  <c r="X273" i="38" s="1"/>
  <c r="Y273" i="38" s="1"/>
  <c r="Z273" i="38" s="1"/>
  <c r="AA273" i="38" s="1"/>
  <c r="AB273" i="38" s="1"/>
  <c r="AC273" i="38" s="1"/>
  <c r="AD273" i="38" s="1"/>
  <c r="AE273" i="38" s="1"/>
  <c r="AF273" i="38" s="1"/>
  <c r="E273" i="38"/>
  <c r="F273" i="38" s="1"/>
  <c r="G273" i="38" s="1"/>
  <c r="H273" i="38" s="1"/>
  <c r="I273" i="38" s="1"/>
  <c r="J273" i="38" s="1"/>
  <c r="K273" i="38" s="1"/>
  <c r="L273" i="38" s="1"/>
  <c r="D273" i="38"/>
  <c r="D272" i="38"/>
  <c r="E272" i="38" s="1"/>
  <c r="F272" i="38" s="1"/>
  <c r="G272" i="38" s="1"/>
  <c r="H272" i="38" s="1"/>
  <c r="I272" i="38" s="1"/>
  <c r="J272" i="38" s="1"/>
  <c r="K272" i="38" s="1"/>
  <c r="L272" i="38" s="1"/>
  <c r="M272" i="38" s="1"/>
  <c r="N272" i="38" s="1"/>
  <c r="O272" i="38" s="1"/>
  <c r="P272" i="38" s="1"/>
  <c r="Q272" i="38" s="1"/>
  <c r="R272" i="38" s="1"/>
  <c r="S272" i="38" s="1"/>
  <c r="T272" i="38" s="1"/>
  <c r="U272" i="38" s="1"/>
  <c r="V272" i="38" s="1"/>
  <c r="W272" i="38" s="1"/>
  <c r="X272" i="38" s="1"/>
  <c r="Y272" i="38" s="1"/>
  <c r="Z272" i="38" s="1"/>
  <c r="AA272" i="38" s="1"/>
  <c r="AB272" i="38" s="1"/>
  <c r="AC272" i="38" s="1"/>
  <c r="AD272" i="38" s="1"/>
  <c r="AE272" i="38" s="1"/>
  <c r="AF272" i="38" s="1"/>
  <c r="G271" i="38"/>
  <c r="H271" i="38" s="1"/>
  <c r="I271" i="38" s="1"/>
  <c r="J271" i="38" s="1"/>
  <c r="K271" i="38" s="1"/>
  <c r="L271" i="38" s="1"/>
  <c r="M271" i="38" s="1"/>
  <c r="N271" i="38" s="1"/>
  <c r="O271" i="38" s="1"/>
  <c r="P271" i="38" s="1"/>
  <c r="Q271" i="38" s="1"/>
  <c r="R271" i="38" s="1"/>
  <c r="S271" i="38" s="1"/>
  <c r="T271" i="38" s="1"/>
  <c r="U271" i="38" s="1"/>
  <c r="V271" i="38" s="1"/>
  <c r="W271" i="38" s="1"/>
  <c r="X271" i="38" s="1"/>
  <c r="Y271" i="38" s="1"/>
  <c r="Z271" i="38" s="1"/>
  <c r="AA271" i="38" s="1"/>
  <c r="AB271" i="38" s="1"/>
  <c r="AC271" i="38" s="1"/>
  <c r="AD271" i="38" s="1"/>
  <c r="AE271" i="38" s="1"/>
  <c r="AF271" i="38" s="1"/>
  <c r="D271" i="38"/>
  <c r="E271" i="38" s="1"/>
  <c r="F271" i="38" s="1"/>
  <c r="D270" i="38"/>
  <c r="E270" i="38" s="1"/>
  <c r="F270" i="38" s="1"/>
  <c r="G270" i="38" s="1"/>
  <c r="H270" i="38" s="1"/>
  <c r="I270" i="38" s="1"/>
  <c r="J270" i="38" s="1"/>
  <c r="K270" i="38" s="1"/>
  <c r="L270" i="38" s="1"/>
  <c r="M270" i="38" s="1"/>
  <c r="N270" i="38" s="1"/>
  <c r="O270" i="38" s="1"/>
  <c r="P270" i="38" s="1"/>
  <c r="Q270" i="38" s="1"/>
  <c r="R270" i="38" s="1"/>
  <c r="S270" i="38" s="1"/>
  <c r="T270" i="38" s="1"/>
  <c r="U270" i="38" s="1"/>
  <c r="V270" i="38" s="1"/>
  <c r="W270" i="38" s="1"/>
  <c r="X270" i="38" s="1"/>
  <c r="Y270" i="38" s="1"/>
  <c r="Z270" i="38" s="1"/>
  <c r="AA270" i="38" s="1"/>
  <c r="AB270" i="38" s="1"/>
  <c r="AC270" i="38" s="1"/>
  <c r="AD270" i="38" s="1"/>
  <c r="AE270" i="38" s="1"/>
  <c r="AF270" i="38" s="1"/>
  <c r="I269" i="38"/>
  <c r="J269" i="38" s="1"/>
  <c r="K269" i="38" s="1"/>
  <c r="L269" i="38" s="1"/>
  <c r="M269" i="38" s="1"/>
  <c r="N269" i="38" s="1"/>
  <c r="O269" i="38" s="1"/>
  <c r="P269" i="38" s="1"/>
  <c r="Q269" i="38" s="1"/>
  <c r="R269" i="38" s="1"/>
  <c r="S269" i="38" s="1"/>
  <c r="T269" i="38" s="1"/>
  <c r="U269" i="38" s="1"/>
  <c r="V269" i="38" s="1"/>
  <c r="W269" i="38" s="1"/>
  <c r="X269" i="38" s="1"/>
  <c r="Y269" i="38" s="1"/>
  <c r="Z269" i="38" s="1"/>
  <c r="AA269" i="38" s="1"/>
  <c r="AB269" i="38" s="1"/>
  <c r="AC269" i="38" s="1"/>
  <c r="AD269" i="38" s="1"/>
  <c r="AE269" i="38" s="1"/>
  <c r="AF269" i="38" s="1"/>
  <c r="D269" i="38"/>
  <c r="E269" i="38" s="1"/>
  <c r="F269" i="38" s="1"/>
  <c r="G269" i="38" s="1"/>
  <c r="H269" i="38" s="1"/>
  <c r="D268" i="38"/>
  <c r="E268" i="38" s="1"/>
  <c r="F268" i="38" s="1"/>
  <c r="G268" i="38" s="1"/>
  <c r="H268" i="38" s="1"/>
  <c r="I268" i="38" s="1"/>
  <c r="J268" i="38" s="1"/>
  <c r="K268" i="38" s="1"/>
  <c r="L268" i="38" s="1"/>
  <c r="M268" i="38" s="1"/>
  <c r="N268" i="38" s="1"/>
  <c r="O268" i="38" s="1"/>
  <c r="P268" i="38" s="1"/>
  <c r="Q268" i="38" s="1"/>
  <c r="R268" i="38" s="1"/>
  <c r="S268" i="38" s="1"/>
  <c r="T268" i="38" s="1"/>
  <c r="U268" i="38" s="1"/>
  <c r="V268" i="38" s="1"/>
  <c r="W268" i="38" s="1"/>
  <c r="X268" i="38" s="1"/>
  <c r="Y268" i="38" s="1"/>
  <c r="Z268" i="38" s="1"/>
  <c r="AA268" i="38" s="1"/>
  <c r="AB268" i="38" s="1"/>
  <c r="AC268" i="38" s="1"/>
  <c r="AD268" i="38" s="1"/>
  <c r="AE268" i="38" s="1"/>
  <c r="AF268" i="38" s="1"/>
  <c r="D267" i="38"/>
  <c r="E267" i="38" s="1"/>
  <c r="F267" i="38" s="1"/>
  <c r="G267" i="38" s="1"/>
  <c r="H267" i="38" s="1"/>
  <c r="I267" i="38" s="1"/>
  <c r="J267" i="38" s="1"/>
  <c r="K267" i="38" s="1"/>
  <c r="L267" i="38" s="1"/>
  <c r="M267" i="38" s="1"/>
  <c r="N267" i="38" s="1"/>
  <c r="O267" i="38" s="1"/>
  <c r="P267" i="38" s="1"/>
  <c r="Q267" i="38" s="1"/>
  <c r="R267" i="38" s="1"/>
  <c r="S267" i="38" s="1"/>
  <c r="T267" i="38" s="1"/>
  <c r="U267" i="38" s="1"/>
  <c r="V267" i="38" s="1"/>
  <c r="W267" i="38" s="1"/>
  <c r="X267" i="38" s="1"/>
  <c r="Y267" i="38" s="1"/>
  <c r="Z267" i="38" s="1"/>
  <c r="AA267" i="38" s="1"/>
  <c r="AB267" i="38" s="1"/>
  <c r="AC267" i="38" s="1"/>
  <c r="AD267" i="38" s="1"/>
  <c r="AE267" i="38" s="1"/>
  <c r="AF267" i="38" s="1"/>
  <c r="H266" i="38"/>
  <c r="I266" i="38" s="1"/>
  <c r="J266" i="38" s="1"/>
  <c r="K266" i="38" s="1"/>
  <c r="L266" i="38" s="1"/>
  <c r="M266" i="38" s="1"/>
  <c r="N266" i="38" s="1"/>
  <c r="O266" i="38" s="1"/>
  <c r="P266" i="38" s="1"/>
  <c r="Q266" i="38" s="1"/>
  <c r="R266" i="38" s="1"/>
  <c r="S266" i="38" s="1"/>
  <c r="T266" i="38" s="1"/>
  <c r="U266" i="38" s="1"/>
  <c r="V266" i="38" s="1"/>
  <c r="W266" i="38" s="1"/>
  <c r="X266" i="38" s="1"/>
  <c r="Y266" i="38" s="1"/>
  <c r="Z266" i="38" s="1"/>
  <c r="AA266" i="38" s="1"/>
  <c r="AB266" i="38" s="1"/>
  <c r="AC266" i="38" s="1"/>
  <c r="AD266" i="38" s="1"/>
  <c r="AE266" i="38" s="1"/>
  <c r="AF266" i="38" s="1"/>
  <c r="D266" i="38"/>
  <c r="E266" i="38" s="1"/>
  <c r="F266" i="38" s="1"/>
  <c r="G266" i="38" s="1"/>
  <c r="M265" i="38"/>
  <c r="N265" i="38" s="1"/>
  <c r="O265" i="38" s="1"/>
  <c r="P265" i="38" s="1"/>
  <c r="Q265" i="38" s="1"/>
  <c r="R265" i="38" s="1"/>
  <c r="S265" i="38" s="1"/>
  <c r="T265" i="38" s="1"/>
  <c r="U265" i="38" s="1"/>
  <c r="V265" i="38" s="1"/>
  <c r="W265" i="38" s="1"/>
  <c r="X265" i="38" s="1"/>
  <c r="Y265" i="38" s="1"/>
  <c r="Z265" i="38" s="1"/>
  <c r="AA265" i="38" s="1"/>
  <c r="AB265" i="38" s="1"/>
  <c r="AC265" i="38" s="1"/>
  <c r="AD265" i="38" s="1"/>
  <c r="AE265" i="38" s="1"/>
  <c r="AF265" i="38" s="1"/>
  <c r="E265" i="38"/>
  <c r="F265" i="38" s="1"/>
  <c r="G265" i="38" s="1"/>
  <c r="H265" i="38" s="1"/>
  <c r="I265" i="38" s="1"/>
  <c r="J265" i="38" s="1"/>
  <c r="K265" i="38" s="1"/>
  <c r="L265" i="38" s="1"/>
  <c r="D265" i="38"/>
  <c r="E264" i="38"/>
  <c r="F264" i="38" s="1"/>
  <c r="G264" i="38" s="1"/>
  <c r="H264" i="38" s="1"/>
  <c r="I264" i="38" s="1"/>
  <c r="J264" i="38" s="1"/>
  <c r="K264" i="38" s="1"/>
  <c r="L264" i="38" s="1"/>
  <c r="M264" i="38" s="1"/>
  <c r="N264" i="38" s="1"/>
  <c r="O264" i="38" s="1"/>
  <c r="P264" i="38" s="1"/>
  <c r="Q264" i="38" s="1"/>
  <c r="R264" i="38" s="1"/>
  <c r="S264" i="38" s="1"/>
  <c r="T264" i="38" s="1"/>
  <c r="U264" i="38" s="1"/>
  <c r="V264" i="38" s="1"/>
  <c r="W264" i="38" s="1"/>
  <c r="X264" i="38" s="1"/>
  <c r="Y264" i="38" s="1"/>
  <c r="Z264" i="38" s="1"/>
  <c r="AA264" i="38" s="1"/>
  <c r="AB264" i="38" s="1"/>
  <c r="AC264" i="38" s="1"/>
  <c r="AD264" i="38" s="1"/>
  <c r="AE264" i="38" s="1"/>
  <c r="AF264" i="38" s="1"/>
  <c r="D264" i="38"/>
  <c r="D263" i="38"/>
  <c r="E263" i="38" s="1"/>
  <c r="F263" i="38" s="1"/>
  <c r="G263" i="38" s="1"/>
  <c r="H263" i="38" s="1"/>
  <c r="I263" i="38" s="1"/>
  <c r="J263" i="38" s="1"/>
  <c r="K263" i="38" s="1"/>
  <c r="L263" i="38" s="1"/>
  <c r="M263" i="38" s="1"/>
  <c r="N263" i="38" s="1"/>
  <c r="O263" i="38" s="1"/>
  <c r="P263" i="38" s="1"/>
  <c r="Q263" i="38" s="1"/>
  <c r="R263" i="38" s="1"/>
  <c r="S263" i="38" s="1"/>
  <c r="T263" i="38" s="1"/>
  <c r="U263" i="38" s="1"/>
  <c r="V263" i="38" s="1"/>
  <c r="W263" i="38" s="1"/>
  <c r="X263" i="38" s="1"/>
  <c r="Y263" i="38" s="1"/>
  <c r="Z263" i="38" s="1"/>
  <c r="AA263" i="38" s="1"/>
  <c r="AB263" i="38" s="1"/>
  <c r="AC263" i="38" s="1"/>
  <c r="AD263" i="38" s="1"/>
  <c r="AE263" i="38" s="1"/>
  <c r="AF263" i="38" s="1"/>
  <c r="D262" i="38"/>
  <c r="E262" i="38" s="1"/>
  <c r="F262" i="38" s="1"/>
  <c r="G262" i="38" s="1"/>
  <c r="H262" i="38" s="1"/>
  <c r="I262" i="38" s="1"/>
  <c r="J262" i="38" s="1"/>
  <c r="K262" i="38" s="1"/>
  <c r="L262" i="38" s="1"/>
  <c r="M262" i="38" s="1"/>
  <c r="N262" i="38" s="1"/>
  <c r="O262" i="38" s="1"/>
  <c r="P262" i="38" s="1"/>
  <c r="Q262" i="38" s="1"/>
  <c r="R262" i="38" s="1"/>
  <c r="S262" i="38" s="1"/>
  <c r="T262" i="38" s="1"/>
  <c r="U262" i="38" s="1"/>
  <c r="V262" i="38" s="1"/>
  <c r="W262" i="38" s="1"/>
  <c r="X262" i="38" s="1"/>
  <c r="Y262" i="38" s="1"/>
  <c r="Z262" i="38" s="1"/>
  <c r="AA262" i="38" s="1"/>
  <c r="AB262" i="38" s="1"/>
  <c r="AC262" i="38" s="1"/>
  <c r="AD262" i="38" s="1"/>
  <c r="AE262" i="38" s="1"/>
  <c r="AF262" i="38" s="1"/>
  <c r="D261" i="38"/>
  <c r="E261" i="38" s="1"/>
  <c r="F261" i="38" s="1"/>
  <c r="G261" i="38" s="1"/>
  <c r="H261" i="38" s="1"/>
  <c r="I261" i="38" s="1"/>
  <c r="J261" i="38" s="1"/>
  <c r="K261" i="38" s="1"/>
  <c r="L261" i="38" s="1"/>
  <c r="M261" i="38" s="1"/>
  <c r="N261" i="38" s="1"/>
  <c r="O261" i="38" s="1"/>
  <c r="P261" i="38" s="1"/>
  <c r="Q261" i="38" s="1"/>
  <c r="R261" i="38" s="1"/>
  <c r="S261" i="38" s="1"/>
  <c r="T261" i="38" s="1"/>
  <c r="U261" i="38" s="1"/>
  <c r="V261" i="38" s="1"/>
  <c r="W261" i="38" s="1"/>
  <c r="X261" i="38" s="1"/>
  <c r="Y261" i="38" s="1"/>
  <c r="Z261" i="38" s="1"/>
  <c r="AA261" i="38" s="1"/>
  <c r="AB261" i="38" s="1"/>
  <c r="AC261" i="38" s="1"/>
  <c r="AD261" i="38" s="1"/>
  <c r="AE261" i="38" s="1"/>
  <c r="AF261" i="38" s="1"/>
  <c r="AG260" i="38"/>
  <c r="C260" i="38"/>
  <c r="E259" i="38"/>
  <c r="D259" i="38"/>
  <c r="D260" i="38" s="1"/>
  <c r="D258" i="38"/>
  <c r="E258" i="38" s="1"/>
  <c r="F258" i="38" s="1"/>
  <c r="G258" i="38" s="1"/>
  <c r="H258" i="38" s="1"/>
  <c r="I258" i="38" s="1"/>
  <c r="J258" i="38" s="1"/>
  <c r="K258" i="38" s="1"/>
  <c r="L258" i="38" s="1"/>
  <c r="M258" i="38" s="1"/>
  <c r="N258" i="38" s="1"/>
  <c r="O258" i="38" s="1"/>
  <c r="P258" i="38" s="1"/>
  <c r="Q258" i="38" s="1"/>
  <c r="R258" i="38" s="1"/>
  <c r="S258" i="38" s="1"/>
  <c r="T258" i="38" s="1"/>
  <c r="U258" i="38" s="1"/>
  <c r="V258" i="38" s="1"/>
  <c r="W258" i="38" s="1"/>
  <c r="X258" i="38" s="1"/>
  <c r="Y258" i="38" s="1"/>
  <c r="Z258" i="38" s="1"/>
  <c r="AA258" i="38" s="1"/>
  <c r="AB258" i="38" s="1"/>
  <c r="AC258" i="38" s="1"/>
  <c r="AD258" i="38" s="1"/>
  <c r="AE258" i="38" s="1"/>
  <c r="AF258" i="38" s="1"/>
  <c r="D256" i="38"/>
  <c r="E256" i="38" s="1"/>
  <c r="F256" i="38" s="1"/>
  <c r="G256" i="38" s="1"/>
  <c r="H256" i="38" s="1"/>
  <c r="I256" i="38" s="1"/>
  <c r="J256" i="38" s="1"/>
  <c r="K256" i="38" s="1"/>
  <c r="L256" i="38" s="1"/>
  <c r="M256" i="38" s="1"/>
  <c r="N256" i="38" s="1"/>
  <c r="O256" i="38" s="1"/>
  <c r="P256" i="38" s="1"/>
  <c r="Q256" i="38" s="1"/>
  <c r="R256" i="38" s="1"/>
  <c r="S256" i="38" s="1"/>
  <c r="T256" i="38" s="1"/>
  <c r="U256" i="38" s="1"/>
  <c r="V256" i="38" s="1"/>
  <c r="W256" i="38" s="1"/>
  <c r="X256" i="38" s="1"/>
  <c r="Y256" i="38" s="1"/>
  <c r="Z256" i="38" s="1"/>
  <c r="AA256" i="38" s="1"/>
  <c r="AB256" i="38" s="1"/>
  <c r="AC256" i="38" s="1"/>
  <c r="AD256" i="38" s="1"/>
  <c r="AE256" i="38" s="1"/>
  <c r="AF256" i="38" s="1"/>
  <c r="D255" i="38"/>
  <c r="E255" i="38" s="1"/>
  <c r="F255" i="38" s="1"/>
  <c r="G255" i="38" s="1"/>
  <c r="H255" i="38" s="1"/>
  <c r="I255" i="38" s="1"/>
  <c r="J255" i="38" s="1"/>
  <c r="K255" i="38" s="1"/>
  <c r="L255" i="38" s="1"/>
  <c r="M255" i="38" s="1"/>
  <c r="N255" i="38" s="1"/>
  <c r="O255" i="38" s="1"/>
  <c r="P255" i="38" s="1"/>
  <c r="Q255" i="38" s="1"/>
  <c r="R255" i="38" s="1"/>
  <c r="S255" i="38" s="1"/>
  <c r="T255" i="38" s="1"/>
  <c r="U255" i="38" s="1"/>
  <c r="V255" i="38" s="1"/>
  <c r="W255" i="38" s="1"/>
  <c r="X255" i="38" s="1"/>
  <c r="Y255" i="38" s="1"/>
  <c r="Z255" i="38" s="1"/>
  <c r="AA255" i="38" s="1"/>
  <c r="AB255" i="38" s="1"/>
  <c r="AC255" i="38" s="1"/>
  <c r="AD255" i="38" s="1"/>
  <c r="AE255" i="38" s="1"/>
  <c r="AF255" i="38" s="1"/>
  <c r="D254" i="38"/>
  <c r="E254" i="38" s="1"/>
  <c r="F254" i="38" s="1"/>
  <c r="G254" i="38" s="1"/>
  <c r="H254" i="38" s="1"/>
  <c r="I254" i="38" s="1"/>
  <c r="J254" i="38" s="1"/>
  <c r="K254" i="38" s="1"/>
  <c r="L254" i="38" s="1"/>
  <c r="M254" i="38" s="1"/>
  <c r="N254" i="38" s="1"/>
  <c r="O254" i="38" s="1"/>
  <c r="P254" i="38" s="1"/>
  <c r="Q254" i="38" s="1"/>
  <c r="R254" i="38" s="1"/>
  <c r="S254" i="38" s="1"/>
  <c r="T254" i="38" s="1"/>
  <c r="U254" i="38" s="1"/>
  <c r="V254" i="38" s="1"/>
  <c r="W254" i="38" s="1"/>
  <c r="X254" i="38" s="1"/>
  <c r="Y254" i="38" s="1"/>
  <c r="Z254" i="38" s="1"/>
  <c r="AA254" i="38" s="1"/>
  <c r="AB254" i="38" s="1"/>
  <c r="AC254" i="38" s="1"/>
  <c r="AD254" i="38" s="1"/>
  <c r="AE254" i="38" s="1"/>
  <c r="AF254" i="38" s="1"/>
  <c r="D253" i="38"/>
  <c r="E253" i="38" s="1"/>
  <c r="F253" i="38" s="1"/>
  <c r="G253" i="38" s="1"/>
  <c r="H253" i="38" s="1"/>
  <c r="I253" i="38" s="1"/>
  <c r="J253" i="38" s="1"/>
  <c r="K253" i="38" s="1"/>
  <c r="L253" i="38" s="1"/>
  <c r="M253" i="38" s="1"/>
  <c r="N253" i="38" s="1"/>
  <c r="O253" i="38" s="1"/>
  <c r="P253" i="38" s="1"/>
  <c r="Q253" i="38" s="1"/>
  <c r="R253" i="38" s="1"/>
  <c r="S253" i="38" s="1"/>
  <c r="T253" i="38" s="1"/>
  <c r="U253" i="38" s="1"/>
  <c r="V253" i="38" s="1"/>
  <c r="W253" i="38" s="1"/>
  <c r="X253" i="38" s="1"/>
  <c r="Y253" i="38" s="1"/>
  <c r="Z253" i="38" s="1"/>
  <c r="AA253" i="38" s="1"/>
  <c r="AB253" i="38" s="1"/>
  <c r="AC253" i="38" s="1"/>
  <c r="AD253" i="38" s="1"/>
  <c r="AE253" i="38" s="1"/>
  <c r="AF253" i="38" s="1"/>
  <c r="D252" i="38"/>
  <c r="E252" i="38" s="1"/>
  <c r="F252" i="38" s="1"/>
  <c r="G252" i="38" s="1"/>
  <c r="H252" i="38" s="1"/>
  <c r="I252" i="38" s="1"/>
  <c r="J252" i="38" s="1"/>
  <c r="K252" i="38" s="1"/>
  <c r="L252" i="38" s="1"/>
  <c r="M252" i="38" s="1"/>
  <c r="N252" i="38" s="1"/>
  <c r="O252" i="38" s="1"/>
  <c r="P252" i="38" s="1"/>
  <c r="Q252" i="38" s="1"/>
  <c r="R252" i="38" s="1"/>
  <c r="S252" i="38" s="1"/>
  <c r="T252" i="38" s="1"/>
  <c r="U252" i="38" s="1"/>
  <c r="V252" i="38" s="1"/>
  <c r="W252" i="38" s="1"/>
  <c r="X252" i="38" s="1"/>
  <c r="Y252" i="38" s="1"/>
  <c r="Z252" i="38" s="1"/>
  <c r="AA252" i="38" s="1"/>
  <c r="AB252" i="38" s="1"/>
  <c r="AC252" i="38" s="1"/>
  <c r="AD252" i="38" s="1"/>
  <c r="AE252" i="38" s="1"/>
  <c r="AF252" i="38" s="1"/>
  <c r="E251" i="38"/>
  <c r="F251" i="38" s="1"/>
  <c r="G251" i="38" s="1"/>
  <c r="H251" i="38" s="1"/>
  <c r="I251" i="38" s="1"/>
  <c r="J251" i="38" s="1"/>
  <c r="K251" i="38" s="1"/>
  <c r="L251" i="38" s="1"/>
  <c r="M251" i="38" s="1"/>
  <c r="N251" i="38" s="1"/>
  <c r="O251" i="38" s="1"/>
  <c r="P251" i="38" s="1"/>
  <c r="Q251" i="38" s="1"/>
  <c r="R251" i="38" s="1"/>
  <c r="S251" i="38" s="1"/>
  <c r="T251" i="38" s="1"/>
  <c r="U251" i="38" s="1"/>
  <c r="V251" i="38" s="1"/>
  <c r="W251" i="38" s="1"/>
  <c r="X251" i="38" s="1"/>
  <c r="Y251" i="38" s="1"/>
  <c r="Z251" i="38" s="1"/>
  <c r="AA251" i="38" s="1"/>
  <c r="AB251" i="38" s="1"/>
  <c r="AC251" i="38" s="1"/>
  <c r="AD251" i="38" s="1"/>
  <c r="AE251" i="38" s="1"/>
  <c r="AF251" i="38" s="1"/>
  <c r="D251" i="38"/>
  <c r="D250" i="38"/>
  <c r="E250" i="38" s="1"/>
  <c r="F250" i="38" s="1"/>
  <c r="G250" i="38" s="1"/>
  <c r="H250" i="38" s="1"/>
  <c r="I250" i="38" s="1"/>
  <c r="J250" i="38" s="1"/>
  <c r="K250" i="38" s="1"/>
  <c r="L250" i="38" s="1"/>
  <c r="M250" i="38" s="1"/>
  <c r="N250" i="38" s="1"/>
  <c r="O250" i="38" s="1"/>
  <c r="P250" i="38" s="1"/>
  <c r="Q250" i="38" s="1"/>
  <c r="R250" i="38" s="1"/>
  <c r="S250" i="38" s="1"/>
  <c r="T250" i="38" s="1"/>
  <c r="U250" i="38" s="1"/>
  <c r="V250" i="38" s="1"/>
  <c r="W250" i="38" s="1"/>
  <c r="X250" i="38" s="1"/>
  <c r="Y250" i="38" s="1"/>
  <c r="Z250" i="38" s="1"/>
  <c r="AA250" i="38" s="1"/>
  <c r="AB250" i="38" s="1"/>
  <c r="AC250" i="38" s="1"/>
  <c r="AD250" i="38" s="1"/>
  <c r="AE250" i="38" s="1"/>
  <c r="AF250" i="38" s="1"/>
  <c r="D277" i="42"/>
  <c r="E277" i="42" s="1"/>
  <c r="F277" i="42" s="1"/>
  <c r="G277" i="42" s="1"/>
  <c r="H277" i="42" s="1"/>
  <c r="I277" i="42" s="1"/>
  <c r="J277" i="42" s="1"/>
  <c r="K277" i="42" s="1"/>
  <c r="L277" i="42" s="1"/>
  <c r="M277" i="42" s="1"/>
  <c r="N277" i="42" s="1"/>
  <c r="O277" i="42" s="1"/>
  <c r="P277" i="42" s="1"/>
  <c r="Q277" i="42" s="1"/>
  <c r="R277" i="42" s="1"/>
  <c r="S277" i="42" s="1"/>
  <c r="T277" i="42" s="1"/>
  <c r="U277" i="42" s="1"/>
  <c r="V277" i="42" s="1"/>
  <c r="W277" i="42" s="1"/>
  <c r="X277" i="42" s="1"/>
  <c r="Y277" i="42" s="1"/>
  <c r="Z277" i="42" s="1"/>
  <c r="AA277" i="42" s="1"/>
  <c r="AB277" i="42" s="1"/>
  <c r="AC277" i="42" s="1"/>
  <c r="AD277" i="42" s="1"/>
  <c r="AE277" i="42" s="1"/>
  <c r="AF277" i="42" s="1"/>
  <c r="F276" i="42"/>
  <c r="G276" i="42" s="1"/>
  <c r="H276" i="42" s="1"/>
  <c r="I276" i="42" s="1"/>
  <c r="J276" i="42" s="1"/>
  <c r="K276" i="42" s="1"/>
  <c r="L276" i="42" s="1"/>
  <c r="M276" i="42" s="1"/>
  <c r="N276" i="42" s="1"/>
  <c r="O276" i="42" s="1"/>
  <c r="P276" i="42" s="1"/>
  <c r="Q276" i="42" s="1"/>
  <c r="R276" i="42" s="1"/>
  <c r="S276" i="42" s="1"/>
  <c r="T276" i="42" s="1"/>
  <c r="U276" i="42" s="1"/>
  <c r="V276" i="42" s="1"/>
  <c r="W276" i="42" s="1"/>
  <c r="X276" i="42" s="1"/>
  <c r="Y276" i="42" s="1"/>
  <c r="Z276" i="42" s="1"/>
  <c r="AA276" i="42" s="1"/>
  <c r="AB276" i="42" s="1"/>
  <c r="AC276" i="42" s="1"/>
  <c r="AD276" i="42" s="1"/>
  <c r="AE276" i="42" s="1"/>
  <c r="AF276" i="42" s="1"/>
  <c r="E276" i="42"/>
  <c r="D276" i="42"/>
  <c r="D275" i="42"/>
  <c r="E275" i="42" s="1"/>
  <c r="F275" i="42" s="1"/>
  <c r="G275" i="42" s="1"/>
  <c r="H275" i="42" s="1"/>
  <c r="I275" i="42" s="1"/>
  <c r="J275" i="42" s="1"/>
  <c r="K275" i="42" s="1"/>
  <c r="L275" i="42" s="1"/>
  <c r="M275" i="42" s="1"/>
  <c r="N275" i="42" s="1"/>
  <c r="O275" i="42" s="1"/>
  <c r="P275" i="42" s="1"/>
  <c r="Q275" i="42" s="1"/>
  <c r="R275" i="42" s="1"/>
  <c r="S275" i="42" s="1"/>
  <c r="T275" i="42" s="1"/>
  <c r="U275" i="42" s="1"/>
  <c r="V275" i="42" s="1"/>
  <c r="W275" i="42" s="1"/>
  <c r="X275" i="42" s="1"/>
  <c r="Y275" i="42" s="1"/>
  <c r="Z275" i="42" s="1"/>
  <c r="AA275" i="42" s="1"/>
  <c r="AB275" i="42" s="1"/>
  <c r="AC275" i="42" s="1"/>
  <c r="AD275" i="42" s="1"/>
  <c r="AE275" i="42" s="1"/>
  <c r="AF275" i="42" s="1"/>
  <c r="D274" i="42"/>
  <c r="E274" i="42" s="1"/>
  <c r="F274" i="42" s="1"/>
  <c r="G274" i="42" s="1"/>
  <c r="H274" i="42" s="1"/>
  <c r="I274" i="42" s="1"/>
  <c r="J274" i="42" s="1"/>
  <c r="K274" i="42" s="1"/>
  <c r="L274" i="42" s="1"/>
  <c r="M274" i="42" s="1"/>
  <c r="N274" i="42" s="1"/>
  <c r="O274" i="42" s="1"/>
  <c r="P274" i="42" s="1"/>
  <c r="Q274" i="42" s="1"/>
  <c r="R274" i="42" s="1"/>
  <c r="S274" i="42" s="1"/>
  <c r="T274" i="42" s="1"/>
  <c r="U274" i="42" s="1"/>
  <c r="V274" i="42" s="1"/>
  <c r="W274" i="42" s="1"/>
  <c r="X274" i="42" s="1"/>
  <c r="Y274" i="42" s="1"/>
  <c r="Z274" i="42" s="1"/>
  <c r="AA274" i="42" s="1"/>
  <c r="AB274" i="42" s="1"/>
  <c r="AC274" i="42" s="1"/>
  <c r="AD274" i="42" s="1"/>
  <c r="AE274" i="42" s="1"/>
  <c r="AF274" i="42" s="1"/>
  <c r="E273" i="42"/>
  <c r="F273" i="42" s="1"/>
  <c r="G273" i="42" s="1"/>
  <c r="H273" i="42" s="1"/>
  <c r="I273" i="42" s="1"/>
  <c r="J273" i="42" s="1"/>
  <c r="K273" i="42" s="1"/>
  <c r="L273" i="42" s="1"/>
  <c r="M273" i="42" s="1"/>
  <c r="N273" i="42" s="1"/>
  <c r="O273" i="42" s="1"/>
  <c r="P273" i="42" s="1"/>
  <c r="Q273" i="42" s="1"/>
  <c r="R273" i="42" s="1"/>
  <c r="S273" i="42" s="1"/>
  <c r="T273" i="42" s="1"/>
  <c r="U273" i="42" s="1"/>
  <c r="V273" i="42" s="1"/>
  <c r="W273" i="42" s="1"/>
  <c r="X273" i="42" s="1"/>
  <c r="Y273" i="42" s="1"/>
  <c r="Z273" i="42" s="1"/>
  <c r="AA273" i="42" s="1"/>
  <c r="AB273" i="42" s="1"/>
  <c r="AC273" i="42" s="1"/>
  <c r="AD273" i="42" s="1"/>
  <c r="AE273" i="42" s="1"/>
  <c r="AF273" i="42" s="1"/>
  <c r="D273" i="42"/>
  <c r="E272" i="42"/>
  <c r="F272" i="42" s="1"/>
  <c r="G272" i="42" s="1"/>
  <c r="H272" i="42" s="1"/>
  <c r="I272" i="42" s="1"/>
  <c r="J272" i="42" s="1"/>
  <c r="K272" i="42" s="1"/>
  <c r="L272" i="42" s="1"/>
  <c r="M272" i="42" s="1"/>
  <c r="N272" i="42" s="1"/>
  <c r="O272" i="42" s="1"/>
  <c r="P272" i="42" s="1"/>
  <c r="Q272" i="42" s="1"/>
  <c r="R272" i="42" s="1"/>
  <c r="S272" i="42" s="1"/>
  <c r="T272" i="42" s="1"/>
  <c r="U272" i="42" s="1"/>
  <c r="V272" i="42" s="1"/>
  <c r="W272" i="42" s="1"/>
  <c r="X272" i="42" s="1"/>
  <c r="Y272" i="42" s="1"/>
  <c r="Z272" i="42" s="1"/>
  <c r="AA272" i="42" s="1"/>
  <c r="AB272" i="42" s="1"/>
  <c r="AC272" i="42" s="1"/>
  <c r="AD272" i="42" s="1"/>
  <c r="AE272" i="42" s="1"/>
  <c r="AF272" i="42" s="1"/>
  <c r="D272" i="42"/>
  <c r="G271" i="42"/>
  <c r="H271" i="42" s="1"/>
  <c r="I271" i="42" s="1"/>
  <c r="J271" i="42" s="1"/>
  <c r="K271" i="42" s="1"/>
  <c r="L271" i="42" s="1"/>
  <c r="M271" i="42" s="1"/>
  <c r="N271" i="42" s="1"/>
  <c r="O271" i="42" s="1"/>
  <c r="P271" i="42" s="1"/>
  <c r="Q271" i="42" s="1"/>
  <c r="R271" i="42" s="1"/>
  <c r="S271" i="42" s="1"/>
  <c r="T271" i="42" s="1"/>
  <c r="U271" i="42" s="1"/>
  <c r="V271" i="42" s="1"/>
  <c r="W271" i="42" s="1"/>
  <c r="X271" i="42" s="1"/>
  <c r="Y271" i="42" s="1"/>
  <c r="Z271" i="42" s="1"/>
  <c r="AA271" i="42" s="1"/>
  <c r="AB271" i="42" s="1"/>
  <c r="AC271" i="42" s="1"/>
  <c r="AD271" i="42" s="1"/>
  <c r="AE271" i="42" s="1"/>
  <c r="AF271" i="42" s="1"/>
  <c r="F271" i="42"/>
  <c r="E271" i="42"/>
  <c r="D271" i="42"/>
  <c r="D270" i="42"/>
  <c r="E270" i="42" s="1"/>
  <c r="F270" i="42" s="1"/>
  <c r="G270" i="42" s="1"/>
  <c r="H270" i="42" s="1"/>
  <c r="I270" i="42" s="1"/>
  <c r="J270" i="42" s="1"/>
  <c r="K270" i="42" s="1"/>
  <c r="L270" i="42" s="1"/>
  <c r="M270" i="42" s="1"/>
  <c r="N270" i="42" s="1"/>
  <c r="O270" i="42" s="1"/>
  <c r="P270" i="42" s="1"/>
  <c r="Q270" i="42" s="1"/>
  <c r="R270" i="42" s="1"/>
  <c r="S270" i="42" s="1"/>
  <c r="T270" i="42" s="1"/>
  <c r="U270" i="42" s="1"/>
  <c r="V270" i="42" s="1"/>
  <c r="W270" i="42" s="1"/>
  <c r="X270" i="42" s="1"/>
  <c r="Y270" i="42" s="1"/>
  <c r="Z270" i="42" s="1"/>
  <c r="AA270" i="42" s="1"/>
  <c r="AB270" i="42" s="1"/>
  <c r="AC270" i="42" s="1"/>
  <c r="AD270" i="42" s="1"/>
  <c r="AE270" i="42" s="1"/>
  <c r="AF270" i="42" s="1"/>
  <c r="I269" i="42"/>
  <c r="J269" i="42" s="1"/>
  <c r="K269" i="42" s="1"/>
  <c r="L269" i="42" s="1"/>
  <c r="M269" i="42" s="1"/>
  <c r="N269" i="42" s="1"/>
  <c r="O269" i="42" s="1"/>
  <c r="P269" i="42" s="1"/>
  <c r="Q269" i="42" s="1"/>
  <c r="R269" i="42" s="1"/>
  <c r="S269" i="42" s="1"/>
  <c r="T269" i="42" s="1"/>
  <c r="U269" i="42" s="1"/>
  <c r="V269" i="42" s="1"/>
  <c r="W269" i="42" s="1"/>
  <c r="X269" i="42" s="1"/>
  <c r="Y269" i="42" s="1"/>
  <c r="Z269" i="42" s="1"/>
  <c r="AA269" i="42" s="1"/>
  <c r="AB269" i="42" s="1"/>
  <c r="AC269" i="42" s="1"/>
  <c r="AD269" i="42" s="1"/>
  <c r="AE269" i="42" s="1"/>
  <c r="AF269" i="42" s="1"/>
  <c r="D269" i="42"/>
  <c r="E269" i="42" s="1"/>
  <c r="F269" i="42" s="1"/>
  <c r="G269" i="42" s="1"/>
  <c r="H269" i="42" s="1"/>
  <c r="G268" i="42"/>
  <c r="H268" i="42" s="1"/>
  <c r="I268" i="42" s="1"/>
  <c r="J268" i="42" s="1"/>
  <c r="K268" i="42" s="1"/>
  <c r="L268" i="42" s="1"/>
  <c r="M268" i="42" s="1"/>
  <c r="N268" i="42" s="1"/>
  <c r="O268" i="42" s="1"/>
  <c r="P268" i="42" s="1"/>
  <c r="Q268" i="42" s="1"/>
  <c r="R268" i="42" s="1"/>
  <c r="S268" i="42" s="1"/>
  <c r="T268" i="42" s="1"/>
  <c r="U268" i="42" s="1"/>
  <c r="V268" i="42" s="1"/>
  <c r="W268" i="42" s="1"/>
  <c r="X268" i="42" s="1"/>
  <c r="Y268" i="42" s="1"/>
  <c r="Z268" i="42" s="1"/>
  <c r="AA268" i="42" s="1"/>
  <c r="AB268" i="42" s="1"/>
  <c r="AC268" i="42" s="1"/>
  <c r="AD268" i="42" s="1"/>
  <c r="AE268" i="42" s="1"/>
  <c r="AF268" i="42" s="1"/>
  <c r="F268" i="42"/>
  <c r="E268" i="42"/>
  <c r="D268" i="42"/>
  <c r="D267" i="42"/>
  <c r="E267" i="42" s="1"/>
  <c r="F267" i="42" s="1"/>
  <c r="G267" i="42" s="1"/>
  <c r="H267" i="42" s="1"/>
  <c r="I267" i="42" s="1"/>
  <c r="J267" i="42" s="1"/>
  <c r="K267" i="42" s="1"/>
  <c r="L267" i="42" s="1"/>
  <c r="M267" i="42" s="1"/>
  <c r="N267" i="42" s="1"/>
  <c r="O267" i="42" s="1"/>
  <c r="P267" i="42" s="1"/>
  <c r="Q267" i="42" s="1"/>
  <c r="R267" i="42" s="1"/>
  <c r="S267" i="42" s="1"/>
  <c r="T267" i="42" s="1"/>
  <c r="U267" i="42" s="1"/>
  <c r="V267" i="42" s="1"/>
  <c r="W267" i="42" s="1"/>
  <c r="X267" i="42" s="1"/>
  <c r="Y267" i="42" s="1"/>
  <c r="Z267" i="42" s="1"/>
  <c r="AA267" i="42" s="1"/>
  <c r="AB267" i="42" s="1"/>
  <c r="AC267" i="42" s="1"/>
  <c r="AD267" i="42" s="1"/>
  <c r="AE267" i="42" s="1"/>
  <c r="AF267" i="42" s="1"/>
  <c r="D266" i="42"/>
  <c r="E266" i="42" s="1"/>
  <c r="F266" i="42" s="1"/>
  <c r="G266" i="42" s="1"/>
  <c r="H266" i="42" s="1"/>
  <c r="I266" i="42" s="1"/>
  <c r="J266" i="42" s="1"/>
  <c r="K266" i="42" s="1"/>
  <c r="L266" i="42" s="1"/>
  <c r="M266" i="42" s="1"/>
  <c r="N266" i="42" s="1"/>
  <c r="O266" i="42" s="1"/>
  <c r="P266" i="42" s="1"/>
  <c r="Q266" i="42" s="1"/>
  <c r="R266" i="42" s="1"/>
  <c r="S266" i="42" s="1"/>
  <c r="T266" i="42" s="1"/>
  <c r="U266" i="42" s="1"/>
  <c r="V266" i="42" s="1"/>
  <c r="W266" i="42" s="1"/>
  <c r="X266" i="42" s="1"/>
  <c r="Y266" i="42" s="1"/>
  <c r="Z266" i="42" s="1"/>
  <c r="AA266" i="42" s="1"/>
  <c r="AB266" i="42" s="1"/>
  <c r="AC266" i="42" s="1"/>
  <c r="AD266" i="42" s="1"/>
  <c r="AE266" i="42" s="1"/>
  <c r="AF266" i="42" s="1"/>
  <c r="E265" i="42"/>
  <c r="F265" i="42" s="1"/>
  <c r="G265" i="42" s="1"/>
  <c r="H265" i="42" s="1"/>
  <c r="I265" i="42" s="1"/>
  <c r="J265" i="42" s="1"/>
  <c r="K265" i="42" s="1"/>
  <c r="L265" i="42" s="1"/>
  <c r="M265" i="42" s="1"/>
  <c r="N265" i="42" s="1"/>
  <c r="O265" i="42" s="1"/>
  <c r="P265" i="42" s="1"/>
  <c r="Q265" i="42" s="1"/>
  <c r="R265" i="42" s="1"/>
  <c r="S265" i="42" s="1"/>
  <c r="T265" i="42" s="1"/>
  <c r="U265" i="42" s="1"/>
  <c r="V265" i="42" s="1"/>
  <c r="W265" i="42" s="1"/>
  <c r="X265" i="42" s="1"/>
  <c r="Y265" i="42" s="1"/>
  <c r="Z265" i="42" s="1"/>
  <c r="AA265" i="42" s="1"/>
  <c r="AB265" i="42" s="1"/>
  <c r="AC265" i="42" s="1"/>
  <c r="AD265" i="42" s="1"/>
  <c r="AE265" i="42" s="1"/>
  <c r="AF265" i="42" s="1"/>
  <c r="D265" i="42"/>
  <c r="E264" i="42"/>
  <c r="F264" i="42" s="1"/>
  <c r="G264" i="42" s="1"/>
  <c r="H264" i="42" s="1"/>
  <c r="I264" i="42" s="1"/>
  <c r="J264" i="42" s="1"/>
  <c r="K264" i="42" s="1"/>
  <c r="L264" i="42" s="1"/>
  <c r="M264" i="42" s="1"/>
  <c r="N264" i="42" s="1"/>
  <c r="O264" i="42" s="1"/>
  <c r="P264" i="42" s="1"/>
  <c r="Q264" i="42" s="1"/>
  <c r="R264" i="42" s="1"/>
  <c r="S264" i="42" s="1"/>
  <c r="T264" i="42" s="1"/>
  <c r="U264" i="42" s="1"/>
  <c r="V264" i="42" s="1"/>
  <c r="W264" i="42" s="1"/>
  <c r="X264" i="42" s="1"/>
  <c r="Y264" i="42" s="1"/>
  <c r="Z264" i="42" s="1"/>
  <c r="AA264" i="42" s="1"/>
  <c r="AB264" i="42" s="1"/>
  <c r="AC264" i="42" s="1"/>
  <c r="AD264" i="42" s="1"/>
  <c r="AE264" i="42" s="1"/>
  <c r="AF264" i="42" s="1"/>
  <c r="D264" i="42"/>
  <c r="F263" i="42"/>
  <c r="G263" i="42" s="1"/>
  <c r="H263" i="42" s="1"/>
  <c r="I263" i="42" s="1"/>
  <c r="J263" i="42" s="1"/>
  <c r="K263" i="42" s="1"/>
  <c r="L263" i="42" s="1"/>
  <c r="M263" i="42" s="1"/>
  <c r="N263" i="42" s="1"/>
  <c r="O263" i="42" s="1"/>
  <c r="P263" i="42" s="1"/>
  <c r="Q263" i="42" s="1"/>
  <c r="R263" i="42" s="1"/>
  <c r="S263" i="42" s="1"/>
  <c r="T263" i="42" s="1"/>
  <c r="U263" i="42" s="1"/>
  <c r="V263" i="42" s="1"/>
  <c r="W263" i="42" s="1"/>
  <c r="X263" i="42" s="1"/>
  <c r="Y263" i="42" s="1"/>
  <c r="Z263" i="42" s="1"/>
  <c r="AA263" i="42" s="1"/>
  <c r="AB263" i="42" s="1"/>
  <c r="AC263" i="42" s="1"/>
  <c r="AD263" i="42" s="1"/>
  <c r="AE263" i="42" s="1"/>
  <c r="AF263" i="42" s="1"/>
  <c r="E263" i="42"/>
  <c r="D263" i="42"/>
  <c r="D262" i="42"/>
  <c r="E262" i="42" s="1"/>
  <c r="F262" i="42" s="1"/>
  <c r="G262" i="42" s="1"/>
  <c r="H262" i="42" s="1"/>
  <c r="I262" i="42" s="1"/>
  <c r="J262" i="42" s="1"/>
  <c r="K262" i="42" s="1"/>
  <c r="L262" i="42" s="1"/>
  <c r="M262" i="42" s="1"/>
  <c r="N262" i="42" s="1"/>
  <c r="O262" i="42" s="1"/>
  <c r="P262" i="42" s="1"/>
  <c r="Q262" i="42" s="1"/>
  <c r="R262" i="42" s="1"/>
  <c r="S262" i="42" s="1"/>
  <c r="T262" i="42" s="1"/>
  <c r="U262" i="42" s="1"/>
  <c r="V262" i="42" s="1"/>
  <c r="W262" i="42" s="1"/>
  <c r="X262" i="42" s="1"/>
  <c r="Y262" i="42" s="1"/>
  <c r="Z262" i="42" s="1"/>
  <c r="AA262" i="42" s="1"/>
  <c r="AB262" i="42" s="1"/>
  <c r="AC262" i="42" s="1"/>
  <c r="AD262" i="42" s="1"/>
  <c r="AE262" i="42" s="1"/>
  <c r="AF262" i="42" s="1"/>
  <c r="D261" i="42"/>
  <c r="E261" i="42" s="1"/>
  <c r="F261" i="42" s="1"/>
  <c r="G261" i="42" s="1"/>
  <c r="H261" i="42" s="1"/>
  <c r="I261" i="42" s="1"/>
  <c r="J261" i="42" s="1"/>
  <c r="K261" i="42" s="1"/>
  <c r="L261" i="42" s="1"/>
  <c r="M261" i="42" s="1"/>
  <c r="N261" i="42" s="1"/>
  <c r="O261" i="42" s="1"/>
  <c r="P261" i="42" s="1"/>
  <c r="Q261" i="42" s="1"/>
  <c r="R261" i="42" s="1"/>
  <c r="S261" i="42" s="1"/>
  <c r="T261" i="42" s="1"/>
  <c r="U261" i="42" s="1"/>
  <c r="V261" i="42" s="1"/>
  <c r="W261" i="42" s="1"/>
  <c r="X261" i="42" s="1"/>
  <c r="Y261" i="42" s="1"/>
  <c r="Z261" i="42" s="1"/>
  <c r="AA261" i="42" s="1"/>
  <c r="AB261" i="42" s="1"/>
  <c r="AC261" i="42" s="1"/>
  <c r="AD261" i="42" s="1"/>
  <c r="AE261" i="42" s="1"/>
  <c r="AF261" i="42" s="1"/>
  <c r="AG260" i="42"/>
  <c r="C260" i="42"/>
  <c r="E259" i="42"/>
  <c r="E260" i="42" s="1"/>
  <c r="D259" i="42"/>
  <c r="D260" i="42" s="1"/>
  <c r="E258" i="42"/>
  <c r="F258" i="42" s="1"/>
  <c r="G258" i="42" s="1"/>
  <c r="H258" i="42" s="1"/>
  <c r="I258" i="42" s="1"/>
  <c r="J258" i="42" s="1"/>
  <c r="K258" i="42" s="1"/>
  <c r="L258" i="42" s="1"/>
  <c r="M258" i="42" s="1"/>
  <c r="N258" i="42" s="1"/>
  <c r="O258" i="42" s="1"/>
  <c r="P258" i="42" s="1"/>
  <c r="Q258" i="42" s="1"/>
  <c r="R258" i="42" s="1"/>
  <c r="S258" i="42" s="1"/>
  <c r="T258" i="42" s="1"/>
  <c r="U258" i="42" s="1"/>
  <c r="V258" i="42" s="1"/>
  <c r="W258" i="42" s="1"/>
  <c r="X258" i="42" s="1"/>
  <c r="Y258" i="42" s="1"/>
  <c r="Z258" i="42" s="1"/>
  <c r="AA258" i="42" s="1"/>
  <c r="AB258" i="42" s="1"/>
  <c r="AC258" i="42" s="1"/>
  <c r="AD258" i="42" s="1"/>
  <c r="AE258" i="42" s="1"/>
  <c r="AF258" i="42" s="1"/>
  <c r="D258" i="42"/>
  <c r="D256" i="42"/>
  <c r="E256" i="42" s="1"/>
  <c r="F256" i="42" s="1"/>
  <c r="G256" i="42" s="1"/>
  <c r="H256" i="42" s="1"/>
  <c r="I256" i="42" s="1"/>
  <c r="J256" i="42" s="1"/>
  <c r="K256" i="42" s="1"/>
  <c r="L256" i="42" s="1"/>
  <c r="M256" i="42" s="1"/>
  <c r="N256" i="42" s="1"/>
  <c r="O256" i="42" s="1"/>
  <c r="P256" i="42" s="1"/>
  <c r="Q256" i="42" s="1"/>
  <c r="R256" i="42" s="1"/>
  <c r="S256" i="42" s="1"/>
  <c r="T256" i="42" s="1"/>
  <c r="U256" i="42" s="1"/>
  <c r="V256" i="42" s="1"/>
  <c r="W256" i="42" s="1"/>
  <c r="X256" i="42" s="1"/>
  <c r="Y256" i="42" s="1"/>
  <c r="Z256" i="42" s="1"/>
  <c r="AA256" i="42" s="1"/>
  <c r="AB256" i="42" s="1"/>
  <c r="AC256" i="42" s="1"/>
  <c r="AD256" i="42" s="1"/>
  <c r="AE256" i="42" s="1"/>
  <c r="AF256" i="42" s="1"/>
  <c r="E255" i="42"/>
  <c r="F255" i="42" s="1"/>
  <c r="G255" i="42" s="1"/>
  <c r="H255" i="42" s="1"/>
  <c r="I255" i="42" s="1"/>
  <c r="J255" i="42" s="1"/>
  <c r="K255" i="42" s="1"/>
  <c r="L255" i="42" s="1"/>
  <c r="M255" i="42" s="1"/>
  <c r="N255" i="42" s="1"/>
  <c r="O255" i="42" s="1"/>
  <c r="P255" i="42" s="1"/>
  <c r="Q255" i="42" s="1"/>
  <c r="R255" i="42" s="1"/>
  <c r="S255" i="42" s="1"/>
  <c r="T255" i="42" s="1"/>
  <c r="U255" i="42" s="1"/>
  <c r="V255" i="42" s="1"/>
  <c r="W255" i="42" s="1"/>
  <c r="X255" i="42" s="1"/>
  <c r="Y255" i="42" s="1"/>
  <c r="Z255" i="42" s="1"/>
  <c r="AA255" i="42" s="1"/>
  <c r="AB255" i="42" s="1"/>
  <c r="AC255" i="42" s="1"/>
  <c r="AD255" i="42" s="1"/>
  <c r="AE255" i="42" s="1"/>
  <c r="AF255" i="42" s="1"/>
  <c r="D255" i="42"/>
  <c r="D254" i="42"/>
  <c r="E254" i="42" s="1"/>
  <c r="F254" i="42" s="1"/>
  <c r="G254" i="42" s="1"/>
  <c r="H254" i="42" s="1"/>
  <c r="I254" i="42" s="1"/>
  <c r="J254" i="42" s="1"/>
  <c r="K254" i="42" s="1"/>
  <c r="L254" i="42" s="1"/>
  <c r="M254" i="42" s="1"/>
  <c r="N254" i="42" s="1"/>
  <c r="O254" i="42" s="1"/>
  <c r="P254" i="42" s="1"/>
  <c r="Q254" i="42" s="1"/>
  <c r="R254" i="42" s="1"/>
  <c r="S254" i="42" s="1"/>
  <c r="T254" i="42" s="1"/>
  <c r="U254" i="42" s="1"/>
  <c r="V254" i="42" s="1"/>
  <c r="W254" i="42" s="1"/>
  <c r="X254" i="42" s="1"/>
  <c r="Y254" i="42" s="1"/>
  <c r="Z254" i="42" s="1"/>
  <c r="AA254" i="42" s="1"/>
  <c r="AB254" i="42" s="1"/>
  <c r="AC254" i="42" s="1"/>
  <c r="AD254" i="42" s="1"/>
  <c r="AE254" i="42" s="1"/>
  <c r="AF254" i="42" s="1"/>
  <c r="E253" i="42"/>
  <c r="F253" i="42" s="1"/>
  <c r="G253" i="42" s="1"/>
  <c r="H253" i="42" s="1"/>
  <c r="I253" i="42" s="1"/>
  <c r="J253" i="42" s="1"/>
  <c r="K253" i="42" s="1"/>
  <c r="L253" i="42" s="1"/>
  <c r="M253" i="42" s="1"/>
  <c r="N253" i="42" s="1"/>
  <c r="O253" i="42" s="1"/>
  <c r="P253" i="42" s="1"/>
  <c r="Q253" i="42" s="1"/>
  <c r="R253" i="42" s="1"/>
  <c r="S253" i="42" s="1"/>
  <c r="T253" i="42" s="1"/>
  <c r="U253" i="42" s="1"/>
  <c r="V253" i="42" s="1"/>
  <c r="W253" i="42" s="1"/>
  <c r="X253" i="42" s="1"/>
  <c r="Y253" i="42" s="1"/>
  <c r="Z253" i="42" s="1"/>
  <c r="AA253" i="42" s="1"/>
  <c r="AB253" i="42" s="1"/>
  <c r="AC253" i="42" s="1"/>
  <c r="AD253" i="42" s="1"/>
  <c r="AE253" i="42" s="1"/>
  <c r="AF253" i="42" s="1"/>
  <c r="D253" i="42"/>
  <c r="D252" i="42"/>
  <c r="E252" i="42" s="1"/>
  <c r="F252" i="42" s="1"/>
  <c r="G252" i="42" s="1"/>
  <c r="H252" i="42" s="1"/>
  <c r="I252" i="42" s="1"/>
  <c r="J252" i="42" s="1"/>
  <c r="K252" i="42" s="1"/>
  <c r="L252" i="42" s="1"/>
  <c r="M252" i="42" s="1"/>
  <c r="N252" i="42" s="1"/>
  <c r="O252" i="42" s="1"/>
  <c r="P252" i="42" s="1"/>
  <c r="Q252" i="42" s="1"/>
  <c r="R252" i="42" s="1"/>
  <c r="S252" i="42" s="1"/>
  <c r="T252" i="42" s="1"/>
  <c r="U252" i="42" s="1"/>
  <c r="V252" i="42" s="1"/>
  <c r="W252" i="42" s="1"/>
  <c r="X252" i="42" s="1"/>
  <c r="Y252" i="42" s="1"/>
  <c r="Z252" i="42" s="1"/>
  <c r="AA252" i="42" s="1"/>
  <c r="AB252" i="42" s="1"/>
  <c r="AC252" i="42" s="1"/>
  <c r="AD252" i="42" s="1"/>
  <c r="AE252" i="42" s="1"/>
  <c r="AF252" i="42" s="1"/>
  <c r="D251" i="42"/>
  <c r="E251" i="42" s="1"/>
  <c r="F251" i="42" s="1"/>
  <c r="G251" i="42" s="1"/>
  <c r="H251" i="42" s="1"/>
  <c r="I251" i="42" s="1"/>
  <c r="J251" i="42" s="1"/>
  <c r="K251" i="42" s="1"/>
  <c r="L251" i="42" s="1"/>
  <c r="M251" i="42" s="1"/>
  <c r="N251" i="42" s="1"/>
  <c r="O251" i="42" s="1"/>
  <c r="P251" i="42" s="1"/>
  <c r="Q251" i="42" s="1"/>
  <c r="R251" i="42" s="1"/>
  <c r="S251" i="42" s="1"/>
  <c r="T251" i="42" s="1"/>
  <c r="U251" i="42" s="1"/>
  <c r="V251" i="42" s="1"/>
  <c r="W251" i="42" s="1"/>
  <c r="X251" i="42" s="1"/>
  <c r="Y251" i="42" s="1"/>
  <c r="Z251" i="42" s="1"/>
  <c r="AA251" i="42" s="1"/>
  <c r="AB251" i="42" s="1"/>
  <c r="AC251" i="42" s="1"/>
  <c r="AD251" i="42" s="1"/>
  <c r="AE251" i="42" s="1"/>
  <c r="AF251" i="42" s="1"/>
  <c r="F250" i="42"/>
  <c r="G250" i="42" s="1"/>
  <c r="H250" i="42" s="1"/>
  <c r="I250" i="42" s="1"/>
  <c r="J250" i="42" s="1"/>
  <c r="K250" i="42" s="1"/>
  <c r="L250" i="42" s="1"/>
  <c r="M250" i="42" s="1"/>
  <c r="N250" i="42" s="1"/>
  <c r="O250" i="42" s="1"/>
  <c r="P250" i="42" s="1"/>
  <c r="Q250" i="42" s="1"/>
  <c r="R250" i="42" s="1"/>
  <c r="S250" i="42" s="1"/>
  <c r="T250" i="42" s="1"/>
  <c r="U250" i="42" s="1"/>
  <c r="V250" i="42" s="1"/>
  <c r="W250" i="42" s="1"/>
  <c r="X250" i="42" s="1"/>
  <c r="Y250" i="42" s="1"/>
  <c r="Z250" i="42" s="1"/>
  <c r="AA250" i="42" s="1"/>
  <c r="AB250" i="42" s="1"/>
  <c r="AC250" i="42" s="1"/>
  <c r="AD250" i="42" s="1"/>
  <c r="AE250" i="42" s="1"/>
  <c r="AF250" i="42" s="1"/>
  <c r="E250" i="42"/>
  <c r="D250" i="42"/>
  <c r="E145" i="28"/>
  <c r="F145" i="28" s="1"/>
  <c r="G145" i="28" s="1"/>
  <c r="H145" i="28" s="1"/>
  <c r="I145" i="28" s="1"/>
  <c r="J145" i="28" s="1"/>
  <c r="K145" i="28" s="1"/>
  <c r="L145" i="28" s="1"/>
  <c r="M145" i="28" s="1"/>
  <c r="N145" i="28" s="1"/>
  <c r="O145" i="28" s="1"/>
  <c r="P145" i="28" s="1"/>
  <c r="Q145" i="28" s="1"/>
  <c r="R145" i="28" s="1"/>
  <c r="S145" i="28" s="1"/>
  <c r="T145" i="28" s="1"/>
  <c r="U145" i="28" s="1"/>
  <c r="V145" i="28" s="1"/>
  <c r="W145" i="28" s="1"/>
  <c r="X145" i="28" s="1"/>
  <c r="Y145" i="28" s="1"/>
  <c r="Z145" i="28" s="1"/>
  <c r="AA145" i="28" s="1"/>
  <c r="AB145" i="28" s="1"/>
  <c r="AC145" i="28" s="1"/>
  <c r="AD145" i="28" s="1"/>
  <c r="AE145" i="28" s="1"/>
  <c r="AF145" i="28" s="1"/>
  <c r="D145" i="28"/>
  <c r="D144" i="28"/>
  <c r="E144" i="28" s="1"/>
  <c r="F144" i="28" s="1"/>
  <c r="G144" i="28" s="1"/>
  <c r="H144" i="28" s="1"/>
  <c r="I144" i="28" s="1"/>
  <c r="J144" i="28" s="1"/>
  <c r="K144" i="28" s="1"/>
  <c r="L144" i="28" s="1"/>
  <c r="M144" i="28" s="1"/>
  <c r="N144" i="28" s="1"/>
  <c r="O144" i="28" s="1"/>
  <c r="P144" i="28" s="1"/>
  <c r="Q144" i="28" s="1"/>
  <c r="R144" i="28" s="1"/>
  <c r="S144" i="28" s="1"/>
  <c r="T144" i="28" s="1"/>
  <c r="U144" i="28" s="1"/>
  <c r="V144" i="28" s="1"/>
  <c r="W144" i="28" s="1"/>
  <c r="X144" i="28" s="1"/>
  <c r="Y144" i="28" s="1"/>
  <c r="Z144" i="28" s="1"/>
  <c r="AA144" i="28" s="1"/>
  <c r="AB144" i="28" s="1"/>
  <c r="AC144" i="28" s="1"/>
  <c r="AD144" i="28" s="1"/>
  <c r="AE144" i="28" s="1"/>
  <c r="AF144" i="28" s="1"/>
  <c r="D143" i="28"/>
  <c r="E143" i="28" s="1"/>
  <c r="F143" i="28" s="1"/>
  <c r="G143" i="28" s="1"/>
  <c r="H143" i="28" s="1"/>
  <c r="I143" i="28" s="1"/>
  <c r="J143" i="28" s="1"/>
  <c r="K143" i="28" s="1"/>
  <c r="L143" i="28" s="1"/>
  <c r="M143" i="28" s="1"/>
  <c r="N143" i="28" s="1"/>
  <c r="O143" i="28" s="1"/>
  <c r="P143" i="28" s="1"/>
  <c r="Q143" i="28" s="1"/>
  <c r="R143" i="28" s="1"/>
  <c r="S143" i="28" s="1"/>
  <c r="T143" i="28" s="1"/>
  <c r="U143" i="28" s="1"/>
  <c r="V143" i="28" s="1"/>
  <c r="W143" i="28" s="1"/>
  <c r="X143" i="28" s="1"/>
  <c r="Y143" i="28" s="1"/>
  <c r="Z143" i="28" s="1"/>
  <c r="AA143" i="28" s="1"/>
  <c r="AB143" i="28" s="1"/>
  <c r="AC143" i="28" s="1"/>
  <c r="AD143" i="28" s="1"/>
  <c r="AE143" i="28" s="1"/>
  <c r="AF143" i="28" s="1"/>
  <c r="D142" i="28"/>
  <c r="E142" i="28" s="1"/>
  <c r="F142" i="28" s="1"/>
  <c r="G142" i="28" s="1"/>
  <c r="H142" i="28" s="1"/>
  <c r="I142" i="28" s="1"/>
  <c r="J142" i="28" s="1"/>
  <c r="K142" i="28" s="1"/>
  <c r="L142" i="28" s="1"/>
  <c r="M142" i="28" s="1"/>
  <c r="N142" i="28" s="1"/>
  <c r="O142" i="28" s="1"/>
  <c r="P142" i="28" s="1"/>
  <c r="Q142" i="28" s="1"/>
  <c r="R142" i="28" s="1"/>
  <c r="S142" i="28" s="1"/>
  <c r="T142" i="28" s="1"/>
  <c r="U142" i="28" s="1"/>
  <c r="V142" i="28" s="1"/>
  <c r="W142" i="28" s="1"/>
  <c r="X142" i="28" s="1"/>
  <c r="Y142" i="28" s="1"/>
  <c r="Z142" i="28" s="1"/>
  <c r="AA142" i="28" s="1"/>
  <c r="AB142" i="28" s="1"/>
  <c r="AC142" i="28" s="1"/>
  <c r="AD142" i="28" s="1"/>
  <c r="AE142" i="28" s="1"/>
  <c r="AF142" i="28" s="1"/>
  <c r="D141" i="28"/>
  <c r="E141" i="28" s="1"/>
  <c r="F141" i="28" s="1"/>
  <c r="G141" i="28" s="1"/>
  <c r="H141" i="28" s="1"/>
  <c r="I141" i="28" s="1"/>
  <c r="J141" i="28" s="1"/>
  <c r="K141" i="28" s="1"/>
  <c r="L141" i="28" s="1"/>
  <c r="M141" i="28" s="1"/>
  <c r="N141" i="28" s="1"/>
  <c r="O141" i="28" s="1"/>
  <c r="P141" i="28" s="1"/>
  <c r="Q141" i="28" s="1"/>
  <c r="R141" i="28" s="1"/>
  <c r="S141" i="28" s="1"/>
  <c r="T141" i="28" s="1"/>
  <c r="U141" i="28" s="1"/>
  <c r="V141" i="28" s="1"/>
  <c r="W141" i="28" s="1"/>
  <c r="X141" i="28" s="1"/>
  <c r="Y141" i="28" s="1"/>
  <c r="Z141" i="28" s="1"/>
  <c r="AA141" i="28" s="1"/>
  <c r="AB141" i="28" s="1"/>
  <c r="AC141" i="28" s="1"/>
  <c r="AD141" i="28" s="1"/>
  <c r="AE141" i="28" s="1"/>
  <c r="AF141" i="28" s="1"/>
  <c r="D140" i="28"/>
  <c r="E140" i="28" s="1"/>
  <c r="F140" i="28" s="1"/>
  <c r="G140" i="28" s="1"/>
  <c r="H140" i="28" s="1"/>
  <c r="I140" i="28" s="1"/>
  <c r="J140" i="28" s="1"/>
  <c r="K140" i="28" s="1"/>
  <c r="L140" i="28" s="1"/>
  <c r="M140" i="28" s="1"/>
  <c r="N140" i="28" s="1"/>
  <c r="O140" i="28" s="1"/>
  <c r="P140" i="28" s="1"/>
  <c r="Q140" i="28" s="1"/>
  <c r="R140" i="28" s="1"/>
  <c r="S140" i="28" s="1"/>
  <c r="T140" i="28" s="1"/>
  <c r="U140" i="28" s="1"/>
  <c r="V140" i="28" s="1"/>
  <c r="W140" i="28" s="1"/>
  <c r="X140" i="28" s="1"/>
  <c r="Y140" i="28" s="1"/>
  <c r="Z140" i="28" s="1"/>
  <c r="AA140" i="28" s="1"/>
  <c r="AB140" i="28" s="1"/>
  <c r="AC140" i="28" s="1"/>
  <c r="AD140" i="28" s="1"/>
  <c r="AE140" i="28" s="1"/>
  <c r="AF140" i="28" s="1"/>
  <c r="E139" i="28"/>
  <c r="F139" i="28" s="1"/>
  <c r="G139" i="28" s="1"/>
  <c r="H139" i="28" s="1"/>
  <c r="I139" i="28" s="1"/>
  <c r="J139" i="28" s="1"/>
  <c r="K139" i="28" s="1"/>
  <c r="L139" i="28" s="1"/>
  <c r="M139" i="28" s="1"/>
  <c r="N139" i="28" s="1"/>
  <c r="O139" i="28" s="1"/>
  <c r="P139" i="28" s="1"/>
  <c r="Q139" i="28" s="1"/>
  <c r="R139" i="28" s="1"/>
  <c r="S139" i="28" s="1"/>
  <c r="T139" i="28" s="1"/>
  <c r="U139" i="28" s="1"/>
  <c r="V139" i="28" s="1"/>
  <c r="W139" i="28" s="1"/>
  <c r="X139" i="28" s="1"/>
  <c r="Y139" i="28" s="1"/>
  <c r="Z139" i="28" s="1"/>
  <c r="AA139" i="28" s="1"/>
  <c r="AB139" i="28" s="1"/>
  <c r="AC139" i="28" s="1"/>
  <c r="AD139" i="28" s="1"/>
  <c r="AE139" i="28" s="1"/>
  <c r="AF139" i="28" s="1"/>
  <c r="D139" i="28"/>
  <c r="F138" i="28"/>
  <c r="G138" i="28" s="1"/>
  <c r="H138" i="28" s="1"/>
  <c r="I138" i="28" s="1"/>
  <c r="J138" i="28" s="1"/>
  <c r="K138" i="28" s="1"/>
  <c r="L138" i="28" s="1"/>
  <c r="M138" i="28" s="1"/>
  <c r="N138" i="28" s="1"/>
  <c r="O138" i="28" s="1"/>
  <c r="P138" i="28" s="1"/>
  <c r="Q138" i="28" s="1"/>
  <c r="R138" i="28" s="1"/>
  <c r="S138" i="28" s="1"/>
  <c r="T138" i="28" s="1"/>
  <c r="U138" i="28" s="1"/>
  <c r="V138" i="28" s="1"/>
  <c r="W138" i="28" s="1"/>
  <c r="X138" i="28" s="1"/>
  <c r="Y138" i="28" s="1"/>
  <c r="Z138" i="28" s="1"/>
  <c r="AA138" i="28" s="1"/>
  <c r="AB138" i="28" s="1"/>
  <c r="AC138" i="28" s="1"/>
  <c r="AD138" i="28" s="1"/>
  <c r="AE138" i="28" s="1"/>
  <c r="AF138" i="28" s="1"/>
  <c r="E138" i="28"/>
  <c r="D138" i="28"/>
  <c r="K137" i="28"/>
  <c r="L137" i="28" s="1"/>
  <c r="M137" i="28" s="1"/>
  <c r="N137" i="28" s="1"/>
  <c r="O137" i="28" s="1"/>
  <c r="P137" i="28" s="1"/>
  <c r="Q137" i="28" s="1"/>
  <c r="R137" i="28" s="1"/>
  <c r="S137" i="28" s="1"/>
  <c r="T137" i="28" s="1"/>
  <c r="U137" i="28" s="1"/>
  <c r="V137" i="28" s="1"/>
  <c r="W137" i="28" s="1"/>
  <c r="X137" i="28" s="1"/>
  <c r="Y137" i="28" s="1"/>
  <c r="Z137" i="28" s="1"/>
  <c r="AA137" i="28" s="1"/>
  <c r="AB137" i="28" s="1"/>
  <c r="AC137" i="28" s="1"/>
  <c r="AD137" i="28" s="1"/>
  <c r="AE137" i="28" s="1"/>
  <c r="AF137" i="28" s="1"/>
  <c r="E137" i="28"/>
  <c r="F137" i="28" s="1"/>
  <c r="G137" i="28" s="1"/>
  <c r="H137" i="28" s="1"/>
  <c r="I137" i="28" s="1"/>
  <c r="J137" i="28" s="1"/>
  <c r="D137" i="28"/>
  <c r="D136" i="28"/>
  <c r="E136" i="28" s="1"/>
  <c r="F136" i="28" s="1"/>
  <c r="G136" i="28" s="1"/>
  <c r="H136" i="28" s="1"/>
  <c r="I136" i="28" s="1"/>
  <c r="J136" i="28" s="1"/>
  <c r="K136" i="28" s="1"/>
  <c r="L136" i="28" s="1"/>
  <c r="M136" i="28" s="1"/>
  <c r="N136" i="28" s="1"/>
  <c r="O136" i="28" s="1"/>
  <c r="P136" i="28" s="1"/>
  <c r="Q136" i="28" s="1"/>
  <c r="R136" i="28" s="1"/>
  <c r="S136" i="28" s="1"/>
  <c r="T136" i="28" s="1"/>
  <c r="U136" i="28" s="1"/>
  <c r="V136" i="28" s="1"/>
  <c r="W136" i="28" s="1"/>
  <c r="X136" i="28" s="1"/>
  <c r="Y136" i="28" s="1"/>
  <c r="Z136" i="28" s="1"/>
  <c r="AA136" i="28" s="1"/>
  <c r="AB136" i="28" s="1"/>
  <c r="AC136" i="28" s="1"/>
  <c r="AD136" i="28" s="1"/>
  <c r="AE136" i="28" s="1"/>
  <c r="AF136" i="28" s="1"/>
  <c r="I135" i="28"/>
  <c r="J135" i="28" s="1"/>
  <c r="K135" i="28" s="1"/>
  <c r="L135" i="28" s="1"/>
  <c r="M135" i="28" s="1"/>
  <c r="N135" i="28" s="1"/>
  <c r="O135" i="28" s="1"/>
  <c r="P135" i="28" s="1"/>
  <c r="Q135" i="28" s="1"/>
  <c r="R135" i="28" s="1"/>
  <c r="S135" i="28" s="1"/>
  <c r="T135" i="28" s="1"/>
  <c r="U135" i="28" s="1"/>
  <c r="V135" i="28" s="1"/>
  <c r="W135" i="28" s="1"/>
  <c r="X135" i="28" s="1"/>
  <c r="Y135" i="28" s="1"/>
  <c r="Z135" i="28" s="1"/>
  <c r="AA135" i="28" s="1"/>
  <c r="AB135" i="28" s="1"/>
  <c r="AC135" i="28" s="1"/>
  <c r="AD135" i="28" s="1"/>
  <c r="AE135" i="28" s="1"/>
  <c r="AF135" i="28" s="1"/>
  <c r="G135" i="28"/>
  <c r="H135" i="28" s="1"/>
  <c r="D135" i="28"/>
  <c r="E135" i="28" s="1"/>
  <c r="F135" i="28" s="1"/>
  <c r="J134" i="28"/>
  <c r="K134" i="28" s="1"/>
  <c r="L134" i="28" s="1"/>
  <c r="M134" i="28" s="1"/>
  <c r="N134" i="28" s="1"/>
  <c r="O134" i="28" s="1"/>
  <c r="P134" i="28" s="1"/>
  <c r="Q134" i="28" s="1"/>
  <c r="R134" i="28" s="1"/>
  <c r="S134" i="28" s="1"/>
  <c r="T134" i="28" s="1"/>
  <c r="U134" i="28" s="1"/>
  <c r="V134" i="28" s="1"/>
  <c r="W134" i="28" s="1"/>
  <c r="X134" i="28" s="1"/>
  <c r="Y134" i="28" s="1"/>
  <c r="Z134" i="28" s="1"/>
  <c r="AA134" i="28" s="1"/>
  <c r="AB134" i="28" s="1"/>
  <c r="AC134" i="28" s="1"/>
  <c r="AD134" i="28" s="1"/>
  <c r="AE134" i="28" s="1"/>
  <c r="AF134" i="28" s="1"/>
  <c r="D134" i="28"/>
  <c r="E134" i="28" s="1"/>
  <c r="F134" i="28" s="1"/>
  <c r="G134" i="28" s="1"/>
  <c r="H134" i="28" s="1"/>
  <c r="I134" i="28" s="1"/>
  <c r="D133" i="28"/>
  <c r="E133" i="28" s="1"/>
  <c r="F133" i="28" s="1"/>
  <c r="G133" i="28" s="1"/>
  <c r="H133" i="28" s="1"/>
  <c r="I133" i="28" s="1"/>
  <c r="J133" i="28" s="1"/>
  <c r="K133" i="28" s="1"/>
  <c r="L133" i="28" s="1"/>
  <c r="M133" i="28" s="1"/>
  <c r="N133" i="28" s="1"/>
  <c r="O133" i="28" s="1"/>
  <c r="P133" i="28" s="1"/>
  <c r="Q133" i="28" s="1"/>
  <c r="R133" i="28" s="1"/>
  <c r="S133" i="28" s="1"/>
  <c r="T133" i="28" s="1"/>
  <c r="U133" i="28" s="1"/>
  <c r="V133" i="28" s="1"/>
  <c r="W133" i="28" s="1"/>
  <c r="X133" i="28" s="1"/>
  <c r="Y133" i="28" s="1"/>
  <c r="Z133" i="28" s="1"/>
  <c r="AA133" i="28" s="1"/>
  <c r="AB133" i="28" s="1"/>
  <c r="AC133" i="28" s="1"/>
  <c r="AD133" i="28" s="1"/>
  <c r="AE133" i="28" s="1"/>
  <c r="AF133" i="28" s="1"/>
  <c r="D132" i="28"/>
  <c r="E132" i="28" s="1"/>
  <c r="F132" i="28" s="1"/>
  <c r="G132" i="28" s="1"/>
  <c r="H132" i="28" s="1"/>
  <c r="I132" i="28" s="1"/>
  <c r="J132" i="28" s="1"/>
  <c r="K132" i="28" s="1"/>
  <c r="L132" i="28" s="1"/>
  <c r="M132" i="28" s="1"/>
  <c r="N132" i="28" s="1"/>
  <c r="O132" i="28" s="1"/>
  <c r="P132" i="28" s="1"/>
  <c r="Q132" i="28" s="1"/>
  <c r="R132" i="28" s="1"/>
  <c r="S132" i="28" s="1"/>
  <c r="T132" i="28" s="1"/>
  <c r="U132" i="28" s="1"/>
  <c r="V132" i="28" s="1"/>
  <c r="W132" i="28" s="1"/>
  <c r="X132" i="28" s="1"/>
  <c r="Y132" i="28" s="1"/>
  <c r="Z132" i="28" s="1"/>
  <c r="AA132" i="28" s="1"/>
  <c r="AB132" i="28" s="1"/>
  <c r="AC132" i="28" s="1"/>
  <c r="AD132" i="28" s="1"/>
  <c r="AE132" i="28" s="1"/>
  <c r="AF132" i="28" s="1"/>
  <c r="H131" i="28"/>
  <c r="I131" i="28" s="1"/>
  <c r="J131" i="28" s="1"/>
  <c r="K131" i="28" s="1"/>
  <c r="L131" i="28" s="1"/>
  <c r="M131" i="28" s="1"/>
  <c r="N131" i="28" s="1"/>
  <c r="O131" i="28" s="1"/>
  <c r="P131" i="28" s="1"/>
  <c r="Q131" i="28" s="1"/>
  <c r="R131" i="28" s="1"/>
  <c r="S131" i="28" s="1"/>
  <c r="T131" i="28" s="1"/>
  <c r="U131" i="28" s="1"/>
  <c r="V131" i="28" s="1"/>
  <c r="W131" i="28" s="1"/>
  <c r="X131" i="28" s="1"/>
  <c r="Y131" i="28" s="1"/>
  <c r="Z131" i="28" s="1"/>
  <c r="AA131" i="28" s="1"/>
  <c r="AB131" i="28" s="1"/>
  <c r="AC131" i="28" s="1"/>
  <c r="AD131" i="28" s="1"/>
  <c r="AE131" i="28" s="1"/>
  <c r="AF131" i="28" s="1"/>
  <c r="E131" i="28"/>
  <c r="F131" i="28" s="1"/>
  <c r="G131" i="28" s="1"/>
  <c r="D131" i="28"/>
  <c r="F130" i="28"/>
  <c r="G130" i="28" s="1"/>
  <c r="H130" i="28" s="1"/>
  <c r="I130" i="28" s="1"/>
  <c r="J130" i="28" s="1"/>
  <c r="K130" i="28" s="1"/>
  <c r="L130" i="28" s="1"/>
  <c r="M130" i="28" s="1"/>
  <c r="N130" i="28" s="1"/>
  <c r="O130" i="28" s="1"/>
  <c r="P130" i="28" s="1"/>
  <c r="Q130" i="28" s="1"/>
  <c r="R130" i="28" s="1"/>
  <c r="S130" i="28" s="1"/>
  <c r="T130" i="28" s="1"/>
  <c r="U130" i="28" s="1"/>
  <c r="V130" i="28" s="1"/>
  <c r="W130" i="28" s="1"/>
  <c r="X130" i="28" s="1"/>
  <c r="Y130" i="28" s="1"/>
  <c r="Z130" i="28" s="1"/>
  <c r="AA130" i="28" s="1"/>
  <c r="AB130" i="28" s="1"/>
  <c r="AC130" i="28" s="1"/>
  <c r="AD130" i="28" s="1"/>
  <c r="AE130" i="28" s="1"/>
  <c r="AF130" i="28" s="1"/>
  <c r="E130" i="28"/>
  <c r="D130" i="28"/>
  <c r="N129" i="28"/>
  <c r="O129" i="28" s="1"/>
  <c r="P129" i="28" s="1"/>
  <c r="Q129" i="28" s="1"/>
  <c r="R129" i="28" s="1"/>
  <c r="S129" i="28" s="1"/>
  <c r="T129" i="28" s="1"/>
  <c r="U129" i="28" s="1"/>
  <c r="V129" i="28" s="1"/>
  <c r="W129" i="28" s="1"/>
  <c r="X129" i="28" s="1"/>
  <c r="Y129" i="28" s="1"/>
  <c r="Z129" i="28" s="1"/>
  <c r="AA129" i="28" s="1"/>
  <c r="AB129" i="28" s="1"/>
  <c r="AC129" i="28" s="1"/>
  <c r="AD129" i="28" s="1"/>
  <c r="AE129" i="28" s="1"/>
  <c r="AF129" i="28" s="1"/>
  <c r="F129" i="28"/>
  <c r="G129" i="28" s="1"/>
  <c r="H129" i="28" s="1"/>
  <c r="I129" i="28" s="1"/>
  <c r="J129" i="28" s="1"/>
  <c r="K129" i="28" s="1"/>
  <c r="L129" i="28" s="1"/>
  <c r="M129" i="28" s="1"/>
  <c r="E129" i="28"/>
  <c r="D129" i="28"/>
  <c r="AG128" i="28"/>
  <c r="E128" i="28"/>
  <c r="D128" i="28"/>
  <c r="C128" i="28"/>
  <c r="D127" i="28"/>
  <c r="E127" i="28" s="1"/>
  <c r="F127" i="28" s="1"/>
  <c r="F126" i="28"/>
  <c r="G126" i="28" s="1"/>
  <c r="H126" i="28" s="1"/>
  <c r="I126" i="28" s="1"/>
  <c r="J126" i="28" s="1"/>
  <c r="K126" i="28" s="1"/>
  <c r="L126" i="28" s="1"/>
  <c r="M126" i="28" s="1"/>
  <c r="N126" i="28" s="1"/>
  <c r="O126" i="28" s="1"/>
  <c r="P126" i="28" s="1"/>
  <c r="Q126" i="28" s="1"/>
  <c r="R126" i="28" s="1"/>
  <c r="S126" i="28" s="1"/>
  <c r="T126" i="28" s="1"/>
  <c r="U126" i="28" s="1"/>
  <c r="V126" i="28" s="1"/>
  <c r="W126" i="28" s="1"/>
  <c r="X126" i="28" s="1"/>
  <c r="Y126" i="28" s="1"/>
  <c r="Z126" i="28" s="1"/>
  <c r="AA126" i="28" s="1"/>
  <c r="AB126" i="28" s="1"/>
  <c r="AC126" i="28" s="1"/>
  <c r="AD126" i="28" s="1"/>
  <c r="AE126" i="28" s="1"/>
  <c r="AF126" i="28" s="1"/>
  <c r="D126" i="28"/>
  <c r="E126" i="28" s="1"/>
  <c r="E124" i="28"/>
  <c r="F124" i="28" s="1"/>
  <c r="G124" i="28" s="1"/>
  <c r="H124" i="28" s="1"/>
  <c r="I124" i="28" s="1"/>
  <c r="J124" i="28" s="1"/>
  <c r="K124" i="28" s="1"/>
  <c r="L124" i="28" s="1"/>
  <c r="M124" i="28" s="1"/>
  <c r="N124" i="28" s="1"/>
  <c r="O124" i="28" s="1"/>
  <c r="P124" i="28" s="1"/>
  <c r="Q124" i="28" s="1"/>
  <c r="R124" i="28" s="1"/>
  <c r="S124" i="28" s="1"/>
  <c r="T124" i="28" s="1"/>
  <c r="U124" i="28" s="1"/>
  <c r="V124" i="28" s="1"/>
  <c r="W124" i="28" s="1"/>
  <c r="X124" i="28" s="1"/>
  <c r="Y124" i="28" s="1"/>
  <c r="Z124" i="28" s="1"/>
  <c r="AA124" i="28" s="1"/>
  <c r="AB124" i="28" s="1"/>
  <c r="AC124" i="28" s="1"/>
  <c r="AD124" i="28" s="1"/>
  <c r="AE124" i="28" s="1"/>
  <c r="AF124" i="28" s="1"/>
  <c r="D124" i="28"/>
  <c r="E123" i="28"/>
  <c r="F123" i="28" s="1"/>
  <c r="G123" i="28" s="1"/>
  <c r="H123" i="28" s="1"/>
  <c r="I123" i="28" s="1"/>
  <c r="J123" i="28" s="1"/>
  <c r="K123" i="28" s="1"/>
  <c r="L123" i="28" s="1"/>
  <c r="M123" i="28" s="1"/>
  <c r="N123" i="28" s="1"/>
  <c r="O123" i="28" s="1"/>
  <c r="P123" i="28" s="1"/>
  <c r="Q123" i="28" s="1"/>
  <c r="R123" i="28" s="1"/>
  <c r="S123" i="28" s="1"/>
  <c r="T123" i="28" s="1"/>
  <c r="U123" i="28" s="1"/>
  <c r="V123" i="28" s="1"/>
  <c r="W123" i="28" s="1"/>
  <c r="X123" i="28" s="1"/>
  <c r="Y123" i="28" s="1"/>
  <c r="Z123" i="28" s="1"/>
  <c r="AA123" i="28" s="1"/>
  <c r="AB123" i="28" s="1"/>
  <c r="AC123" i="28" s="1"/>
  <c r="AD123" i="28" s="1"/>
  <c r="AE123" i="28" s="1"/>
  <c r="AF123" i="28" s="1"/>
  <c r="D123" i="28"/>
  <c r="K122" i="28"/>
  <c r="L122" i="28" s="1"/>
  <c r="M122" i="28" s="1"/>
  <c r="N122" i="28" s="1"/>
  <c r="O122" i="28" s="1"/>
  <c r="P122" i="28" s="1"/>
  <c r="Q122" i="28" s="1"/>
  <c r="R122" i="28" s="1"/>
  <c r="S122" i="28" s="1"/>
  <c r="T122" i="28" s="1"/>
  <c r="U122" i="28" s="1"/>
  <c r="V122" i="28" s="1"/>
  <c r="W122" i="28" s="1"/>
  <c r="X122" i="28" s="1"/>
  <c r="Y122" i="28" s="1"/>
  <c r="Z122" i="28" s="1"/>
  <c r="AA122" i="28" s="1"/>
  <c r="AB122" i="28" s="1"/>
  <c r="AC122" i="28" s="1"/>
  <c r="AD122" i="28" s="1"/>
  <c r="AE122" i="28" s="1"/>
  <c r="AF122" i="28" s="1"/>
  <c r="E122" i="28"/>
  <c r="F122" i="28" s="1"/>
  <c r="G122" i="28" s="1"/>
  <c r="H122" i="28" s="1"/>
  <c r="I122" i="28" s="1"/>
  <c r="J122" i="28" s="1"/>
  <c r="D122" i="28"/>
  <c r="D121" i="28"/>
  <c r="E121" i="28" s="1"/>
  <c r="F121" i="28" s="1"/>
  <c r="G121" i="28" s="1"/>
  <c r="H121" i="28" s="1"/>
  <c r="I121" i="28" s="1"/>
  <c r="J121" i="28" s="1"/>
  <c r="K121" i="28" s="1"/>
  <c r="L121" i="28" s="1"/>
  <c r="M121" i="28" s="1"/>
  <c r="N121" i="28" s="1"/>
  <c r="O121" i="28" s="1"/>
  <c r="P121" i="28" s="1"/>
  <c r="Q121" i="28" s="1"/>
  <c r="R121" i="28" s="1"/>
  <c r="S121" i="28" s="1"/>
  <c r="T121" i="28" s="1"/>
  <c r="U121" i="28" s="1"/>
  <c r="V121" i="28" s="1"/>
  <c r="W121" i="28" s="1"/>
  <c r="X121" i="28" s="1"/>
  <c r="Y121" i="28" s="1"/>
  <c r="Z121" i="28" s="1"/>
  <c r="AA121" i="28" s="1"/>
  <c r="AB121" i="28" s="1"/>
  <c r="AC121" i="28" s="1"/>
  <c r="AD121" i="28" s="1"/>
  <c r="AE121" i="28" s="1"/>
  <c r="AF121" i="28" s="1"/>
  <c r="D120" i="28"/>
  <c r="E120" i="28" s="1"/>
  <c r="F120" i="28" s="1"/>
  <c r="G120" i="28" s="1"/>
  <c r="H120" i="28" s="1"/>
  <c r="I120" i="28" s="1"/>
  <c r="J120" i="28" s="1"/>
  <c r="K120" i="28" s="1"/>
  <c r="L120" i="28" s="1"/>
  <c r="M120" i="28" s="1"/>
  <c r="N120" i="28" s="1"/>
  <c r="O120" i="28" s="1"/>
  <c r="P120" i="28" s="1"/>
  <c r="Q120" i="28" s="1"/>
  <c r="R120" i="28" s="1"/>
  <c r="S120" i="28" s="1"/>
  <c r="T120" i="28" s="1"/>
  <c r="U120" i="28" s="1"/>
  <c r="V120" i="28" s="1"/>
  <c r="W120" i="28" s="1"/>
  <c r="X120" i="28" s="1"/>
  <c r="Y120" i="28" s="1"/>
  <c r="Z120" i="28" s="1"/>
  <c r="AA120" i="28" s="1"/>
  <c r="AB120" i="28" s="1"/>
  <c r="AC120" i="28" s="1"/>
  <c r="AD120" i="28" s="1"/>
  <c r="AE120" i="28" s="1"/>
  <c r="AF120" i="28" s="1"/>
  <c r="G119" i="28"/>
  <c r="H119" i="28" s="1"/>
  <c r="I119" i="28" s="1"/>
  <c r="J119" i="28" s="1"/>
  <c r="K119" i="28" s="1"/>
  <c r="L119" i="28" s="1"/>
  <c r="M119" i="28" s="1"/>
  <c r="N119" i="28" s="1"/>
  <c r="O119" i="28" s="1"/>
  <c r="P119" i="28" s="1"/>
  <c r="Q119" i="28" s="1"/>
  <c r="R119" i="28" s="1"/>
  <c r="S119" i="28" s="1"/>
  <c r="T119" i="28" s="1"/>
  <c r="U119" i="28" s="1"/>
  <c r="V119" i="28" s="1"/>
  <c r="W119" i="28" s="1"/>
  <c r="X119" i="28" s="1"/>
  <c r="Y119" i="28" s="1"/>
  <c r="Z119" i="28" s="1"/>
  <c r="AA119" i="28" s="1"/>
  <c r="AB119" i="28" s="1"/>
  <c r="AC119" i="28" s="1"/>
  <c r="AD119" i="28" s="1"/>
  <c r="AE119" i="28" s="1"/>
  <c r="AF119" i="28" s="1"/>
  <c r="E119" i="28"/>
  <c r="F119" i="28" s="1"/>
  <c r="D119" i="28"/>
  <c r="D118" i="28"/>
  <c r="E118" i="28" s="1"/>
  <c r="F118" i="28" s="1"/>
  <c r="G118" i="28" s="1"/>
  <c r="H118" i="28" s="1"/>
  <c r="I118" i="28" s="1"/>
  <c r="J118" i="28" s="1"/>
  <c r="K118" i="28" s="1"/>
  <c r="L118" i="28" s="1"/>
  <c r="M118" i="28" s="1"/>
  <c r="N118" i="28" s="1"/>
  <c r="O118" i="28" s="1"/>
  <c r="P118" i="28" s="1"/>
  <c r="Q118" i="28" s="1"/>
  <c r="R118" i="28" s="1"/>
  <c r="S118" i="28" s="1"/>
  <c r="T118" i="28" s="1"/>
  <c r="U118" i="28" s="1"/>
  <c r="V118" i="28" s="1"/>
  <c r="W118" i="28" s="1"/>
  <c r="X118" i="28" s="1"/>
  <c r="Y118" i="28" s="1"/>
  <c r="Z118" i="28" s="1"/>
  <c r="AA118" i="28" s="1"/>
  <c r="AB118" i="28" s="1"/>
  <c r="AC118" i="28" s="1"/>
  <c r="AD118" i="28" s="1"/>
  <c r="AE118" i="28" s="1"/>
  <c r="AF118" i="28" s="1"/>
  <c r="I131" i="29"/>
  <c r="J131" i="29" s="1"/>
  <c r="K131" i="29" s="1"/>
  <c r="L131" i="29" s="1"/>
  <c r="M131" i="29" s="1"/>
  <c r="N131" i="29" s="1"/>
  <c r="O131" i="29" s="1"/>
  <c r="P131" i="29" s="1"/>
  <c r="Q131" i="29" s="1"/>
  <c r="R131" i="29" s="1"/>
  <c r="S131" i="29" s="1"/>
  <c r="T131" i="29" s="1"/>
  <c r="U131" i="29" s="1"/>
  <c r="V131" i="29" s="1"/>
  <c r="W131" i="29" s="1"/>
  <c r="X131" i="29" s="1"/>
  <c r="Y131" i="29" s="1"/>
  <c r="Z131" i="29" s="1"/>
  <c r="AA131" i="29" s="1"/>
  <c r="AB131" i="29" s="1"/>
  <c r="AC131" i="29" s="1"/>
  <c r="AD131" i="29" s="1"/>
  <c r="AE131" i="29" s="1"/>
  <c r="AF131" i="29" s="1"/>
  <c r="E131" i="29"/>
  <c r="F131" i="29" s="1"/>
  <c r="G131" i="29" s="1"/>
  <c r="H131" i="29" s="1"/>
  <c r="D131" i="29"/>
  <c r="D130" i="29"/>
  <c r="E130" i="29" s="1"/>
  <c r="F130" i="29" s="1"/>
  <c r="G130" i="29" s="1"/>
  <c r="H130" i="29" s="1"/>
  <c r="I130" i="29" s="1"/>
  <c r="J130" i="29" s="1"/>
  <c r="K130" i="29" s="1"/>
  <c r="L130" i="29" s="1"/>
  <c r="M130" i="29" s="1"/>
  <c r="N130" i="29" s="1"/>
  <c r="O130" i="29" s="1"/>
  <c r="P130" i="29" s="1"/>
  <c r="Q130" i="29" s="1"/>
  <c r="R130" i="29" s="1"/>
  <c r="S130" i="29" s="1"/>
  <c r="T130" i="29" s="1"/>
  <c r="U130" i="29" s="1"/>
  <c r="V130" i="29" s="1"/>
  <c r="W130" i="29" s="1"/>
  <c r="X130" i="29" s="1"/>
  <c r="Y130" i="29" s="1"/>
  <c r="Z130" i="29" s="1"/>
  <c r="AA130" i="29" s="1"/>
  <c r="AB130" i="29" s="1"/>
  <c r="AC130" i="29" s="1"/>
  <c r="AD130" i="29" s="1"/>
  <c r="AE130" i="29" s="1"/>
  <c r="AF130" i="29" s="1"/>
  <c r="E129" i="29"/>
  <c r="F129" i="29" s="1"/>
  <c r="G129" i="29" s="1"/>
  <c r="H129" i="29" s="1"/>
  <c r="I129" i="29" s="1"/>
  <c r="J129" i="29" s="1"/>
  <c r="K129" i="29" s="1"/>
  <c r="L129" i="29" s="1"/>
  <c r="M129" i="29" s="1"/>
  <c r="N129" i="29" s="1"/>
  <c r="O129" i="29" s="1"/>
  <c r="P129" i="29" s="1"/>
  <c r="Q129" i="29" s="1"/>
  <c r="R129" i="29" s="1"/>
  <c r="S129" i="29" s="1"/>
  <c r="T129" i="29" s="1"/>
  <c r="U129" i="29" s="1"/>
  <c r="V129" i="29" s="1"/>
  <c r="W129" i="29" s="1"/>
  <c r="X129" i="29" s="1"/>
  <c r="Y129" i="29" s="1"/>
  <c r="Z129" i="29" s="1"/>
  <c r="AA129" i="29" s="1"/>
  <c r="AB129" i="29" s="1"/>
  <c r="AC129" i="29" s="1"/>
  <c r="AD129" i="29" s="1"/>
  <c r="AE129" i="29" s="1"/>
  <c r="AF129" i="29" s="1"/>
  <c r="D129" i="29"/>
  <c r="D128" i="29"/>
  <c r="E128" i="29" s="1"/>
  <c r="F128" i="29" s="1"/>
  <c r="G128" i="29" s="1"/>
  <c r="H128" i="29" s="1"/>
  <c r="I128" i="29" s="1"/>
  <c r="J128" i="29" s="1"/>
  <c r="K128" i="29" s="1"/>
  <c r="L128" i="29" s="1"/>
  <c r="M128" i="29" s="1"/>
  <c r="N128" i="29" s="1"/>
  <c r="O128" i="29" s="1"/>
  <c r="P128" i="29" s="1"/>
  <c r="Q128" i="29" s="1"/>
  <c r="R128" i="29" s="1"/>
  <c r="S128" i="29" s="1"/>
  <c r="T128" i="29" s="1"/>
  <c r="U128" i="29" s="1"/>
  <c r="V128" i="29" s="1"/>
  <c r="W128" i="29" s="1"/>
  <c r="X128" i="29" s="1"/>
  <c r="Y128" i="29" s="1"/>
  <c r="Z128" i="29" s="1"/>
  <c r="AA128" i="29" s="1"/>
  <c r="AB128" i="29" s="1"/>
  <c r="AC128" i="29" s="1"/>
  <c r="AD128" i="29" s="1"/>
  <c r="AE128" i="29" s="1"/>
  <c r="AF128" i="29" s="1"/>
  <c r="E127" i="29"/>
  <c r="F127" i="29" s="1"/>
  <c r="G127" i="29" s="1"/>
  <c r="H127" i="29" s="1"/>
  <c r="I127" i="29" s="1"/>
  <c r="J127" i="29" s="1"/>
  <c r="K127" i="29" s="1"/>
  <c r="L127" i="29" s="1"/>
  <c r="M127" i="29" s="1"/>
  <c r="N127" i="29" s="1"/>
  <c r="O127" i="29" s="1"/>
  <c r="P127" i="29" s="1"/>
  <c r="Q127" i="29" s="1"/>
  <c r="R127" i="29" s="1"/>
  <c r="S127" i="29" s="1"/>
  <c r="T127" i="29" s="1"/>
  <c r="U127" i="29" s="1"/>
  <c r="V127" i="29" s="1"/>
  <c r="W127" i="29" s="1"/>
  <c r="X127" i="29" s="1"/>
  <c r="Y127" i="29" s="1"/>
  <c r="Z127" i="29" s="1"/>
  <c r="AA127" i="29" s="1"/>
  <c r="AB127" i="29" s="1"/>
  <c r="AC127" i="29" s="1"/>
  <c r="AD127" i="29" s="1"/>
  <c r="AE127" i="29" s="1"/>
  <c r="AF127" i="29" s="1"/>
  <c r="D127" i="29"/>
  <c r="F126" i="29"/>
  <c r="G126" i="29" s="1"/>
  <c r="H126" i="29" s="1"/>
  <c r="I126" i="29" s="1"/>
  <c r="J126" i="29" s="1"/>
  <c r="K126" i="29" s="1"/>
  <c r="L126" i="29" s="1"/>
  <c r="M126" i="29" s="1"/>
  <c r="N126" i="29" s="1"/>
  <c r="O126" i="29" s="1"/>
  <c r="P126" i="29" s="1"/>
  <c r="Q126" i="29" s="1"/>
  <c r="R126" i="29" s="1"/>
  <c r="S126" i="29" s="1"/>
  <c r="T126" i="29" s="1"/>
  <c r="U126" i="29" s="1"/>
  <c r="V126" i="29" s="1"/>
  <c r="W126" i="29" s="1"/>
  <c r="X126" i="29" s="1"/>
  <c r="Y126" i="29" s="1"/>
  <c r="Z126" i="29" s="1"/>
  <c r="AA126" i="29" s="1"/>
  <c r="AB126" i="29" s="1"/>
  <c r="AC126" i="29" s="1"/>
  <c r="AD126" i="29" s="1"/>
  <c r="AE126" i="29" s="1"/>
  <c r="AF126" i="29" s="1"/>
  <c r="D126" i="29"/>
  <c r="E126" i="29" s="1"/>
  <c r="D125" i="29"/>
  <c r="E125" i="29" s="1"/>
  <c r="F125" i="29" s="1"/>
  <c r="G125" i="29" s="1"/>
  <c r="H125" i="29" s="1"/>
  <c r="I125" i="29" s="1"/>
  <c r="J125" i="29" s="1"/>
  <c r="K125" i="29" s="1"/>
  <c r="L125" i="29" s="1"/>
  <c r="M125" i="29" s="1"/>
  <c r="N125" i="29" s="1"/>
  <c r="O125" i="29" s="1"/>
  <c r="P125" i="29" s="1"/>
  <c r="Q125" i="29" s="1"/>
  <c r="R125" i="29" s="1"/>
  <c r="S125" i="29" s="1"/>
  <c r="T125" i="29" s="1"/>
  <c r="U125" i="29" s="1"/>
  <c r="V125" i="29" s="1"/>
  <c r="W125" i="29" s="1"/>
  <c r="X125" i="29" s="1"/>
  <c r="Y125" i="29" s="1"/>
  <c r="Z125" i="29" s="1"/>
  <c r="AA125" i="29" s="1"/>
  <c r="AB125" i="29" s="1"/>
  <c r="AC125" i="29" s="1"/>
  <c r="AD125" i="29" s="1"/>
  <c r="AE125" i="29" s="1"/>
  <c r="AF125" i="29" s="1"/>
  <c r="D124" i="29"/>
  <c r="E124" i="29" s="1"/>
  <c r="F124" i="29" s="1"/>
  <c r="G124" i="29" s="1"/>
  <c r="H124" i="29" s="1"/>
  <c r="I124" i="29" s="1"/>
  <c r="J124" i="29" s="1"/>
  <c r="K124" i="29" s="1"/>
  <c r="L124" i="29" s="1"/>
  <c r="M124" i="29" s="1"/>
  <c r="N124" i="29" s="1"/>
  <c r="O124" i="29" s="1"/>
  <c r="P124" i="29" s="1"/>
  <c r="Q124" i="29" s="1"/>
  <c r="R124" i="29" s="1"/>
  <c r="S124" i="29" s="1"/>
  <c r="T124" i="29" s="1"/>
  <c r="U124" i="29" s="1"/>
  <c r="V124" i="29" s="1"/>
  <c r="W124" i="29" s="1"/>
  <c r="X124" i="29" s="1"/>
  <c r="Y124" i="29" s="1"/>
  <c r="Z124" i="29" s="1"/>
  <c r="AA124" i="29" s="1"/>
  <c r="AB124" i="29" s="1"/>
  <c r="AC124" i="29" s="1"/>
  <c r="AD124" i="29" s="1"/>
  <c r="AE124" i="29" s="1"/>
  <c r="AF124" i="29" s="1"/>
  <c r="I123" i="29"/>
  <c r="J123" i="29" s="1"/>
  <c r="K123" i="29" s="1"/>
  <c r="L123" i="29" s="1"/>
  <c r="M123" i="29" s="1"/>
  <c r="N123" i="29" s="1"/>
  <c r="O123" i="29" s="1"/>
  <c r="P123" i="29" s="1"/>
  <c r="Q123" i="29" s="1"/>
  <c r="R123" i="29" s="1"/>
  <c r="S123" i="29" s="1"/>
  <c r="T123" i="29" s="1"/>
  <c r="U123" i="29" s="1"/>
  <c r="V123" i="29" s="1"/>
  <c r="W123" i="29" s="1"/>
  <c r="X123" i="29" s="1"/>
  <c r="Y123" i="29" s="1"/>
  <c r="Z123" i="29" s="1"/>
  <c r="AA123" i="29" s="1"/>
  <c r="AB123" i="29" s="1"/>
  <c r="AC123" i="29" s="1"/>
  <c r="AD123" i="29" s="1"/>
  <c r="AE123" i="29" s="1"/>
  <c r="AF123" i="29" s="1"/>
  <c r="E123" i="29"/>
  <c r="F123" i="29" s="1"/>
  <c r="G123" i="29" s="1"/>
  <c r="H123" i="29" s="1"/>
  <c r="D123" i="29"/>
  <c r="G122" i="29"/>
  <c r="H122" i="29" s="1"/>
  <c r="I122" i="29" s="1"/>
  <c r="J122" i="29" s="1"/>
  <c r="K122" i="29" s="1"/>
  <c r="L122" i="29" s="1"/>
  <c r="M122" i="29" s="1"/>
  <c r="N122" i="29" s="1"/>
  <c r="O122" i="29" s="1"/>
  <c r="P122" i="29" s="1"/>
  <c r="Q122" i="29" s="1"/>
  <c r="R122" i="29" s="1"/>
  <c r="S122" i="29" s="1"/>
  <c r="T122" i="29" s="1"/>
  <c r="U122" i="29" s="1"/>
  <c r="V122" i="29" s="1"/>
  <c r="W122" i="29" s="1"/>
  <c r="X122" i="29" s="1"/>
  <c r="Y122" i="29" s="1"/>
  <c r="Z122" i="29" s="1"/>
  <c r="AA122" i="29" s="1"/>
  <c r="AB122" i="29" s="1"/>
  <c r="AC122" i="29" s="1"/>
  <c r="AD122" i="29" s="1"/>
  <c r="AE122" i="29" s="1"/>
  <c r="AF122" i="29" s="1"/>
  <c r="F122" i="29"/>
  <c r="D122" i="29"/>
  <c r="E122" i="29" s="1"/>
  <c r="E121" i="29"/>
  <c r="F121" i="29" s="1"/>
  <c r="G121" i="29" s="1"/>
  <c r="H121" i="29" s="1"/>
  <c r="I121" i="29" s="1"/>
  <c r="J121" i="29" s="1"/>
  <c r="K121" i="29" s="1"/>
  <c r="L121" i="29" s="1"/>
  <c r="M121" i="29" s="1"/>
  <c r="N121" i="29" s="1"/>
  <c r="O121" i="29" s="1"/>
  <c r="P121" i="29" s="1"/>
  <c r="Q121" i="29" s="1"/>
  <c r="R121" i="29" s="1"/>
  <c r="S121" i="29" s="1"/>
  <c r="T121" i="29" s="1"/>
  <c r="U121" i="29" s="1"/>
  <c r="V121" i="29" s="1"/>
  <c r="W121" i="29" s="1"/>
  <c r="X121" i="29" s="1"/>
  <c r="Y121" i="29" s="1"/>
  <c r="Z121" i="29" s="1"/>
  <c r="AA121" i="29" s="1"/>
  <c r="AB121" i="29" s="1"/>
  <c r="AC121" i="29" s="1"/>
  <c r="AD121" i="29" s="1"/>
  <c r="AE121" i="29" s="1"/>
  <c r="AF121" i="29" s="1"/>
  <c r="D121" i="29"/>
  <c r="D120" i="29"/>
  <c r="E120" i="29" s="1"/>
  <c r="F120" i="29" s="1"/>
  <c r="G120" i="29" s="1"/>
  <c r="H120" i="29" s="1"/>
  <c r="I120" i="29" s="1"/>
  <c r="J120" i="29" s="1"/>
  <c r="K120" i="29" s="1"/>
  <c r="L120" i="29" s="1"/>
  <c r="M120" i="29" s="1"/>
  <c r="N120" i="29" s="1"/>
  <c r="O120" i="29" s="1"/>
  <c r="P120" i="29" s="1"/>
  <c r="Q120" i="29" s="1"/>
  <c r="R120" i="29" s="1"/>
  <c r="S120" i="29" s="1"/>
  <c r="T120" i="29" s="1"/>
  <c r="U120" i="29" s="1"/>
  <c r="V120" i="29" s="1"/>
  <c r="W120" i="29" s="1"/>
  <c r="X120" i="29" s="1"/>
  <c r="Y120" i="29" s="1"/>
  <c r="Z120" i="29" s="1"/>
  <c r="AA120" i="29" s="1"/>
  <c r="AB120" i="29" s="1"/>
  <c r="AC120" i="29" s="1"/>
  <c r="AD120" i="29" s="1"/>
  <c r="AE120" i="29" s="1"/>
  <c r="AF120" i="29" s="1"/>
  <c r="E119" i="29"/>
  <c r="F119" i="29" s="1"/>
  <c r="G119" i="29" s="1"/>
  <c r="H119" i="29" s="1"/>
  <c r="I119" i="29" s="1"/>
  <c r="J119" i="29" s="1"/>
  <c r="K119" i="29" s="1"/>
  <c r="L119" i="29" s="1"/>
  <c r="M119" i="29" s="1"/>
  <c r="N119" i="29" s="1"/>
  <c r="O119" i="29" s="1"/>
  <c r="P119" i="29" s="1"/>
  <c r="Q119" i="29" s="1"/>
  <c r="R119" i="29" s="1"/>
  <c r="S119" i="29" s="1"/>
  <c r="T119" i="29" s="1"/>
  <c r="U119" i="29" s="1"/>
  <c r="V119" i="29" s="1"/>
  <c r="W119" i="29" s="1"/>
  <c r="X119" i="29" s="1"/>
  <c r="Y119" i="29" s="1"/>
  <c r="Z119" i="29" s="1"/>
  <c r="AA119" i="29" s="1"/>
  <c r="AB119" i="29" s="1"/>
  <c r="AC119" i="29" s="1"/>
  <c r="AD119" i="29" s="1"/>
  <c r="AE119" i="29" s="1"/>
  <c r="AF119" i="29" s="1"/>
  <c r="D119" i="29"/>
  <c r="F118" i="29"/>
  <c r="G118" i="29" s="1"/>
  <c r="H118" i="29" s="1"/>
  <c r="I118" i="29" s="1"/>
  <c r="J118" i="29" s="1"/>
  <c r="K118" i="29" s="1"/>
  <c r="L118" i="29" s="1"/>
  <c r="M118" i="29" s="1"/>
  <c r="N118" i="29" s="1"/>
  <c r="O118" i="29" s="1"/>
  <c r="P118" i="29" s="1"/>
  <c r="Q118" i="29" s="1"/>
  <c r="R118" i="29" s="1"/>
  <c r="S118" i="29" s="1"/>
  <c r="T118" i="29" s="1"/>
  <c r="U118" i="29" s="1"/>
  <c r="V118" i="29" s="1"/>
  <c r="W118" i="29" s="1"/>
  <c r="X118" i="29" s="1"/>
  <c r="Y118" i="29" s="1"/>
  <c r="Z118" i="29" s="1"/>
  <c r="AA118" i="29" s="1"/>
  <c r="AB118" i="29" s="1"/>
  <c r="AC118" i="29" s="1"/>
  <c r="AD118" i="29" s="1"/>
  <c r="AE118" i="29" s="1"/>
  <c r="AF118" i="29" s="1"/>
  <c r="D118" i="29"/>
  <c r="E118" i="29" s="1"/>
  <c r="D117" i="29"/>
  <c r="E117" i="29" s="1"/>
  <c r="F117" i="29" s="1"/>
  <c r="G117" i="29" s="1"/>
  <c r="H117" i="29" s="1"/>
  <c r="I117" i="29" s="1"/>
  <c r="J117" i="29" s="1"/>
  <c r="K117" i="29" s="1"/>
  <c r="L117" i="29" s="1"/>
  <c r="M117" i="29" s="1"/>
  <c r="N117" i="29" s="1"/>
  <c r="O117" i="29" s="1"/>
  <c r="P117" i="29" s="1"/>
  <c r="Q117" i="29" s="1"/>
  <c r="R117" i="29" s="1"/>
  <c r="S117" i="29" s="1"/>
  <c r="T117" i="29" s="1"/>
  <c r="U117" i="29" s="1"/>
  <c r="V117" i="29" s="1"/>
  <c r="W117" i="29" s="1"/>
  <c r="X117" i="29" s="1"/>
  <c r="Y117" i="29" s="1"/>
  <c r="Z117" i="29" s="1"/>
  <c r="AA117" i="29" s="1"/>
  <c r="AB117" i="29" s="1"/>
  <c r="AC117" i="29" s="1"/>
  <c r="AD117" i="29" s="1"/>
  <c r="AE117" i="29" s="1"/>
  <c r="AF117" i="29" s="1"/>
  <c r="D116" i="29"/>
  <c r="E116" i="29" s="1"/>
  <c r="F116" i="29" s="1"/>
  <c r="G116" i="29" s="1"/>
  <c r="H116" i="29" s="1"/>
  <c r="I116" i="29" s="1"/>
  <c r="J116" i="29" s="1"/>
  <c r="K116" i="29" s="1"/>
  <c r="L116" i="29" s="1"/>
  <c r="M116" i="29" s="1"/>
  <c r="N116" i="29" s="1"/>
  <c r="O116" i="29" s="1"/>
  <c r="P116" i="29" s="1"/>
  <c r="Q116" i="29" s="1"/>
  <c r="R116" i="29" s="1"/>
  <c r="S116" i="29" s="1"/>
  <c r="T116" i="29" s="1"/>
  <c r="U116" i="29" s="1"/>
  <c r="V116" i="29" s="1"/>
  <c r="W116" i="29" s="1"/>
  <c r="X116" i="29" s="1"/>
  <c r="Y116" i="29" s="1"/>
  <c r="Z116" i="29" s="1"/>
  <c r="AA116" i="29" s="1"/>
  <c r="AB116" i="29" s="1"/>
  <c r="AC116" i="29" s="1"/>
  <c r="AD116" i="29" s="1"/>
  <c r="AE116" i="29" s="1"/>
  <c r="AF116" i="29" s="1"/>
  <c r="I115" i="29"/>
  <c r="J115" i="29" s="1"/>
  <c r="K115" i="29" s="1"/>
  <c r="L115" i="29" s="1"/>
  <c r="M115" i="29" s="1"/>
  <c r="N115" i="29" s="1"/>
  <c r="O115" i="29" s="1"/>
  <c r="P115" i="29" s="1"/>
  <c r="Q115" i="29" s="1"/>
  <c r="R115" i="29" s="1"/>
  <c r="S115" i="29" s="1"/>
  <c r="T115" i="29" s="1"/>
  <c r="U115" i="29" s="1"/>
  <c r="V115" i="29" s="1"/>
  <c r="W115" i="29" s="1"/>
  <c r="X115" i="29" s="1"/>
  <c r="Y115" i="29" s="1"/>
  <c r="Z115" i="29" s="1"/>
  <c r="AA115" i="29" s="1"/>
  <c r="AB115" i="29" s="1"/>
  <c r="AC115" i="29" s="1"/>
  <c r="AD115" i="29" s="1"/>
  <c r="AE115" i="29" s="1"/>
  <c r="AF115" i="29" s="1"/>
  <c r="E115" i="29"/>
  <c r="F115" i="29" s="1"/>
  <c r="G115" i="29" s="1"/>
  <c r="H115" i="29" s="1"/>
  <c r="D115" i="29"/>
  <c r="AG114" i="29"/>
  <c r="C114" i="29"/>
  <c r="F113" i="29"/>
  <c r="F114" i="29" s="1"/>
  <c r="E113" i="29"/>
  <c r="E114" i="29" s="1"/>
  <c r="D113" i="29"/>
  <c r="D114" i="29" s="1"/>
  <c r="D112" i="29"/>
  <c r="E112" i="29" s="1"/>
  <c r="F112" i="29" s="1"/>
  <c r="G112" i="29" s="1"/>
  <c r="H112" i="29" s="1"/>
  <c r="I112" i="29" s="1"/>
  <c r="J112" i="29" s="1"/>
  <c r="K112" i="29" s="1"/>
  <c r="L112" i="29" s="1"/>
  <c r="M112" i="29" s="1"/>
  <c r="N112" i="29" s="1"/>
  <c r="O112" i="29" s="1"/>
  <c r="P112" i="29" s="1"/>
  <c r="Q112" i="29" s="1"/>
  <c r="R112" i="29" s="1"/>
  <c r="S112" i="29" s="1"/>
  <c r="T112" i="29" s="1"/>
  <c r="U112" i="29" s="1"/>
  <c r="V112" i="29" s="1"/>
  <c r="W112" i="29" s="1"/>
  <c r="X112" i="29" s="1"/>
  <c r="Y112" i="29" s="1"/>
  <c r="Z112" i="29" s="1"/>
  <c r="AA112" i="29" s="1"/>
  <c r="AB112" i="29" s="1"/>
  <c r="AC112" i="29" s="1"/>
  <c r="AD112" i="29" s="1"/>
  <c r="AE112" i="29" s="1"/>
  <c r="AF112" i="29" s="1"/>
  <c r="D110" i="29"/>
  <c r="E110" i="29" s="1"/>
  <c r="F110" i="29" s="1"/>
  <c r="G110" i="29" s="1"/>
  <c r="H110" i="29" s="1"/>
  <c r="I110" i="29" s="1"/>
  <c r="J110" i="29" s="1"/>
  <c r="K110" i="29" s="1"/>
  <c r="L110" i="29" s="1"/>
  <c r="M110" i="29" s="1"/>
  <c r="N110" i="29" s="1"/>
  <c r="O110" i="29" s="1"/>
  <c r="P110" i="29" s="1"/>
  <c r="Q110" i="29" s="1"/>
  <c r="R110" i="29" s="1"/>
  <c r="S110" i="29" s="1"/>
  <c r="T110" i="29" s="1"/>
  <c r="U110" i="29" s="1"/>
  <c r="V110" i="29" s="1"/>
  <c r="W110" i="29" s="1"/>
  <c r="X110" i="29" s="1"/>
  <c r="Y110" i="29" s="1"/>
  <c r="Z110" i="29" s="1"/>
  <c r="AA110" i="29" s="1"/>
  <c r="AB110" i="29" s="1"/>
  <c r="AC110" i="29" s="1"/>
  <c r="AD110" i="29" s="1"/>
  <c r="AE110" i="29" s="1"/>
  <c r="AF110" i="29" s="1"/>
  <c r="D109" i="29"/>
  <c r="E109" i="29" s="1"/>
  <c r="F109" i="29" s="1"/>
  <c r="G109" i="29" s="1"/>
  <c r="H109" i="29" s="1"/>
  <c r="I109" i="29" s="1"/>
  <c r="J109" i="29" s="1"/>
  <c r="K109" i="29" s="1"/>
  <c r="L109" i="29" s="1"/>
  <c r="M109" i="29" s="1"/>
  <c r="N109" i="29" s="1"/>
  <c r="O109" i="29" s="1"/>
  <c r="P109" i="29" s="1"/>
  <c r="Q109" i="29" s="1"/>
  <c r="R109" i="29" s="1"/>
  <c r="S109" i="29" s="1"/>
  <c r="T109" i="29" s="1"/>
  <c r="U109" i="29" s="1"/>
  <c r="V109" i="29" s="1"/>
  <c r="W109" i="29" s="1"/>
  <c r="X109" i="29" s="1"/>
  <c r="Y109" i="29" s="1"/>
  <c r="Z109" i="29" s="1"/>
  <c r="AA109" i="29" s="1"/>
  <c r="AB109" i="29" s="1"/>
  <c r="AC109" i="29" s="1"/>
  <c r="AD109" i="29" s="1"/>
  <c r="AE109" i="29" s="1"/>
  <c r="AF109" i="29" s="1"/>
  <c r="E108" i="29"/>
  <c r="F108" i="29" s="1"/>
  <c r="G108" i="29" s="1"/>
  <c r="H108" i="29" s="1"/>
  <c r="I108" i="29" s="1"/>
  <c r="J108" i="29" s="1"/>
  <c r="K108" i="29" s="1"/>
  <c r="L108" i="29" s="1"/>
  <c r="M108" i="29" s="1"/>
  <c r="N108" i="29" s="1"/>
  <c r="O108" i="29" s="1"/>
  <c r="P108" i="29" s="1"/>
  <c r="Q108" i="29" s="1"/>
  <c r="R108" i="29" s="1"/>
  <c r="S108" i="29" s="1"/>
  <c r="T108" i="29" s="1"/>
  <c r="U108" i="29" s="1"/>
  <c r="V108" i="29" s="1"/>
  <c r="W108" i="29" s="1"/>
  <c r="X108" i="29" s="1"/>
  <c r="Y108" i="29" s="1"/>
  <c r="Z108" i="29" s="1"/>
  <c r="AA108" i="29" s="1"/>
  <c r="AB108" i="29" s="1"/>
  <c r="AC108" i="29" s="1"/>
  <c r="AD108" i="29" s="1"/>
  <c r="AE108" i="29" s="1"/>
  <c r="AF108" i="29" s="1"/>
  <c r="D108" i="29"/>
  <c r="F107" i="29"/>
  <c r="G107" i="29" s="1"/>
  <c r="H107" i="29" s="1"/>
  <c r="I107" i="29" s="1"/>
  <c r="J107" i="29" s="1"/>
  <c r="K107" i="29" s="1"/>
  <c r="L107" i="29" s="1"/>
  <c r="M107" i="29" s="1"/>
  <c r="N107" i="29" s="1"/>
  <c r="O107" i="29" s="1"/>
  <c r="P107" i="29" s="1"/>
  <c r="Q107" i="29" s="1"/>
  <c r="R107" i="29" s="1"/>
  <c r="S107" i="29" s="1"/>
  <c r="T107" i="29" s="1"/>
  <c r="U107" i="29" s="1"/>
  <c r="V107" i="29" s="1"/>
  <c r="W107" i="29" s="1"/>
  <c r="X107" i="29" s="1"/>
  <c r="Y107" i="29" s="1"/>
  <c r="Z107" i="29" s="1"/>
  <c r="AA107" i="29" s="1"/>
  <c r="AB107" i="29" s="1"/>
  <c r="AC107" i="29" s="1"/>
  <c r="AD107" i="29" s="1"/>
  <c r="AE107" i="29" s="1"/>
  <c r="AF107" i="29" s="1"/>
  <c r="D107" i="29"/>
  <c r="E107" i="29" s="1"/>
  <c r="E106" i="29"/>
  <c r="F106" i="29" s="1"/>
  <c r="G106" i="29" s="1"/>
  <c r="H106" i="29" s="1"/>
  <c r="I106" i="29" s="1"/>
  <c r="J106" i="29" s="1"/>
  <c r="K106" i="29" s="1"/>
  <c r="L106" i="29" s="1"/>
  <c r="M106" i="29" s="1"/>
  <c r="N106" i="29" s="1"/>
  <c r="O106" i="29" s="1"/>
  <c r="P106" i="29" s="1"/>
  <c r="Q106" i="29" s="1"/>
  <c r="R106" i="29" s="1"/>
  <c r="S106" i="29" s="1"/>
  <c r="T106" i="29" s="1"/>
  <c r="U106" i="29" s="1"/>
  <c r="V106" i="29" s="1"/>
  <c r="W106" i="29" s="1"/>
  <c r="X106" i="29" s="1"/>
  <c r="Y106" i="29" s="1"/>
  <c r="Z106" i="29" s="1"/>
  <c r="AA106" i="29" s="1"/>
  <c r="AB106" i="29" s="1"/>
  <c r="AC106" i="29" s="1"/>
  <c r="AD106" i="29" s="1"/>
  <c r="AE106" i="29" s="1"/>
  <c r="AF106" i="29" s="1"/>
  <c r="D106" i="29"/>
  <c r="D105" i="29"/>
  <c r="E105" i="29" s="1"/>
  <c r="F105" i="29" s="1"/>
  <c r="G105" i="29" s="1"/>
  <c r="H105" i="29" s="1"/>
  <c r="I105" i="29" s="1"/>
  <c r="J105" i="29" s="1"/>
  <c r="K105" i="29" s="1"/>
  <c r="L105" i="29" s="1"/>
  <c r="M105" i="29" s="1"/>
  <c r="N105" i="29" s="1"/>
  <c r="O105" i="29" s="1"/>
  <c r="P105" i="29" s="1"/>
  <c r="Q105" i="29" s="1"/>
  <c r="R105" i="29" s="1"/>
  <c r="S105" i="29" s="1"/>
  <c r="T105" i="29" s="1"/>
  <c r="U105" i="29" s="1"/>
  <c r="V105" i="29" s="1"/>
  <c r="W105" i="29" s="1"/>
  <c r="X105" i="29" s="1"/>
  <c r="Y105" i="29" s="1"/>
  <c r="Z105" i="29" s="1"/>
  <c r="AA105" i="29" s="1"/>
  <c r="AB105" i="29" s="1"/>
  <c r="AC105" i="29" s="1"/>
  <c r="AD105" i="29" s="1"/>
  <c r="AE105" i="29" s="1"/>
  <c r="AF105" i="29" s="1"/>
  <c r="D104" i="29"/>
  <c r="E104" i="29" s="1"/>
  <c r="F104" i="29" s="1"/>
  <c r="G104" i="29" s="1"/>
  <c r="H104" i="29" s="1"/>
  <c r="I104" i="29" s="1"/>
  <c r="J104" i="29" s="1"/>
  <c r="K104" i="29" s="1"/>
  <c r="L104" i="29" s="1"/>
  <c r="M104" i="29" s="1"/>
  <c r="N104" i="29" s="1"/>
  <c r="O104" i="29" s="1"/>
  <c r="P104" i="29" s="1"/>
  <c r="Q104" i="29" s="1"/>
  <c r="R104" i="29" s="1"/>
  <c r="S104" i="29" s="1"/>
  <c r="T104" i="29" s="1"/>
  <c r="U104" i="29" s="1"/>
  <c r="V104" i="29" s="1"/>
  <c r="W104" i="29" s="1"/>
  <c r="X104" i="29" s="1"/>
  <c r="Y104" i="29" s="1"/>
  <c r="Z104" i="29" s="1"/>
  <c r="AA104" i="29" s="1"/>
  <c r="AB104" i="29" s="1"/>
  <c r="AC104" i="29" s="1"/>
  <c r="AD104" i="29" s="1"/>
  <c r="AE104" i="29" s="1"/>
  <c r="AF104" i="29" s="1"/>
  <c r="E252" i="20"/>
  <c r="F252" i="20" s="1"/>
  <c r="G252" i="20" s="1"/>
  <c r="H252" i="20" s="1"/>
  <c r="I252" i="20" s="1"/>
  <c r="J252" i="20" s="1"/>
  <c r="K252" i="20" s="1"/>
  <c r="L252" i="20" s="1"/>
  <c r="M252" i="20" s="1"/>
  <c r="N252" i="20" s="1"/>
  <c r="O252" i="20" s="1"/>
  <c r="P252" i="20" s="1"/>
  <c r="Q252" i="20" s="1"/>
  <c r="R252" i="20" s="1"/>
  <c r="S252" i="20" s="1"/>
  <c r="T252" i="20" s="1"/>
  <c r="U252" i="20" s="1"/>
  <c r="V252" i="20" s="1"/>
  <c r="W252" i="20" s="1"/>
  <c r="X252" i="20" s="1"/>
  <c r="Y252" i="20" s="1"/>
  <c r="Z252" i="20" s="1"/>
  <c r="AA252" i="20" s="1"/>
  <c r="AB252" i="20" s="1"/>
  <c r="AC252" i="20" s="1"/>
  <c r="AD252" i="20" s="1"/>
  <c r="AE252" i="20" s="1"/>
  <c r="AF252" i="20" s="1"/>
  <c r="D252" i="20"/>
  <c r="D251" i="20"/>
  <c r="E251" i="20" s="1"/>
  <c r="F251" i="20" s="1"/>
  <c r="G251" i="20" s="1"/>
  <c r="H251" i="20" s="1"/>
  <c r="I251" i="20" s="1"/>
  <c r="J251" i="20" s="1"/>
  <c r="K251" i="20" s="1"/>
  <c r="L251" i="20" s="1"/>
  <c r="M251" i="20" s="1"/>
  <c r="N251" i="20" s="1"/>
  <c r="O251" i="20" s="1"/>
  <c r="P251" i="20" s="1"/>
  <c r="Q251" i="20" s="1"/>
  <c r="R251" i="20" s="1"/>
  <c r="S251" i="20" s="1"/>
  <c r="T251" i="20" s="1"/>
  <c r="U251" i="20" s="1"/>
  <c r="V251" i="20" s="1"/>
  <c r="W251" i="20" s="1"/>
  <c r="X251" i="20" s="1"/>
  <c r="Y251" i="20" s="1"/>
  <c r="Z251" i="20" s="1"/>
  <c r="AA251" i="20" s="1"/>
  <c r="AB251" i="20" s="1"/>
  <c r="AC251" i="20" s="1"/>
  <c r="AD251" i="20" s="1"/>
  <c r="AE251" i="20" s="1"/>
  <c r="AF251" i="20" s="1"/>
  <c r="K250" i="20"/>
  <c r="L250" i="20" s="1"/>
  <c r="M250" i="20" s="1"/>
  <c r="N250" i="20" s="1"/>
  <c r="O250" i="20" s="1"/>
  <c r="P250" i="20" s="1"/>
  <c r="Q250" i="20" s="1"/>
  <c r="R250" i="20" s="1"/>
  <c r="S250" i="20" s="1"/>
  <c r="T250" i="20" s="1"/>
  <c r="U250" i="20" s="1"/>
  <c r="V250" i="20" s="1"/>
  <c r="W250" i="20" s="1"/>
  <c r="X250" i="20" s="1"/>
  <c r="Y250" i="20" s="1"/>
  <c r="Z250" i="20" s="1"/>
  <c r="AA250" i="20" s="1"/>
  <c r="AB250" i="20" s="1"/>
  <c r="AC250" i="20" s="1"/>
  <c r="AD250" i="20" s="1"/>
  <c r="AE250" i="20" s="1"/>
  <c r="AF250" i="20" s="1"/>
  <c r="D250" i="20"/>
  <c r="E250" i="20" s="1"/>
  <c r="F250" i="20" s="1"/>
  <c r="G250" i="20" s="1"/>
  <c r="H250" i="20" s="1"/>
  <c r="I250" i="20" s="1"/>
  <c r="J250" i="20" s="1"/>
  <c r="H249" i="20"/>
  <c r="I249" i="20" s="1"/>
  <c r="J249" i="20" s="1"/>
  <c r="K249" i="20" s="1"/>
  <c r="L249" i="20" s="1"/>
  <c r="M249" i="20" s="1"/>
  <c r="N249" i="20" s="1"/>
  <c r="O249" i="20" s="1"/>
  <c r="P249" i="20" s="1"/>
  <c r="Q249" i="20" s="1"/>
  <c r="R249" i="20" s="1"/>
  <c r="S249" i="20" s="1"/>
  <c r="T249" i="20" s="1"/>
  <c r="U249" i="20" s="1"/>
  <c r="V249" i="20" s="1"/>
  <c r="W249" i="20" s="1"/>
  <c r="X249" i="20" s="1"/>
  <c r="Y249" i="20" s="1"/>
  <c r="Z249" i="20" s="1"/>
  <c r="AA249" i="20" s="1"/>
  <c r="AB249" i="20" s="1"/>
  <c r="AC249" i="20" s="1"/>
  <c r="AD249" i="20" s="1"/>
  <c r="AE249" i="20" s="1"/>
  <c r="AF249" i="20" s="1"/>
  <c r="D249" i="20"/>
  <c r="E249" i="20" s="1"/>
  <c r="F249" i="20" s="1"/>
  <c r="G249" i="20" s="1"/>
  <c r="F248" i="20"/>
  <c r="G248" i="20" s="1"/>
  <c r="H248" i="20" s="1"/>
  <c r="I248" i="20" s="1"/>
  <c r="J248" i="20" s="1"/>
  <c r="K248" i="20" s="1"/>
  <c r="L248" i="20" s="1"/>
  <c r="M248" i="20" s="1"/>
  <c r="N248" i="20" s="1"/>
  <c r="O248" i="20" s="1"/>
  <c r="P248" i="20" s="1"/>
  <c r="Q248" i="20" s="1"/>
  <c r="R248" i="20" s="1"/>
  <c r="S248" i="20" s="1"/>
  <c r="T248" i="20" s="1"/>
  <c r="U248" i="20" s="1"/>
  <c r="V248" i="20" s="1"/>
  <c r="W248" i="20" s="1"/>
  <c r="X248" i="20" s="1"/>
  <c r="Y248" i="20" s="1"/>
  <c r="Z248" i="20" s="1"/>
  <c r="AA248" i="20" s="1"/>
  <c r="AB248" i="20" s="1"/>
  <c r="AC248" i="20" s="1"/>
  <c r="AD248" i="20" s="1"/>
  <c r="AE248" i="20" s="1"/>
  <c r="AF248" i="20" s="1"/>
  <c r="E248" i="20"/>
  <c r="D248" i="20"/>
  <c r="J247" i="20"/>
  <c r="K247" i="20" s="1"/>
  <c r="L247" i="20" s="1"/>
  <c r="M247" i="20" s="1"/>
  <c r="N247" i="20" s="1"/>
  <c r="O247" i="20" s="1"/>
  <c r="P247" i="20" s="1"/>
  <c r="Q247" i="20" s="1"/>
  <c r="R247" i="20" s="1"/>
  <c r="S247" i="20" s="1"/>
  <c r="T247" i="20" s="1"/>
  <c r="U247" i="20" s="1"/>
  <c r="V247" i="20" s="1"/>
  <c r="W247" i="20" s="1"/>
  <c r="X247" i="20" s="1"/>
  <c r="Y247" i="20" s="1"/>
  <c r="Z247" i="20" s="1"/>
  <c r="AA247" i="20" s="1"/>
  <c r="AB247" i="20" s="1"/>
  <c r="AC247" i="20" s="1"/>
  <c r="AD247" i="20" s="1"/>
  <c r="AE247" i="20" s="1"/>
  <c r="AF247" i="20" s="1"/>
  <c r="F247" i="20"/>
  <c r="G247" i="20" s="1"/>
  <c r="H247" i="20" s="1"/>
  <c r="I247" i="20" s="1"/>
  <c r="E247" i="20"/>
  <c r="D247" i="20"/>
  <c r="D246" i="20"/>
  <c r="E246" i="20" s="1"/>
  <c r="F246" i="20" s="1"/>
  <c r="G246" i="20" s="1"/>
  <c r="H246" i="20" s="1"/>
  <c r="I246" i="20" s="1"/>
  <c r="J246" i="20" s="1"/>
  <c r="K246" i="20" s="1"/>
  <c r="L246" i="20" s="1"/>
  <c r="M246" i="20" s="1"/>
  <c r="N246" i="20" s="1"/>
  <c r="O246" i="20" s="1"/>
  <c r="P246" i="20" s="1"/>
  <c r="Q246" i="20" s="1"/>
  <c r="R246" i="20" s="1"/>
  <c r="S246" i="20" s="1"/>
  <c r="T246" i="20" s="1"/>
  <c r="U246" i="20" s="1"/>
  <c r="V246" i="20" s="1"/>
  <c r="W246" i="20" s="1"/>
  <c r="X246" i="20" s="1"/>
  <c r="Y246" i="20" s="1"/>
  <c r="Z246" i="20" s="1"/>
  <c r="AA246" i="20" s="1"/>
  <c r="AB246" i="20" s="1"/>
  <c r="AC246" i="20" s="1"/>
  <c r="AD246" i="20" s="1"/>
  <c r="AE246" i="20" s="1"/>
  <c r="AF246" i="20" s="1"/>
  <c r="D245" i="20"/>
  <c r="E245" i="20" s="1"/>
  <c r="F245" i="20" s="1"/>
  <c r="G245" i="20" s="1"/>
  <c r="H245" i="20" s="1"/>
  <c r="I245" i="20" s="1"/>
  <c r="J245" i="20" s="1"/>
  <c r="K245" i="20" s="1"/>
  <c r="L245" i="20" s="1"/>
  <c r="M245" i="20" s="1"/>
  <c r="N245" i="20" s="1"/>
  <c r="O245" i="20" s="1"/>
  <c r="P245" i="20" s="1"/>
  <c r="Q245" i="20" s="1"/>
  <c r="R245" i="20" s="1"/>
  <c r="S245" i="20" s="1"/>
  <c r="T245" i="20" s="1"/>
  <c r="U245" i="20" s="1"/>
  <c r="V245" i="20" s="1"/>
  <c r="W245" i="20" s="1"/>
  <c r="X245" i="20" s="1"/>
  <c r="Y245" i="20" s="1"/>
  <c r="Z245" i="20" s="1"/>
  <c r="AA245" i="20" s="1"/>
  <c r="AB245" i="20" s="1"/>
  <c r="AC245" i="20" s="1"/>
  <c r="AD245" i="20" s="1"/>
  <c r="AE245" i="20" s="1"/>
  <c r="AF245" i="20" s="1"/>
  <c r="I244" i="20"/>
  <c r="J244" i="20" s="1"/>
  <c r="K244" i="20" s="1"/>
  <c r="L244" i="20" s="1"/>
  <c r="M244" i="20" s="1"/>
  <c r="N244" i="20" s="1"/>
  <c r="O244" i="20" s="1"/>
  <c r="P244" i="20" s="1"/>
  <c r="Q244" i="20" s="1"/>
  <c r="R244" i="20" s="1"/>
  <c r="S244" i="20" s="1"/>
  <c r="T244" i="20" s="1"/>
  <c r="U244" i="20" s="1"/>
  <c r="V244" i="20" s="1"/>
  <c r="W244" i="20" s="1"/>
  <c r="X244" i="20" s="1"/>
  <c r="Y244" i="20" s="1"/>
  <c r="Z244" i="20" s="1"/>
  <c r="AA244" i="20" s="1"/>
  <c r="AB244" i="20" s="1"/>
  <c r="AC244" i="20" s="1"/>
  <c r="AD244" i="20" s="1"/>
  <c r="AE244" i="20" s="1"/>
  <c r="AF244" i="20" s="1"/>
  <c r="E244" i="20"/>
  <c r="F244" i="20" s="1"/>
  <c r="G244" i="20" s="1"/>
  <c r="H244" i="20" s="1"/>
  <c r="D244" i="20"/>
  <c r="D243" i="20"/>
  <c r="E243" i="20" s="1"/>
  <c r="F243" i="20" s="1"/>
  <c r="G243" i="20" s="1"/>
  <c r="H243" i="20" s="1"/>
  <c r="I243" i="20" s="1"/>
  <c r="J243" i="20" s="1"/>
  <c r="K243" i="20" s="1"/>
  <c r="L243" i="20" s="1"/>
  <c r="M243" i="20" s="1"/>
  <c r="N243" i="20" s="1"/>
  <c r="O243" i="20" s="1"/>
  <c r="P243" i="20" s="1"/>
  <c r="Q243" i="20" s="1"/>
  <c r="R243" i="20" s="1"/>
  <c r="S243" i="20" s="1"/>
  <c r="T243" i="20" s="1"/>
  <c r="U243" i="20" s="1"/>
  <c r="V243" i="20" s="1"/>
  <c r="W243" i="20" s="1"/>
  <c r="X243" i="20" s="1"/>
  <c r="Y243" i="20" s="1"/>
  <c r="Z243" i="20" s="1"/>
  <c r="AA243" i="20" s="1"/>
  <c r="AB243" i="20" s="1"/>
  <c r="AC243" i="20" s="1"/>
  <c r="AD243" i="20" s="1"/>
  <c r="AE243" i="20" s="1"/>
  <c r="AF243" i="20" s="1"/>
  <c r="D242" i="20"/>
  <c r="E242" i="20" s="1"/>
  <c r="F242" i="20" s="1"/>
  <c r="G242" i="20" s="1"/>
  <c r="H242" i="20" s="1"/>
  <c r="I242" i="20" s="1"/>
  <c r="J242" i="20" s="1"/>
  <c r="K242" i="20" s="1"/>
  <c r="L242" i="20" s="1"/>
  <c r="M242" i="20" s="1"/>
  <c r="N242" i="20" s="1"/>
  <c r="O242" i="20" s="1"/>
  <c r="P242" i="20" s="1"/>
  <c r="Q242" i="20" s="1"/>
  <c r="R242" i="20" s="1"/>
  <c r="S242" i="20" s="1"/>
  <c r="T242" i="20" s="1"/>
  <c r="U242" i="20" s="1"/>
  <c r="V242" i="20" s="1"/>
  <c r="W242" i="20" s="1"/>
  <c r="X242" i="20" s="1"/>
  <c r="Y242" i="20" s="1"/>
  <c r="Z242" i="20" s="1"/>
  <c r="AA242" i="20" s="1"/>
  <c r="AB242" i="20" s="1"/>
  <c r="AC242" i="20" s="1"/>
  <c r="AD242" i="20" s="1"/>
  <c r="AE242" i="20" s="1"/>
  <c r="AF242" i="20" s="1"/>
  <c r="D241" i="20"/>
  <c r="E241" i="20" s="1"/>
  <c r="F241" i="20" s="1"/>
  <c r="G241" i="20" s="1"/>
  <c r="H241" i="20" s="1"/>
  <c r="I241" i="20" s="1"/>
  <c r="J241" i="20" s="1"/>
  <c r="K241" i="20" s="1"/>
  <c r="L241" i="20" s="1"/>
  <c r="M241" i="20" s="1"/>
  <c r="N241" i="20" s="1"/>
  <c r="O241" i="20" s="1"/>
  <c r="P241" i="20" s="1"/>
  <c r="Q241" i="20" s="1"/>
  <c r="R241" i="20" s="1"/>
  <c r="S241" i="20" s="1"/>
  <c r="T241" i="20" s="1"/>
  <c r="U241" i="20" s="1"/>
  <c r="V241" i="20" s="1"/>
  <c r="W241" i="20" s="1"/>
  <c r="X241" i="20" s="1"/>
  <c r="Y241" i="20" s="1"/>
  <c r="Z241" i="20" s="1"/>
  <c r="AA241" i="20" s="1"/>
  <c r="AB241" i="20" s="1"/>
  <c r="AC241" i="20" s="1"/>
  <c r="AD241" i="20" s="1"/>
  <c r="AE241" i="20" s="1"/>
  <c r="AF241" i="20" s="1"/>
  <c r="E240" i="20"/>
  <c r="F240" i="20" s="1"/>
  <c r="G240" i="20" s="1"/>
  <c r="H240" i="20" s="1"/>
  <c r="I240" i="20" s="1"/>
  <c r="J240" i="20" s="1"/>
  <c r="K240" i="20" s="1"/>
  <c r="L240" i="20" s="1"/>
  <c r="M240" i="20" s="1"/>
  <c r="N240" i="20" s="1"/>
  <c r="O240" i="20" s="1"/>
  <c r="P240" i="20" s="1"/>
  <c r="Q240" i="20" s="1"/>
  <c r="R240" i="20" s="1"/>
  <c r="S240" i="20" s="1"/>
  <c r="T240" i="20" s="1"/>
  <c r="U240" i="20" s="1"/>
  <c r="V240" i="20" s="1"/>
  <c r="W240" i="20" s="1"/>
  <c r="X240" i="20" s="1"/>
  <c r="Y240" i="20" s="1"/>
  <c r="Z240" i="20" s="1"/>
  <c r="AA240" i="20" s="1"/>
  <c r="AB240" i="20" s="1"/>
  <c r="AC240" i="20" s="1"/>
  <c r="AD240" i="20" s="1"/>
  <c r="AE240" i="20" s="1"/>
  <c r="AF240" i="20" s="1"/>
  <c r="D240" i="20"/>
  <c r="F239" i="20"/>
  <c r="G239" i="20" s="1"/>
  <c r="H239" i="20" s="1"/>
  <c r="I239" i="20" s="1"/>
  <c r="J239" i="20" s="1"/>
  <c r="K239" i="20" s="1"/>
  <c r="L239" i="20" s="1"/>
  <c r="M239" i="20" s="1"/>
  <c r="N239" i="20" s="1"/>
  <c r="O239" i="20" s="1"/>
  <c r="P239" i="20" s="1"/>
  <c r="Q239" i="20" s="1"/>
  <c r="R239" i="20" s="1"/>
  <c r="S239" i="20" s="1"/>
  <c r="T239" i="20" s="1"/>
  <c r="U239" i="20" s="1"/>
  <c r="V239" i="20" s="1"/>
  <c r="W239" i="20" s="1"/>
  <c r="X239" i="20" s="1"/>
  <c r="Y239" i="20" s="1"/>
  <c r="Z239" i="20" s="1"/>
  <c r="AA239" i="20" s="1"/>
  <c r="AB239" i="20" s="1"/>
  <c r="AC239" i="20" s="1"/>
  <c r="AD239" i="20" s="1"/>
  <c r="AE239" i="20" s="1"/>
  <c r="AF239" i="20" s="1"/>
  <c r="E239" i="20"/>
  <c r="D239" i="20"/>
  <c r="D238" i="20"/>
  <c r="E238" i="20" s="1"/>
  <c r="F238" i="20" s="1"/>
  <c r="G238" i="20" s="1"/>
  <c r="H238" i="20" s="1"/>
  <c r="I238" i="20" s="1"/>
  <c r="J238" i="20" s="1"/>
  <c r="K238" i="20" s="1"/>
  <c r="L238" i="20" s="1"/>
  <c r="M238" i="20" s="1"/>
  <c r="N238" i="20" s="1"/>
  <c r="O238" i="20" s="1"/>
  <c r="P238" i="20" s="1"/>
  <c r="Q238" i="20" s="1"/>
  <c r="R238" i="20" s="1"/>
  <c r="S238" i="20" s="1"/>
  <c r="T238" i="20" s="1"/>
  <c r="U238" i="20" s="1"/>
  <c r="V238" i="20" s="1"/>
  <c r="W238" i="20" s="1"/>
  <c r="X238" i="20" s="1"/>
  <c r="Y238" i="20" s="1"/>
  <c r="Z238" i="20" s="1"/>
  <c r="AA238" i="20" s="1"/>
  <c r="AB238" i="20" s="1"/>
  <c r="AC238" i="20" s="1"/>
  <c r="AD238" i="20" s="1"/>
  <c r="AE238" i="20" s="1"/>
  <c r="AF238" i="20" s="1"/>
  <c r="D237" i="20"/>
  <c r="E237" i="20" s="1"/>
  <c r="F237" i="20" s="1"/>
  <c r="G237" i="20" s="1"/>
  <c r="H237" i="20" s="1"/>
  <c r="I237" i="20" s="1"/>
  <c r="J237" i="20" s="1"/>
  <c r="K237" i="20" s="1"/>
  <c r="L237" i="20" s="1"/>
  <c r="M237" i="20" s="1"/>
  <c r="N237" i="20" s="1"/>
  <c r="O237" i="20" s="1"/>
  <c r="P237" i="20" s="1"/>
  <c r="Q237" i="20" s="1"/>
  <c r="R237" i="20" s="1"/>
  <c r="S237" i="20" s="1"/>
  <c r="T237" i="20" s="1"/>
  <c r="U237" i="20" s="1"/>
  <c r="V237" i="20" s="1"/>
  <c r="W237" i="20" s="1"/>
  <c r="X237" i="20" s="1"/>
  <c r="Y237" i="20" s="1"/>
  <c r="Z237" i="20" s="1"/>
  <c r="AA237" i="20" s="1"/>
  <c r="AB237" i="20" s="1"/>
  <c r="AC237" i="20" s="1"/>
  <c r="AD237" i="20" s="1"/>
  <c r="AE237" i="20" s="1"/>
  <c r="AF237" i="20" s="1"/>
  <c r="I236" i="20"/>
  <c r="J236" i="20" s="1"/>
  <c r="K236" i="20" s="1"/>
  <c r="L236" i="20" s="1"/>
  <c r="M236" i="20" s="1"/>
  <c r="N236" i="20" s="1"/>
  <c r="O236" i="20" s="1"/>
  <c r="P236" i="20" s="1"/>
  <c r="Q236" i="20" s="1"/>
  <c r="R236" i="20" s="1"/>
  <c r="S236" i="20" s="1"/>
  <c r="T236" i="20" s="1"/>
  <c r="U236" i="20" s="1"/>
  <c r="V236" i="20" s="1"/>
  <c r="W236" i="20" s="1"/>
  <c r="X236" i="20" s="1"/>
  <c r="Y236" i="20" s="1"/>
  <c r="Z236" i="20" s="1"/>
  <c r="AA236" i="20" s="1"/>
  <c r="AB236" i="20" s="1"/>
  <c r="AC236" i="20" s="1"/>
  <c r="AD236" i="20" s="1"/>
  <c r="AE236" i="20" s="1"/>
  <c r="AF236" i="20" s="1"/>
  <c r="E236" i="20"/>
  <c r="F236" i="20" s="1"/>
  <c r="G236" i="20" s="1"/>
  <c r="H236" i="20" s="1"/>
  <c r="D236" i="20"/>
  <c r="AG235" i="20"/>
  <c r="C235" i="20"/>
  <c r="E234" i="20"/>
  <c r="E235" i="20" s="1"/>
  <c r="D234" i="20"/>
  <c r="D235" i="20" s="1"/>
  <c r="F233" i="20"/>
  <c r="G233" i="20" s="1"/>
  <c r="H233" i="20" s="1"/>
  <c r="I233" i="20" s="1"/>
  <c r="J233" i="20" s="1"/>
  <c r="K233" i="20" s="1"/>
  <c r="L233" i="20" s="1"/>
  <c r="M233" i="20" s="1"/>
  <c r="N233" i="20" s="1"/>
  <c r="O233" i="20" s="1"/>
  <c r="P233" i="20" s="1"/>
  <c r="Q233" i="20" s="1"/>
  <c r="R233" i="20" s="1"/>
  <c r="S233" i="20" s="1"/>
  <c r="T233" i="20" s="1"/>
  <c r="U233" i="20" s="1"/>
  <c r="V233" i="20" s="1"/>
  <c r="W233" i="20" s="1"/>
  <c r="X233" i="20" s="1"/>
  <c r="Y233" i="20" s="1"/>
  <c r="Z233" i="20" s="1"/>
  <c r="AA233" i="20" s="1"/>
  <c r="AB233" i="20" s="1"/>
  <c r="AC233" i="20" s="1"/>
  <c r="AD233" i="20" s="1"/>
  <c r="AE233" i="20" s="1"/>
  <c r="AF233" i="20" s="1"/>
  <c r="E233" i="20"/>
  <c r="D233" i="20"/>
  <c r="D231" i="20"/>
  <c r="E231" i="20" s="1"/>
  <c r="F231" i="20" s="1"/>
  <c r="G231" i="20" s="1"/>
  <c r="H231" i="20" s="1"/>
  <c r="I231" i="20" s="1"/>
  <c r="J231" i="20" s="1"/>
  <c r="K231" i="20" s="1"/>
  <c r="L231" i="20" s="1"/>
  <c r="M231" i="20" s="1"/>
  <c r="N231" i="20" s="1"/>
  <c r="O231" i="20" s="1"/>
  <c r="P231" i="20" s="1"/>
  <c r="Q231" i="20" s="1"/>
  <c r="R231" i="20" s="1"/>
  <c r="S231" i="20" s="1"/>
  <c r="T231" i="20" s="1"/>
  <c r="U231" i="20" s="1"/>
  <c r="V231" i="20" s="1"/>
  <c r="W231" i="20" s="1"/>
  <c r="X231" i="20" s="1"/>
  <c r="Y231" i="20" s="1"/>
  <c r="Z231" i="20" s="1"/>
  <c r="AA231" i="20" s="1"/>
  <c r="AB231" i="20" s="1"/>
  <c r="AC231" i="20" s="1"/>
  <c r="AD231" i="20" s="1"/>
  <c r="AE231" i="20" s="1"/>
  <c r="AF231" i="20" s="1"/>
  <c r="D230" i="20"/>
  <c r="E230" i="20" s="1"/>
  <c r="F230" i="20" s="1"/>
  <c r="G230" i="20" s="1"/>
  <c r="H230" i="20" s="1"/>
  <c r="I230" i="20" s="1"/>
  <c r="J230" i="20" s="1"/>
  <c r="K230" i="20" s="1"/>
  <c r="L230" i="20" s="1"/>
  <c r="M230" i="20" s="1"/>
  <c r="N230" i="20" s="1"/>
  <c r="O230" i="20" s="1"/>
  <c r="P230" i="20" s="1"/>
  <c r="Q230" i="20" s="1"/>
  <c r="R230" i="20" s="1"/>
  <c r="S230" i="20" s="1"/>
  <c r="T230" i="20" s="1"/>
  <c r="U230" i="20" s="1"/>
  <c r="V230" i="20" s="1"/>
  <c r="W230" i="20" s="1"/>
  <c r="X230" i="20" s="1"/>
  <c r="Y230" i="20" s="1"/>
  <c r="Z230" i="20" s="1"/>
  <c r="AA230" i="20" s="1"/>
  <c r="AB230" i="20" s="1"/>
  <c r="AC230" i="20" s="1"/>
  <c r="AD230" i="20" s="1"/>
  <c r="AE230" i="20" s="1"/>
  <c r="AF230" i="20" s="1"/>
  <c r="E229" i="20"/>
  <c r="F229" i="20" s="1"/>
  <c r="G229" i="20" s="1"/>
  <c r="H229" i="20" s="1"/>
  <c r="I229" i="20" s="1"/>
  <c r="J229" i="20" s="1"/>
  <c r="K229" i="20" s="1"/>
  <c r="L229" i="20" s="1"/>
  <c r="M229" i="20" s="1"/>
  <c r="N229" i="20" s="1"/>
  <c r="O229" i="20" s="1"/>
  <c r="P229" i="20" s="1"/>
  <c r="Q229" i="20" s="1"/>
  <c r="R229" i="20" s="1"/>
  <c r="S229" i="20" s="1"/>
  <c r="T229" i="20" s="1"/>
  <c r="U229" i="20" s="1"/>
  <c r="V229" i="20" s="1"/>
  <c r="W229" i="20" s="1"/>
  <c r="X229" i="20" s="1"/>
  <c r="Y229" i="20" s="1"/>
  <c r="Z229" i="20" s="1"/>
  <c r="AA229" i="20" s="1"/>
  <c r="AB229" i="20" s="1"/>
  <c r="AC229" i="20" s="1"/>
  <c r="AD229" i="20" s="1"/>
  <c r="AE229" i="20" s="1"/>
  <c r="AF229" i="20" s="1"/>
  <c r="D229" i="20"/>
  <c r="D228" i="20"/>
  <c r="E228" i="20" s="1"/>
  <c r="F228" i="20" s="1"/>
  <c r="G228" i="20" s="1"/>
  <c r="H228" i="20" s="1"/>
  <c r="I228" i="20" s="1"/>
  <c r="J228" i="20" s="1"/>
  <c r="K228" i="20" s="1"/>
  <c r="L228" i="20" s="1"/>
  <c r="M228" i="20" s="1"/>
  <c r="N228" i="20" s="1"/>
  <c r="O228" i="20" s="1"/>
  <c r="P228" i="20" s="1"/>
  <c r="Q228" i="20" s="1"/>
  <c r="R228" i="20" s="1"/>
  <c r="S228" i="20" s="1"/>
  <c r="T228" i="20" s="1"/>
  <c r="U228" i="20" s="1"/>
  <c r="V228" i="20" s="1"/>
  <c r="W228" i="20" s="1"/>
  <c r="X228" i="20" s="1"/>
  <c r="Y228" i="20" s="1"/>
  <c r="Z228" i="20" s="1"/>
  <c r="AA228" i="20" s="1"/>
  <c r="AB228" i="20" s="1"/>
  <c r="AC228" i="20" s="1"/>
  <c r="AD228" i="20" s="1"/>
  <c r="AE228" i="20" s="1"/>
  <c r="AF228" i="20" s="1"/>
  <c r="E227" i="20"/>
  <c r="F227" i="20" s="1"/>
  <c r="G227" i="20" s="1"/>
  <c r="H227" i="20" s="1"/>
  <c r="I227" i="20" s="1"/>
  <c r="J227" i="20" s="1"/>
  <c r="K227" i="20" s="1"/>
  <c r="L227" i="20" s="1"/>
  <c r="M227" i="20" s="1"/>
  <c r="N227" i="20" s="1"/>
  <c r="O227" i="20" s="1"/>
  <c r="P227" i="20" s="1"/>
  <c r="Q227" i="20" s="1"/>
  <c r="R227" i="20" s="1"/>
  <c r="S227" i="20" s="1"/>
  <c r="T227" i="20" s="1"/>
  <c r="U227" i="20" s="1"/>
  <c r="V227" i="20" s="1"/>
  <c r="W227" i="20" s="1"/>
  <c r="X227" i="20" s="1"/>
  <c r="Y227" i="20" s="1"/>
  <c r="Z227" i="20" s="1"/>
  <c r="AA227" i="20" s="1"/>
  <c r="AB227" i="20" s="1"/>
  <c r="AC227" i="20" s="1"/>
  <c r="AD227" i="20" s="1"/>
  <c r="AE227" i="20" s="1"/>
  <c r="AF227" i="20" s="1"/>
  <c r="D227" i="20"/>
  <c r="E226" i="20"/>
  <c r="F226" i="20" s="1"/>
  <c r="G226" i="20" s="1"/>
  <c r="H226" i="20" s="1"/>
  <c r="I226" i="20" s="1"/>
  <c r="J226" i="20" s="1"/>
  <c r="K226" i="20" s="1"/>
  <c r="L226" i="20" s="1"/>
  <c r="M226" i="20" s="1"/>
  <c r="N226" i="20" s="1"/>
  <c r="O226" i="20" s="1"/>
  <c r="P226" i="20" s="1"/>
  <c r="Q226" i="20" s="1"/>
  <c r="R226" i="20" s="1"/>
  <c r="S226" i="20" s="1"/>
  <c r="T226" i="20" s="1"/>
  <c r="U226" i="20" s="1"/>
  <c r="V226" i="20" s="1"/>
  <c r="W226" i="20" s="1"/>
  <c r="X226" i="20" s="1"/>
  <c r="Y226" i="20" s="1"/>
  <c r="Z226" i="20" s="1"/>
  <c r="AA226" i="20" s="1"/>
  <c r="AB226" i="20" s="1"/>
  <c r="AC226" i="20" s="1"/>
  <c r="AD226" i="20" s="1"/>
  <c r="AE226" i="20" s="1"/>
  <c r="AF226" i="20" s="1"/>
  <c r="D226" i="20"/>
  <c r="E225" i="20"/>
  <c r="F225" i="20" s="1"/>
  <c r="G225" i="20" s="1"/>
  <c r="H225" i="20" s="1"/>
  <c r="I225" i="20" s="1"/>
  <c r="J225" i="20" s="1"/>
  <c r="K225" i="20" s="1"/>
  <c r="L225" i="20" s="1"/>
  <c r="M225" i="20" s="1"/>
  <c r="N225" i="20" s="1"/>
  <c r="O225" i="20" s="1"/>
  <c r="P225" i="20" s="1"/>
  <c r="Q225" i="20" s="1"/>
  <c r="R225" i="20" s="1"/>
  <c r="S225" i="20" s="1"/>
  <c r="T225" i="20" s="1"/>
  <c r="U225" i="20" s="1"/>
  <c r="V225" i="20" s="1"/>
  <c r="W225" i="20" s="1"/>
  <c r="X225" i="20" s="1"/>
  <c r="Y225" i="20" s="1"/>
  <c r="Z225" i="20" s="1"/>
  <c r="AA225" i="20" s="1"/>
  <c r="AB225" i="20" s="1"/>
  <c r="AC225" i="20" s="1"/>
  <c r="AD225" i="20" s="1"/>
  <c r="AE225" i="20" s="1"/>
  <c r="AF225" i="20" s="1"/>
  <c r="D225" i="20"/>
  <c r="E210" i="19"/>
  <c r="F210" i="19" s="1"/>
  <c r="G210" i="19" s="1"/>
  <c r="H210" i="19" s="1"/>
  <c r="I210" i="19" s="1"/>
  <c r="J210" i="19" s="1"/>
  <c r="K210" i="19" s="1"/>
  <c r="L210" i="19" s="1"/>
  <c r="M210" i="19" s="1"/>
  <c r="N210" i="19" s="1"/>
  <c r="O210" i="19" s="1"/>
  <c r="P210" i="19" s="1"/>
  <c r="Q210" i="19" s="1"/>
  <c r="R210" i="19" s="1"/>
  <c r="S210" i="19" s="1"/>
  <c r="T210" i="19" s="1"/>
  <c r="U210" i="19" s="1"/>
  <c r="V210" i="19" s="1"/>
  <c r="W210" i="19" s="1"/>
  <c r="X210" i="19" s="1"/>
  <c r="Y210" i="19" s="1"/>
  <c r="Z210" i="19" s="1"/>
  <c r="AA210" i="19" s="1"/>
  <c r="AB210" i="19" s="1"/>
  <c r="AC210" i="19" s="1"/>
  <c r="AD210" i="19" s="1"/>
  <c r="AE210" i="19" s="1"/>
  <c r="AF210" i="19" s="1"/>
  <c r="D210" i="19"/>
  <c r="F209" i="19"/>
  <c r="G209" i="19" s="1"/>
  <c r="H209" i="19" s="1"/>
  <c r="I209" i="19" s="1"/>
  <c r="J209" i="19" s="1"/>
  <c r="K209" i="19" s="1"/>
  <c r="L209" i="19" s="1"/>
  <c r="M209" i="19" s="1"/>
  <c r="N209" i="19" s="1"/>
  <c r="O209" i="19" s="1"/>
  <c r="P209" i="19" s="1"/>
  <c r="Q209" i="19" s="1"/>
  <c r="R209" i="19" s="1"/>
  <c r="S209" i="19" s="1"/>
  <c r="T209" i="19" s="1"/>
  <c r="U209" i="19" s="1"/>
  <c r="V209" i="19" s="1"/>
  <c r="W209" i="19" s="1"/>
  <c r="X209" i="19" s="1"/>
  <c r="Y209" i="19" s="1"/>
  <c r="Z209" i="19" s="1"/>
  <c r="AA209" i="19" s="1"/>
  <c r="AB209" i="19" s="1"/>
  <c r="AC209" i="19" s="1"/>
  <c r="AD209" i="19" s="1"/>
  <c r="AE209" i="19" s="1"/>
  <c r="AF209" i="19" s="1"/>
  <c r="D209" i="19"/>
  <c r="E209" i="19" s="1"/>
  <c r="D208" i="19"/>
  <c r="E208" i="19" s="1"/>
  <c r="F208" i="19" s="1"/>
  <c r="G208" i="19" s="1"/>
  <c r="H208" i="19" s="1"/>
  <c r="I208" i="19" s="1"/>
  <c r="J208" i="19" s="1"/>
  <c r="K208" i="19" s="1"/>
  <c r="L208" i="19" s="1"/>
  <c r="M208" i="19" s="1"/>
  <c r="N208" i="19" s="1"/>
  <c r="O208" i="19" s="1"/>
  <c r="P208" i="19" s="1"/>
  <c r="Q208" i="19" s="1"/>
  <c r="R208" i="19" s="1"/>
  <c r="S208" i="19" s="1"/>
  <c r="T208" i="19" s="1"/>
  <c r="U208" i="19" s="1"/>
  <c r="V208" i="19" s="1"/>
  <c r="W208" i="19" s="1"/>
  <c r="X208" i="19" s="1"/>
  <c r="Y208" i="19" s="1"/>
  <c r="Z208" i="19" s="1"/>
  <c r="AA208" i="19" s="1"/>
  <c r="AB208" i="19" s="1"/>
  <c r="AC208" i="19" s="1"/>
  <c r="AD208" i="19" s="1"/>
  <c r="AE208" i="19" s="1"/>
  <c r="AF208" i="19" s="1"/>
  <c r="D207" i="19"/>
  <c r="E207" i="19" s="1"/>
  <c r="F207" i="19" s="1"/>
  <c r="G207" i="19" s="1"/>
  <c r="H207" i="19" s="1"/>
  <c r="I207" i="19" s="1"/>
  <c r="J207" i="19" s="1"/>
  <c r="K207" i="19" s="1"/>
  <c r="L207" i="19" s="1"/>
  <c r="M207" i="19" s="1"/>
  <c r="N207" i="19" s="1"/>
  <c r="O207" i="19" s="1"/>
  <c r="P207" i="19" s="1"/>
  <c r="Q207" i="19" s="1"/>
  <c r="R207" i="19" s="1"/>
  <c r="S207" i="19" s="1"/>
  <c r="T207" i="19" s="1"/>
  <c r="U207" i="19" s="1"/>
  <c r="V207" i="19" s="1"/>
  <c r="W207" i="19" s="1"/>
  <c r="X207" i="19" s="1"/>
  <c r="Y207" i="19" s="1"/>
  <c r="Z207" i="19" s="1"/>
  <c r="AA207" i="19" s="1"/>
  <c r="AB207" i="19" s="1"/>
  <c r="AC207" i="19" s="1"/>
  <c r="AD207" i="19" s="1"/>
  <c r="AE207" i="19" s="1"/>
  <c r="AF207" i="19" s="1"/>
  <c r="E206" i="19"/>
  <c r="F206" i="19" s="1"/>
  <c r="G206" i="19" s="1"/>
  <c r="H206" i="19" s="1"/>
  <c r="I206" i="19" s="1"/>
  <c r="J206" i="19" s="1"/>
  <c r="K206" i="19" s="1"/>
  <c r="L206" i="19" s="1"/>
  <c r="M206" i="19" s="1"/>
  <c r="N206" i="19" s="1"/>
  <c r="O206" i="19" s="1"/>
  <c r="P206" i="19" s="1"/>
  <c r="Q206" i="19" s="1"/>
  <c r="R206" i="19" s="1"/>
  <c r="S206" i="19" s="1"/>
  <c r="T206" i="19" s="1"/>
  <c r="U206" i="19" s="1"/>
  <c r="V206" i="19" s="1"/>
  <c r="W206" i="19" s="1"/>
  <c r="X206" i="19" s="1"/>
  <c r="Y206" i="19" s="1"/>
  <c r="Z206" i="19" s="1"/>
  <c r="AA206" i="19" s="1"/>
  <c r="AB206" i="19" s="1"/>
  <c r="AC206" i="19" s="1"/>
  <c r="AD206" i="19" s="1"/>
  <c r="AE206" i="19" s="1"/>
  <c r="AF206" i="19" s="1"/>
  <c r="D206" i="19"/>
  <c r="F205" i="19"/>
  <c r="G205" i="19" s="1"/>
  <c r="H205" i="19" s="1"/>
  <c r="I205" i="19" s="1"/>
  <c r="J205" i="19" s="1"/>
  <c r="K205" i="19" s="1"/>
  <c r="L205" i="19" s="1"/>
  <c r="M205" i="19" s="1"/>
  <c r="N205" i="19" s="1"/>
  <c r="O205" i="19" s="1"/>
  <c r="P205" i="19" s="1"/>
  <c r="Q205" i="19" s="1"/>
  <c r="R205" i="19" s="1"/>
  <c r="S205" i="19" s="1"/>
  <c r="T205" i="19" s="1"/>
  <c r="U205" i="19" s="1"/>
  <c r="V205" i="19" s="1"/>
  <c r="W205" i="19" s="1"/>
  <c r="X205" i="19" s="1"/>
  <c r="Y205" i="19" s="1"/>
  <c r="Z205" i="19" s="1"/>
  <c r="AA205" i="19" s="1"/>
  <c r="AB205" i="19" s="1"/>
  <c r="AC205" i="19" s="1"/>
  <c r="AD205" i="19" s="1"/>
  <c r="AE205" i="19" s="1"/>
  <c r="AF205" i="19" s="1"/>
  <c r="E205" i="19"/>
  <c r="D205" i="19"/>
  <c r="E204" i="19"/>
  <c r="F204" i="19" s="1"/>
  <c r="G204" i="19" s="1"/>
  <c r="H204" i="19" s="1"/>
  <c r="I204" i="19" s="1"/>
  <c r="J204" i="19" s="1"/>
  <c r="K204" i="19" s="1"/>
  <c r="L204" i="19" s="1"/>
  <c r="M204" i="19" s="1"/>
  <c r="N204" i="19" s="1"/>
  <c r="O204" i="19" s="1"/>
  <c r="P204" i="19" s="1"/>
  <c r="Q204" i="19" s="1"/>
  <c r="R204" i="19" s="1"/>
  <c r="S204" i="19" s="1"/>
  <c r="T204" i="19" s="1"/>
  <c r="U204" i="19" s="1"/>
  <c r="V204" i="19" s="1"/>
  <c r="W204" i="19" s="1"/>
  <c r="X204" i="19" s="1"/>
  <c r="Y204" i="19" s="1"/>
  <c r="Z204" i="19" s="1"/>
  <c r="AA204" i="19" s="1"/>
  <c r="AB204" i="19" s="1"/>
  <c r="AC204" i="19" s="1"/>
  <c r="AD204" i="19" s="1"/>
  <c r="AE204" i="19" s="1"/>
  <c r="AF204" i="19" s="1"/>
  <c r="D204" i="19"/>
  <c r="D203" i="19"/>
  <c r="E203" i="19" s="1"/>
  <c r="F203" i="19" s="1"/>
  <c r="G203" i="19" s="1"/>
  <c r="H203" i="19" s="1"/>
  <c r="I203" i="19" s="1"/>
  <c r="J203" i="19" s="1"/>
  <c r="K203" i="19" s="1"/>
  <c r="L203" i="19" s="1"/>
  <c r="M203" i="19" s="1"/>
  <c r="N203" i="19" s="1"/>
  <c r="O203" i="19" s="1"/>
  <c r="P203" i="19" s="1"/>
  <c r="Q203" i="19" s="1"/>
  <c r="R203" i="19" s="1"/>
  <c r="S203" i="19" s="1"/>
  <c r="T203" i="19" s="1"/>
  <c r="U203" i="19" s="1"/>
  <c r="V203" i="19" s="1"/>
  <c r="W203" i="19" s="1"/>
  <c r="X203" i="19" s="1"/>
  <c r="Y203" i="19" s="1"/>
  <c r="Z203" i="19" s="1"/>
  <c r="AA203" i="19" s="1"/>
  <c r="AB203" i="19" s="1"/>
  <c r="AC203" i="19" s="1"/>
  <c r="AD203" i="19" s="1"/>
  <c r="AE203" i="19" s="1"/>
  <c r="AF203" i="19" s="1"/>
  <c r="E202" i="19"/>
  <c r="F202" i="19" s="1"/>
  <c r="G202" i="19" s="1"/>
  <c r="H202" i="19" s="1"/>
  <c r="I202" i="19" s="1"/>
  <c r="J202" i="19" s="1"/>
  <c r="K202" i="19" s="1"/>
  <c r="L202" i="19" s="1"/>
  <c r="M202" i="19" s="1"/>
  <c r="N202" i="19" s="1"/>
  <c r="O202" i="19" s="1"/>
  <c r="P202" i="19" s="1"/>
  <c r="Q202" i="19" s="1"/>
  <c r="R202" i="19" s="1"/>
  <c r="S202" i="19" s="1"/>
  <c r="T202" i="19" s="1"/>
  <c r="U202" i="19" s="1"/>
  <c r="V202" i="19" s="1"/>
  <c r="W202" i="19" s="1"/>
  <c r="X202" i="19" s="1"/>
  <c r="Y202" i="19" s="1"/>
  <c r="Z202" i="19" s="1"/>
  <c r="AA202" i="19" s="1"/>
  <c r="AB202" i="19" s="1"/>
  <c r="AC202" i="19" s="1"/>
  <c r="AD202" i="19" s="1"/>
  <c r="AE202" i="19" s="1"/>
  <c r="AF202" i="19" s="1"/>
  <c r="D202" i="19"/>
  <c r="D201" i="19"/>
  <c r="E201" i="19" s="1"/>
  <c r="F201" i="19" s="1"/>
  <c r="G201" i="19" s="1"/>
  <c r="H201" i="19" s="1"/>
  <c r="I201" i="19" s="1"/>
  <c r="J201" i="19" s="1"/>
  <c r="K201" i="19" s="1"/>
  <c r="L201" i="19" s="1"/>
  <c r="M201" i="19" s="1"/>
  <c r="N201" i="19" s="1"/>
  <c r="O201" i="19" s="1"/>
  <c r="P201" i="19" s="1"/>
  <c r="Q201" i="19" s="1"/>
  <c r="R201" i="19" s="1"/>
  <c r="S201" i="19" s="1"/>
  <c r="T201" i="19" s="1"/>
  <c r="U201" i="19" s="1"/>
  <c r="V201" i="19" s="1"/>
  <c r="W201" i="19" s="1"/>
  <c r="X201" i="19" s="1"/>
  <c r="Y201" i="19" s="1"/>
  <c r="Z201" i="19" s="1"/>
  <c r="AA201" i="19" s="1"/>
  <c r="AB201" i="19" s="1"/>
  <c r="AC201" i="19" s="1"/>
  <c r="AD201" i="19" s="1"/>
  <c r="AE201" i="19" s="1"/>
  <c r="AF201" i="19" s="1"/>
  <c r="D200" i="19"/>
  <c r="E200" i="19" s="1"/>
  <c r="F200" i="19" s="1"/>
  <c r="G200" i="19" s="1"/>
  <c r="H200" i="19" s="1"/>
  <c r="I200" i="19" s="1"/>
  <c r="J200" i="19" s="1"/>
  <c r="K200" i="19" s="1"/>
  <c r="L200" i="19" s="1"/>
  <c r="M200" i="19" s="1"/>
  <c r="N200" i="19" s="1"/>
  <c r="O200" i="19" s="1"/>
  <c r="P200" i="19" s="1"/>
  <c r="Q200" i="19" s="1"/>
  <c r="R200" i="19" s="1"/>
  <c r="S200" i="19" s="1"/>
  <c r="T200" i="19" s="1"/>
  <c r="U200" i="19" s="1"/>
  <c r="V200" i="19" s="1"/>
  <c r="W200" i="19" s="1"/>
  <c r="X200" i="19" s="1"/>
  <c r="Y200" i="19" s="1"/>
  <c r="Z200" i="19" s="1"/>
  <c r="AA200" i="19" s="1"/>
  <c r="AB200" i="19" s="1"/>
  <c r="AC200" i="19" s="1"/>
  <c r="AD200" i="19" s="1"/>
  <c r="AE200" i="19" s="1"/>
  <c r="AF200" i="19" s="1"/>
  <c r="D199" i="19"/>
  <c r="E199" i="19" s="1"/>
  <c r="F199" i="19" s="1"/>
  <c r="G199" i="19" s="1"/>
  <c r="H199" i="19" s="1"/>
  <c r="I199" i="19" s="1"/>
  <c r="J199" i="19" s="1"/>
  <c r="K199" i="19" s="1"/>
  <c r="L199" i="19" s="1"/>
  <c r="M199" i="19" s="1"/>
  <c r="N199" i="19" s="1"/>
  <c r="O199" i="19" s="1"/>
  <c r="P199" i="19" s="1"/>
  <c r="Q199" i="19" s="1"/>
  <c r="R199" i="19" s="1"/>
  <c r="S199" i="19" s="1"/>
  <c r="T199" i="19" s="1"/>
  <c r="U199" i="19" s="1"/>
  <c r="V199" i="19" s="1"/>
  <c r="W199" i="19" s="1"/>
  <c r="X199" i="19" s="1"/>
  <c r="Y199" i="19" s="1"/>
  <c r="Z199" i="19" s="1"/>
  <c r="AA199" i="19" s="1"/>
  <c r="AB199" i="19" s="1"/>
  <c r="AC199" i="19" s="1"/>
  <c r="AD199" i="19" s="1"/>
  <c r="AE199" i="19" s="1"/>
  <c r="AF199" i="19" s="1"/>
  <c r="E198" i="19"/>
  <c r="F198" i="19" s="1"/>
  <c r="G198" i="19" s="1"/>
  <c r="H198" i="19" s="1"/>
  <c r="I198" i="19" s="1"/>
  <c r="J198" i="19" s="1"/>
  <c r="K198" i="19" s="1"/>
  <c r="L198" i="19" s="1"/>
  <c r="M198" i="19" s="1"/>
  <c r="N198" i="19" s="1"/>
  <c r="O198" i="19" s="1"/>
  <c r="P198" i="19" s="1"/>
  <c r="Q198" i="19" s="1"/>
  <c r="R198" i="19" s="1"/>
  <c r="S198" i="19" s="1"/>
  <c r="T198" i="19" s="1"/>
  <c r="U198" i="19" s="1"/>
  <c r="V198" i="19" s="1"/>
  <c r="W198" i="19" s="1"/>
  <c r="X198" i="19" s="1"/>
  <c r="Y198" i="19" s="1"/>
  <c r="Z198" i="19" s="1"/>
  <c r="AA198" i="19" s="1"/>
  <c r="AB198" i="19" s="1"/>
  <c r="AC198" i="19" s="1"/>
  <c r="AD198" i="19" s="1"/>
  <c r="AE198" i="19" s="1"/>
  <c r="AF198" i="19" s="1"/>
  <c r="D198" i="19"/>
  <c r="F197" i="19"/>
  <c r="G197" i="19" s="1"/>
  <c r="H197" i="19" s="1"/>
  <c r="I197" i="19" s="1"/>
  <c r="J197" i="19" s="1"/>
  <c r="K197" i="19" s="1"/>
  <c r="L197" i="19" s="1"/>
  <c r="M197" i="19" s="1"/>
  <c r="N197" i="19" s="1"/>
  <c r="O197" i="19" s="1"/>
  <c r="P197" i="19" s="1"/>
  <c r="Q197" i="19" s="1"/>
  <c r="R197" i="19" s="1"/>
  <c r="S197" i="19" s="1"/>
  <c r="T197" i="19" s="1"/>
  <c r="U197" i="19" s="1"/>
  <c r="V197" i="19" s="1"/>
  <c r="W197" i="19" s="1"/>
  <c r="X197" i="19" s="1"/>
  <c r="Y197" i="19" s="1"/>
  <c r="Z197" i="19" s="1"/>
  <c r="AA197" i="19" s="1"/>
  <c r="AB197" i="19" s="1"/>
  <c r="AC197" i="19" s="1"/>
  <c r="AD197" i="19" s="1"/>
  <c r="AE197" i="19" s="1"/>
  <c r="AF197" i="19" s="1"/>
  <c r="E197" i="19"/>
  <c r="D197" i="19"/>
  <c r="E196" i="19"/>
  <c r="F196" i="19" s="1"/>
  <c r="G196" i="19" s="1"/>
  <c r="H196" i="19" s="1"/>
  <c r="I196" i="19" s="1"/>
  <c r="J196" i="19" s="1"/>
  <c r="K196" i="19" s="1"/>
  <c r="L196" i="19" s="1"/>
  <c r="M196" i="19" s="1"/>
  <c r="N196" i="19" s="1"/>
  <c r="O196" i="19" s="1"/>
  <c r="P196" i="19" s="1"/>
  <c r="Q196" i="19" s="1"/>
  <c r="R196" i="19" s="1"/>
  <c r="S196" i="19" s="1"/>
  <c r="T196" i="19" s="1"/>
  <c r="U196" i="19" s="1"/>
  <c r="V196" i="19" s="1"/>
  <c r="W196" i="19" s="1"/>
  <c r="X196" i="19" s="1"/>
  <c r="Y196" i="19" s="1"/>
  <c r="Z196" i="19" s="1"/>
  <c r="AA196" i="19" s="1"/>
  <c r="AB196" i="19" s="1"/>
  <c r="AC196" i="19" s="1"/>
  <c r="AD196" i="19" s="1"/>
  <c r="AE196" i="19" s="1"/>
  <c r="AF196" i="19" s="1"/>
  <c r="D196" i="19"/>
  <c r="D195" i="19"/>
  <c r="E195" i="19" s="1"/>
  <c r="F195" i="19" s="1"/>
  <c r="G195" i="19" s="1"/>
  <c r="H195" i="19" s="1"/>
  <c r="I195" i="19" s="1"/>
  <c r="J195" i="19" s="1"/>
  <c r="K195" i="19" s="1"/>
  <c r="L195" i="19" s="1"/>
  <c r="M195" i="19" s="1"/>
  <c r="N195" i="19" s="1"/>
  <c r="O195" i="19" s="1"/>
  <c r="P195" i="19" s="1"/>
  <c r="Q195" i="19" s="1"/>
  <c r="R195" i="19" s="1"/>
  <c r="S195" i="19" s="1"/>
  <c r="T195" i="19" s="1"/>
  <c r="U195" i="19" s="1"/>
  <c r="V195" i="19" s="1"/>
  <c r="W195" i="19" s="1"/>
  <c r="X195" i="19" s="1"/>
  <c r="Y195" i="19" s="1"/>
  <c r="Z195" i="19" s="1"/>
  <c r="AA195" i="19" s="1"/>
  <c r="AB195" i="19" s="1"/>
  <c r="AC195" i="19" s="1"/>
  <c r="AD195" i="19" s="1"/>
  <c r="AE195" i="19" s="1"/>
  <c r="AF195" i="19" s="1"/>
  <c r="I194" i="19"/>
  <c r="J194" i="19" s="1"/>
  <c r="K194" i="19" s="1"/>
  <c r="L194" i="19" s="1"/>
  <c r="M194" i="19" s="1"/>
  <c r="N194" i="19" s="1"/>
  <c r="O194" i="19" s="1"/>
  <c r="P194" i="19" s="1"/>
  <c r="Q194" i="19" s="1"/>
  <c r="R194" i="19" s="1"/>
  <c r="S194" i="19" s="1"/>
  <c r="T194" i="19" s="1"/>
  <c r="U194" i="19" s="1"/>
  <c r="V194" i="19" s="1"/>
  <c r="W194" i="19" s="1"/>
  <c r="X194" i="19" s="1"/>
  <c r="Y194" i="19" s="1"/>
  <c r="Z194" i="19" s="1"/>
  <c r="AA194" i="19" s="1"/>
  <c r="AB194" i="19" s="1"/>
  <c r="AC194" i="19" s="1"/>
  <c r="AD194" i="19" s="1"/>
  <c r="AE194" i="19" s="1"/>
  <c r="AF194" i="19" s="1"/>
  <c r="E194" i="19"/>
  <c r="F194" i="19" s="1"/>
  <c r="G194" i="19" s="1"/>
  <c r="H194" i="19" s="1"/>
  <c r="D194" i="19"/>
  <c r="AG193" i="19"/>
  <c r="C193" i="19"/>
  <c r="E192" i="19"/>
  <c r="E193" i="19" s="1"/>
  <c r="D192" i="19"/>
  <c r="D193" i="19" s="1"/>
  <c r="J191" i="19"/>
  <c r="K191" i="19" s="1"/>
  <c r="L191" i="19" s="1"/>
  <c r="M191" i="19" s="1"/>
  <c r="N191" i="19" s="1"/>
  <c r="O191" i="19" s="1"/>
  <c r="P191" i="19" s="1"/>
  <c r="Q191" i="19" s="1"/>
  <c r="R191" i="19" s="1"/>
  <c r="S191" i="19" s="1"/>
  <c r="T191" i="19" s="1"/>
  <c r="U191" i="19" s="1"/>
  <c r="V191" i="19" s="1"/>
  <c r="W191" i="19" s="1"/>
  <c r="X191" i="19" s="1"/>
  <c r="Y191" i="19" s="1"/>
  <c r="Z191" i="19" s="1"/>
  <c r="AA191" i="19" s="1"/>
  <c r="AB191" i="19" s="1"/>
  <c r="AC191" i="19" s="1"/>
  <c r="AD191" i="19" s="1"/>
  <c r="AE191" i="19" s="1"/>
  <c r="AF191" i="19" s="1"/>
  <c r="F191" i="19"/>
  <c r="G191" i="19" s="1"/>
  <c r="H191" i="19" s="1"/>
  <c r="I191" i="19" s="1"/>
  <c r="E191" i="19"/>
  <c r="D191" i="19"/>
  <c r="D189" i="19"/>
  <c r="E189" i="19" s="1"/>
  <c r="F189" i="19" s="1"/>
  <c r="G189" i="19" s="1"/>
  <c r="H189" i="19" s="1"/>
  <c r="I189" i="19" s="1"/>
  <c r="J189" i="19" s="1"/>
  <c r="K189" i="19" s="1"/>
  <c r="L189" i="19" s="1"/>
  <c r="M189" i="19" s="1"/>
  <c r="N189" i="19" s="1"/>
  <c r="O189" i="19" s="1"/>
  <c r="P189" i="19" s="1"/>
  <c r="Q189" i="19" s="1"/>
  <c r="R189" i="19" s="1"/>
  <c r="S189" i="19" s="1"/>
  <c r="T189" i="19" s="1"/>
  <c r="U189" i="19" s="1"/>
  <c r="V189" i="19" s="1"/>
  <c r="W189" i="19" s="1"/>
  <c r="X189" i="19" s="1"/>
  <c r="Y189" i="19" s="1"/>
  <c r="Z189" i="19" s="1"/>
  <c r="AA189" i="19" s="1"/>
  <c r="AB189" i="19" s="1"/>
  <c r="AC189" i="19" s="1"/>
  <c r="AD189" i="19" s="1"/>
  <c r="AE189" i="19" s="1"/>
  <c r="AF189" i="19" s="1"/>
  <c r="D188" i="19"/>
  <c r="E188" i="19" s="1"/>
  <c r="F188" i="19" s="1"/>
  <c r="G188" i="19" s="1"/>
  <c r="H188" i="19" s="1"/>
  <c r="I188" i="19" s="1"/>
  <c r="J188" i="19" s="1"/>
  <c r="K188" i="19" s="1"/>
  <c r="L188" i="19" s="1"/>
  <c r="M188" i="19" s="1"/>
  <c r="N188" i="19" s="1"/>
  <c r="O188" i="19" s="1"/>
  <c r="P188" i="19" s="1"/>
  <c r="Q188" i="19" s="1"/>
  <c r="R188" i="19" s="1"/>
  <c r="S188" i="19" s="1"/>
  <c r="T188" i="19" s="1"/>
  <c r="U188" i="19" s="1"/>
  <c r="V188" i="19" s="1"/>
  <c r="W188" i="19" s="1"/>
  <c r="X188" i="19" s="1"/>
  <c r="Y188" i="19" s="1"/>
  <c r="Z188" i="19" s="1"/>
  <c r="AA188" i="19" s="1"/>
  <c r="AB188" i="19" s="1"/>
  <c r="AC188" i="19" s="1"/>
  <c r="AD188" i="19" s="1"/>
  <c r="AE188" i="19" s="1"/>
  <c r="AF188" i="19" s="1"/>
  <c r="I187" i="19"/>
  <c r="J187" i="19" s="1"/>
  <c r="K187" i="19" s="1"/>
  <c r="L187" i="19" s="1"/>
  <c r="M187" i="19" s="1"/>
  <c r="N187" i="19" s="1"/>
  <c r="O187" i="19" s="1"/>
  <c r="P187" i="19" s="1"/>
  <c r="Q187" i="19" s="1"/>
  <c r="R187" i="19" s="1"/>
  <c r="S187" i="19" s="1"/>
  <c r="T187" i="19" s="1"/>
  <c r="U187" i="19" s="1"/>
  <c r="V187" i="19" s="1"/>
  <c r="W187" i="19" s="1"/>
  <c r="X187" i="19" s="1"/>
  <c r="Y187" i="19" s="1"/>
  <c r="Z187" i="19" s="1"/>
  <c r="AA187" i="19" s="1"/>
  <c r="AB187" i="19" s="1"/>
  <c r="AC187" i="19" s="1"/>
  <c r="AD187" i="19" s="1"/>
  <c r="AE187" i="19" s="1"/>
  <c r="AF187" i="19" s="1"/>
  <c r="E187" i="19"/>
  <c r="F187" i="19" s="1"/>
  <c r="G187" i="19" s="1"/>
  <c r="H187" i="19" s="1"/>
  <c r="D187" i="19"/>
  <c r="G186" i="19"/>
  <c r="H186" i="19" s="1"/>
  <c r="I186" i="19" s="1"/>
  <c r="J186" i="19" s="1"/>
  <c r="K186" i="19" s="1"/>
  <c r="L186" i="19" s="1"/>
  <c r="M186" i="19" s="1"/>
  <c r="N186" i="19" s="1"/>
  <c r="O186" i="19" s="1"/>
  <c r="P186" i="19" s="1"/>
  <c r="Q186" i="19" s="1"/>
  <c r="R186" i="19" s="1"/>
  <c r="S186" i="19" s="1"/>
  <c r="T186" i="19" s="1"/>
  <c r="U186" i="19" s="1"/>
  <c r="V186" i="19" s="1"/>
  <c r="W186" i="19" s="1"/>
  <c r="X186" i="19" s="1"/>
  <c r="Y186" i="19" s="1"/>
  <c r="Z186" i="19" s="1"/>
  <c r="AA186" i="19" s="1"/>
  <c r="AB186" i="19" s="1"/>
  <c r="AC186" i="19" s="1"/>
  <c r="AD186" i="19" s="1"/>
  <c r="AE186" i="19" s="1"/>
  <c r="AF186" i="19" s="1"/>
  <c r="F186" i="19"/>
  <c r="D186" i="19"/>
  <c r="E186" i="19" s="1"/>
  <c r="D185" i="19"/>
  <c r="E185" i="19" s="1"/>
  <c r="F185" i="19" s="1"/>
  <c r="G185" i="19" s="1"/>
  <c r="H185" i="19" s="1"/>
  <c r="I185" i="19" s="1"/>
  <c r="J185" i="19" s="1"/>
  <c r="K185" i="19" s="1"/>
  <c r="L185" i="19" s="1"/>
  <c r="M185" i="19" s="1"/>
  <c r="N185" i="19" s="1"/>
  <c r="O185" i="19" s="1"/>
  <c r="P185" i="19" s="1"/>
  <c r="Q185" i="19" s="1"/>
  <c r="R185" i="19" s="1"/>
  <c r="S185" i="19" s="1"/>
  <c r="T185" i="19" s="1"/>
  <c r="U185" i="19" s="1"/>
  <c r="V185" i="19" s="1"/>
  <c r="W185" i="19" s="1"/>
  <c r="X185" i="19" s="1"/>
  <c r="Y185" i="19" s="1"/>
  <c r="Z185" i="19" s="1"/>
  <c r="AA185" i="19" s="1"/>
  <c r="AB185" i="19" s="1"/>
  <c r="AC185" i="19" s="1"/>
  <c r="AD185" i="19" s="1"/>
  <c r="AE185" i="19" s="1"/>
  <c r="AF185" i="19" s="1"/>
  <c r="D184" i="19"/>
  <c r="E184" i="19" s="1"/>
  <c r="F184" i="19" s="1"/>
  <c r="G184" i="19" s="1"/>
  <c r="H184" i="19" s="1"/>
  <c r="I184" i="19" s="1"/>
  <c r="J184" i="19" s="1"/>
  <c r="K184" i="19" s="1"/>
  <c r="L184" i="19" s="1"/>
  <c r="M184" i="19" s="1"/>
  <c r="N184" i="19" s="1"/>
  <c r="O184" i="19" s="1"/>
  <c r="P184" i="19" s="1"/>
  <c r="Q184" i="19" s="1"/>
  <c r="R184" i="19" s="1"/>
  <c r="S184" i="19" s="1"/>
  <c r="T184" i="19" s="1"/>
  <c r="U184" i="19" s="1"/>
  <c r="V184" i="19" s="1"/>
  <c r="W184" i="19" s="1"/>
  <c r="X184" i="19" s="1"/>
  <c r="Y184" i="19" s="1"/>
  <c r="Z184" i="19" s="1"/>
  <c r="AA184" i="19" s="1"/>
  <c r="AB184" i="19" s="1"/>
  <c r="AC184" i="19" s="1"/>
  <c r="AD184" i="19" s="1"/>
  <c r="AE184" i="19" s="1"/>
  <c r="AF184" i="19" s="1"/>
  <c r="E183" i="19"/>
  <c r="F183" i="19" s="1"/>
  <c r="G183" i="19" s="1"/>
  <c r="H183" i="19" s="1"/>
  <c r="I183" i="19" s="1"/>
  <c r="J183" i="19" s="1"/>
  <c r="K183" i="19" s="1"/>
  <c r="L183" i="19" s="1"/>
  <c r="M183" i="19" s="1"/>
  <c r="N183" i="19" s="1"/>
  <c r="O183" i="19" s="1"/>
  <c r="P183" i="19" s="1"/>
  <c r="Q183" i="19" s="1"/>
  <c r="R183" i="19" s="1"/>
  <c r="S183" i="19" s="1"/>
  <c r="T183" i="19" s="1"/>
  <c r="U183" i="19" s="1"/>
  <c r="V183" i="19" s="1"/>
  <c r="W183" i="19" s="1"/>
  <c r="X183" i="19" s="1"/>
  <c r="Y183" i="19" s="1"/>
  <c r="Z183" i="19" s="1"/>
  <c r="AA183" i="19" s="1"/>
  <c r="AB183" i="19" s="1"/>
  <c r="AC183" i="19" s="1"/>
  <c r="AD183" i="19" s="1"/>
  <c r="AE183" i="19" s="1"/>
  <c r="AF183" i="19" s="1"/>
  <c r="D183" i="19"/>
  <c r="AA10" i="8"/>
  <c r="W10" i="8"/>
  <c r="AA9" i="8"/>
  <c r="W9" i="8"/>
  <c r="AA8" i="8"/>
  <c r="W8" i="8"/>
  <c r="AA7" i="8"/>
  <c r="W7" i="8"/>
  <c r="L14" i="8"/>
  <c r="J14" i="8"/>
  <c r="H14" i="8"/>
  <c r="F14" i="8"/>
  <c r="D14" i="8"/>
  <c r="B14" i="8"/>
  <c r="H10" i="8"/>
  <c r="H9" i="8"/>
  <c r="H8" i="8"/>
  <c r="H7" i="8"/>
  <c r="I13" i="24"/>
  <c r="H13" i="24"/>
  <c r="G13" i="24"/>
  <c r="F13" i="24"/>
  <c r="E13" i="24"/>
  <c r="D13" i="24"/>
  <c r="B13" i="24"/>
  <c r="B7" i="24"/>
  <c r="I6" i="24"/>
  <c r="H6" i="24"/>
  <c r="E16" i="13"/>
  <c r="I4" i="6"/>
  <c r="H4" i="6"/>
  <c r="G4" i="6"/>
  <c r="F4" i="6"/>
  <c r="E4" i="6"/>
  <c r="D4" i="6"/>
  <c r="C4" i="6"/>
  <c r="B4" i="6"/>
  <c r="I3" i="6"/>
  <c r="H3" i="6"/>
  <c r="G3" i="6"/>
  <c r="F3" i="6"/>
  <c r="E3" i="6"/>
  <c r="D3" i="6"/>
  <c r="C3" i="6"/>
  <c r="B3" i="6"/>
  <c r="O111" i="28" l="1"/>
  <c r="F111" i="28"/>
  <c r="R111" i="28"/>
  <c r="G111" i="28"/>
  <c r="AF111" i="28"/>
  <c r="H111" i="28"/>
  <c r="K111" i="28"/>
  <c r="S111" i="28"/>
  <c r="AA111" i="28"/>
  <c r="D111" i="28"/>
  <c r="L111" i="28"/>
  <c r="T111" i="28"/>
  <c r="AB111" i="28"/>
  <c r="AC111" i="28"/>
  <c r="N111" i="28"/>
  <c r="V111" i="28"/>
  <c r="AD111" i="28"/>
  <c r="AE111" i="28"/>
  <c r="P111" i="28"/>
  <c r="X111" i="28"/>
  <c r="X105" i="28"/>
  <c r="Y105" i="28"/>
  <c r="AA105" i="28"/>
  <c r="AC105" i="28"/>
  <c r="AF105" i="28"/>
  <c r="I105" i="28"/>
  <c r="Q105" i="28"/>
  <c r="J105" i="28"/>
  <c r="R105" i="28"/>
  <c r="Z105" i="28"/>
  <c r="K105" i="28"/>
  <c r="S105" i="28"/>
  <c r="D105" i="28"/>
  <c r="L105" i="28"/>
  <c r="T105" i="28"/>
  <c r="AB105" i="28"/>
  <c r="U105" i="28"/>
  <c r="F105" i="28"/>
  <c r="N105" i="28"/>
  <c r="V105" i="28"/>
  <c r="AD105" i="28"/>
  <c r="G105" i="28"/>
  <c r="E91" i="28"/>
  <c r="U91" i="28"/>
  <c r="F91" i="28"/>
  <c r="N91" i="28"/>
  <c r="V91" i="28"/>
  <c r="AD91" i="28"/>
  <c r="H91" i="28"/>
  <c r="P91" i="28"/>
  <c r="X91" i="28"/>
  <c r="AF91" i="28"/>
  <c r="O91" i="28"/>
  <c r="AE91" i="28"/>
  <c r="I91" i="28"/>
  <c r="Q91" i="28"/>
  <c r="Y91" i="28"/>
  <c r="J91" i="28"/>
  <c r="R91" i="28"/>
  <c r="Z91" i="28"/>
  <c r="K91" i="28"/>
  <c r="S91" i="28"/>
  <c r="AA91" i="28"/>
  <c r="D91" i="28"/>
  <c r="L91" i="28"/>
  <c r="T91" i="28"/>
  <c r="AB91" i="28"/>
  <c r="AC67" i="28"/>
  <c r="N67" i="28"/>
  <c r="V67" i="28"/>
  <c r="AD67" i="28"/>
  <c r="H67" i="28"/>
  <c r="P67" i="28"/>
  <c r="X67" i="28"/>
  <c r="AF67" i="28"/>
  <c r="I67" i="28"/>
  <c r="Q67" i="28"/>
  <c r="Y67" i="28"/>
  <c r="J67" i="28"/>
  <c r="R67" i="28"/>
  <c r="Z67" i="28"/>
  <c r="K67" i="28"/>
  <c r="S67" i="28"/>
  <c r="AA67" i="28"/>
  <c r="D67" i="28"/>
  <c r="L67" i="28"/>
  <c r="T67" i="28"/>
  <c r="AB67" i="28"/>
  <c r="AD50" i="28"/>
  <c r="Z51" i="28"/>
  <c r="AF50" i="28"/>
  <c r="AB51" i="28"/>
  <c r="AC51" i="28"/>
  <c r="AD51" i="28"/>
  <c r="AE51" i="28"/>
  <c r="X51" i="28"/>
  <c r="J206" i="20"/>
  <c r="R206" i="20"/>
  <c r="Z206" i="20"/>
  <c r="K206" i="20"/>
  <c r="S206" i="20"/>
  <c r="AA206" i="20"/>
  <c r="D206" i="20"/>
  <c r="L206" i="20"/>
  <c r="T206" i="20"/>
  <c r="AB206" i="20"/>
  <c r="U206" i="20"/>
  <c r="AC206" i="20"/>
  <c r="F206" i="20"/>
  <c r="N206" i="20"/>
  <c r="V206" i="20"/>
  <c r="AD206" i="20"/>
  <c r="AE206" i="20"/>
  <c r="H206" i="20"/>
  <c r="X206" i="20"/>
  <c r="P193" i="20"/>
  <c r="O193" i="20"/>
  <c r="D193" i="20"/>
  <c r="R193" i="20"/>
  <c r="E193" i="20"/>
  <c r="AF193" i="20"/>
  <c r="I193" i="20"/>
  <c r="Q193" i="20"/>
  <c r="Y193" i="20"/>
  <c r="K193" i="20"/>
  <c r="S193" i="20"/>
  <c r="AA193" i="20"/>
  <c r="T193" i="20"/>
  <c r="AB193" i="20"/>
  <c r="U193" i="20"/>
  <c r="AC193" i="20"/>
  <c r="N193" i="20"/>
  <c r="V193" i="20"/>
  <c r="AD193" i="20"/>
  <c r="AE193" i="20"/>
  <c r="H193" i="20"/>
  <c r="X193" i="20"/>
  <c r="I153" i="20"/>
  <c r="V153" i="20"/>
  <c r="K153" i="20"/>
  <c r="N153" i="20"/>
  <c r="E153" i="20"/>
  <c r="O153" i="20"/>
  <c r="G153" i="20"/>
  <c r="AE153" i="20"/>
  <c r="J153" i="20"/>
  <c r="R153" i="20"/>
  <c r="Z153" i="20"/>
  <c r="D153" i="20"/>
  <c r="L153" i="20"/>
  <c r="T153" i="20"/>
  <c r="AB153" i="20"/>
  <c r="U104" i="20"/>
  <c r="E104" i="20"/>
  <c r="G104" i="20"/>
  <c r="F104" i="20"/>
  <c r="N104" i="20"/>
  <c r="V104" i="20"/>
  <c r="AD104" i="20"/>
  <c r="AE104" i="20"/>
  <c r="H104" i="20"/>
  <c r="P104" i="20"/>
  <c r="X104" i="20"/>
  <c r="AF104" i="20"/>
  <c r="O104" i="20"/>
  <c r="I104" i="20"/>
  <c r="Q104" i="20"/>
  <c r="Y104" i="20"/>
  <c r="J104" i="20"/>
  <c r="R104" i="20"/>
  <c r="Z104" i="20"/>
  <c r="K104" i="20"/>
  <c r="S104" i="20"/>
  <c r="AA104" i="20"/>
  <c r="D104" i="20"/>
  <c r="L104" i="20"/>
  <c r="T104" i="20"/>
  <c r="AB104" i="20"/>
  <c r="AE50" i="20"/>
  <c r="AC51" i="20"/>
  <c r="Z50" i="20"/>
  <c r="AD51" i="20"/>
  <c r="AA50" i="20"/>
  <c r="AB50" i="20"/>
  <c r="E176" i="54"/>
  <c r="F175" i="54"/>
  <c r="E175" i="53"/>
  <c r="D288" i="48"/>
  <c r="E287" i="48"/>
  <c r="H287" i="46"/>
  <c r="G288" i="46"/>
  <c r="E260" i="38"/>
  <c r="F259" i="38"/>
  <c r="F259" i="42"/>
  <c r="F128" i="28"/>
  <c r="G127" i="28"/>
  <c r="G113" i="29"/>
  <c r="F234" i="20"/>
  <c r="F192" i="19"/>
  <c r="F176" i="54" l="1"/>
  <c r="G175" i="54"/>
  <c r="E176" i="53"/>
  <c r="F175" i="53"/>
  <c r="E288" i="48"/>
  <c r="F287" i="48"/>
  <c r="H288" i="46"/>
  <c r="I287" i="46"/>
  <c r="F260" i="38"/>
  <c r="G259" i="38"/>
  <c r="G259" i="42"/>
  <c r="F260" i="42"/>
  <c r="H127" i="28"/>
  <c r="G128" i="28"/>
  <c r="H113" i="29"/>
  <c r="G114" i="29"/>
  <c r="F235" i="20"/>
  <c r="G234" i="20"/>
  <c r="F193" i="19"/>
  <c r="G192" i="19"/>
  <c r="H175" i="54" l="1"/>
  <c r="G176" i="54"/>
  <c r="F176" i="53"/>
  <c r="G175" i="53"/>
  <c r="G287" i="48"/>
  <c r="F288" i="48"/>
  <c r="I288" i="46"/>
  <c r="J287" i="46"/>
  <c r="H259" i="38"/>
  <c r="G260" i="38"/>
  <c r="G260" i="42"/>
  <c r="H259" i="42"/>
  <c r="I127" i="28"/>
  <c r="H128" i="28"/>
  <c r="I113" i="29"/>
  <c r="H114" i="29"/>
  <c r="H234" i="20"/>
  <c r="G235" i="20"/>
  <c r="H192" i="19"/>
  <c r="G193" i="19"/>
  <c r="I175" i="54" l="1"/>
  <c r="H176" i="54"/>
  <c r="H175" i="53"/>
  <c r="G176" i="53"/>
  <c r="H287" i="48"/>
  <c r="G288" i="48"/>
  <c r="J288" i="46"/>
  <c r="K287" i="46"/>
  <c r="I259" i="38"/>
  <c r="H260" i="38"/>
  <c r="I259" i="42"/>
  <c r="H260" i="42"/>
  <c r="J127" i="28"/>
  <c r="I128" i="28"/>
  <c r="J113" i="29"/>
  <c r="I114" i="29"/>
  <c r="I234" i="20"/>
  <c r="H235" i="20"/>
  <c r="H193" i="19"/>
  <c r="I192" i="19"/>
  <c r="J175" i="54" l="1"/>
  <c r="I176" i="54"/>
  <c r="I175" i="53"/>
  <c r="H176" i="53"/>
  <c r="H288" i="48"/>
  <c r="I287" i="48"/>
  <c r="K288" i="46"/>
  <c r="L287" i="46"/>
  <c r="J259" i="38"/>
  <c r="I260" i="38"/>
  <c r="J259" i="42"/>
  <c r="I260" i="42"/>
  <c r="J128" i="28"/>
  <c r="K127" i="28"/>
  <c r="K113" i="29"/>
  <c r="J114" i="29"/>
  <c r="J234" i="20"/>
  <c r="I235" i="20"/>
  <c r="J192" i="19"/>
  <c r="I193" i="19"/>
  <c r="K175" i="54" l="1"/>
  <c r="J176" i="54"/>
  <c r="J175" i="53"/>
  <c r="I176" i="53"/>
  <c r="J287" i="48"/>
  <c r="I288" i="48"/>
  <c r="M287" i="46"/>
  <c r="L288" i="46"/>
  <c r="K259" i="38"/>
  <c r="J260" i="38"/>
  <c r="K259" i="42"/>
  <c r="J260" i="42"/>
  <c r="K128" i="28"/>
  <c r="L127" i="28"/>
  <c r="L113" i="29"/>
  <c r="K114" i="29"/>
  <c r="K234" i="20"/>
  <c r="J235" i="20"/>
  <c r="K192" i="19"/>
  <c r="J193" i="19"/>
  <c r="L175" i="54" l="1"/>
  <c r="K176" i="54"/>
  <c r="K175" i="53"/>
  <c r="J176" i="53"/>
  <c r="K287" i="48"/>
  <c r="J288" i="48"/>
  <c r="M288" i="46"/>
  <c r="N287" i="46"/>
  <c r="L259" i="38"/>
  <c r="K260" i="38"/>
  <c r="L259" i="42"/>
  <c r="K260" i="42"/>
  <c r="M127" i="28"/>
  <c r="L128" i="28"/>
  <c r="L114" i="29"/>
  <c r="M113" i="29"/>
  <c r="L234" i="20"/>
  <c r="K235" i="20"/>
  <c r="L192" i="19"/>
  <c r="K193" i="19"/>
  <c r="L176" i="54" l="1"/>
  <c r="M175" i="54"/>
  <c r="L175" i="53"/>
  <c r="K176" i="53"/>
  <c r="L287" i="48"/>
  <c r="K288" i="48"/>
  <c r="O287" i="46"/>
  <c r="N288" i="46"/>
  <c r="L260" i="38"/>
  <c r="M259" i="38"/>
  <c r="L260" i="42"/>
  <c r="M259" i="42"/>
  <c r="N127" i="28"/>
  <c r="M128" i="28"/>
  <c r="M114" i="29"/>
  <c r="N113" i="29"/>
  <c r="L235" i="20"/>
  <c r="M234" i="20"/>
  <c r="L193" i="19"/>
  <c r="M192" i="19"/>
  <c r="M176" i="54" l="1"/>
  <c r="N175" i="54"/>
  <c r="L176" i="53"/>
  <c r="M175" i="53"/>
  <c r="L288" i="48"/>
  <c r="M287" i="48"/>
  <c r="P287" i="46"/>
  <c r="O288" i="46"/>
  <c r="M260" i="38"/>
  <c r="N259" i="38"/>
  <c r="M260" i="42"/>
  <c r="N259" i="42"/>
  <c r="O127" i="28"/>
  <c r="N128" i="28"/>
  <c r="N114" i="29"/>
  <c r="O113" i="29"/>
  <c r="M235" i="20"/>
  <c r="N234" i="20"/>
  <c r="M193" i="19"/>
  <c r="N192" i="19"/>
  <c r="N176" i="54" l="1"/>
  <c r="O175" i="54"/>
  <c r="M176" i="53"/>
  <c r="N175" i="53"/>
  <c r="M288" i="48"/>
  <c r="N287" i="48"/>
  <c r="Q287" i="46"/>
  <c r="P288" i="46"/>
  <c r="N260" i="38"/>
  <c r="O259" i="38"/>
  <c r="O259" i="42"/>
  <c r="N260" i="42"/>
  <c r="P127" i="28"/>
  <c r="O128" i="28"/>
  <c r="P113" i="29"/>
  <c r="O114" i="29"/>
  <c r="N235" i="20"/>
  <c r="O234" i="20"/>
  <c r="N193" i="19"/>
  <c r="O192" i="19"/>
  <c r="P175" i="54" l="1"/>
  <c r="O176" i="54"/>
  <c r="N176" i="53"/>
  <c r="O175" i="53"/>
  <c r="O287" i="48"/>
  <c r="N288" i="48"/>
  <c r="Q288" i="46"/>
  <c r="R287" i="46"/>
  <c r="P259" i="38"/>
  <c r="O260" i="38"/>
  <c r="O260" i="42"/>
  <c r="P259" i="42"/>
  <c r="Q127" i="28"/>
  <c r="P128" i="28"/>
  <c r="Q113" i="29"/>
  <c r="P114" i="29"/>
  <c r="P234" i="20"/>
  <c r="O235" i="20"/>
  <c r="P192" i="19"/>
  <c r="O193" i="19"/>
  <c r="Q175" i="54" l="1"/>
  <c r="P176" i="54"/>
  <c r="P175" i="53"/>
  <c r="O176" i="53"/>
  <c r="P287" i="48"/>
  <c r="O288" i="48"/>
  <c r="R288" i="46"/>
  <c r="S287" i="46"/>
  <c r="Q259" i="38"/>
  <c r="P260" i="38"/>
  <c r="Q259" i="42"/>
  <c r="P260" i="42"/>
  <c r="Q128" i="28"/>
  <c r="R127" i="28"/>
  <c r="R113" i="29"/>
  <c r="Q114" i="29"/>
  <c r="P235" i="20"/>
  <c r="Q234" i="20"/>
  <c r="Q192" i="19"/>
  <c r="P193" i="19"/>
  <c r="R175" i="54" l="1"/>
  <c r="Q176" i="54"/>
  <c r="Q175" i="53"/>
  <c r="P176" i="53"/>
  <c r="Q287" i="48"/>
  <c r="P288" i="48"/>
  <c r="S288" i="46"/>
  <c r="T287" i="46"/>
  <c r="R259" i="38"/>
  <c r="Q260" i="38"/>
  <c r="R259" i="42"/>
  <c r="Q260" i="42"/>
  <c r="R128" i="28"/>
  <c r="S127" i="28"/>
  <c r="S113" i="29"/>
  <c r="R114" i="29"/>
  <c r="R234" i="20"/>
  <c r="Q235" i="20"/>
  <c r="R192" i="19"/>
  <c r="Q193" i="19"/>
  <c r="S175" i="54" l="1"/>
  <c r="R176" i="54"/>
  <c r="R175" i="53"/>
  <c r="Q176" i="53"/>
  <c r="R287" i="48"/>
  <c r="Q288" i="48"/>
  <c r="U287" i="46"/>
  <c r="T288" i="46"/>
  <c r="S259" i="38"/>
  <c r="R260" i="38"/>
  <c r="S259" i="42"/>
  <c r="R260" i="42"/>
  <c r="T127" i="28"/>
  <c r="S128" i="28"/>
  <c r="T113" i="29"/>
  <c r="S114" i="29"/>
  <c r="S234" i="20"/>
  <c r="R235" i="20"/>
  <c r="S192" i="19"/>
  <c r="R193" i="19"/>
  <c r="T175" i="54" l="1"/>
  <c r="S176" i="54"/>
  <c r="S175" i="53"/>
  <c r="R176" i="53"/>
  <c r="S287" i="48"/>
  <c r="R288" i="48"/>
  <c r="U288" i="46"/>
  <c r="V287" i="46"/>
  <c r="T259" i="38"/>
  <c r="S260" i="38"/>
  <c r="T259" i="42"/>
  <c r="S260" i="42"/>
  <c r="U127" i="28"/>
  <c r="T128" i="28"/>
  <c r="T114" i="29"/>
  <c r="U113" i="29"/>
  <c r="T234" i="20"/>
  <c r="S235" i="20"/>
  <c r="T192" i="19"/>
  <c r="S193" i="19"/>
  <c r="T176" i="54" l="1"/>
  <c r="U175" i="54"/>
  <c r="T175" i="53"/>
  <c r="S176" i="53"/>
  <c r="S288" i="48"/>
  <c r="T287" i="48"/>
  <c r="W287" i="46"/>
  <c r="V288" i="46"/>
  <c r="T260" i="38"/>
  <c r="U259" i="38"/>
  <c r="T260" i="42"/>
  <c r="U259" i="42"/>
  <c r="U128" i="28"/>
  <c r="V127" i="28"/>
  <c r="U114" i="29"/>
  <c r="V113" i="29"/>
  <c r="T235" i="20"/>
  <c r="U234" i="20"/>
  <c r="T193" i="19"/>
  <c r="U192" i="19"/>
  <c r="U176" i="54" l="1"/>
  <c r="V175" i="54"/>
  <c r="T176" i="53"/>
  <c r="U175" i="53"/>
  <c r="T288" i="48"/>
  <c r="U287" i="48"/>
  <c r="X287" i="46"/>
  <c r="W288" i="46"/>
  <c r="U260" i="38"/>
  <c r="V259" i="38"/>
  <c r="U260" i="42"/>
  <c r="V259" i="42"/>
  <c r="V128" i="28"/>
  <c r="W127" i="28"/>
  <c r="V114" i="29"/>
  <c r="W113" i="29"/>
  <c r="U235" i="20"/>
  <c r="V234" i="20"/>
  <c r="U193" i="19"/>
  <c r="V192" i="19"/>
  <c r="V176" i="54" l="1"/>
  <c r="W175" i="54"/>
  <c r="U176" i="53"/>
  <c r="V175" i="53"/>
  <c r="U288" i="48"/>
  <c r="V287" i="48"/>
  <c r="X288" i="46"/>
  <c r="Y287" i="46"/>
  <c r="V260" i="38"/>
  <c r="W259" i="38"/>
  <c r="W259" i="42"/>
  <c r="V260" i="42"/>
  <c r="X127" i="28"/>
  <c r="W128" i="28"/>
  <c r="X113" i="29"/>
  <c r="W114" i="29"/>
  <c r="V235" i="20"/>
  <c r="W234" i="20"/>
  <c r="V193" i="19"/>
  <c r="W192" i="19"/>
  <c r="X175" i="54" l="1"/>
  <c r="W176" i="54"/>
  <c r="V176" i="53"/>
  <c r="W175" i="53"/>
  <c r="W287" i="48"/>
  <c r="V288" i="48"/>
  <c r="Y288" i="46"/>
  <c r="Z287" i="46"/>
  <c r="X259" i="38"/>
  <c r="W260" i="38"/>
  <c r="W260" i="42"/>
  <c r="X259" i="42"/>
  <c r="X128" i="28"/>
  <c r="Y127" i="28"/>
  <c r="X114" i="29"/>
  <c r="Y113" i="29"/>
  <c r="X234" i="20"/>
  <c r="W235" i="20"/>
  <c r="X192" i="19"/>
  <c r="W193" i="19"/>
  <c r="Y175" i="54" l="1"/>
  <c r="X176" i="54"/>
  <c r="X175" i="53"/>
  <c r="W176" i="53"/>
  <c r="X287" i="48"/>
  <c r="W288" i="48"/>
  <c r="Z288" i="46"/>
  <c r="AA287" i="46"/>
  <c r="Y259" i="38"/>
  <c r="X260" i="38"/>
  <c r="X260" i="42"/>
  <c r="Y259" i="42"/>
  <c r="Z127" i="28"/>
  <c r="Y128" i="28"/>
  <c r="Z113" i="29"/>
  <c r="Y114" i="29"/>
  <c r="X235" i="20"/>
  <c r="Y234" i="20"/>
  <c r="X193" i="19"/>
  <c r="Y192" i="19"/>
  <c r="Z175" i="54" l="1"/>
  <c r="Y176" i="54"/>
  <c r="Y175" i="53"/>
  <c r="X176" i="53"/>
  <c r="X288" i="48"/>
  <c r="Y287" i="48"/>
  <c r="AA288" i="46"/>
  <c r="AB287" i="46"/>
  <c r="Z259" i="38"/>
  <c r="Y260" i="38"/>
  <c r="Z259" i="42"/>
  <c r="Y260" i="42"/>
  <c r="Z128" i="28"/>
  <c r="AA127" i="28"/>
  <c r="AA113" i="29"/>
  <c r="Z114" i="29"/>
  <c r="Z234" i="20"/>
  <c r="Y235" i="20"/>
  <c r="Z192" i="19"/>
  <c r="Y193" i="19"/>
  <c r="AA175" i="54" l="1"/>
  <c r="Z176" i="54"/>
  <c r="Z175" i="53"/>
  <c r="Y176" i="53"/>
  <c r="Z287" i="48"/>
  <c r="Y288" i="48"/>
  <c r="AC287" i="46"/>
  <c r="AB288" i="46"/>
  <c r="AA259" i="38"/>
  <c r="Z260" i="38"/>
  <c r="AA259" i="42"/>
  <c r="Z260" i="42"/>
  <c r="AB127" i="28"/>
  <c r="AA128" i="28"/>
  <c r="AB113" i="29"/>
  <c r="AA114" i="29"/>
  <c r="AA234" i="20"/>
  <c r="Z235" i="20"/>
  <c r="AA192" i="19"/>
  <c r="Z193" i="19"/>
  <c r="AB175" i="54" l="1"/>
  <c r="AA176" i="54"/>
  <c r="AA175" i="53"/>
  <c r="Z176" i="53"/>
  <c r="AA287" i="48"/>
  <c r="Z288" i="48"/>
  <c r="AC288" i="46"/>
  <c r="AD287" i="46"/>
  <c r="AB259" i="38"/>
  <c r="AA260" i="38"/>
  <c r="AA260" i="42"/>
  <c r="AB259" i="42"/>
  <c r="AC127" i="28"/>
  <c r="AB128" i="28"/>
  <c r="AB114" i="29"/>
  <c r="AC113" i="29"/>
  <c r="AB234" i="20"/>
  <c r="AA235" i="20"/>
  <c r="AB192" i="19"/>
  <c r="AA193" i="19"/>
  <c r="AB176" i="54" l="1"/>
  <c r="AC175" i="54"/>
  <c r="AB175" i="53"/>
  <c r="AA176" i="53"/>
  <c r="AA288" i="48"/>
  <c r="AB287" i="48"/>
  <c r="AE287" i="46"/>
  <c r="AD288" i="46"/>
  <c r="AB260" i="38"/>
  <c r="AC259" i="38"/>
  <c r="AB260" i="42"/>
  <c r="AC259" i="42"/>
  <c r="AD127" i="28"/>
  <c r="AC128" i="28"/>
  <c r="AC114" i="29"/>
  <c r="AD113" i="29"/>
  <c r="AB235" i="20"/>
  <c r="AC234" i="20"/>
  <c r="AB193" i="19"/>
  <c r="AC192" i="19"/>
  <c r="AC176" i="54" l="1"/>
  <c r="AD175" i="54"/>
  <c r="AB176" i="53"/>
  <c r="AC175" i="53"/>
  <c r="AB288" i="48"/>
  <c r="AC287" i="48"/>
  <c r="AF287" i="46"/>
  <c r="AF288" i="46" s="1"/>
  <c r="AE288" i="46"/>
  <c r="AC260" i="38"/>
  <c r="AD259" i="38"/>
  <c r="AC260" i="42"/>
  <c r="AD259" i="42"/>
  <c r="AE127" i="28"/>
  <c r="AD128" i="28"/>
  <c r="AD114" i="29"/>
  <c r="AE113" i="29"/>
  <c r="AC235" i="20"/>
  <c r="AD234" i="20"/>
  <c r="AC193" i="19"/>
  <c r="AD192" i="19"/>
  <c r="AD176" i="54" l="1"/>
  <c r="AE175" i="54"/>
  <c r="AC176" i="53"/>
  <c r="AD175" i="53"/>
  <c r="AC288" i="48"/>
  <c r="AD287" i="48"/>
  <c r="AD260" i="38"/>
  <c r="AE259" i="38"/>
  <c r="AE259" i="42"/>
  <c r="AD260" i="42"/>
  <c r="AF127" i="28"/>
  <c r="AF128" i="28" s="1"/>
  <c r="AE128" i="28"/>
  <c r="AF113" i="29"/>
  <c r="AF114" i="29" s="1"/>
  <c r="AE114" i="29"/>
  <c r="AD235" i="20"/>
  <c r="AE234" i="20"/>
  <c r="AD193" i="19"/>
  <c r="AE192" i="19"/>
  <c r="AF175" i="54" l="1"/>
  <c r="AF176" i="54" s="1"/>
  <c r="AE176" i="54"/>
  <c r="AD176" i="53"/>
  <c r="AE175" i="53"/>
  <c r="AE287" i="48"/>
  <c r="AD288" i="48"/>
  <c r="AF259" i="38"/>
  <c r="AF260" i="38" s="1"/>
  <c r="AE260" i="38"/>
  <c r="AF259" i="42"/>
  <c r="AF260" i="42" s="1"/>
  <c r="AE260" i="42"/>
  <c r="AF234" i="20"/>
  <c r="AF235" i="20" s="1"/>
  <c r="AE235" i="20"/>
  <c r="AF192" i="19"/>
  <c r="AF193" i="19" s="1"/>
  <c r="AE193" i="19"/>
  <c r="AF175" i="53" l="1"/>
  <c r="AF176" i="53" s="1"/>
  <c r="AE176" i="53"/>
  <c r="AF287" i="48"/>
  <c r="AF288" i="48" s="1"/>
  <c r="AE288" i="48"/>
  <c r="D66" i="45" l="1"/>
  <c r="D64" i="45"/>
  <c r="B30" i="57" l="1"/>
  <c r="C14" i="57"/>
  <c r="B14" i="57"/>
  <c r="B28" i="57"/>
  <c r="B26" i="57"/>
  <c r="D61" i="45" l="1"/>
  <c r="D64" i="36"/>
  <c r="D63" i="36"/>
  <c r="D73" i="14"/>
  <c r="D72" i="14"/>
  <c r="D73" i="12"/>
  <c r="D72" i="12"/>
  <c r="B2" i="54"/>
  <c r="A2" i="54"/>
  <c r="B2" i="53"/>
  <c r="A2" i="53"/>
  <c r="B2" i="48"/>
  <c r="A2" i="48"/>
  <c r="B2" i="46"/>
  <c r="A2" i="46"/>
  <c r="B2" i="38"/>
  <c r="A2" i="38"/>
  <c r="B2" i="42"/>
  <c r="A2" i="42"/>
  <c r="B2" i="28"/>
  <c r="A2" i="28"/>
  <c r="B2" i="29"/>
  <c r="A2" i="29"/>
  <c r="L15" i="24"/>
  <c r="M6" i="44" l="1"/>
  <c r="L14" i="44"/>
  <c r="L13" i="44"/>
  <c r="L12" i="44"/>
  <c r="N3" i="43" l="1"/>
  <c r="F4" i="43"/>
  <c r="E4" i="43"/>
  <c r="D4" i="43"/>
  <c r="R21" i="7"/>
  <c r="R20" i="7"/>
  <c r="L28" i="57"/>
  <c r="L30" i="57" s="1"/>
  <c r="D28" i="57"/>
  <c r="D30" i="57" s="1"/>
  <c r="B31" i="57"/>
  <c r="L26" i="57"/>
  <c r="D26" i="57"/>
  <c r="B32" i="57"/>
  <c r="G3" i="57"/>
  <c r="C3" i="57"/>
  <c r="B3" i="57"/>
  <c r="N7" i="43" l="1"/>
  <c r="N8" i="43"/>
  <c r="N12" i="43"/>
  <c r="N17" i="43"/>
  <c r="N11" i="43"/>
  <c r="N16" i="43"/>
  <c r="N10" i="43"/>
  <c r="N9" i="43" s="1"/>
  <c r="N13" i="43" s="1"/>
  <c r="N20" i="43"/>
  <c r="N21" i="43"/>
  <c r="N19" i="43"/>
  <c r="C18" i="25"/>
  <c r="D31" i="57"/>
  <c r="D32" i="57" s="1"/>
  <c r="E14" i="57" s="1"/>
  <c r="L31" i="57"/>
  <c r="L32" i="57" s="1"/>
  <c r="M14" i="57" s="1"/>
  <c r="M15" i="57" s="1"/>
  <c r="M16" i="57" s="1"/>
  <c r="H3" i="57"/>
  <c r="D27" i="13" s="1"/>
  <c r="N18" i="43" l="1"/>
  <c r="N22" i="43" s="1"/>
  <c r="M17" i="57"/>
  <c r="C5" i="50"/>
  <c r="F34" i="13"/>
  <c r="L34" i="13"/>
  <c r="O35" i="13"/>
  <c r="M34" i="13"/>
  <c r="P35" i="13"/>
  <c r="G35" i="13"/>
  <c r="T34" i="13"/>
  <c r="W35" i="13"/>
  <c r="U34" i="13"/>
  <c r="X35" i="13"/>
  <c r="AB34" i="13"/>
  <c r="AE35" i="13"/>
  <c r="H35" i="13"/>
  <c r="AC34" i="13"/>
  <c r="AF35" i="13"/>
  <c r="V35" i="13"/>
  <c r="M35" i="13"/>
  <c r="L35" i="13"/>
  <c r="G34" i="13"/>
  <c r="N35" i="13"/>
  <c r="AA35" i="13"/>
  <c r="Z34" i="13"/>
  <c r="V34" i="13"/>
  <c r="AA34" i="13"/>
  <c r="R34" i="13"/>
  <c r="Q34" i="13"/>
  <c r="R35" i="13"/>
  <c r="X34" i="13"/>
  <c r="N34" i="13"/>
  <c r="S34" i="13"/>
  <c r="J34" i="13"/>
  <c r="I34" i="13"/>
  <c r="J35" i="13"/>
  <c r="H34" i="13"/>
  <c r="K34" i="13"/>
  <c r="E34" i="13"/>
  <c r="E35" i="13"/>
  <c r="AE34" i="13"/>
  <c r="AG35" i="13"/>
  <c r="AC35" i="13"/>
  <c r="AB35" i="13"/>
  <c r="S35" i="13"/>
  <c r="W34" i="13"/>
  <c r="Y35" i="13"/>
  <c r="F35" i="13"/>
  <c r="Z35" i="13"/>
  <c r="AD35" i="13"/>
  <c r="U35" i="13"/>
  <c r="T35" i="13"/>
  <c r="AF34" i="13"/>
  <c r="O34" i="13"/>
  <c r="Q35" i="13"/>
  <c r="P34" i="13"/>
  <c r="I35" i="13"/>
  <c r="AH34" i="13"/>
  <c r="AG34" i="13"/>
  <c r="AH35" i="13"/>
  <c r="AD34" i="13"/>
  <c r="Y34" i="13"/>
  <c r="K35" i="13"/>
  <c r="D14" i="57"/>
  <c r="L14" i="57"/>
  <c r="L15" i="57" s="1"/>
  <c r="B10" i="57"/>
  <c r="B5" i="57"/>
  <c r="B7" i="57"/>
  <c r="B6" i="57"/>
  <c r="B8" i="57"/>
  <c r="B4" i="57"/>
  <c r="E2" i="7" s="1"/>
  <c r="B9" i="57"/>
  <c r="L22" i="57" l="1"/>
  <c r="L21" i="57"/>
  <c r="L19" i="57"/>
  <c r="L16" i="57"/>
  <c r="G4" i="57" s="1"/>
  <c r="L17" i="57"/>
  <c r="L18" i="57"/>
  <c r="L20" i="57"/>
  <c r="M18" i="57"/>
  <c r="D5" i="50"/>
  <c r="C23" i="57"/>
  <c r="G5" i="57"/>
  <c r="C9" i="57"/>
  <c r="C6" i="57"/>
  <c r="C5" i="57"/>
  <c r="C8" i="57"/>
  <c r="C4" i="57"/>
  <c r="C10" i="57"/>
  <c r="C7" i="57"/>
  <c r="M19" i="57" l="1"/>
  <c r="E5" i="50"/>
  <c r="G6" i="57"/>
  <c r="H4" i="57"/>
  <c r="H5" i="57"/>
  <c r="H6" i="57"/>
  <c r="E23" i="57"/>
  <c r="M20" i="57" l="1"/>
  <c r="F5" i="50"/>
  <c r="G7" i="57"/>
  <c r="H7" i="57" s="1"/>
  <c r="D32" i="11" s="1"/>
  <c r="F39" i="11" s="1"/>
  <c r="AG41" i="11" l="1"/>
  <c r="AD42" i="11"/>
  <c r="E40" i="11"/>
  <c r="W40" i="11"/>
  <c r="Q41" i="11"/>
  <c r="P41" i="11"/>
  <c r="X41" i="11"/>
  <c r="M42" i="11"/>
  <c r="AH41" i="11"/>
  <c r="AC39" i="11"/>
  <c r="Y42" i="11"/>
  <c r="M40" i="11"/>
  <c r="AA42" i="11"/>
  <c r="T39" i="11"/>
  <c r="AB39" i="11"/>
  <c r="G41" i="11"/>
  <c r="G42" i="11"/>
  <c r="L41" i="11"/>
  <c r="T41" i="11"/>
  <c r="X39" i="11"/>
  <c r="AA39" i="11"/>
  <c r="Y39" i="11"/>
  <c r="V41" i="11"/>
  <c r="AH39" i="11"/>
  <c r="X40" i="11"/>
  <c r="AA40" i="11"/>
  <c r="AD40" i="11"/>
  <c r="AA41" i="11"/>
  <c r="K41" i="11"/>
  <c r="L39" i="11"/>
  <c r="AG40" i="11"/>
  <c r="AE42" i="11"/>
  <c r="P42" i="11"/>
  <c r="K42" i="11"/>
  <c r="E41" i="11"/>
  <c r="J41" i="11"/>
  <c r="AD39" i="11"/>
  <c r="O42" i="11"/>
  <c r="Z41" i="11"/>
  <c r="R41" i="11"/>
  <c r="M39" i="11"/>
  <c r="K40" i="11"/>
  <c r="N40" i="11"/>
  <c r="AB42" i="11"/>
  <c r="AF40" i="11"/>
  <c r="P40" i="11"/>
  <c r="AH42" i="11"/>
  <c r="H40" i="11"/>
  <c r="H41" i="11"/>
  <c r="I40" i="11"/>
  <c r="Y40" i="11"/>
  <c r="H42" i="11"/>
  <c r="Y41" i="11"/>
  <c r="V40" i="11"/>
  <c r="AG42" i="11"/>
  <c r="AB40" i="11"/>
  <c r="E39" i="11"/>
  <c r="AB41" i="11"/>
  <c r="Q39" i="11"/>
  <c r="O41" i="11"/>
  <c r="Z39" i="11"/>
  <c r="Q42" i="11"/>
  <c r="T42" i="11"/>
  <c r="U39" i="11"/>
  <c r="T40" i="11"/>
  <c r="I39" i="11"/>
  <c r="N42" i="11"/>
  <c r="R42" i="11"/>
  <c r="K39" i="11"/>
  <c r="AF42" i="11"/>
  <c r="V39" i="11"/>
  <c r="AH40" i="11"/>
  <c r="AE41" i="11"/>
  <c r="W41" i="11"/>
  <c r="AC42" i="11"/>
  <c r="Z42" i="11"/>
  <c r="N41" i="11"/>
  <c r="X42" i="11"/>
  <c r="U42" i="11"/>
  <c r="AF39" i="11"/>
  <c r="F40" i="11"/>
  <c r="AG39" i="11"/>
  <c r="P39" i="11"/>
  <c r="S40" i="11"/>
  <c r="S41" i="11"/>
  <c r="S42" i="11"/>
  <c r="E42" i="11"/>
  <c r="O40" i="11"/>
  <c r="G40" i="11"/>
  <c r="Z40" i="11"/>
  <c r="U41" i="11"/>
  <c r="AD41" i="11"/>
  <c r="AF41" i="11"/>
  <c r="J39" i="11"/>
  <c r="AC40" i="11"/>
  <c r="AC41" i="11"/>
  <c r="AE40" i="11"/>
  <c r="R39" i="11"/>
  <c r="I42" i="11"/>
  <c r="L42" i="11"/>
  <c r="J42" i="11"/>
  <c r="S39" i="11"/>
  <c r="L40" i="11"/>
  <c r="U40" i="11"/>
  <c r="F41" i="11"/>
  <c r="I41" i="11"/>
  <c r="V42" i="11"/>
  <c r="F42" i="11"/>
  <c r="W39" i="11"/>
  <c r="R40" i="11"/>
  <c r="Q40" i="11"/>
  <c r="AE39" i="11"/>
  <c r="N39" i="11"/>
  <c r="H39" i="11"/>
  <c r="M41" i="11"/>
  <c r="J40" i="11"/>
  <c r="O39" i="11"/>
  <c r="G39" i="11"/>
  <c r="W42" i="11"/>
  <c r="M21" i="57"/>
  <c r="G5" i="50"/>
  <c r="G8" i="57"/>
  <c r="H8" i="57" s="1"/>
  <c r="E24" i="55"/>
  <c r="F24" i="55"/>
  <c r="G24" i="55"/>
  <c r="H24" i="55"/>
  <c r="I24" i="55"/>
  <c r="J24" i="55"/>
  <c r="K24" i="55"/>
  <c r="L24" i="55"/>
  <c r="M24" i="55"/>
  <c r="N24" i="55"/>
  <c r="O24" i="55"/>
  <c r="P24" i="55"/>
  <c r="Q24" i="55"/>
  <c r="R24" i="55"/>
  <c r="S24" i="55"/>
  <c r="T24" i="55"/>
  <c r="U24" i="55"/>
  <c r="V24" i="55"/>
  <c r="W24" i="55"/>
  <c r="X24" i="55"/>
  <c r="Y24" i="55"/>
  <c r="Z24" i="55"/>
  <c r="AA24" i="55"/>
  <c r="AB24" i="55"/>
  <c r="AC24" i="55"/>
  <c r="AD24" i="55"/>
  <c r="AE24" i="55"/>
  <c r="AF24" i="55"/>
  <c r="AG24" i="55"/>
  <c r="AH24" i="55"/>
  <c r="D24" i="55"/>
  <c r="C304" i="20"/>
  <c r="E23" i="55"/>
  <c r="F23" i="55" s="1"/>
  <c r="BQ3" i="55"/>
  <c r="BR3" i="55" s="1"/>
  <c r="BS3" i="55" s="1"/>
  <c r="BT3" i="55" s="1"/>
  <c r="BU3" i="55" s="1"/>
  <c r="BV3" i="55" s="1"/>
  <c r="BW3" i="55" s="1"/>
  <c r="BX3" i="55" s="1"/>
  <c r="BY3" i="55" s="1"/>
  <c r="BZ3" i="55" s="1"/>
  <c r="CA3" i="55" s="1"/>
  <c r="CB3" i="55" s="1"/>
  <c r="CC3" i="55" s="1"/>
  <c r="CD3" i="55" s="1"/>
  <c r="CE3" i="55" s="1"/>
  <c r="CF3" i="55" s="1"/>
  <c r="CG3" i="55" s="1"/>
  <c r="CH3" i="55" s="1"/>
  <c r="CI3" i="55" s="1"/>
  <c r="CJ3" i="55" s="1"/>
  <c r="CK3" i="55" s="1"/>
  <c r="CL3" i="55" s="1"/>
  <c r="CM3" i="55" s="1"/>
  <c r="CN3" i="55" s="1"/>
  <c r="CO3" i="55" s="1"/>
  <c r="CP3" i="55" s="1"/>
  <c r="CQ3" i="55" s="1"/>
  <c r="CR3" i="55" s="1"/>
  <c r="CS3" i="55" s="1"/>
  <c r="CT3" i="55" s="1"/>
  <c r="AK3" i="55"/>
  <c r="AL3" i="55" s="1"/>
  <c r="AM3" i="55" s="1"/>
  <c r="AN3" i="55" s="1"/>
  <c r="AO3" i="55" s="1"/>
  <c r="AP3" i="55" s="1"/>
  <c r="AQ3" i="55" s="1"/>
  <c r="AR3" i="55" s="1"/>
  <c r="AS3" i="55" s="1"/>
  <c r="AT3" i="55" s="1"/>
  <c r="AU3" i="55" s="1"/>
  <c r="AV3" i="55" s="1"/>
  <c r="AW3" i="55" s="1"/>
  <c r="AX3" i="55" s="1"/>
  <c r="AY3" i="55" s="1"/>
  <c r="AZ3" i="55" s="1"/>
  <c r="BA3" i="55" s="1"/>
  <c r="BB3" i="55" s="1"/>
  <c r="BC3" i="55" s="1"/>
  <c r="BD3" i="55" s="1"/>
  <c r="BE3" i="55" s="1"/>
  <c r="BF3" i="55" s="1"/>
  <c r="BG3" i="55" s="1"/>
  <c r="BH3" i="55" s="1"/>
  <c r="BI3" i="55" s="1"/>
  <c r="BJ3" i="55" s="1"/>
  <c r="BK3" i="55" s="1"/>
  <c r="BL3" i="55" s="1"/>
  <c r="BM3" i="55" s="1"/>
  <c r="BN3" i="55" s="1"/>
  <c r="E3" i="55"/>
  <c r="N248" i="54"/>
  <c r="O248" i="54" s="1"/>
  <c r="P248" i="54" s="1"/>
  <c r="D248" i="54"/>
  <c r="E248" i="54" s="1"/>
  <c r="F248" i="54" s="1"/>
  <c r="G248" i="54" s="1"/>
  <c r="D244" i="54"/>
  <c r="E244" i="54" s="1"/>
  <c r="F244" i="54" s="1"/>
  <c r="G244" i="54" s="1"/>
  <c r="H244" i="54" s="1"/>
  <c r="I244" i="54" s="1"/>
  <c r="J244" i="54" s="1"/>
  <c r="D239" i="54"/>
  <c r="E239" i="54" s="1"/>
  <c r="F239" i="54" s="1"/>
  <c r="G239" i="54" s="1"/>
  <c r="H239" i="54" s="1"/>
  <c r="I239" i="54" s="1"/>
  <c r="J239" i="54" s="1"/>
  <c r="K239" i="54" s="1"/>
  <c r="L239" i="54" s="1"/>
  <c r="M239" i="54" s="1"/>
  <c r="N239" i="54" s="1"/>
  <c r="O239" i="54" s="1"/>
  <c r="P239" i="54" s="1"/>
  <c r="Q239" i="54" s="1"/>
  <c r="R239" i="54" s="1"/>
  <c r="S239" i="54" s="1"/>
  <c r="T239" i="54" s="1"/>
  <c r="U239" i="54" s="1"/>
  <c r="V239" i="54" s="1"/>
  <c r="W239" i="54" s="1"/>
  <c r="X239" i="54" s="1"/>
  <c r="Y239" i="54" s="1"/>
  <c r="Z239" i="54" s="1"/>
  <c r="AA239" i="54" s="1"/>
  <c r="AB239" i="54" s="1"/>
  <c r="AC239" i="54" s="1"/>
  <c r="AD239" i="54" s="1"/>
  <c r="AE239" i="54" s="1"/>
  <c r="AF239" i="54" s="1"/>
  <c r="AG239" i="54" s="1"/>
  <c r="AG150" i="54"/>
  <c r="W150" i="54"/>
  <c r="M150" i="54"/>
  <c r="C150" i="54"/>
  <c r="AG145" i="54"/>
  <c r="C145" i="54"/>
  <c r="D144" i="54"/>
  <c r="E144" i="54" s="1"/>
  <c r="F144" i="54" s="1"/>
  <c r="G144" i="54" s="1"/>
  <c r="H144" i="54" s="1"/>
  <c r="I144" i="54" s="1"/>
  <c r="J144" i="54" s="1"/>
  <c r="K144" i="54" s="1"/>
  <c r="L144" i="54" s="1"/>
  <c r="M144" i="54" s="1"/>
  <c r="W142" i="54"/>
  <c r="W141" i="54" s="1"/>
  <c r="M142" i="54"/>
  <c r="AG141" i="54"/>
  <c r="C141" i="54"/>
  <c r="AG129" i="54"/>
  <c r="W129" i="54"/>
  <c r="W132" i="54" s="1"/>
  <c r="M129" i="54"/>
  <c r="M132" i="54" s="1"/>
  <c r="C121" i="54"/>
  <c r="D121" i="54" s="1"/>
  <c r="E121" i="54" s="1"/>
  <c r="F121" i="54" s="1"/>
  <c r="G121" i="54" s="1"/>
  <c r="H121" i="54" s="1"/>
  <c r="I121" i="54" s="1"/>
  <c r="J121" i="54" s="1"/>
  <c r="K121" i="54" s="1"/>
  <c r="L121" i="54" s="1"/>
  <c r="M121" i="54" s="1"/>
  <c r="D120" i="54"/>
  <c r="E120" i="54" s="1"/>
  <c r="F120" i="54" s="1"/>
  <c r="AG118" i="54"/>
  <c r="W118" i="54"/>
  <c r="M118" i="54"/>
  <c r="C118" i="54"/>
  <c r="AG117" i="54"/>
  <c r="AG128" i="54" s="1"/>
  <c r="W117" i="54"/>
  <c r="W128" i="54" s="1"/>
  <c r="M117" i="54"/>
  <c r="M128" i="54" s="1"/>
  <c r="C117" i="54"/>
  <c r="X115" i="54"/>
  <c r="X116" i="54" s="1"/>
  <c r="N115" i="54"/>
  <c r="N116" i="54" s="1"/>
  <c r="D115" i="54"/>
  <c r="D116" i="54" s="1"/>
  <c r="AG113" i="54"/>
  <c r="W113" i="54"/>
  <c r="M113" i="54"/>
  <c r="C113" i="54"/>
  <c r="C89" i="54"/>
  <c r="D89" i="54" s="1"/>
  <c r="E89" i="54" s="1"/>
  <c r="D88" i="54"/>
  <c r="E88" i="54" s="1"/>
  <c r="D87" i="54"/>
  <c r="AG84" i="54"/>
  <c r="AG97" i="54" s="1"/>
  <c r="C84" i="54"/>
  <c r="C97" i="54" s="1"/>
  <c r="AG83" i="54"/>
  <c r="AG85" i="54" s="1"/>
  <c r="AG98" i="54" s="1"/>
  <c r="C83" i="54"/>
  <c r="C85" i="54" s="1"/>
  <c r="D82" i="54"/>
  <c r="D83" i="54" s="1"/>
  <c r="W81" i="54"/>
  <c r="W80" i="54" s="1"/>
  <c r="M81" i="54"/>
  <c r="M80" i="54" s="1"/>
  <c r="AG80" i="54"/>
  <c r="C80" i="54"/>
  <c r="AG51" i="54"/>
  <c r="AF51" i="54"/>
  <c r="AE51" i="54"/>
  <c r="AD51" i="54"/>
  <c r="AC51" i="54"/>
  <c r="AB51" i="54"/>
  <c r="AA51" i="54"/>
  <c r="Z51" i="54"/>
  <c r="Y51" i="54"/>
  <c r="X51" i="54"/>
  <c r="W51" i="54"/>
  <c r="V51" i="54"/>
  <c r="U51" i="54"/>
  <c r="T51" i="54"/>
  <c r="S51" i="54"/>
  <c r="R51" i="54"/>
  <c r="Q51" i="54"/>
  <c r="P51" i="54"/>
  <c r="O51" i="54"/>
  <c r="N51" i="54"/>
  <c r="M51" i="54"/>
  <c r="L51" i="54"/>
  <c r="K51" i="54"/>
  <c r="J51" i="54"/>
  <c r="I51" i="54"/>
  <c r="H51" i="54"/>
  <c r="G51" i="54"/>
  <c r="F51" i="54"/>
  <c r="E51" i="54"/>
  <c r="D51" i="54"/>
  <c r="C51" i="54"/>
  <c r="AG49" i="54"/>
  <c r="AG46" i="54" s="1"/>
  <c r="W49" i="54"/>
  <c r="W46" i="54" s="1"/>
  <c r="M49" i="54"/>
  <c r="M46" i="54" s="1"/>
  <c r="C49" i="54"/>
  <c r="C46" i="54" s="1"/>
  <c r="X1" i="54"/>
  <c r="N1" i="54"/>
  <c r="O1" i="54" s="1"/>
  <c r="O48" i="54" s="1"/>
  <c r="D1" i="54"/>
  <c r="W142" i="53"/>
  <c r="M142" i="53"/>
  <c r="W81" i="53"/>
  <c r="M81" i="53"/>
  <c r="D51" i="53"/>
  <c r="E51" i="53"/>
  <c r="F51" i="53"/>
  <c r="G51" i="53"/>
  <c r="H51" i="53"/>
  <c r="I51" i="53"/>
  <c r="J51" i="53"/>
  <c r="K51" i="53"/>
  <c r="L51" i="53"/>
  <c r="M51" i="53"/>
  <c r="N51" i="53"/>
  <c r="O51" i="53"/>
  <c r="P51" i="53"/>
  <c r="Q51" i="53"/>
  <c r="R51" i="53"/>
  <c r="S51" i="53"/>
  <c r="T51" i="53"/>
  <c r="U51" i="53"/>
  <c r="V51" i="53"/>
  <c r="W51" i="53"/>
  <c r="X51" i="53"/>
  <c r="Y51" i="53"/>
  <c r="Z51" i="53"/>
  <c r="AA51" i="53"/>
  <c r="AB51" i="53"/>
  <c r="AC51" i="53"/>
  <c r="AD51" i="53"/>
  <c r="AE51" i="53"/>
  <c r="AF51" i="53"/>
  <c r="AG51" i="53"/>
  <c r="C51" i="53"/>
  <c r="F21" i="49"/>
  <c r="F19" i="49"/>
  <c r="K64" i="33"/>
  <c r="J64" i="33"/>
  <c r="I57" i="33"/>
  <c r="I59" i="33"/>
  <c r="I60" i="33"/>
  <c r="I61" i="33"/>
  <c r="I62" i="33"/>
  <c r="D244" i="53"/>
  <c r="E244" i="53" s="1"/>
  <c r="D239" i="53"/>
  <c r="E239" i="53" s="1"/>
  <c r="F239" i="53" s="1"/>
  <c r="G239" i="53" s="1"/>
  <c r="H239" i="53" s="1"/>
  <c r="I239" i="53" s="1"/>
  <c r="J239" i="53" s="1"/>
  <c r="K239" i="53" s="1"/>
  <c r="L239" i="53" s="1"/>
  <c r="M239" i="53" s="1"/>
  <c r="N239" i="53" s="1"/>
  <c r="O239" i="53" s="1"/>
  <c r="P239" i="53" s="1"/>
  <c r="Q239" i="53" s="1"/>
  <c r="R239" i="53" s="1"/>
  <c r="S239" i="53" s="1"/>
  <c r="T239" i="53" s="1"/>
  <c r="U239" i="53" s="1"/>
  <c r="V239" i="53" s="1"/>
  <c r="W239" i="53" s="1"/>
  <c r="X239" i="53" s="1"/>
  <c r="Y239" i="53" s="1"/>
  <c r="Z239" i="53" s="1"/>
  <c r="AA239" i="53" s="1"/>
  <c r="AB239" i="53" s="1"/>
  <c r="AC239" i="53" s="1"/>
  <c r="AD239" i="53" s="1"/>
  <c r="AE239" i="53" s="1"/>
  <c r="AF239" i="53" s="1"/>
  <c r="AG239" i="53" s="1"/>
  <c r="AG150" i="53"/>
  <c r="C150" i="53"/>
  <c r="AG141" i="53"/>
  <c r="C141" i="53"/>
  <c r="C121" i="53"/>
  <c r="C122" i="53" s="1"/>
  <c r="D120" i="53"/>
  <c r="E120" i="53" s="1"/>
  <c r="AG117" i="53"/>
  <c r="C117" i="53"/>
  <c r="AG118" i="53"/>
  <c r="C118" i="53"/>
  <c r="D115" i="53"/>
  <c r="D116" i="53" s="1"/>
  <c r="AG113" i="53"/>
  <c r="C113" i="53"/>
  <c r="C89" i="53"/>
  <c r="C90" i="53" s="1"/>
  <c r="D88" i="53"/>
  <c r="E88" i="53" s="1"/>
  <c r="F88" i="53" s="1"/>
  <c r="D87" i="53"/>
  <c r="AG84" i="53"/>
  <c r="C84" i="53"/>
  <c r="AG83" i="53"/>
  <c r="AG85" i="53" s="1"/>
  <c r="C83" i="53"/>
  <c r="C85" i="53" s="1"/>
  <c r="C93" i="53" s="1"/>
  <c r="D82" i="53"/>
  <c r="D83" i="53" s="1"/>
  <c r="AG80" i="53"/>
  <c r="C80" i="53"/>
  <c r="W49" i="53"/>
  <c r="W46" i="53" s="1"/>
  <c r="M49" i="53"/>
  <c r="M46" i="53" s="1"/>
  <c r="C49" i="53"/>
  <c r="C46" i="53" s="1"/>
  <c r="X1" i="53"/>
  <c r="Y1" i="53" s="1"/>
  <c r="N1" i="53"/>
  <c r="N48" i="53" s="1"/>
  <c r="D1" i="53"/>
  <c r="D48" i="53" s="1"/>
  <c r="AJ24" i="51"/>
  <c r="AJ21" i="51"/>
  <c r="D24" i="51"/>
  <c r="D21" i="51"/>
  <c r="BN41" i="51"/>
  <c r="BM41" i="51"/>
  <c r="BL41" i="51"/>
  <c r="BK41" i="51"/>
  <c r="BJ41" i="51"/>
  <c r="BI41" i="51"/>
  <c r="BH41" i="51"/>
  <c r="BG41" i="51"/>
  <c r="BF41" i="51"/>
  <c r="BE41" i="51"/>
  <c r="BD41" i="51"/>
  <c r="BC41" i="51"/>
  <c r="BB41" i="51"/>
  <c r="BA41" i="51"/>
  <c r="AZ41" i="51"/>
  <c r="AY41" i="51"/>
  <c r="AX41" i="51"/>
  <c r="AW41" i="51"/>
  <c r="AV41" i="51"/>
  <c r="AU41" i="51"/>
  <c r="AT41" i="51"/>
  <c r="AS41" i="51"/>
  <c r="AR41" i="51"/>
  <c r="AQ41" i="51"/>
  <c r="AP41" i="51"/>
  <c r="AO41" i="51"/>
  <c r="AN41" i="51"/>
  <c r="AM41" i="51"/>
  <c r="AL41" i="51"/>
  <c r="AK41" i="51"/>
  <c r="AJ41" i="51"/>
  <c r="AH42" i="51"/>
  <c r="CI7" i="51" s="1"/>
  <c r="AF42" i="51"/>
  <c r="AE42" i="51"/>
  <c r="AD42" i="51"/>
  <c r="AB42" i="51"/>
  <c r="AA42" i="51"/>
  <c r="Z42" i="51"/>
  <c r="X42" i="51"/>
  <c r="W42" i="51"/>
  <c r="V42" i="51"/>
  <c r="BA40" i="51"/>
  <c r="T42" i="51"/>
  <c r="S42" i="51"/>
  <c r="R42" i="51"/>
  <c r="AV40" i="51"/>
  <c r="O42" i="51"/>
  <c r="N42" i="51"/>
  <c r="AR40" i="51"/>
  <c r="K42" i="51"/>
  <c r="J42" i="51"/>
  <c r="AN40" i="51"/>
  <c r="G42" i="51"/>
  <c r="F42" i="51"/>
  <c r="AJ40" i="51"/>
  <c r="BS23" i="51"/>
  <c r="BS22" i="51"/>
  <c r="BU20" i="51" a="1"/>
  <c r="BU20" i="51" s="1"/>
  <c r="BS20" i="51"/>
  <c r="BS24" i="51" s="1"/>
  <c r="BS18" i="51"/>
  <c r="BR18" i="51"/>
  <c r="BS17" i="51"/>
  <c r="BR17" i="51"/>
  <c r="AJ15" i="51"/>
  <c r="D15" i="51"/>
  <c r="BS12" i="51"/>
  <c r="BS11" i="51"/>
  <c r="BS9" i="51"/>
  <c r="BS13" i="51" s="1"/>
  <c r="CC7" i="51"/>
  <c r="CA7" i="51"/>
  <c r="BR7" i="51"/>
  <c r="AK3" i="51"/>
  <c r="AL3" i="51" s="1"/>
  <c r="AM3" i="51" s="1"/>
  <c r="AN3" i="51" s="1"/>
  <c r="AO3" i="51" s="1"/>
  <c r="AP3" i="51" s="1"/>
  <c r="AQ3" i="51" s="1"/>
  <c r="AR3" i="51" s="1"/>
  <c r="AS3" i="51" s="1"/>
  <c r="AT3" i="51" s="1"/>
  <c r="AU3" i="51" s="1"/>
  <c r="AV3" i="51" s="1"/>
  <c r="AW3" i="51" s="1"/>
  <c r="AX3" i="51" s="1"/>
  <c r="AY3" i="51" s="1"/>
  <c r="AZ3" i="51" s="1"/>
  <c r="BA3" i="51" s="1"/>
  <c r="BB3" i="51" s="1"/>
  <c r="BC3" i="51" s="1"/>
  <c r="BD3" i="51" s="1"/>
  <c r="BE3" i="51" s="1"/>
  <c r="BF3" i="51" s="1"/>
  <c r="BG3" i="51" s="1"/>
  <c r="BH3" i="51" s="1"/>
  <c r="BI3" i="51" s="1"/>
  <c r="BJ3" i="51" s="1"/>
  <c r="BK3" i="51" s="1"/>
  <c r="BL3" i="51" s="1"/>
  <c r="BM3" i="51" s="1"/>
  <c r="BN3" i="51" s="1"/>
  <c r="E3" i="51"/>
  <c r="F30" i="49"/>
  <c r="G30" i="49"/>
  <c r="C30" i="49"/>
  <c r="C31" i="49" s="1"/>
  <c r="B27" i="49"/>
  <c r="B28" i="49"/>
  <c r="B29" i="49"/>
  <c r="B30" i="49"/>
  <c r="B31" i="49"/>
  <c r="B26" i="49"/>
  <c r="P2" i="50"/>
  <c r="Q2" i="50" s="1"/>
  <c r="R2" i="50" s="1"/>
  <c r="S2" i="50" s="1"/>
  <c r="T2" i="50" s="1"/>
  <c r="U2" i="50" s="1"/>
  <c r="V2" i="50" s="1"/>
  <c r="W2" i="50" s="1"/>
  <c r="X2" i="50" s="1"/>
  <c r="Y2" i="50" s="1"/>
  <c r="Z2" i="50" s="1"/>
  <c r="AA2" i="50" s="1"/>
  <c r="AB2" i="50" s="1"/>
  <c r="AC2" i="50" s="1"/>
  <c r="AD2" i="50" s="1"/>
  <c r="AE2" i="50" s="1"/>
  <c r="AF2" i="50" s="1"/>
  <c r="AG2" i="50" s="1"/>
  <c r="AH2" i="50" s="1"/>
  <c r="AI2" i="50" s="1"/>
  <c r="AJ2" i="50" s="1"/>
  <c r="AK2" i="50" s="1"/>
  <c r="AL2" i="50" s="1"/>
  <c r="AM2" i="50" s="1"/>
  <c r="AN2" i="50" s="1"/>
  <c r="AO2" i="50" s="1"/>
  <c r="AP2" i="50" s="1"/>
  <c r="AQ2" i="50" s="1"/>
  <c r="AR2" i="50" s="1"/>
  <c r="AS2" i="50" s="1"/>
  <c r="G4" i="43"/>
  <c r="F3" i="50" s="1"/>
  <c r="H4" i="43"/>
  <c r="G3" i="50" s="1"/>
  <c r="I4" i="43"/>
  <c r="H3" i="50" s="1"/>
  <c r="J4" i="43"/>
  <c r="I3" i="50" s="1"/>
  <c r="E3" i="50"/>
  <c r="C3" i="50"/>
  <c r="D3" i="50"/>
  <c r="O4" i="49"/>
  <c r="O5" i="49" s="1"/>
  <c r="I7" i="49"/>
  <c r="I6" i="49"/>
  <c r="I5" i="49"/>
  <c r="I4" i="49"/>
  <c r="M22" i="57" l="1"/>
  <c r="H5" i="50"/>
  <c r="G9" i="57"/>
  <c r="H9" i="57" s="1"/>
  <c r="G23" i="55"/>
  <c r="F3" i="55"/>
  <c r="G3" i="55" s="1"/>
  <c r="H3" i="55" s="1"/>
  <c r="C90" i="54"/>
  <c r="M131" i="54"/>
  <c r="W130" i="54"/>
  <c r="AG130" i="54"/>
  <c r="D90" i="54"/>
  <c r="AG131" i="54"/>
  <c r="O115" i="54"/>
  <c r="O116" i="54" s="1"/>
  <c r="C122" i="54"/>
  <c r="AG99" i="54"/>
  <c r="E87" i="54"/>
  <c r="F87" i="54" s="1"/>
  <c r="E115" i="53"/>
  <c r="E116" i="53" s="1"/>
  <c r="E1" i="53"/>
  <c r="F1" i="53" s="1"/>
  <c r="G1" i="53" s="1"/>
  <c r="C125" i="53"/>
  <c r="C255" i="53" s="1"/>
  <c r="D121" i="53"/>
  <c r="E121" i="53" s="1"/>
  <c r="F121" i="53" s="1"/>
  <c r="G121" i="53" s="1"/>
  <c r="H121" i="53" s="1"/>
  <c r="I121" i="53" s="1"/>
  <c r="J121" i="53" s="1"/>
  <c r="K121" i="53" s="1"/>
  <c r="L121" i="53" s="1"/>
  <c r="M121" i="53" s="1"/>
  <c r="N121" i="53" s="1"/>
  <c r="O121" i="53" s="1"/>
  <c r="P121" i="53" s="1"/>
  <c r="Q121" i="53" s="1"/>
  <c r="R121" i="53" s="1"/>
  <c r="S121" i="53" s="1"/>
  <c r="T121" i="53" s="1"/>
  <c r="U121" i="53" s="1"/>
  <c r="V121" i="53" s="1"/>
  <c r="W121" i="53" s="1"/>
  <c r="X121" i="53" s="1"/>
  <c r="Y121" i="53" s="1"/>
  <c r="Z121" i="53" s="1"/>
  <c r="AA121" i="53" s="1"/>
  <c r="AB121" i="53" s="1"/>
  <c r="AC121" i="53" s="1"/>
  <c r="AD121" i="53" s="1"/>
  <c r="AE121" i="53" s="1"/>
  <c r="AF121" i="53" s="1"/>
  <c r="AG121" i="53" s="1"/>
  <c r="AG125" i="53" s="1"/>
  <c r="AG255" i="53" s="1"/>
  <c r="F244" i="53"/>
  <c r="G244" i="53" s="1"/>
  <c r="O1" i="53"/>
  <c r="O47" i="53" s="1"/>
  <c r="D151" i="54"/>
  <c r="D114" i="54"/>
  <c r="D81" i="54"/>
  <c r="D48" i="54"/>
  <c r="D47" i="54"/>
  <c r="E1" i="54"/>
  <c r="N151" i="54"/>
  <c r="N114" i="54"/>
  <c r="N81" i="54"/>
  <c r="N47" i="54"/>
  <c r="N48" i="54"/>
  <c r="O151" i="54"/>
  <c r="O114" i="54"/>
  <c r="O81" i="54"/>
  <c r="O47" i="54"/>
  <c r="X151" i="54"/>
  <c r="X142" i="54"/>
  <c r="X114" i="54"/>
  <c r="X81" i="54"/>
  <c r="X47" i="54"/>
  <c r="P1" i="54"/>
  <c r="Y1" i="54"/>
  <c r="X48" i="54"/>
  <c r="C92" i="54"/>
  <c r="C93" i="54"/>
  <c r="C94" i="54"/>
  <c r="C98" i="54"/>
  <c r="C99" i="54" s="1"/>
  <c r="F88" i="54"/>
  <c r="F89" i="54"/>
  <c r="E82" i="54"/>
  <c r="M125" i="54"/>
  <c r="N121" i="54"/>
  <c r="O121" i="54" s="1"/>
  <c r="P121" i="54" s="1"/>
  <c r="Q121" i="54" s="1"/>
  <c r="R121" i="54" s="1"/>
  <c r="S121" i="54" s="1"/>
  <c r="T121" i="54" s="1"/>
  <c r="U121" i="54" s="1"/>
  <c r="V121" i="54" s="1"/>
  <c r="W121" i="54" s="1"/>
  <c r="Y115" i="54"/>
  <c r="C124" i="54"/>
  <c r="D129" i="54"/>
  <c r="D132" i="54" s="1"/>
  <c r="N129" i="54"/>
  <c r="N132" i="54" s="1"/>
  <c r="X129" i="54"/>
  <c r="X132" i="54" s="1"/>
  <c r="E115" i="54"/>
  <c r="W131" i="54"/>
  <c r="D122" i="54"/>
  <c r="E122" i="54"/>
  <c r="F122" i="54"/>
  <c r="AG132" i="54"/>
  <c r="M145" i="54"/>
  <c r="N144" i="54"/>
  <c r="O144" i="54" s="1"/>
  <c r="P144" i="54" s="1"/>
  <c r="Q144" i="54" s="1"/>
  <c r="R144" i="54" s="1"/>
  <c r="S144" i="54" s="1"/>
  <c r="T144" i="54" s="1"/>
  <c r="U144" i="54" s="1"/>
  <c r="V144" i="54" s="1"/>
  <c r="W144" i="54" s="1"/>
  <c r="G120" i="54"/>
  <c r="C125" i="54"/>
  <c r="C255" i="54" s="1"/>
  <c r="M130" i="54"/>
  <c r="O142" i="54"/>
  <c r="M141" i="54"/>
  <c r="N142" i="54"/>
  <c r="D142" i="54"/>
  <c r="H248" i="54"/>
  <c r="K244" i="54"/>
  <c r="L244" i="54" s="1"/>
  <c r="M244" i="54" s="1"/>
  <c r="N244" i="54" s="1"/>
  <c r="O244" i="54" s="1"/>
  <c r="P244" i="54" s="1"/>
  <c r="Q244" i="54" s="1"/>
  <c r="R244" i="54" s="1"/>
  <c r="Q248" i="54"/>
  <c r="N142" i="53"/>
  <c r="D89" i="53"/>
  <c r="D90" i="53" s="1"/>
  <c r="E87" i="53"/>
  <c r="F87" i="53" s="1"/>
  <c r="E82" i="53"/>
  <c r="E83" i="53" s="1"/>
  <c r="I64" i="33"/>
  <c r="Z1" i="53"/>
  <c r="Z47" i="53" s="1"/>
  <c r="Y48" i="53"/>
  <c r="N47" i="53"/>
  <c r="Y47" i="53"/>
  <c r="X47" i="53"/>
  <c r="AG49" i="53"/>
  <c r="D47" i="53"/>
  <c r="X48" i="53"/>
  <c r="G88" i="53"/>
  <c r="C94" i="53"/>
  <c r="C92" i="53"/>
  <c r="C124" i="53"/>
  <c r="F120" i="53"/>
  <c r="AJ42" i="51"/>
  <c r="AJ45" i="51" s="1"/>
  <c r="AN42" i="51"/>
  <c r="AR42" i="51"/>
  <c r="AV42" i="51"/>
  <c r="BA42" i="51"/>
  <c r="D42" i="51"/>
  <c r="D45" i="51" s="1"/>
  <c r="AX40" i="51"/>
  <c r="AX42" i="51" s="1"/>
  <c r="AL40" i="51"/>
  <c r="AL42" i="51" s="1"/>
  <c r="BB40" i="51"/>
  <c r="BB42" i="51" s="1"/>
  <c r="H42" i="51"/>
  <c r="BN40" i="51"/>
  <c r="BN42" i="51" s="1"/>
  <c r="AP40" i="51"/>
  <c r="AP42" i="51" s="1"/>
  <c r="BF40" i="51"/>
  <c r="BF42" i="51" s="1"/>
  <c r="L42" i="51"/>
  <c r="AT40" i="51"/>
  <c r="AT42" i="51" s="1"/>
  <c r="BJ40" i="51"/>
  <c r="BJ42" i="51" s="1"/>
  <c r="P42" i="51"/>
  <c r="F3" i="51"/>
  <c r="G3" i="51" s="1"/>
  <c r="AK40" i="51"/>
  <c r="AK42" i="51" s="1"/>
  <c r="E42" i="51"/>
  <c r="AO40" i="51"/>
  <c r="AO42" i="51" s="1"/>
  <c r="I42" i="51"/>
  <c r="AS40" i="51"/>
  <c r="AS42" i="51" s="1"/>
  <c r="M42" i="51"/>
  <c r="AW40" i="51"/>
  <c r="AW42" i="51" s="1"/>
  <c r="Q42" i="51"/>
  <c r="Y42" i="51"/>
  <c r="BE40" i="51"/>
  <c r="BE42" i="51" s="1"/>
  <c r="AC42" i="51"/>
  <c r="BI40" i="51"/>
  <c r="BI42" i="51" s="1"/>
  <c r="AG42" i="51"/>
  <c r="BM40" i="51"/>
  <c r="BM42" i="51" s="1"/>
  <c r="U42" i="51"/>
  <c r="AM40" i="51"/>
  <c r="AM42" i="51" s="1"/>
  <c r="AQ40" i="51"/>
  <c r="AQ42" i="51" s="1"/>
  <c r="AU40" i="51"/>
  <c r="AU42" i="51" s="1"/>
  <c r="AY40" i="51"/>
  <c r="AY42" i="51" s="1"/>
  <c r="BC40" i="51"/>
  <c r="BC42" i="51" s="1"/>
  <c r="BG40" i="51"/>
  <c r="BG42" i="51" s="1"/>
  <c r="BK40" i="51"/>
  <c r="BK42" i="51" s="1"/>
  <c r="AZ40" i="51"/>
  <c r="AZ42" i="51" s="1"/>
  <c r="BD40" i="51"/>
  <c r="BD42" i="51" s="1"/>
  <c r="BH40" i="51"/>
  <c r="BH42" i="51" s="1"/>
  <c r="BL40" i="51"/>
  <c r="BL42" i="51" s="1"/>
  <c r="I8" i="49"/>
  <c r="I9" i="49"/>
  <c r="I5" i="50" l="1"/>
  <c r="G10" i="57"/>
  <c r="H10" i="57" s="1"/>
  <c r="M23" i="57"/>
  <c r="H23" i="55"/>
  <c r="I3" i="55"/>
  <c r="P115" i="54"/>
  <c r="O129" i="54"/>
  <c r="O132" i="54" s="1"/>
  <c r="E90" i="54"/>
  <c r="C256" i="53"/>
  <c r="O48" i="53"/>
  <c r="O49" i="53" s="1"/>
  <c r="O46" i="53" s="1"/>
  <c r="F47" i="53"/>
  <c r="E47" i="53"/>
  <c r="F48" i="53"/>
  <c r="O142" i="53"/>
  <c r="P1" i="53"/>
  <c r="P142" i="53" s="1"/>
  <c r="E48" i="53"/>
  <c r="E89" i="53"/>
  <c r="E90" i="53" s="1"/>
  <c r="H244" i="53"/>
  <c r="I244" i="53" s="1"/>
  <c r="F115" i="53"/>
  <c r="F116" i="53" s="1"/>
  <c r="D122" i="53"/>
  <c r="E122" i="53"/>
  <c r="F82" i="53"/>
  <c r="F83" i="53" s="1"/>
  <c r="N145" i="54"/>
  <c r="N141" i="54"/>
  <c r="I248" i="54"/>
  <c r="C102" i="54"/>
  <c r="Y142" i="54"/>
  <c r="Y151" i="54"/>
  <c r="Y114" i="54"/>
  <c r="Y81" i="54"/>
  <c r="Y48" i="54"/>
  <c r="Y47" i="54"/>
  <c r="Z1" i="54"/>
  <c r="O80" i="54"/>
  <c r="O49" i="54"/>
  <c r="O46" i="54" s="1"/>
  <c r="D49" i="54"/>
  <c r="D46" i="54" s="1"/>
  <c r="O141" i="54"/>
  <c r="O145" i="54"/>
  <c r="W125" i="54"/>
  <c r="X121" i="54"/>
  <c r="Y121" i="54" s="1"/>
  <c r="Z121" i="54" s="1"/>
  <c r="AA121" i="54" s="1"/>
  <c r="AB121" i="54" s="1"/>
  <c r="AC121" i="54" s="1"/>
  <c r="AD121" i="54" s="1"/>
  <c r="AE121" i="54" s="1"/>
  <c r="AF121" i="54" s="1"/>
  <c r="AG121" i="54" s="1"/>
  <c r="AG125" i="54" s="1"/>
  <c r="P151" i="54"/>
  <c r="P142" i="54"/>
  <c r="P114" i="54"/>
  <c r="P81" i="54"/>
  <c r="P48" i="54"/>
  <c r="P47" i="54"/>
  <c r="Q1" i="54"/>
  <c r="O113" i="54"/>
  <c r="O118" i="54"/>
  <c r="O125" i="54" s="1"/>
  <c r="O117" i="54"/>
  <c r="D85" i="54"/>
  <c r="D80" i="54"/>
  <c r="D84" i="54"/>
  <c r="D97" i="54" s="1"/>
  <c r="R248" i="54"/>
  <c r="C256" i="54"/>
  <c r="H120" i="54"/>
  <c r="G122" i="54"/>
  <c r="G89" i="54"/>
  <c r="G87" i="54"/>
  <c r="F90" i="54"/>
  <c r="X49" i="54"/>
  <c r="X46" i="54" s="1"/>
  <c r="O150" i="54"/>
  <c r="D118" i="54"/>
  <c r="D113" i="54"/>
  <c r="D117" i="54"/>
  <c r="D145" i="54"/>
  <c r="D141" i="54"/>
  <c r="X144" i="54"/>
  <c r="Y144" i="54" s="1"/>
  <c r="Z144" i="54" s="1"/>
  <c r="AA144" i="54" s="1"/>
  <c r="AB144" i="54" s="1"/>
  <c r="AC144" i="54" s="1"/>
  <c r="AD144" i="54" s="1"/>
  <c r="AE144" i="54" s="1"/>
  <c r="AF144" i="54" s="1"/>
  <c r="W145" i="54"/>
  <c r="P116" i="54"/>
  <c r="Q115" i="54"/>
  <c r="P129" i="54"/>
  <c r="P132" i="54" s="1"/>
  <c r="F82" i="54"/>
  <c r="E83" i="54"/>
  <c r="G88" i="54"/>
  <c r="X80" i="54"/>
  <c r="N49" i="54"/>
  <c r="N46" i="54" s="1"/>
  <c r="D150" i="54"/>
  <c r="E129" i="54"/>
  <c r="E132" i="54" s="1"/>
  <c r="E116" i="54"/>
  <c r="F115" i="54"/>
  <c r="X113" i="54"/>
  <c r="X118" i="54"/>
  <c r="X117" i="54"/>
  <c r="N80" i="54"/>
  <c r="X141" i="54"/>
  <c r="Y116" i="54"/>
  <c r="Z115" i="54"/>
  <c r="Y129" i="54"/>
  <c r="Y132" i="54" s="1"/>
  <c r="C100" i="54"/>
  <c r="C101" i="54"/>
  <c r="N113" i="54"/>
  <c r="N118" i="54"/>
  <c r="N125" i="54" s="1"/>
  <c r="N117" i="54"/>
  <c r="S244" i="54"/>
  <c r="X150" i="54"/>
  <c r="N150" i="54"/>
  <c r="E151" i="54"/>
  <c r="E142" i="54"/>
  <c r="E114" i="54"/>
  <c r="E81" i="54"/>
  <c r="E47" i="54"/>
  <c r="E48" i="54"/>
  <c r="F1" i="54"/>
  <c r="AG256" i="53"/>
  <c r="G82" i="53"/>
  <c r="H82" i="53" s="1"/>
  <c r="M113" i="53"/>
  <c r="G142" i="53"/>
  <c r="X114" i="53"/>
  <c r="W80" i="53"/>
  <c r="D49" i="53"/>
  <c r="D46" i="53" s="1"/>
  <c r="AG46" i="53"/>
  <c r="G87" i="53"/>
  <c r="F122" i="53"/>
  <c r="G120" i="53"/>
  <c r="X49" i="53"/>
  <c r="X46" i="53" s="1"/>
  <c r="Y49" i="53"/>
  <c r="Y46" i="53" s="1"/>
  <c r="Y151" i="53"/>
  <c r="W150" i="53"/>
  <c r="Z151" i="53"/>
  <c r="X151" i="53"/>
  <c r="G47" i="53"/>
  <c r="H1" i="53"/>
  <c r="G48" i="53"/>
  <c r="N49" i="53"/>
  <c r="N46" i="53" s="1"/>
  <c r="H88" i="53"/>
  <c r="Z48" i="53"/>
  <c r="Z49" i="53" s="1"/>
  <c r="Z46" i="53" s="1"/>
  <c r="AA1" i="53"/>
  <c r="AA151" i="53" s="1"/>
  <c r="F49" i="53"/>
  <c r="F46" i="53" s="1"/>
  <c r="E45" i="51"/>
  <c r="H3" i="51"/>
  <c r="I23" i="55" l="1"/>
  <c r="J3" i="55"/>
  <c r="X125" i="54"/>
  <c r="F89" i="53"/>
  <c r="G89" i="53" s="1"/>
  <c r="G90" i="53" s="1"/>
  <c r="G115" i="53"/>
  <c r="H115" i="53" s="1"/>
  <c r="P151" i="53"/>
  <c r="P150" i="53" s="1"/>
  <c r="E49" i="53"/>
  <c r="E46" i="53" s="1"/>
  <c r="Q1" i="53"/>
  <c r="Q142" i="53" s="1"/>
  <c r="Q141" i="53" s="1"/>
  <c r="P47" i="53"/>
  <c r="P48" i="53"/>
  <c r="J244" i="53"/>
  <c r="Z151" i="54"/>
  <c r="Z142" i="54"/>
  <c r="Z114" i="54"/>
  <c r="Z81" i="54"/>
  <c r="Z48" i="54"/>
  <c r="Z47" i="54"/>
  <c r="AA1" i="54"/>
  <c r="F151" i="54"/>
  <c r="F114" i="54"/>
  <c r="F81" i="54"/>
  <c r="F48" i="54"/>
  <c r="F47" i="54"/>
  <c r="G1" i="54"/>
  <c r="F142" i="54"/>
  <c r="Y49" i="54"/>
  <c r="Y46" i="54" s="1"/>
  <c r="D128" i="54"/>
  <c r="D131" i="54"/>
  <c r="X131" i="54"/>
  <c r="X128" i="54"/>
  <c r="H88" i="54"/>
  <c r="D124" i="54"/>
  <c r="D125" i="54"/>
  <c r="Q151" i="54"/>
  <c r="Q114" i="54"/>
  <c r="Q81" i="54"/>
  <c r="Q48" i="54"/>
  <c r="R1" i="54"/>
  <c r="Q47" i="54"/>
  <c r="Q142" i="54"/>
  <c r="E150" i="54"/>
  <c r="H122" i="54"/>
  <c r="I120" i="54"/>
  <c r="P49" i="54"/>
  <c r="P46" i="54" s="1"/>
  <c r="AG255" i="54"/>
  <c r="AG256" i="54"/>
  <c r="Y80" i="54"/>
  <c r="J248" i="54"/>
  <c r="O131" i="54"/>
  <c r="O128" i="54"/>
  <c r="E84" i="54"/>
  <c r="E97" i="54" s="1"/>
  <c r="E80" i="54"/>
  <c r="E85" i="54"/>
  <c r="Q116" i="54"/>
  <c r="Q129" i="54"/>
  <c r="Q132" i="54" s="1"/>
  <c r="R115" i="54"/>
  <c r="Y117" i="54"/>
  <c r="Y113" i="54"/>
  <c r="Y118" i="54"/>
  <c r="Y125" i="54" s="1"/>
  <c r="N131" i="54"/>
  <c r="N128" i="54"/>
  <c r="P145" i="54"/>
  <c r="P141" i="54"/>
  <c r="H89" i="54"/>
  <c r="S248" i="54"/>
  <c r="P150" i="54"/>
  <c r="E49" i="54"/>
  <c r="E46" i="54" s="1"/>
  <c r="E113" i="54"/>
  <c r="E118" i="54"/>
  <c r="E117" i="54"/>
  <c r="Z116" i="54"/>
  <c r="Z129" i="54"/>
  <c r="Z132" i="54" s="1"/>
  <c r="AA115" i="54"/>
  <c r="X145" i="54"/>
  <c r="F116" i="54"/>
  <c r="G115" i="54"/>
  <c r="F129" i="54"/>
  <c r="F132" i="54" s="1"/>
  <c r="F83" i="54"/>
  <c r="G82" i="54"/>
  <c r="P80" i="54"/>
  <c r="Y150" i="54"/>
  <c r="E141" i="54"/>
  <c r="E145" i="54"/>
  <c r="T244" i="54"/>
  <c r="H87" i="54"/>
  <c r="G90" i="54"/>
  <c r="D93" i="54"/>
  <c r="D92" i="54"/>
  <c r="D94" i="54"/>
  <c r="D98" i="54"/>
  <c r="D99" i="54" s="1"/>
  <c r="P113" i="54"/>
  <c r="P118" i="54"/>
  <c r="P125" i="54" s="1"/>
  <c r="P117" i="54"/>
  <c r="Y145" i="54"/>
  <c r="Y141" i="54"/>
  <c r="E142" i="53"/>
  <c r="E141" i="53" s="1"/>
  <c r="Y114" i="53"/>
  <c r="Y113" i="53" s="1"/>
  <c r="G83" i="53"/>
  <c r="D142" i="53"/>
  <c r="D141" i="53" s="1"/>
  <c r="M141" i="53"/>
  <c r="G114" i="53"/>
  <c r="G117" i="53" s="1"/>
  <c r="F114" i="53"/>
  <c r="F113" i="53" s="1"/>
  <c r="E114" i="53"/>
  <c r="E118" i="53" s="1"/>
  <c r="D114" i="53"/>
  <c r="D117" i="53" s="1"/>
  <c r="N114" i="53"/>
  <c r="N113" i="53" s="1"/>
  <c r="P114" i="53"/>
  <c r="P113" i="53" s="1"/>
  <c r="Z114" i="53"/>
  <c r="Z113" i="53" s="1"/>
  <c r="O114" i="53"/>
  <c r="O113" i="53" s="1"/>
  <c r="W113" i="53"/>
  <c r="F142" i="53"/>
  <c r="F141" i="53" s="1"/>
  <c r="P141" i="53"/>
  <c r="N141" i="53"/>
  <c r="X142" i="53"/>
  <c r="X141" i="53" s="1"/>
  <c r="Z142" i="53"/>
  <c r="Z141" i="53" s="1"/>
  <c r="W141" i="53"/>
  <c r="O141" i="53"/>
  <c r="Y142" i="53"/>
  <c r="Y141" i="53" s="1"/>
  <c r="Y81" i="53"/>
  <c r="Y80" i="53" s="1"/>
  <c r="F151" i="53"/>
  <c r="F150" i="53" s="1"/>
  <c r="M150" i="53"/>
  <c r="G151" i="53"/>
  <c r="G150" i="53" s="1"/>
  <c r="O151" i="53"/>
  <c r="O150" i="53" s="1"/>
  <c r="D151" i="53"/>
  <c r="D150" i="53" s="1"/>
  <c r="N151" i="53"/>
  <c r="N150" i="53" s="1"/>
  <c r="Z81" i="53"/>
  <c r="Z80" i="53" s="1"/>
  <c r="E151" i="53"/>
  <c r="E150" i="53" s="1"/>
  <c r="X81" i="53"/>
  <c r="X80" i="53" s="1"/>
  <c r="AA150" i="53"/>
  <c r="Z150" i="53"/>
  <c r="G141" i="53"/>
  <c r="H47" i="53"/>
  <c r="H48" i="53"/>
  <c r="I1" i="53"/>
  <c r="I81" i="53" s="1"/>
  <c r="G49" i="53"/>
  <c r="G46" i="53" s="1"/>
  <c r="X113" i="53"/>
  <c r="H151" i="53"/>
  <c r="O81" i="53"/>
  <c r="G81" i="53"/>
  <c r="M80" i="53"/>
  <c r="F81" i="53"/>
  <c r="N81" i="53"/>
  <c r="H81" i="53"/>
  <c r="E81" i="53"/>
  <c r="P81" i="53"/>
  <c r="D81" i="53"/>
  <c r="G116" i="53"/>
  <c r="AB1" i="53"/>
  <c r="AA48" i="53"/>
  <c r="AA47" i="53"/>
  <c r="H120" i="53"/>
  <c r="G122" i="53"/>
  <c r="H87" i="53"/>
  <c r="AA142" i="53"/>
  <c r="Y150" i="53"/>
  <c r="H142" i="53"/>
  <c r="I88" i="53"/>
  <c r="AA114" i="53"/>
  <c r="AA81" i="53"/>
  <c r="X150" i="53"/>
  <c r="H83" i="53"/>
  <c r="I82" i="53"/>
  <c r="H114" i="53"/>
  <c r="AK45" i="51"/>
  <c r="I3" i="51"/>
  <c r="F45" i="51"/>
  <c r="T6" i="49"/>
  <c r="T5" i="49"/>
  <c r="T4" i="49"/>
  <c r="D12" i="49"/>
  <c r="J23" i="55" l="1"/>
  <c r="K3" i="55"/>
  <c r="P49" i="53"/>
  <c r="P46" i="53" s="1"/>
  <c r="F90" i="53"/>
  <c r="Q48" i="53"/>
  <c r="Q47" i="53"/>
  <c r="Q49" i="53" s="1"/>
  <c r="Q46" i="53" s="1"/>
  <c r="Q114" i="53"/>
  <c r="Q113" i="53" s="1"/>
  <c r="Q81" i="53"/>
  <c r="Q80" i="53" s="1"/>
  <c r="R1" i="53"/>
  <c r="R47" i="53" s="1"/>
  <c r="Q151" i="53"/>
  <c r="Q150" i="53" s="1"/>
  <c r="K244" i="53"/>
  <c r="G116" i="54"/>
  <c r="H115" i="54"/>
  <c r="G129" i="54"/>
  <c r="G132" i="54" s="1"/>
  <c r="E131" i="54"/>
  <c r="E128" i="54"/>
  <c r="D255" i="54"/>
  <c r="D256" i="54"/>
  <c r="F85" i="54"/>
  <c r="F80" i="54"/>
  <c r="F84" i="54"/>
  <c r="F97" i="54" s="1"/>
  <c r="Z141" i="54"/>
  <c r="Z145" i="54"/>
  <c r="U244" i="54"/>
  <c r="E94" i="54"/>
  <c r="E93" i="54"/>
  <c r="E98" i="54"/>
  <c r="E99" i="54" s="1"/>
  <c r="E92" i="54"/>
  <c r="I122" i="54"/>
  <c r="J120" i="54"/>
  <c r="Q49" i="54"/>
  <c r="Q46" i="54" s="1"/>
  <c r="F150" i="54"/>
  <c r="E125" i="54"/>
  <c r="E124" i="54"/>
  <c r="F113" i="54"/>
  <c r="F118" i="54"/>
  <c r="F117" i="54"/>
  <c r="P128" i="54"/>
  <c r="P131" i="54"/>
  <c r="Y131" i="54"/>
  <c r="Y128" i="54"/>
  <c r="R151" i="54"/>
  <c r="R114" i="54"/>
  <c r="R81" i="54"/>
  <c r="S1" i="54"/>
  <c r="R48" i="54"/>
  <c r="R47" i="54"/>
  <c r="R142" i="54"/>
  <c r="AA151" i="54"/>
  <c r="AA142" i="54"/>
  <c r="AA114" i="54"/>
  <c r="AA81" i="54"/>
  <c r="AA48" i="54"/>
  <c r="AB1" i="54"/>
  <c r="AA47" i="54"/>
  <c r="Q141" i="54"/>
  <c r="Q145" i="54"/>
  <c r="T248" i="54"/>
  <c r="N130" i="54"/>
  <c r="F145" i="54"/>
  <c r="F141" i="54"/>
  <c r="Z49" i="54"/>
  <c r="Z46" i="54" s="1"/>
  <c r="H82" i="54"/>
  <c r="G83" i="54"/>
  <c r="AB115" i="54"/>
  <c r="AA129" i="54"/>
  <c r="AA132" i="54" s="1"/>
  <c r="AA116" i="54"/>
  <c r="O130" i="54"/>
  <c r="Q80" i="54"/>
  <c r="I88" i="54"/>
  <c r="G151" i="54"/>
  <c r="G114" i="54"/>
  <c r="G81" i="54"/>
  <c r="G48" i="54"/>
  <c r="G47" i="54"/>
  <c r="H1" i="54"/>
  <c r="G142" i="54"/>
  <c r="Z150" i="54"/>
  <c r="D102" i="54"/>
  <c r="D101" i="54"/>
  <c r="D100" i="54"/>
  <c r="Q117" i="54"/>
  <c r="Q113" i="54"/>
  <c r="Q118" i="54"/>
  <c r="Q125" i="54" s="1"/>
  <c r="X130" i="54"/>
  <c r="F49" i="54"/>
  <c r="F46" i="54" s="1"/>
  <c r="Z80" i="54"/>
  <c r="D130" i="54"/>
  <c r="I87" i="54"/>
  <c r="H90" i="54"/>
  <c r="I89" i="54"/>
  <c r="S115" i="54"/>
  <c r="R116" i="54"/>
  <c r="R129" i="54"/>
  <c r="R132" i="54" s="1"/>
  <c r="K248" i="54"/>
  <c r="Q150" i="54"/>
  <c r="Z118" i="54"/>
  <c r="Z125" i="54" s="1"/>
  <c r="Z113" i="54"/>
  <c r="Z117" i="54"/>
  <c r="D118" i="53"/>
  <c r="D124" i="53" s="1"/>
  <c r="D113" i="53"/>
  <c r="E117" i="53"/>
  <c r="E113" i="53"/>
  <c r="F117" i="53"/>
  <c r="F118" i="53"/>
  <c r="F125" i="53" s="1"/>
  <c r="F255" i="53" s="1"/>
  <c r="G118" i="53"/>
  <c r="G124" i="53" s="1"/>
  <c r="G113" i="53"/>
  <c r="I120" i="53"/>
  <c r="H122" i="53"/>
  <c r="F85" i="53"/>
  <c r="F84" i="53"/>
  <c r="F80" i="53"/>
  <c r="I80" i="53"/>
  <c r="I84" i="53"/>
  <c r="H141" i="53"/>
  <c r="AC1" i="53"/>
  <c r="AB47" i="53"/>
  <c r="AB48" i="53"/>
  <c r="AB114" i="53"/>
  <c r="AB151" i="53"/>
  <c r="AB81" i="53"/>
  <c r="AB142" i="53"/>
  <c r="H116" i="53"/>
  <c r="H118" i="53" s="1"/>
  <c r="H125" i="53" s="1"/>
  <c r="I115" i="53"/>
  <c r="E84" i="53"/>
  <c r="E80" i="53"/>
  <c r="E85" i="53"/>
  <c r="I48" i="53"/>
  <c r="J1" i="53"/>
  <c r="I47" i="53"/>
  <c r="I114" i="53"/>
  <c r="I142" i="53"/>
  <c r="I151" i="53"/>
  <c r="AA113" i="53"/>
  <c r="I87" i="53"/>
  <c r="AA141" i="53"/>
  <c r="H85" i="53"/>
  <c r="H92" i="53" s="1"/>
  <c r="H80" i="53"/>
  <c r="H84" i="53"/>
  <c r="H150" i="53"/>
  <c r="H49" i="53"/>
  <c r="H46" i="53" s="1"/>
  <c r="H89" i="53"/>
  <c r="E125" i="53"/>
  <c r="E124" i="53"/>
  <c r="D85" i="53"/>
  <c r="D80" i="53"/>
  <c r="D84" i="53"/>
  <c r="G84" i="53"/>
  <c r="G80" i="53"/>
  <c r="G85" i="53"/>
  <c r="H117" i="53"/>
  <c r="H113" i="53"/>
  <c r="AA80" i="53"/>
  <c r="O80" i="53"/>
  <c r="J82" i="53"/>
  <c r="I83" i="53"/>
  <c r="I85" i="53" s="1"/>
  <c r="J88" i="53"/>
  <c r="AA49" i="53"/>
  <c r="AA46" i="53" s="1"/>
  <c r="P80" i="53"/>
  <c r="N80" i="53"/>
  <c r="J3" i="51"/>
  <c r="AL45" i="51"/>
  <c r="G45" i="51"/>
  <c r="D13" i="49"/>
  <c r="T7" i="49"/>
  <c r="K23" i="55" l="1"/>
  <c r="L3" i="55"/>
  <c r="R151" i="53"/>
  <c r="R142" i="53"/>
  <c r="R114" i="53"/>
  <c r="R81" i="53"/>
  <c r="R80" i="53" s="1"/>
  <c r="R48" i="53"/>
  <c r="S1" i="53"/>
  <c r="S142" i="53" s="1"/>
  <c r="D125" i="53"/>
  <c r="D256" i="53" s="1"/>
  <c r="L244" i="53"/>
  <c r="J89" i="54"/>
  <c r="G118" i="54"/>
  <c r="G117" i="54"/>
  <c r="G113" i="54"/>
  <c r="H83" i="54"/>
  <c r="I82" i="54"/>
  <c r="AA49" i="54"/>
  <c r="AA46" i="54" s="1"/>
  <c r="R49" i="54"/>
  <c r="R46" i="54" s="1"/>
  <c r="Y130" i="54"/>
  <c r="V244" i="54"/>
  <c r="AB151" i="54"/>
  <c r="AB142" i="54"/>
  <c r="AB114" i="54"/>
  <c r="AB81" i="54"/>
  <c r="AB48" i="54"/>
  <c r="AB47" i="54"/>
  <c r="AC1" i="54"/>
  <c r="Q128" i="54"/>
  <c r="Q131" i="54"/>
  <c r="S151" i="54"/>
  <c r="S142" i="54"/>
  <c r="S114" i="54"/>
  <c r="S81" i="54"/>
  <c r="S48" i="54"/>
  <c r="S47" i="54"/>
  <c r="T1" i="54"/>
  <c r="E255" i="54"/>
  <c r="E256" i="54"/>
  <c r="J88" i="54"/>
  <c r="Z128" i="54"/>
  <c r="Z131" i="54"/>
  <c r="J87" i="54"/>
  <c r="I90" i="54"/>
  <c r="G141" i="54"/>
  <c r="G145" i="54"/>
  <c r="AA80" i="54"/>
  <c r="R80" i="54"/>
  <c r="L248" i="54"/>
  <c r="S129" i="54"/>
  <c r="S132" i="54" s="1"/>
  <c r="T115" i="54"/>
  <c r="S116" i="54"/>
  <c r="H151" i="54"/>
  <c r="H142" i="54"/>
  <c r="H114" i="54"/>
  <c r="H81" i="54"/>
  <c r="H48" i="54"/>
  <c r="H47" i="54"/>
  <c r="I1" i="54"/>
  <c r="AA117" i="54"/>
  <c r="AA113" i="54"/>
  <c r="AA118" i="54"/>
  <c r="AA125" i="54" s="1"/>
  <c r="R118" i="54"/>
  <c r="R125" i="54" s="1"/>
  <c r="R117" i="54"/>
  <c r="R113" i="54"/>
  <c r="P130" i="54"/>
  <c r="G49" i="54"/>
  <c r="G46" i="54" s="1"/>
  <c r="U248" i="54"/>
  <c r="AA145" i="54"/>
  <c r="AA141" i="54"/>
  <c r="R150" i="54"/>
  <c r="F128" i="54"/>
  <c r="F131" i="54"/>
  <c r="I115" i="54"/>
  <c r="H129" i="54"/>
  <c r="H132" i="54" s="1"/>
  <c r="H116" i="54"/>
  <c r="AB116" i="54"/>
  <c r="AB129" i="54"/>
  <c r="AB132" i="54" s="1"/>
  <c r="AC115" i="54"/>
  <c r="AA150" i="54"/>
  <c r="F125" i="54"/>
  <c r="F124" i="54"/>
  <c r="J122" i="54"/>
  <c r="K120" i="54"/>
  <c r="E100" i="54"/>
  <c r="E102" i="54"/>
  <c r="E101" i="54"/>
  <c r="E130" i="54"/>
  <c r="G150" i="54"/>
  <c r="G84" i="54"/>
  <c r="G97" i="54" s="1"/>
  <c r="G85" i="54"/>
  <c r="G80" i="54"/>
  <c r="R141" i="54"/>
  <c r="R145" i="54"/>
  <c r="F93" i="54"/>
  <c r="F94" i="54"/>
  <c r="F98" i="54"/>
  <c r="F99" i="54" s="1"/>
  <c r="F92" i="54"/>
  <c r="F124" i="53"/>
  <c r="G125" i="53"/>
  <c r="G255" i="53" s="1"/>
  <c r="I93" i="53"/>
  <c r="H255" i="53"/>
  <c r="H256" i="53"/>
  <c r="R150" i="53"/>
  <c r="I116" i="53"/>
  <c r="I118" i="53" s="1"/>
  <c r="I125" i="53" s="1"/>
  <c r="J115" i="53"/>
  <c r="AB150" i="53"/>
  <c r="H124" i="53"/>
  <c r="E255" i="53"/>
  <c r="E256" i="53"/>
  <c r="R113" i="53"/>
  <c r="I150" i="53"/>
  <c r="AB113" i="53"/>
  <c r="F256" i="53"/>
  <c r="I92" i="53"/>
  <c r="J87" i="53"/>
  <c r="I141" i="53"/>
  <c r="F94" i="53"/>
  <c r="F93" i="53"/>
  <c r="F92" i="53"/>
  <c r="I89" i="53"/>
  <c r="H90" i="53"/>
  <c r="I117" i="53"/>
  <c r="I113" i="53"/>
  <c r="AB49" i="53"/>
  <c r="AB46" i="53" s="1"/>
  <c r="D93" i="53"/>
  <c r="D94" i="53"/>
  <c r="D92" i="53"/>
  <c r="R49" i="53"/>
  <c r="R46" i="53" s="1"/>
  <c r="I49" i="53"/>
  <c r="I46" i="53" s="1"/>
  <c r="E94" i="53"/>
  <c r="E93" i="53"/>
  <c r="E92" i="53"/>
  <c r="AD1" i="53"/>
  <c r="AC48" i="53"/>
  <c r="AC47" i="53"/>
  <c r="AC114" i="53"/>
  <c r="AC142" i="53"/>
  <c r="AC151" i="53"/>
  <c r="AC81" i="53"/>
  <c r="K82" i="53"/>
  <c r="J83" i="53"/>
  <c r="H93" i="53"/>
  <c r="H94" i="53"/>
  <c r="J48" i="53"/>
  <c r="J47" i="53"/>
  <c r="K1" i="53"/>
  <c r="J114" i="53"/>
  <c r="J142" i="53"/>
  <c r="J151" i="53"/>
  <c r="J81" i="53"/>
  <c r="K88" i="53"/>
  <c r="AB141" i="53"/>
  <c r="G94" i="53"/>
  <c r="G93" i="53"/>
  <c r="G92" i="53"/>
  <c r="R141" i="53"/>
  <c r="AB80" i="53"/>
  <c r="J120" i="53"/>
  <c r="I122" i="53"/>
  <c r="H45" i="51"/>
  <c r="AM45" i="51"/>
  <c r="K3" i="51"/>
  <c r="T8" i="49"/>
  <c r="L23" i="55" l="1"/>
  <c r="M3" i="55"/>
  <c r="D255" i="53"/>
  <c r="S114" i="53"/>
  <c r="S113" i="53" s="1"/>
  <c r="S47" i="53"/>
  <c r="S81" i="53"/>
  <c r="S80" i="53" s="1"/>
  <c r="S151" i="53"/>
  <c r="S150" i="53" s="1"/>
  <c r="T1" i="53"/>
  <c r="T142" i="53" s="1"/>
  <c r="S48" i="53"/>
  <c r="M244" i="53"/>
  <c r="H150" i="54"/>
  <c r="S80" i="54"/>
  <c r="AC151" i="54"/>
  <c r="AC142" i="54"/>
  <c r="AC114" i="54"/>
  <c r="AC47" i="54"/>
  <c r="AC48" i="54"/>
  <c r="AD1" i="54"/>
  <c r="AC81" i="54"/>
  <c r="V248" i="54"/>
  <c r="Z130" i="54"/>
  <c r="S117" i="54"/>
  <c r="S113" i="54"/>
  <c r="S118" i="54"/>
  <c r="S125" i="54" s="1"/>
  <c r="AB49" i="54"/>
  <c r="AB46" i="54" s="1"/>
  <c r="G131" i="54"/>
  <c r="G128" i="54"/>
  <c r="AC129" i="54"/>
  <c r="AC132" i="54" s="1"/>
  <c r="AC116" i="54"/>
  <c r="AD115" i="54"/>
  <c r="F255" i="54"/>
  <c r="F256" i="54"/>
  <c r="R128" i="54"/>
  <c r="R131" i="54"/>
  <c r="I151" i="54"/>
  <c r="I114" i="54"/>
  <c r="I81" i="54"/>
  <c r="I48" i="54"/>
  <c r="I47" i="54"/>
  <c r="J1" i="54"/>
  <c r="I142" i="54"/>
  <c r="T129" i="54"/>
  <c r="T132" i="54" s="1"/>
  <c r="U115" i="54"/>
  <c r="T116" i="54"/>
  <c r="S145" i="54"/>
  <c r="S141" i="54"/>
  <c r="G125" i="54"/>
  <c r="G124" i="54"/>
  <c r="K89" i="54"/>
  <c r="F130" i="54"/>
  <c r="H49" i="54"/>
  <c r="H46" i="54" s="1"/>
  <c r="K88" i="54"/>
  <c r="S150" i="54"/>
  <c r="AB80" i="54"/>
  <c r="Q130" i="54"/>
  <c r="AB118" i="54"/>
  <c r="AB125" i="54" s="1"/>
  <c r="AB113" i="54"/>
  <c r="AB117" i="54"/>
  <c r="H141" i="54"/>
  <c r="H145" i="54"/>
  <c r="F101" i="54"/>
  <c r="F102" i="54"/>
  <c r="F100" i="54"/>
  <c r="G94" i="54"/>
  <c r="G98" i="54"/>
  <c r="G99" i="54" s="1"/>
  <c r="G93" i="54"/>
  <c r="G92" i="54"/>
  <c r="L120" i="54"/>
  <c r="K122" i="54"/>
  <c r="H84" i="54"/>
  <c r="H97" i="54" s="1"/>
  <c r="H85" i="54"/>
  <c r="H80" i="54"/>
  <c r="T151" i="54"/>
  <c r="T142" i="54"/>
  <c r="T114" i="54"/>
  <c r="T81" i="54"/>
  <c r="T47" i="54"/>
  <c r="T48" i="54"/>
  <c r="U1" i="54"/>
  <c r="AB145" i="54"/>
  <c r="AB141" i="54"/>
  <c r="W244" i="54"/>
  <c r="J115" i="54"/>
  <c r="I129" i="54"/>
  <c r="I132" i="54" s="1"/>
  <c r="I116" i="54"/>
  <c r="AA128" i="54"/>
  <c r="AA131" i="54"/>
  <c r="H118" i="54"/>
  <c r="H117" i="54"/>
  <c r="H113" i="54"/>
  <c r="J90" i="54"/>
  <c r="K87" i="54"/>
  <c r="S49" i="54"/>
  <c r="S46" i="54" s="1"/>
  <c r="AB150" i="54"/>
  <c r="J82" i="54"/>
  <c r="I83" i="54"/>
  <c r="G256" i="53"/>
  <c r="I124" i="53"/>
  <c r="AC141" i="53"/>
  <c r="J85" i="53"/>
  <c r="J92" i="53" s="1"/>
  <c r="J80" i="53"/>
  <c r="J84" i="53"/>
  <c r="AC80" i="53"/>
  <c r="S141" i="53"/>
  <c r="L88" i="53"/>
  <c r="J150" i="53"/>
  <c r="AC150" i="53"/>
  <c r="J117" i="53"/>
  <c r="J113" i="53"/>
  <c r="AC113" i="53"/>
  <c r="J141" i="53"/>
  <c r="K47" i="53"/>
  <c r="K48" i="53"/>
  <c r="L1" i="53"/>
  <c r="K151" i="53"/>
  <c r="K142" i="53"/>
  <c r="K114" i="53"/>
  <c r="K81" i="53"/>
  <c r="AC49" i="53"/>
  <c r="AC46" i="53" s="1"/>
  <c r="AE1" i="53"/>
  <c r="AD48" i="53"/>
  <c r="AD47" i="53"/>
  <c r="AD81" i="53"/>
  <c r="AD114" i="53"/>
  <c r="AD151" i="53"/>
  <c r="AD142" i="53"/>
  <c r="J89" i="53"/>
  <c r="J90" i="53" s="1"/>
  <c r="K87" i="53"/>
  <c r="I94" i="53"/>
  <c r="J49" i="53"/>
  <c r="J46" i="53" s="1"/>
  <c r="I255" i="53"/>
  <c r="I256" i="53"/>
  <c r="J122" i="53"/>
  <c r="K120" i="53"/>
  <c r="L82" i="53"/>
  <c r="K83" i="53"/>
  <c r="I90" i="53"/>
  <c r="K115" i="53"/>
  <c r="J116" i="53"/>
  <c r="J118" i="53" s="1"/>
  <c r="AN45" i="51"/>
  <c r="I45" i="51"/>
  <c r="L3" i="51"/>
  <c r="AO10" i="12"/>
  <c r="AN10" i="12"/>
  <c r="AM10" i="12"/>
  <c r="T47" i="53" l="1"/>
  <c r="S49" i="53"/>
  <c r="S46" i="53" s="1"/>
  <c r="M23" i="55"/>
  <c r="N3" i="55"/>
  <c r="T81" i="53"/>
  <c r="T80" i="53" s="1"/>
  <c r="T151" i="53"/>
  <c r="T114" i="53"/>
  <c r="T113" i="53" s="1"/>
  <c r="T48" i="53"/>
  <c r="T49" i="53" s="1"/>
  <c r="T46" i="53" s="1"/>
  <c r="U1" i="53"/>
  <c r="U142" i="53" s="1"/>
  <c r="N244" i="53"/>
  <c r="G255" i="54"/>
  <c r="G256" i="54"/>
  <c r="AC141" i="54"/>
  <c r="AC145" i="54"/>
  <c r="J83" i="54"/>
  <c r="K82" i="54"/>
  <c r="X244" i="54"/>
  <c r="T145" i="54"/>
  <c r="T141" i="54"/>
  <c r="M120" i="54"/>
  <c r="L122" i="54"/>
  <c r="J151" i="54"/>
  <c r="J142" i="54"/>
  <c r="J114" i="54"/>
  <c r="J81" i="54"/>
  <c r="J48" i="54"/>
  <c r="J47" i="54"/>
  <c r="K1" i="54"/>
  <c r="W248" i="54"/>
  <c r="AC150" i="54"/>
  <c r="T118" i="54"/>
  <c r="T125" i="54" s="1"/>
  <c r="T117" i="54"/>
  <c r="T113" i="54"/>
  <c r="I49" i="54"/>
  <c r="I46" i="54" s="1"/>
  <c r="AC80" i="54"/>
  <c r="H98" i="54"/>
  <c r="H99" i="54" s="1"/>
  <c r="H93" i="54"/>
  <c r="H94" i="54"/>
  <c r="H92" i="54"/>
  <c r="I145" i="54"/>
  <c r="I141" i="54"/>
  <c r="T150" i="54"/>
  <c r="AB128" i="54"/>
  <c r="AB131" i="54"/>
  <c r="G102" i="54"/>
  <c r="G100" i="54"/>
  <c r="G101" i="54"/>
  <c r="I85" i="54"/>
  <c r="I80" i="54"/>
  <c r="I84" i="54"/>
  <c r="I97" i="54" s="1"/>
  <c r="AD129" i="54"/>
  <c r="AD132" i="54" s="1"/>
  <c r="AE115" i="54"/>
  <c r="AD116" i="54"/>
  <c r="AD151" i="54"/>
  <c r="AD142" i="54"/>
  <c r="AD114" i="54"/>
  <c r="AD81" i="54"/>
  <c r="AD48" i="54"/>
  <c r="AD47" i="54"/>
  <c r="AE1" i="54"/>
  <c r="K115" i="54"/>
  <c r="J129" i="54"/>
  <c r="J132" i="54" s="1"/>
  <c r="J116" i="54"/>
  <c r="U151" i="54"/>
  <c r="U142" i="54"/>
  <c r="U114" i="54"/>
  <c r="U48" i="54"/>
  <c r="U47" i="54"/>
  <c r="V1" i="54"/>
  <c r="U81" i="54"/>
  <c r="H125" i="54"/>
  <c r="H124" i="54"/>
  <c r="I117" i="54"/>
  <c r="I113" i="54"/>
  <c r="I118" i="54"/>
  <c r="K90" i="54"/>
  <c r="L87" i="54"/>
  <c r="H128" i="54"/>
  <c r="H131" i="54"/>
  <c r="T49" i="54"/>
  <c r="T46" i="54" s="1"/>
  <c r="L88" i="54"/>
  <c r="L89" i="54"/>
  <c r="U129" i="54"/>
  <c r="U132" i="54" s="1"/>
  <c r="V115" i="54"/>
  <c r="U116" i="54"/>
  <c r="I150" i="54"/>
  <c r="S128" i="54"/>
  <c r="S131" i="54"/>
  <c r="AC49" i="54"/>
  <c r="AC46" i="54" s="1"/>
  <c r="R130" i="54"/>
  <c r="AA130" i="54"/>
  <c r="T80" i="54"/>
  <c r="G130" i="54"/>
  <c r="AC118" i="54"/>
  <c r="AC125" i="54" s="1"/>
  <c r="AC117" i="54"/>
  <c r="AC113" i="54"/>
  <c r="J125" i="53"/>
  <c r="J255" i="53" s="1"/>
  <c r="J124" i="53"/>
  <c r="L83" i="53"/>
  <c r="M82" i="53"/>
  <c r="AD150" i="53"/>
  <c r="U48" i="53"/>
  <c r="U81" i="53"/>
  <c r="AD113" i="53"/>
  <c r="K49" i="53"/>
  <c r="K46" i="53" s="1"/>
  <c r="AD80" i="53"/>
  <c r="J93" i="53"/>
  <c r="J94" i="53"/>
  <c r="L120" i="53"/>
  <c r="K122" i="53"/>
  <c r="K89" i="53"/>
  <c r="K90" i="53" s="1"/>
  <c r="AD49" i="53"/>
  <c r="AD46" i="53" s="1"/>
  <c r="K84" i="53"/>
  <c r="K85" i="53"/>
  <c r="K92" i="53" s="1"/>
  <c r="K80" i="53"/>
  <c r="T150" i="53"/>
  <c r="M88" i="53"/>
  <c r="K113" i="53"/>
  <c r="K117" i="53"/>
  <c r="AF1" i="53"/>
  <c r="AE48" i="53"/>
  <c r="AE47" i="53"/>
  <c r="AE114" i="53"/>
  <c r="AE142" i="53"/>
  <c r="AE81" i="53"/>
  <c r="AE151" i="53"/>
  <c r="K141" i="53"/>
  <c r="T141" i="53"/>
  <c r="L115" i="53"/>
  <c r="K116" i="53"/>
  <c r="K118" i="53" s="1"/>
  <c r="K125" i="53" s="1"/>
  <c r="K150" i="53"/>
  <c r="L87" i="53"/>
  <c r="AD141" i="53"/>
  <c r="L48" i="53"/>
  <c r="L47" i="53"/>
  <c r="L151" i="53"/>
  <c r="L142" i="53"/>
  <c r="L114" i="53"/>
  <c r="L81" i="53"/>
  <c r="AO45" i="51"/>
  <c r="M3" i="51"/>
  <c r="J45" i="51"/>
  <c r="AP261" i="12"/>
  <c r="D356" i="48"/>
  <c r="E356" i="48" s="1"/>
  <c r="D351" i="48"/>
  <c r="E351" i="48" s="1"/>
  <c r="F351" i="48" s="1"/>
  <c r="G351" i="48" s="1"/>
  <c r="H351" i="48" s="1"/>
  <c r="I351" i="48" s="1"/>
  <c r="J351" i="48" s="1"/>
  <c r="K351" i="48" s="1"/>
  <c r="L351" i="48" s="1"/>
  <c r="M351" i="48" s="1"/>
  <c r="N351" i="48" s="1"/>
  <c r="O351" i="48" s="1"/>
  <c r="P351" i="48" s="1"/>
  <c r="Q351" i="48" s="1"/>
  <c r="R351" i="48" s="1"/>
  <c r="S351" i="48" s="1"/>
  <c r="T351" i="48" s="1"/>
  <c r="U351" i="48" s="1"/>
  <c r="V351" i="48" s="1"/>
  <c r="W351" i="48" s="1"/>
  <c r="X351" i="48" s="1"/>
  <c r="Y351" i="48" s="1"/>
  <c r="Z351" i="48" s="1"/>
  <c r="AA351" i="48" s="1"/>
  <c r="AB351" i="48" s="1"/>
  <c r="AC351" i="48" s="1"/>
  <c r="AD351" i="48" s="1"/>
  <c r="AE351" i="48" s="1"/>
  <c r="AF351" i="48" s="1"/>
  <c r="AG351" i="48" s="1"/>
  <c r="AG254" i="48"/>
  <c r="C254" i="48"/>
  <c r="AG237" i="48"/>
  <c r="C237" i="48"/>
  <c r="C193" i="48"/>
  <c r="D193" i="48" s="1"/>
  <c r="E193" i="48" s="1"/>
  <c r="F193" i="48" s="1"/>
  <c r="G193" i="48" s="1"/>
  <c r="H193" i="48" s="1"/>
  <c r="I193" i="48" s="1"/>
  <c r="J193" i="48" s="1"/>
  <c r="K193" i="48" s="1"/>
  <c r="L193" i="48" s="1"/>
  <c r="M193" i="48" s="1"/>
  <c r="N193" i="48" s="1"/>
  <c r="O193" i="48" s="1"/>
  <c r="P193" i="48" s="1"/>
  <c r="Q193" i="48" s="1"/>
  <c r="R193" i="48" s="1"/>
  <c r="S193" i="48" s="1"/>
  <c r="T193" i="48" s="1"/>
  <c r="U193" i="48" s="1"/>
  <c r="V193" i="48" s="1"/>
  <c r="W193" i="48" s="1"/>
  <c r="X193" i="48" s="1"/>
  <c r="Y193" i="48" s="1"/>
  <c r="Z193" i="48" s="1"/>
  <c r="AA193" i="48" s="1"/>
  <c r="AB193" i="48" s="1"/>
  <c r="AC193" i="48" s="1"/>
  <c r="AD193" i="48" s="1"/>
  <c r="AE193" i="48" s="1"/>
  <c r="AF193" i="48" s="1"/>
  <c r="AG193" i="48" s="1"/>
  <c r="D192" i="48"/>
  <c r="AG190" i="48"/>
  <c r="AG189" i="48"/>
  <c r="C189" i="48"/>
  <c r="AG188" i="48"/>
  <c r="C188" i="48"/>
  <c r="C190" i="48" s="1"/>
  <c r="D187" i="48"/>
  <c r="D188" i="48" s="1"/>
  <c r="AG185" i="48"/>
  <c r="C185" i="48"/>
  <c r="C129" i="48"/>
  <c r="C130" i="48" s="1"/>
  <c r="D128" i="48"/>
  <c r="E128" i="48" s="1"/>
  <c r="D127" i="48"/>
  <c r="E127" i="48" s="1"/>
  <c r="F127" i="48" s="1"/>
  <c r="AG125" i="48"/>
  <c r="AG124" i="48"/>
  <c r="C124" i="48"/>
  <c r="AG123" i="48"/>
  <c r="C123" i="48"/>
  <c r="C125" i="48" s="1"/>
  <c r="D122" i="48"/>
  <c r="D123" i="48" s="1"/>
  <c r="AG120" i="48"/>
  <c r="C120" i="48"/>
  <c r="AG51" i="48"/>
  <c r="W49" i="48"/>
  <c r="M49" i="48"/>
  <c r="C49" i="48"/>
  <c r="C46" i="48" s="1"/>
  <c r="AG48" i="48"/>
  <c r="AG47" i="48"/>
  <c r="AG49" i="48" s="1"/>
  <c r="AG46" i="48" s="1"/>
  <c r="M46" i="48"/>
  <c r="Y1" i="48"/>
  <c r="Y48" i="48" s="1"/>
  <c r="X1" i="48"/>
  <c r="N1" i="48"/>
  <c r="N48" i="48" s="1"/>
  <c r="D1" i="48"/>
  <c r="E1" i="48" s="1"/>
  <c r="AI51" i="47"/>
  <c r="AI47" i="47"/>
  <c r="AI53" i="47"/>
  <c r="AI52" i="47"/>
  <c r="AI50" i="47"/>
  <c r="AI49" i="47"/>
  <c r="AI48" i="47"/>
  <c r="AI46" i="47"/>
  <c r="F37" i="47"/>
  <c r="G37" i="47" s="1"/>
  <c r="H37" i="47" s="1"/>
  <c r="I37" i="47" s="1"/>
  <c r="J37" i="47" s="1"/>
  <c r="K37" i="47" s="1"/>
  <c r="L37" i="47" s="1"/>
  <c r="M37" i="47" s="1"/>
  <c r="N37" i="47" s="1"/>
  <c r="O37" i="47" s="1"/>
  <c r="P37" i="47" s="1"/>
  <c r="Q37" i="47" s="1"/>
  <c r="R37" i="47" s="1"/>
  <c r="S37" i="47" s="1"/>
  <c r="T37" i="47" s="1"/>
  <c r="U37" i="47" s="1"/>
  <c r="V37" i="47" s="1"/>
  <c r="W37" i="47" s="1"/>
  <c r="X37" i="47" s="1"/>
  <c r="Y37" i="47" s="1"/>
  <c r="Z37" i="47" s="1"/>
  <c r="AA37" i="47" s="1"/>
  <c r="AB37" i="47" s="1"/>
  <c r="AC37" i="47" s="1"/>
  <c r="AD37" i="47" s="1"/>
  <c r="AE37" i="47" s="1"/>
  <c r="AF37" i="47" s="1"/>
  <c r="AG37" i="47" s="1"/>
  <c r="AH37" i="47" s="1"/>
  <c r="AI37" i="47" s="1"/>
  <c r="Q7" i="47"/>
  <c r="P7" i="47"/>
  <c r="D356" i="46"/>
  <c r="E356" i="46" s="1"/>
  <c r="F356" i="46" s="1"/>
  <c r="G356" i="46" s="1"/>
  <c r="H356" i="46" s="1"/>
  <c r="I356" i="46" s="1"/>
  <c r="J356" i="46" s="1"/>
  <c r="K356" i="46" s="1"/>
  <c r="L356" i="46" s="1"/>
  <c r="M356" i="46" s="1"/>
  <c r="N356" i="46" s="1"/>
  <c r="O356" i="46" s="1"/>
  <c r="P356" i="46" s="1"/>
  <c r="Q356" i="46" s="1"/>
  <c r="R356" i="46" s="1"/>
  <c r="S356" i="46" s="1"/>
  <c r="T356" i="46" s="1"/>
  <c r="U356" i="46" s="1"/>
  <c r="V356" i="46" s="1"/>
  <c r="W356" i="46" s="1"/>
  <c r="X356" i="46" s="1"/>
  <c r="Y356" i="46" s="1"/>
  <c r="Z356" i="46" s="1"/>
  <c r="AA356" i="46" s="1"/>
  <c r="AB356" i="46" s="1"/>
  <c r="AC356" i="46" s="1"/>
  <c r="AD356" i="46" s="1"/>
  <c r="AE356" i="46" s="1"/>
  <c r="AF356" i="46" s="1"/>
  <c r="AG356" i="46" s="1"/>
  <c r="D351" i="46"/>
  <c r="E351" i="46" s="1"/>
  <c r="F351" i="46" s="1"/>
  <c r="G351" i="46" s="1"/>
  <c r="H351" i="46" s="1"/>
  <c r="I351" i="46" s="1"/>
  <c r="J351" i="46" s="1"/>
  <c r="K351" i="46" s="1"/>
  <c r="L351" i="46" s="1"/>
  <c r="M351" i="46" s="1"/>
  <c r="N351" i="46" s="1"/>
  <c r="O351" i="46" s="1"/>
  <c r="P351" i="46" s="1"/>
  <c r="Q351" i="46" s="1"/>
  <c r="R351" i="46" s="1"/>
  <c r="S351" i="46" s="1"/>
  <c r="T351" i="46" s="1"/>
  <c r="U351" i="46" s="1"/>
  <c r="V351" i="46" s="1"/>
  <c r="W351" i="46" s="1"/>
  <c r="X351" i="46" s="1"/>
  <c r="Y351" i="46" s="1"/>
  <c r="Z351" i="46" s="1"/>
  <c r="AA351" i="46" s="1"/>
  <c r="AB351" i="46" s="1"/>
  <c r="AC351" i="46" s="1"/>
  <c r="AD351" i="46" s="1"/>
  <c r="AE351" i="46" s="1"/>
  <c r="AF351" i="46" s="1"/>
  <c r="AG351" i="46" s="1"/>
  <c r="AG254" i="46"/>
  <c r="C254" i="46"/>
  <c r="AG237" i="46"/>
  <c r="C237" i="46"/>
  <c r="C193" i="46"/>
  <c r="D193" i="46" s="1"/>
  <c r="E193" i="46" s="1"/>
  <c r="F193" i="46" s="1"/>
  <c r="G193" i="46" s="1"/>
  <c r="H193" i="46" s="1"/>
  <c r="I193" i="46" s="1"/>
  <c r="J193" i="46" s="1"/>
  <c r="K193" i="46" s="1"/>
  <c r="L193" i="46" s="1"/>
  <c r="M193" i="46" s="1"/>
  <c r="N193" i="46" s="1"/>
  <c r="O193" i="46" s="1"/>
  <c r="P193" i="46" s="1"/>
  <c r="Q193" i="46" s="1"/>
  <c r="R193" i="46" s="1"/>
  <c r="S193" i="46" s="1"/>
  <c r="T193" i="46" s="1"/>
  <c r="U193" i="46" s="1"/>
  <c r="V193" i="46" s="1"/>
  <c r="W193" i="46" s="1"/>
  <c r="X193" i="46" s="1"/>
  <c r="Y193" i="46" s="1"/>
  <c r="Z193" i="46" s="1"/>
  <c r="AA193" i="46" s="1"/>
  <c r="AB193" i="46" s="1"/>
  <c r="AC193" i="46" s="1"/>
  <c r="AD193" i="46" s="1"/>
  <c r="AE193" i="46" s="1"/>
  <c r="AF193" i="46" s="1"/>
  <c r="AG193" i="46" s="1"/>
  <c r="D192" i="46"/>
  <c r="AG189" i="46"/>
  <c r="C189" i="46"/>
  <c r="AG188" i="46"/>
  <c r="AG190" i="46" s="1"/>
  <c r="C188" i="46"/>
  <c r="C190" i="46" s="1"/>
  <c r="D187" i="46"/>
  <c r="E187" i="46" s="1"/>
  <c r="E188" i="46" s="1"/>
  <c r="AG185" i="46"/>
  <c r="C185" i="46"/>
  <c r="C129" i="46"/>
  <c r="C130" i="46" s="1"/>
  <c r="D128" i="46"/>
  <c r="E128" i="46" s="1"/>
  <c r="F128" i="46" s="1"/>
  <c r="G128" i="46" s="1"/>
  <c r="D127" i="46"/>
  <c r="E127" i="46" s="1"/>
  <c r="AG124" i="46"/>
  <c r="C124" i="46"/>
  <c r="AG123" i="46"/>
  <c r="AG125" i="46" s="1"/>
  <c r="C123" i="46"/>
  <c r="C125" i="46" s="1"/>
  <c r="C133" i="46" s="1"/>
  <c r="D122" i="46"/>
  <c r="E122" i="46" s="1"/>
  <c r="E123" i="46" s="1"/>
  <c r="AG120" i="46"/>
  <c r="C120" i="46"/>
  <c r="AG51" i="46"/>
  <c r="W49" i="46"/>
  <c r="W46" i="46" s="1"/>
  <c r="M49" i="46"/>
  <c r="M46" i="46" s="1"/>
  <c r="C49" i="46"/>
  <c r="C46" i="46" s="1"/>
  <c r="AG48" i="46"/>
  <c r="AG47" i="46"/>
  <c r="X1" i="46"/>
  <c r="Y1" i="46" s="1"/>
  <c r="N1" i="46"/>
  <c r="N48" i="46" s="1"/>
  <c r="D1" i="46"/>
  <c r="AK65" i="45"/>
  <c r="AL65" i="45"/>
  <c r="AM65" i="45"/>
  <c r="AN65" i="45"/>
  <c r="AO65" i="45"/>
  <c r="AP65" i="45"/>
  <c r="AQ65" i="45"/>
  <c r="AR65" i="45"/>
  <c r="AS65" i="45"/>
  <c r="AT65" i="45"/>
  <c r="AU65" i="45"/>
  <c r="AV65" i="45"/>
  <c r="AW65" i="45"/>
  <c r="AX65" i="45"/>
  <c r="AY65" i="45"/>
  <c r="AZ65" i="45"/>
  <c r="BA65" i="45"/>
  <c r="BB65" i="45"/>
  <c r="BC65" i="45"/>
  <c r="BD65" i="45"/>
  <c r="BE65" i="45"/>
  <c r="BF65" i="45"/>
  <c r="BG65" i="45"/>
  <c r="BH65" i="45"/>
  <c r="BI65" i="45"/>
  <c r="BJ65" i="45"/>
  <c r="BK65" i="45"/>
  <c r="BL65" i="45"/>
  <c r="BM65" i="45"/>
  <c r="BN65" i="45"/>
  <c r="AJ65" i="45"/>
  <c r="AK62" i="45"/>
  <c r="AL62" i="45"/>
  <c r="AM62" i="45"/>
  <c r="AN62" i="45"/>
  <c r="AO62" i="45"/>
  <c r="AP62" i="45"/>
  <c r="AQ62" i="45"/>
  <c r="AR62" i="45"/>
  <c r="AS62" i="45"/>
  <c r="AT62" i="45"/>
  <c r="AU62" i="45"/>
  <c r="AV62" i="45"/>
  <c r="AW62" i="45"/>
  <c r="AX62" i="45"/>
  <c r="AY62" i="45"/>
  <c r="AZ62" i="45"/>
  <c r="BA62" i="45"/>
  <c r="BB62" i="45"/>
  <c r="BC62" i="45"/>
  <c r="BD62" i="45"/>
  <c r="BE62" i="45"/>
  <c r="BF62" i="45"/>
  <c r="BG62" i="45"/>
  <c r="BH62" i="45"/>
  <c r="BI62" i="45"/>
  <c r="BJ62" i="45"/>
  <c r="BK62" i="45"/>
  <c r="BL62" i="45"/>
  <c r="BM62" i="45"/>
  <c r="BN62" i="45"/>
  <c r="AJ62" i="45"/>
  <c r="AJ33" i="45"/>
  <c r="AJ30" i="45"/>
  <c r="AJ21" i="45"/>
  <c r="AJ66" i="45"/>
  <c r="AJ64" i="45"/>
  <c r="AJ61" i="45"/>
  <c r="AJ63" i="45" l="1"/>
  <c r="AJ69" i="45" s="1"/>
  <c r="E187" i="48"/>
  <c r="D129" i="48"/>
  <c r="E129" i="48" s="1"/>
  <c r="Z1" i="48"/>
  <c r="AA1" i="48" s="1"/>
  <c r="AB1" i="48" s="1"/>
  <c r="AC1" i="48" s="1"/>
  <c r="E122" i="48"/>
  <c r="AG197" i="48"/>
  <c r="AG367" i="48" s="1"/>
  <c r="D194" i="48"/>
  <c r="N23" i="55"/>
  <c r="O3" i="55"/>
  <c r="U114" i="53"/>
  <c r="U113" i="53" s="1"/>
  <c r="U47" i="53"/>
  <c r="V1" i="53"/>
  <c r="V142" i="53" s="1"/>
  <c r="U151" i="53"/>
  <c r="O244" i="53"/>
  <c r="U49" i="54"/>
  <c r="U46" i="54" s="1"/>
  <c r="AE151" i="54"/>
  <c r="AE114" i="54"/>
  <c r="AE47" i="54"/>
  <c r="AE48" i="54"/>
  <c r="AF1" i="54"/>
  <c r="AE81" i="54"/>
  <c r="AE142" i="54"/>
  <c r="AE116" i="54"/>
  <c r="AE129" i="54"/>
  <c r="AE132" i="54" s="1"/>
  <c r="AF115" i="54"/>
  <c r="J150" i="54"/>
  <c r="AC131" i="54"/>
  <c r="AC128" i="54"/>
  <c r="V116" i="54"/>
  <c r="V129" i="54"/>
  <c r="V132" i="54" s="1"/>
  <c r="AD49" i="54"/>
  <c r="AD46" i="54" s="1"/>
  <c r="N120" i="54"/>
  <c r="M122" i="54"/>
  <c r="M124" i="54"/>
  <c r="M89" i="54"/>
  <c r="U141" i="54"/>
  <c r="U145" i="54"/>
  <c r="AD80" i="54"/>
  <c r="J49" i="54"/>
  <c r="J46" i="54" s="1"/>
  <c r="M88" i="54"/>
  <c r="I128" i="54"/>
  <c r="I131" i="54"/>
  <c r="U150" i="54"/>
  <c r="AD118" i="54"/>
  <c r="AD125" i="54" s="1"/>
  <c r="AD117" i="54"/>
  <c r="AD113" i="54"/>
  <c r="I98" i="54"/>
  <c r="I99" i="54" s="1"/>
  <c r="I93" i="54"/>
  <c r="I94" i="54"/>
  <c r="I92" i="54"/>
  <c r="AB130" i="54"/>
  <c r="S130" i="54"/>
  <c r="H255" i="54"/>
  <c r="H256" i="54"/>
  <c r="AD145" i="54"/>
  <c r="AD141" i="54"/>
  <c r="J84" i="54"/>
  <c r="J97" i="54" s="1"/>
  <c r="J85" i="54"/>
  <c r="J80" i="54"/>
  <c r="H130" i="54"/>
  <c r="I125" i="54"/>
  <c r="I124" i="54"/>
  <c r="U113" i="54"/>
  <c r="U118" i="54"/>
  <c r="U125" i="54" s="1"/>
  <c r="U117" i="54"/>
  <c r="H102" i="54"/>
  <c r="H100" i="54"/>
  <c r="H101" i="54"/>
  <c r="T128" i="54"/>
  <c r="T131" i="54"/>
  <c r="K151" i="54"/>
  <c r="K114" i="54"/>
  <c r="K47" i="54"/>
  <c r="K81" i="54"/>
  <c r="K48" i="54"/>
  <c r="L1" i="54"/>
  <c r="K142" i="54"/>
  <c r="L90" i="54"/>
  <c r="M87" i="54"/>
  <c r="U80" i="54"/>
  <c r="AD150" i="54"/>
  <c r="J118" i="54"/>
  <c r="J113" i="54"/>
  <c r="J117" i="54"/>
  <c r="K83" i="54"/>
  <c r="L82" i="54"/>
  <c r="V151" i="54"/>
  <c r="V142" i="54"/>
  <c r="V114" i="54"/>
  <c r="V81" i="54"/>
  <c r="V47" i="54"/>
  <c r="V48" i="54"/>
  <c r="K129" i="54"/>
  <c r="K132" i="54" s="1"/>
  <c r="L115" i="54"/>
  <c r="K116" i="54"/>
  <c r="X248" i="54"/>
  <c r="J141" i="54"/>
  <c r="J145" i="54"/>
  <c r="Y244" i="54"/>
  <c r="J256" i="53"/>
  <c r="L113" i="53"/>
  <c r="L117" i="53"/>
  <c r="L122" i="53"/>
  <c r="M120" i="53"/>
  <c r="L141" i="53"/>
  <c r="M87" i="53"/>
  <c r="AE150" i="53"/>
  <c r="L150" i="53"/>
  <c r="L116" i="53"/>
  <c r="L118" i="53" s="1"/>
  <c r="AE80" i="53"/>
  <c r="U80" i="53"/>
  <c r="L49" i="53"/>
  <c r="L46" i="53" s="1"/>
  <c r="AE141" i="53"/>
  <c r="N88" i="53"/>
  <c r="K255" i="53"/>
  <c r="K256" i="53"/>
  <c r="U141" i="53"/>
  <c r="M83" i="53"/>
  <c r="M85" i="53" s="1"/>
  <c r="N82" i="53"/>
  <c r="M84" i="53"/>
  <c r="AE113" i="53"/>
  <c r="L89" i="53"/>
  <c r="U150" i="53"/>
  <c r="AE49" i="53"/>
  <c r="AE46" i="53" s="1"/>
  <c r="U49" i="53"/>
  <c r="U46" i="53" s="1"/>
  <c r="L85" i="53"/>
  <c r="L84" i="53"/>
  <c r="L80" i="53"/>
  <c r="AF47" i="53"/>
  <c r="AF48" i="53"/>
  <c r="AF151" i="53"/>
  <c r="AF81" i="53"/>
  <c r="AF142" i="53"/>
  <c r="AF114" i="53"/>
  <c r="K94" i="53"/>
  <c r="K93" i="53"/>
  <c r="K124" i="53"/>
  <c r="V114" i="53"/>
  <c r="AP45" i="51"/>
  <c r="N3" i="51"/>
  <c r="K45" i="51"/>
  <c r="E48" i="48"/>
  <c r="E47" i="48"/>
  <c r="F1" i="48"/>
  <c r="AD1" i="48"/>
  <c r="AC48" i="48"/>
  <c r="AC47" i="48"/>
  <c r="Z47" i="48"/>
  <c r="D48" i="48"/>
  <c r="W238" i="48"/>
  <c r="W255" i="48"/>
  <c r="W186" i="48"/>
  <c r="W121" i="48"/>
  <c r="O1" i="48"/>
  <c r="X47" i="48"/>
  <c r="AB47" i="48"/>
  <c r="X48" i="48"/>
  <c r="AB48" i="48"/>
  <c r="M255" i="48"/>
  <c r="M238" i="48"/>
  <c r="M186" i="48"/>
  <c r="M121" i="48"/>
  <c r="Y47" i="48"/>
  <c r="D47" i="48"/>
  <c r="Z48" i="48"/>
  <c r="W46" i="48"/>
  <c r="N47" i="48"/>
  <c r="AA47" i="48"/>
  <c r="AA48" i="48"/>
  <c r="E123" i="48"/>
  <c r="F122" i="48"/>
  <c r="F128" i="48"/>
  <c r="C133" i="48"/>
  <c r="C134" i="48"/>
  <c r="C132" i="48"/>
  <c r="G127" i="48"/>
  <c r="F129" i="48"/>
  <c r="D130" i="48"/>
  <c r="E130" i="48"/>
  <c r="C196" i="48"/>
  <c r="C197" i="48"/>
  <c r="C367" i="48" s="1"/>
  <c r="F187" i="48"/>
  <c r="E188" i="48"/>
  <c r="E192" i="48"/>
  <c r="C194" i="48"/>
  <c r="C368" i="48"/>
  <c r="AG368" i="48"/>
  <c r="F356" i="48"/>
  <c r="D129" i="46"/>
  <c r="E129" i="46" s="1"/>
  <c r="O1" i="46"/>
  <c r="O48" i="46" s="1"/>
  <c r="Y47" i="46"/>
  <c r="X48" i="46"/>
  <c r="AG49" i="46"/>
  <c r="W186" i="46" s="1"/>
  <c r="X47" i="46"/>
  <c r="D48" i="46"/>
  <c r="D47" i="46"/>
  <c r="E1" i="46"/>
  <c r="Z1" i="46"/>
  <c r="AA1" i="46" s="1"/>
  <c r="AB1" i="46" s="1"/>
  <c r="AC1" i="46" s="1"/>
  <c r="Y48" i="46"/>
  <c r="N47" i="46"/>
  <c r="C134" i="46"/>
  <c r="C132" i="46"/>
  <c r="H128" i="46"/>
  <c r="D123" i="46"/>
  <c r="F127" i="46"/>
  <c r="F122" i="46"/>
  <c r="C196" i="46"/>
  <c r="C197" i="46"/>
  <c r="C367" i="46" s="1"/>
  <c r="AG197" i="46"/>
  <c r="AG367" i="46" s="1"/>
  <c r="D194" i="46"/>
  <c r="F187" i="46"/>
  <c r="D188" i="46"/>
  <c r="E192" i="46"/>
  <c r="C194" i="46"/>
  <c r="G9" i="9"/>
  <c r="G6" i="9"/>
  <c r="G11" i="9" s="1"/>
  <c r="O23" i="55" l="1"/>
  <c r="P3" i="55"/>
  <c r="V81" i="53"/>
  <c r="V151" i="53"/>
  <c r="V150" i="53" s="1"/>
  <c r="V48" i="53"/>
  <c r="V47" i="53"/>
  <c r="P244" i="53"/>
  <c r="V49" i="54"/>
  <c r="V46" i="54" s="1"/>
  <c r="AE80" i="54"/>
  <c r="N88" i="54"/>
  <c r="V113" i="54"/>
  <c r="V118" i="54"/>
  <c r="V125" i="54" s="1"/>
  <c r="V117" i="54"/>
  <c r="J128" i="54"/>
  <c r="J131" i="54"/>
  <c r="K150" i="54"/>
  <c r="N89" i="54"/>
  <c r="N122" i="54"/>
  <c r="O120" i="54"/>
  <c r="N124" i="54"/>
  <c r="V145" i="54"/>
  <c r="V141" i="54"/>
  <c r="AE49" i="54"/>
  <c r="AE46" i="54" s="1"/>
  <c r="U131" i="54"/>
  <c r="U128" i="54"/>
  <c r="V150" i="54"/>
  <c r="J125" i="54"/>
  <c r="J124" i="54"/>
  <c r="K141" i="54"/>
  <c r="K145" i="54"/>
  <c r="T130" i="54"/>
  <c r="I255" i="54"/>
  <c r="I256" i="54"/>
  <c r="AF129" i="54"/>
  <c r="AF132" i="54" s="1"/>
  <c r="AF116" i="54"/>
  <c r="AE113" i="54"/>
  <c r="AE118" i="54"/>
  <c r="AE125" i="54" s="1"/>
  <c r="AE117" i="54"/>
  <c r="AF151" i="54"/>
  <c r="AF142" i="54"/>
  <c r="AF114" i="54"/>
  <c r="AF81" i="54"/>
  <c r="AF47" i="54"/>
  <c r="AF48" i="54"/>
  <c r="Y248" i="54"/>
  <c r="L129" i="54"/>
  <c r="L132" i="54" s="1"/>
  <c r="L116" i="54"/>
  <c r="L151" i="54"/>
  <c r="L142" i="54"/>
  <c r="L114" i="54"/>
  <c r="L81" i="54"/>
  <c r="L48" i="54"/>
  <c r="L47" i="54"/>
  <c r="I100" i="54"/>
  <c r="I102" i="54"/>
  <c r="I101" i="54"/>
  <c r="AE150" i="54"/>
  <c r="L83" i="54"/>
  <c r="M82" i="54"/>
  <c r="N87" i="54"/>
  <c r="M90" i="54"/>
  <c r="I130" i="54"/>
  <c r="AC130" i="54"/>
  <c r="Z244" i="54"/>
  <c r="K49" i="54"/>
  <c r="K46" i="54" s="1"/>
  <c r="V80" i="54"/>
  <c r="K117" i="54"/>
  <c r="K113" i="54"/>
  <c r="K118" i="54"/>
  <c r="J94" i="54"/>
  <c r="J98" i="54"/>
  <c r="J99" i="54" s="1"/>
  <c r="J93" i="54"/>
  <c r="J92" i="54"/>
  <c r="K84" i="54"/>
  <c r="K97" i="54" s="1"/>
  <c r="K80" i="54"/>
  <c r="K85" i="54"/>
  <c r="AD128" i="54"/>
  <c r="AD131" i="54"/>
  <c r="AE141" i="54"/>
  <c r="AE145" i="54"/>
  <c r="L125" i="53"/>
  <c r="L124" i="53"/>
  <c r="V80" i="53"/>
  <c r="AF49" i="53"/>
  <c r="AF46" i="53" s="1"/>
  <c r="M93" i="53"/>
  <c r="V141" i="53"/>
  <c r="V113" i="53"/>
  <c r="L93" i="53"/>
  <c r="L94" i="53"/>
  <c r="AF113" i="53"/>
  <c r="AF141" i="53"/>
  <c r="L255" i="53"/>
  <c r="M122" i="53"/>
  <c r="N120" i="53"/>
  <c r="V49" i="53"/>
  <c r="V46" i="53" s="1"/>
  <c r="AF80" i="53"/>
  <c r="M89" i="53"/>
  <c r="M94" i="53" s="1"/>
  <c r="M92" i="53"/>
  <c r="N87" i="53"/>
  <c r="AF150" i="53"/>
  <c r="L90" i="53"/>
  <c r="N83" i="53"/>
  <c r="N85" i="53" s="1"/>
  <c r="O82" i="53"/>
  <c r="N84" i="53"/>
  <c r="O88" i="53"/>
  <c r="N115" i="53"/>
  <c r="M118" i="53"/>
  <c r="M125" i="53" s="1"/>
  <c r="M117" i="53"/>
  <c r="L92" i="53"/>
  <c r="O3" i="51"/>
  <c r="AQ45" i="51"/>
  <c r="L45" i="51"/>
  <c r="F192" i="48"/>
  <c r="E194" i="48"/>
  <c r="G128" i="48"/>
  <c r="AA49" i="48"/>
  <c r="AA46" i="48" s="1"/>
  <c r="D238" i="48"/>
  <c r="O238" i="48"/>
  <c r="M237" i="48"/>
  <c r="N238" i="48"/>
  <c r="F238" i="48"/>
  <c r="E238" i="48"/>
  <c r="P1" i="48"/>
  <c r="O48" i="48"/>
  <c r="O47" i="48"/>
  <c r="AB238" i="48"/>
  <c r="X238" i="48"/>
  <c r="AA238" i="48"/>
  <c r="AD238" i="48"/>
  <c r="Z238" i="48"/>
  <c r="AC238" i="48"/>
  <c r="Y238" i="48"/>
  <c r="W237" i="48"/>
  <c r="G356" i="48"/>
  <c r="F188" i="48"/>
  <c r="G187" i="48"/>
  <c r="G129" i="48"/>
  <c r="F130" i="48"/>
  <c r="N49" i="48"/>
  <c r="N46" i="48" s="1"/>
  <c r="D49" i="48"/>
  <c r="D46" i="48" s="1"/>
  <c r="N255" i="48"/>
  <c r="F255" i="48"/>
  <c r="P255" i="48"/>
  <c r="D255" i="48"/>
  <c r="E255" i="48"/>
  <c r="O255" i="48"/>
  <c r="M254" i="48"/>
  <c r="AB121" i="48"/>
  <c r="X121" i="48"/>
  <c r="AA121" i="48"/>
  <c r="AD121" i="48"/>
  <c r="W120" i="48"/>
  <c r="AC121" i="48"/>
  <c r="Z121" i="48"/>
  <c r="Y121" i="48"/>
  <c r="AE1" i="48"/>
  <c r="AD47" i="48"/>
  <c r="AD48" i="48"/>
  <c r="H127" i="48"/>
  <c r="G130" i="48"/>
  <c r="P121" i="48"/>
  <c r="D121" i="48"/>
  <c r="O121" i="48"/>
  <c r="M120" i="48"/>
  <c r="N121" i="48"/>
  <c r="F121" i="48"/>
  <c r="E121" i="48"/>
  <c r="AB49" i="48"/>
  <c r="AB46" i="48" s="1"/>
  <c r="AC186" i="48"/>
  <c r="Y186" i="48"/>
  <c r="W185" i="48"/>
  <c r="AB186" i="48"/>
  <c r="X186" i="48"/>
  <c r="AE186" i="48"/>
  <c r="AA186" i="48"/>
  <c r="AD186" i="48"/>
  <c r="Z186" i="48"/>
  <c r="Z49" i="48"/>
  <c r="Z46" i="48" s="1"/>
  <c r="G1" i="48"/>
  <c r="G238" i="48" s="1"/>
  <c r="F48" i="48"/>
  <c r="F47" i="48"/>
  <c r="G122" i="48"/>
  <c r="F123" i="48"/>
  <c r="Y49" i="48"/>
  <c r="Y46" i="48" s="1"/>
  <c r="E186" i="48"/>
  <c r="P186" i="48"/>
  <c r="D186" i="48"/>
  <c r="O186" i="48"/>
  <c r="G186" i="48"/>
  <c r="M185" i="48"/>
  <c r="N186" i="48"/>
  <c r="F186" i="48"/>
  <c r="X49" i="48"/>
  <c r="X46" i="48" s="1"/>
  <c r="AD255" i="48"/>
  <c r="Z255" i="48"/>
  <c r="AB255" i="48"/>
  <c r="X255" i="48"/>
  <c r="AC255" i="48"/>
  <c r="AA255" i="48"/>
  <c r="Y255" i="48"/>
  <c r="W254" i="48"/>
  <c r="AE255" i="48"/>
  <c r="AC49" i="48"/>
  <c r="AC46" i="48" s="1"/>
  <c r="E49" i="48"/>
  <c r="E46" i="48" s="1"/>
  <c r="M186" i="46"/>
  <c r="W238" i="46"/>
  <c r="AB238" i="46" s="1"/>
  <c r="W255" i="46"/>
  <c r="Y255" i="46" s="1"/>
  <c r="AG368" i="46"/>
  <c r="M238" i="46"/>
  <c r="O238" i="46" s="1"/>
  <c r="M255" i="46"/>
  <c r="E255" i="46" s="1"/>
  <c r="C368" i="46"/>
  <c r="D130" i="46"/>
  <c r="M121" i="46"/>
  <c r="E121" i="46" s="1"/>
  <c r="O47" i="46"/>
  <c r="O49" i="46" s="1"/>
  <c r="O46" i="46" s="1"/>
  <c r="P1" i="46"/>
  <c r="P48" i="46" s="1"/>
  <c r="N49" i="46"/>
  <c r="N46" i="46" s="1"/>
  <c r="D49" i="46"/>
  <c r="D46" i="46" s="1"/>
  <c r="X49" i="46"/>
  <c r="X46" i="46" s="1"/>
  <c r="AB48" i="46"/>
  <c r="E194" i="46"/>
  <c r="F192" i="46"/>
  <c r="F123" i="46"/>
  <c r="G122" i="46"/>
  <c r="I128" i="46"/>
  <c r="AB186" i="46"/>
  <c r="X186" i="46"/>
  <c r="AA186" i="46"/>
  <c r="Z186" i="46"/>
  <c r="AC186" i="46"/>
  <c r="Y186" i="46"/>
  <c r="W185" i="46"/>
  <c r="AC48" i="46"/>
  <c r="AD1" i="46"/>
  <c r="AC47" i="46"/>
  <c r="AB47" i="46"/>
  <c r="AA48" i="46"/>
  <c r="Y238" i="46"/>
  <c r="W237" i="46"/>
  <c r="Z47" i="46"/>
  <c r="AA47" i="46"/>
  <c r="G187" i="46"/>
  <c r="F188" i="46"/>
  <c r="G127" i="46"/>
  <c r="F129" i="46"/>
  <c r="F130" i="46" s="1"/>
  <c r="E130" i="46"/>
  <c r="E48" i="46"/>
  <c r="E47" i="46"/>
  <c r="F1" i="46"/>
  <c r="W121" i="46"/>
  <c r="AG46" i="46"/>
  <c r="Z48" i="46"/>
  <c r="Y49" i="46"/>
  <c r="Y46" i="46" s="1"/>
  <c r="H118" i="24"/>
  <c r="K102" i="24"/>
  <c r="D77" i="44"/>
  <c r="C37" i="44"/>
  <c r="C33" i="44"/>
  <c r="R18" i="44"/>
  <c r="Z137" i="24"/>
  <c r="Z118" i="24"/>
  <c r="Z117" i="24"/>
  <c r="Z119" i="24" s="1"/>
  <c r="Z122" i="24" s="1"/>
  <c r="Z113" i="24"/>
  <c r="Z102" i="24"/>
  <c r="Z95" i="24"/>
  <c r="Z93" i="24"/>
  <c r="Z74" i="24"/>
  <c r="Z141" i="24" s="1"/>
  <c r="P23" i="55" l="1"/>
  <c r="Q3" i="55"/>
  <c r="Q244" i="53"/>
  <c r="K125" i="54"/>
  <c r="K124" i="54"/>
  <c r="AF145" i="54"/>
  <c r="AF141" i="54"/>
  <c r="K93" i="54"/>
  <c r="K98" i="54"/>
  <c r="K94" i="54"/>
  <c r="K92" i="54"/>
  <c r="N82" i="54"/>
  <c r="M83" i="54"/>
  <c r="M85" i="54" s="1"/>
  <c r="M84" i="54"/>
  <c r="M97" i="54" s="1"/>
  <c r="L85" i="54"/>
  <c r="L80" i="54"/>
  <c r="L84" i="54"/>
  <c r="L97" i="54" s="1"/>
  <c r="Z248" i="54"/>
  <c r="AF150" i="54"/>
  <c r="O89" i="54"/>
  <c r="O88" i="54"/>
  <c r="AD130" i="54"/>
  <c r="L145" i="54"/>
  <c r="L141" i="54"/>
  <c r="AE131" i="54"/>
  <c r="AE128" i="54"/>
  <c r="J130" i="54"/>
  <c r="L118" i="54"/>
  <c r="L113" i="54"/>
  <c r="L117" i="54"/>
  <c r="L150" i="54"/>
  <c r="AF49" i="54"/>
  <c r="AF46" i="54" s="1"/>
  <c r="O124" i="54"/>
  <c r="P120" i="54"/>
  <c r="O122" i="54"/>
  <c r="M255" i="54"/>
  <c r="M256" i="54"/>
  <c r="V128" i="54"/>
  <c r="V131" i="54"/>
  <c r="K128" i="54"/>
  <c r="K131" i="54"/>
  <c r="J101" i="54"/>
  <c r="J102" i="54"/>
  <c r="J100" i="54"/>
  <c r="AF80" i="54"/>
  <c r="U130" i="54"/>
  <c r="AA244" i="54"/>
  <c r="N90" i="54"/>
  <c r="O87" i="54"/>
  <c r="L49" i="54"/>
  <c r="L46" i="54" s="1"/>
  <c r="AF113" i="54"/>
  <c r="AF118" i="54"/>
  <c r="AF125" i="54" s="1"/>
  <c r="AF117" i="54"/>
  <c r="J255" i="54"/>
  <c r="J256" i="54"/>
  <c r="M90" i="53"/>
  <c r="L256" i="53"/>
  <c r="N93" i="53"/>
  <c r="N92" i="53"/>
  <c r="O87" i="53"/>
  <c r="N116" i="53"/>
  <c r="N118" i="53" s="1"/>
  <c r="N125" i="53" s="1"/>
  <c r="O115" i="53"/>
  <c r="N117" i="53"/>
  <c r="N122" i="53"/>
  <c r="O120" i="53"/>
  <c r="P88" i="53"/>
  <c r="M124" i="53"/>
  <c r="N89" i="53"/>
  <c r="P82" i="53"/>
  <c r="O83" i="53"/>
  <c r="O85" i="53" s="1"/>
  <c r="O84" i="53"/>
  <c r="M255" i="53"/>
  <c r="M256" i="53"/>
  <c r="M45" i="51"/>
  <c r="AR45" i="51"/>
  <c r="P3" i="51"/>
  <c r="G237" i="48"/>
  <c r="AE254" i="48"/>
  <c r="AC254" i="48"/>
  <c r="F189" i="48"/>
  <c r="F185" i="48"/>
  <c r="F190" i="48"/>
  <c r="F197" i="48" s="1"/>
  <c r="D190" i="48"/>
  <c r="D189" i="48"/>
  <c r="D185" i="48"/>
  <c r="AD185" i="48"/>
  <c r="AB185" i="48"/>
  <c r="Y185" i="48"/>
  <c r="E124" i="48"/>
  <c r="E120" i="48"/>
  <c r="E125" i="48"/>
  <c r="O120" i="48"/>
  <c r="AF1" i="48"/>
  <c r="AE47" i="48"/>
  <c r="AE48" i="48"/>
  <c r="AC120" i="48"/>
  <c r="AE121" i="48"/>
  <c r="O254" i="48"/>
  <c r="F254" i="48"/>
  <c r="H129" i="48"/>
  <c r="H187" i="48"/>
  <c r="G188" i="48"/>
  <c r="Y237" i="48"/>
  <c r="AA237" i="48"/>
  <c r="Q1" i="48"/>
  <c r="P48" i="48"/>
  <c r="P47" i="48"/>
  <c r="O237" i="48"/>
  <c r="X254" i="48"/>
  <c r="Z254" i="48"/>
  <c r="O185" i="48"/>
  <c r="E189" i="48"/>
  <c r="E185" i="48"/>
  <c r="E190" i="48"/>
  <c r="H122" i="48"/>
  <c r="G123" i="48"/>
  <c r="F49" i="48"/>
  <c r="F46" i="48" s="1"/>
  <c r="AA185" i="48"/>
  <c r="AC185" i="48"/>
  <c r="I127" i="48"/>
  <c r="Y120" i="48"/>
  <c r="X120" i="48"/>
  <c r="E254" i="48"/>
  <c r="AC237" i="48"/>
  <c r="AE238" i="48"/>
  <c r="N237" i="48"/>
  <c r="P238" i="48"/>
  <c r="H128" i="48"/>
  <c r="Y254" i="48"/>
  <c r="AB254" i="48"/>
  <c r="AD254" i="48"/>
  <c r="N185" i="48"/>
  <c r="AE185" i="48"/>
  <c r="F124" i="48"/>
  <c r="F120" i="48"/>
  <c r="F125" i="48"/>
  <c r="G121" i="48"/>
  <c r="P120" i="48"/>
  <c r="Z120" i="48"/>
  <c r="AD120" i="48"/>
  <c r="AB120" i="48"/>
  <c r="P254" i="48"/>
  <c r="N254" i="48"/>
  <c r="H356" i="48"/>
  <c r="Z237" i="48"/>
  <c r="X237" i="48"/>
  <c r="O49" i="48"/>
  <c r="O46" i="48" s="1"/>
  <c r="D237" i="48"/>
  <c r="F194" i="48"/>
  <c r="F196" i="48"/>
  <c r="G192" i="48"/>
  <c r="AA254" i="48"/>
  <c r="G189" i="48"/>
  <c r="G185" i="48"/>
  <c r="G190" i="48"/>
  <c r="G197" i="48" s="1"/>
  <c r="G367" i="48" s="1"/>
  <c r="P185" i="48"/>
  <c r="H1" i="48"/>
  <c r="G48" i="48"/>
  <c r="G47" i="48"/>
  <c r="Z185" i="48"/>
  <c r="X185" i="48"/>
  <c r="N120" i="48"/>
  <c r="D120" i="48"/>
  <c r="D125" i="48"/>
  <c r="D124" i="48"/>
  <c r="AD49" i="48"/>
  <c r="AD46" i="48" s="1"/>
  <c r="AA120" i="48"/>
  <c r="G255" i="48"/>
  <c r="D254" i="48"/>
  <c r="AD237" i="48"/>
  <c r="AB237" i="48"/>
  <c r="E237" i="48"/>
  <c r="F237" i="48"/>
  <c r="AA238" i="46"/>
  <c r="AA255" i="46"/>
  <c r="AA254" i="46" s="1"/>
  <c r="AB255" i="46"/>
  <c r="M254" i="46"/>
  <c r="P186" i="46"/>
  <c r="P185" i="46" s="1"/>
  <c r="Q1" i="46"/>
  <c r="Q48" i="46" s="1"/>
  <c r="O186" i="46"/>
  <c r="Z238" i="46"/>
  <c r="Z237" i="46" s="1"/>
  <c r="W254" i="46"/>
  <c r="E186" i="46"/>
  <c r="E190" i="46" s="1"/>
  <c r="N255" i="46"/>
  <c r="N254" i="46" s="1"/>
  <c r="D186" i="46"/>
  <c r="D189" i="46" s="1"/>
  <c r="M185" i="46"/>
  <c r="P47" i="46"/>
  <c r="P49" i="46" s="1"/>
  <c r="P46" i="46" s="1"/>
  <c r="D255" i="46"/>
  <c r="D254" i="46" s="1"/>
  <c r="X238" i="46"/>
  <c r="X237" i="46" s="1"/>
  <c r="AC238" i="46"/>
  <c r="AC237" i="46" s="1"/>
  <c r="P255" i="46"/>
  <c r="P254" i="46" s="1"/>
  <c r="N186" i="46"/>
  <c r="N185" i="46" s="1"/>
  <c r="AD238" i="46"/>
  <c r="AD237" i="46" s="1"/>
  <c r="D238" i="46"/>
  <c r="D237" i="46" s="1"/>
  <c r="O255" i="46"/>
  <c r="O254" i="46" s="1"/>
  <c r="X255" i="46"/>
  <c r="X254" i="46" s="1"/>
  <c r="AC255" i="46"/>
  <c r="AC254" i="46" s="1"/>
  <c r="D121" i="46"/>
  <c r="D120" i="46" s="1"/>
  <c r="M120" i="46"/>
  <c r="Z255" i="46"/>
  <c r="Z254" i="46" s="1"/>
  <c r="AD255" i="46"/>
  <c r="AD254" i="46" s="1"/>
  <c r="N238" i="46"/>
  <c r="N237" i="46" s="1"/>
  <c r="P238" i="46"/>
  <c r="P237" i="46" s="1"/>
  <c r="M237" i="46"/>
  <c r="E238" i="46"/>
  <c r="E237" i="46" s="1"/>
  <c r="F48" i="46"/>
  <c r="F47" i="46"/>
  <c r="G1" i="46"/>
  <c r="O185" i="46"/>
  <c r="AA49" i="46"/>
  <c r="AA46" i="46" s="1"/>
  <c r="AB237" i="46"/>
  <c r="Y237" i="46"/>
  <c r="AB49" i="46"/>
  <c r="AB46" i="46" s="1"/>
  <c r="AE1" i="46"/>
  <c r="AE121" i="46" s="1"/>
  <c r="AD47" i="46"/>
  <c r="AD48" i="46"/>
  <c r="F255" i="46"/>
  <c r="E49" i="46"/>
  <c r="E46" i="46" s="1"/>
  <c r="AB254" i="46"/>
  <c r="Y254" i="46"/>
  <c r="G129" i="46"/>
  <c r="G188" i="46"/>
  <c r="H187" i="46"/>
  <c r="Z49" i="46"/>
  <c r="Z46" i="46" s="1"/>
  <c r="AA237" i="46"/>
  <c r="O121" i="46"/>
  <c r="N121" i="46"/>
  <c r="Z185" i="46"/>
  <c r="X185" i="46"/>
  <c r="G123" i="46"/>
  <c r="H122" i="46"/>
  <c r="F238" i="46"/>
  <c r="H127" i="46"/>
  <c r="P121" i="46"/>
  <c r="Y185" i="46"/>
  <c r="AD186" i="46"/>
  <c r="AB185" i="46"/>
  <c r="O237" i="46"/>
  <c r="AD121" i="46"/>
  <c r="Z121" i="46"/>
  <c r="AC121" i="46"/>
  <c r="Y121" i="46"/>
  <c r="W120" i="46"/>
  <c r="AB121" i="46"/>
  <c r="AA121" i="46"/>
  <c r="X121" i="46"/>
  <c r="F186" i="46"/>
  <c r="E125" i="46"/>
  <c r="E124" i="46"/>
  <c r="E120" i="46"/>
  <c r="F121" i="46"/>
  <c r="AC49" i="46"/>
  <c r="AC46" i="46" s="1"/>
  <c r="AC185" i="46"/>
  <c r="AA185" i="46"/>
  <c r="E254" i="46"/>
  <c r="J128" i="46"/>
  <c r="F194" i="46"/>
  <c r="G192" i="46"/>
  <c r="Z101" i="24"/>
  <c r="Z142" i="24"/>
  <c r="Z143" i="24" s="1"/>
  <c r="Z125" i="24"/>
  <c r="Z127" i="24" s="1"/>
  <c r="Z135" i="24"/>
  <c r="Z138" i="24" s="1"/>
  <c r="Z92" i="24"/>
  <c r="Z96" i="24" s="1"/>
  <c r="Z112" i="24"/>
  <c r="Z114" i="24" s="1"/>
  <c r="Z104" i="24"/>
  <c r="Z129" i="24" s="1"/>
  <c r="J81" i="24" s="1"/>
  <c r="Z107" i="24"/>
  <c r="Z109" i="24" s="1"/>
  <c r="Q23" i="55" l="1"/>
  <c r="R3" i="55"/>
  <c r="R244" i="53"/>
  <c r="K101" i="54"/>
  <c r="K102" i="54"/>
  <c r="K100" i="54"/>
  <c r="AB244" i="54"/>
  <c r="K130" i="54"/>
  <c r="P122" i="54"/>
  <c r="Q120" i="54"/>
  <c r="P124" i="54"/>
  <c r="L128" i="54"/>
  <c r="L131" i="54"/>
  <c r="AE130" i="54"/>
  <c r="P89" i="54"/>
  <c r="AA248" i="54"/>
  <c r="AF128" i="54"/>
  <c r="AF131" i="54"/>
  <c r="V130" i="54"/>
  <c r="L125" i="54"/>
  <c r="L124" i="54"/>
  <c r="P87" i="54"/>
  <c r="O90" i="54"/>
  <c r="N255" i="54"/>
  <c r="N256" i="54"/>
  <c r="K99" i="54"/>
  <c r="L93" i="54"/>
  <c r="L94" i="54"/>
  <c r="L98" i="54"/>
  <c r="L99" i="54" s="1"/>
  <c r="L92" i="54"/>
  <c r="M94" i="54"/>
  <c r="M93" i="54"/>
  <c r="M98" i="54"/>
  <c r="M99" i="54" s="1"/>
  <c r="M92" i="54"/>
  <c r="K255" i="54"/>
  <c r="K256" i="54"/>
  <c r="P88" i="54"/>
  <c r="O82" i="54"/>
  <c r="N83" i="54"/>
  <c r="N85" i="54" s="1"/>
  <c r="N84" i="54"/>
  <c r="N97" i="54" s="1"/>
  <c r="N124" i="53"/>
  <c r="P120" i="53"/>
  <c r="O122" i="53"/>
  <c r="P115" i="53"/>
  <c r="O116" i="53"/>
  <c r="O118" i="53" s="1"/>
  <c r="O125" i="53" s="1"/>
  <c r="O117" i="53"/>
  <c r="P87" i="53"/>
  <c r="O92" i="53"/>
  <c r="O93" i="53"/>
  <c r="O89" i="53"/>
  <c r="N90" i="53"/>
  <c r="Q82" i="53"/>
  <c r="P83" i="53"/>
  <c r="P85" i="53" s="1"/>
  <c r="P84" i="53"/>
  <c r="N94" i="53"/>
  <c r="Q88" i="53"/>
  <c r="N255" i="53"/>
  <c r="N256" i="53"/>
  <c r="AS45" i="51"/>
  <c r="N45" i="51"/>
  <c r="Q3" i="51"/>
  <c r="P237" i="48"/>
  <c r="G194" i="48"/>
  <c r="G196" i="48"/>
  <c r="H192" i="48"/>
  <c r="J127" i="48"/>
  <c r="E197" i="48"/>
  <c r="E196" i="48"/>
  <c r="P49" i="48"/>
  <c r="P46" i="48" s="1"/>
  <c r="AE120" i="48"/>
  <c r="E133" i="48"/>
  <c r="E134" i="48"/>
  <c r="E132" i="48"/>
  <c r="D134" i="48"/>
  <c r="D132" i="48"/>
  <c r="D133" i="48"/>
  <c r="H188" i="48"/>
  <c r="I187" i="48"/>
  <c r="AE49" i="48"/>
  <c r="AE46" i="48" s="1"/>
  <c r="G49" i="48"/>
  <c r="G46" i="48" s="1"/>
  <c r="I128" i="48"/>
  <c r="AE237" i="48"/>
  <c r="H130" i="48"/>
  <c r="R1" i="48"/>
  <c r="Q48" i="48"/>
  <c r="Q47" i="48"/>
  <c r="Q186" i="48"/>
  <c r="Q255" i="48"/>
  <c r="Q238" i="48"/>
  <c r="Q121" i="48"/>
  <c r="I129" i="48"/>
  <c r="AF48" i="48"/>
  <c r="AF47" i="48"/>
  <c r="AF121" i="48"/>
  <c r="AF255" i="48"/>
  <c r="AF186" i="48"/>
  <c r="AF238" i="48"/>
  <c r="D197" i="48"/>
  <c r="D196" i="48"/>
  <c r="F133" i="48"/>
  <c r="F134" i="48"/>
  <c r="F132" i="48"/>
  <c r="I1" i="48"/>
  <c r="H48" i="48"/>
  <c r="H47" i="48"/>
  <c r="H238" i="48"/>
  <c r="H186" i="48"/>
  <c r="H255" i="48"/>
  <c r="H121" i="48"/>
  <c r="G254" i="48"/>
  <c r="I356" i="48"/>
  <c r="G125" i="48"/>
  <c r="G120" i="48"/>
  <c r="G124" i="48"/>
  <c r="G368" i="48"/>
  <c r="H123" i="48"/>
  <c r="I122" i="48"/>
  <c r="F367" i="48"/>
  <c r="F368" i="48"/>
  <c r="D185" i="46"/>
  <c r="R1" i="46"/>
  <c r="R48" i="46" s="1"/>
  <c r="Q238" i="46"/>
  <c r="Q237" i="46" s="1"/>
  <c r="Q186" i="46"/>
  <c r="Q185" i="46" s="1"/>
  <c r="Q121" i="46"/>
  <c r="Q120" i="46" s="1"/>
  <c r="Q47" i="46"/>
  <c r="Q49" i="46" s="1"/>
  <c r="Q46" i="46" s="1"/>
  <c r="Q255" i="46"/>
  <c r="Q254" i="46" s="1"/>
  <c r="E185" i="46"/>
  <c r="D124" i="46"/>
  <c r="E189" i="46"/>
  <c r="D190" i="46"/>
  <c r="D197" i="46" s="1"/>
  <c r="D125" i="46"/>
  <c r="D134" i="46" s="1"/>
  <c r="AE120" i="46"/>
  <c r="N120" i="46"/>
  <c r="F237" i="46"/>
  <c r="F254" i="46"/>
  <c r="AD49" i="46"/>
  <c r="AD46" i="46" s="1"/>
  <c r="E197" i="46"/>
  <c r="E196" i="46"/>
  <c r="F49" i="46"/>
  <c r="F46" i="46" s="1"/>
  <c r="AD120" i="46"/>
  <c r="G47" i="46"/>
  <c r="H1" i="46"/>
  <c r="G48" i="46"/>
  <c r="G186" i="46"/>
  <c r="G255" i="46"/>
  <c r="G238" i="46"/>
  <c r="G121" i="46"/>
  <c r="AA120" i="46"/>
  <c r="I127" i="46"/>
  <c r="K128" i="46"/>
  <c r="E133" i="46"/>
  <c r="E134" i="46"/>
  <c r="E132" i="46"/>
  <c r="X120" i="46"/>
  <c r="AB120" i="46"/>
  <c r="AD185" i="46"/>
  <c r="P120" i="46"/>
  <c r="O120" i="46"/>
  <c r="H188" i="46"/>
  <c r="I187" i="46"/>
  <c r="S1" i="46"/>
  <c r="AF1" i="46"/>
  <c r="AE47" i="46"/>
  <c r="AE48" i="46"/>
  <c r="AE238" i="46"/>
  <c r="AE255" i="46"/>
  <c r="AE186" i="46"/>
  <c r="Y120" i="46"/>
  <c r="AC120" i="46"/>
  <c r="H129" i="46"/>
  <c r="H130" i="46" s="1"/>
  <c r="G194" i="46"/>
  <c r="H192" i="46"/>
  <c r="F125" i="46"/>
  <c r="F124" i="46"/>
  <c r="F120" i="46"/>
  <c r="F189" i="46"/>
  <c r="F185" i="46"/>
  <c r="F190" i="46"/>
  <c r="Z120" i="46"/>
  <c r="G130" i="46"/>
  <c r="I122" i="46"/>
  <c r="H123" i="46"/>
  <c r="T10" i="44"/>
  <c r="R23" i="55" l="1"/>
  <c r="S3" i="55"/>
  <c r="S244" i="53"/>
  <c r="P90" i="54"/>
  <c r="Q87" i="54"/>
  <c r="AB248" i="54"/>
  <c r="Q124" i="54"/>
  <c r="R120" i="54"/>
  <c r="Q122" i="54"/>
  <c r="Q88" i="54"/>
  <c r="O255" i="54"/>
  <c r="O256" i="54"/>
  <c r="Q89" i="54"/>
  <c r="L255" i="54"/>
  <c r="L256" i="54"/>
  <c r="L100" i="54"/>
  <c r="L102" i="54"/>
  <c r="L101" i="54"/>
  <c r="AC244" i="54"/>
  <c r="M100" i="54"/>
  <c r="M102" i="54"/>
  <c r="M101" i="54"/>
  <c r="N93" i="54"/>
  <c r="N94" i="54"/>
  <c r="N98" i="54"/>
  <c r="N99" i="54" s="1"/>
  <c r="N92" i="54"/>
  <c r="L130" i="54"/>
  <c r="P82" i="54"/>
  <c r="O83" i="54"/>
  <c r="O85" i="54" s="1"/>
  <c r="O84" i="54"/>
  <c r="O97" i="54" s="1"/>
  <c r="AF130" i="54"/>
  <c r="P122" i="53"/>
  <c r="Q120" i="53"/>
  <c r="P89" i="53"/>
  <c r="P90" i="53" s="1"/>
  <c r="O124" i="53"/>
  <c r="P93" i="53"/>
  <c r="P92" i="53"/>
  <c r="Q87" i="53"/>
  <c r="O255" i="53"/>
  <c r="O256" i="53"/>
  <c r="R88" i="53"/>
  <c r="R82" i="53"/>
  <c r="Q83" i="53"/>
  <c r="Q85" i="53" s="1"/>
  <c r="Q84" i="53"/>
  <c r="O90" i="53"/>
  <c r="P116" i="53"/>
  <c r="P118" i="53" s="1"/>
  <c r="P125" i="53" s="1"/>
  <c r="Q115" i="53"/>
  <c r="P117" i="53"/>
  <c r="O94" i="53"/>
  <c r="AT45" i="51"/>
  <c r="R3" i="51"/>
  <c r="O45" i="51"/>
  <c r="G133" i="48"/>
  <c r="G134" i="48"/>
  <c r="G132" i="48"/>
  <c r="H125" i="48"/>
  <c r="H124" i="48"/>
  <c r="H120" i="48"/>
  <c r="H49" i="48"/>
  <c r="H46" i="48" s="1"/>
  <c r="AF120" i="48"/>
  <c r="Q185" i="48"/>
  <c r="K127" i="48"/>
  <c r="J356" i="48"/>
  <c r="H254" i="48"/>
  <c r="AF237" i="48"/>
  <c r="AF49" i="48"/>
  <c r="AF46" i="48" s="1"/>
  <c r="Q120" i="48"/>
  <c r="Q49" i="48"/>
  <c r="Q46" i="48" s="1"/>
  <c r="J128" i="48"/>
  <c r="H194" i="48"/>
  <c r="I192" i="48"/>
  <c r="H190" i="48"/>
  <c r="H197" i="48" s="1"/>
  <c r="H189" i="48"/>
  <c r="H185" i="48"/>
  <c r="I48" i="48"/>
  <c r="I47" i="48"/>
  <c r="J1" i="48"/>
  <c r="I121" i="48"/>
  <c r="I186" i="48"/>
  <c r="I255" i="48"/>
  <c r="I238" i="48"/>
  <c r="AF185" i="48"/>
  <c r="Q237" i="48"/>
  <c r="I188" i="48"/>
  <c r="J187" i="48"/>
  <c r="I130" i="48"/>
  <c r="I123" i="48"/>
  <c r="J122" i="48"/>
  <c r="H237" i="48"/>
  <c r="D368" i="48"/>
  <c r="D367" i="48"/>
  <c r="AF254" i="48"/>
  <c r="J129" i="48"/>
  <c r="Q254" i="48"/>
  <c r="R48" i="48"/>
  <c r="R47" i="48"/>
  <c r="S1" i="48"/>
  <c r="R255" i="48"/>
  <c r="R186" i="48"/>
  <c r="R238" i="48"/>
  <c r="R121" i="48"/>
  <c r="E367" i="48"/>
  <c r="E368" i="48"/>
  <c r="R121" i="46"/>
  <c r="R255" i="46"/>
  <c r="R238" i="46"/>
  <c r="R47" i="46"/>
  <c r="D196" i="46"/>
  <c r="R186" i="46"/>
  <c r="R185" i="46" s="1"/>
  <c r="D133" i="46"/>
  <c r="D132" i="46"/>
  <c r="F197" i="46"/>
  <c r="F196" i="46"/>
  <c r="I192" i="46"/>
  <c r="H194" i="46"/>
  <c r="R237" i="46"/>
  <c r="R49" i="46"/>
  <c r="R46" i="46" s="1"/>
  <c r="J127" i="46"/>
  <c r="G124" i="46"/>
  <c r="G125" i="46"/>
  <c r="G120" i="46"/>
  <c r="E367" i="46"/>
  <c r="E368" i="46"/>
  <c r="D367" i="46"/>
  <c r="D368" i="46"/>
  <c r="AE185" i="46"/>
  <c r="AE49" i="46"/>
  <c r="AE46" i="46" s="1"/>
  <c r="G237" i="46"/>
  <c r="H48" i="46"/>
  <c r="H47" i="46"/>
  <c r="I1" i="46"/>
  <c r="H238" i="46"/>
  <c r="H121" i="46"/>
  <c r="H255" i="46"/>
  <c r="H186" i="46"/>
  <c r="AE254" i="46"/>
  <c r="AF47" i="46"/>
  <c r="AF48" i="46"/>
  <c r="AF186" i="46"/>
  <c r="AF255" i="46"/>
  <c r="AF238" i="46"/>
  <c r="AF121" i="46"/>
  <c r="R254" i="46"/>
  <c r="I188" i="46"/>
  <c r="J187" i="46"/>
  <c r="L128" i="46"/>
  <c r="G254" i="46"/>
  <c r="G49" i="46"/>
  <c r="G46" i="46" s="1"/>
  <c r="R120" i="46"/>
  <c r="I123" i="46"/>
  <c r="J122" i="46"/>
  <c r="F133" i="46"/>
  <c r="F134" i="46"/>
  <c r="F132" i="46"/>
  <c r="I129" i="46"/>
  <c r="I130" i="46" s="1"/>
  <c r="AE237" i="46"/>
  <c r="S48" i="46"/>
  <c r="S47" i="46"/>
  <c r="T1" i="46"/>
  <c r="S238" i="46"/>
  <c r="S255" i="46"/>
  <c r="S186" i="46"/>
  <c r="S121" i="46"/>
  <c r="G190" i="46"/>
  <c r="G189" i="46"/>
  <c r="G185" i="46"/>
  <c r="D26" i="11"/>
  <c r="D24" i="11"/>
  <c r="J130" i="48" l="1"/>
  <c r="S23" i="55"/>
  <c r="T3" i="55"/>
  <c r="T244" i="53"/>
  <c r="R89" i="54"/>
  <c r="R88" i="54"/>
  <c r="R87" i="54"/>
  <c r="Q90" i="54"/>
  <c r="AD244" i="54"/>
  <c r="P255" i="54"/>
  <c r="P256" i="54"/>
  <c r="S120" i="54"/>
  <c r="R122" i="54"/>
  <c r="R124" i="54"/>
  <c r="O94" i="54"/>
  <c r="O98" i="54"/>
  <c r="O99" i="54" s="1"/>
  <c r="O93" i="54"/>
  <c r="O92" i="54"/>
  <c r="N101" i="54"/>
  <c r="N100" i="54"/>
  <c r="N102" i="54"/>
  <c r="AC248" i="54"/>
  <c r="Q82" i="54"/>
  <c r="P83" i="54"/>
  <c r="P85" i="54" s="1"/>
  <c r="P84" i="54"/>
  <c r="P97" i="54" s="1"/>
  <c r="P94" i="53"/>
  <c r="Q116" i="53"/>
  <c r="Q118" i="53" s="1"/>
  <c r="Q125" i="53" s="1"/>
  <c r="R115" i="53"/>
  <c r="Q117" i="53"/>
  <c r="P124" i="53"/>
  <c r="Q89" i="53"/>
  <c r="Q94" i="53" s="1"/>
  <c r="Q93" i="53"/>
  <c r="S82" i="53"/>
  <c r="R83" i="53"/>
  <c r="R85" i="53" s="1"/>
  <c r="R84" i="53"/>
  <c r="Q92" i="53"/>
  <c r="R87" i="53"/>
  <c r="P255" i="53"/>
  <c r="P256" i="53"/>
  <c r="S88" i="53"/>
  <c r="R120" i="53"/>
  <c r="Q122" i="53"/>
  <c r="AU45" i="51"/>
  <c r="P45" i="51"/>
  <c r="S3" i="51"/>
  <c r="R185" i="48"/>
  <c r="K122" i="48"/>
  <c r="J123" i="48"/>
  <c r="I124" i="48"/>
  <c r="I120" i="48"/>
  <c r="I125" i="48"/>
  <c r="J192" i="48"/>
  <c r="I194" i="48"/>
  <c r="L127" i="48"/>
  <c r="H134" i="48"/>
  <c r="H133" i="48"/>
  <c r="H132" i="48"/>
  <c r="K129" i="48"/>
  <c r="R254" i="48"/>
  <c r="J188" i="48"/>
  <c r="K187" i="48"/>
  <c r="I237" i="48"/>
  <c r="K1" i="48"/>
  <c r="J48" i="48"/>
  <c r="J47" i="48"/>
  <c r="J255" i="48"/>
  <c r="J121" i="48"/>
  <c r="J186" i="48"/>
  <c r="J238" i="48"/>
  <c r="H196" i="48"/>
  <c r="K356" i="48"/>
  <c r="R237" i="48"/>
  <c r="R120" i="48"/>
  <c r="T1" i="48"/>
  <c r="S48" i="48"/>
  <c r="S47" i="48"/>
  <c r="S186" i="48"/>
  <c r="S238" i="48"/>
  <c r="S121" i="48"/>
  <c r="S255" i="48"/>
  <c r="I254" i="48"/>
  <c r="I49" i="48"/>
  <c r="I46" i="48" s="1"/>
  <c r="H367" i="48"/>
  <c r="H368" i="48"/>
  <c r="R49" i="48"/>
  <c r="R46" i="48" s="1"/>
  <c r="I189" i="48"/>
  <c r="I185" i="48"/>
  <c r="I190" i="48"/>
  <c r="I197" i="48" s="1"/>
  <c r="K128" i="48"/>
  <c r="S120" i="46"/>
  <c r="T47" i="46"/>
  <c r="U1" i="46"/>
  <c r="T48" i="46"/>
  <c r="T255" i="46"/>
  <c r="T186" i="46"/>
  <c r="T238" i="46"/>
  <c r="T121" i="46"/>
  <c r="M128" i="46"/>
  <c r="AF254" i="46"/>
  <c r="H254" i="46"/>
  <c r="H49" i="46"/>
  <c r="H46" i="46" s="1"/>
  <c r="S185" i="46"/>
  <c r="S49" i="46"/>
  <c r="S46" i="46" s="1"/>
  <c r="AF185" i="46"/>
  <c r="H124" i="46"/>
  <c r="H125" i="46"/>
  <c r="H120" i="46"/>
  <c r="G197" i="46"/>
  <c r="G196" i="46"/>
  <c r="S254" i="46"/>
  <c r="K187" i="46"/>
  <c r="J188" i="46"/>
  <c r="AF120" i="46"/>
  <c r="H237" i="46"/>
  <c r="I194" i="46"/>
  <c r="J192" i="46"/>
  <c r="F367" i="46"/>
  <c r="F368" i="46"/>
  <c r="S237" i="46"/>
  <c r="J129" i="46"/>
  <c r="J130" i="46" s="1"/>
  <c r="J123" i="46"/>
  <c r="K122" i="46"/>
  <c r="AF237" i="46"/>
  <c r="AF49" i="46"/>
  <c r="AF46" i="46" s="1"/>
  <c r="H189" i="46"/>
  <c r="H190" i="46"/>
  <c r="H185" i="46"/>
  <c r="I48" i="46"/>
  <c r="I47" i="46"/>
  <c r="J1" i="46"/>
  <c r="I238" i="46"/>
  <c r="I186" i="46"/>
  <c r="I255" i="46"/>
  <c r="I121" i="46"/>
  <c r="G134" i="46"/>
  <c r="G133" i="46"/>
  <c r="G132" i="46"/>
  <c r="K127" i="46"/>
  <c r="F19" i="43"/>
  <c r="F18" i="43"/>
  <c r="F17" i="43"/>
  <c r="B26" i="43" s="1"/>
  <c r="F16" i="43"/>
  <c r="B27" i="43" s="1"/>
  <c r="O3" i="43"/>
  <c r="D63" i="45"/>
  <c r="D69" i="45" s="1"/>
  <c r="D33" i="45"/>
  <c r="BS32" i="45"/>
  <c r="BS31" i="45"/>
  <c r="D30" i="45"/>
  <c r="BU29" i="45" a="1"/>
  <c r="BU29" i="45" s="1"/>
  <c r="BS29" i="45"/>
  <c r="BS33" i="45" s="1"/>
  <c r="BS27" i="45"/>
  <c r="BR27" i="45"/>
  <c r="BS23" i="45"/>
  <c r="BR23" i="45"/>
  <c r="D21" i="45"/>
  <c r="BS18" i="45"/>
  <c r="BS17" i="45"/>
  <c r="BS12" i="45"/>
  <c r="BS19" i="45" s="1"/>
  <c r="CC10" i="45"/>
  <c r="CA10" i="45"/>
  <c r="BR10" i="45"/>
  <c r="BZ7" i="45"/>
  <c r="AK3" i="45"/>
  <c r="AL3" i="45" s="1"/>
  <c r="AM3" i="45" s="1"/>
  <c r="AN3" i="45" s="1"/>
  <c r="AO3" i="45" s="1"/>
  <c r="AP3" i="45" s="1"/>
  <c r="AQ3" i="45" s="1"/>
  <c r="AR3" i="45" s="1"/>
  <c r="AS3" i="45" s="1"/>
  <c r="AT3" i="45" s="1"/>
  <c r="AU3" i="45" s="1"/>
  <c r="AV3" i="45" s="1"/>
  <c r="AW3" i="45" s="1"/>
  <c r="AX3" i="45" s="1"/>
  <c r="AY3" i="45" s="1"/>
  <c r="AZ3" i="45" s="1"/>
  <c r="BA3" i="45" s="1"/>
  <c r="BB3" i="45" s="1"/>
  <c r="BC3" i="45" s="1"/>
  <c r="BD3" i="45" s="1"/>
  <c r="BE3" i="45" s="1"/>
  <c r="BF3" i="45" s="1"/>
  <c r="BG3" i="45" s="1"/>
  <c r="BH3" i="45" s="1"/>
  <c r="BI3" i="45" s="1"/>
  <c r="BJ3" i="45" s="1"/>
  <c r="BK3" i="45" s="1"/>
  <c r="BL3" i="45" s="1"/>
  <c r="BM3" i="45" s="1"/>
  <c r="BN3" i="45" s="1"/>
  <c r="E3" i="45"/>
  <c r="O7" i="43" l="1"/>
  <c r="O8" i="43"/>
  <c r="O17" i="43"/>
  <c r="O12" i="43"/>
  <c r="O10" i="43"/>
  <c r="O11" i="43"/>
  <c r="O16" i="43"/>
  <c r="O20" i="43"/>
  <c r="O19" i="43"/>
  <c r="O21" i="43"/>
  <c r="I196" i="48"/>
  <c r="B28" i="43"/>
  <c r="T23" i="55"/>
  <c r="U3" i="55"/>
  <c r="U244" i="53"/>
  <c r="S89" i="54"/>
  <c r="Q255" i="54"/>
  <c r="Q256" i="54"/>
  <c r="AE244" i="54"/>
  <c r="P93" i="54"/>
  <c r="P94" i="54"/>
  <c r="P98" i="54"/>
  <c r="P92" i="54"/>
  <c r="O100" i="54"/>
  <c r="O102" i="54"/>
  <c r="O101" i="54"/>
  <c r="R82" i="54"/>
  <c r="Q83" i="54"/>
  <c r="Q85" i="54" s="1"/>
  <c r="Q84" i="54"/>
  <c r="Q97" i="54" s="1"/>
  <c r="AD248" i="54"/>
  <c r="R90" i="54"/>
  <c r="S87" i="54"/>
  <c r="T120" i="54"/>
  <c r="S122" i="54"/>
  <c r="S124" i="54"/>
  <c r="S88" i="54"/>
  <c r="Q90" i="53"/>
  <c r="Q124" i="53"/>
  <c r="T88" i="53"/>
  <c r="R92" i="53"/>
  <c r="S87" i="53"/>
  <c r="S120" i="53"/>
  <c r="R122" i="53"/>
  <c r="R93" i="53"/>
  <c r="T82" i="53"/>
  <c r="S83" i="53"/>
  <c r="S85" i="53" s="1"/>
  <c r="S84" i="53"/>
  <c r="R116" i="53"/>
  <c r="R118" i="53" s="1"/>
  <c r="R125" i="53" s="1"/>
  <c r="S115" i="53"/>
  <c r="R117" i="53"/>
  <c r="Q255" i="53"/>
  <c r="Q256" i="53"/>
  <c r="R89" i="53"/>
  <c r="Q45" i="51"/>
  <c r="T3" i="51"/>
  <c r="AV45" i="51"/>
  <c r="J189" i="48"/>
  <c r="J185" i="48"/>
  <c r="J190" i="48"/>
  <c r="J197" i="48" s="1"/>
  <c r="S185" i="48"/>
  <c r="L129" i="48"/>
  <c r="I133" i="48"/>
  <c r="I134" i="48"/>
  <c r="I132" i="48"/>
  <c r="L128" i="48"/>
  <c r="L130" i="48" s="1"/>
  <c r="I367" i="48"/>
  <c r="I368" i="48"/>
  <c r="S254" i="48"/>
  <c r="S49" i="48"/>
  <c r="S46" i="48" s="1"/>
  <c r="J124" i="48"/>
  <c r="J120" i="48"/>
  <c r="J125" i="48"/>
  <c r="K48" i="48"/>
  <c r="K47" i="48"/>
  <c r="L1" i="48"/>
  <c r="K238" i="48"/>
  <c r="K255" i="48"/>
  <c r="K121" i="48"/>
  <c r="K186" i="48"/>
  <c r="K123" i="48"/>
  <c r="L122" i="48"/>
  <c r="M127" i="48"/>
  <c r="S120" i="48"/>
  <c r="L356" i="48"/>
  <c r="J254" i="48"/>
  <c r="L187" i="48"/>
  <c r="K188" i="48"/>
  <c r="K130" i="48"/>
  <c r="S237" i="48"/>
  <c r="U1" i="48"/>
  <c r="T48" i="48"/>
  <c r="T47" i="48"/>
  <c r="T255" i="48"/>
  <c r="T121" i="48"/>
  <c r="T238" i="48"/>
  <c r="T186" i="48"/>
  <c r="J237" i="48"/>
  <c r="J49" i="48"/>
  <c r="J46" i="48" s="1"/>
  <c r="J194" i="48"/>
  <c r="J196" i="48"/>
  <c r="K192" i="48"/>
  <c r="J194" i="46"/>
  <c r="K192" i="46"/>
  <c r="G367" i="46"/>
  <c r="G368" i="46"/>
  <c r="I237" i="46"/>
  <c r="H133" i="46"/>
  <c r="H134" i="46"/>
  <c r="H132" i="46"/>
  <c r="T237" i="46"/>
  <c r="U48" i="46"/>
  <c r="U47" i="46"/>
  <c r="V1" i="46"/>
  <c r="U186" i="46"/>
  <c r="U255" i="46"/>
  <c r="U238" i="46"/>
  <c r="U121" i="46"/>
  <c r="I189" i="46"/>
  <c r="I185" i="46"/>
  <c r="I190" i="46"/>
  <c r="K188" i="46"/>
  <c r="L187" i="46"/>
  <c r="T120" i="46"/>
  <c r="I125" i="46"/>
  <c r="I120" i="46"/>
  <c r="I124" i="46"/>
  <c r="J48" i="46"/>
  <c r="J47" i="46"/>
  <c r="K1" i="46"/>
  <c r="J238" i="46"/>
  <c r="J255" i="46"/>
  <c r="J121" i="46"/>
  <c r="J186" i="46"/>
  <c r="H197" i="46"/>
  <c r="H196" i="46"/>
  <c r="K129" i="46"/>
  <c r="K130" i="46" s="1"/>
  <c r="N128" i="46"/>
  <c r="T185" i="46"/>
  <c r="T49" i="46"/>
  <c r="T46" i="46" s="1"/>
  <c r="L127" i="46"/>
  <c r="I254" i="46"/>
  <c r="I49" i="46"/>
  <c r="I46" i="46" s="1"/>
  <c r="K123" i="46"/>
  <c r="L122" i="46"/>
  <c r="T254" i="46"/>
  <c r="F21" i="43"/>
  <c r="D4" i="45"/>
  <c r="F3" i="45"/>
  <c r="O9" i="43" l="1"/>
  <c r="O13" i="43" s="1"/>
  <c r="O18" i="43"/>
  <c r="O22" i="43" s="1"/>
  <c r="U23" i="55"/>
  <c r="V3" i="55"/>
  <c r="BZ16" i="45"/>
  <c r="V244" i="53"/>
  <c r="AE248" i="54"/>
  <c r="T89" i="54"/>
  <c r="P100" i="54"/>
  <c r="P101" i="54"/>
  <c r="P102" i="54"/>
  <c r="AF244" i="54"/>
  <c r="Q98" i="54"/>
  <c r="Q99" i="54" s="1"/>
  <c r="Q94" i="54"/>
  <c r="Q93" i="54"/>
  <c r="Q92" i="54"/>
  <c r="T122" i="54"/>
  <c r="T124" i="54"/>
  <c r="U120" i="54"/>
  <c r="T87" i="54"/>
  <c r="S90" i="54"/>
  <c r="R83" i="54"/>
  <c r="R85" i="54" s="1"/>
  <c r="S82" i="54"/>
  <c r="R84" i="54"/>
  <c r="R97" i="54" s="1"/>
  <c r="R255" i="54"/>
  <c r="R256" i="54"/>
  <c r="T88" i="54"/>
  <c r="P99" i="54"/>
  <c r="S93" i="53"/>
  <c r="T83" i="53"/>
  <c r="T85" i="53" s="1"/>
  <c r="U82" i="53"/>
  <c r="T84" i="53"/>
  <c r="S89" i="53"/>
  <c r="S94" i="53" s="1"/>
  <c r="R94" i="53"/>
  <c r="R255" i="53"/>
  <c r="R256" i="53"/>
  <c r="R124" i="53"/>
  <c r="T120" i="53"/>
  <c r="S122" i="53"/>
  <c r="S92" i="53"/>
  <c r="T87" i="53"/>
  <c r="T115" i="53"/>
  <c r="S116" i="53"/>
  <c r="S118" i="53" s="1"/>
  <c r="S125" i="53" s="1"/>
  <c r="S117" i="53"/>
  <c r="R90" i="53"/>
  <c r="U88" i="53"/>
  <c r="U3" i="51"/>
  <c r="AW45" i="51"/>
  <c r="R45" i="51"/>
  <c r="G20" i="43"/>
  <c r="G18" i="43"/>
  <c r="G16" i="43"/>
  <c r="G17" i="43"/>
  <c r="G19" i="43"/>
  <c r="T185" i="48"/>
  <c r="T49" i="48"/>
  <c r="T46" i="48" s="1"/>
  <c r="K237" i="48"/>
  <c r="J133" i="48"/>
  <c r="J134" i="48"/>
  <c r="J132" i="48"/>
  <c r="K194" i="48"/>
  <c r="L192" i="48"/>
  <c r="T237" i="48"/>
  <c r="N127" i="48"/>
  <c r="K189" i="48"/>
  <c r="K185" i="48"/>
  <c r="K190" i="48"/>
  <c r="K197" i="48" s="1"/>
  <c r="L47" i="48"/>
  <c r="L48" i="48"/>
  <c r="L186" i="48"/>
  <c r="L255" i="48"/>
  <c r="L121" i="48"/>
  <c r="L238" i="48"/>
  <c r="T120" i="48"/>
  <c r="V1" i="48"/>
  <c r="U47" i="48"/>
  <c r="U48" i="48"/>
  <c r="U238" i="48"/>
  <c r="U255" i="48"/>
  <c r="U121" i="48"/>
  <c r="U186" i="48"/>
  <c r="L188" i="48"/>
  <c r="M187" i="48"/>
  <c r="M356" i="48"/>
  <c r="K125" i="48"/>
  <c r="K124" i="48"/>
  <c r="K120" i="48"/>
  <c r="K49" i="48"/>
  <c r="K46" i="48" s="1"/>
  <c r="M128" i="48"/>
  <c r="J367" i="48"/>
  <c r="J368" i="48"/>
  <c r="T254" i="48"/>
  <c r="L123" i="48"/>
  <c r="M122" i="48"/>
  <c r="K254" i="48"/>
  <c r="M129" i="48"/>
  <c r="J237" i="46"/>
  <c r="U254" i="46"/>
  <c r="M127" i="46"/>
  <c r="M122" i="46"/>
  <c r="L123" i="46"/>
  <c r="J189" i="46"/>
  <c r="J185" i="46"/>
  <c r="J190" i="46"/>
  <c r="K48" i="46"/>
  <c r="L1" i="46"/>
  <c r="K47" i="46"/>
  <c r="K186" i="46"/>
  <c r="K121" i="46"/>
  <c r="K238" i="46"/>
  <c r="K255" i="46"/>
  <c r="U185" i="46"/>
  <c r="K194" i="46"/>
  <c r="L192" i="46"/>
  <c r="L129" i="46"/>
  <c r="H367" i="46"/>
  <c r="H368" i="46"/>
  <c r="O128" i="46"/>
  <c r="J125" i="46"/>
  <c r="J124" i="46"/>
  <c r="J120" i="46"/>
  <c r="J49" i="46"/>
  <c r="J46" i="46" s="1"/>
  <c r="I133" i="46"/>
  <c r="I134" i="46"/>
  <c r="I132" i="46"/>
  <c r="L188" i="46"/>
  <c r="M187" i="46"/>
  <c r="I197" i="46"/>
  <c r="I196" i="46"/>
  <c r="U120" i="46"/>
  <c r="V48" i="46"/>
  <c r="V47" i="46"/>
  <c r="V255" i="46"/>
  <c r="V186" i="46"/>
  <c r="V238" i="46"/>
  <c r="V121" i="46"/>
  <c r="J254" i="46"/>
  <c r="U237" i="46"/>
  <c r="U49" i="46"/>
  <c r="U46" i="46" s="1"/>
  <c r="P3" i="43"/>
  <c r="E4" i="45"/>
  <c r="BS34" i="45"/>
  <c r="AJ4" i="45"/>
  <c r="G3" i="45"/>
  <c r="CC12" i="36"/>
  <c r="CA12" i="36"/>
  <c r="BZ9" i="36"/>
  <c r="H45" i="37"/>
  <c r="J7" i="37"/>
  <c r="H6" i="37"/>
  <c r="H5" i="37"/>
  <c r="G6" i="37"/>
  <c r="G5" i="37"/>
  <c r="P8" i="43" l="1"/>
  <c r="P7" i="43"/>
  <c r="P17" i="43"/>
  <c r="P12" i="43"/>
  <c r="P16" i="43"/>
  <c r="P10" i="43"/>
  <c r="P9" i="43" s="1"/>
  <c r="P13" i="43" s="1"/>
  <c r="P11" i="43"/>
  <c r="P20" i="43"/>
  <c r="P21" i="43"/>
  <c r="P19" i="43"/>
  <c r="V23" i="55"/>
  <c r="W3" i="55"/>
  <c r="AK4" i="45"/>
  <c r="S90" i="53"/>
  <c r="W244" i="53"/>
  <c r="U88" i="54"/>
  <c r="AF248" i="54"/>
  <c r="S83" i="54"/>
  <c r="S85" i="54" s="1"/>
  <c r="T82" i="54"/>
  <c r="S84" i="54"/>
  <c r="S97" i="54" s="1"/>
  <c r="R98" i="54"/>
  <c r="R99" i="54" s="1"/>
  <c r="R93" i="54"/>
  <c r="R94" i="54"/>
  <c r="R92" i="54"/>
  <c r="AG244" i="54"/>
  <c r="U89" i="54"/>
  <c r="S255" i="54"/>
  <c r="S256" i="54"/>
  <c r="T90" i="54"/>
  <c r="U87" i="54"/>
  <c r="Q100" i="54"/>
  <c r="Q101" i="54"/>
  <c r="Q102" i="54"/>
  <c r="V120" i="54"/>
  <c r="U122" i="54"/>
  <c r="U124" i="54"/>
  <c r="T122" i="53"/>
  <c r="U120" i="53"/>
  <c r="V82" i="53"/>
  <c r="U83" i="53"/>
  <c r="U85" i="53" s="1"/>
  <c r="U84" i="53"/>
  <c r="T92" i="53"/>
  <c r="U87" i="53"/>
  <c r="T93" i="53"/>
  <c r="S124" i="53"/>
  <c r="V88" i="53"/>
  <c r="U115" i="53"/>
  <c r="T116" i="53"/>
  <c r="T118" i="53" s="1"/>
  <c r="T125" i="53" s="1"/>
  <c r="T117" i="53"/>
  <c r="S255" i="53"/>
  <c r="S256" i="53"/>
  <c r="T89" i="53"/>
  <c r="T90" i="53" s="1"/>
  <c r="AX45" i="51"/>
  <c r="S45" i="51"/>
  <c r="V3" i="51"/>
  <c r="E13" i="45"/>
  <c r="AK5" i="45"/>
  <c r="M8" i="44"/>
  <c r="K6" i="44" s="1"/>
  <c r="G21" i="43"/>
  <c r="U237" i="48"/>
  <c r="L237" i="48"/>
  <c r="L194" i="48"/>
  <c r="M192" i="48"/>
  <c r="U185" i="48"/>
  <c r="L120" i="48"/>
  <c r="L125" i="48"/>
  <c r="L124" i="48"/>
  <c r="L49" i="48"/>
  <c r="L46" i="48" s="1"/>
  <c r="O127" i="48"/>
  <c r="K196" i="48"/>
  <c r="M123" i="48"/>
  <c r="M125" i="48" s="1"/>
  <c r="N122" i="48"/>
  <c r="M124" i="48"/>
  <c r="N128" i="48"/>
  <c r="K133" i="48"/>
  <c r="K134" i="48"/>
  <c r="K132" i="48"/>
  <c r="M188" i="48"/>
  <c r="M190" i="48" s="1"/>
  <c r="M197" i="48" s="1"/>
  <c r="M367" i="48" s="1"/>
  <c r="N187" i="48"/>
  <c r="M189" i="48"/>
  <c r="U120" i="48"/>
  <c r="U49" i="48"/>
  <c r="U46" i="48" s="1"/>
  <c r="L254" i="48"/>
  <c r="K367" i="48"/>
  <c r="K368" i="48"/>
  <c r="N129" i="48"/>
  <c r="N130" i="48" s="1"/>
  <c r="N356" i="48"/>
  <c r="U254" i="48"/>
  <c r="V48" i="48"/>
  <c r="V47" i="48"/>
  <c r="V238" i="48"/>
  <c r="V255" i="48"/>
  <c r="V121" i="48"/>
  <c r="V186" i="48"/>
  <c r="L190" i="48"/>
  <c r="L197" i="48" s="1"/>
  <c r="L189" i="48"/>
  <c r="L185" i="48"/>
  <c r="M130" i="48"/>
  <c r="V49" i="46"/>
  <c r="V46" i="46" s="1"/>
  <c r="J133" i="46"/>
  <c r="J134" i="46"/>
  <c r="J132" i="46"/>
  <c r="V237" i="46"/>
  <c r="V185" i="46"/>
  <c r="I367" i="46"/>
  <c r="I368" i="46"/>
  <c r="P128" i="46"/>
  <c r="K190" i="46"/>
  <c r="K189" i="46"/>
  <c r="K185" i="46"/>
  <c r="J197" i="46"/>
  <c r="J196" i="46"/>
  <c r="M123" i="46"/>
  <c r="M125" i="46" s="1"/>
  <c r="N122" i="46"/>
  <c r="M124" i="46"/>
  <c r="N127" i="46"/>
  <c r="V120" i="46"/>
  <c r="K124" i="46"/>
  <c r="K125" i="46"/>
  <c r="K120" i="46"/>
  <c r="V254" i="46"/>
  <c r="M188" i="46"/>
  <c r="M190" i="46" s="1"/>
  <c r="M197" i="46" s="1"/>
  <c r="M367" i="46" s="1"/>
  <c r="N187" i="46"/>
  <c r="M189" i="46"/>
  <c r="M129" i="46"/>
  <c r="M130" i="46" s="1"/>
  <c r="M192" i="46"/>
  <c r="L194" i="46"/>
  <c r="K254" i="46"/>
  <c r="K49" i="46"/>
  <c r="K46" i="46" s="1"/>
  <c r="K237" i="46"/>
  <c r="L48" i="46"/>
  <c r="L47" i="46"/>
  <c r="L238" i="46"/>
  <c r="L255" i="46"/>
  <c r="L121" i="46"/>
  <c r="L186" i="46"/>
  <c r="L130" i="46"/>
  <c r="F4" i="45"/>
  <c r="H3" i="45"/>
  <c r="P18" i="43" l="1"/>
  <c r="P22" i="43" s="1"/>
  <c r="AK13" i="45"/>
  <c r="AK6" i="45"/>
  <c r="AJ6" i="45"/>
  <c r="F15" i="45"/>
  <c r="W23" i="55"/>
  <c r="X3" i="55"/>
  <c r="AL4" i="45"/>
  <c r="X244" i="53"/>
  <c r="S98" i="54"/>
  <c r="S99" i="54" s="1"/>
  <c r="S93" i="54"/>
  <c r="S94" i="54"/>
  <c r="S92" i="54"/>
  <c r="AG248" i="54"/>
  <c r="T83" i="54"/>
  <c r="T85" i="54" s="1"/>
  <c r="U82" i="54"/>
  <c r="T84" i="54"/>
  <c r="T97" i="54" s="1"/>
  <c r="V122" i="54"/>
  <c r="V124" i="54"/>
  <c r="W120" i="54"/>
  <c r="V87" i="54"/>
  <c r="U90" i="54"/>
  <c r="V89" i="54"/>
  <c r="T255" i="54"/>
  <c r="T256" i="54"/>
  <c r="V88" i="54"/>
  <c r="R102" i="54"/>
  <c r="R101" i="54"/>
  <c r="R100" i="54"/>
  <c r="T255" i="53"/>
  <c r="T256" i="53"/>
  <c r="V115" i="53"/>
  <c r="U116" i="53"/>
  <c r="U118" i="53" s="1"/>
  <c r="U125" i="53" s="1"/>
  <c r="U117" i="53"/>
  <c r="V120" i="53"/>
  <c r="U122" i="53"/>
  <c r="T124" i="53"/>
  <c r="U89" i="53"/>
  <c r="U90" i="53" s="1"/>
  <c r="T94" i="53"/>
  <c r="U93" i="53"/>
  <c r="W88" i="53"/>
  <c r="V83" i="53"/>
  <c r="V85" i="53" s="1"/>
  <c r="W82" i="53"/>
  <c r="V84" i="53"/>
  <c r="U92" i="53"/>
  <c r="V87" i="53"/>
  <c r="AY45" i="51"/>
  <c r="W3" i="51"/>
  <c r="T45" i="51"/>
  <c r="L132" i="24"/>
  <c r="L104" i="24"/>
  <c r="AL5" i="45"/>
  <c r="F13" i="45"/>
  <c r="M4" i="44"/>
  <c r="M5" i="44"/>
  <c r="M3" i="44"/>
  <c r="H23" i="44" s="1"/>
  <c r="I23" i="44" s="1"/>
  <c r="V120" i="48"/>
  <c r="O356" i="48"/>
  <c r="M133" i="48"/>
  <c r="M134" i="48"/>
  <c r="M132" i="48"/>
  <c r="L196" i="48"/>
  <c r="V254" i="48"/>
  <c r="L134" i="48"/>
  <c r="L133" i="48"/>
  <c r="L132" i="48"/>
  <c r="M368" i="48"/>
  <c r="V237" i="48"/>
  <c r="O129" i="48"/>
  <c r="N188" i="48"/>
  <c r="N190" i="48" s="1"/>
  <c r="N197" i="48" s="1"/>
  <c r="N367" i="48" s="1"/>
  <c r="O187" i="48"/>
  <c r="N189" i="48"/>
  <c r="O128" i="48"/>
  <c r="L367" i="48"/>
  <c r="L368" i="48"/>
  <c r="V185" i="48"/>
  <c r="V49" i="48"/>
  <c r="V46" i="48" s="1"/>
  <c r="O122" i="48"/>
  <c r="N123" i="48"/>
  <c r="N125" i="48" s="1"/>
  <c r="N124" i="48"/>
  <c r="P127" i="48"/>
  <c r="M196" i="48"/>
  <c r="N192" i="48"/>
  <c r="M194" i="48"/>
  <c r="N368" i="48"/>
  <c r="L124" i="46"/>
  <c r="L125" i="46"/>
  <c r="L120" i="46"/>
  <c r="M194" i="46"/>
  <c r="M196" i="46"/>
  <c r="N192" i="46"/>
  <c r="J367" i="46"/>
  <c r="J368" i="46"/>
  <c r="L254" i="46"/>
  <c r="M368" i="46"/>
  <c r="N123" i="46"/>
  <c r="N125" i="46" s="1"/>
  <c r="N132" i="46" s="1"/>
  <c r="O122" i="46"/>
  <c r="N124" i="46"/>
  <c r="L237" i="46"/>
  <c r="N129" i="46"/>
  <c r="N130" i="46" s="1"/>
  <c r="K134" i="46"/>
  <c r="K133" i="46"/>
  <c r="K132" i="46"/>
  <c r="O127" i="46"/>
  <c r="M133" i="46"/>
  <c r="M134" i="46"/>
  <c r="L189" i="46"/>
  <c r="L190" i="46"/>
  <c r="L185" i="46"/>
  <c r="L49" i="46"/>
  <c r="L46" i="46" s="1"/>
  <c r="O187" i="46"/>
  <c r="N188" i="46"/>
  <c r="N190" i="46" s="1"/>
  <c r="N197" i="46" s="1"/>
  <c r="N367" i="46" s="1"/>
  <c r="N189" i="46"/>
  <c r="M132" i="46"/>
  <c r="K197" i="46"/>
  <c r="K196" i="46"/>
  <c r="Q128" i="46"/>
  <c r="I3" i="45"/>
  <c r="AL13" i="45" l="1"/>
  <c r="AL15" i="45"/>
  <c r="AL7" i="45"/>
  <c r="E15" i="45"/>
  <c r="AL6" i="45"/>
  <c r="AK7" i="45"/>
  <c r="X23" i="55"/>
  <c r="Y3" i="55"/>
  <c r="Y244" i="53"/>
  <c r="V90" i="54"/>
  <c r="W87" i="54"/>
  <c r="W89" i="54"/>
  <c r="W88" i="54"/>
  <c r="U83" i="54"/>
  <c r="U85" i="54" s="1"/>
  <c r="V82" i="54"/>
  <c r="U84" i="54"/>
  <c r="U97" i="54" s="1"/>
  <c r="U255" i="54"/>
  <c r="U256" i="54"/>
  <c r="T93" i="54"/>
  <c r="T94" i="54"/>
  <c r="T98" i="54"/>
  <c r="T99" i="54" s="1"/>
  <c r="T92" i="54"/>
  <c r="S102" i="54"/>
  <c r="S101" i="54"/>
  <c r="S100" i="54"/>
  <c r="W124" i="54"/>
  <c r="X120" i="54"/>
  <c r="W122" i="54"/>
  <c r="U94" i="53"/>
  <c r="U124" i="53"/>
  <c r="V116" i="53"/>
  <c r="V118" i="53" s="1"/>
  <c r="V125" i="53" s="1"/>
  <c r="V117" i="53"/>
  <c r="X88" i="53"/>
  <c r="U255" i="53"/>
  <c r="U256" i="53"/>
  <c r="W87" i="53"/>
  <c r="V92" i="53"/>
  <c r="W83" i="53"/>
  <c r="W85" i="53" s="1"/>
  <c r="X82" i="53"/>
  <c r="W84" i="53"/>
  <c r="V93" i="53"/>
  <c r="V89" i="53"/>
  <c r="V94" i="53" s="1"/>
  <c r="V122" i="53"/>
  <c r="W120" i="53"/>
  <c r="AZ45" i="51"/>
  <c r="U45" i="51"/>
  <c r="X3" i="51"/>
  <c r="D13" i="45"/>
  <c r="AJ5" i="45"/>
  <c r="D15" i="45"/>
  <c r="AJ7" i="45"/>
  <c r="P129" i="48"/>
  <c r="P130" i="48" s="1"/>
  <c r="N133" i="48"/>
  <c r="N134" i="48"/>
  <c r="N132" i="48"/>
  <c r="N194" i="48"/>
  <c r="N196" i="48"/>
  <c r="O192" i="48"/>
  <c r="Q127" i="48"/>
  <c r="O130" i="48"/>
  <c r="P122" i="48"/>
  <c r="O123" i="48"/>
  <c r="O125" i="48" s="1"/>
  <c r="O124" i="48"/>
  <c r="P128" i="48"/>
  <c r="P187" i="48"/>
  <c r="O188" i="48"/>
  <c r="O190" i="48" s="1"/>
  <c r="O197" i="48" s="1"/>
  <c r="O367" i="48" s="1"/>
  <c r="O189" i="48"/>
  <c r="P356" i="48"/>
  <c r="N368" i="46"/>
  <c r="N133" i="46"/>
  <c r="N134" i="46"/>
  <c r="N194" i="46"/>
  <c r="N196" i="46"/>
  <c r="O192" i="46"/>
  <c r="R128" i="46"/>
  <c r="K367" i="46"/>
  <c r="K368" i="46"/>
  <c r="O188" i="46"/>
  <c r="O190" i="46" s="1"/>
  <c r="O197" i="46" s="1"/>
  <c r="O367" i="46" s="1"/>
  <c r="P187" i="46"/>
  <c r="O189" i="46"/>
  <c r="L197" i="46"/>
  <c r="L196" i="46"/>
  <c r="L133" i="46"/>
  <c r="L134" i="46"/>
  <c r="L132" i="46"/>
  <c r="P127" i="46"/>
  <c r="O129" i="46"/>
  <c r="O130" i="46" s="1"/>
  <c r="O123" i="46"/>
  <c r="O125" i="46" s="1"/>
  <c r="P122" i="46"/>
  <c r="O124" i="46"/>
  <c r="J3" i="45"/>
  <c r="G61" i="44"/>
  <c r="F61" i="44"/>
  <c r="E61" i="44"/>
  <c r="D61" i="44"/>
  <c r="C61" i="44"/>
  <c r="D59" i="44"/>
  <c r="E58" i="44"/>
  <c r="E57" i="44"/>
  <c r="D58" i="44"/>
  <c r="D56" i="44"/>
  <c r="C56" i="44"/>
  <c r="AJ15" i="45" l="1"/>
  <c r="AK15" i="45"/>
  <c r="AJ13" i="45"/>
  <c r="Y23" i="55"/>
  <c r="Z23" i="55" s="1"/>
  <c r="Z3" i="55"/>
  <c r="Z244" i="53"/>
  <c r="X87" i="54"/>
  <c r="W90" i="54"/>
  <c r="X88" i="54"/>
  <c r="V255" i="54"/>
  <c r="V256" i="54"/>
  <c r="W82" i="54"/>
  <c r="V83" i="54"/>
  <c r="V85" i="54" s="1"/>
  <c r="V84" i="54"/>
  <c r="V97" i="54" s="1"/>
  <c r="X122" i="54"/>
  <c r="Y120" i="54"/>
  <c r="X124" i="54"/>
  <c r="T101" i="54"/>
  <c r="T102" i="54"/>
  <c r="T100" i="54"/>
  <c r="U94" i="54"/>
  <c r="U98" i="54"/>
  <c r="U93" i="54"/>
  <c r="U92" i="54"/>
  <c r="X89" i="54"/>
  <c r="V124" i="53"/>
  <c r="W92" i="53"/>
  <c r="X87" i="53"/>
  <c r="V255" i="53"/>
  <c r="V256" i="53"/>
  <c r="X115" i="53"/>
  <c r="W118" i="53"/>
  <c r="W125" i="53" s="1"/>
  <c r="W117" i="53"/>
  <c r="W122" i="53"/>
  <c r="X120" i="53"/>
  <c r="X83" i="53"/>
  <c r="X85" i="53" s="1"/>
  <c r="Y82" i="53"/>
  <c r="X84" i="53"/>
  <c r="Y88" i="53"/>
  <c r="W89" i="53"/>
  <c r="W93" i="53"/>
  <c r="V90" i="53"/>
  <c r="V45" i="51"/>
  <c r="Y3" i="51"/>
  <c r="BA45" i="51"/>
  <c r="P188" i="48"/>
  <c r="P190" i="48" s="1"/>
  <c r="P197" i="48" s="1"/>
  <c r="P367" i="48" s="1"/>
  <c r="Q187" i="48"/>
  <c r="P189" i="48"/>
  <c r="Q356" i="48"/>
  <c r="R127" i="48"/>
  <c r="Q129" i="48"/>
  <c r="O368" i="48"/>
  <c r="Q128" i="48"/>
  <c r="O133" i="48"/>
  <c r="O134" i="48"/>
  <c r="O132" i="48"/>
  <c r="P123" i="48"/>
  <c r="P125" i="48" s="1"/>
  <c r="Q122" i="48"/>
  <c r="P124" i="48"/>
  <c r="O194" i="48"/>
  <c r="O196" i="48"/>
  <c r="P192" i="48"/>
  <c r="O368" i="46"/>
  <c r="P188" i="46"/>
  <c r="P190" i="46" s="1"/>
  <c r="P197" i="46" s="1"/>
  <c r="P367" i="46" s="1"/>
  <c r="Q187" i="46"/>
  <c r="P189" i="46"/>
  <c r="Q122" i="46"/>
  <c r="P123" i="46"/>
  <c r="P125" i="46" s="1"/>
  <c r="P132" i="46" s="1"/>
  <c r="P124" i="46"/>
  <c r="P129" i="46"/>
  <c r="P130" i="46" s="1"/>
  <c r="Q127" i="46"/>
  <c r="S128" i="46"/>
  <c r="O194" i="46"/>
  <c r="O196" i="46"/>
  <c r="P192" i="46"/>
  <c r="L367" i="46"/>
  <c r="L368" i="46"/>
  <c r="O134" i="46"/>
  <c r="O133" i="46"/>
  <c r="O132" i="46"/>
  <c r="K3" i="45"/>
  <c r="AA23" i="55" l="1"/>
  <c r="AA3" i="55"/>
  <c r="AA244" i="53"/>
  <c r="U101" i="54"/>
  <c r="U100" i="54"/>
  <c r="U102" i="54"/>
  <c r="X82" i="54"/>
  <c r="W84" i="54"/>
  <c r="W97" i="54" s="1"/>
  <c r="W83" i="54"/>
  <c r="W85" i="54" s="1"/>
  <c r="Y88" i="54"/>
  <c r="V93" i="54"/>
  <c r="V98" i="54"/>
  <c r="V94" i="54"/>
  <c r="V92" i="54"/>
  <c r="U99" i="54"/>
  <c r="W255" i="54"/>
  <c r="W256" i="54"/>
  <c r="Y89" i="54"/>
  <c r="Y124" i="54"/>
  <c r="Z120" i="54"/>
  <c r="Y122" i="54"/>
  <c r="X90" i="54"/>
  <c r="Y87" i="54"/>
  <c r="V99" i="54"/>
  <c r="W124" i="53"/>
  <c r="W255" i="53"/>
  <c r="W256" i="53"/>
  <c r="X92" i="53"/>
  <c r="Y87" i="53"/>
  <c r="X89" i="53"/>
  <c r="X90" i="53" s="1"/>
  <c r="X122" i="53"/>
  <c r="Y120" i="53"/>
  <c r="Z82" i="53"/>
  <c r="Y83" i="53"/>
  <c r="Y85" i="53" s="1"/>
  <c r="Y84" i="53"/>
  <c r="Z88" i="53"/>
  <c r="X93" i="53"/>
  <c r="X116" i="53"/>
  <c r="X118" i="53" s="1"/>
  <c r="X125" i="53" s="1"/>
  <c r="Y115" i="53"/>
  <c r="X117" i="53"/>
  <c r="W94" i="53"/>
  <c r="W90" i="53"/>
  <c r="W45" i="51"/>
  <c r="Z3" i="51"/>
  <c r="BB45" i="51"/>
  <c r="R129" i="48"/>
  <c r="S127" i="48"/>
  <c r="R356" i="48"/>
  <c r="Q188" i="48"/>
  <c r="Q190" i="48" s="1"/>
  <c r="Q197" i="48" s="1"/>
  <c r="Q367" i="48" s="1"/>
  <c r="R187" i="48"/>
  <c r="Q189" i="48"/>
  <c r="Q123" i="48"/>
  <c r="Q125" i="48" s="1"/>
  <c r="R122" i="48"/>
  <c r="Q124" i="48"/>
  <c r="P368" i="48"/>
  <c r="P194" i="48"/>
  <c r="P196" i="48"/>
  <c r="Q192" i="48"/>
  <c r="P134" i="48"/>
  <c r="P133" i="48"/>
  <c r="P132" i="48"/>
  <c r="R128" i="48"/>
  <c r="R130" i="48" s="1"/>
  <c r="Q368" i="48"/>
  <c r="Q130" i="48"/>
  <c r="P368" i="46"/>
  <c r="T128" i="46"/>
  <c r="R127" i="46"/>
  <c r="Q129" i="46"/>
  <c r="Q130" i="46" s="1"/>
  <c r="P196" i="46"/>
  <c r="Q192" i="46"/>
  <c r="P194" i="46"/>
  <c r="P133" i="46"/>
  <c r="P134" i="46"/>
  <c r="Q123" i="46"/>
  <c r="Q125" i="46" s="1"/>
  <c r="Q132" i="46" s="1"/>
  <c r="R122" i="46"/>
  <c r="Q124" i="46"/>
  <c r="Q188" i="46"/>
  <c r="Q190" i="46" s="1"/>
  <c r="Q197" i="46" s="1"/>
  <c r="Q367" i="46" s="1"/>
  <c r="R187" i="46"/>
  <c r="Q189" i="46"/>
  <c r="L3" i="45"/>
  <c r="C28" i="44"/>
  <c r="C29" i="44" s="1"/>
  <c r="G38" i="44"/>
  <c r="G37" i="44"/>
  <c r="C39" i="44"/>
  <c r="C38" i="44"/>
  <c r="AD74" i="24"/>
  <c r="K33" i="44"/>
  <c r="K32" i="44"/>
  <c r="C24" i="44"/>
  <c r="Z13" i="44"/>
  <c r="Z12" i="44"/>
  <c r="AF7" i="44"/>
  <c r="AF17" i="44"/>
  <c r="AF18" i="44" s="1"/>
  <c r="Z7" i="44"/>
  <c r="R20" i="44"/>
  <c r="S5" i="44"/>
  <c r="K14" i="44"/>
  <c r="C18" i="44"/>
  <c r="C17" i="44"/>
  <c r="K5" i="44"/>
  <c r="E34" i="44"/>
  <c r="C34" i="44"/>
  <c r="E33" i="44"/>
  <c r="AR3" i="43"/>
  <c r="AM3" i="43"/>
  <c r="AH3" i="43"/>
  <c r="AC3" i="43"/>
  <c r="X3" i="43"/>
  <c r="S3" i="43"/>
  <c r="O2" i="43"/>
  <c r="P2" i="43" s="1"/>
  <c r="Q2" i="43" s="1"/>
  <c r="R2" i="43" s="1"/>
  <c r="S2" i="43" s="1"/>
  <c r="T2" i="43" s="1"/>
  <c r="U2" i="43" s="1"/>
  <c r="V2" i="43" s="1"/>
  <c r="W2" i="43" s="1"/>
  <c r="X2" i="43" s="1"/>
  <c r="Y2" i="43" s="1"/>
  <c r="Z2" i="43" s="1"/>
  <c r="AA2" i="43" s="1"/>
  <c r="AB2" i="43" s="1"/>
  <c r="AC2" i="43" s="1"/>
  <c r="AD2" i="43" s="1"/>
  <c r="AE2" i="43" s="1"/>
  <c r="AF2" i="43" s="1"/>
  <c r="AG2" i="43" s="1"/>
  <c r="AH2" i="43" s="1"/>
  <c r="AI2" i="43" s="1"/>
  <c r="AJ2" i="43" s="1"/>
  <c r="AK2" i="43" s="1"/>
  <c r="AL2" i="43" s="1"/>
  <c r="AM2" i="43" s="1"/>
  <c r="AN2" i="43" s="1"/>
  <c r="AO2" i="43" s="1"/>
  <c r="AP2" i="43" s="1"/>
  <c r="AQ2" i="43" s="1"/>
  <c r="AR2" i="43" s="1"/>
  <c r="B21" i="43"/>
  <c r="C20" i="43" s="1"/>
  <c r="E104" i="36"/>
  <c r="F104" i="36"/>
  <c r="G104" i="36"/>
  <c r="H104" i="36"/>
  <c r="I104" i="36"/>
  <c r="J104" i="36"/>
  <c r="K104" i="36"/>
  <c r="L104" i="36"/>
  <c r="M104" i="36"/>
  <c r="N104" i="36"/>
  <c r="O104" i="36"/>
  <c r="P104" i="36"/>
  <c r="Q104" i="36"/>
  <c r="R104" i="36"/>
  <c r="S104" i="36"/>
  <c r="T104" i="36"/>
  <c r="U104" i="36"/>
  <c r="V104" i="36"/>
  <c r="W104" i="36"/>
  <c r="X104" i="36"/>
  <c r="Y104" i="36"/>
  <c r="Z104" i="36"/>
  <c r="AA104" i="36"/>
  <c r="AB104" i="36"/>
  <c r="AC104" i="36"/>
  <c r="AD104" i="36"/>
  <c r="AE104" i="36"/>
  <c r="AF104" i="36"/>
  <c r="AG104" i="36"/>
  <c r="AH104" i="36"/>
  <c r="BN104" i="36"/>
  <c r="BM104" i="36"/>
  <c r="BL104" i="36"/>
  <c r="BK104" i="36"/>
  <c r="BJ104" i="36"/>
  <c r="BI104" i="36"/>
  <c r="BH104" i="36"/>
  <c r="BG104" i="36"/>
  <c r="BF104" i="36"/>
  <c r="BE104" i="36"/>
  <c r="BD104" i="36"/>
  <c r="BC104" i="36"/>
  <c r="BB104" i="36"/>
  <c r="BA104" i="36"/>
  <c r="AZ104" i="36"/>
  <c r="AY104" i="36"/>
  <c r="AX104" i="36"/>
  <c r="AW104" i="36"/>
  <c r="AV104" i="36"/>
  <c r="AU104" i="36"/>
  <c r="AT104" i="36"/>
  <c r="AS104" i="36"/>
  <c r="AR104" i="36"/>
  <c r="AQ104" i="36"/>
  <c r="AP104" i="36"/>
  <c r="AO104" i="36"/>
  <c r="AN104" i="36"/>
  <c r="AM104" i="36"/>
  <c r="AL104" i="36"/>
  <c r="AK104" i="36"/>
  <c r="AJ104" i="36"/>
  <c r="D104" i="36"/>
  <c r="BN95" i="36"/>
  <c r="BM95" i="36"/>
  <c r="BL95" i="36"/>
  <c r="BK95" i="36"/>
  <c r="BJ95" i="36"/>
  <c r="BI95" i="36"/>
  <c r="BH95" i="36"/>
  <c r="BG95" i="36"/>
  <c r="BF95" i="36"/>
  <c r="BE95" i="36"/>
  <c r="BD95" i="36"/>
  <c r="BC95" i="36"/>
  <c r="BB95" i="36"/>
  <c r="BA95" i="36"/>
  <c r="AZ95" i="36"/>
  <c r="AY95" i="36"/>
  <c r="AX95" i="36"/>
  <c r="AW95" i="36"/>
  <c r="AV95" i="36"/>
  <c r="AU95" i="36"/>
  <c r="AT95" i="36"/>
  <c r="AS95" i="36"/>
  <c r="AR95" i="36"/>
  <c r="AQ95" i="36"/>
  <c r="AP95" i="36"/>
  <c r="AO95" i="36"/>
  <c r="AN95" i="36"/>
  <c r="AM95" i="36"/>
  <c r="AL95" i="36"/>
  <c r="AK95" i="36"/>
  <c r="AJ95" i="36"/>
  <c r="E95" i="36"/>
  <c r="F95" i="36"/>
  <c r="G95" i="36"/>
  <c r="H95" i="36"/>
  <c r="I95" i="36"/>
  <c r="J95" i="36"/>
  <c r="K95" i="36"/>
  <c r="L95" i="36"/>
  <c r="M95" i="36"/>
  <c r="N95" i="36"/>
  <c r="O95" i="36"/>
  <c r="P95" i="36"/>
  <c r="Q95" i="36"/>
  <c r="R95" i="36"/>
  <c r="S95" i="36"/>
  <c r="T95" i="36"/>
  <c r="U95" i="36"/>
  <c r="V95" i="36"/>
  <c r="W95" i="36"/>
  <c r="X95" i="36"/>
  <c r="Y95" i="36"/>
  <c r="Z95" i="36"/>
  <c r="AA95" i="36"/>
  <c r="AB95" i="36"/>
  <c r="AC95" i="36"/>
  <c r="AD95" i="36"/>
  <c r="AE95" i="36"/>
  <c r="AF95" i="36"/>
  <c r="AG95" i="36"/>
  <c r="AH95" i="36"/>
  <c r="D95" i="36"/>
  <c r="AJ88" i="36"/>
  <c r="D88" i="36"/>
  <c r="BN82" i="36"/>
  <c r="BM82" i="36"/>
  <c r="BL82" i="36"/>
  <c r="BK82" i="36"/>
  <c r="BJ82" i="36"/>
  <c r="BI82" i="36"/>
  <c r="BH82" i="36"/>
  <c r="BG82" i="36"/>
  <c r="BF82" i="36"/>
  <c r="BE82" i="36"/>
  <c r="BD82" i="36"/>
  <c r="BC82" i="36"/>
  <c r="BB82" i="36"/>
  <c r="BA82" i="36"/>
  <c r="AZ82" i="36"/>
  <c r="AY82" i="36"/>
  <c r="AX82" i="36"/>
  <c r="AW82" i="36"/>
  <c r="AV82" i="36"/>
  <c r="AU82" i="36"/>
  <c r="AT82" i="36"/>
  <c r="AS82" i="36"/>
  <c r="AR82" i="36"/>
  <c r="AQ82" i="36"/>
  <c r="AP82" i="36"/>
  <c r="AO82" i="36"/>
  <c r="AN82" i="36"/>
  <c r="AM82" i="36"/>
  <c r="AL82" i="36"/>
  <c r="AK82" i="36"/>
  <c r="AJ82" i="36"/>
  <c r="E82" i="36"/>
  <c r="F82" i="36"/>
  <c r="G82" i="36"/>
  <c r="H82" i="36"/>
  <c r="I82" i="36"/>
  <c r="J82" i="36"/>
  <c r="K82" i="36"/>
  <c r="L82" i="36"/>
  <c r="M82" i="36"/>
  <c r="N82" i="36"/>
  <c r="O82" i="36"/>
  <c r="P82" i="36"/>
  <c r="Q82" i="36"/>
  <c r="R82" i="36"/>
  <c r="S82" i="36"/>
  <c r="T82" i="36"/>
  <c r="U82" i="36"/>
  <c r="V82" i="36"/>
  <c r="W82" i="36"/>
  <c r="X82" i="36"/>
  <c r="Y82" i="36"/>
  <c r="Z82" i="36"/>
  <c r="AA82" i="36"/>
  <c r="AB82" i="36"/>
  <c r="AC82" i="36"/>
  <c r="AD82" i="36"/>
  <c r="AE82" i="36"/>
  <c r="AF82" i="36"/>
  <c r="AG82" i="36"/>
  <c r="AH82" i="36"/>
  <c r="D82" i="36"/>
  <c r="T86" i="24"/>
  <c r="T87" i="24"/>
  <c r="T88" i="24"/>
  <c r="T90" i="24"/>
  <c r="AR8" i="43" l="1"/>
  <c r="AR7" i="43"/>
  <c r="AR12" i="43"/>
  <c r="AR17" i="43"/>
  <c r="AR10" i="43"/>
  <c r="AR16" i="43"/>
  <c r="AR11" i="43"/>
  <c r="AR19" i="43"/>
  <c r="AR18" i="43" s="1"/>
  <c r="AR21" i="43"/>
  <c r="AR20" i="43"/>
  <c r="S8" i="43"/>
  <c r="S17" i="43"/>
  <c r="S7" i="43"/>
  <c r="S12" i="43"/>
  <c r="S16" i="43"/>
  <c r="S11" i="43"/>
  <c r="S10" i="43"/>
  <c r="S19" i="43"/>
  <c r="S20" i="43"/>
  <c r="S21" i="43"/>
  <c r="X7" i="43"/>
  <c r="X8" i="43"/>
  <c r="X17" i="43"/>
  <c r="X12" i="43"/>
  <c r="X10" i="43"/>
  <c r="X16" i="43"/>
  <c r="X11" i="43"/>
  <c r="X21" i="43"/>
  <c r="X20" i="43"/>
  <c r="X19" i="43"/>
  <c r="X18" i="43" s="1"/>
  <c r="X22" i="43" s="1"/>
  <c r="AC7" i="43"/>
  <c r="AC8" i="43"/>
  <c r="AC12" i="43"/>
  <c r="AC17" i="43"/>
  <c r="AC11" i="43"/>
  <c r="AC10" i="43"/>
  <c r="AC16" i="43"/>
  <c r="AC19" i="43"/>
  <c r="AC18" i="43" s="1"/>
  <c r="AC22" i="43" s="1"/>
  <c r="AC20" i="43"/>
  <c r="AC21" i="43"/>
  <c r="AH8" i="43"/>
  <c r="AH17" i="43"/>
  <c r="AH7" i="43"/>
  <c r="AH12" i="43"/>
  <c r="AH11" i="43"/>
  <c r="AH16" i="43"/>
  <c r="AH10" i="43"/>
  <c r="AH9" i="43" s="1"/>
  <c r="AH21" i="43"/>
  <c r="AH20" i="43"/>
  <c r="AH19" i="43"/>
  <c r="AM7" i="43"/>
  <c r="AM8" i="43"/>
  <c r="AM12" i="43"/>
  <c r="AM17" i="43"/>
  <c r="AM10" i="43"/>
  <c r="AM9" i="43" s="1"/>
  <c r="AM11" i="43"/>
  <c r="AM16" i="43"/>
  <c r="AM20" i="43"/>
  <c r="AM21" i="43"/>
  <c r="AM19" i="43"/>
  <c r="T3" i="43"/>
  <c r="AB23" i="55"/>
  <c r="AB3" i="55"/>
  <c r="AB244" i="53"/>
  <c r="X94" i="53"/>
  <c r="W94" i="54"/>
  <c r="W98" i="54"/>
  <c r="W99" i="54" s="1"/>
  <c r="W93" i="54"/>
  <c r="W92" i="54"/>
  <c r="Y82" i="54"/>
  <c r="X83" i="54"/>
  <c r="X85" i="54" s="1"/>
  <c r="X84" i="54"/>
  <c r="X97" i="54" s="1"/>
  <c r="Z87" i="54"/>
  <c r="Y90" i="54"/>
  <c r="X255" i="54"/>
  <c r="X256" i="54"/>
  <c r="Z89" i="54"/>
  <c r="AA120" i="54"/>
  <c r="Z122" i="54"/>
  <c r="Z124" i="54"/>
  <c r="V102" i="54"/>
  <c r="V101" i="54"/>
  <c r="V100" i="54"/>
  <c r="Z88" i="54"/>
  <c r="Y92" i="53"/>
  <c r="Z87" i="53"/>
  <c r="X255" i="53"/>
  <c r="X256" i="53"/>
  <c r="AA88" i="53"/>
  <c r="Y93" i="53"/>
  <c r="Z115" i="53"/>
  <c r="Y116" i="53"/>
  <c r="Y118" i="53" s="1"/>
  <c r="Y125" i="53" s="1"/>
  <c r="Y117" i="53"/>
  <c r="Z83" i="53"/>
  <c r="Z85" i="53" s="1"/>
  <c r="AA82" i="53"/>
  <c r="Z84" i="53"/>
  <c r="X124" i="53"/>
  <c r="Z120" i="53"/>
  <c r="Y122" i="53"/>
  <c r="Y89" i="53"/>
  <c r="AA3" i="51"/>
  <c r="X45" i="51"/>
  <c r="BC45" i="51"/>
  <c r="AT3" i="43"/>
  <c r="Y3" i="43"/>
  <c r="Q133" i="48"/>
  <c r="Q134" i="48"/>
  <c r="Q132" i="48"/>
  <c r="S122" i="48"/>
  <c r="R123" i="48"/>
  <c r="R125" i="48" s="1"/>
  <c r="R124" i="48"/>
  <c r="R188" i="48"/>
  <c r="R190" i="48" s="1"/>
  <c r="R197" i="48" s="1"/>
  <c r="R367" i="48" s="1"/>
  <c r="S187" i="48"/>
  <c r="R189" i="48"/>
  <c r="S128" i="48"/>
  <c r="S130" i="48" s="1"/>
  <c r="Q196" i="48"/>
  <c r="R192" i="48"/>
  <c r="Q194" i="48"/>
  <c r="S356" i="48"/>
  <c r="T127" i="48"/>
  <c r="S129" i="48"/>
  <c r="S187" i="46"/>
  <c r="R188" i="46"/>
  <c r="R190" i="46" s="1"/>
  <c r="R197" i="46" s="1"/>
  <c r="R367" i="46" s="1"/>
  <c r="R189" i="46"/>
  <c r="Q133" i="46"/>
  <c r="Q134" i="46"/>
  <c r="Q194" i="46"/>
  <c r="Q196" i="46"/>
  <c r="R192" i="46"/>
  <c r="U128" i="46"/>
  <c r="R123" i="46"/>
  <c r="R125" i="46" s="1"/>
  <c r="R132" i="46" s="1"/>
  <c r="S122" i="46"/>
  <c r="R124" i="46"/>
  <c r="R129" i="46"/>
  <c r="S127" i="46"/>
  <c r="Q368" i="46"/>
  <c r="K7" i="44"/>
  <c r="AH4" i="45"/>
  <c r="J4" i="45"/>
  <c r="I4" i="45"/>
  <c r="X4" i="45"/>
  <c r="S4" i="45"/>
  <c r="N4" i="45"/>
  <c r="AC4" i="45"/>
  <c r="M3" i="45"/>
  <c r="AG7" i="44"/>
  <c r="AG6" i="44" s="1"/>
  <c r="AD3" i="43"/>
  <c r="AN3" i="43"/>
  <c r="U3" i="43"/>
  <c r="AI3" i="43"/>
  <c r="G39" i="44"/>
  <c r="H37" i="44" s="1"/>
  <c r="C30" i="44"/>
  <c r="C19" i="44"/>
  <c r="C40" i="44"/>
  <c r="D39" i="44" s="1"/>
  <c r="R19" i="44"/>
  <c r="H38" i="44"/>
  <c r="Z15" i="44"/>
  <c r="Z16" i="44" s="1"/>
  <c r="D60" i="44"/>
  <c r="C19" i="43"/>
  <c r="C17" i="43"/>
  <c r="C18" i="43"/>
  <c r="C16" i="43"/>
  <c r="L89" i="24"/>
  <c r="AR22" i="43" l="1"/>
  <c r="AI8" i="43"/>
  <c r="AI17" i="43"/>
  <c r="AI7" i="43"/>
  <c r="AI12" i="43"/>
  <c r="AI16" i="43"/>
  <c r="AI10" i="43"/>
  <c r="AI9" i="43" s="1"/>
  <c r="AI13" i="43" s="1"/>
  <c r="AI11" i="43"/>
  <c r="AI19" i="43"/>
  <c r="AI21" i="43"/>
  <c r="AI20" i="43"/>
  <c r="AM13" i="43"/>
  <c r="AH13" i="43"/>
  <c r="AN7" i="43"/>
  <c r="AN8" i="43"/>
  <c r="AN12" i="43"/>
  <c r="AN17" i="43"/>
  <c r="AN16" i="43"/>
  <c r="AN11" i="43"/>
  <c r="AN10" i="43"/>
  <c r="AN20" i="43"/>
  <c r="AN19" i="43"/>
  <c r="AN18" i="43" s="1"/>
  <c r="AN22" i="43" s="1"/>
  <c r="AN21" i="43"/>
  <c r="T8" i="43"/>
  <c r="T7" i="43"/>
  <c r="T17" i="43"/>
  <c r="T12" i="43"/>
  <c r="T11" i="43"/>
  <c r="T16" i="43"/>
  <c r="T10" i="43"/>
  <c r="T9" i="43" s="1"/>
  <c r="T13" i="43" s="1"/>
  <c r="T19" i="43"/>
  <c r="T21" i="43"/>
  <c r="T20" i="43"/>
  <c r="AR9" i="43"/>
  <c r="AR13" i="43" s="1"/>
  <c r="AD8" i="43"/>
  <c r="AD7" i="43"/>
  <c r="AD12" i="43"/>
  <c r="AD17" i="43"/>
  <c r="AD10" i="43"/>
  <c r="AD9" i="43" s="1"/>
  <c r="AD13" i="43" s="1"/>
  <c r="AD16" i="43"/>
  <c r="AD11" i="43"/>
  <c r="AD20" i="43"/>
  <c r="AD19" i="43"/>
  <c r="AD18" i="43" s="1"/>
  <c r="AD21" i="43"/>
  <c r="AC9" i="43"/>
  <c r="AC13" i="43" s="1"/>
  <c r="AM18" i="43"/>
  <c r="AM22" i="43" s="1"/>
  <c r="AH18" i="43"/>
  <c r="AH22" i="43" s="1"/>
  <c r="S18" i="43"/>
  <c r="S22" i="43" s="1"/>
  <c r="U8" i="43"/>
  <c r="U7" i="43"/>
  <c r="U12" i="43"/>
  <c r="U17" i="43"/>
  <c r="U11" i="43"/>
  <c r="U10" i="43"/>
  <c r="U9" i="43" s="1"/>
  <c r="U13" i="43" s="1"/>
  <c r="U16" i="43"/>
  <c r="U19" i="43"/>
  <c r="U18" i="43" s="1"/>
  <c r="U21" i="43"/>
  <c r="U20" i="43"/>
  <c r="Y8" i="43"/>
  <c r="Y7" i="43"/>
  <c r="Y12" i="43"/>
  <c r="Y17" i="43"/>
  <c r="Y11" i="43"/>
  <c r="Y16" i="43"/>
  <c r="Y10" i="43"/>
  <c r="Y21" i="43"/>
  <c r="Y19" i="43"/>
  <c r="Y18" i="43" s="1"/>
  <c r="Y20" i="43"/>
  <c r="X9" i="43"/>
  <c r="X13" i="43" s="1"/>
  <c r="S9" i="43"/>
  <c r="S13" i="43" s="1"/>
  <c r="AO6" i="45"/>
  <c r="BI6" i="45"/>
  <c r="BD6" i="45"/>
  <c r="AY6" i="45"/>
  <c r="AG4" i="44"/>
  <c r="M7" i="44"/>
  <c r="K8" i="44"/>
  <c r="L77" i="44"/>
  <c r="L85" i="44" s="1"/>
  <c r="E5" i="8"/>
  <c r="F5" i="8"/>
  <c r="G5" i="8"/>
  <c r="AP5" i="45"/>
  <c r="AC23" i="55"/>
  <c r="AC3" i="55"/>
  <c r="BD4" i="45"/>
  <c r="AO4" i="45"/>
  <c r="AP4" i="45"/>
  <c r="CA21" i="45"/>
  <c r="BI4" i="45"/>
  <c r="AT4" i="45"/>
  <c r="AY4" i="45"/>
  <c r="AC244" i="53"/>
  <c r="AA88" i="54"/>
  <c r="AB120" i="54"/>
  <c r="AA122" i="54"/>
  <c r="AA124" i="54"/>
  <c r="Y255" i="54"/>
  <c r="Y256" i="54"/>
  <c r="Z90" i="54"/>
  <c r="AA87" i="54"/>
  <c r="W102" i="54"/>
  <c r="W100" i="54"/>
  <c r="W101" i="54"/>
  <c r="X93" i="54"/>
  <c r="X94" i="54"/>
  <c r="X98" i="54"/>
  <c r="X92" i="54"/>
  <c r="AA89" i="54"/>
  <c r="Z82" i="54"/>
  <c r="Y83" i="54"/>
  <c r="Y85" i="54" s="1"/>
  <c r="Y84" i="54"/>
  <c r="Y97" i="54" s="1"/>
  <c r="Y124" i="53"/>
  <c r="AB88" i="53"/>
  <c r="Z116" i="53"/>
  <c r="Z118" i="53" s="1"/>
  <c r="Z125" i="53" s="1"/>
  <c r="AA115" i="53"/>
  <c r="Z117" i="53"/>
  <c r="Z89" i="53"/>
  <c r="Z94" i="53" s="1"/>
  <c r="Y90" i="53"/>
  <c r="AB82" i="53"/>
  <c r="AA83" i="53"/>
  <c r="AA85" i="53" s="1"/>
  <c r="AA84" i="53"/>
  <c r="Z92" i="53"/>
  <c r="AA87" i="53"/>
  <c r="Z93" i="53"/>
  <c r="AA120" i="53"/>
  <c r="Z122" i="53"/>
  <c r="Y255" i="53"/>
  <c r="Y256" i="53"/>
  <c r="Y94" i="53"/>
  <c r="BD45" i="51"/>
  <c r="AB3" i="51"/>
  <c r="Y45" i="51"/>
  <c r="I13" i="45"/>
  <c r="AO5" i="45"/>
  <c r="L75" i="44"/>
  <c r="L87" i="44"/>
  <c r="L97" i="44" s="1"/>
  <c r="BD5" i="45"/>
  <c r="X13" i="45"/>
  <c r="AT7" i="45"/>
  <c r="N15" i="45"/>
  <c r="BN5" i="45"/>
  <c r="AH13" i="45"/>
  <c r="Z3" i="43"/>
  <c r="O4" i="45"/>
  <c r="AT5" i="45"/>
  <c r="N13" i="45"/>
  <c r="AC13" i="45"/>
  <c r="BI5" i="45"/>
  <c r="T129" i="48"/>
  <c r="T187" i="48"/>
  <c r="S188" i="48"/>
  <c r="S190" i="48" s="1"/>
  <c r="S197" i="48" s="1"/>
  <c r="S367" i="48" s="1"/>
  <c r="S189" i="48"/>
  <c r="R133" i="48"/>
  <c r="R134" i="48"/>
  <c r="R132" i="48"/>
  <c r="U127" i="48"/>
  <c r="S123" i="48"/>
  <c r="S125" i="48" s="1"/>
  <c r="T122" i="48"/>
  <c r="S124" i="48"/>
  <c r="R194" i="48"/>
  <c r="R196" i="48"/>
  <c r="S192" i="48"/>
  <c r="T128" i="48"/>
  <c r="T130" i="48" s="1"/>
  <c r="S368" i="48"/>
  <c r="T356" i="48"/>
  <c r="R368" i="48"/>
  <c r="R368" i="46"/>
  <c r="T127" i="46"/>
  <c r="R133" i="46"/>
  <c r="R134" i="46"/>
  <c r="S188" i="46"/>
  <c r="S190" i="46" s="1"/>
  <c r="S197" i="46" s="1"/>
  <c r="T187" i="46"/>
  <c r="S189" i="46"/>
  <c r="S129" i="46"/>
  <c r="R130" i="46"/>
  <c r="V128" i="46"/>
  <c r="R194" i="46"/>
  <c r="R196" i="46"/>
  <c r="S192" i="46"/>
  <c r="S123" i="46"/>
  <c r="S125" i="46" s="1"/>
  <c r="T122" i="46"/>
  <c r="S124" i="46"/>
  <c r="S367" i="46"/>
  <c r="K34" i="44"/>
  <c r="K35" i="44" s="1"/>
  <c r="Y4" i="45"/>
  <c r="AD4" i="45"/>
  <c r="C21" i="43"/>
  <c r="T4" i="45"/>
  <c r="P4" i="45"/>
  <c r="BS20" i="45"/>
  <c r="BN4" i="45"/>
  <c r="K4" i="45"/>
  <c r="T5" i="44"/>
  <c r="N3" i="45"/>
  <c r="AJ3" i="43"/>
  <c r="AE3" i="43"/>
  <c r="V3" i="43"/>
  <c r="AO3" i="43"/>
  <c r="G47" i="44"/>
  <c r="AA7" i="44"/>
  <c r="AG3" i="44"/>
  <c r="AG5" i="44"/>
  <c r="D38" i="44"/>
  <c r="D37" i="44"/>
  <c r="L8" i="44"/>
  <c r="D9" i="45"/>
  <c r="AJ35" i="36"/>
  <c r="AJ32" i="36"/>
  <c r="AJ23" i="36"/>
  <c r="AK3" i="36"/>
  <c r="O46" i="40"/>
  <c r="D5" i="26"/>
  <c r="D5" i="4"/>
  <c r="D5" i="8"/>
  <c r="L72" i="44" l="1"/>
  <c r="L80" i="44"/>
  <c r="L91" i="44"/>
  <c r="G5" i="4" s="1"/>
  <c r="L76" i="44"/>
  <c r="L83" i="44"/>
  <c r="L95" i="44"/>
  <c r="U22" i="43"/>
  <c r="T18" i="43"/>
  <c r="Z8" i="43"/>
  <c r="Z7" i="43"/>
  <c r="Z17" i="43"/>
  <c r="Z12" i="43"/>
  <c r="Z11" i="43"/>
  <c r="Z10" i="43"/>
  <c r="Z16" i="43"/>
  <c r="Z21" i="43"/>
  <c r="Z20" i="43"/>
  <c r="Z19" i="43"/>
  <c r="Z18" i="43" s="1"/>
  <c r="AO7" i="43"/>
  <c r="AO8" i="43"/>
  <c r="AO17" i="43"/>
  <c r="AO12" i="43"/>
  <c r="AO11" i="43"/>
  <c r="AO10" i="43"/>
  <c r="AO16" i="43"/>
  <c r="AO19" i="43"/>
  <c r="AO20" i="43"/>
  <c r="AO21" i="43"/>
  <c r="AN9" i="43"/>
  <c r="AN13" i="43" s="1"/>
  <c r="V8" i="43"/>
  <c r="V7" i="43"/>
  <c r="V17" i="43"/>
  <c r="V12" i="43"/>
  <c r="V10" i="43"/>
  <c r="V16" i="43"/>
  <c r="V11" i="43"/>
  <c r="V21" i="43"/>
  <c r="V20" i="43"/>
  <c r="V19" i="43"/>
  <c r="Y22" i="43"/>
  <c r="AD22" i="43"/>
  <c r="AE7" i="43"/>
  <c r="AE8" i="43"/>
  <c r="AE12" i="43"/>
  <c r="AE17" i="43"/>
  <c r="AE11" i="43"/>
  <c r="AE16" i="43"/>
  <c r="AE10" i="43"/>
  <c r="AE20" i="43"/>
  <c r="AE21" i="43"/>
  <c r="AE19" i="43"/>
  <c r="L96" i="44"/>
  <c r="AA3" i="43"/>
  <c r="AJ8" i="43"/>
  <c r="AJ7" i="43"/>
  <c r="AJ12" i="43"/>
  <c r="AJ17" i="43"/>
  <c r="AJ10" i="43"/>
  <c r="AJ16" i="43"/>
  <c r="AJ11" i="43"/>
  <c r="AJ20" i="43"/>
  <c r="AJ19" i="43"/>
  <c r="AJ21" i="43"/>
  <c r="Y9" i="43"/>
  <c r="Y13" i="43" s="1"/>
  <c r="AI18" i="43"/>
  <c r="AI22" i="43" s="1"/>
  <c r="J13" i="45"/>
  <c r="AP13" i="45" s="1"/>
  <c r="L70" i="44"/>
  <c r="L94" i="44"/>
  <c r="L81" i="44"/>
  <c r="F5" i="4" s="1"/>
  <c r="L74" i="44"/>
  <c r="L86" i="44"/>
  <c r="L92" i="44"/>
  <c r="L84" i="44"/>
  <c r="L71" i="44"/>
  <c r="E5" i="4" s="1"/>
  <c r="L82" i="44"/>
  <c r="L73" i="44"/>
  <c r="L90" i="44"/>
  <c r="L93" i="44"/>
  <c r="AP6" i="45"/>
  <c r="AT13" i="45"/>
  <c r="BN6" i="45"/>
  <c r="AZ6" i="45"/>
  <c r="BD13" i="45"/>
  <c r="AT6" i="45"/>
  <c r="AO13" i="45"/>
  <c r="BN13" i="45"/>
  <c r="AT15" i="45"/>
  <c r="BI13" i="45"/>
  <c r="AQ6" i="45"/>
  <c r="BE6" i="45"/>
  <c r="AU6" i="45"/>
  <c r="AD23" i="55"/>
  <c r="AD3" i="55"/>
  <c r="AZ4" i="45"/>
  <c r="AU4" i="45"/>
  <c r="BE4" i="45"/>
  <c r="AV4" i="45"/>
  <c r="AQ4" i="45"/>
  <c r="BJ4" i="45"/>
  <c r="AD244" i="53"/>
  <c r="Y98" i="54"/>
  <c r="Y99" i="54" s="1"/>
  <c r="Y93" i="54"/>
  <c r="Y94" i="54"/>
  <c r="Y92" i="54"/>
  <c r="AC120" i="54"/>
  <c r="AB122" i="54"/>
  <c r="AB124" i="54"/>
  <c r="Z83" i="54"/>
  <c r="Z85" i="54" s="1"/>
  <c r="AA82" i="54"/>
  <c r="Z84" i="54"/>
  <c r="Z97" i="54" s="1"/>
  <c r="X102" i="54"/>
  <c r="X101" i="54"/>
  <c r="X100" i="54"/>
  <c r="AB88" i="54"/>
  <c r="X99" i="54"/>
  <c r="Z255" i="54"/>
  <c r="Z256" i="54"/>
  <c r="AB89" i="54"/>
  <c r="AB87" i="54"/>
  <c r="AA90" i="54"/>
  <c r="Z90" i="53"/>
  <c r="Z124" i="53"/>
  <c r="Z255" i="53"/>
  <c r="Z256" i="53"/>
  <c r="AB83" i="53"/>
  <c r="AB85" i="53" s="1"/>
  <c r="AC82" i="53"/>
  <c r="AB84" i="53"/>
  <c r="AB120" i="53"/>
  <c r="AA122" i="53"/>
  <c r="AA89" i="53"/>
  <c r="AA90" i="53" s="1"/>
  <c r="AB115" i="53"/>
  <c r="AA116" i="53"/>
  <c r="AA118" i="53" s="1"/>
  <c r="AA125" i="53" s="1"/>
  <c r="AA117" i="53"/>
  <c r="AB87" i="53"/>
  <c r="AA92" i="53"/>
  <c r="AC88" i="53"/>
  <c r="AA93" i="53"/>
  <c r="BE45" i="51"/>
  <c r="Z45" i="51"/>
  <c r="AC3" i="51"/>
  <c r="S15" i="45"/>
  <c r="AY7" i="45"/>
  <c r="AY5" i="45"/>
  <c r="S13" i="45"/>
  <c r="AZ5" i="45"/>
  <c r="T13" i="45"/>
  <c r="BJ5" i="45"/>
  <c r="AD13" i="45"/>
  <c r="BN7" i="45"/>
  <c r="AH15" i="45"/>
  <c r="Y13" i="45"/>
  <c r="BE5" i="45"/>
  <c r="S133" i="48"/>
  <c r="S134" i="48"/>
  <c r="S132" i="48"/>
  <c r="U129" i="48"/>
  <c r="U128" i="48"/>
  <c r="U130" i="48" s="1"/>
  <c r="V127" i="48"/>
  <c r="T188" i="48"/>
  <c r="T190" i="48" s="1"/>
  <c r="T197" i="48" s="1"/>
  <c r="T367" i="48" s="1"/>
  <c r="U187" i="48"/>
  <c r="T189" i="48"/>
  <c r="U356" i="48"/>
  <c r="S194" i="48"/>
  <c r="S196" i="48"/>
  <c r="T192" i="48"/>
  <c r="T123" i="48"/>
  <c r="T125" i="48" s="1"/>
  <c r="U122" i="48"/>
  <c r="T124" i="48"/>
  <c r="S368" i="46"/>
  <c r="S134" i="46"/>
  <c r="S133" i="46"/>
  <c r="W128" i="46"/>
  <c r="T188" i="46"/>
  <c r="T190" i="46" s="1"/>
  <c r="T197" i="46" s="1"/>
  <c r="T367" i="46" s="1"/>
  <c r="U187" i="46"/>
  <c r="T189" i="46"/>
  <c r="U127" i="46"/>
  <c r="S194" i="46"/>
  <c r="S196" i="46"/>
  <c r="T192" i="46"/>
  <c r="T129" i="46"/>
  <c r="S132" i="46"/>
  <c r="S130" i="46"/>
  <c r="U122" i="46"/>
  <c r="T123" i="46"/>
  <c r="T125" i="46" s="1"/>
  <c r="T132" i="46" s="1"/>
  <c r="T124" i="46"/>
  <c r="L118" i="24"/>
  <c r="F9" i="45"/>
  <c r="J9" i="45"/>
  <c r="N9" i="45"/>
  <c r="AJ9" i="45"/>
  <c r="G9" i="45"/>
  <c r="K9" i="45"/>
  <c r="E9" i="45"/>
  <c r="H9" i="45"/>
  <c r="L9" i="45"/>
  <c r="D10" i="45"/>
  <c r="I9" i="45"/>
  <c r="M9" i="45"/>
  <c r="L4" i="45"/>
  <c r="U4" i="45"/>
  <c r="Q4" i="45"/>
  <c r="Z4" i="45"/>
  <c r="AE4" i="45"/>
  <c r="M13" i="44"/>
  <c r="O3" i="45"/>
  <c r="O9" i="45" s="1"/>
  <c r="AB3" i="43"/>
  <c r="Q3" i="43"/>
  <c r="E8" i="44"/>
  <c r="AF3" i="43"/>
  <c r="AK3" i="43"/>
  <c r="AA5" i="44"/>
  <c r="AA4" i="44"/>
  <c r="AA3" i="44"/>
  <c r="AA6" i="44"/>
  <c r="W3" i="43"/>
  <c r="AP3" i="43"/>
  <c r="AJ63" i="36"/>
  <c r="AJ68" i="36" s="1"/>
  <c r="D68" i="36"/>
  <c r="AL3" i="36"/>
  <c r="AM3" i="36" s="1"/>
  <c r="AN3" i="36" s="1"/>
  <c r="AO3" i="36" s="1"/>
  <c r="AP3" i="36" s="1"/>
  <c r="AQ3" i="36" s="1"/>
  <c r="AR3" i="36" s="1"/>
  <c r="AS3" i="36" s="1"/>
  <c r="AT3" i="36" s="1"/>
  <c r="AU3" i="36" s="1"/>
  <c r="AV3" i="36" s="1"/>
  <c r="AW3" i="36" s="1"/>
  <c r="AX3" i="36" s="1"/>
  <c r="AY3" i="36" s="1"/>
  <c r="AZ3" i="36" s="1"/>
  <c r="BA3" i="36" s="1"/>
  <c r="BB3" i="36" s="1"/>
  <c r="BC3" i="36" s="1"/>
  <c r="BD3" i="36" s="1"/>
  <c r="BE3" i="36" s="1"/>
  <c r="BF3" i="36" s="1"/>
  <c r="BG3" i="36" s="1"/>
  <c r="BH3" i="36" s="1"/>
  <c r="BI3" i="36" s="1"/>
  <c r="BJ3" i="36" s="1"/>
  <c r="BK3" i="36" s="1"/>
  <c r="BL3" i="36" s="1"/>
  <c r="BM3" i="36" s="1"/>
  <c r="BN3" i="36" s="1"/>
  <c r="AJ18" i="43" l="1"/>
  <c r="AJ22" i="43" s="1"/>
  <c r="Z9" i="43"/>
  <c r="Z13" i="43" s="1"/>
  <c r="AA8" i="43"/>
  <c r="AA7" i="43"/>
  <c r="AA17" i="43"/>
  <c r="AA12" i="43"/>
  <c r="AA16" i="43"/>
  <c r="AA11" i="43"/>
  <c r="AA10" i="43"/>
  <c r="AA19" i="43"/>
  <c r="AA20" i="43"/>
  <c r="AA21" i="43"/>
  <c r="AF7" i="43"/>
  <c r="AF8" i="43"/>
  <c r="AF17" i="43"/>
  <c r="AF12" i="43"/>
  <c r="AF16" i="43"/>
  <c r="AF10" i="43"/>
  <c r="AF11" i="43"/>
  <c r="AF19" i="43"/>
  <c r="AF20" i="43"/>
  <c r="AF21" i="43"/>
  <c r="AK7" i="43"/>
  <c r="AK8" i="43"/>
  <c r="AK17" i="43"/>
  <c r="AK12" i="43"/>
  <c r="AK11" i="43"/>
  <c r="AK10" i="43"/>
  <c r="AK9" i="43" s="1"/>
  <c r="AK16" i="43"/>
  <c r="AK19" i="43"/>
  <c r="AK20" i="43"/>
  <c r="AK21" i="43"/>
  <c r="AP17" i="43"/>
  <c r="AP8" i="43"/>
  <c r="AP7" i="43"/>
  <c r="AP12" i="43"/>
  <c r="AP11" i="43"/>
  <c r="AP16" i="43"/>
  <c r="AP10" i="43"/>
  <c r="AP9" i="43" s="1"/>
  <c r="AP13" i="43" s="1"/>
  <c r="AP20" i="43"/>
  <c r="AP21" i="43"/>
  <c r="AP19" i="43"/>
  <c r="W7" i="43"/>
  <c r="W8" i="43"/>
  <c r="W12" i="43"/>
  <c r="W17" i="43"/>
  <c r="W11" i="43"/>
  <c r="W16" i="43"/>
  <c r="W10" i="43"/>
  <c r="W20" i="43"/>
  <c r="W21" i="43"/>
  <c r="W19" i="43"/>
  <c r="AJ9" i="43"/>
  <c r="AJ13" i="43" s="1"/>
  <c r="V9" i="43"/>
  <c r="V13" i="43" s="1"/>
  <c r="AO18" i="43"/>
  <c r="AO22" i="43" s="1"/>
  <c r="Z22" i="43"/>
  <c r="AB8" i="43"/>
  <c r="AB7" i="43"/>
  <c r="AB12" i="43"/>
  <c r="AB17" i="43"/>
  <c r="AB11" i="43"/>
  <c r="AB10" i="43"/>
  <c r="AB9" i="43" s="1"/>
  <c r="AB13" i="43" s="1"/>
  <c r="AB16" i="43"/>
  <c r="AB21" i="43"/>
  <c r="AB20" i="43"/>
  <c r="AB19" i="43"/>
  <c r="AE18" i="43"/>
  <c r="AE22" i="43" s="1"/>
  <c r="AE9" i="43"/>
  <c r="AE13" i="43" s="1"/>
  <c r="AO9" i="43"/>
  <c r="AO13" i="43" s="1"/>
  <c r="T22" i="43"/>
  <c r="V18" i="43"/>
  <c r="V22" i="43" s="1"/>
  <c r="Q7" i="43"/>
  <c r="Q8" i="43"/>
  <c r="Q12" i="43"/>
  <c r="Q17" i="43"/>
  <c r="Q10" i="43"/>
  <c r="Q11" i="43"/>
  <c r="Q16" i="43"/>
  <c r="Q19" i="43"/>
  <c r="Q21" i="43"/>
  <c r="Q20" i="43"/>
  <c r="E4" i="44"/>
  <c r="E5" i="44"/>
  <c r="E6" i="44"/>
  <c r="D24" i="44" s="1"/>
  <c r="D22" i="44" s="1"/>
  <c r="E7" i="44"/>
  <c r="E3" i="44"/>
  <c r="AO9" i="45"/>
  <c r="AT9" i="45"/>
  <c r="BE13" i="45"/>
  <c r="BJ6" i="45"/>
  <c r="BA6" i="45"/>
  <c r="AY15" i="45"/>
  <c r="AP9" i="45"/>
  <c r="O15" i="45"/>
  <c r="AR9" i="45"/>
  <c r="AL9" i="45"/>
  <c r="BN15" i="45"/>
  <c r="BJ13" i="45"/>
  <c r="BJ7" i="45"/>
  <c r="AU9" i="45"/>
  <c r="AN9" i="45"/>
  <c r="AK9" i="45"/>
  <c r="AZ13" i="45"/>
  <c r="AQ9" i="45"/>
  <c r="AR6" i="45"/>
  <c r="AY13" i="45"/>
  <c r="BK6" i="45"/>
  <c r="AM9" i="45"/>
  <c r="AS9" i="45"/>
  <c r="AW6" i="45"/>
  <c r="AV6" i="45"/>
  <c r="AD15" i="45"/>
  <c r="AU7" i="45"/>
  <c r="AE23" i="55"/>
  <c r="AE3" i="55"/>
  <c r="BK4" i="45"/>
  <c r="BA4" i="45"/>
  <c r="AW4" i="45"/>
  <c r="AR4" i="45"/>
  <c r="BF4" i="45"/>
  <c r="AA94" i="53"/>
  <c r="AE244" i="53"/>
  <c r="AC89" i="54"/>
  <c r="AA255" i="54"/>
  <c r="AA256" i="54"/>
  <c r="AC88" i="54"/>
  <c r="AD120" i="54"/>
  <c r="AC122" i="54"/>
  <c r="AC124" i="54"/>
  <c r="AB90" i="54"/>
  <c r="AC87" i="54"/>
  <c r="AB82" i="54"/>
  <c r="AA83" i="54"/>
  <c r="AA85" i="54" s="1"/>
  <c r="AA84" i="54"/>
  <c r="AA97" i="54" s="1"/>
  <c r="Y100" i="54"/>
  <c r="Y102" i="54"/>
  <c r="Y101" i="54"/>
  <c r="Z93" i="54"/>
  <c r="Z94" i="54"/>
  <c r="Z98" i="54"/>
  <c r="Z99" i="54" s="1"/>
  <c r="Z92" i="54"/>
  <c r="AB89" i="53"/>
  <c r="AB90" i="53" s="1"/>
  <c r="AD82" i="53"/>
  <c r="AC83" i="53"/>
  <c r="AC85" i="53" s="1"/>
  <c r="AC84" i="53"/>
  <c r="AA124" i="53"/>
  <c r="AB93" i="53"/>
  <c r="AB122" i="53"/>
  <c r="AC120" i="53"/>
  <c r="AD88" i="53"/>
  <c r="AB92" i="53"/>
  <c r="AC87" i="53"/>
  <c r="AB116" i="53"/>
  <c r="AB118" i="53" s="1"/>
  <c r="AB125" i="53" s="1"/>
  <c r="AC115" i="53"/>
  <c r="AB117" i="53"/>
  <c r="AA255" i="53"/>
  <c r="AA256" i="53"/>
  <c r="AD3" i="51"/>
  <c r="BF45" i="51"/>
  <c r="AA45" i="51"/>
  <c r="BF5" i="45"/>
  <c r="Z13" i="45"/>
  <c r="AC15" i="45"/>
  <c r="BI7" i="45"/>
  <c r="U13" i="45"/>
  <c r="BA5" i="45"/>
  <c r="AQ5" i="45"/>
  <c r="K13" i="45"/>
  <c r="AV5" i="45"/>
  <c r="P13" i="45"/>
  <c r="K15" i="45"/>
  <c r="AQ7" i="45"/>
  <c r="X15" i="45"/>
  <c r="BD7" i="45"/>
  <c r="AR5" i="45"/>
  <c r="L13" i="45"/>
  <c r="AU5" i="45"/>
  <c r="O13" i="45"/>
  <c r="I15" i="45"/>
  <c r="AO7" i="45"/>
  <c r="Q13" i="45"/>
  <c r="AW5" i="45"/>
  <c r="V356" i="48"/>
  <c r="U123" i="48"/>
  <c r="U125" i="48" s="1"/>
  <c r="V122" i="48"/>
  <c r="U124" i="48"/>
  <c r="T194" i="48"/>
  <c r="T196" i="48"/>
  <c r="U192" i="48"/>
  <c r="V128" i="48"/>
  <c r="T134" i="48"/>
  <c r="T133" i="48"/>
  <c r="T132" i="48"/>
  <c r="W127" i="48"/>
  <c r="U188" i="48"/>
  <c r="U190" i="48" s="1"/>
  <c r="U197" i="48" s="1"/>
  <c r="U367" i="48" s="1"/>
  <c r="V187" i="48"/>
  <c r="U189" i="48"/>
  <c r="T368" i="48"/>
  <c r="V129" i="48"/>
  <c r="V127" i="46"/>
  <c r="U123" i="46"/>
  <c r="U125" i="46" s="1"/>
  <c r="V122" i="46"/>
  <c r="U124" i="46"/>
  <c r="U129" i="46"/>
  <c r="U130" i="46" s="1"/>
  <c r="T368" i="46"/>
  <c r="T133" i="46"/>
  <c r="T134" i="46"/>
  <c r="X128" i="46"/>
  <c r="T130" i="46"/>
  <c r="T196" i="46"/>
  <c r="U192" i="46"/>
  <c r="T194" i="46"/>
  <c r="U188" i="46"/>
  <c r="U190" i="46" s="1"/>
  <c r="U197" i="46" s="1"/>
  <c r="U367" i="46" s="1"/>
  <c r="V187" i="46"/>
  <c r="U189" i="46"/>
  <c r="AJ10" i="45"/>
  <c r="D14" i="45"/>
  <c r="D12" i="45"/>
  <c r="M12" i="44"/>
  <c r="D57" i="44" s="1"/>
  <c r="E75" i="44"/>
  <c r="E77" i="44" s="1"/>
  <c r="G4" i="45"/>
  <c r="M4" i="45"/>
  <c r="AA4" i="45"/>
  <c r="R4" i="45"/>
  <c r="AF4" i="45"/>
  <c r="V4" i="45"/>
  <c r="P3" i="45"/>
  <c r="P9" i="45" s="1"/>
  <c r="AQ3" i="43"/>
  <c r="AL3" i="43"/>
  <c r="AG3" i="43"/>
  <c r="R3" i="43"/>
  <c r="AG17" i="44"/>
  <c r="AH17" i="44" s="1"/>
  <c r="AG12" i="44"/>
  <c r="AH12" i="44" s="1"/>
  <c r="AG14" i="44"/>
  <c r="AH14" i="44" s="1"/>
  <c r="AG16" i="44"/>
  <c r="AH16" i="44" s="1"/>
  <c r="AA14" i="44"/>
  <c r="AB14" i="44" s="1"/>
  <c r="AA12" i="44"/>
  <c r="AB12" i="44" s="1"/>
  <c r="AA15" i="44"/>
  <c r="AB15" i="44" s="1"/>
  <c r="AG13" i="44"/>
  <c r="AH13" i="44" s="1"/>
  <c r="AG15" i="44"/>
  <c r="AH15" i="44" s="1"/>
  <c r="AG18" i="44"/>
  <c r="AA13" i="44"/>
  <c r="AB13" i="44" s="1"/>
  <c r="AA11" i="44"/>
  <c r="E22" i="44"/>
  <c r="Q18" i="43" l="1"/>
  <c r="Q22" i="43"/>
  <c r="AP7" i="45"/>
  <c r="J15" i="45"/>
  <c r="AP15" i="45" s="1"/>
  <c r="AK18" i="43"/>
  <c r="AK22" i="43" s="1"/>
  <c r="AG7" i="43"/>
  <c r="AG8" i="43"/>
  <c r="AG17" i="43"/>
  <c r="AG12" i="43"/>
  <c r="AG11" i="43"/>
  <c r="AG16" i="43"/>
  <c r="AG10" i="43"/>
  <c r="AG9" i="43" s="1"/>
  <c r="AG19" i="43"/>
  <c r="AG21" i="43"/>
  <c r="AG20" i="43"/>
  <c r="AK13" i="43"/>
  <c r="AF18" i="43"/>
  <c r="AF22" i="43" s="1"/>
  <c r="AL8" i="43"/>
  <c r="AL7" i="43"/>
  <c r="AL12" i="43"/>
  <c r="AL17" i="43"/>
  <c r="AL10" i="43"/>
  <c r="AL16" i="43"/>
  <c r="AL11" i="43"/>
  <c r="AL19" i="43"/>
  <c r="AL21" i="43"/>
  <c r="AL20" i="43"/>
  <c r="AQ8" i="43"/>
  <c r="AQ17" i="43"/>
  <c r="AQ7" i="43"/>
  <c r="AQ12" i="43"/>
  <c r="AQ16" i="43"/>
  <c r="AQ10" i="43"/>
  <c r="AQ11" i="43"/>
  <c r="AQ20" i="43"/>
  <c r="AQ21" i="43"/>
  <c r="AQ19" i="43"/>
  <c r="AQ18" i="43" s="1"/>
  <c r="AQ22" i="43" s="1"/>
  <c r="AB18" i="43"/>
  <c r="AB22" i="43" s="1"/>
  <c r="W18" i="43"/>
  <c r="W22" i="43" s="1"/>
  <c r="AP18" i="43"/>
  <c r="AP22" i="43" s="1"/>
  <c r="AF9" i="43"/>
  <c r="AF13" i="43" s="1"/>
  <c r="AA18" i="43"/>
  <c r="AA22" i="43" s="1"/>
  <c r="W9" i="43"/>
  <c r="W13" i="43" s="1"/>
  <c r="AA9" i="43"/>
  <c r="AA13" i="43" s="1"/>
  <c r="R8" i="43"/>
  <c r="R17" i="43"/>
  <c r="R7" i="43"/>
  <c r="R12" i="43"/>
  <c r="R11" i="43"/>
  <c r="R16" i="43"/>
  <c r="R10" i="43"/>
  <c r="R21" i="43"/>
  <c r="R19" i="43"/>
  <c r="R20" i="43"/>
  <c r="Q9" i="43"/>
  <c r="Q13" i="43" s="1"/>
  <c r="AV9" i="45"/>
  <c r="BL6" i="45"/>
  <c r="AR13" i="45"/>
  <c r="BF6" i="45"/>
  <c r="AO15" i="45"/>
  <c r="AV13" i="45"/>
  <c r="BA13" i="45"/>
  <c r="AU15" i="45"/>
  <c r="AW13" i="45"/>
  <c r="AU13" i="45"/>
  <c r="BD15" i="45"/>
  <c r="BJ15" i="45"/>
  <c r="BI15" i="45"/>
  <c r="AJ12" i="45"/>
  <c r="AQ15" i="45"/>
  <c r="AM6" i="45"/>
  <c r="D30" i="44"/>
  <c r="D23" i="44"/>
  <c r="E23" i="44" s="1"/>
  <c r="G46" i="44"/>
  <c r="G48" i="44" s="1"/>
  <c r="BG6" i="45"/>
  <c r="AJ14" i="45"/>
  <c r="AQ13" i="45"/>
  <c r="AS6" i="45"/>
  <c r="BF13" i="45"/>
  <c r="U15" i="45"/>
  <c r="AF23" i="55"/>
  <c r="AF3" i="55"/>
  <c r="AS4" i="45"/>
  <c r="AX4" i="45"/>
  <c r="AM4" i="45"/>
  <c r="BB4" i="45"/>
  <c r="BL4" i="45"/>
  <c r="BG4" i="45"/>
  <c r="AF244" i="53"/>
  <c r="AD87" i="54"/>
  <c r="AC90" i="54"/>
  <c r="AD89" i="54"/>
  <c r="Z102" i="54"/>
  <c r="Z101" i="54"/>
  <c r="Z100" i="54"/>
  <c r="AB255" i="54"/>
  <c r="AB256" i="54"/>
  <c r="AD88" i="54"/>
  <c r="AA94" i="54"/>
  <c r="AA98" i="54"/>
  <c r="AA93" i="54"/>
  <c r="AA92" i="54"/>
  <c r="AB83" i="54"/>
  <c r="AB85" i="54" s="1"/>
  <c r="AC82" i="54"/>
  <c r="AB84" i="54"/>
  <c r="AB97" i="54" s="1"/>
  <c r="AD122" i="54"/>
  <c r="AE120" i="54"/>
  <c r="AD124" i="54"/>
  <c r="AB94" i="53"/>
  <c r="AE88" i="53"/>
  <c r="AC92" i="53"/>
  <c r="AD87" i="53"/>
  <c r="AD120" i="53"/>
  <c r="AC122" i="53"/>
  <c r="AC93" i="53"/>
  <c r="AB255" i="53"/>
  <c r="AB256" i="53"/>
  <c r="AB124" i="53"/>
  <c r="AD83" i="53"/>
  <c r="AD85" i="53" s="1"/>
  <c r="AE82" i="53"/>
  <c r="AD84" i="53"/>
  <c r="AC89" i="53"/>
  <c r="AD115" i="53"/>
  <c r="AC116" i="53"/>
  <c r="AC118" i="53" s="1"/>
  <c r="AC125" i="53" s="1"/>
  <c r="AC117" i="53"/>
  <c r="BG45" i="51"/>
  <c r="AE3" i="51"/>
  <c r="AB45" i="51"/>
  <c r="AB11" i="44"/>
  <c r="F59" i="44" s="1"/>
  <c r="T15" i="45"/>
  <c r="AZ7" i="45"/>
  <c r="AR7" i="45"/>
  <c r="AE15" i="45"/>
  <c r="BK7" i="45"/>
  <c r="BF7" i="45"/>
  <c r="Z15" i="45"/>
  <c r="BB5" i="45"/>
  <c r="V13" i="45"/>
  <c r="Y15" i="45"/>
  <c r="BE7" i="45"/>
  <c r="AX5" i="45"/>
  <c r="R13" i="45"/>
  <c r="BK5" i="45"/>
  <c r="AE13" i="45"/>
  <c r="P15" i="45"/>
  <c r="AV7" i="45"/>
  <c r="BL5" i="45"/>
  <c r="AF13" i="45"/>
  <c r="M13" i="45"/>
  <c r="AS5" i="45"/>
  <c r="U368" i="48"/>
  <c r="W128" i="48"/>
  <c r="U133" i="48"/>
  <c r="U134" i="48"/>
  <c r="U132" i="48"/>
  <c r="W129" i="48"/>
  <c r="X127" i="48"/>
  <c r="W130" i="48"/>
  <c r="V188" i="48"/>
  <c r="V190" i="48" s="1"/>
  <c r="V197" i="48" s="1"/>
  <c r="V367" i="48" s="1"/>
  <c r="W187" i="48"/>
  <c r="V189" i="48"/>
  <c r="V130" i="48"/>
  <c r="U196" i="48"/>
  <c r="V192" i="48"/>
  <c r="U194" i="48"/>
  <c r="W122" i="48"/>
  <c r="V123" i="48"/>
  <c r="V125" i="48" s="1"/>
  <c r="V124" i="48"/>
  <c r="W356" i="48"/>
  <c r="U194" i="46"/>
  <c r="U196" i="46"/>
  <c r="V192" i="46"/>
  <c r="U133" i="46"/>
  <c r="U134" i="46"/>
  <c r="U132" i="46"/>
  <c r="U368" i="46"/>
  <c r="W187" i="46"/>
  <c r="V188" i="46"/>
  <c r="V190" i="46" s="1"/>
  <c r="V197" i="46" s="1"/>
  <c r="V367" i="46" s="1"/>
  <c r="V189" i="46"/>
  <c r="Y128" i="46"/>
  <c r="V129" i="46"/>
  <c r="V130" i="46" s="1"/>
  <c r="V123" i="46"/>
  <c r="V125" i="46" s="1"/>
  <c r="V132" i="46" s="1"/>
  <c r="W122" i="46"/>
  <c r="V124" i="46"/>
  <c r="W127" i="46"/>
  <c r="D62" i="44"/>
  <c r="D63" i="44" s="1"/>
  <c r="G59" i="44"/>
  <c r="G62" i="44" s="1"/>
  <c r="AB4" i="45"/>
  <c r="AG4" i="45"/>
  <c r="H4" i="45"/>
  <c r="W4" i="45"/>
  <c r="T3" i="44"/>
  <c r="T4" i="44"/>
  <c r="Q3" i="45"/>
  <c r="Q9" i="45" s="1"/>
  <c r="D32" i="36"/>
  <c r="B6" i="3"/>
  <c r="D7" i="36"/>
  <c r="AH5" i="36"/>
  <c r="BN5" i="36" s="1"/>
  <c r="S4" i="36"/>
  <c r="AY4" i="36" s="1"/>
  <c r="AC4" i="36"/>
  <c r="BI4" i="36" s="1"/>
  <c r="AH4" i="36"/>
  <c r="BN4" i="36" s="1"/>
  <c r="X4" i="36"/>
  <c r="BD4" i="36" s="1"/>
  <c r="N4" i="36"/>
  <c r="AT4" i="36" s="1"/>
  <c r="AL9" i="43" l="1"/>
  <c r="AL13" i="43" s="1"/>
  <c r="AG18" i="43"/>
  <c r="AG22" i="43" s="1"/>
  <c r="AG13" i="43"/>
  <c r="R9" i="43"/>
  <c r="R13" i="43" s="1"/>
  <c r="AQ9" i="43"/>
  <c r="AQ13" i="43" s="1"/>
  <c r="AL18" i="43"/>
  <c r="AL22" i="43" s="1"/>
  <c r="R18" i="43"/>
  <c r="R22" i="43" s="1"/>
  <c r="BA7" i="45"/>
  <c r="BM6" i="45"/>
  <c r="BK15" i="45"/>
  <c r="BH6" i="45"/>
  <c r="AZ15" i="45"/>
  <c r="AN6" i="45"/>
  <c r="BB7" i="45"/>
  <c r="BF15" i="45"/>
  <c r="BC6" i="45"/>
  <c r="AW9" i="45"/>
  <c r="BK13" i="45"/>
  <c r="BB13" i="45"/>
  <c r="R15" i="45"/>
  <c r="L15" i="45"/>
  <c r="D29" i="44"/>
  <c r="E29" i="44" s="1"/>
  <c r="D28" i="44"/>
  <c r="BA15" i="45"/>
  <c r="AS13" i="45"/>
  <c r="BE15" i="45"/>
  <c r="AV15" i="45"/>
  <c r="AX13" i="45"/>
  <c r="BB6" i="45"/>
  <c r="BL13" i="45"/>
  <c r="AX6" i="45"/>
  <c r="V15" i="45"/>
  <c r="AX7" i="45"/>
  <c r="BC7" i="45"/>
  <c r="AG23" i="55"/>
  <c r="AG3" i="55"/>
  <c r="BC4" i="45"/>
  <c r="BM4" i="45"/>
  <c r="BH4" i="45"/>
  <c r="AN4" i="45"/>
  <c r="AG244" i="53"/>
  <c r="AB93" i="54"/>
  <c r="AB98" i="54"/>
  <c r="AB99" i="54" s="1"/>
  <c r="AB94" i="54"/>
  <c r="AB92" i="54"/>
  <c r="AA101" i="54"/>
  <c r="AA100" i="54"/>
  <c r="AA102" i="54"/>
  <c r="AE89" i="54"/>
  <c r="AE87" i="54"/>
  <c r="AD90" i="54"/>
  <c r="AE124" i="54"/>
  <c r="AE122" i="54"/>
  <c r="AF120" i="54"/>
  <c r="AC255" i="54"/>
  <c r="AC256" i="54"/>
  <c r="AA99" i="54"/>
  <c r="AC83" i="54"/>
  <c r="AC85" i="54" s="1"/>
  <c r="AD82" i="54"/>
  <c r="AC84" i="54"/>
  <c r="AC97" i="54" s="1"/>
  <c r="AE88" i="54"/>
  <c r="AF82" i="53"/>
  <c r="AE83" i="53"/>
  <c r="AE85" i="53" s="1"/>
  <c r="AE84" i="53"/>
  <c r="AF88" i="53"/>
  <c r="AD93" i="53"/>
  <c r="AD89" i="53"/>
  <c r="AD90" i="53" s="1"/>
  <c r="AC255" i="53"/>
  <c r="AC256" i="53"/>
  <c r="AD92" i="53"/>
  <c r="AE87" i="53"/>
  <c r="AD122" i="53"/>
  <c r="AE120" i="53"/>
  <c r="AC124" i="53"/>
  <c r="AC94" i="53"/>
  <c r="AC90" i="53"/>
  <c r="AD116" i="53"/>
  <c r="AD118" i="53" s="1"/>
  <c r="AD125" i="53" s="1"/>
  <c r="AE115" i="53"/>
  <c r="AD117" i="53"/>
  <c r="BH45" i="51"/>
  <c r="AF3" i="51"/>
  <c r="AC45" i="51"/>
  <c r="AM5" i="45"/>
  <c r="G13" i="45"/>
  <c r="AN5" i="45"/>
  <c r="H13" i="45"/>
  <c r="M15" i="45"/>
  <c r="AS7" i="45"/>
  <c r="Q15" i="45"/>
  <c r="AW7" i="45"/>
  <c r="BH5" i="45"/>
  <c r="AB13" i="45"/>
  <c r="AA15" i="45"/>
  <c r="BG7" i="45"/>
  <c r="BG5" i="45"/>
  <c r="AA13" i="45"/>
  <c r="AG13" i="45"/>
  <c r="BM5" i="45"/>
  <c r="G15" i="45"/>
  <c r="AM7" i="45"/>
  <c r="W15" i="45"/>
  <c r="T9" i="44"/>
  <c r="H21" i="44" s="1"/>
  <c r="AN12" i="12"/>
  <c r="AO12" i="12" s="1"/>
  <c r="X356" i="48"/>
  <c r="X122" i="48"/>
  <c r="W123" i="48"/>
  <c r="W125" i="48" s="1"/>
  <c r="W124" i="48"/>
  <c r="V368" i="48"/>
  <c r="X128" i="48"/>
  <c r="X187" i="48"/>
  <c r="W188" i="48"/>
  <c r="W190" i="48" s="1"/>
  <c r="W197" i="48" s="1"/>
  <c r="W367" i="48" s="1"/>
  <c r="W189" i="48"/>
  <c r="Y127" i="48"/>
  <c r="X129" i="48"/>
  <c r="V133" i="48"/>
  <c r="V134" i="48"/>
  <c r="V132" i="48"/>
  <c r="V194" i="48"/>
  <c r="V196" i="48"/>
  <c r="W192" i="48"/>
  <c r="V368" i="46"/>
  <c r="V194" i="46"/>
  <c r="V196" i="46"/>
  <c r="W192" i="46"/>
  <c r="W123" i="46"/>
  <c r="W125" i="46" s="1"/>
  <c r="X122" i="46"/>
  <c r="W124" i="46"/>
  <c r="Z128" i="46"/>
  <c r="V133" i="46"/>
  <c r="V134" i="46"/>
  <c r="W129" i="46"/>
  <c r="X127" i="46"/>
  <c r="W130" i="46"/>
  <c r="W132" i="46"/>
  <c r="W188" i="46"/>
  <c r="W190" i="46" s="1"/>
  <c r="W197" i="46" s="1"/>
  <c r="W367" i="46" s="1"/>
  <c r="X187" i="46"/>
  <c r="W189" i="46"/>
  <c r="G63" i="44"/>
  <c r="T13" i="44"/>
  <c r="S10" i="44" s="1"/>
  <c r="R3" i="45"/>
  <c r="R9" i="45" s="1"/>
  <c r="F62" i="44"/>
  <c r="AJ64" i="36"/>
  <c r="D66" i="36"/>
  <c r="AJ7" i="36"/>
  <c r="D15" i="36"/>
  <c r="AJ15" i="36" s="1"/>
  <c r="D328" i="42"/>
  <c r="D323" i="42"/>
  <c r="E323" i="42" s="1"/>
  <c r="F323" i="42" s="1"/>
  <c r="G323" i="42" s="1"/>
  <c r="H323" i="42" s="1"/>
  <c r="I323" i="42" s="1"/>
  <c r="J323" i="42" s="1"/>
  <c r="K323" i="42" s="1"/>
  <c r="L323" i="42" s="1"/>
  <c r="M323" i="42" s="1"/>
  <c r="N323" i="42" s="1"/>
  <c r="O323" i="42" s="1"/>
  <c r="P323" i="42" s="1"/>
  <c r="Q323" i="42" s="1"/>
  <c r="R323" i="42" s="1"/>
  <c r="S323" i="42" s="1"/>
  <c r="T323" i="42" s="1"/>
  <c r="U323" i="42" s="1"/>
  <c r="V323" i="42" s="1"/>
  <c r="W323" i="42" s="1"/>
  <c r="X323" i="42" s="1"/>
  <c r="Y323" i="42" s="1"/>
  <c r="Z323" i="42" s="1"/>
  <c r="AA323" i="42" s="1"/>
  <c r="AB323" i="42" s="1"/>
  <c r="AC323" i="42" s="1"/>
  <c r="AD323" i="42" s="1"/>
  <c r="AE323" i="42" s="1"/>
  <c r="AF323" i="42" s="1"/>
  <c r="AG323" i="42" s="1"/>
  <c r="AG228" i="42"/>
  <c r="C228" i="42"/>
  <c r="AG213" i="42"/>
  <c r="C213" i="42"/>
  <c r="C175" i="42"/>
  <c r="C176" i="42" s="1"/>
  <c r="D174" i="42"/>
  <c r="AG171" i="42"/>
  <c r="C171" i="42"/>
  <c r="AG170" i="42"/>
  <c r="AG172" i="42" s="1"/>
  <c r="C170" i="42"/>
  <c r="C172" i="42" s="1"/>
  <c r="F169" i="42"/>
  <c r="D169" i="42"/>
  <c r="E169" i="42" s="1"/>
  <c r="AG167" i="42"/>
  <c r="C167" i="42"/>
  <c r="C119" i="42"/>
  <c r="D118" i="42"/>
  <c r="E118" i="42" s="1"/>
  <c r="F118" i="42" s="1"/>
  <c r="D117" i="42"/>
  <c r="AG114" i="42"/>
  <c r="C114" i="42"/>
  <c r="AG113" i="42"/>
  <c r="AG115" i="42" s="1"/>
  <c r="C113" i="42"/>
  <c r="C115" i="42" s="1"/>
  <c r="E112" i="42"/>
  <c r="E113" i="42" s="1"/>
  <c r="D112" i="42"/>
  <c r="D113" i="42" s="1"/>
  <c r="AG110" i="42"/>
  <c r="C110" i="42"/>
  <c r="AG51" i="42"/>
  <c r="W49" i="42"/>
  <c r="M49" i="42"/>
  <c r="C49" i="42"/>
  <c r="AG48" i="42"/>
  <c r="AG47" i="42"/>
  <c r="W46" i="42"/>
  <c r="M46" i="42"/>
  <c r="C46" i="42"/>
  <c r="X1" i="42"/>
  <c r="X48" i="42" s="1"/>
  <c r="N1" i="42"/>
  <c r="N48" i="42" s="1"/>
  <c r="D1" i="42"/>
  <c r="E1" i="42" s="1"/>
  <c r="D328" i="38"/>
  <c r="E328" i="38" s="1"/>
  <c r="D323" i="38"/>
  <c r="E323" i="38" s="1"/>
  <c r="F323" i="38" s="1"/>
  <c r="G323" i="38" s="1"/>
  <c r="H323" i="38" s="1"/>
  <c r="I323" i="38" s="1"/>
  <c r="J323" i="38" s="1"/>
  <c r="K323" i="38" s="1"/>
  <c r="L323" i="38" s="1"/>
  <c r="H39" i="40"/>
  <c r="AX9" i="45" l="1"/>
  <c r="BB15" i="45"/>
  <c r="AM15" i="45"/>
  <c r="BH13" i="45"/>
  <c r="AS15" i="45"/>
  <c r="H22" i="44"/>
  <c r="I22" i="44" s="1"/>
  <c r="E28" i="44"/>
  <c r="C57" i="44" s="1"/>
  <c r="AN13" i="45"/>
  <c r="BM13" i="45"/>
  <c r="BG13" i="45"/>
  <c r="AM13" i="45"/>
  <c r="AR15" i="45"/>
  <c r="BC15" i="45"/>
  <c r="AW15" i="45"/>
  <c r="AX15" i="45"/>
  <c r="BG15" i="45"/>
  <c r="M323" i="38"/>
  <c r="N323" i="38" s="1"/>
  <c r="O323" i="38" s="1"/>
  <c r="P323" i="38" s="1"/>
  <c r="Q323" i="38" s="1"/>
  <c r="R323" i="38" s="1"/>
  <c r="S323" i="38" s="1"/>
  <c r="T323" i="38" s="1"/>
  <c r="U323" i="38" s="1"/>
  <c r="V323" i="38" s="1"/>
  <c r="W323" i="38" s="1"/>
  <c r="X323" i="38" s="1"/>
  <c r="Y323" i="38" s="1"/>
  <c r="Z323" i="38" s="1"/>
  <c r="AA323" i="38" s="1"/>
  <c r="AB323" i="38" s="1"/>
  <c r="AC323" i="38" s="1"/>
  <c r="AD323" i="38" s="1"/>
  <c r="AE323" i="38" s="1"/>
  <c r="AF323" i="38" s="1"/>
  <c r="AG323" i="38" s="1"/>
  <c r="C179" i="42"/>
  <c r="C339" i="42" s="1"/>
  <c r="C178" i="42"/>
  <c r="AG49" i="42"/>
  <c r="AG46" i="42" s="1"/>
  <c r="O1" i="42"/>
  <c r="F112" i="42"/>
  <c r="D170" i="42"/>
  <c r="Y1" i="42"/>
  <c r="Z1" i="42" s="1"/>
  <c r="AA1" i="42" s="1"/>
  <c r="AH23" i="55"/>
  <c r="AH3" i="55"/>
  <c r="AF89" i="54"/>
  <c r="AF122" i="54"/>
  <c r="AF124" i="54"/>
  <c r="AG120" i="54"/>
  <c r="AD83" i="54"/>
  <c r="AD85" i="54" s="1"/>
  <c r="AE82" i="54"/>
  <c r="AD84" i="54"/>
  <c r="AD97" i="54" s="1"/>
  <c r="AB102" i="54"/>
  <c r="AB101" i="54"/>
  <c r="AB100" i="54"/>
  <c r="AF88" i="54"/>
  <c r="AC94" i="54"/>
  <c r="AC98" i="54"/>
  <c r="AC99" i="54" s="1"/>
  <c r="AC93" i="54"/>
  <c r="AC92" i="54"/>
  <c r="AF87" i="54"/>
  <c r="AE90" i="54"/>
  <c r="AD255" i="54"/>
  <c r="AD256" i="54"/>
  <c r="AE93" i="53"/>
  <c r="AF83" i="53"/>
  <c r="AF85" i="53" s="1"/>
  <c r="AF84" i="53"/>
  <c r="AE89" i="53"/>
  <c r="AE94" i="53" s="1"/>
  <c r="AD255" i="53"/>
  <c r="AD256" i="53"/>
  <c r="AG88" i="53"/>
  <c r="AD124" i="53"/>
  <c r="AE122" i="53"/>
  <c r="AF120" i="53"/>
  <c r="AE116" i="53"/>
  <c r="AE118" i="53" s="1"/>
  <c r="AE125" i="53" s="1"/>
  <c r="AF115" i="53"/>
  <c r="AE117" i="53"/>
  <c r="AF87" i="53"/>
  <c r="AE92" i="53"/>
  <c r="AD94" i="53"/>
  <c r="BI45" i="51"/>
  <c r="AD45" i="51"/>
  <c r="AG3" i="51"/>
  <c r="I21" i="44"/>
  <c r="AF15" i="45"/>
  <c r="BL7" i="45"/>
  <c r="BC5" i="45"/>
  <c r="W13" i="45"/>
  <c r="W194" i="48"/>
  <c r="W196" i="48"/>
  <c r="X192" i="48"/>
  <c r="Z127" i="48"/>
  <c r="X188" i="48"/>
  <c r="X190" i="48" s="1"/>
  <c r="X197" i="48" s="1"/>
  <c r="X367" i="48" s="1"/>
  <c r="Y187" i="48"/>
  <c r="X189" i="48"/>
  <c r="Y128" i="48"/>
  <c r="Y130" i="48" s="1"/>
  <c r="W133" i="48"/>
  <c r="W134" i="48"/>
  <c r="W132" i="48"/>
  <c r="Y129" i="48"/>
  <c r="X123" i="48"/>
  <c r="X125" i="48" s="1"/>
  <c r="Y122" i="48"/>
  <c r="X124" i="48"/>
  <c r="X368" i="48"/>
  <c r="X130" i="48"/>
  <c r="W368" i="48"/>
  <c r="Y356" i="48"/>
  <c r="X129" i="46"/>
  <c r="X130" i="46" s="1"/>
  <c r="W368" i="46"/>
  <c r="Y122" i="46"/>
  <c r="X123" i="46"/>
  <c r="X125" i="46" s="1"/>
  <c r="X124" i="46"/>
  <c r="X188" i="46"/>
  <c r="X190" i="46" s="1"/>
  <c r="X197" i="46" s="1"/>
  <c r="X367" i="46" s="1"/>
  <c r="Y187" i="46"/>
  <c r="X189" i="46"/>
  <c r="AA128" i="46"/>
  <c r="W134" i="46"/>
  <c r="W133" i="46"/>
  <c r="X132" i="46"/>
  <c r="Y127" i="46"/>
  <c r="W194" i="46"/>
  <c r="W196" i="46"/>
  <c r="X192" i="46"/>
  <c r="T11" i="44"/>
  <c r="S11" i="44" s="1"/>
  <c r="S12" i="44" s="1"/>
  <c r="S13" i="44" s="1"/>
  <c r="T12" i="44"/>
  <c r="F63" i="44"/>
  <c r="U9" i="44"/>
  <c r="S3" i="45"/>
  <c r="S9" i="45" s="1"/>
  <c r="AJ66" i="36"/>
  <c r="AJ65" i="36"/>
  <c r="AJ71" i="36" s="1"/>
  <c r="Z48" i="42"/>
  <c r="E48" i="42"/>
  <c r="E47" i="42"/>
  <c r="F1" i="42"/>
  <c r="O47" i="42"/>
  <c r="X47" i="42"/>
  <c r="M214" i="42"/>
  <c r="M168" i="42"/>
  <c r="M229" i="42"/>
  <c r="M111" i="42"/>
  <c r="Y47" i="42"/>
  <c r="Y48" i="42"/>
  <c r="D47" i="42"/>
  <c r="Z47" i="42"/>
  <c r="D48" i="42"/>
  <c r="W214" i="42"/>
  <c r="W229" i="42"/>
  <c r="W168" i="42"/>
  <c r="W111" i="42"/>
  <c r="N47" i="42"/>
  <c r="F113" i="42"/>
  <c r="G112" i="42"/>
  <c r="G118" i="42"/>
  <c r="C122" i="42"/>
  <c r="C123" i="42"/>
  <c r="C124" i="42"/>
  <c r="C120" i="42"/>
  <c r="D119" i="42"/>
  <c r="E117" i="42"/>
  <c r="F170" i="42"/>
  <c r="G169" i="42"/>
  <c r="E174" i="42"/>
  <c r="E170" i="42"/>
  <c r="D175" i="42"/>
  <c r="E175" i="42" s="1"/>
  <c r="F175" i="42" s="1"/>
  <c r="G175" i="42" s="1"/>
  <c r="H175" i="42" s="1"/>
  <c r="I175" i="42" s="1"/>
  <c r="J175" i="42" s="1"/>
  <c r="K175" i="42" s="1"/>
  <c r="L175" i="42" s="1"/>
  <c r="M175" i="42" s="1"/>
  <c r="N175" i="42" s="1"/>
  <c r="O175" i="42" s="1"/>
  <c r="P175" i="42" s="1"/>
  <c r="Q175" i="42" s="1"/>
  <c r="R175" i="42" s="1"/>
  <c r="S175" i="42" s="1"/>
  <c r="T175" i="42" s="1"/>
  <c r="U175" i="42" s="1"/>
  <c r="V175" i="42" s="1"/>
  <c r="W175" i="42" s="1"/>
  <c r="X175" i="42" s="1"/>
  <c r="Y175" i="42" s="1"/>
  <c r="Z175" i="42" s="1"/>
  <c r="AA175" i="42" s="1"/>
  <c r="AB175" i="42" s="1"/>
  <c r="AC175" i="42" s="1"/>
  <c r="AD175" i="42" s="1"/>
  <c r="AE175" i="42" s="1"/>
  <c r="AF175" i="42" s="1"/>
  <c r="AG175" i="42" s="1"/>
  <c r="AG179" i="42" s="1"/>
  <c r="C340" i="42"/>
  <c r="E328" i="42"/>
  <c r="F328" i="38"/>
  <c r="I96" i="24" l="1"/>
  <c r="H60" i="33" s="1"/>
  <c r="I110" i="24"/>
  <c r="H61" i="33" s="1"/>
  <c r="BL15" i="45"/>
  <c r="AY9" i="45"/>
  <c r="BC13" i="45"/>
  <c r="AB1" i="42"/>
  <c r="AA47" i="42"/>
  <c r="AA48" i="42"/>
  <c r="O48" i="42"/>
  <c r="P1" i="42"/>
  <c r="AG88" i="54"/>
  <c r="AG124" i="54"/>
  <c r="AG122" i="54"/>
  <c r="AE255" i="54"/>
  <c r="AE256" i="54"/>
  <c r="AG89" i="54"/>
  <c r="AC102" i="54"/>
  <c r="AC100" i="54"/>
  <c r="AC101" i="54"/>
  <c r="AG87" i="54"/>
  <c r="AF90" i="54"/>
  <c r="AF82" i="54"/>
  <c r="AE83" i="54"/>
  <c r="AE85" i="54" s="1"/>
  <c r="AE84" i="54"/>
  <c r="AE97" i="54" s="1"/>
  <c r="AD93" i="54"/>
  <c r="AD94" i="54"/>
  <c r="AD98" i="54"/>
  <c r="AD92" i="54"/>
  <c r="AE90" i="53"/>
  <c r="AE124" i="53"/>
  <c r="AF116" i="53"/>
  <c r="AF118" i="53" s="1"/>
  <c r="AF125" i="53" s="1"/>
  <c r="AF117" i="53"/>
  <c r="AG93" i="53"/>
  <c r="AE255" i="53"/>
  <c r="AE256" i="53"/>
  <c r="AF92" i="53"/>
  <c r="AG87" i="53"/>
  <c r="AF89" i="53"/>
  <c r="AF90" i="53" s="1"/>
  <c r="AF122" i="53"/>
  <c r="AG120" i="53"/>
  <c r="AF93" i="53"/>
  <c r="AH3" i="51"/>
  <c r="AE45" i="51"/>
  <c r="BJ45" i="51"/>
  <c r="AB15" i="45"/>
  <c r="BH7" i="45"/>
  <c r="H15" i="45"/>
  <c r="AN7" i="45"/>
  <c r="AG15" i="45"/>
  <c r="BM7" i="45"/>
  <c r="Z356" i="48"/>
  <c r="Y123" i="48"/>
  <c r="Y125" i="48" s="1"/>
  <c r="Z122" i="48"/>
  <c r="Y124" i="48"/>
  <c r="X134" i="48"/>
  <c r="X133" i="48"/>
  <c r="X132" i="48"/>
  <c r="X194" i="48"/>
  <c r="X196" i="48"/>
  <c r="Y192" i="48"/>
  <c r="Z129" i="48"/>
  <c r="Z130" i="48" s="1"/>
  <c r="Z128" i="48"/>
  <c r="Y188" i="48"/>
  <c r="Y190" i="48" s="1"/>
  <c r="Y197" i="48" s="1"/>
  <c r="Y367" i="48" s="1"/>
  <c r="Z187" i="48"/>
  <c r="Y189" i="48"/>
  <c r="AA127" i="48"/>
  <c r="Z127" i="46"/>
  <c r="X196" i="46"/>
  <c r="Y192" i="46"/>
  <c r="X194" i="46"/>
  <c r="Y188" i="46"/>
  <c r="Y190" i="46" s="1"/>
  <c r="Y197" i="46" s="1"/>
  <c r="Y367" i="46" s="1"/>
  <c r="Z187" i="46"/>
  <c r="Y189" i="46"/>
  <c r="X133" i="46"/>
  <c r="X134" i="46"/>
  <c r="X368" i="46"/>
  <c r="Y129" i="46"/>
  <c r="Y123" i="46"/>
  <c r="Y125" i="46" s="1"/>
  <c r="Y132" i="46" s="1"/>
  <c r="Z122" i="46"/>
  <c r="Y124" i="46"/>
  <c r="AB128" i="46"/>
  <c r="U10" i="44"/>
  <c r="E56" i="44" s="1"/>
  <c r="T3" i="45"/>
  <c r="T9" i="45" s="1"/>
  <c r="AG339" i="42"/>
  <c r="AG340" i="42"/>
  <c r="D176" i="42"/>
  <c r="H118" i="42"/>
  <c r="N49" i="42"/>
  <c r="N46" i="42" s="1"/>
  <c r="AB229" i="42"/>
  <c r="X229" i="42"/>
  <c r="AA229" i="42"/>
  <c r="Z229" i="42"/>
  <c r="Y229" i="42"/>
  <c r="W228" i="42"/>
  <c r="P229" i="42"/>
  <c r="D229" i="42"/>
  <c r="F229" i="42"/>
  <c r="O229" i="42"/>
  <c r="E229" i="42"/>
  <c r="M228" i="42"/>
  <c r="N229" i="42"/>
  <c r="O49" i="42"/>
  <c r="O46" i="42" s="1"/>
  <c r="E119" i="42"/>
  <c r="D120" i="42"/>
  <c r="AA214" i="42"/>
  <c r="Z214" i="42"/>
  <c r="Y214" i="42"/>
  <c r="W213" i="42"/>
  <c r="AB214" i="42"/>
  <c r="X214" i="42"/>
  <c r="Z49" i="42"/>
  <c r="Z46" i="42" s="1"/>
  <c r="Y49" i="42"/>
  <c r="Y46" i="42" s="1"/>
  <c r="N168" i="42"/>
  <c r="F168" i="42"/>
  <c r="E168" i="42"/>
  <c r="P168" i="42"/>
  <c r="D168" i="42"/>
  <c r="O168" i="42"/>
  <c r="M167" i="42"/>
  <c r="F328" i="42"/>
  <c r="E176" i="42"/>
  <c r="F174" i="42"/>
  <c r="G113" i="42"/>
  <c r="H112" i="42"/>
  <c r="Z111" i="42"/>
  <c r="Y111" i="42"/>
  <c r="W110" i="42"/>
  <c r="AB111" i="42"/>
  <c r="X111" i="42"/>
  <c r="AA111" i="42"/>
  <c r="D49" i="42"/>
  <c r="D46" i="42" s="1"/>
  <c r="O214" i="42"/>
  <c r="M213" i="42"/>
  <c r="N214" i="42"/>
  <c r="F214" i="42"/>
  <c r="E214" i="42"/>
  <c r="P214" i="42"/>
  <c r="D214" i="42"/>
  <c r="G1" i="42"/>
  <c r="F48" i="42"/>
  <c r="F47" i="42"/>
  <c r="G170" i="42"/>
  <c r="H169" i="42"/>
  <c r="F117" i="42"/>
  <c r="E120" i="42"/>
  <c r="AA49" i="42"/>
  <c r="AA46" i="42" s="1"/>
  <c r="Z168" i="42"/>
  <c r="Y168" i="42"/>
  <c r="W167" i="42"/>
  <c r="AB168" i="42"/>
  <c r="X168" i="42"/>
  <c r="AA168" i="42"/>
  <c r="N111" i="42"/>
  <c r="F111" i="42"/>
  <c r="E111" i="42"/>
  <c r="P111" i="42"/>
  <c r="D111" i="42"/>
  <c r="O111" i="42"/>
  <c r="M110" i="42"/>
  <c r="G111" i="42"/>
  <c r="X49" i="42"/>
  <c r="X46" i="42" s="1"/>
  <c r="E49" i="42"/>
  <c r="E46" i="42" s="1"/>
  <c r="G328" i="38"/>
  <c r="BM15" i="45" l="1"/>
  <c r="AN15" i="45"/>
  <c r="AZ9" i="45"/>
  <c r="BH15" i="45"/>
  <c r="Q1" i="42"/>
  <c r="P47" i="42"/>
  <c r="P49" i="42" s="1"/>
  <c r="P46" i="42" s="1"/>
  <c r="P48" i="42"/>
  <c r="AC1" i="42"/>
  <c r="AB47" i="42"/>
  <c r="AB48" i="42"/>
  <c r="AF94" i="53"/>
  <c r="AG101" i="54"/>
  <c r="AG93" i="54"/>
  <c r="AG102" i="54"/>
  <c r="AG94" i="54"/>
  <c r="AF83" i="54"/>
  <c r="AF85" i="54" s="1"/>
  <c r="AF84" i="54"/>
  <c r="AF97" i="54" s="1"/>
  <c r="AD102" i="54"/>
  <c r="AD100" i="54"/>
  <c r="AD101" i="54"/>
  <c r="AD99" i="54"/>
  <c r="AF255" i="54"/>
  <c r="AF256" i="54"/>
  <c r="AG100" i="54"/>
  <c r="AG90" i="54"/>
  <c r="AG92" i="54"/>
  <c r="AE94" i="54"/>
  <c r="AE98" i="54"/>
  <c r="AE93" i="54"/>
  <c r="AE92" i="54"/>
  <c r="AF124" i="53"/>
  <c r="AG89" i="53"/>
  <c r="AG92" i="53"/>
  <c r="AF255" i="53"/>
  <c r="AF256" i="53"/>
  <c r="AG124" i="53"/>
  <c r="AG122" i="53"/>
  <c r="AF45" i="51"/>
  <c r="BK45" i="51"/>
  <c r="AA356" i="48"/>
  <c r="AB127" i="48"/>
  <c r="AA129" i="48"/>
  <c r="Y196" i="48"/>
  <c r="Z192" i="48"/>
  <c r="Y194" i="48"/>
  <c r="AA122" i="48"/>
  <c r="Z123" i="48"/>
  <c r="Z125" i="48" s="1"/>
  <c r="Z124" i="48"/>
  <c r="Y368" i="48"/>
  <c r="Z188" i="48"/>
  <c r="Z190" i="48" s="1"/>
  <c r="Z197" i="48" s="1"/>
  <c r="Z367" i="48" s="1"/>
  <c r="AA187" i="48"/>
  <c r="Z189" i="48"/>
  <c r="AA128" i="48"/>
  <c r="Y133" i="48"/>
  <c r="Y134" i="48"/>
  <c r="Y132" i="48"/>
  <c r="AA127" i="46"/>
  <c r="AA187" i="46"/>
  <c r="Z188" i="46"/>
  <c r="Z190" i="46" s="1"/>
  <c r="Z197" i="46" s="1"/>
  <c r="Z367" i="46" s="1"/>
  <c r="Z189" i="46"/>
  <c r="AC128" i="46"/>
  <c r="Z123" i="46"/>
  <c r="Z125" i="46" s="1"/>
  <c r="AA122" i="46"/>
  <c r="Z124" i="46"/>
  <c r="Y194" i="46"/>
  <c r="Y196" i="46"/>
  <c r="Z192" i="46"/>
  <c r="Y368" i="46"/>
  <c r="Y133" i="46"/>
  <c r="Y134" i="46"/>
  <c r="Z129" i="46"/>
  <c r="Y130" i="46"/>
  <c r="G110" i="24"/>
  <c r="G61" i="33" s="1"/>
  <c r="H110" i="24"/>
  <c r="U12" i="44"/>
  <c r="U3" i="45"/>
  <c r="U9" i="45" s="1"/>
  <c r="D114" i="42"/>
  <c r="D110" i="42"/>
  <c r="D115" i="42"/>
  <c r="AA167" i="42"/>
  <c r="Y167" i="42"/>
  <c r="O213" i="42"/>
  <c r="X110" i="42"/>
  <c r="Z110" i="42"/>
  <c r="O167" i="42"/>
  <c r="Z213" i="42"/>
  <c r="O228" i="42"/>
  <c r="X228" i="42"/>
  <c r="E115" i="42"/>
  <c r="E110" i="42"/>
  <c r="E114" i="42"/>
  <c r="F114" i="42"/>
  <c r="F110" i="42"/>
  <c r="F115" i="42"/>
  <c r="I169" i="42"/>
  <c r="H170" i="42"/>
  <c r="H1" i="42"/>
  <c r="G48" i="42"/>
  <c r="G47" i="42"/>
  <c r="N213" i="42"/>
  <c r="AB110" i="42"/>
  <c r="Y110" i="42"/>
  <c r="G328" i="42"/>
  <c r="G168" i="42"/>
  <c r="P167" i="42"/>
  <c r="N167" i="42"/>
  <c r="X213" i="42"/>
  <c r="G229" i="42"/>
  <c r="P228" i="42"/>
  <c r="Z228" i="42"/>
  <c r="AB228" i="42"/>
  <c r="X167" i="42"/>
  <c r="D213" i="42"/>
  <c r="P213" i="42"/>
  <c r="G214" i="42"/>
  <c r="AA110" i="42"/>
  <c r="I112" i="42"/>
  <c r="H113" i="42"/>
  <c r="D171" i="42"/>
  <c r="D167" i="42"/>
  <c r="D172" i="42"/>
  <c r="AB213" i="42"/>
  <c r="Y213" i="42"/>
  <c r="AA213" i="42"/>
  <c r="E228" i="42"/>
  <c r="F228" i="42"/>
  <c r="D228" i="42"/>
  <c r="G114" i="42"/>
  <c r="G110" i="42"/>
  <c r="G115" i="42"/>
  <c r="O110" i="42"/>
  <c r="P110" i="42"/>
  <c r="N110" i="42"/>
  <c r="AB167" i="42"/>
  <c r="Z167" i="42"/>
  <c r="G117" i="42"/>
  <c r="F122" i="42"/>
  <c r="F49" i="42"/>
  <c r="F46" i="42" s="1"/>
  <c r="E213" i="42"/>
  <c r="F213" i="42"/>
  <c r="G174" i="42"/>
  <c r="F176" i="42"/>
  <c r="E172" i="42"/>
  <c r="E171" i="42"/>
  <c r="E167" i="42"/>
  <c r="F171" i="42"/>
  <c r="F167" i="42"/>
  <c r="F172" i="42"/>
  <c r="F179" i="42" s="1"/>
  <c r="F339" i="42" s="1"/>
  <c r="F119" i="42"/>
  <c r="F120" i="42" s="1"/>
  <c r="N228" i="42"/>
  <c r="Y228" i="42"/>
  <c r="AA228" i="42"/>
  <c r="I118" i="42"/>
  <c r="H328" i="38"/>
  <c r="BA9" i="45" l="1"/>
  <c r="AA130" i="48"/>
  <c r="AB49" i="42"/>
  <c r="AB46" i="42" s="1"/>
  <c r="AC111" i="42"/>
  <c r="AC110" i="42" s="1"/>
  <c r="AC214" i="42"/>
  <c r="AC213" i="42" s="1"/>
  <c r="AC229" i="42"/>
  <c r="AC228" i="42" s="1"/>
  <c r="AD1" i="42"/>
  <c r="AC48" i="42"/>
  <c r="AC47" i="42"/>
  <c r="AC49" i="42" s="1"/>
  <c r="AC46" i="42" s="1"/>
  <c r="AC168" i="42"/>
  <c r="AC167" i="42" s="1"/>
  <c r="Q47" i="42"/>
  <c r="R1" i="42"/>
  <c r="Q48" i="42"/>
  <c r="Q111" i="42"/>
  <c r="Q110" i="42" s="1"/>
  <c r="Q168" i="42"/>
  <c r="Q167" i="42" s="1"/>
  <c r="Q229" i="42"/>
  <c r="Q228" i="42" s="1"/>
  <c r="Q214" i="42"/>
  <c r="Q213" i="42" s="1"/>
  <c r="AE101" i="54"/>
  <c r="AE100" i="54"/>
  <c r="AE102" i="54"/>
  <c r="AE99" i="54"/>
  <c r="AF94" i="54"/>
  <c r="AF98" i="54"/>
  <c r="AF99" i="54" s="1"/>
  <c r="AF93" i="54"/>
  <c r="AF92" i="54"/>
  <c r="AG94" i="53"/>
  <c r="AG90" i="53"/>
  <c r="BL45" i="51"/>
  <c r="AG45" i="51"/>
  <c r="AA123" i="48"/>
  <c r="AA125" i="48" s="1"/>
  <c r="AB122" i="48"/>
  <c r="AA124" i="48"/>
  <c r="Z194" i="48"/>
  <c r="Z196" i="48"/>
  <c r="AA192" i="48"/>
  <c r="AB128" i="48"/>
  <c r="AB187" i="48"/>
  <c r="AA188" i="48"/>
  <c r="AA190" i="48" s="1"/>
  <c r="AA197" i="48" s="1"/>
  <c r="AA367" i="48" s="1"/>
  <c r="AA189" i="48"/>
  <c r="Z368" i="48"/>
  <c r="AC127" i="48"/>
  <c r="Z133" i="48"/>
  <c r="Z134" i="48"/>
  <c r="Z132" i="48"/>
  <c r="AB129" i="48"/>
  <c r="AB130" i="48" s="1"/>
  <c r="AB356" i="48"/>
  <c r="Z368" i="46"/>
  <c r="AA123" i="46"/>
  <c r="AA125" i="46" s="1"/>
  <c r="AA132" i="46" s="1"/>
  <c r="AB122" i="46"/>
  <c r="AA124" i="46"/>
  <c r="AA188" i="46"/>
  <c r="AA190" i="46" s="1"/>
  <c r="AA197" i="46" s="1"/>
  <c r="AA367" i="46" s="1"/>
  <c r="AB187" i="46"/>
  <c r="AA189" i="46"/>
  <c r="AA129" i="46"/>
  <c r="AA130" i="46" s="1"/>
  <c r="Z133" i="46"/>
  <c r="Z134" i="46"/>
  <c r="AD128" i="46"/>
  <c r="AB127" i="46"/>
  <c r="Z132" i="46"/>
  <c r="Z194" i="46"/>
  <c r="Z196" i="46"/>
  <c r="AA192" i="46"/>
  <c r="Z130" i="46"/>
  <c r="G124" i="24"/>
  <c r="G62" i="33" s="1"/>
  <c r="H124" i="24"/>
  <c r="V3" i="45"/>
  <c r="V9" i="45" s="1"/>
  <c r="G122" i="42"/>
  <c r="H117" i="42"/>
  <c r="G213" i="42"/>
  <c r="G171" i="42"/>
  <c r="G167" i="42"/>
  <c r="G172" i="42"/>
  <c r="G179" i="42" s="1"/>
  <c r="G339" i="42" s="1"/>
  <c r="E123" i="42"/>
  <c r="E124" i="42"/>
  <c r="E122" i="42"/>
  <c r="F340" i="42"/>
  <c r="G176" i="42"/>
  <c r="G178" i="42"/>
  <c r="H174" i="42"/>
  <c r="G123" i="42"/>
  <c r="D179" i="42"/>
  <c r="D178" i="42"/>
  <c r="I113" i="42"/>
  <c r="J112" i="42"/>
  <c r="G49" i="42"/>
  <c r="G46" i="42" s="1"/>
  <c r="E179" i="42"/>
  <c r="E178" i="42"/>
  <c r="F178" i="42"/>
  <c r="G228" i="42"/>
  <c r="H328" i="42"/>
  <c r="I170" i="42"/>
  <c r="J169" i="42"/>
  <c r="D123" i="42"/>
  <c r="D124" i="42"/>
  <c r="D122" i="42"/>
  <c r="J118" i="42"/>
  <c r="G119" i="42"/>
  <c r="G120" i="42" s="1"/>
  <c r="I1" i="42"/>
  <c r="H48" i="42"/>
  <c r="H47" i="42"/>
  <c r="H229" i="42"/>
  <c r="H168" i="42"/>
  <c r="H111" i="42"/>
  <c r="H214" i="42"/>
  <c r="F124" i="42"/>
  <c r="F123" i="42"/>
  <c r="I328" i="38"/>
  <c r="AG51" i="38"/>
  <c r="AI39" i="41"/>
  <c r="AI44" i="41"/>
  <c r="AI43" i="41"/>
  <c r="AI42" i="41"/>
  <c r="AI41" i="41"/>
  <c r="AI40" i="41"/>
  <c r="F32" i="41"/>
  <c r="G32" i="41" s="1"/>
  <c r="H32" i="41" s="1"/>
  <c r="I32" i="41" s="1"/>
  <c r="J32" i="41" s="1"/>
  <c r="K32" i="41" s="1"/>
  <c r="L32" i="41" s="1"/>
  <c r="M32" i="41" s="1"/>
  <c r="N32" i="41" s="1"/>
  <c r="O32" i="41" s="1"/>
  <c r="P32" i="41" s="1"/>
  <c r="Q32" i="41" s="1"/>
  <c r="R32" i="41" s="1"/>
  <c r="S32" i="41" s="1"/>
  <c r="T32" i="41" s="1"/>
  <c r="U32" i="41" s="1"/>
  <c r="V32" i="41" s="1"/>
  <c r="W32" i="41" s="1"/>
  <c r="X32" i="41" s="1"/>
  <c r="Y32" i="41" s="1"/>
  <c r="Z32" i="41" s="1"/>
  <c r="AA32" i="41" s="1"/>
  <c r="AB32" i="41" s="1"/>
  <c r="AC32" i="41" s="1"/>
  <c r="AD32" i="41" s="1"/>
  <c r="AE32" i="41" s="1"/>
  <c r="AF32" i="41" s="1"/>
  <c r="AG32" i="41" s="1"/>
  <c r="AH32" i="41" s="1"/>
  <c r="AI32" i="41" s="1"/>
  <c r="Q6" i="41"/>
  <c r="D59" i="33"/>
  <c r="E59" i="33"/>
  <c r="F59" i="33"/>
  <c r="C59" i="33"/>
  <c r="BB9" i="45" l="1"/>
  <c r="AD168" i="42"/>
  <c r="AD167" i="42" s="1"/>
  <c r="AE1" i="42"/>
  <c r="AD111" i="42"/>
  <c r="AD110" i="42" s="1"/>
  <c r="AD48" i="42"/>
  <c r="AD47" i="42"/>
  <c r="AD49" i="42" s="1"/>
  <c r="AD46" i="42" s="1"/>
  <c r="AD229" i="42"/>
  <c r="AD228" i="42" s="1"/>
  <c r="AD214" i="42"/>
  <c r="AD213" i="42" s="1"/>
  <c r="R168" i="42"/>
  <c r="R167" i="42" s="1"/>
  <c r="R214" i="42"/>
  <c r="R213" i="42" s="1"/>
  <c r="R48" i="42"/>
  <c r="R229" i="42"/>
  <c r="R228" i="42" s="1"/>
  <c r="R47" i="42"/>
  <c r="R49" i="42" s="1"/>
  <c r="R46" i="42" s="1"/>
  <c r="S1" i="42"/>
  <c r="R111" i="42"/>
  <c r="R110" i="42" s="1"/>
  <c r="Q49" i="42"/>
  <c r="Q46" i="42" s="1"/>
  <c r="AF101" i="54"/>
  <c r="AF100" i="54"/>
  <c r="AF102" i="54"/>
  <c r="BM45" i="51"/>
  <c r="AC356" i="48"/>
  <c r="AB123" i="48"/>
  <c r="AB125" i="48" s="1"/>
  <c r="AC122" i="48"/>
  <c r="AB124" i="48"/>
  <c r="AB188" i="48"/>
  <c r="AB190" i="48" s="1"/>
  <c r="AB197" i="48" s="1"/>
  <c r="AB367" i="48" s="1"/>
  <c r="AC187" i="48"/>
  <c r="AB189" i="48"/>
  <c r="AA133" i="48"/>
  <c r="AA134" i="48"/>
  <c r="AA132" i="48"/>
  <c r="AD127" i="48"/>
  <c r="AC128" i="48"/>
  <c r="AC129" i="48"/>
  <c r="AA368" i="48"/>
  <c r="AA194" i="48"/>
  <c r="AA196" i="48"/>
  <c r="AB192" i="48"/>
  <c r="AA368" i="46"/>
  <c r="AA194" i="46"/>
  <c r="AA196" i="46"/>
  <c r="AB192" i="46"/>
  <c r="AE128" i="46"/>
  <c r="AC122" i="46"/>
  <c r="AB123" i="46"/>
  <c r="AB125" i="46" s="1"/>
  <c r="AB124" i="46"/>
  <c r="AB188" i="46"/>
  <c r="AB190" i="46" s="1"/>
  <c r="AB197" i="46" s="1"/>
  <c r="AB367" i="46" s="1"/>
  <c r="AC187" i="46"/>
  <c r="AB189" i="46"/>
  <c r="AB132" i="46"/>
  <c r="AC127" i="46"/>
  <c r="AB129" i="46"/>
  <c r="AB130" i="46" s="1"/>
  <c r="AA134" i="46"/>
  <c r="AA133" i="46"/>
  <c r="W3" i="45"/>
  <c r="W9" i="45" s="1"/>
  <c r="H171" i="42"/>
  <c r="H167" i="42"/>
  <c r="H172" i="42"/>
  <c r="H179" i="42" s="1"/>
  <c r="H339" i="42" s="1"/>
  <c r="I48" i="42"/>
  <c r="I47" i="42"/>
  <c r="J1" i="42"/>
  <c r="I229" i="42"/>
  <c r="I111" i="42"/>
  <c r="I168" i="42"/>
  <c r="I214" i="42"/>
  <c r="D339" i="42"/>
  <c r="D340" i="42"/>
  <c r="H228" i="42"/>
  <c r="J170" i="42"/>
  <c r="K169" i="42"/>
  <c r="J113" i="42"/>
  <c r="K112" i="42"/>
  <c r="H176" i="42"/>
  <c r="I174" i="42"/>
  <c r="H340" i="42"/>
  <c r="H213" i="42"/>
  <c r="H49" i="42"/>
  <c r="H46" i="42" s="1"/>
  <c r="H119" i="42"/>
  <c r="K118" i="42"/>
  <c r="E339" i="42"/>
  <c r="E340" i="42"/>
  <c r="G124" i="42"/>
  <c r="G340" i="42"/>
  <c r="H114" i="42"/>
  <c r="H110" i="42"/>
  <c r="H115" i="42"/>
  <c r="I328" i="42"/>
  <c r="H122" i="42"/>
  <c r="I117" i="42"/>
  <c r="H120" i="42"/>
  <c r="J328" i="38"/>
  <c r="P6" i="41"/>
  <c r="C78" i="40"/>
  <c r="C74" i="40"/>
  <c r="I23" i="40"/>
  <c r="I33" i="40" s="1"/>
  <c r="H23" i="40"/>
  <c r="H33" i="40" s="1"/>
  <c r="G23" i="40"/>
  <c r="F23" i="40"/>
  <c r="F32" i="40" s="1"/>
  <c r="E23" i="40"/>
  <c r="E33" i="40" s="1"/>
  <c r="D23" i="40"/>
  <c r="D33" i="40" s="1"/>
  <c r="C23" i="40"/>
  <c r="B23" i="40"/>
  <c r="J22" i="40"/>
  <c r="J21" i="40"/>
  <c r="J20" i="40"/>
  <c r="J19" i="40"/>
  <c r="J18" i="40"/>
  <c r="J17" i="40"/>
  <c r="BC9" i="45" l="1"/>
  <c r="AC130" i="48"/>
  <c r="S168" i="42"/>
  <c r="S167" i="42" s="1"/>
  <c r="S111" i="42"/>
  <c r="S110" i="42" s="1"/>
  <c r="S229" i="42"/>
  <c r="S228" i="42" s="1"/>
  <c r="S214" i="42"/>
  <c r="S213" i="42" s="1"/>
  <c r="T1" i="42"/>
  <c r="S48" i="42"/>
  <c r="S47" i="42"/>
  <c r="S49" i="42" s="1"/>
  <c r="S46" i="42" s="1"/>
  <c r="AF1" i="42"/>
  <c r="AE47" i="42"/>
  <c r="AE48" i="42"/>
  <c r="AE214" i="42"/>
  <c r="AE213" i="42" s="1"/>
  <c r="AE111" i="42"/>
  <c r="AE110" i="42" s="1"/>
  <c r="AE229" i="42"/>
  <c r="AE228" i="42" s="1"/>
  <c r="AE168" i="42"/>
  <c r="AE167" i="42" s="1"/>
  <c r="BN45" i="51"/>
  <c r="AH45" i="51"/>
  <c r="CC15" i="51" s="1"/>
  <c r="AD129" i="48"/>
  <c r="AC188" i="48"/>
  <c r="AC190" i="48" s="1"/>
  <c r="AC197" i="48" s="1"/>
  <c r="AC367" i="48" s="1"/>
  <c r="AD187" i="48"/>
  <c r="AC189" i="48"/>
  <c r="AC123" i="48"/>
  <c r="AC125" i="48" s="1"/>
  <c r="AD122" i="48"/>
  <c r="AC124" i="48"/>
  <c r="AD128" i="48"/>
  <c r="AD130" i="48"/>
  <c r="AE127" i="48"/>
  <c r="AB134" i="48"/>
  <c r="AB133" i="48"/>
  <c r="AB132" i="48"/>
  <c r="AB194" i="48"/>
  <c r="AB196" i="48"/>
  <c r="AC192" i="48"/>
  <c r="AB368" i="48"/>
  <c r="AD356" i="48"/>
  <c r="AB368" i="46"/>
  <c r="AB196" i="46"/>
  <c r="AC192" i="46"/>
  <c r="AB194" i="46"/>
  <c r="AC188" i="46"/>
  <c r="AC190" i="46" s="1"/>
  <c r="AC197" i="46" s="1"/>
  <c r="AC367" i="46" s="1"/>
  <c r="AD187" i="46"/>
  <c r="AC189" i="46"/>
  <c r="AB133" i="46"/>
  <c r="AB134" i="46"/>
  <c r="AD127" i="46"/>
  <c r="AF128" i="46"/>
  <c r="AC129" i="46"/>
  <c r="AC130" i="46" s="1"/>
  <c r="AC123" i="46"/>
  <c r="AC125" i="46" s="1"/>
  <c r="AD122" i="46"/>
  <c r="AC124" i="46"/>
  <c r="X3" i="45"/>
  <c r="X9" i="45" s="1"/>
  <c r="J23" i="40"/>
  <c r="B79" i="40"/>
  <c r="B29" i="40"/>
  <c r="B33" i="40"/>
  <c r="F27" i="40"/>
  <c r="F33" i="40"/>
  <c r="B28" i="40"/>
  <c r="B30" i="40"/>
  <c r="B32" i="40"/>
  <c r="B27" i="40"/>
  <c r="B31" i="40"/>
  <c r="F29" i="40"/>
  <c r="F31" i="40"/>
  <c r="F28" i="40"/>
  <c r="F30" i="40"/>
  <c r="I119" i="42"/>
  <c r="H178" i="42"/>
  <c r="I213" i="42"/>
  <c r="K1" i="42"/>
  <c r="J48" i="42"/>
  <c r="J47" i="42"/>
  <c r="J229" i="42"/>
  <c r="J111" i="42"/>
  <c r="J168" i="42"/>
  <c r="J214" i="42"/>
  <c r="I176" i="42"/>
  <c r="J174" i="42"/>
  <c r="J117" i="42"/>
  <c r="I120" i="42"/>
  <c r="H123" i="42"/>
  <c r="H124" i="42"/>
  <c r="I172" i="42"/>
  <c r="I179" i="42" s="1"/>
  <c r="I171" i="42"/>
  <c r="I167" i="42"/>
  <c r="I49" i="42"/>
  <c r="I46" i="42" s="1"/>
  <c r="J328" i="42"/>
  <c r="L118" i="42"/>
  <c r="I339" i="42"/>
  <c r="I340" i="42"/>
  <c r="K113" i="42"/>
  <c r="L112" i="42"/>
  <c r="K170" i="42"/>
  <c r="L169" i="42"/>
  <c r="I115" i="42"/>
  <c r="I122" i="42" s="1"/>
  <c r="I114" i="42"/>
  <c r="I110" i="42"/>
  <c r="I228" i="42"/>
  <c r="K328" i="38"/>
  <c r="C29" i="40"/>
  <c r="C33" i="40"/>
  <c r="C32" i="40"/>
  <c r="C31" i="40"/>
  <c r="C30" i="40"/>
  <c r="C28" i="40"/>
  <c r="C27" i="40"/>
  <c r="G30" i="40"/>
  <c r="G27" i="40"/>
  <c r="G33" i="40"/>
  <c r="G32" i="40"/>
  <c r="G31" i="40"/>
  <c r="G29" i="40"/>
  <c r="G28" i="40"/>
  <c r="D27" i="40"/>
  <c r="H27" i="40"/>
  <c r="D28" i="40"/>
  <c r="H28" i="40"/>
  <c r="D29" i="40"/>
  <c r="H29" i="40"/>
  <c r="D30" i="40"/>
  <c r="H30" i="40"/>
  <c r="D31" i="40"/>
  <c r="H31" i="40"/>
  <c r="D32" i="40"/>
  <c r="H32" i="40"/>
  <c r="E27" i="40"/>
  <c r="I27" i="40"/>
  <c r="E28" i="40"/>
  <c r="I28" i="40"/>
  <c r="E29" i="40"/>
  <c r="I29" i="40"/>
  <c r="E30" i="40"/>
  <c r="I30" i="40"/>
  <c r="E31" i="40"/>
  <c r="I31" i="40"/>
  <c r="E32" i="40"/>
  <c r="I32" i="40"/>
  <c r="BD9" i="45" l="1"/>
  <c r="AF168" i="42"/>
  <c r="AF167" i="42" s="1"/>
  <c r="AF48" i="42"/>
  <c r="AF47" i="42"/>
  <c r="AF49" i="42" s="1"/>
  <c r="AF46" i="42" s="1"/>
  <c r="AF229" i="42"/>
  <c r="AF228" i="42" s="1"/>
  <c r="AF111" i="42"/>
  <c r="AF110" i="42" s="1"/>
  <c r="AF214" i="42"/>
  <c r="AF213" i="42" s="1"/>
  <c r="T168" i="42"/>
  <c r="T167" i="42" s="1"/>
  <c r="T111" i="42"/>
  <c r="T110" i="42" s="1"/>
  <c r="U1" i="42"/>
  <c r="T48" i="42"/>
  <c r="T47" i="42"/>
  <c r="T49" i="42" s="1"/>
  <c r="T46" i="42" s="1"/>
  <c r="T214" i="42"/>
  <c r="T213" i="42" s="1"/>
  <c r="T229" i="42"/>
  <c r="T228" i="42" s="1"/>
  <c r="AE49" i="42"/>
  <c r="AE46" i="42" s="1"/>
  <c r="AE356" i="48"/>
  <c r="AE128" i="48"/>
  <c r="AE130" i="48" s="1"/>
  <c r="AC133" i="48"/>
  <c r="AC134" i="48"/>
  <c r="AC132" i="48"/>
  <c r="AC368" i="48"/>
  <c r="AE129" i="48"/>
  <c r="AC196" i="48"/>
  <c r="AD192" i="48"/>
  <c r="AC194" i="48"/>
  <c r="AF127" i="48"/>
  <c r="AE122" i="48"/>
  <c r="AD123" i="48"/>
  <c r="AD125" i="48" s="1"/>
  <c r="AD124" i="48"/>
  <c r="AD188" i="48"/>
  <c r="AD190" i="48" s="1"/>
  <c r="AD197" i="48" s="1"/>
  <c r="AD367" i="48" s="1"/>
  <c r="AE187" i="48"/>
  <c r="AD189" i="48"/>
  <c r="AG128" i="46"/>
  <c r="AD123" i="46"/>
  <c r="AD125" i="46" s="1"/>
  <c r="AD132" i="46" s="1"/>
  <c r="AE122" i="46"/>
  <c r="AD124" i="46"/>
  <c r="AD129" i="46"/>
  <c r="AD130" i="46" s="1"/>
  <c r="AE127" i="46"/>
  <c r="AC133" i="46"/>
  <c r="AC134" i="46"/>
  <c r="AC132" i="46"/>
  <c r="AC368" i="46"/>
  <c r="AE187" i="46"/>
  <c r="AD188" i="46"/>
  <c r="AD190" i="46" s="1"/>
  <c r="AD197" i="46" s="1"/>
  <c r="AD367" i="46" s="1"/>
  <c r="AD189" i="46"/>
  <c r="AC194" i="46"/>
  <c r="AC196" i="46"/>
  <c r="AD192" i="46"/>
  <c r="Y3" i="45"/>
  <c r="Y9" i="45" s="1"/>
  <c r="J213" i="42"/>
  <c r="J49" i="42"/>
  <c r="J46" i="42" s="1"/>
  <c r="I123" i="42"/>
  <c r="I124" i="42"/>
  <c r="M118" i="42"/>
  <c r="J171" i="42"/>
  <c r="J167" i="42"/>
  <c r="J172" i="42"/>
  <c r="J179" i="42" s="1"/>
  <c r="J339" i="42" s="1"/>
  <c r="J119" i="42"/>
  <c r="M169" i="42"/>
  <c r="L170" i="42"/>
  <c r="M112" i="42"/>
  <c r="L113" i="42"/>
  <c r="K328" i="42"/>
  <c r="J178" i="42"/>
  <c r="K174" i="42"/>
  <c r="J176" i="42"/>
  <c r="J114" i="42"/>
  <c r="J110" i="42"/>
  <c r="J115" i="42"/>
  <c r="L1" i="42"/>
  <c r="K48" i="42"/>
  <c r="K47" i="42"/>
  <c r="K229" i="42"/>
  <c r="K214" i="42"/>
  <c r="K168" i="42"/>
  <c r="K111" i="42"/>
  <c r="K117" i="42"/>
  <c r="J120" i="42"/>
  <c r="J122" i="42"/>
  <c r="I178" i="42"/>
  <c r="J228" i="42"/>
  <c r="L328" i="38"/>
  <c r="BE9" i="45" l="1"/>
  <c r="J340" i="42"/>
  <c r="U214" i="42"/>
  <c r="U213" i="42" s="1"/>
  <c r="U229" i="42"/>
  <c r="U228" i="42" s="1"/>
  <c r="U111" i="42"/>
  <c r="U110" i="42" s="1"/>
  <c r="V1" i="42"/>
  <c r="U48" i="42"/>
  <c r="U47" i="42"/>
  <c r="U49" i="42" s="1"/>
  <c r="U46" i="42" s="1"/>
  <c r="U168" i="42"/>
  <c r="U167" i="42" s="1"/>
  <c r="AF356" i="48"/>
  <c r="AF128" i="48"/>
  <c r="AF187" i="48"/>
  <c r="AE188" i="48"/>
  <c r="AE190" i="48" s="1"/>
  <c r="AE197" i="48" s="1"/>
  <c r="AE367" i="48" s="1"/>
  <c r="AE189" i="48"/>
  <c r="AG127" i="48"/>
  <c r="AD133" i="48"/>
  <c r="AD134" i="48"/>
  <c r="AD132" i="48"/>
  <c r="AD368" i="48"/>
  <c r="AF122" i="48"/>
  <c r="AE123" i="48"/>
  <c r="AE125" i="48" s="1"/>
  <c r="AE124" i="48"/>
  <c r="AE368" i="48"/>
  <c r="AD194" i="48"/>
  <c r="AD196" i="48"/>
  <c r="AE192" i="48"/>
  <c r="AF129" i="48"/>
  <c r="AD368" i="46"/>
  <c r="AD194" i="46"/>
  <c r="AD196" i="46"/>
  <c r="AE192" i="46"/>
  <c r="AE188" i="46"/>
  <c r="AE190" i="46" s="1"/>
  <c r="AE197" i="46" s="1"/>
  <c r="AE367" i="46" s="1"/>
  <c r="AF187" i="46"/>
  <c r="AE189" i="46"/>
  <c r="AE129" i="46"/>
  <c r="AE123" i="46"/>
  <c r="AE125" i="46" s="1"/>
  <c r="AE132" i="46" s="1"/>
  <c r="AF122" i="46"/>
  <c r="AE124" i="46"/>
  <c r="AD133" i="46"/>
  <c r="AD134" i="46"/>
  <c r="AG133" i="46"/>
  <c r="AF127" i="46"/>
  <c r="Z3" i="45"/>
  <c r="Z9" i="45" s="1"/>
  <c r="K114" i="42"/>
  <c r="K110" i="42"/>
  <c r="K115" i="42"/>
  <c r="K122" i="42" s="1"/>
  <c r="K49" i="42"/>
  <c r="K46" i="42" s="1"/>
  <c r="K176" i="42"/>
  <c r="L174" i="42"/>
  <c r="L328" i="42"/>
  <c r="M113" i="42"/>
  <c r="M115" i="42" s="1"/>
  <c r="N112" i="42"/>
  <c r="M114" i="42"/>
  <c r="K119" i="42"/>
  <c r="K120" i="42" s="1"/>
  <c r="K171" i="42"/>
  <c r="K167" i="42"/>
  <c r="K172" i="42"/>
  <c r="K179" i="42" s="1"/>
  <c r="K213" i="42"/>
  <c r="L48" i="42"/>
  <c r="L47" i="42"/>
  <c r="L111" i="42"/>
  <c r="L214" i="42"/>
  <c r="L229" i="42"/>
  <c r="L168" i="42"/>
  <c r="N118" i="42"/>
  <c r="L117" i="42"/>
  <c r="K228" i="42"/>
  <c r="J124" i="42"/>
  <c r="J123" i="42"/>
  <c r="K339" i="42"/>
  <c r="K340" i="42"/>
  <c r="M170" i="42"/>
  <c r="M172" i="42" s="1"/>
  <c r="M179" i="42" s="1"/>
  <c r="N169" i="42"/>
  <c r="M171" i="42"/>
  <c r="M328" i="38"/>
  <c r="BF9" i="45" l="1"/>
  <c r="V168" i="42"/>
  <c r="V167" i="42" s="1"/>
  <c r="V214" i="42"/>
  <c r="V213" i="42" s="1"/>
  <c r="V229" i="42"/>
  <c r="V228" i="42" s="1"/>
  <c r="V111" i="42"/>
  <c r="V110" i="42" s="1"/>
  <c r="V48" i="42"/>
  <c r="V47" i="42"/>
  <c r="V49" i="42" s="1"/>
  <c r="V46" i="42" s="1"/>
  <c r="AE194" i="48"/>
  <c r="AE196" i="48"/>
  <c r="AF192" i="48"/>
  <c r="AG129" i="48"/>
  <c r="AE133" i="48"/>
  <c r="AE134" i="48"/>
  <c r="AE132" i="48"/>
  <c r="AF130" i="48"/>
  <c r="AF123" i="48"/>
  <c r="AF125" i="48" s="1"/>
  <c r="AF124" i="48"/>
  <c r="AG128" i="48"/>
  <c r="AG130" i="48"/>
  <c r="AG132" i="48"/>
  <c r="AF188" i="48"/>
  <c r="AF190" i="48" s="1"/>
  <c r="AF197" i="48" s="1"/>
  <c r="AF367" i="48" s="1"/>
  <c r="AF189" i="48"/>
  <c r="AG356" i="48"/>
  <c r="AF129" i="46"/>
  <c r="AF130" i="46" s="1"/>
  <c r="AE130" i="46"/>
  <c r="AE368" i="46"/>
  <c r="AF123" i="46"/>
  <c r="AF125" i="46" s="1"/>
  <c r="AF132" i="46" s="1"/>
  <c r="AF124" i="46"/>
  <c r="AE194" i="46"/>
  <c r="AE196" i="46"/>
  <c r="AF192" i="46"/>
  <c r="AG127" i="46"/>
  <c r="AE134" i="46"/>
  <c r="AE133" i="46"/>
  <c r="AF188" i="46"/>
  <c r="AF190" i="46" s="1"/>
  <c r="AF197" i="46" s="1"/>
  <c r="AF367" i="46" s="1"/>
  <c r="AF189" i="46"/>
  <c r="AA3" i="45"/>
  <c r="AA9" i="45" s="1"/>
  <c r="N170" i="42"/>
  <c r="N172" i="42" s="1"/>
  <c r="N179" i="42" s="1"/>
  <c r="O169" i="42"/>
  <c r="N171" i="42"/>
  <c r="M117" i="42"/>
  <c r="L114" i="42"/>
  <c r="L110" i="42"/>
  <c r="L115" i="42"/>
  <c r="M328" i="42"/>
  <c r="K178" i="42"/>
  <c r="L171" i="42"/>
  <c r="L167" i="42"/>
  <c r="L172" i="42"/>
  <c r="L179" i="42" s="1"/>
  <c r="L340" i="42" s="1"/>
  <c r="L49" i="42"/>
  <c r="L46" i="42" s="1"/>
  <c r="L119" i="42"/>
  <c r="N113" i="42"/>
  <c r="N115" i="42" s="1"/>
  <c r="O112" i="42"/>
  <c r="N114" i="42"/>
  <c r="K123" i="42"/>
  <c r="K124" i="42"/>
  <c r="L339" i="42"/>
  <c r="L228" i="42"/>
  <c r="M123" i="42"/>
  <c r="O118" i="42"/>
  <c r="L213" i="42"/>
  <c r="L176" i="42"/>
  <c r="L178" i="42"/>
  <c r="M174" i="42"/>
  <c r="N328" i="38"/>
  <c r="BG9" i="45" l="1"/>
  <c r="AF368" i="48"/>
  <c r="AF134" i="48"/>
  <c r="AF133" i="48"/>
  <c r="AF132" i="48"/>
  <c r="AG134" i="48"/>
  <c r="AF194" i="48"/>
  <c r="AF196" i="48"/>
  <c r="AG192" i="48"/>
  <c r="AG133" i="48"/>
  <c r="AF368" i="46"/>
  <c r="AF196" i="46"/>
  <c r="AG192" i="46"/>
  <c r="AF194" i="46"/>
  <c r="AG129" i="46"/>
  <c r="AG132" i="46"/>
  <c r="AG130" i="46"/>
  <c r="AF133" i="46"/>
  <c r="AF134" i="46"/>
  <c r="AB3" i="45"/>
  <c r="AB9" i="45" s="1"/>
  <c r="O113" i="42"/>
  <c r="O115" i="42" s="1"/>
  <c r="P112" i="42"/>
  <c r="O114" i="42"/>
  <c r="N117" i="42"/>
  <c r="M122" i="42"/>
  <c r="O170" i="42"/>
  <c r="O172" i="42" s="1"/>
  <c r="O179" i="42" s="1"/>
  <c r="P169" i="42"/>
  <c r="O171" i="42"/>
  <c r="N123" i="42"/>
  <c r="N328" i="42"/>
  <c r="L123" i="42"/>
  <c r="L124" i="42"/>
  <c r="L122" i="42"/>
  <c r="M176" i="42"/>
  <c r="M178" i="42"/>
  <c r="N174" i="42"/>
  <c r="P118" i="42"/>
  <c r="M339" i="42"/>
  <c r="M340" i="42"/>
  <c r="M119" i="42"/>
  <c r="M120" i="42" s="1"/>
  <c r="L120" i="42"/>
  <c r="O328" i="38"/>
  <c r="M26" i="39"/>
  <c r="L26" i="39"/>
  <c r="K26" i="39"/>
  <c r="I26" i="39"/>
  <c r="H26" i="39"/>
  <c r="G26" i="39"/>
  <c r="F26" i="39"/>
  <c r="E26" i="39"/>
  <c r="J25" i="39"/>
  <c r="B22" i="39"/>
  <c r="D25" i="39" s="1"/>
  <c r="G8" i="39"/>
  <c r="F8" i="39"/>
  <c r="E8" i="39"/>
  <c r="D8" i="39"/>
  <c r="L11" i="39"/>
  <c r="N10" i="39"/>
  <c r="N11" i="39" s="1"/>
  <c r="M10" i="39"/>
  <c r="M11" i="39" s="1"/>
  <c r="L10" i="39"/>
  <c r="K10" i="39"/>
  <c r="K11" i="39" s="1"/>
  <c r="J10" i="39"/>
  <c r="J11" i="39" s="1"/>
  <c r="I10" i="39"/>
  <c r="D3" i="37"/>
  <c r="E5" i="39"/>
  <c r="D5" i="39"/>
  <c r="D7" i="39" s="1"/>
  <c r="C11" i="39"/>
  <c r="B10" i="39"/>
  <c r="N8" i="39"/>
  <c r="C8" i="39"/>
  <c r="K3" i="39"/>
  <c r="C3" i="39"/>
  <c r="N2" i="39"/>
  <c r="N3" i="39" s="1"/>
  <c r="M2" i="39"/>
  <c r="M3" i="39" s="1"/>
  <c r="L2" i="39"/>
  <c r="L3" i="39" s="1"/>
  <c r="K2" i="39"/>
  <c r="J2" i="39"/>
  <c r="J3" i="39" s="1"/>
  <c r="I2" i="39"/>
  <c r="I3" i="39" s="1"/>
  <c r="I4" i="39" s="1"/>
  <c r="D2" i="39"/>
  <c r="D3" i="39" s="1"/>
  <c r="B2" i="39"/>
  <c r="B3" i="39" s="1"/>
  <c r="B4" i="39" s="1"/>
  <c r="AG228" i="38"/>
  <c r="C228" i="38"/>
  <c r="AG213" i="38"/>
  <c r="C213" i="38"/>
  <c r="C175" i="38"/>
  <c r="D174" i="38"/>
  <c r="AG171" i="38"/>
  <c r="C171" i="38"/>
  <c r="AG170" i="38"/>
  <c r="AG172" i="38" s="1"/>
  <c r="C170" i="38"/>
  <c r="C172" i="38" s="1"/>
  <c r="D169" i="38"/>
  <c r="AG167" i="38"/>
  <c r="C167" i="38"/>
  <c r="C119" i="38"/>
  <c r="D118" i="38"/>
  <c r="D117" i="38"/>
  <c r="AG114" i="38"/>
  <c r="C114" i="38"/>
  <c r="AG113" i="38"/>
  <c r="AG115" i="38" s="1"/>
  <c r="C113" i="38"/>
  <c r="C115" i="38" s="1"/>
  <c r="D112" i="38"/>
  <c r="AG110" i="38"/>
  <c r="C110" i="38"/>
  <c r="W49" i="38"/>
  <c r="M49" i="38"/>
  <c r="M46" i="38" s="1"/>
  <c r="C49" i="38"/>
  <c r="AG48" i="38"/>
  <c r="AG47" i="38"/>
  <c r="X1" i="38"/>
  <c r="N1" i="38"/>
  <c r="D1" i="38"/>
  <c r="E1" i="38" s="1"/>
  <c r="BH9" i="45" l="1"/>
  <c r="AG196" i="48"/>
  <c r="AG194" i="48"/>
  <c r="AG194" i="46"/>
  <c r="AG196" i="46"/>
  <c r="AG134" i="46"/>
  <c r="AC3" i="45"/>
  <c r="AC9" i="45" s="1"/>
  <c r="D4" i="36"/>
  <c r="AJ4" i="36" s="1"/>
  <c r="B13" i="40"/>
  <c r="I8" i="39"/>
  <c r="D5" i="36"/>
  <c r="AJ5" i="36" s="1"/>
  <c r="G5" i="39"/>
  <c r="G6" i="39" s="1"/>
  <c r="C5" i="39"/>
  <c r="C7" i="39" s="1"/>
  <c r="C9" i="39" s="1"/>
  <c r="O328" i="42"/>
  <c r="N339" i="42"/>
  <c r="N340" i="42"/>
  <c r="Q118" i="42"/>
  <c r="N178" i="42"/>
  <c r="O174" i="42"/>
  <c r="N176" i="42"/>
  <c r="N119" i="42"/>
  <c r="M124" i="42"/>
  <c r="Q169" i="42"/>
  <c r="P170" i="42"/>
  <c r="P172" i="42" s="1"/>
  <c r="P179" i="42" s="1"/>
  <c r="P171" i="42"/>
  <c r="Q112" i="42"/>
  <c r="P113" i="42"/>
  <c r="P115" i="42" s="1"/>
  <c r="P114" i="42"/>
  <c r="O117" i="42"/>
  <c r="N120" i="42"/>
  <c r="N122" i="42"/>
  <c r="O123" i="42"/>
  <c r="P328" i="38"/>
  <c r="C176" i="38"/>
  <c r="E118" i="38"/>
  <c r="D170" i="38"/>
  <c r="C122" i="38"/>
  <c r="C120" i="38"/>
  <c r="E169" i="38"/>
  <c r="H11" i="39"/>
  <c r="H5" i="39"/>
  <c r="H6" i="39" s="1"/>
  <c r="F11" i="39"/>
  <c r="D119" i="38"/>
  <c r="D175" i="38"/>
  <c r="E175" i="38" s="1"/>
  <c r="F175" i="38" s="1"/>
  <c r="G175" i="38" s="1"/>
  <c r="H175" i="38" s="1"/>
  <c r="I175" i="38" s="1"/>
  <c r="J175" i="38" s="1"/>
  <c r="K175" i="38" s="1"/>
  <c r="L175" i="38" s="1"/>
  <c r="M175" i="38" s="1"/>
  <c r="N175" i="38" s="1"/>
  <c r="O175" i="38" s="1"/>
  <c r="P175" i="38" s="1"/>
  <c r="Q175" i="38" s="1"/>
  <c r="R175" i="38" s="1"/>
  <c r="S175" i="38" s="1"/>
  <c r="T175" i="38" s="1"/>
  <c r="U175" i="38" s="1"/>
  <c r="V175" i="38" s="1"/>
  <c r="W175" i="38" s="1"/>
  <c r="X175" i="38" s="1"/>
  <c r="Y175" i="38" s="1"/>
  <c r="Z175" i="38" s="1"/>
  <c r="AA175" i="38" s="1"/>
  <c r="AB175" i="38" s="1"/>
  <c r="AC175" i="38" s="1"/>
  <c r="AD175" i="38" s="1"/>
  <c r="AE175" i="38" s="1"/>
  <c r="AF175" i="38" s="1"/>
  <c r="AG175" i="38" s="1"/>
  <c r="AG179" i="38" s="1"/>
  <c r="Y1" i="38"/>
  <c r="Y47" i="38" s="1"/>
  <c r="D47" i="38"/>
  <c r="G11" i="39"/>
  <c r="D11" i="39"/>
  <c r="D9" i="39"/>
  <c r="D6" i="39"/>
  <c r="F5" i="39"/>
  <c r="F6" i="39" s="1"/>
  <c r="I11" i="39"/>
  <c r="C14" i="39"/>
  <c r="C4" i="39"/>
  <c r="F3" i="39"/>
  <c r="D14" i="39"/>
  <c r="D4" i="39"/>
  <c r="E3" i="39"/>
  <c r="H3" i="39"/>
  <c r="G3" i="39"/>
  <c r="E7" i="39"/>
  <c r="E9" i="39" s="1"/>
  <c r="E6" i="39"/>
  <c r="M7" i="39"/>
  <c r="M4" i="39"/>
  <c r="K7" i="39"/>
  <c r="K4" i="39"/>
  <c r="L7" i="39"/>
  <c r="L4" i="39"/>
  <c r="J7" i="39"/>
  <c r="J4" i="39"/>
  <c r="N7" i="39"/>
  <c r="N9" i="39" s="1"/>
  <c r="N4" i="39"/>
  <c r="F7" i="39"/>
  <c r="F9" i="39" s="1"/>
  <c r="G7" i="39"/>
  <c r="E11" i="39"/>
  <c r="N25" i="39"/>
  <c r="H8" i="39"/>
  <c r="O10" i="39"/>
  <c r="B25" i="39"/>
  <c r="E48" i="38"/>
  <c r="E47" i="38"/>
  <c r="F1" i="38"/>
  <c r="N48" i="38"/>
  <c r="N47" i="38"/>
  <c r="O1" i="38"/>
  <c r="C46" i="38"/>
  <c r="D48" i="38"/>
  <c r="AG49" i="38"/>
  <c r="X47" i="38"/>
  <c r="X48" i="38"/>
  <c r="W46" i="38"/>
  <c r="D113" i="38"/>
  <c r="E112" i="38"/>
  <c r="C123" i="38"/>
  <c r="C124" i="38"/>
  <c r="C179" i="38"/>
  <c r="C178" i="38"/>
  <c r="E117" i="38"/>
  <c r="E174" i="38"/>
  <c r="BI9" i="45" l="1"/>
  <c r="AG340" i="38"/>
  <c r="AG339" i="38"/>
  <c r="C340" i="38"/>
  <c r="C339" i="38"/>
  <c r="AD3" i="45"/>
  <c r="AD9" i="45" s="1"/>
  <c r="C6" i="39"/>
  <c r="P123" i="42"/>
  <c r="P328" i="42"/>
  <c r="Q113" i="42"/>
  <c r="Q115" i="42" s="1"/>
  <c r="R112" i="42"/>
  <c r="Q114" i="42"/>
  <c r="Q170" i="42"/>
  <c r="Q172" i="42" s="1"/>
  <c r="Q179" i="42" s="1"/>
  <c r="R169" i="42"/>
  <c r="Q171" i="42"/>
  <c r="O119" i="42"/>
  <c r="N124" i="42"/>
  <c r="O176" i="42"/>
  <c r="O178" i="42"/>
  <c r="P174" i="42"/>
  <c r="O120" i="42"/>
  <c r="O122" i="42"/>
  <c r="P117" i="42"/>
  <c r="R118" i="42"/>
  <c r="O339" i="42"/>
  <c r="O340" i="42"/>
  <c r="Q328" i="38"/>
  <c r="W214" i="38"/>
  <c r="X214" i="38" s="1"/>
  <c r="M168" i="38"/>
  <c r="Y48" i="38"/>
  <c r="E170" i="38"/>
  <c r="F118" i="38"/>
  <c r="D176" i="38"/>
  <c r="F169" i="38"/>
  <c r="E119" i="38"/>
  <c r="M214" i="38"/>
  <c r="O214" i="38" s="1"/>
  <c r="M111" i="38"/>
  <c r="E111" i="38" s="1"/>
  <c r="W229" i="38"/>
  <c r="D120" i="38"/>
  <c r="W168" i="38"/>
  <c r="C13" i="39"/>
  <c r="D13" i="39"/>
  <c r="Z1" i="38"/>
  <c r="H14" i="39"/>
  <c r="H4" i="39"/>
  <c r="H13" i="39" s="1"/>
  <c r="F14" i="39"/>
  <c r="F4" i="39"/>
  <c r="F13" i="39" s="1"/>
  <c r="G14" i="39"/>
  <c r="G4" i="39"/>
  <c r="G13" i="39" s="1"/>
  <c r="M8" i="39"/>
  <c r="M9" i="39" s="1"/>
  <c r="L8" i="39"/>
  <c r="L9" i="39" s="1"/>
  <c r="K8" i="39"/>
  <c r="K9" i="39" s="1"/>
  <c r="J8" i="39"/>
  <c r="J9" i="39" s="1"/>
  <c r="E14" i="39"/>
  <c r="E4" i="39"/>
  <c r="E13" i="39" s="1"/>
  <c r="I7" i="39"/>
  <c r="I9" i="39" s="1"/>
  <c r="H7" i="39"/>
  <c r="H9" i="39" s="1"/>
  <c r="G9" i="39"/>
  <c r="O48" i="38"/>
  <c r="O47" i="38"/>
  <c r="P1" i="38"/>
  <c r="E49" i="38"/>
  <c r="AG46" i="38"/>
  <c r="N49" i="38"/>
  <c r="F117" i="38"/>
  <c r="F174" i="38"/>
  <c r="E176" i="38"/>
  <c r="E113" i="38"/>
  <c r="F112" i="38"/>
  <c r="M229" i="38"/>
  <c r="W111" i="38"/>
  <c r="X49" i="38"/>
  <c r="D49" i="38"/>
  <c r="F48" i="38"/>
  <c r="F47" i="38"/>
  <c r="G1" i="38"/>
  <c r="BJ9" i="45" l="1"/>
  <c r="Z214" i="38"/>
  <c r="AE3" i="45"/>
  <c r="AE9" i="45" s="1"/>
  <c r="P339" i="42"/>
  <c r="P340" i="42"/>
  <c r="R170" i="42"/>
  <c r="R172" i="42" s="1"/>
  <c r="R179" i="42" s="1"/>
  <c r="S169" i="42"/>
  <c r="R171" i="42"/>
  <c r="R113" i="42"/>
  <c r="R115" i="42" s="1"/>
  <c r="S112" i="42"/>
  <c r="R114" i="42"/>
  <c r="Q328" i="42"/>
  <c r="P122" i="42"/>
  <c r="Q117" i="42"/>
  <c r="P119" i="42"/>
  <c r="P120" i="42" s="1"/>
  <c r="O124" i="42"/>
  <c r="Q123" i="42"/>
  <c r="S118" i="42"/>
  <c r="P176" i="42"/>
  <c r="P178" i="42"/>
  <c r="Q174" i="42"/>
  <c r="R328" i="38"/>
  <c r="W213" i="38"/>
  <c r="Y214" i="38"/>
  <c r="Y213" i="38" s="1"/>
  <c r="Y49" i="38"/>
  <c r="Y46" i="38" s="1"/>
  <c r="E168" i="38"/>
  <c r="F168" i="38"/>
  <c r="M213" i="38"/>
  <c r="M167" i="38"/>
  <c r="D168" i="38"/>
  <c r="W228" i="38"/>
  <c r="N168" i="38"/>
  <c r="G169" i="38"/>
  <c r="E120" i="38"/>
  <c r="F214" i="38"/>
  <c r="G118" i="38"/>
  <c r="N214" i="38"/>
  <c r="N213" i="38" s="1"/>
  <c r="X229" i="38"/>
  <c r="F170" i="38"/>
  <c r="W167" i="38"/>
  <c r="G214" i="38"/>
  <c r="G213" i="38" s="1"/>
  <c r="D214" i="38"/>
  <c r="D213" i="38" s="1"/>
  <c r="P214" i="38"/>
  <c r="P213" i="38" s="1"/>
  <c r="E214" i="38"/>
  <c r="E213" i="38" s="1"/>
  <c r="X168" i="38"/>
  <c r="N111" i="38"/>
  <c r="N110" i="38" s="1"/>
  <c r="O168" i="38"/>
  <c r="F119" i="38"/>
  <c r="P168" i="38"/>
  <c r="M110" i="38"/>
  <c r="Y168" i="38"/>
  <c r="F111" i="38"/>
  <c r="F110" i="38" s="1"/>
  <c r="D111" i="38"/>
  <c r="D115" i="38" s="1"/>
  <c r="Z229" i="38"/>
  <c r="Y229" i="38"/>
  <c r="AA1" i="38"/>
  <c r="AA111" i="38" s="1"/>
  <c r="Z47" i="38"/>
  <c r="Z48" i="38"/>
  <c r="Z168" i="38"/>
  <c r="N46" i="38"/>
  <c r="X111" i="38"/>
  <c r="Z111" i="38"/>
  <c r="Y111" i="38"/>
  <c r="W110" i="38"/>
  <c r="O111" i="38"/>
  <c r="P48" i="38"/>
  <c r="P47" i="38"/>
  <c r="Q1" i="38"/>
  <c r="Q111" i="38" s="1"/>
  <c r="G48" i="38"/>
  <c r="G47" i="38"/>
  <c r="H1" i="38"/>
  <c r="H229" i="38" s="1"/>
  <c r="E229" i="38"/>
  <c r="P229" i="38"/>
  <c r="D229" i="38"/>
  <c r="O229" i="38"/>
  <c r="G229" i="38"/>
  <c r="M228" i="38"/>
  <c r="F229" i="38"/>
  <c r="N229" i="38"/>
  <c r="O213" i="38"/>
  <c r="O49" i="38"/>
  <c r="Z213" i="38"/>
  <c r="F176" i="38"/>
  <c r="G174" i="38"/>
  <c r="D46" i="38"/>
  <c r="X46" i="38"/>
  <c r="E114" i="38"/>
  <c r="E110" i="38"/>
  <c r="E115" i="38"/>
  <c r="F49" i="38"/>
  <c r="G112" i="38"/>
  <c r="F113" i="38"/>
  <c r="E171" i="38"/>
  <c r="G168" i="38"/>
  <c r="G117" i="38"/>
  <c r="G111" i="38"/>
  <c r="P111" i="38"/>
  <c r="E46" i="38"/>
  <c r="X213" i="38"/>
  <c r="BK9" i="45" l="1"/>
  <c r="AF3" i="45"/>
  <c r="AF9" i="45" s="1"/>
  <c r="R117" i="42"/>
  <c r="Q122" i="42"/>
  <c r="R328" i="42"/>
  <c r="R123" i="42"/>
  <c r="Q176" i="42"/>
  <c r="Q178" i="42"/>
  <c r="R174" i="42"/>
  <c r="Q339" i="42"/>
  <c r="Q340" i="42"/>
  <c r="S170" i="42"/>
  <c r="S172" i="42" s="1"/>
  <c r="S179" i="42" s="1"/>
  <c r="T169" i="42"/>
  <c r="S171" i="42"/>
  <c r="T118" i="42"/>
  <c r="Q119" i="42"/>
  <c r="Q120" i="42" s="1"/>
  <c r="P124" i="42"/>
  <c r="S113" i="42"/>
  <c r="S115" i="42" s="1"/>
  <c r="T112" i="42"/>
  <c r="S114" i="42"/>
  <c r="S328" i="38"/>
  <c r="F114" i="38"/>
  <c r="E172" i="38"/>
  <c r="E179" i="38" s="1"/>
  <c r="E167" i="38"/>
  <c r="D171" i="38"/>
  <c r="F167" i="38"/>
  <c r="F171" i="38"/>
  <c r="F172" i="38"/>
  <c r="F179" i="38" s="1"/>
  <c r="D172" i="38"/>
  <c r="D179" i="38" s="1"/>
  <c r="D167" i="38"/>
  <c r="O228" i="38"/>
  <c r="H228" i="38"/>
  <c r="P228" i="38"/>
  <c r="N228" i="38"/>
  <c r="Z228" i="38"/>
  <c r="F228" i="38"/>
  <c r="D228" i="38"/>
  <c r="G228" i="38"/>
  <c r="E228" i="38"/>
  <c r="Y228" i="38"/>
  <c r="X228" i="38"/>
  <c r="N167" i="38"/>
  <c r="F213" i="38"/>
  <c r="P167" i="38"/>
  <c r="G170" i="38"/>
  <c r="G172" i="38" s="1"/>
  <c r="H169" i="38"/>
  <c r="D110" i="38"/>
  <c r="Z167" i="38"/>
  <c r="Y167" i="38"/>
  <c r="F120" i="38"/>
  <c r="X167" i="38"/>
  <c r="O167" i="38"/>
  <c r="H118" i="38"/>
  <c r="Q229" i="38"/>
  <c r="D114" i="38"/>
  <c r="G119" i="38"/>
  <c r="Z49" i="38"/>
  <c r="F115" i="38"/>
  <c r="AB1" i="38"/>
  <c r="AA48" i="38"/>
  <c r="AA47" i="38"/>
  <c r="AA214" i="38"/>
  <c r="AA229" i="38"/>
  <c r="AA168" i="38"/>
  <c r="G49" i="38"/>
  <c r="Z110" i="38"/>
  <c r="P110" i="38"/>
  <c r="H117" i="38"/>
  <c r="E123" i="38"/>
  <c r="E124" i="38"/>
  <c r="E122" i="38"/>
  <c r="Y110" i="38"/>
  <c r="Q110" i="38"/>
  <c r="G113" i="38"/>
  <c r="G115" i="38" s="1"/>
  <c r="H112" i="38"/>
  <c r="P49" i="38"/>
  <c r="D124" i="38"/>
  <c r="D123" i="38"/>
  <c r="D122" i="38"/>
  <c r="AA110" i="38"/>
  <c r="G171" i="38"/>
  <c r="G167" i="38"/>
  <c r="O110" i="38"/>
  <c r="X110" i="38"/>
  <c r="G114" i="38"/>
  <c r="G110" i="38"/>
  <c r="G176" i="38"/>
  <c r="H174" i="38"/>
  <c r="F46" i="38"/>
  <c r="O46" i="38"/>
  <c r="H47" i="38"/>
  <c r="I1" i="38"/>
  <c r="H48" i="38"/>
  <c r="H214" i="38"/>
  <c r="H111" i="38"/>
  <c r="H168" i="38"/>
  <c r="Q47" i="38"/>
  <c r="R1" i="38"/>
  <c r="Q48" i="38"/>
  <c r="Q214" i="38"/>
  <c r="Q168" i="38"/>
  <c r="BL9" i="45" l="1"/>
  <c r="E339" i="38"/>
  <c r="E340" i="38"/>
  <c r="D340" i="38"/>
  <c r="D339" i="38"/>
  <c r="F340" i="38"/>
  <c r="F339" i="38"/>
  <c r="AG3" i="45"/>
  <c r="AG9" i="45" s="1"/>
  <c r="R178" i="42"/>
  <c r="S174" i="42"/>
  <c r="R176" i="42"/>
  <c r="U112" i="42"/>
  <c r="T113" i="42"/>
  <c r="T115" i="42" s="1"/>
  <c r="T114" i="42"/>
  <c r="R119" i="42"/>
  <c r="R120" i="42" s="1"/>
  <c r="Q124" i="42"/>
  <c r="U118" i="42"/>
  <c r="U169" i="42"/>
  <c r="T170" i="42"/>
  <c r="T172" i="42" s="1"/>
  <c r="T179" i="42" s="1"/>
  <c r="T171" i="42"/>
  <c r="S328" i="42"/>
  <c r="S123" i="42"/>
  <c r="R339" i="42"/>
  <c r="R340" i="42"/>
  <c r="S117" i="42"/>
  <c r="R122" i="42"/>
  <c r="T328" i="38"/>
  <c r="D178" i="38"/>
  <c r="E178" i="38"/>
  <c r="F178" i="38"/>
  <c r="Q228" i="38"/>
  <c r="AA228" i="38"/>
  <c r="G120" i="38"/>
  <c r="H170" i="38"/>
  <c r="H172" i="38" s="1"/>
  <c r="I169" i="38"/>
  <c r="G179" i="38"/>
  <c r="I118" i="38"/>
  <c r="AA167" i="38"/>
  <c r="F123" i="38"/>
  <c r="F122" i="38"/>
  <c r="H119" i="38"/>
  <c r="F124" i="38"/>
  <c r="Z46" i="38"/>
  <c r="AA49" i="38"/>
  <c r="AB47" i="38"/>
  <c r="AB48" i="38"/>
  <c r="AC1" i="38"/>
  <c r="AB229" i="38"/>
  <c r="AB214" i="38"/>
  <c r="AB168" i="38"/>
  <c r="AB111" i="38"/>
  <c r="AB110" i="38" s="1"/>
  <c r="AA213" i="38"/>
  <c r="Q167" i="38"/>
  <c r="R48" i="38"/>
  <c r="R47" i="38"/>
  <c r="S1" i="38"/>
  <c r="R214" i="38"/>
  <c r="R168" i="38"/>
  <c r="R229" i="38"/>
  <c r="R111" i="38"/>
  <c r="H114" i="38"/>
  <c r="H110" i="38"/>
  <c r="I48" i="38"/>
  <c r="I47" i="38"/>
  <c r="J1" i="38"/>
  <c r="I214" i="38"/>
  <c r="I111" i="38"/>
  <c r="I168" i="38"/>
  <c r="I229" i="38"/>
  <c r="G123" i="38"/>
  <c r="G124" i="38"/>
  <c r="H113" i="38"/>
  <c r="H115" i="38" s="1"/>
  <c r="I112" i="38"/>
  <c r="G122" i="38"/>
  <c r="H213" i="38"/>
  <c r="H176" i="38"/>
  <c r="I174" i="38"/>
  <c r="I117" i="38"/>
  <c r="H167" i="38"/>
  <c r="H171" i="38"/>
  <c r="P46" i="38"/>
  <c r="Q213" i="38"/>
  <c r="Q49" i="38"/>
  <c r="H49" i="38"/>
  <c r="G178" i="38"/>
  <c r="G46" i="38"/>
  <c r="BM9" i="45" l="1"/>
  <c r="G340" i="38"/>
  <c r="G339" i="38"/>
  <c r="AH3" i="45"/>
  <c r="AH9" i="45" s="1"/>
  <c r="S119" i="42"/>
  <c r="R124" i="42"/>
  <c r="U113" i="42"/>
  <c r="U115" i="42" s="1"/>
  <c r="V112" i="42"/>
  <c r="U114" i="42"/>
  <c r="V118" i="42"/>
  <c r="S339" i="42"/>
  <c r="S340" i="42"/>
  <c r="U170" i="42"/>
  <c r="U172" i="42" s="1"/>
  <c r="U179" i="42" s="1"/>
  <c r="V169" i="42"/>
  <c r="U171" i="42"/>
  <c r="S176" i="42"/>
  <c r="S178" i="42"/>
  <c r="T174" i="42"/>
  <c r="S120" i="42"/>
  <c r="S122" i="42"/>
  <c r="T117" i="42"/>
  <c r="T328" i="42"/>
  <c r="T123" i="42"/>
  <c r="U328" i="38"/>
  <c r="I228" i="38"/>
  <c r="AB228" i="38"/>
  <c r="R228" i="38"/>
  <c r="H179" i="38"/>
  <c r="AB167" i="38"/>
  <c r="H120" i="38"/>
  <c r="J118" i="38"/>
  <c r="I170" i="38"/>
  <c r="I172" i="38" s="1"/>
  <c r="J169" i="38"/>
  <c r="I119" i="38"/>
  <c r="AB49" i="38"/>
  <c r="AB213" i="38"/>
  <c r="AC214" i="38"/>
  <c r="AC48" i="38"/>
  <c r="AC168" i="38"/>
  <c r="AD1" i="38"/>
  <c r="AC229" i="38"/>
  <c r="AC47" i="38"/>
  <c r="AC111" i="38"/>
  <c r="AC110" i="38" s="1"/>
  <c r="AA46" i="38"/>
  <c r="H124" i="38"/>
  <c r="H123" i="38"/>
  <c r="H122" i="38"/>
  <c r="R110" i="38"/>
  <c r="J174" i="38"/>
  <c r="I176" i="38"/>
  <c r="I167" i="38"/>
  <c r="I171" i="38"/>
  <c r="J48" i="38"/>
  <c r="J47" i="38"/>
  <c r="K1" i="38"/>
  <c r="J214" i="38"/>
  <c r="J168" i="38"/>
  <c r="J111" i="38"/>
  <c r="J229" i="38"/>
  <c r="S48" i="38"/>
  <c r="S47" i="38"/>
  <c r="T1" i="38"/>
  <c r="S214" i="38"/>
  <c r="S111" i="38"/>
  <c r="S168" i="38"/>
  <c r="S229" i="38"/>
  <c r="J117" i="38"/>
  <c r="H178" i="38"/>
  <c r="I114" i="38"/>
  <c r="I110" i="38"/>
  <c r="I49" i="38"/>
  <c r="R167" i="38"/>
  <c r="R49" i="38"/>
  <c r="H46" i="38"/>
  <c r="Q46" i="38"/>
  <c r="I113" i="38"/>
  <c r="I115" i="38" s="1"/>
  <c r="J112" i="38"/>
  <c r="I213" i="38"/>
  <c r="R213" i="38"/>
  <c r="BN9" i="45" l="1"/>
  <c r="H339" i="38"/>
  <c r="H340" i="38"/>
  <c r="T176" i="42"/>
  <c r="T178" i="42"/>
  <c r="U174" i="42"/>
  <c r="T122" i="42"/>
  <c r="U117" i="42"/>
  <c r="T339" i="42"/>
  <c r="T340" i="42"/>
  <c r="T119" i="42"/>
  <c r="S124" i="42"/>
  <c r="W118" i="42"/>
  <c r="V113" i="42"/>
  <c r="V115" i="42" s="1"/>
  <c r="W112" i="42"/>
  <c r="V114" i="42"/>
  <c r="U328" i="42"/>
  <c r="V170" i="42"/>
  <c r="V172" i="42" s="1"/>
  <c r="V179" i="42" s="1"/>
  <c r="W169" i="42"/>
  <c r="V171" i="42"/>
  <c r="U123" i="42"/>
  <c r="V328" i="38"/>
  <c r="S228" i="38"/>
  <c r="AC228" i="38"/>
  <c r="J228" i="38"/>
  <c r="I179" i="38"/>
  <c r="J170" i="38"/>
  <c r="J172" i="38" s="1"/>
  <c r="K169" i="38"/>
  <c r="K118" i="38"/>
  <c r="I120" i="38"/>
  <c r="AC167" i="38"/>
  <c r="J119" i="38"/>
  <c r="AD229" i="38"/>
  <c r="AD47" i="38"/>
  <c r="AD214" i="38"/>
  <c r="AD111" i="38"/>
  <c r="AD110" i="38" s="1"/>
  <c r="AD48" i="38"/>
  <c r="AE1" i="38"/>
  <c r="AD168" i="38"/>
  <c r="AC49" i="38"/>
  <c r="AC213" i="38"/>
  <c r="AB46" i="38"/>
  <c r="I123" i="38"/>
  <c r="I124" i="38"/>
  <c r="I122" i="38"/>
  <c r="J213" i="38"/>
  <c r="S167" i="38"/>
  <c r="I46" i="38"/>
  <c r="S110" i="38"/>
  <c r="T47" i="38"/>
  <c r="T48" i="38"/>
  <c r="U1" i="38"/>
  <c r="T214" i="38"/>
  <c r="T168" i="38"/>
  <c r="T111" i="38"/>
  <c r="T229" i="38"/>
  <c r="J114" i="38"/>
  <c r="J110" i="38"/>
  <c r="K47" i="38"/>
  <c r="K48" i="38"/>
  <c r="L1" i="38"/>
  <c r="K214" i="38"/>
  <c r="K111" i="38"/>
  <c r="K168" i="38"/>
  <c r="K229" i="38"/>
  <c r="J176" i="38"/>
  <c r="K174" i="38"/>
  <c r="R46" i="38"/>
  <c r="K112" i="38"/>
  <c r="J113" i="38"/>
  <c r="J115" i="38" s="1"/>
  <c r="K117" i="38"/>
  <c r="S213" i="38"/>
  <c r="S49" i="38"/>
  <c r="J171" i="38"/>
  <c r="J167" i="38"/>
  <c r="J49" i="38"/>
  <c r="I178" i="38"/>
  <c r="I339" i="38" l="1"/>
  <c r="I340" i="38"/>
  <c r="W170" i="42"/>
  <c r="W172" i="42" s="1"/>
  <c r="W179" i="42" s="1"/>
  <c r="X169" i="42"/>
  <c r="W171" i="42"/>
  <c r="U119" i="42"/>
  <c r="U120" i="42" s="1"/>
  <c r="T124" i="42"/>
  <c r="V328" i="42"/>
  <c r="X118" i="42"/>
  <c r="V117" i="42"/>
  <c r="U122" i="42"/>
  <c r="W113" i="42"/>
  <c r="W115" i="42" s="1"/>
  <c r="X112" i="42"/>
  <c r="W114" i="42"/>
  <c r="V123" i="42"/>
  <c r="U339" i="42"/>
  <c r="U340" i="42"/>
  <c r="T120" i="42"/>
  <c r="U176" i="42"/>
  <c r="U178" i="42"/>
  <c r="V174" i="42"/>
  <c r="W328" i="38"/>
  <c r="AD228" i="38"/>
  <c r="K228" i="38"/>
  <c r="T228" i="38"/>
  <c r="J179" i="38"/>
  <c r="J120" i="38"/>
  <c r="AD167" i="38"/>
  <c r="L118" i="38"/>
  <c r="K170" i="38"/>
  <c r="K172" i="38" s="1"/>
  <c r="L169" i="38"/>
  <c r="K119" i="38"/>
  <c r="K120" i="38" s="1"/>
  <c r="AD213" i="38"/>
  <c r="AD49" i="38"/>
  <c r="AE47" i="38"/>
  <c r="AE214" i="38"/>
  <c r="AE111" i="38"/>
  <c r="AE110" i="38" s="1"/>
  <c r="AE168" i="38"/>
  <c r="AF1" i="38"/>
  <c r="AE48" i="38"/>
  <c r="AE229" i="38"/>
  <c r="AC46" i="38"/>
  <c r="J123" i="38"/>
  <c r="J124" i="38"/>
  <c r="J122" i="38"/>
  <c r="L117" i="38"/>
  <c r="L48" i="38"/>
  <c r="L47" i="38"/>
  <c r="L214" i="38"/>
  <c r="L111" i="38"/>
  <c r="L168" i="38"/>
  <c r="L229" i="38"/>
  <c r="T167" i="38"/>
  <c r="K176" i="38"/>
  <c r="L174" i="38"/>
  <c r="K213" i="38"/>
  <c r="T213" i="38"/>
  <c r="J46" i="38"/>
  <c r="J178" i="38"/>
  <c r="K49" i="38"/>
  <c r="T49" i="38"/>
  <c r="K113" i="38"/>
  <c r="K115" i="38" s="1"/>
  <c r="L112" i="38"/>
  <c r="K114" i="38"/>
  <c r="K110" i="38"/>
  <c r="S46" i="38"/>
  <c r="K171" i="38"/>
  <c r="K167" i="38"/>
  <c r="T110" i="38"/>
  <c r="U48" i="38"/>
  <c r="U47" i="38"/>
  <c r="V1" i="38"/>
  <c r="U168" i="38"/>
  <c r="U214" i="38"/>
  <c r="U229" i="38"/>
  <c r="U111" i="38"/>
  <c r="J339" i="38" l="1"/>
  <c r="J340" i="38"/>
  <c r="W123" i="42"/>
  <c r="Y118" i="42"/>
  <c r="W328" i="42"/>
  <c r="V119" i="42"/>
  <c r="U124" i="42"/>
  <c r="W117" i="42"/>
  <c r="V120" i="42"/>
  <c r="V122" i="42"/>
  <c r="Y169" i="42"/>
  <c r="X170" i="42"/>
  <c r="X172" i="42" s="1"/>
  <c r="X179" i="42" s="1"/>
  <c r="X171" i="42"/>
  <c r="V178" i="42"/>
  <c r="W174" i="42"/>
  <c r="V176" i="42"/>
  <c r="V339" i="42"/>
  <c r="V340" i="42"/>
  <c r="Y112" i="42"/>
  <c r="X113" i="42"/>
  <c r="X115" i="42" s="1"/>
  <c r="X114" i="42"/>
  <c r="X328" i="38"/>
  <c r="L228" i="38"/>
  <c r="AE228" i="38"/>
  <c r="U228" i="38"/>
  <c r="AE167" i="38"/>
  <c r="K179" i="38"/>
  <c r="M169" i="38"/>
  <c r="L170" i="38"/>
  <c r="L172" i="38" s="1"/>
  <c r="M118" i="38"/>
  <c r="L119" i="38"/>
  <c r="L120" i="38" s="1"/>
  <c r="AE49" i="38"/>
  <c r="AD46" i="38"/>
  <c r="AF214" i="38"/>
  <c r="AF47" i="38"/>
  <c r="AF229" i="38"/>
  <c r="AF48" i="38"/>
  <c r="AF168" i="38"/>
  <c r="AF111" i="38"/>
  <c r="AF110" i="38" s="1"/>
  <c r="AE213" i="38"/>
  <c r="L49" i="38"/>
  <c r="L114" i="38"/>
  <c r="L110" i="38"/>
  <c r="L176" i="38"/>
  <c r="M174" i="38"/>
  <c r="L213" i="38"/>
  <c r="M117" i="38"/>
  <c r="U167" i="38"/>
  <c r="K46" i="38"/>
  <c r="L171" i="38"/>
  <c r="L167" i="38"/>
  <c r="U110" i="38"/>
  <c r="K123" i="38"/>
  <c r="K124" i="38"/>
  <c r="V48" i="38"/>
  <c r="V47" i="38"/>
  <c r="V168" i="38"/>
  <c r="V111" i="38"/>
  <c r="V214" i="38"/>
  <c r="V229" i="38"/>
  <c r="L113" i="38"/>
  <c r="L115" i="38" s="1"/>
  <c r="M112" i="38"/>
  <c r="T46" i="38"/>
  <c r="U213" i="38"/>
  <c r="U49" i="38"/>
  <c r="K178" i="38"/>
  <c r="K122" i="38"/>
  <c r="K339" i="38" l="1"/>
  <c r="K340" i="38"/>
  <c r="Y113" i="42"/>
  <c r="Y115" i="42" s="1"/>
  <c r="Z112" i="42"/>
  <c r="Y114" i="42"/>
  <c r="W339" i="42"/>
  <c r="W340" i="42"/>
  <c r="W122" i="42"/>
  <c r="X117" i="42"/>
  <c r="W119" i="42"/>
  <c r="V124" i="42"/>
  <c r="W176" i="42"/>
  <c r="W178" i="42"/>
  <c r="X174" i="42"/>
  <c r="Y170" i="42"/>
  <c r="Y172" i="42" s="1"/>
  <c r="Y179" i="42" s="1"/>
  <c r="Z169" i="42"/>
  <c r="Y171" i="42"/>
  <c r="X328" i="42"/>
  <c r="X123" i="42"/>
  <c r="Z118" i="42"/>
  <c r="Y328" i="38"/>
  <c r="V228" i="38"/>
  <c r="AF228" i="38"/>
  <c r="AF167" i="38"/>
  <c r="N118" i="38"/>
  <c r="N169" i="38"/>
  <c r="M170" i="38"/>
  <c r="M172" i="38" s="1"/>
  <c r="M171" i="38"/>
  <c r="L179" i="38"/>
  <c r="M119" i="38"/>
  <c r="M120" i="38" s="1"/>
  <c r="AF49" i="38"/>
  <c r="AF213" i="38"/>
  <c r="AE46" i="38"/>
  <c r="L178" i="38"/>
  <c r="L124" i="38"/>
  <c r="L123" i="38"/>
  <c r="V49" i="38"/>
  <c r="U46" i="38"/>
  <c r="V213" i="38"/>
  <c r="M113" i="38"/>
  <c r="M115" i="38" s="1"/>
  <c r="N112" i="38"/>
  <c r="M114" i="38"/>
  <c r="V110" i="38"/>
  <c r="N117" i="38"/>
  <c r="L46" i="38"/>
  <c r="V167" i="38"/>
  <c r="L122" i="38"/>
  <c r="N174" i="38"/>
  <c r="M176" i="38"/>
  <c r="L339" i="38" l="1"/>
  <c r="L340" i="38"/>
  <c r="Z113" i="42"/>
  <c r="Z115" i="42" s="1"/>
  <c r="AA112" i="42"/>
  <c r="Z114" i="42"/>
  <c r="Y328" i="42"/>
  <c r="X119" i="42"/>
  <c r="X120" i="42" s="1"/>
  <c r="W124" i="42"/>
  <c r="X122" i="42"/>
  <c r="Y117" i="42"/>
  <c r="X339" i="42"/>
  <c r="X340" i="42"/>
  <c r="Y123" i="42"/>
  <c r="AA118" i="42"/>
  <c r="X176" i="42"/>
  <c r="X178" i="42"/>
  <c r="Y174" i="42"/>
  <c r="Z170" i="42"/>
  <c r="Z172" i="42" s="1"/>
  <c r="Z179" i="42" s="1"/>
  <c r="AA169" i="42"/>
  <c r="Z171" i="42"/>
  <c r="W120" i="42"/>
  <c r="Z328" i="38"/>
  <c r="M179" i="38"/>
  <c r="O118" i="38"/>
  <c r="N170" i="38"/>
  <c r="N172" i="38" s="1"/>
  <c r="N178" i="38" s="1"/>
  <c r="N171" i="38"/>
  <c r="O169" i="38"/>
  <c r="M178" i="38"/>
  <c r="N119" i="38"/>
  <c r="N120" i="38" s="1"/>
  <c r="AF46" i="38"/>
  <c r="M123" i="38"/>
  <c r="M124" i="38"/>
  <c r="N176" i="38"/>
  <c r="O174" i="38"/>
  <c r="O117" i="38"/>
  <c r="V46" i="38"/>
  <c r="O112" i="38"/>
  <c r="N113" i="38"/>
  <c r="N115" i="38" s="1"/>
  <c r="N114" i="38"/>
  <c r="M122" i="38"/>
  <c r="M339" i="38" l="1"/>
  <c r="M340" i="38"/>
  <c r="Z117" i="42"/>
  <c r="Y122" i="42"/>
  <c r="AA170" i="42"/>
  <c r="AA172" i="42" s="1"/>
  <c r="AA179" i="42" s="1"/>
  <c r="AB169" i="42"/>
  <c r="AA171" i="42"/>
  <c r="Y176" i="42"/>
  <c r="Y178" i="42"/>
  <c r="Z174" i="42"/>
  <c r="Z328" i="42"/>
  <c r="AA113" i="42"/>
  <c r="AA115" i="42" s="1"/>
  <c r="AB112" i="42"/>
  <c r="AA114" i="42"/>
  <c r="AB118" i="42"/>
  <c r="Y339" i="42"/>
  <c r="Y340" i="42"/>
  <c r="Z123" i="42"/>
  <c r="Y119" i="42"/>
  <c r="Y120" i="42" s="1"/>
  <c r="X124" i="42"/>
  <c r="AA328" i="38"/>
  <c r="P118" i="38"/>
  <c r="O170" i="38"/>
  <c r="O172" i="38" s="1"/>
  <c r="O178" i="38" s="1"/>
  <c r="O171" i="38"/>
  <c r="P169" i="38"/>
  <c r="N179" i="38"/>
  <c r="O119" i="38"/>
  <c r="O120" i="38" s="1"/>
  <c r="N123" i="38"/>
  <c r="N124" i="38"/>
  <c r="N122" i="38"/>
  <c r="O113" i="38"/>
  <c r="O115" i="38" s="1"/>
  <c r="P112" i="38"/>
  <c r="O114" i="38"/>
  <c r="P117" i="38"/>
  <c r="O176" i="38"/>
  <c r="P174" i="38"/>
  <c r="N339" i="38" l="1"/>
  <c r="N340" i="38"/>
  <c r="AA328" i="42"/>
  <c r="Z119" i="42"/>
  <c r="Y124" i="42"/>
  <c r="AC118" i="42"/>
  <c r="AC112" i="42"/>
  <c r="AB113" i="42"/>
  <c r="AB115" i="42" s="1"/>
  <c r="AB114" i="42"/>
  <c r="AC169" i="42"/>
  <c r="AB170" i="42"/>
  <c r="AB172" i="42" s="1"/>
  <c r="AB179" i="42" s="1"/>
  <c r="AB171" i="42"/>
  <c r="Z339" i="42"/>
  <c r="Z340" i="42"/>
  <c r="AA123" i="42"/>
  <c r="AA117" i="42"/>
  <c r="Z120" i="42"/>
  <c r="Z122" i="42"/>
  <c r="Z178" i="42"/>
  <c r="AA174" i="42"/>
  <c r="Z176" i="42"/>
  <c r="AB328" i="38"/>
  <c r="Q118" i="38"/>
  <c r="Q169" i="38"/>
  <c r="P171" i="38"/>
  <c r="P170" i="38"/>
  <c r="P172" i="38" s="1"/>
  <c r="P178" i="38" s="1"/>
  <c r="O179" i="38"/>
  <c r="O122" i="38"/>
  <c r="P119" i="38"/>
  <c r="O123" i="38"/>
  <c r="O124" i="38"/>
  <c r="P176" i="38"/>
  <c r="Q174" i="38"/>
  <c r="Q117" i="38"/>
  <c r="P113" i="38"/>
  <c r="P115" i="38" s="1"/>
  <c r="Q112" i="38"/>
  <c r="P114" i="38"/>
  <c r="O339" i="38" l="1"/>
  <c r="O340" i="38"/>
  <c r="AA122" i="42"/>
  <c r="AB117" i="42"/>
  <c r="AA339" i="42"/>
  <c r="AA340" i="42"/>
  <c r="AD118" i="42"/>
  <c r="AA119" i="42"/>
  <c r="Z124" i="42"/>
  <c r="AA176" i="42"/>
  <c r="AA178" i="42"/>
  <c r="AB174" i="42"/>
  <c r="AB123" i="42"/>
  <c r="AB328" i="42"/>
  <c r="AC113" i="42"/>
  <c r="AC115" i="42" s="1"/>
  <c r="AD112" i="42"/>
  <c r="AC114" i="42"/>
  <c r="AC170" i="42"/>
  <c r="AC172" i="42" s="1"/>
  <c r="AC179" i="42" s="1"/>
  <c r="AD169" i="42"/>
  <c r="AC171" i="42"/>
  <c r="AC328" i="38"/>
  <c r="R118" i="38"/>
  <c r="P120" i="38"/>
  <c r="R169" i="38"/>
  <c r="Q170" i="38"/>
  <c r="Q172" i="38" s="1"/>
  <c r="Q178" i="38" s="1"/>
  <c r="Q171" i="38"/>
  <c r="P179" i="38"/>
  <c r="P122" i="38"/>
  <c r="Q119" i="38"/>
  <c r="R117" i="38"/>
  <c r="P124" i="38"/>
  <c r="P123" i="38"/>
  <c r="Q113" i="38"/>
  <c r="Q115" i="38" s="1"/>
  <c r="R112" i="38"/>
  <c r="Q114" i="38"/>
  <c r="R174" i="38"/>
  <c r="Q176" i="38"/>
  <c r="P339" i="38" l="1"/>
  <c r="P340" i="38"/>
  <c r="AD113" i="42"/>
  <c r="AD115" i="42" s="1"/>
  <c r="AE112" i="42"/>
  <c r="AD114" i="42"/>
  <c r="AD170" i="42"/>
  <c r="AD172" i="42" s="1"/>
  <c r="AD179" i="42" s="1"/>
  <c r="AE169" i="42"/>
  <c r="AD171" i="42"/>
  <c r="AC123" i="42"/>
  <c r="AC328" i="42"/>
  <c r="AB122" i="42"/>
  <c r="AC117" i="42"/>
  <c r="AE118" i="42"/>
  <c r="AB176" i="42"/>
  <c r="AB178" i="42"/>
  <c r="AC174" i="42"/>
  <c r="AB119" i="42"/>
  <c r="AB120" i="42" s="1"/>
  <c r="AA124" i="42"/>
  <c r="AB339" i="42"/>
  <c r="AB340" i="42"/>
  <c r="AA120" i="42"/>
  <c r="AD328" i="38"/>
  <c r="Q179" i="38"/>
  <c r="Q120" i="38"/>
  <c r="S169" i="38"/>
  <c r="R171" i="38"/>
  <c r="R170" i="38"/>
  <c r="R172" i="38" s="1"/>
  <c r="R178" i="38" s="1"/>
  <c r="S118" i="38"/>
  <c r="R119" i="38"/>
  <c r="S112" i="38"/>
  <c r="R113" i="38"/>
  <c r="R115" i="38" s="1"/>
  <c r="R114" i="38"/>
  <c r="R176" i="38"/>
  <c r="S174" i="38"/>
  <c r="S117" i="38"/>
  <c r="Q123" i="38"/>
  <c r="Q124" i="38"/>
  <c r="Q122" i="38"/>
  <c r="Q339" i="38" l="1"/>
  <c r="Q340" i="38"/>
  <c r="AE170" i="42"/>
  <c r="AE172" i="42" s="1"/>
  <c r="AE179" i="42" s="1"/>
  <c r="AF169" i="42"/>
  <c r="AE171" i="42"/>
  <c r="AF118" i="42"/>
  <c r="AD123" i="42"/>
  <c r="AC339" i="42"/>
  <c r="AC340" i="42"/>
  <c r="AD117" i="42"/>
  <c r="AC122" i="42"/>
  <c r="AC176" i="42"/>
  <c r="AC178" i="42"/>
  <c r="AD174" i="42"/>
  <c r="AD328" i="42"/>
  <c r="AE113" i="42"/>
  <c r="AE115" i="42" s="1"/>
  <c r="AF112" i="42"/>
  <c r="AE114" i="42"/>
  <c r="AC119" i="42"/>
  <c r="AB124" i="42"/>
  <c r="AE328" i="38"/>
  <c r="S170" i="38"/>
  <c r="S172" i="38" s="1"/>
  <c r="S178" i="38" s="1"/>
  <c r="S171" i="38"/>
  <c r="T169" i="38"/>
  <c r="T118" i="38"/>
  <c r="R179" i="38"/>
  <c r="R120" i="38"/>
  <c r="S119" i="38"/>
  <c r="T117" i="38"/>
  <c r="S176" i="38"/>
  <c r="T174" i="38"/>
  <c r="R123" i="38"/>
  <c r="R124" i="38"/>
  <c r="R122" i="38"/>
  <c r="S113" i="38"/>
  <c r="S115" i="38" s="1"/>
  <c r="T112" i="38"/>
  <c r="S114" i="38"/>
  <c r="R339" i="38" l="1"/>
  <c r="R340" i="38"/>
  <c r="AD119" i="42"/>
  <c r="AC124" i="42"/>
  <c r="AD339" i="42"/>
  <c r="AD340" i="42"/>
  <c r="AG118" i="42"/>
  <c r="AF170" i="42"/>
  <c r="AF172" i="42" s="1"/>
  <c r="AF179" i="42" s="1"/>
  <c r="AF171" i="42"/>
  <c r="AE123" i="42"/>
  <c r="AC120" i="42"/>
  <c r="AE117" i="42"/>
  <c r="AD120" i="42"/>
  <c r="AD122" i="42"/>
  <c r="AE328" i="42"/>
  <c r="AF113" i="42"/>
  <c r="AF115" i="42" s="1"/>
  <c r="AF114" i="42"/>
  <c r="AD178" i="42"/>
  <c r="AE174" i="42"/>
  <c r="AD176" i="42"/>
  <c r="AF328" i="38"/>
  <c r="U169" i="38"/>
  <c r="T171" i="38"/>
  <c r="T170" i="38"/>
  <c r="T172" i="38" s="1"/>
  <c r="S179" i="38"/>
  <c r="S120" i="38"/>
  <c r="U118" i="38"/>
  <c r="S122" i="38"/>
  <c r="T119" i="38"/>
  <c r="T113" i="38"/>
  <c r="T115" i="38" s="1"/>
  <c r="U112" i="38"/>
  <c r="T114" i="38"/>
  <c r="T176" i="38"/>
  <c r="U174" i="38"/>
  <c r="U117" i="38"/>
  <c r="S123" i="38"/>
  <c r="S124" i="38"/>
  <c r="S339" i="38" l="1"/>
  <c r="S340" i="38"/>
  <c r="AE119" i="42"/>
  <c r="AD124" i="42"/>
  <c r="AF123" i="42"/>
  <c r="AE120" i="42"/>
  <c r="AE122" i="42"/>
  <c r="AF117" i="42"/>
  <c r="AE339" i="42"/>
  <c r="AE340" i="42"/>
  <c r="AG123" i="42"/>
  <c r="AE176" i="42"/>
  <c r="AE178" i="42"/>
  <c r="AF174" i="42"/>
  <c r="AF328" i="42"/>
  <c r="AG328" i="38"/>
  <c r="T179" i="38"/>
  <c r="T178" i="38"/>
  <c r="V118" i="38"/>
  <c r="U171" i="38"/>
  <c r="U170" i="38"/>
  <c r="U172" i="38" s="1"/>
  <c r="V169" i="38"/>
  <c r="T120" i="38"/>
  <c r="U119" i="38"/>
  <c r="V117" i="38"/>
  <c r="T124" i="38"/>
  <c r="T123" i="38"/>
  <c r="U113" i="38"/>
  <c r="U115" i="38" s="1"/>
  <c r="V112" i="38"/>
  <c r="U114" i="38"/>
  <c r="T122" i="38"/>
  <c r="V174" i="38"/>
  <c r="U176" i="38"/>
  <c r="T339" i="38" l="1"/>
  <c r="T340" i="38"/>
  <c r="AF339" i="42"/>
  <c r="AF340" i="42"/>
  <c r="AF176" i="42"/>
  <c r="AF178" i="42"/>
  <c r="AG174" i="42"/>
  <c r="AF119" i="42"/>
  <c r="AF120" i="42" s="1"/>
  <c r="AE124" i="42"/>
  <c r="AG328" i="42"/>
  <c r="AF122" i="42"/>
  <c r="AG117" i="42"/>
  <c r="U179" i="38"/>
  <c r="U178" i="38"/>
  <c r="W118" i="38"/>
  <c r="U120" i="38"/>
  <c r="V170" i="38"/>
  <c r="V172" i="38" s="1"/>
  <c r="V171" i="38"/>
  <c r="W169" i="38"/>
  <c r="V119" i="38"/>
  <c r="V120" i="38" s="1"/>
  <c r="W117" i="38"/>
  <c r="U123" i="38"/>
  <c r="U124" i="38"/>
  <c r="U122" i="38"/>
  <c r="W112" i="38"/>
  <c r="V113" i="38"/>
  <c r="V115" i="38" s="1"/>
  <c r="V114" i="38"/>
  <c r="V176" i="38"/>
  <c r="W174" i="38"/>
  <c r="U339" i="38" l="1"/>
  <c r="U340" i="38"/>
  <c r="AG122" i="42"/>
  <c r="AG119" i="42"/>
  <c r="AG120" i="42" s="1"/>
  <c r="AF124" i="42"/>
  <c r="AG176" i="42"/>
  <c r="AG178" i="42"/>
  <c r="X118" i="38"/>
  <c r="V179" i="38"/>
  <c r="X169" i="38"/>
  <c r="W170" i="38"/>
  <c r="W172" i="38" s="1"/>
  <c r="W178" i="38" s="1"/>
  <c r="W171" i="38"/>
  <c r="V178" i="38"/>
  <c r="W119" i="38"/>
  <c r="V123" i="38"/>
  <c r="V124" i="38"/>
  <c r="X117" i="38"/>
  <c r="W113" i="38"/>
  <c r="W115" i="38" s="1"/>
  <c r="X112" i="38"/>
  <c r="W114" i="38"/>
  <c r="V122" i="38"/>
  <c r="W176" i="38"/>
  <c r="X174" i="38"/>
  <c r="V339" i="38" l="1"/>
  <c r="V340" i="38"/>
  <c r="AG124" i="42"/>
  <c r="W179" i="38"/>
  <c r="Y169" i="38"/>
  <c r="X171" i="38"/>
  <c r="X170" i="38"/>
  <c r="X172" i="38" s="1"/>
  <c r="X178" i="38" s="1"/>
  <c r="Y118" i="38"/>
  <c r="W120" i="38"/>
  <c r="X119" i="38"/>
  <c r="X176" i="38"/>
  <c r="Y174" i="38"/>
  <c r="X113" i="38"/>
  <c r="X115" i="38" s="1"/>
  <c r="Y112" i="38"/>
  <c r="X114" i="38"/>
  <c r="Y117" i="38"/>
  <c r="W123" i="38"/>
  <c r="W124" i="38"/>
  <c r="W122" i="38"/>
  <c r="W339" i="38" l="1"/>
  <c r="W340" i="38"/>
  <c r="Z118" i="38"/>
  <c r="X120" i="38"/>
  <c r="X179" i="38"/>
  <c r="Y171" i="38"/>
  <c r="Z169" i="38"/>
  <c r="Y170" i="38"/>
  <c r="Y172" i="38" s="1"/>
  <c r="Y178" i="38" s="1"/>
  <c r="X122" i="38"/>
  <c r="Y119" i="38"/>
  <c r="Y120" i="38" s="1"/>
  <c r="Z117" i="38"/>
  <c r="Y113" i="38"/>
  <c r="Y115" i="38" s="1"/>
  <c r="Z112" i="38"/>
  <c r="Y114" i="38"/>
  <c r="X124" i="38"/>
  <c r="X123" i="38"/>
  <c r="Z174" i="38"/>
  <c r="Y176" i="38"/>
  <c r="X339" i="38" l="1"/>
  <c r="X340" i="38"/>
  <c r="Y179" i="38"/>
  <c r="AA118" i="38"/>
  <c r="AA169" i="38"/>
  <c r="Z171" i="38"/>
  <c r="Z170" i="38"/>
  <c r="Z172" i="38" s="1"/>
  <c r="Z178" i="38" s="1"/>
  <c r="Z119" i="38"/>
  <c r="Y123" i="38"/>
  <c r="Y124" i="38"/>
  <c r="AA112" i="38"/>
  <c r="Z113" i="38"/>
  <c r="Z115" i="38" s="1"/>
  <c r="Z114" i="38"/>
  <c r="AA117" i="38"/>
  <c r="Z176" i="38"/>
  <c r="AA174" i="38"/>
  <c r="Y122" i="38"/>
  <c r="Y339" i="38" l="1"/>
  <c r="Y340" i="38"/>
  <c r="AB169" i="38"/>
  <c r="AA170" i="38"/>
  <c r="AA172" i="38" s="1"/>
  <c r="AA171" i="38"/>
  <c r="AB118" i="38"/>
  <c r="Z120" i="38"/>
  <c r="Z179" i="38"/>
  <c r="Z122" i="38"/>
  <c r="AA119" i="38"/>
  <c r="AB117" i="38"/>
  <c r="AA176" i="38"/>
  <c r="AB174" i="38"/>
  <c r="AA113" i="38"/>
  <c r="AA115" i="38" s="1"/>
  <c r="AB112" i="38"/>
  <c r="AA114" i="38"/>
  <c r="Z123" i="38"/>
  <c r="Z124" i="38"/>
  <c r="Z339" i="38" l="1"/>
  <c r="Z340" i="38"/>
  <c r="AB171" i="38"/>
  <c r="AB170" i="38"/>
  <c r="AB172" i="38" s="1"/>
  <c r="AB178" i="38" s="1"/>
  <c r="AC169" i="38"/>
  <c r="AA179" i="38"/>
  <c r="AC118" i="38"/>
  <c r="AA120" i="38"/>
  <c r="AA178" i="38"/>
  <c r="AB119" i="38"/>
  <c r="AB113" i="38"/>
  <c r="AB115" i="38" s="1"/>
  <c r="AC112" i="38"/>
  <c r="AB114" i="38"/>
  <c r="AA123" i="38"/>
  <c r="AA124" i="38"/>
  <c r="AA122" i="38"/>
  <c r="AC117" i="38"/>
  <c r="AB176" i="38"/>
  <c r="AC174" i="38"/>
  <c r="AA339" i="38" l="1"/>
  <c r="AA340" i="38"/>
  <c r="AB179" i="38"/>
  <c r="AD118" i="38"/>
  <c r="AB120" i="38"/>
  <c r="AC171" i="38"/>
  <c r="AC170" i="38"/>
  <c r="AC172" i="38" s="1"/>
  <c r="AD169" i="38"/>
  <c r="AB122" i="38"/>
  <c r="AC119" i="38"/>
  <c r="AD117" i="38"/>
  <c r="AC113" i="38"/>
  <c r="AC115" i="38" s="1"/>
  <c r="AD112" i="38"/>
  <c r="AC114" i="38"/>
  <c r="AD174" i="38"/>
  <c r="AC176" i="38"/>
  <c r="AB124" i="38"/>
  <c r="AB123" i="38"/>
  <c r="AB339" i="38" l="1"/>
  <c r="AB340" i="38"/>
  <c r="AC179" i="38"/>
  <c r="AC178" i="38"/>
  <c r="AC120" i="38"/>
  <c r="AE169" i="38"/>
  <c r="AD171" i="38"/>
  <c r="AD170" i="38"/>
  <c r="AD172" i="38" s="1"/>
  <c r="AD178" i="38" s="1"/>
  <c r="AE118" i="38"/>
  <c r="AC122" i="38"/>
  <c r="AD119" i="38"/>
  <c r="AD176" i="38"/>
  <c r="AE174" i="38"/>
  <c r="AC123" i="38"/>
  <c r="AC124" i="38"/>
  <c r="AE117" i="38"/>
  <c r="AE112" i="38"/>
  <c r="AD113" i="38"/>
  <c r="AD115" i="38" s="1"/>
  <c r="AD114" i="38"/>
  <c r="AC339" i="38" l="1"/>
  <c r="AC340" i="38"/>
  <c r="AF118" i="38"/>
  <c r="AE170" i="38"/>
  <c r="AE172" i="38" s="1"/>
  <c r="AE178" i="38" s="1"/>
  <c r="AF169" i="38"/>
  <c r="AE171" i="38"/>
  <c r="AD120" i="38"/>
  <c r="AD179" i="38"/>
  <c r="AE119" i="38"/>
  <c r="AE113" i="38"/>
  <c r="AE115" i="38" s="1"/>
  <c r="AF112" i="38"/>
  <c r="AE114" i="38"/>
  <c r="AF117" i="38"/>
  <c r="AD123" i="38"/>
  <c r="AD124" i="38"/>
  <c r="AD122" i="38"/>
  <c r="AE176" i="38"/>
  <c r="AF174" i="38"/>
  <c r="AD339" i="38" l="1"/>
  <c r="AD340" i="38"/>
  <c r="AF171" i="38"/>
  <c r="AF170" i="38"/>
  <c r="AF172" i="38" s="1"/>
  <c r="AF178" i="38" s="1"/>
  <c r="AE120" i="38"/>
  <c r="AE179" i="38"/>
  <c r="AG118" i="38"/>
  <c r="AE122" i="38"/>
  <c r="AF119" i="38"/>
  <c r="AF113" i="38"/>
  <c r="AF115" i="38" s="1"/>
  <c r="AF114" i="38"/>
  <c r="AE123" i="38"/>
  <c r="AE124" i="38"/>
  <c r="AG117" i="38"/>
  <c r="AF176" i="38"/>
  <c r="AG174" i="38"/>
  <c r="AE339" i="38" l="1"/>
  <c r="AE340" i="38"/>
  <c r="AG123" i="38"/>
  <c r="AF179" i="38"/>
  <c r="AF120" i="38"/>
  <c r="AF122" i="38"/>
  <c r="AG119" i="38"/>
  <c r="AG178" i="38"/>
  <c r="AG176" i="38"/>
  <c r="AG122" i="38"/>
  <c r="AF124" i="38"/>
  <c r="AF123" i="38"/>
  <c r="AF339" i="38" l="1"/>
  <c r="AF340" i="38"/>
  <c r="AG120" i="38"/>
  <c r="AG124" i="38"/>
  <c r="J118" i="37" l="1"/>
  <c r="H117" i="37"/>
  <c r="H119" i="37" s="1"/>
  <c r="J119" i="37" s="1"/>
  <c r="J116" i="37"/>
  <c r="J115" i="37"/>
  <c r="J114" i="37"/>
  <c r="J113" i="37"/>
  <c r="J112" i="37"/>
  <c r="J111" i="37"/>
  <c r="J110" i="37"/>
  <c r="J109" i="37"/>
  <c r="J108" i="37"/>
  <c r="J107" i="37"/>
  <c r="J106" i="37"/>
  <c r="J105" i="37"/>
  <c r="J104" i="37"/>
  <c r="J103" i="37"/>
  <c r="J102" i="37"/>
  <c r="J101" i="37"/>
  <c r="J100" i="37"/>
  <c r="J99" i="37"/>
  <c r="J98" i="37"/>
  <c r="J97" i="37"/>
  <c r="G96" i="37"/>
  <c r="G95" i="37"/>
  <c r="J94" i="37"/>
  <c r="M93" i="37"/>
  <c r="M92" i="37"/>
  <c r="J91" i="37"/>
  <c r="J90" i="37"/>
  <c r="J89" i="37"/>
  <c r="M88" i="37"/>
  <c r="M87" i="37"/>
  <c r="M86" i="37"/>
  <c r="H86" i="37"/>
  <c r="J86" i="37" s="1"/>
  <c r="L86" i="37" s="1"/>
  <c r="M85" i="37"/>
  <c r="H85" i="37"/>
  <c r="M84" i="37"/>
  <c r="H84" i="37"/>
  <c r="J84" i="37" s="1"/>
  <c r="M83" i="37"/>
  <c r="H83" i="37"/>
  <c r="M82" i="37"/>
  <c r="N82" i="37" s="1"/>
  <c r="J82" i="37"/>
  <c r="M81" i="37"/>
  <c r="N81" i="37" s="1"/>
  <c r="L81" i="37"/>
  <c r="J81" i="37"/>
  <c r="M80" i="37"/>
  <c r="G80" i="37"/>
  <c r="H80" i="37" s="1"/>
  <c r="M79" i="37"/>
  <c r="H79" i="37"/>
  <c r="M78" i="37"/>
  <c r="G78" i="37"/>
  <c r="H78" i="37" s="1"/>
  <c r="M77" i="37"/>
  <c r="H77" i="37"/>
  <c r="M76" i="37"/>
  <c r="N76" i="37" s="1"/>
  <c r="L76" i="37"/>
  <c r="J76" i="37"/>
  <c r="M75" i="37"/>
  <c r="N75" i="37" s="1"/>
  <c r="J75" i="37"/>
  <c r="M74" i="37"/>
  <c r="N74" i="37" s="1"/>
  <c r="J74" i="37"/>
  <c r="M73" i="37"/>
  <c r="N73" i="37" s="1"/>
  <c r="J73" i="37"/>
  <c r="M72" i="37"/>
  <c r="N72" i="37" s="1"/>
  <c r="J72" i="37"/>
  <c r="M71" i="37"/>
  <c r="N71" i="37" s="1"/>
  <c r="J71" i="37"/>
  <c r="M70" i="37"/>
  <c r="N70" i="37" s="1"/>
  <c r="J70" i="37"/>
  <c r="M69" i="37"/>
  <c r="N69" i="37" s="1"/>
  <c r="J69" i="37"/>
  <c r="M68" i="37"/>
  <c r="N68" i="37" s="1"/>
  <c r="J68" i="37"/>
  <c r="M67" i="37"/>
  <c r="N67" i="37" s="1"/>
  <c r="J67" i="37"/>
  <c r="M66" i="37"/>
  <c r="M65" i="37"/>
  <c r="M64" i="37"/>
  <c r="M63" i="37"/>
  <c r="M62" i="37"/>
  <c r="M61" i="37"/>
  <c r="M60" i="37"/>
  <c r="M59" i="37"/>
  <c r="M58" i="37"/>
  <c r="M57" i="37"/>
  <c r="M56" i="37"/>
  <c r="M55" i="37"/>
  <c r="M54" i="37"/>
  <c r="M53" i="37"/>
  <c r="M52" i="37"/>
  <c r="M51" i="37"/>
  <c r="M50" i="37"/>
  <c r="M49" i="37"/>
  <c r="M48" i="37"/>
  <c r="M47" i="37"/>
  <c r="M46" i="37"/>
  <c r="M45" i="37"/>
  <c r="M44" i="37"/>
  <c r="M43" i="37"/>
  <c r="G43" i="37"/>
  <c r="G44" i="37" s="1"/>
  <c r="M42" i="37"/>
  <c r="M41" i="37"/>
  <c r="M40" i="37"/>
  <c r="M39" i="37"/>
  <c r="M38" i="37"/>
  <c r="M37" i="37"/>
  <c r="M36" i="37"/>
  <c r="M35" i="37"/>
  <c r="M34" i="37"/>
  <c r="M33" i="37"/>
  <c r="M32" i="37"/>
  <c r="M31" i="37"/>
  <c r="G31" i="37"/>
  <c r="M30" i="37"/>
  <c r="M29" i="37"/>
  <c r="M28" i="37"/>
  <c r="M27" i="37"/>
  <c r="M26" i="37"/>
  <c r="N26" i="37" s="1"/>
  <c r="J26" i="37"/>
  <c r="M25" i="37"/>
  <c r="N25" i="37" s="1"/>
  <c r="J25" i="37"/>
  <c r="M24" i="37"/>
  <c r="N24" i="37" s="1"/>
  <c r="J24" i="37"/>
  <c r="M23" i="37"/>
  <c r="N23" i="37" s="1"/>
  <c r="J23" i="37"/>
  <c r="M22" i="37"/>
  <c r="N22" i="37" s="1"/>
  <c r="J22" i="37"/>
  <c r="M21" i="37"/>
  <c r="N21" i="37" s="1"/>
  <c r="J21" i="37"/>
  <c r="M20" i="37"/>
  <c r="N20" i="37" s="1"/>
  <c r="J20" i="37"/>
  <c r="M19" i="37"/>
  <c r="H19" i="37"/>
  <c r="M18" i="37"/>
  <c r="H18" i="37"/>
  <c r="M17" i="37"/>
  <c r="N17" i="37" s="1"/>
  <c r="J17" i="37"/>
  <c r="M16" i="37"/>
  <c r="N16" i="37" s="1"/>
  <c r="J16" i="37"/>
  <c r="M15" i="37"/>
  <c r="N15" i="37" s="1"/>
  <c r="J15" i="37"/>
  <c r="M14" i="37"/>
  <c r="N14" i="37" s="1"/>
  <c r="J14" i="37"/>
  <c r="M13" i="37"/>
  <c r="N13" i="37" s="1"/>
  <c r="J13" i="37"/>
  <c r="M12" i="37"/>
  <c r="N12" i="37" s="1"/>
  <c r="J12" i="37"/>
  <c r="M11" i="37"/>
  <c r="N11" i="37" s="1"/>
  <c r="J11" i="37"/>
  <c r="M10" i="37"/>
  <c r="N10" i="37" s="1"/>
  <c r="J10" i="37"/>
  <c r="M9" i="37"/>
  <c r="N9" i="37" s="1"/>
  <c r="J9" i="37"/>
  <c r="M8" i="37"/>
  <c r="N8" i="37" s="1"/>
  <c r="J8" i="37"/>
  <c r="M7" i="37"/>
  <c r="N7" i="37" s="1"/>
  <c r="M6" i="37"/>
  <c r="H51" i="37"/>
  <c r="M5" i="37"/>
  <c r="D35" i="36"/>
  <c r="D23" i="36"/>
  <c r="BS34" i="36"/>
  <c r="BS14" i="36"/>
  <c r="E3" i="36"/>
  <c r="G47" i="13"/>
  <c r="G45" i="13"/>
  <c r="G43" i="13"/>
  <c r="G42" i="13"/>
  <c r="G41" i="13"/>
  <c r="G40" i="13"/>
  <c r="C15" i="3"/>
  <c r="B15" i="3"/>
  <c r="AE2" i="3"/>
  <c r="C46" i="4"/>
  <c r="I45" i="4"/>
  <c r="J45" i="4" s="1"/>
  <c r="I44" i="4"/>
  <c r="J44" i="4" s="1"/>
  <c r="I43" i="4"/>
  <c r="J43" i="4" s="1"/>
  <c r="I42" i="4"/>
  <c r="J42" i="4" s="1"/>
  <c r="I41" i="4"/>
  <c r="J41" i="4" s="1"/>
  <c r="I40" i="4"/>
  <c r="J40" i="4" s="1"/>
  <c r="I39" i="4"/>
  <c r="J39" i="4" s="1"/>
  <c r="D166" i="14"/>
  <c r="E166" i="14"/>
  <c r="F166" i="14"/>
  <c r="G166" i="14"/>
  <c r="H166" i="14"/>
  <c r="I166" i="14"/>
  <c r="J166" i="14"/>
  <c r="K166" i="14"/>
  <c r="L166" i="14"/>
  <c r="M166" i="14"/>
  <c r="N166" i="14"/>
  <c r="O166" i="14"/>
  <c r="P166" i="14"/>
  <c r="Q166" i="14"/>
  <c r="R166" i="14"/>
  <c r="S166" i="14"/>
  <c r="T166" i="14"/>
  <c r="U166" i="14"/>
  <c r="V166" i="14"/>
  <c r="W166" i="14"/>
  <c r="X166" i="14"/>
  <c r="Y166" i="14"/>
  <c r="Z166" i="14"/>
  <c r="AA166" i="14"/>
  <c r="AB166" i="14"/>
  <c r="AC166" i="14"/>
  <c r="AD166" i="14"/>
  <c r="AE166" i="14"/>
  <c r="AF166" i="14"/>
  <c r="AG166" i="14"/>
  <c r="AH166" i="14"/>
  <c r="D167" i="14"/>
  <c r="E167" i="14"/>
  <c r="F167" i="14"/>
  <c r="G167" i="14"/>
  <c r="H167" i="14"/>
  <c r="I167" i="14"/>
  <c r="J167" i="14"/>
  <c r="K167" i="14"/>
  <c r="L167" i="14"/>
  <c r="M167" i="14"/>
  <c r="N167" i="14"/>
  <c r="O167" i="14"/>
  <c r="P167" i="14"/>
  <c r="Q167" i="14"/>
  <c r="R167" i="14"/>
  <c r="S167" i="14"/>
  <c r="T167" i="14"/>
  <c r="U167" i="14"/>
  <c r="V167" i="14"/>
  <c r="W167" i="14"/>
  <c r="X167" i="14"/>
  <c r="Y167" i="14"/>
  <c r="Z167" i="14"/>
  <c r="AA167" i="14"/>
  <c r="AB167" i="14"/>
  <c r="AC167" i="14"/>
  <c r="AD167" i="14"/>
  <c r="AE167" i="14"/>
  <c r="AF167" i="14"/>
  <c r="AG167" i="14"/>
  <c r="AH167" i="14"/>
  <c r="E168" i="14"/>
  <c r="F168" i="14"/>
  <c r="G168" i="14"/>
  <c r="H168" i="14"/>
  <c r="I168" i="14"/>
  <c r="J168" i="14"/>
  <c r="K168" i="14"/>
  <c r="L168" i="14"/>
  <c r="M168" i="14"/>
  <c r="O168" i="14"/>
  <c r="P168" i="14"/>
  <c r="Q168" i="14"/>
  <c r="R168" i="14"/>
  <c r="S168" i="14"/>
  <c r="T168" i="14"/>
  <c r="U168" i="14"/>
  <c r="V168" i="14"/>
  <c r="W168" i="14"/>
  <c r="X168" i="14"/>
  <c r="Y168" i="14"/>
  <c r="Z168" i="14"/>
  <c r="AA168" i="14"/>
  <c r="AB168" i="14"/>
  <c r="AC168" i="14"/>
  <c r="AD168" i="14"/>
  <c r="AE168" i="14"/>
  <c r="AF168" i="14"/>
  <c r="AG168" i="14"/>
  <c r="AH168" i="14"/>
  <c r="E169" i="14"/>
  <c r="F169" i="14"/>
  <c r="G169" i="14"/>
  <c r="H169" i="14"/>
  <c r="I169" i="14"/>
  <c r="J169" i="14"/>
  <c r="K169" i="14"/>
  <c r="L169" i="14"/>
  <c r="M169" i="14"/>
  <c r="O169" i="14"/>
  <c r="P169" i="14"/>
  <c r="Q169" i="14"/>
  <c r="R169" i="14"/>
  <c r="S169" i="14"/>
  <c r="T169" i="14"/>
  <c r="U169" i="14"/>
  <c r="V169" i="14"/>
  <c r="W169" i="14"/>
  <c r="X169" i="14"/>
  <c r="Y169" i="14"/>
  <c r="Z169" i="14"/>
  <c r="AA169" i="14"/>
  <c r="AB169" i="14"/>
  <c r="AC169" i="14"/>
  <c r="AD169" i="14"/>
  <c r="AE169" i="14"/>
  <c r="AF169" i="14"/>
  <c r="AG169" i="14"/>
  <c r="AH169" i="14"/>
  <c r="AK197" i="28"/>
  <c r="AK198" i="28"/>
  <c r="AK199" i="28"/>
  <c r="AK196" i="28"/>
  <c r="R21" i="37"/>
  <c r="R23" i="37"/>
  <c r="G46" i="13" l="1"/>
  <c r="G48" i="13"/>
  <c r="G44" i="13"/>
  <c r="D24" i="13" s="1"/>
  <c r="AK244" i="53"/>
  <c r="AK244" i="54"/>
  <c r="AK356" i="48"/>
  <c r="AK356" i="46"/>
  <c r="AK328" i="38"/>
  <c r="AK328" i="42"/>
  <c r="AK247" i="53"/>
  <c r="AK247" i="54"/>
  <c r="AK359" i="48"/>
  <c r="AK359" i="46"/>
  <c r="AK331" i="38"/>
  <c r="AK331" i="42"/>
  <c r="AK246" i="53"/>
  <c r="AK246" i="54"/>
  <c r="AK358" i="46"/>
  <c r="AK358" i="48"/>
  <c r="AK330" i="42"/>
  <c r="AK330" i="38"/>
  <c r="AK245" i="53"/>
  <c r="AK245" i="54"/>
  <c r="AK357" i="46"/>
  <c r="AK357" i="48"/>
  <c r="AK329" i="42"/>
  <c r="AK329" i="38"/>
  <c r="D23" i="11"/>
  <c r="L98" i="37"/>
  <c r="J77" i="37"/>
  <c r="L77" i="37" s="1"/>
  <c r="N85" i="37"/>
  <c r="H30" i="37"/>
  <c r="L68" i="37"/>
  <c r="L69" i="37"/>
  <c r="J85" i="37"/>
  <c r="L85" i="37" s="1"/>
  <c r="L102" i="37"/>
  <c r="L106" i="37"/>
  <c r="L110" i="37"/>
  <c r="L114" i="37"/>
  <c r="N18" i="37"/>
  <c r="L24" i="37"/>
  <c r="L72" i="37"/>
  <c r="L73" i="37"/>
  <c r="N78" i="37"/>
  <c r="L82" i="37"/>
  <c r="N83" i="37"/>
  <c r="L91" i="37"/>
  <c r="L97" i="37"/>
  <c r="L90" i="37"/>
  <c r="J83" i="37"/>
  <c r="N84" i="37"/>
  <c r="L94" i="37"/>
  <c r="N19" i="37"/>
  <c r="L12" i="37"/>
  <c r="L13" i="37"/>
  <c r="L26" i="37"/>
  <c r="N77" i="37"/>
  <c r="N6" i="37"/>
  <c r="N79" i="37"/>
  <c r="T80" i="24"/>
  <c r="N86" i="37"/>
  <c r="J6" i="37"/>
  <c r="L8" i="37"/>
  <c r="L9" i="37"/>
  <c r="L16" i="37"/>
  <c r="L17" i="37"/>
  <c r="L23" i="37"/>
  <c r="H31" i="37"/>
  <c r="N31" i="37" s="1"/>
  <c r="L101" i="37"/>
  <c r="L105" i="37"/>
  <c r="L109" i="37"/>
  <c r="L113" i="37"/>
  <c r="J117" i="37"/>
  <c r="L117" i="37" s="1"/>
  <c r="L67" i="37"/>
  <c r="L107" i="37"/>
  <c r="L118" i="37"/>
  <c r="L6" i="37"/>
  <c r="L7" i="37"/>
  <c r="L20" i="37"/>
  <c r="L21" i="37"/>
  <c r="L83" i="37"/>
  <c r="L116" i="37"/>
  <c r="L10" i="37"/>
  <c r="L11" i="37"/>
  <c r="L104" i="37"/>
  <c r="L111" i="37"/>
  <c r="L100" i="37"/>
  <c r="L74" i="37"/>
  <c r="L75" i="37"/>
  <c r="L84" i="37"/>
  <c r="L99" i="37"/>
  <c r="L108" i="37"/>
  <c r="L115" i="37"/>
  <c r="D65" i="36"/>
  <c r="L14" i="37"/>
  <c r="L15" i="37"/>
  <c r="L22" i="37"/>
  <c r="L25" i="37"/>
  <c r="L70" i="37"/>
  <c r="L71" i="37"/>
  <c r="L89" i="37"/>
  <c r="L103" i="37"/>
  <c r="L112" i="37"/>
  <c r="L119" i="37"/>
  <c r="Y5" i="3"/>
  <c r="Y7" i="3" s="1"/>
  <c r="H44" i="37"/>
  <c r="N80" i="37"/>
  <c r="J80" i="37"/>
  <c r="L80" i="37" s="1"/>
  <c r="N30" i="37"/>
  <c r="J30" i="37"/>
  <c r="L30" i="37" s="1"/>
  <c r="H43" i="37"/>
  <c r="B9" i="40" s="1"/>
  <c r="C9" i="40" s="1"/>
  <c r="N51" i="37"/>
  <c r="J51" i="37"/>
  <c r="L51" i="37" s="1"/>
  <c r="H29" i="37"/>
  <c r="H27" i="37"/>
  <c r="J5" i="37"/>
  <c r="L5" i="37" s="1"/>
  <c r="N5" i="37"/>
  <c r="J18" i="37"/>
  <c r="L18" i="37" s="1"/>
  <c r="H46" i="37"/>
  <c r="H48" i="37"/>
  <c r="H50" i="37"/>
  <c r="J78" i="37"/>
  <c r="L78" i="37" s="1"/>
  <c r="H28" i="37"/>
  <c r="J19" i="37"/>
  <c r="L19" i="37" s="1"/>
  <c r="B5" i="40"/>
  <c r="C5" i="40" s="1"/>
  <c r="H47" i="37"/>
  <c r="H49" i="37"/>
  <c r="J79" i="37"/>
  <c r="L79" i="37" s="1"/>
  <c r="I81" i="24"/>
  <c r="F3" i="36"/>
  <c r="BS22" i="36"/>
  <c r="D6" i="36"/>
  <c r="BS36" i="36"/>
  <c r="AH6" i="36"/>
  <c r="BS31" i="36"/>
  <c r="G50" i="13" l="1"/>
  <c r="E357" i="48"/>
  <c r="T358" i="48" s="1"/>
  <c r="D357" i="48"/>
  <c r="S358" i="48" s="1"/>
  <c r="C357" i="48"/>
  <c r="F357" i="48"/>
  <c r="U358" i="48" s="1"/>
  <c r="G357" i="48"/>
  <c r="V358" i="48" s="1"/>
  <c r="H357" i="48"/>
  <c r="W358" i="48" s="1"/>
  <c r="I357" i="48"/>
  <c r="X358" i="48" s="1"/>
  <c r="J357" i="48"/>
  <c r="Y358" i="48" s="1"/>
  <c r="K357" i="48"/>
  <c r="Z358" i="48" s="1"/>
  <c r="L357" i="48"/>
  <c r="AA358" i="48" s="1"/>
  <c r="M357" i="48"/>
  <c r="AB358" i="48" s="1"/>
  <c r="N357" i="48"/>
  <c r="AC358" i="48" s="1"/>
  <c r="O357" i="48"/>
  <c r="AD358" i="48" s="1"/>
  <c r="P357" i="48"/>
  <c r="AE358" i="48" s="1"/>
  <c r="Q357" i="48"/>
  <c r="AF358" i="48" s="1"/>
  <c r="R357" i="48"/>
  <c r="AG358" i="48" s="1"/>
  <c r="S357" i="48"/>
  <c r="T357" i="48"/>
  <c r="U357" i="48"/>
  <c r="V357" i="48"/>
  <c r="W357" i="48"/>
  <c r="X357" i="48"/>
  <c r="Y357" i="48"/>
  <c r="Z357" i="48"/>
  <c r="AA357" i="48"/>
  <c r="AB357" i="48"/>
  <c r="AC357" i="48"/>
  <c r="AD357" i="48"/>
  <c r="AE357" i="48"/>
  <c r="AF357" i="48"/>
  <c r="AG357" i="48"/>
  <c r="T357" i="46"/>
  <c r="N357" i="46"/>
  <c r="AC358" i="46" s="1"/>
  <c r="F357" i="46"/>
  <c r="U358" i="46" s="1"/>
  <c r="O357" i="46"/>
  <c r="AD358" i="46" s="1"/>
  <c r="S357" i="46"/>
  <c r="P357" i="46"/>
  <c r="AE358" i="46" s="1"/>
  <c r="I357" i="46"/>
  <c r="X358" i="46" s="1"/>
  <c r="AE357" i="46"/>
  <c r="E357" i="46"/>
  <c r="T358" i="46" s="1"/>
  <c r="L357" i="46"/>
  <c r="AA358" i="46" s="1"/>
  <c r="C357" i="46"/>
  <c r="U357" i="46"/>
  <c r="M357" i="46"/>
  <c r="AB358" i="46" s="1"/>
  <c r="X357" i="46"/>
  <c r="H357" i="46"/>
  <c r="W358" i="46" s="1"/>
  <c r="AG357" i="46"/>
  <c r="J357" i="46"/>
  <c r="Y358" i="46" s="1"/>
  <c r="W357" i="46"/>
  <c r="Z357" i="46"/>
  <c r="D357" i="46"/>
  <c r="S358" i="46" s="1"/>
  <c r="AA357" i="46"/>
  <c r="AC357" i="46"/>
  <c r="AF357" i="46"/>
  <c r="AD357" i="46"/>
  <c r="V357" i="46"/>
  <c r="R357" i="46"/>
  <c r="AG358" i="46" s="1"/>
  <c r="K357" i="46"/>
  <c r="Z358" i="46" s="1"/>
  <c r="AB357" i="46"/>
  <c r="Y357" i="46"/>
  <c r="Q357" i="46"/>
  <c r="AF358" i="46" s="1"/>
  <c r="G357" i="46"/>
  <c r="V358" i="46" s="1"/>
  <c r="C245" i="54"/>
  <c r="E245" i="54"/>
  <c r="T246" i="54" s="1"/>
  <c r="I245" i="54"/>
  <c r="X246" i="54" s="1"/>
  <c r="H245" i="54"/>
  <c r="W246" i="54" s="1"/>
  <c r="G245" i="54"/>
  <c r="V246" i="54" s="1"/>
  <c r="F245" i="54"/>
  <c r="U246" i="54" s="1"/>
  <c r="D245" i="54"/>
  <c r="S246" i="54" s="1"/>
  <c r="J245" i="54"/>
  <c r="Y246" i="54" s="1"/>
  <c r="R245" i="54"/>
  <c r="AG246" i="54" s="1"/>
  <c r="L245" i="54"/>
  <c r="AA246" i="54" s="1"/>
  <c r="N245" i="54"/>
  <c r="AC246" i="54" s="1"/>
  <c r="O245" i="54"/>
  <c r="AD246" i="54" s="1"/>
  <c r="P245" i="54"/>
  <c r="AE246" i="54" s="1"/>
  <c r="Q245" i="54"/>
  <c r="AF246" i="54" s="1"/>
  <c r="M245" i="54"/>
  <c r="AB246" i="54" s="1"/>
  <c r="K245" i="54"/>
  <c r="Z246" i="54" s="1"/>
  <c r="S245" i="54"/>
  <c r="T245" i="54"/>
  <c r="U245" i="54"/>
  <c r="V245" i="54"/>
  <c r="W245" i="54"/>
  <c r="X245" i="54"/>
  <c r="Y245" i="54"/>
  <c r="Z245" i="54"/>
  <c r="AA245" i="54"/>
  <c r="AB245" i="54"/>
  <c r="AC245" i="54"/>
  <c r="AD245" i="54"/>
  <c r="AE245" i="54"/>
  <c r="AF245" i="54"/>
  <c r="AG245" i="54"/>
  <c r="E245" i="53"/>
  <c r="T246" i="53" s="1"/>
  <c r="D245" i="53"/>
  <c r="S246" i="53" s="1"/>
  <c r="C245" i="53"/>
  <c r="F245" i="53"/>
  <c r="U246" i="53" s="1"/>
  <c r="G245" i="53"/>
  <c r="V246" i="53" s="1"/>
  <c r="I245" i="53"/>
  <c r="X246" i="53" s="1"/>
  <c r="H245" i="53"/>
  <c r="W246" i="53" s="1"/>
  <c r="J245" i="53"/>
  <c r="Y246" i="53" s="1"/>
  <c r="K245" i="53"/>
  <c r="Z246" i="53" s="1"/>
  <c r="L245" i="53"/>
  <c r="AA246" i="53" s="1"/>
  <c r="M245" i="53"/>
  <c r="AB246" i="53" s="1"/>
  <c r="N245" i="53"/>
  <c r="AC246" i="53" s="1"/>
  <c r="O245" i="53"/>
  <c r="AD246" i="53" s="1"/>
  <c r="P245" i="53"/>
  <c r="AE246" i="53" s="1"/>
  <c r="Q245" i="53"/>
  <c r="AF246" i="53" s="1"/>
  <c r="R245" i="53"/>
  <c r="AG246" i="53" s="1"/>
  <c r="S245" i="53"/>
  <c r="T245" i="53"/>
  <c r="U245" i="53"/>
  <c r="V245" i="53"/>
  <c r="W245" i="53"/>
  <c r="X245" i="53"/>
  <c r="Y245" i="53"/>
  <c r="Z245" i="53"/>
  <c r="AA245" i="53"/>
  <c r="AB245" i="53"/>
  <c r="AC245" i="53"/>
  <c r="AD245" i="53"/>
  <c r="AE245" i="53"/>
  <c r="AF245" i="53"/>
  <c r="AG245" i="53"/>
  <c r="E329" i="38"/>
  <c r="T330" i="38" s="1"/>
  <c r="M329" i="38"/>
  <c r="AB330" i="38" s="1"/>
  <c r="U329" i="38"/>
  <c r="AC329" i="38"/>
  <c r="F329" i="38"/>
  <c r="U330" i="38" s="1"/>
  <c r="N329" i="38"/>
  <c r="AC330" i="38" s="1"/>
  <c r="V329" i="38"/>
  <c r="AD329" i="38"/>
  <c r="G329" i="38"/>
  <c r="V330" i="38" s="1"/>
  <c r="O329" i="38"/>
  <c r="AD330" i="38" s="1"/>
  <c r="W329" i="38"/>
  <c r="AE329" i="38"/>
  <c r="H329" i="38"/>
  <c r="W330" i="38" s="1"/>
  <c r="P329" i="38"/>
  <c r="AE330" i="38" s="1"/>
  <c r="X329" i="38"/>
  <c r="AF329" i="38"/>
  <c r="I329" i="38"/>
  <c r="X330" i="38" s="1"/>
  <c r="Q329" i="38"/>
  <c r="AF330" i="38" s="1"/>
  <c r="Y329" i="38"/>
  <c r="AG329" i="38"/>
  <c r="J329" i="38"/>
  <c r="Y330" i="38" s="1"/>
  <c r="R329" i="38"/>
  <c r="AG330" i="38" s="1"/>
  <c r="Z329" i="38"/>
  <c r="C329" i="38"/>
  <c r="K329" i="38"/>
  <c r="Z330" i="38" s="1"/>
  <c r="S329" i="38"/>
  <c r="AA329" i="38"/>
  <c r="D329" i="38"/>
  <c r="S330" i="38" s="1"/>
  <c r="L329" i="38"/>
  <c r="AA330" i="38" s="1"/>
  <c r="T329" i="38"/>
  <c r="AB329" i="38"/>
  <c r="D329" i="42"/>
  <c r="S330" i="42" s="1"/>
  <c r="C329" i="42"/>
  <c r="E329" i="42"/>
  <c r="T330" i="42" s="1"/>
  <c r="F329" i="42"/>
  <c r="U330" i="42" s="1"/>
  <c r="G329" i="42"/>
  <c r="V330" i="42" s="1"/>
  <c r="H329" i="42"/>
  <c r="W330" i="42" s="1"/>
  <c r="I329" i="42"/>
  <c r="X330" i="42" s="1"/>
  <c r="J329" i="42"/>
  <c r="Y330" i="42" s="1"/>
  <c r="K329" i="42"/>
  <c r="Z330" i="42" s="1"/>
  <c r="L329" i="42"/>
  <c r="AA330" i="42" s="1"/>
  <c r="M329" i="42"/>
  <c r="AB330" i="42" s="1"/>
  <c r="N329" i="42"/>
  <c r="AC330" i="42" s="1"/>
  <c r="O329" i="42"/>
  <c r="AD330" i="42" s="1"/>
  <c r="P329" i="42"/>
  <c r="AE330" i="42" s="1"/>
  <c r="Q329" i="42"/>
  <c r="AF330" i="42" s="1"/>
  <c r="R329" i="42"/>
  <c r="AG330" i="42" s="1"/>
  <c r="S329" i="42"/>
  <c r="T329" i="42"/>
  <c r="U329" i="42"/>
  <c r="V329" i="42"/>
  <c r="W329" i="42"/>
  <c r="X329" i="42"/>
  <c r="Y329" i="42"/>
  <c r="Z329" i="42"/>
  <c r="AA329" i="42"/>
  <c r="AB329" i="42"/>
  <c r="AC329" i="42"/>
  <c r="AD329" i="42"/>
  <c r="AE329" i="42"/>
  <c r="AF329" i="42"/>
  <c r="AG329" i="42"/>
  <c r="H59" i="33"/>
  <c r="E39" i="40"/>
  <c r="E43" i="40"/>
  <c r="E41" i="40"/>
  <c r="E38" i="40"/>
  <c r="E40" i="40"/>
  <c r="E37" i="40"/>
  <c r="D41" i="40"/>
  <c r="D37" i="40"/>
  <c r="D38" i="40"/>
  <c r="D43" i="40"/>
  <c r="D39" i="40"/>
  <c r="D40" i="40"/>
  <c r="J31" i="37"/>
  <c r="L31" i="37" s="1"/>
  <c r="AJ6" i="36"/>
  <c r="BN6" i="36"/>
  <c r="D71" i="36"/>
  <c r="AH7" i="36"/>
  <c r="N43" i="37"/>
  <c r="J43" i="37"/>
  <c r="L43" i="37" s="1"/>
  <c r="N50" i="37"/>
  <c r="J50" i="37"/>
  <c r="L50" i="37" s="1"/>
  <c r="H66" i="37"/>
  <c r="H65" i="37"/>
  <c r="H63" i="37"/>
  <c r="H64" i="37"/>
  <c r="H62" i="37"/>
  <c r="N49" i="37"/>
  <c r="J49" i="37"/>
  <c r="L49" i="37" s="1"/>
  <c r="H40" i="37"/>
  <c r="H38" i="37"/>
  <c r="H36" i="37"/>
  <c r="H34" i="37"/>
  <c r="N28" i="37"/>
  <c r="J28" i="37"/>
  <c r="L28" i="37" s="1"/>
  <c r="H39" i="37"/>
  <c r="B10" i="40" s="1"/>
  <c r="C10" i="40" s="1"/>
  <c r="H37" i="37"/>
  <c r="H35" i="37"/>
  <c r="H61" i="37"/>
  <c r="N48" i="37"/>
  <c r="J48" i="37"/>
  <c r="L48" i="37" s="1"/>
  <c r="H60" i="37"/>
  <c r="N44" i="37"/>
  <c r="J44" i="37"/>
  <c r="L44" i="37" s="1"/>
  <c r="H59" i="37"/>
  <c r="H57" i="37"/>
  <c r="H58" i="37"/>
  <c r="H56" i="37"/>
  <c r="N47" i="37"/>
  <c r="J47" i="37"/>
  <c r="L47" i="37" s="1"/>
  <c r="H55" i="37"/>
  <c r="H53" i="37"/>
  <c r="N46" i="37"/>
  <c r="J46" i="37"/>
  <c r="L46" i="37" s="1"/>
  <c r="H54" i="37"/>
  <c r="H52" i="37"/>
  <c r="H32" i="37"/>
  <c r="B4" i="40" s="1"/>
  <c r="C4" i="40" s="1"/>
  <c r="H33" i="37"/>
  <c r="B3" i="40" s="1"/>
  <c r="C3" i="40" s="1"/>
  <c r="N27" i="37"/>
  <c r="J27" i="37"/>
  <c r="L27" i="37" s="1"/>
  <c r="H93" i="37"/>
  <c r="H92" i="37"/>
  <c r="N45" i="37"/>
  <c r="J45" i="37"/>
  <c r="L45" i="37" s="1"/>
  <c r="H42" i="37"/>
  <c r="H41" i="37"/>
  <c r="B6" i="40" s="1"/>
  <c r="C6" i="40" s="1"/>
  <c r="N29" i="37"/>
  <c r="J29" i="37"/>
  <c r="L29" i="37" s="1"/>
  <c r="BR12" i="36"/>
  <c r="G3" i="36"/>
  <c r="Y13" i="3"/>
  <c r="Y12" i="3"/>
  <c r="Y8" i="3"/>
  <c r="R22" i="37"/>
  <c r="R246" i="53" l="1"/>
  <c r="M246" i="53"/>
  <c r="M246" i="54"/>
  <c r="R246" i="54"/>
  <c r="R330" i="42"/>
  <c r="M330" i="42"/>
  <c r="R330" i="38"/>
  <c r="M330" i="38"/>
  <c r="M358" i="48"/>
  <c r="R358" i="48"/>
  <c r="M358" i="46"/>
  <c r="R358" i="46"/>
  <c r="I39" i="40"/>
  <c r="I43" i="40"/>
  <c r="I38" i="40"/>
  <c r="I37" i="40"/>
  <c r="I41" i="40"/>
  <c r="I40" i="40"/>
  <c r="E46" i="40"/>
  <c r="F43" i="40"/>
  <c r="F40" i="40"/>
  <c r="F37" i="40"/>
  <c r="F41" i="40"/>
  <c r="F38" i="40"/>
  <c r="F39" i="40"/>
  <c r="B37" i="40"/>
  <c r="B39" i="40"/>
  <c r="B41" i="40"/>
  <c r="B38" i="40"/>
  <c r="B40" i="40"/>
  <c r="B43" i="40"/>
  <c r="C37" i="40"/>
  <c r="C43" i="40"/>
  <c r="C40" i="40"/>
  <c r="C38" i="40"/>
  <c r="C39" i="40"/>
  <c r="C41" i="40"/>
  <c r="D46" i="40"/>
  <c r="AH15" i="36"/>
  <c r="BN15" i="36" s="1"/>
  <c r="BN7" i="36"/>
  <c r="Y14" i="3"/>
  <c r="Y15" i="3" s="1"/>
  <c r="R25" i="37"/>
  <c r="N42" i="37"/>
  <c r="J42" i="37"/>
  <c r="L42" i="37" s="1"/>
  <c r="N93" i="37"/>
  <c r="J93" i="37"/>
  <c r="L93" i="37" s="1"/>
  <c r="N33" i="37"/>
  <c r="J33" i="37"/>
  <c r="L33" i="37" s="1"/>
  <c r="N57" i="37"/>
  <c r="J57" i="37"/>
  <c r="L57" i="37" s="1"/>
  <c r="N60" i="37"/>
  <c r="J60" i="37"/>
  <c r="L60" i="37" s="1"/>
  <c r="N35" i="37"/>
  <c r="J35" i="37"/>
  <c r="L35" i="37" s="1"/>
  <c r="N40" i="37"/>
  <c r="J40" i="37"/>
  <c r="L40" i="37" s="1"/>
  <c r="N64" i="37"/>
  <c r="J64" i="37"/>
  <c r="L64" i="37" s="1"/>
  <c r="N32" i="37"/>
  <c r="J32" i="37"/>
  <c r="L32" i="37" s="1"/>
  <c r="N59" i="37"/>
  <c r="J59" i="37"/>
  <c r="L59" i="37" s="1"/>
  <c r="N37" i="37"/>
  <c r="J37" i="37"/>
  <c r="L37" i="37" s="1"/>
  <c r="H87" i="37"/>
  <c r="N34" i="37"/>
  <c r="J34" i="37"/>
  <c r="L34" i="37" s="1"/>
  <c r="H88" i="37"/>
  <c r="N63" i="37"/>
  <c r="J63" i="37"/>
  <c r="L63" i="37" s="1"/>
  <c r="N52" i="37"/>
  <c r="J52" i="37"/>
  <c r="L52" i="37" s="1"/>
  <c r="N53" i="37"/>
  <c r="J53" i="37"/>
  <c r="L53" i="37" s="1"/>
  <c r="N56" i="37"/>
  <c r="J56" i="37"/>
  <c r="L56" i="37" s="1"/>
  <c r="N39" i="37"/>
  <c r="J39" i="37"/>
  <c r="L39" i="37" s="1"/>
  <c r="N36" i="37"/>
  <c r="J36" i="37"/>
  <c r="L36" i="37" s="1"/>
  <c r="N65" i="37"/>
  <c r="J65" i="37"/>
  <c r="L65" i="37" s="1"/>
  <c r="N41" i="37"/>
  <c r="J41" i="37"/>
  <c r="L41" i="37" s="1"/>
  <c r="N92" i="37"/>
  <c r="J92" i="37"/>
  <c r="L92" i="37" s="1"/>
  <c r="N54" i="37"/>
  <c r="J54" i="37"/>
  <c r="L54" i="37" s="1"/>
  <c r="N55" i="37"/>
  <c r="J55" i="37"/>
  <c r="L55" i="37" s="1"/>
  <c r="N58" i="37"/>
  <c r="J58" i="37"/>
  <c r="L58" i="37" s="1"/>
  <c r="N61" i="37"/>
  <c r="J61" i="37"/>
  <c r="L61" i="37" s="1"/>
  <c r="N38" i="37"/>
  <c r="J38" i="37"/>
  <c r="L38" i="37" s="1"/>
  <c r="N62" i="37"/>
  <c r="J62" i="37"/>
  <c r="L62" i="37" s="1"/>
  <c r="N66" i="37"/>
  <c r="J66" i="37"/>
  <c r="L66" i="37" s="1"/>
  <c r="H3" i="36"/>
  <c r="I46" i="40" l="1"/>
  <c r="T92" i="24"/>
  <c r="D2" i="37"/>
  <c r="M8" i="40" s="1"/>
  <c r="T89" i="24"/>
  <c r="T91" i="24" s="1"/>
  <c r="C46" i="40"/>
  <c r="B46" i="40"/>
  <c r="F46" i="40"/>
  <c r="S23" i="37"/>
  <c r="S21" i="37"/>
  <c r="N87" i="37"/>
  <c r="J87" i="37"/>
  <c r="L87" i="37" s="1"/>
  <c r="H96" i="37"/>
  <c r="H95" i="37"/>
  <c r="S24" i="37"/>
  <c r="N88" i="37"/>
  <c r="J88" i="37"/>
  <c r="L88" i="37" s="1"/>
  <c r="S22" i="37"/>
  <c r="I3" i="36"/>
  <c r="M9" i="40" l="1"/>
  <c r="T83" i="24" s="1"/>
  <c r="M10" i="40"/>
  <c r="BU31" i="36" a="1"/>
  <c r="BU31" i="36" s="1"/>
  <c r="K2" i="40" a="1"/>
  <c r="J95" i="37"/>
  <c r="L95" i="37" s="1"/>
  <c r="B8" i="40"/>
  <c r="C8" i="40" s="1"/>
  <c r="J96" i="37"/>
  <c r="L96" i="37" s="1"/>
  <c r="B7" i="40"/>
  <c r="J3" i="36"/>
  <c r="M11" i="40" l="1"/>
  <c r="M12" i="40" s="1"/>
  <c r="L45" i="40"/>
  <c r="M45" i="40" s="1"/>
  <c r="C7" i="40"/>
  <c r="H38" i="40"/>
  <c r="H43" i="40"/>
  <c r="H42" i="40"/>
  <c r="K2" i="40"/>
  <c r="L44" i="40"/>
  <c r="M44" i="40" s="1"/>
  <c r="F4" i="3" s="1"/>
  <c r="B11" i="40"/>
  <c r="C11" i="40" s="1"/>
  <c r="K3" i="36"/>
  <c r="BS30" i="45" l="1"/>
  <c r="D11" i="45"/>
  <c r="D11" i="36"/>
  <c r="K11" i="36" s="1"/>
  <c r="F6" i="3"/>
  <c r="F7" i="3" s="1"/>
  <c r="F9" i="3" s="1"/>
  <c r="F13" i="3" s="1"/>
  <c r="O44" i="40"/>
  <c r="T82" i="24"/>
  <c r="O45" i="40"/>
  <c r="T81" i="24"/>
  <c r="B12" i="40"/>
  <c r="B14" i="40" s="1"/>
  <c r="H46" i="40"/>
  <c r="J43" i="40"/>
  <c r="J37" i="40"/>
  <c r="J40" i="40"/>
  <c r="J41" i="40"/>
  <c r="J39" i="40"/>
  <c r="J38" i="40"/>
  <c r="K42" i="40"/>
  <c r="L42" i="40"/>
  <c r="M42" i="40" s="1"/>
  <c r="O42" i="40" s="1"/>
  <c r="G43" i="40"/>
  <c r="G40" i="40"/>
  <c r="G37" i="40"/>
  <c r="G41" i="40"/>
  <c r="G38" i="40"/>
  <c r="G39" i="40"/>
  <c r="L3" i="36"/>
  <c r="AJ11" i="45" l="1"/>
  <c r="AF10" i="45"/>
  <c r="X10" i="45"/>
  <c r="L10" i="45"/>
  <c r="H10" i="45"/>
  <c r="AE10" i="45"/>
  <c r="W10" i="45"/>
  <c r="O10" i="45"/>
  <c r="G10" i="45"/>
  <c r="BS16" i="45"/>
  <c r="AH10" i="45"/>
  <c r="Z10" i="45"/>
  <c r="V10" i="45"/>
  <c r="R10" i="45"/>
  <c r="N10" i="45"/>
  <c r="J10" i="45"/>
  <c r="F10" i="45"/>
  <c r="AB10" i="45"/>
  <c r="T10" i="45"/>
  <c r="P10" i="45"/>
  <c r="E10" i="45"/>
  <c r="AA10" i="45"/>
  <c r="S10" i="45"/>
  <c r="K10" i="45"/>
  <c r="AD10" i="45"/>
  <c r="AG10" i="45"/>
  <c r="AC10" i="45"/>
  <c r="Y10" i="45"/>
  <c r="U10" i="45"/>
  <c r="Q10" i="45"/>
  <c r="M10" i="45"/>
  <c r="I10" i="45"/>
  <c r="AJ11" i="36"/>
  <c r="D8" i="36"/>
  <c r="E11" i="36"/>
  <c r="BS32" i="36"/>
  <c r="D12" i="36"/>
  <c r="D13" i="36" s="1"/>
  <c r="AJ13" i="36" s="1"/>
  <c r="F11" i="36"/>
  <c r="G11" i="36"/>
  <c r="H11" i="36"/>
  <c r="I11" i="36"/>
  <c r="J11" i="36"/>
  <c r="T84" i="24"/>
  <c r="K8" i="36"/>
  <c r="AQ8" i="36" s="1"/>
  <c r="AQ11" i="36"/>
  <c r="K12" i="36"/>
  <c r="AQ12" i="36" s="1"/>
  <c r="L11" i="36"/>
  <c r="K40" i="40"/>
  <c r="L40" i="40"/>
  <c r="L38" i="40"/>
  <c r="M38" i="40" s="1"/>
  <c r="O38" i="40" s="1"/>
  <c r="K38" i="40"/>
  <c r="L43" i="40"/>
  <c r="M43" i="40" s="1"/>
  <c r="K43" i="40"/>
  <c r="G46" i="40"/>
  <c r="K37" i="40"/>
  <c r="L37" i="40"/>
  <c r="L39" i="40"/>
  <c r="M39" i="40" s="1"/>
  <c r="O39" i="40" s="1"/>
  <c r="K39" i="40"/>
  <c r="B64" i="40" s="1"/>
  <c r="J46" i="40"/>
  <c r="K41" i="40"/>
  <c r="L41" i="40"/>
  <c r="M41" i="40" s="1"/>
  <c r="O41" i="40" s="1"/>
  <c r="M3" i="36"/>
  <c r="Y12" i="45" l="1"/>
  <c r="Y14" i="45"/>
  <c r="BE10" i="45"/>
  <c r="AC12" i="45"/>
  <c r="AC14" i="45"/>
  <c r="BI10" i="45"/>
  <c r="U12" i="45"/>
  <c r="U14" i="45"/>
  <c r="BA10" i="45"/>
  <c r="BJ10" i="45"/>
  <c r="AD12" i="45"/>
  <c r="AD14" i="45"/>
  <c r="E12" i="45"/>
  <c r="E14" i="45"/>
  <c r="AK10" i="45"/>
  <c r="AL10" i="45"/>
  <c r="F12" i="45"/>
  <c r="F14" i="45"/>
  <c r="V11" i="45"/>
  <c r="BB10" i="45"/>
  <c r="V12" i="45"/>
  <c r="V14" i="45"/>
  <c r="AM10" i="45"/>
  <c r="G12" i="45"/>
  <c r="G14" i="45"/>
  <c r="H11" i="45"/>
  <c r="H14" i="45"/>
  <c r="AN10" i="45"/>
  <c r="H12" i="45"/>
  <c r="AQ10" i="45"/>
  <c r="K12" i="45"/>
  <c r="K14" i="45"/>
  <c r="P14" i="45"/>
  <c r="AV10" i="45"/>
  <c r="P12" i="45"/>
  <c r="J11" i="45"/>
  <c r="AP10" i="45"/>
  <c r="J12" i="45"/>
  <c r="J14" i="45"/>
  <c r="Z11" i="45"/>
  <c r="BF10" i="45"/>
  <c r="Z12" i="45"/>
  <c r="Z14" i="45"/>
  <c r="O11" i="45"/>
  <c r="AU10" i="45"/>
  <c r="O12" i="45"/>
  <c r="O14" i="45"/>
  <c r="L11" i="45"/>
  <c r="L14" i="45"/>
  <c r="AR10" i="45"/>
  <c r="L12" i="45"/>
  <c r="M11" i="45"/>
  <c r="M12" i="45"/>
  <c r="M14" i="45"/>
  <c r="AS10" i="45"/>
  <c r="T14" i="45"/>
  <c r="AZ10" i="45"/>
  <c r="T12" i="45"/>
  <c r="N11" i="45"/>
  <c r="AT10" i="45"/>
  <c r="N12" i="45"/>
  <c r="N14" i="45"/>
  <c r="AH11" i="45"/>
  <c r="BN10" i="45"/>
  <c r="AH12" i="45"/>
  <c r="AH14" i="45"/>
  <c r="BC10" i="45"/>
  <c r="W12" i="45"/>
  <c r="W14" i="45"/>
  <c r="X11" i="45"/>
  <c r="X14" i="45"/>
  <c r="BD10" i="45"/>
  <c r="X12" i="45"/>
  <c r="I12" i="45"/>
  <c r="I14" i="45"/>
  <c r="AO10" i="45"/>
  <c r="AY10" i="45"/>
  <c r="S12" i="45"/>
  <c r="S14" i="45"/>
  <c r="Q12" i="45"/>
  <c r="Q14" i="45"/>
  <c r="AW10" i="45"/>
  <c r="AG12" i="45"/>
  <c r="AG14" i="45"/>
  <c r="BM10" i="45"/>
  <c r="AA11" i="45"/>
  <c r="BG10" i="45"/>
  <c r="AA12" i="45"/>
  <c r="AA14" i="45"/>
  <c r="AB14" i="45"/>
  <c r="BH10" i="45"/>
  <c r="AB12" i="45"/>
  <c r="AX10" i="45"/>
  <c r="R12" i="45"/>
  <c r="R14" i="45"/>
  <c r="AE11" i="45"/>
  <c r="BK10" i="45"/>
  <c r="AE12" i="45"/>
  <c r="AE14" i="45"/>
  <c r="AF11" i="45"/>
  <c r="AF14" i="45"/>
  <c r="BL10" i="45"/>
  <c r="AF12" i="45"/>
  <c r="U11" i="45"/>
  <c r="K11" i="45"/>
  <c r="E11" i="45"/>
  <c r="T11" i="45"/>
  <c r="G11" i="45"/>
  <c r="S11" i="45"/>
  <c r="W11" i="45"/>
  <c r="AD11" i="45"/>
  <c r="I11" i="45"/>
  <c r="Q11" i="45"/>
  <c r="AC11" i="45"/>
  <c r="Y11" i="45"/>
  <c r="AG11" i="45"/>
  <c r="P11" i="45"/>
  <c r="AB11" i="45"/>
  <c r="F11" i="45"/>
  <c r="R11" i="45"/>
  <c r="G8" i="36"/>
  <c r="G12" i="36"/>
  <c r="AM12" i="36" s="1"/>
  <c r="AM11" i="36"/>
  <c r="J12" i="36"/>
  <c r="J8" i="36"/>
  <c r="AP11" i="36"/>
  <c r="E8" i="36"/>
  <c r="AK11" i="36"/>
  <c r="E12" i="36"/>
  <c r="AK12" i="36" s="1"/>
  <c r="AO11" i="36"/>
  <c r="I8" i="36"/>
  <c r="I12" i="36"/>
  <c r="AO12" i="36" s="1"/>
  <c r="F12" i="36"/>
  <c r="AL12" i="36" s="1"/>
  <c r="F8" i="36"/>
  <c r="AL11" i="36"/>
  <c r="AJ8" i="36"/>
  <c r="AJ9" i="36" s="1"/>
  <c r="D16" i="36"/>
  <c r="D9" i="36"/>
  <c r="D17" i="36" s="1"/>
  <c r="AJ17" i="36" s="1"/>
  <c r="H8" i="36"/>
  <c r="H12" i="36"/>
  <c r="AN12" i="36" s="1"/>
  <c r="AN11" i="36"/>
  <c r="AJ12" i="36"/>
  <c r="D14" i="36"/>
  <c r="AJ14" i="36" s="1"/>
  <c r="K13" i="36"/>
  <c r="AQ13" i="36" s="1"/>
  <c r="L12" i="36"/>
  <c r="AR12" i="36" s="1"/>
  <c r="AR11" i="36"/>
  <c r="L8" i="36"/>
  <c r="K16" i="36"/>
  <c r="K118" i="36" s="1"/>
  <c r="K124" i="36" s="1"/>
  <c r="M11" i="36"/>
  <c r="E64" i="40"/>
  <c r="F64" i="40"/>
  <c r="C64" i="40"/>
  <c r="M40" i="40"/>
  <c r="M37" i="40"/>
  <c r="L46" i="40"/>
  <c r="D64" i="40"/>
  <c r="N3" i="36"/>
  <c r="BH11" i="45" l="1"/>
  <c r="BC11" i="45"/>
  <c r="AX12" i="45"/>
  <c r="BG11" i="45"/>
  <c r="AY12" i="45"/>
  <c r="BD11" i="45"/>
  <c r="AT14" i="45"/>
  <c r="AS14" i="45"/>
  <c r="AU12" i="45"/>
  <c r="AP12" i="45"/>
  <c r="BB14" i="45"/>
  <c r="AK14" i="45"/>
  <c r="AV11" i="45"/>
  <c r="AY11" i="45"/>
  <c r="BL14" i="45"/>
  <c r="BC14" i="45"/>
  <c r="AT12" i="45"/>
  <c r="AS12" i="45"/>
  <c r="AN12" i="45"/>
  <c r="BB12" i="45"/>
  <c r="AK12" i="45"/>
  <c r="BI14" i="45"/>
  <c r="BM11" i="45"/>
  <c r="AM11" i="45"/>
  <c r="BL11" i="45"/>
  <c r="BH12" i="45"/>
  <c r="BM14" i="45"/>
  <c r="BC12" i="45"/>
  <c r="AS11" i="45"/>
  <c r="AU11" i="45"/>
  <c r="AP11" i="45"/>
  <c r="BJ14" i="45"/>
  <c r="BI12" i="45"/>
  <c r="BE11" i="45"/>
  <c r="AZ11" i="45"/>
  <c r="BK14" i="45"/>
  <c r="BM12" i="45"/>
  <c r="AO14" i="45"/>
  <c r="AT11" i="45"/>
  <c r="AR12" i="45"/>
  <c r="BF14" i="45"/>
  <c r="AV12" i="45"/>
  <c r="AN14" i="45"/>
  <c r="BB11" i="45"/>
  <c r="BJ12" i="45"/>
  <c r="BI11" i="45"/>
  <c r="AK11" i="45"/>
  <c r="BK12" i="45"/>
  <c r="BH14" i="45"/>
  <c r="AO12" i="45"/>
  <c r="BN14" i="45"/>
  <c r="AZ12" i="45"/>
  <c r="BF12" i="45"/>
  <c r="AN11" i="45"/>
  <c r="AL14" i="45"/>
  <c r="BE14" i="45"/>
  <c r="AW11" i="45"/>
  <c r="AQ11" i="45"/>
  <c r="BG14" i="45"/>
  <c r="AW14" i="45"/>
  <c r="BD12" i="45"/>
  <c r="BN12" i="45"/>
  <c r="AR14" i="45"/>
  <c r="AV14" i="45"/>
  <c r="AM14" i="45"/>
  <c r="AL12" i="45"/>
  <c r="BE12" i="45"/>
  <c r="AX11" i="45"/>
  <c r="AO11" i="45"/>
  <c r="BA11" i="45"/>
  <c r="BK11" i="45"/>
  <c r="BG12" i="45"/>
  <c r="AW12" i="45"/>
  <c r="AZ14" i="45"/>
  <c r="AR11" i="45"/>
  <c r="BF11" i="45"/>
  <c r="AQ14" i="45"/>
  <c r="AM12" i="45"/>
  <c r="BA14" i="45"/>
  <c r="AL11" i="45"/>
  <c r="BJ11" i="45"/>
  <c r="BL12" i="45"/>
  <c r="AX14" i="45"/>
  <c r="AY14" i="45"/>
  <c r="BD14" i="45"/>
  <c r="BN11" i="45"/>
  <c r="AU14" i="45"/>
  <c r="AP14" i="45"/>
  <c r="AQ12" i="45"/>
  <c r="BA12" i="45"/>
  <c r="H13" i="36"/>
  <c r="AN13" i="36" s="1"/>
  <c r="L13" i="36"/>
  <c r="AR13" i="36" s="1"/>
  <c r="AK8" i="36"/>
  <c r="E16" i="36"/>
  <c r="G13" i="36"/>
  <c r="AM13" i="36" s="1"/>
  <c r="H16" i="36"/>
  <c r="AN8" i="36"/>
  <c r="F13" i="36"/>
  <c r="AL13" i="36" s="1"/>
  <c r="I13" i="36"/>
  <c r="AO13" i="36" s="1"/>
  <c r="E13" i="36"/>
  <c r="AK13" i="36" s="1"/>
  <c r="J16" i="36"/>
  <c r="AP8" i="36"/>
  <c r="D118" i="36"/>
  <c r="D124" i="36" s="1"/>
  <c r="AJ16" i="36"/>
  <c r="D74" i="36"/>
  <c r="F16" i="36"/>
  <c r="AL8" i="36"/>
  <c r="AO8" i="36"/>
  <c r="I16" i="36"/>
  <c r="AP12" i="36"/>
  <c r="J13" i="36"/>
  <c r="AP13" i="36" s="1"/>
  <c r="AM8" i="36"/>
  <c r="G16" i="36"/>
  <c r="AQ16" i="36"/>
  <c r="K74" i="36"/>
  <c r="L16" i="36"/>
  <c r="L118" i="36" s="1"/>
  <c r="L124" i="36" s="1"/>
  <c r="AR8" i="36"/>
  <c r="M12" i="36"/>
  <c r="AS12" i="36" s="1"/>
  <c r="AS11" i="36"/>
  <c r="N11" i="36"/>
  <c r="M8" i="36"/>
  <c r="G64" i="40"/>
  <c r="O37" i="40"/>
  <c r="M46" i="40"/>
  <c r="O3" i="36"/>
  <c r="F4" i="36"/>
  <c r="AL4" i="36" s="1"/>
  <c r="M4" i="36"/>
  <c r="AS4" i="36" s="1"/>
  <c r="K4" i="36"/>
  <c r="AQ4" i="36" s="1"/>
  <c r="G4" i="36"/>
  <c r="AM4" i="36" s="1"/>
  <c r="J4" i="36"/>
  <c r="AP4" i="36" s="1"/>
  <c r="H4" i="36"/>
  <c r="AN4" i="36" s="1"/>
  <c r="L4" i="36"/>
  <c r="AR4" i="36" s="1"/>
  <c r="E4" i="36"/>
  <c r="AK4" i="36" s="1"/>
  <c r="I4" i="36"/>
  <c r="AO4" i="36" s="1"/>
  <c r="AJ118" i="36" l="1"/>
  <c r="AJ124" i="36" s="1"/>
  <c r="AJ74" i="36"/>
  <c r="H118" i="36"/>
  <c r="H124" i="36" s="1"/>
  <c r="AN16" i="36"/>
  <c r="H74" i="36"/>
  <c r="F118" i="36"/>
  <c r="F124" i="36" s="1"/>
  <c r="AL16" i="36"/>
  <c r="F74" i="36"/>
  <c r="E118" i="36"/>
  <c r="E124" i="36" s="1"/>
  <c r="AK16" i="36"/>
  <c r="E74" i="36"/>
  <c r="G118" i="36"/>
  <c r="G124" i="36" s="1"/>
  <c r="AM16" i="36"/>
  <c r="G74" i="36"/>
  <c r="I118" i="36"/>
  <c r="I124" i="36" s="1"/>
  <c r="AO16" i="36"/>
  <c r="I74" i="36"/>
  <c r="J118" i="36"/>
  <c r="J124" i="36" s="1"/>
  <c r="AP16" i="36"/>
  <c r="J74" i="36"/>
  <c r="AQ74" i="36"/>
  <c r="AQ118" i="36"/>
  <c r="AQ124" i="36" s="1"/>
  <c r="M13" i="36"/>
  <c r="AS13" i="36" s="1"/>
  <c r="AR16" i="36"/>
  <c r="L74" i="36"/>
  <c r="M16" i="36"/>
  <c r="M118" i="36" s="1"/>
  <c r="M124" i="36" s="1"/>
  <c r="AS8" i="36"/>
  <c r="N12" i="36"/>
  <c r="AT12" i="36" s="1"/>
  <c r="AT11" i="36"/>
  <c r="O40" i="40"/>
  <c r="N40" i="40" s="1"/>
  <c r="O43" i="40"/>
  <c r="N8" i="36"/>
  <c r="O11" i="36"/>
  <c r="P3" i="36"/>
  <c r="AO74" i="36" l="1"/>
  <c r="AO118" i="36"/>
  <c r="AO124" i="36" s="1"/>
  <c r="AN118" i="36"/>
  <c r="AN124" i="36" s="1"/>
  <c r="AN74" i="36"/>
  <c r="AP118" i="36"/>
  <c r="AP124" i="36" s="1"/>
  <c r="AP74" i="36"/>
  <c r="AL74" i="36"/>
  <c r="AL118" i="36"/>
  <c r="AL124" i="36" s="1"/>
  <c r="AK74" i="36"/>
  <c r="AK118" i="36"/>
  <c r="AK124" i="36" s="1"/>
  <c r="AM74" i="36"/>
  <c r="AM118" i="36"/>
  <c r="AM124" i="36" s="1"/>
  <c r="AR74" i="36"/>
  <c r="AR118" i="36"/>
  <c r="AR124" i="36" s="1"/>
  <c r="AS16" i="36"/>
  <c r="M74" i="36"/>
  <c r="N13" i="36"/>
  <c r="AT13" i="36" s="1"/>
  <c r="N16" i="36"/>
  <c r="N118" i="36" s="1"/>
  <c r="N124" i="36" s="1"/>
  <c r="AT8" i="36"/>
  <c r="O12" i="36"/>
  <c r="AU12" i="36" s="1"/>
  <c r="AU11" i="36"/>
  <c r="O48" i="40"/>
  <c r="N43" i="40"/>
  <c r="O8" i="36"/>
  <c r="P11" i="36"/>
  <c r="N46" i="40"/>
  <c r="P45" i="40"/>
  <c r="P44" i="40"/>
  <c r="P42" i="40"/>
  <c r="P39" i="40"/>
  <c r="P41" i="40"/>
  <c r="P43" i="40"/>
  <c r="P38" i="40"/>
  <c r="P40" i="40"/>
  <c r="P37" i="40"/>
  <c r="Q3" i="36"/>
  <c r="AS74" i="36" l="1"/>
  <c r="AS118" i="36"/>
  <c r="AS124" i="36" s="1"/>
  <c r="AT16" i="36"/>
  <c r="N74" i="36"/>
  <c r="O13" i="36"/>
  <c r="AU13" i="36" s="1"/>
  <c r="P8" i="36"/>
  <c r="AV8" i="36" s="1"/>
  <c r="AV11" i="36"/>
  <c r="O16" i="36"/>
  <c r="O118" i="36" s="1"/>
  <c r="O124" i="36" s="1"/>
  <c r="AU8" i="36"/>
  <c r="P12" i="36"/>
  <c r="AV12" i="36" s="1"/>
  <c r="Q11" i="36"/>
  <c r="Q8" i="36" s="1"/>
  <c r="AW8" i="36" s="1"/>
  <c r="P46" i="40"/>
  <c r="R3" i="36"/>
  <c r="AT74" i="36" l="1"/>
  <c r="AT118" i="36"/>
  <c r="AT124" i="36" s="1"/>
  <c r="AU16" i="36"/>
  <c r="O74" i="36"/>
  <c r="Q12" i="36"/>
  <c r="AW12" i="36" s="1"/>
  <c r="AW11" i="36"/>
  <c r="P13" i="36"/>
  <c r="AV13" i="36" s="1"/>
  <c r="P16" i="36"/>
  <c r="P118" i="36" s="1"/>
  <c r="P124" i="36" s="1"/>
  <c r="R11" i="36"/>
  <c r="S3" i="36"/>
  <c r="AU74" i="36" l="1"/>
  <c r="AU118" i="36"/>
  <c r="AU124" i="36" s="1"/>
  <c r="AV16" i="36"/>
  <c r="P74" i="36"/>
  <c r="Q13" i="36"/>
  <c r="AW13" i="36" s="1"/>
  <c r="Q16" i="36"/>
  <c r="Q118" i="36" s="1"/>
  <c r="Q124" i="36" s="1"/>
  <c r="R12" i="36"/>
  <c r="AX12" i="36" s="1"/>
  <c r="AX11" i="36"/>
  <c r="R8" i="36"/>
  <c r="S11" i="36"/>
  <c r="T3" i="36"/>
  <c r="Q4" i="36"/>
  <c r="AW4" i="36" s="1"/>
  <c r="O4" i="36"/>
  <c r="AU4" i="36" s="1"/>
  <c r="R4" i="36"/>
  <c r="AX4" i="36" s="1"/>
  <c r="P4" i="36"/>
  <c r="AV4" i="36" s="1"/>
  <c r="AV74" i="36" l="1"/>
  <c r="AV118" i="36"/>
  <c r="AV124" i="36" s="1"/>
  <c r="AW16" i="36"/>
  <c r="Q74" i="36"/>
  <c r="R13" i="36"/>
  <c r="AX13" i="36" s="1"/>
  <c r="S8" i="36"/>
  <c r="AY8" i="36" s="1"/>
  <c r="AY11" i="36"/>
  <c r="R16" i="36"/>
  <c r="R118" i="36" s="1"/>
  <c r="R124" i="36" s="1"/>
  <c r="AX8" i="36"/>
  <c r="S12" i="36"/>
  <c r="AY12" i="36" s="1"/>
  <c r="T11" i="36"/>
  <c r="U3" i="36"/>
  <c r="AW74" i="36" l="1"/>
  <c r="AW118" i="36"/>
  <c r="AW124" i="36" s="1"/>
  <c r="AX16" i="36"/>
  <c r="R74" i="36"/>
  <c r="S13" i="36"/>
  <c r="AY13" i="36" s="1"/>
  <c r="T12" i="36"/>
  <c r="AZ12" i="36" s="1"/>
  <c r="AZ11" i="36"/>
  <c r="S16" i="36"/>
  <c r="S118" i="36" s="1"/>
  <c r="S124" i="36" s="1"/>
  <c r="T8" i="36"/>
  <c r="U11" i="36"/>
  <c r="V3" i="36"/>
  <c r="AX74" i="36" l="1"/>
  <c r="AX118" i="36"/>
  <c r="AX124" i="36" s="1"/>
  <c r="AY16" i="36"/>
  <c r="S74" i="36"/>
  <c r="T13" i="36"/>
  <c r="AZ13" i="36" s="1"/>
  <c r="U12" i="36"/>
  <c r="BA12" i="36" s="1"/>
  <c r="BA11" i="36"/>
  <c r="T16" i="36"/>
  <c r="T118" i="36" s="1"/>
  <c r="T124" i="36" s="1"/>
  <c r="AZ8" i="36"/>
  <c r="U8" i="36"/>
  <c r="V11" i="36"/>
  <c r="W3" i="36"/>
  <c r="AY74" i="36" l="1"/>
  <c r="AY118" i="36"/>
  <c r="AY124" i="36" s="1"/>
  <c r="AZ16" i="36"/>
  <c r="T74" i="36"/>
  <c r="U13" i="36"/>
  <c r="BA13" i="36" s="1"/>
  <c r="U16" i="36"/>
  <c r="U118" i="36" s="1"/>
  <c r="U124" i="36" s="1"/>
  <c r="BA8" i="36"/>
  <c r="V8" i="36"/>
  <c r="BB8" i="36" s="1"/>
  <c r="BB11" i="36"/>
  <c r="V12" i="36"/>
  <c r="BB12" i="36" s="1"/>
  <c r="W11" i="36"/>
  <c r="X3" i="36"/>
  <c r="AZ74" i="36" l="1"/>
  <c r="AZ118" i="36"/>
  <c r="AZ124" i="36" s="1"/>
  <c r="BA16" i="36"/>
  <c r="U74" i="36"/>
  <c r="W8" i="36"/>
  <c r="BC8" i="36" s="1"/>
  <c r="BC11" i="36"/>
  <c r="V13" i="36"/>
  <c r="BB13" i="36" s="1"/>
  <c r="V16" i="36"/>
  <c r="V118" i="36" s="1"/>
  <c r="V124" i="36" s="1"/>
  <c r="W12" i="36"/>
  <c r="BC12" i="36" s="1"/>
  <c r="X11" i="36"/>
  <c r="U4" i="36"/>
  <c r="BA4" i="36" s="1"/>
  <c r="T4" i="36"/>
  <c r="AZ4" i="36" s="1"/>
  <c r="Y3" i="36"/>
  <c r="V4" i="36"/>
  <c r="BB4" i="36" s="1"/>
  <c r="W4" i="36"/>
  <c r="BC4" i="36" s="1"/>
  <c r="BA74" i="36" l="1"/>
  <c r="BA118" i="36"/>
  <c r="BA124" i="36" s="1"/>
  <c r="BB16" i="36"/>
  <c r="V74" i="36"/>
  <c r="W16" i="36"/>
  <c r="W118" i="36" s="1"/>
  <c r="W124" i="36" s="1"/>
  <c r="X12" i="36"/>
  <c r="BD12" i="36" s="1"/>
  <c r="BD11" i="36"/>
  <c r="W13" i="36"/>
  <c r="BC13" i="36" s="1"/>
  <c r="X8" i="36"/>
  <c r="Y11" i="36"/>
  <c r="Z3" i="36"/>
  <c r="BB74" i="36" l="1"/>
  <c r="BB118" i="36"/>
  <c r="BB124" i="36" s="1"/>
  <c r="X13" i="36"/>
  <c r="BD13" i="36" s="1"/>
  <c r="BC16" i="36"/>
  <c r="W74" i="36"/>
  <c r="Y12" i="36"/>
  <c r="BE12" i="36" s="1"/>
  <c r="BE11" i="36"/>
  <c r="X16" i="36"/>
  <c r="X118" i="36" s="1"/>
  <c r="X124" i="36" s="1"/>
  <c r="BD8" i="36"/>
  <c r="Y8" i="36"/>
  <c r="BE8" i="36" s="1"/>
  <c r="Z11" i="36"/>
  <c r="AA3" i="36"/>
  <c r="BC74" i="36" l="1"/>
  <c r="BC118" i="36"/>
  <c r="BC124" i="36" s="1"/>
  <c r="Y13" i="36"/>
  <c r="BE13" i="36" s="1"/>
  <c r="BD16" i="36"/>
  <c r="X74" i="36"/>
  <c r="Y16" i="36"/>
  <c r="Y118" i="36" s="1"/>
  <c r="Y124" i="36" s="1"/>
  <c r="Z12" i="36"/>
  <c r="BF12" i="36" s="1"/>
  <c r="BF11" i="36"/>
  <c r="Z8" i="36"/>
  <c r="AA11" i="36"/>
  <c r="AB3" i="36"/>
  <c r="BD74" i="36" l="1"/>
  <c r="BD118" i="36"/>
  <c r="BD124" i="36" s="1"/>
  <c r="BE16" i="36"/>
  <c r="Y74" i="36"/>
  <c r="Z13" i="36"/>
  <c r="BF13" i="36" s="1"/>
  <c r="AA12" i="36"/>
  <c r="BG12" i="36" s="1"/>
  <c r="BG11" i="36"/>
  <c r="Z16" i="36"/>
  <c r="Z118" i="36" s="1"/>
  <c r="Z124" i="36" s="1"/>
  <c r="BF8" i="36"/>
  <c r="AA8" i="36"/>
  <c r="BG8" i="36" s="1"/>
  <c r="AB11" i="36"/>
  <c r="AC3" i="36"/>
  <c r="BE74" i="36" l="1"/>
  <c r="BE118" i="36"/>
  <c r="BE124" i="36" s="1"/>
  <c r="BF16" i="36"/>
  <c r="Z74" i="36"/>
  <c r="AA13" i="36"/>
  <c r="BG13" i="36" s="1"/>
  <c r="AA16" i="36"/>
  <c r="AA118" i="36" s="1"/>
  <c r="AA124" i="36" s="1"/>
  <c r="AB12" i="36"/>
  <c r="BH12" i="36" s="1"/>
  <c r="BH11" i="36"/>
  <c r="AB8" i="36"/>
  <c r="BH8" i="36" s="1"/>
  <c r="AC11" i="36"/>
  <c r="Y4" i="36"/>
  <c r="BE4" i="36" s="1"/>
  <c r="Z4" i="36"/>
  <c r="BF4" i="36" s="1"/>
  <c r="AD3" i="36"/>
  <c r="AA4" i="36"/>
  <c r="BG4" i="36" s="1"/>
  <c r="AB4" i="36"/>
  <c r="BH4" i="36" s="1"/>
  <c r="AB13" i="36" l="1"/>
  <c r="BH13" i="36" s="1"/>
  <c r="BF74" i="36"/>
  <c r="BF118" i="36"/>
  <c r="BF124" i="36" s="1"/>
  <c r="BG16" i="36"/>
  <c r="AA74" i="36"/>
  <c r="AC8" i="36"/>
  <c r="BI8" i="36" s="1"/>
  <c r="BI11" i="36"/>
  <c r="AB16" i="36"/>
  <c r="AB118" i="36" s="1"/>
  <c r="AB124" i="36" s="1"/>
  <c r="AC12" i="36"/>
  <c r="BI12" i="36" s="1"/>
  <c r="AD11" i="36"/>
  <c r="AE3" i="36"/>
  <c r="BG74" i="36" l="1"/>
  <c r="BG118" i="36"/>
  <c r="BG124" i="36" s="1"/>
  <c r="BH16" i="36"/>
  <c r="AB74" i="36"/>
  <c r="AD12" i="36"/>
  <c r="BJ12" i="36" s="1"/>
  <c r="BJ11" i="36"/>
  <c r="AD8" i="36"/>
  <c r="BJ8" i="36" s="1"/>
  <c r="AC16" i="36"/>
  <c r="AC118" i="36" s="1"/>
  <c r="AC124" i="36" s="1"/>
  <c r="AC13" i="36"/>
  <c r="BI13" i="36" s="1"/>
  <c r="AE11" i="36"/>
  <c r="AF3" i="36"/>
  <c r="BH74" i="36" l="1"/>
  <c r="BH118" i="36"/>
  <c r="BH124" i="36" s="1"/>
  <c r="BI16" i="36"/>
  <c r="AC74" i="36"/>
  <c r="AD13" i="36"/>
  <c r="BJ13" i="36" s="1"/>
  <c r="AD16" i="36"/>
  <c r="AD118" i="36" s="1"/>
  <c r="AD124" i="36" s="1"/>
  <c r="AE8" i="36"/>
  <c r="BK8" i="36" s="1"/>
  <c r="BK11" i="36"/>
  <c r="AE12" i="36"/>
  <c r="BK12" i="36" s="1"/>
  <c r="AF11" i="36"/>
  <c r="AG3" i="36"/>
  <c r="BI74" i="36" l="1"/>
  <c r="BI118" i="36"/>
  <c r="BI124" i="36" s="1"/>
  <c r="BJ16" i="36"/>
  <c r="AD74" i="36"/>
  <c r="AF12" i="36"/>
  <c r="BL12" i="36" s="1"/>
  <c r="BL11" i="36"/>
  <c r="AF8" i="36"/>
  <c r="AE16" i="36"/>
  <c r="AE118" i="36" s="1"/>
  <c r="AE124" i="36" s="1"/>
  <c r="AE13" i="36"/>
  <c r="BK13" i="36" s="1"/>
  <c r="AG11" i="36"/>
  <c r="AH3" i="36"/>
  <c r="BJ74" i="36" l="1"/>
  <c r="BJ118" i="36"/>
  <c r="BJ124" i="36" s="1"/>
  <c r="BK16" i="36"/>
  <c r="AE74" i="36"/>
  <c r="AF13" i="36"/>
  <c r="BL13" i="36" s="1"/>
  <c r="AG8" i="36"/>
  <c r="BM8" i="36" s="1"/>
  <c r="BM11" i="36"/>
  <c r="AF16" i="36"/>
  <c r="AF118" i="36" s="1"/>
  <c r="AF124" i="36" s="1"/>
  <c r="BL8" i="36"/>
  <c r="AG12" i="36"/>
  <c r="BM12" i="36" s="1"/>
  <c r="AH11" i="36"/>
  <c r="Z5" i="36"/>
  <c r="R5" i="36"/>
  <c r="J5" i="36"/>
  <c r="U5" i="36"/>
  <c r="BS20" i="36"/>
  <c r="M5" i="36"/>
  <c r="AC5" i="36"/>
  <c r="E5" i="36"/>
  <c r="AD4" i="36"/>
  <c r="BJ4" i="36" s="1"/>
  <c r="F5" i="36"/>
  <c r="I5" i="36"/>
  <c r="AF5" i="36"/>
  <c r="BL5" i="36" s="1"/>
  <c r="O5" i="36"/>
  <c r="AE5" i="36"/>
  <c r="BK5" i="36" s="1"/>
  <c r="L5" i="36"/>
  <c r="AB5" i="36"/>
  <c r="N5" i="36"/>
  <c r="Q5" i="36"/>
  <c r="S5" i="36"/>
  <c r="P5" i="36"/>
  <c r="T5" i="36"/>
  <c r="AF4" i="36"/>
  <c r="BL4" i="36" s="1"/>
  <c r="AE4" i="36"/>
  <c r="BK4" i="36" s="1"/>
  <c r="AG5" i="36"/>
  <c r="BM5" i="36" s="1"/>
  <c r="AG4" i="36"/>
  <c r="BM4" i="36" s="1"/>
  <c r="AA5" i="36"/>
  <c r="H5" i="36"/>
  <c r="X5" i="36"/>
  <c r="V5" i="36"/>
  <c r="Y5" i="36"/>
  <c r="G5" i="36"/>
  <c r="W5" i="36"/>
  <c r="AD5" i="36"/>
  <c r="BJ5" i="36" s="1"/>
  <c r="K5" i="36"/>
  <c r="BK74" i="36" l="1"/>
  <c r="BK118" i="36"/>
  <c r="BK124" i="36" s="1"/>
  <c r="BL16" i="36"/>
  <c r="AF74" i="36"/>
  <c r="AG13" i="36"/>
  <c r="BM13" i="36" s="1"/>
  <c r="Y6" i="36"/>
  <c r="BE5" i="36"/>
  <c r="AA6" i="36"/>
  <c r="BG5" i="36"/>
  <c r="Q6" i="36"/>
  <c r="AW5" i="36"/>
  <c r="F6" i="36"/>
  <c r="AL5" i="36"/>
  <c r="M6" i="36"/>
  <c r="AS5" i="36"/>
  <c r="R6" i="36"/>
  <c r="AX5" i="36"/>
  <c r="K6" i="36"/>
  <c r="AQ5" i="36"/>
  <c r="V6" i="36"/>
  <c r="BB5" i="36"/>
  <c r="T6" i="36"/>
  <c r="AZ5" i="36"/>
  <c r="N6" i="36"/>
  <c r="AT5" i="36"/>
  <c r="O6" i="36"/>
  <c r="AU5" i="36"/>
  <c r="Z6" i="36"/>
  <c r="BF5" i="36"/>
  <c r="W6" i="36"/>
  <c r="BC5" i="36"/>
  <c r="X6" i="36"/>
  <c r="BD5" i="36"/>
  <c r="P6" i="36"/>
  <c r="AV5" i="36"/>
  <c r="AB6" i="36"/>
  <c r="BH5" i="36"/>
  <c r="E6" i="36"/>
  <c r="AK5" i="36"/>
  <c r="U6" i="36"/>
  <c r="BA5" i="36"/>
  <c r="AG16" i="36"/>
  <c r="AG118" i="36" s="1"/>
  <c r="AG124" i="36" s="1"/>
  <c r="G6" i="36"/>
  <c r="G7" i="36" s="1"/>
  <c r="AM5" i="36"/>
  <c r="H6" i="36"/>
  <c r="AN5" i="36"/>
  <c r="S6" i="36"/>
  <c r="AY5" i="36"/>
  <c r="L6" i="36"/>
  <c r="AR5" i="36"/>
  <c r="I6" i="36"/>
  <c r="AO5" i="36"/>
  <c r="AC6" i="36"/>
  <c r="AC7" i="36" s="1"/>
  <c r="BI5" i="36"/>
  <c r="J6" i="36"/>
  <c r="AP5" i="36"/>
  <c r="AH12" i="36"/>
  <c r="BN11" i="36"/>
  <c r="AH8" i="36"/>
  <c r="AH9" i="36" s="1"/>
  <c r="J7" i="36"/>
  <c r="AE6" i="36"/>
  <c r="AG6" i="36"/>
  <c r="AF6" i="36"/>
  <c r="BS18" i="36"/>
  <c r="AD6" i="36"/>
  <c r="BL74" i="36" l="1"/>
  <c r="BL118" i="36"/>
  <c r="BL124" i="36" s="1"/>
  <c r="E7" i="36"/>
  <c r="O7" i="36"/>
  <c r="K7" i="36"/>
  <c r="Q7" i="36"/>
  <c r="H7" i="36"/>
  <c r="AB7" i="36"/>
  <c r="X7" i="36"/>
  <c r="N7" i="36"/>
  <c r="R7" i="36"/>
  <c r="R15" i="36" s="1"/>
  <c r="AX15" i="36" s="1"/>
  <c r="P7" i="36"/>
  <c r="W7" i="36"/>
  <c r="T7" i="36"/>
  <c r="M7" i="36"/>
  <c r="Y7" i="36"/>
  <c r="L7" i="36"/>
  <c r="I7" i="36"/>
  <c r="S7" i="36"/>
  <c r="BM16" i="36"/>
  <c r="AG74" i="36"/>
  <c r="AH17" i="36"/>
  <c r="AA7" i="36"/>
  <c r="V7" i="36"/>
  <c r="J9" i="36"/>
  <c r="G9" i="36"/>
  <c r="U7" i="36"/>
  <c r="F7" i="36"/>
  <c r="Z7" i="36"/>
  <c r="AC9" i="36"/>
  <c r="L9" i="36"/>
  <c r="H9" i="36"/>
  <c r="AE14" i="36"/>
  <c r="BK14" i="36" s="1"/>
  <c r="BK6" i="36"/>
  <c r="AC15" i="36"/>
  <c r="BI15" i="36" s="1"/>
  <c r="BI7" i="36"/>
  <c r="AH14" i="36"/>
  <c r="BN12" i="36"/>
  <c r="AC14" i="36"/>
  <c r="BI14" i="36" s="1"/>
  <c r="BI6" i="36"/>
  <c r="L14" i="36"/>
  <c r="AR14" i="36" s="1"/>
  <c r="AR6" i="36"/>
  <c r="H14" i="36"/>
  <c r="AN14" i="36" s="1"/>
  <c r="AN6" i="36"/>
  <c r="AF14" i="36"/>
  <c r="BL14" i="36" s="1"/>
  <c r="BL6" i="36"/>
  <c r="E15" i="36"/>
  <c r="AK15" i="36" s="1"/>
  <c r="U14" i="36"/>
  <c r="BA14" i="36" s="1"/>
  <c r="BA6" i="36"/>
  <c r="AB14" i="36"/>
  <c r="BH14" i="36" s="1"/>
  <c r="BH6" i="36"/>
  <c r="X14" i="36"/>
  <c r="BD14" i="36" s="1"/>
  <c r="BD6" i="36"/>
  <c r="Z14" i="36"/>
  <c r="BF14" i="36" s="1"/>
  <c r="BF6" i="36"/>
  <c r="N14" i="36"/>
  <c r="AT14" i="36" s="1"/>
  <c r="AT6" i="36"/>
  <c r="V14" i="36"/>
  <c r="BB14" i="36" s="1"/>
  <c r="BB6" i="36"/>
  <c r="R14" i="36"/>
  <c r="AX14" i="36" s="1"/>
  <c r="AX6" i="36"/>
  <c r="F14" i="36"/>
  <c r="AL14" i="36" s="1"/>
  <c r="AL6" i="36"/>
  <c r="AA14" i="36"/>
  <c r="BG14" i="36" s="1"/>
  <c r="BG6" i="36"/>
  <c r="AD14" i="36"/>
  <c r="BJ14" i="36" s="1"/>
  <c r="BJ6" i="36"/>
  <c r="H15" i="36"/>
  <c r="AN15" i="36" s="1"/>
  <c r="AG14" i="36"/>
  <c r="BM14" i="36" s="1"/>
  <c r="BM6" i="36"/>
  <c r="M15" i="36"/>
  <c r="AS15" i="36" s="1"/>
  <c r="BD7" i="36"/>
  <c r="AH16" i="36"/>
  <c r="AH118" i="36" s="1"/>
  <c r="AH124" i="36" s="1"/>
  <c r="BN8" i="36"/>
  <c r="BN9" i="36" s="1"/>
  <c r="J14" i="36"/>
  <c r="AP14" i="36" s="1"/>
  <c r="AP6" i="36"/>
  <c r="I14" i="36"/>
  <c r="AO14" i="36" s="1"/>
  <c r="AO6" i="36"/>
  <c r="S14" i="36"/>
  <c r="AY14" i="36" s="1"/>
  <c r="AY6" i="36"/>
  <c r="G14" i="36"/>
  <c r="AM14" i="36" s="1"/>
  <c r="AM6" i="36"/>
  <c r="J15" i="36"/>
  <c r="AP15" i="36" s="1"/>
  <c r="AP7" i="36"/>
  <c r="AY7" i="36"/>
  <c r="G15" i="36"/>
  <c r="AM15" i="36" s="1"/>
  <c r="AM7" i="36"/>
  <c r="E14" i="36"/>
  <c r="AK14" i="36" s="1"/>
  <c r="AK6" i="36"/>
  <c r="P14" i="36"/>
  <c r="AV14" i="36" s="1"/>
  <c r="AV6" i="36"/>
  <c r="W14" i="36"/>
  <c r="BC14" i="36" s="1"/>
  <c r="BC6" i="36"/>
  <c r="O14" i="36"/>
  <c r="AU14" i="36" s="1"/>
  <c r="AU6" i="36"/>
  <c r="T14" i="36"/>
  <c r="AZ14" i="36" s="1"/>
  <c r="AZ6" i="36"/>
  <c r="K14" i="36"/>
  <c r="AQ14" i="36" s="1"/>
  <c r="AQ6" i="36"/>
  <c r="M14" i="36"/>
  <c r="AS14" i="36" s="1"/>
  <c r="AS6" i="36"/>
  <c r="Q14" i="36"/>
  <c r="AW14" i="36" s="1"/>
  <c r="AW6" i="36"/>
  <c r="Y14" i="36"/>
  <c r="BE14" i="36" s="1"/>
  <c r="BE6" i="36"/>
  <c r="AF7" i="36"/>
  <c r="AD7" i="36"/>
  <c r="AG7" i="36"/>
  <c r="AE7" i="36"/>
  <c r="AH13" i="36"/>
  <c r="BN13" i="36" s="1"/>
  <c r="O9" i="36" l="1"/>
  <c r="BA7" i="36"/>
  <c r="T15" i="36"/>
  <c r="AZ15" i="36" s="1"/>
  <c r="AN7" i="36"/>
  <c r="R9" i="36"/>
  <c r="R17" i="36" s="1"/>
  <c r="AX17" i="36" s="1"/>
  <c r="BM74" i="36"/>
  <c r="BM118" i="36"/>
  <c r="BM124" i="36" s="1"/>
  <c r="W15" i="36"/>
  <c r="BC15" i="36" s="1"/>
  <c r="Q15" i="36"/>
  <c r="AW15" i="36" s="1"/>
  <c r="K9" i="36"/>
  <c r="I9" i="36"/>
  <c r="I17" i="36" s="1"/>
  <c r="AO17" i="36" s="1"/>
  <c r="AX7" i="36"/>
  <c r="AX9" i="36" s="1"/>
  <c r="AT7" i="36"/>
  <c r="AK7" i="36"/>
  <c r="P9" i="36"/>
  <c r="F15" i="36"/>
  <c r="AL15" i="36" s="1"/>
  <c r="AA15" i="36"/>
  <c r="BG15" i="36" s="1"/>
  <c r="L15" i="36"/>
  <c r="AR15" i="36" s="1"/>
  <c r="X9" i="36"/>
  <c r="S15" i="36"/>
  <c r="AY15" i="36" s="1"/>
  <c r="W9" i="36"/>
  <c r="Y15" i="36"/>
  <c r="BE15" i="36" s="1"/>
  <c r="AB9" i="36"/>
  <c r="AB17" i="36" s="1"/>
  <c r="BH17" i="36" s="1"/>
  <c r="AU7" i="36"/>
  <c r="E9" i="36"/>
  <c r="E17" i="36" s="1"/>
  <c r="AK17" i="36" s="1"/>
  <c r="M9" i="36"/>
  <c r="AS7" i="36"/>
  <c r="O15" i="36"/>
  <c r="AU15" i="36" s="1"/>
  <c r="N9" i="36"/>
  <c r="N17" i="36" s="1"/>
  <c r="AT17" i="36" s="1"/>
  <c r="X15" i="36"/>
  <c r="BD15" i="36" s="1"/>
  <c r="T9" i="36"/>
  <c r="N15" i="36"/>
  <c r="AT15" i="36" s="1"/>
  <c r="AZ7" i="36"/>
  <c r="AQ7" i="36"/>
  <c r="K15" i="36"/>
  <c r="AQ15" i="36" s="1"/>
  <c r="Y9" i="36"/>
  <c r="AO7" i="36"/>
  <c r="S9" i="36"/>
  <c r="AV7" i="36"/>
  <c r="BH7" i="36"/>
  <c r="I15" i="36"/>
  <c r="AO15" i="36" s="1"/>
  <c r="P15" i="36"/>
  <c r="AV15" i="36" s="1"/>
  <c r="Q9" i="36"/>
  <c r="AB15" i="36"/>
  <c r="BH15" i="36" s="1"/>
  <c r="BE7" i="36"/>
  <c r="AW7" i="36"/>
  <c r="BN14" i="36"/>
  <c r="BC7" i="36"/>
  <c r="AR7" i="36"/>
  <c r="BN16" i="36"/>
  <c r="AH74" i="36"/>
  <c r="BI9" i="36"/>
  <c r="U15" i="36"/>
  <c r="BA15" i="36" s="1"/>
  <c r="BG7" i="36"/>
  <c r="K17" i="36"/>
  <c r="AQ17" i="36" s="1"/>
  <c r="V9" i="36"/>
  <c r="AG9" i="36"/>
  <c r="H17" i="36"/>
  <c r="AN17" i="36" s="1"/>
  <c r="AL7" i="36"/>
  <c r="U9" i="36"/>
  <c r="AA9" i="36"/>
  <c r="AF9" i="36"/>
  <c r="AC17" i="36"/>
  <c r="BI17" i="36" s="1"/>
  <c r="J17" i="36"/>
  <c r="AP17" i="36" s="1"/>
  <c r="AE9" i="36"/>
  <c r="Z9" i="36"/>
  <c r="G17" i="36"/>
  <c r="AM17" i="36" s="1"/>
  <c r="AD9" i="36"/>
  <c r="L17" i="36"/>
  <c r="AR17" i="36" s="1"/>
  <c r="W17" i="36"/>
  <c r="BC17" i="36" s="1"/>
  <c r="AU9" i="36"/>
  <c r="BB7" i="36"/>
  <c r="V15" i="36"/>
  <c r="BB15" i="36" s="1"/>
  <c r="AK9" i="36"/>
  <c r="F9" i="36"/>
  <c r="BF7" i="36"/>
  <c r="Z15" i="36"/>
  <c r="BF15" i="36" s="1"/>
  <c r="AM9" i="36"/>
  <c r="BH9" i="36"/>
  <c r="AR9" i="36"/>
  <c r="AY9" i="36"/>
  <c r="AP9" i="36"/>
  <c r="AT9" i="36"/>
  <c r="BD9" i="36"/>
  <c r="BA9" i="36"/>
  <c r="AN9" i="36"/>
  <c r="AF15" i="36"/>
  <c r="BL15" i="36" s="1"/>
  <c r="BL7" i="36"/>
  <c r="AG15" i="36"/>
  <c r="BM15" i="36" s="1"/>
  <c r="BM7" i="36"/>
  <c r="AD15" i="36"/>
  <c r="BJ15" i="36" s="1"/>
  <c r="BJ7" i="36"/>
  <c r="AE15" i="36"/>
  <c r="BK15" i="36" s="1"/>
  <c r="BK7" i="36"/>
  <c r="BN17" i="36"/>
  <c r="O17" i="36" l="1"/>
  <c r="AU17" i="36" s="1"/>
  <c r="M17" i="36"/>
  <c r="AS17" i="36" s="1"/>
  <c r="P17" i="36"/>
  <c r="AV17" i="36" s="1"/>
  <c r="X17" i="36"/>
  <c r="BD17" i="36" s="1"/>
  <c r="T17" i="36"/>
  <c r="AZ17" i="36" s="1"/>
  <c r="AS9" i="36"/>
  <c r="AQ9" i="36"/>
  <c r="Q17" i="36"/>
  <c r="AW17" i="36" s="1"/>
  <c r="BC9" i="36"/>
  <c r="AZ9" i="36"/>
  <c r="BN74" i="36"/>
  <c r="BN118" i="36"/>
  <c r="BN124" i="36" s="1"/>
  <c r="AL9" i="36"/>
  <c r="BG9" i="36"/>
  <c r="AV9" i="36"/>
  <c r="AW9" i="36"/>
  <c r="S17" i="36"/>
  <c r="AY17" i="36" s="1"/>
  <c r="Y17" i="36"/>
  <c r="BE17" i="36" s="1"/>
  <c r="BE9" i="36"/>
  <c r="AO9" i="36"/>
  <c r="BF9" i="36"/>
  <c r="AA17" i="36"/>
  <c r="BG17" i="36" s="1"/>
  <c r="AF17" i="36"/>
  <c r="BL17" i="36" s="1"/>
  <c r="U17" i="36"/>
  <c r="BA17" i="36" s="1"/>
  <c r="BK9" i="36"/>
  <c r="BM9" i="36"/>
  <c r="F17" i="36"/>
  <c r="AL17" i="36" s="1"/>
  <c r="AD17" i="36"/>
  <c r="BJ17" i="36" s="1"/>
  <c r="Z17" i="36"/>
  <c r="BF17" i="36" s="1"/>
  <c r="AE17" i="36"/>
  <c r="BK17" i="36" s="1"/>
  <c r="V17" i="36"/>
  <c r="BB17" i="36" s="1"/>
  <c r="BJ9" i="36"/>
  <c r="BL9" i="36"/>
  <c r="BB9" i="36"/>
  <c r="AG17" i="36"/>
  <c r="BM17" i="36" s="1"/>
  <c r="BR25" i="36" l="1"/>
  <c r="BS33" i="36" l="1"/>
  <c r="BS35" i="36" s="1"/>
  <c r="BR29" i="36"/>
  <c r="BS29" i="36" l="1"/>
  <c r="BS19" i="36"/>
  <c r="BS21" i="36" s="1"/>
  <c r="BS25" i="36" l="1"/>
  <c r="AK185" i="29" l="1"/>
  <c r="AK183" i="29"/>
  <c r="AK184" i="29"/>
  <c r="AK182" i="29"/>
  <c r="D186" i="29"/>
  <c r="E186" i="29" s="1"/>
  <c r="D182" i="29"/>
  <c r="E182" i="29" s="1"/>
  <c r="D177" i="29"/>
  <c r="E177" i="29" s="1"/>
  <c r="F177" i="29" s="1"/>
  <c r="G177" i="29" s="1"/>
  <c r="H177" i="29" s="1"/>
  <c r="I177" i="29" s="1"/>
  <c r="J177" i="29" s="1"/>
  <c r="K177" i="29" s="1"/>
  <c r="L177" i="29" s="1"/>
  <c r="M177" i="29" s="1"/>
  <c r="N177" i="29" s="1"/>
  <c r="O177" i="29" s="1"/>
  <c r="P177" i="29" s="1"/>
  <c r="Q177" i="29" s="1"/>
  <c r="R177" i="29" s="1"/>
  <c r="S177" i="29" s="1"/>
  <c r="T177" i="29" s="1"/>
  <c r="U177" i="29" s="1"/>
  <c r="V177" i="29" s="1"/>
  <c r="W177" i="29" s="1"/>
  <c r="X177" i="29" s="1"/>
  <c r="Y177" i="29" s="1"/>
  <c r="Z177" i="29" s="1"/>
  <c r="AA177" i="29" s="1"/>
  <c r="AB177" i="29" s="1"/>
  <c r="AC177" i="29" s="1"/>
  <c r="AD177" i="29" s="1"/>
  <c r="AE177" i="29" s="1"/>
  <c r="AF177" i="29" s="1"/>
  <c r="AG177" i="29" s="1"/>
  <c r="D196" i="28"/>
  <c r="E196" i="28" s="1"/>
  <c r="F196" i="28" s="1"/>
  <c r="F197" i="28" s="1"/>
  <c r="D191" i="28"/>
  <c r="E191" i="28" s="1"/>
  <c r="F191" i="28" s="1"/>
  <c r="G191" i="28" s="1"/>
  <c r="H191" i="28" s="1"/>
  <c r="I191" i="28" s="1"/>
  <c r="J191" i="28" s="1"/>
  <c r="K191" i="28" s="1"/>
  <c r="L191" i="28" s="1"/>
  <c r="M191" i="28" s="1"/>
  <c r="N191" i="28" s="1"/>
  <c r="O191" i="28" s="1"/>
  <c r="P191" i="28" s="1"/>
  <c r="Q191" i="28" s="1"/>
  <c r="R191" i="28" s="1"/>
  <c r="S191" i="28" s="1"/>
  <c r="T191" i="28" s="1"/>
  <c r="U191" i="28" s="1"/>
  <c r="V191" i="28" s="1"/>
  <c r="W191" i="28" s="1"/>
  <c r="X191" i="28" s="1"/>
  <c r="Y191" i="28" s="1"/>
  <c r="Z191" i="28" s="1"/>
  <c r="AA191" i="28" s="1"/>
  <c r="AB191" i="28" s="1"/>
  <c r="AC191" i="28" s="1"/>
  <c r="AD191" i="28" s="1"/>
  <c r="AE191" i="28" s="1"/>
  <c r="AF191" i="28" s="1"/>
  <c r="AG191" i="28" s="1"/>
  <c r="A165" i="12"/>
  <c r="A164" i="12"/>
  <c r="D298" i="20"/>
  <c r="E298" i="20" s="1"/>
  <c r="F298" i="20" s="1"/>
  <c r="G298" i="20" s="1"/>
  <c r="H298" i="20" s="1"/>
  <c r="I298" i="20" s="1"/>
  <c r="J298" i="20" s="1"/>
  <c r="K298" i="20" s="1"/>
  <c r="L298" i="20" s="1"/>
  <c r="M298" i="20" s="1"/>
  <c r="N298" i="20" s="1"/>
  <c r="O298" i="20" s="1"/>
  <c r="P298" i="20" s="1"/>
  <c r="Q298" i="20" s="1"/>
  <c r="R298" i="20" s="1"/>
  <c r="S298" i="20" s="1"/>
  <c r="T298" i="20" s="1"/>
  <c r="U298" i="20" s="1"/>
  <c r="V298" i="20" s="1"/>
  <c r="W298" i="20" s="1"/>
  <c r="X298" i="20" s="1"/>
  <c r="Y298" i="20" s="1"/>
  <c r="Z298" i="20" s="1"/>
  <c r="AA298" i="20" s="1"/>
  <c r="AB298" i="20" s="1"/>
  <c r="AC298" i="20" s="1"/>
  <c r="AD298" i="20" s="1"/>
  <c r="AE298" i="20" s="1"/>
  <c r="AF298" i="20" s="1"/>
  <c r="AG298" i="20" s="1"/>
  <c r="AK262" i="19"/>
  <c r="AK263" i="19"/>
  <c r="AK264" i="19"/>
  <c r="AK261" i="19"/>
  <c r="D261" i="19"/>
  <c r="E261" i="19" s="1"/>
  <c r="D256" i="19"/>
  <c r="E256" i="19" s="1"/>
  <c r="F256" i="19" s="1"/>
  <c r="G256" i="19" s="1"/>
  <c r="H256" i="19" s="1"/>
  <c r="I256" i="19" s="1"/>
  <c r="J256" i="19" s="1"/>
  <c r="K256" i="19" s="1"/>
  <c r="L256" i="19" s="1"/>
  <c r="M256" i="19" s="1"/>
  <c r="N256" i="19" s="1"/>
  <c r="O256" i="19" s="1"/>
  <c r="P256" i="19" s="1"/>
  <c r="Q256" i="19" s="1"/>
  <c r="R256" i="19" s="1"/>
  <c r="S256" i="19" s="1"/>
  <c r="T256" i="19" s="1"/>
  <c r="U256" i="19" s="1"/>
  <c r="V256" i="19" s="1"/>
  <c r="W256" i="19" s="1"/>
  <c r="X256" i="19" s="1"/>
  <c r="Y256" i="19" s="1"/>
  <c r="Z256" i="19" s="1"/>
  <c r="AA256" i="19" s="1"/>
  <c r="AB256" i="19" s="1"/>
  <c r="AC256" i="19" s="1"/>
  <c r="AD256" i="19" s="1"/>
  <c r="AE256" i="19" s="1"/>
  <c r="AF256" i="19" s="1"/>
  <c r="AG256" i="19" s="1"/>
  <c r="AI54" i="34"/>
  <c r="AI55" i="34"/>
  <c r="AI56" i="34"/>
  <c r="AI57" i="34"/>
  <c r="F57" i="34" s="1"/>
  <c r="G57" i="34" s="1"/>
  <c r="AI49" i="34"/>
  <c r="AI50" i="34"/>
  <c r="AI51" i="34"/>
  <c r="F50" i="34"/>
  <c r="G50" i="34" s="1"/>
  <c r="H50" i="34" s="1"/>
  <c r="I50" i="34" s="1"/>
  <c r="J50" i="34" s="1"/>
  <c r="K50" i="34" s="1"/>
  <c r="L50" i="34" s="1"/>
  <c r="M50" i="34" s="1"/>
  <c r="N50" i="34" s="1"/>
  <c r="O50" i="34" s="1"/>
  <c r="P50" i="34" s="1"/>
  <c r="Q50" i="34" s="1"/>
  <c r="R50" i="34" s="1"/>
  <c r="S50" i="34" s="1"/>
  <c r="T50" i="34" s="1"/>
  <c r="U50" i="34" s="1"/>
  <c r="V50" i="34" s="1"/>
  <c r="W50" i="34" s="1"/>
  <c r="X50" i="34" s="1"/>
  <c r="Y50" i="34" s="1"/>
  <c r="Z50" i="34" s="1"/>
  <c r="AA50" i="34" s="1"/>
  <c r="AB50" i="34" s="1"/>
  <c r="AC50" i="34" s="1"/>
  <c r="AD50" i="34" s="1"/>
  <c r="AE50" i="34" s="1"/>
  <c r="AF50" i="34" s="1"/>
  <c r="AG50" i="34" s="1"/>
  <c r="AH50" i="34" s="1"/>
  <c r="F55" i="34"/>
  <c r="G55" i="34"/>
  <c r="H55" i="34" s="1"/>
  <c r="I55" i="34" s="1"/>
  <c r="J55" i="34" s="1"/>
  <c r="K55" i="34" s="1"/>
  <c r="L55" i="34" s="1"/>
  <c r="M55" i="34" s="1"/>
  <c r="N55" i="34" s="1"/>
  <c r="O55" i="34" s="1"/>
  <c r="P55" i="34" s="1"/>
  <c r="Q55" i="34" s="1"/>
  <c r="R55" i="34" s="1"/>
  <c r="S55" i="34" s="1"/>
  <c r="T55" i="34" s="1"/>
  <c r="U55" i="34" s="1"/>
  <c r="V55" i="34" s="1"/>
  <c r="W55" i="34" s="1"/>
  <c r="X55" i="34" s="1"/>
  <c r="Y55" i="34" s="1"/>
  <c r="Z55" i="34" s="1"/>
  <c r="AA55" i="34" s="1"/>
  <c r="AB55" i="34" s="1"/>
  <c r="AC55" i="34" s="1"/>
  <c r="AD55" i="34" s="1"/>
  <c r="AE55" i="34" s="1"/>
  <c r="AF55" i="34" s="1"/>
  <c r="AG55" i="34" s="1"/>
  <c r="AH55" i="34" s="1"/>
  <c r="E99" i="34"/>
  <c r="E100" i="34"/>
  <c r="E94" i="34"/>
  <c r="E95" i="34"/>
  <c r="E89" i="34"/>
  <c r="E90" i="34"/>
  <c r="E65" i="34"/>
  <c r="E67" i="34"/>
  <c r="E60" i="34"/>
  <c r="E62" i="34"/>
  <c r="E55" i="34"/>
  <c r="E57" i="34"/>
  <c r="E50" i="34"/>
  <c r="E52" i="34"/>
  <c r="AI53" i="34"/>
  <c r="AI48" i="34"/>
  <c r="E98" i="34"/>
  <c r="E93" i="34"/>
  <c r="E88" i="34"/>
  <c r="E45" i="34"/>
  <c r="E47" i="34"/>
  <c r="AG42" i="34"/>
  <c r="AH42" i="34"/>
  <c r="AI42" i="34"/>
  <c r="AB42" i="34"/>
  <c r="AC42" i="34" s="1"/>
  <c r="AD42" i="34" s="1"/>
  <c r="AE42" i="34" s="1"/>
  <c r="AF42" i="34" s="1"/>
  <c r="G42" i="34"/>
  <c r="H42" i="34"/>
  <c r="I42" i="34"/>
  <c r="J42" i="34"/>
  <c r="K42" i="34" s="1"/>
  <c r="L42" i="34" s="1"/>
  <c r="M42" i="34" s="1"/>
  <c r="N42" i="34" s="1"/>
  <c r="O42" i="34" s="1"/>
  <c r="P42" i="34" s="1"/>
  <c r="Q42" i="34" s="1"/>
  <c r="R42" i="34" s="1"/>
  <c r="S42" i="34" s="1"/>
  <c r="T42" i="34" s="1"/>
  <c r="U42" i="34" s="1"/>
  <c r="V42" i="34" s="1"/>
  <c r="W42" i="34" s="1"/>
  <c r="X42" i="34" s="1"/>
  <c r="Y42" i="34" s="1"/>
  <c r="Z42" i="34" s="1"/>
  <c r="AA42" i="34" s="1"/>
  <c r="F42" i="34"/>
  <c r="O8" i="34"/>
  <c r="AB19" i="34"/>
  <c r="AA15" i="34"/>
  <c r="Z15" i="34"/>
  <c r="Y15" i="34"/>
  <c r="X15" i="34"/>
  <c r="W15" i="34"/>
  <c r="V15" i="34"/>
  <c r="AA14" i="34"/>
  <c r="Z21" i="34" s="1"/>
  <c r="Z14" i="34"/>
  <c r="Y14" i="34"/>
  <c r="X14" i="34"/>
  <c r="W14" i="34"/>
  <c r="V14" i="34"/>
  <c r="AA13" i="34"/>
  <c r="Z13" i="34"/>
  <c r="Y13" i="34"/>
  <c r="X13" i="34"/>
  <c r="W13" i="34"/>
  <c r="V13" i="34"/>
  <c r="AA12" i="34"/>
  <c r="Z12" i="34"/>
  <c r="Y12" i="34"/>
  <c r="X12" i="34"/>
  <c r="W12" i="34"/>
  <c r="V12" i="34"/>
  <c r="T15" i="33"/>
  <c r="T14" i="33"/>
  <c r="T13" i="33"/>
  <c r="T12" i="33"/>
  <c r="S15" i="33"/>
  <c r="S14" i="33"/>
  <c r="S13" i="33"/>
  <c r="S12" i="33"/>
  <c r="R15" i="33"/>
  <c r="R14" i="33"/>
  <c r="R13" i="33"/>
  <c r="R12" i="33"/>
  <c r="Q15" i="33"/>
  <c r="Q14" i="33"/>
  <c r="Q13" i="33"/>
  <c r="Q12" i="33"/>
  <c r="P15" i="33"/>
  <c r="P14" i="33"/>
  <c r="P13" i="33"/>
  <c r="P12" i="33"/>
  <c r="O15" i="33"/>
  <c r="O14" i="33"/>
  <c r="O13" i="33"/>
  <c r="O12" i="33"/>
  <c r="K106" i="33"/>
  <c r="K103" i="33"/>
  <c r="K105" i="33"/>
  <c r="K104" i="33"/>
  <c r="D64" i="33"/>
  <c r="R61" i="33"/>
  <c r="R60" i="33"/>
  <c r="N62" i="33"/>
  <c r="P61" i="33"/>
  <c r="P60" i="33"/>
  <c r="S61" i="33"/>
  <c r="S60" i="33"/>
  <c r="C57" i="33"/>
  <c r="C64" i="33" s="1"/>
  <c r="J30" i="33"/>
  <c r="J21" i="33"/>
  <c r="J23" i="33"/>
  <c r="Z5" i="33"/>
  <c r="Z6" i="33"/>
  <c r="Z7" i="33"/>
  <c r="Z8" i="33"/>
  <c r="Z4" i="33"/>
  <c r="J34" i="33"/>
  <c r="D49" i="24"/>
  <c r="E49" i="24"/>
  <c r="G49" i="24"/>
  <c r="B49" i="24"/>
  <c r="J32" i="33"/>
  <c r="J33" i="33"/>
  <c r="J31" i="33"/>
  <c r="D262" i="19" l="1"/>
  <c r="S263" i="19" s="1"/>
  <c r="E262" i="19"/>
  <c r="T263" i="19" s="1"/>
  <c r="C262" i="19"/>
  <c r="R263" i="19" s="1"/>
  <c r="C197" i="28"/>
  <c r="R198" i="28" s="1"/>
  <c r="E197" i="28"/>
  <c r="T198" i="28" s="1"/>
  <c r="E183" i="29"/>
  <c r="T184" i="29" s="1"/>
  <c r="C183" i="29"/>
  <c r="R184" i="29" s="1"/>
  <c r="D183" i="29"/>
  <c r="S184" i="29" s="1"/>
  <c r="D197" i="28"/>
  <c r="S198" i="28" s="1"/>
  <c r="F182" i="29"/>
  <c r="F183" i="29" s="1"/>
  <c r="F186" i="29"/>
  <c r="U198" i="28"/>
  <c r="M198" i="28"/>
  <c r="G196" i="28"/>
  <c r="H196" i="28" s="1"/>
  <c r="H197" i="28" s="1"/>
  <c r="W198" i="28" s="1"/>
  <c r="D200" i="28"/>
  <c r="F261" i="19"/>
  <c r="F262" i="19" s="1"/>
  <c r="H57" i="34"/>
  <c r="I57" i="34" s="1"/>
  <c r="J57" i="34" s="1"/>
  <c r="K57" i="34" s="1"/>
  <c r="L57" i="34" s="1"/>
  <c r="M57" i="34" s="1"/>
  <c r="N57" i="34" s="1"/>
  <c r="O57" i="34" s="1"/>
  <c r="P57" i="34" s="1"/>
  <c r="Q57" i="34" s="1"/>
  <c r="R57" i="34" s="1"/>
  <c r="S57" i="34" s="1"/>
  <c r="T57" i="34" s="1"/>
  <c r="U57" i="34" s="1"/>
  <c r="V57" i="34" s="1"/>
  <c r="W57" i="34" s="1"/>
  <c r="X57" i="34" s="1"/>
  <c r="Y57" i="34" s="1"/>
  <c r="Z57" i="34" s="1"/>
  <c r="AA57" i="34" s="1"/>
  <c r="AB57" i="34" s="1"/>
  <c r="AC57" i="34" s="1"/>
  <c r="AD57" i="34" s="1"/>
  <c r="AE57" i="34" s="1"/>
  <c r="AF57" i="34" s="1"/>
  <c r="AG57" i="34" s="1"/>
  <c r="AH57" i="34" s="1"/>
  <c r="X19" i="34"/>
  <c r="X25" i="34" s="1"/>
  <c r="Y20" i="34"/>
  <c r="X22" i="34"/>
  <c r="Z19" i="34"/>
  <c r="Z25" i="34" s="1"/>
  <c r="W19" i="34"/>
  <c r="W25" i="34" s="1"/>
  <c r="V22" i="34"/>
  <c r="V20" i="34"/>
  <c r="Z20" i="34"/>
  <c r="Z22" i="34"/>
  <c r="Y19" i="34"/>
  <c r="Y25" i="34" s="1"/>
  <c r="W20" i="34"/>
  <c r="W22" i="34"/>
  <c r="Y22" i="34"/>
  <c r="V19" i="34"/>
  <c r="V25" i="34" s="1"/>
  <c r="X20" i="34"/>
  <c r="T61" i="33"/>
  <c r="T60" i="33"/>
  <c r="R62" i="33"/>
  <c r="U61" i="33" s="1"/>
  <c r="U60" i="33"/>
  <c r="Z9" i="33"/>
  <c r="AA6" i="33" s="1"/>
  <c r="P62" i="33"/>
  <c r="S62" i="33"/>
  <c r="I196" i="28" l="1"/>
  <c r="I197" i="28" s="1"/>
  <c r="G197" i="28"/>
  <c r="V198" i="28" s="1"/>
  <c r="M263" i="19"/>
  <c r="M184" i="29"/>
  <c r="G186" i="29"/>
  <c r="U184" i="29"/>
  <c r="G182" i="29"/>
  <c r="G183" i="29" s="1"/>
  <c r="J196" i="28"/>
  <c r="J197" i="28" s="1"/>
  <c r="X198" i="28"/>
  <c r="E200" i="28"/>
  <c r="U263" i="19"/>
  <c r="G261" i="19"/>
  <c r="G262" i="19" s="1"/>
  <c r="AA5" i="33"/>
  <c r="AA8" i="33"/>
  <c r="U62" i="33"/>
  <c r="AA7" i="33"/>
  <c r="T62" i="33"/>
  <c r="V62" i="33" s="1"/>
  <c r="AA4" i="33"/>
  <c r="V184" i="29" l="1"/>
  <c r="H182" i="29"/>
  <c r="H183" i="29" s="1"/>
  <c r="H186" i="29"/>
  <c r="F200" i="28"/>
  <c r="Y198" i="28"/>
  <c r="K196" i="28"/>
  <c r="K197" i="28" s="1"/>
  <c r="V263" i="19"/>
  <c r="H261" i="19"/>
  <c r="H262" i="19" s="1"/>
  <c r="AA9" i="33"/>
  <c r="W184" i="29" l="1"/>
  <c r="I182" i="29"/>
  <c r="I183" i="29" s="1"/>
  <c r="I186" i="29"/>
  <c r="G200" i="28"/>
  <c r="Z198" i="28"/>
  <c r="L196" i="28"/>
  <c r="L197" i="28" s="1"/>
  <c r="I261" i="19"/>
  <c r="I262" i="19" s="1"/>
  <c r="W263" i="19"/>
  <c r="J186" i="29" l="1"/>
  <c r="J182" i="29"/>
  <c r="J183" i="29" s="1"/>
  <c r="X184" i="29"/>
  <c r="M196" i="28"/>
  <c r="M197" i="28" s="1"/>
  <c r="AA198" i="28"/>
  <c r="H200" i="28"/>
  <c r="X263" i="19"/>
  <c r="J261" i="19"/>
  <c r="J262" i="19" s="1"/>
  <c r="K186" i="29" l="1"/>
  <c r="Y184" i="29"/>
  <c r="K182" i="29"/>
  <c r="K183" i="29" s="1"/>
  <c r="I200" i="28"/>
  <c r="N196" i="28"/>
  <c r="N197" i="28" s="1"/>
  <c r="AB198" i="28"/>
  <c r="Y263" i="19"/>
  <c r="K261" i="19"/>
  <c r="K262" i="19" s="1"/>
  <c r="L186" i="29" l="1"/>
  <c r="L182" i="29"/>
  <c r="L183" i="29" s="1"/>
  <c r="Z184" i="29"/>
  <c r="AC198" i="28"/>
  <c r="O196" i="28"/>
  <c r="O197" i="28" s="1"/>
  <c r="J200" i="28"/>
  <c r="Z263" i="19"/>
  <c r="L261" i="19"/>
  <c r="L262" i="19" s="1"/>
  <c r="AA184" i="29" l="1"/>
  <c r="M182" i="29"/>
  <c r="M183" i="29" s="1"/>
  <c r="M186" i="29"/>
  <c r="AD198" i="28"/>
  <c r="P196" i="28"/>
  <c r="P197" i="28" s="1"/>
  <c r="K200" i="28"/>
  <c r="M261" i="19"/>
  <c r="M262" i="19" s="1"/>
  <c r="AA263" i="19"/>
  <c r="N186" i="29" l="1"/>
  <c r="N182" i="29"/>
  <c r="N183" i="29" s="1"/>
  <c r="AB184" i="29"/>
  <c r="Q196" i="28"/>
  <c r="Q197" i="28" s="1"/>
  <c r="AE198" i="28"/>
  <c r="L200" i="28"/>
  <c r="AB263" i="19"/>
  <c r="N261" i="19"/>
  <c r="N262" i="19" s="1"/>
  <c r="AC184" i="29" l="1"/>
  <c r="O182" i="29"/>
  <c r="O183" i="29" s="1"/>
  <c r="O186" i="29"/>
  <c r="M200" i="28"/>
  <c r="R196" i="28"/>
  <c r="R197" i="28" s="1"/>
  <c r="AF198" i="28"/>
  <c r="AC263" i="19"/>
  <c r="O261" i="19"/>
  <c r="O262" i="19" s="1"/>
  <c r="P186" i="29" l="1"/>
  <c r="P182" i="29"/>
  <c r="P183" i="29" s="1"/>
  <c r="AD184" i="29"/>
  <c r="AG198" i="28"/>
  <c r="S196" i="28"/>
  <c r="S197" i="28" s="1"/>
  <c r="N200" i="28"/>
  <c r="AD263" i="19"/>
  <c r="P261" i="19"/>
  <c r="P262" i="19" s="1"/>
  <c r="AE184" i="29" l="1"/>
  <c r="Q182" i="29"/>
  <c r="Q183" i="29" s="1"/>
  <c r="Q186" i="29"/>
  <c r="O200" i="28"/>
  <c r="T196" i="28"/>
  <c r="T197" i="28" s="1"/>
  <c r="Q261" i="19"/>
  <c r="Q262" i="19" s="1"/>
  <c r="AE263" i="19"/>
  <c r="R186" i="29" l="1"/>
  <c r="R182" i="29"/>
  <c r="R183" i="29" s="1"/>
  <c r="AF184" i="29"/>
  <c r="P200" i="28"/>
  <c r="U196" i="28"/>
  <c r="U197" i="28" s="1"/>
  <c r="AF263" i="19"/>
  <c r="R261" i="19"/>
  <c r="R262" i="19" s="1"/>
  <c r="AG184" i="29" l="1"/>
  <c r="S182" i="29"/>
  <c r="S183" i="29" s="1"/>
  <c r="S186" i="29"/>
  <c r="V196" i="28"/>
  <c r="V197" i="28" s="1"/>
  <c r="Q200" i="28"/>
  <c r="AG263" i="19"/>
  <c r="S261" i="19"/>
  <c r="S262" i="19" s="1"/>
  <c r="T186" i="29" l="1"/>
  <c r="T182" i="29"/>
  <c r="T183" i="29" s="1"/>
  <c r="R200" i="28"/>
  <c r="W196" i="28"/>
  <c r="W197" i="28" s="1"/>
  <c r="T261" i="19"/>
  <c r="T262" i="19" s="1"/>
  <c r="U182" i="29" l="1"/>
  <c r="U183" i="29" s="1"/>
  <c r="U186" i="29"/>
  <c r="S200" i="28"/>
  <c r="X196" i="28"/>
  <c r="X197" i="28" s="1"/>
  <c r="U261" i="19"/>
  <c r="U262" i="19" s="1"/>
  <c r="V186" i="29" l="1"/>
  <c r="V182" i="29"/>
  <c r="V183" i="29" s="1"/>
  <c r="Y196" i="28"/>
  <c r="Y197" i="28" s="1"/>
  <c r="T200" i="28"/>
  <c r="V261" i="19"/>
  <c r="V262" i="19" s="1"/>
  <c r="W182" i="29" l="1"/>
  <c r="W183" i="29" s="1"/>
  <c r="W186" i="29"/>
  <c r="Z196" i="28"/>
  <c r="Z197" i="28" s="1"/>
  <c r="U200" i="28"/>
  <c r="W261" i="19"/>
  <c r="W262" i="19" s="1"/>
  <c r="N22" i="24"/>
  <c r="R305" i="20"/>
  <c r="D303" i="20"/>
  <c r="D304" i="20" s="1"/>
  <c r="S305" i="20" s="1"/>
  <c r="X182" i="29" l="1"/>
  <c r="X183" i="29" s="1"/>
  <c r="X186" i="29"/>
  <c r="V200" i="28"/>
  <c r="AA196" i="28"/>
  <c r="AA197" i="28" s="1"/>
  <c r="X261" i="19"/>
  <c r="X262" i="19" s="1"/>
  <c r="M305" i="20"/>
  <c r="E303" i="20"/>
  <c r="E304" i="20" s="1"/>
  <c r="T305" i="20" s="1"/>
  <c r="Y186" i="29" l="1"/>
  <c r="Y182" i="29"/>
  <c r="Y183" i="29" s="1"/>
  <c r="AB196" i="28"/>
  <c r="AB197" i="28" s="1"/>
  <c r="W200" i="28"/>
  <c r="Y261" i="19"/>
  <c r="Y262" i="19" s="1"/>
  <c r="F303" i="20"/>
  <c r="F304" i="20" s="1"/>
  <c r="U305" i="20" s="1"/>
  <c r="Z186" i="29" l="1"/>
  <c r="Z182" i="29"/>
  <c r="Z183" i="29" s="1"/>
  <c r="AC196" i="28"/>
  <c r="AC197" i="28" s="1"/>
  <c r="X200" i="28"/>
  <c r="Z261" i="19"/>
  <c r="Z262" i="19" s="1"/>
  <c r="G303" i="20"/>
  <c r="G304" i="20" s="1"/>
  <c r="V305" i="20" s="1"/>
  <c r="AA186" i="29" l="1"/>
  <c r="AA182" i="29"/>
  <c r="AA183" i="29" s="1"/>
  <c r="Y200" i="28"/>
  <c r="AD196" i="28"/>
  <c r="AD197" i="28" s="1"/>
  <c r="AA261" i="19"/>
  <c r="AA262" i="19" s="1"/>
  <c r="H303" i="20"/>
  <c r="H304" i="20" s="1"/>
  <c r="W305" i="20" s="1"/>
  <c r="AB182" i="29" l="1"/>
  <c r="AB183" i="29" s="1"/>
  <c r="AB186" i="29"/>
  <c r="Z200" i="28"/>
  <c r="AE196" i="28"/>
  <c r="AE197" i="28" s="1"/>
  <c r="AB261" i="19"/>
  <c r="AB262" i="19" s="1"/>
  <c r="I303" i="20"/>
  <c r="I304" i="20" s="1"/>
  <c r="X305" i="20" s="1"/>
  <c r="AC186" i="29" l="1"/>
  <c r="AC182" i="29"/>
  <c r="AC183" i="29" s="1"/>
  <c r="AA200" i="28"/>
  <c r="AF196" i="28"/>
  <c r="AF197" i="28" s="1"/>
  <c r="AC261" i="19"/>
  <c r="AC262" i="19" s="1"/>
  <c r="J303" i="20"/>
  <c r="J304" i="20" s="1"/>
  <c r="Y305" i="20" s="1"/>
  <c r="AD182" i="29" l="1"/>
  <c r="AD183" i="29" s="1"/>
  <c r="AD186" i="29"/>
  <c r="AG196" i="28"/>
  <c r="AG197" i="28" s="1"/>
  <c r="AB200" i="28"/>
  <c r="AD261" i="19"/>
  <c r="AD262" i="19" s="1"/>
  <c r="K303" i="20"/>
  <c r="K304" i="20" s="1"/>
  <c r="Z305" i="20" s="1"/>
  <c r="AE186" i="29" l="1"/>
  <c r="AE182" i="29"/>
  <c r="AE183" i="29" s="1"/>
  <c r="AC200" i="28"/>
  <c r="AE261" i="19"/>
  <c r="AE262" i="19" s="1"/>
  <c r="L303" i="20"/>
  <c r="L304" i="20" s="1"/>
  <c r="AA305" i="20" s="1"/>
  <c r="AF182" i="29" l="1"/>
  <c r="AF183" i="29" s="1"/>
  <c r="AF186" i="29"/>
  <c r="AD200" i="28"/>
  <c r="AF261" i="19"/>
  <c r="AF262" i="19" s="1"/>
  <c r="M303" i="20"/>
  <c r="M304" i="20" s="1"/>
  <c r="AB305" i="20" s="1"/>
  <c r="AG182" i="29" l="1"/>
  <c r="AG183" i="29" s="1"/>
  <c r="AG186" i="29"/>
  <c r="AE200" i="28"/>
  <c r="AG261" i="19"/>
  <c r="AG262" i="19" s="1"/>
  <c r="N303" i="20"/>
  <c r="N304" i="20" s="1"/>
  <c r="AC305" i="20" s="1"/>
  <c r="AF200" i="28" l="1"/>
  <c r="O303" i="20"/>
  <c r="O304" i="20" s="1"/>
  <c r="AD305" i="20" s="1"/>
  <c r="AG200" i="28" l="1"/>
  <c r="P303" i="20"/>
  <c r="P304" i="20" s="1"/>
  <c r="AE305" i="20" s="1"/>
  <c r="Q303" i="20" l="1"/>
  <c r="Q304" i="20" s="1"/>
  <c r="AF305" i="20" s="1"/>
  <c r="R303" i="20" l="1"/>
  <c r="R304" i="20" s="1"/>
  <c r="AG305" i="20" s="1"/>
  <c r="S303" i="20" l="1"/>
  <c r="S304" i="20" s="1"/>
  <c r="T303" i="20" l="1"/>
  <c r="T304" i="20" s="1"/>
  <c r="U303" i="20" l="1"/>
  <c r="U304" i="20" s="1"/>
  <c r="V303" i="20" l="1"/>
  <c r="V304" i="20" s="1"/>
  <c r="W303" i="20" l="1"/>
  <c r="W304" i="20" s="1"/>
  <c r="X303" i="20" l="1"/>
  <c r="X304" i="20" s="1"/>
  <c r="Y303" i="20" l="1"/>
  <c r="Y304" i="20" s="1"/>
  <c r="Z303" i="20" l="1"/>
  <c r="Z304" i="20" s="1"/>
  <c r="AA303" i="20" l="1"/>
  <c r="AA304" i="20" s="1"/>
  <c r="AB303" i="20" l="1"/>
  <c r="AB304" i="20" s="1"/>
  <c r="AC303" i="20" l="1"/>
  <c r="AC304" i="20" s="1"/>
  <c r="AD303" i="20" l="1"/>
  <c r="AD304" i="20" s="1"/>
  <c r="AE303" i="20" l="1"/>
  <c r="AE304" i="20" s="1"/>
  <c r="AF303" i="20" l="1"/>
  <c r="AF304" i="20" s="1"/>
  <c r="AG303" i="20" l="1"/>
  <c r="AG304" i="20" s="1"/>
  <c r="J32" i="4" l="1"/>
  <c r="K32" i="4" s="1"/>
  <c r="Q32" i="4" s="1"/>
  <c r="J33" i="4"/>
  <c r="K33" i="4" s="1"/>
  <c r="Q33" i="4" s="1"/>
  <c r="J34" i="4"/>
  <c r="J35" i="4"/>
  <c r="K35" i="4" s="1"/>
  <c r="J31" i="4"/>
  <c r="K31" i="4" s="1"/>
  <c r="P31" i="4"/>
  <c r="P22" i="4"/>
  <c r="J23" i="4"/>
  <c r="J24" i="4"/>
  <c r="J25" i="4"/>
  <c r="K25" i="4" s="1"/>
  <c r="Q25" i="4" s="1"/>
  <c r="J26" i="4"/>
  <c r="K26" i="4" s="1"/>
  <c r="Q26" i="4" s="1"/>
  <c r="J22" i="4"/>
  <c r="K22" i="4" s="1"/>
  <c r="B12" i="4"/>
  <c r="Q11" i="9"/>
  <c r="Q12" i="9" s="1"/>
  <c r="AP82" i="16"/>
  <c r="F120" i="16"/>
  <c r="G120" i="16" s="1"/>
  <c r="H120" i="16" s="1"/>
  <c r="I120" i="16" s="1"/>
  <c r="J120" i="16" s="1"/>
  <c r="K120" i="16" s="1"/>
  <c r="L120" i="16" s="1"/>
  <c r="M120" i="16" s="1"/>
  <c r="N120" i="16" s="1"/>
  <c r="O120" i="16" s="1"/>
  <c r="P120" i="16" s="1"/>
  <c r="Q120" i="16" s="1"/>
  <c r="R120" i="16" s="1"/>
  <c r="S120" i="16" s="1"/>
  <c r="T120" i="16" s="1"/>
  <c r="U120" i="16" s="1"/>
  <c r="V120" i="16" s="1"/>
  <c r="W120" i="16" s="1"/>
  <c r="X120" i="16" s="1"/>
  <c r="Y120" i="16" s="1"/>
  <c r="Z120" i="16" s="1"/>
  <c r="AA120" i="16" s="1"/>
  <c r="AB120" i="16" s="1"/>
  <c r="AC120" i="16" s="1"/>
  <c r="AD120" i="16" s="1"/>
  <c r="AE120" i="16" s="1"/>
  <c r="AF120" i="16" s="1"/>
  <c r="AG120" i="16" s="1"/>
  <c r="AH120" i="16" s="1"/>
  <c r="E120" i="16"/>
  <c r="E120" i="15"/>
  <c r="F120" i="15" s="1"/>
  <c r="G120" i="15" s="1"/>
  <c r="H120" i="15" s="1"/>
  <c r="I120" i="15" s="1"/>
  <c r="J120" i="15" s="1"/>
  <c r="K120" i="15" s="1"/>
  <c r="L120" i="15" s="1"/>
  <c r="M120" i="15" s="1"/>
  <c r="N120" i="15" s="1"/>
  <c r="O120" i="15" s="1"/>
  <c r="P120" i="15" s="1"/>
  <c r="Q120" i="15" s="1"/>
  <c r="R120" i="15" s="1"/>
  <c r="S120" i="15" s="1"/>
  <c r="T120" i="15" s="1"/>
  <c r="U120" i="15" s="1"/>
  <c r="V120" i="15" s="1"/>
  <c r="W120" i="15" s="1"/>
  <c r="X120" i="15" s="1"/>
  <c r="Y120" i="15" s="1"/>
  <c r="Z120" i="15" s="1"/>
  <c r="AA120" i="15" s="1"/>
  <c r="AB120" i="15" s="1"/>
  <c r="AC120" i="15" s="1"/>
  <c r="AD120" i="15" s="1"/>
  <c r="AE120" i="15" s="1"/>
  <c r="AF120" i="15" s="1"/>
  <c r="AG120" i="15" s="1"/>
  <c r="AH120" i="15" s="1"/>
  <c r="E212" i="14"/>
  <c r="F212" i="14" s="1"/>
  <c r="G212" i="14" s="1"/>
  <c r="H212" i="14" s="1"/>
  <c r="I212" i="14" s="1"/>
  <c r="J212" i="14" s="1"/>
  <c r="K212" i="14" s="1"/>
  <c r="L212" i="14" s="1"/>
  <c r="M212" i="14" s="1"/>
  <c r="N212" i="14" s="1"/>
  <c r="O212" i="14" s="1"/>
  <c r="P212" i="14" s="1"/>
  <c r="Q212" i="14" s="1"/>
  <c r="R212" i="14" s="1"/>
  <c r="S212" i="14" s="1"/>
  <c r="T212" i="14" s="1"/>
  <c r="U212" i="14" s="1"/>
  <c r="V212" i="14" s="1"/>
  <c r="W212" i="14" s="1"/>
  <c r="X212" i="14" s="1"/>
  <c r="Y212" i="14" s="1"/>
  <c r="Z212" i="14" s="1"/>
  <c r="AA212" i="14" s="1"/>
  <c r="AB212" i="14" s="1"/>
  <c r="AC212" i="14" s="1"/>
  <c r="AD212" i="14" s="1"/>
  <c r="AE212" i="14" s="1"/>
  <c r="AF212" i="14" s="1"/>
  <c r="AG212" i="14" s="1"/>
  <c r="AH212" i="14" s="1"/>
  <c r="AP174" i="14"/>
  <c r="AQ98" i="15"/>
  <c r="AO98" i="15"/>
  <c r="AN98" i="15"/>
  <c r="AR94" i="15"/>
  <c r="AR95" i="15" s="1"/>
  <c r="C101" i="16"/>
  <c r="B96" i="16"/>
  <c r="B101" i="16" s="1"/>
  <c r="D64" i="16"/>
  <c r="D62" i="16"/>
  <c r="D61" i="16"/>
  <c r="D58" i="16"/>
  <c r="D56" i="16"/>
  <c r="D55" i="16"/>
  <c r="D48" i="16"/>
  <c r="D45" i="16"/>
  <c r="D44" i="16"/>
  <c r="D64" i="15"/>
  <c r="D63" i="15"/>
  <c r="D62" i="15"/>
  <c r="D61" i="15"/>
  <c r="D58" i="15"/>
  <c r="D57" i="15"/>
  <c r="D56" i="15"/>
  <c r="D55" i="15"/>
  <c r="F52" i="15"/>
  <c r="G52" i="15"/>
  <c r="H52" i="15"/>
  <c r="I52" i="15"/>
  <c r="J52" i="15"/>
  <c r="K52" i="15"/>
  <c r="L52" i="15"/>
  <c r="M52" i="15"/>
  <c r="N52" i="15"/>
  <c r="O52" i="15"/>
  <c r="P52" i="15"/>
  <c r="Q52" i="15"/>
  <c r="R52" i="15"/>
  <c r="S52" i="15"/>
  <c r="T52" i="15"/>
  <c r="U52" i="15"/>
  <c r="V52" i="15"/>
  <c r="W52" i="15"/>
  <c r="X52" i="15"/>
  <c r="Y52" i="15"/>
  <c r="Z52" i="15"/>
  <c r="AA52" i="15"/>
  <c r="AB52" i="15"/>
  <c r="AC52" i="15"/>
  <c r="AD52" i="15"/>
  <c r="AE52" i="15"/>
  <c r="AF52" i="15"/>
  <c r="AG52" i="15"/>
  <c r="AH52" i="15"/>
  <c r="AQ120" i="15" s="1"/>
  <c r="D51" i="15"/>
  <c r="D48" i="15"/>
  <c r="D45" i="15"/>
  <c r="D44" i="15"/>
  <c r="AL120" i="15"/>
  <c r="AK120" i="15"/>
  <c r="C101" i="15"/>
  <c r="AM98" i="15"/>
  <c r="AL98" i="15"/>
  <c r="AK98" i="15"/>
  <c r="B96" i="15"/>
  <c r="B101" i="15" s="1"/>
  <c r="AP82" i="15"/>
  <c r="K34" i="4" l="1"/>
  <c r="Q34" i="4" s="1"/>
  <c r="Q31" i="4"/>
  <c r="Q22" i="4"/>
  <c r="D126" i="12" l="1"/>
  <c r="D125" i="12"/>
  <c r="D124" i="12"/>
  <c r="D123" i="12"/>
  <c r="D94" i="12"/>
  <c r="D93" i="12"/>
  <c r="E212" i="12"/>
  <c r="F212" i="12" s="1"/>
  <c r="G212" i="12" s="1"/>
  <c r="H212" i="12" s="1"/>
  <c r="I212" i="12" s="1"/>
  <c r="J212" i="12" s="1"/>
  <c r="K212" i="12" s="1"/>
  <c r="L212" i="12" s="1"/>
  <c r="M212" i="12" s="1"/>
  <c r="N212" i="12" s="1"/>
  <c r="O212" i="12" s="1"/>
  <c r="P212" i="12" s="1"/>
  <c r="Q212" i="12" s="1"/>
  <c r="R212" i="12" s="1"/>
  <c r="S212" i="12" s="1"/>
  <c r="T212" i="12" s="1"/>
  <c r="U212" i="12" s="1"/>
  <c r="V212" i="12" s="1"/>
  <c r="W212" i="12" s="1"/>
  <c r="X212" i="12" s="1"/>
  <c r="Y212" i="12" s="1"/>
  <c r="Z212" i="12" s="1"/>
  <c r="AA212" i="12" s="1"/>
  <c r="AB212" i="12" s="1"/>
  <c r="AC212" i="12" s="1"/>
  <c r="AD212" i="12" s="1"/>
  <c r="AE212" i="12" s="1"/>
  <c r="AF212" i="12" s="1"/>
  <c r="AG212" i="12" s="1"/>
  <c r="AH212" i="12" s="1"/>
  <c r="AR186" i="12" l="1"/>
  <c r="AR187" i="12" s="1"/>
  <c r="C193" i="14"/>
  <c r="B189" i="14"/>
  <c r="B193" i="14" s="1"/>
  <c r="AP174" i="12"/>
  <c r="E39" i="7"/>
  <c r="E36" i="7"/>
  <c r="E38" i="7"/>
  <c r="C193" i="12"/>
  <c r="B189" i="12"/>
  <c r="B193" i="12" s="1"/>
  <c r="F57" i="33" l="1"/>
  <c r="F64" i="33" s="1"/>
  <c r="AB21" i="34"/>
  <c r="E57" i="33"/>
  <c r="E37" i="7"/>
  <c r="AB22" i="34"/>
  <c r="G57" i="33"/>
  <c r="H55" i="24"/>
  <c r="E51" i="16"/>
  <c r="F51" i="16"/>
  <c r="G51" i="16"/>
  <c r="H51" i="16"/>
  <c r="I51" i="16"/>
  <c r="J51" i="16"/>
  <c r="K51" i="16"/>
  <c r="L51" i="16"/>
  <c r="M51" i="16"/>
  <c r="N51" i="16"/>
  <c r="O51" i="16"/>
  <c r="P51" i="16"/>
  <c r="Q51" i="16"/>
  <c r="R51" i="16"/>
  <c r="S51" i="16"/>
  <c r="T51" i="16"/>
  <c r="U51" i="16"/>
  <c r="V51" i="16"/>
  <c r="W51" i="16"/>
  <c r="X51" i="16"/>
  <c r="Y51" i="16"/>
  <c r="Z51" i="16"/>
  <c r="AA51" i="16"/>
  <c r="AB51" i="16"/>
  <c r="AC51" i="16"/>
  <c r="AD51" i="16"/>
  <c r="AE51" i="16"/>
  <c r="AF51" i="16"/>
  <c r="AG51" i="16"/>
  <c r="AH51" i="16"/>
  <c r="D51" i="16"/>
  <c r="E52" i="15"/>
  <c r="D52" i="15"/>
  <c r="E3" i="14"/>
  <c r="F3" i="14" s="1"/>
  <c r="G3" i="14" s="1"/>
  <c r="H3" i="14" s="1"/>
  <c r="I3" i="14" s="1"/>
  <c r="J3" i="14" s="1"/>
  <c r="K3" i="14" s="1"/>
  <c r="L3" i="14" s="1"/>
  <c r="M3" i="14" s="1"/>
  <c r="N3" i="14" s="1"/>
  <c r="O3" i="14" s="1"/>
  <c r="P3" i="14" s="1"/>
  <c r="Q3" i="14" s="1"/>
  <c r="R3" i="14" s="1"/>
  <c r="S3" i="14" s="1"/>
  <c r="T3" i="14" s="1"/>
  <c r="U3" i="14" s="1"/>
  <c r="V3" i="14" s="1"/>
  <c r="W3" i="14" s="1"/>
  <c r="X3" i="14" s="1"/>
  <c r="Y3" i="14" s="1"/>
  <c r="Z3" i="14" s="1"/>
  <c r="AA3" i="14" s="1"/>
  <c r="AB3" i="14" s="1"/>
  <c r="AC3" i="14" s="1"/>
  <c r="AD3" i="14" s="1"/>
  <c r="AE3" i="14" s="1"/>
  <c r="AF3" i="14" s="1"/>
  <c r="AG3" i="14" s="1"/>
  <c r="AH3" i="14" s="1"/>
  <c r="D17" i="14"/>
  <c r="D29" i="14"/>
  <c r="D32" i="14"/>
  <c r="D82" i="14" s="1"/>
  <c r="D214" i="14" s="1"/>
  <c r="D224" i="14" s="1"/>
  <c r="D53" i="14"/>
  <c r="X1" i="29"/>
  <c r="Y1" i="29" s="1"/>
  <c r="Z1" i="29" s="1"/>
  <c r="AA1" i="29" s="1"/>
  <c r="AB1" i="29" s="1"/>
  <c r="AC1" i="29" s="1"/>
  <c r="AD1" i="29" s="1"/>
  <c r="AE1" i="29" s="1"/>
  <c r="AF1" i="29" s="1"/>
  <c r="N1" i="29"/>
  <c r="O1" i="29" s="1"/>
  <c r="P1" i="29" s="1"/>
  <c r="Q1" i="29" s="1"/>
  <c r="R1" i="29" s="1"/>
  <c r="S1" i="29" s="1"/>
  <c r="T1" i="29" s="1"/>
  <c r="U1" i="29" s="1"/>
  <c r="V1" i="29" s="1"/>
  <c r="D1" i="29"/>
  <c r="E1" i="29" s="1"/>
  <c r="F1" i="29" s="1"/>
  <c r="G1" i="29" s="1"/>
  <c r="H1" i="29" s="1"/>
  <c r="I1" i="29" s="1"/>
  <c r="J1" i="29" s="1"/>
  <c r="K1" i="29" s="1"/>
  <c r="L1" i="29" s="1"/>
  <c r="C90" i="28"/>
  <c r="C77" i="29" s="1"/>
  <c r="AG90" i="28"/>
  <c r="AG77" i="29" s="1"/>
  <c r="C93" i="28"/>
  <c r="C95" i="28" s="1"/>
  <c r="D92" i="28" s="1"/>
  <c r="E92" i="28" s="1"/>
  <c r="F92" i="28" s="1"/>
  <c r="G92" i="28" s="1"/>
  <c r="H92" i="28" s="1"/>
  <c r="I92" i="28" s="1"/>
  <c r="J92" i="28" s="1"/>
  <c r="K92" i="28" s="1"/>
  <c r="L92" i="28" s="1"/>
  <c r="M92" i="28" s="1"/>
  <c r="N92" i="28" s="1"/>
  <c r="O92" i="28" s="1"/>
  <c r="P92" i="28" s="1"/>
  <c r="Q92" i="28" s="1"/>
  <c r="R92" i="28" s="1"/>
  <c r="S92" i="28" s="1"/>
  <c r="T92" i="28" s="1"/>
  <c r="U92" i="28" s="1"/>
  <c r="V92" i="28" s="1"/>
  <c r="W92" i="28" s="1"/>
  <c r="X92" i="28" s="1"/>
  <c r="Y92" i="28" s="1"/>
  <c r="Z92" i="28" s="1"/>
  <c r="AA92" i="28" s="1"/>
  <c r="AB92" i="28" s="1"/>
  <c r="AC92" i="28" s="1"/>
  <c r="AD92" i="28" s="1"/>
  <c r="AE92" i="28" s="1"/>
  <c r="AF92" i="28" s="1"/>
  <c r="AG93" i="28"/>
  <c r="AG95" i="28" s="1"/>
  <c r="C94" i="28"/>
  <c r="AG94" i="28"/>
  <c r="D97" i="28"/>
  <c r="C98" i="28"/>
  <c r="C99" i="28" s="1"/>
  <c r="C56" i="28"/>
  <c r="D54" i="28"/>
  <c r="D55" i="28" s="1"/>
  <c r="C55" i="28"/>
  <c r="C57" i="28" s="1"/>
  <c r="H68" i="24"/>
  <c r="AG110" i="28"/>
  <c r="C110" i="28"/>
  <c r="AG104" i="28"/>
  <c r="C104" i="28"/>
  <c r="C75" i="28"/>
  <c r="D75" i="28" s="1"/>
  <c r="E75" i="28" s="1"/>
  <c r="F75" i="28" s="1"/>
  <c r="G75" i="28" s="1"/>
  <c r="H75" i="28" s="1"/>
  <c r="I75" i="28" s="1"/>
  <c r="J75" i="28" s="1"/>
  <c r="K75" i="28" s="1"/>
  <c r="L75" i="28" s="1"/>
  <c r="M75" i="28" s="1"/>
  <c r="N75" i="28" s="1"/>
  <c r="O75" i="28" s="1"/>
  <c r="P75" i="28" s="1"/>
  <c r="Q75" i="28" s="1"/>
  <c r="R75" i="28" s="1"/>
  <c r="S75" i="28" s="1"/>
  <c r="T75" i="28" s="1"/>
  <c r="U75" i="28" s="1"/>
  <c r="V75" i="28" s="1"/>
  <c r="W75" i="28" s="1"/>
  <c r="X75" i="28" s="1"/>
  <c r="Y75" i="28" s="1"/>
  <c r="Z75" i="28" s="1"/>
  <c r="AA75" i="28" s="1"/>
  <c r="AB75" i="28" s="1"/>
  <c r="AC75" i="28" s="1"/>
  <c r="AD75" i="28" s="1"/>
  <c r="AE75" i="28" s="1"/>
  <c r="AF75" i="28" s="1"/>
  <c r="AG75" i="28" s="1"/>
  <c r="D74" i="28"/>
  <c r="E74" i="28" s="1"/>
  <c r="F74" i="28" s="1"/>
  <c r="G74" i="28" s="1"/>
  <c r="H74" i="28" s="1"/>
  <c r="I74" i="28" s="1"/>
  <c r="J74" i="28" s="1"/>
  <c r="K74" i="28" s="1"/>
  <c r="L74" i="28" s="1"/>
  <c r="M74" i="28" s="1"/>
  <c r="N74" i="28" s="1"/>
  <c r="O74" i="28" s="1"/>
  <c r="P74" i="28" s="1"/>
  <c r="Q74" i="28" s="1"/>
  <c r="R74" i="28" s="1"/>
  <c r="S74" i="28" s="1"/>
  <c r="T74" i="28" s="1"/>
  <c r="U74" i="28" s="1"/>
  <c r="V74" i="28" s="1"/>
  <c r="W74" i="28" s="1"/>
  <c r="X74" i="28" s="1"/>
  <c r="Y74" i="28" s="1"/>
  <c r="Z74" i="28" s="1"/>
  <c r="AA74" i="28" s="1"/>
  <c r="AB74" i="28" s="1"/>
  <c r="AC74" i="28" s="1"/>
  <c r="AD74" i="28" s="1"/>
  <c r="AE74" i="28" s="1"/>
  <c r="AF74" i="28" s="1"/>
  <c r="AG74" i="28" s="1"/>
  <c r="D73" i="28"/>
  <c r="E73" i="28" s="1"/>
  <c r="F73" i="28" s="1"/>
  <c r="AG70" i="28"/>
  <c r="C70" i="28"/>
  <c r="AG69" i="28"/>
  <c r="AG71" i="28" s="1"/>
  <c r="C69" i="28"/>
  <c r="C71" i="28" s="1"/>
  <c r="D68" i="28" s="1"/>
  <c r="E68" i="28" s="1"/>
  <c r="F68" i="28" s="1"/>
  <c r="G68" i="28" s="1"/>
  <c r="H68" i="28" s="1"/>
  <c r="I68" i="28" s="1"/>
  <c r="J68" i="28" s="1"/>
  <c r="K68" i="28" s="1"/>
  <c r="L68" i="28" s="1"/>
  <c r="M68" i="28" s="1"/>
  <c r="N68" i="28" s="1"/>
  <c r="O68" i="28" s="1"/>
  <c r="P68" i="28" s="1"/>
  <c r="Q68" i="28" s="1"/>
  <c r="R68" i="28" s="1"/>
  <c r="S68" i="28" s="1"/>
  <c r="T68" i="28" s="1"/>
  <c r="U68" i="28" s="1"/>
  <c r="V68" i="28" s="1"/>
  <c r="W68" i="28" s="1"/>
  <c r="X68" i="28" s="1"/>
  <c r="Y68" i="28" s="1"/>
  <c r="Z68" i="28" s="1"/>
  <c r="AA68" i="28" s="1"/>
  <c r="AB68" i="28" s="1"/>
  <c r="AC68" i="28" s="1"/>
  <c r="AD68" i="28" s="1"/>
  <c r="AE68" i="28" s="1"/>
  <c r="AF68" i="28" s="1"/>
  <c r="AG66" i="28"/>
  <c r="C66" i="28"/>
  <c r="W52" i="28"/>
  <c r="M52" i="28"/>
  <c r="C52" i="28"/>
  <c r="C49" i="28" s="1"/>
  <c r="X1" i="28"/>
  <c r="Y1" i="28" s="1"/>
  <c r="N1" i="28"/>
  <c r="D1" i="28"/>
  <c r="AG58" i="20"/>
  <c r="D69" i="28" l="1"/>
  <c r="M49" i="28"/>
  <c r="AG55" i="46"/>
  <c r="AG55" i="48"/>
  <c r="AG55" i="42"/>
  <c r="AG55" i="38"/>
  <c r="Z27" i="34"/>
  <c r="Y27" i="34"/>
  <c r="X27" i="34"/>
  <c r="W27" i="34"/>
  <c r="V27" i="34"/>
  <c r="X26" i="34"/>
  <c r="V26" i="34"/>
  <c r="Z26" i="34"/>
  <c r="W26" i="34"/>
  <c r="Y26" i="34"/>
  <c r="AH51" i="15"/>
  <c r="AP120" i="15" s="1"/>
  <c r="AR120" i="15" s="1"/>
  <c r="AG52" i="20"/>
  <c r="K102" i="33" s="1"/>
  <c r="D74" i="14"/>
  <c r="D219" i="14" s="1"/>
  <c r="D230" i="14" s="1"/>
  <c r="D81" i="14"/>
  <c r="D213" i="14" s="1"/>
  <c r="D223" i="14" s="1"/>
  <c r="C78" i="28"/>
  <c r="D98" i="28"/>
  <c r="E98" i="28" s="1"/>
  <c r="F98" i="28" s="1"/>
  <c r="G98" i="28" s="1"/>
  <c r="H98" i="28" s="1"/>
  <c r="I98" i="28" s="1"/>
  <c r="J98" i="28" s="1"/>
  <c r="K98" i="28" s="1"/>
  <c r="L98" i="28" s="1"/>
  <c r="M98" i="28" s="1"/>
  <c r="N98" i="28" s="1"/>
  <c r="O98" i="28" s="1"/>
  <c r="P98" i="28" s="1"/>
  <c r="Q98" i="28" s="1"/>
  <c r="R98" i="28" s="1"/>
  <c r="S98" i="28" s="1"/>
  <c r="T98" i="28" s="1"/>
  <c r="U98" i="28" s="1"/>
  <c r="V98" i="28" s="1"/>
  <c r="W98" i="28" s="1"/>
  <c r="X98" i="28" s="1"/>
  <c r="Y98" i="28" s="1"/>
  <c r="Z98" i="28" s="1"/>
  <c r="AA98" i="28" s="1"/>
  <c r="AB98" i="28" s="1"/>
  <c r="AC98" i="28" s="1"/>
  <c r="AD98" i="28" s="1"/>
  <c r="AE98" i="28" s="1"/>
  <c r="AF98" i="28" s="1"/>
  <c r="AG98" i="28" s="1"/>
  <c r="AG102" i="28" s="1"/>
  <c r="C102" i="28"/>
  <c r="E93" i="28"/>
  <c r="C101" i="28"/>
  <c r="D93" i="28"/>
  <c r="E97" i="28"/>
  <c r="D57" i="28"/>
  <c r="D56" i="28"/>
  <c r="C76" i="28"/>
  <c r="E54" i="28"/>
  <c r="AG79" i="28"/>
  <c r="E1" i="28"/>
  <c r="Z1" i="28"/>
  <c r="AG80" i="28"/>
  <c r="O1" i="28"/>
  <c r="W49" i="28"/>
  <c r="AG52" i="28"/>
  <c r="F76" i="28"/>
  <c r="G73" i="28"/>
  <c r="C79" i="28"/>
  <c r="C80" i="28"/>
  <c r="E76" i="28"/>
  <c r="D76" i="28"/>
  <c r="C205" i="20"/>
  <c r="X1" i="19"/>
  <c r="N1" i="19"/>
  <c r="D1" i="19"/>
  <c r="AG205" i="20"/>
  <c r="AG192" i="20"/>
  <c r="C192" i="20"/>
  <c r="C112" i="20"/>
  <c r="C160" i="20"/>
  <c r="C156" i="20"/>
  <c r="AG156" i="20"/>
  <c r="Z33" i="34" l="1"/>
  <c r="G6" i="34" s="1"/>
  <c r="E66" i="34" s="1"/>
  <c r="X33" i="34"/>
  <c r="E6" i="34" s="1"/>
  <c r="E56" i="34" s="1"/>
  <c r="F56" i="34" s="1"/>
  <c r="G56" i="34" s="1"/>
  <c r="H56" i="34" s="1"/>
  <c r="I56" i="34" s="1"/>
  <c r="J56" i="34" s="1"/>
  <c r="K56" i="34" s="1"/>
  <c r="L56" i="34" s="1"/>
  <c r="M56" i="34" s="1"/>
  <c r="N56" i="34" s="1"/>
  <c r="O56" i="34" s="1"/>
  <c r="P56" i="34" s="1"/>
  <c r="Q56" i="34" s="1"/>
  <c r="R56" i="34" s="1"/>
  <c r="S56" i="34" s="1"/>
  <c r="T56" i="34" s="1"/>
  <c r="U56" i="34" s="1"/>
  <c r="V56" i="34" s="1"/>
  <c r="W56" i="34" s="1"/>
  <c r="X56" i="34" s="1"/>
  <c r="Y56" i="34" s="1"/>
  <c r="Z56" i="34" s="1"/>
  <c r="AA56" i="34" s="1"/>
  <c r="AB56" i="34" s="1"/>
  <c r="AC56" i="34" s="1"/>
  <c r="AD56" i="34" s="1"/>
  <c r="AE56" i="34" s="1"/>
  <c r="AF56" i="34" s="1"/>
  <c r="AG56" i="34" s="1"/>
  <c r="AH56" i="34" s="1"/>
  <c r="W28" i="34"/>
  <c r="C54" i="20" s="1"/>
  <c r="W32" i="34"/>
  <c r="D4" i="34" s="1"/>
  <c r="E49" i="34" s="1"/>
  <c r="F49" i="34" s="1"/>
  <c r="G49" i="34" s="1"/>
  <c r="H49" i="34" s="1"/>
  <c r="I49" i="34" s="1"/>
  <c r="J49" i="34" s="1"/>
  <c r="K49" i="34" s="1"/>
  <c r="L49" i="34" s="1"/>
  <c r="M49" i="34" s="1"/>
  <c r="N49" i="34" s="1"/>
  <c r="O49" i="34" s="1"/>
  <c r="P49" i="34" s="1"/>
  <c r="Q49" i="34" s="1"/>
  <c r="R49" i="34" s="1"/>
  <c r="S49" i="34" s="1"/>
  <c r="T49" i="34" s="1"/>
  <c r="U49" i="34" s="1"/>
  <c r="V49" i="34" s="1"/>
  <c r="W49" i="34" s="1"/>
  <c r="X49" i="34" s="1"/>
  <c r="Y49" i="34" s="1"/>
  <c r="Z49" i="34" s="1"/>
  <c r="AA49" i="34" s="1"/>
  <c r="AB49" i="34" s="1"/>
  <c r="AC49" i="34" s="1"/>
  <c r="AD49" i="34" s="1"/>
  <c r="AE49" i="34" s="1"/>
  <c r="AF49" i="34" s="1"/>
  <c r="AG49" i="34" s="1"/>
  <c r="AH49" i="34" s="1"/>
  <c r="W31" i="34"/>
  <c r="D3" i="34" s="1"/>
  <c r="V33" i="34"/>
  <c r="C6" i="34" s="1"/>
  <c r="E46" i="34" s="1"/>
  <c r="V32" i="34"/>
  <c r="C4" i="34" s="1"/>
  <c r="E44" i="34" s="1"/>
  <c r="V31" i="34"/>
  <c r="C3" i="34" s="1"/>
  <c r="Y32" i="34"/>
  <c r="F4" i="34" s="1"/>
  <c r="E59" i="34" s="1"/>
  <c r="Y31" i="34"/>
  <c r="F3" i="34" s="1"/>
  <c r="Y28" i="34"/>
  <c r="X32" i="34"/>
  <c r="E4" i="34" s="1"/>
  <c r="E54" i="34" s="1"/>
  <c r="F54" i="34" s="1"/>
  <c r="G54" i="34" s="1"/>
  <c r="H54" i="34" s="1"/>
  <c r="I54" i="34" s="1"/>
  <c r="J54" i="34" s="1"/>
  <c r="K54" i="34" s="1"/>
  <c r="L54" i="34" s="1"/>
  <c r="M54" i="34" s="1"/>
  <c r="N54" i="34" s="1"/>
  <c r="O54" i="34" s="1"/>
  <c r="P54" i="34" s="1"/>
  <c r="Q54" i="34" s="1"/>
  <c r="R54" i="34" s="1"/>
  <c r="S54" i="34" s="1"/>
  <c r="T54" i="34" s="1"/>
  <c r="U54" i="34" s="1"/>
  <c r="V54" i="34" s="1"/>
  <c r="W54" i="34" s="1"/>
  <c r="X54" i="34" s="1"/>
  <c r="Y54" i="34" s="1"/>
  <c r="Z54" i="34" s="1"/>
  <c r="AA54" i="34" s="1"/>
  <c r="AB54" i="34" s="1"/>
  <c r="AC54" i="34" s="1"/>
  <c r="AD54" i="34" s="1"/>
  <c r="AE54" i="34" s="1"/>
  <c r="AF54" i="34" s="1"/>
  <c r="AG54" i="34" s="1"/>
  <c r="AH54" i="34" s="1"/>
  <c r="X28" i="34"/>
  <c r="C56" i="20" s="1"/>
  <c r="X31" i="34"/>
  <c r="E3" i="34" s="1"/>
  <c r="Y33" i="34"/>
  <c r="Z32" i="34"/>
  <c r="G4" i="34" s="1"/>
  <c r="E64" i="34" s="1"/>
  <c r="Z28" i="34"/>
  <c r="C55" i="20" s="1"/>
  <c r="Z31" i="34"/>
  <c r="G3" i="34" s="1"/>
  <c r="W33" i="34"/>
  <c r="D6" i="34" s="1"/>
  <c r="E51" i="34" s="1"/>
  <c r="F51" i="34" s="1"/>
  <c r="G51" i="34" s="1"/>
  <c r="H51" i="34" s="1"/>
  <c r="I51" i="34" s="1"/>
  <c r="J51" i="34" s="1"/>
  <c r="K51" i="34" s="1"/>
  <c r="L51" i="34" s="1"/>
  <c r="M51" i="34" s="1"/>
  <c r="N51" i="34" s="1"/>
  <c r="O51" i="34" s="1"/>
  <c r="P51" i="34" s="1"/>
  <c r="Q51" i="34" s="1"/>
  <c r="R51" i="34" s="1"/>
  <c r="S51" i="34" s="1"/>
  <c r="T51" i="34" s="1"/>
  <c r="U51" i="34" s="1"/>
  <c r="V51" i="34" s="1"/>
  <c r="W51" i="34" s="1"/>
  <c r="X51" i="34" s="1"/>
  <c r="Y51" i="34" s="1"/>
  <c r="Z51" i="34" s="1"/>
  <c r="AA51" i="34" s="1"/>
  <c r="AB51" i="34" s="1"/>
  <c r="AC51" i="34" s="1"/>
  <c r="AD51" i="34" s="1"/>
  <c r="AE51" i="34" s="1"/>
  <c r="AF51" i="34" s="1"/>
  <c r="AG51" i="34" s="1"/>
  <c r="AH51" i="34" s="1"/>
  <c r="AH63" i="15"/>
  <c r="D83" i="14"/>
  <c r="D99" i="28"/>
  <c r="Y52" i="28"/>
  <c r="Y49" i="28" s="1"/>
  <c r="F93" i="28"/>
  <c r="G93" i="28"/>
  <c r="H93" i="28"/>
  <c r="W90" i="28"/>
  <c r="W77" i="29" s="1"/>
  <c r="M90" i="28"/>
  <c r="M77" i="29" s="1"/>
  <c r="F97" i="28"/>
  <c r="E99" i="28"/>
  <c r="E55" i="28"/>
  <c r="F54" i="28"/>
  <c r="D52" i="28"/>
  <c r="AG49" i="28"/>
  <c r="E69" i="28"/>
  <c r="H73" i="28"/>
  <c r="G76" i="28"/>
  <c r="X52" i="28"/>
  <c r="AA1" i="28"/>
  <c r="P1" i="28"/>
  <c r="N52" i="28"/>
  <c r="F1" i="28"/>
  <c r="E56" i="28"/>
  <c r="Y1" i="19"/>
  <c r="O1" i="19"/>
  <c r="E1" i="19"/>
  <c r="C161" i="20"/>
  <c r="D160" i="20"/>
  <c r="E160" i="20" s="1"/>
  <c r="F160" i="20" s="1"/>
  <c r="G160" i="20" s="1"/>
  <c r="H160" i="20" s="1"/>
  <c r="I160" i="20" s="1"/>
  <c r="J160" i="20" s="1"/>
  <c r="K160" i="20" s="1"/>
  <c r="L160" i="20" s="1"/>
  <c r="M160" i="20" s="1"/>
  <c r="N160" i="20" s="1"/>
  <c r="O160" i="20" s="1"/>
  <c r="P160" i="20" s="1"/>
  <c r="Q160" i="20" s="1"/>
  <c r="R160" i="20" s="1"/>
  <c r="S160" i="20" s="1"/>
  <c r="T160" i="20" s="1"/>
  <c r="U160" i="20" s="1"/>
  <c r="V160" i="20" s="1"/>
  <c r="W160" i="20" s="1"/>
  <c r="X160" i="20" s="1"/>
  <c r="Y160" i="20" s="1"/>
  <c r="Z160" i="20" s="1"/>
  <c r="AA160" i="20" s="1"/>
  <c r="AB160" i="20" s="1"/>
  <c r="AC160" i="20" s="1"/>
  <c r="AD160" i="20" s="1"/>
  <c r="AE160" i="20" s="1"/>
  <c r="AF160" i="20" s="1"/>
  <c r="AG160" i="20" s="1"/>
  <c r="D159" i="20"/>
  <c r="AG155" i="20"/>
  <c r="C155" i="20"/>
  <c r="M110" i="28" l="1"/>
  <c r="E63" i="34"/>
  <c r="G8" i="34"/>
  <c r="C52" i="48"/>
  <c r="C52" i="46"/>
  <c r="C52" i="42"/>
  <c r="C52" i="38"/>
  <c r="D55" i="20"/>
  <c r="C59" i="20"/>
  <c r="E43" i="34"/>
  <c r="C8" i="34"/>
  <c r="E53" i="34"/>
  <c r="E8" i="34"/>
  <c r="E58" i="34"/>
  <c r="F8" i="34"/>
  <c r="C53" i="48"/>
  <c r="C53" i="46"/>
  <c r="C53" i="42"/>
  <c r="C53" i="38"/>
  <c r="C60" i="20"/>
  <c r="D56" i="20"/>
  <c r="C57" i="20"/>
  <c r="E48" i="34"/>
  <c r="F48" i="34" s="1"/>
  <c r="G48" i="34" s="1"/>
  <c r="H48" i="34" s="1"/>
  <c r="I48" i="34" s="1"/>
  <c r="J48" i="34" s="1"/>
  <c r="K48" i="34" s="1"/>
  <c r="L48" i="34" s="1"/>
  <c r="M48" i="34" s="1"/>
  <c r="N48" i="34" s="1"/>
  <c r="O48" i="34" s="1"/>
  <c r="P48" i="34" s="1"/>
  <c r="Q48" i="34" s="1"/>
  <c r="R48" i="34" s="1"/>
  <c r="S48" i="34" s="1"/>
  <c r="T48" i="34" s="1"/>
  <c r="U48" i="34" s="1"/>
  <c r="V48" i="34" s="1"/>
  <c r="W48" i="34" s="1"/>
  <c r="X48" i="34" s="1"/>
  <c r="Y48" i="34" s="1"/>
  <c r="Z48" i="34" s="1"/>
  <c r="AA48" i="34" s="1"/>
  <c r="AB48" i="34" s="1"/>
  <c r="AC48" i="34" s="1"/>
  <c r="AD48" i="34" s="1"/>
  <c r="AE48" i="34" s="1"/>
  <c r="AF48" i="34" s="1"/>
  <c r="AG48" i="34" s="1"/>
  <c r="AH48" i="34" s="1"/>
  <c r="D8" i="34"/>
  <c r="F6" i="34"/>
  <c r="E61" i="34" s="1"/>
  <c r="C51" i="48"/>
  <c r="C51" i="46"/>
  <c r="C51" i="42"/>
  <c r="C51" i="38"/>
  <c r="D54" i="20"/>
  <c r="C58" i="20"/>
  <c r="AG157" i="20"/>
  <c r="AG164" i="20" s="1"/>
  <c r="D110" i="28"/>
  <c r="E110" i="28"/>
  <c r="D90" i="28"/>
  <c r="D77" i="29" s="1"/>
  <c r="P90" i="28"/>
  <c r="P77" i="29" s="1"/>
  <c r="E90" i="28"/>
  <c r="E77" i="29" s="1"/>
  <c r="F90" i="28"/>
  <c r="F77" i="29" s="1"/>
  <c r="N90" i="28"/>
  <c r="N77" i="29" s="1"/>
  <c r="O90" i="28"/>
  <c r="O77" i="29" s="1"/>
  <c r="I93" i="28"/>
  <c r="X90" i="28"/>
  <c r="X77" i="29" s="1"/>
  <c r="AA90" i="28"/>
  <c r="AA77" i="29" s="1"/>
  <c r="Y90" i="28"/>
  <c r="Y77" i="29" s="1"/>
  <c r="Z90" i="28"/>
  <c r="Z77" i="29" s="1"/>
  <c r="G97" i="28"/>
  <c r="F99" i="28"/>
  <c r="AA66" i="28"/>
  <c r="E57" i="28"/>
  <c r="M104" i="28"/>
  <c r="Y66" i="28"/>
  <c r="Z66" i="28"/>
  <c r="W66" i="28"/>
  <c r="G54" i="28"/>
  <c r="F55" i="28"/>
  <c r="O104" i="28"/>
  <c r="Q1" i="28"/>
  <c r="Q110" i="28" s="1"/>
  <c r="D49" i="28"/>
  <c r="F56" i="28"/>
  <c r="G1" i="28"/>
  <c r="F69" i="28"/>
  <c r="Y110" i="28"/>
  <c r="W110" i="28"/>
  <c r="Z110" i="28"/>
  <c r="X110" i="28"/>
  <c r="AA110" i="28"/>
  <c r="O110" i="28"/>
  <c r="E52" i="28"/>
  <c r="O52" i="28"/>
  <c r="Z52" i="28"/>
  <c r="X49" i="28"/>
  <c r="I73" i="28"/>
  <c r="H76" i="28"/>
  <c r="W104" i="28"/>
  <c r="F110" i="28"/>
  <c r="X66" i="28"/>
  <c r="N49" i="28"/>
  <c r="AB1" i="28"/>
  <c r="AB90" i="28" s="1"/>
  <c r="AB77" i="29" s="1"/>
  <c r="M66" i="28"/>
  <c r="P110" i="28"/>
  <c r="N110" i="28"/>
  <c r="F1" i="19"/>
  <c r="Z1" i="19"/>
  <c r="P1" i="19"/>
  <c r="E159" i="20"/>
  <c r="F159" i="20" s="1"/>
  <c r="C157" i="20"/>
  <c r="D154" i="20" s="1"/>
  <c r="E154" i="20" s="1"/>
  <c r="F154" i="20" s="1"/>
  <c r="G154" i="20" s="1"/>
  <c r="H154" i="20" s="1"/>
  <c r="I154" i="20" s="1"/>
  <c r="J154" i="20" s="1"/>
  <c r="K154" i="20" s="1"/>
  <c r="L154" i="20" s="1"/>
  <c r="M154" i="20" s="1"/>
  <c r="N154" i="20" s="1"/>
  <c r="O154" i="20" s="1"/>
  <c r="P154" i="20" s="1"/>
  <c r="Q154" i="20" s="1"/>
  <c r="R154" i="20" s="1"/>
  <c r="S154" i="20" s="1"/>
  <c r="T154" i="20" s="1"/>
  <c r="U154" i="20" s="1"/>
  <c r="V154" i="20" s="1"/>
  <c r="W154" i="20" s="1"/>
  <c r="X154" i="20" s="1"/>
  <c r="Y154" i="20" s="1"/>
  <c r="Z154" i="20" s="1"/>
  <c r="AA154" i="20" s="1"/>
  <c r="AB154" i="20" s="1"/>
  <c r="AC154" i="20" s="1"/>
  <c r="AD154" i="20" s="1"/>
  <c r="AE154" i="20" s="1"/>
  <c r="AF154" i="20" s="1"/>
  <c r="D161" i="20"/>
  <c r="D155" i="20" l="1"/>
  <c r="E56" i="20"/>
  <c r="D53" i="48"/>
  <c r="D53" i="46"/>
  <c r="D53" i="42"/>
  <c r="D53" i="38"/>
  <c r="D57" i="20"/>
  <c r="C56" i="48"/>
  <c r="C56" i="46"/>
  <c r="C56" i="42"/>
  <c r="C56" i="38"/>
  <c r="C55" i="48"/>
  <c r="C55" i="46"/>
  <c r="C55" i="42"/>
  <c r="C55" i="38"/>
  <c r="C57" i="48"/>
  <c r="C57" i="46"/>
  <c r="C57" i="42"/>
  <c r="C57" i="38"/>
  <c r="F53" i="34"/>
  <c r="G53" i="34" s="1"/>
  <c r="H53" i="34" s="1"/>
  <c r="I53" i="34" s="1"/>
  <c r="J53" i="34" s="1"/>
  <c r="K53" i="34" s="1"/>
  <c r="L53" i="34" s="1"/>
  <c r="M53" i="34" s="1"/>
  <c r="N53" i="34" s="1"/>
  <c r="O53" i="34" s="1"/>
  <c r="P53" i="34" s="1"/>
  <c r="Q53" i="34" s="1"/>
  <c r="R53" i="34" s="1"/>
  <c r="S53" i="34" s="1"/>
  <c r="T53" i="34" s="1"/>
  <c r="U53" i="34" s="1"/>
  <c r="V53" i="34" s="1"/>
  <c r="W53" i="34" s="1"/>
  <c r="X53" i="34" s="1"/>
  <c r="Y53" i="34" s="1"/>
  <c r="Z53" i="34" s="1"/>
  <c r="AA53" i="34" s="1"/>
  <c r="AB53" i="34" s="1"/>
  <c r="AC53" i="34" s="1"/>
  <c r="AD53" i="34" s="1"/>
  <c r="AE53" i="34" s="1"/>
  <c r="AF53" i="34" s="1"/>
  <c r="AG53" i="34" s="1"/>
  <c r="AH53" i="34" s="1"/>
  <c r="E55" i="20"/>
  <c r="D52" i="48"/>
  <c r="D52" i="46"/>
  <c r="D52" i="42"/>
  <c r="D52" i="38"/>
  <c r="D51" i="48"/>
  <c r="D51" i="46"/>
  <c r="D51" i="42"/>
  <c r="D51" i="38"/>
  <c r="E54" i="20"/>
  <c r="C61" i="20"/>
  <c r="C54" i="48"/>
  <c r="C54" i="46"/>
  <c r="C54" i="42"/>
  <c r="C54" i="38"/>
  <c r="G90" i="28"/>
  <c r="G77" i="29" s="1"/>
  <c r="E94" i="28"/>
  <c r="F51" i="15" s="1"/>
  <c r="E95" i="28"/>
  <c r="D95" i="28"/>
  <c r="D94" i="28"/>
  <c r="E51" i="15" s="1"/>
  <c r="D104" i="28"/>
  <c r="Q90" i="28"/>
  <c r="Q77" i="29" s="1"/>
  <c r="G99" i="28"/>
  <c r="H97" i="28"/>
  <c r="J93" i="28"/>
  <c r="F94" i="28"/>
  <c r="G51" i="15" s="1"/>
  <c r="F95" i="28"/>
  <c r="E104" i="28"/>
  <c r="N104" i="28"/>
  <c r="F57" i="28"/>
  <c r="Q66" i="28"/>
  <c r="H54" i="28"/>
  <c r="G55" i="28"/>
  <c r="F104" i="28"/>
  <c r="E70" i="28"/>
  <c r="E66" i="28"/>
  <c r="E71" i="28"/>
  <c r="N66" i="28"/>
  <c r="AC1" i="28"/>
  <c r="AC90" i="28" s="1"/>
  <c r="AC77" i="29" s="1"/>
  <c r="AA104" i="28"/>
  <c r="E49" i="28"/>
  <c r="P52" i="28"/>
  <c r="O66" i="28"/>
  <c r="AA52" i="28"/>
  <c r="Z104" i="28"/>
  <c r="AB110" i="28"/>
  <c r="G69" i="28"/>
  <c r="G71" i="28" s="1"/>
  <c r="P66" i="28"/>
  <c r="P104" i="28"/>
  <c r="O49" i="28"/>
  <c r="G56" i="28"/>
  <c r="H1" i="28"/>
  <c r="H90" i="28" s="1"/>
  <c r="H77" i="29" s="1"/>
  <c r="G110" i="28"/>
  <c r="R1" i="28"/>
  <c r="R90" i="28" s="1"/>
  <c r="R77" i="29" s="1"/>
  <c r="F70" i="28"/>
  <c r="F71" i="28"/>
  <c r="F66" i="28"/>
  <c r="G70" i="28"/>
  <c r="G66" i="28"/>
  <c r="D71" i="28"/>
  <c r="D70" i="28"/>
  <c r="D66" i="28"/>
  <c r="X104" i="28"/>
  <c r="Y104" i="28"/>
  <c r="I76" i="28"/>
  <c r="J73" i="28"/>
  <c r="Z49" i="28"/>
  <c r="F52" i="28"/>
  <c r="AA1" i="19"/>
  <c r="Q1" i="19"/>
  <c r="G1" i="19"/>
  <c r="C163" i="20"/>
  <c r="C164" i="20"/>
  <c r="E155" i="20"/>
  <c r="F161" i="20"/>
  <c r="G159" i="20"/>
  <c r="E161" i="20"/>
  <c r="F155" i="20"/>
  <c r="D54" i="48" l="1"/>
  <c r="D54" i="46"/>
  <c r="D54" i="42"/>
  <c r="D54" i="38"/>
  <c r="C58" i="48"/>
  <c r="C58" i="46"/>
  <c r="C58" i="42"/>
  <c r="C58" i="38"/>
  <c r="F54" i="20"/>
  <c r="E51" i="48"/>
  <c r="E51" i="46"/>
  <c r="E51" i="42"/>
  <c r="E51" i="38"/>
  <c r="F55" i="20"/>
  <c r="E52" i="48"/>
  <c r="E52" i="46"/>
  <c r="E52" i="42"/>
  <c r="E52" i="38"/>
  <c r="E53" i="48"/>
  <c r="E53" i="46"/>
  <c r="E53" i="42"/>
  <c r="E53" i="38"/>
  <c r="F56" i="20"/>
  <c r="E57" i="20"/>
  <c r="H95" i="28"/>
  <c r="H102" i="28" s="1"/>
  <c r="I63" i="15" s="1"/>
  <c r="H94" i="28"/>
  <c r="I51" i="15" s="1"/>
  <c r="F102" i="28"/>
  <c r="G63" i="15" s="1"/>
  <c r="F101" i="28"/>
  <c r="G57" i="15" s="1"/>
  <c r="I97" i="28"/>
  <c r="H99" i="28"/>
  <c r="G95" i="28"/>
  <c r="G94" i="28"/>
  <c r="H51" i="15" s="1"/>
  <c r="D102" i="28"/>
  <c r="E63" i="15" s="1"/>
  <c r="D101" i="28"/>
  <c r="E57" i="15" s="1"/>
  <c r="K93" i="28"/>
  <c r="E102" i="28"/>
  <c r="F63" i="15" s="1"/>
  <c r="E101" i="28"/>
  <c r="F57" i="15" s="1"/>
  <c r="G57" i="28"/>
  <c r="I54" i="28"/>
  <c r="H55" i="28"/>
  <c r="P49" i="28"/>
  <c r="AB52" i="28"/>
  <c r="F79" i="28"/>
  <c r="F80" i="28"/>
  <c r="F78" i="28"/>
  <c r="G52" i="28"/>
  <c r="AD1" i="28"/>
  <c r="AD90" i="28" s="1"/>
  <c r="AD77" i="29" s="1"/>
  <c r="AC110" i="28"/>
  <c r="H56" i="28"/>
  <c r="I1" i="28"/>
  <c r="I90" i="28" s="1"/>
  <c r="I77" i="29" s="1"/>
  <c r="H110" i="28"/>
  <c r="K73" i="28"/>
  <c r="J76" i="28"/>
  <c r="Q104" i="28"/>
  <c r="H69" i="28"/>
  <c r="AB104" i="28"/>
  <c r="AA49" i="28"/>
  <c r="AB66" i="28"/>
  <c r="S1" i="28"/>
  <c r="S90" i="28" s="1"/>
  <c r="S77" i="29" s="1"/>
  <c r="R110" i="28"/>
  <c r="G79" i="28"/>
  <c r="G80" i="28"/>
  <c r="G78" i="28"/>
  <c r="F49" i="28"/>
  <c r="D80" i="28"/>
  <c r="D78" i="28"/>
  <c r="D79" i="28"/>
  <c r="Q52" i="28"/>
  <c r="G104" i="28"/>
  <c r="E79" i="28"/>
  <c r="E80" i="28"/>
  <c r="E78" i="28"/>
  <c r="H1" i="19"/>
  <c r="AB1" i="19"/>
  <c r="R1" i="19"/>
  <c r="H159" i="20"/>
  <c r="G161" i="20"/>
  <c r="E54" i="48" l="1"/>
  <c r="E54" i="46"/>
  <c r="E54" i="42"/>
  <c r="E54" i="38"/>
  <c r="F53" i="48"/>
  <c r="F53" i="46"/>
  <c r="F53" i="42"/>
  <c r="F53" i="38"/>
  <c r="G56" i="20"/>
  <c r="F57" i="20"/>
  <c r="G55" i="20"/>
  <c r="F52" i="48"/>
  <c r="F52" i="46"/>
  <c r="F52" i="42"/>
  <c r="F52" i="38"/>
  <c r="G54" i="20"/>
  <c r="F51" i="48"/>
  <c r="F51" i="46"/>
  <c r="F51" i="42"/>
  <c r="F51" i="38"/>
  <c r="H155" i="20"/>
  <c r="G155" i="20"/>
  <c r="H101" i="28"/>
  <c r="I57" i="15" s="1"/>
  <c r="J97" i="28"/>
  <c r="I99" i="28"/>
  <c r="G102" i="28"/>
  <c r="H63" i="15" s="1"/>
  <c r="G101" i="28"/>
  <c r="H57" i="15" s="1"/>
  <c r="I95" i="28"/>
  <c r="I102" i="28" s="1"/>
  <c r="J63" i="15" s="1"/>
  <c r="I94" i="28"/>
  <c r="J51" i="15" s="1"/>
  <c r="L93" i="28"/>
  <c r="H57" i="28"/>
  <c r="J54" i="28"/>
  <c r="I55" i="28"/>
  <c r="R52" i="28"/>
  <c r="L73" i="28"/>
  <c r="K76" i="28"/>
  <c r="H104" i="28"/>
  <c r="AC104" i="28"/>
  <c r="AB49" i="28"/>
  <c r="R104" i="28"/>
  <c r="T1" i="28"/>
  <c r="T90" i="28" s="1"/>
  <c r="T77" i="29" s="1"/>
  <c r="S110" i="28"/>
  <c r="I69" i="28"/>
  <c r="H71" i="28"/>
  <c r="H66" i="28"/>
  <c r="H70" i="28"/>
  <c r="H52" i="28"/>
  <c r="AE1" i="28"/>
  <c r="AE90" i="28" s="1"/>
  <c r="AE77" i="29" s="1"/>
  <c r="AD110" i="28"/>
  <c r="G49" i="28"/>
  <c r="J1" i="28"/>
  <c r="J90" i="28" s="1"/>
  <c r="J77" i="29" s="1"/>
  <c r="I56" i="28"/>
  <c r="I110" i="28"/>
  <c r="AC52" i="28"/>
  <c r="R66" i="28"/>
  <c r="Q49" i="28"/>
  <c r="AC66" i="28"/>
  <c r="S1" i="19"/>
  <c r="AC1" i="19"/>
  <c r="I1" i="19"/>
  <c r="I159" i="20"/>
  <c r="H161" i="20"/>
  <c r="H54" i="20" l="1"/>
  <c r="G51" i="48"/>
  <c r="G51" i="46"/>
  <c r="G51" i="42"/>
  <c r="G51" i="38"/>
  <c r="H55" i="20"/>
  <c r="G52" i="48"/>
  <c r="G52" i="46"/>
  <c r="G52" i="42"/>
  <c r="G52" i="38"/>
  <c r="F54" i="48"/>
  <c r="F54" i="46"/>
  <c r="F54" i="42"/>
  <c r="F54" i="38"/>
  <c r="G53" i="48"/>
  <c r="G53" i="46"/>
  <c r="G53" i="42"/>
  <c r="G53" i="38"/>
  <c r="H56" i="20"/>
  <c r="G57" i="20"/>
  <c r="J94" i="28"/>
  <c r="K51" i="15" s="1"/>
  <c r="J95" i="28"/>
  <c r="J102" i="28" s="1"/>
  <c r="K63" i="15" s="1"/>
  <c r="I101" i="28"/>
  <c r="J57" i="15" s="1"/>
  <c r="M93" i="28"/>
  <c r="M95" i="28" s="1"/>
  <c r="M102" i="28" s="1"/>
  <c r="N63" i="15" s="1"/>
  <c r="M94" i="28"/>
  <c r="N51" i="15" s="1"/>
  <c r="K97" i="28"/>
  <c r="J99" i="28"/>
  <c r="I57" i="28"/>
  <c r="K54" i="28"/>
  <c r="J55" i="28"/>
  <c r="I52" i="28"/>
  <c r="AD104" i="28"/>
  <c r="J69" i="28"/>
  <c r="AC49" i="28"/>
  <c r="I70" i="28"/>
  <c r="I71" i="28"/>
  <c r="I66" i="28"/>
  <c r="J56" i="28"/>
  <c r="K1" i="28"/>
  <c r="K90" i="28" s="1"/>
  <c r="K77" i="29" s="1"/>
  <c r="J110" i="28"/>
  <c r="AD66" i="28"/>
  <c r="H49" i="28"/>
  <c r="H80" i="28"/>
  <c r="H79" i="28"/>
  <c r="H78" i="28"/>
  <c r="S52" i="28"/>
  <c r="I104" i="28"/>
  <c r="AD52" i="28"/>
  <c r="S104" i="28"/>
  <c r="M73" i="28"/>
  <c r="L76" i="28"/>
  <c r="R49" i="28"/>
  <c r="AF1" i="28"/>
  <c r="AF90" i="28" s="1"/>
  <c r="AF77" i="29" s="1"/>
  <c r="AE110" i="28"/>
  <c r="S66" i="28"/>
  <c r="U1" i="28"/>
  <c r="U90" i="28" s="1"/>
  <c r="U77" i="29" s="1"/>
  <c r="T110" i="28"/>
  <c r="J1" i="19"/>
  <c r="AD1" i="19"/>
  <c r="T1" i="19"/>
  <c r="I161" i="20"/>
  <c r="J159" i="20"/>
  <c r="G54" i="48" l="1"/>
  <c r="G54" i="46"/>
  <c r="G54" i="42"/>
  <c r="G54" i="38"/>
  <c r="H53" i="48"/>
  <c r="H53" i="46"/>
  <c r="H53" i="42"/>
  <c r="H53" i="38"/>
  <c r="I56" i="20"/>
  <c r="H57" i="20"/>
  <c r="I55" i="20"/>
  <c r="H52" i="48"/>
  <c r="H52" i="46"/>
  <c r="H52" i="42"/>
  <c r="H52" i="38"/>
  <c r="I54" i="20"/>
  <c r="H51" i="48"/>
  <c r="H51" i="46"/>
  <c r="H51" i="42"/>
  <c r="H51" i="38"/>
  <c r="I155" i="20"/>
  <c r="J155" i="20"/>
  <c r="J101" i="28"/>
  <c r="K57" i="15" s="1"/>
  <c r="K95" i="28"/>
  <c r="K102" i="28" s="1"/>
  <c r="L63" i="15" s="1"/>
  <c r="K94" i="28"/>
  <c r="L51" i="15" s="1"/>
  <c r="K99" i="28"/>
  <c r="L97" i="28"/>
  <c r="N93" i="28"/>
  <c r="N95" i="28" s="1"/>
  <c r="N102" i="28" s="1"/>
  <c r="O63" i="15" s="1"/>
  <c r="N94" i="28"/>
  <c r="O51" i="15" s="1"/>
  <c r="J57" i="28"/>
  <c r="L54" i="28"/>
  <c r="K55" i="28"/>
  <c r="V1" i="28"/>
  <c r="V90" i="28" s="1"/>
  <c r="V77" i="29" s="1"/>
  <c r="U110" i="28"/>
  <c r="AE104" i="28"/>
  <c r="J70" i="28"/>
  <c r="J71" i="28"/>
  <c r="J66" i="28"/>
  <c r="K56" i="28"/>
  <c r="L1" i="28"/>
  <c r="L90" i="28" s="1"/>
  <c r="L77" i="29" s="1"/>
  <c r="K110" i="28"/>
  <c r="I49" i="28"/>
  <c r="AF110" i="28"/>
  <c r="I80" i="28"/>
  <c r="I79" i="28"/>
  <c r="I78" i="28"/>
  <c r="T104" i="28"/>
  <c r="AE66" i="28"/>
  <c r="M76" i="28"/>
  <c r="N73" i="28"/>
  <c r="AD49" i="28"/>
  <c r="S49" i="28"/>
  <c r="T66" i="28"/>
  <c r="T52" i="28"/>
  <c r="AE52" i="28"/>
  <c r="J104" i="28"/>
  <c r="J52" i="28"/>
  <c r="K69" i="28"/>
  <c r="K1" i="19"/>
  <c r="U1" i="19"/>
  <c r="AE1" i="19"/>
  <c r="J161" i="20"/>
  <c r="K159" i="20"/>
  <c r="K101" i="28" l="1"/>
  <c r="L57" i="15" s="1"/>
  <c r="J54" i="20"/>
  <c r="I51" i="48"/>
  <c r="I51" i="46"/>
  <c r="I51" i="42"/>
  <c r="I51" i="38"/>
  <c r="J55" i="20"/>
  <c r="I52" i="46"/>
  <c r="I52" i="48"/>
  <c r="I52" i="42"/>
  <c r="I52" i="38"/>
  <c r="H54" i="48"/>
  <c r="H54" i="46"/>
  <c r="H54" i="42"/>
  <c r="H54" i="38"/>
  <c r="I53" i="48"/>
  <c r="I53" i="46"/>
  <c r="I53" i="42"/>
  <c r="I53" i="38"/>
  <c r="J56" i="20"/>
  <c r="I57" i="20"/>
  <c r="O93" i="28"/>
  <c r="O95" i="28" s="1"/>
  <c r="O102" i="28" s="1"/>
  <c r="P63" i="15" s="1"/>
  <c r="O94" i="28"/>
  <c r="P51" i="15" s="1"/>
  <c r="L95" i="28"/>
  <c r="L102" i="28" s="1"/>
  <c r="M63" i="15" s="1"/>
  <c r="L94" i="28"/>
  <c r="M51" i="15" s="1"/>
  <c r="M97" i="28"/>
  <c r="L99" i="28"/>
  <c r="K57" i="28"/>
  <c r="M54" i="28"/>
  <c r="M56" i="28" s="1"/>
  <c r="L55" i="28"/>
  <c r="AE49" i="28"/>
  <c r="L56" i="28"/>
  <c r="L110" i="28"/>
  <c r="U66" i="28"/>
  <c r="AF104" i="28"/>
  <c r="AF52" i="28"/>
  <c r="U104" i="28"/>
  <c r="V110" i="28"/>
  <c r="J49" i="28"/>
  <c r="T49" i="28"/>
  <c r="K71" i="28"/>
  <c r="K70" i="28"/>
  <c r="K66" i="28"/>
  <c r="K52" i="28"/>
  <c r="J79" i="28"/>
  <c r="J80" i="28"/>
  <c r="J78" i="28"/>
  <c r="AF66" i="28"/>
  <c r="K104" i="28"/>
  <c r="L69" i="28"/>
  <c r="N76" i="28"/>
  <c r="O73" i="28"/>
  <c r="U52" i="28"/>
  <c r="L1" i="19"/>
  <c r="AF1" i="19"/>
  <c r="V1" i="19"/>
  <c r="L159" i="20"/>
  <c r="K161" i="20"/>
  <c r="I54" i="48" l="1"/>
  <c r="I54" i="46"/>
  <c r="I54" i="42"/>
  <c r="I54" i="38"/>
  <c r="J53" i="46"/>
  <c r="J53" i="48"/>
  <c r="J53" i="42"/>
  <c r="J53" i="38"/>
  <c r="K56" i="20"/>
  <c r="J57" i="20"/>
  <c r="K55" i="20"/>
  <c r="J52" i="48"/>
  <c r="J52" i="46"/>
  <c r="J52" i="42"/>
  <c r="J52" i="38"/>
  <c r="K54" i="20"/>
  <c r="J51" i="48"/>
  <c r="J51" i="46"/>
  <c r="J51" i="42"/>
  <c r="J51" i="38"/>
  <c r="K155" i="20"/>
  <c r="L101" i="28"/>
  <c r="M57" i="15" s="1"/>
  <c r="N97" i="28"/>
  <c r="M101" i="28"/>
  <c r="N57" i="15" s="1"/>
  <c r="M99" i="28"/>
  <c r="P93" i="28"/>
  <c r="P95" i="28" s="1"/>
  <c r="P102" i="28" s="1"/>
  <c r="Q63" i="15" s="1"/>
  <c r="P94" i="28"/>
  <c r="Q51" i="15" s="1"/>
  <c r="L57" i="28"/>
  <c r="N54" i="28"/>
  <c r="N56" i="28" s="1"/>
  <c r="M55" i="28"/>
  <c r="M57" i="28" s="1"/>
  <c r="M69" i="28"/>
  <c r="M71" i="28" s="1"/>
  <c r="M70" i="28"/>
  <c r="V52" i="28"/>
  <c r="L104" i="28"/>
  <c r="K49" i="28"/>
  <c r="K79" i="28"/>
  <c r="K80" i="28"/>
  <c r="K78" i="28"/>
  <c r="V66" i="28"/>
  <c r="AF49" i="28"/>
  <c r="U49" i="28"/>
  <c r="P73" i="28"/>
  <c r="O76" i="28"/>
  <c r="V104" i="28"/>
  <c r="L71" i="28"/>
  <c r="L70" i="28"/>
  <c r="L66" i="28"/>
  <c r="L52" i="28"/>
  <c r="M159" i="20"/>
  <c r="L161" i="20"/>
  <c r="L54" i="20" l="1"/>
  <c r="K51" i="48"/>
  <c r="K51" i="46"/>
  <c r="K51" i="42"/>
  <c r="K51" i="38"/>
  <c r="L55" i="20"/>
  <c r="K52" i="48"/>
  <c r="K52" i="46"/>
  <c r="K52" i="42"/>
  <c r="K52" i="38"/>
  <c r="J54" i="48"/>
  <c r="J54" i="46"/>
  <c r="J54" i="42"/>
  <c r="J54" i="38"/>
  <c r="K53" i="48"/>
  <c r="K53" i="46"/>
  <c r="K53" i="42"/>
  <c r="K53" i="38"/>
  <c r="L56" i="20"/>
  <c r="K57" i="20"/>
  <c r="L155" i="20"/>
  <c r="Q93" i="28"/>
  <c r="Q95" i="28" s="1"/>
  <c r="Q102" i="28" s="1"/>
  <c r="R63" i="15" s="1"/>
  <c r="Q94" i="28"/>
  <c r="R51" i="15" s="1"/>
  <c r="O97" i="28"/>
  <c r="N101" i="28"/>
  <c r="O57" i="15" s="1"/>
  <c r="N99" i="28"/>
  <c r="O54" i="28"/>
  <c r="O56" i="28" s="1"/>
  <c r="N55" i="28"/>
  <c r="N57" i="28" s="1"/>
  <c r="M79" i="28"/>
  <c r="M80" i="28"/>
  <c r="M78" i="28"/>
  <c r="L80" i="28"/>
  <c r="L79" i="28"/>
  <c r="L78" i="28"/>
  <c r="L49" i="28"/>
  <c r="V49" i="28"/>
  <c r="Q73" i="28"/>
  <c r="P76" i="28"/>
  <c r="N69" i="28"/>
  <c r="N71" i="28" s="1"/>
  <c r="N70" i="28"/>
  <c r="M161" i="20"/>
  <c r="N159" i="20"/>
  <c r="K54" i="46" l="1"/>
  <c r="K54" i="48"/>
  <c r="K54" i="42"/>
  <c r="K54" i="38"/>
  <c r="L53" i="48"/>
  <c r="L53" i="46"/>
  <c r="L53" i="42"/>
  <c r="L53" i="38"/>
  <c r="M56" i="20"/>
  <c r="L57" i="20"/>
  <c r="M55" i="20"/>
  <c r="L52" i="48"/>
  <c r="L52" i="46"/>
  <c r="L52" i="42"/>
  <c r="L52" i="38"/>
  <c r="M54" i="20"/>
  <c r="L51" i="46"/>
  <c r="L51" i="48"/>
  <c r="L51" i="42"/>
  <c r="L51" i="38"/>
  <c r="M155" i="20"/>
  <c r="O99" i="28"/>
  <c r="P97" i="28"/>
  <c r="O101" i="28"/>
  <c r="P57" i="15" s="1"/>
  <c r="R93" i="28"/>
  <c r="R95" i="28" s="1"/>
  <c r="R102" i="28" s="1"/>
  <c r="S63" i="15" s="1"/>
  <c r="R94" i="28"/>
  <c r="S51" i="15" s="1"/>
  <c r="P54" i="28"/>
  <c r="P56" i="28" s="1"/>
  <c r="O55" i="28"/>
  <c r="O57" i="28" s="1"/>
  <c r="N79" i="28"/>
  <c r="N80" i="28"/>
  <c r="N78" i="28"/>
  <c r="O69" i="28"/>
  <c r="O71" i="28" s="1"/>
  <c r="O70" i="28"/>
  <c r="Q76" i="28"/>
  <c r="R73" i="28"/>
  <c r="N161" i="20"/>
  <c r="O159" i="20"/>
  <c r="N54" i="20" l="1"/>
  <c r="M51" i="48"/>
  <c r="M51" i="46"/>
  <c r="M51" i="42"/>
  <c r="M51" i="38"/>
  <c r="M58" i="20"/>
  <c r="N55" i="20"/>
  <c r="M52" i="46"/>
  <c r="M52" i="48"/>
  <c r="M52" i="42"/>
  <c r="M52" i="38"/>
  <c r="M59" i="20"/>
  <c r="L54" i="48"/>
  <c r="L54" i="46"/>
  <c r="L54" i="42"/>
  <c r="L54" i="38"/>
  <c r="M53" i="48"/>
  <c r="M53" i="46"/>
  <c r="M53" i="42"/>
  <c r="M53" i="38"/>
  <c r="M57" i="20"/>
  <c r="M60" i="20"/>
  <c r="N56" i="20"/>
  <c r="N155" i="20"/>
  <c r="Q97" i="28"/>
  <c r="P101" i="28"/>
  <c r="Q57" i="15" s="1"/>
  <c r="P99" i="28"/>
  <c r="S93" i="28"/>
  <c r="S95" i="28" s="1"/>
  <c r="S102" i="28" s="1"/>
  <c r="T63" i="15" s="1"/>
  <c r="S94" i="28"/>
  <c r="T51" i="15" s="1"/>
  <c r="Q54" i="28"/>
  <c r="Q56" i="28" s="1"/>
  <c r="P55" i="28"/>
  <c r="P57" i="28" s="1"/>
  <c r="O79" i="28"/>
  <c r="O80" i="28"/>
  <c r="O78" i="28"/>
  <c r="P69" i="28"/>
  <c r="P71" i="28" s="1"/>
  <c r="P70" i="28"/>
  <c r="S73" i="28"/>
  <c r="R76" i="28"/>
  <c r="P159" i="20"/>
  <c r="O161" i="20"/>
  <c r="M56" i="46" l="1"/>
  <c r="M56" i="48"/>
  <c r="M56" i="42"/>
  <c r="M56" i="38"/>
  <c r="N53" i="46"/>
  <c r="N53" i="48"/>
  <c r="N53" i="42"/>
  <c r="N53" i="38"/>
  <c r="O56" i="20"/>
  <c r="N57" i="20"/>
  <c r="O55" i="20"/>
  <c r="N52" i="48"/>
  <c r="N52" i="46"/>
  <c r="N52" i="42"/>
  <c r="N52" i="38"/>
  <c r="M57" i="48"/>
  <c r="M57" i="46"/>
  <c r="M57" i="42"/>
  <c r="M57" i="38"/>
  <c r="M55" i="48"/>
  <c r="M55" i="46"/>
  <c r="M55" i="42"/>
  <c r="M55" i="38"/>
  <c r="M61" i="20"/>
  <c r="M54" i="48"/>
  <c r="M54" i="46"/>
  <c r="M54" i="42"/>
  <c r="M54" i="38"/>
  <c r="O54" i="20"/>
  <c r="N51" i="48"/>
  <c r="N51" i="46"/>
  <c r="N51" i="42"/>
  <c r="N51" i="38"/>
  <c r="O155" i="20"/>
  <c r="T93" i="28"/>
  <c r="T95" i="28" s="1"/>
  <c r="T102" i="28" s="1"/>
  <c r="U63" i="15" s="1"/>
  <c r="T94" i="28"/>
  <c r="U51" i="15" s="1"/>
  <c r="R97" i="28"/>
  <c r="Q101" i="28"/>
  <c r="R57" i="15" s="1"/>
  <c r="Q99" i="28"/>
  <c r="R54" i="28"/>
  <c r="R56" i="28" s="1"/>
  <c r="Q55" i="28"/>
  <c r="Q57" i="28" s="1"/>
  <c r="Q69" i="28"/>
  <c r="Q71" i="28" s="1"/>
  <c r="Q70" i="28"/>
  <c r="P80" i="28"/>
  <c r="P79" i="28"/>
  <c r="P78" i="28"/>
  <c r="T73" i="28"/>
  <c r="S76" i="28"/>
  <c r="Q159" i="20"/>
  <c r="P161" i="20"/>
  <c r="P55" i="20" l="1"/>
  <c r="O52" i="48"/>
  <c r="O52" i="46"/>
  <c r="O52" i="42"/>
  <c r="O52" i="38"/>
  <c r="N54" i="48"/>
  <c r="N54" i="46"/>
  <c r="N54" i="42"/>
  <c r="N54" i="38"/>
  <c r="M58" i="48"/>
  <c r="M58" i="46"/>
  <c r="M58" i="42"/>
  <c r="M58" i="38"/>
  <c r="P54" i="20"/>
  <c r="O51" i="48"/>
  <c r="O51" i="46"/>
  <c r="O51" i="42"/>
  <c r="O51" i="38"/>
  <c r="O53" i="48"/>
  <c r="O53" i="46"/>
  <c r="O53" i="42"/>
  <c r="O53" i="38"/>
  <c r="P56" i="20"/>
  <c r="O57" i="20"/>
  <c r="P155" i="20"/>
  <c r="U93" i="28"/>
  <c r="U95" i="28" s="1"/>
  <c r="U102" i="28" s="1"/>
  <c r="V63" i="15" s="1"/>
  <c r="U94" i="28"/>
  <c r="V51" i="15" s="1"/>
  <c r="S97" i="28"/>
  <c r="R101" i="28"/>
  <c r="S57" i="15" s="1"/>
  <c r="R99" i="28"/>
  <c r="S54" i="28"/>
  <c r="S56" i="28" s="1"/>
  <c r="R55" i="28"/>
  <c r="R57" i="28" s="1"/>
  <c r="U73" i="28"/>
  <c r="T76" i="28"/>
  <c r="R69" i="28"/>
  <c r="R71" i="28" s="1"/>
  <c r="R70" i="28"/>
  <c r="Q80" i="28"/>
  <c r="Q79" i="28"/>
  <c r="Q78" i="28"/>
  <c r="Q161" i="20"/>
  <c r="R159" i="20"/>
  <c r="O54" i="46" l="1"/>
  <c r="O54" i="48"/>
  <c r="O54" i="42"/>
  <c r="O54" i="38"/>
  <c r="P53" i="48"/>
  <c r="P53" i="46"/>
  <c r="P53" i="42"/>
  <c r="P53" i="38"/>
  <c r="Q56" i="20"/>
  <c r="P57" i="20"/>
  <c r="Q54" i="20"/>
  <c r="P51" i="46"/>
  <c r="P51" i="48"/>
  <c r="P51" i="42"/>
  <c r="P51" i="38"/>
  <c r="Q55" i="20"/>
  <c r="P52" i="48"/>
  <c r="P52" i="46"/>
  <c r="P52" i="42"/>
  <c r="P52" i="38"/>
  <c r="Q155" i="20"/>
  <c r="V93" i="28"/>
  <c r="V95" i="28" s="1"/>
  <c r="V102" i="28" s="1"/>
  <c r="W63" i="15" s="1"/>
  <c r="V94" i="28"/>
  <c r="W51" i="15" s="1"/>
  <c r="S99" i="28"/>
  <c r="S101" i="28"/>
  <c r="T57" i="15" s="1"/>
  <c r="T97" i="28"/>
  <c r="T54" i="28"/>
  <c r="T56" i="28" s="1"/>
  <c r="S55" i="28"/>
  <c r="S57" i="28" s="1"/>
  <c r="R79" i="28"/>
  <c r="R80" i="28"/>
  <c r="R78" i="28"/>
  <c r="U76" i="28"/>
  <c r="V73" i="28"/>
  <c r="S69" i="28"/>
  <c r="S71" i="28" s="1"/>
  <c r="S70" i="28"/>
  <c r="R161" i="20"/>
  <c r="S159" i="20"/>
  <c r="R55" i="20" l="1"/>
  <c r="Q52" i="48"/>
  <c r="Q52" i="46"/>
  <c r="Q52" i="42"/>
  <c r="Q52" i="38"/>
  <c r="R54" i="20"/>
  <c r="Q51" i="48"/>
  <c r="Q51" i="46"/>
  <c r="Q51" i="42"/>
  <c r="Q51" i="38"/>
  <c r="P54" i="48"/>
  <c r="P54" i="46"/>
  <c r="P54" i="42"/>
  <c r="P54" i="38"/>
  <c r="Q53" i="48"/>
  <c r="Q53" i="46"/>
  <c r="Q53" i="42"/>
  <c r="Q53" i="38"/>
  <c r="R56" i="20"/>
  <c r="Q57" i="20"/>
  <c r="R155" i="20"/>
  <c r="U97" i="28"/>
  <c r="T101" i="28"/>
  <c r="U57" i="15" s="1"/>
  <c r="T99" i="28"/>
  <c r="W93" i="28"/>
  <c r="W95" i="28" s="1"/>
  <c r="W102" i="28" s="1"/>
  <c r="X63" i="15" s="1"/>
  <c r="W94" i="28"/>
  <c r="X51" i="15" s="1"/>
  <c r="U54" i="28"/>
  <c r="U56" i="28" s="1"/>
  <c r="T55" i="28"/>
  <c r="T57" i="28" s="1"/>
  <c r="T69" i="28"/>
  <c r="T71" i="28" s="1"/>
  <c r="T70" i="28"/>
  <c r="V76" i="28"/>
  <c r="W73" i="28"/>
  <c r="S79" i="28"/>
  <c r="S80" i="28"/>
  <c r="S78" i="28"/>
  <c r="T159" i="20"/>
  <c r="S161" i="20"/>
  <c r="Q54" i="48" l="1"/>
  <c r="Q54" i="46"/>
  <c r="Q54" i="42"/>
  <c r="Q54" i="38"/>
  <c r="R53" i="48"/>
  <c r="R53" i="46"/>
  <c r="R53" i="42"/>
  <c r="R53" i="38"/>
  <c r="S56" i="20"/>
  <c r="R57" i="20"/>
  <c r="S54" i="20"/>
  <c r="R51" i="48"/>
  <c r="R51" i="46"/>
  <c r="R51" i="42"/>
  <c r="R51" i="38"/>
  <c r="S55" i="20"/>
  <c r="R52" i="48"/>
  <c r="R52" i="46"/>
  <c r="R52" i="42"/>
  <c r="R52" i="38"/>
  <c r="S155" i="20"/>
  <c r="X93" i="28"/>
  <c r="X95" i="28" s="1"/>
  <c r="X102" i="28" s="1"/>
  <c r="Y63" i="15" s="1"/>
  <c r="X94" i="28"/>
  <c r="Y51" i="15" s="1"/>
  <c r="V97" i="28"/>
  <c r="U101" i="28"/>
  <c r="V57" i="15" s="1"/>
  <c r="U99" i="28"/>
  <c r="V54" i="28"/>
  <c r="V56" i="28" s="1"/>
  <c r="U55" i="28"/>
  <c r="U57" i="28" s="1"/>
  <c r="U69" i="28"/>
  <c r="U71" i="28" s="1"/>
  <c r="U70" i="28"/>
  <c r="T80" i="28"/>
  <c r="T79" i="28"/>
  <c r="T78" i="28"/>
  <c r="X73" i="28"/>
  <c r="W76" i="28"/>
  <c r="U159" i="20"/>
  <c r="T161" i="20"/>
  <c r="T54" i="20" l="1"/>
  <c r="S51" i="48"/>
  <c r="S51" i="46"/>
  <c r="S51" i="42"/>
  <c r="S51" i="38"/>
  <c r="T55" i="20"/>
  <c r="S52" i="48"/>
  <c r="S52" i="46"/>
  <c r="S52" i="42"/>
  <c r="S52" i="38"/>
  <c r="R54" i="48"/>
  <c r="R54" i="46"/>
  <c r="R54" i="42"/>
  <c r="R54" i="38"/>
  <c r="S53" i="48"/>
  <c r="S53" i="46"/>
  <c r="S53" i="42"/>
  <c r="S53" i="38"/>
  <c r="S57" i="20"/>
  <c r="T56" i="20"/>
  <c r="T155" i="20"/>
  <c r="W97" i="28"/>
  <c r="V101" i="28"/>
  <c r="W57" i="15" s="1"/>
  <c r="V99" i="28"/>
  <c r="Y93" i="28"/>
  <c r="Y95" i="28" s="1"/>
  <c r="Y102" i="28" s="1"/>
  <c r="Z63" i="15" s="1"/>
  <c r="Y94" i="28"/>
  <c r="Z51" i="15" s="1"/>
  <c r="W54" i="28"/>
  <c r="W56" i="28" s="1"/>
  <c r="V55" i="28"/>
  <c r="V57" i="28" s="1"/>
  <c r="U79" i="28"/>
  <c r="U80" i="28"/>
  <c r="U78" i="28"/>
  <c r="Y73" i="28"/>
  <c r="X76" i="28"/>
  <c r="V69" i="28"/>
  <c r="V71" i="28" s="1"/>
  <c r="V70" i="28"/>
  <c r="U161" i="20"/>
  <c r="V159" i="20"/>
  <c r="S54" i="48" l="1"/>
  <c r="S54" i="46"/>
  <c r="S54" i="42"/>
  <c r="S54" i="38"/>
  <c r="U55" i="20"/>
  <c r="T52" i="48"/>
  <c r="T52" i="46"/>
  <c r="T52" i="42"/>
  <c r="T52" i="38"/>
  <c r="T53" i="48"/>
  <c r="T53" i="46"/>
  <c r="T53" i="42"/>
  <c r="T53" i="38"/>
  <c r="U56" i="20"/>
  <c r="T57" i="20"/>
  <c r="U54" i="20"/>
  <c r="T51" i="48"/>
  <c r="T51" i="46"/>
  <c r="T51" i="42"/>
  <c r="T51" i="38"/>
  <c r="U155" i="20"/>
  <c r="Z93" i="28"/>
  <c r="Z95" i="28" s="1"/>
  <c r="Z102" i="28" s="1"/>
  <c r="AA63" i="15" s="1"/>
  <c r="Z94" i="28"/>
  <c r="AA51" i="15" s="1"/>
  <c r="W99" i="28"/>
  <c r="X97" i="28"/>
  <c r="W101" i="28"/>
  <c r="X57" i="15" s="1"/>
  <c r="X54" i="28"/>
  <c r="X56" i="28" s="1"/>
  <c r="W55" i="28"/>
  <c r="W57" i="28" s="1"/>
  <c r="V79" i="28"/>
  <c r="V80" i="28"/>
  <c r="V78" i="28"/>
  <c r="W69" i="28"/>
  <c r="W71" i="28" s="1"/>
  <c r="W70" i="28"/>
  <c r="Y76" i="28"/>
  <c r="Z73" i="28"/>
  <c r="V161" i="20"/>
  <c r="W159" i="20"/>
  <c r="V54" i="20" l="1"/>
  <c r="U51" i="48"/>
  <c r="U51" i="46"/>
  <c r="U51" i="42"/>
  <c r="U51" i="38"/>
  <c r="T54" i="48"/>
  <c r="T54" i="46"/>
  <c r="T54" i="42"/>
  <c r="T54" i="38"/>
  <c r="U53" i="48"/>
  <c r="U53" i="46"/>
  <c r="U53" i="42"/>
  <c r="U53" i="38"/>
  <c r="V56" i="20"/>
  <c r="U57" i="20"/>
  <c r="V55" i="20"/>
  <c r="U52" i="48"/>
  <c r="U52" i="46"/>
  <c r="U52" i="42"/>
  <c r="U52" i="38"/>
  <c r="V155" i="20"/>
  <c r="Y97" i="28"/>
  <c r="X101" i="28"/>
  <c r="Y57" i="15" s="1"/>
  <c r="X99" i="28"/>
  <c r="AA93" i="28"/>
  <c r="AA95" i="28" s="1"/>
  <c r="AA102" i="28" s="1"/>
  <c r="AB63" i="15" s="1"/>
  <c r="AA94" i="28"/>
  <c r="AB51" i="15" s="1"/>
  <c r="Y54" i="28"/>
  <c r="Y56" i="28" s="1"/>
  <c r="X55" i="28"/>
  <c r="X57" i="28" s="1"/>
  <c r="AA73" i="28"/>
  <c r="Z76" i="28"/>
  <c r="X69" i="28"/>
  <c r="X71" i="28" s="1"/>
  <c r="X70" i="28"/>
  <c r="W79" i="28"/>
  <c r="W80" i="28"/>
  <c r="W78" i="28"/>
  <c r="X159" i="20"/>
  <c r="W161" i="20"/>
  <c r="W55" i="20" l="1"/>
  <c r="V52" i="48"/>
  <c r="V52" i="46"/>
  <c r="V52" i="42"/>
  <c r="V52" i="38"/>
  <c r="U54" i="48"/>
  <c r="U54" i="46"/>
  <c r="U54" i="42"/>
  <c r="U54" i="38"/>
  <c r="V53" i="48"/>
  <c r="V53" i="46"/>
  <c r="V53" i="42"/>
  <c r="V53" i="38"/>
  <c r="W56" i="20"/>
  <c r="V57" i="20"/>
  <c r="W54" i="20"/>
  <c r="V51" i="48"/>
  <c r="V51" i="46"/>
  <c r="V51" i="42"/>
  <c r="V51" i="38"/>
  <c r="W155" i="20"/>
  <c r="AB93" i="28"/>
  <c r="AB95" i="28" s="1"/>
  <c r="AB102" i="28" s="1"/>
  <c r="AC63" i="15" s="1"/>
  <c r="AB94" i="28"/>
  <c r="AC51" i="15" s="1"/>
  <c r="Z97" i="28"/>
  <c r="Y101" i="28"/>
  <c r="Z57" i="15" s="1"/>
  <c r="Y99" i="28"/>
  <c r="Z54" i="28"/>
  <c r="Z56" i="28" s="1"/>
  <c r="Y55" i="28"/>
  <c r="Y57" i="28" s="1"/>
  <c r="X80" i="28"/>
  <c r="X79" i="28"/>
  <c r="X78" i="28"/>
  <c r="Y69" i="28"/>
  <c r="Y71" i="28" s="1"/>
  <c r="Y70" i="28"/>
  <c r="AB73" i="28"/>
  <c r="AA76" i="28"/>
  <c r="Y159" i="20"/>
  <c r="X161" i="20"/>
  <c r="X54" i="20" l="1"/>
  <c r="W51" i="48"/>
  <c r="W51" i="46"/>
  <c r="W51" i="42"/>
  <c r="W51" i="38"/>
  <c r="W58" i="20"/>
  <c r="V54" i="48"/>
  <c r="V54" i="46"/>
  <c r="V54" i="42"/>
  <c r="V54" i="38"/>
  <c r="W53" i="48"/>
  <c r="W53" i="46"/>
  <c r="W53" i="42"/>
  <c r="W53" i="38"/>
  <c r="W57" i="20"/>
  <c r="X56" i="20"/>
  <c r="W60" i="20"/>
  <c r="X55" i="20"/>
  <c r="W52" i="48"/>
  <c r="W52" i="46"/>
  <c r="W52" i="42"/>
  <c r="W52" i="38"/>
  <c r="W59" i="20"/>
  <c r="X155" i="20"/>
  <c r="AC93" i="28"/>
  <c r="AC95" i="28" s="1"/>
  <c r="AC102" i="28" s="1"/>
  <c r="AD63" i="15" s="1"/>
  <c r="AC94" i="28"/>
  <c r="AD51" i="15" s="1"/>
  <c r="AA97" i="28"/>
  <c r="Z101" i="28"/>
  <c r="AA57" i="15" s="1"/>
  <c r="Z99" i="28"/>
  <c r="AA54" i="28"/>
  <c r="AA56" i="28" s="1"/>
  <c r="Z55" i="28"/>
  <c r="Z57" i="28" s="1"/>
  <c r="Z69" i="28"/>
  <c r="Z71" i="28" s="1"/>
  <c r="Z70" i="28"/>
  <c r="Y80" i="28"/>
  <c r="Y79" i="28"/>
  <c r="Y78" i="28"/>
  <c r="AC73" i="28"/>
  <c r="AB76" i="28"/>
  <c r="Y161" i="20"/>
  <c r="Z159" i="20"/>
  <c r="AG152" i="20"/>
  <c r="C152" i="20"/>
  <c r="C113" i="20"/>
  <c r="D111" i="20"/>
  <c r="E111" i="20" s="1"/>
  <c r="F111" i="20" s="1"/>
  <c r="G111" i="20" s="1"/>
  <c r="H111" i="20" s="1"/>
  <c r="I111" i="20" s="1"/>
  <c r="J111" i="20" s="1"/>
  <c r="K111" i="20" s="1"/>
  <c r="L111" i="20" s="1"/>
  <c r="M111" i="20" s="1"/>
  <c r="N111" i="20" s="1"/>
  <c r="O111" i="20" s="1"/>
  <c r="P111" i="20" s="1"/>
  <c r="Q111" i="20" s="1"/>
  <c r="R111" i="20" s="1"/>
  <c r="S111" i="20" s="1"/>
  <c r="T111" i="20" s="1"/>
  <c r="U111" i="20" s="1"/>
  <c r="V111" i="20" s="1"/>
  <c r="W111" i="20" s="1"/>
  <c r="X111" i="20" s="1"/>
  <c r="Y111" i="20" s="1"/>
  <c r="Z111" i="20" s="1"/>
  <c r="AA111" i="20" s="1"/>
  <c r="AB111" i="20" s="1"/>
  <c r="AC111" i="20" s="1"/>
  <c r="AD111" i="20" s="1"/>
  <c r="AE111" i="20" s="1"/>
  <c r="AF111" i="20" s="1"/>
  <c r="AG111" i="20" s="1"/>
  <c r="D112" i="20"/>
  <c r="E112" i="20" s="1"/>
  <c r="F112" i="20" s="1"/>
  <c r="G112" i="20" s="1"/>
  <c r="H112" i="20" s="1"/>
  <c r="I112" i="20" s="1"/>
  <c r="J112" i="20" s="1"/>
  <c r="K112" i="20" s="1"/>
  <c r="L112" i="20" s="1"/>
  <c r="M112" i="20" s="1"/>
  <c r="N112" i="20" s="1"/>
  <c r="O112" i="20" s="1"/>
  <c r="P112" i="20" s="1"/>
  <c r="Q112" i="20" s="1"/>
  <c r="R112" i="20" s="1"/>
  <c r="S112" i="20" s="1"/>
  <c r="T112" i="20" s="1"/>
  <c r="U112" i="20" s="1"/>
  <c r="V112" i="20" s="1"/>
  <c r="W112" i="20" s="1"/>
  <c r="X112" i="20" s="1"/>
  <c r="Y112" i="20" s="1"/>
  <c r="Z112" i="20" s="1"/>
  <c r="AA112" i="20" s="1"/>
  <c r="AB112" i="20" s="1"/>
  <c r="AC112" i="20" s="1"/>
  <c r="AD112" i="20" s="1"/>
  <c r="AE112" i="20" s="1"/>
  <c r="AF112" i="20" s="1"/>
  <c r="AG112" i="20" s="1"/>
  <c r="D110" i="20"/>
  <c r="AG103" i="20"/>
  <c r="C103" i="20"/>
  <c r="AG107" i="20"/>
  <c r="C107" i="20"/>
  <c r="AG106" i="20"/>
  <c r="AG108" i="20" s="1"/>
  <c r="C106" i="20"/>
  <c r="C108" i="20" s="1"/>
  <c r="D105" i="20" s="1"/>
  <c r="E105" i="20" s="1"/>
  <c r="F105" i="20" s="1"/>
  <c r="G105" i="20" s="1"/>
  <c r="H105" i="20" s="1"/>
  <c r="I105" i="20" s="1"/>
  <c r="J105" i="20" s="1"/>
  <c r="K105" i="20" s="1"/>
  <c r="L105" i="20" s="1"/>
  <c r="M105" i="20" s="1"/>
  <c r="N105" i="20" s="1"/>
  <c r="O105" i="20" s="1"/>
  <c r="P105" i="20" s="1"/>
  <c r="Q105" i="20" s="1"/>
  <c r="R105" i="20" s="1"/>
  <c r="S105" i="20" s="1"/>
  <c r="T105" i="20" s="1"/>
  <c r="U105" i="20" s="1"/>
  <c r="V105" i="20" s="1"/>
  <c r="W105" i="20" s="1"/>
  <c r="X105" i="20" s="1"/>
  <c r="Y105" i="20" s="1"/>
  <c r="Z105" i="20" s="1"/>
  <c r="AA105" i="20" s="1"/>
  <c r="AB105" i="20" s="1"/>
  <c r="AC105" i="20" s="1"/>
  <c r="AD105" i="20" s="1"/>
  <c r="AE105" i="20" s="1"/>
  <c r="AF105" i="20" s="1"/>
  <c r="M52" i="20"/>
  <c r="W52" i="20"/>
  <c r="C52" i="20"/>
  <c r="D106" i="20" l="1"/>
  <c r="W61" i="20"/>
  <c r="W54" i="48"/>
  <c r="W54" i="46"/>
  <c r="W54" i="42"/>
  <c r="W54" i="38"/>
  <c r="Y55" i="20"/>
  <c r="X52" i="48"/>
  <c r="X52" i="46"/>
  <c r="X52" i="42"/>
  <c r="X52" i="38"/>
  <c r="W55" i="48"/>
  <c r="W55" i="46"/>
  <c r="W55" i="42"/>
  <c r="W55" i="38"/>
  <c r="X53" i="48"/>
  <c r="X53" i="46"/>
  <c r="X53" i="42"/>
  <c r="X53" i="38"/>
  <c r="Y56" i="20"/>
  <c r="X57" i="20"/>
  <c r="W56" i="48"/>
  <c r="W56" i="46"/>
  <c r="W56" i="42"/>
  <c r="W56" i="38"/>
  <c r="W57" i="48"/>
  <c r="W57" i="46"/>
  <c r="W57" i="42"/>
  <c r="W57" i="38"/>
  <c r="Y54" i="20"/>
  <c r="X51" i="48"/>
  <c r="X51" i="46"/>
  <c r="X51" i="42"/>
  <c r="X51" i="38"/>
  <c r="Y155" i="20"/>
  <c r="C115" i="20"/>
  <c r="AA99" i="28"/>
  <c r="AB97" i="28"/>
  <c r="AA101" i="28"/>
  <c r="AB57" i="15" s="1"/>
  <c r="AD93" i="28"/>
  <c r="AD95" i="28" s="1"/>
  <c r="AD102" i="28" s="1"/>
  <c r="AE63" i="15" s="1"/>
  <c r="AD94" i="28"/>
  <c r="AE51" i="15" s="1"/>
  <c r="AB54" i="28"/>
  <c r="AB56" i="28" s="1"/>
  <c r="AA55" i="28"/>
  <c r="AA57" i="28" s="1"/>
  <c r="AC76" i="28"/>
  <c r="AD73" i="28"/>
  <c r="Z79" i="28"/>
  <c r="Z80" i="28"/>
  <c r="Z78" i="28"/>
  <c r="AA69" i="28"/>
  <c r="AA71" i="28" s="1"/>
  <c r="AA70" i="28"/>
  <c r="W49" i="20"/>
  <c r="M49" i="20"/>
  <c r="M152" i="20"/>
  <c r="Z161" i="20"/>
  <c r="AA159" i="20"/>
  <c r="AG117" i="20"/>
  <c r="D113" i="20"/>
  <c r="AG116" i="20"/>
  <c r="C116" i="20"/>
  <c r="C117" i="20"/>
  <c r="E110" i="20"/>
  <c r="C49" i="20"/>
  <c r="AG49" i="20"/>
  <c r="E106" i="20"/>
  <c r="X54" i="48" l="1"/>
  <c r="X54" i="46"/>
  <c r="X54" i="42"/>
  <c r="X54" i="38"/>
  <c r="Z55" i="20"/>
  <c r="Y52" i="46"/>
  <c r="Y52" i="48"/>
  <c r="Y52" i="42"/>
  <c r="Y52" i="38"/>
  <c r="Y53" i="48"/>
  <c r="Y53" i="46"/>
  <c r="Y53" i="42"/>
  <c r="Y53" i="38"/>
  <c r="Z56" i="20"/>
  <c r="Y57" i="20"/>
  <c r="Z54" i="20"/>
  <c r="Y51" i="48"/>
  <c r="Y51" i="46"/>
  <c r="Y51" i="42"/>
  <c r="Y51" i="38"/>
  <c r="W58" i="48"/>
  <c r="W58" i="46"/>
  <c r="W58" i="42"/>
  <c r="W58" i="38"/>
  <c r="W205" i="20"/>
  <c r="M205" i="20"/>
  <c r="Z155" i="20"/>
  <c r="W103" i="20"/>
  <c r="M103" i="20"/>
  <c r="E113" i="20"/>
  <c r="AE93" i="28"/>
  <c r="AE95" i="28" s="1"/>
  <c r="AE102" i="28" s="1"/>
  <c r="AF63" i="15" s="1"/>
  <c r="AE94" i="28"/>
  <c r="AF51" i="15" s="1"/>
  <c r="AC97" i="28"/>
  <c r="AB101" i="28"/>
  <c r="AC57" i="15" s="1"/>
  <c r="AB99" i="28"/>
  <c r="AC54" i="28"/>
  <c r="AC56" i="28" s="1"/>
  <c r="AB55" i="28"/>
  <c r="AB57" i="28" s="1"/>
  <c r="AB69" i="28"/>
  <c r="AB71" i="28" s="1"/>
  <c r="AB70" i="28"/>
  <c r="AD76" i="28"/>
  <c r="AE73" i="28"/>
  <c r="AA79" i="28"/>
  <c r="AA80" i="28"/>
  <c r="AA78" i="28"/>
  <c r="W156" i="20"/>
  <c r="W157" i="20"/>
  <c r="M157" i="20"/>
  <c r="M156" i="20"/>
  <c r="AB159" i="20"/>
  <c r="AA161" i="20"/>
  <c r="W152" i="20"/>
  <c r="F110" i="20"/>
  <c r="F106" i="20"/>
  <c r="AA54" i="20" l="1"/>
  <c r="Z51" i="48"/>
  <c r="Z51" i="46"/>
  <c r="Z51" i="42"/>
  <c r="Z51" i="38"/>
  <c r="Z53" i="48"/>
  <c r="Z53" i="46"/>
  <c r="Z53" i="42"/>
  <c r="Z53" i="38"/>
  <c r="AA56" i="20"/>
  <c r="Z57" i="20"/>
  <c r="Y54" i="48"/>
  <c r="Y54" i="46"/>
  <c r="Y54" i="42"/>
  <c r="Y54" i="38"/>
  <c r="AA55" i="20"/>
  <c r="Z52" i="48"/>
  <c r="Z52" i="46"/>
  <c r="Z52" i="42"/>
  <c r="Z52" i="38"/>
  <c r="AA155" i="20"/>
  <c r="F113" i="20"/>
  <c r="AF93" i="28"/>
  <c r="AF95" i="28" s="1"/>
  <c r="AF102" i="28" s="1"/>
  <c r="AG63" i="15" s="1"/>
  <c r="AF94" i="28"/>
  <c r="AG51" i="15" s="1"/>
  <c r="AD97" i="28"/>
  <c r="AC101" i="28"/>
  <c r="AD57" i="15" s="1"/>
  <c r="AC99" i="28"/>
  <c r="AD54" i="28"/>
  <c r="AD56" i="28" s="1"/>
  <c r="AC55" i="28"/>
  <c r="AC57" i="28" s="1"/>
  <c r="AB80" i="28"/>
  <c r="AB79" i="28"/>
  <c r="AB78" i="28"/>
  <c r="AF73" i="28"/>
  <c r="AE76" i="28"/>
  <c r="AC69" i="28"/>
  <c r="AC71" i="28" s="1"/>
  <c r="AC70" i="28"/>
  <c r="M164" i="20"/>
  <c r="M163" i="20"/>
  <c r="W164" i="20"/>
  <c r="W163" i="20"/>
  <c r="AC159" i="20"/>
  <c r="AB161" i="20"/>
  <c r="G110" i="20"/>
  <c r="AB55" i="20" l="1"/>
  <c r="AA52" i="48"/>
  <c r="AA52" i="46"/>
  <c r="AA52" i="42"/>
  <c r="AA52" i="38"/>
  <c r="Z54" i="48"/>
  <c r="Z54" i="46"/>
  <c r="Z54" i="42"/>
  <c r="Z54" i="38"/>
  <c r="AA53" i="48"/>
  <c r="AA53" i="46"/>
  <c r="AA53" i="42"/>
  <c r="AA53" i="38"/>
  <c r="AA57" i="20"/>
  <c r="AB56" i="20"/>
  <c r="AB54" i="20"/>
  <c r="AA51" i="48"/>
  <c r="AA51" i="46"/>
  <c r="AA51" i="42"/>
  <c r="AA51" i="38"/>
  <c r="AB155" i="20"/>
  <c r="G113" i="20"/>
  <c r="AE97" i="28"/>
  <c r="AD101" i="28"/>
  <c r="AE57" i="15" s="1"/>
  <c r="AD99" i="28"/>
  <c r="AE54" i="28"/>
  <c r="AE56" i="28" s="1"/>
  <c r="AD55" i="28"/>
  <c r="AD57" i="28" s="1"/>
  <c r="AG73" i="28"/>
  <c r="AF76" i="28"/>
  <c r="AD69" i="28"/>
  <c r="AD71" i="28" s="1"/>
  <c r="AD70" i="28"/>
  <c r="AC79" i="28"/>
  <c r="AC80" i="28"/>
  <c r="AC78" i="28"/>
  <c r="AC161" i="20"/>
  <c r="AD159" i="20"/>
  <c r="H110" i="20"/>
  <c r="G106" i="20"/>
  <c r="H106" i="20"/>
  <c r="AC54" i="20" l="1"/>
  <c r="AB51" i="46"/>
  <c r="AB51" i="48"/>
  <c r="AB51" i="42"/>
  <c r="AB51" i="38"/>
  <c r="AB53" i="48"/>
  <c r="AB53" i="46"/>
  <c r="AB53" i="42"/>
  <c r="AB53" i="38"/>
  <c r="AC56" i="20"/>
  <c r="AB57" i="20"/>
  <c r="AA54" i="48"/>
  <c r="AA54" i="46"/>
  <c r="AA54" i="42"/>
  <c r="AA54" i="38"/>
  <c r="AC55" i="20"/>
  <c r="AB52" i="48"/>
  <c r="AB52" i="46"/>
  <c r="AB52" i="42"/>
  <c r="AB52" i="38"/>
  <c r="AC155" i="20"/>
  <c r="H113" i="20"/>
  <c r="AE99" i="28"/>
  <c r="AE101" i="28"/>
  <c r="AF57" i="15" s="1"/>
  <c r="AF97" i="28"/>
  <c r="AF54" i="28"/>
  <c r="AF56" i="28" s="1"/>
  <c r="AE55" i="28"/>
  <c r="AE57" i="28" s="1"/>
  <c r="AD79" i="28"/>
  <c r="AD80" i="28"/>
  <c r="AD78" i="28"/>
  <c r="AG76" i="28"/>
  <c r="AG78" i="28"/>
  <c r="AE69" i="28"/>
  <c r="AE71" i="28" s="1"/>
  <c r="AE70" i="28"/>
  <c r="AD161" i="20"/>
  <c r="AE159" i="20"/>
  <c r="I110" i="20"/>
  <c r="I106" i="20"/>
  <c r="AB54" i="48" l="1"/>
  <c r="AB54" i="46"/>
  <c r="AB54" i="42"/>
  <c r="AB54" i="38"/>
  <c r="AC53" i="48"/>
  <c r="AC53" i="46"/>
  <c r="AC53" i="42"/>
  <c r="AC53" i="38"/>
  <c r="AD56" i="20"/>
  <c r="AC57" i="20"/>
  <c r="AD55" i="20"/>
  <c r="AC52" i="46"/>
  <c r="AC52" i="48"/>
  <c r="AC52" i="42"/>
  <c r="AC52" i="38"/>
  <c r="AD54" i="20"/>
  <c r="AC51" i="48"/>
  <c r="AC51" i="46"/>
  <c r="AC51" i="42"/>
  <c r="AC51" i="38"/>
  <c r="AD155" i="20"/>
  <c r="I113" i="20"/>
  <c r="AG97" i="28"/>
  <c r="AF101" i="28"/>
  <c r="AG57" i="15" s="1"/>
  <c r="AF99" i="28"/>
  <c r="AG54" i="28"/>
  <c r="AF55" i="28"/>
  <c r="AF57" i="28" s="1"/>
  <c r="AF69" i="28"/>
  <c r="AF71" i="28" s="1"/>
  <c r="AF70" i="28"/>
  <c r="AE79" i="28"/>
  <c r="AE80" i="28"/>
  <c r="AE78" i="28"/>
  <c r="AF159" i="20"/>
  <c r="AE161" i="20"/>
  <c r="J110" i="20"/>
  <c r="J106" i="20"/>
  <c r="AC54" i="48" l="1"/>
  <c r="AC54" i="46"/>
  <c r="AC54" i="42"/>
  <c r="AC54" i="38"/>
  <c r="AE54" i="20"/>
  <c r="AD51" i="48"/>
  <c r="AD51" i="46"/>
  <c r="AD51" i="42"/>
  <c r="AD51" i="38"/>
  <c r="AE55" i="20"/>
  <c r="AD52" i="48"/>
  <c r="AD52" i="46"/>
  <c r="AD52" i="42"/>
  <c r="AD52" i="38"/>
  <c r="AD53" i="46"/>
  <c r="AD53" i="48"/>
  <c r="AD53" i="42"/>
  <c r="AD53" i="38"/>
  <c r="AE56" i="20"/>
  <c r="AD57" i="20"/>
  <c r="AE155" i="20"/>
  <c r="J113" i="20"/>
  <c r="AG101" i="28"/>
  <c r="AH57" i="15" s="1"/>
  <c r="AG99" i="28"/>
  <c r="AG55" i="28"/>
  <c r="AG57" i="28" s="1"/>
  <c r="AG56" i="28"/>
  <c r="AF80" i="28"/>
  <c r="AF79" i="28"/>
  <c r="AF78" i="28"/>
  <c r="AG159" i="20"/>
  <c r="AG163" i="20" s="1"/>
  <c r="AF161" i="20"/>
  <c r="K110" i="20"/>
  <c r="K106" i="20"/>
  <c r="AD54" i="48" l="1"/>
  <c r="AD54" i="46"/>
  <c r="AD54" i="42"/>
  <c r="AD54" i="38"/>
  <c r="AE53" i="48"/>
  <c r="AE53" i="46"/>
  <c r="AE53" i="42"/>
  <c r="AE53" i="38"/>
  <c r="AF56" i="20"/>
  <c r="AE57" i="20"/>
  <c r="AF55" i="20"/>
  <c r="AE52" i="48"/>
  <c r="AE52" i="46"/>
  <c r="AE52" i="42"/>
  <c r="AE52" i="38"/>
  <c r="AF54" i="20"/>
  <c r="AE51" i="48"/>
  <c r="AE51" i="46"/>
  <c r="AE51" i="42"/>
  <c r="AE51" i="38"/>
  <c r="AF155" i="20"/>
  <c r="K113" i="20"/>
  <c r="AG161" i="20"/>
  <c r="L110" i="20"/>
  <c r="L106" i="20"/>
  <c r="AF51" i="46" l="1"/>
  <c r="AF51" i="48"/>
  <c r="AF51" i="42"/>
  <c r="AF51" i="38"/>
  <c r="AG55" i="20"/>
  <c r="AF52" i="48"/>
  <c r="AF52" i="46"/>
  <c r="AF52" i="42"/>
  <c r="AF52" i="38"/>
  <c r="AE54" i="46"/>
  <c r="AE54" i="48"/>
  <c r="AE54" i="42"/>
  <c r="AE54" i="38"/>
  <c r="AF53" i="48"/>
  <c r="AF53" i="46"/>
  <c r="AF53" i="42"/>
  <c r="AF53" i="38"/>
  <c r="AG56" i="20"/>
  <c r="AF57" i="20"/>
  <c r="L113" i="20"/>
  <c r="M110" i="20"/>
  <c r="M107" i="20"/>
  <c r="M106" i="20"/>
  <c r="AF54" i="48" l="1"/>
  <c r="AF54" i="46"/>
  <c r="AF54" i="42"/>
  <c r="AF54" i="38"/>
  <c r="AG57" i="20"/>
  <c r="AG53" i="48"/>
  <c r="AG53" i="46"/>
  <c r="AG53" i="42"/>
  <c r="AG53" i="38"/>
  <c r="AG60" i="20"/>
  <c r="AG52" i="48"/>
  <c r="AG52" i="46"/>
  <c r="AG52" i="42"/>
  <c r="AG52" i="38"/>
  <c r="AG59" i="20"/>
  <c r="M113" i="20"/>
  <c r="N110" i="20"/>
  <c r="M108" i="20"/>
  <c r="N106" i="20"/>
  <c r="AG57" i="48" l="1"/>
  <c r="AG57" i="46"/>
  <c r="AG57" i="42"/>
  <c r="AG57" i="38"/>
  <c r="AG56" i="48"/>
  <c r="AG56" i="46"/>
  <c r="AG56" i="42"/>
  <c r="AG56" i="38"/>
  <c r="AG54" i="48"/>
  <c r="AG54" i="46"/>
  <c r="AG54" i="42"/>
  <c r="AG54" i="38"/>
  <c r="AG61" i="20"/>
  <c r="N113" i="20"/>
  <c r="M117" i="20"/>
  <c r="M116" i="20"/>
  <c r="M115" i="20"/>
  <c r="O110" i="20"/>
  <c r="O106" i="20"/>
  <c r="AG58" i="48" l="1"/>
  <c r="AG58" i="46"/>
  <c r="AG58" i="42"/>
  <c r="AG58" i="38"/>
  <c r="O113" i="20"/>
  <c r="P110" i="20"/>
  <c r="P106" i="20"/>
  <c r="P113" i="20" l="1"/>
  <c r="Q110" i="20"/>
  <c r="Q106" i="20"/>
  <c r="Q113" i="20" l="1"/>
  <c r="R110" i="20"/>
  <c r="R106" i="20"/>
  <c r="R113" i="20" l="1"/>
  <c r="S110" i="20"/>
  <c r="S106" i="20"/>
  <c r="S113" i="20" l="1"/>
  <c r="T110" i="20"/>
  <c r="T106" i="20"/>
  <c r="T113" i="20" l="1"/>
  <c r="U110" i="20"/>
  <c r="U106" i="20"/>
  <c r="U113" i="20" l="1"/>
  <c r="V110" i="20"/>
  <c r="V106" i="20"/>
  <c r="V113" i="20" l="1"/>
  <c r="W110" i="20"/>
  <c r="W106" i="20"/>
  <c r="W107" i="20"/>
  <c r="W113" i="20" l="1"/>
  <c r="X110" i="20"/>
  <c r="W108" i="20"/>
  <c r="X113" i="20" l="1"/>
  <c r="W116" i="20"/>
  <c r="W117" i="20"/>
  <c r="W115" i="20"/>
  <c r="Y110" i="20"/>
  <c r="Y113" i="20" l="1"/>
  <c r="Z110" i="20"/>
  <c r="Z113" i="20" l="1"/>
  <c r="AA110" i="20"/>
  <c r="AA113" i="20" l="1"/>
  <c r="AB110" i="20"/>
  <c r="AB113" i="20" l="1"/>
  <c r="AC110" i="20"/>
  <c r="AC113" i="20" l="1"/>
  <c r="AD110" i="20"/>
  <c r="AD113" i="20" l="1"/>
  <c r="AE110" i="20"/>
  <c r="G55" i="24"/>
  <c r="F55" i="24"/>
  <c r="E55" i="24"/>
  <c r="C55" i="24"/>
  <c r="B55" i="24"/>
  <c r="H65" i="7"/>
  <c r="B11" i="26"/>
  <c r="C7" i="53" l="1"/>
  <c r="D7" i="53" s="1"/>
  <c r="E7" i="53" s="1"/>
  <c r="F7" i="53" s="1"/>
  <c r="G7" i="53" s="1"/>
  <c r="H7" i="53" s="1"/>
  <c r="I7" i="53" s="1"/>
  <c r="J7" i="53" s="1"/>
  <c r="K7" i="53" s="1"/>
  <c r="L7" i="53" s="1"/>
  <c r="M7" i="53" s="1"/>
  <c r="N7" i="53" s="1"/>
  <c r="O7" i="53" s="1"/>
  <c r="P7" i="53" s="1"/>
  <c r="Q7" i="53" s="1"/>
  <c r="R7" i="53" s="1"/>
  <c r="S7" i="53" s="1"/>
  <c r="T7" i="53" s="1"/>
  <c r="U7" i="53" s="1"/>
  <c r="V7" i="53" s="1"/>
  <c r="W7" i="53" s="1"/>
  <c r="X7" i="53" s="1"/>
  <c r="Y7" i="53" s="1"/>
  <c r="Z7" i="53" s="1"/>
  <c r="AA7" i="53" s="1"/>
  <c r="AB7" i="53" s="1"/>
  <c r="AC7" i="53" s="1"/>
  <c r="AD7" i="53" s="1"/>
  <c r="AE7" i="53" s="1"/>
  <c r="AF7" i="53" s="1"/>
  <c r="AG7" i="53" s="1"/>
  <c r="C7" i="54"/>
  <c r="D7" i="54" s="1"/>
  <c r="E7" i="54" s="1"/>
  <c r="F7" i="54" s="1"/>
  <c r="G7" i="54" s="1"/>
  <c r="H7" i="54" s="1"/>
  <c r="I7" i="54" s="1"/>
  <c r="J7" i="54" s="1"/>
  <c r="K7" i="54" s="1"/>
  <c r="L7" i="54" s="1"/>
  <c r="M7" i="54" s="1"/>
  <c r="N7" i="54" s="1"/>
  <c r="O7" i="54" s="1"/>
  <c r="P7" i="54" s="1"/>
  <c r="Q7" i="54" s="1"/>
  <c r="R7" i="54" s="1"/>
  <c r="S7" i="54" s="1"/>
  <c r="T7" i="54" s="1"/>
  <c r="U7" i="54" s="1"/>
  <c r="V7" i="54" s="1"/>
  <c r="W7" i="54" s="1"/>
  <c r="X7" i="54" s="1"/>
  <c r="Y7" i="54" s="1"/>
  <c r="Z7" i="54" s="1"/>
  <c r="AA7" i="54" s="1"/>
  <c r="AB7" i="54" s="1"/>
  <c r="AC7" i="54" s="1"/>
  <c r="AD7" i="54" s="1"/>
  <c r="AE7" i="54" s="1"/>
  <c r="AF7" i="54" s="1"/>
  <c r="AG7" i="54" s="1"/>
  <c r="C7" i="48"/>
  <c r="D7" i="48" s="1"/>
  <c r="E7" i="48" s="1"/>
  <c r="F7" i="48" s="1"/>
  <c r="G7" i="48" s="1"/>
  <c r="H7" i="48" s="1"/>
  <c r="I7" i="48" s="1"/>
  <c r="J7" i="48" s="1"/>
  <c r="K7" i="48" s="1"/>
  <c r="L7" i="48" s="1"/>
  <c r="M7" i="48" s="1"/>
  <c r="N7" i="48" s="1"/>
  <c r="O7" i="48" s="1"/>
  <c r="P7" i="48" s="1"/>
  <c r="Q7" i="48" s="1"/>
  <c r="R7" i="48" s="1"/>
  <c r="S7" i="48" s="1"/>
  <c r="T7" i="48" s="1"/>
  <c r="U7" i="48" s="1"/>
  <c r="V7" i="48" s="1"/>
  <c r="W7" i="48" s="1"/>
  <c r="X7" i="48" s="1"/>
  <c r="Y7" i="48" s="1"/>
  <c r="Z7" i="48" s="1"/>
  <c r="AA7" i="48" s="1"/>
  <c r="AB7" i="48" s="1"/>
  <c r="AC7" i="48" s="1"/>
  <c r="AD7" i="48" s="1"/>
  <c r="AE7" i="48" s="1"/>
  <c r="AF7" i="48" s="1"/>
  <c r="AG7" i="48" s="1"/>
  <c r="C7" i="46"/>
  <c r="D7" i="46" s="1"/>
  <c r="E7" i="46" s="1"/>
  <c r="F7" i="46" s="1"/>
  <c r="G7" i="46" s="1"/>
  <c r="H7" i="46" s="1"/>
  <c r="I7" i="46" s="1"/>
  <c r="J7" i="46" s="1"/>
  <c r="K7" i="46" s="1"/>
  <c r="L7" i="46" s="1"/>
  <c r="M7" i="46" s="1"/>
  <c r="N7" i="46" s="1"/>
  <c r="O7" i="46" s="1"/>
  <c r="P7" i="46" s="1"/>
  <c r="Q7" i="46" s="1"/>
  <c r="R7" i="46" s="1"/>
  <c r="S7" i="46" s="1"/>
  <c r="T7" i="46" s="1"/>
  <c r="U7" i="46" s="1"/>
  <c r="V7" i="46" s="1"/>
  <c r="W7" i="46" s="1"/>
  <c r="X7" i="46" s="1"/>
  <c r="Y7" i="46" s="1"/>
  <c r="Z7" i="46" s="1"/>
  <c r="AA7" i="46" s="1"/>
  <c r="AB7" i="46" s="1"/>
  <c r="AC7" i="46" s="1"/>
  <c r="AD7" i="46" s="1"/>
  <c r="AE7" i="46" s="1"/>
  <c r="AF7" i="46" s="1"/>
  <c r="AG7" i="46" s="1"/>
  <c r="C7" i="38"/>
  <c r="D7" i="38" s="1"/>
  <c r="E7" i="38" s="1"/>
  <c r="F7" i="38" s="1"/>
  <c r="G7" i="38" s="1"/>
  <c r="H7" i="38" s="1"/>
  <c r="I7" i="38" s="1"/>
  <c r="J7" i="38" s="1"/>
  <c r="K7" i="38" s="1"/>
  <c r="L7" i="38" s="1"/>
  <c r="M7" i="38" s="1"/>
  <c r="N7" i="38" s="1"/>
  <c r="O7" i="38" s="1"/>
  <c r="P7" i="38" s="1"/>
  <c r="Q7" i="38" s="1"/>
  <c r="R7" i="38" s="1"/>
  <c r="S7" i="38" s="1"/>
  <c r="T7" i="38" s="1"/>
  <c r="U7" i="38" s="1"/>
  <c r="V7" i="38" s="1"/>
  <c r="W7" i="38" s="1"/>
  <c r="X7" i="38" s="1"/>
  <c r="Y7" i="38" s="1"/>
  <c r="Z7" i="38" s="1"/>
  <c r="AA7" i="38" s="1"/>
  <c r="AB7" i="38" s="1"/>
  <c r="AC7" i="38" s="1"/>
  <c r="AD7" i="38" s="1"/>
  <c r="AE7" i="38" s="1"/>
  <c r="AF7" i="38" s="1"/>
  <c r="AG7" i="38" s="1"/>
  <c r="C7" i="42"/>
  <c r="D7" i="42" s="1"/>
  <c r="E7" i="42" s="1"/>
  <c r="F7" i="42" s="1"/>
  <c r="G7" i="42" s="1"/>
  <c r="H7" i="42" s="1"/>
  <c r="I7" i="42" s="1"/>
  <c r="J7" i="42" s="1"/>
  <c r="K7" i="42" s="1"/>
  <c r="L7" i="42" s="1"/>
  <c r="M7" i="42" s="1"/>
  <c r="N7" i="42" s="1"/>
  <c r="O7" i="42" s="1"/>
  <c r="P7" i="42" s="1"/>
  <c r="Q7" i="42" s="1"/>
  <c r="R7" i="42" s="1"/>
  <c r="S7" i="42" s="1"/>
  <c r="T7" i="42" s="1"/>
  <c r="U7" i="42" s="1"/>
  <c r="V7" i="42" s="1"/>
  <c r="W7" i="42" s="1"/>
  <c r="X7" i="42" s="1"/>
  <c r="Y7" i="42" s="1"/>
  <c r="Z7" i="42" s="1"/>
  <c r="AA7" i="42" s="1"/>
  <c r="AB7" i="42" s="1"/>
  <c r="AC7" i="42" s="1"/>
  <c r="AD7" i="42" s="1"/>
  <c r="AE7" i="42" s="1"/>
  <c r="AF7" i="42" s="1"/>
  <c r="AG7" i="42" s="1"/>
  <c r="C31" i="27"/>
  <c r="C7" i="29"/>
  <c r="D7" i="29" s="1"/>
  <c r="E7" i="29" s="1"/>
  <c r="F7" i="29" s="1"/>
  <c r="G7" i="29" s="1"/>
  <c r="H7" i="29" s="1"/>
  <c r="I7" i="29" s="1"/>
  <c r="J7" i="29" s="1"/>
  <c r="K7" i="29" s="1"/>
  <c r="L7" i="29" s="1"/>
  <c r="M7" i="29" s="1"/>
  <c r="N7" i="29" s="1"/>
  <c r="O7" i="29" s="1"/>
  <c r="P7" i="29" s="1"/>
  <c r="Q7" i="29" s="1"/>
  <c r="R7" i="29" s="1"/>
  <c r="S7" i="29" s="1"/>
  <c r="T7" i="29" s="1"/>
  <c r="U7" i="29" s="1"/>
  <c r="V7" i="29" s="1"/>
  <c r="W7" i="29" s="1"/>
  <c r="X7" i="29" s="1"/>
  <c r="Y7" i="29" s="1"/>
  <c r="Z7" i="29" s="1"/>
  <c r="AA7" i="29" s="1"/>
  <c r="AB7" i="29" s="1"/>
  <c r="AC7" i="29" s="1"/>
  <c r="AD7" i="29" s="1"/>
  <c r="AE7" i="29" s="1"/>
  <c r="AF7" i="29" s="1"/>
  <c r="AG7" i="29" s="1"/>
  <c r="C7" i="28"/>
  <c r="D7" i="28" s="1"/>
  <c r="E7" i="28" s="1"/>
  <c r="F7" i="28" s="1"/>
  <c r="G7" i="28" s="1"/>
  <c r="H7" i="28" s="1"/>
  <c r="I7" i="28" s="1"/>
  <c r="J7" i="28" s="1"/>
  <c r="K7" i="28" s="1"/>
  <c r="L7" i="28" s="1"/>
  <c r="M7" i="28" s="1"/>
  <c r="N7" i="28" s="1"/>
  <c r="O7" i="28" s="1"/>
  <c r="P7" i="28" s="1"/>
  <c r="Q7" i="28" s="1"/>
  <c r="R7" i="28" s="1"/>
  <c r="S7" i="28" s="1"/>
  <c r="T7" i="28" s="1"/>
  <c r="U7" i="28" s="1"/>
  <c r="V7" i="28" s="1"/>
  <c r="W7" i="28" s="1"/>
  <c r="X7" i="28" s="1"/>
  <c r="Y7" i="28" s="1"/>
  <c r="Z7" i="28" s="1"/>
  <c r="AA7" i="28" s="1"/>
  <c r="AB7" i="28" s="1"/>
  <c r="AC7" i="28" s="1"/>
  <c r="AD7" i="28" s="1"/>
  <c r="AE7" i="28" s="1"/>
  <c r="AF7" i="28" s="1"/>
  <c r="AG7" i="28" s="1"/>
  <c r="C7" i="19"/>
  <c r="D7" i="19" s="1"/>
  <c r="E7" i="19" s="1"/>
  <c r="F7" i="19" s="1"/>
  <c r="G7" i="19" s="1"/>
  <c r="H7" i="19" s="1"/>
  <c r="I7" i="19" s="1"/>
  <c r="J7" i="19" s="1"/>
  <c r="K7" i="19" s="1"/>
  <c r="L7" i="19" s="1"/>
  <c r="M7" i="19" s="1"/>
  <c r="N7" i="19" s="1"/>
  <c r="O7" i="19" s="1"/>
  <c r="P7" i="19" s="1"/>
  <c r="Q7" i="19" s="1"/>
  <c r="R7" i="19" s="1"/>
  <c r="S7" i="19" s="1"/>
  <c r="T7" i="19" s="1"/>
  <c r="U7" i="19" s="1"/>
  <c r="V7" i="19" s="1"/>
  <c r="W7" i="19" s="1"/>
  <c r="X7" i="19" s="1"/>
  <c r="Y7" i="19" s="1"/>
  <c r="Z7" i="19" s="1"/>
  <c r="AA7" i="19" s="1"/>
  <c r="AB7" i="19" s="1"/>
  <c r="AC7" i="19" s="1"/>
  <c r="AD7" i="19" s="1"/>
  <c r="AE7" i="19" s="1"/>
  <c r="AF7" i="19" s="1"/>
  <c r="AG7" i="19" s="1"/>
  <c r="C15" i="27"/>
  <c r="C7" i="20"/>
  <c r="AE113" i="20"/>
  <c r="AF110" i="20"/>
  <c r="AF113" i="20" l="1"/>
  <c r="AG110" i="20"/>
  <c r="C23" i="4"/>
  <c r="K23" i="4" s="1"/>
  <c r="Q23" i="4" s="1"/>
  <c r="C24" i="4"/>
  <c r="C36" i="4"/>
  <c r="J56" i="25"/>
  <c r="B50" i="2"/>
  <c r="W20" i="25"/>
  <c r="M20" i="25"/>
  <c r="AG17" i="25"/>
  <c r="AB17" i="25"/>
  <c r="H20" i="25"/>
  <c r="K2" i="25"/>
  <c r="D2" i="25"/>
  <c r="D13" i="25" s="1"/>
  <c r="G2" i="25"/>
  <c r="R18" i="25"/>
  <c r="C18" i="24"/>
  <c r="D18" i="24"/>
  <c r="E18" i="24"/>
  <c r="F18" i="24"/>
  <c r="G18" i="24"/>
  <c r="H18" i="24"/>
  <c r="I18" i="24"/>
  <c r="C19" i="24"/>
  <c r="D19" i="24"/>
  <c r="E19" i="24"/>
  <c r="F19" i="24"/>
  <c r="G19" i="24"/>
  <c r="H19" i="24"/>
  <c r="I19" i="24"/>
  <c r="C20" i="24"/>
  <c r="D20" i="24"/>
  <c r="E20" i="24"/>
  <c r="F20" i="24"/>
  <c r="G20" i="24"/>
  <c r="H20" i="24"/>
  <c r="I20" i="24"/>
  <c r="H30" i="24" s="1"/>
  <c r="C21" i="24"/>
  <c r="C100" i="24" s="1"/>
  <c r="D21" i="24"/>
  <c r="D100" i="24" s="1"/>
  <c r="E21" i="24"/>
  <c r="F21" i="24"/>
  <c r="F100" i="24" s="1"/>
  <c r="G21" i="24"/>
  <c r="G100" i="24" s="1"/>
  <c r="H21" i="24"/>
  <c r="I100" i="24" s="1"/>
  <c r="I21" i="24"/>
  <c r="J100" i="24" s="1"/>
  <c r="C22" i="24"/>
  <c r="C101" i="24" s="1"/>
  <c r="D22" i="24"/>
  <c r="D101" i="24" s="1"/>
  <c r="E22" i="24"/>
  <c r="F22" i="24"/>
  <c r="F101" i="24" s="1"/>
  <c r="G22" i="24"/>
  <c r="G101" i="24" s="1"/>
  <c r="H22" i="24"/>
  <c r="I101" i="24" s="1"/>
  <c r="I22" i="24"/>
  <c r="J101" i="24" s="1"/>
  <c r="C23" i="24"/>
  <c r="D23" i="24"/>
  <c r="E23" i="24"/>
  <c r="F23" i="24"/>
  <c r="G23" i="24"/>
  <c r="H23" i="24"/>
  <c r="I23" i="24"/>
  <c r="B23" i="24"/>
  <c r="B22" i="24"/>
  <c r="B101" i="24" s="1"/>
  <c r="B21" i="24"/>
  <c r="B100" i="24" s="1"/>
  <c r="B20" i="24"/>
  <c r="B19" i="24"/>
  <c r="B18" i="24"/>
  <c r="J7" i="24"/>
  <c r="J18" i="24" s="1"/>
  <c r="J8" i="24"/>
  <c r="J9" i="24"/>
  <c r="J21" i="24" s="1"/>
  <c r="J10" i="24"/>
  <c r="J22" i="24" s="1"/>
  <c r="J11" i="24"/>
  <c r="J12" i="24"/>
  <c r="J6" i="24"/>
  <c r="J20" i="24" l="1"/>
  <c r="J13" i="24"/>
  <c r="E27" i="49"/>
  <c r="E26" i="49"/>
  <c r="E30" i="49" s="1"/>
  <c r="E28" i="49"/>
  <c r="Z147" i="24"/>
  <c r="Z148" i="24"/>
  <c r="B128" i="24"/>
  <c r="B114" i="24"/>
  <c r="I131" i="24"/>
  <c r="I103" i="24"/>
  <c r="I117" i="24"/>
  <c r="D131" i="24"/>
  <c r="D117" i="24"/>
  <c r="D103" i="24"/>
  <c r="G115" i="24"/>
  <c r="G129" i="24"/>
  <c r="C86" i="24"/>
  <c r="C115" i="24"/>
  <c r="C129" i="24"/>
  <c r="F85" i="24"/>
  <c r="F114" i="24"/>
  <c r="F128" i="24"/>
  <c r="J99" i="24"/>
  <c r="J127" i="24"/>
  <c r="J113" i="24"/>
  <c r="E127" i="24"/>
  <c r="I126" i="24"/>
  <c r="I98" i="24"/>
  <c r="I112" i="24"/>
  <c r="D112" i="24"/>
  <c r="D98" i="24"/>
  <c r="D126" i="24"/>
  <c r="G97" i="24"/>
  <c r="G111" i="24"/>
  <c r="G125" i="24"/>
  <c r="C82" i="24"/>
  <c r="C111" i="24"/>
  <c r="C97" i="24"/>
  <c r="C125" i="24"/>
  <c r="B111" i="24"/>
  <c r="B82" i="24"/>
  <c r="B125" i="24"/>
  <c r="B86" i="24"/>
  <c r="B115" i="24"/>
  <c r="B129" i="24"/>
  <c r="G103" i="24"/>
  <c r="G117" i="24"/>
  <c r="G131" i="24"/>
  <c r="C117" i="24"/>
  <c r="C103" i="24"/>
  <c r="C131" i="24"/>
  <c r="F86" i="24"/>
  <c r="F129" i="24"/>
  <c r="F115" i="24"/>
  <c r="J85" i="24"/>
  <c r="J114" i="24"/>
  <c r="J128" i="24"/>
  <c r="E85" i="24"/>
  <c r="E128" i="24"/>
  <c r="I127" i="24"/>
  <c r="I99" i="24"/>
  <c r="I113" i="24"/>
  <c r="D113" i="24"/>
  <c r="D127" i="24"/>
  <c r="D99" i="24"/>
  <c r="G98" i="24"/>
  <c r="G112" i="24"/>
  <c r="G126" i="24"/>
  <c r="C83" i="24"/>
  <c r="C112" i="24"/>
  <c r="C98" i="24"/>
  <c r="C126" i="24"/>
  <c r="F82" i="24"/>
  <c r="F111" i="24"/>
  <c r="F97" i="24"/>
  <c r="F125" i="24"/>
  <c r="D65" i="44"/>
  <c r="G65" i="44"/>
  <c r="F65" i="44"/>
  <c r="B112" i="24"/>
  <c r="B126" i="24"/>
  <c r="B98" i="24"/>
  <c r="B88" i="24"/>
  <c r="B103" i="24"/>
  <c r="B117" i="24"/>
  <c r="B131" i="24"/>
  <c r="F131" i="24"/>
  <c r="F103" i="24"/>
  <c r="F117" i="24"/>
  <c r="J86" i="24"/>
  <c r="J129" i="24"/>
  <c r="J115" i="24"/>
  <c r="E86" i="24"/>
  <c r="E129" i="24"/>
  <c r="I85" i="24"/>
  <c r="I128" i="24"/>
  <c r="I114" i="24"/>
  <c r="D85" i="24"/>
  <c r="D114" i="24"/>
  <c r="D128" i="24"/>
  <c r="G99" i="24"/>
  <c r="G113" i="24"/>
  <c r="G127" i="24"/>
  <c r="C84" i="24"/>
  <c r="C99" i="24"/>
  <c r="C113" i="24"/>
  <c r="C127" i="24"/>
  <c r="F126" i="24"/>
  <c r="F98" i="24"/>
  <c r="F112" i="24"/>
  <c r="J82" i="24"/>
  <c r="J125" i="24"/>
  <c r="J111" i="24"/>
  <c r="J97" i="24"/>
  <c r="E82" i="24"/>
  <c r="E125" i="24"/>
  <c r="B127" i="24"/>
  <c r="B99" i="24"/>
  <c r="B113" i="24"/>
  <c r="B71" i="24"/>
  <c r="J88" i="24"/>
  <c r="J131" i="24"/>
  <c r="J103" i="24"/>
  <c r="J117" i="24"/>
  <c r="E131" i="24"/>
  <c r="I86" i="24"/>
  <c r="I129" i="24"/>
  <c r="I115" i="24"/>
  <c r="D86" i="24"/>
  <c r="D115" i="24"/>
  <c r="D129" i="24"/>
  <c r="G114" i="24"/>
  <c r="G128" i="24"/>
  <c r="C128" i="24"/>
  <c r="C114" i="24"/>
  <c r="F99" i="24"/>
  <c r="F127" i="24"/>
  <c r="F113" i="24"/>
  <c r="J126" i="24"/>
  <c r="J112" i="24"/>
  <c r="J98" i="24"/>
  <c r="E126" i="24"/>
  <c r="I82" i="24"/>
  <c r="I125" i="24"/>
  <c r="I97" i="24"/>
  <c r="I111" i="24"/>
  <c r="D82" i="24"/>
  <c r="D125" i="24"/>
  <c r="D111" i="24"/>
  <c r="D97" i="24"/>
  <c r="D104" i="24" s="1"/>
  <c r="F30" i="24"/>
  <c r="B30" i="24"/>
  <c r="B84" i="24"/>
  <c r="E74" i="24"/>
  <c r="E88" i="24"/>
  <c r="C72" i="24"/>
  <c r="C85" i="24"/>
  <c r="E30" i="24"/>
  <c r="F84" i="24"/>
  <c r="H29" i="24"/>
  <c r="J83" i="24"/>
  <c r="D29" i="24"/>
  <c r="E83" i="24"/>
  <c r="B29" i="24"/>
  <c r="B83" i="24"/>
  <c r="F74" i="24"/>
  <c r="F88" i="24"/>
  <c r="E29" i="24"/>
  <c r="F83" i="24"/>
  <c r="B72" i="24"/>
  <c r="B85" i="24"/>
  <c r="H74" i="24"/>
  <c r="I88" i="24"/>
  <c r="D74" i="24"/>
  <c r="D88" i="24"/>
  <c r="G49" i="7"/>
  <c r="J84" i="24"/>
  <c r="D30" i="24"/>
  <c r="E84" i="24"/>
  <c r="G29" i="24"/>
  <c r="I83" i="24"/>
  <c r="C29" i="24"/>
  <c r="D83" i="24"/>
  <c r="B28" i="24"/>
  <c r="G74" i="24"/>
  <c r="C74" i="24"/>
  <c r="C88" i="24"/>
  <c r="G30" i="24"/>
  <c r="I84" i="24"/>
  <c r="C30" i="24"/>
  <c r="D84" i="24"/>
  <c r="F29" i="24"/>
  <c r="AI59" i="34"/>
  <c r="F31" i="24"/>
  <c r="G28" i="24"/>
  <c r="C28" i="24"/>
  <c r="F72" i="24"/>
  <c r="E31" i="24"/>
  <c r="F28" i="24"/>
  <c r="D35" i="25"/>
  <c r="H31" i="24"/>
  <c r="E72" i="24"/>
  <c r="D31" i="24"/>
  <c r="E28" i="24"/>
  <c r="B74" i="24"/>
  <c r="B31" i="24"/>
  <c r="H72" i="24"/>
  <c r="G31" i="24"/>
  <c r="D72" i="24"/>
  <c r="C31" i="24"/>
  <c r="H28" i="24"/>
  <c r="D28" i="24"/>
  <c r="C45" i="7"/>
  <c r="B69" i="24"/>
  <c r="B73" i="24"/>
  <c r="F73" i="24"/>
  <c r="H58" i="24"/>
  <c r="H71" i="24"/>
  <c r="G57" i="24"/>
  <c r="G70" i="24"/>
  <c r="G60" i="24"/>
  <c r="G73" i="24"/>
  <c r="C73" i="24"/>
  <c r="E71" i="24"/>
  <c r="H70" i="24"/>
  <c r="D70" i="24"/>
  <c r="G69" i="24"/>
  <c r="C69" i="24"/>
  <c r="E73" i="24"/>
  <c r="C71" i="24"/>
  <c r="E69" i="24"/>
  <c r="D71" i="24"/>
  <c r="C70" i="24"/>
  <c r="F56" i="24"/>
  <c r="F69" i="24"/>
  <c r="B57" i="24"/>
  <c r="B70" i="24"/>
  <c r="G58" i="24"/>
  <c r="G71" i="24"/>
  <c r="F70" i="24"/>
  <c r="J23" i="24"/>
  <c r="J19" i="24"/>
  <c r="B58" i="24"/>
  <c r="H60" i="24"/>
  <c r="H73" i="24"/>
  <c r="D60" i="24"/>
  <c r="D73" i="24"/>
  <c r="G59" i="24"/>
  <c r="G72" i="24"/>
  <c r="F71" i="24"/>
  <c r="E70" i="24"/>
  <c r="H69" i="24"/>
  <c r="H56" i="24"/>
  <c r="C32" i="25"/>
  <c r="D69" i="24"/>
  <c r="Q35" i="4"/>
  <c r="K24" i="4"/>
  <c r="Q24" i="4" s="1"/>
  <c r="C27" i="4"/>
  <c r="B86" i="15"/>
  <c r="B86" i="16"/>
  <c r="AG115" i="20"/>
  <c r="AG113" i="20"/>
  <c r="H61" i="24"/>
  <c r="H59" i="24"/>
  <c r="H57" i="24"/>
  <c r="B56" i="24"/>
  <c r="E50" i="7"/>
  <c r="E61" i="24"/>
  <c r="F47" i="7"/>
  <c r="F58" i="24"/>
  <c r="C50" i="7"/>
  <c r="B61" i="24"/>
  <c r="H50" i="7"/>
  <c r="C37" i="25"/>
  <c r="D61" i="24"/>
  <c r="C60" i="24"/>
  <c r="F48" i="7"/>
  <c r="F59" i="24"/>
  <c r="E47" i="7"/>
  <c r="E58" i="24"/>
  <c r="H46" i="7"/>
  <c r="C33" i="25"/>
  <c r="D57" i="24"/>
  <c r="G45" i="7"/>
  <c r="G56" i="24"/>
  <c r="C56" i="24"/>
  <c r="G48" i="7"/>
  <c r="C36" i="25"/>
  <c r="C59" i="24"/>
  <c r="H24" i="24"/>
  <c r="G24" i="24"/>
  <c r="G51" i="7" s="1"/>
  <c r="G50" i="7"/>
  <c r="G61" i="24"/>
  <c r="C61" i="24"/>
  <c r="F49" i="7"/>
  <c r="F60" i="24"/>
  <c r="E48" i="7"/>
  <c r="E59" i="24"/>
  <c r="H47" i="7"/>
  <c r="C34" i="25"/>
  <c r="D58" i="24"/>
  <c r="C57" i="24"/>
  <c r="C47" i="7"/>
  <c r="G47" i="7"/>
  <c r="C49" i="7"/>
  <c r="B60" i="24"/>
  <c r="D36" i="25"/>
  <c r="E46" i="7"/>
  <c r="E57" i="24"/>
  <c r="D24" i="24"/>
  <c r="C38" i="25" s="1"/>
  <c r="D56" i="24"/>
  <c r="C48" i="7"/>
  <c r="B59" i="24"/>
  <c r="C24" i="24"/>
  <c r="F50" i="7"/>
  <c r="F61" i="24"/>
  <c r="E49" i="7"/>
  <c r="E60" i="24"/>
  <c r="H48" i="7"/>
  <c r="C35" i="25"/>
  <c r="D59" i="24"/>
  <c r="C58" i="24"/>
  <c r="F46" i="7"/>
  <c r="F57" i="24"/>
  <c r="E45" i="7"/>
  <c r="E56" i="24"/>
  <c r="F45" i="7"/>
  <c r="G46" i="7"/>
  <c r="D32" i="25"/>
  <c r="B24" i="24"/>
  <c r="C51" i="7" s="1"/>
  <c r="F24" i="24"/>
  <c r="F51" i="7" s="1"/>
  <c r="D34" i="25"/>
  <c r="I24" i="24"/>
  <c r="E24" i="24"/>
  <c r="E51" i="7" s="1"/>
  <c r="C46" i="7"/>
  <c r="H45" i="7"/>
  <c r="D37" i="25"/>
  <c r="D33" i="25"/>
  <c r="H49" i="7"/>
  <c r="K13" i="24"/>
  <c r="K41" i="4" l="1"/>
  <c r="P41" i="4" s="1"/>
  <c r="K40" i="4"/>
  <c r="P40" i="4" s="1"/>
  <c r="K42" i="4"/>
  <c r="P42" i="4" s="1"/>
  <c r="Q36" i="4"/>
  <c r="B8" i="4" s="1"/>
  <c r="K39" i="4"/>
  <c r="P39" i="4" s="1"/>
  <c r="K45" i="4"/>
  <c r="P45" i="4" s="1"/>
  <c r="K43" i="4"/>
  <c r="P43" i="4" s="1"/>
  <c r="K44" i="4"/>
  <c r="P44" i="4" s="1"/>
  <c r="C89" i="24"/>
  <c r="I29" i="24"/>
  <c r="E89" i="24"/>
  <c r="F89" i="24"/>
  <c r="I74" i="24"/>
  <c r="K74" i="24" s="1"/>
  <c r="G104" i="24"/>
  <c r="I118" i="24"/>
  <c r="J118" i="24"/>
  <c r="K131" i="24"/>
  <c r="F104" i="24"/>
  <c r="B118" i="24"/>
  <c r="K128" i="24"/>
  <c r="I30" i="24"/>
  <c r="F132" i="24"/>
  <c r="K129" i="24"/>
  <c r="D118" i="24"/>
  <c r="I104" i="24"/>
  <c r="E132" i="24"/>
  <c r="J132" i="24"/>
  <c r="K126" i="24"/>
  <c r="F118" i="24"/>
  <c r="C132" i="24"/>
  <c r="G132" i="24"/>
  <c r="J104" i="24"/>
  <c r="C118" i="24"/>
  <c r="I89" i="24"/>
  <c r="D89" i="24"/>
  <c r="D132" i="24"/>
  <c r="I132" i="24"/>
  <c r="K127" i="24"/>
  <c r="B132" i="24"/>
  <c r="K125" i="24"/>
  <c r="C104" i="24"/>
  <c r="G118" i="24"/>
  <c r="R17" i="44"/>
  <c r="R16" i="44" s="1"/>
  <c r="R21" i="44" s="1"/>
  <c r="G81" i="24"/>
  <c r="J89" i="24"/>
  <c r="H51" i="7"/>
  <c r="D75" i="24"/>
  <c r="F75" i="24"/>
  <c r="I72" i="24"/>
  <c r="K72" i="24" s="1"/>
  <c r="B89" i="24"/>
  <c r="C54" i="7"/>
  <c r="AI61" i="34"/>
  <c r="F61" i="34" s="1"/>
  <c r="G61" i="34" s="1"/>
  <c r="H61" i="34" s="1"/>
  <c r="I61" i="34" s="1"/>
  <c r="J61" i="34" s="1"/>
  <c r="K61" i="34" s="1"/>
  <c r="L61" i="34" s="1"/>
  <c r="M61" i="34" s="1"/>
  <c r="N61" i="34" s="1"/>
  <c r="O61" i="34" s="1"/>
  <c r="P61" i="34" s="1"/>
  <c r="Q61" i="34" s="1"/>
  <c r="R61" i="34" s="1"/>
  <c r="S61" i="34" s="1"/>
  <c r="T61" i="34" s="1"/>
  <c r="U61" i="34" s="1"/>
  <c r="V61" i="34" s="1"/>
  <c r="W61" i="34" s="1"/>
  <c r="X61" i="34" s="1"/>
  <c r="Y61" i="34" s="1"/>
  <c r="Z61" i="34" s="1"/>
  <c r="AA61" i="34" s="1"/>
  <c r="AB61" i="34" s="1"/>
  <c r="AC61" i="34" s="1"/>
  <c r="AD61" i="34" s="1"/>
  <c r="AE61" i="34" s="1"/>
  <c r="AF61" i="34" s="1"/>
  <c r="AG61" i="34" s="1"/>
  <c r="AH61" i="34" s="1"/>
  <c r="AI60" i="34"/>
  <c r="F60" i="34" s="1"/>
  <c r="G60" i="34" s="1"/>
  <c r="H60" i="34" s="1"/>
  <c r="I60" i="34" s="1"/>
  <c r="J60" i="34" s="1"/>
  <c r="K60" i="34" s="1"/>
  <c r="L60" i="34" s="1"/>
  <c r="M60" i="34" s="1"/>
  <c r="N60" i="34" s="1"/>
  <c r="O60" i="34" s="1"/>
  <c r="P60" i="34" s="1"/>
  <c r="Q60" i="34" s="1"/>
  <c r="R60" i="34" s="1"/>
  <c r="S60" i="34" s="1"/>
  <c r="T60" i="34" s="1"/>
  <c r="U60" i="34" s="1"/>
  <c r="V60" i="34" s="1"/>
  <c r="W60" i="34" s="1"/>
  <c r="X60" i="34" s="1"/>
  <c r="Y60" i="34" s="1"/>
  <c r="Z60" i="34" s="1"/>
  <c r="AA60" i="34" s="1"/>
  <c r="AB60" i="34" s="1"/>
  <c r="AC60" i="34" s="1"/>
  <c r="AD60" i="34" s="1"/>
  <c r="AE60" i="34" s="1"/>
  <c r="AF60" i="34" s="1"/>
  <c r="AG60" i="34" s="1"/>
  <c r="AH60" i="34" s="1"/>
  <c r="AI62" i="34"/>
  <c r="F62" i="34" s="1"/>
  <c r="G62" i="34" s="1"/>
  <c r="H62" i="34" s="1"/>
  <c r="I62" i="34" s="1"/>
  <c r="J62" i="34" s="1"/>
  <c r="K62" i="34" s="1"/>
  <c r="L62" i="34" s="1"/>
  <c r="M62" i="34" s="1"/>
  <c r="N62" i="34" s="1"/>
  <c r="O62" i="34" s="1"/>
  <c r="P62" i="34" s="1"/>
  <c r="Q62" i="34" s="1"/>
  <c r="R62" i="34" s="1"/>
  <c r="S62" i="34" s="1"/>
  <c r="T62" i="34" s="1"/>
  <c r="U62" i="34" s="1"/>
  <c r="V62" i="34" s="1"/>
  <c r="W62" i="34" s="1"/>
  <c r="X62" i="34" s="1"/>
  <c r="Y62" i="34" s="1"/>
  <c r="Z62" i="34" s="1"/>
  <c r="AA62" i="34" s="1"/>
  <c r="AB62" i="34" s="1"/>
  <c r="AC62" i="34" s="1"/>
  <c r="AD62" i="34" s="1"/>
  <c r="AE62" i="34" s="1"/>
  <c r="AF62" i="34" s="1"/>
  <c r="AG62" i="34" s="1"/>
  <c r="AH62" i="34" s="1"/>
  <c r="F59" i="34"/>
  <c r="G59" i="34" s="1"/>
  <c r="H59" i="34" s="1"/>
  <c r="I59" i="34" s="1"/>
  <c r="J59" i="34" s="1"/>
  <c r="K59" i="34" s="1"/>
  <c r="L59" i="34" s="1"/>
  <c r="M59" i="34" s="1"/>
  <c r="N59" i="34" s="1"/>
  <c r="O59" i="34" s="1"/>
  <c r="P59" i="34" s="1"/>
  <c r="Q59" i="34" s="1"/>
  <c r="R59" i="34" s="1"/>
  <c r="S59" i="34" s="1"/>
  <c r="T59" i="34" s="1"/>
  <c r="U59" i="34" s="1"/>
  <c r="V59" i="34" s="1"/>
  <c r="W59" i="34" s="1"/>
  <c r="X59" i="34" s="1"/>
  <c r="Y59" i="34" s="1"/>
  <c r="Z59" i="34" s="1"/>
  <c r="AA59" i="34" s="1"/>
  <c r="AB59" i="34" s="1"/>
  <c r="AC59" i="34" s="1"/>
  <c r="AD59" i="34" s="1"/>
  <c r="AE59" i="34" s="1"/>
  <c r="AF59" i="34" s="1"/>
  <c r="AG59" i="34" s="1"/>
  <c r="AH59" i="34" s="1"/>
  <c r="B32" i="24"/>
  <c r="E32" i="24"/>
  <c r="C32" i="24"/>
  <c r="F32" i="24"/>
  <c r="I28" i="24"/>
  <c r="G32" i="24"/>
  <c r="D32" i="24"/>
  <c r="I31" i="24"/>
  <c r="H32" i="24"/>
  <c r="E75" i="24"/>
  <c r="J24" i="24"/>
  <c r="K78" i="24"/>
  <c r="I73" i="24"/>
  <c r="K73" i="24" s="1"/>
  <c r="F54" i="7"/>
  <c r="I69" i="24"/>
  <c r="H75" i="24"/>
  <c r="C75" i="24"/>
  <c r="B75" i="24"/>
  <c r="I71" i="24"/>
  <c r="K71" i="24" s="1"/>
  <c r="I70" i="24"/>
  <c r="K70" i="24" s="1"/>
  <c r="G75" i="24"/>
  <c r="Q27" i="4"/>
  <c r="C8" i="4" s="1"/>
  <c r="C43" i="25"/>
  <c r="C46" i="25"/>
  <c r="C42" i="25"/>
  <c r="C41" i="25"/>
  <c r="I56" i="24"/>
  <c r="K56" i="24" s="1"/>
  <c r="H62" i="24"/>
  <c r="I57" i="24"/>
  <c r="K57" i="24" s="1"/>
  <c r="F62" i="24"/>
  <c r="C45" i="25"/>
  <c r="G62" i="24"/>
  <c r="I58" i="24"/>
  <c r="K58" i="24" s="1"/>
  <c r="G54" i="7"/>
  <c r="B62" i="24"/>
  <c r="E62" i="24"/>
  <c r="D62" i="24"/>
  <c r="C62" i="24"/>
  <c r="I61" i="24"/>
  <c r="K61" i="24" s="1"/>
  <c r="I59" i="24"/>
  <c r="I60" i="24"/>
  <c r="K60" i="24" s="1"/>
  <c r="C44" i="25"/>
  <c r="E54" i="7"/>
  <c r="D38" i="25"/>
  <c r="D45" i="25" s="1"/>
  <c r="H55" i="7" l="1"/>
  <c r="H54" i="7"/>
  <c r="H56" i="7"/>
  <c r="K132" i="24"/>
  <c r="D90" i="44" s="1"/>
  <c r="P46" i="4"/>
  <c r="G59" i="33"/>
  <c r="H81" i="24"/>
  <c r="L87" i="24" s="1"/>
  <c r="G86" i="24"/>
  <c r="K86" i="24" s="1"/>
  <c r="N86" i="24" s="1"/>
  <c r="G88" i="24"/>
  <c r="K88" i="24" s="1"/>
  <c r="N88" i="24" s="1"/>
  <c r="G83" i="24"/>
  <c r="K83" i="24" s="1"/>
  <c r="G85" i="24"/>
  <c r="K85" i="24" s="1"/>
  <c r="N85" i="24" s="1"/>
  <c r="G82" i="24"/>
  <c r="G84" i="24"/>
  <c r="K84" i="24" s="1"/>
  <c r="N84" i="24" s="1"/>
  <c r="N83" i="24"/>
  <c r="H59" i="7"/>
  <c r="H57" i="7"/>
  <c r="H58" i="7"/>
  <c r="P8" i="34"/>
  <c r="AI58" i="34"/>
  <c r="I32" i="24"/>
  <c r="K69" i="24"/>
  <c r="I75" i="24"/>
  <c r="K77" i="24"/>
  <c r="D41" i="25"/>
  <c r="K64" i="24"/>
  <c r="K65" i="24"/>
  <c r="K59" i="24"/>
  <c r="D46" i="25"/>
  <c r="D42" i="25"/>
  <c r="D44" i="25"/>
  <c r="C47" i="25"/>
  <c r="I62" i="24"/>
  <c r="D43" i="25"/>
  <c r="G8" i="4" l="1"/>
  <c r="D8" i="4"/>
  <c r="F8" i="4"/>
  <c r="E8" i="4"/>
  <c r="D92" i="44"/>
  <c r="D96" i="44"/>
  <c r="D95" i="44"/>
  <c r="D91" i="44"/>
  <c r="G91" i="44"/>
  <c r="G95" i="44"/>
  <c r="G96" i="44"/>
  <c r="G90" i="44"/>
  <c r="G92" i="44"/>
  <c r="G94" i="44"/>
  <c r="G93" i="44"/>
  <c r="D94" i="44"/>
  <c r="D93" i="44"/>
  <c r="D47" i="36"/>
  <c r="F4" i="9"/>
  <c r="G64" i="33"/>
  <c r="N91" i="24"/>
  <c r="K82" i="24"/>
  <c r="G89" i="24"/>
  <c r="H60" i="7"/>
  <c r="F58" i="34"/>
  <c r="G58" i="34" s="1"/>
  <c r="H58" i="34" s="1"/>
  <c r="I58" i="34" s="1"/>
  <c r="J58" i="34" s="1"/>
  <c r="K58" i="34" s="1"/>
  <c r="L58" i="34" s="1"/>
  <c r="M58" i="34" s="1"/>
  <c r="N58" i="34" s="1"/>
  <c r="O58" i="34" s="1"/>
  <c r="P58" i="34" s="1"/>
  <c r="Q58" i="34" s="1"/>
  <c r="R58" i="34" s="1"/>
  <c r="S58" i="34" s="1"/>
  <c r="T58" i="34" s="1"/>
  <c r="U58" i="34" s="1"/>
  <c r="V58" i="34" s="1"/>
  <c r="W58" i="34" s="1"/>
  <c r="X58" i="34" s="1"/>
  <c r="Y58" i="34" s="1"/>
  <c r="Z58" i="34" s="1"/>
  <c r="AA58" i="34" s="1"/>
  <c r="AB58" i="34" s="1"/>
  <c r="AC58" i="34" s="1"/>
  <c r="AD58" i="34" s="1"/>
  <c r="AE58" i="34" s="1"/>
  <c r="AF58" i="34" s="1"/>
  <c r="AG58" i="34" s="1"/>
  <c r="AH58" i="34" s="1"/>
  <c r="D47" i="25"/>
  <c r="O13" i="1"/>
  <c r="O34" i="1"/>
  <c r="O24" i="1"/>
  <c r="W15" i="7"/>
  <c r="D97" i="44" l="1"/>
  <c r="AJ47" i="36"/>
  <c r="E47" i="36"/>
  <c r="K89" i="24"/>
  <c r="N82" i="24"/>
  <c r="N90" i="24"/>
  <c r="N92" i="24"/>
  <c r="AJ51" i="36" l="1"/>
  <c r="AJ70" i="36" s="1"/>
  <c r="AJ48" i="36"/>
  <c r="AK47" i="36"/>
  <c r="AJ49" i="36"/>
  <c r="L88" i="24"/>
  <c r="L86" i="24"/>
  <c r="L85" i="24"/>
  <c r="L84" i="24"/>
  <c r="L83" i="24"/>
  <c r="L82" i="24"/>
  <c r="F47" i="36"/>
  <c r="G47" i="36" l="1"/>
  <c r="AK48" i="36"/>
  <c r="AK51" i="36"/>
  <c r="AK49" i="36"/>
  <c r="AL47" i="36"/>
  <c r="K4" i="4"/>
  <c r="K5" i="4" s="1"/>
  <c r="D40" i="36"/>
  <c r="G4" i="26"/>
  <c r="G5" i="26" s="1"/>
  <c r="G6" i="26" s="1"/>
  <c r="G7" i="26" s="1"/>
  <c r="L90" i="24"/>
  <c r="K4" i="8"/>
  <c r="K5" i="8" s="1"/>
  <c r="K6" i="8" s="1"/>
  <c r="D29" i="36"/>
  <c r="D18" i="36"/>
  <c r="E4" i="3"/>
  <c r="E5" i="3" s="1"/>
  <c r="E7" i="3" s="1"/>
  <c r="E8" i="3" s="1"/>
  <c r="E10" i="3" s="1"/>
  <c r="E11" i="3" s="1"/>
  <c r="E13" i="3" s="1"/>
  <c r="AJ50" i="36"/>
  <c r="X1" i="20"/>
  <c r="N1" i="20"/>
  <c r="D1" i="20"/>
  <c r="K6" i="4" l="1"/>
  <c r="AK50" i="36"/>
  <c r="AK52" i="36" s="1"/>
  <c r="AJ52" i="36"/>
  <c r="C36" i="42" s="1"/>
  <c r="AJ69" i="36"/>
  <c r="AJ72" i="36" s="1"/>
  <c r="K7" i="4"/>
  <c r="K8" i="4"/>
  <c r="D36" i="36"/>
  <c r="C33" i="38" s="1"/>
  <c r="AJ29" i="36"/>
  <c r="E29" i="36"/>
  <c r="G8" i="26"/>
  <c r="G9" i="26" s="1"/>
  <c r="AL48" i="36"/>
  <c r="AL51" i="36"/>
  <c r="AL49" i="36"/>
  <c r="AM47" i="36"/>
  <c r="H47" i="36"/>
  <c r="D20" i="36"/>
  <c r="D25" i="36" s="1"/>
  <c r="C34" i="38" s="1"/>
  <c r="E18" i="36"/>
  <c r="AJ18" i="36"/>
  <c r="D56" i="36"/>
  <c r="D59" i="36" s="1"/>
  <c r="K8" i="8"/>
  <c r="K10" i="8"/>
  <c r="K9" i="8"/>
  <c r="K7" i="8"/>
  <c r="E40" i="36"/>
  <c r="D43" i="36"/>
  <c r="C35" i="38" s="1"/>
  <c r="AJ40" i="36"/>
  <c r="O1" i="20"/>
  <c r="Y1" i="20"/>
  <c r="D74" i="12"/>
  <c r="E1" i="20"/>
  <c r="AK53" i="36" l="1"/>
  <c r="AK94" i="36" s="1"/>
  <c r="D36" i="42"/>
  <c r="D106" i="36"/>
  <c r="C37" i="38"/>
  <c r="AK55" i="36"/>
  <c r="AK90" i="36"/>
  <c r="D62" i="36"/>
  <c r="D60" i="36"/>
  <c r="K11" i="8"/>
  <c r="K9" i="4"/>
  <c r="F40" i="36"/>
  <c r="E42" i="36"/>
  <c r="D28" i="36"/>
  <c r="D84" i="36"/>
  <c r="D26" i="36"/>
  <c r="D87" i="36" s="1"/>
  <c r="I47" i="36"/>
  <c r="AL50" i="36"/>
  <c r="AL52" i="36" s="1"/>
  <c r="E36" i="42" s="1"/>
  <c r="D37" i="36"/>
  <c r="D81" i="36" s="1"/>
  <c r="D77" i="36"/>
  <c r="D39" i="36"/>
  <c r="AJ55" i="36"/>
  <c r="AJ53" i="36"/>
  <c r="AJ94" i="36" s="1"/>
  <c r="AJ90" i="36"/>
  <c r="AM51" i="36"/>
  <c r="AM48" i="36"/>
  <c r="AM49" i="36"/>
  <c r="AN47" i="36"/>
  <c r="AK40" i="36"/>
  <c r="AJ43" i="36"/>
  <c r="C35" i="42" s="1"/>
  <c r="AJ20" i="36"/>
  <c r="AJ25" i="36" s="1"/>
  <c r="C34" i="42" s="1"/>
  <c r="AJ56" i="36"/>
  <c r="AJ59" i="36" s="1"/>
  <c r="E33" i="36"/>
  <c r="E31" i="36"/>
  <c r="E34" i="36"/>
  <c r="E30" i="36"/>
  <c r="F29" i="36"/>
  <c r="D44" i="36"/>
  <c r="D97" i="36"/>
  <c r="D46" i="36"/>
  <c r="AK18" i="36"/>
  <c r="E19" i="36"/>
  <c r="E20" i="36" s="1"/>
  <c r="F18" i="36"/>
  <c r="E56" i="36"/>
  <c r="AJ36" i="36"/>
  <c r="C33" i="42" s="1"/>
  <c r="AK29" i="36"/>
  <c r="X205" i="20"/>
  <c r="D152" i="20"/>
  <c r="D205" i="20"/>
  <c r="N205" i="20"/>
  <c r="D103" i="20"/>
  <c r="X103" i="20"/>
  <c r="N103" i="20"/>
  <c r="N59" i="20"/>
  <c r="N61" i="20"/>
  <c r="N58" i="20"/>
  <c r="N60" i="20"/>
  <c r="D58" i="20"/>
  <c r="D60" i="20"/>
  <c r="D59" i="20"/>
  <c r="D61" i="20"/>
  <c r="X58" i="20"/>
  <c r="X60" i="20"/>
  <c r="X59" i="20"/>
  <c r="X61" i="20"/>
  <c r="D83" i="12"/>
  <c r="D219" i="12"/>
  <c r="D230" i="12" s="1"/>
  <c r="D157" i="20"/>
  <c r="D156" i="20"/>
  <c r="Y152" i="20"/>
  <c r="X152" i="20"/>
  <c r="X156" i="20"/>
  <c r="X157" i="20"/>
  <c r="N152" i="20"/>
  <c r="N157" i="20"/>
  <c r="N156" i="20"/>
  <c r="D108" i="20"/>
  <c r="D107" i="20"/>
  <c r="X52" i="20"/>
  <c r="N108" i="20"/>
  <c r="N107" i="20"/>
  <c r="X107" i="20"/>
  <c r="D52" i="20"/>
  <c r="N52" i="20"/>
  <c r="Z1" i="20"/>
  <c r="P1" i="20"/>
  <c r="F1" i="20"/>
  <c r="N55" i="48" l="1"/>
  <c r="N55" i="46"/>
  <c r="N55" i="42"/>
  <c r="N55" i="38"/>
  <c r="X57" i="48"/>
  <c r="X57" i="46"/>
  <c r="X57" i="42"/>
  <c r="X57" i="38"/>
  <c r="D57" i="48"/>
  <c r="D57" i="46"/>
  <c r="D57" i="42"/>
  <c r="D57" i="38"/>
  <c r="N58" i="48"/>
  <c r="N58" i="46"/>
  <c r="N58" i="42"/>
  <c r="N58" i="38"/>
  <c r="X56" i="48"/>
  <c r="X56" i="46"/>
  <c r="X56" i="42"/>
  <c r="X56" i="38"/>
  <c r="X55" i="48"/>
  <c r="X55" i="46"/>
  <c r="X55" i="42"/>
  <c r="X55" i="38"/>
  <c r="D55" i="48"/>
  <c r="D55" i="46"/>
  <c r="D55" i="42"/>
  <c r="D55" i="38"/>
  <c r="N56" i="48"/>
  <c r="N56" i="46"/>
  <c r="N56" i="42"/>
  <c r="N56" i="38"/>
  <c r="D56" i="48"/>
  <c r="D56" i="46"/>
  <c r="D56" i="42"/>
  <c r="D56" i="38"/>
  <c r="X58" i="48"/>
  <c r="X58" i="46"/>
  <c r="X58" i="42"/>
  <c r="X58" i="38"/>
  <c r="D58" i="48"/>
  <c r="D58" i="46"/>
  <c r="D58" i="42"/>
  <c r="D58" i="38"/>
  <c r="N57" i="46"/>
  <c r="N57" i="48"/>
  <c r="N57" i="42"/>
  <c r="N57" i="38"/>
  <c r="AJ106" i="36"/>
  <c r="C37" i="42"/>
  <c r="AJ60" i="36"/>
  <c r="AJ62" i="36"/>
  <c r="E35" i="36"/>
  <c r="AJ37" i="36"/>
  <c r="AJ81" i="36" s="1"/>
  <c r="AJ39" i="36"/>
  <c r="AJ77" i="36"/>
  <c r="AK19" i="36"/>
  <c r="AK20" i="36" s="1"/>
  <c r="AK56" i="36"/>
  <c r="G29" i="36"/>
  <c r="F30" i="36"/>
  <c r="F33" i="36"/>
  <c r="F31" i="36"/>
  <c r="F34" i="36"/>
  <c r="AJ44" i="36"/>
  <c r="AJ46" i="36"/>
  <c r="AJ97" i="36"/>
  <c r="AN48" i="36"/>
  <c r="AN49" i="36"/>
  <c r="AN51" i="36"/>
  <c r="AO47" i="36"/>
  <c r="E57" i="36"/>
  <c r="E58" i="36"/>
  <c r="AK42" i="36"/>
  <c r="AL40" i="36"/>
  <c r="AK41" i="36"/>
  <c r="AL90" i="36"/>
  <c r="AL55" i="36"/>
  <c r="AL53" i="36"/>
  <c r="AL94" i="36" s="1"/>
  <c r="AL18" i="36"/>
  <c r="G18" i="36"/>
  <c r="F19" i="36"/>
  <c r="F20" i="36" s="1"/>
  <c r="F56" i="36"/>
  <c r="AM50" i="36"/>
  <c r="AM52" i="36" s="1"/>
  <c r="F36" i="42" s="1"/>
  <c r="J47" i="36"/>
  <c r="AK34" i="36"/>
  <c r="AL29" i="36"/>
  <c r="AK31" i="36"/>
  <c r="AK33" i="36"/>
  <c r="AK30" i="36"/>
  <c r="E21" i="36"/>
  <c r="E22" i="36"/>
  <c r="AJ28" i="36"/>
  <c r="AJ84" i="36"/>
  <c r="AJ26" i="36"/>
  <c r="AJ87" i="36" s="1"/>
  <c r="G40" i="36"/>
  <c r="F42" i="36"/>
  <c r="E205" i="20"/>
  <c r="Y205" i="20"/>
  <c r="O205" i="20"/>
  <c r="D163" i="20"/>
  <c r="Y103" i="20"/>
  <c r="O103" i="20"/>
  <c r="E103" i="20"/>
  <c r="O58" i="20"/>
  <c r="O60" i="20"/>
  <c r="O59" i="20"/>
  <c r="O61" i="20"/>
  <c r="Y59" i="20"/>
  <c r="Y61" i="20"/>
  <c r="Y58" i="20"/>
  <c r="Y60" i="20"/>
  <c r="E59" i="20"/>
  <c r="E61" i="20"/>
  <c r="E58" i="20"/>
  <c r="E60" i="20"/>
  <c r="D164" i="20"/>
  <c r="Y156" i="20"/>
  <c r="Y157" i="20"/>
  <c r="Y163" i="20" s="1"/>
  <c r="Z156" i="20"/>
  <c r="F152" i="20"/>
  <c r="X164" i="20"/>
  <c r="X163" i="20"/>
  <c r="N164" i="20"/>
  <c r="N163" i="20"/>
  <c r="O152" i="20"/>
  <c r="O156" i="20"/>
  <c r="O157" i="20"/>
  <c r="E152" i="20"/>
  <c r="E157" i="20"/>
  <c r="E156" i="20"/>
  <c r="N116" i="20"/>
  <c r="N117" i="20"/>
  <c r="N115" i="20"/>
  <c r="D117" i="20"/>
  <c r="D116" i="20"/>
  <c r="D115" i="20"/>
  <c r="E52" i="20"/>
  <c r="E49" i="20" s="1"/>
  <c r="O52" i="20"/>
  <c r="Y107" i="20"/>
  <c r="N49" i="20"/>
  <c r="X49" i="20"/>
  <c r="D49" i="20"/>
  <c r="E108" i="20"/>
  <c r="E107" i="20"/>
  <c r="O108" i="20"/>
  <c r="O107" i="20"/>
  <c r="Y52" i="20"/>
  <c r="AA1" i="20"/>
  <c r="Q1" i="20"/>
  <c r="G1" i="20"/>
  <c r="O18" i="2"/>
  <c r="D7" i="13"/>
  <c r="E7" i="13"/>
  <c r="E58" i="48" l="1"/>
  <c r="E58" i="46"/>
  <c r="E58" i="42"/>
  <c r="E58" i="38"/>
  <c r="O55" i="48"/>
  <c r="O55" i="46"/>
  <c r="O55" i="42"/>
  <c r="O55" i="38"/>
  <c r="Y58" i="48"/>
  <c r="Y58" i="46"/>
  <c r="Y58" i="42"/>
  <c r="Y58" i="38"/>
  <c r="E56" i="48"/>
  <c r="E56" i="46"/>
  <c r="E56" i="42"/>
  <c r="E56" i="38"/>
  <c r="E57" i="48"/>
  <c r="E57" i="46"/>
  <c r="E57" i="42"/>
  <c r="E57" i="38"/>
  <c r="Y57" i="48"/>
  <c r="Y57" i="46"/>
  <c r="Y57" i="42"/>
  <c r="Y57" i="38"/>
  <c r="O58" i="46"/>
  <c r="O58" i="48"/>
  <c r="O58" i="42"/>
  <c r="O58" i="38"/>
  <c r="O57" i="48"/>
  <c r="O57" i="46"/>
  <c r="O57" i="42"/>
  <c r="O57" i="38"/>
  <c r="Y56" i="48"/>
  <c r="Y56" i="46"/>
  <c r="Y56" i="42"/>
  <c r="Y56" i="38"/>
  <c r="E55" i="48"/>
  <c r="E55" i="46"/>
  <c r="E55" i="42"/>
  <c r="E55" i="38"/>
  <c r="Y55" i="48"/>
  <c r="Y55" i="46"/>
  <c r="Y55" i="42"/>
  <c r="Y55" i="38"/>
  <c r="O56" i="48"/>
  <c r="O56" i="46"/>
  <c r="O56" i="42"/>
  <c r="O56" i="38"/>
  <c r="F35" i="36"/>
  <c r="AJ73" i="36"/>
  <c r="AJ75" i="36"/>
  <c r="AK35" i="36"/>
  <c r="E23" i="36"/>
  <c r="E25" i="36" s="1"/>
  <c r="E26" i="36" s="1"/>
  <c r="E87" i="36" s="1"/>
  <c r="AK32" i="36"/>
  <c r="F58" i="36"/>
  <c r="F57" i="36"/>
  <c r="AK43" i="36"/>
  <c r="D35" i="42" s="1"/>
  <c r="AO49" i="36"/>
  <c r="AP47" i="36"/>
  <c r="AO48" i="36"/>
  <c r="AO51" i="36"/>
  <c r="H40" i="36"/>
  <c r="G42" i="36"/>
  <c r="AM29" i="36"/>
  <c r="AL33" i="36"/>
  <c r="AL34" i="36"/>
  <c r="AL30" i="36"/>
  <c r="AL31" i="36"/>
  <c r="AL41" i="36"/>
  <c r="AM40" i="36"/>
  <c r="AL42" i="36"/>
  <c r="AK58" i="36"/>
  <c r="AK57" i="36"/>
  <c r="K47" i="36"/>
  <c r="G19" i="36"/>
  <c r="G20" i="36" s="1"/>
  <c r="H18" i="36"/>
  <c r="AM18" i="36"/>
  <c r="G56" i="36"/>
  <c r="E59" i="36"/>
  <c r="D37" i="38" s="1"/>
  <c r="AK21" i="36"/>
  <c r="AK22" i="36"/>
  <c r="AM90" i="36"/>
  <c r="AM53" i="36"/>
  <c r="AM94" i="36" s="1"/>
  <c r="AM55" i="36"/>
  <c r="F21" i="36"/>
  <c r="F22" i="36"/>
  <c r="AL19" i="36"/>
  <c r="AL20" i="36" s="1"/>
  <c r="AL56" i="36"/>
  <c r="AN50" i="36"/>
  <c r="AN52" i="36" s="1"/>
  <c r="G36" i="42" s="1"/>
  <c r="H29" i="36"/>
  <c r="G30" i="36"/>
  <c r="G33" i="36"/>
  <c r="G34" i="36"/>
  <c r="G31" i="36"/>
  <c r="P205" i="20"/>
  <c r="Z205" i="20"/>
  <c r="F205" i="20"/>
  <c r="P103" i="20"/>
  <c r="Z103" i="20"/>
  <c r="F108" i="20"/>
  <c r="F116" i="20" s="1"/>
  <c r="F59" i="20"/>
  <c r="F61" i="20"/>
  <c r="F58" i="20"/>
  <c r="F60" i="20"/>
  <c r="P58" i="20"/>
  <c r="P60" i="20"/>
  <c r="P59" i="20"/>
  <c r="P61" i="20"/>
  <c r="Z59" i="20"/>
  <c r="Z61" i="20"/>
  <c r="Z58" i="20"/>
  <c r="Z60" i="20"/>
  <c r="F157" i="20"/>
  <c r="F164" i="20" s="1"/>
  <c r="Y164" i="20"/>
  <c r="Z152" i="20"/>
  <c r="F156" i="20"/>
  <c r="Z157" i="20"/>
  <c r="Z164" i="20" s="1"/>
  <c r="AA156" i="20"/>
  <c r="G152" i="20"/>
  <c r="E164" i="20"/>
  <c r="E163" i="20"/>
  <c r="O164" i="20"/>
  <c r="O163" i="20"/>
  <c r="P152" i="20"/>
  <c r="P156" i="20"/>
  <c r="P157" i="20"/>
  <c r="P52" i="20"/>
  <c r="Z107" i="20"/>
  <c r="O49" i="20"/>
  <c r="O116" i="20"/>
  <c r="O117" i="20"/>
  <c r="O115" i="20"/>
  <c r="E117" i="20"/>
  <c r="E116" i="20"/>
  <c r="E115" i="20"/>
  <c r="Y49" i="20"/>
  <c r="F107" i="20"/>
  <c r="F103" i="20"/>
  <c r="P107" i="20"/>
  <c r="P108" i="20"/>
  <c r="F52" i="20"/>
  <c r="Z52" i="20"/>
  <c r="AB1" i="20"/>
  <c r="R1" i="20"/>
  <c r="H1" i="20"/>
  <c r="Z56" i="48" l="1"/>
  <c r="Z56" i="46"/>
  <c r="Z56" i="42"/>
  <c r="Z56" i="38"/>
  <c r="F56" i="48"/>
  <c r="F56" i="46"/>
  <c r="F56" i="42"/>
  <c r="F56" i="38"/>
  <c r="P58" i="48"/>
  <c r="P58" i="46"/>
  <c r="P58" i="42"/>
  <c r="P58" i="38"/>
  <c r="Z55" i="48"/>
  <c r="Z55" i="46"/>
  <c r="Z55" i="42"/>
  <c r="Z55" i="38"/>
  <c r="P56" i="48"/>
  <c r="P56" i="46"/>
  <c r="P56" i="42"/>
  <c r="P56" i="38"/>
  <c r="F55" i="48"/>
  <c r="F55" i="46"/>
  <c r="F55" i="42"/>
  <c r="F55" i="38"/>
  <c r="P55" i="46"/>
  <c r="P55" i="48"/>
  <c r="P55" i="42"/>
  <c r="P55" i="38"/>
  <c r="Z57" i="48"/>
  <c r="Z57" i="46"/>
  <c r="Z57" i="42"/>
  <c r="Z57" i="38"/>
  <c r="F57" i="48"/>
  <c r="F57" i="46"/>
  <c r="F57" i="42"/>
  <c r="F57" i="38"/>
  <c r="Z58" i="48"/>
  <c r="Z58" i="46"/>
  <c r="Z58" i="42"/>
  <c r="Z58" i="38"/>
  <c r="P57" i="48"/>
  <c r="P57" i="46"/>
  <c r="P57" i="42"/>
  <c r="P57" i="38"/>
  <c r="F58" i="48"/>
  <c r="F58" i="46"/>
  <c r="F58" i="42"/>
  <c r="F58" i="38"/>
  <c r="E84" i="36"/>
  <c r="D34" i="38"/>
  <c r="E28" i="36"/>
  <c r="F23" i="36"/>
  <c r="F25" i="36" s="1"/>
  <c r="G35" i="36"/>
  <c r="AK70" i="36"/>
  <c r="AL32" i="36"/>
  <c r="AK36" i="36"/>
  <c r="D33" i="42" s="1"/>
  <c r="AK23" i="36"/>
  <c r="AK69" i="36" s="1"/>
  <c r="AL43" i="36"/>
  <c r="E35" i="42" s="1"/>
  <c r="AL35" i="36"/>
  <c r="G58" i="36"/>
  <c r="G57" i="36"/>
  <c r="AM42" i="36"/>
  <c r="AM41" i="36"/>
  <c r="AN40" i="36"/>
  <c r="AP48" i="36"/>
  <c r="AQ47" i="36"/>
  <c r="AP49" i="36"/>
  <c r="AP51" i="36"/>
  <c r="F59" i="36"/>
  <c r="E37" i="38" s="1"/>
  <c r="H33" i="36"/>
  <c r="H34" i="36"/>
  <c r="H31" i="36"/>
  <c r="I29" i="36"/>
  <c r="H30" i="36"/>
  <c r="AL21" i="36"/>
  <c r="AL22" i="36"/>
  <c r="E62" i="36"/>
  <c r="E60" i="36"/>
  <c r="AM19" i="36"/>
  <c r="AM20" i="36" s="1"/>
  <c r="AM56" i="36"/>
  <c r="AN90" i="36"/>
  <c r="AN53" i="36"/>
  <c r="AN94" i="36" s="1"/>
  <c r="AN55" i="36"/>
  <c r="AL57" i="36"/>
  <c r="AL58" i="36"/>
  <c r="I18" i="36"/>
  <c r="H19" i="36"/>
  <c r="H20" i="36" s="1"/>
  <c r="AN18" i="36"/>
  <c r="H56" i="36"/>
  <c r="AK59" i="36"/>
  <c r="D37" i="42" s="1"/>
  <c r="AM30" i="36"/>
  <c r="AM31" i="36"/>
  <c r="AM33" i="36"/>
  <c r="AN29" i="36"/>
  <c r="AM34" i="36"/>
  <c r="I40" i="36"/>
  <c r="H42" i="36"/>
  <c r="G22" i="36"/>
  <c r="G21" i="36"/>
  <c r="L47" i="36"/>
  <c r="AO50" i="36"/>
  <c r="AO52" i="36" s="1"/>
  <c r="H36" i="42" s="1"/>
  <c r="AK97" i="36"/>
  <c r="AK46" i="36"/>
  <c r="AK44" i="36"/>
  <c r="AA205" i="20"/>
  <c r="G205" i="20"/>
  <c r="Q205" i="20"/>
  <c r="F117" i="20"/>
  <c r="F115" i="20"/>
  <c r="Q103" i="20"/>
  <c r="G59" i="20"/>
  <c r="G61" i="20"/>
  <c r="G60" i="20"/>
  <c r="G58" i="20"/>
  <c r="AA60" i="20"/>
  <c r="AA59" i="20"/>
  <c r="AA61" i="20"/>
  <c r="AA58" i="20"/>
  <c r="Q59" i="20"/>
  <c r="Q58" i="20"/>
  <c r="Q60" i="20"/>
  <c r="Q61" i="20"/>
  <c r="F163" i="20"/>
  <c r="AA152" i="20"/>
  <c r="Z163" i="20"/>
  <c r="G157" i="20"/>
  <c r="G163" i="20" s="1"/>
  <c r="G156" i="20"/>
  <c r="AA157" i="20"/>
  <c r="AA164" i="20" s="1"/>
  <c r="H156" i="20"/>
  <c r="P164" i="20"/>
  <c r="P163" i="20"/>
  <c r="Q152" i="20"/>
  <c r="Q157" i="20"/>
  <c r="Q156" i="20"/>
  <c r="P49" i="20"/>
  <c r="P117" i="20"/>
  <c r="P116" i="20"/>
  <c r="P115" i="20"/>
  <c r="F49" i="20"/>
  <c r="G108" i="20"/>
  <c r="G103" i="20"/>
  <c r="Z49" i="20"/>
  <c r="G107" i="20"/>
  <c r="AA107" i="20"/>
  <c r="AA103" i="20"/>
  <c r="Q52" i="20"/>
  <c r="Q107" i="20"/>
  <c r="Q108" i="20"/>
  <c r="AC1" i="20"/>
  <c r="G52" i="20"/>
  <c r="AA52" i="20"/>
  <c r="S1" i="20"/>
  <c r="D7" i="20"/>
  <c r="I1" i="20"/>
  <c r="G55" i="48" l="1"/>
  <c r="G55" i="46"/>
  <c r="G55" i="42"/>
  <c r="G55" i="38"/>
  <c r="G57" i="48"/>
  <c r="G57" i="46"/>
  <c r="G57" i="42"/>
  <c r="G57" i="38"/>
  <c r="Q58" i="48"/>
  <c r="Q58" i="46"/>
  <c r="Q58" i="42"/>
  <c r="Q58" i="38"/>
  <c r="AA55" i="48"/>
  <c r="AA55" i="46"/>
  <c r="AA55" i="42"/>
  <c r="AA55" i="38"/>
  <c r="Q57" i="48"/>
  <c r="Q57" i="46"/>
  <c r="Q57" i="42"/>
  <c r="Q57" i="38"/>
  <c r="AA58" i="48"/>
  <c r="AA58" i="46"/>
  <c r="AA58" i="42"/>
  <c r="AA58" i="38"/>
  <c r="Q55" i="48"/>
  <c r="Q55" i="46"/>
  <c r="Q55" i="42"/>
  <c r="Q55" i="38"/>
  <c r="AA56" i="48"/>
  <c r="AA56" i="46"/>
  <c r="AA56" i="42"/>
  <c r="AA56" i="38"/>
  <c r="G58" i="48"/>
  <c r="G58" i="46"/>
  <c r="G58" i="42"/>
  <c r="G58" i="38"/>
  <c r="Q56" i="48"/>
  <c r="Q56" i="46"/>
  <c r="Q56" i="42"/>
  <c r="Q56" i="38"/>
  <c r="AA57" i="48"/>
  <c r="AA57" i="46"/>
  <c r="AA57" i="42"/>
  <c r="AA57" i="38"/>
  <c r="G56" i="48"/>
  <c r="G56" i="46"/>
  <c r="G56" i="42"/>
  <c r="G56" i="38"/>
  <c r="F28" i="36"/>
  <c r="E34" i="38"/>
  <c r="F84" i="36"/>
  <c r="AL70" i="36"/>
  <c r="AP50" i="36"/>
  <c r="AP52" i="36" s="1"/>
  <c r="I36" i="42" s="1"/>
  <c r="AL23" i="36"/>
  <c r="AL25" i="36" s="1"/>
  <c r="E34" i="42" s="1"/>
  <c r="F26" i="36"/>
  <c r="F87" i="36" s="1"/>
  <c r="AK25" i="36"/>
  <c r="D34" i="42" s="1"/>
  <c r="AL59" i="36"/>
  <c r="E37" i="42" s="1"/>
  <c r="H35" i="36"/>
  <c r="AL36" i="36"/>
  <c r="E33" i="42" s="1"/>
  <c r="AM35" i="36"/>
  <c r="AK37" i="36"/>
  <c r="AK81" i="36" s="1"/>
  <c r="AK39" i="36"/>
  <c r="AK77" i="36"/>
  <c r="AL97" i="36"/>
  <c r="AL44" i="36"/>
  <c r="AL46" i="36"/>
  <c r="AM32" i="36"/>
  <c r="G23" i="36"/>
  <c r="G25" i="36" s="1"/>
  <c r="AO40" i="36"/>
  <c r="AN42" i="36"/>
  <c r="AN41" i="36"/>
  <c r="AO90" i="36"/>
  <c r="AO53" i="36"/>
  <c r="AO94" i="36" s="1"/>
  <c r="AO55" i="36"/>
  <c r="M47" i="36"/>
  <c r="H21" i="36"/>
  <c r="H22" i="36"/>
  <c r="AO18" i="36"/>
  <c r="J18" i="36"/>
  <c r="I19" i="36"/>
  <c r="I20" i="36" s="1"/>
  <c r="I56" i="36"/>
  <c r="J29" i="36"/>
  <c r="I33" i="36"/>
  <c r="I31" i="36"/>
  <c r="I30" i="36"/>
  <c r="I34" i="36"/>
  <c r="AM43" i="36"/>
  <c r="F35" i="42" s="1"/>
  <c r="H58" i="36"/>
  <c r="H57" i="36"/>
  <c r="AM21" i="36"/>
  <c r="AM22" i="36"/>
  <c r="AQ49" i="36"/>
  <c r="AR47" i="36"/>
  <c r="AQ51" i="36"/>
  <c r="AQ48" i="36"/>
  <c r="J40" i="36"/>
  <c r="I42" i="36"/>
  <c r="AN30" i="36"/>
  <c r="AN31" i="36"/>
  <c r="AO29" i="36"/>
  <c r="AN34" i="36"/>
  <c r="AN33" i="36"/>
  <c r="AK60" i="36"/>
  <c r="AK62" i="36"/>
  <c r="AN19" i="36"/>
  <c r="AN20" i="36" s="1"/>
  <c r="AN56" i="36"/>
  <c r="AM57" i="36"/>
  <c r="AM58" i="36"/>
  <c r="AM70" i="36" s="1"/>
  <c r="F62" i="36"/>
  <c r="F60" i="36"/>
  <c r="G59" i="36"/>
  <c r="F37" i="38" s="1"/>
  <c r="AL84" i="36"/>
  <c r="H205" i="20"/>
  <c r="R205" i="20"/>
  <c r="AB205" i="20"/>
  <c r="R103" i="20"/>
  <c r="AB103" i="20"/>
  <c r="H58" i="20"/>
  <c r="H60" i="20"/>
  <c r="H59" i="20"/>
  <c r="H61" i="20"/>
  <c r="AB58" i="20"/>
  <c r="AB60" i="20"/>
  <c r="AB59" i="20"/>
  <c r="AB61" i="20"/>
  <c r="R59" i="20"/>
  <c r="R61" i="20"/>
  <c r="R58" i="20"/>
  <c r="R60" i="20"/>
  <c r="G164" i="20"/>
  <c r="H152" i="20"/>
  <c r="AA163" i="20"/>
  <c r="H157" i="20"/>
  <c r="H164" i="20" s="1"/>
  <c r="AC152" i="20"/>
  <c r="I156" i="20"/>
  <c r="Q164" i="20"/>
  <c r="Q163" i="20"/>
  <c r="R152" i="20"/>
  <c r="R156" i="20"/>
  <c r="R157" i="20"/>
  <c r="AB152" i="20"/>
  <c r="AB156" i="20"/>
  <c r="AB157" i="20"/>
  <c r="G116" i="20"/>
  <c r="G117" i="20"/>
  <c r="G115" i="20"/>
  <c r="Q117" i="20"/>
  <c r="Q116" i="20"/>
  <c r="Q115" i="20"/>
  <c r="H107" i="20"/>
  <c r="H103" i="20"/>
  <c r="Q49" i="20"/>
  <c r="G49" i="20"/>
  <c r="AA49" i="20"/>
  <c r="H52" i="20"/>
  <c r="H108" i="20"/>
  <c r="AB107" i="20"/>
  <c r="R108" i="20"/>
  <c r="R107" i="20"/>
  <c r="AD1" i="20"/>
  <c r="R52" i="20"/>
  <c r="AB52" i="20"/>
  <c r="T1" i="20"/>
  <c r="E7" i="20"/>
  <c r="J1" i="20"/>
  <c r="AM36" i="36" l="1"/>
  <c r="AM77" i="36" s="1"/>
  <c r="AL69" i="36"/>
  <c r="AB56" i="48"/>
  <c r="AB56" i="46"/>
  <c r="AB56" i="42"/>
  <c r="AB56" i="38"/>
  <c r="R58" i="48"/>
  <c r="R58" i="46"/>
  <c r="R58" i="42"/>
  <c r="R58" i="38"/>
  <c r="AB57" i="48"/>
  <c r="AB57" i="46"/>
  <c r="AB57" i="42"/>
  <c r="AB57" i="38"/>
  <c r="H57" i="48"/>
  <c r="H57" i="46"/>
  <c r="H57" i="42"/>
  <c r="H57" i="38"/>
  <c r="R55" i="48"/>
  <c r="R55" i="46"/>
  <c r="R55" i="42"/>
  <c r="R55" i="38"/>
  <c r="H56" i="48"/>
  <c r="H56" i="46"/>
  <c r="H56" i="42"/>
  <c r="H56" i="38"/>
  <c r="R56" i="48"/>
  <c r="R56" i="46"/>
  <c r="R56" i="42"/>
  <c r="R56" i="38"/>
  <c r="AB55" i="48"/>
  <c r="AB55" i="46"/>
  <c r="AB55" i="42"/>
  <c r="AB55" i="38"/>
  <c r="H55" i="48"/>
  <c r="H55" i="46"/>
  <c r="H55" i="42"/>
  <c r="H55" i="38"/>
  <c r="R57" i="48"/>
  <c r="R57" i="46"/>
  <c r="R57" i="42"/>
  <c r="R57" i="38"/>
  <c r="AB58" i="48"/>
  <c r="AB58" i="46"/>
  <c r="AB58" i="42"/>
  <c r="AB58" i="38"/>
  <c r="H58" i="48"/>
  <c r="H58" i="46"/>
  <c r="H58" i="42"/>
  <c r="H58" i="38"/>
  <c r="AM39" i="36"/>
  <c r="F33" i="42"/>
  <c r="AK84" i="36"/>
  <c r="AK26" i="36"/>
  <c r="AK87" i="36" s="1"/>
  <c r="AM37" i="36"/>
  <c r="AM81" i="36" s="1"/>
  <c r="AK28" i="36"/>
  <c r="G26" i="36"/>
  <c r="G87" i="36" s="1"/>
  <c r="F34" i="38"/>
  <c r="AQ50" i="36"/>
  <c r="AQ52" i="36" s="1"/>
  <c r="H59" i="36"/>
  <c r="AL28" i="36"/>
  <c r="AL26" i="36"/>
  <c r="AL87" i="36" s="1"/>
  <c r="G84" i="36"/>
  <c r="AL60" i="36"/>
  <c r="AL62" i="36"/>
  <c r="G28" i="36"/>
  <c r="H23" i="36"/>
  <c r="H25" i="36" s="1"/>
  <c r="AM23" i="36"/>
  <c r="AM25" i="36" s="1"/>
  <c r="AN43" i="36"/>
  <c r="I35" i="36"/>
  <c r="AN32" i="36"/>
  <c r="AL37" i="36"/>
  <c r="AL81" i="36" s="1"/>
  <c r="AL39" i="36"/>
  <c r="AL77" i="36"/>
  <c r="AN35" i="36"/>
  <c r="AN58" i="36"/>
  <c r="AN57" i="36"/>
  <c r="AP90" i="36"/>
  <c r="AP53" i="36"/>
  <c r="AP94" i="36" s="1"/>
  <c r="AP55" i="36"/>
  <c r="AM59" i="36"/>
  <c r="F37" i="42" s="1"/>
  <c r="K40" i="36"/>
  <c r="J42" i="36"/>
  <c r="J34" i="36"/>
  <c r="J31" i="36"/>
  <c r="J33" i="36"/>
  <c r="J30" i="36"/>
  <c r="K29" i="36"/>
  <c r="AP18" i="36"/>
  <c r="J19" i="36"/>
  <c r="J20" i="36" s="1"/>
  <c r="K18" i="36"/>
  <c r="J56" i="36"/>
  <c r="AM46" i="36"/>
  <c r="AM44" i="36"/>
  <c r="AM97" i="36"/>
  <c r="I22" i="36"/>
  <c r="I21" i="36"/>
  <c r="AO19" i="36"/>
  <c r="AO20" i="36" s="1"/>
  <c r="AO56" i="36"/>
  <c r="AN22" i="36"/>
  <c r="AN21" i="36"/>
  <c r="I58" i="36"/>
  <c r="I57" i="36"/>
  <c r="N47" i="36"/>
  <c r="G60" i="36"/>
  <c r="G62" i="36"/>
  <c r="AO33" i="36"/>
  <c r="AO31" i="36"/>
  <c r="AP29" i="36"/>
  <c r="AO34" i="36"/>
  <c r="AO30" i="36"/>
  <c r="AR49" i="36"/>
  <c r="AR51" i="36"/>
  <c r="AS47" i="36"/>
  <c r="AR48" i="36"/>
  <c r="H60" i="36"/>
  <c r="AO41" i="36"/>
  <c r="AO42" i="36"/>
  <c r="AP40" i="36"/>
  <c r="S205" i="20"/>
  <c r="AC205" i="20"/>
  <c r="I205" i="20"/>
  <c r="AC103" i="20"/>
  <c r="I103" i="20"/>
  <c r="S103" i="20"/>
  <c r="S59" i="20"/>
  <c r="S61" i="20"/>
  <c r="S60" i="20"/>
  <c r="S58" i="20"/>
  <c r="I58" i="20"/>
  <c r="I60" i="20"/>
  <c r="I59" i="20"/>
  <c r="I61" i="20"/>
  <c r="AC58" i="20"/>
  <c r="AC60" i="20"/>
  <c r="AC59" i="20"/>
  <c r="AC61" i="20"/>
  <c r="AC156" i="20"/>
  <c r="I152" i="20"/>
  <c r="H163" i="20"/>
  <c r="I157" i="20"/>
  <c r="I164" i="20" s="1"/>
  <c r="AC157" i="20"/>
  <c r="AC163" i="20" s="1"/>
  <c r="J152" i="20"/>
  <c r="R164" i="20"/>
  <c r="R163" i="20"/>
  <c r="AB164" i="20"/>
  <c r="AB163" i="20"/>
  <c r="S152" i="20"/>
  <c r="S156" i="20"/>
  <c r="S157" i="20"/>
  <c r="AE1" i="20"/>
  <c r="I107" i="20"/>
  <c r="H117" i="20"/>
  <c r="H116" i="20"/>
  <c r="H115" i="20"/>
  <c r="R116" i="20"/>
  <c r="R117" i="20"/>
  <c r="R115" i="20"/>
  <c r="I108" i="20"/>
  <c r="AC107" i="20"/>
  <c r="AB49" i="20"/>
  <c r="R49" i="20"/>
  <c r="H49" i="20"/>
  <c r="AC52" i="20"/>
  <c r="S108" i="20"/>
  <c r="S107" i="20"/>
  <c r="I52" i="20"/>
  <c r="S52" i="20"/>
  <c r="U1" i="20"/>
  <c r="F7" i="20"/>
  <c r="K1" i="20"/>
  <c r="AN36" i="36" l="1"/>
  <c r="G33" i="42" s="1"/>
  <c r="AC56" i="46"/>
  <c r="AC56" i="48"/>
  <c r="AC56" i="42"/>
  <c r="AC56" i="38"/>
  <c r="S57" i="48"/>
  <c r="S57" i="46"/>
  <c r="S57" i="42"/>
  <c r="S57" i="38"/>
  <c r="AC57" i="48"/>
  <c r="AC57" i="46"/>
  <c r="AC57" i="42"/>
  <c r="AC57" i="38"/>
  <c r="S58" i="48"/>
  <c r="S58" i="46"/>
  <c r="S58" i="42"/>
  <c r="S58" i="38"/>
  <c r="AC55" i="48"/>
  <c r="AC55" i="46"/>
  <c r="AC55" i="42"/>
  <c r="AC55" i="38"/>
  <c r="I55" i="48"/>
  <c r="I55" i="46"/>
  <c r="I55" i="42"/>
  <c r="I55" i="38"/>
  <c r="S56" i="48"/>
  <c r="S56" i="46"/>
  <c r="S56" i="42"/>
  <c r="S56" i="38"/>
  <c r="I56" i="46"/>
  <c r="I56" i="48"/>
  <c r="I56" i="42"/>
  <c r="I56" i="38"/>
  <c r="I57" i="48"/>
  <c r="I57" i="46"/>
  <c r="I57" i="42"/>
  <c r="I57" i="38"/>
  <c r="AC58" i="48"/>
  <c r="AC58" i="46"/>
  <c r="AC58" i="42"/>
  <c r="AC58" i="38"/>
  <c r="I58" i="48"/>
  <c r="I58" i="46"/>
  <c r="I58" i="42"/>
  <c r="I58" i="38"/>
  <c r="S55" i="48"/>
  <c r="S55" i="46"/>
  <c r="S55" i="42"/>
  <c r="S55" i="38"/>
  <c r="AN97" i="36"/>
  <c r="G35" i="42"/>
  <c r="AQ90" i="36"/>
  <c r="J36" i="42"/>
  <c r="AM28" i="36"/>
  <c r="F34" i="42"/>
  <c r="H62" i="36"/>
  <c r="G37" i="38"/>
  <c r="H28" i="36"/>
  <c r="G34" i="38"/>
  <c r="AQ55" i="36"/>
  <c r="AQ53" i="36"/>
  <c r="AQ94" i="36" s="1"/>
  <c r="AR50" i="36"/>
  <c r="AR52" i="36" s="1"/>
  <c r="H84" i="36"/>
  <c r="I23" i="36"/>
  <c r="I25" i="36" s="1"/>
  <c r="H34" i="38" s="1"/>
  <c r="H26" i="36"/>
  <c r="H87" i="36" s="1"/>
  <c r="AM26" i="36"/>
  <c r="AM87" i="36" s="1"/>
  <c r="AM84" i="36"/>
  <c r="AM69" i="36"/>
  <c r="AN59" i="36"/>
  <c r="AN60" i="36" s="1"/>
  <c r="AN44" i="36"/>
  <c r="AN46" i="36"/>
  <c r="AO32" i="36"/>
  <c r="AN39" i="36"/>
  <c r="AN37" i="36"/>
  <c r="AN81" i="36" s="1"/>
  <c r="AN77" i="36"/>
  <c r="AO35" i="36"/>
  <c r="J35" i="36"/>
  <c r="I59" i="36"/>
  <c r="AN23" i="36"/>
  <c r="AN69" i="36" s="1"/>
  <c r="AQ18" i="36"/>
  <c r="L18" i="36"/>
  <c r="K19" i="36"/>
  <c r="K20" i="36" s="1"/>
  <c r="K56" i="36"/>
  <c r="K42" i="36"/>
  <c r="L40" i="36"/>
  <c r="AO43" i="36"/>
  <c r="H35" i="42" s="1"/>
  <c r="J22" i="36"/>
  <c r="J21" i="36"/>
  <c r="AM60" i="36"/>
  <c r="AM62" i="36"/>
  <c r="AN70" i="36"/>
  <c r="AO57" i="36"/>
  <c r="AO58" i="36"/>
  <c r="AP19" i="36"/>
  <c r="AP20" i="36" s="1"/>
  <c r="AP56" i="36"/>
  <c r="L29" i="36"/>
  <c r="K30" i="36"/>
  <c r="K31" i="36"/>
  <c r="K34" i="36"/>
  <c r="K33" i="36"/>
  <c r="AP31" i="36"/>
  <c r="AP34" i="36"/>
  <c r="AP30" i="36"/>
  <c r="AQ29" i="36"/>
  <c r="AP33" i="36"/>
  <c r="AQ40" i="36"/>
  <c r="AP41" i="36"/>
  <c r="AP42" i="36"/>
  <c r="AS51" i="36"/>
  <c r="AS49" i="36"/>
  <c r="AT47" i="36"/>
  <c r="AS48" i="36"/>
  <c r="O47" i="36"/>
  <c r="AO21" i="36"/>
  <c r="AO22" i="36"/>
  <c r="J57" i="36"/>
  <c r="J58" i="36"/>
  <c r="J205" i="20"/>
  <c r="AD205" i="20"/>
  <c r="T205" i="20"/>
  <c r="T103" i="20"/>
  <c r="AD103" i="20"/>
  <c r="T58" i="20"/>
  <c r="T60" i="20"/>
  <c r="T59" i="20"/>
  <c r="T61" i="20"/>
  <c r="AE59" i="20"/>
  <c r="AE61" i="20"/>
  <c r="AE58" i="20"/>
  <c r="AE60" i="20"/>
  <c r="AD59" i="20"/>
  <c r="AD61" i="20"/>
  <c r="AD58" i="20"/>
  <c r="AD60" i="20"/>
  <c r="J59" i="20"/>
  <c r="J61" i="20"/>
  <c r="J58" i="20"/>
  <c r="J60" i="20"/>
  <c r="J157" i="20"/>
  <c r="J163" i="20" s="1"/>
  <c r="I163" i="20"/>
  <c r="AC164" i="20"/>
  <c r="AE157" i="20"/>
  <c r="J156" i="20"/>
  <c r="K152" i="20"/>
  <c r="S164" i="20"/>
  <c r="S163" i="20"/>
  <c r="AF1" i="20"/>
  <c r="T152" i="20"/>
  <c r="T156" i="20"/>
  <c r="T157" i="20"/>
  <c r="AD152" i="20"/>
  <c r="AD157" i="20"/>
  <c r="AD156" i="20"/>
  <c r="I117" i="20"/>
  <c r="I116" i="20"/>
  <c r="I115" i="20"/>
  <c r="S116" i="20"/>
  <c r="S117" i="20"/>
  <c r="S115" i="20"/>
  <c r="T52" i="20"/>
  <c r="AD52" i="20"/>
  <c r="I49" i="20"/>
  <c r="S49" i="20"/>
  <c r="AD107" i="20"/>
  <c r="AC49" i="20"/>
  <c r="J108" i="20"/>
  <c r="J103" i="20"/>
  <c r="J107" i="20"/>
  <c r="T107" i="20"/>
  <c r="T108" i="20"/>
  <c r="J52" i="20"/>
  <c r="V1" i="20"/>
  <c r="G7" i="20"/>
  <c r="L1" i="20"/>
  <c r="AN25" i="36" l="1"/>
  <c r="G34" i="42" s="1"/>
  <c r="I84" i="36"/>
  <c r="AE57" i="48"/>
  <c r="AE57" i="46"/>
  <c r="AE57" i="42"/>
  <c r="AE57" i="38"/>
  <c r="AD55" i="48"/>
  <c r="AD55" i="46"/>
  <c r="AD55" i="42"/>
  <c r="AD55" i="38"/>
  <c r="AD57" i="46"/>
  <c r="AD57" i="48"/>
  <c r="AD57" i="42"/>
  <c r="AD57" i="38"/>
  <c r="J55" i="48"/>
  <c r="J55" i="46"/>
  <c r="J55" i="42"/>
  <c r="J55" i="38"/>
  <c r="T56" i="48"/>
  <c r="T56" i="46"/>
  <c r="T56" i="42"/>
  <c r="T56" i="38"/>
  <c r="J58" i="48"/>
  <c r="J58" i="46"/>
  <c r="J58" i="42"/>
  <c r="J58" i="38"/>
  <c r="AD58" i="48"/>
  <c r="AD58" i="46"/>
  <c r="AD58" i="42"/>
  <c r="AD58" i="38"/>
  <c r="AE58" i="46"/>
  <c r="AE58" i="48"/>
  <c r="AE58" i="42"/>
  <c r="AE58" i="38"/>
  <c r="T57" i="48"/>
  <c r="T57" i="46"/>
  <c r="T57" i="42"/>
  <c r="T57" i="38"/>
  <c r="J57" i="46"/>
  <c r="J57" i="48"/>
  <c r="J57" i="42"/>
  <c r="J57" i="38"/>
  <c r="T58" i="48"/>
  <c r="T58" i="46"/>
  <c r="T58" i="42"/>
  <c r="T58" i="38"/>
  <c r="AE55" i="48"/>
  <c r="AE55" i="46"/>
  <c r="AE55" i="42"/>
  <c r="AE55" i="38"/>
  <c r="J56" i="48"/>
  <c r="J56" i="46"/>
  <c r="J56" i="42"/>
  <c r="J56" i="38"/>
  <c r="AD56" i="48"/>
  <c r="AD56" i="46"/>
  <c r="AD56" i="42"/>
  <c r="AD56" i="38"/>
  <c r="AE56" i="48"/>
  <c r="AE56" i="46"/>
  <c r="AE56" i="42"/>
  <c r="AE56" i="38"/>
  <c r="T55" i="48"/>
  <c r="T55" i="46"/>
  <c r="T55" i="42"/>
  <c r="T55" i="38"/>
  <c r="AO70" i="36"/>
  <c r="AN62" i="36"/>
  <c r="G37" i="42"/>
  <c r="AR55" i="36"/>
  <c r="K36" i="42"/>
  <c r="I60" i="36"/>
  <c r="H37" i="38"/>
  <c r="AP35" i="36"/>
  <c r="AO36" i="36"/>
  <c r="H33" i="42" s="1"/>
  <c r="AR90" i="36"/>
  <c r="AR53" i="36"/>
  <c r="AR94" i="36" s="1"/>
  <c r="I62" i="36"/>
  <c r="I26" i="36"/>
  <c r="I87" i="36" s="1"/>
  <c r="I28" i="36"/>
  <c r="J59" i="36"/>
  <c r="AO23" i="36"/>
  <c r="AO69" i="36" s="1"/>
  <c r="K35" i="36"/>
  <c r="AP32" i="36"/>
  <c r="J23" i="36"/>
  <c r="J25" i="36" s="1"/>
  <c r="AN28" i="36"/>
  <c r="AN84" i="36"/>
  <c r="AN26" i="36"/>
  <c r="AN87" i="36" s="1"/>
  <c r="AS50" i="36"/>
  <c r="AS52" i="36" s="1"/>
  <c r="L36" i="42" s="1"/>
  <c r="AQ33" i="36"/>
  <c r="AQ30" i="36"/>
  <c r="AQ31" i="36"/>
  <c r="AQ34" i="36"/>
  <c r="AR29" i="36"/>
  <c r="L33" i="36"/>
  <c r="L34" i="36"/>
  <c r="L30" i="36"/>
  <c r="L31" i="36"/>
  <c r="M29" i="36"/>
  <c r="M40" i="36"/>
  <c r="L42" i="36"/>
  <c r="K22" i="36"/>
  <c r="K21" i="36"/>
  <c r="K58" i="36"/>
  <c r="K57" i="36"/>
  <c r="P47" i="36"/>
  <c r="AT51" i="36"/>
  <c r="AT48" i="36"/>
  <c r="AU47" i="36"/>
  <c r="AT49" i="36"/>
  <c r="AP43" i="36"/>
  <c r="I35" i="42" s="1"/>
  <c r="AP21" i="36"/>
  <c r="AP22" i="36"/>
  <c r="AO59" i="36"/>
  <c r="H37" i="42" s="1"/>
  <c r="AO97" i="36"/>
  <c r="AO44" i="36"/>
  <c r="AO46" i="36"/>
  <c r="AR18" i="36"/>
  <c r="M18" i="36"/>
  <c r="L19" i="36"/>
  <c r="L20" i="36" s="1"/>
  <c r="L56" i="36"/>
  <c r="AQ42" i="36"/>
  <c r="AR40" i="36"/>
  <c r="AQ41" i="36"/>
  <c r="AP57" i="36"/>
  <c r="AP58" i="36"/>
  <c r="AP70" i="36" s="1"/>
  <c r="AQ19" i="36"/>
  <c r="AQ20" i="36" s="1"/>
  <c r="AQ56" i="36"/>
  <c r="AE205" i="20"/>
  <c r="U205" i="20"/>
  <c r="K205" i="20"/>
  <c r="AE103" i="20"/>
  <c r="U103" i="20"/>
  <c r="K107" i="20"/>
  <c r="U58" i="20"/>
  <c r="U60" i="20"/>
  <c r="U59" i="20"/>
  <c r="U61" i="20"/>
  <c r="K59" i="20"/>
  <c r="K61" i="20"/>
  <c r="K58" i="20"/>
  <c r="K60" i="20"/>
  <c r="J164" i="20"/>
  <c r="AE52" i="20"/>
  <c r="AE49" i="20" s="1"/>
  <c r="AE156" i="20"/>
  <c r="AE152" i="20"/>
  <c r="AE107" i="20"/>
  <c r="K157" i="20"/>
  <c r="K164" i="20" s="1"/>
  <c r="K156" i="20"/>
  <c r="AF152" i="20"/>
  <c r="L152" i="20"/>
  <c r="T164" i="20"/>
  <c r="T163" i="20"/>
  <c r="AD164" i="20"/>
  <c r="AD163" i="20"/>
  <c r="AE164" i="20"/>
  <c r="AE163" i="20"/>
  <c r="U152" i="20"/>
  <c r="U157" i="20"/>
  <c r="U156" i="20"/>
  <c r="T117" i="20"/>
  <c r="T116" i="20"/>
  <c r="T115" i="20"/>
  <c r="J116" i="20"/>
  <c r="J117" i="20"/>
  <c r="J115" i="20"/>
  <c r="T49" i="20"/>
  <c r="U52" i="20"/>
  <c r="AD49" i="20"/>
  <c r="J49" i="20"/>
  <c r="K108" i="20"/>
  <c r="K103" i="20"/>
  <c r="U108" i="20"/>
  <c r="U107" i="20"/>
  <c r="K52" i="20"/>
  <c r="H7" i="20"/>
  <c r="K58" i="46" l="1"/>
  <c r="K58" i="48"/>
  <c r="K58" i="42"/>
  <c r="K58" i="38"/>
  <c r="K56" i="48"/>
  <c r="K56" i="46"/>
  <c r="K56" i="42"/>
  <c r="K56" i="38"/>
  <c r="U55" i="48"/>
  <c r="U55" i="46"/>
  <c r="U55" i="42"/>
  <c r="U55" i="38"/>
  <c r="K55" i="48"/>
  <c r="K55" i="46"/>
  <c r="K55" i="42"/>
  <c r="K55" i="38"/>
  <c r="U56" i="48"/>
  <c r="U56" i="46"/>
  <c r="U56" i="42"/>
  <c r="U56" i="38"/>
  <c r="U57" i="48"/>
  <c r="U57" i="46"/>
  <c r="U57" i="42"/>
  <c r="U57" i="38"/>
  <c r="K57" i="48"/>
  <c r="K57" i="46"/>
  <c r="K57" i="42"/>
  <c r="K57" i="38"/>
  <c r="U58" i="48"/>
  <c r="U58" i="46"/>
  <c r="U58" i="42"/>
  <c r="U58" i="38"/>
  <c r="J84" i="36"/>
  <c r="I34" i="38"/>
  <c r="J62" i="36"/>
  <c r="I37" i="38"/>
  <c r="AP36" i="36"/>
  <c r="AP77" i="36" s="1"/>
  <c r="AQ35" i="36"/>
  <c r="AO77" i="36"/>
  <c r="AO37" i="36"/>
  <c r="AO81" i="36" s="1"/>
  <c r="AO39" i="36"/>
  <c r="J60" i="36"/>
  <c r="AO25" i="36"/>
  <c r="AO84" i="36" s="1"/>
  <c r="K23" i="36"/>
  <c r="K25" i="36" s="1"/>
  <c r="AP23" i="36"/>
  <c r="AP25" i="36" s="1"/>
  <c r="I34" i="42" s="1"/>
  <c r="J28" i="36"/>
  <c r="AP59" i="36"/>
  <c r="I37" i="42" s="1"/>
  <c r="J26" i="36"/>
  <c r="J87" i="36" s="1"/>
  <c r="AQ43" i="36"/>
  <c r="J35" i="42" s="1"/>
  <c r="L35" i="36"/>
  <c r="AQ32" i="36"/>
  <c r="L21" i="36"/>
  <c r="L22" i="36"/>
  <c r="AR19" i="36"/>
  <c r="AR20" i="36" s="1"/>
  <c r="AR56" i="36"/>
  <c r="AT50" i="36"/>
  <c r="AT52" i="36" s="1"/>
  <c r="M36" i="42" s="1"/>
  <c r="AS90" i="36"/>
  <c r="AS55" i="36"/>
  <c r="AS53" i="36"/>
  <c r="AS94" i="36" s="1"/>
  <c r="L57" i="36"/>
  <c r="L58" i="36"/>
  <c r="AP44" i="36"/>
  <c r="AP97" i="36"/>
  <c r="AP46" i="36"/>
  <c r="K59" i="36"/>
  <c r="J37" i="38" s="1"/>
  <c r="N29" i="36"/>
  <c r="M31" i="36"/>
  <c r="M34" i="36"/>
  <c r="M33" i="36"/>
  <c r="M30" i="36"/>
  <c r="AQ58" i="36"/>
  <c r="AQ57" i="36"/>
  <c r="AS40" i="36"/>
  <c r="AR41" i="36"/>
  <c r="AR42" i="36"/>
  <c r="AO60" i="36"/>
  <c r="AO62" i="36"/>
  <c r="Q47" i="36"/>
  <c r="K26" i="36"/>
  <c r="K87" i="36" s="1"/>
  <c r="M42" i="36"/>
  <c r="N40" i="36"/>
  <c r="AQ22" i="36"/>
  <c r="AQ21" i="36"/>
  <c r="N18" i="36"/>
  <c r="M19" i="36"/>
  <c r="M20" i="36" s="1"/>
  <c r="AS18" i="36"/>
  <c r="M56" i="36"/>
  <c r="AV47" i="36"/>
  <c r="AU48" i="36"/>
  <c r="AU49" i="36"/>
  <c r="AU51" i="36"/>
  <c r="AS29" i="36"/>
  <c r="AR31" i="36"/>
  <c r="AR33" i="36"/>
  <c r="AR30" i="36"/>
  <c r="AR34" i="36"/>
  <c r="AF205" i="20"/>
  <c r="V205" i="20"/>
  <c r="L205" i="20"/>
  <c r="V103" i="20"/>
  <c r="L103" i="20"/>
  <c r="AF103" i="20"/>
  <c r="V59" i="20"/>
  <c r="V61" i="20"/>
  <c r="V58" i="20"/>
  <c r="V60" i="20"/>
  <c r="L58" i="20"/>
  <c r="L60" i="20"/>
  <c r="L59" i="20"/>
  <c r="L61" i="20"/>
  <c r="AF58" i="20"/>
  <c r="AF60" i="20"/>
  <c r="AF59" i="20"/>
  <c r="AF61" i="20"/>
  <c r="AF52" i="20"/>
  <c r="AF49" i="20" s="1"/>
  <c r="K163" i="20"/>
  <c r="AF107" i="20"/>
  <c r="L157" i="20"/>
  <c r="L164" i="20" s="1"/>
  <c r="AF156" i="20"/>
  <c r="L156" i="20"/>
  <c r="AF157" i="20"/>
  <c r="U164" i="20"/>
  <c r="U163" i="20"/>
  <c r="V152" i="20"/>
  <c r="V157" i="20"/>
  <c r="V156" i="20"/>
  <c r="U117" i="20"/>
  <c r="U116" i="20"/>
  <c r="U115" i="20"/>
  <c r="K116" i="20"/>
  <c r="K117" i="20"/>
  <c r="K115" i="20"/>
  <c r="U49" i="20"/>
  <c r="K49" i="20"/>
  <c r="L108" i="20"/>
  <c r="L107" i="20"/>
  <c r="V108" i="20"/>
  <c r="V107" i="20"/>
  <c r="V52" i="20"/>
  <c r="L52" i="20"/>
  <c r="W192" i="20"/>
  <c r="M192" i="20"/>
  <c r="I7" i="20"/>
  <c r="AQ70" i="36" l="1"/>
  <c r="AQ36" i="36"/>
  <c r="AF56" i="48"/>
  <c r="AF56" i="46"/>
  <c r="AF56" i="42"/>
  <c r="AF56" i="38"/>
  <c r="V55" i="48"/>
  <c r="V55" i="46"/>
  <c r="V55" i="42"/>
  <c r="V55" i="38"/>
  <c r="AF57" i="48"/>
  <c r="AF57" i="46"/>
  <c r="AF57" i="42"/>
  <c r="AF57" i="38"/>
  <c r="V58" i="48"/>
  <c r="V58" i="46"/>
  <c r="V58" i="42"/>
  <c r="V58" i="38"/>
  <c r="AF55" i="46"/>
  <c r="AF55" i="48"/>
  <c r="AF55" i="42"/>
  <c r="AF55" i="38"/>
  <c r="L55" i="46"/>
  <c r="L55" i="48"/>
  <c r="L55" i="42"/>
  <c r="L55" i="38"/>
  <c r="V56" i="48"/>
  <c r="V56" i="46"/>
  <c r="V56" i="42"/>
  <c r="V56" i="38"/>
  <c r="L56" i="48"/>
  <c r="L56" i="46"/>
  <c r="L56" i="42"/>
  <c r="L56" i="38"/>
  <c r="L57" i="48"/>
  <c r="L57" i="46"/>
  <c r="L57" i="42"/>
  <c r="L57" i="38"/>
  <c r="AF58" i="48"/>
  <c r="AF58" i="46"/>
  <c r="AF58" i="42"/>
  <c r="AF58" i="38"/>
  <c r="L58" i="48"/>
  <c r="L58" i="46"/>
  <c r="L58" i="42"/>
  <c r="L58" i="38"/>
  <c r="V57" i="48"/>
  <c r="V57" i="46"/>
  <c r="V57" i="42"/>
  <c r="V57" i="38"/>
  <c r="AP84" i="36"/>
  <c r="AQ37" i="36"/>
  <c r="AQ81" i="36" s="1"/>
  <c r="J33" i="42"/>
  <c r="K84" i="36"/>
  <c r="J34" i="38"/>
  <c r="AO26" i="36"/>
  <c r="AO87" i="36" s="1"/>
  <c r="H34" i="42"/>
  <c r="K28" i="36"/>
  <c r="AP37" i="36"/>
  <c r="AP81" i="36" s="1"/>
  <c r="I33" i="42"/>
  <c r="AP39" i="36"/>
  <c r="AQ77" i="36"/>
  <c r="AO28" i="36"/>
  <c r="AQ39" i="36"/>
  <c r="AP69" i="36"/>
  <c r="AP62" i="36"/>
  <c r="AP60" i="36"/>
  <c r="AP28" i="36"/>
  <c r="AP26" i="36"/>
  <c r="AP87" i="36" s="1"/>
  <c r="AQ97" i="36"/>
  <c r="AQ44" i="36"/>
  <c r="AQ46" i="36"/>
  <c r="M35" i="36"/>
  <c r="AR32" i="36"/>
  <c r="AR35" i="36"/>
  <c r="AQ23" i="36"/>
  <c r="AQ69" i="36" s="1"/>
  <c r="L23" i="36"/>
  <c r="L25" i="36" s="1"/>
  <c r="AU50" i="36"/>
  <c r="AU52" i="36" s="1"/>
  <c r="N36" i="42" s="1"/>
  <c r="M21" i="36"/>
  <c r="M22" i="36"/>
  <c r="N19" i="36"/>
  <c r="N20" i="36" s="1"/>
  <c r="AT18" i="36"/>
  <c r="O18" i="36"/>
  <c r="N56" i="36"/>
  <c r="R47" i="36"/>
  <c r="AT40" i="36"/>
  <c r="AS41" i="36"/>
  <c r="AS42" i="36"/>
  <c r="N33" i="36"/>
  <c r="N31" i="36"/>
  <c r="N30" i="36"/>
  <c r="O29" i="36"/>
  <c r="N34" i="36"/>
  <c r="M57" i="36"/>
  <c r="M58" i="36"/>
  <c r="O40" i="36"/>
  <c r="N42" i="36"/>
  <c r="AS30" i="36"/>
  <c r="AT29" i="36"/>
  <c r="AS31" i="36"/>
  <c r="AS34" i="36"/>
  <c r="AS33" i="36"/>
  <c r="AS19" i="36"/>
  <c r="AS20" i="36" s="1"/>
  <c r="AS56" i="36"/>
  <c r="AT90" i="36"/>
  <c r="AT53" i="36"/>
  <c r="AT94" i="36" s="1"/>
  <c r="AT55" i="36"/>
  <c r="AR58" i="36"/>
  <c r="AR57" i="36"/>
  <c r="AV48" i="36"/>
  <c r="AV49" i="36"/>
  <c r="AV51" i="36"/>
  <c r="AW47" i="36"/>
  <c r="AR43" i="36"/>
  <c r="K35" i="42" s="1"/>
  <c r="AQ59" i="36"/>
  <c r="J37" i="42" s="1"/>
  <c r="K62" i="36"/>
  <c r="K60" i="36"/>
  <c r="L59" i="36"/>
  <c r="K37" i="38" s="1"/>
  <c r="AR22" i="36"/>
  <c r="AR21" i="36"/>
  <c r="L163" i="20"/>
  <c r="AF163" i="20"/>
  <c r="AF164" i="20"/>
  <c r="V164" i="20"/>
  <c r="V163" i="20"/>
  <c r="L117" i="20"/>
  <c r="L116" i="20"/>
  <c r="L115" i="20"/>
  <c r="V116" i="20"/>
  <c r="V117" i="20"/>
  <c r="V115" i="20"/>
  <c r="L49" i="20"/>
  <c r="V49" i="20"/>
  <c r="J7" i="20"/>
  <c r="AD106" i="20"/>
  <c r="X106" i="20"/>
  <c r="AB106" i="20"/>
  <c r="AA106" i="20"/>
  <c r="AC106" i="20"/>
  <c r="Z106" i="20"/>
  <c r="AE106" i="20"/>
  <c r="Y106" i="20"/>
  <c r="AF106" i="20"/>
  <c r="AU90" i="36" l="1"/>
  <c r="AU55" i="36"/>
  <c r="L84" i="36"/>
  <c r="K34" i="38"/>
  <c r="AU53" i="36"/>
  <c r="AU94" i="36" s="1"/>
  <c r="AS35" i="36"/>
  <c r="AR59" i="36"/>
  <c r="AR60" i="36" s="1"/>
  <c r="AV50" i="36"/>
  <c r="AV52" i="36" s="1"/>
  <c r="L28" i="36"/>
  <c r="L26" i="36"/>
  <c r="L87" i="36" s="1"/>
  <c r="AR23" i="36"/>
  <c r="AR25" i="36" s="1"/>
  <c r="K34" i="42" s="1"/>
  <c r="AQ25" i="36"/>
  <c r="M23" i="36"/>
  <c r="M25" i="36" s="1"/>
  <c r="M59" i="36"/>
  <c r="L37" i="38" s="1"/>
  <c r="AR70" i="36"/>
  <c r="AS32" i="36"/>
  <c r="AS36" i="36" s="1"/>
  <c r="AS37" i="36" s="1"/>
  <c r="AS81" i="36" s="1"/>
  <c r="AS43" i="36"/>
  <c r="L35" i="42" s="1"/>
  <c r="N35" i="36"/>
  <c r="AR36" i="36"/>
  <c r="K33" i="42" s="1"/>
  <c r="O42" i="36"/>
  <c r="P40" i="36"/>
  <c r="O34" i="36"/>
  <c r="O33" i="36"/>
  <c r="P29" i="36"/>
  <c r="O31" i="36"/>
  <c r="O30" i="36"/>
  <c r="AT19" i="36"/>
  <c r="AT20" i="36" s="1"/>
  <c r="AT56" i="36"/>
  <c r="AQ60" i="36"/>
  <c r="AQ62" i="36"/>
  <c r="AS58" i="36"/>
  <c r="AS70" i="36" s="1"/>
  <c r="AS57" i="36"/>
  <c r="AU29" i="36"/>
  <c r="AT34" i="36"/>
  <c r="AT30" i="36"/>
  <c r="AT31" i="36"/>
  <c r="AT33" i="36"/>
  <c r="N22" i="36"/>
  <c r="N21" i="36"/>
  <c r="L60" i="36"/>
  <c r="L62" i="36"/>
  <c r="AR97" i="36"/>
  <c r="AR44" i="36"/>
  <c r="AR46" i="36"/>
  <c r="AS21" i="36"/>
  <c r="AS22" i="36"/>
  <c r="AQ28" i="36"/>
  <c r="AT42" i="36"/>
  <c r="AT41" i="36"/>
  <c r="AU40" i="36"/>
  <c r="N57" i="36"/>
  <c r="N58" i="36"/>
  <c r="AW49" i="36"/>
  <c r="AX47" i="36"/>
  <c r="AW48" i="36"/>
  <c r="AW51" i="36"/>
  <c r="S47" i="36"/>
  <c r="AU18" i="36"/>
  <c r="O19" i="36"/>
  <c r="O20" i="36" s="1"/>
  <c r="P18" i="36"/>
  <c r="O56" i="36"/>
  <c r="M26" i="36"/>
  <c r="AB192" i="20"/>
  <c r="AC192" i="20"/>
  <c r="V192" i="20"/>
  <c r="R192" i="20"/>
  <c r="T192" i="20"/>
  <c r="AA192" i="20"/>
  <c r="AE192" i="20"/>
  <c r="X192" i="20"/>
  <c r="O192" i="20"/>
  <c r="P192" i="20"/>
  <c r="U192" i="20"/>
  <c r="AF192" i="20"/>
  <c r="N192" i="20"/>
  <c r="Y192" i="20"/>
  <c r="AD192" i="20"/>
  <c r="Z192" i="20"/>
  <c r="Q192" i="20"/>
  <c r="S192" i="20"/>
  <c r="J192" i="20"/>
  <c r="G192" i="20"/>
  <c r="E192" i="20"/>
  <c r="L192" i="20"/>
  <c r="F192" i="20"/>
  <c r="I192" i="20"/>
  <c r="K192" i="20"/>
  <c r="D192" i="20"/>
  <c r="H192" i="20"/>
  <c r="Z108" i="20"/>
  <c r="X108" i="20"/>
  <c r="AB108" i="20"/>
  <c r="AF108" i="20"/>
  <c r="AC108" i="20"/>
  <c r="AD108" i="20"/>
  <c r="AE108" i="20"/>
  <c r="Y108" i="20"/>
  <c r="AA108" i="20"/>
  <c r="K7" i="20"/>
  <c r="AR84" i="36" l="1"/>
  <c r="AR28" i="36"/>
  <c r="AR69" i="36"/>
  <c r="AQ26" i="36"/>
  <c r="AQ87" i="36" s="1"/>
  <c r="J34" i="42"/>
  <c r="AV90" i="36"/>
  <c r="O36" i="42"/>
  <c r="AR62" i="36"/>
  <c r="K37" i="42"/>
  <c r="AR26" i="36"/>
  <c r="AR87" i="36" s="1"/>
  <c r="AQ84" i="36"/>
  <c r="AS39" i="36"/>
  <c r="L33" i="42"/>
  <c r="M28" i="36"/>
  <c r="L34" i="38"/>
  <c r="N23" i="36"/>
  <c r="N25" i="36" s="1"/>
  <c r="N28" i="36" s="1"/>
  <c r="AV53" i="36"/>
  <c r="AV94" i="36" s="1"/>
  <c r="AV55" i="36"/>
  <c r="M84" i="36"/>
  <c r="M60" i="36"/>
  <c r="M62" i="36"/>
  <c r="AS23" i="36"/>
  <c r="AS25" i="36" s="1"/>
  <c r="L34" i="42" s="1"/>
  <c r="AS59" i="36"/>
  <c r="L37" i="42" s="1"/>
  <c r="O35" i="36"/>
  <c r="AS77" i="36"/>
  <c r="AT35" i="36"/>
  <c r="AT32" i="36"/>
  <c r="AR39" i="36"/>
  <c r="AR77" i="36"/>
  <c r="AR37" i="36"/>
  <c r="AR81" i="36" s="1"/>
  <c r="AW50" i="36"/>
  <c r="AW52" i="36" s="1"/>
  <c r="AW55" i="36" s="1"/>
  <c r="AS46" i="36"/>
  <c r="AS97" i="36"/>
  <c r="AS44" i="36"/>
  <c r="AV18" i="36"/>
  <c r="P19" i="36"/>
  <c r="P20" i="36" s="1"/>
  <c r="Q18" i="36"/>
  <c r="P56" i="36"/>
  <c r="T47" i="36"/>
  <c r="AT43" i="36"/>
  <c r="M35" i="42" s="1"/>
  <c r="AU31" i="36"/>
  <c r="AU33" i="36"/>
  <c r="AV29" i="36"/>
  <c r="AU30" i="36"/>
  <c r="AU34" i="36"/>
  <c r="P34" i="36"/>
  <c r="Q29" i="36"/>
  <c r="P30" i="36"/>
  <c r="P33" i="36"/>
  <c r="P31" i="36"/>
  <c r="N59" i="36"/>
  <c r="M37" i="38" s="1"/>
  <c r="O21" i="36"/>
  <c r="O22" i="36"/>
  <c r="AU19" i="36"/>
  <c r="AU20" i="36" s="1"/>
  <c r="AU56" i="36"/>
  <c r="AT22" i="36"/>
  <c r="AT21" i="36"/>
  <c r="Q40" i="36"/>
  <c r="P42" i="36"/>
  <c r="O58" i="36"/>
  <c r="O57" i="36"/>
  <c r="AY47" i="36"/>
  <c r="AX49" i="36"/>
  <c r="AX51" i="36"/>
  <c r="AX48" i="36"/>
  <c r="AU41" i="36"/>
  <c r="AV40" i="36"/>
  <c r="AU42" i="36"/>
  <c r="AT58" i="36"/>
  <c r="AT57" i="36"/>
  <c r="M87" i="36"/>
  <c r="AE116" i="20"/>
  <c r="AE117" i="20"/>
  <c r="AE115" i="20"/>
  <c r="X117" i="20"/>
  <c r="X116" i="20"/>
  <c r="X115" i="20"/>
  <c r="AA116" i="20"/>
  <c r="AA117" i="20"/>
  <c r="AA115" i="20"/>
  <c r="AC117" i="20"/>
  <c r="AC116" i="20"/>
  <c r="AC115" i="20"/>
  <c r="Z116" i="20"/>
  <c r="Z117" i="20"/>
  <c r="Z115" i="20"/>
  <c r="AB117" i="20"/>
  <c r="AB116" i="20"/>
  <c r="AB115" i="20"/>
  <c r="AD116" i="20"/>
  <c r="AD117" i="20"/>
  <c r="AD115" i="20"/>
  <c r="Y117" i="20"/>
  <c r="Y116" i="20"/>
  <c r="Y115" i="20"/>
  <c r="AF117" i="20"/>
  <c r="AF116" i="20"/>
  <c r="AF115" i="20"/>
  <c r="L7" i="20"/>
  <c r="O59" i="36" l="1"/>
  <c r="N37" i="38" s="1"/>
  <c r="N26" i="36"/>
  <c r="N87" i="36" s="1"/>
  <c r="AS69" i="36"/>
  <c r="O60" i="36"/>
  <c r="AW90" i="36"/>
  <c r="P36" i="42"/>
  <c r="AW53" i="36"/>
  <c r="AW94" i="36" s="1"/>
  <c r="N84" i="36"/>
  <c r="M34" i="38"/>
  <c r="AT23" i="36"/>
  <c r="AT25" i="36" s="1"/>
  <c r="M34" i="42" s="1"/>
  <c r="O62" i="36"/>
  <c r="AT59" i="36"/>
  <c r="AT60" i="36" s="1"/>
  <c r="AS60" i="36"/>
  <c r="AS62" i="36"/>
  <c r="AT70" i="36"/>
  <c r="P32" i="36"/>
  <c r="AT36" i="36"/>
  <c r="M33" i="42" s="1"/>
  <c r="AU43" i="36"/>
  <c r="N35" i="42" s="1"/>
  <c r="O23" i="36"/>
  <c r="O25" i="36" s="1"/>
  <c r="N34" i="38" s="1"/>
  <c r="AU32" i="36"/>
  <c r="AX50" i="36"/>
  <c r="AX52" i="36" s="1"/>
  <c r="AX55" i="36" s="1"/>
  <c r="P35" i="36"/>
  <c r="AU35" i="36"/>
  <c r="P57" i="36"/>
  <c r="P58" i="36"/>
  <c r="AW40" i="36"/>
  <c r="AV41" i="36"/>
  <c r="AV42" i="36"/>
  <c r="R40" i="36"/>
  <c r="Q42" i="36"/>
  <c r="AS26" i="36"/>
  <c r="AS87" i="36" s="1"/>
  <c r="AS28" i="36"/>
  <c r="AS84" i="36"/>
  <c r="Q34" i="36"/>
  <c r="R29" i="36"/>
  <c r="Q33" i="36"/>
  <c r="Q31" i="36"/>
  <c r="Q30" i="36"/>
  <c r="U47" i="36"/>
  <c r="R18" i="36"/>
  <c r="Q19" i="36"/>
  <c r="Q20" i="36" s="1"/>
  <c r="AW18" i="36"/>
  <c r="Q56" i="36"/>
  <c r="AX53" i="36"/>
  <c r="AX94" i="36" s="1"/>
  <c r="AY48" i="36"/>
  <c r="AZ47" i="36"/>
  <c r="AY51" i="36"/>
  <c r="AY49" i="36"/>
  <c r="AU58" i="36"/>
  <c r="AU57" i="36"/>
  <c r="AT97" i="36"/>
  <c r="AT46" i="36"/>
  <c r="AT44" i="36"/>
  <c r="P21" i="36"/>
  <c r="P22" i="36"/>
  <c r="AU21" i="36"/>
  <c r="AU22" i="36"/>
  <c r="N60" i="36"/>
  <c r="N62" i="36"/>
  <c r="AV33" i="36"/>
  <c r="AV34" i="36"/>
  <c r="AV30" i="36"/>
  <c r="AV31" i="36"/>
  <c r="AW29" i="36"/>
  <c r="AV19" i="36"/>
  <c r="AV20" i="36" s="1"/>
  <c r="AV56" i="36"/>
  <c r="M7" i="20"/>
  <c r="AT28" i="36" l="1"/>
  <c r="AT84" i="36"/>
  <c r="AT62" i="36"/>
  <c r="M37" i="42"/>
  <c r="AT26" i="36"/>
  <c r="AT87" i="36" s="1"/>
  <c r="AX90" i="36"/>
  <c r="Q36" i="42"/>
  <c r="AT69" i="36"/>
  <c r="P23" i="36"/>
  <c r="P25" i="36" s="1"/>
  <c r="O34" i="38" s="1"/>
  <c r="AU23" i="36"/>
  <c r="Q32" i="36"/>
  <c r="AT37" i="36"/>
  <c r="AT81" i="36" s="1"/>
  <c r="AT39" i="36"/>
  <c r="AT77" i="36"/>
  <c r="AU70" i="36"/>
  <c r="AU59" i="36"/>
  <c r="O26" i="36"/>
  <c r="O87" i="36" s="1"/>
  <c r="O28" i="36"/>
  <c r="O84" i="36"/>
  <c r="AV35" i="36"/>
  <c r="Q35" i="36"/>
  <c r="AU36" i="36"/>
  <c r="N33" i="42" s="1"/>
  <c r="AU44" i="36"/>
  <c r="AU46" i="36"/>
  <c r="AU97" i="36"/>
  <c r="AV32" i="36"/>
  <c r="AV22" i="36"/>
  <c r="AV21" i="36"/>
  <c r="AY50" i="36"/>
  <c r="AY52" i="36" s="1"/>
  <c r="R36" i="42" s="1"/>
  <c r="Q57" i="36"/>
  <c r="Q58" i="36"/>
  <c r="AW42" i="36"/>
  <c r="AX40" i="36"/>
  <c r="AW41" i="36"/>
  <c r="AV57" i="36"/>
  <c r="AV58" i="36"/>
  <c r="AW19" i="36"/>
  <c r="AW20" i="36" s="1"/>
  <c r="AW56" i="36"/>
  <c r="V47" i="36"/>
  <c r="R42" i="36"/>
  <c r="S40" i="36"/>
  <c r="Q22" i="36"/>
  <c r="Q21" i="36"/>
  <c r="R33" i="36"/>
  <c r="S29" i="36"/>
  <c r="R30" i="36"/>
  <c r="R31" i="36"/>
  <c r="R34" i="36"/>
  <c r="P59" i="36"/>
  <c r="O37" i="38" s="1"/>
  <c r="AW31" i="36"/>
  <c r="AW30" i="36"/>
  <c r="AW33" i="36"/>
  <c r="AX29" i="36"/>
  <c r="AW34" i="36"/>
  <c r="AZ49" i="36"/>
  <c r="BA47" i="36"/>
  <c r="AZ51" i="36"/>
  <c r="AZ48" i="36"/>
  <c r="S18" i="36"/>
  <c r="AX18" i="36"/>
  <c r="R19" i="36"/>
  <c r="R20" i="36" s="1"/>
  <c r="R56" i="36"/>
  <c r="AV43" i="36"/>
  <c r="O35" i="42" s="1"/>
  <c r="N7" i="20"/>
  <c r="D2" i="7"/>
  <c r="D3" i="7" s="1"/>
  <c r="G2" i="7"/>
  <c r="K2" i="7"/>
  <c r="H2" i="25"/>
  <c r="I2" i="25"/>
  <c r="J2" i="25"/>
  <c r="K3" i="25" s="1"/>
  <c r="E2" i="25"/>
  <c r="F2" i="25"/>
  <c r="J2" i="7"/>
  <c r="I2" i="7"/>
  <c r="H2" i="7"/>
  <c r="F2" i="7"/>
  <c r="AV70" i="36" l="1"/>
  <c r="J3" i="25"/>
  <c r="I3" i="25"/>
  <c r="H3" i="25"/>
  <c r="G3" i="25"/>
  <c r="E3" i="25"/>
  <c r="L2" i="25"/>
  <c r="F3" i="25"/>
  <c r="D3" i="25"/>
  <c r="E3" i="7"/>
  <c r="D2" i="50" s="1"/>
  <c r="F3" i="7"/>
  <c r="K56" i="25"/>
  <c r="AU62" i="36"/>
  <c r="N37" i="42"/>
  <c r="AU60" i="36"/>
  <c r="Q59" i="36"/>
  <c r="P37" i="38" s="1"/>
  <c r="AV23" i="36"/>
  <c r="AU69" i="36"/>
  <c r="AU25" i="36"/>
  <c r="N34" i="42" s="1"/>
  <c r="AW35" i="36"/>
  <c r="AV36" i="36"/>
  <c r="O33" i="42" s="1"/>
  <c r="R32" i="36"/>
  <c r="Q23" i="36"/>
  <c r="Q25" i="36" s="1"/>
  <c r="P34" i="38" s="1"/>
  <c r="AU37" i="36"/>
  <c r="AU81" i="36" s="1"/>
  <c r="AU39" i="36"/>
  <c r="AU77" i="36"/>
  <c r="AZ50" i="36"/>
  <c r="AZ52" i="36" s="1"/>
  <c r="AW32" i="36"/>
  <c r="R35" i="36"/>
  <c r="AV97" i="36"/>
  <c r="AV44" i="36"/>
  <c r="AV46" i="36"/>
  <c r="R58" i="36"/>
  <c r="R57" i="36"/>
  <c r="AX30" i="36"/>
  <c r="AY29" i="36"/>
  <c r="AX31" i="36"/>
  <c r="AX34" i="36"/>
  <c r="AX33" i="36"/>
  <c r="P60" i="36"/>
  <c r="P62" i="36"/>
  <c r="AW57" i="36"/>
  <c r="AW58" i="36"/>
  <c r="P28" i="36"/>
  <c r="P84" i="36"/>
  <c r="P26" i="36"/>
  <c r="P87" i="36" s="1"/>
  <c r="S31" i="36"/>
  <c r="S33" i="36"/>
  <c r="S30" i="36"/>
  <c r="S34" i="36"/>
  <c r="T29" i="36"/>
  <c r="T40" i="36"/>
  <c r="S42" i="36"/>
  <c r="W47" i="36"/>
  <c r="AW22" i="36"/>
  <c r="AW21" i="36"/>
  <c r="AV59" i="36"/>
  <c r="O37" i="42" s="1"/>
  <c r="AX19" i="36"/>
  <c r="AX20" i="36" s="1"/>
  <c r="AX56" i="36"/>
  <c r="AW43" i="36"/>
  <c r="P35" i="42" s="1"/>
  <c r="R22" i="36"/>
  <c r="R21" i="36"/>
  <c r="AY18" i="36"/>
  <c r="T18" i="36"/>
  <c r="S19" i="36"/>
  <c r="S20" i="36" s="1"/>
  <c r="S56" i="36"/>
  <c r="BA48" i="36"/>
  <c r="BA49" i="36"/>
  <c r="BA51" i="36"/>
  <c r="BB47" i="36"/>
  <c r="AX41" i="36"/>
  <c r="AY40" i="36"/>
  <c r="AX42" i="36"/>
  <c r="AY90" i="36"/>
  <c r="AY55" i="36"/>
  <c r="AY53" i="36"/>
  <c r="AY94" i="36" s="1"/>
  <c r="O7" i="20"/>
  <c r="AH38" i="16"/>
  <c r="AG38" i="16"/>
  <c r="AG127" i="16" s="1"/>
  <c r="AG138" i="16" s="1"/>
  <c r="AF38" i="16"/>
  <c r="AF127" i="16" s="1"/>
  <c r="AF138" i="16" s="1"/>
  <c r="AE38" i="16"/>
  <c r="AE127" i="16" s="1"/>
  <c r="AE138" i="16" s="1"/>
  <c r="AD38" i="16"/>
  <c r="AD127" i="16" s="1"/>
  <c r="AD138" i="16" s="1"/>
  <c r="AC38" i="16"/>
  <c r="AC127" i="16" s="1"/>
  <c r="AC138" i="16" s="1"/>
  <c r="AB38" i="16"/>
  <c r="AB127" i="16" s="1"/>
  <c r="AB138" i="16" s="1"/>
  <c r="AA38" i="16"/>
  <c r="AA127" i="16" s="1"/>
  <c r="AA138" i="16" s="1"/>
  <c r="Z38" i="16"/>
  <c r="Z127" i="16" s="1"/>
  <c r="Z138" i="16" s="1"/>
  <c r="Y38" i="16"/>
  <c r="Y127" i="16" s="1"/>
  <c r="Y138" i="16" s="1"/>
  <c r="X38" i="16"/>
  <c r="X127" i="16" s="1"/>
  <c r="X138" i="16" s="1"/>
  <c r="W38" i="16"/>
  <c r="W127" i="16" s="1"/>
  <c r="W138" i="16" s="1"/>
  <c r="V38" i="16"/>
  <c r="V127" i="16" s="1"/>
  <c r="V138" i="16" s="1"/>
  <c r="U38" i="16"/>
  <c r="U127" i="16" s="1"/>
  <c r="U138" i="16" s="1"/>
  <c r="T38" i="16"/>
  <c r="T127" i="16" s="1"/>
  <c r="T138" i="16" s="1"/>
  <c r="S38" i="16"/>
  <c r="S127" i="16" s="1"/>
  <c r="S138" i="16" s="1"/>
  <c r="R38" i="16"/>
  <c r="R127" i="16" s="1"/>
  <c r="R138" i="16" s="1"/>
  <c r="Q38" i="16"/>
  <c r="Q127" i="16" s="1"/>
  <c r="Q138" i="16" s="1"/>
  <c r="P38" i="16"/>
  <c r="P127" i="16" s="1"/>
  <c r="P138" i="16" s="1"/>
  <c r="O38" i="16"/>
  <c r="O127" i="16" s="1"/>
  <c r="O138" i="16" s="1"/>
  <c r="N38" i="16"/>
  <c r="N127" i="16" s="1"/>
  <c r="N138" i="16" s="1"/>
  <c r="M38" i="16"/>
  <c r="M127" i="16" s="1"/>
  <c r="M138" i="16" s="1"/>
  <c r="L38" i="16"/>
  <c r="L127" i="16" s="1"/>
  <c r="L138" i="16" s="1"/>
  <c r="K38" i="16"/>
  <c r="K127" i="16" s="1"/>
  <c r="K138" i="16" s="1"/>
  <c r="J38" i="16"/>
  <c r="J127" i="16" s="1"/>
  <c r="J138" i="16" s="1"/>
  <c r="I38" i="16"/>
  <c r="I127" i="16" s="1"/>
  <c r="I138" i="16" s="1"/>
  <c r="H38" i="16"/>
  <c r="H127" i="16" s="1"/>
  <c r="H138" i="16" s="1"/>
  <c r="G38" i="16"/>
  <c r="G127" i="16" s="1"/>
  <c r="G138" i="16" s="1"/>
  <c r="F38" i="16"/>
  <c r="F127" i="16" s="1"/>
  <c r="F138" i="16" s="1"/>
  <c r="E38" i="16"/>
  <c r="E127" i="16" s="1"/>
  <c r="E138" i="16" s="1"/>
  <c r="D38" i="16"/>
  <c r="AH31" i="16"/>
  <c r="AG31" i="16"/>
  <c r="AF31" i="16"/>
  <c r="AE31" i="16"/>
  <c r="AD31" i="16"/>
  <c r="AC31" i="16"/>
  <c r="AB31" i="16"/>
  <c r="AA31" i="16"/>
  <c r="Z31" i="16"/>
  <c r="Y31" i="16"/>
  <c r="X31" i="16"/>
  <c r="W31" i="16"/>
  <c r="V31" i="16"/>
  <c r="U31" i="16"/>
  <c r="T31" i="16"/>
  <c r="S31" i="16"/>
  <c r="R31" i="16"/>
  <c r="Q31" i="16"/>
  <c r="P31" i="16"/>
  <c r="O31" i="16"/>
  <c r="N31" i="16"/>
  <c r="M31" i="16"/>
  <c r="L31" i="16"/>
  <c r="K31" i="16"/>
  <c r="J31" i="16"/>
  <c r="I31" i="16"/>
  <c r="H31" i="16"/>
  <c r="G31" i="16"/>
  <c r="F31" i="16"/>
  <c r="E31" i="16"/>
  <c r="D31" i="16"/>
  <c r="D20" i="16"/>
  <c r="D40" i="16" s="1"/>
  <c r="D17" i="16"/>
  <c r="D11" i="16"/>
  <c r="E3" i="16"/>
  <c r="F3" i="16" s="1"/>
  <c r="G3" i="16" s="1"/>
  <c r="H3" i="16" s="1"/>
  <c r="I3" i="16" s="1"/>
  <c r="J3" i="16" s="1"/>
  <c r="K3" i="16" s="1"/>
  <c r="L3" i="16" s="1"/>
  <c r="M3" i="16" s="1"/>
  <c r="N3" i="16" s="1"/>
  <c r="O3" i="16" s="1"/>
  <c r="P3" i="16" s="1"/>
  <c r="Q3" i="16" s="1"/>
  <c r="R3" i="16" s="1"/>
  <c r="S3" i="16" s="1"/>
  <c r="T3" i="16" s="1"/>
  <c r="U3" i="16" s="1"/>
  <c r="V3" i="16" s="1"/>
  <c r="W3" i="16" s="1"/>
  <c r="X3" i="16" s="1"/>
  <c r="Y3" i="16" s="1"/>
  <c r="Z3" i="16" s="1"/>
  <c r="AA3" i="16" s="1"/>
  <c r="AB3" i="16" s="1"/>
  <c r="AC3" i="16" s="1"/>
  <c r="AD3" i="16" s="1"/>
  <c r="AE3" i="16" s="1"/>
  <c r="AF3" i="16" s="1"/>
  <c r="AG3" i="16" s="1"/>
  <c r="AH3" i="16" s="1"/>
  <c r="K38" i="15"/>
  <c r="K127" i="15" s="1"/>
  <c r="K138" i="15" s="1"/>
  <c r="S38" i="15"/>
  <c r="S127" i="15" s="1"/>
  <c r="S138" i="15" s="1"/>
  <c r="AA38" i="15"/>
  <c r="AA127" i="15" s="1"/>
  <c r="AA138" i="15" s="1"/>
  <c r="AF38" i="15"/>
  <c r="AF127" i="15" s="1"/>
  <c r="AF138" i="15" s="1"/>
  <c r="AE38" i="15"/>
  <c r="AE127" i="15" s="1"/>
  <c r="AE138" i="15" s="1"/>
  <c r="AB38" i="15"/>
  <c r="AB127" i="15" s="1"/>
  <c r="AB138" i="15" s="1"/>
  <c r="X38" i="15"/>
  <c r="X127" i="15" s="1"/>
  <c r="X138" i="15" s="1"/>
  <c r="W38" i="15"/>
  <c r="W127" i="15" s="1"/>
  <c r="W138" i="15" s="1"/>
  <c r="T38" i="15"/>
  <c r="T127" i="15" s="1"/>
  <c r="T138" i="15" s="1"/>
  <c r="P38" i="15"/>
  <c r="P127" i="15" s="1"/>
  <c r="P138" i="15" s="1"/>
  <c r="O38" i="15"/>
  <c r="O127" i="15" s="1"/>
  <c r="O138" i="15" s="1"/>
  <c r="L38" i="15"/>
  <c r="L127" i="15" s="1"/>
  <c r="L138" i="15" s="1"/>
  <c r="H38" i="15"/>
  <c r="H127" i="15" s="1"/>
  <c r="H138" i="15" s="1"/>
  <c r="G38" i="15"/>
  <c r="G127" i="15" s="1"/>
  <c r="G138" i="15" s="1"/>
  <c r="D38" i="15"/>
  <c r="D127" i="15" s="1"/>
  <c r="D138" i="15" s="1"/>
  <c r="AG38" i="15"/>
  <c r="AG127" i="15" s="1"/>
  <c r="AG138" i="15" s="1"/>
  <c r="AC38" i="15"/>
  <c r="AC127" i="15" s="1"/>
  <c r="AC138" i="15" s="1"/>
  <c r="Y38" i="15"/>
  <c r="Y127" i="15" s="1"/>
  <c r="Y138" i="15" s="1"/>
  <c r="U38" i="15"/>
  <c r="U127" i="15" s="1"/>
  <c r="U138" i="15" s="1"/>
  <c r="Q38" i="15"/>
  <c r="Q127" i="15" s="1"/>
  <c r="Q138" i="15" s="1"/>
  <c r="M38" i="15"/>
  <c r="M127" i="15" s="1"/>
  <c r="M138" i="15" s="1"/>
  <c r="I38" i="15"/>
  <c r="I127" i="15" s="1"/>
  <c r="I138" i="15" s="1"/>
  <c r="E38" i="15"/>
  <c r="E127" i="15" s="1"/>
  <c r="E138" i="15" s="1"/>
  <c r="D31" i="15"/>
  <c r="D20" i="15"/>
  <c r="D40" i="15" s="1"/>
  <c r="D122" i="15" s="1"/>
  <c r="D132" i="15" s="1"/>
  <c r="D17" i="15"/>
  <c r="D11" i="15"/>
  <c r="E3" i="15"/>
  <c r="F3" i="15" s="1"/>
  <c r="G3" i="15" s="1"/>
  <c r="H3" i="15" s="1"/>
  <c r="I3" i="15" s="1"/>
  <c r="J3" i="15" s="1"/>
  <c r="K3" i="15" s="1"/>
  <c r="L3" i="15" s="1"/>
  <c r="M3" i="15" s="1"/>
  <c r="N3" i="15" s="1"/>
  <c r="O3" i="15" s="1"/>
  <c r="P3" i="15" s="1"/>
  <c r="Q3" i="15" s="1"/>
  <c r="R3" i="15" s="1"/>
  <c r="S3" i="15" s="1"/>
  <c r="T3" i="15" s="1"/>
  <c r="U3" i="15" s="1"/>
  <c r="V3" i="15" s="1"/>
  <c r="W3" i="15" s="1"/>
  <c r="X3" i="15" s="1"/>
  <c r="Y3" i="15" s="1"/>
  <c r="Z3" i="15" s="1"/>
  <c r="AA3" i="15" s="1"/>
  <c r="AB3" i="15" s="1"/>
  <c r="AC3" i="15" s="1"/>
  <c r="AD3" i="15" s="1"/>
  <c r="AE3" i="15" s="1"/>
  <c r="AF3" i="15" s="1"/>
  <c r="AG3" i="15" s="1"/>
  <c r="AH3" i="15" s="1"/>
  <c r="D30" i="13"/>
  <c r="D31" i="13"/>
  <c r="E29" i="13"/>
  <c r="F29" i="13" s="1"/>
  <c r="G29" i="13" s="1"/>
  <c r="H29" i="13" s="1"/>
  <c r="I29" i="13" s="1"/>
  <c r="J29" i="13" s="1"/>
  <c r="K29" i="13" s="1"/>
  <c r="L29" i="13" s="1"/>
  <c r="M29" i="13" s="1"/>
  <c r="N29" i="13" s="1"/>
  <c r="O29" i="13" s="1"/>
  <c r="P29" i="13" s="1"/>
  <c r="Q29" i="13" s="1"/>
  <c r="R29" i="13" s="1"/>
  <c r="S29" i="13" s="1"/>
  <c r="T29" i="13" s="1"/>
  <c r="U29" i="13" s="1"/>
  <c r="V29" i="13" s="1"/>
  <c r="W29" i="13" s="1"/>
  <c r="X29" i="13" s="1"/>
  <c r="Y29" i="13" s="1"/>
  <c r="Z29" i="13" s="1"/>
  <c r="AA29" i="13" s="1"/>
  <c r="AB29" i="13" s="1"/>
  <c r="AC29" i="13" s="1"/>
  <c r="AD29" i="13" s="1"/>
  <c r="AE29" i="13" s="1"/>
  <c r="AF29" i="13" s="1"/>
  <c r="AG29" i="13" s="1"/>
  <c r="AH29" i="13" s="1"/>
  <c r="D36" i="11"/>
  <c r="D35" i="11"/>
  <c r="F16" i="13"/>
  <c r="E11" i="13"/>
  <c r="D11" i="13"/>
  <c r="F11" i="13" s="1"/>
  <c r="F10" i="13"/>
  <c r="F9" i="13"/>
  <c r="F8" i="13"/>
  <c r="F7" i="13"/>
  <c r="D17" i="13" s="1"/>
  <c r="F6" i="13"/>
  <c r="E34" i="11"/>
  <c r="F34" i="11" s="1"/>
  <c r="G34" i="11" s="1"/>
  <c r="H34" i="11" s="1"/>
  <c r="I34" i="11" s="1"/>
  <c r="J34" i="11" s="1"/>
  <c r="K34" i="11" s="1"/>
  <c r="L34" i="11" s="1"/>
  <c r="M34" i="11" s="1"/>
  <c r="N34" i="11" s="1"/>
  <c r="O34" i="11" s="1"/>
  <c r="P34" i="11" s="1"/>
  <c r="Q34" i="11" s="1"/>
  <c r="R34" i="11" s="1"/>
  <c r="S34" i="11" s="1"/>
  <c r="T34" i="11" s="1"/>
  <c r="U34" i="11" s="1"/>
  <c r="V34" i="11" s="1"/>
  <c r="W34" i="11" s="1"/>
  <c r="X34" i="11" s="1"/>
  <c r="Y34" i="11" s="1"/>
  <c r="Z34" i="11" s="1"/>
  <c r="AA34" i="11" s="1"/>
  <c r="AB34" i="11" s="1"/>
  <c r="AC34" i="11" s="1"/>
  <c r="AD34" i="11" s="1"/>
  <c r="AE34" i="11" s="1"/>
  <c r="AF34" i="11" s="1"/>
  <c r="AG34" i="11" s="1"/>
  <c r="AH34" i="11" s="1"/>
  <c r="G16" i="11"/>
  <c r="F16" i="11"/>
  <c r="E10" i="11"/>
  <c r="E11" i="11" s="1"/>
  <c r="D10" i="11"/>
  <c r="D11" i="11" s="1"/>
  <c r="F9" i="11"/>
  <c r="F8" i="11"/>
  <c r="F7" i="11"/>
  <c r="D17" i="11" s="1"/>
  <c r="C25" i="25" l="1"/>
  <c r="C26" i="25"/>
  <c r="L56" i="25"/>
  <c r="M56" i="25" s="1"/>
  <c r="L51" i="25"/>
  <c r="B5" i="4" s="1"/>
  <c r="L50" i="25"/>
  <c r="L54" i="25" s="1"/>
  <c r="L52" i="25"/>
  <c r="L57" i="25"/>
  <c r="E2" i="50"/>
  <c r="C2" i="50"/>
  <c r="Q62" i="36"/>
  <c r="AZ53" i="36"/>
  <c r="AZ94" i="36" s="1"/>
  <c r="S36" i="42"/>
  <c r="Q60" i="36"/>
  <c r="AZ55" i="36"/>
  <c r="AZ90" i="36"/>
  <c r="BA50" i="36"/>
  <c r="BA52" i="36" s="1"/>
  <c r="T36" i="42" s="1"/>
  <c r="AV25" i="36"/>
  <c r="O34" i="42" s="1"/>
  <c r="AV69" i="36"/>
  <c r="AW59" i="36"/>
  <c r="P37" i="42" s="1"/>
  <c r="R23" i="36"/>
  <c r="R25" i="36" s="1"/>
  <c r="Q34" i="38" s="1"/>
  <c r="AU26" i="36"/>
  <c r="AU87" i="36" s="1"/>
  <c r="AU28" i="36"/>
  <c r="AU84" i="36"/>
  <c r="AW23" i="36"/>
  <c r="AW70" i="36"/>
  <c r="AW36" i="36"/>
  <c r="P33" i="42" s="1"/>
  <c r="AX35" i="36"/>
  <c r="AV77" i="36"/>
  <c r="AV39" i="36"/>
  <c r="AV37" i="36"/>
  <c r="AV81" i="36" s="1"/>
  <c r="AX43" i="36"/>
  <c r="Q35" i="42" s="1"/>
  <c r="S32" i="36"/>
  <c r="S35" i="36"/>
  <c r="AX32" i="36"/>
  <c r="R59" i="36"/>
  <c r="Q37" i="38" s="1"/>
  <c r="AZ40" i="36"/>
  <c r="AY42" i="36"/>
  <c r="AY41" i="36"/>
  <c r="AX22" i="36"/>
  <c r="AX21" i="36"/>
  <c r="T42" i="36"/>
  <c r="U40" i="36"/>
  <c r="T31" i="36"/>
  <c r="T30" i="36"/>
  <c r="T34" i="36"/>
  <c r="T33" i="36"/>
  <c r="U29" i="36"/>
  <c r="AY31" i="36"/>
  <c r="AY30" i="36"/>
  <c r="AY34" i="36"/>
  <c r="AY33" i="36"/>
  <c r="AZ29" i="36"/>
  <c r="AZ18" i="36"/>
  <c r="T19" i="36"/>
  <c r="T20" i="36" s="1"/>
  <c r="U18" i="36"/>
  <c r="T56" i="36"/>
  <c r="AW44" i="36"/>
  <c r="AW97" i="36"/>
  <c r="AW46" i="36"/>
  <c r="AX58" i="36"/>
  <c r="AX57" i="36"/>
  <c r="AV62" i="36"/>
  <c r="AV60" i="36"/>
  <c r="BB48" i="36"/>
  <c r="BC47" i="36"/>
  <c r="BB51" i="36"/>
  <c r="BB49" i="36"/>
  <c r="S22" i="36"/>
  <c r="S21" i="36"/>
  <c r="AY19" i="36"/>
  <c r="AY20" i="36" s="1"/>
  <c r="AY56" i="36"/>
  <c r="X47" i="36"/>
  <c r="Q84" i="36"/>
  <c r="Q28" i="36"/>
  <c r="Q26" i="36"/>
  <c r="Q87" i="36" s="1"/>
  <c r="S57" i="36"/>
  <c r="S58" i="36"/>
  <c r="E35" i="11"/>
  <c r="D39" i="15"/>
  <c r="D121" i="15" s="1"/>
  <c r="D131" i="15" s="1"/>
  <c r="D39" i="16"/>
  <c r="D121" i="16" s="1"/>
  <c r="D131" i="16" s="1"/>
  <c r="D18" i="13"/>
  <c r="L25" i="13"/>
  <c r="K25" i="13"/>
  <c r="D25" i="13"/>
  <c r="M25" i="13"/>
  <c r="J25" i="13"/>
  <c r="L126" i="16"/>
  <c r="L50" i="16"/>
  <c r="L53" i="16" s="1"/>
  <c r="L137" i="16" s="1"/>
  <c r="X126" i="16"/>
  <c r="X50" i="16"/>
  <c r="X53" i="16" s="1"/>
  <c r="X137" i="16" s="1"/>
  <c r="I126" i="16"/>
  <c r="I50" i="16"/>
  <c r="I53" i="16" s="1"/>
  <c r="I137" i="16" s="1"/>
  <c r="U126" i="16"/>
  <c r="U50" i="16"/>
  <c r="U53" i="16" s="1"/>
  <c r="U137" i="16" s="1"/>
  <c r="Y126" i="16"/>
  <c r="Y50" i="16"/>
  <c r="Y53" i="16" s="1"/>
  <c r="Y137" i="16" s="1"/>
  <c r="AC126" i="16"/>
  <c r="AC50" i="16"/>
  <c r="AC53" i="16" s="1"/>
  <c r="AC137" i="16" s="1"/>
  <c r="AG126" i="16"/>
  <c r="AG50" i="16"/>
  <c r="AG53" i="16" s="1"/>
  <c r="AG137" i="16" s="1"/>
  <c r="AH127" i="16"/>
  <c r="AH138" i="16" s="1"/>
  <c r="D87" i="16"/>
  <c r="D126" i="16"/>
  <c r="D50" i="16"/>
  <c r="D53" i="16" s="1"/>
  <c r="D137" i="16" s="1"/>
  <c r="P126" i="16"/>
  <c r="P50" i="16"/>
  <c r="P53" i="16" s="1"/>
  <c r="P137" i="16" s="1"/>
  <c r="AB126" i="16"/>
  <c r="AB50" i="16"/>
  <c r="AB53" i="16" s="1"/>
  <c r="AB137" i="16" s="1"/>
  <c r="E126" i="16"/>
  <c r="E50" i="16"/>
  <c r="E53" i="16" s="1"/>
  <c r="E137" i="16" s="1"/>
  <c r="M126" i="16"/>
  <c r="M50" i="16"/>
  <c r="M53" i="16" s="1"/>
  <c r="M137" i="16" s="1"/>
  <c r="F126" i="16"/>
  <c r="F50" i="16"/>
  <c r="F53" i="16" s="1"/>
  <c r="F137" i="16" s="1"/>
  <c r="J126" i="16"/>
  <c r="J50" i="16"/>
  <c r="J53" i="16" s="1"/>
  <c r="J137" i="16" s="1"/>
  <c r="N126" i="16"/>
  <c r="N50" i="16"/>
  <c r="N53" i="16" s="1"/>
  <c r="N137" i="16" s="1"/>
  <c r="R126" i="16"/>
  <c r="R50" i="16"/>
  <c r="R53" i="16" s="1"/>
  <c r="R137" i="16" s="1"/>
  <c r="V126" i="16"/>
  <c r="V50" i="16"/>
  <c r="V53" i="16" s="1"/>
  <c r="V137" i="16" s="1"/>
  <c r="Z126" i="16"/>
  <c r="Z50" i="16"/>
  <c r="Z53" i="16" s="1"/>
  <c r="Z137" i="16" s="1"/>
  <c r="AD126" i="16"/>
  <c r="AD50" i="16"/>
  <c r="AD53" i="16" s="1"/>
  <c r="AD137" i="16" s="1"/>
  <c r="D86" i="16"/>
  <c r="AH126" i="16"/>
  <c r="AH50" i="16"/>
  <c r="AH53" i="16" s="1"/>
  <c r="H126" i="16"/>
  <c r="H50" i="16"/>
  <c r="H53" i="16" s="1"/>
  <c r="H137" i="16" s="1"/>
  <c r="T126" i="16"/>
  <c r="T50" i="16"/>
  <c r="T53" i="16" s="1"/>
  <c r="T137" i="16" s="1"/>
  <c r="AF126" i="16"/>
  <c r="AF50" i="16"/>
  <c r="AF53" i="16" s="1"/>
  <c r="AF137" i="16" s="1"/>
  <c r="Q126" i="16"/>
  <c r="Q50" i="16"/>
  <c r="Q53" i="16" s="1"/>
  <c r="Q137" i="16" s="1"/>
  <c r="D122" i="16"/>
  <c r="D132" i="16" s="1"/>
  <c r="G126" i="16"/>
  <c r="G50" i="16"/>
  <c r="G53" i="16" s="1"/>
  <c r="G137" i="16" s="1"/>
  <c r="K126" i="16"/>
  <c r="K50" i="16"/>
  <c r="K53" i="16" s="1"/>
  <c r="K137" i="16" s="1"/>
  <c r="O126" i="16"/>
  <c r="O50" i="16"/>
  <c r="O53" i="16" s="1"/>
  <c r="O137" i="16" s="1"/>
  <c r="S126" i="16"/>
  <c r="S50" i="16"/>
  <c r="S53" i="16" s="1"/>
  <c r="S137" i="16" s="1"/>
  <c r="W126" i="16"/>
  <c r="W50" i="16"/>
  <c r="W53" i="16" s="1"/>
  <c r="W137" i="16" s="1"/>
  <c r="AA126" i="16"/>
  <c r="AA50" i="16"/>
  <c r="AA53" i="16" s="1"/>
  <c r="AA137" i="16" s="1"/>
  <c r="AE126" i="16"/>
  <c r="AE50" i="16"/>
  <c r="AE53" i="16" s="1"/>
  <c r="AE137" i="16" s="1"/>
  <c r="D127" i="16"/>
  <c r="D138" i="16" s="1"/>
  <c r="D41" i="16"/>
  <c r="D50" i="15"/>
  <c r="D53" i="15" s="1"/>
  <c r="D137" i="15" s="1"/>
  <c r="D126" i="15"/>
  <c r="E17" i="13"/>
  <c r="E19" i="13" s="1"/>
  <c r="D41" i="15"/>
  <c r="P7" i="20"/>
  <c r="J8" i="13"/>
  <c r="G16" i="13"/>
  <c r="E30" i="13" s="1"/>
  <c r="E31" i="13" s="1"/>
  <c r="E32" i="13" s="1"/>
  <c r="F38" i="15"/>
  <c r="F127" i="15" s="1"/>
  <c r="F138" i="15" s="1"/>
  <c r="J38" i="15"/>
  <c r="J127" i="15" s="1"/>
  <c r="J138" i="15" s="1"/>
  <c r="N38" i="15"/>
  <c r="N127" i="15" s="1"/>
  <c r="N138" i="15" s="1"/>
  <c r="R38" i="15"/>
  <c r="R127" i="15" s="1"/>
  <c r="R138" i="15" s="1"/>
  <c r="V38" i="15"/>
  <c r="V127" i="15" s="1"/>
  <c r="V138" i="15" s="1"/>
  <c r="Z38" i="15"/>
  <c r="Z127" i="15" s="1"/>
  <c r="Z138" i="15" s="1"/>
  <c r="AD38" i="15"/>
  <c r="AD127" i="15" s="1"/>
  <c r="AD138" i="15" s="1"/>
  <c r="AH38" i="15"/>
  <c r="E36" i="11"/>
  <c r="E37" i="11" s="1"/>
  <c r="E38" i="11" s="1"/>
  <c r="F35" i="11"/>
  <c r="F10" i="11"/>
  <c r="F17" i="11"/>
  <c r="F18" i="11" s="1"/>
  <c r="F19" i="11" s="1"/>
  <c r="F11" i="11"/>
  <c r="G7" i="13"/>
  <c r="G9" i="13" s="1"/>
  <c r="F17" i="13"/>
  <c r="D19" i="13"/>
  <c r="J9" i="13"/>
  <c r="D18" i="11"/>
  <c r="D19" i="11" s="1"/>
  <c r="G7" i="11"/>
  <c r="G8" i="11" s="1"/>
  <c r="J8" i="11"/>
  <c r="E17" i="11"/>
  <c r="E18" i="11" s="1"/>
  <c r="E19" i="11" s="1"/>
  <c r="J9" i="11"/>
  <c r="E73" i="12" l="1"/>
  <c r="E73" i="14"/>
  <c r="E18" i="13"/>
  <c r="C13" i="25"/>
  <c r="C55" i="25"/>
  <c r="C52" i="25"/>
  <c r="C53" i="25"/>
  <c r="C54" i="25"/>
  <c r="C51" i="25"/>
  <c r="C50" i="25"/>
  <c r="AN9" i="12"/>
  <c r="AO9" i="12" s="1"/>
  <c r="R26" i="36"/>
  <c r="R87" i="36" s="1"/>
  <c r="R28" i="36"/>
  <c r="R84" i="36"/>
  <c r="BA55" i="36"/>
  <c r="BA53" i="36"/>
  <c r="BA94" i="36" s="1"/>
  <c r="BA90" i="36"/>
  <c r="S59" i="36"/>
  <c r="R37" i="38" s="1"/>
  <c r="AX59" i="36"/>
  <c r="Q37" i="42" s="1"/>
  <c r="AV84" i="36"/>
  <c r="AV26" i="36"/>
  <c r="AV87" i="36" s="1"/>
  <c r="AV28" i="36"/>
  <c r="AX70" i="36"/>
  <c r="AW25" i="36"/>
  <c r="P34" i="42" s="1"/>
  <c r="AW69" i="36"/>
  <c r="S23" i="36"/>
  <c r="S25" i="36" s="1"/>
  <c r="AW60" i="36"/>
  <c r="AW62" i="36"/>
  <c r="AX36" i="36"/>
  <c r="Q33" i="42" s="1"/>
  <c r="AY35" i="36"/>
  <c r="T35" i="36"/>
  <c r="AY32" i="36"/>
  <c r="T32" i="36"/>
  <c r="AW77" i="36"/>
  <c r="AW39" i="36"/>
  <c r="AW37" i="36"/>
  <c r="AW81" i="36" s="1"/>
  <c r="AX46" i="36"/>
  <c r="AX44" i="36"/>
  <c r="AX97" i="36"/>
  <c r="R62" i="36"/>
  <c r="R60" i="36"/>
  <c r="AX23" i="36"/>
  <c r="BA18" i="36"/>
  <c r="V18" i="36"/>
  <c r="U19" i="36"/>
  <c r="U20" i="36" s="1"/>
  <c r="U56" i="36"/>
  <c r="AZ30" i="36"/>
  <c r="AZ31" i="36"/>
  <c r="AZ34" i="36"/>
  <c r="BA29" i="36"/>
  <c r="AZ33" i="36"/>
  <c r="V29" i="36"/>
  <c r="U33" i="36"/>
  <c r="U30" i="36"/>
  <c r="U31" i="36"/>
  <c r="U34" i="36"/>
  <c r="AY58" i="36"/>
  <c r="AY57" i="36"/>
  <c r="BC49" i="36"/>
  <c r="BD47" i="36"/>
  <c r="BC51" i="36"/>
  <c r="BC48" i="36"/>
  <c r="T21" i="36"/>
  <c r="T22" i="36"/>
  <c r="AZ41" i="36"/>
  <c r="AZ42" i="36"/>
  <c r="BA40" i="36"/>
  <c r="Y47" i="36"/>
  <c r="AY22" i="36"/>
  <c r="AY21" i="36"/>
  <c r="BB50" i="36"/>
  <c r="BB52" i="36" s="1"/>
  <c r="U36" i="42" s="1"/>
  <c r="AZ19" i="36"/>
  <c r="AZ20" i="36" s="1"/>
  <c r="AZ56" i="36"/>
  <c r="V40" i="36"/>
  <c r="U42" i="36"/>
  <c r="T58" i="36"/>
  <c r="T57" i="36"/>
  <c r="AY43" i="36"/>
  <c r="R35" i="42" s="1"/>
  <c r="G19" i="11"/>
  <c r="E63" i="36"/>
  <c r="G19" i="13"/>
  <c r="D76" i="14"/>
  <c r="D80" i="14"/>
  <c r="D80" i="12"/>
  <c r="D76" i="12"/>
  <c r="N25" i="13"/>
  <c r="D75" i="14"/>
  <c r="D75" i="12"/>
  <c r="D79" i="14"/>
  <c r="D77" i="14"/>
  <c r="D77" i="12"/>
  <c r="D79" i="12"/>
  <c r="D78" i="14"/>
  <c r="D78" i="12"/>
  <c r="X86" i="16"/>
  <c r="AH137" i="16"/>
  <c r="AH127" i="15"/>
  <c r="AH138" i="15" s="1"/>
  <c r="D87" i="15"/>
  <c r="G8" i="13"/>
  <c r="Q7" i="20"/>
  <c r="G35" i="11"/>
  <c r="F36" i="11"/>
  <c r="F37" i="11" s="1"/>
  <c r="F38" i="11" s="1"/>
  <c r="F30" i="13"/>
  <c r="G11" i="13"/>
  <c r="E31" i="15"/>
  <c r="G11" i="11"/>
  <c r="F18" i="13"/>
  <c r="F19" i="13"/>
  <c r="G10" i="13"/>
  <c r="G10" i="11"/>
  <c r="G9" i="11"/>
  <c r="E72" i="14" l="1"/>
  <c r="E72" i="12"/>
  <c r="E64" i="45"/>
  <c r="E61" i="45"/>
  <c r="E66" i="45"/>
  <c r="C57" i="25"/>
  <c r="F63" i="36"/>
  <c r="J9" i="49"/>
  <c r="U8" i="49"/>
  <c r="P5" i="49"/>
  <c r="E13" i="49"/>
  <c r="C4" i="50"/>
  <c r="O3" i="50" s="1"/>
  <c r="AX60" i="36"/>
  <c r="AX62" i="36"/>
  <c r="S28" i="36"/>
  <c r="R34" i="38"/>
  <c r="AY70" i="36"/>
  <c r="S26" i="36"/>
  <c r="S87" i="36" s="1"/>
  <c r="AY36" i="36"/>
  <c r="AY77" i="36" s="1"/>
  <c r="BC50" i="36"/>
  <c r="BC52" i="36" s="1"/>
  <c r="V36" i="42" s="1"/>
  <c r="T59" i="36"/>
  <c r="S62" i="36"/>
  <c r="S60" i="36"/>
  <c r="S84" i="36"/>
  <c r="AW84" i="36"/>
  <c r="AW26" i="36"/>
  <c r="AW87" i="36" s="1"/>
  <c r="AW28" i="36"/>
  <c r="AX77" i="36"/>
  <c r="AX37" i="36"/>
  <c r="AX81" i="36" s="1"/>
  <c r="AX39" i="36"/>
  <c r="U35" i="36"/>
  <c r="U32" i="36"/>
  <c r="AY23" i="36"/>
  <c r="T23" i="36"/>
  <c r="T25" i="36" s="1"/>
  <c r="S34" i="38" s="1"/>
  <c r="AZ35" i="36"/>
  <c r="AZ32" i="36"/>
  <c r="AX25" i="36"/>
  <c r="Q34" i="42" s="1"/>
  <c r="AX69" i="36"/>
  <c r="U22" i="36"/>
  <c r="U21" i="36"/>
  <c r="BA41" i="36"/>
  <c r="BA42" i="36"/>
  <c r="BB40" i="36"/>
  <c r="BD49" i="36"/>
  <c r="BD51" i="36"/>
  <c r="BE47" i="36"/>
  <c r="BD48" i="36"/>
  <c r="V56" i="36"/>
  <c r="V30" i="36"/>
  <c r="V34" i="36"/>
  <c r="W29" i="36"/>
  <c r="V33" i="36"/>
  <c r="V31" i="36"/>
  <c r="BB18" i="36"/>
  <c r="V19" i="36"/>
  <c r="V20" i="36" s="1"/>
  <c r="W18" i="36"/>
  <c r="V42" i="36"/>
  <c r="W40" i="36"/>
  <c r="AZ22" i="36"/>
  <c r="AZ21" i="36"/>
  <c r="BB90" i="36"/>
  <c r="BB53" i="36"/>
  <c r="BB94" i="36" s="1"/>
  <c r="BB55" i="36"/>
  <c r="BA19" i="36"/>
  <c r="BA20" i="36" s="1"/>
  <c r="BA56" i="36"/>
  <c r="AY97" i="36"/>
  <c r="AY46" i="36"/>
  <c r="AY44" i="36"/>
  <c r="AZ57" i="36"/>
  <c r="AZ58" i="36"/>
  <c r="Z47" i="36"/>
  <c r="AZ43" i="36"/>
  <c r="S35" i="42" s="1"/>
  <c r="AY59" i="36"/>
  <c r="R37" i="42" s="1"/>
  <c r="BA33" i="36"/>
  <c r="BA34" i="36"/>
  <c r="BB29" i="36"/>
  <c r="BA30" i="36"/>
  <c r="BA31" i="36"/>
  <c r="U57" i="36"/>
  <c r="U58" i="36"/>
  <c r="E50" i="15"/>
  <c r="E53" i="15" s="1"/>
  <c r="E137" i="15" s="1"/>
  <c r="E126" i="15"/>
  <c r="R7" i="20"/>
  <c r="H35" i="11"/>
  <c r="G36" i="11"/>
  <c r="G37" i="11" s="1"/>
  <c r="G38" i="11" s="1"/>
  <c r="E33" i="13"/>
  <c r="E64" i="36" s="1"/>
  <c r="F31" i="13"/>
  <c r="F32" i="13" s="1"/>
  <c r="G30" i="13"/>
  <c r="F31" i="15"/>
  <c r="AK66" i="45" l="1"/>
  <c r="AK61" i="45"/>
  <c r="AK64" i="45"/>
  <c r="F66" i="45"/>
  <c r="F72" i="14"/>
  <c r="F72" i="12"/>
  <c r="F64" i="45"/>
  <c r="F61" i="45"/>
  <c r="G63" i="36"/>
  <c r="U3" i="49"/>
  <c r="U6" i="49"/>
  <c r="U4" i="49"/>
  <c r="U5" i="49"/>
  <c r="U7" i="49"/>
  <c r="P3" i="49"/>
  <c r="P4" i="49"/>
  <c r="E7" i="49"/>
  <c r="E4" i="49"/>
  <c r="E11" i="49"/>
  <c r="E8" i="49"/>
  <c r="E6" i="49"/>
  <c r="E5" i="49"/>
  <c r="E10" i="49"/>
  <c r="E9" i="49"/>
  <c r="E12" i="49"/>
  <c r="J5" i="49"/>
  <c r="J4" i="49"/>
  <c r="C19" i="49" s="1"/>
  <c r="J8" i="49"/>
  <c r="J6" i="49"/>
  <c r="J3" i="49"/>
  <c r="J7" i="49"/>
  <c r="D4" i="50"/>
  <c r="P3" i="50" s="1"/>
  <c r="Q3" i="50" s="1"/>
  <c r="R3" i="50" s="1"/>
  <c r="S3" i="50" s="1"/>
  <c r="T3" i="50" s="1"/>
  <c r="T62" i="36"/>
  <c r="S37" i="38"/>
  <c r="T60" i="36"/>
  <c r="AY37" i="36"/>
  <c r="AY81" i="36" s="1"/>
  <c r="R33" i="42"/>
  <c r="AY39" i="36"/>
  <c r="BD50" i="36"/>
  <c r="BD52" i="36" s="1"/>
  <c r="BD53" i="36" s="1"/>
  <c r="BD94" i="36" s="1"/>
  <c r="U23" i="36"/>
  <c r="U25" i="36" s="1"/>
  <c r="T34" i="38" s="1"/>
  <c r="AZ70" i="36"/>
  <c r="BA32" i="36"/>
  <c r="V35" i="36"/>
  <c r="AZ36" i="36"/>
  <c r="S33" i="42" s="1"/>
  <c r="U59" i="36"/>
  <c r="T37" i="38" s="1"/>
  <c r="AZ59" i="36"/>
  <c r="AZ60" i="36" s="1"/>
  <c r="BA35" i="36"/>
  <c r="V32" i="36"/>
  <c r="AZ23" i="36"/>
  <c r="AX28" i="36"/>
  <c r="AX26" i="36"/>
  <c r="AX87" i="36" s="1"/>
  <c r="AX84" i="36"/>
  <c r="AY25" i="36"/>
  <c r="R34" i="42" s="1"/>
  <c r="AY69" i="36"/>
  <c r="AY60" i="36"/>
  <c r="AY62" i="36"/>
  <c r="X40" i="36"/>
  <c r="W42" i="36"/>
  <c r="BB19" i="36"/>
  <c r="BB20" i="36" s="1"/>
  <c r="BB56" i="36"/>
  <c r="BB30" i="36"/>
  <c r="BC29" i="36"/>
  <c r="BB34" i="36"/>
  <c r="BB33" i="36"/>
  <c r="BB31" i="36"/>
  <c r="BC90" i="36"/>
  <c r="BC53" i="36"/>
  <c r="BC94" i="36" s="1"/>
  <c r="BC55" i="36"/>
  <c r="AA47" i="36"/>
  <c r="BA57" i="36"/>
  <c r="BA58" i="36"/>
  <c r="V21" i="36"/>
  <c r="V22" i="36"/>
  <c r="BF47" i="36"/>
  <c r="BE48" i="36"/>
  <c r="BE49" i="36"/>
  <c r="BE51" i="36"/>
  <c r="T28" i="36"/>
  <c r="T26" i="36"/>
  <c r="T87" i="36" s="1"/>
  <c r="T84" i="36"/>
  <c r="BA43" i="36"/>
  <c r="T35" i="42" s="1"/>
  <c r="AZ46" i="36"/>
  <c r="AZ97" i="36"/>
  <c r="AZ44" i="36"/>
  <c r="BA21" i="36"/>
  <c r="BA22" i="36"/>
  <c r="BC18" i="36"/>
  <c r="W19" i="36"/>
  <c r="W20" i="36" s="1"/>
  <c r="X18" i="36"/>
  <c r="W56" i="36"/>
  <c r="V58" i="36"/>
  <c r="V57" i="36"/>
  <c r="W31" i="36"/>
  <c r="X29" i="36"/>
  <c r="W33" i="36"/>
  <c r="W34" i="36"/>
  <c r="W30" i="36"/>
  <c r="BB42" i="36"/>
  <c r="BB41" i="36"/>
  <c r="BC40" i="36"/>
  <c r="E63" i="45"/>
  <c r="AK63" i="36"/>
  <c r="AK68" i="36" s="1"/>
  <c r="AK75" i="36" s="1"/>
  <c r="E68" i="36"/>
  <c r="AK64" i="36"/>
  <c r="E66" i="36"/>
  <c r="E65" i="36"/>
  <c r="F50" i="15"/>
  <c r="F53" i="15" s="1"/>
  <c r="F137" i="15" s="1"/>
  <c r="F126" i="15"/>
  <c r="E74" i="14"/>
  <c r="E79" i="14"/>
  <c r="E77" i="14"/>
  <c r="E75" i="14"/>
  <c r="E78" i="14"/>
  <c r="E76" i="14"/>
  <c r="E80" i="14"/>
  <c r="S7" i="20"/>
  <c r="I35" i="11"/>
  <c r="H36" i="11"/>
  <c r="H37" i="11" s="1"/>
  <c r="H38" i="11" s="1"/>
  <c r="G31" i="13"/>
  <c r="G32" i="13" s="1"/>
  <c r="H30" i="13"/>
  <c r="F33" i="13"/>
  <c r="F64" i="36" s="1"/>
  <c r="G31" i="15"/>
  <c r="D53" i="12"/>
  <c r="B13" i="9"/>
  <c r="Z48" i="36" s="1"/>
  <c r="E219" i="14" l="1"/>
  <c r="E230" i="14" s="1"/>
  <c r="AL66" i="45"/>
  <c r="AL61" i="45"/>
  <c r="AK63" i="45"/>
  <c r="AL64" i="45"/>
  <c r="G66" i="45"/>
  <c r="G64" i="45"/>
  <c r="G61" i="45"/>
  <c r="G72" i="14"/>
  <c r="G72" i="12"/>
  <c r="F73" i="14"/>
  <c r="F76" i="14" s="1"/>
  <c r="F73" i="12"/>
  <c r="BD55" i="36"/>
  <c r="H63" i="36"/>
  <c r="C21" i="49"/>
  <c r="O5" i="50"/>
  <c r="D4" i="51" s="1"/>
  <c r="F22" i="49"/>
  <c r="C20" i="49"/>
  <c r="F20" i="49"/>
  <c r="W32" i="36"/>
  <c r="E4" i="50"/>
  <c r="U3" i="50" s="1"/>
  <c r="V3" i="50" s="1"/>
  <c r="W3" i="50" s="1"/>
  <c r="X3" i="50" s="1"/>
  <c r="Y3" i="50" s="1"/>
  <c r="K4" i="3"/>
  <c r="BD90" i="36"/>
  <c r="W36" i="42"/>
  <c r="AZ62" i="36"/>
  <c r="S37" i="42"/>
  <c r="Z51" i="36"/>
  <c r="D49" i="36"/>
  <c r="D51" i="36"/>
  <c r="D70" i="36" s="1"/>
  <c r="D48" i="36"/>
  <c r="E48" i="36"/>
  <c r="E51" i="36"/>
  <c r="E70" i="36" s="1"/>
  <c r="E49" i="36"/>
  <c r="F51" i="36"/>
  <c r="F70" i="36" s="1"/>
  <c r="F49" i="36"/>
  <c r="F48" i="36"/>
  <c r="G48" i="36"/>
  <c r="G51" i="36"/>
  <c r="G70" i="36" s="1"/>
  <c r="G49" i="36"/>
  <c r="H49" i="36"/>
  <c r="H48" i="36"/>
  <c r="H51" i="36"/>
  <c r="H70" i="36" s="1"/>
  <c r="I51" i="36"/>
  <c r="I70" i="36" s="1"/>
  <c r="I48" i="36"/>
  <c r="I49" i="36"/>
  <c r="J51" i="36"/>
  <c r="J70" i="36" s="1"/>
  <c r="J48" i="36"/>
  <c r="J49" i="36"/>
  <c r="K48" i="36"/>
  <c r="K49" i="36"/>
  <c r="K51" i="36"/>
  <c r="K70" i="36" s="1"/>
  <c r="L51" i="36"/>
  <c r="L70" i="36" s="1"/>
  <c r="L49" i="36"/>
  <c r="L48" i="36"/>
  <c r="M51" i="36"/>
  <c r="M70" i="36" s="1"/>
  <c r="M48" i="36"/>
  <c r="M49" i="36"/>
  <c r="N49" i="36"/>
  <c r="N51" i="36"/>
  <c r="N70" i="36" s="1"/>
  <c r="N48" i="36"/>
  <c r="O48" i="36"/>
  <c r="O51" i="36"/>
  <c r="O70" i="36" s="1"/>
  <c r="O49" i="36"/>
  <c r="P49" i="36"/>
  <c r="P51" i="36"/>
  <c r="P70" i="36" s="1"/>
  <c r="P48" i="36"/>
  <c r="Q49" i="36"/>
  <c r="Q48" i="36"/>
  <c r="Q51" i="36"/>
  <c r="Q70" i="36" s="1"/>
  <c r="R51" i="36"/>
  <c r="R70" i="36" s="1"/>
  <c r="R48" i="36"/>
  <c r="R49" i="36"/>
  <c r="S49" i="36"/>
  <c r="S51" i="36"/>
  <c r="S70" i="36" s="1"/>
  <c r="S48" i="36"/>
  <c r="T48" i="36"/>
  <c r="T49" i="36"/>
  <c r="T51" i="36"/>
  <c r="T70" i="36" s="1"/>
  <c r="U49" i="36"/>
  <c r="U51" i="36"/>
  <c r="U70" i="36" s="1"/>
  <c r="U48" i="36"/>
  <c r="V48" i="36"/>
  <c r="V49" i="36"/>
  <c r="V51" i="36"/>
  <c r="V70" i="36" s="1"/>
  <c r="W49" i="36"/>
  <c r="W51" i="36"/>
  <c r="W48" i="36"/>
  <c r="X49" i="36"/>
  <c r="X48" i="36"/>
  <c r="X51" i="36"/>
  <c r="Y49" i="36"/>
  <c r="Y51" i="36"/>
  <c r="Y48" i="36"/>
  <c r="Z49" i="36"/>
  <c r="Z50" i="36" s="1"/>
  <c r="Z52" i="36" s="1"/>
  <c r="Y36" i="38" s="1"/>
  <c r="BA36" i="36"/>
  <c r="BA70" i="36"/>
  <c r="W35" i="36"/>
  <c r="BA23" i="36"/>
  <c r="BA69" i="36" s="1"/>
  <c r="BA59" i="36"/>
  <c r="BB32" i="36"/>
  <c r="BB35" i="36"/>
  <c r="AY28" i="36"/>
  <c r="AY84" i="36"/>
  <c r="AY26" i="36"/>
  <c r="AY87" i="36" s="1"/>
  <c r="AZ69" i="36"/>
  <c r="AZ25" i="36"/>
  <c r="S34" i="42" s="1"/>
  <c r="U60" i="36"/>
  <c r="U62" i="36"/>
  <c r="V23" i="36"/>
  <c r="V25" i="36" s="1"/>
  <c r="U34" i="38" s="1"/>
  <c r="AZ77" i="36"/>
  <c r="AZ37" i="36"/>
  <c r="AZ81" i="36" s="1"/>
  <c r="AZ39" i="36"/>
  <c r="BF49" i="36"/>
  <c r="BF51" i="36"/>
  <c r="BF48" i="36"/>
  <c r="BG47" i="36"/>
  <c r="BB58" i="36"/>
  <c r="BB57" i="36"/>
  <c r="V59" i="36"/>
  <c r="U37" i="38" s="1"/>
  <c r="W58" i="36"/>
  <c r="W57" i="36"/>
  <c r="U28" i="36"/>
  <c r="U26" i="36"/>
  <c r="U87" i="36" s="1"/>
  <c r="U84" i="36"/>
  <c r="BE50" i="36"/>
  <c r="BE52" i="36" s="1"/>
  <c r="X36" i="42" s="1"/>
  <c r="BC31" i="36"/>
  <c r="BD29" i="36"/>
  <c r="BC33" i="36"/>
  <c r="BC30" i="36"/>
  <c r="BC34" i="36"/>
  <c r="BA46" i="36"/>
  <c r="BA97" i="36"/>
  <c r="BA44" i="36"/>
  <c r="BB43" i="36"/>
  <c r="U35" i="42" s="1"/>
  <c r="W21" i="36"/>
  <c r="W22" i="36"/>
  <c r="AA51" i="36"/>
  <c r="AA48" i="36"/>
  <c r="AB47" i="36"/>
  <c r="AA49" i="36"/>
  <c r="BB21" i="36"/>
  <c r="BB22" i="36"/>
  <c r="X42" i="36"/>
  <c r="Y40" i="36"/>
  <c r="BC42" i="36"/>
  <c r="BC41" i="36"/>
  <c r="BD40" i="36"/>
  <c r="BD18" i="36"/>
  <c r="Y18" i="36"/>
  <c r="X19" i="36"/>
  <c r="X20" i="36" s="1"/>
  <c r="X56" i="36"/>
  <c r="Y29" i="36"/>
  <c r="X33" i="36"/>
  <c r="X30" i="36"/>
  <c r="X34" i="36"/>
  <c r="X31" i="36"/>
  <c r="BC19" i="36"/>
  <c r="BC20" i="36" s="1"/>
  <c r="BC56" i="36"/>
  <c r="F63" i="45"/>
  <c r="AL63" i="36"/>
  <c r="AL68" i="36" s="1"/>
  <c r="AL75" i="36" s="1"/>
  <c r="F68" i="36"/>
  <c r="AL64" i="36"/>
  <c r="F66" i="36"/>
  <c r="F65" i="36"/>
  <c r="E71" i="36"/>
  <c r="E106" i="36"/>
  <c r="AK65" i="36"/>
  <c r="AK66" i="36"/>
  <c r="AK73" i="36" s="1"/>
  <c r="V84" i="36"/>
  <c r="G50" i="15"/>
  <c r="G53" i="15" s="1"/>
  <c r="G137" i="15" s="1"/>
  <c r="G126" i="15"/>
  <c r="E74" i="12"/>
  <c r="E76" i="12"/>
  <c r="E77" i="12"/>
  <c r="E78" i="12"/>
  <c r="E79" i="12"/>
  <c r="E75" i="12"/>
  <c r="E80" i="12"/>
  <c r="F80" i="14"/>
  <c r="F78" i="14"/>
  <c r="F75" i="14"/>
  <c r="T7" i="20"/>
  <c r="J35" i="11"/>
  <c r="I36" i="11"/>
  <c r="I37" i="11" s="1"/>
  <c r="I38" i="11" s="1"/>
  <c r="H31" i="13"/>
  <c r="H32" i="13" s="1"/>
  <c r="I30" i="13"/>
  <c r="G33" i="13"/>
  <c r="G64" i="36" s="1"/>
  <c r="H31" i="15"/>
  <c r="AM61" i="45" l="1"/>
  <c r="AL63" i="45"/>
  <c r="E219" i="12"/>
  <c r="E230" i="12" s="1"/>
  <c r="AM64" i="45"/>
  <c r="AM66" i="45"/>
  <c r="F74" i="14"/>
  <c r="F79" i="14"/>
  <c r="F77" i="14"/>
  <c r="H64" i="45"/>
  <c r="H61" i="45"/>
  <c r="H66" i="45"/>
  <c r="H72" i="14"/>
  <c r="H72" i="12"/>
  <c r="G73" i="14"/>
  <c r="G73" i="12"/>
  <c r="I63" i="36"/>
  <c r="BZ10" i="51"/>
  <c r="BS25" i="51"/>
  <c r="AJ4" i="51"/>
  <c r="P5" i="50"/>
  <c r="Q5" i="50" s="1"/>
  <c r="BS21" i="51"/>
  <c r="D7" i="51"/>
  <c r="AJ6" i="51"/>
  <c r="X50" i="36"/>
  <c r="Y50" i="36"/>
  <c r="Y52" i="36" s="1"/>
  <c r="Y55" i="36" s="1"/>
  <c r="U50" i="36"/>
  <c r="U52" i="36" s="1"/>
  <c r="T36" i="38" s="1"/>
  <c r="BA62" i="36"/>
  <c r="T37" i="42"/>
  <c r="BA37" i="36"/>
  <c r="BA81" i="36" s="1"/>
  <c r="T33" i="42"/>
  <c r="W50" i="36"/>
  <c r="W52" i="36" s="1"/>
  <c r="V36" i="38" s="1"/>
  <c r="Z53" i="36"/>
  <c r="Z94" i="36" s="1"/>
  <c r="Z55" i="36"/>
  <c r="Z90" i="36"/>
  <c r="P50" i="36"/>
  <c r="P52" i="36" s="1"/>
  <c r="O36" i="38" s="1"/>
  <c r="D50" i="36"/>
  <c r="D69" i="36" s="1"/>
  <c r="D72" i="36" s="1"/>
  <c r="X52" i="36"/>
  <c r="O50" i="36"/>
  <c r="O52" i="36" s="1"/>
  <c r="M50" i="36"/>
  <c r="M52" i="36" s="1"/>
  <c r="L36" i="38" s="1"/>
  <c r="T50" i="36"/>
  <c r="T52" i="36" s="1"/>
  <c r="S36" i="38" s="1"/>
  <c r="N50" i="36"/>
  <c r="N52" i="36" s="1"/>
  <c r="L50" i="36"/>
  <c r="L52" i="36" s="1"/>
  <c r="K36" i="38" s="1"/>
  <c r="I50" i="36"/>
  <c r="I52" i="36" s="1"/>
  <c r="H36" i="38" s="1"/>
  <c r="H50" i="36"/>
  <c r="H52" i="36" s="1"/>
  <c r="H55" i="36" s="1"/>
  <c r="F50" i="36"/>
  <c r="F52" i="36" s="1"/>
  <c r="V50" i="36"/>
  <c r="V52" i="36" s="1"/>
  <c r="U36" i="38" s="1"/>
  <c r="Q50" i="36"/>
  <c r="Q52" i="36" s="1"/>
  <c r="P36" i="38" s="1"/>
  <c r="S50" i="36"/>
  <c r="S52" i="36" s="1"/>
  <c r="R36" i="38" s="1"/>
  <c r="R50" i="36"/>
  <c r="R52" i="36" s="1"/>
  <c r="Q36" i="38" s="1"/>
  <c r="K50" i="36"/>
  <c r="K52" i="36" s="1"/>
  <c r="J36" i="38" s="1"/>
  <c r="J50" i="36"/>
  <c r="J52" i="36" s="1"/>
  <c r="I36" i="38" s="1"/>
  <c r="G50" i="36"/>
  <c r="G52" i="36" s="1"/>
  <c r="F36" i="38" s="1"/>
  <c r="E50" i="36"/>
  <c r="E52" i="36" s="1"/>
  <c r="D36" i="38" s="1"/>
  <c r="BA25" i="36"/>
  <c r="T34" i="42" s="1"/>
  <c r="BA60" i="36"/>
  <c r="BB59" i="36"/>
  <c r="BB23" i="36"/>
  <c r="W23" i="36"/>
  <c r="W25" i="36" s="1"/>
  <c r="V34" i="38" s="1"/>
  <c r="BC43" i="36"/>
  <c r="W70" i="36"/>
  <c r="BA39" i="36"/>
  <c r="BA77" i="36"/>
  <c r="X32" i="36"/>
  <c r="BB70" i="36"/>
  <c r="X35" i="36"/>
  <c r="BC32" i="36"/>
  <c r="BB36" i="36"/>
  <c r="U33" i="42" s="1"/>
  <c r="AA50" i="36"/>
  <c r="AA52" i="36" s="1"/>
  <c r="BC35" i="36"/>
  <c r="AZ84" i="36"/>
  <c r="AZ26" i="36"/>
  <c r="AZ87" i="36" s="1"/>
  <c r="AZ28" i="36"/>
  <c r="V26" i="36"/>
  <c r="V87" i="36" s="1"/>
  <c r="V28" i="36"/>
  <c r="BC21" i="36"/>
  <c r="BC22" i="36"/>
  <c r="X57" i="36"/>
  <c r="X58" i="36"/>
  <c r="BE40" i="36"/>
  <c r="BD41" i="36"/>
  <c r="BD42" i="36"/>
  <c r="BD34" i="36"/>
  <c r="BE29" i="36"/>
  <c r="BD33" i="36"/>
  <c r="BD30" i="36"/>
  <c r="BD31" i="36"/>
  <c r="X21" i="36"/>
  <c r="X22" i="36"/>
  <c r="BE90" i="36"/>
  <c r="BE53" i="36"/>
  <c r="BE94" i="36" s="1"/>
  <c r="BE55" i="36"/>
  <c r="V60" i="36"/>
  <c r="V62" i="36"/>
  <c r="BG51" i="36"/>
  <c r="BG48" i="36"/>
  <c r="BG49" i="36"/>
  <c r="BH47" i="36"/>
  <c r="BE18" i="36"/>
  <c r="Y19" i="36"/>
  <c r="Y20" i="36" s="1"/>
  <c r="Z18" i="36"/>
  <c r="Y56" i="36"/>
  <c r="Y42" i="36"/>
  <c r="Z40" i="36"/>
  <c r="BB97" i="36"/>
  <c r="BB44" i="36"/>
  <c r="BB46" i="36"/>
  <c r="BF50" i="36"/>
  <c r="BF52" i="36" s="1"/>
  <c r="Y36" i="42" s="1"/>
  <c r="BC58" i="36"/>
  <c r="BC57" i="36"/>
  <c r="Y30" i="36"/>
  <c r="Y33" i="36"/>
  <c r="Z29" i="36"/>
  <c r="Y31" i="36"/>
  <c r="Y34" i="36"/>
  <c r="BD19" i="36"/>
  <c r="BD20" i="36" s="1"/>
  <c r="BD56" i="36"/>
  <c r="AC47" i="36"/>
  <c r="AB49" i="36"/>
  <c r="AB48" i="36"/>
  <c r="AB51" i="36"/>
  <c r="W59" i="36"/>
  <c r="V37" i="38" s="1"/>
  <c r="G63" i="45"/>
  <c r="AM63" i="36"/>
  <c r="AM68" i="36" s="1"/>
  <c r="AM75" i="36" s="1"/>
  <c r="G68" i="36"/>
  <c r="AK71" i="36"/>
  <c r="AK72" i="36" s="1"/>
  <c r="AK106" i="36"/>
  <c r="F71" i="36"/>
  <c r="F106" i="36"/>
  <c r="AM64" i="36"/>
  <c r="G66" i="36"/>
  <c r="G65" i="36"/>
  <c r="AL65" i="36"/>
  <c r="AL66" i="36"/>
  <c r="AL73" i="36" s="1"/>
  <c r="H50" i="15"/>
  <c r="H53" i="15" s="1"/>
  <c r="H137" i="15" s="1"/>
  <c r="H126" i="15"/>
  <c r="F74" i="12"/>
  <c r="F75" i="12"/>
  <c r="F78" i="12"/>
  <c r="F77" i="12"/>
  <c r="F80" i="12"/>
  <c r="F79" i="12"/>
  <c r="F76" i="12"/>
  <c r="G74" i="14"/>
  <c r="G77" i="14"/>
  <c r="G79" i="14"/>
  <c r="G78" i="14"/>
  <c r="G75" i="14"/>
  <c r="G76" i="14"/>
  <c r="G80" i="14"/>
  <c r="U7" i="20"/>
  <c r="K35" i="11"/>
  <c r="J36" i="11"/>
  <c r="J37" i="11" s="1"/>
  <c r="J38" i="11" s="1"/>
  <c r="I31" i="13"/>
  <c r="I32" i="13" s="1"/>
  <c r="J30" i="13"/>
  <c r="H33" i="13"/>
  <c r="H64" i="36" s="1"/>
  <c r="I31" i="15"/>
  <c r="F219" i="12" l="1"/>
  <c r="F230" i="12" s="1"/>
  <c r="AN64" i="45"/>
  <c r="G219" i="14"/>
  <c r="G230" i="14" s="1"/>
  <c r="F219" i="14"/>
  <c r="F230" i="14" s="1"/>
  <c r="AN66" i="45"/>
  <c r="AN61" i="45"/>
  <c r="AM63" i="45"/>
  <c r="I66" i="45"/>
  <c r="I64" i="45"/>
  <c r="I61" i="45"/>
  <c r="I72" i="14"/>
  <c r="I72" i="12"/>
  <c r="H73" i="12"/>
  <c r="H73" i="14"/>
  <c r="H77" i="14" s="1"/>
  <c r="Y90" i="36"/>
  <c r="Y53" i="36"/>
  <c r="Y94" i="36" s="1"/>
  <c r="X36" i="38"/>
  <c r="J63" i="36"/>
  <c r="AO61" i="45"/>
  <c r="E4" i="51"/>
  <c r="F4" i="51"/>
  <c r="R5" i="50"/>
  <c r="D9" i="51"/>
  <c r="AJ7" i="51"/>
  <c r="D8" i="51"/>
  <c r="AJ8" i="51" s="1"/>
  <c r="D52" i="36"/>
  <c r="C36" i="38" s="1"/>
  <c r="BA28" i="36"/>
  <c r="M90" i="36"/>
  <c r="BA84" i="36"/>
  <c r="BA26" i="36"/>
  <c r="BA87" i="36" s="1"/>
  <c r="I90" i="36"/>
  <c r="AA55" i="36"/>
  <c r="Z36" i="38"/>
  <c r="BB62" i="36"/>
  <c r="U37" i="42"/>
  <c r="M55" i="36"/>
  <c r="I55" i="36"/>
  <c r="O53" i="36"/>
  <c r="O94" i="36" s="1"/>
  <c r="N36" i="38"/>
  <c r="BC70" i="36"/>
  <c r="BC97" i="36"/>
  <c r="V35" i="42"/>
  <c r="M53" i="36"/>
  <c r="M94" i="36" s="1"/>
  <c r="I53" i="36"/>
  <c r="I94" i="36" s="1"/>
  <c r="F53" i="36"/>
  <c r="F94" i="36" s="1"/>
  <c r="E36" i="38"/>
  <c r="N90" i="36"/>
  <c r="M36" i="38"/>
  <c r="X55" i="36"/>
  <c r="W36" i="38"/>
  <c r="H90" i="36"/>
  <c r="G36" i="38"/>
  <c r="BB60" i="36"/>
  <c r="AA90" i="36"/>
  <c r="O55" i="36"/>
  <c r="F90" i="36"/>
  <c r="N53" i="36"/>
  <c r="N94" i="36" s="1"/>
  <c r="X53" i="36"/>
  <c r="X94" i="36" s="1"/>
  <c r="O90" i="36"/>
  <c r="F55" i="36"/>
  <c r="N55" i="36"/>
  <c r="X90" i="36"/>
  <c r="H53" i="36"/>
  <c r="H94" i="36" s="1"/>
  <c r="AA53" i="36"/>
  <c r="AA94" i="36" s="1"/>
  <c r="R55" i="36"/>
  <c r="R90" i="36"/>
  <c r="R53" i="36"/>
  <c r="R94" i="36" s="1"/>
  <c r="W90" i="36"/>
  <c r="W55" i="36"/>
  <c r="W53" i="36"/>
  <c r="W94" i="36" s="1"/>
  <c r="T55" i="36"/>
  <c r="T90" i="36"/>
  <c r="T53" i="36"/>
  <c r="T94" i="36" s="1"/>
  <c r="D90" i="36"/>
  <c r="D55" i="36"/>
  <c r="D75" i="36" s="1"/>
  <c r="D53" i="36"/>
  <c r="G55" i="36"/>
  <c r="G90" i="36"/>
  <c r="G53" i="36"/>
  <c r="G94" i="36" s="1"/>
  <c r="Q90" i="36"/>
  <c r="Q53" i="36"/>
  <c r="Q94" i="36" s="1"/>
  <c r="Q55" i="36"/>
  <c r="J53" i="36"/>
  <c r="J94" i="36" s="1"/>
  <c r="J90" i="36"/>
  <c r="J55" i="36"/>
  <c r="P90" i="36"/>
  <c r="P55" i="36"/>
  <c r="P53" i="36"/>
  <c r="P94" i="36" s="1"/>
  <c r="S90" i="36"/>
  <c r="S55" i="36"/>
  <c r="S53" i="36"/>
  <c r="S94" i="36" s="1"/>
  <c r="V90" i="36"/>
  <c r="V53" i="36"/>
  <c r="V94" i="36" s="1"/>
  <c r="V55" i="36"/>
  <c r="E90" i="36"/>
  <c r="E55" i="36"/>
  <c r="E53" i="36"/>
  <c r="E94" i="36" s="1"/>
  <c r="K55" i="36"/>
  <c r="K53" i="36"/>
  <c r="K94" i="36" s="1"/>
  <c r="K90" i="36"/>
  <c r="U90" i="36"/>
  <c r="U53" i="36"/>
  <c r="U94" i="36" s="1"/>
  <c r="U55" i="36"/>
  <c r="L53" i="36"/>
  <c r="L94" i="36" s="1"/>
  <c r="L90" i="36"/>
  <c r="L55" i="36"/>
  <c r="BC59" i="36"/>
  <c r="BB25" i="36"/>
  <c r="U34" i="42" s="1"/>
  <c r="BB69" i="36"/>
  <c r="BD43" i="36"/>
  <c r="W35" i="42" s="1"/>
  <c r="BC44" i="36"/>
  <c r="BC46" i="36"/>
  <c r="BC36" i="36"/>
  <c r="V33" i="42" s="1"/>
  <c r="BD35" i="36"/>
  <c r="BB39" i="36"/>
  <c r="BB77" i="36"/>
  <c r="BB37" i="36"/>
  <c r="BB81" i="36" s="1"/>
  <c r="Y35" i="36"/>
  <c r="X23" i="36"/>
  <c r="X25" i="36" s="1"/>
  <c r="W34" i="38" s="1"/>
  <c r="BD32" i="36"/>
  <c r="BC23" i="36"/>
  <c r="BC25" i="36" s="1"/>
  <c r="V34" i="42" s="1"/>
  <c r="W60" i="36"/>
  <c r="W62" i="36"/>
  <c r="AB50" i="36"/>
  <c r="AB52" i="36" s="1"/>
  <c r="AA36" i="38" s="1"/>
  <c r="BF90" i="36"/>
  <c r="BF53" i="36"/>
  <c r="BF94" i="36" s="1"/>
  <c r="BF55" i="36"/>
  <c r="AA40" i="36"/>
  <c r="Z42" i="36"/>
  <c r="Y57" i="36"/>
  <c r="Y58" i="36"/>
  <c r="BE19" i="36"/>
  <c r="BE20" i="36" s="1"/>
  <c r="BE56" i="36"/>
  <c r="BG50" i="36"/>
  <c r="BG52" i="36" s="1"/>
  <c r="Z36" i="42" s="1"/>
  <c r="BE42" i="36"/>
  <c r="BF40" i="36"/>
  <c r="BE41" i="36"/>
  <c r="BD22" i="36"/>
  <c r="BD21" i="36"/>
  <c r="Y22" i="36"/>
  <c r="Y21" i="36"/>
  <c r="X59" i="36"/>
  <c r="W37" i="38" s="1"/>
  <c r="X70" i="36"/>
  <c r="AD47" i="36"/>
  <c r="AC49" i="36"/>
  <c r="AC51" i="36"/>
  <c r="AC48" i="36"/>
  <c r="BD58" i="36"/>
  <c r="BD57" i="36"/>
  <c r="AA29" i="36"/>
  <c r="Z34" i="36"/>
  <c r="Z33" i="36"/>
  <c r="Z30" i="36"/>
  <c r="Z31" i="36"/>
  <c r="AA18" i="36"/>
  <c r="BF18" i="36"/>
  <c r="Z19" i="36"/>
  <c r="Z20" i="36" s="1"/>
  <c r="Z56" i="36"/>
  <c r="BH48" i="36"/>
  <c r="BH49" i="36"/>
  <c r="BH51" i="36"/>
  <c r="BI47" i="36"/>
  <c r="W26" i="36"/>
  <c r="W87" i="36" s="1"/>
  <c r="W28" i="36"/>
  <c r="W84" i="36"/>
  <c r="BE30" i="36"/>
  <c r="BF29" i="36"/>
  <c r="BE33" i="36"/>
  <c r="BE31" i="36"/>
  <c r="BE34" i="36"/>
  <c r="AN63" i="36"/>
  <c r="AN68" i="36" s="1"/>
  <c r="AN75" i="36" s="1"/>
  <c r="H68" i="36"/>
  <c r="H63" i="45"/>
  <c r="G71" i="36"/>
  <c r="G106" i="36"/>
  <c r="AN64" i="36"/>
  <c r="H65" i="36"/>
  <c r="H66" i="36"/>
  <c r="AL71" i="36"/>
  <c r="AL72" i="36" s="1"/>
  <c r="AL106" i="36"/>
  <c r="AM65" i="36"/>
  <c r="AM66" i="36"/>
  <c r="AM73" i="36" s="1"/>
  <c r="I50" i="15"/>
  <c r="I53" i="15" s="1"/>
  <c r="I137" i="15" s="1"/>
  <c r="I126" i="15"/>
  <c r="G74" i="12"/>
  <c r="G77" i="12"/>
  <c r="G80" i="12"/>
  <c r="G76" i="12"/>
  <c r="G75" i="12"/>
  <c r="G78" i="12"/>
  <c r="G79" i="12"/>
  <c r="H79" i="14"/>
  <c r="H75" i="14"/>
  <c r="V7" i="20"/>
  <c r="L35" i="11"/>
  <c r="K36" i="11"/>
  <c r="K37" i="11" s="1"/>
  <c r="K38" i="11" s="1"/>
  <c r="J31" i="13"/>
  <c r="J32" i="13" s="1"/>
  <c r="K30" i="13"/>
  <c r="I33" i="13"/>
  <c r="I64" i="36" s="1"/>
  <c r="K31" i="15"/>
  <c r="J31" i="15"/>
  <c r="AK4" i="51" l="1"/>
  <c r="AN63" i="45"/>
  <c r="AO63" i="45"/>
  <c r="G219" i="12"/>
  <c r="G230" i="12" s="1"/>
  <c r="AL4" i="51"/>
  <c r="AO64" i="45"/>
  <c r="AJ9" i="51"/>
  <c r="AO66" i="45"/>
  <c r="H76" i="14"/>
  <c r="H80" i="14"/>
  <c r="J72" i="12"/>
  <c r="J72" i="14"/>
  <c r="J66" i="45"/>
  <c r="H78" i="14"/>
  <c r="J64" i="45"/>
  <c r="J61" i="45"/>
  <c r="H74" i="14"/>
  <c r="I73" i="12"/>
  <c r="I73" i="14"/>
  <c r="I78" i="14" s="1"/>
  <c r="K63" i="36"/>
  <c r="S5" i="50"/>
  <c r="G4" i="51"/>
  <c r="Y70" i="36"/>
  <c r="BC60" i="36"/>
  <c r="V37" i="42"/>
  <c r="BC62" i="36"/>
  <c r="D94" i="36"/>
  <c r="D73" i="36"/>
  <c r="BH50" i="36"/>
  <c r="BH52" i="36" s="1"/>
  <c r="AA36" i="42" s="1"/>
  <c r="AC50" i="36"/>
  <c r="AC52" i="36" s="1"/>
  <c r="AB36" i="38" s="1"/>
  <c r="Y59" i="36"/>
  <c r="X37" i="38" s="1"/>
  <c r="BC69" i="36"/>
  <c r="BB26" i="36"/>
  <c r="BB87" i="36" s="1"/>
  <c r="BB28" i="36"/>
  <c r="BB84" i="36"/>
  <c r="BE43" i="36"/>
  <c r="X35" i="42" s="1"/>
  <c r="BD97" i="36"/>
  <c r="BD44" i="36"/>
  <c r="BD46" i="36"/>
  <c r="BD70" i="36"/>
  <c r="BD36" i="36"/>
  <c r="Z32" i="36"/>
  <c r="BC77" i="36"/>
  <c r="BC39" i="36"/>
  <c r="BC37" i="36"/>
  <c r="BC81" i="36" s="1"/>
  <c r="BE32" i="36"/>
  <c r="Z35" i="36"/>
  <c r="Y23" i="36"/>
  <c r="Y25" i="36" s="1"/>
  <c r="X34" i="38" s="1"/>
  <c r="BE35" i="36"/>
  <c r="BD23" i="36"/>
  <c r="BF19" i="36"/>
  <c r="BF20" i="36" s="1"/>
  <c r="BF56" i="36"/>
  <c r="BD59" i="36"/>
  <c r="W37" i="42" s="1"/>
  <c r="BC84" i="36"/>
  <c r="BC26" i="36"/>
  <c r="BC87" i="36" s="1"/>
  <c r="BC28" i="36"/>
  <c r="AB90" i="36"/>
  <c r="AB55" i="36"/>
  <c r="AB53" i="36"/>
  <c r="AB94" i="36" s="1"/>
  <c r="BG18" i="36"/>
  <c r="AB18" i="36"/>
  <c r="AA19" i="36"/>
  <c r="AA20" i="36" s="1"/>
  <c r="AD48" i="36"/>
  <c r="AE47" i="36"/>
  <c r="AD51" i="36"/>
  <c r="AD49" i="36"/>
  <c r="BG90" i="36"/>
  <c r="BG53" i="36"/>
  <c r="BG94" i="36" s="1"/>
  <c r="BG55" i="36"/>
  <c r="BE57" i="36"/>
  <c r="BE58" i="36"/>
  <c r="BF34" i="36"/>
  <c r="BF31" i="36"/>
  <c r="BG29" i="36"/>
  <c r="BF33" i="36"/>
  <c r="BF30" i="36"/>
  <c r="BI51" i="36"/>
  <c r="BI48" i="36"/>
  <c r="BI49" i="36"/>
  <c r="BJ47" i="36"/>
  <c r="Z58" i="36"/>
  <c r="Z57" i="36"/>
  <c r="BG40" i="36"/>
  <c r="BF42" i="36"/>
  <c r="BF41" i="36"/>
  <c r="BE21" i="36"/>
  <c r="BE22" i="36"/>
  <c r="Z21" i="36"/>
  <c r="Z22" i="36"/>
  <c r="AA56" i="36"/>
  <c r="AA34" i="36"/>
  <c r="AA30" i="36"/>
  <c r="AB29" i="36"/>
  <c r="AA33" i="36"/>
  <c r="AA31" i="36"/>
  <c r="X60" i="36"/>
  <c r="X62" i="36"/>
  <c r="X26" i="36"/>
  <c r="X87" i="36" s="1"/>
  <c r="X28" i="36"/>
  <c r="X84" i="36"/>
  <c r="AB40" i="36"/>
  <c r="AA42" i="36"/>
  <c r="I63" i="45"/>
  <c r="AO63" i="36"/>
  <c r="AO68" i="36" s="1"/>
  <c r="AO75" i="36" s="1"/>
  <c r="I68" i="36"/>
  <c r="AM71" i="36"/>
  <c r="AM72" i="36" s="1"/>
  <c r="AM106" i="36"/>
  <c r="AN65" i="36"/>
  <c r="AN66" i="36"/>
  <c r="AN73" i="36" s="1"/>
  <c r="H71" i="36"/>
  <c r="H106" i="36"/>
  <c r="AO64" i="36"/>
  <c r="I66" i="36"/>
  <c r="I65" i="36"/>
  <c r="K50" i="15"/>
  <c r="K53" i="15" s="1"/>
  <c r="K137" i="15" s="1"/>
  <c r="K126" i="15"/>
  <c r="J50" i="15"/>
  <c r="J53" i="15" s="1"/>
  <c r="J137" i="15" s="1"/>
  <c r="J126" i="15"/>
  <c r="H74" i="12"/>
  <c r="H78" i="12"/>
  <c r="H79" i="12"/>
  <c r="H76" i="12"/>
  <c r="H80" i="12"/>
  <c r="H75" i="12"/>
  <c r="H77" i="12"/>
  <c r="I77" i="14"/>
  <c r="W7" i="20"/>
  <c r="M35" i="11"/>
  <c r="L36" i="11"/>
  <c r="L37" i="11" s="1"/>
  <c r="L38" i="11" s="1"/>
  <c r="J33" i="13"/>
  <c r="J64" i="36" s="1"/>
  <c r="K31" i="13"/>
  <c r="K32" i="13" s="1"/>
  <c r="L30" i="13"/>
  <c r="L31" i="15"/>
  <c r="AP61" i="45" l="1"/>
  <c r="H219" i="12"/>
  <c r="H230" i="12" s="1"/>
  <c r="AM4" i="51"/>
  <c r="AP64" i="45"/>
  <c r="H219" i="14"/>
  <c r="H230" i="14" s="1"/>
  <c r="AP66" i="45"/>
  <c r="K64" i="45"/>
  <c r="AQ64" i="45" s="1"/>
  <c r="K61" i="45"/>
  <c r="K72" i="14"/>
  <c r="K72" i="12"/>
  <c r="K66" i="45"/>
  <c r="I79" i="14"/>
  <c r="I75" i="14"/>
  <c r="I76" i="14"/>
  <c r="I80" i="14"/>
  <c r="I74" i="14"/>
  <c r="J73" i="12"/>
  <c r="J73" i="14"/>
  <c r="Z70" i="36"/>
  <c r="BE70" i="36"/>
  <c r="L63" i="36"/>
  <c r="H4" i="51"/>
  <c r="T5" i="50"/>
  <c r="BD39" i="36"/>
  <c r="W33" i="42"/>
  <c r="BH53" i="36"/>
  <c r="BH94" i="36" s="1"/>
  <c r="BH90" i="36"/>
  <c r="BH55" i="36"/>
  <c r="BE23" i="36"/>
  <c r="BE69" i="36" s="1"/>
  <c r="Y62" i="36"/>
  <c r="Y60" i="36"/>
  <c r="BE97" i="36"/>
  <c r="BE44" i="36"/>
  <c r="BE46" i="36"/>
  <c r="BD77" i="36"/>
  <c r="BD37" i="36"/>
  <c r="BD81" i="36" s="1"/>
  <c r="BF32" i="36"/>
  <c r="BF35" i="36"/>
  <c r="BE36" i="36"/>
  <c r="X33" i="42" s="1"/>
  <c r="AA32" i="36"/>
  <c r="Z23" i="36"/>
  <c r="Z25" i="36" s="1"/>
  <c r="Y34" i="38" s="1"/>
  <c r="BF43" i="36"/>
  <c r="Y35" i="42" s="1"/>
  <c r="BD25" i="36"/>
  <c r="W34" i="42" s="1"/>
  <c r="BD69" i="36"/>
  <c r="Y28" i="36"/>
  <c r="Y26" i="36"/>
  <c r="Y87" i="36" s="1"/>
  <c r="Y84" i="36"/>
  <c r="AA35" i="36"/>
  <c r="Z59" i="36"/>
  <c r="Y37" i="38" s="1"/>
  <c r="BE59" i="36"/>
  <c r="X37" i="42" s="1"/>
  <c r="AC40" i="36"/>
  <c r="AB42" i="36"/>
  <c r="BI50" i="36"/>
  <c r="BI52" i="36" s="1"/>
  <c r="AB36" i="42" s="1"/>
  <c r="BG31" i="36"/>
  <c r="BG34" i="36"/>
  <c r="BH29" i="36"/>
  <c r="BG33" i="36"/>
  <c r="BG30" i="36"/>
  <c r="AA22" i="36"/>
  <c r="AA21" i="36"/>
  <c r="BF21" i="36"/>
  <c r="BF22" i="36"/>
  <c r="AB19" i="36"/>
  <c r="AB20" i="36" s="1"/>
  <c r="AC18" i="36"/>
  <c r="BH18" i="36"/>
  <c r="AB56" i="36"/>
  <c r="AA58" i="36"/>
  <c r="AA57" i="36"/>
  <c r="BH40" i="36"/>
  <c r="BG42" i="36"/>
  <c r="BG41" i="36"/>
  <c r="BJ51" i="36"/>
  <c r="BJ49" i="36"/>
  <c r="BJ48" i="36"/>
  <c r="BK47" i="36"/>
  <c r="AE48" i="36"/>
  <c r="AF47" i="36"/>
  <c r="AE49" i="36"/>
  <c r="AE51" i="36"/>
  <c r="BG19" i="36"/>
  <c r="BG20" i="36" s="1"/>
  <c r="BG56" i="36"/>
  <c r="F97" i="44"/>
  <c r="BD60" i="36"/>
  <c r="BD62" i="36"/>
  <c r="AB33" i="36"/>
  <c r="AB34" i="36"/>
  <c r="AB30" i="36"/>
  <c r="AC29" i="36"/>
  <c r="AB31" i="36"/>
  <c r="BE25" i="36"/>
  <c r="X34" i="42" s="1"/>
  <c r="AC55" i="36"/>
  <c r="AC53" i="36"/>
  <c r="AC94" i="36" s="1"/>
  <c r="AC90" i="36"/>
  <c r="AD50" i="36"/>
  <c r="AD52" i="36" s="1"/>
  <c r="AC36" i="38" s="1"/>
  <c r="BF57" i="36"/>
  <c r="BF58" i="36"/>
  <c r="J63" i="45"/>
  <c r="AP63" i="36"/>
  <c r="AP68" i="36" s="1"/>
  <c r="AP75" i="36" s="1"/>
  <c r="J68" i="36"/>
  <c r="AO66" i="36"/>
  <c r="AO73" i="36" s="1"/>
  <c r="AO65" i="36"/>
  <c r="AN71" i="36"/>
  <c r="AN72" i="36" s="1"/>
  <c r="AN106" i="36"/>
  <c r="AP64" i="36"/>
  <c r="J65" i="36"/>
  <c r="J66" i="36"/>
  <c r="I71" i="36"/>
  <c r="I106" i="36"/>
  <c r="L50" i="15"/>
  <c r="L53" i="15" s="1"/>
  <c r="L137" i="15" s="1"/>
  <c r="L126" i="15"/>
  <c r="I74" i="12"/>
  <c r="I76" i="12"/>
  <c r="I77" i="12"/>
  <c r="I78" i="12"/>
  <c r="I79" i="12"/>
  <c r="I75" i="12"/>
  <c r="I80" i="12"/>
  <c r="J74" i="14"/>
  <c r="J77" i="14"/>
  <c r="J75" i="14"/>
  <c r="J79" i="14"/>
  <c r="J80" i="14"/>
  <c r="J78" i="14"/>
  <c r="J76" i="14"/>
  <c r="X7" i="20"/>
  <c r="N35" i="11"/>
  <c r="M36" i="11"/>
  <c r="M37" i="11" s="1"/>
  <c r="M38" i="11" s="1"/>
  <c r="L31" i="13"/>
  <c r="L32" i="13" s="1"/>
  <c r="M30" i="13"/>
  <c r="K33" i="13"/>
  <c r="K64" i="36" s="1"/>
  <c r="I219" i="14" l="1"/>
  <c r="I230" i="14" s="1"/>
  <c r="AN4" i="51"/>
  <c r="I219" i="12"/>
  <c r="I230" i="12" s="1"/>
  <c r="AQ66" i="45"/>
  <c r="AQ61" i="45"/>
  <c r="J219" i="14"/>
  <c r="J230" i="14" s="1"/>
  <c r="AP63" i="45"/>
  <c r="L64" i="45"/>
  <c r="AR64" i="45" s="1"/>
  <c r="L61" i="45"/>
  <c r="L66" i="45"/>
  <c r="L72" i="14"/>
  <c r="L72" i="12"/>
  <c r="K73" i="12"/>
  <c r="K73" i="14"/>
  <c r="K74" i="14" s="1"/>
  <c r="BG32" i="36"/>
  <c r="M63" i="36"/>
  <c r="AR61" i="45"/>
  <c r="I4" i="51"/>
  <c r="U5" i="50"/>
  <c r="AA23" i="36"/>
  <c r="AA25" i="36" s="1"/>
  <c r="Z34" i="38" s="1"/>
  <c r="BF70" i="36"/>
  <c r="AA59" i="36"/>
  <c r="Z37" i="38" s="1"/>
  <c r="BF36" i="36"/>
  <c r="BE39" i="36"/>
  <c r="BE77" i="36"/>
  <c r="BE37" i="36"/>
  <c r="BE81" i="36" s="1"/>
  <c r="AB35" i="36"/>
  <c r="BJ50" i="36"/>
  <c r="BJ52" i="36" s="1"/>
  <c r="AC36" i="42" s="1"/>
  <c r="BF23" i="36"/>
  <c r="BF25" i="36" s="1"/>
  <c r="Y34" i="42" s="1"/>
  <c r="BE60" i="36"/>
  <c r="BE62" i="36"/>
  <c r="BG35" i="36"/>
  <c r="BG36" i="36" s="1"/>
  <c r="Z33" i="42" s="1"/>
  <c r="Z62" i="36"/>
  <c r="Z60" i="36"/>
  <c r="BD26" i="36"/>
  <c r="BD87" i="36" s="1"/>
  <c r="BD28" i="36"/>
  <c r="BD84" i="36"/>
  <c r="AB32" i="36"/>
  <c r="AE50" i="36"/>
  <c r="AE52" i="36" s="1"/>
  <c r="BF44" i="36"/>
  <c r="BF97" i="36"/>
  <c r="BF46" i="36"/>
  <c r="BF59" i="36"/>
  <c r="Y37" i="42" s="1"/>
  <c r="AD90" i="36"/>
  <c r="AD55" i="36"/>
  <c r="AD53" i="36"/>
  <c r="AD94" i="36" s="1"/>
  <c r="BE26" i="36"/>
  <c r="BE87" i="36" s="1"/>
  <c r="BE84" i="36"/>
  <c r="BE28" i="36"/>
  <c r="AD29" i="36"/>
  <c r="AC33" i="36"/>
  <c r="AC34" i="36"/>
  <c r="AC30" i="36"/>
  <c r="AC31" i="36"/>
  <c r="BG57" i="36"/>
  <c r="BG58" i="36"/>
  <c r="AF51" i="36"/>
  <c r="AF48" i="36"/>
  <c r="AF49" i="36"/>
  <c r="AG47" i="36"/>
  <c r="BH41" i="36"/>
  <c r="BH42" i="36"/>
  <c r="BI40" i="36"/>
  <c r="AB22" i="36"/>
  <c r="AB21" i="36"/>
  <c r="BI55" i="36"/>
  <c r="BI53" i="36"/>
  <c r="BI94" i="36" s="1"/>
  <c r="BI90" i="36"/>
  <c r="Z28" i="36"/>
  <c r="Z84" i="36"/>
  <c r="Z26" i="36"/>
  <c r="Z87" i="36" s="1"/>
  <c r="G97" i="44"/>
  <c r="AB57" i="36"/>
  <c r="AB58" i="36"/>
  <c r="BI29" i="36"/>
  <c r="BH30" i="36"/>
  <c r="BH33" i="36"/>
  <c r="BH31" i="36"/>
  <c r="BH34" i="36"/>
  <c r="BK51" i="36"/>
  <c r="BK48" i="36"/>
  <c r="BK49" i="36"/>
  <c r="BL47" i="36"/>
  <c r="BG43" i="36"/>
  <c r="Z35" i="42" s="1"/>
  <c r="AA70" i="36"/>
  <c r="BH19" i="36"/>
  <c r="BH20" i="36" s="1"/>
  <c r="BH56" i="36"/>
  <c r="C97" i="44"/>
  <c r="BG22" i="36"/>
  <c r="BG21" i="36"/>
  <c r="AC19" i="36"/>
  <c r="AC20" i="36" s="1"/>
  <c r="AD18" i="36"/>
  <c r="BI18" i="36"/>
  <c r="AC56" i="36"/>
  <c r="AC42" i="36"/>
  <c r="AD40" i="36"/>
  <c r="K63" i="45"/>
  <c r="AQ63" i="36"/>
  <c r="AQ68" i="36" s="1"/>
  <c r="AQ75" i="36" s="1"/>
  <c r="K68" i="36"/>
  <c r="J71" i="36"/>
  <c r="J106" i="36"/>
  <c r="AP66" i="36"/>
  <c r="AP73" i="36" s="1"/>
  <c r="AP65" i="36"/>
  <c r="AO71" i="36"/>
  <c r="AO72" i="36" s="1"/>
  <c r="AO106" i="36"/>
  <c r="AQ64" i="36"/>
  <c r="K65" i="36"/>
  <c r="K66" i="36"/>
  <c r="J74" i="12"/>
  <c r="J75" i="12"/>
  <c r="J78" i="12"/>
  <c r="J77" i="12"/>
  <c r="J80" i="12"/>
  <c r="J76" i="12"/>
  <c r="J79" i="12"/>
  <c r="Y7" i="20"/>
  <c r="O35" i="11"/>
  <c r="N36" i="11"/>
  <c r="N37" i="11" s="1"/>
  <c r="N38" i="11" s="1"/>
  <c r="M31" i="13"/>
  <c r="M32" i="13" s="1"/>
  <c r="N30" i="13"/>
  <c r="L33" i="13"/>
  <c r="L64" i="36" s="1"/>
  <c r="M31" i="15"/>
  <c r="N31" i="15"/>
  <c r="AO4" i="51" l="1"/>
  <c r="AQ63" i="45"/>
  <c r="AR66" i="45"/>
  <c r="AR63" i="45"/>
  <c r="J219" i="12"/>
  <c r="J230" i="12" s="1"/>
  <c r="K219" i="14"/>
  <c r="K230" i="14" s="1"/>
  <c r="K80" i="14"/>
  <c r="K76" i="14"/>
  <c r="K77" i="14"/>
  <c r="K78" i="14"/>
  <c r="K75" i="14"/>
  <c r="M72" i="14"/>
  <c r="M72" i="12"/>
  <c r="K79" i="14"/>
  <c r="M64" i="45"/>
  <c r="M61" i="45"/>
  <c r="M66" i="45"/>
  <c r="L73" i="12"/>
  <c r="L73" i="14"/>
  <c r="AA62" i="36"/>
  <c r="N63" i="36"/>
  <c r="V5" i="50"/>
  <c r="J4" i="51"/>
  <c r="AA60" i="36"/>
  <c r="BF39" i="36"/>
  <c r="Y33" i="42"/>
  <c r="BG37" i="36"/>
  <c r="BG81" i="36" s="1"/>
  <c r="AE90" i="36"/>
  <c r="AD36" i="38"/>
  <c r="BH32" i="36"/>
  <c r="AE53" i="36"/>
  <c r="AE94" i="36" s="1"/>
  <c r="AE55" i="36"/>
  <c r="BG59" i="36"/>
  <c r="Z37" i="42" s="1"/>
  <c r="BF69" i="36"/>
  <c r="BH43" i="36"/>
  <c r="BF37" i="36"/>
  <c r="BF81" i="36" s="1"/>
  <c r="BG70" i="36"/>
  <c r="BF77" i="36"/>
  <c r="AC32" i="36"/>
  <c r="AC35" i="36"/>
  <c r="BH35" i="36"/>
  <c r="BG77" i="36"/>
  <c r="BG39" i="36"/>
  <c r="BG23" i="36"/>
  <c r="AB23" i="36"/>
  <c r="AB25" i="36" s="1"/>
  <c r="AA34" i="38" s="1"/>
  <c r="AE18" i="36"/>
  <c r="AD19" i="36"/>
  <c r="AD20" i="36" s="1"/>
  <c r="BJ18" i="36"/>
  <c r="AD56" i="36"/>
  <c r="BJ53" i="36"/>
  <c r="BJ94" i="36" s="1"/>
  <c r="BJ55" i="36"/>
  <c r="BJ90" i="36"/>
  <c r="BG97" i="36"/>
  <c r="BG44" i="36"/>
  <c r="BG46" i="36"/>
  <c r="BI30" i="36"/>
  <c r="BJ29" i="36"/>
  <c r="BI34" i="36"/>
  <c r="BI31" i="36"/>
  <c r="BI33" i="36"/>
  <c r="AC21" i="36"/>
  <c r="AC22" i="36"/>
  <c r="AA26" i="36"/>
  <c r="AA87" i="36" s="1"/>
  <c r="AA84" i="36"/>
  <c r="AA28" i="36"/>
  <c r="BH58" i="36"/>
  <c r="BH57" i="36"/>
  <c r="BL51" i="36"/>
  <c r="BM47" i="36"/>
  <c r="BL49" i="36"/>
  <c r="BL48" i="36"/>
  <c r="AB59" i="36"/>
  <c r="AA37" i="38" s="1"/>
  <c r="AB70" i="36"/>
  <c r="AH47" i="36"/>
  <c r="AG51" i="36"/>
  <c r="AG49" i="36"/>
  <c r="AG48" i="36"/>
  <c r="AE40" i="36"/>
  <c r="AD42" i="36"/>
  <c r="BF26" i="36"/>
  <c r="BF87" i="36" s="1"/>
  <c r="BF28" i="36"/>
  <c r="BF84" i="36"/>
  <c r="AC58" i="36"/>
  <c r="AC70" i="36" s="1"/>
  <c r="AC57" i="36"/>
  <c r="BH21" i="36"/>
  <c r="BH22" i="36"/>
  <c r="BI41" i="36"/>
  <c r="BI42" i="36"/>
  <c r="BJ40" i="36"/>
  <c r="BF60" i="36"/>
  <c r="BF62" i="36"/>
  <c r="BI19" i="36"/>
  <c r="BI20" i="36" s="1"/>
  <c r="BI56" i="36"/>
  <c r="BK50" i="36"/>
  <c r="BK52" i="36" s="1"/>
  <c r="AD36" i="42" s="1"/>
  <c r="AF50" i="36"/>
  <c r="AF52" i="36" s="1"/>
  <c r="AE36" i="38" s="1"/>
  <c r="AD31" i="36"/>
  <c r="AD34" i="36"/>
  <c r="AD33" i="36"/>
  <c r="AD30" i="36"/>
  <c r="AE29" i="36"/>
  <c r="L63" i="45"/>
  <c r="AR63" i="36"/>
  <c r="AR68" i="36" s="1"/>
  <c r="AR75" i="36" s="1"/>
  <c r="L68" i="36"/>
  <c r="K71" i="36"/>
  <c r="K106" i="36"/>
  <c r="AR64" i="36"/>
  <c r="L65" i="36"/>
  <c r="L66" i="36"/>
  <c r="AQ65" i="36"/>
  <c r="AQ66" i="36"/>
  <c r="AQ73" i="36" s="1"/>
  <c r="AP71" i="36"/>
  <c r="AP72" i="36" s="1"/>
  <c r="AP106" i="36"/>
  <c r="M50" i="15"/>
  <c r="M53" i="15" s="1"/>
  <c r="M137" i="15" s="1"/>
  <c r="M126" i="15"/>
  <c r="N50" i="15"/>
  <c r="N53" i="15" s="1"/>
  <c r="N137" i="15" s="1"/>
  <c r="N126" i="15"/>
  <c r="K74" i="12"/>
  <c r="K75" i="12"/>
  <c r="K78" i="12"/>
  <c r="K76" i="12"/>
  <c r="K77" i="12"/>
  <c r="K80" i="12"/>
  <c r="K79" i="12"/>
  <c r="L74" i="14"/>
  <c r="L75" i="14"/>
  <c r="L80" i="14"/>
  <c r="L77" i="14"/>
  <c r="L78" i="14"/>
  <c r="L76" i="14"/>
  <c r="L79" i="14"/>
  <c r="Z7" i="20"/>
  <c r="P35" i="11"/>
  <c r="O36" i="11"/>
  <c r="O37" i="11" s="1"/>
  <c r="O38" i="11" s="1"/>
  <c r="N31" i="13"/>
  <c r="N32" i="13" s="1"/>
  <c r="O30" i="13"/>
  <c r="M33" i="13"/>
  <c r="M64" i="36" s="1"/>
  <c r="O31" i="15"/>
  <c r="AS66" i="45" l="1"/>
  <c r="AP4" i="51"/>
  <c r="AS61" i="45"/>
  <c r="L219" i="14"/>
  <c r="L230" i="14" s="1"/>
  <c r="AS64" i="45"/>
  <c r="K219" i="12"/>
  <c r="K230" i="12" s="1"/>
  <c r="N72" i="14"/>
  <c r="N72" i="12"/>
  <c r="N64" i="45"/>
  <c r="N61" i="45"/>
  <c r="N66" i="45"/>
  <c r="M73" i="12"/>
  <c r="M73" i="14"/>
  <c r="M76" i="14" s="1"/>
  <c r="O63" i="36"/>
  <c r="W5" i="50"/>
  <c r="K4" i="51"/>
  <c r="D248" i="53"/>
  <c r="E248" i="53" s="1"/>
  <c r="F248" i="53" s="1"/>
  <c r="G248" i="53" s="1"/>
  <c r="H248" i="53" s="1"/>
  <c r="I248" i="53" s="1"/>
  <c r="J248" i="53" s="1"/>
  <c r="K248" i="53" s="1"/>
  <c r="L248" i="53" s="1"/>
  <c r="N248" i="53" s="1"/>
  <c r="O248" i="53" s="1"/>
  <c r="P248" i="53" s="1"/>
  <c r="Q248" i="53" s="1"/>
  <c r="R248" i="53" s="1"/>
  <c r="S248" i="53" s="1"/>
  <c r="T248" i="53" s="1"/>
  <c r="U248" i="53" s="1"/>
  <c r="V248" i="53" s="1"/>
  <c r="W248" i="53" s="1"/>
  <c r="X248" i="53" s="1"/>
  <c r="Y248" i="53" s="1"/>
  <c r="Z248" i="53" s="1"/>
  <c r="AA248" i="53" s="1"/>
  <c r="AB248" i="53" s="1"/>
  <c r="AC248" i="53" s="1"/>
  <c r="AD248" i="53" s="1"/>
  <c r="AE248" i="53" s="1"/>
  <c r="AF248" i="53" s="1"/>
  <c r="AG248" i="53" s="1"/>
  <c r="BL50" i="36"/>
  <c r="BH36" i="36"/>
  <c r="BH77" i="36" s="1"/>
  <c r="BH46" i="36"/>
  <c r="AA35" i="42"/>
  <c r="BI35" i="36"/>
  <c r="BH59" i="36"/>
  <c r="AA37" i="42" s="1"/>
  <c r="BG62" i="36"/>
  <c r="BG60" i="36"/>
  <c r="BH44" i="36"/>
  <c r="BH97" i="36"/>
  <c r="BH70" i="36"/>
  <c r="AD32" i="36"/>
  <c r="AD35" i="36"/>
  <c r="BI32" i="36"/>
  <c r="BG69" i="36"/>
  <c r="BG25" i="36"/>
  <c r="Z34" i="42" s="1"/>
  <c r="BH23" i="36"/>
  <c r="BH25" i="36" s="1"/>
  <c r="AA34" i="42" s="1"/>
  <c r="BL52" i="36"/>
  <c r="AC23" i="36"/>
  <c r="AC25" i="36" s="1"/>
  <c r="AB34" i="38" s="1"/>
  <c r="AE30" i="36"/>
  <c r="AE34" i="36"/>
  <c r="AE31" i="36"/>
  <c r="AF29" i="36"/>
  <c r="AE33" i="36"/>
  <c r="BK53" i="36"/>
  <c r="BK94" i="36" s="1"/>
  <c r="BK55" i="36"/>
  <c r="BK90" i="36"/>
  <c r="BI57" i="36"/>
  <c r="BI58" i="36"/>
  <c r="BJ41" i="36"/>
  <c r="BK40" i="36"/>
  <c r="BJ42" i="36"/>
  <c r="AB60" i="36"/>
  <c r="AB62" i="36"/>
  <c r="AD22" i="36"/>
  <c r="AD21" i="36"/>
  <c r="AF90" i="36"/>
  <c r="AF53" i="36"/>
  <c r="AF94" i="36" s="1"/>
  <c r="AF55" i="36"/>
  <c r="AF18" i="36"/>
  <c r="BK18" i="36"/>
  <c r="AE19" i="36"/>
  <c r="AE20" i="36" s="1"/>
  <c r="AE56" i="36"/>
  <c r="BI43" i="36"/>
  <c r="AB35" i="42" s="1"/>
  <c r="AE42" i="36"/>
  <c r="AF40" i="36"/>
  <c r="AH48" i="36"/>
  <c r="AH49" i="36"/>
  <c r="AH51" i="36"/>
  <c r="BJ34" i="36"/>
  <c r="BJ33" i="36"/>
  <c r="BJ31" i="36"/>
  <c r="BJ30" i="36"/>
  <c r="BK29" i="36"/>
  <c r="AD57" i="36"/>
  <c r="AD58" i="36"/>
  <c r="AB26" i="36"/>
  <c r="AB87" i="36" s="1"/>
  <c r="AB84" i="36"/>
  <c r="AB28" i="36"/>
  <c r="BI21" i="36"/>
  <c r="BI22" i="36"/>
  <c r="AC59" i="36"/>
  <c r="AB37" i="38" s="1"/>
  <c r="AG50" i="36"/>
  <c r="AG52" i="36" s="1"/>
  <c r="AF36" i="38" s="1"/>
  <c r="BM49" i="36"/>
  <c r="BN47" i="36"/>
  <c r="BM48" i="36"/>
  <c r="BM51" i="36"/>
  <c r="BJ19" i="36"/>
  <c r="BJ20" i="36" s="1"/>
  <c r="BJ56" i="36"/>
  <c r="AS63" i="36"/>
  <c r="AS68" i="36" s="1"/>
  <c r="AS75" i="36" s="1"/>
  <c r="M68" i="36"/>
  <c r="M63" i="45"/>
  <c r="AS64" i="36"/>
  <c r="M66" i="36"/>
  <c r="M65" i="36"/>
  <c r="AR66" i="36"/>
  <c r="AR73" i="36" s="1"/>
  <c r="AR65" i="36"/>
  <c r="L71" i="36"/>
  <c r="L106" i="36"/>
  <c r="AQ71" i="36"/>
  <c r="AQ72" i="36" s="1"/>
  <c r="AQ106" i="36"/>
  <c r="O50" i="15"/>
  <c r="O53" i="15" s="1"/>
  <c r="O137" i="15" s="1"/>
  <c r="O126" i="15"/>
  <c r="L74" i="12"/>
  <c r="L78" i="12"/>
  <c r="L79" i="12"/>
  <c r="L75" i="12"/>
  <c r="L80" i="12"/>
  <c r="L76" i="12"/>
  <c r="L77" i="12"/>
  <c r="M75" i="14"/>
  <c r="M80" i="14"/>
  <c r="AA7" i="20"/>
  <c r="Q35" i="11"/>
  <c r="P36" i="11"/>
  <c r="P37" i="11" s="1"/>
  <c r="P38" i="11" s="1"/>
  <c r="O31" i="13"/>
  <c r="O32" i="13" s="1"/>
  <c r="P30" i="13"/>
  <c r="N33" i="13"/>
  <c r="N64" i="36" s="1"/>
  <c r="N66" i="36" s="1"/>
  <c r="L219" i="12" l="1"/>
  <c r="L230" i="12" s="1"/>
  <c r="AS63" i="45"/>
  <c r="AT66" i="45"/>
  <c r="AT61" i="45"/>
  <c r="AT64" i="45"/>
  <c r="AQ4" i="51"/>
  <c r="AC26" i="36"/>
  <c r="AC87" i="36" s="1"/>
  <c r="M78" i="14"/>
  <c r="M77" i="14"/>
  <c r="M79" i="14"/>
  <c r="O64" i="45"/>
  <c r="O61" i="45"/>
  <c r="O66" i="45"/>
  <c r="M74" i="14"/>
  <c r="O72" i="14"/>
  <c r="O72" i="12"/>
  <c r="N73" i="14"/>
  <c r="N73" i="12"/>
  <c r="BH69" i="36"/>
  <c r="AU61" i="45"/>
  <c r="AU64" i="45"/>
  <c r="P63" i="36"/>
  <c r="X5" i="50"/>
  <c r="L4" i="51"/>
  <c r="C145" i="53"/>
  <c r="D144" i="53"/>
  <c r="BI70" i="36"/>
  <c r="C97" i="53"/>
  <c r="C98" i="53"/>
  <c r="AG97" i="53"/>
  <c r="AG128" i="53"/>
  <c r="AG98" i="53"/>
  <c r="AG129" i="53"/>
  <c r="AC28" i="36"/>
  <c r="AD70" i="36"/>
  <c r="BH60" i="36"/>
  <c r="BH62" i="36"/>
  <c r="BL55" i="36"/>
  <c r="AE36" i="42"/>
  <c r="AC84" i="36"/>
  <c r="BI36" i="36"/>
  <c r="BI77" i="36" s="1"/>
  <c r="BH39" i="36"/>
  <c r="AA33" i="42"/>
  <c r="BH37" i="36"/>
  <c r="BH81" i="36" s="1"/>
  <c r="BL53" i="36"/>
  <c r="BL94" i="36" s="1"/>
  <c r="BL90" i="36"/>
  <c r="BI59" i="36"/>
  <c r="AB37" i="42" s="1"/>
  <c r="AD59" i="36"/>
  <c r="AC37" i="38" s="1"/>
  <c r="BI23" i="36"/>
  <c r="BI25" i="36" s="1"/>
  <c r="AB34" i="42" s="1"/>
  <c r="AD23" i="36"/>
  <c r="AD25" i="36" s="1"/>
  <c r="AC34" i="38" s="1"/>
  <c r="BJ32" i="36"/>
  <c r="BI37" i="36"/>
  <c r="BI81" i="36" s="1"/>
  <c r="AE35" i="36"/>
  <c r="AH50" i="36"/>
  <c r="AH52" i="36" s="1"/>
  <c r="AH53" i="36" s="1"/>
  <c r="AH94" i="36" s="1"/>
  <c r="BG84" i="36"/>
  <c r="BG26" i="36"/>
  <c r="BG87" i="36" s="1"/>
  <c r="BG28" i="36"/>
  <c r="BJ35" i="36"/>
  <c r="AE32" i="36"/>
  <c r="AG90" i="36"/>
  <c r="AG55" i="36"/>
  <c r="AG53" i="36"/>
  <c r="AG94" i="36" s="1"/>
  <c r="AG18" i="36"/>
  <c r="BL18" i="36"/>
  <c r="AF19" i="36"/>
  <c r="AF20" i="36" s="1"/>
  <c r="AF56" i="36"/>
  <c r="AF30" i="36"/>
  <c r="AF33" i="36"/>
  <c r="AF31" i="36"/>
  <c r="AF34" i="36"/>
  <c r="AG29" i="36"/>
  <c r="BM50" i="36"/>
  <c r="BM52" i="36" s="1"/>
  <c r="AF36" i="42" s="1"/>
  <c r="BK31" i="36"/>
  <c r="BL29" i="36"/>
  <c r="BK33" i="36"/>
  <c r="BK34" i="36"/>
  <c r="BK30" i="36"/>
  <c r="BI46" i="36"/>
  <c r="BI97" i="36"/>
  <c r="BI44" i="36"/>
  <c r="AE58" i="36"/>
  <c r="AE57" i="36"/>
  <c r="BK41" i="36"/>
  <c r="BL40" i="36"/>
  <c r="BK42" i="36"/>
  <c r="BJ21" i="36"/>
  <c r="BJ22" i="36"/>
  <c r="BN48" i="36"/>
  <c r="BN51" i="36"/>
  <c r="BN49" i="36"/>
  <c r="AC62" i="36"/>
  <c r="AC60" i="36"/>
  <c r="AE21" i="36"/>
  <c r="AE22" i="36"/>
  <c r="BH26" i="36"/>
  <c r="BH87" i="36" s="1"/>
  <c r="BH28" i="36"/>
  <c r="BH84" i="36"/>
  <c r="BJ43" i="36"/>
  <c r="AC35" i="42" s="1"/>
  <c r="BJ57" i="36"/>
  <c r="BJ58" i="36"/>
  <c r="AF42" i="36"/>
  <c r="AG40" i="36"/>
  <c r="BK19" i="36"/>
  <c r="BK20" i="36" s="1"/>
  <c r="BK56" i="36"/>
  <c r="N63" i="45"/>
  <c r="AT63" i="36"/>
  <c r="AT68" i="36" s="1"/>
  <c r="AT75" i="36" s="1"/>
  <c r="N68" i="36"/>
  <c r="AT64" i="36"/>
  <c r="N65" i="36"/>
  <c r="M71" i="36"/>
  <c r="M106" i="36"/>
  <c r="AR71" i="36"/>
  <c r="AR72" i="36" s="1"/>
  <c r="AR106" i="36"/>
  <c r="AS65" i="36"/>
  <c r="AS66" i="36"/>
  <c r="AS73" i="36" s="1"/>
  <c r="M74" i="12"/>
  <c r="M78" i="12"/>
  <c r="M79" i="12"/>
  <c r="M80" i="12"/>
  <c r="M75" i="12"/>
  <c r="M76" i="12"/>
  <c r="M77" i="12"/>
  <c r="N74" i="14"/>
  <c r="N80" i="14"/>
  <c r="N78" i="14"/>
  <c r="N76" i="14"/>
  <c r="N75" i="14"/>
  <c r="N79" i="14"/>
  <c r="N77" i="14"/>
  <c r="AB7" i="20"/>
  <c r="R35" i="11"/>
  <c r="Q36" i="11"/>
  <c r="Q37" i="11" s="1"/>
  <c r="Q38" i="11" s="1"/>
  <c r="P31" i="13"/>
  <c r="P32" i="13" s="1"/>
  <c r="Q30" i="13"/>
  <c r="O33" i="13"/>
  <c r="O64" i="36" s="1"/>
  <c r="P31" i="15"/>
  <c r="M219" i="14" l="1"/>
  <c r="M230" i="14" s="1"/>
  <c r="M219" i="12"/>
  <c r="M230" i="12" s="1"/>
  <c r="AU66" i="45"/>
  <c r="N219" i="14"/>
  <c r="N230" i="14" s="1"/>
  <c r="AU63" i="45"/>
  <c r="AT63" i="45"/>
  <c r="AR4" i="51"/>
  <c r="P72" i="14"/>
  <c r="P72" i="12"/>
  <c r="P64" i="45"/>
  <c r="P61" i="45"/>
  <c r="P66" i="45"/>
  <c r="O73" i="14"/>
  <c r="O73" i="12"/>
  <c r="AV61" i="45"/>
  <c r="Q63" i="36"/>
  <c r="Y5" i="50"/>
  <c r="M4" i="51"/>
  <c r="E144" i="53"/>
  <c r="D145" i="53"/>
  <c r="BK32" i="36"/>
  <c r="C99" i="53"/>
  <c r="AG131" i="53"/>
  <c r="AG132" i="53"/>
  <c r="AG101" i="53"/>
  <c r="AG100" i="53"/>
  <c r="AG102" i="53"/>
  <c r="AG130" i="53"/>
  <c r="AG99" i="53"/>
  <c r="C102" i="53"/>
  <c r="C101" i="53"/>
  <c r="C100" i="53"/>
  <c r="D129" i="53"/>
  <c r="D128" i="53"/>
  <c r="D97" i="53"/>
  <c r="D98" i="53"/>
  <c r="BI84" i="36"/>
  <c r="AH90" i="36"/>
  <c r="AG36" i="38"/>
  <c r="BI60" i="36"/>
  <c r="BI62" i="36"/>
  <c r="BI39" i="36"/>
  <c r="AB33" i="42"/>
  <c r="BI69" i="36"/>
  <c r="AH55" i="36"/>
  <c r="BJ23" i="36"/>
  <c r="AD60" i="36"/>
  <c r="AD62" i="36"/>
  <c r="AE59" i="36"/>
  <c r="AD37" i="38" s="1"/>
  <c r="BI26" i="36"/>
  <c r="BI87" i="36" s="1"/>
  <c r="BI28" i="36"/>
  <c r="BK43" i="36"/>
  <c r="BJ36" i="36"/>
  <c r="AC33" i="42" s="1"/>
  <c r="BJ70" i="36"/>
  <c r="AE70" i="36"/>
  <c r="AF35" i="36"/>
  <c r="BJ59" i="36"/>
  <c r="AC37" i="42" s="1"/>
  <c r="AE23" i="36"/>
  <c r="AE25" i="36" s="1"/>
  <c r="AD34" i="38" s="1"/>
  <c r="BK35" i="36"/>
  <c r="BK36" i="36" s="1"/>
  <c r="AF32" i="36"/>
  <c r="BK58" i="36"/>
  <c r="BK57" i="36"/>
  <c r="AH40" i="36"/>
  <c r="AG42" i="36"/>
  <c r="AD26" i="36"/>
  <c r="AD87" i="36" s="1"/>
  <c r="AD28" i="36"/>
  <c r="AD84" i="36"/>
  <c r="BN50" i="36"/>
  <c r="BN52" i="36" s="1"/>
  <c r="AG36" i="42" s="1"/>
  <c r="BL42" i="36"/>
  <c r="BM40" i="36"/>
  <c r="BL41" i="36"/>
  <c r="BL33" i="36"/>
  <c r="BL30" i="36"/>
  <c r="BL31" i="36"/>
  <c r="BL34" i="36"/>
  <c r="BM29" i="36"/>
  <c r="AF58" i="36"/>
  <c r="AF57" i="36"/>
  <c r="AH18" i="36"/>
  <c r="BM18" i="36"/>
  <c r="AG19" i="36"/>
  <c r="AG20" i="36" s="1"/>
  <c r="AG56" i="36"/>
  <c r="BK22" i="36"/>
  <c r="BK21" i="36"/>
  <c r="BM53" i="36"/>
  <c r="BM94" i="36" s="1"/>
  <c r="BM55" i="36"/>
  <c r="BM90" i="36"/>
  <c r="AF22" i="36"/>
  <c r="AF21" i="36"/>
  <c r="BJ44" i="36"/>
  <c r="BJ46" i="36"/>
  <c r="BJ97" i="36"/>
  <c r="AG31" i="36"/>
  <c r="AG30" i="36"/>
  <c r="AH29" i="36"/>
  <c r="AG34" i="36"/>
  <c r="AG33" i="36"/>
  <c r="BL19" i="36"/>
  <c r="BL20" i="36" s="1"/>
  <c r="BL56" i="36"/>
  <c r="O63" i="45"/>
  <c r="AU63" i="36"/>
  <c r="AU68" i="36" s="1"/>
  <c r="AU75" i="36" s="1"/>
  <c r="O68" i="36"/>
  <c r="AS71" i="36"/>
  <c r="AS72" i="36" s="1"/>
  <c r="AS106" i="36"/>
  <c r="N71" i="36"/>
  <c r="N106" i="36"/>
  <c r="AU64" i="36"/>
  <c r="O65" i="36"/>
  <c r="O66" i="36"/>
  <c r="AT65" i="36"/>
  <c r="AT66" i="36"/>
  <c r="AT73" i="36" s="1"/>
  <c r="P50" i="15"/>
  <c r="P53" i="15" s="1"/>
  <c r="P137" i="15" s="1"/>
  <c r="P126" i="15"/>
  <c r="N74" i="12"/>
  <c r="N75" i="12"/>
  <c r="N78" i="12"/>
  <c r="N79" i="12"/>
  <c r="N76" i="12"/>
  <c r="N77" i="12"/>
  <c r="N80" i="12"/>
  <c r="O74" i="14"/>
  <c r="O77" i="14"/>
  <c r="O79" i="14"/>
  <c r="O76" i="14"/>
  <c r="O75" i="14"/>
  <c r="O80" i="14"/>
  <c r="O78" i="14"/>
  <c r="AC7" i="20"/>
  <c r="S35" i="11"/>
  <c r="R36" i="11"/>
  <c r="R37" i="11" s="1"/>
  <c r="R38" i="11" s="1"/>
  <c r="Q31" i="13"/>
  <c r="Q32" i="13" s="1"/>
  <c r="R30" i="13"/>
  <c r="P33" i="13"/>
  <c r="P64" i="36" s="1"/>
  <c r="Q31" i="15"/>
  <c r="AV63" i="45" l="1"/>
  <c r="AV66" i="45"/>
  <c r="N219" i="12"/>
  <c r="N230" i="12" s="1"/>
  <c r="AS4" i="51"/>
  <c r="O219" i="14"/>
  <c r="O230" i="14" s="1"/>
  <c r="AV64" i="45"/>
  <c r="Q72" i="14"/>
  <c r="Q72" i="12"/>
  <c r="Q64" i="45"/>
  <c r="Q61" i="45"/>
  <c r="Q66" i="45"/>
  <c r="P73" i="12"/>
  <c r="P73" i="14"/>
  <c r="P76" i="14" s="1"/>
  <c r="R63" i="36"/>
  <c r="N4" i="51"/>
  <c r="F144" i="53"/>
  <c r="E145" i="53"/>
  <c r="D130" i="53"/>
  <c r="D132" i="53"/>
  <c r="D131" i="53"/>
  <c r="E129" i="53"/>
  <c r="E128" i="53"/>
  <c r="E98" i="53"/>
  <c r="E97" i="53"/>
  <c r="D100" i="53"/>
  <c r="D101" i="53"/>
  <c r="D102" i="53"/>
  <c r="D99" i="53"/>
  <c r="BJ77" i="36"/>
  <c r="BK77" i="36"/>
  <c r="AD33" i="42"/>
  <c r="BK97" i="36"/>
  <c r="AD35" i="42"/>
  <c r="BK39" i="36"/>
  <c r="BK37" i="36"/>
  <c r="BK81" i="36" s="1"/>
  <c r="BK23" i="36"/>
  <c r="BK25" i="36" s="1"/>
  <c r="AD34" i="42" s="1"/>
  <c r="AF23" i="36"/>
  <c r="AF25" i="36" s="1"/>
  <c r="AE34" i="38" s="1"/>
  <c r="AF70" i="36"/>
  <c r="BJ25" i="36"/>
  <c r="AC34" i="42" s="1"/>
  <c r="BJ69" i="36"/>
  <c r="AE60" i="36"/>
  <c r="AE62" i="36"/>
  <c r="BK46" i="36"/>
  <c r="BK44" i="36"/>
  <c r="BL43" i="36"/>
  <c r="AE35" i="42" s="1"/>
  <c r="BJ39" i="36"/>
  <c r="BJ37" i="36"/>
  <c r="BJ81" i="36" s="1"/>
  <c r="AG35" i="36"/>
  <c r="BL32" i="36"/>
  <c r="BL35" i="36"/>
  <c r="BK70" i="36"/>
  <c r="AG32" i="36"/>
  <c r="AF59" i="36"/>
  <c r="BJ60" i="36"/>
  <c r="BJ62" i="36"/>
  <c r="AG22" i="36"/>
  <c r="AG21" i="36"/>
  <c r="BN55" i="36"/>
  <c r="BN90" i="36"/>
  <c r="BN53" i="36"/>
  <c r="BN94" i="36" s="1"/>
  <c r="BL22" i="36"/>
  <c r="BL21" i="36"/>
  <c r="BL57" i="36"/>
  <c r="BL58" i="36"/>
  <c r="AH33" i="36"/>
  <c r="AH31" i="36"/>
  <c r="AH30" i="36"/>
  <c r="AH34" i="36"/>
  <c r="BM19" i="36"/>
  <c r="BM20" i="36" s="1"/>
  <c r="BM56" i="36"/>
  <c r="BM33" i="36"/>
  <c r="BM30" i="36"/>
  <c r="BN29" i="36"/>
  <c r="BM31" i="36"/>
  <c r="BM34" i="36"/>
  <c r="BM41" i="36"/>
  <c r="BM42" i="36"/>
  <c r="BN40" i="36"/>
  <c r="AH42" i="36"/>
  <c r="CG11" i="36" s="1"/>
  <c r="AE28" i="36"/>
  <c r="AE26" i="36"/>
  <c r="AE87" i="36" s="1"/>
  <c r="AE84" i="36"/>
  <c r="AG58" i="36"/>
  <c r="AG57" i="36"/>
  <c r="BN18" i="36"/>
  <c r="AH19" i="36"/>
  <c r="AH20" i="36" s="1"/>
  <c r="AH56" i="36"/>
  <c r="BK59" i="36"/>
  <c r="AD37" i="42" s="1"/>
  <c r="P63" i="45"/>
  <c r="AV63" i="36"/>
  <c r="AV68" i="36" s="1"/>
  <c r="AV75" i="36" s="1"/>
  <c r="P68" i="36"/>
  <c r="AT71" i="36"/>
  <c r="AT72" i="36" s="1"/>
  <c r="AT106" i="36"/>
  <c r="O71" i="36"/>
  <c r="O106" i="36"/>
  <c r="AV64" i="36"/>
  <c r="P66" i="36"/>
  <c r="P65" i="36"/>
  <c r="AU66" i="36"/>
  <c r="AU73" i="36" s="1"/>
  <c r="AU65" i="36"/>
  <c r="Q50" i="15"/>
  <c r="Q53" i="15" s="1"/>
  <c r="Q137" i="15" s="1"/>
  <c r="Q126" i="15"/>
  <c r="O74" i="12"/>
  <c r="O77" i="12"/>
  <c r="O80" i="12"/>
  <c r="O79" i="12"/>
  <c r="O75" i="12"/>
  <c r="O78" i="12"/>
  <c r="O76" i="12"/>
  <c r="P77" i="14"/>
  <c r="AD7" i="20"/>
  <c r="T35" i="11"/>
  <c r="S36" i="11"/>
  <c r="S37" i="11" s="1"/>
  <c r="S38" i="11" s="1"/>
  <c r="R31" i="13"/>
  <c r="R32" i="13" s="1"/>
  <c r="S30" i="13"/>
  <c r="Q33" i="13"/>
  <c r="Q64" i="36" s="1"/>
  <c r="R31" i="15"/>
  <c r="AW66" i="45" l="1"/>
  <c r="AW61" i="45"/>
  <c r="AW64" i="45"/>
  <c r="O219" i="12"/>
  <c r="O230" i="12" s="1"/>
  <c r="AT4" i="51"/>
  <c r="P74" i="14"/>
  <c r="R66" i="45"/>
  <c r="P79" i="14"/>
  <c r="R72" i="14"/>
  <c r="R72" i="12"/>
  <c r="P80" i="14"/>
  <c r="R64" i="45"/>
  <c r="R61" i="45"/>
  <c r="P75" i="14"/>
  <c r="P78" i="14"/>
  <c r="Q73" i="12"/>
  <c r="Q73" i="14"/>
  <c r="AF84" i="36"/>
  <c r="S63" i="36"/>
  <c r="G144" i="53"/>
  <c r="F145" i="53"/>
  <c r="F129" i="53"/>
  <c r="F128" i="53"/>
  <c r="F98" i="53"/>
  <c r="F97" i="53"/>
  <c r="E99" i="53"/>
  <c r="E101" i="53"/>
  <c r="E100" i="53"/>
  <c r="E102" i="53"/>
  <c r="E130" i="53"/>
  <c r="E132" i="53"/>
  <c r="E131" i="53"/>
  <c r="AF28" i="36"/>
  <c r="BK69" i="36"/>
  <c r="AG70" i="36"/>
  <c r="AF60" i="36"/>
  <c r="AE37" i="38"/>
  <c r="AF26" i="36"/>
  <c r="AF62" i="36"/>
  <c r="BJ28" i="36"/>
  <c r="BJ26" i="36"/>
  <c r="BJ87" i="36" s="1"/>
  <c r="BJ84" i="36"/>
  <c r="AG59" i="36"/>
  <c r="BM43" i="36"/>
  <c r="AF35" i="42" s="1"/>
  <c r="BL46" i="36"/>
  <c r="BL97" i="36"/>
  <c r="BL44" i="36"/>
  <c r="AH35" i="36"/>
  <c r="CF11" i="36" s="1"/>
  <c r="BL36" i="36"/>
  <c r="BL70" i="36"/>
  <c r="AH32" i="36"/>
  <c r="CF10" i="36" s="1"/>
  <c r="BM32" i="36"/>
  <c r="BL59" i="36"/>
  <c r="BM35" i="36"/>
  <c r="BL23" i="36"/>
  <c r="AG23" i="36"/>
  <c r="BN42" i="36"/>
  <c r="BN41" i="36"/>
  <c r="BN19" i="36"/>
  <c r="BN20" i="36" s="1"/>
  <c r="BN56" i="36"/>
  <c r="BK84" i="36"/>
  <c r="BK26" i="36"/>
  <c r="BK87" i="36" s="1"/>
  <c r="BK28" i="36"/>
  <c r="BM57" i="36"/>
  <c r="BM58" i="36"/>
  <c r="AH57" i="36"/>
  <c r="CH10" i="36" s="1"/>
  <c r="AH58" i="36"/>
  <c r="BN33" i="36"/>
  <c r="BN30" i="36"/>
  <c r="BN34" i="36"/>
  <c r="BN31" i="36"/>
  <c r="BM22" i="36"/>
  <c r="BM21" i="36"/>
  <c r="BK62" i="36"/>
  <c r="BK60" i="36"/>
  <c r="AH22" i="36"/>
  <c r="AH21" i="36"/>
  <c r="AW63" i="36"/>
  <c r="AW68" i="36" s="1"/>
  <c r="AW75" i="36" s="1"/>
  <c r="Q68" i="36"/>
  <c r="Q63" i="45"/>
  <c r="AW64" i="36"/>
  <c r="Q66" i="36"/>
  <c r="Q65" i="36"/>
  <c r="P71" i="36"/>
  <c r="P106" i="36"/>
  <c r="AU71" i="36"/>
  <c r="AU72" i="36" s="1"/>
  <c r="AU106" i="36"/>
  <c r="AV66" i="36"/>
  <c r="AV73" i="36" s="1"/>
  <c r="AV65" i="36"/>
  <c r="AF87" i="36"/>
  <c r="R50" i="15"/>
  <c r="R53" i="15" s="1"/>
  <c r="R137" i="15" s="1"/>
  <c r="R126" i="15"/>
  <c r="P74" i="12"/>
  <c r="P76" i="12"/>
  <c r="P77" i="12"/>
  <c r="P80" i="12"/>
  <c r="P78" i="12"/>
  <c r="P79" i="12"/>
  <c r="P75" i="12"/>
  <c r="Q74" i="14"/>
  <c r="Q80" i="14"/>
  <c r="Q76" i="14"/>
  <c r="Q77" i="14"/>
  <c r="Q79" i="14"/>
  <c r="Q78" i="14"/>
  <c r="Q75" i="14"/>
  <c r="AE7" i="20"/>
  <c r="U35" i="11"/>
  <c r="T36" i="11"/>
  <c r="T37" i="11" s="1"/>
  <c r="T38" i="11" s="1"/>
  <c r="S31" i="13"/>
  <c r="S32" i="13" s="1"/>
  <c r="T30" i="13"/>
  <c r="R33" i="13"/>
  <c r="R64" i="36" s="1"/>
  <c r="S31" i="15"/>
  <c r="B11" i="4"/>
  <c r="D32" i="12"/>
  <c r="D29" i="12"/>
  <c r="D17" i="12"/>
  <c r="Q4" i="6"/>
  <c r="V4" i="6"/>
  <c r="AA4" i="6"/>
  <c r="AF4" i="6"/>
  <c r="AK4" i="6"/>
  <c r="AP4" i="6"/>
  <c r="AA3" i="6"/>
  <c r="AF3" i="6"/>
  <c r="AK3" i="6"/>
  <c r="AP3" i="6"/>
  <c r="V3" i="6"/>
  <c r="M2" i="6"/>
  <c r="N2" i="6" s="1"/>
  <c r="O2" i="6" s="1"/>
  <c r="P2" i="6" s="1"/>
  <c r="Q2" i="6" s="1"/>
  <c r="R2" i="6" s="1"/>
  <c r="S2" i="6" s="1"/>
  <c r="T2" i="6" s="1"/>
  <c r="U2" i="6" s="1"/>
  <c r="V2" i="6" s="1"/>
  <c r="W2" i="6" s="1"/>
  <c r="X2" i="6" s="1"/>
  <c r="Y2" i="6" s="1"/>
  <c r="Z2" i="6" s="1"/>
  <c r="AA2" i="6" s="1"/>
  <c r="AB2" i="6" s="1"/>
  <c r="AC2" i="6" s="1"/>
  <c r="AD2" i="6" s="1"/>
  <c r="AE2" i="6" s="1"/>
  <c r="AF2" i="6" s="1"/>
  <c r="AG2" i="6" s="1"/>
  <c r="AH2" i="6" s="1"/>
  <c r="AI2" i="6" s="1"/>
  <c r="AJ2" i="6" s="1"/>
  <c r="AK2" i="6" s="1"/>
  <c r="AL2" i="6" s="1"/>
  <c r="AM2" i="6" s="1"/>
  <c r="AN2" i="6" s="1"/>
  <c r="AO2" i="6" s="1"/>
  <c r="AP2" i="6" s="1"/>
  <c r="K3" i="7"/>
  <c r="J3" i="7"/>
  <c r="I3" i="7"/>
  <c r="H3" i="7"/>
  <c r="G3" i="7"/>
  <c r="E3" i="12"/>
  <c r="AX66" i="45" l="1"/>
  <c r="P219" i="14"/>
  <c r="P230" i="14" s="1"/>
  <c r="AW63" i="45"/>
  <c r="P219" i="12"/>
  <c r="P230" i="12" s="1"/>
  <c r="AX61" i="45"/>
  <c r="Q219" i="14"/>
  <c r="Q230" i="14" s="1"/>
  <c r="AX64" i="45"/>
  <c r="M2" i="29"/>
  <c r="M2" i="20"/>
  <c r="M2" i="19"/>
  <c r="S72" i="14"/>
  <c r="S72" i="12"/>
  <c r="S64" i="45"/>
  <c r="S61" i="45"/>
  <c r="S66" i="45"/>
  <c r="R73" i="12"/>
  <c r="R73" i="14"/>
  <c r="R78" i="14" s="1"/>
  <c r="T63" i="36"/>
  <c r="AH4" i="12"/>
  <c r="AG32" i="29"/>
  <c r="AH4" i="14"/>
  <c r="AG32" i="19"/>
  <c r="AG32" i="28"/>
  <c r="AB32" i="29"/>
  <c r="AC4" i="14"/>
  <c r="AB32" i="19"/>
  <c r="AB32" i="28"/>
  <c r="X4" i="12"/>
  <c r="X4" i="14"/>
  <c r="W32" i="29"/>
  <c r="W32" i="19"/>
  <c r="W32" i="28"/>
  <c r="R32" i="29"/>
  <c r="S4" i="14"/>
  <c r="R32" i="19"/>
  <c r="R32" i="28"/>
  <c r="N4" i="14"/>
  <c r="M32" i="29"/>
  <c r="M32" i="19"/>
  <c r="M32" i="28"/>
  <c r="H144" i="53"/>
  <c r="G145" i="53"/>
  <c r="G129" i="53"/>
  <c r="G128" i="53"/>
  <c r="G97" i="53"/>
  <c r="G98" i="53"/>
  <c r="F99" i="53"/>
  <c r="F101" i="53"/>
  <c r="F100" i="53"/>
  <c r="F102" i="53"/>
  <c r="F130" i="53"/>
  <c r="F132" i="53"/>
  <c r="F131" i="53"/>
  <c r="I2" i="50"/>
  <c r="F2" i="50"/>
  <c r="G2" i="50"/>
  <c r="H2" i="50"/>
  <c r="BL37" i="36"/>
  <c r="BL81" i="36" s="1"/>
  <c r="AE33" i="42"/>
  <c r="BL62" i="36"/>
  <c r="AE37" i="42"/>
  <c r="BL39" i="36"/>
  <c r="AG60" i="36"/>
  <c r="AF37" i="38"/>
  <c r="BL77" i="36"/>
  <c r="BL60" i="36"/>
  <c r="AG62" i="36"/>
  <c r="BM23" i="36"/>
  <c r="BM25" i="36" s="1"/>
  <c r="AH23" i="36"/>
  <c r="AH59" i="36"/>
  <c r="AH62" i="36" s="1"/>
  <c r="BM97" i="36"/>
  <c r="BM46" i="36"/>
  <c r="BM44" i="36"/>
  <c r="BN43" i="36"/>
  <c r="AG35" i="42" s="1"/>
  <c r="E41" i="36"/>
  <c r="E43" i="36" s="1"/>
  <c r="D35" i="38" s="1"/>
  <c r="F41" i="36"/>
  <c r="F43" i="36" s="1"/>
  <c r="E35" i="38" s="1"/>
  <c r="G41" i="36"/>
  <c r="G43" i="36" s="1"/>
  <c r="F35" i="38" s="1"/>
  <c r="H41" i="36"/>
  <c r="H43" i="36" s="1"/>
  <c r="G35" i="38" s="1"/>
  <c r="I41" i="36"/>
  <c r="I43" i="36" s="1"/>
  <c r="H35" i="38" s="1"/>
  <c r="J41" i="36"/>
  <c r="J43" i="36" s="1"/>
  <c r="I35" i="38" s="1"/>
  <c r="K41" i="36"/>
  <c r="K43" i="36" s="1"/>
  <c r="J35" i="38" s="1"/>
  <c r="L41" i="36"/>
  <c r="L43" i="36" s="1"/>
  <c r="K35" i="38" s="1"/>
  <c r="M41" i="36"/>
  <c r="M43" i="36" s="1"/>
  <c r="L35" i="38" s="1"/>
  <c r="N41" i="36"/>
  <c r="N43" i="36" s="1"/>
  <c r="M35" i="38" s="1"/>
  <c r="O41" i="36"/>
  <c r="O43" i="36" s="1"/>
  <c r="N35" i="38" s="1"/>
  <c r="P41" i="36"/>
  <c r="Q41" i="36"/>
  <c r="R41" i="36"/>
  <c r="S41" i="36"/>
  <c r="T41" i="36"/>
  <c r="U41" i="36"/>
  <c r="V41" i="36"/>
  <c r="W41" i="36"/>
  <c r="X41" i="36"/>
  <c r="Y41" i="36"/>
  <c r="Y43" i="36" s="1"/>
  <c r="X35" i="38" s="1"/>
  <c r="Z41" i="36"/>
  <c r="AA41" i="36"/>
  <c r="AB41" i="36"/>
  <c r="AC41" i="36"/>
  <c r="AD41" i="36"/>
  <c r="AE41" i="36"/>
  <c r="AF41" i="36"/>
  <c r="AG41" i="36"/>
  <c r="AG43" i="36" s="1"/>
  <c r="AF35" i="38" s="1"/>
  <c r="AH41" i="36"/>
  <c r="BN35" i="36"/>
  <c r="BN32" i="36"/>
  <c r="BL25" i="36"/>
  <c r="AE34" i="42" s="1"/>
  <c r="BL69" i="36"/>
  <c r="BM36" i="36"/>
  <c r="AF33" i="42" s="1"/>
  <c r="AG25" i="36"/>
  <c r="AF34" i="38" s="1"/>
  <c r="CH11" i="36"/>
  <c r="CF20" i="36" s="1"/>
  <c r="AH70" i="36"/>
  <c r="BN22" i="36"/>
  <c r="BN21" i="36"/>
  <c r="BM59" i="36"/>
  <c r="AF37" i="42" s="1"/>
  <c r="BM70" i="36"/>
  <c r="BN58" i="36"/>
  <c r="BN57" i="36"/>
  <c r="R63" i="45"/>
  <c r="AX63" i="36"/>
  <c r="AX68" i="36" s="1"/>
  <c r="AX75" i="36" s="1"/>
  <c r="R68" i="36"/>
  <c r="Q71" i="36"/>
  <c r="Q106" i="36"/>
  <c r="AX64" i="36"/>
  <c r="R65" i="36"/>
  <c r="R66" i="36"/>
  <c r="AV71" i="36"/>
  <c r="AV72" i="36" s="1"/>
  <c r="AV106" i="36"/>
  <c r="AW66" i="36"/>
  <c r="AW73" i="36" s="1"/>
  <c r="AW65" i="36"/>
  <c r="S50" i="15"/>
  <c r="S53" i="15" s="1"/>
  <c r="S137" i="15" s="1"/>
  <c r="S126" i="15"/>
  <c r="D82" i="12"/>
  <c r="Q74" i="12"/>
  <c r="Q76" i="12"/>
  <c r="Q77" i="12"/>
  <c r="Q80" i="12"/>
  <c r="Q75" i="12"/>
  <c r="Q78" i="12"/>
  <c r="Q79" i="12"/>
  <c r="AM198" i="12"/>
  <c r="C203" i="12"/>
  <c r="AM172" i="12"/>
  <c r="D81" i="12"/>
  <c r="D213" i="12" s="1"/>
  <c r="D223" i="12" s="1"/>
  <c r="AF7" i="20"/>
  <c r="V35" i="11"/>
  <c r="U36" i="11"/>
  <c r="U37" i="11" s="1"/>
  <c r="U38" i="11" s="1"/>
  <c r="T31" i="13"/>
  <c r="T32" i="13" s="1"/>
  <c r="U30" i="13"/>
  <c r="S33" i="13"/>
  <c r="S64" i="36" s="1"/>
  <c r="AC4" i="12"/>
  <c r="AL4" i="6"/>
  <c r="AH4" i="16"/>
  <c r="AH4" i="15"/>
  <c r="R4" i="6"/>
  <c r="N4" i="16"/>
  <c r="N4" i="15"/>
  <c r="AB3" i="6"/>
  <c r="AC4" i="15"/>
  <c r="AC4" i="16"/>
  <c r="I4" i="15"/>
  <c r="I4" i="16"/>
  <c r="AG4" i="6"/>
  <c r="X4" i="16"/>
  <c r="X4" i="15"/>
  <c r="AG3" i="6"/>
  <c r="W4" i="6"/>
  <c r="S4" i="15"/>
  <c r="S4" i="16"/>
  <c r="S4" i="12"/>
  <c r="AL3" i="6"/>
  <c r="W3" i="6"/>
  <c r="N4" i="12"/>
  <c r="T31" i="15"/>
  <c r="F3" i="12"/>
  <c r="AB4" i="6"/>
  <c r="M2" i="53" l="1"/>
  <c r="M2" i="48"/>
  <c r="M2" i="42"/>
  <c r="M2" i="28"/>
  <c r="M2" i="54"/>
  <c r="M2" i="38"/>
  <c r="M2" i="46"/>
  <c r="Q219" i="12"/>
  <c r="Q230" i="12" s="1"/>
  <c r="AY66" i="45"/>
  <c r="AX63" i="45"/>
  <c r="AY61" i="45"/>
  <c r="AY64" i="45"/>
  <c r="R79" i="14"/>
  <c r="R80" i="14"/>
  <c r="R75" i="14"/>
  <c r="R76" i="14"/>
  <c r="R77" i="14"/>
  <c r="R74" i="14"/>
  <c r="T66" i="45"/>
  <c r="T72" i="14"/>
  <c r="T72" i="12"/>
  <c r="T64" i="45"/>
  <c r="T61" i="45"/>
  <c r="S73" i="12"/>
  <c r="S73" i="14"/>
  <c r="U63" i="36"/>
  <c r="Y4" i="14"/>
  <c r="X32" i="29"/>
  <c r="X32" i="19"/>
  <c r="X32" i="28"/>
  <c r="O4" i="14"/>
  <c r="N32" i="29"/>
  <c r="N32" i="19"/>
  <c r="N32" i="28"/>
  <c r="AD4" i="14"/>
  <c r="AC32" i="29"/>
  <c r="AC32" i="19"/>
  <c r="AC32" i="28"/>
  <c r="S32" i="29"/>
  <c r="T4" i="14"/>
  <c r="S32" i="19"/>
  <c r="S32" i="28"/>
  <c r="AM198" i="14"/>
  <c r="AM172" i="14"/>
  <c r="I144" i="53"/>
  <c r="H145" i="53"/>
  <c r="G101" i="53"/>
  <c r="G100" i="53"/>
  <c r="G102" i="53"/>
  <c r="G99" i="53"/>
  <c r="G130" i="53"/>
  <c r="G132" i="53"/>
  <c r="G131" i="53"/>
  <c r="H129" i="53"/>
  <c r="H98" i="53"/>
  <c r="H97" i="53"/>
  <c r="H128" i="53"/>
  <c r="Z5" i="50"/>
  <c r="AH60" i="36"/>
  <c r="AG37" i="38"/>
  <c r="BM28" i="36"/>
  <c r="AF34" i="42"/>
  <c r="BN36" i="36"/>
  <c r="AG33" i="42" s="1"/>
  <c r="BN70" i="36"/>
  <c r="BN23" i="36"/>
  <c r="BM26" i="36"/>
  <c r="BM87" i="36" s="1"/>
  <c r="BM84" i="36"/>
  <c r="BM69" i="36"/>
  <c r="BN59" i="36"/>
  <c r="AG37" i="42" s="1"/>
  <c r="CE10" i="36"/>
  <c r="AH25" i="36"/>
  <c r="AG34" i="38" s="1"/>
  <c r="BN97" i="36"/>
  <c r="BN44" i="36"/>
  <c r="BN46" i="36"/>
  <c r="AC43" i="36"/>
  <c r="AB35" i="38" s="1"/>
  <c r="AC69" i="36"/>
  <c r="U43" i="36"/>
  <c r="T35" i="38" s="1"/>
  <c r="U69" i="36"/>
  <c r="G97" i="36"/>
  <c r="G46" i="36"/>
  <c r="G44" i="36"/>
  <c r="AF43" i="36"/>
  <c r="AE35" i="38" s="1"/>
  <c r="AF69" i="36"/>
  <c r="Z43" i="36"/>
  <c r="Y35" i="38" s="1"/>
  <c r="Z69" i="36"/>
  <c r="X43" i="36"/>
  <c r="W35" i="38" s="1"/>
  <c r="X69" i="36"/>
  <c r="V43" i="36"/>
  <c r="U35" i="38" s="1"/>
  <c r="V69" i="36"/>
  <c r="N46" i="36"/>
  <c r="N44" i="36"/>
  <c r="N97" i="36"/>
  <c r="J97" i="36"/>
  <c r="J44" i="36"/>
  <c r="J46" i="36"/>
  <c r="W43" i="36"/>
  <c r="V35" i="38" s="1"/>
  <c r="W69" i="36"/>
  <c r="O46" i="36"/>
  <c r="O97" i="36"/>
  <c r="O44" i="36"/>
  <c r="AG69" i="36"/>
  <c r="AH43" i="36"/>
  <c r="AG35" i="38" s="1"/>
  <c r="AH69" i="36"/>
  <c r="CG10" i="36"/>
  <c r="AD43" i="36"/>
  <c r="AC35" i="38" s="1"/>
  <c r="AD69" i="36"/>
  <c r="AB43" i="36"/>
  <c r="AA35" i="38" s="1"/>
  <c r="AB69" i="36"/>
  <c r="T43" i="36"/>
  <c r="S35" i="38" s="1"/>
  <c r="T69" i="36"/>
  <c r="R43" i="36"/>
  <c r="Q35" i="38" s="1"/>
  <c r="R69" i="36"/>
  <c r="P43" i="36"/>
  <c r="O35" i="38" s="1"/>
  <c r="P69" i="36"/>
  <c r="P72" i="36" s="1"/>
  <c r="L97" i="36"/>
  <c r="L44" i="36"/>
  <c r="L46" i="36"/>
  <c r="H46" i="36"/>
  <c r="H44" i="36"/>
  <c r="H97" i="36"/>
  <c r="F97" i="36"/>
  <c r="F44" i="36"/>
  <c r="F46" i="36"/>
  <c r="AG46" i="36"/>
  <c r="AG97" i="36"/>
  <c r="AG44" i="36"/>
  <c r="Y46" i="36"/>
  <c r="Y97" i="36"/>
  <c r="Y44" i="36"/>
  <c r="S43" i="36"/>
  <c r="R35" i="38" s="1"/>
  <c r="S69" i="36"/>
  <c r="M44" i="36"/>
  <c r="M97" i="36"/>
  <c r="M46" i="36"/>
  <c r="AE43" i="36"/>
  <c r="AD35" i="38" s="1"/>
  <c r="AE69" i="36"/>
  <c r="AA43" i="36"/>
  <c r="Z35" i="38" s="1"/>
  <c r="AA69" i="36"/>
  <c r="Q43" i="36"/>
  <c r="P35" i="38" s="1"/>
  <c r="Q69" i="36"/>
  <c r="Q72" i="36" s="1"/>
  <c r="K44" i="36"/>
  <c r="K46" i="36"/>
  <c r="K97" i="36"/>
  <c r="I44" i="36"/>
  <c r="I97" i="36"/>
  <c r="I46" i="36"/>
  <c r="E46" i="36"/>
  <c r="E97" i="36"/>
  <c r="E44" i="36"/>
  <c r="AG26" i="36"/>
  <c r="AG87" i="36" s="1"/>
  <c r="AG28" i="36"/>
  <c r="AG84" i="36"/>
  <c r="BL28" i="36"/>
  <c r="BL26" i="36"/>
  <c r="BL87" i="36" s="1"/>
  <c r="BL84" i="36"/>
  <c r="BM37" i="36"/>
  <c r="BM81" i="36" s="1"/>
  <c r="BM39" i="36"/>
  <c r="BM77" i="36"/>
  <c r="BM62" i="36"/>
  <c r="BM60" i="36"/>
  <c r="S63" i="45"/>
  <c r="AY63" i="36"/>
  <c r="AY68" i="36" s="1"/>
  <c r="AY75" i="36" s="1"/>
  <c r="S68" i="36"/>
  <c r="AX66" i="36"/>
  <c r="AX73" i="36" s="1"/>
  <c r="AX65" i="36"/>
  <c r="AY64" i="36"/>
  <c r="S65" i="36"/>
  <c r="S66" i="36"/>
  <c r="R71" i="36"/>
  <c r="R106" i="36"/>
  <c r="AW71" i="36"/>
  <c r="AW72" i="36" s="1"/>
  <c r="AW106" i="36"/>
  <c r="Y32" i="36"/>
  <c r="Y69" i="36" s="1"/>
  <c r="M32" i="36"/>
  <c r="M69" i="36" s="1"/>
  <c r="I32" i="36"/>
  <c r="I69" i="36" s="1"/>
  <c r="G32" i="36"/>
  <c r="G69" i="36" s="1"/>
  <c r="K32" i="36"/>
  <c r="K69" i="36" s="1"/>
  <c r="L32" i="36"/>
  <c r="L69" i="36" s="1"/>
  <c r="F32" i="36"/>
  <c r="F69" i="36" s="1"/>
  <c r="O32" i="36"/>
  <c r="O69" i="36" s="1"/>
  <c r="E32" i="36"/>
  <c r="E69" i="36" s="1"/>
  <c r="N32" i="36"/>
  <c r="N69" i="36" s="1"/>
  <c r="J32" i="36"/>
  <c r="J69" i="36" s="1"/>
  <c r="H32" i="36"/>
  <c r="H69" i="36" s="1"/>
  <c r="AM80" i="16"/>
  <c r="AM106" i="16"/>
  <c r="C111" i="16"/>
  <c r="AM106" i="15"/>
  <c r="AM80" i="15"/>
  <c r="C111" i="15"/>
  <c r="T50" i="15"/>
  <c r="T53" i="15" s="1"/>
  <c r="T137" i="15" s="1"/>
  <c r="T126" i="15"/>
  <c r="D214" i="12"/>
  <c r="D224" i="12" s="1"/>
  <c r="R74" i="12"/>
  <c r="R75" i="12"/>
  <c r="R78" i="12"/>
  <c r="R77" i="12"/>
  <c r="R80" i="12"/>
  <c r="R79" i="12"/>
  <c r="R76" i="12"/>
  <c r="S74" i="14"/>
  <c r="S79" i="14"/>
  <c r="S75" i="14"/>
  <c r="S78" i="14"/>
  <c r="S77" i="14"/>
  <c r="S80" i="14"/>
  <c r="S76" i="14"/>
  <c r="AG7" i="20"/>
  <c r="W35" i="11"/>
  <c r="V36" i="11"/>
  <c r="V37" i="11" s="1"/>
  <c r="V38" i="11" s="1"/>
  <c r="U31" i="13"/>
  <c r="U32" i="13" s="1"/>
  <c r="V30" i="13"/>
  <c r="T33" i="13"/>
  <c r="T64" i="36" s="1"/>
  <c r="Y4" i="12"/>
  <c r="AH3" i="6"/>
  <c r="S4" i="6"/>
  <c r="J4" i="16"/>
  <c r="J4" i="15"/>
  <c r="AH4" i="6"/>
  <c r="Y4" i="16"/>
  <c r="Y4" i="15"/>
  <c r="T4" i="12"/>
  <c r="AC3" i="6"/>
  <c r="X4" i="6"/>
  <c r="O4" i="16"/>
  <c r="O4" i="15"/>
  <c r="AC4" i="6"/>
  <c r="T4" i="16"/>
  <c r="T4" i="15"/>
  <c r="AM4" i="6"/>
  <c r="AD4" i="16"/>
  <c r="AD4" i="15"/>
  <c r="AM3" i="6"/>
  <c r="AD4" i="12"/>
  <c r="O4" i="12"/>
  <c r="X3" i="6"/>
  <c r="U31" i="15"/>
  <c r="G3" i="12"/>
  <c r="R219" i="14" l="1"/>
  <c r="R230" i="14" s="1"/>
  <c r="AZ61" i="45"/>
  <c r="AZ64" i="45"/>
  <c r="R219" i="12"/>
  <c r="R230" i="12" s="1"/>
  <c r="AY63" i="45"/>
  <c r="S219" i="14"/>
  <c r="S230" i="14" s="1"/>
  <c r="AZ66" i="45"/>
  <c r="U64" i="45"/>
  <c r="U61" i="45"/>
  <c r="U72" i="14"/>
  <c r="U72" i="12"/>
  <c r="U66" i="45"/>
  <c r="T73" i="12"/>
  <c r="T73" i="14"/>
  <c r="T80" i="14" s="1"/>
  <c r="V63" i="36"/>
  <c r="BA64" i="45"/>
  <c r="P4" i="14"/>
  <c r="O32" i="29"/>
  <c r="O32" i="19"/>
  <c r="O32" i="28"/>
  <c r="AE4" i="14"/>
  <c r="AD32" i="29"/>
  <c r="AD32" i="19"/>
  <c r="AD32" i="28"/>
  <c r="T32" i="29"/>
  <c r="U4" i="14"/>
  <c r="T32" i="19"/>
  <c r="T32" i="28"/>
  <c r="Y32" i="29"/>
  <c r="Z4" i="14"/>
  <c r="Y32" i="19"/>
  <c r="Y32" i="28"/>
  <c r="AA5" i="50"/>
  <c r="O4" i="51"/>
  <c r="J144" i="53"/>
  <c r="I145" i="53"/>
  <c r="I97" i="53"/>
  <c r="I98" i="53"/>
  <c r="I129" i="53"/>
  <c r="I128" i="53"/>
  <c r="H130" i="53"/>
  <c r="H99" i="53"/>
  <c r="H100" i="53"/>
  <c r="H102" i="53"/>
  <c r="H101" i="53"/>
  <c r="H132" i="53"/>
  <c r="H131" i="53"/>
  <c r="F4" i="50"/>
  <c r="CE19" i="36"/>
  <c r="BN39" i="36"/>
  <c r="BN37" i="36"/>
  <c r="BN81" i="36" s="1"/>
  <c r="BN77" i="36"/>
  <c r="BN25" i="36"/>
  <c r="AG34" i="42" s="1"/>
  <c r="BN69" i="36"/>
  <c r="AH26" i="36"/>
  <c r="AH87" i="36" s="1"/>
  <c r="AH84" i="36"/>
  <c r="AH28" i="36"/>
  <c r="BN62" i="36"/>
  <c r="BN60" i="36"/>
  <c r="R72" i="36"/>
  <c r="AD46" i="36"/>
  <c r="AD97" i="36"/>
  <c r="AD44" i="36"/>
  <c r="AF44" i="36"/>
  <c r="AF97" i="36"/>
  <c r="AF46" i="36"/>
  <c r="Q46" i="36"/>
  <c r="Q44" i="36"/>
  <c r="Q97" i="36"/>
  <c r="P44" i="36"/>
  <c r="P97" i="36"/>
  <c r="P46" i="36"/>
  <c r="T46" i="36"/>
  <c r="T44" i="36"/>
  <c r="T97" i="36"/>
  <c r="AB97" i="36"/>
  <c r="AB44" i="36"/>
  <c r="AB46" i="36"/>
  <c r="V97" i="36"/>
  <c r="V44" i="36"/>
  <c r="V46" i="36"/>
  <c r="Z46" i="36"/>
  <c r="Z97" i="36"/>
  <c r="Z44" i="36"/>
  <c r="R44" i="36"/>
  <c r="R46" i="36"/>
  <c r="R97" i="36"/>
  <c r="X97" i="36"/>
  <c r="X44" i="36"/>
  <c r="X46" i="36"/>
  <c r="S44" i="36"/>
  <c r="S97" i="36"/>
  <c r="S46" i="36"/>
  <c r="AH97" i="36"/>
  <c r="AH46" i="36"/>
  <c r="AH44" i="36"/>
  <c r="W46" i="36"/>
  <c r="W97" i="36"/>
  <c r="W44" i="36"/>
  <c r="U46" i="36"/>
  <c r="U44" i="36"/>
  <c r="U97" i="36"/>
  <c r="AA44" i="36"/>
  <c r="AA46" i="36"/>
  <c r="AA97" i="36"/>
  <c r="AE97" i="36"/>
  <c r="AE44" i="36"/>
  <c r="AE46" i="36"/>
  <c r="AC46" i="36"/>
  <c r="AC97" i="36"/>
  <c r="AC44" i="36"/>
  <c r="AZ63" i="36"/>
  <c r="AZ68" i="36" s="1"/>
  <c r="AZ75" i="36" s="1"/>
  <c r="T68" i="36"/>
  <c r="T63" i="45"/>
  <c r="AY66" i="36"/>
  <c r="AY73" i="36" s="1"/>
  <c r="AY65" i="36"/>
  <c r="S71" i="36"/>
  <c r="S72" i="36" s="1"/>
  <c r="S106" i="36"/>
  <c r="AZ64" i="36"/>
  <c r="T65" i="36"/>
  <c r="T66" i="36"/>
  <c r="AX71" i="36"/>
  <c r="AX72" i="36" s="1"/>
  <c r="AX106" i="36"/>
  <c r="F72" i="36"/>
  <c r="K72" i="36"/>
  <c r="G72" i="36"/>
  <c r="L72" i="36"/>
  <c r="J72" i="36"/>
  <c r="O72" i="36"/>
  <c r="M72" i="36"/>
  <c r="H72" i="36"/>
  <c r="N72" i="36"/>
  <c r="E72" i="36"/>
  <c r="I72" i="36"/>
  <c r="J36" i="36"/>
  <c r="I33" i="38" s="1"/>
  <c r="T36" i="36"/>
  <c r="S33" i="38" s="1"/>
  <c r="E36" i="36"/>
  <c r="D33" i="38" s="1"/>
  <c r="X36" i="36"/>
  <c r="W33" i="38" s="1"/>
  <c r="AH36" i="36"/>
  <c r="AG33" i="38" s="1"/>
  <c r="I36" i="36"/>
  <c r="H33" i="38" s="1"/>
  <c r="AG36" i="36"/>
  <c r="AF33" i="38" s="1"/>
  <c r="R36" i="36"/>
  <c r="Q33" i="38" s="1"/>
  <c r="P36" i="36"/>
  <c r="O33" i="38" s="1"/>
  <c r="AD36" i="36"/>
  <c r="AC33" i="38" s="1"/>
  <c r="L36" i="36"/>
  <c r="K33" i="38" s="1"/>
  <c r="S36" i="36"/>
  <c r="R33" i="38" s="1"/>
  <c r="AA36" i="36"/>
  <c r="Z33" i="38" s="1"/>
  <c r="Q36" i="36"/>
  <c r="P33" i="38" s="1"/>
  <c r="Y36" i="36"/>
  <c r="X33" i="38" s="1"/>
  <c r="H36" i="36"/>
  <c r="G33" i="38" s="1"/>
  <c r="N36" i="36"/>
  <c r="M33" i="38" s="1"/>
  <c r="AB36" i="36"/>
  <c r="AA33" i="38" s="1"/>
  <c r="AF36" i="36"/>
  <c r="AE33" i="38" s="1"/>
  <c r="O36" i="36"/>
  <c r="N33" i="38" s="1"/>
  <c r="F36" i="36"/>
  <c r="E33" i="38" s="1"/>
  <c r="V36" i="36"/>
  <c r="U33" i="38" s="1"/>
  <c r="Z36" i="36"/>
  <c r="Y33" i="38" s="1"/>
  <c r="K36" i="36"/>
  <c r="J33" i="38" s="1"/>
  <c r="W36" i="36"/>
  <c r="V33" i="38" s="1"/>
  <c r="G36" i="36"/>
  <c r="F33" i="38" s="1"/>
  <c r="M36" i="36"/>
  <c r="L33" i="38" s="1"/>
  <c r="U36" i="36"/>
  <c r="T33" i="38" s="1"/>
  <c r="AC36" i="36"/>
  <c r="AB33" i="38" s="1"/>
  <c r="AE36" i="36"/>
  <c r="AD33" i="38" s="1"/>
  <c r="U50" i="15"/>
  <c r="U53" i="15" s="1"/>
  <c r="U137" i="15" s="1"/>
  <c r="U126" i="15"/>
  <c r="S74" i="12"/>
  <c r="S76" i="12"/>
  <c r="S77" i="12"/>
  <c r="S80" i="12"/>
  <c r="S75" i="12"/>
  <c r="S78" i="12"/>
  <c r="S79" i="12"/>
  <c r="X35" i="11"/>
  <c r="W36" i="11"/>
  <c r="W37" i="11" s="1"/>
  <c r="W38" i="11" s="1"/>
  <c r="V31" i="13"/>
  <c r="V32" i="13" s="1"/>
  <c r="W30" i="13"/>
  <c r="U33" i="13"/>
  <c r="U64" i="36" s="1"/>
  <c r="AD3" i="6"/>
  <c r="U4" i="12"/>
  <c r="AI3" i="6"/>
  <c r="Z4" i="12"/>
  <c r="AD4" i="6"/>
  <c r="U4" i="15"/>
  <c r="U4" i="16"/>
  <c r="T4" i="6"/>
  <c r="K4" i="15"/>
  <c r="K4" i="16"/>
  <c r="AN4" i="6"/>
  <c r="AE4" i="15"/>
  <c r="AE4" i="16"/>
  <c r="AI4" i="6"/>
  <c r="Z4" i="16"/>
  <c r="Z4" i="15"/>
  <c r="Y4" i="6"/>
  <c r="P4" i="16"/>
  <c r="P4" i="15"/>
  <c r="AN3" i="6"/>
  <c r="AE4" i="12"/>
  <c r="Y3" i="6"/>
  <c r="P4" i="12"/>
  <c r="V31" i="15"/>
  <c r="H3" i="12"/>
  <c r="AZ63" i="45" l="1"/>
  <c r="BA61" i="45"/>
  <c r="S219" i="12"/>
  <c r="S230" i="12" s="1"/>
  <c r="BA66" i="45"/>
  <c r="T77" i="14"/>
  <c r="T76" i="14"/>
  <c r="T78" i="14"/>
  <c r="T79" i="14"/>
  <c r="T74" i="14"/>
  <c r="V72" i="14"/>
  <c r="V72" i="12"/>
  <c r="V64" i="45"/>
  <c r="BB64" i="45" s="1"/>
  <c r="V61" i="45"/>
  <c r="T75" i="14"/>
  <c r="V66" i="45"/>
  <c r="U73" i="12"/>
  <c r="U73" i="14"/>
  <c r="Z3" i="50"/>
  <c r="W63" i="36"/>
  <c r="AF4" i="14"/>
  <c r="AE32" i="29"/>
  <c r="AE32" i="19"/>
  <c r="AE32" i="28"/>
  <c r="Z32" i="29"/>
  <c r="AA4" i="14"/>
  <c r="Z32" i="19"/>
  <c r="Z32" i="28"/>
  <c r="V4" i="14"/>
  <c r="U32" i="29"/>
  <c r="U32" i="19"/>
  <c r="U32" i="28"/>
  <c r="Q4" i="14"/>
  <c r="P32" i="29"/>
  <c r="P32" i="19"/>
  <c r="P32" i="28"/>
  <c r="AB5" i="50"/>
  <c r="P4" i="51"/>
  <c r="K144" i="53"/>
  <c r="J145" i="53"/>
  <c r="I130" i="53"/>
  <c r="I132" i="53"/>
  <c r="I131" i="53"/>
  <c r="I101" i="53"/>
  <c r="I100" i="53"/>
  <c r="I102" i="53"/>
  <c r="I99" i="53"/>
  <c r="J129" i="53"/>
  <c r="J97" i="53"/>
  <c r="J98" i="53"/>
  <c r="J128" i="53"/>
  <c r="G4" i="50"/>
  <c r="BN26" i="36"/>
  <c r="BN87" i="36" s="1"/>
  <c r="BN28" i="36"/>
  <c r="BN84" i="36"/>
  <c r="U63" i="45"/>
  <c r="BA63" i="36"/>
  <c r="BA68" i="36" s="1"/>
  <c r="BA75" i="36" s="1"/>
  <c r="U68" i="36"/>
  <c r="T71" i="36"/>
  <c r="T72" i="36" s="1"/>
  <c r="T106" i="36"/>
  <c r="AY71" i="36"/>
  <c r="AY72" i="36" s="1"/>
  <c r="AY106" i="36"/>
  <c r="BA64" i="36"/>
  <c r="U66" i="36"/>
  <c r="U65" i="36"/>
  <c r="AZ66" i="36"/>
  <c r="AZ73" i="36" s="1"/>
  <c r="AZ65" i="36"/>
  <c r="U39" i="36"/>
  <c r="U37" i="36"/>
  <c r="O37" i="36"/>
  <c r="O39" i="36"/>
  <c r="O75" i="36" s="1"/>
  <c r="S37" i="36"/>
  <c r="S39" i="36"/>
  <c r="S75" i="36" s="1"/>
  <c r="X37" i="36"/>
  <c r="X39" i="36"/>
  <c r="M39" i="36"/>
  <c r="M75" i="36" s="1"/>
  <c r="M37" i="36"/>
  <c r="AF37" i="36"/>
  <c r="AF39" i="36"/>
  <c r="L39" i="36"/>
  <c r="L37" i="36"/>
  <c r="E39" i="36"/>
  <c r="E75" i="36" s="1"/>
  <c r="E37" i="36"/>
  <c r="G39" i="36"/>
  <c r="G75" i="36" s="1"/>
  <c r="G37" i="36"/>
  <c r="AB37" i="36"/>
  <c r="AB39" i="36"/>
  <c r="AD37" i="36"/>
  <c r="AD39" i="36"/>
  <c r="T37" i="36"/>
  <c r="T39" i="36"/>
  <c r="T75" i="36" s="1"/>
  <c r="W39" i="36"/>
  <c r="W37" i="36"/>
  <c r="N39" i="36"/>
  <c r="N75" i="36" s="1"/>
  <c r="N37" i="36"/>
  <c r="P37" i="36"/>
  <c r="P39" i="36"/>
  <c r="P75" i="36" s="1"/>
  <c r="J37" i="36"/>
  <c r="J39" i="36"/>
  <c r="J75" i="36" s="1"/>
  <c r="K37" i="36"/>
  <c r="K39" i="36"/>
  <c r="K75" i="36" s="1"/>
  <c r="H37" i="36"/>
  <c r="H39" i="36"/>
  <c r="H75" i="36" s="1"/>
  <c r="R37" i="36"/>
  <c r="R39" i="36"/>
  <c r="R75" i="36" s="1"/>
  <c r="Z39" i="36"/>
  <c r="Z37" i="36"/>
  <c r="Y39" i="36"/>
  <c r="Y37" i="36"/>
  <c r="AG37" i="36"/>
  <c r="AG39" i="36"/>
  <c r="AE39" i="36"/>
  <c r="AE37" i="36"/>
  <c r="V39" i="36"/>
  <c r="V37" i="36"/>
  <c r="Q37" i="36"/>
  <c r="Q39" i="36"/>
  <c r="Q75" i="36" s="1"/>
  <c r="I37" i="36"/>
  <c r="I39" i="36"/>
  <c r="I75" i="36" s="1"/>
  <c r="AC37" i="36"/>
  <c r="AC39" i="36"/>
  <c r="F37" i="36"/>
  <c r="F39" i="36"/>
  <c r="F75" i="36" s="1"/>
  <c r="AA39" i="36"/>
  <c r="AA37" i="36"/>
  <c r="AH39" i="36"/>
  <c r="AH37" i="36"/>
  <c r="L75" i="36"/>
  <c r="AE77" i="36"/>
  <c r="U77" i="36"/>
  <c r="G77" i="36"/>
  <c r="K77" i="36"/>
  <c r="V77" i="36"/>
  <c r="O77" i="36"/>
  <c r="AB77" i="36"/>
  <c r="H77" i="36"/>
  <c r="Q77" i="36"/>
  <c r="S77" i="36"/>
  <c r="AD77" i="36"/>
  <c r="R77" i="36"/>
  <c r="I77" i="36"/>
  <c r="X77" i="36"/>
  <c r="T77" i="36"/>
  <c r="AC77" i="36"/>
  <c r="M77" i="36"/>
  <c r="W77" i="36"/>
  <c r="Z77" i="36"/>
  <c r="F77" i="36"/>
  <c r="AF77" i="36"/>
  <c r="N77" i="36"/>
  <c r="Y77" i="36"/>
  <c r="AA77" i="36"/>
  <c r="L77" i="36"/>
  <c r="P77" i="36"/>
  <c r="AG77" i="36"/>
  <c r="AH77" i="36"/>
  <c r="E77" i="36"/>
  <c r="J77" i="36"/>
  <c r="V50" i="15"/>
  <c r="V53" i="15" s="1"/>
  <c r="V137" i="15" s="1"/>
  <c r="V126" i="15"/>
  <c r="T74" i="12"/>
  <c r="T78" i="12"/>
  <c r="T79" i="12"/>
  <c r="T76" i="12"/>
  <c r="T80" i="12"/>
  <c r="T75" i="12"/>
  <c r="T77" i="12"/>
  <c r="U74" i="14"/>
  <c r="U79" i="14"/>
  <c r="U77" i="14"/>
  <c r="U75" i="14"/>
  <c r="U78" i="14"/>
  <c r="U76" i="14"/>
  <c r="U80" i="14"/>
  <c r="Y35" i="11"/>
  <c r="X36" i="11"/>
  <c r="X37" i="11" s="1"/>
  <c r="X38" i="11" s="1"/>
  <c r="W31" i="13"/>
  <c r="W32" i="13" s="1"/>
  <c r="X30" i="13"/>
  <c r="V33" i="13"/>
  <c r="V64" i="36" s="1"/>
  <c r="AJ4" i="6"/>
  <c r="AA4" i="16"/>
  <c r="AA4" i="15"/>
  <c r="Z4" i="6"/>
  <c r="Q4" i="16"/>
  <c r="Q4" i="15"/>
  <c r="AE4" i="6"/>
  <c r="V4" i="16"/>
  <c r="V4" i="15"/>
  <c r="U4" i="6"/>
  <c r="L4" i="16"/>
  <c r="L4" i="15"/>
  <c r="AJ3" i="6"/>
  <c r="AA4" i="12"/>
  <c r="AO4" i="6"/>
  <c r="AF4" i="16"/>
  <c r="AF4" i="15"/>
  <c r="AE3" i="6"/>
  <c r="V4" i="12"/>
  <c r="AO3" i="6"/>
  <c r="AF4" i="12"/>
  <c r="Z3" i="6"/>
  <c r="Q4" i="12"/>
  <c r="W31" i="15"/>
  <c r="I3" i="12"/>
  <c r="BB66" i="45" l="1"/>
  <c r="BB61" i="45"/>
  <c r="T219" i="12"/>
  <c r="T230" i="12" s="1"/>
  <c r="BA63" i="45"/>
  <c r="U219" i="14"/>
  <c r="U230" i="14" s="1"/>
  <c r="AA3" i="50"/>
  <c r="N2" i="20"/>
  <c r="N2" i="29"/>
  <c r="N2" i="19"/>
  <c r="T219" i="14"/>
  <c r="T230" i="14" s="1"/>
  <c r="W64" i="45"/>
  <c r="W61" i="45"/>
  <c r="BC61" i="45" s="1"/>
  <c r="W66" i="45"/>
  <c r="W72" i="14"/>
  <c r="W72" i="12"/>
  <c r="V73" i="14"/>
  <c r="V73" i="12"/>
  <c r="X63" i="36"/>
  <c r="BC64" i="45"/>
  <c r="Q32" i="29"/>
  <c r="R4" i="14"/>
  <c r="Q32" i="19"/>
  <c r="Q32" i="28"/>
  <c r="AA32" i="29"/>
  <c r="AB4" i="14"/>
  <c r="AA32" i="19"/>
  <c r="AA32" i="28"/>
  <c r="AG4" i="14"/>
  <c r="AF32" i="29"/>
  <c r="AF32" i="19"/>
  <c r="AF32" i="28"/>
  <c r="W4" i="14"/>
  <c r="V32" i="29"/>
  <c r="V32" i="19"/>
  <c r="V32" i="28"/>
  <c r="AC5" i="50"/>
  <c r="Q4" i="51"/>
  <c r="L144" i="53"/>
  <c r="K145" i="53"/>
  <c r="J130" i="53"/>
  <c r="J99" i="53"/>
  <c r="J102" i="53"/>
  <c r="J101" i="53"/>
  <c r="J100" i="53"/>
  <c r="J132" i="53"/>
  <c r="J131" i="53"/>
  <c r="K129" i="53"/>
  <c r="K97" i="53"/>
  <c r="K128" i="53"/>
  <c r="K98" i="53"/>
  <c r="H4" i="50"/>
  <c r="I4" i="50"/>
  <c r="AU4" i="51"/>
  <c r="U75" i="36"/>
  <c r="BB63" i="36"/>
  <c r="BB68" i="36" s="1"/>
  <c r="BB75" i="36" s="1"/>
  <c r="V68" i="36"/>
  <c r="V75" i="36" s="1"/>
  <c r="V63" i="45"/>
  <c r="BB64" i="36"/>
  <c r="V66" i="36"/>
  <c r="V73" i="36" s="1"/>
  <c r="V65" i="36"/>
  <c r="U71" i="36"/>
  <c r="U72" i="36" s="1"/>
  <c r="U106" i="36"/>
  <c r="AZ71" i="36"/>
  <c r="AZ72" i="36" s="1"/>
  <c r="AZ106" i="36"/>
  <c r="BA66" i="36"/>
  <c r="BA73" i="36" s="1"/>
  <c r="BA65" i="36"/>
  <c r="V81" i="36"/>
  <c r="Z81" i="36"/>
  <c r="E81" i="36"/>
  <c r="E73" i="36"/>
  <c r="AC81" i="36"/>
  <c r="J81" i="36"/>
  <c r="J73" i="36"/>
  <c r="T81" i="36"/>
  <c r="T73" i="36"/>
  <c r="X81" i="36"/>
  <c r="AH81" i="36"/>
  <c r="AE81" i="36"/>
  <c r="L81" i="36"/>
  <c r="L73" i="36"/>
  <c r="R81" i="36"/>
  <c r="R73" i="36"/>
  <c r="P81" i="36"/>
  <c r="P73" i="36"/>
  <c r="AD81" i="36"/>
  <c r="S81" i="36"/>
  <c r="S73" i="36"/>
  <c r="AA81" i="36"/>
  <c r="N81" i="36"/>
  <c r="N73" i="36"/>
  <c r="I81" i="36"/>
  <c r="I73" i="36"/>
  <c r="AG81" i="36"/>
  <c r="H81" i="36"/>
  <c r="H73" i="36"/>
  <c r="AB81" i="36"/>
  <c r="AF81" i="36"/>
  <c r="O81" i="36"/>
  <c r="O73" i="36"/>
  <c r="Y81" i="36"/>
  <c r="W81" i="36"/>
  <c r="G81" i="36"/>
  <c r="G73" i="36"/>
  <c r="M81" i="36"/>
  <c r="M73" i="36"/>
  <c r="U81" i="36"/>
  <c r="U73" i="36"/>
  <c r="F81" i="36"/>
  <c r="F73" i="36"/>
  <c r="Q81" i="36"/>
  <c r="Q73" i="36"/>
  <c r="K81" i="36"/>
  <c r="K73" i="36"/>
  <c r="W50" i="15"/>
  <c r="W53" i="15" s="1"/>
  <c r="W137" i="15" s="1"/>
  <c r="W126" i="15"/>
  <c r="U74" i="12"/>
  <c r="U76" i="12"/>
  <c r="U77" i="12"/>
  <c r="U78" i="12"/>
  <c r="U79" i="12"/>
  <c r="U80" i="12"/>
  <c r="U75" i="12"/>
  <c r="V74" i="14"/>
  <c r="V80" i="14"/>
  <c r="V79" i="14"/>
  <c r="V76" i="14"/>
  <c r="V78" i="14"/>
  <c r="V75" i="14"/>
  <c r="V77" i="14"/>
  <c r="Z35" i="11"/>
  <c r="Y36" i="11"/>
  <c r="Y37" i="11" s="1"/>
  <c r="Y38" i="11" s="1"/>
  <c r="X31" i="13"/>
  <c r="X32" i="13" s="1"/>
  <c r="Y30" i="13"/>
  <c r="W33" i="13"/>
  <c r="W64" i="36" s="1"/>
  <c r="R4" i="16"/>
  <c r="R4" i="15"/>
  <c r="W4" i="12"/>
  <c r="W4" i="16"/>
  <c r="W4" i="15"/>
  <c r="M4" i="15"/>
  <c r="M4" i="16"/>
  <c r="AG4" i="15"/>
  <c r="AG4" i="16"/>
  <c r="AB4" i="12"/>
  <c r="AB4" i="16"/>
  <c r="AB4" i="15"/>
  <c r="AG4" i="12"/>
  <c r="R4" i="12"/>
  <c r="X31" i="15"/>
  <c r="J3" i="12"/>
  <c r="U219" i="12" l="1"/>
  <c r="U230" i="12" s="1"/>
  <c r="V219" i="14"/>
  <c r="V230" i="14" s="1"/>
  <c r="N2" i="48"/>
  <c r="N2" i="46"/>
  <c r="N2" i="38"/>
  <c r="N2" i="28"/>
  <c r="N2" i="54"/>
  <c r="N2" i="42"/>
  <c r="N2" i="53"/>
  <c r="AB3" i="50"/>
  <c r="O2" i="29"/>
  <c r="O2" i="20"/>
  <c r="O2" i="19"/>
  <c r="BC63" i="45"/>
  <c r="BC66" i="45"/>
  <c r="BB63" i="45"/>
  <c r="X64" i="45"/>
  <c r="BD64" i="45" s="1"/>
  <c r="X61" i="45"/>
  <c r="X66" i="45"/>
  <c r="X72" i="14"/>
  <c r="X72" i="12"/>
  <c r="W73" i="14"/>
  <c r="W79" i="14" s="1"/>
  <c r="W73" i="12"/>
  <c r="Y63" i="36"/>
  <c r="AD5" i="50"/>
  <c r="R4" i="51"/>
  <c r="M144" i="53"/>
  <c r="L145" i="53"/>
  <c r="K99" i="53"/>
  <c r="K132" i="53"/>
  <c r="K131" i="53"/>
  <c r="L129" i="53"/>
  <c r="L97" i="53"/>
  <c r="L128" i="53"/>
  <c r="L98" i="53"/>
  <c r="K102" i="53"/>
  <c r="K100" i="53"/>
  <c r="K101" i="53"/>
  <c r="K130" i="53"/>
  <c r="AV4" i="51"/>
  <c r="BC63" i="36"/>
  <c r="BC68" i="36" s="1"/>
  <c r="BC75" i="36" s="1"/>
  <c r="W68" i="36"/>
  <c r="W75" i="36" s="1"/>
  <c r="W63" i="45"/>
  <c r="V71" i="36"/>
  <c r="V72" i="36" s="1"/>
  <c r="V106" i="36"/>
  <c r="BC64" i="36"/>
  <c r="W66" i="36"/>
  <c r="W73" i="36" s="1"/>
  <c r="W65" i="36"/>
  <c r="BA71" i="36"/>
  <c r="BA72" i="36" s="1"/>
  <c r="BA106" i="36"/>
  <c r="BB65" i="36"/>
  <c r="BB66" i="36"/>
  <c r="BB73" i="36" s="1"/>
  <c r="X50" i="15"/>
  <c r="X53" i="15" s="1"/>
  <c r="X137" i="15" s="1"/>
  <c r="X126" i="15"/>
  <c r="V74" i="12"/>
  <c r="V75" i="12"/>
  <c r="V78" i="12"/>
  <c r="V79" i="12"/>
  <c r="V76" i="12"/>
  <c r="V77" i="12"/>
  <c r="V80" i="12"/>
  <c r="AA35" i="11"/>
  <c r="Z36" i="11"/>
  <c r="Z37" i="11" s="1"/>
  <c r="Z38" i="11" s="1"/>
  <c r="Y31" i="13"/>
  <c r="Y32" i="13" s="1"/>
  <c r="Z30" i="13"/>
  <c r="X33" i="13"/>
  <c r="X64" i="36" s="1"/>
  <c r="Y31" i="15"/>
  <c r="K3" i="12"/>
  <c r="W77" i="14" l="1"/>
  <c r="W74" i="14"/>
  <c r="W219" i="14" s="1"/>
  <c r="W230" i="14" s="1"/>
  <c r="O2" i="46"/>
  <c r="O2" i="38"/>
  <c r="O2" i="54"/>
  <c r="O2" i="53"/>
  <c r="O2" i="28"/>
  <c r="O2" i="42"/>
  <c r="O2" i="48"/>
  <c r="AC3" i="50"/>
  <c r="P2" i="19"/>
  <c r="P2" i="29"/>
  <c r="P2" i="20"/>
  <c r="V219" i="12"/>
  <c r="V230" i="12" s="1"/>
  <c r="BD66" i="45"/>
  <c r="BD61" i="45"/>
  <c r="Y64" i="45"/>
  <c r="Y61" i="45"/>
  <c r="Y66" i="45"/>
  <c r="W76" i="14"/>
  <c r="Y72" i="14"/>
  <c r="Y72" i="12"/>
  <c r="W75" i="14"/>
  <c r="W78" i="14"/>
  <c r="W80" i="14"/>
  <c r="X73" i="12"/>
  <c r="X73" i="14"/>
  <c r="X76" i="14" s="1"/>
  <c r="Z63" i="36"/>
  <c r="BE64" i="45"/>
  <c r="AE5" i="50"/>
  <c r="S4" i="51"/>
  <c r="N144" i="53"/>
  <c r="M145" i="53"/>
  <c r="L130" i="53"/>
  <c r="L99" i="53"/>
  <c r="L132" i="53"/>
  <c r="L131" i="53"/>
  <c r="M97" i="53"/>
  <c r="M98" i="53"/>
  <c r="M129" i="53"/>
  <c r="M128" i="53"/>
  <c r="L102" i="53"/>
  <c r="L100" i="53"/>
  <c r="L101" i="53"/>
  <c r="AW4" i="51"/>
  <c r="X63" i="45"/>
  <c r="BD63" i="36"/>
  <c r="BD68" i="36" s="1"/>
  <c r="BD75" i="36" s="1"/>
  <c r="X68" i="36"/>
  <c r="X75" i="36" s="1"/>
  <c r="BC66" i="36"/>
  <c r="BC73" i="36" s="1"/>
  <c r="BC65" i="36"/>
  <c r="BD64" i="36"/>
  <c r="X66" i="36"/>
  <c r="X73" i="36" s="1"/>
  <c r="X65" i="36"/>
  <c r="BB71" i="36"/>
  <c r="BB72" i="36" s="1"/>
  <c r="BB106" i="36"/>
  <c r="W71" i="36"/>
  <c r="W72" i="36" s="1"/>
  <c r="W106" i="36"/>
  <c r="Y50" i="15"/>
  <c r="Y53" i="15" s="1"/>
  <c r="Y137" i="15" s="1"/>
  <c r="Y126" i="15"/>
  <c r="W74" i="12"/>
  <c r="W77" i="12"/>
  <c r="W80" i="12"/>
  <c r="W79" i="12"/>
  <c r="W76" i="12"/>
  <c r="W78" i="12"/>
  <c r="W75" i="12"/>
  <c r="X74" i="14"/>
  <c r="X78" i="14"/>
  <c r="X80" i="14"/>
  <c r="X79" i="14"/>
  <c r="AB35" i="11"/>
  <c r="AA36" i="11"/>
  <c r="AA37" i="11" s="1"/>
  <c r="AA38" i="11" s="1"/>
  <c r="Z31" i="13"/>
  <c r="Z32" i="13" s="1"/>
  <c r="AA30" i="13"/>
  <c r="Y33" i="13"/>
  <c r="Y64" i="36" s="1"/>
  <c r="Z31" i="15"/>
  <c r="L3" i="12"/>
  <c r="X77" i="14" l="1"/>
  <c r="X75" i="14"/>
  <c r="AD3" i="50"/>
  <c r="Q2" i="19"/>
  <c r="Q2" i="29"/>
  <c r="Q2" i="20"/>
  <c r="BD63" i="45"/>
  <c r="W219" i="12"/>
  <c r="W230" i="12" s="1"/>
  <c r="X219" i="14"/>
  <c r="X230" i="14" s="1"/>
  <c r="BE66" i="45"/>
  <c r="P2" i="38"/>
  <c r="P2" i="54"/>
  <c r="P2" i="53"/>
  <c r="P2" i="42"/>
  <c r="P2" i="28"/>
  <c r="P2" i="48"/>
  <c r="P2" i="46"/>
  <c r="BE61" i="45"/>
  <c r="Z72" i="12"/>
  <c r="Z72" i="14"/>
  <c r="Z66" i="45"/>
  <c r="Z64" i="45"/>
  <c r="Z61" i="45"/>
  <c r="Y73" i="12"/>
  <c r="Y73" i="14"/>
  <c r="Y75" i="14" s="1"/>
  <c r="AA63" i="36"/>
  <c r="AF5" i="50"/>
  <c r="T4" i="51"/>
  <c r="O144" i="53"/>
  <c r="N145" i="53"/>
  <c r="N97" i="53"/>
  <c r="N98" i="53"/>
  <c r="N129" i="53"/>
  <c r="N128" i="53"/>
  <c r="M130" i="53"/>
  <c r="M132" i="53"/>
  <c r="M131" i="53"/>
  <c r="M101" i="53"/>
  <c r="M100" i="53"/>
  <c r="M102" i="53"/>
  <c r="M99" i="53"/>
  <c r="AX4" i="51"/>
  <c r="Y63" i="45"/>
  <c r="BE63" i="36"/>
  <c r="BE68" i="36" s="1"/>
  <c r="BE75" i="36" s="1"/>
  <c r="Y68" i="36"/>
  <c r="Y75" i="36" s="1"/>
  <c r="BE64" i="36"/>
  <c r="Y65" i="36"/>
  <c r="Y66" i="36"/>
  <c r="Y73" i="36" s="1"/>
  <c r="BD66" i="36"/>
  <c r="BD73" i="36" s="1"/>
  <c r="BD65" i="36"/>
  <c r="BC71" i="36"/>
  <c r="BC72" i="36" s="1"/>
  <c r="BC106" i="36"/>
  <c r="X71" i="36"/>
  <c r="X72" i="36" s="1"/>
  <c r="X106" i="36"/>
  <c r="Z50" i="15"/>
  <c r="Z53" i="15" s="1"/>
  <c r="Z137" i="15" s="1"/>
  <c r="Z126" i="15"/>
  <c r="X74" i="12"/>
  <c r="X76" i="12"/>
  <c r="X77" i="12"/>
  <c r="X80" i="12"/>
  <c r="X75" i="12"/>
  <c r="X78" i="12"/>
  <c r="X79" i="12"/>
  <c r="AC35" i="11"/>
  <c r="AB36" i="11"/>
  <c r="AB37" i="11" s="1"/>
  <c r="AB38" i="11" s="1"/>
  <c r="AA31" i="13"/>
  <c r="AA32" i="13" s="1"/>
  <c r="AB30" i="13"/>
  <c r="Z33" i="13"/>
  <c r="Z64" i="36" s="1"/>
  <c r="AA31" i="15"/>
  <c r="M3" i="12"/>
  <c r="Y76" i="14" l="1"/>
  <c r="BF61" i="45"/>
  <c r="BE63" i="45"/>
  <c r="BF64" i="45"/>
  <c r="BF66" i="45"/>
  <c r="Q2" i="28"/>
  <c r="Q2" i="54"/>
  <c r="Q2" i="53"/>
  <c r="Q2" i="48"/>
  <c r="Q2" i="38"/>
  <c r="Q2" i="42"/>
  <c r="Q2" i="46"/>
  <c r="X219" i="12"/>
  <c r="X230" i="12" s="1"/>
  <c r="R2" i="19"/>
  <c r="R2" i="29"/>
  <c r="R2" i="20"/>
  <c r="AE3" i="50"/>
  <c r="Y80" i="14"/>
  <c r="Y74" i="14"/>
  <c r="Y77" i="14"/>
  <c r="AA66" i="45"/>
  <c r="AA72" i="14"/>
  <c r="AA72" i="12"/>
  <c r="Y78" i="14"/>
  <c r="Y79" i="14"/>
  <c r="AA64" i="45"/>
  <c r="AA61" i="45"/>
  <c r="Z73" i="12"/>
  <c r="Z73" i="14"/>
  <c r="Z79" i="14" s="1"/>
  <c r="AB63" i="36"/>
  <c r="AG5" i="50"/>
  <c r="U4" i="51"/>
  <c r="P144" i="53"/>
  <c r="O145" i="53"/>
  <c r="N130" i="53"/>
  <c r="N132" i="53"/>
  <c r="N131" i="53"/>
  <c r="N101" i="53"/>
  <c r="N100" i="53"/>
  <c r="N102" i="53"/>
  <c r="N99" i="53"/>
  <c r="O97" i="53"/>
  <c r="O129" i="53"/>
  <c r="O98" i="53"/>
  <c r="O128" i="53"/>
  <c r="AY4" i="51"/>
  <c r="Z63" i="45"/>
  <c r="BF63" i="36"/>
  <c r="BF68" i="36" s="1"/>
  <c r="BF75" i="36" s="1"/>
  <c r="Z68" i="36"/>
  <c r="Z75" i="36" s="1"/>
  <c r="Y71" i="36"/>
  <c r="Y72" i="36" s="1"/>
  <c r="Y106" i="36"/>
  <c r="BF64" i="36"/>
  <c r="Z66" i="36"/>
  <c r="Z73" i="36" s="1"/>
  <c r="Z65" i="36"/>
  <c r="BD71" i="36"/>
  <c r="BD72" i="36" s="1"/>
  <c r="BD106" i="36"/>
  <c r="BE65" i="36"/>
  <c r="BE66" i="36"/>
  <c r="BE73" i="36" s="1"/>
  <c r="AA50" i="15"/>
  <c r="AA53" i="15" s="1"/>
  <c r="AA137" i="15" s="1"/>
  <c r="AA126" i="15"/>
  <c r="Y74" i="12"/>
  <c r="Y76" i="12"/>
  <c r="Y77" i="12"/>
  <c r="Y78" i="12"/>
  <c r="Y79" i="12"/>
  <c r="Y75" i="12"/>
  <c r="Y80" i="12"/>
  <c r="Z75" i="14"/>
  <c r="Z80" i="14"/>
  <c r="AD35" i="11"/>
  <c r="AC36" i="11"/>
  <c r="AC37" i="11" s="1"/>
  <c r="AC38" i="11" s="1"/>
  <c r="AB31" i="13"/>
  <c r="AB32" i="13" s="1"/>
  <c r="AC30" i="13"/>
  <c r="AA33" i="13"/>
  <c r="AA64" i="36" s="1"/>
  <c r="AB31" i="15"/>
  <c r="N3" i="12"/>
  <c r="Z78" i="14" l="1"/>
  <c r="Z77" i="14"/>
  <c r="Z74" i="14"/>
  <c r="Z76" i="14"/>
  <c r="BG66" i="45"/>
  <c r="BG61" i="45"/>
  <c r="Y219" i="14"/>
  <c r="Y230" i="14" s="1"/>
  <c r="Y219" i="12"/>
  <c r="Y230" i="12" s="1"/>
  <c r="AF3" i="50"/>
  <c r="S2" i="29"/>
  <c r="S2" i="20"/>
  <c r="S2" i="19"/>
  <c r="BF63" i="45"/>
  <c r="Z219" i="14"/>
  <c r="Z230" i="14" s="1"/>
  <c r="BG64" i="45"/>
  <c r="R2" i="42"/>
  <c r="R2" i="54"/>
  <c r="R2" i="48"/>
  <c r="R2" i="28"/>
  <c r="R2" i="38"/>
  <c r="R2" i="53"/>
  <c r="R2" i="46"/>
  <c r="AB66" i="45"/>
  <c r="AB72" i="14"/>
  <c r="AB72" i="12"/>
  <c r="AB64" i="45"/>
  <c r="AB61" i="45"/>
  <c r="AA73" i="12"/>
  <c r="AA73" i="14"/>
  <c r="AA78" i="14" s="1"/>
  <c r="AC63" i="36"/>
  <c r="AH5" i="50"/>
  <c r="V4" i="51"/>
  <c r="Q144" i="53"/>
  <c r="P145" i="53"/>
  <c r="O132" i="53"/>
  <c r="O131" i="53"/>
  <c r="O99" i="53"/>
  <c r="P97" i="53"/>
  <c r="P98" i="53"/>
  <c r="P129" i="53"/>
  <c r="P128" i="53"/>
  <c r="O130" i="53"/>
  <c r="O101" i="53"/>
  <c r="O102" i="53"/>
  <c r="O100" i="53"/>
  <c r="AZ4" i="51"/>
  <c r="AA63" i="45"/>
  <c r="BG63" i="36"/>
  <c r="BG68" i="36" s="1"/>
  <c r="BG75" i="36" s="1"/>
  <c r="AA68" i="36"/>
  <c r="AA75" i="36" s="1"/>
  <c r="BE71" i="36"/>
  <c r="BE72" i="36" s="1"/>
  <c r="BE106" i="36"/>
  <c r="BG64" i="36"/>
  <c r="AA65" i="36"/>
  <c r="AA66" i="36"/>
  <c r="AA73" i="36" s="1"/>
  <c r="BF66" i="36"/>
  <c r="BF73" i="36" s="1"/>
  <c r="BF65" i="36"/>
  <c r="Z71" i="36"/>
  <c r="Z72" i="36" s="1"/>
  <c r="Z106" i="36"/>
  <c r="AB50" i="15"/>
  <c r="AB53" i="15" s="1"/>
  <c r="AB137" i="15" s="1"/>
  <c r="AB126" i="15"/>
  <c r="Z74" i="12"/>
  <c r="Z75" i="12"/>
  <c r="Z78" i="12"/>
  <c r="Z80" i="12"/>
  <c r="Z79" i="12"/>
  <c r="Z76" i="12"/>
  <c r="Z77" i="12"/>
  <c r="AA76" i="14"/>
  <c r="AE35" i="11"/>
  <c r="AD36" i="11"/>
  <c r="AD37" i="11" s="1"/>
  <c r="AD38" i="11" s="1"/>
  <c r="AC31" i="13"/>
  <c r="AC32" i="13" s="1"/>
  <c r="AD30" i="13"/>
  <c r="AB33" i="13"/>
  <c r="AB64" i="36" s="1"/>
  <c r="AC31" i="15"/>
  <c r="O3" i="12"/>
  <c r="Z219" i="12" l="1"/>
  <c r="Z230" i="12" s="1"/>
  <c r="BH66" i="45"/>
  <c r="S2" i="48"/>
  <c r="S2" i="54"/>
  <c r="S2" i="42"/>
  <c r="S2" i="28"/>
  <c r="S2" i="46"/>
  <c r="S2" i="53"/>
  <c r="S2" i="38"/>
  <c r="AG3" i="50"/>
  <c r="T2" i="20"/>
  <c r="T2" i="29"/>
  <c r="T2" i="19"/>
  <c r="BG63" i="45"/>
  <c r="BH64" i="45"/>
  <c r="BH61" i="45"/>
  <c r="AA79" i="14"/>
  <c r="AA77" i="14"/>
  <c r="AC72" i="14"/>
  <c r="AC72" i="12"/>
  <c r="AA80" i="14"/>
  <c r="AC64" i="45"/>
  <c r="AC61" i="45"/>
  <c r="AA74" i="14"/>
  <c r="AA75" i="14"/>
  <c r="AC66" i="45"/>
  <c r="AB73" i="12"/>
  <c r="AB73" i="14"/>
  <c r="AB74" i="14" s="1"/>
  <c r="AD63" i="36"/>
  <c r="AI5" i="50"/>
  <c r="W4" i="51"/>
  <c r="R144" i="53"/>
  <c r="Q145" i="53"/>
  <c r="P99" i="53"/>
  <c r="Q97" i="53"/>
  <c r="Q98" i="53"/>
  <c r="Q129" i="53"/>
  <c r="Q128" i="53"/>
  <c r="P130" i="53"/>
  <c r="P132" i="53"/>
  <c r="P131" i="53"/>
  <c r="P101" i="53"/>
  <c r="P102" i="53"/>
  <c r="P100" i="53"/>
  <c r="BA4" i="51"/>
  <c r="AB63" i="45"/>
  <c r="BH63" i="36"/>
  <c r="BH68" i="36" s="1"/>
  <c r="BH75" i="36" s="1"/>
  <c r="AB68" i="36"/>
  <c r="AB75" i="36" s="1"/>
  <c r="BF71" i="36"/>
  <c r="BF72" i="36" s="1"/>
  <c r="BF106" i="36"/>
  <c r="BG65" i="36"/>
  <c r="BG66" i="36"/>
  <c r="BG73" i="36" s="1"/>
  <c r="BH64" i="36"/>
  <c r="AB65" i="36"/>
  <c r="AB66" i="36"/>
  <c r="AB73" i="36" s="1"/>
  <c r="AA71" i="36"/>
  <c r="AA72" i="36" s="1"/>
  <c r="AA106" i="36"/>
  <c r="AC50" i="15"/>
  <c r="AC53" i="15" s="1"/>
  <c r="AC137" i="15" s="1"/>
  <c r="AC126" i="15"/>
  <c r="AA74" i="12"/>
  <c r="AA75" i="12"/>
  <c r="AA78" i="12"/>
  <c r="AA77" i="12"/>
  <c r="AA80" i="12"/>
  <c r="AA79" i="12"/>
  <c r="AA76" i="12"/>
  <c r="AF35" i="11"/>
  <c r="AE36" i="11"/>
  <c r="AE37" i="11" s="1"/>
  <c r="AE38" i="11" s="1"/>
  <c r="AD31" i="13"/>
  <c r="AD32" i="13" s="1"/>
  <c r="AE30" i="13"/>
  <c r="AC33" i="13"/>
  <c r="AC64" i="36" s="1"/>
  <c r="AD31" i="15"/>
  <c r="P3" i="12"/>
  <c r="AB76" i="14" l="1"/>
  <c r="AB78" i="14"/>
  <c r="AB219" i="14"/>
  <c r="AB230" i="14" s="1"/>
  <c r="AH3" i="50"/>
  <c r="U2" i="29"/>
  <c r="U2" i="20"/>
  <c r="U2" i="19"/>
  <c r="BI66" i="45"/>
  <c r="AA219" i="14"/>
  <c r="AA230" i="14" s="1"/>
  <c r="BI61" i="45"/>
  <c r="BH63" i="45"/>
  <c r="AA219" i="12"/>
  <c r="AA230" i="12" s="1"/>
  <c r="BI64" i="45"/>
  <c r="T2" i="54"/>
  <c r="T2" i="46"/>
  <c r="T2" i="28"/>
  <c r="T2" i="48"/>
  <c r="T2" i="38"/>
  <c r="T2" i="53"/>
  <c r="T2" i="42"/>
  <c r="AB79" i="14"/>
  <c r="AB75" i="14"/>
  <c r="AD72" i="14"/>
  <c r="AD72" i="12"/>
  <c r="AD66" i="45"/>
  <c r="AB77" i="14"/>
  <c r="AD64" i="45"/>
  <c r="AD61" i="45"/>
  <c r="AB80" i="14"/>
  <c r="AC73" i="12"/>
  <c r="AC73" i="14"/>
  <c r="AC78" i="14" s="1"/>
  <c r="AE63" i="36"/>
  <c r="AJ5" i="50"/>
  <c r="X4" i="51"/>
  <c r="S144" i="53"/>
  <c r="R145" i="53"/>
  <c r="Q130" i="53"/>
  <c r="Q101" i="53"/>
  <c r="Q100" i="53"/>
  <c r="Q102" i="53"/>
  <c r="Q99" i="53"/>
  <c r="Q132" i="53"/>
  <c r="Q131" i="53"/>
  <c r="R97" i="53"/>
  <c r="R98" i="53"/>
  <c r="R129" i="53"/>
  <c r="R128" i="53"/>
  <c r="BB4" i="51"/>
  <c r="AC63" i="45"/>
  <c r="BI63" i="36"/>
  <c r="BI68" i="36" s="1"/>
  <c r="BI75" i="36" s="1"/>
  <c r="AC68" i="36"/>
  <c r="AC75" i="36" s="1"/>
  <c r="BG71" i="36"/>
  <c r="BG72" i="36" s="1"/>
  <c r="BG106" i="36"/>
  <c r="BI64" i="36"/>
  <c r="AC65" i="36"/>
  <c r="AC66" i="36"/>
  <c r="AC73" i="36" s="1"/>
  <c r="AB71" i="36"/>
  <c r="AB72" i="36" s="1"/>
  <c r="AB106" i="36"/>
  <c r="BH65" i="36"/>
  <c r="BH66" i="36"/>
  <c r="BH73" i="36" s="1"/>
  <c r="AD50" i="15"/>
  <c r="AD53" i="15" s="1"/>
  <c r="AD137" i="15" s="1"/>
  <c r="AD126" i="15"/>
  <c r="AB74" i="12"/>
  <c r="AB76" i="12"/>
  <c r="AB77" i="12"/>
  <c r="AB78" i="12"/>
  <c r="AB79" i="12"/>
  <c r="AB80" i="12"/>
  <c r="AB75" i="12"/>
  <c r="AC77" i="14"/>
  <c r="AC75" i="14"/>
  <c r="AG35" i="11"/>
  <c r="AF36" i="11"/>
  <c r="AF37" i="11" s="1"/>
  <c r="AF38" i="11" s="1"/>
  <c r="AE31" i="13"/>
  <c r="AE32" i="13" s="1"/>
  <c r="AF30" i="13"/>
  <c r="AD33" i="13"/>
  <c r="AD64" i="36" s="1"/>
  <c r="AE31" i="15"/>
  <c r="Q3" i="12"/>
  <c r="AC79" i="14" l="1"/>
  <c r="AC74" i="14"/>
  <c r="AC80" i="14"/>
  <c r="AC76" i="14"/>
  <c r="U2" i="53"/>
  <c r="U2" i="48"/>
  <c r="U2" i="46"/>
  <c r="U2" i="38"/>
  <c r="U2" i="28"/>
  <c r="U2" i="54"/>
  <c r="U2" i="42"/>
  <c r="BJ61" i="45"/>
  <c r="BI63" i="45"/>
  <c r="BJ64" i="45"/>
  <c r="AI3" i="50"/>
  <c r="V2" i="29"/>
  <c r="V2" i="20"/>
  <c r="V2" i="19"/>
  <c r="AB219" i="12"/>
  <c r="AB230" i="12" s="1"/>
  <c r="BJ66" i="45"/>
  <c r="AC219" i="14"/>
  <c r="AC230" i="14" s="1"/>
  <c r="AE66" i="45"/>
  <c r="AE72" i="14"/>
  <c r="AE72" i="12"/>
  <c r="AE64" i="45"/>
  <c r="AE61" i="45"/>
  <c r="AD73" i="14"/>
  <c r="AD75" i="14" s="1"/>
  <c r="AD73" i="12"/>
  <c r="AF63" i="36"/>
  <c r="AK5" i="50"/>
  <c r="Y4" i="51"/>
  <c r="T144" i="53"/>
  <c r="S145" i="53"/>
  <c r="R132" i="53"/>
  <c r="R131" i="53"/>
  <c r="R101" i="53"/>
  <c r="R102" i="53"/>
  <c r="R100" i="53"/>
  <c r="R99" i="53"/>
  <c r="S97" i="53"/>
  <c r="S98" i="53"/>
  <c r="S129" i="53"/>
  <c r="S128" i="53"/>
  <c r="R130" i="53"/>
  <c r="BC4" i="51"/>
  <c r="AD63" i="45"/>
  <c r="BJ63" i="36"/>
  <c r="BJ68" i="36" s="1"/>
  <c r="BJ75" i="36" s="1"/>
  <c r="AD68" i="36"/>
  <c r="AD75" i="36" s="1"/>
  <c r="BH71" i="36"/>
  <c r="BH72" i="36" s="1"/>
  <c r="BH106" i="36"/>
  <c r="BI66" i="36"/>
  <c r="BI73" i="36" s="1"/>
  <c r="BI65" i="36"/>
  <c r="BJ64" i="36"/>
  <c r="AD65" i="36"/>
  <c r="AD66" i="36"/>
  <c r="AD73" i="36" s="1"/>
  <c r="AC71" i="36"/>
  <c r="AC72" i="36" s="1"/>
  <c r="AC106" i="36"/>
  <c r="AE50" i="15"/>
  <c r="AE53" i="15" s="1"/>
  <c r="AE137" i="15" s="1"/>
  <c r="AE126" i="15"/>
  <c r="AC74" i="12"/>
  <c r="AC76" i="12"/>
  <c r="AC77" i="12"/>
  <c r="AC78" i="12"/>
  <c r="AC79" i="12"/>
  <c r="AC75" i="12"/>
  <c r="AC80" i="12"/>
  <c r="AD74" i="14"/>
  <c r="AD80" i="14"/>
  <c r="AH35" i="11"/>
  <c r="AH36" i="11" s="1"/>
  <c r="AH37" i="11" s="1"/>
  <c r="AH38" i="11" s="1"/>
  <c r="AG36" i="11"/>
  <c r="AG37" i="11" s="1"/>
  <c r="AG38" i="11" s="1"/>
  <c r="AF31" i="13"/>
  <c r="AF32" i="13" s="1"/>
  <c r="AG30" i="13"/>
  <c r="AE33" i="13"/>
  <c r="AE64" i="36" s="1"/>
  <c r="AF31" i="15"/>
  <c r="R3" i="12"/>
  <c r="W2" i="20" l="1"/>
  <c r="W2" i="19"/>
  <c r="W2" i="29"/>
  <c r="AJ3" i="50"/>
  <c r="BJ63" i="45"/>
  <c r="BK66" i="45"/>
  <c r="AD219" i="14"/>
  <c r="AD230" i="14" s="1"/>
  <c r="AC219" i="12"/>
  <c r="AC230" i="12" s="1"/>
  <c r="BK61" i="45"/>
  <c r="BK64" i="45"/>
  <c r="V2" i="48"/>
  <c r="V2" i="38"/>
  <c r="V2" i="42"/>
  <c r="V2" i="28"/>
  <c r="V2" i="54"/>
  <c r="V2" i="46"/>
  <c r="V2" i="53"/>
  <c r="AF64" i="45"/>
  <c r="AF61" i="45"/>
  <c r="AD77" i="14"/>
  <c r="AF66" i="45"/>
  <c r="AD79" i="14"/>
  <c r="AF72" i="14"/>
  <c r="AF72" i="12"/>
  <c r="AD78" i="14"/>
  <c r="AD76" i="14"/>
  <c r="AE73" i="14"/>
  <c r="AE73" i="12"/>
  <c r="AG63" i="36"/>
  <c r="AH63" i="36"/>
  <c r="AL5" i="50"/>
  <c r="Z4" i="51"/>
  <c r="U144" i="53"/>
  <c r="T145" i="53"/>
  <c r="T97" i="53"/>
  <c r="T98" i="53"/>
  <c r="T129" i="53"/>
  <c r="T128" i="53"/>
  <c r="S130" i="53"/>
  <c r="S132" i="53"/>
  <c r="S131" i="53"/>
  <c r="S101" i="53"/>
  <c r="S100" i="53"/>
  <c r="S102" i="53"/>
  <c r="S99" i="53"/>
  <c r="BD4" i="51"/>
  <c r="BK63" i="36"/>
  <c r="BK68" i="36" s="1"/>
  <c r="BK75" i="36" s="1"/>
  <c r="AE68" i="36"/>
  <c r="AE75" i="36" s="1"/>
  <c r="AE63" i="45"/>
  <c r="BI71" i="36"/>
  <c r="BI72" i="36" s="1"/>
  <c r="BI106" i="36"/>
  <c r="AD71" i="36"/>
  <c r="AD72" i="36" s="1"/>
  <c r="AD106" i="36"/>
  <c r="BK64" i="36"/>
  <c r="AE65" i="36"/>
  <c r="AE66" i="36"/>
  <c r="AE73" i="36" s="1"/>
  <c r="BJ66" i="36"/>
  <c r="BJ73" i="36" s="1"/>
  <c r="BJ65" i="36"/>
  <c r="AF50" i="15"/>
  <c r="AF53" i="15" s="1"/>
  <c r="AF137" i="15" s="1"/>
  <c r="AF126" i="15"/>
  <c r="AD74" i="12"/>
  <c r="AD75" i="12"/>
  <c r="AD78" i="12"/>
  <c r="AD77" i="12"/>
  <c r="AD80" i="12"/>
  <c r="AD76" i="12"/>
  <c r="AD79" i="12"/>
  <c r="AE74" i="14"/>
  <c r="AE77" i="14"/>
  <c r="AE80" i="14"/>
  <c r="AE78" i="14"/>
  <c r="AE76" i="14"/>
  <c r="AE75" i="14"/>
  <c r="AE79" i="14"/>
  <c r="AG31" i="13"/>
  <c r="AG32" i="13" s="1"/>
  <c r="AH30" i="13"/>
  <c r="AH31" i="13" s="1"/>
  <c r="AH32" i="13" s="1"/>
  <c r="AF33" i="13"/>
  <c r="AF64" i="36" s="1"/>
  <c r="AG31" i="15"/>
  <c r="S3" i="12"/>
  <c r="BL61" i="45" l="1"/>
  <c r="BL66" i="45"/>
  <c r="AD219" i="12"/>
  <c r="AD230" i="12" s="1"/>
  <c r="AK3" i="50"/>
  <c r="X2" i="29"/>
  <c r="X2" i="19"/>
  <c r="X2" i="20"/>
  <c r="AE219" i="14"/>
  <c r="AE230" i="14" s="1"/>
  <c r="BK63" i="45"/>
  <c r="BL64" i="45"/>
  <c r="W2" i="46"/>
  <c r="W2" i="54"/>
  <c r="W2" i="42"/>
  <c r="W2" i="38"/>
  <c r="W2" i="53"/>
  <c r="W2" i="48"/>
  <c r="W2" i="28"/>
  <c r="AG72" i="14"/>
  <c r="AG72" i="12"/>
  <c r="AH66" i="45"/>
  <c r="AH72" i="14"/>
  <c r="AH72" i="12"/>
  <c r="AH64" i="45"/>
  <c r="AH61" i="45"/>
  <c r="AG66" i="45"/>
  <c r="AG64" i="45"/>
  <c r="AG61" i="45"/>
  <c r="AF73" i="12"/>
  <c r="AF73" i="14"/>
  <c r="AF78" i="14" s="1"/>
  <c r="BM64" i="45"/>
  <c r="AM5" i="50"/>
  <c r="AA4" i="51"/>
  <c r="V144" i="53"/>
  <c r="U145" i="53"/>
  <c r="U97" i="53"/>
  <c r="U129" i="53"/>
  <c r="U98" i="53"/>
  <c r="U128" i="53"/>
  <c r="T130" i="53"/>
  <c r="T132" i="53"/>
  <c r="T131" i="53"/>
  <c r="T101" i="53"/>
  <c r="T100" i="53"/>
  <c r="T102" i="53"/>
  <c r="T99" i="53"/>
  <c r="BE4" i="51"/>
  <c r="BL63" i="36"/>
  <c r="BL68" i="36" s="1"/>
  <c r="BL75" i="36" s="1"/>
  <c r="AF68" i="36"/>
  <c r="AF75" i="36" s="1"/>
  <c r="AF63" i="45"/>
  <c r="BL64" i="36"/>
  <c r="AF66" i="36"/>
  <c r="AF73" i="36" s="1"/>
  <c r="AF65" i="36"/>
  <c r="AE71" i="36"/>
  <c r="AE72" i="36" s="1"/>
  <c r="AE106" i="36"/>
  <c r="BJ71" i="36"/>
  <c r="BJ72" i="36" s="1"/>
  <c r="BJ106" i="36"/>
  <c r="BK66" i="36"/>
  <c r="BK73" i="36" s="1"/>
  <c r="BK65" i="36"/>
  <c r="AG50" i="15"/>
  <c r="AG53" i="15" s="1"/>
  <c r="AG137" i="15" s="1"/>
  <c r="AG126" i="15"/>
  <c r="AE74" i="12"/>
  <c r="AE75" i="12"/>
  <c r="AE78" i="12"/>
  <c r="AE79" i="12"/>
  <c r="AE76" i="12"/>
  <c r="AE77" i="12"/>
  <c r="AE80" i="12"/>
  <c r="AF76" i="14"/>
  <c r="AH33" i="13"/>
  <c r="AH64" i="36" s="1"/>
  <c r="AG33" i="13"/>
  <c r="AG64" i="36" s="1"/>
  <c r="AH31" i="15"/>
  <c r="T3" i="12"/>
  <c r="E52" i="2"/>
  <c r="B46" i="2"/>
  <c r="Q34" i="1"/>
  <c r="Q24" i="1"/>
  <c r="B17" i="1"/>
  <c r="L2" i="7"/>
  <c r="Q13" i="1"/>
  <c r="L4" i="6"/>
  <c r="AF75" i="14" l="1"/>
  <c r="AF79" i="14"/>
  <c r="AF74" i="14"/>
  <c r="AF77" i="14"/>
  <c r="AF80" i="14"/>
  <c r="AE219" i="12"/>
  <c r="AE230" i="12" s="1"/>
  <c r="BN64" i="45"/>
  <c r="AL3" i="50"/>
  <c r="Y2" i="19"/>
  <c r="Y2" i="29"/>
  <c r="Y2" i="20"/>
  <c r="BN66" i="45"/>
  <c r="BM61" i="45"/>
  <c r="BM66" i="45"/>
  <c r="AF219" i="14"/>
  <c r="AF230" i="14" s="1"/>
  <c r="BN61" i="45"/>
  <c r="X2" i="38"/>
  <c r="X2" i="53"/>
  <c r="X2" i="48"/>
  <c r="X2" i="42"/>
  <c r="X2" i="54"/>
  <c r="X2" i="46"/>
  <c r="X2" i="28"/>
  <c r="BL63" i="45"/>
  <c r="AG73" i="12"/>
  <c r="AG73" i="14"/>
  <c r="AH73" i="12"/>
  <c r="AH73" i="14"/>
  <c r="L64" i="7"/>
  <c r="L63" i="7"/>
  <c r="L69" i="7"/>
  <c r="L65" i="7"/>
  <c r="AN5" i="50"/>
  <c r="AB4" i="51"/>
  <c r="W144" i="53"/>
  <c r="V145" i="53"/>
  <c r="U130" i="53"/>
  <c r="U101" i="53"/>
  <c r="U100" i="53"/>
  <c r="U102" i="53"/>
  <c r="U132" i="53"/>
  <c r="U131" i="53"/>
  <c r="U99" i="53"/>
  <c r="V97" i="53"/>
  <c r="V98" i="53"/>
  <c r="V129" i="53"/>
  <c r="V128" i="53"/>
  <c r="BF4" i="51"/>
  <c r="BN63" i="36"/>
  <c r="BN68" i="36" s="1"/>
  <c r="BN75" i="36" s="1"/>
  <c r="AH68" i="36"/>
  <c r="AH75" i="36" s="1"/>
  <c r="AG63" i="45"/>
  <c r="BM63" i="36"/>
  <c r="BM68" i="36" s="1"/>
  <c r="BM75" i="36" s="1"/>
  <c r="AG68" i="36"/>
  <c r="AG75" i="36" s="1"/>
  <c r="AH63" i="45"/>
  <c r="BN64" i="36"/>
  <c r="AH66" i="36"/>
  <c r="AH73" i="36" s="1"/>
  <c r="AH65" i="36"/>
  <c r="CI12" i="36" s="1"/>
  <c r="CD23" i="36" s="1"/>
  <c r="AF71" i="36"/>
  <c r="AF72" i="36" s="1"/>
  <c r="AF106" i="36"/>
  <c r="BM64" i="36"/>
  <c r="AG66" i="36"/>
  <c r="AG73" i="36" s="1"/>
  <c r="AG65" i="36"/>
  <c r="BK71" i="36"/>
  <c r="BK72" i="36" s="1"/>
  <c r="BK106" i="36"/>
  <c r="BL66" i="36"/>
  <c r="BL73" i="36" s="1"/>
  <c r="BL65" i="36"/>
  <c r="AH126" i="15"/>
  <c r="D86" i="15"/>
  <c r="AN120" i="15"/>
  <c r="AF74" i="12"/>
  <c r="AF76" i="12"/>
  <c r="AF77" i="12"/>
  <c r="AF75" i="12"/>
  <c r="AF78" i="12"/>
  <c r="AF79" i="12"/>
  <c r="AF80" i="12"/>
  <c r="AG74" i="14"/>
  <c r="AG80" i="14"/>
  <c r="AG76" i="14"/>
  <c r="AG75" i="14"/>
  <c r="AG77" i="14"/>
  <c r="AG79" i="14"/>
  <c r="AG78" i="14"/>
  <c r="AH74" i="14"/>
  <c r="AH75" i="14"/>
  <c r="AH77" i="14"/>
  <c r="AH76" i="14"/>
  <c r="AH80" i="14"/>
  <c r="AH78" i="14"/>
  <c r="AH79" i="14"/>
  <c r="L70" i="7"/>
  <c r="AH50" i="15"/>
  <c r="AH53" i="15" s="1"/>
  <c r="AH137" i="15" s="1"/>
  <c r="M4" i="6"/>
  <c r="D4" i="16"/>
  <c r="D4" i="15"/>
  <c r="C52" i="2"/>
  <c r="U3" i="12"/>
  <c r="AG219" i="14" l="1"/>
  <c r="AG230" i="14" s="1"/>
  <c r="Y2" i="28"/>
  <c r="Y2" i="53"/>
  <c r="Y2" i="48"/>
  <c r="Y2" i="46"/>
  <c r="Y2" i="54"/>
  <c r="Y2" i="38"/>
  <c r="Y2" i="42"/>
  <c r="D179" i="14"/>
  <c r="BN63" i="45"/>
  <c r="BM63" i="45"/>
  <c r="AM3" i="50"/>
  <c r="Z2" i="19"/>
  <c r="Z2" i="29"/>
  <c r="Z2" i="20"/>
  <c r="AF219" i="12"/>
  <c r="AF230" i="12" s="1"/>
  <c r="AI13" i="20"/>
  <c r="D46" i="2"/>
  <c r="AI14" i="20"/>
  <c r="C5" i="9"/>
  <c r="F5" i="9" s="1"/>
  <c r="F6" i="9" s="1"/>
  <c r="AI11" i="20"/>
  <c r="D44" i="2"/>
  <c r="D49" i="2" s="1"/>
  <c r="C5" i="8"/>
  <c r="B5" i="8" s="1"/>
  <c r="L67" i="7"/>
  <c r="AI12" i="20"/>
  <c r="D45" i="2"/>
  <c r="I45" i="2" s="1"/>
  <c r="C5" i="4"/>
  <c r="AO5" i="50"/>
  <c r="AC4" i="51"/>
  <c r="X144" i="53"/>
  <c r="W145" i="53"/>
  <c r="V130" i="53"/>
  <c r="V132" i="53"/>
  <c r="V131" i="53"/>
  <c r="V101" i="53"/>
  <c r="V102" i="53"/>
  <c r="V100" i="53"/>
  <c r="V99" i="53"/>
  <c r="W97" i="53"/>
  <c r="W129" i="53"/>
  <c r="W98" i="53"/>
  <c r="W128" i="53"/>
  <c r="BG4" i="51"/>
  <c r="CI10" i="45"/>
  <c r="AH71" i="36"/>
  <c r="AH72" i="36" s="1"/>
  <c r="AH106" i="36"/>
  <c r="BL71" i="36"/>
  <c r="BL72" i="36" s="1"/>
  <c r="BL106" i="36"/>
  <c r="BM65" i="36"/>
  <c r="BM66" i="36"/>
  <c r="BM73" i="36" s="1"/>
  <c r="AG71" i="36"/>
  <c r="AG72" i="36" s="1"/>
  <c r="AG106" i="36"/>
  <c r="BN65" i="36"/>
  <c r="BN66" i="36"/>
  <c r="BN73" i="36" s="1"/>
  <c r="AK80" i="16"/>
  <c r="AK106" i="16"/>
  <c r="B111" i="16"/>
  <c r="D42" i="16"/>
  <c r="AL83" i="16"/>
  <c r="AL106" i="16"/>
  <c r="AK126" i="15"/>
  <c r="AK80" i="15"/>
  <c r="AK106" i="15"/>
  <c r="B111" i="15"/>
  <c r="D42" i="15"/>
  <c r="AL126" i="15"/>
  <c r="AL83" i="15"/>
  <c r="AL106" i="15"/>
  <c r="AG74" i="12"/>
  <c r="AG80" i="12"/>
  <c r="AG79" i="12"/>
  <c r="AG75" i="12"/>
  <c r="AG78" i="12"/>
  <c r="AG76" i="12"/>
  <c r="AG77" i="12"/>
  <c r="AH74" i="12"/>
  <c r="AH75" i="12"/>
  <c r="AH78" i="12"/>
  <c r="AH77" i="12"/>
  <c r="AH80" i="12"/>
  <c r="AH79" i="12"/>
  <c r="AH76" i="12"/>
  <c r="AS175" i="14"/>
  <c r="AH219" i="14"/>
  <c r="AH230" i="14" s="1"/>
  <c r="X86" i="15"/>
  <c r="D52" i="2"/>
  <c r="I51" i="2" s="1"/>
  <c r="C45" i="2"/>
  <c r="H45" i="2" s="1"/>
  <c r="J45" i="2" s="1"/>
  <c r="C47" i="2"/>
  <c r="H47" i="2" s="1"/>
  <c r="C44" i="2"/>
  <c r="C46" i="2"/>
  <c r="H46" i="2" s="1"/>
  <c r="J46" i="2" s="1"/>
  <c r="C50" i="2"/>
  <c r="H50" i="2" s="1"/>
  <c r="C49" i="2"/>
  <c r="C51" i="2"/>
  <c r="H51" i="2" s="1"/>
  <c r="N4" i="6"/>
  <c r="E4" i="16"/>
  <c r="E4" i="15"/>
  <c r="V3" i="12"/>
  <c r="C59" i="7"/>
  <c r="C58" i="7"/>
  <c r="C57" i="7"/>
  <c r="C56" i="7"/>
  <c r="C55" i="7"/>
  <c r="E59" i="7"/>
  <c r="E58" i="7"/>
  <c r="E57" i="7"/>
  <c r="E56" i="7"/>
  <c r="E55" i="7"/>
  <c r="F59" i="7"/>
  <c r="F58" i="7"/>
  <c r="F57" i="7"/>
  <c r="F56" i="7"/>
  <c r="F55" i="7"/>
  <c r="G59" i="7"/>
  <c r="G58" i="7"/>
  <c r="G57" i="7"/>
  <c r="G56" i="7"/>
  <c r="G55" i="7"/>
  <c r="E44" i="2" l="1"/>
  <c r="F44" i="2" s="1"/>
  <c r="AG219" i="12"/>
  <c r="AG230" i="12" s="1"/>
  <c r="D179" i="12"/>
  <c r="Z2" i="42"/>
  <c r="Z2" i="28"/>
  <c r="Z2" i="54"/>
  <c r="Z2" i="48"/>
  <c r="Z2" i="38"/>
  <c r="Z2" i="53"/>
  <c r="Z2" i="46"/>
  <c r="AN3" i="50"/>
  <c r="AA2" i="29"/>
  <c r="AA2" i="20"/>
  <c r="AA2" i="19"/>
  <c r="F7" i="9"/>
  <c r="F10" i="9"/>
  <c r="F8" i="9"/>
  <c r="I49" i="2"/>
  <c r="I48" i="2"/>
  <c r="E46" i="2"/>
  <c r="F46" i="2" s="1"/>
  <c r="AP5" i="50"/>
  <c r="AD4" i="51"/>
  <c r="Y144" i="53"/>
  <c r="X145" i="53"/>
  <c r="W130" i="53"/>
  <c r="W101" i="53"/>
  <c r="W100" i="53"/>
  <c r="W102" i="53"/>
  <c r="W132" i="53"/>
  <c r="W131" i="53"/>
  <c r="W99" i="53"/>
  <c r="X97" i="53"/>
  <c r="X129" i="53"/>
  <c r="X98" i="53"/>
  <c r="X128" i="53"/>
  <c r="BH4" i="51"/>
  <c r="BN71" i="36"/>
  <c r="BN72" i="36" s="1"/>
  <c r="BN106" i="36"/>
  <c r="BM71" i="36"/>
  <c r="BM72" i="36" s="1"/>
  <c r="BM106" i="36"/>
  <c r="I47" i="2"/>
  <c r="J47" i="2" s="1"/>
  <c r="I50" i="2"/>
  <c r="J50" i="2" s="1"/>
  <c r="AH219" i="12"/>
  <c r="AH230" i="12" s="1"/>
  <c r="AS175" i="12"/>
  <c r="H49" i="2"/>
  <c r="J49" i="2" s="1"/>
  <c r="E49" i="2"/>
  <c r="F49" i="2" s="1"/>
  <c r="J51" i="2"/>
  <c r="H44" i="2"/>
  <c r="O4" i="6"/>
  <c r="F4" i="16"/>
  <c r="F4" i="15"/>
  <c r="W3" i="12"/>
  <c r="G60" i="7"/>
  <c r="C60" i="7"/>
  <c r="E60" i="7"/>
  <c r="F60" i="7"/>
  <c r="AA2" i="54" l="1"/>
  <c r="AA2" i="48"/>
  <c r="AA2" i="53"/>
  <c r="AA2" i="28"/>
  <c r="AA2" i="42"/>
  <c r="AA2" i="46"/>
  <c r="AA2" i="38"/>
  <c r="AO3" i="50"/>
  <c r="AB2" i="29"/>
  <c r="AB2" i="20"/>
  <c r="AB2" i="19"/>
  <c r="F9" i="9"/>
  <c r="F11" i="9" s="1"/>
  <c r="AQ5" i="50"/>
  <c r="AE4" i="51"/>
  <c r="Z144" i="53"/>
  <c r="Y145" i="53"/>
  <c r="Y97" i="53"/>
  <c r="Y129" i="53"/>
  <c r="Y98" i="53"/>
  <c r="Y128" i="53"/>
  <c r="X130" i="53"/>
  <c r="X101" i="53"/>
  <c r="X100" i="53"/>
  <c r="X102" i="53"/>
  <c r="X132" i="53"/>
  <c r="X131" i="53"/>
  <c r="X99" i="53"/>
  <c r="BI4" i="51"/>
  <c r="J44" i="2"/>
  <c r="P4" i="6"/>
  <c r="G4" i="16"/>
  <c r="G4" i="15"/>
  <c r="X3" i="12"/>
  <c r="AB2" i="54" l="1"/>
  <c r="AB2" i="53"/>
  <c r="AB2" i="46"/>
  <c r="AB2" i="48"/>
  <c r="AB2" i="38"/>
  <c r="AB2" i="28"/>
  <c r="AB2" i="42"/>
  <c r="AP3" i="50"/>
  <c r="AC2" i="29"/>
  <c r="AC2" i="20"/>
  <c r="AC2" i="19"/>
  <c r="AR5" i="50"/>
  <c r="AF4" i="51"/>
  <c r="AA144" i="53"/>
  <c r="Z145" i="53"/>
  <c r="Z97" i="53"/>
  <c r="Z129" i="53"/>
  <c r="Z98" i="53"/>
  <c r="Z128" i="53"/>
  <c r="Y130" i="53"/>
  <c r="Y101" i="53"/>
  <c r="Y100" i="53"/>
  <c r="Y102" i="53"/>
  <c r="Y132" i="53"/>
  <c r="Y131" i="53"/>
  <c r="Y99" i="53"/>
  <c r="BJ4" i="51"/>
  <c r="H4" i="16"/>
  <c r="H4" i="15"/>
  <c r="Y3" i="12"/>
  <c r="B59" i="2"/>
  <c r="B62" i="2"/>
  <c r="B63" i="2"/>
  <c r="B58" i="2"/>
  <c r="A65" i="1"/>
  <c r="D61" i="2"/>
  <c r="AC2" i="53" l="1"/>
  <c r="AC2" i="38"/>
  <c r="AC2" i="46"/>
  <c r="AC2" i="42"/>
  <c r="AC2" i="54"/>
  <c r="AC2" i="48"/>
  <c r="AC2" i="28"/>
  <c r="AQ3" i="50"/>
  <c r="AD2" i="29"/>
  <c r="AD2" i="20"/>
  <c r="AD2" i="19"/>
  <c r="AS5" i="50"/>
  <c r="AH4" i="51" s="1"/>
  <c r="AG4" i="51"/>
  <c r="AB144" i="53"/>
  <c r="AA145" i="53"/>
  <c r="AA97" i="53"/>
  <c r="AA129" i="53"/>
  <c r="AA98" i="53"/>
  <c r="AA128" i="53"/>
  <c r="Z130" i="53"/>
  <c r="Z101" i="53"/>
  <c r="Z100" i="53"/>
  <c r="Z102" i="53"/>
  <c r="Z132" i="53"/>
  <c r="Z131" i="53"/>
  <c r="Z99" i="53"/>
  <c r="BK4" i="51"/>
  <c r="Z3" i="12"/>
  <c r="P62" i="2"/>
  <c r="U26" i="2"/>
  <c r="U27" i="2"/>
  <c r="U28" i="2"/>
  <c r="U29" i="2"/>
  <c r="U30" i="2"/>
  <c r="U31" i="2"/>
  <c r="U32" i="2"/>
  <c r="U25" i="2"/>
  <c r="T26" i="2"/>
  <c r="T27" i="2"/>
  <c r="T28" i="2"/>
  <c r="T29" i="2"/>
  <c r="T30" i="2"/>
  <c r="T31" i="2"/>
  <c r="T32" i="2"/>
  <c r="T25" i="2"/>
  <c r="S26" i="2"/>
  <c r="S27" i="2"/>
  <c r="S28" i="2"/>
  <c r="S29" i="2"/>
  <c r="S30" i="2"/>
  <c r="S31" i="2"/>
  <c r="S32" i="2"/>
  <c r="S25" i="2"/>
  <c r="R26" i="2"/>
  <c r="R27" i="2"/>
  <c r="R28" i="2"/>
  <c r="R29" i="2"/>
  <c r="R30" i="2"/>
  <c r="R31" i="2"/>
  <c r="R32" i="2"/>
  <c r="R25" i="2"/>
  <c r="Q31" i="2"/>
  <c r="P26" i="2"/>
  <c r="P27" i="2"/>
  <c r="P28" i="2"/>
  <c r="P29" i="2"/>
  <c r="P30" i="2"/>
  <c r="P31" i="2"/>
  <c r="V31" i="2" s="1"/>
  <c r="C62" i="2" s="1"/>
  <c r="P32" i="2"/>
  <c r="P25" i="2"/>
  <c r="P24" i="2"/>
  <c r="Q24" i="2"/>
  <c r="R24" i="2"/>
  <c r="S24" i="2"/>
  <c r="T24" i="2"/>
  <c r="U24" i="2"/>
  <c r="O27" i="2"/>
  <c r="O30" i="2"/>
  <c r="O31" i="2"/>
  <c r="O25" i="2"/>
  <c r="O24" i="2"/>
  <c r="N32" i="2"/>
  <c r="A51" i="2" s="1"/>
  <c r="N26" i="2"/>
  <c r="A45" i="2" s="1"/>
  <c r="N27" i="2"/>
  <c r="A46" i="2" s="1"/>
  <c r="N28" i="2"/>
  <c r="A47" i="2" s="1"/>
  <c r="N29" i="2"/>
  <c r="A48" i="2" s="1"/>
  <c r="N30" i="2"/>
  <c r="A49" i="2" s="1"/>
  <c r="N31" i="2"/>
  <c r="A50" i="2" s="1"/>
  <c r="N25" i="2"/>
  <c r="A44" i="2" s="1"/>
  <c r="O14" i="2"/>
  <c r="Q20" i="2"/>
  <c r="Q15" i="2"/>
  <c r="Q26" i="2" s="1"/>
  <c r="Q17" i="2"/>
  <c r="Q28" i="2" s="1"/>
  <c r="Q18" i="2"/>
  <c r="Q29" i="2" s="1"/>
  <c r="Q19" i="2"/>
  <c r="Q30" i="2" s="1"/>
  <c r="W6" i="2"/>
  <c r="W7" i="2"/>
  <c r="Q16" i="2" s="1"/>
  <c r="Q27" i="2" s="1"/>
  <c r="W8" i="2"/>
  <c r="W9" i="2"/>
  <c r="W10" i="2"/>
  <c r="W11" i="2"/>
  <c r="Q21" i="2" s="1"/>
  <c r="Q32" i="2" s="1"/>
  <c r="W5" i="2"/>
  <c r="Q14" i="2" s="1"/>
  <c r="Q25" i="2" s="1"/>
  <c r="O15" i="2"/>
  <c r="O26" i="2" s="1"/>
  <c r="V26" i="2" s="1"/>
  <c r="B45" i="2" s="1"/>
  <c r="C63" i="2" s="1"/>
  <c r="O16" i="2"/>
  <c r="O17" i="2"/>
  <c r="O28" i="2" s="1"/>
  <c r="V28" i="2" s="1"/>
  <c r="B47" i="2" s="1"/>
  <c r="O29" i="2"/>
  <c r="V29" i="2" s="1"/>
  <c r="B48" i="2" s="1"/>
  <c r="C48" i="2" s="1"/>
  <c r="O19" i="2"/>
  <c r="O21" i="2"/>
  <c r="O32" i="2" s="1"/>
  <c r="V32" i="2" s="1"/>
  <c r="B51" i="2" s="1"/>
  <c r="A46" i="1"/>
  <c r="A47" i="1"/>
  <c r="A48" i="1"/>
  <c r="A49" i="1"/>
  <c r="A50" i="1"/>
  <c r="A51" i="1"/>
  <c r="A53" i="1"/>
  <c r="A45" i="1"/>
  <c r="A18" i="2"/>
  <c r="B18" i="2"/>
  <c r="A19" i="2"/>
  <c r="B19" i="2"/>
  <c r="A20" i="2"/>
  <c r="B20" i="2"/>
  <c r="A21" i="2"/>
  <c r="B21" i="2"/>
  <c r="A22" i="2"/>
  <c r="B22" i="2"/>
  <c r="A23" i="2"/>
  <c r="B23" i="2"/>
  <c r="A17" i="2"/>
  <c r="B17" i="2"/>
  <c r="R35" i="1"/>
  <c r="S35" i="1"/>
  <c r="T35" i="1"/>
  <c r="R36" i="1"/>
  <c r="S36" i="1"/>
  <c r="T36" i="1"/>
  <c r="R37" i="1"/>
  <c r="S37" i="1"/>
  <c r="T37" i="1"/>
  <c r="R38" i="1"/>
  <c r="S38" i="1"/>
  <c r="T38" i="1"/>
  <c r="R39" i="1"/>
  <c r="S39" i="1"/>
  <c r="T39" i="1"/>
  <c r="Q40" i="1"/>
  <c r="R40" i="1"/>
  <c r="S40" i="1"/>
  <c r="T40" i="1"/>
  <c r="R41" i="1"/>
  <c r="S41" i="1"/>
  <c r="T41" i="1"/>
  <c r="T34" i="1"/>
  <c r="S34" i="1"/>
  <c r="R34" i="1"/>
  <c r="B40" i="1"/>
  <c r="B39" i="1"/>
  <c r="P24" i="1"/>
  <c r="R24" i="1"/>
  <c r="T24" i="1"/>
  <c r="P25" i="1"/>
  <c r="R25" i="1"/>
  <c r="T25" i="1"/>
  <c r="P26" i="1"/>
  <c r="R26" i="1"/>
  <c r="T26" i="1"/>
  <c r="P27" i="1"/>
  <c r="R27" i="1"/>
  <c r="T27" i="1"/>
  <c r="P28" i="1"/>
  <c r="R28" i="1"/>
  <c r="T28" i="1"/>
  <c r="P29" i="1"/>
  <c r="R29" i="1"/>
  <c r="T29" i="1"/>
  <c r="P31" i="1"/>
  <c r="R31" i="1"/>
  <c r="T31" i="1"/>
  <c r="P20" i="1"/>
  <c r="Q20" i="1"/>
  <c r="R20" i="1"/>
  <c r="S20" i="1"/>
  <c r="O20" i="1"/>
  <c r="B37" i="1"/>
  <c r="O14" i="1"/>
  <c r="P14" i="1"/>
  <c r="Q14" i="1"/>
  <c r="R14" i="1"/>
  <c r="S14" i="1"/>
  <c r="O15" i="1"/>
  <c r="P15" i="1"/>
  <c r="Q15" i="1"/>
  <c r="R15" i="1"/>
  <c r="S15" i="1"/>
  <c r="O16" i="1"/>
  <c r="P16" i="1"/>
  <c r="Q16" i="1"/>
  <c r="R16" i="1"/>
  <c r="S16" i="1"/>
  <c r="O17" i="1"/>
  <c r="P17" i="1"/>
  <c r="Q17" i="1"/>
  <c r="R17" i="1"/>
  <c r="S17" i="1"/>
  <c r="O18" i="1"/>
  <c r="P18" i="1"/>
  <c r="Q18" i="1"/>
  <c r="R18" i="1"/>
  <c r="S18" i="1"/>
  <c r="O19" i="1"/>
  <c r="P19" i="1"/>
  <c r="Q19" i="1"/>
  <c r="R19" i="1"/>
  <c r="S19" i="1"/>
  <c r="S13" i="1"/>
  <c r="R13" i="1"/>
  <c r="P13" i="1"/>
  <c r="B38" i="1"/>
  <c r="C17" i="1"/>
  <c r="B18" i="1"/>
  <c r="AR3" i="50" l="1"/>
  <c r="AE2" i="29"/>
  <c r="AE2" i="20"/>
  <c r="AE2" i="19"/>
  <c r="AD2" i="48"/>
  <c r="AD2" i="46"/>
  <c r="AD2" i="38"/>
  <c r="AD2" i="28"/>
  <c r="AD2" i="54"/>
  <c r="AD2" i="42"/>
  <c r="AD2" i="53"/>
  <c r="AC144" i="53"/>
  <c r="AB145" i="53"/>
  <c r="AA130" i="53"/>
  <c r="AA101" i="53"/>
  <c r="AA100" i="53"/>
  <c r="AA102" i="53"/>
  <c r="AA132" i="53"/>
  <c r="AA131" i="53"/>
  <c r="AA99" i="53"/>
  <c r="AB97" i="53"/>
  <c r="AB129" i="53"/>
  <c r="AB98" i="53"/>
  <c r="AB128" i="53"/>
  <c r="BL4" i="51"/>
  <c r="H48" i="2"/>
  <c r="AA3" i="12"/>
  <c r="C18" i="1"/>
  <c r="B35" i="1"/>
  <c r="Q25" i="1"/>
  <c r="Q35" i="1" s="1"/>
  <c r="Q26" i="1"/>
  <c r="Q36" i="1" s="1"/>
  <c r="Q27" i="1"/>
  <c r="Q37" i="1" s="1"/>
  <c r="Q28" i="1"/>
  <c r="Q38" i="1" s="1"/>
  <c r="Q29" i="1"/>
  <c r="Q39" i="1" s="1"/>
  <c r="Q31" i="1"/>
  <c r="Q41" i="1" s="1"/>
  <c r="O25" i="1"/>
  <c r="O35" i="1" s="1"/>
  <c r="O26" i="1"/>
  <c r="O36" i="1" s="1"/>
  <c r="O27" i="1"/>
  <c r="O37" i="1" s="1"/>
  <c r="O28" i="1"/>
  <c r="O38" i="1" s="1"/>
  <c r="O29" i="1"/>
  <c r="O39" i="1" s="1"/>
  <c r="O31" i="1"/>
  <c r="O41" i="1" s="1"/>
  <c r="V25" i="2"/>
  <c r="B44" i="2" s="1"/>
  <c r="V30" i="2"/>
  <c r="B49" i="2" s="1"/>
  <c r="V27" i="2"/>
  <c r="AE2" i="46" l="1"/>
  <c r="AE2" i="54"/>
  <c r="AE2" i="42"/>
  <c r="AE2" i="53"/>
  <c r="AE2" i="38"/>
  <c r="AE2" i="28"/>
  <c r="AE2" i="48"/>
  <c r="AS3" i="50"/>
  <c r="AF2" i="19"/>
  <c r="AF2" i="29"/>
  <c r="AF2" i="20"/>
  <c r="AD144" i="53"/>
  <c r="AC145" i="53"/>
  <c r="AC97" i="53"/>
  <c r="AC98" i="53"/>
  <c r="AC129" i="53"/>
  <c r="AC128" i="53"/>
  <c r="AB130" i="53"/>
  <c r="AB101" i="53"/>
  <c r="AB100" i="53"/>
  <c r="AB102" i="53"/>
  <c r="AB132" i="53"/>
  <c r="AB131" i="53"/>
  <c r="AB99" i="53"/>
  <c r="BM4" i="51"/>
  <c r="D66" i="16"/>
  <c r="D66" i="15"/>
  <c r="D67" i="15"/>
  <c r="J48" i="2"/>
  <c r="J52" i="2" s="1"/>
  <c r="H52" i="2"/>
  <c r="AB3" i="12"/>
  <c r="O40" i="1"/>
  <c r="B36" i="1"/>
  <c r="C61" i="2"/>
  <c r="B61" i="2" s="1"/>
  <c r="C60" i="2"/>
  <c r="B60" i="2" s="1"/>
  <c r="C59" i="2"/>
  <c r="C58" i="2"/>
  <c r="AG2" i="20" l="1"/>
  <c r="AG2" i="19"/>
  <c r="AG2" i="29"/>
  <c r="AF2" i="38"/>
  <c r="AF2" i="53"/>
  <c r="AF2" i="48"/>
  <c r="AF2" i="46"/>
  <c r="AF2" i="54"/>
  <c r="AF2" i="42"/>
  <c r="AF2" i="28"/>
  <c r="AU3" i="50"/>
  <c r="Q27" i="49" s="1"/>
  <c r="Q30" i="49"/>
  <c r="Q29" i="49"/>
  <c r="Q28" i="49"/>
  <c r="AE144" i="53"/>
  <c r="AD145" i="53"/>
  <c r="AC130" i="53"/>
  <c r="AC132" i="53"/>
  <c r="AC131" i="53"/>
  <c r="AC101" i="53"/>
  <c r="AC100" i="53"/>
  <c r="AC102" i="53"/>
  <c r="AC99" i="53"/>
  <c r="AD97" i="53"/>
  <c r="AD98" i="53"/>
  <c r="AD129" i="53"/>
  <c r="AD128" i="53"/>
  <c r="BN4" i="51"/>
  <c r="CA15" i="51"/>
  <c r="BS14" i="51"/>
  <c r="AC3" i="12"/>
  <c r="P35" i="1"/>
  <c r="V35" i="1" s="1"/>
  <c r="B46" i="1" s="1"/>
  <c r="P36" i="1"/>
  <c r="V36" i="1" s="1"/>
  <c r="B47" i="1" s="1"/>
  <c r="P37" i="1"/>
  <c r="V37" i="1" s="1"/>
  <c r="B48" i="1" s="1"/>
  <c r="P38" i="1"/>
  <c r="V38" i="1" s="1"/>
  <c r="B49" i="1" s="1"/>
  <c r="P39" i="1"/>
  <c r="V39" i="1" s="1"/>
  <c r="B50" i="1" s="1"/>
  <c r="P40" i="1"/>
  <c r="P41" i="1"/>
  <c r="V41" i="1" s="1"/>
  <c r="B53" i="1" s="1"/>
  <c r="P34" i="1"/>
  <c r="V40" i="1"/>
  <c r="B51" i="1" s="1"/>
  <c r="C66" i="1" s="1"/>
  <c r="V34" i="1"/>
  <c r="Q26" i="49" l="1"/>
  <c r="K27" i="49"/>
  <c r="H5" i="4" s="1"/>
  <c r="K30" i="49"/>
  <c r="K28" i="49"/>
  <c r="K26" i="49"/>
  <c r="H5" i="8" s="1"/>
  <c r="K29" i="49"/>
  <c r="AG2" i="28"/>
  <c r="AG2" i="54"/>
  <c r="AG2" i="53"/>
  <c r="AG2" i="48"/>
  <c r="AG2" i="46"/>
  <c r="AG2" i="38"/>
  <c r="AG2" i="42"/>
  <c r="AF144" i="53"/>
  <c r="AF145" i="53" s="1"/>
  <c r="AE145" i="53"/>
  <c r="AD130" i="53"/>
  <c r="AD132" i="53"/>
  <c r="AD131" i="53"/>
  <c r="AD101" i="53"/>
  <c r="AD100" i="53"/>
  <c r="AD102" i="53"/>
  <c r="AD99" i="53"/>
  <c r="AE97" i="53"/>
  <c r="AE98" i="53"/>
  <c r="AE129" i="53"/>
  <c r="AE128" i="53"/>
  <c r="E6" i="51"/>
  <c r="K6" i="51"/>
  <c r="O6" i="51"/>
  <c r="S6" i="51"/>
  <c r="W6" i="51"/>
  <c r="AA6" i="51"/>
  <c r="AE6" i="51"/>
  <c r="Z6" i="51"/>
  <c r="H6" i="51"/>
  <c r="L6" i="51"/>
  <c r="P6" i="51"/>
  <c r="T6" i="51"/>
  <c r="X6" i="51"/>
  <c r="AB6" i="51"/>
  <c r="AF6" i="51"/>
  <c r="F6" i="51"/>
  <c r="N6" i="51"/>
  <c r="R6" i="51"/>
  <c r="V6" i="51"/>
  <c r="AD6" i="51"/>
  <c r="AH6" i="51"/>
  <c r="K6" i="3"/>
  <c r="K7" i="3" s="1"/>
  <c r="G6" i="51"/>
  <c r="I6" i="51"/>
  <c r="M6" i="51"/>
  <c r="Q6" i="51"/>
  <c r="U6" i="51"/>
  <c r="Y6" i="51"/>
  <c r="AC6" i="51"/>
  <c r="AG6" i="51"/>
  <c r="J6" i="51"/>
  <c r="D67" i="16"/>
  <c r="AD3" i="12"/>
  <c r="B45" i="1"/>
  <c r="V42" i="1"/>
  <c r="C65" i="1"/>
  <c r="AE132" i="53" l="1"/>
  <c r="AE131" i="53"/>
  <c r="AE101" i="53"/>
  <c r="AE100" i="53"/>
  <c r="AE102" i="53"/>
  <c r="AE99" i="53"/>
  <c r="AF97" i="53"/>
  <c r="AF98" i="53"/>
  <c r="AF129" i="53"/>
  <c r="AF128" i="53"/>
  <c r="AE130" i="53"/>
  <c r="L7" i="51"/>
  <c r="AR6" i="51"/>
  <c r="AC7" i="51"/>
  <c r="BI6" i="51"/>
  <c r="AS6" i="51"/>
  <c r="M7" i="51"/>
  <c r="BN6" i="51"/>
  <c r="AH7" i="51"/>
  <c r="BS10" i="51"/>
  <c r="AT6" i="51"/>
  <c r="N7" i="51"/>
  <c r="BD6" i="51"/>
  <c r="X7" i="51"/>
  <c r="H7" i="51"/>
  <c r="AN6" i="51"/>
  <c r="W7" i="51"/>
  <c r="BC6" i="51"/>
  <c r="E7" i="51"/>
  <c r="AK6" i="51"/>
  <c r="K9" i="3"/>
  <c r="K13" i="3" s="1"/>
  <c r="BH6" i="51"/>
  <c r="AB7" i="51"/>
  <c r="AQ6" i="51"/>
  <c r="K7" i="51"/>
  <c r="BE6" i="51"/>
  <c r="Y7" i="51"/>
  <c r="I7" i="51"/>
  <c r="AO6" i="51"/>
  <c r="AD7" i="51"/>
  <c r="BJ6" i="51"/>
  <c r="AL6" i="51"/>
  <c r="F7" i="51"/>
  <c r="T7" i="51"/>
  <c r="AZ6" i="51"/>
  <c r="BF6" i="51"/>
  <c r="Z7" i="51"/>
  <c r="S7" i="51"/>
  <c r="AY6" i="51"/>
  <c r="BM6" i="51"/>
  <c r="AG7" i="51"/>
  <c r="Q7" i="51"/>
  <c r="AW6" i="51"/>
  <c r="AX6" i="51"/>
  <c r="R7" i="51"/>
  <c r="BG6" i="51"/>
  <c r="AA7" i="51"/>
  <c r="J7" i="51"/>
  <c r="AP6" i="51"/>
  <c r="BA6" i="51"/>
  <c r="U7" i="51"/>
  <c r="G7" i="51"/>
  <c r="AM6" i="51"/>
  <c r="V7" i="51"/>
  <c r="BB6" i="51"/>
  <c r="BL6" i="51"/>
  <c r="AF7" i="51"/>
  <c r="P7" i="51"/>
  <c r="AV6" i="51"/>
  <c r="BK6" i="51"/>
  <c r="AE7" i="51"/>
  <c r="AU6" i="51"/>
  <c r="O7" i="51"/>
  <c r="AE3" i="12"/>
  <c r="C64" i="1"/>
  <c r="C63" i="1"/>
  <c r="O8" i="51" l="1"/>
  <c r="AB8" i="51"/>
  <c r="H8" i="51"/>
  <c r="M8" i="51"/>
  <c r="V8" i="51"/>
  <c r="Z8" i="51"/>
  <c r="I8" i="51"/>
  <c r="N8" i="51"/>
  <c r="G8" i="51"/>
  <c r="Y8" i="51"/>
  <c r="Q8" i="51"/>
  <c r="T8" i="51"/>
  <c r="L8" i="51"/>
  <c r="AF8" i="51"/>
  <c r="W8" i="51"/>
  <c r="AF130" i="53"/>
  <c r="AF132" i="53"/>
  <c r="AF131" i="53"/>
  <c r="AF101" i="53"/>
  <c r="AF100" i="53"/>
  <c r="AF102" i="53"/>
  <c r="AF99" i="53"/>
  <c r="BJ7" i="51"/>
  <c r="AD9" i="51"/>
  <c r="AE8" i="51"/>
  <c r="BK7" i="51"/>
  <c r="AE9" i="51"/>
  <c r="AV7" i="51"/>
  <c r="P9" i="51"/>
  <c r="BE7" i="51"/>
  <c r="Y9" i="51"/>
  <c r="AS7" i="51"/>
  <c r="M9" i="51"/>
  <c r="BI7" i="51"/>
  <c r="AC9" i="51"/>
  <c r="AP7" i="51"/>
  <c r="J9" i="51"/>
  <c r="BM7" i="51"/>
  <c r="AG9" i="51"/>
  <c r="AY7" i="51"/>
  <c r="S9" i="51"/>
  <c r="AK7" i="51"/>
  <c r="E9" i="51"/>
  <c r="BD7" i="51"/>
  <c r="X9" i="51"/>
  <c r="AM7" i="51"/>
  <c r="G9" i="51"/>
  <c r="J8" i="51"/>
  <c r="R8" i="51"/>
  <c r="AX7" i="51"/>
  <c r="R9" i="51"/>
  <c r="AW7" i="51"/>
  <c r="Q9" i="51"/>
  <c r="S8" i="51"/>
  <c r="BF7" i="51"/>
  <c r="Z9" i="51"/>
  <c r="AZ7" i="51"/>
  <c r="T9" i="51"/>
  <c r="AD8" i="51"/>
  <c r="BH7" i="51"/>
  <c r="AB9" i="51"/>
  <c r="E8" i="51"/>
  <c r="AN7" i="51"/>
  <c r="H9" i="51"/>
  <c r="AH8" i="51"/>
  <c r="BN7" i="51"/>
  <c r="AH9" i="51"/>
  <c r="BA7" i="51"/>
  <c r="U9" i="51"/>
  <c r="BG7" i="51"/>
  <c r="AA9" i="51"/>
  <c r="AL7" i="51"/>
  <c r="F9" i="51"/>
  <c r="AR7" i="51"/>
  <c r="L9" i="51"/>
  <c r="AU7" i="51"/>
  <c r="O9" i="51"/>
  <c r="P8" i="51"/>
  <c r="BL7" i="51"/>
  <c r="AF9" i="51"/>
  <c r="BB7" i="51"/>
  <c r="V9" i="51"/>
  <c r="U8" i="51"/>
  <c r="AA8" i="51"/>
  <c r="AG8" i="51"/>
  <c r="F8" i="51"/>
  <c r="AO7" i="51"/>
  <c r="I9" i="51"/>
  <c r="K8" i="51"/>
  <c r="AQ7" i="51"/>
  <c r="K9" i="51"/>
  <c r="BC7" i="51"/>
  <c r="W9" i="51"/>
  <c r="X8" i="51"/>
  <c r="AT7" i="51"/>
  <c r="N9" i="51"/>
  <c r="AC8" i="51"/>
  <c r="AF3" i="12"/>
  <c r="E45" i="2"/>
  <c r="I52" i="2"/>
  <c r="BK8" i="51" l="1"/>
  <c r="AT9" i="51"/>
  <c r="AO9" i="51"/>
  <c r="BL9" i="51"/>
  <c r="AN9" i="51"/>
  <c r="BF9" i="51"/>
  <c r="AP8" i="51"/>
  <c r="BJ9" i="51"/>
  <c r="AZ8" i="51"/>
  <c r="AT8" i="51"/>
  <c r="AS8" i="51"/>
  <c r="BN8" i="51"/>
  <c r="BG9" i="51"/>
  <c r="BM9" i="51"/>
  <c r="AN8" i="51"/>
  <c r="BI8" i="51"/>
  <c r="AY9" i="51"/>
  <c r="BD8" i="51"/>
  <c r="AK8" i="51"/>
  <c r="AW8" i="51"/>
  <c r="BC9" i="51"/>
  <c r="BM8" i="51"/>
  <c r="AU9" i="51"/>
  <c r="BA9" i="51"/>
  <c r="BH9" i="51"/>
  <c r="AW9" i="51"/>
  <c r="BD9" i="51"/>
  <c r="AP9" i="51"/>
  <c r="AV9" i="51"/>
  <c r="AL9" i="51"/>
  <c r="AM9" i="51"/>
  <c r="AL8" i="51"/>
  <c r="AY8" i="51"/>
  <c r="AO8" i="51"/>
  <c r="BL8" i="51"/>
  <c r="BE8" i="51"/>
  <c r="BF8" i="51"/>
  <c r="BH8" i="51"/>
  <c r="AS9" i="51"/>
  <c r="BE9" i="51"/>
  <c r="BG8" i="51"/>
  <c r="AQ9" i="51"/>
  <c r="BA8" i="51"/>
  <c r="AR9" i="51"/>
  <c r="BJ8" i="51"/>
  <c r="AK9" i="51"/>
  <c r="BK9" i="51"/>
  <c r="AQ8" i="51"/>
  <c r="AX8" i="51"/>
  <c r="AV8" i="51"/>
  <c r="BC8" i="51"/>
  <c r="AX9" i="51"/>
  <c r="BI9" i="51"/>
  <c r="BB9" i="51"/>
  <c r="AZ9" i="51"/>
  <c r="AR8" i="51"/>
  <c r="AM8" i="51"/>
  <c r="BB8" i="51"/>
  <c r="AU8" i="51"/>
  <c r="BN9" i="51"/>
  <c r="F45" i="2"/>
  <c r="E50" i="2"/>
  <c r="D50" i="2" s="1"/>
  <c r="E48" i="2"/>
  <c r="D48" i="2" s="1"/>
  <c r="E47" i="2"/>
  <c r="E51" i="2"/>
  <c r="D51" i="2" s="1"/>
  <c r="AG3" i="12"/>
  <c r="F48" i="2" l="1"/>
  <c r="F47" i="2"/>
  <c r="F50" i="2"/>
  <c r="D47" i="2"/>
  <c r="F51" i="2"/>
  <c r="AH3" i="12"/>
  <c r="AQ99" i="15" l="1"/>
  <c r="AO99" i="15"/>
  <c r="AN99" i="15" l="1"/>
  <c r="AP98" i="15" s="1"/>
  <c r="AR98" i="15" s="1"/>
  <c r="Q3" i="6" l="1"/>
  <c r="L3" i="6"/>
  <c r="C2" i="20" s="1"/>
  <c r="C2" i="19" l="1"/>
  <c r="C2" i="29"/>
  <c r="AI2" i="29" s="1"/>
  <c r="H2" i="19"/>
  <c r="H2" i="29"/>
  <c r="H2" i="20"/>
  <c r="M3" i="6"/>
  <c r="D4" i="14"/>
  <c r="C32" i="29"/>
  <c r="C32" i="19"/>
  <c r="C32" i="28"/>
  <c r="R3" i="6"/>
  <c r="I4" i="14"/>
  <c r="H32" i="29"/>
  <c r="H32" i="19"/>
  <c r="H32" i="28"/>
  <c r="I4" i="12"/>
  <c r="D4" i="12"/>
  <c r="H2" i="38" l="1"/>
  <c r="H2" i="54"/>
  <c r="H2" i="48"/>
  <c r="H2" i="28"/>
  <c r="H2" i="53"/>
  <c r="H2" i="46"/>
  <c r="H2" i="42"/>
  <c r="J4" i="12"/>
  <c r="I2" i="19"/>
  <c r="I2" i="29"/>
  <c r="I2" i="20"/>
  <c r="E4" i="12"/>
  <c r="D2" i="29"/>
  <c r="D2" i="20"/>
  <c r="D2" i="19"/>
  <c r="B15" i="27"/>
  <c r="B23" i="27" s="1"/>
  <c r="C2" i="53"/>
  <c r="AI2" i="53" s="1"/>
  <c r="C2" i="28"/>
  <c r="C2" i="38"/>
  <c r="AI2" i="38" s="1"/>
  <c r="C2" i="48"/>
  <c r="AI2" i="48" s="1"/>
  <c r="C2" i="54"/>
  <c r="AI2" i="54" s="1"/>
  <c r="C2" i="42"/>
  <c r="AI2" i="42" s="1"/>
  <c r="C2" i="46"/>
  <c r="AI2" i="46" s="1"/>
  <c r="AI2" i="20"/>
  <c r="AI2" i="19" s="1"/>
  <c r="S3" i="6"/>
  <c r="N3" i="6"/>
  <c r="E32" i="29" s="1"/>
  <c r="C14" i="19"/>
  <c r="C14" i="29"/>
  <c r="C14" i="42"/>
  <c r="C14" i="48"/>
  <c r="C14" i="20"/>
  <c r="F4" i="14"/>
  <c r="E32" i="19"/>
  <c r="E32" i="28"/>
  <c r="C14" i="28"/>
  <c r="AL256" i="14"/>
  <c r="AK251" i="14"/>
  <c r="AK198" i="14"/>
  <c r="AL175" i="14"/>
  <c r="AL198" i="14"/>
  <c r="AK172" i="14"/>
  <c r="D84" i="14"/>
  <c r="J32" i="29"/>
  <c r="K4" i="14"/>
  <c r="J32" i="19"/>
  <c r="J32" i="28"/>
  <c r="I32" i="29"/>
  <c r="J4" i="14"/>
  <c r="I32" i="19"/>
  <c r="I32" i="28"/>
  <c r="C14" i="38"/>
  <c r="E4" i="14"/>
  <c r="D32" i="29"/>
  <c r="D32" i="19"/>
  <c r="D32" i="28"/>
  <c r="C14" i="53"/>
  <c r="AK251" i="12"/>
  <c r="AK258" i="12" s="1"/>
  <c r="AL256" i="12"/>
  <c r="AL265" i="12" s="1"/>
  <c r="AL218" i="12"/>
  <c r="AK218" i="12"/>
  <c r="AK198" i="12"/>
  <c r="B203" i="12"/>
  <c r="AL175" i="12"/>
  <c r="AL198" i="12"/>
  <c r="AK172" i="12"/>
  <c r="D84" i="12"/>
  <c r="F4" i="12"/>
  <c r="O3" i="6"/>
  <c r="T3" i="6"/>
  <c r="K4" i="12"/>
  <c r="C14" i="46" l="1"/>
  <c r="D2" i="54"/>
  <c r="D2" i="53"/>
  <c r="D2" i="48"/>
  <c r="D2" i="46"/>
  <c r="D14" i="46" s="1"/>
  <c r="D2" i="28"/>
  <c r="D2" i="38"/>
  <c r="D14" i="38" s="1"/>
  <c r="D2" i="42"/>
  <c r="D14" i="42" s="1"/>
  <c r="I2" i="28"/>
  <c r="I2" i="54"/>
  <c r="I2" i="48"/>
  <c r="I2" i="46"/>
  <c r="I2" i="53"/>
  <c r="I2" i="42"/>
  <c r="I2" i="38"/>
  <c r="K2" i="29"/>
  <c r="K2" i="20"/>
  <c r="K2" i="19"/>
  <c r="C14" i="54"/>
  <c r="F2" i="29"/>
  <c r="F2" i="20"/>
  <c r="F2" i="19"/>
  <c r="E2" i="29"/>
  <c r="E2" i="20"/>
  <c r="E2" i="19"/>
  <c r="B8" i="27"/>
  <c r="B9" i="27"/>
  <c r="B10" i="27"/>
  <c r="B22" i="27" s="1"/>
  <c r="B11" i="27"/>
  <c r="B20" i="27" s="1"/>
  <c r="B30" i="27" s="1"/>
  <c r="B38" i="27" s="1"/>
  <c r="B12" i="27"/>
  <c r="B21" i="27" s="1"/>
  <c r="B13" i="27"/>
  <c r="B19" i="27" s="1"/>
  <c r="B29" i="27" s="1"/>
  <c r="B37" i="27" s="1"/>
  <c r="B14" i="27"/>
  <c r="B7" i="27"/>
  <c r="B18" i="27" s="1"/>
  <c r="J2" i="19"/>
  <c r="J2" i="29"/>
  <c r="J2" i="20"/>
  <c r="D14" i="29"/>
  <c r="D14" i="54"/>
  <c r="D14" i="20"/>
  <c r="D14" i="28"/>
  <c r="L4" i="14"/>
  <c r="K32" i="29"/>
  <c r="K32" i="19"/>
  <c r="K32" i="28"/>
  <c r="D14" i="48"/>
  <c r="F32" i="29"/>
  <c r="G4" i="14"/>
  <c r="F32" i="19"/>
  <c r="F32" i="28"/>
  <c r="D14" i="19"/>
  <c r="D14" i="53"/>
  <c r="U3" i="6"/>
  <c r="L4" i="12"/>
  <c r="P3" i="6"/>
  <c r="G4" i="12"/>
  <c r="B24" i="27" l="1"/>
  <c r="B28" i="27"/>
  <c r="B36" i="27" s="1"/>
  <c r="K2" i="54"/>
  <c r="K2" i="53"/>
  <c r="K2" i="28"/>
  <c r="K2" i="38"/>
  <c r="K2" i="42"/>
  <c r="K2" i="46"/>
  <c r="K2" i="48"/>
  <c r="E2" i="42"/>
  <c r="E2" i="48"/>
  <c r="E2" i="46"/>
  <c r="E2" i="53"/>
  <c r="E14" i="53" s="1"/>
  <c r="E2" i="38"/>
  <c r="E14" i="38" s="1"/>
  <c r="E2" i="28"/>
  <c r="E14" i="28" s="1"/>
  <c r="E2" i="54"/>
  <c r="E14" i="54" s="1"/>
  <c r="F2" i="48"/>
  <c r="F14" i="48" s="1"/>
  <c r="F2" i="42"/>
  <c r="F2" i="54"/>
  <c r="F2" i="46"/>
  <c r="F2" i="28"/>
  <c r="F14" i="28" s="1"/>
  <c r="F2" i="53"/>
  <c r="F2" i="38"/>
  <c r="J2" i="42"/>
  <c r="J2" i="28"/>
  <c r="J2" i="54"/>
  <c r="J2" i="46"/>
  <c r="J2" i="53"/>
  <c r="J2" i="48"/>
  <c r="J2" i="38"/>
  <c r="G2" i="29"/>
  <c r="G2" i="20"/>
  <c r="G2" i="19"/>
  <c r="L2" i="29"/>
  <c r="L2" i="20"/>
  <c r="L2" i="19"/>
  <c r="B32" i="27"/>
  <c r="B40" i="27" s="1"/>
  <c r="E14" i="20"/>
  <c r="E14" i="42"/>
  <c r="M4" i="14"/>
  <c r="L32" i="29"/>
  <c r="L32" i="19"/>
  <c r="L32" i="28"/>
  <c r="F14" i="42"/>
  <c r="E14" i="48"/>
  <c r="H4" i="14"/>
  <c r="G32" i="29"/>
  <c r="G32" i="19"/>
  <c r="G32" i="28"/>
  <c r="E14" i="46"/>
  <c r="F14" i="29"/>
  <c r="F14" i="20"/>
  <c r="E14" i="29"/>
  <c r="E14" i="19"/>
  <c r="M4" i="12"/>
  <c r="H4" i="12"/>
  <c r="L2" i="54" l="1"/>
  <c r="L2" i="53"/>
  <c r="L2" i="28"/>
  <c r="L2" i="48"/>
  <c r="L2" i="42"/>
  <c r="L2" i="38"/>
  <c r="L2" i="46"/>
  <c r="G2" i="46"/>
  <c r="G2" i="54"/>
  <c r="G2" i="42"/>
  <c r="G14" i="42" s="1"/>
  <c r="G2" i="48"/>
  <c r="G14" i="48" s="1"/>
  <c r="G2" i="38"/>
  <c r="G2" i="53"/>
  <c r="G2" i="28"/>
  <c r="G14" i="28" s="1"/>
  <c r="G14" i="29"/>
  <c r="F14" i="19"/>
  <c r="F14" i="54"/>
  <c r="F14" i="46"/>
  <c r="F14" i="53"/>
  <c r="G14" i="20"/>
  <c r="F14" i="38"/>
  <c r="H14" i="20" l="1"/>
  <c r="G14" i="19"/>
  <c r="G14" i="38"/>
  <c r="G14" i="46"/>
  <c r="G14" i="54"/>
  <c r="H14" i="28"/>
  <c r="H14" i="48"/>
  <c r="H14" i="42"/>
  <c r="H14" i="29"/>
  <c r="G14" i="53"/>
  <c r="I14" i="42" l="1"/>
  <c r="H14" i="38"/>
  <c r="I14" i="48"/>
  <c r="H14" i="54"/>
  <c r="I14" i="20"/>
  <c r="I14" i="29"/>
  <c r="H14" i="19"/>
  <c r="H14" i="53"/>
  <c r="I14" i="28"/>
  <c r="H14" i="46"/>
  <c r="I14" i="46" l="1"/>
  <c r="I14" i="53"/>
  <c r="I14" i="19"/>
  <c r="I14" i="38"/>
  <c r="J14" i="28"/>
  <c r="I14" i="54"/>
  <c r="J14" i="48"/>
  <c r="J14" i="42"/>
  <c r="J14" i="29"/>
  <c r="J14" i="20"/>
  <c r="K14" i="20" l="1"/>
  <c r="K14" i="28"/>
  <c r="K14" i="29"/>
  <c r="K14" i="42"/>
  <c r="J14" i="19"/>
  <c r="J14" i="38"/>
  <c r="J14" i="46"/>
  <c r="K14" i="48"/>
  <c r="J14" i="54"/>
  <c r="J14" i="53"/>
  <c r="L14" i="48" l="1"/>
  <c r="L14" i="20"/>
  <c r="L14" i="42"/>
  <c r="L14" i="29"/>
  <c r="L14" i="28"/>
  <c r="K14" i="46"/>
  <c r="K14" i="53"/>
  <c r="K14" i="54"/>
  <c r="K14" i="19"/>
  <c r="K14" i="38"/>
  <c r="L14" i="54" l="1"/>
  <c r="M14" i="20"/>
  <c r="L14" i="38"/>
  <c r="L14" i="53"/>
  <c r="M14" i="42"/>
  <c r="M14" i="48"/>
  <c r="L14" i="19"/>
  <c r="L14" i="46"/>
  <c r="M14" i="28"/>
  <c r="M14" i="29"/>
  <c r="M14" i="19" l="1"/>
  <c r="N14" i="42"/>
  <c r="M14" i="38"/>
  <c r="M14" i="53"/>
  <c r="N14" i="48"/>
  <c r="N14" i="29"/>
  <c r="N14" i="28"/>
  <c r="M14" i="46"/>
  <c r="N14" i="20"/>
  <c r="M14" i="54"/>
  <c r="N14" i="19" l="1"/>
  <c r="N14" i="46"/>
  <c r="N14" i="53"/>
  <c r="N14" i="38"/>
  <c r="O14" i="28"/>
  <c r="O14" i="42"/>
  <c r="N14" i="54"/>
  <c r="O14" i="20"/>
  <c r="O14" i="48"/>
  <c r="O14" i="29"/>
  <c r="P14" i="42" l="1"/>
  <c r="P14" i="48"/>
  <c r="P14" i="28"/>
  <c r="O14" i="53"/>
  <c r="O14" i="38"/>
  <c r="O14" i="19"/>
  <c r="P14" i="29"/>
  <c r="P14" i="20"/>
  <c r="O14" i="46"/>
  <c r="O14" i="54"/>
  <c r="Q14" i="29" l="1"/>
  <c r="P14" i="46"/>
  <c r="Q14" i="20"/>
  <c r="P14" i="38"/>
  <c r="P14" i="53"/>
  <c r="P14" i="19"/>
  <c r="Q14" i="42"/>
  <c r="P14" i="54"/>
  <c r="Q14" i="28"/>
  <c r="Q14" i="48"/>
  <c r="Q14" i="54" l="1"/>
  <c r="R14" i="28"/>
  <c r="Q14" i="53"/>
  <c r="R14" i="48"/>
  <c r="R14" i="42"/>
  <c r="Q14" i="19"/>
  <c r="R14" i="20"/>
  <c r="R14" i="29"/>
  <c r="Q14" i="38"/>
  <c r="Q14" i="46"/>
  <c r="S14" i="42" l="1"/>
  <c r="R14" i="53"/>
  <c r="R14" i="54"/>
  <c r="S14" i="20"/>
  <c r="R14" i="19"/>
  <c r="R14" i="38"/>
  <c r="S14" i="29"/>
  <c r="S14" i="48"/>
  <c r="S14" i="28"/>
  <c r="R14" i="46"/>
  <c r="T14" i="28" l="1"/>
  <c r="T14" i="20"/>
  <c r="S14" i="46"/>
  <c r="T14" i="48"/>
  <c r="T14" i="42"/>
  <c r="S14" i="54"/>
  <c r="T14" i="29"/>
  <c r="S14" i="38"/>
  <c r="S14" i="19"/>
  <c r="S14" i="53"/>
  <c r="T14" i="53" l="1"/>
  <c r="T14" i="19"/>
  <c r="T14" i="38"/>
  <c r="U14" i="29"/>
  <c r="T14" i="54"/>
  <c r="U14" i="48"/>
  <c r="U14" i="20"/>
  <c r="U14" i="42"/>
  <c r="T14" i="46"/>
  <c r="U14" i="28"/>
  <c r="V14" i="28" l="1"/>
  <c r="V14" i="29"/>
  <c r="U14" i="19"/>
  <c r="U14" i="38"/>
  <c r="U14" i="54"/>
  <c r="U14" i="53"/>
  <c r="U14" i="46"/>
  <c r="V14" i="48"/>
  <c r="V14" i="42"/>
  <c r="V14" i="20"/>
  <c r="W14" i="28" l="1"/>
  <c r="V14" i="19"/>
  <c r="W14" i="20"/>
  <c r="W14" i="42"/>
  <c r="W14" i="48"/>
  <c r="W14" i="29"/>
  <c r="V14" i="46"/>
  <c r="V14" i="38"/>
  <c r="V14" i="53"/>
  <c r="V14" i="54"/>
  <c r="W14" i="46" l="1"/>
  <c r="X14" i="48"/>
  <c r="W14" i="38"/>
  <c r="X14" i="42"/>
  <c r="X14" i="28"/>
  <c r="X14" i="20"/>
  <c r="X14" i="29"/>
  <c r="W14" i="19"/>
  <c r="W14" i="54"/>
  <c r="W14" i="53"/>
  <c r="Y14" i="29" l="1"/>
  <c r="Y14" i="28"/>
  <c r="X14" i="38"/>
  <c r="X14" i="46"/>
  <c r="X14" i="54"/>
  <c r="X14" i="19"/>
  <c r="X14" i="53"/>
  <c r="Y14" i="20"/>
  <c r="Y14" i="42"/>
  <c r="Y14" i="48"/>
  <c r="Y14" i="53" l="1"/>
  <c r="Y14" i="54"/>
  <c r="Z14" i="28"/>
  <c r="Z14" i="29"/>
  <c r="Z14" i="42"/>
  <c r="Y14" i="19"/>
  <c r="Z14" i="48"/>
  <c r="Z14" i="20"/>
  <c r="Y14" i="46"/>
  <c r="Y14" i="38"/>
  <c r="Z14" i="19" l="1"/>
  <c r="AA14" i="29"/>
  <c r="Z14" i="53"/>
  <c r="AA14" i="48"/>
  <c r="AA14" i="42"/>
  <c r="AA14" i="28"/>
  <c r="Z14" i="46"/>
  <c r="AA14" i="20"/>
  <c r="Z14" i="38"/>
  <c r="Z14" i="54"/>
  <c r="AA14" i="46" l="1"/>
  <c r="AB14" i="48"/>
  <c r="AA14" i="38"/>
  <c r="AB14" i="20"/>
  <c r="AA14" i="54"/>
  <c r="AB14" i="28"/>
  <c r="AA14" i="53"/>
  <c r="AA14" i="19"/>
  <c r="AB14" i="29"/>
  <c r="AB14" i="42"/>
  <c r="AC14" i="29" l="1"/>
  <c r="AB14" i="46"/>
  <c r="AB14" i="19"/>
  <c r="AC14" i="48"/>
  <c r="AB14" i="54"/>
  <c r="AB14" i="53"/>
  <c r="AC14" i="42"/>
  <c r="AC14" i="28"/>
  <c r="AB14" i="38"/>
  <c r="AC14" i="20"/>
  <c r="AC14" i="38" l="1"/>
  <c r="AC14" i="54"/>
  <c r="AD14" i="42"/>
  <c r="AC14" i="19"/>
  <c r="AC14" i="46"/>
  <c r="AD14" i="20"/>
  <c r="AD14" i="28"/>
  <c r="AC14" i="53"/>
  <c r="AD14" i="29"/>
  <c r="AD14" i="48"/>
  <c r="AE14" i="48" l="1"/>
  <c r="AD14" i="54"/>
  <c r="AE14" i="28"/>
  <c r="AD14" i="19"/>
  <c r="AE14" i="42"/>
  <c r="AD14" i="38"/>
  <c r="AD14" i="53"/>
  <c r="AD14" i="46"/>
  <c r="AE14" i="29"/>
  <c r="AE14" i="20"/>
  <c r="AE14" i="19" l="1"/>
  <c r="AF14" i="28"/>
  <c r="AF14" i="29"/>
  <c r="AF14" i="48"/>
  <c r="AF14" i="42"/>
  <c r="AF14" i="20"/>
  <c r="AE14" i="46"/>
  <c r="AE14" i="53"/>
  <c r="AE14" i="38"/>
  <c r="AE14" i="54"/>
  <c r="AG14" i="20" l="1"/>
  <c r="AF14" i="46"/>
  <c r="AG14" i="28"/>
  <c r="AI2" i="28"/>
  <c r="AG14" i="42"/>
  <c r="AG14" i="29"/>
  <c r="AF14" i="54"/>
  <c r="AG14" i="48"/>
  <c r="AF14" i="38"/>
  <c r="AF14" i="53"/>
  <c r="AF14" i="19"/>
  <c r="AG14" i="19" l="1"/>
  <c r="AG14" i="53"/>
  <c r="AG14" i="54"/>
  <c r="AG14" i="46"/>
  <c r="AG14" i="38"/>
  <c r="AA16" i="44" l="1"/>
  <c r="U11" i="44"/>
  <c r="E59" i="44" s="1"/>
  <c r="E65" i="44" l="1"/>
  <c r="E62" i="44"/>
  <c r="E63" i="44" l="1"/>
  <c r="E66" i="44"/>
  <c r="E3" i="49" l="1"/>
  <c r="F18" i="49" l="1"/>
  <c r="C18" i="49"/>
  <c r="C22" i="49" s="1"/>
  <c r="O10" i="24" l="1"/>
  <c r="F23" i="49"/>
  <c r="C23" i="49"/>
  <c r="D19" i="49" s="1"/>
  <c r="D18" i="49" l="1"/>
  <c r="D20" i="49"/>
  <c r="D22" i="49"/>
  <c r="G19" i="49"/>
  <c r="G21" i="49"/>
  <c r="G20" i="49"/>
  <c r="G22" i="49"/>
  <c r="G18" i="49"/>
  <c r="D21" i="49"/>
  <c r="AG145" i="53" l="1"/>
  <c r="D6" i="7" l="1"/>
  <c r="D7" i="7"/>
  <c r="I19" i="7" s="1"/>
  <c r="D8" i="7"/>
  <c r="N16" i="7" s="1"/>
  <c r="D9" i="7"/>
  <c r="S16" i="7" s="1"/>
  <c r="D10" i="7"/>
  <c r="C11" i="7"/>
  <c r="D11" i="7" s="1"/>
  <c r="X14" i="7"/>
  <c r="X15" i="7"/>
  <c r="D5" i="12"/>
  <c r="E5" i="12"/>
  <c r="F5" i="12"/>
  <c r="G5" i="12"/>
  <c r="H5" i="12"/>
  <c r="I5" i="12"/>
  <c r="J5" i="12"/>
  <c r="K5" i="12"/>
  <c r="L5" i="12"/>
  <c r="M5" i="12"/>
  <c r="N5" i="12"/>
  <c r="O5" i="12"/>
  <c r="P5" i="12"/>
  <c r="Q5" i="12"/>
  <c r="R5" i="12"/>
  <c r="R8" i="12" s="1"/>
  <c r="S5" i="12"/>
  <c r="T5" i="12"/>
  <c r="U5" i="12"/>
  <c r="V5" i="12"/>
  <c r="V8" i="12" s="1"/>
  <c r="W5" i="12"/>
  <c r="X5" i="12"/>
  <c r="Y5" i="12"/>
  <c r="Z5" i="12"/>
  <c r="Z8" i="12" s="1"/>
  <c r="AA5" i="12"/>
  <c r="AB5" i="12"/>
  <c r="AC5" i="12"/>
  <c r="AD5" i="12"/>
  <c r="AD8" i="12" s="1"/>
  <c r="AE5" i="12"/>
  <c r="AF5" i="12"/>
  <c r="AG5" i="12"/>
  <c r="AH5" i="12"/>
  <c r="AH8" i="12" s="1"/>
  <c r="D6" i="12"/>
  <c r="AN7" i="12" s="1"/>
  <c r="AO7" i="12" s="1"/>
  <c r="E6" i="12"/>
  <c r="F6" i="12"/>
  <c r="G6" i="12"/>
  <c r="H6" i="12"/>
  <c r="I6" i="12"/>
  <c r="J6" i="12"/>
  <c r="K6" i="12"/>
  <c r="K8" i="12" s="1"/>
  <c r="L6" i="12"/>
  <c r="L8" i="12" s="1"/>
  <c r="M6" i="12"/>
  <c r="N6" i="12"/>
  <c r="O6" i="12"/>
  <c r="O8" i="12" s="1"/>
  <c r="P6" i="12"/>
  <c r="Q6" i="12"/>
  <c r="R6" i="12"/>
  <c r="S6" i="12"/>
  <c r="S8" i="12" s="1"/>
  <c r="T6" i="12"/>
  <c r="T8" i="12" s="1"/>
  <c r="U6" i="12"/>
  <c r="V6" i="12"/>
  <c r="W6" i="12"/>
  <c r="W8" i="12" s="1"/>
  <c r="X6" i="12"/>
  <c r="Y6" i="12"/>
  <c r="Z6" i="12"/>
  <c r="AA6" i="12"/>
  <c r="AA8" i="12" s="1"/>
  <c r="AB6" i="12"/>
  <c r="AB8" i="12" s="1"/>
  <c r="AC6" i="12"/>
  <c r="AD6" i="12"/>
  <c r="AE6" i="12"/>
  <c r="AF6" i="12"/>
  <c r="AG6" i="12"/>
  <c r="AH6" i="12"/>
  <c r="AN6" i="12"/>
  <c r="AO6" i="12" s="1"/>
  <c r="D7" i="12"/>
  <c r="E7" i="12"/>
  <c r="F7" i="12"/>
  <c r="G7" i="12"/>
  <c r="H7" i="12"/>
  <c r="I7" i="12"/>
  <c r="J7" i="12"/>
  <c r="K7" i="12"/>
  <c r="L7" i="12"/>
  <c r="M7" i="12"/>
  <c r="N7" i="12"/>
  <c r="O7" i="12"/>
  <c r="P7" i="12"/>
  <c r="Q7" i="12"/>
  <c r="R7" i="12"/>
  <c r="S7" i="12"/>
  <c r="T7" i="12"/>
  <c r="U7" i="12"/>
  <c r="V7" i="12"/>
  <c r="W7" i="12"/>
  <c r="X7" i="12"/>
  <c r="Y7" i="12"/>
  <c r="Z7" i="12"/>
  <c r="AA7" i="12"/>
  <c r="AB7" i="12"/>
  <c r="AC7" i="12"/>
  <c r="AD7" i="12"/>
  <c r="AE7" i="12"/>
  <c r="AF7" i="12"/>
  <c r="AG7" i="12"/>
  <c r="AH7" i="12"/>
  <c r="D8" i="12"/>
  <c r="E8" i="12"/>
  <c r="F8" i="12"/>
  <c r="G8" i="12"/>
  <c r="H8" i="12"/>
  <c r="I8" i="12"/>
  <c r="M8" i="12"/>
  <c r="N8" i="12"/>
  <c r="P8" i="12"/>
  <c r="Q8" i="12"/>
  <c r="U8" i="12"/>
  <c r="X8" i="12"/>
  <c r="Y8" i="12"/>
  <c r="AC8" i="12"/>
  <c r="AE8" i="12"/>
  <c r="AF8" i="12"/>
  <c r="AG8" i="12"/>
  <c r="AN8" i="12"/>
  <c r="AO8" i="12" s="1"/>
  <c r="AN11" i="12"/>
  <c r="AO11" i="12" s="1"/>
  <c r="D5" i="14"/>
  <c r="E5" i="14"/>
  <c r="F5" i="14"/>
  <c r="F8" i="14" s="1"/>
  <c r="G5" i="14"/>
  <c r="H5" i="14"/>
  <c r="I5" i="14"/>
  <c r="J5" i="14"/>
  <c r="K5" i="14"/>
  <c r="L5" i="14"/>
  <c r="M5" i="14"/>
  <c r="N5" i="14"/>
  <c r="N8" i="14" s="1"/>
  <c r="O5" i="14"/>
  <c r="P5" i="14"/>
  <c r="Q5" i="14"/>
  <c r="R5" i="14"/>
  <c r="S5" i="14"/>
  <c r="T5" i="14"/>
  <c r="U5" i="14"/>
  <c r="V5" i="14"/>
  <c r="V8" i="14" s="1"/>
  <c r="W5" i="14"/>
  <c r="W8" i="14" s="1"/>
  <c r="X5" i="14"/>
  <c r="Y5" i="14"/>
  <c r="Z5" i="14"/>
  <c r="AA5" i="14"/>
  <c r="AB5" i="14"/>
  <c r="AC5" i="14"/>
  <c r="AD5" i="14"/>
  <c r="AE5" i="14"/>
  <c r="AF5" i="14"/>
  <c r="AG5" i="14"/>
  <c r="AH5" i="14"/>
  <c r="D6" i="14"/>
  <c r="E6" i="14"/>
  <c r="F6" i="14"/>
  <c r="G6" i="14"/>
  <c r="G8" i="14" s="1"/>
  <c r="H6" i="14"/>
  <c r="H8" i="14" s="1"/>
  <c r="I6" i="14"/>
  <c r="J6" i="14"/>
  <c r="K6" i="14"/>
  <c r="L6" i="14"/>
  <c r="M6" i="14"/>
  <c r="N6" i="14"/>
  <c r="O6" i="14"/>
  <c r="O8" i="14" s="1"/>
  <c r="P6" i="14"/>
  <c r="Q6" i="14"/>
  <c r="R6" i="14"/>
  <c r="S6" i="14"/>
  <c r="T6" i="14"/>
  <c r="U6" i="14"/>
  <c r="V6" i="14"/>
  <c r="W6" i="14"/>
  <c r="X6" i="14"/>
  <c r="Y6" i="14"/>
  <c r="Z6" i="14"/>
  <c r="AA6" i="14"/>
  <c r="AB6" i="14"/>
  <c r="AC6" i="14"/>
  <c r="AD6" i="14"/>
  <c r="AE6" i="14"/>
  <c r="AE8" i="14" s="1"/>
  <c r="AF6" i="14"/>
  <c r="AF8" i="14" s="1"/>
  <c r="AG6" i="14"/>
  <c r="AH6" i="14"/>
  <c r="D7" i="14"/>
  <c r="D8" i="14" s="1"/>
  <c r="E7" i="14"/>
  <c r="F7" i="14"/>
  <c r="G7" i="14"/>
  <c r="H7" i="14"/>
  <c r="I7" i="14"/>
  <c r="J7" i="14"/>
  <c r="K7" i="14"/>
  <c r="L7" i="14"/>
  <c r="L8" i="14" s="1"/>
  <c r="M7" i="14"/>
  <c r="N7" i="14"/>
  <c r="O7" i="14"/>
  <c r="P7" i="14"/>
  <c r="Q7" i="14"/>
  <c r="R7" i="14"/>
  <c r="S7" i="14"/>
  <c r="T7" i="14"/>
  <c r="T8" i="14" s="1"/>
  <c r="U7" i="14"/>
  <c r="V7" i="14"/>
  <c r="W7" i="14"/>
  <c r="X7" i="14"/>
  <c r="Y7" i="14"/>
  <c r="Z7" i="14"/>
  <c r="AA7" i="14"/>
  <c r="AB7" i="14"/>
  <c r="AB8" i="14" s="1"/>
  <c r="AC7" i="14"/>
  <c r="AD7" i="14"/>
  <c r="AE7" i="14"/>
  <c r="AF7" i="14"/>
  <c r="AG7" i="14"/>
  <c r="AH7" i="14"/>
  <c r="E8" i="14"/>
  <c r="M8" i="14"/>
  <c r="P8" i="14"/>
  <c r="U8" i="14"/>
  <c r="X8" i="14"/>
  <c r="AC8" i="14"/>
  <c r="AD8" i="14"/>
  <c r="J8" i="12" l="1"/>
  <c r="S8" i="14"/>
  <c r="K8" i="14"/>
  <c r="AA8" i="14"/>
  <c r="I21" i="7"/>
  <c r="S14" i="7"/>
  <c r="S21" i="7" s="1"/>
  <c r="S20" i="7" s="1"/>
  <c r="N14" i="7"/>
  <c r="N15" i="7" s="1"/>
  <c r="O15" i="7" s="1"/>
  <c r="AH8" i="14"/>
  <c r="Z8" i="14"/>
  <c r="R8" i="14"/>
  <c r="J8" i="14"/>
  <c r="AG8" i="14"/>
  <c r="Y8" i="14"/>
  <c r="Q8" i="14"/>
  <c r="I8" i="14"/>
  <c r="C13" i="44"/>
  <c r="D13" i="44" s="1"/>
  <c r="E13" i="44" s="1"/>
  <c r="N22" i="7"/>
  <c r="C12" i="44"/>
  <c r="R16" i="7"/>
  <c r="C39" i="7"/>
  <c r="Y14" i="7"/>
  <c r="O14" i="7"/>
  <c r="T14" i="7" l="1"/>
  <c r="S15" i="7"/>
  <c r="T15" i="7" s="1"/>
  <c r="E67" i="7"/>
  <c r="E68" i="7"/>
  <c r="E63" i="7"/>
  <c r="E64" i="7"/>
  <c r="E65" i="7"/>
  <c r="E66" i="7"/>
  <c r="C14" i="44"/>
  <c r="D14" i="44" s="1"/>
  <c r="D12" i="44"/>
  <c r="F9" i="12"/>
  <c r="N9" i="12"/>
  <c r="V9" i="12"/>
  <c r="AD9" i="12"/>
  <c r="E9" i="14"/>
  <c r="M9" i="14"/>
  <c r="U9" i="14"/>
  <c r="AC9" i="14"/>
  <c r="G9" i="12"/>
  <c r="O9" i="12"/>
  <c r="W9" i="12"/>
  <c r="AE9" i="12"/>
  <c r="F9" i="14"/>
  <c r="N9" i="14"/>
  <c r="V9" i="14"/>
  <c r="AD9" i="14"/>
  <c r="H9" i="12"/>
  <c r="P9" i="12"/>
  <c r="X9" i="12"/>
  <c r="AF9" i="12"/>
  <c r="G9" i="14"/>
  <c r="O9" i="14"/>
  <c r="W9" i="14"/>
  <c r="AE9" i="14"/>
  <c r="I9" i="12"/>
  <c r="Q9" i="12"/>
  <c r="Y9" i="12"/>
  <c r="AG9" i="12"/>
  <c r="H9" i="14"/>
  <c r="P9" i="14"/>
  <c r="X9" i="14"/>
  <c r="AF9" i="14"/>
  <c r="J9" i="12"/>
  <c r="R9" i="12"/>
  <c r="Z9" i="12"/>
  <c r="AH9" i="12"/>
  <c r="I9" i="14"/>
  <c r="Q9" i="14"/>
  <c r="Y9" i="14"/>
  <c r="AG9" i="14"/>
  <c r="K9" i="12"/>
  <c r="S9" i="12"/>
  <c r="AA9" i="12"/>
  <c r="J9" i="14"/>
  <c r="R9" i="14"/>
  <c r="Z9" i="14"/>
  <c r="AH9" i="14"/>
  <c r="D9" i="12"/>
  <c r="L9" i="12"/>
  <c r="T9" i="12"/>
  <c r="AB9" i="12"/>
  <c r="K9" i="14"/>
  <c r="S9" i="14"/>
  <c r="AA9" i="14"/>
  <c r="E9" i="12"/>
  <c r="M9" i="12"/>
  <c r="U9" i="12"/>
  <c r="AC9" i="12"/>
  <c r="D9" i="14"/>
  <c r="L9" i="14"/>
  <c r="T9" i="14"/>
  <c r="AB9" i="14"/>
  <c r="M16" i="7"/>
  <c r="C38" i="7"/>
  <c r="D18" i="44" l="1"/>
  <c r="E18" i="44" s="1"/>
  <c r="C59" i="44" s="1"/>
  <c r="C65" i="44" s="1"/>
  <c r="D17" i="44"/>
  <c r="F66" i="7"/>
  <c r="F67" i="7"/>
  <c r="F68" i="7"/>
  <c r="F63" i="7"/>
  <c r="F64" i="7"/>
  <c r="F65" i="7"/>
  <c r="E12" i="44"/>
  <c r="D19" i="44"/>
  <c r="E70" i="7"/>
  <c r="E17" i="44" l="1"/>
  <c r="H20" i="44"/>
  <c r="F70" i="7"/>
  <c r="I20" i="44" l="1"/>
  <c r="H24" i="44"/>
  <c r="I24" i="44" s="1"/>
  <c r="C58" i="44"/>
  <c r="E110" i="24"/>
  <c r="E111" i="24" l="1"/>
  <c r="E113" i="24"/>
  <c r="E115" i="24"/>
  <c r="E61" i="33"/>
  <c r="E112" i="24"/>
  <c r="E114" i="24"/>
  <c r="E117" i="24"/>
  <c r="E96" i="24"/>
  <c r="C62" i="44"/>
  <c r="C63" i="44" s="1"/>
  <c r="K112" i="24" l="1"/>
  <c r="K115" i="24"/>
  <c r="K113" i="24"/>
  <c r="K111" i="24"/>
  <c r="E118" i="24"/>
  <c r="E60" i="33"/>
  <c r="E103" i="24"/>
  <c r="E97" i="24"/>
  <c r="E100" i="24"/>
  <c r="E98" i="24"/>
  <c r="E101" i="24"/>
  <c r="E99" i="24"/>
  <c r="K117" i="24"/>
  <c r="K114" i="24"/>
  <c r="K99" i="24" l="1"/>
  <c r="K101" i="24"/>
  <c r="K98" i="24"/>
  <c r="K100" i="24"/>
  <c r="E104" i="24"/>
  <c r="K118" i="24"/>
  <c r="C80" i="44" s="1"/>
  <c r="K103" i="24"/>
  <c r="E64" i="33"/>
  <c r="C81" i="44" l="1"/>
  <c r="F80" i="44"/>
  <c r="F81" i="44"/>
  <c r="F82" i="44"/>
  <c r="F83" i="44"/>
  <c r="F84" i="44"/>
  <c r="D86" i="44"/>
  <c r="G80" i="44"/>
  <c r="G81" i="44"/>
  <c r="G82" i="44"/>
  <c r="G83" i="44"/>
  <c r="G84" i="44"/>
  <c r="F85" i="44"/>
  <c r="F86" i="44"/>
  <c r="G85" i="44"/>
  <c r="G86" i="44"/>
  <c r="D81" i="44"/>
  <c r="D82" i="44"/>
  <c r="D83" i="44"/>
  <c r="D84" i="44"/>
  <c r="D85" i="44"/>
  <c r="D80" i="44"/>
  <c r="C86" i="44"/>
  <c r="C83" i="44"/>
  <c r="C82" i="44"/>
  <c r="C85" i="44"/>
  <c r="C84" i="44"/>
  <c r="C87" i="44" l="1"/>
  <c r="G87" i="44"/>
  <c r="D87" i="44"/>
  <c r="F87" i="44"/>
  <c r="C16" i="7" l="1"/>
  <c r="D16" i="7" s="1"/>
  <c r="C34" i="7"/>
  <c r="C35" i="7"/>
  <c r="C63" i="7"/>
  <c r="C64" i="7"/>
  <c r="C65" i="7"/>
  <c r="C66" i="7"/>
  <c r="C67" i="7"/>
  <c r="C68" i="7"/>
  <c r="D15" i="7" l="1"/>
  <c r="D14" i="7"/>
  <c r="E14" i="7"/>
  <c r="E15" i="7"/>
  <c r="C70" i="7"/>
  <c r="H27" i="7"/>
  <c r="I14" i="7"/>
  <c r="I25" i="7" s="1"/>
  <c r="I15" i="7"/>
  <c r="J15" i="7" s="1"/>
  <c r="I16" i="7"/>
  <c r="J16" i="7" s="1"/>
  <c r="I17" i="7"/>
  <c r="J17" i="7" s="1"/>
  <c r="I18" i="7"/>
  <c r="J18" i="7" s="1"/>
  <c r="C47" i="44"/>
  <c r="J19" i="7"/>
  <c r="I20" i="7"/>
  <c r="J20" i="7" s="1"/>
  <c r="H21" i="7"/>
  <c r="I24" i="7"/>
  <c r="J24" i="7" s="1"/>
  <c r="K24" i="7"/>
  <c r="K25" i="7"/>
  <c r="K26" i="7"/>
  <c r="C36" i="7"/>
  <c r="G65" i="7" s="1"/>
  <c r="C37" i="7"/>
  <c r="G66" i="7"/>
  <c r="D32" i="20"/>
  <c r="L32" i="20"/>
  <c r="T32" i="20"/>
  <c r="AB32" i="20"/>
  <c r="B186" i="12"/>
  <c r="B196" i="12"/>
  <c r="B206" i="12"/>
  <c r="B186" i="14"/>
  <c r="B196" i="14"/>
  <c r="M22" i="24" l="1"/>
  <c r="M25" i="24" s="1"/>
  <c r="I27" i="7"/>
  <c r="I26" i="7"/>
  <c r="J26" i="7" s="1"/>
  <c r="J14" i="7"/>
  <c r="L130" i="24"/>
  <c r="L128" i="24" s="1"/>
  <c r="K93" i="44" s="1"/>
  <c r="L129" i="24"/>
  <c r="K94" i="44" s="1"/>
  <c r="L116" i="24"/>
  <c r="J25" i="7"/>
  <c r="E32" i="20"/>
  <c r="M32" i="20"/>
  <c r="U32" i="20"/>
  <c r="AC32" i="20"/>
  <c r="F32" i="20"/>
  <c r="N32" i="20"/>
  <c r="V32" i="20"/>
  <c r="AD32" i="20"/>
  <c r="H64" i="7"/>
  <c r="G32" i="20"/>
  <c r="O32" i="20"/>
  <c r="W32" i="20"/>
  <c r="AE32" i="20"/>
  <c r="H69" i="7"/>
  <c r="H32" i="20"/>
  <c r="P32" i="20"/>
  <c r="X32" i="20"/>
  <c r="AF32" i="20"/>
  <c r="H68" i="7"/>
  <c r="I32" i="20"/>
  <c r="Q32" i="20"/>
  <c r="Y32" i="20"/>
  <c r="AG32" i="20"/>
  <c r="J32" i="20"/>
  <c r="R32" i="20"/>
  <c r="Z32" i="20"/>
  <c r="C32" i="20"/>
  <c r="K32" i="20"/>
  <c r="S32" i="20"/>
  <c r="AA32" i="20"/>
  <c r="G67" i="7"/>
  <c r="G68" i="7"/>
  <c r="G63" i="7"/>
  <c r="G64" i="7"/>
  <c r="E95" i="44" l="1"/>
  <c r="E97" i="44" s="1"/>
  <c r="K95" i="44"/>
  <c r="L127" i="24"/>
  <c r="L131" i="24"/>
  <c r="I4" i="9"/>
  <c r="I5" i="9" s="1"/>
  <c r="I6" i="9" s="1"/>
  <c r="I7" i="9" s="1"/>
  <c r="L126" i="24"/>
  <c r="L125" i="24"/>
  <c r="K90" i="44" s="1"/>
  <c r="G10" i="12"/>
  <c r="O10" i="12"/>
  <c r="W10" i="12"/>
  <c r="AE10" i="12"/>
  <c r="E10" i="14"/>
  <c r="M10" i="14"/>
  <c r="U10" i="14"/>
  <c r="AC10" i="14"/>
  <c r="AE10" i="14"/>
  <c r="S10" i="12"/>
  <c r="K10" i="14"/>
  <c r="H10" i="12"/>
  <c r="P10" i="12"/>
  <c r="X10" i="12"/>
  <c r="AF10" i="12"/>
  <c r="F10" i="14"/>
  <c r="N10" i="14"/>
  <c r="V10" i="14"/>
  <c r="AD10" i="14"/>
  <c r="AF10" i="14"/>
  <c r="I10" i="14"/>
  <c r="S10" i="14"/>
  <c r="I10" i="12"/>
  <c r="Q10" i="12"/>
  <c r="Y10" i="12"/>
  <c r="AG10" i="12"/>
  <c r="G10" i="14"/>
  <c r="O10" i="14"/>
  <c r="W10" i="14"/>
  <c r="K10" i="12"/>
  <c r="Y10" i="14"/>
  <c r="J10" i="12"/>
  <c r="R10" i="12"/>
  <c r="Z10" i="12"/>
  <c r="AH10" i="12"/>
  <c r="H10" i="14"/>
  <c r="P10" i="14"/>
  <c r="X10" i="14"/>
  <c r="Q10" i="14"/>
  <c r="AG10" i="14"/>
  <c r="AA10" i="12"/>
  <c r="AA10" i="14"/>
  <c r="D10" i="12"/>
  <c r="L10" i="12"/>
  <c r="T10" i="12"/>
  <c r="AB10" i="12"/>
  <c r="J10" i="14"/>
  <c r="R10" i="14"/>
  <c r="Z10" i="14"/>
  <c r="AH10" i="14"/>
  <c r="E10" i="12"/>
  <c r="M10" i="12"/>
  <c r="U10" i="12"/>
  <c r="AC10" i="12"/>
  <c r="F10" i="12"/>
  <c r="N10" i="12"/>
  <c r="V10" i="12"/>
  <c r="AD10" i="12"/>
  <c r="D10" i="14"/>
  <c r="L10" i="14"/>
  <c r="T10" i="14"/>
  <c r="AB10" i="14"/>
  <c r="G70" i="7"/>
  <c r="D77" i="7"/>
  <c r="E77" i="7"/>
  <c r="J69" i="7"/>
  <c r="C77" i="7"/>
  <c r="E85" i="44"/>
  <c r="E87" i="44" s="1"/>
  <c r="K85" i="44"/>
  <c r="L112" i="24"/>
  <c r="M116" i="24"/>
  <c r="L113" i="24"/>
  <c r="L117" i="24"/>
  <c r="L114" i="24"/>
  <c r="L111" i="24"/>
  <c r="H4" i="9"/>
  <c r="L115" i="24"/>
  <c r="M93" i="44"/>
  <c r="M94" i="44"/>
  <c r="H70" i="7"/>
  <c r="K92" i="44"/>
  <c r="I4" i="3"/>
  <c r="M95" i="44"/>
  <c r="L133" i="24" l="1"/>
  <c r="I10" i="9"/>
  <c r="I8" i="9"/>
  <c r="I9" i="9"/>
  <c r="K91" i="44"/>
  <c r="M91" i="44" s="1"/>
  <c r="N4" i="4"/>
  <c r="N5" i="4" s="1"/>
  <c r="N6" i="4" s="1"/>
  <c r="K96" i="44"/>
  <c r="M96" i="44" s="1"/>
  <c r="J4" i="26"/>
  <c r="K80" i="44"/>
  <c r="M111" i="24"/>
  <c r="L119" i="24"/>
  <c r="F77" i="7"/>
  <c r="G77" i="7" s="1"/>
  <c r="K83" i="44"/>
  <c r="M114" i="24"/>
  <c r="D29" i="49"/>
  <c r="K69" i="7"/>
  <c r="E4" i="9"/>
  <c r="B178" i="12"/>
  <c r="B178" i="14"/>
  <c r="M92" i="44"/>
  <c r="K86" i="44"/>
  <c r="M117" i="24"/>
  <c r="I4" i="26"/>
  <c r="K82" i="44"/>
  <c r="M113" i="24"/>
  <c r="H4" i="3"/>
  <c r="H5" i="9"/>
  <c r="H6" i="9" s="1"/>
  <c r="D45" i="45"/>
  <c r="M90" i="44"/>
  <c r="N4" i="8"/>
  <c r="K81" i="44"/>
  <c r="M112" i="24"/>
  <c r="M4" i="4"/>
  <c r="I5" i="3"/>
  <c r="I7" i="3" s="1"/>
  <c r="K84" i="44"/>
  <c r="M115" i="24"/>
  <c r="M85" i="44"/>
  <c r="I11" i="9" l="1"/>
  <c r="K97" i="44"/>
  <c r="J90" i="44" s="1"/>
  <c r="J5" i="26"/>
  <c r="J6" i="26" s="1"/>
  <c r="N8" i="4"/>
  <c r="N7" i="4"/>
  <c r="N9" i="4" s="1"/>
  <c r="I8" i="3"/>
  <c r="I10" i="3" s="1"/>
  <c r="M98" i="44"/>
  <c r="M5" i="4"/>
  <c r="M6" i="4" s="1"/>
  <c r="I77" i="7"/>
  <c r="M69" i="7"/>
  <c r="L24" i="7"/>
  <c r="K14" i="7"/>
  <c r="M84" i="44"/>
  <c r="M97" i="44"/>
  <c r="N92" i="44" s="1"/>
  <c r="J91" i="44"/>
  <c r="J96" i="44"/>
  <c r="J95" i="44"/>
  <c r="J94" i="44"/>
  <c r="M82" i="44"/>
  <c r="M86" i="44"/>
  <c r="I29" i="49"/>
  <c r="O29" i="49"/>
  <c r="I5" i="26"/>
  <c r="I6" i="26" s="1"/>
  <c r="M81" i="44"/>
  <c r="D46" i="45"/>
  <c r="AJ45" i="45"/>
  <c r="D49" i="45"/>
  <c r="E45" i="45"/>
  <c r="D47" i="45"/>
  <c r="J92" i="44"/>
  <c r="M83" i="44"/>
  <c r="E5" i="9"/>
  <c r="E6" i="9" s="1"/>
  <c r="D50" i="14"/>
  <c r="D50" i="12"/>
  <c r="H7" i="9"/>
  <c r="H8" i="9"/>
  <c r="H10" i="9"/>
  <c r="M80" i="44"/>
  <c r="K87" i="44"/>
  <c r="J84" i="44" s="1"/>
  <c r="M4" i="8"/>
  <c r="H5" i="3"/>
  <c r="H7" i="3" s="1"/>
  <c r="N5" i="8"/>
  <c r="N6" i="8" s="1"/>
  <c r="J93" i="44" l="1"/>
  <c r="J8" i="26"/>
  <c r="J7" i="26"/>
  <c r="J97" i="44"/>
  <c r="H9" i="9"/>
  <c r="H11" i="9" s="1"/>
  <c r="I11" i="3"/>
  <c r="D68" i="45"/>
  <c r="D48" i="45"/>
  <c r="D50" i="45" s="1"/>
  <c r="J82" i="44"/>
  <c r="H8" i="3"/>
  <c r="H12" i="3" s="1"/>
  <c r="M8" i="4"/>
  <c r="M7" i="4"/>
  <c r="M9" i="4" s="1"/>
  <c r="I8" i="26"/>
  <c r="I7" i="26"/>
  <c r="N8" i="8"/>
  <c r="N10" i="8"/>
  <c r="N7" i="8"/>
  <c r="N9" i="8"/>
  <c r="E7" i="9"/>
  <c r="E8" i="9"/>
  <c r="E10" i="9"/>
  <c r="AJ46" i="45"/>
  <c r="AJ49" i="45"/>
  <c r="AK45" i="45"/>
  <c r="AJ47" i="45"/>
  <c r="J81" i="44"/>
  <c r="E47" i="45"/>
  <c r="E46" i="45"/>
  <c r="E49" i="45"/>
  <c r="F45" i="45"/>
  <c r="M5" i="8"/>
  <c r="M6" i="8" s="1"/>
  <c r="R29" i="49"/>
  <c r="D30" i="51"/>
  <c r="L29" i="49"/>
  <c r="J4" i="9"/>
  <c r="I12" i="3"/>
  <c r="M87" i="44"/>
  <c r="N85" i="44" s="1"/>
  <c r="J85" i="44"/>
  <c r="M88" i="44"/>
  <c r="J83" i="44"/>
  <c r="J80" i="44"/>
  <c r="E50" i="12"/>
  <c r="AK190" i="12"/>
  <c r="AK212" i="12"/>
  <c r="D55" i="12"/>
  <c r="J86" i="44"/>
  <c r="N96" i="44"/>
  <c r="N91" i="44"/>
  <c r="N94" i="44"/>
  <c r="N95" i="44"/>
  <c r="N93" i="44"/>
  <c r="D55" i="14"/>
  <c r="E50" i="14"/>
  <c r="N90" i="44"/>
  <c r="I13" i="3" l="1"/>
  <c r="H10" i="3"/>
  <c r="H11" i="3"/>
  <c r="N11" i="8"/>
  <c r="D67" i="45"/>
  <c r="E48" i="45"/>
  <c r="N97" i="44"/>
  <c r="AJ68" i="45"/>
  <c r="J9" i="26"/>
  <c r="N83" i="44"/>
  <c r="N86" i="44"/>
  <c r="N82" i="44"/>
  <c r="I9" i="26"/>
  <c r="N80" i="44"/>
  <c r="H13" i="3"/>
  <c r="M8" i="8"/>
  <c r="M10" i="8"/>
  <c r="M7" i="8"/>
  <c r="M9" i="8"/>
  <c r="D32" i="51"/>
  <c r="D31" i="51"/>
  <c r="AJ30" i="51"/>
  <c r="D34" i="51"/>
  <c r="E30" i="51"/>
  <c r="E54" i="12"/>
  <c r="F50" i="12"/>
  <c r="E52" i="12"/>
  <c r="E51" i="12"/>
  <c r="AK46" i="45"/>
  <c r="AK49" i="45"/>
  <c r="AL45" i="45"/>
  <c r="AK47" i="45"/>
  <c r="N81" i="44"/>
  <c r="J87" i="44"/>
  <c r="F47" i="45"/>
  <c r="F46" i="45"/>
  <c r="F49" i="45"/>
  <c r="G45" i="45"/>
  <c r="C36" i="46"/>
  <c r="D53" i="45"/>
  <c r="D52" i="45"/>
  <c r="D88" i="45"/>
  <c r="D51" i="45"/>
  <c r="AJ48" i="45"/>
  <c r="E9" i="9"/>
  <c r="E11" i="9" s="1"/>
  <c r="C39" i="19"/>
  <c r="D56" i="14"/>
  <c r="D61" i="14"/>
  <c r="D218" i="14"/>
  <c r="D112" i="14"/>
  <c r="D60" i="14"/>
  <c r="J6" i="9"/>
  <c r="J5" i="9"/>
  <c r="N84" i="44"/>
  <c r="E52" i="14"/>
  <c r="E51" i="14"/>
  <c r="E54" i="14"/>
  <c r="F50" i="14"/>
  <c r="C39" i="20"/>
  <c r="D61" i="12"/>
  <c r="D60" i="12"/>
  <c r="D218" i="12"/>
  <c r="D56" i="12"/>
  <c r="D112" i="12"/>
  <c r="D33" i="51" l="1"/>
  <c r="D92" i="45"/>
  <c r="F48" i="45"/>
  <c r="E53" i="14"/>
  <c r="D70" i="45"/>
  <c r="N87" i="44"/>
  <c r="D44" i="51"/>
  <c r="E50" i="45"/>
  <c r="M11" i="8"/>
  <c r="AL47" i="45"/>
  <c r="AL46" i="45"/>
  <c r="AL49" i="45"/>
  <c r="AM45" i="45"/>
  <c r="D58" i="12"/>
  <c r="G47" i="45"/>
  <c r="G46" i="45"/>
  <c r="G49" i="45"/>
  <c r="H45" i="45"/>
  <c r="F30" i="51"/>
  <c r="E32" i="51"/>
  <c r="E31" i="51"/>
  <c r="E34" i="51"/>
  <c r="AK30" i="51"/>
  <c r="D57" i="12"/>
  <c r="J8" i="9"/>
  <c r="J10" i="9"/>
  <c r="J7" i="9"/>
  <c r="D57" i="14"/>
  <c r="AK48" i="45"/>
  <c r="AJ32" i="51"/>
  <c r="AJ31" i="51"/>
  <c r="AJ34" i="51"/>
  <c r="E53" i="12"/>
  <c r="D35" i="51"/>
  <c r="AJ67" i="45"/>
  <c r="AJ50" i="45"/>
  <c r="F52" i="14"/>
  <c r="F51" i="14"/>
  <c r="G50" i="14"/>
  <c r="F54" i="14"/>
  <c r="D58" i="14"/>
  <c r="F54" i="12"/>
  <c r="G50" i="12"/>
  <c r="F52" i="12"/>
  <c r="F51" i="12"/>
  <c r="AK50" i="45" l="1"/>
  <c r="AL48" i="45"/>
  <c r="E55" i="14"/>
  <c r="G48" i="45"/>
  <c r="F50" i="45"/>
  <c r="E55" i="12"/>
  <c r="E61" i="12" s="1"/>
  <c r="AJ44" i="51"/>
  <c r="E33" i="51"/>
  <c r="AJ70" i="45"/>
  <c r="E88" i="45"/>
  <c r="E52" i="45"/>
  <c r="D36" i="46"/>
  <c r="E51" i="45"/>
  <c r="E53" i="45"/>
  <c r="F53" i="12"/>
  <c r="F53" i="14"/>
  <c r="AJ33" i="51"/>
  <c r="D43" i="51"/>
  <c r="G52" i="14"/>
  <c r="G51" i="14"/>
  <c r="G54" i="14"/>
  <c r="H50" i="14"/>
  <c r="D39" i="20"/>
  <c r="E112" i="12"/>
  <c r="AM47" i="45"/>
  <c r="AM46" i="45"/>
  <c r="AM49" i="45"/>
  <c r="AN45" i="45"/>
  <c r="D36" i="48"/>
  <c r="AK53" i="45"/>
  <c r="AK52" i="45"/>
  <c r="AK88" i="45"/>
  <c r="AK51" i="45"/>
  <c r="D59" i="14"/>
  <c r="F34" i="51"/>
  <c r="G30" i="51"/>
  <c r="F32" i="51"/>
  <c r="F31" i="51"/>
  <c r="AL30" i="51"/>
  <c r="C36" i="48"/>
  <c r="AJ53" i="45"/>
  <c r="AJ52" i="45"/>
  <c r="AJ88" i="45"/>
  <c r="AJ51" i="45"/>
  <c r="D59" i="12"/>
  <c r="I45" i="45"/>
  <c r="H47" i="45"/>
  <c r="H46" i="45"/>
  <c r="H49" i="45"/>
  <c r="C36" i="53"/>
  <c r="D55" i="51"/>
  <c r="J9" i="9"/>
  <c r="J11" i="9" s="1"/>
  <c r="G51" i="12"/>
  <c r="G54" i="12"/>
  <c r="H50" i="12"/>
  <c r="G52" i="12"/>
  <c r="AK32" i="51"/>
  <c r="AK31" i="51"/>
  <c r="AK34" i="51"/>
  <c r="E56" i="12" l="1"/>
  <c r="E218" i="12"/>
  <c r="E60" i="12"/>
  <c r="AJ43" i="51"/>
  <c r="AJ35" i="51"/>
  <c r="F55" i="14"/>
  <c r="G50" i="45"/>
  <c r="G53" i="12"/>
  <c r="AJ92" i="45"/>
  <c r="E56" i="14"/>
  <c r="E60" i="14"/>
  <c r="E112" i="14"/>
  <c r="E218" i="14"/>
  <c r="E61" i="14"/>
  <c r="D39" i="19"/>
  <c r="F55" i="12"/>
  <c r="AL50" i="45"/>
  <c r="AK33" i="51"/>
  <c r="F88" i="45"/>
  <c r="E36" i="46"/>
  <c r="F51" i="45"/>
  <c r="F53" i="45"/>
  <c r="F52" i="45"/>
  <c r="AK92" i="45"/>
  <c r="D46" i="51"/>
  <c r="E92" i="45"/>
  <c r="E35" i="51"/>
  <c r="I50" i="14"/>
  <c r="H52" i="14"/>
  <c r="H54" i="14"/>
  <c r="H51" i="14"/>
  <c r="AL32" i="51"/>
  <c r="AL31" i="51"/>
  <c r="AL34" i="51"/>
  <c r="F33" i="51"/>
  <c r="E58" i="12"/>
  <c r="H48" i="45"/>
  <c r="E57" i="12"/>
  <c r="G53" i="14"/>
  <c r="H51" i="12"/>
  <c r="H54" i="12"/>
  <c r="I50" i="12"/>
  <c r="H52" i="12"/>
  <c r="AN47" i="45"/>
  <c r="AN46" i="45"/>
  <c r="AN49" i="45"/>
  <c r="AO45" i="45"/>
  <c r="I49" i="45"/>
  <c r="J45" i="45"/>
  <c r="I47" i="45"/>
  <c r="I46" i="45"/>
  <c r="AM30" i="51"/>
  <c r="G34" i="51"/>
  <c r="H30" i="51"/>
  <c r="G32" i="51"/>
  <c r="G31" i="51"/>
  <c r="AM48" i="45"/>
  <c r="AK35" i="51" l="1"/>
  <c r="E57" i="14"/>
  <c r="F35" i="51"/>
  <c r="AL88" i="45"/>
  <c r="E36" i="48"/>
  <c r="AL51" i="45"/>
  <c r="AL53" i="45"/>
  <c r="AL52" i="45"/>
  <c r="G55" i="12"/>
  <c r="D36" i="53"/>
  <c r="E55" i="51"/>
  <c r="F92" i="45"/>
  <c r="E58" i="14"/>
  <c r="G88" i="45"/>
  <c r="G51" i="45"/>
  <c r="G53" i="45"/>
  <c r="F36" i="46"/>
  <c r="G52" i="45"/>
  <c r="E39" i="19"/>
  <c r="F56" i="14"/>
  <c r="F61" i="14"/>
  <c r="F218" i="14"/>
  <c r="F112" i="14"/>
  <c r="F60" i="14"/>
  <c r="G55" i="14"/>
  <c r="AL33" i="51"/>
  <c r="C36" i="54"/>
  <c r="AJ55" i="51"/>
  <c r="AM50" i="45"/>
  <c r="AM52" i="45" s="1"/>
  <c r="I48" i="45"/>
  <c r="AN48" i="45"/>
  <c r="E39" i="20"/>
  <c r="F112" i="12"/>
  <c r="F61" i="12"/>
  <c r="F60" i="12"/>
  <c r="F218" i="12"/>
  <c r="F56" i="12"/>
  <c r="H50" i="45"/>
  <c r="H53" i="45" s="1"/>
  <c r="AJ46" i="51"/>
  <c r="H31" i="51"/>
  <c r="AN30" i="51"/>
  <c r="H34" i="51"/>
  <c r="I30" i="51"/>
  <c r="H32" i="51"/>
  <c r="H53" i="14"/>
  <c r="F36" i="48"/>
  <c r="AM51" i="45"/>
  <c r="AM53" i="45"/>
  <c r="J49" i="45"/>
  <c r="K45" i="45"/>
  <c r="J47" i="45"/>
  <c r="J46" i="45"/>
  <c r="F39" i="19"/>
  <c r="G60" i="14"/>
  <c r="G112" i="14"/>
  <c r="G56" i="14"/>
  <c r="G218" i="14"/>
  <c r="G61" i="14"/>
  <c r="E36" i="53"/>
  <c r="F55" i="51"/>
  <c r="AM34" i="51"/>
  <c r="AM32" i="51"/>
  <c r="AM31" i="51"/>
  <c r="I52" i="12"/>
  <c r="I51" i="12"/>
  <c r="I54" i="12"/>
  <c r="J50" i="12"/>
  <c r="AP45" i="45"/>
  <c r="AO47" i="45"/>
  <c r="AO46" i="45"/>
  <c r="AO49" i="45"/>
  <c r="I54" i="14"/>
  <c r="J50" i="14"/>
  <c r="I52" i="14"/>
  <c r="I51" i="14"/>
  <c r="G33" i="51"/>
  <c r="H53" i="12"/>
  <c r="E59" i="12"/>
  <c r="H51" i="45" l="1"/>
  <c r="H88" i="45"/>
  <c r="H52" i="45"/>
  <c r="G36" i="46"/>
  <c r="AM88" i="45"/>
  <c r="I53" i="14"/>
  <c r="AN50" i="45"/>
  <c r="G92" i="45"/>
  <c r="J48" i="45"/>
  <c r="AM92" i="45"/>
  <c r="H33" i="51"/>
  <c r="F57" i="14"/>
  <c r="F58" i="12"/>
  <c r="I50" i="45"/>
  <c r="H55" i="14"/>
  <c r="G39" i="19" s="1"/>
  <c r="F57" i="12"/>
  <c r="AL35" i="51"/>
  <c r="G56" i="12"/>
  <c r="G112" i="12"/>
  <c r="G61" i="12"/>
  <c r="G60" i="12"/>
  <c r="G218" i="12"/>
  <c r="F39" i="20"/>
  <c r="E59" i="14"/>
  <c r="G35" i="51"/>
  <c r="F36" i="53" s="1"/>
  <c r="F58" i="14"/>
  <c r="AL92" i="45"/>
  <c r="AK55" i="51"/>
  <c r="D36" i="54"/>
  <c r="H55" i="12"/>
  <c r="G39" i="20" s="1"/>
  <c r="I53" i="12"/>
  <c r="H92" i="45"/>
  <c r="AP49" i="45"/>
  <c r="AQ45" i="45"/>
  <c r="AP47" i="45"/>
  <c r="AP46" i="45"/>
  <c r="H56" i="12"/>
  <c r="H112" i="12"/>
  <c r="H61" i="12"/>
  <c r="H218" i="12"/>
  <c r="H60" i="12"/>
  <c r="G57" i="14"/>
  <c r="AN34" i="51"/>
  <c r="AN32" i="51"/>
  <c r="AN31" i="51"/>
  <c r="J54" i="14"/>
  <c r="K50" i="14"/>
  <c r="J52" i="14"/>
  <c r="J51" i="14"/>
  <c r="H61" i="14"/>
  <c r="H60" i="14"/>
  <c r="H112" i="14"/>
  <c r="H56" i="14"/>
  <c r="H218" i="14"/>
  <c r="J52" i="12"/>
  <c r="J51" i="12"/>
  <c r="K50" i="12"/>
  <c r="J54" i="12"/>
  <c r="G55" i="51"/>
  <c r="AO48" i="45"/>
  <c r="AM33" i="51"/>
  <c r="K46" i="45"/>
  <c r="K49" i="45"/>
  <c r="L45" i="45"/>
  <c r="K47" i="45"/>
  <c r="I31" i="51"/>
  <c r="AO30" i="51"/>
  <c r="I34" i="51"/>
  <c r="J30" i="51"/>
  <c r="I32" i="51"/>
  <c r="G58" i="14"/>
  <c r="AP48" i="45" l="1"/>
  <c r="E36" i="54"/>
  <c r="AL55" i="51"/>
  <c r="J50" i="45"/>
  <c r="F59" i="12"/>
  <c r="F59" i="14"/>
  <c r="G58" i="12"/>
  <c r="I33" i="51"/>
  <c r="G57" i="12"/>
  <c r="K48" i="45"/>
  <c r="K50" i="45" s="1"/>
  <c r="I55" i="12"/>
  <c r="H35" i="51"/>
  <c r="AN53" i="45"/>
  <c r="G36" i="48"/>
  <c r="AN52" i="45"/>
  <c r="AN88" i="45"/>
  <c r="AN51" i="45"/>
  <c r="AM35" i="51"/>
  <c r="AO50" i="45"/>
  <c r="AO52" i="45" s="1"/>
  <c r="J53" i="14"/>
  <c r="H36" i="46"/>
  <c r="I53" i="45"/>
  <c r="I52" i="45"/>
  <c r="I88" i="45"/>
  <c r="I51" i="45"/>
  <c r="I55" i="14"/>
  <c r="F36" i="54"/>
  <c r="AM55" i="51"/>
  <c r="H57" i="12"/>
  <c r="AO31" i="51"/>
  <c r="AO34" i="51"/>
  <c r="AO32" i="51"/>
  <c r="H58" i="14"/>
  <c r="AQ49" i="45"/>
  <c r="AR45" i="45"/>
  <c r="AQ47" i="45"/>
  <c r="AQ46" i="45"/>
  <c r="J32" i="51"/>
  <c r="J31" i="51"/>
  <c r="AP30" i="51"/>
  <c r="J34" i="51"/>
  <c r="K30" i="51"/>
  <c r="H36" i="48"/>
  <c r="AO88" i="45"/>
  <c r="AO51" i="45"/>
  <c r="AO53" i="45"/>
  <c r="H57" i="14"/>
  <c r="K51" i="14"/>
  <c r="K54" i="14"/>
  <c r="L50" i="14"/>
  <c r="K52" i="14"/>
  <c r="K52" i="12"/>
  <c r="K51" i="12"/>
  <c r="K54" i="12"/>
  <c r="L50" i="12"/>
  <c r="AN33" i="51"/>
  <c r="H58" i="12"/>
  <c r="G59" i="14"/>
  <c r="L46" i="45"/>
  <c r="L49" i="45"/>
  <c r="M45" i="45"/>
  <c r="L47" i="45"/>
  <c r="J53" i="12"/>
  <c r="J36" i="46" l="1"/>
  <c r="K53" i="45"/>
  <c r="K52" i="45"/>
  <c r="K88" i="45"/>
  <c r="K51" i="45"/>
  <c r="K92" i="45" s="1"/>
  <c r="AQ48" i="45"/>
  <c r="J53" i="45"/>
  <c r="J88" i="45"/>
  <c r="J52" i="45"/>
  <c r="J51" i="45"/>
  <c r="I36" i="46"/>
  <c r="AO33" i="51"/>
  <c r="J55" i="14"/>
  <c r="I112" i="12"/>
  <c r="I60" i="12"/>
  <c r="I61" i="12"/>
  <c r="I218" i="12"/>
  <c r="H39" i="20"/>
  <c r="I56" i="12"/>
  <c r="I35" i="51"/>
  <c r="AO92" i="45"/>
  <c r="L48" i="45"/>
  <c r="I218" i="14"/>
  <c r="I112" i="14"/>
  <c r="H39" i="19"/>
  <c r="I60" i="14"/>
  <c r="I61" i="14"/>
  <c r="I56" i="14"/>
  <c r="G36" i="53"/>
  <c r="H55" i="51"/>
  <c r="G59" i="12"/>
  <c r="AN35" i="51"/>
  <c r="K53" i="12"/>
  <c r="J55" i="12"/>
  <c r="J112" i="12" s="1"/>
  <c r="J33" i="51"/>
  <c r="I92" i="45"/>
  <c r="AN92" i="45"/>
  <c r="AP50" i="45"/>
  <c r="L51" i="14"/>
  <c r="L54" i="14"/>
  <c r="M50" i="14"/>
  <c r="L52" i="14"/>
  <c r="H59" i="14"/>
  <c r="I39" i="20"/>
  <c r="J218" i="12"/>
  <c r="J61" i="12"/>
  <c r="J60" i="12"/>
  <c r="AR46" i="45"/>
  <c r="AR49" i="45"/>
  <c r="AS45" i="45"/>
  <c r="AR47" i="45"/>
  <c r="K53" i="14"/>
  <c r="M50" i="12"/>
  <c r="L52" i="12"/>
  <c r="L54" i="12"/>
  <c r="L51" i="12"/>
  <c r="AP31" i="51"/>
  <c r="AP34" i="51"/>
  <c r="AP32" i="51"/>
  <c r="M47" i="45"/>
  <c r="M46" i="45"/>
  <c r="M49" i="45"/>
  <c r="N45" i="45"/>
  <c r="G36" i="54"/>
  <c r="AN55" i="51"/>
  <c r="K32" i="51"/>
  <c r="K31" i="51"/>
  <c r="AQ30" i="51"/>
  <c r="K34" i="51"/>
  <c r="L30" i="51"/>
  <c r="H59" i="12"/>
  <c r="L53" i="12" l="1"/>
  <c r="AR48" i="45"/>
  <c r="AP51" i="45"/>
  <c r="I36" i="48"/>
  <c r="AP53" i="45"/>
  <c r="AP52" i="45"/>
  <c r="AP88" i="45"/>
  <c r="H36" i="53"/>
  <c r="I55" i="51"/>
  <c r="L53" i="14"/>
  <c r="J218" i="14"/>
  <c r="I39" i="19"/>
  <c r="J61" i="14"/>
  <c r="J60" i="14"/>
  <c r="J112" i="14"/>
  <c r="J56" i="14"/>
  <c r="AP33" i="51"/>
  <c r="K55" i="12"/>
  <c r="J35" i="51"/>
  <c r="M48" i="45"/>
  <c r="K55" i="14"/>
  <c r="K112" i="14" s="1"/>
  <c r="J56" i="12"/>
  <c r="I57" i="14"/>
  <c r="AO35" i="51"/>
  <c r="AQ50" i="45"/>
  <c r="I58" i="14"/>
  <c r="L50" i="45"/>
  <c r="I57" i="12"/>
  <c r="I58" i="12"/>
  <c r="J92" i="45"/>
  <c r="J57" i="12"/>
  <c r="K33" i="51"/>
  <c r="L32" i="51"/>
  <c r="L31" i="51"/>
  <c r="AR30" i="51"/>
  <c r="L34" i="51"/>
  <c r="M30" i="51"/>
  <c r="AS46" i="45"/>
  <c r="AS49" i="45"/>
  <c r="AT45" i="45"/>
  <c r="AS47" i="45"/>
  <c r="M52" i="14"/>
  <c r="M51" i="14"/>
  <c r="M54" i="14"/>
  <c r="N50" i="14"/>
  <c r="M54" i="12"/>
  <c r="N50" i="12"/>
  <c r="M52" i="12"/>
  <c r="M51" i="12"/>
  <c r="AQ32" i="51"/>
  <c r="AQ31" i="51"/>
  <c r="AQ34" i="51"/>
  <c r="N47" i="45"/>
  <c r="N46" i="45"/>
  <c r="N49" i="45"/>
  <c r="O45" i="45"/>
  <c r="J58" i="12"/>
  <c r="N48" i="45" l="1"/>
  <c r="J39" i="19"/>
  <c r="K36" i="46"/>
  <c r="L53" i="45"/>
  <c r="L52" i="45"/>
  <c r="L88" i="45"/>
  <c r="L51" i="45"/>
  <c r="I59" i="14"/>
  <c r="AP92" i="45"/>
  <c r="K218" i="12"/>
  <c r="K56" i="12"/>
  <c r="K60" i="12"/>
  <c r="K112" i="12"/>
  <c r="K61" i="12"/>
  <c r="J39" i="20"/>
  <c r="K218" i="14"/>
  <c r="AP35" i="51"/>
  <c r="K35" i="51"/>
  <c r="L55" i="14"/>
  <c r="K60" i="14"/>
  <c r="AQ52" i="45"/>
  <c r="AQ88" i="45"/>
  <c r="AQ51" i="45"/>
  <c r="AQ53" i="45"/>
  <c r="J36" i="48"/>
  <c r="AR50" i="45"/>
  <c r="AQ33" i="51"/>
  <c r="K61" i="14"/>
  <c r="K57" i="14" s="1"/>
  <c r="I59" i="12"/>
  <c r="H36" i="54"/>
  <c r="AO55" i="51"/>
  <c r="M50" i="45"/>
  <c r="J58" i="14"/>
  <c r="K56" i="14"/>
  <c r="I36" i="53"/>
  <c r="J55" i="51"/>
  <c r="J57" i="14"/>
  <c r="L55" i="12"/>
  <c r="N52" i="14"/>
  <c r="N51" i="14"/>
  <c r="O50" i="14"/>
  <c r="N54" i="14"/>
  <c r="AR32" i="51"/>
  <c r="AR31" i="51"/>
  <c r="AR34" i="51"/>
  <c r="O47" i="45"/>
  <c r="O46" i="45"/>
  <c r="O49" i="45"/>
  <c r="P45" i="45"/>
  <c r="M53" i="12"/>
  <c r="AT47" i="45"/>
  <c r="AT46" i="45"/>
  <c r="AT49" i="45"/>
  <c r="AU45" i="45"/>
  <c r="L33" i="51"/>
  <c r="J36" i="53"/>
  <c r="K55" i="51"/>
  <c r="M53" i="14"/>
  <c r="J59" i="12"/>
  <c r="N54" i="12"/>
  <c r="O50" i="12"/>
  <c r="N52" i="12"/>
  <c r="N51" i="12"/>
  <c r="AS48" i="45"/>
  <c r="N30" i="51"/>
  <c r="M32" i="51"/>
  <c r="M31" i="51"/>
  <c r="M34" i="51"/>
  <c r="AS30" i="51"/>
  <c r="K58" i="14"/>
  <c r="AR52" i="45" l="1"/>
  <c r="K36" i="48"/>
  <c r="AR53" i="45"/>
  <c r="AR88" i="45"/>
  <c r="AR51" i="45"/>
  <c r="L61" i="14"/>
  <c r="K39" i="19"/>
  <c r="L60" i="14"/>
  <c r="L112" i="14"/>
  <c r="L218" i="14"/>
  <c r="L56" i="14"/>
  <c r="N53" i="14"/>
  <c r="M55" i="12"/>
  <c r="L39" i="20" s="1"/>
  <c r="K57" i="12"/>
  <c r="AR33" i="51"/>
  <c r="AQ92" i="45"/>
  <c r="O48" i="45"/>
  <c r="M33" i="51"/>
  <c r="M55" i="14"/>
  <c r="L60" i="12"/>
  <c r="L218" i="12"/>
  <c r="K39" i="20"/>
  <c r="L56" i="12"/>
  <c r="L112" i="12"/>
  <c r="L61" i="12"/>
  <c r="K58" i="12"/>
  <c r="AS50" i="45"/>
  <c r="AS52" i="45" s="1"/>
  <c r="L35" i="51"/>
  <c r="J59" i="14"/>
  <c r="M88" i="45"/>
  <c r="L36" i="46"/>
  <c r="M51" i="45"/>
  <c r="M53" i="45"/>
  <c r="M52" i="45"/>
  <c r="AQ35" i="51"/>
  <c r="I36" i="54"/>
  <c r="AP55" i="51"/>
  <c r="L92" i="45"/>
  <c r="N50" i="45"/>
  <c r="O52" i="14"/>
  <c r="O51" i="14"/>
  <c r="O54" i="14"/>
  <c r="P50" i="14"/>
  <c r="N53" i="12"/>
  <c r="AT48" i="45"/>
  <c r="N34" i="51"/>
  <c r="O30" i="51"/>
  <c r="N32" i="51"/>
  <c r="N31" i="51"/>
  <c r="AT30" i="51"/>
  <c r="O51" i="12"/>
  <c r="O54" i="12"/>
  <c r="P50" i="12"/>
  <c r="O52" i="12"/>
  <c r="K36" i="53"/>
  <c r="L55" i="51"/>
  <c r="M218" i="12"/>
  <c r="M56" i="12"/>
  <c r="AU47" i="45"/>
  <c r="AU46" i="45"/>
  <c r="AU49" i="45"/>
  <c r="AV45" i="45"/>
  <c r="L36" i="48"/>
  <c r="AS53" i="45"/>
  <c r="L39" i="19"/>
  <c r="M56" i="14"/>
  <c r="M60" i="14"/>
  <c r="M112" i="14"/>
  <c r="M61" i="14"/>
  <c r="M218" i="14"/>
  <c r="K59" i="14"/>
  <c r="Q45" i="45"/>
  <c r="P47" i="45"/>
  <c r="P46" i="45"/>
  <c r="P49" i="45"/>
  <c r="AS32" i="51"/>
  <c r="AS31" i="51"/>
  <c r="AS34" i="51"/>
  <c r="AS51" i="45" l="1"/>
  <c r="AS88" i="45"/>
  <c r="M60" i="12"/>
  <c r="M61" i="12"/>
  <c r="M112" i="12"/>
  <c r="O53" i="12"/>
  <c r="L57" i="12"/>
  <c r="AR35" i="51"/>
  <c r="AU48" i="45"/>
  <c r="N52" i="45"/>
  <c r="N88" i="45"/>
  <c r="M36" i="46"/>
  <c r="N51" i="45"/>
  <c r="N53" i="45"/>
  <c r="J36" i="54"/>
  <c r="AQ55" i="51"/>
  <c r="K59" i="12"/>
  <c r="AR92" i="45"/>
  <c r="AS92" i="45"/>
  <c r="M35" i="51"/>
  <c r="L58" i="14"/>
  <c r="P48" i="45"/>
  <c r="AS33" i="51"/>
  <c r="AT50" i="45"/>
  <c r="AT52" i="45" s="1"/>
  <c r="M92" i="45"/>
  <c r="O50" i="45"/>
  <c r="L57" i="14"/>
  <c r="N55" i="14"/>
  <c r="N55" i="12"/>
  <c r="N56" i="12" s="1"/>
  <c r="L58" i="12"/>
  <c r="AV47" i="45"/>
  <c r="AV46" i="45"/>
  <c r="AV49" i="45"/>
  <c r="AW45" i="45"/>
  <c r="AT32" i="51"/>
  <c r="AT31" i="51"/>
  <c r="AT34" i="51"/>
  <c r="M57" i="14"/>
  <c r="M58" i="14"/>
  <c r="N33" i="51"/>
  <c r="N218" i="12"/>
  <c r="Q49" i="45"/>
  <c r="R45" i="45"/>
  <c r="Q47" i="45"/>
  <c r="Q46" i="45"/>
  <c r="M58" i="12"/>
  <c r="P51" i="12"/>
  <c r="P54" i="12"/>
  <c r="Q50" i="12"/>
  <c r="P52" i="12"/>
  <c r="Q50" i="14"/>
  <c r="P52" i="14"/>
  <c r="P54" i="14"/>
  <c r="P51" i="14"/>
  <c r="M57" i="12"/>
  <c r="AU30" i="51"/>
  <c r="O34" i="51"/>
  <c r="P30" i="51"/>
  <c r="O32" i="51"/>
  <c r="O31" i="51"/>
  <c r="O53" i="14"/>
  <c r="AT51" i="45" l="1"/>
  <c r="AT53" i="45"/>
  <c r="M36" i="48"/>
  <c r="AT88" i="45"/>
  <c r="N60" i="12"/>
  <c r="N61" i="12"/>
  <c r="N112" i="12"/>
  <c r="M39" i="20"/>
  <c r="M39" i="19"/>
  <c r="N56" i="14"/>
  <c r="N61" i="14"/>
  <c r="N60" i="14"/>
  <c r="N218" i="14"/>
  <c r="N112" i="14"/>
  <c r="L59" i="12"/>
  <c r="Q48" i="45"/>
  <c r="L59" i="14"/>
  <c r="P50" i="45"/>
  <c r="L36" i="53"/>
  <c r="M55" i="51"/>
  <c r="O55" i="14"/>
  <c r="AT92" i="45"/>
  <c r="N35" i="51"/>
  <c r="AV48" i="45"/>
  <c r="AV50" i="45" s="1"/>
  <c r="AU50" i="45"/>
  <c r="O51" i="45"/>
  <c r="O53" i="45"/>
  <c r="O88" i="45"/>
  <c r="N36" i="46"/>
  <c r="O52" i="45"/>
  <c r="AS35" i="51"/>
  <c r="P53" i="14"/>
  <c r="N92" i="45"/>
  <c r="K36" i="54"/>
  <c r="AR55" i="51"/>
  <c r="O55" i="12"/>
  <c r="M59" i="14"/>
  <c r="P31" i="51"/>
  <c r="AV30" i="51"/>
  <c r="P34" i="51"/>
  <c r="Q30" i="51"/>
  <c r="P32" i="51"/>
  <c r="M59" i="12"/>
  <c r="Q52" i="12"/>
  <c r="Q51" i="12"/>
  <c r="Q54" i="12"/>
  <c r="R50" i="12"/>
  <c r="R49" i="45"/>
  <c r="S45" i="45"/>
  <c r="R47" i="45"/>
  <c r="R46" i="45"/>
  <c r="AT33" i="51"/>
  <c r="AU34" i="51"/>
  <c r="AU32" i="51"/>
  <c r="AU31" i="51"/>
  <c r="N39" i="19"/>
  <c r="O60" i="14"/>
  <c r="O112" i="14"/>
  <c r="O56" i="14"/>
  <c r="O61" i="14"/>
  <c r="O218" i="14"/>
  <c r="P53" i="12"/>
  <c r="N58" i="12"/>
  <c r="O33" i="51"/>
  <c r="Q54" i="14"/>
  <c r="R50" i="14"/>
  <c r="Q52" i="14"/>
  <c r="Q51" i="14"/>
  <c r="N57" i="12"/>
  <c r="AX45" i="45"/>
  <c r="AW47" i="45"/>
  <c r="AW46" i="45"/>
  <c r="AW49" i="45"/>
  <c r="O36" i="48" l="1"/>
  <c r="AV52" i="45"/>
  <c r="AV88" i="45"/>
  <c r="AV51" i="45"/>
  <c r="AV92" i="45" s="1"/>
  <c r="AV53" i="45"/>
  <c r="P55" i="14"/>
  <c r="O60" i="12"/>
  <c r="O218" i="12"/>
  <c r="N39" i="20"/>
  <c r="O56" i="12"/>
  <c r="O61" i="12"/>
  <c r="O112" i="12"/>
  <c r="AS55" i="51"/>
  <c r="L36" i="54"/>
  <c r="O92" i="45"/>
  <c r="AW48" i="45"/>
  <c r="P33" i="51"/>
  <c r="P52" i="45"/>
  <c r="P88" i="45"/>
  <c r="P51" i="45"/>
  <c r="P53" i="45"/>
  <c r="O36" i="46"/>
  <c r="N58" i="14"/>
  <c r="P55" i="12"/>
  <c r="O39" i="20" s="1"/>
  <c r="AT35" i="51"/>
  <c r="N55" i="51"/>
  <c r="N36" i="48"/>
  <c r="AU51" i="45"/>
  <c r="AU53" i="45"/>
  <c r="AU52" i="45"/>
  <c r="AU88" i="45"/>
  <c r="N57" i="14"/>
  <c r="O35" i="51"/>
  <c r="M36" i="53"/>
  <c r="Q50" i="45"/>
  <c r="R52" i="12"/>
  <c r="R51" i="12"/>
  <c r="S50" i="12"/>
  <c r="R54" i="12"/>
  <c r="R54" i="14"/>
  <c r="S50" i="14"/>
  <c r="R52" i="14"/>
  <c r="R51" i="14"/>
  <c r="AV34" i="51"/>
  <c r="AV32" i="51"/>
  <c r="AV31" i="51"/>
  <c r="M36" i="54"/>
  <c r="AT55" i="51"/>
  <c r="R48" i="45"/>
  <c r="O57" i="14"/>
  <c r="Q53" i="12"/>
  <c r="N36" i="53"/>
  <c r="O55" i="51"/>
  <c r="S46" i="45"/>
  <c r="S49" i="45"/>
  <c r="T45" i="45"/>
  <c r="S47" i="45"/>
  <c r="N59" i="12"/>
  <c r="AX49" i="45"/>
  <c r="AY45" i="45"/>
  <c r="AX47" i="45"/>
  <c r="AX46" i="45"/>
  <c r="Q53" i="14"/>
  <c r="O58" i="14"/>
  <c r="AU33" i="51"/>
  <c r="Q31" i="51"/>
  <c r="AW30" i="51"/>
  <c r="Q34" i="51"/>
  <c r="R30" i="51"/>
  <c r="Q32" i="51"/>
  <c r="P218" i="12" l="1"/>
  <c r="P112" i="12"/>
  <c r="P60" i="12"/>
  <c r="P61" i="12"/>
  <c r="P56" i="12"/>
  <c r="Q88" i="45"/>
  <c r="Q52" i="45"/>
  <c r="Q51" i="45"/>
  <c r="P36" i="46"/>
  <c r="Q53" i="45"/>
  <c r="AV33" i="51"/>
  <c r="Q55" i="12"/>
  <c r="P92" i="45"/>
  <c r="O57" i="12"/>
  <c r="Q33" i="51"/>
  <c r="R50" i="45"/>
  <c r="Q36" i="46" s="1"/>
  <c r="AU92" i="45"/>
  <c r="O58" i="12"/>
  <c r="AU35" i="51"/>
  <c r="Q55" i="14"/>
  <c r="Q60" i="14" s="1"/>
  <c r="R53" i="14"/>
  <c r="N59" i="14"/>
  <c r="AX48" i="45"/>
  <c r="P112" i="14"/>
  <c r="P56" i="14"/>
  <c r="P218" i="14"/>
  <c r="P60" i="14"/>
  <c r="O39" i="19"/>
  <c r="P61" i="14"/>
  <c r="AW50" i="45"/>
  <c r="P35" i="51"/>
  <c r="AW31" i="51"/>
  <c r="AW34" i="51"/>
  <c r="AW32" i="51"/>
  <c r="N36" i="54"/>
  <c r="AU55" i="51"/>
  <c r="P57" i="12"/>
  <c r="T46" i="45"/>
  <c r="T49" i="45"/>
  <c r="U45" i="45"/>
  <c r="T47" i="45"/>
  <c r="O59" i="14"/>
  <c r="AY49" i="45"/>
  <c r="AZ45" i="45"/>
  <c r="AY47" i="45"/>
  <c r="AY46" i="45"/>
  <c r="P39" i="19"/>
  <c r="Q61" i="14"/>
  <c r="Q56" i="14"/>
  <c r="Q112" i="14"/>
  <c r="Q218" i="14"/>
  <c r="P39" i="20"/>
  <c r="Q56" i="12"/>
  <c r="Q112" i="12"/>
  <c r="Q60" i="12"/>
  <c r="Q61" i="12"/>
  <c r="Q218" i="12"/>
  <c r="S52" i="12"/>
  <c r="S51" i="12"/>
  <c r="S54" i="12"/>
  <c r="T50" i="12"/>
  <c r="S48" i="45"/>
  <c r="R32" i="51"/>
  <c r="R31" i="51"/>
  <c r="AX30" i="51"/>
  <c r="R34" i="51"/>
  <c r="S30" i="51"/>
  <c r="P58" i="12"/>
  <c r="S51" i="14"/>
  <c r="S54" i="14"/>
  <c r="T50" i="14"/>
  <c r="S52" i="14"/>
  <c r="R53" i="12"/>
  <c r="R52" i="45" l="1"/>
  <c r="R51" i="45"/>
  <c r="R92" i="45" s="1"/>
  <c r="R88" i="45"/>
  <c r="R53" i="45"/>
  <c r="AW33" i="51"/>
  <c r="AW88" i="45"/>
  <c r="AW51" i="45"/>
  <c r="AW53" i="45"/>
  <c r="AW52" i="45"/>
  <c r="P36" i="48"/>
  <c r="S53" i="14"/>
  <c r="P57" i="14"/>
  <c r="AX50" i="45"/>
  <c r="R55" i="14"/>
  <c r="AV35" i="51"/>
  <c r="P58" i="14"/>
  <c r="S53" i="12"/>
  <c r="Q92" i="45"/>
  <c r="S50" i="45"/>
  <c r="S53" i="45" s="1"/>
  <c r="R33" i="51"/>
  <c r="O59" i="12"/>
  <c r="R55" i="12"/>
  <c r="Q39" i="20" s="1"/>
  <c r="AY48" i="45"/>
  <c r="O36" i="53"/>
  <c r="P55" i="51"/>
  <c r="Q35" i="51"/>
  <c r="AZ46" i="45"/>
  <c r="AZ49" i="45"/>
  <c r="BA45" i="45"/>
  <c r="AZ47" i="45"/>
  <c r="Q57" i="12"/>
  <c r="Q57" i="14"/>
  <c r="Q58" i="14"/>
  <c r="S88" i="45"/>
  <c r="U50" i="12"/>
  <c r="T52" i="12"/>
  <c r="T54" i="12"/>
  <c r="T51" i="12"/>
  <c r="Q58" i="12"/>
  <c r="R61" i="12"/>
  <c r="R60" i="12"/>
  <c r="R112" i="12"/>
  <c r="U47" i="45"/>
  <c r="U46" i="45"/>
  <c r="U49" i="45"/>
  <c r="V45" i="45"/>
  <c r="S32" i="51"/>
  <c r="S31" i="51"/>
  <c r="AY30" i="51"/>
  <c r="S34" i="51"/>
  <c r="T30" i="51"/>
  <c r="P59" i="12"/>
  <c r="T51" i="14"/>
  <c r="T54" i="14"/>
  <c r="U50" i="14"/>
  <c r="T52" i="14"/>
  <c r="AX31" i="51"/>
  <c r="AX34" i="51"/>
  <c r="AX32" i="51"/>
  <c r="T48" i="45"/>
  <c r="S52" i="45" l="1"/>
  <c r="R36" i="46"/>
  <c r="R56" i="12"/>
  <c r="T50" i="45"/>
  <c r="T88" i="45" s="1"/>
  <c r="U48" i="45"/>
  <c r="AZ48" i="45"/>
  <c r="R56" i="14"/>
  <c r="R218" i="14"/>
  <c r="R61" i="14"/>
  <c r="Q39" i="19"/>
  <c r="R60" i="14"/>
  <c r="R112" i="14"/>
  <c r="AY50" i="45"/>
  <c r="R35" i="51"/>
  <c r="S55" i="12"/>
  <c r="T53" i="14"/>
  <c r="P36" i="53"/>
  <c r="Q55" i="51"/>
  <c r="AX88" i="45"/>
  <c r="Q36" i="48"/>
  <c r="AX53" i="45"/>
  <c r="AX52" i="45"/>
  <c r="AX51" i="45"/>
  <c r="AW92" i="45"/>
  <c r="P59" i="14"/>
  <c r="AX33" i="51"/>
  <c r="R218" i="12"/>
  <c r="S51" i="45"/>
  <c r="AV55" i="51"/>
  <c r="O36" i="54"/>
  <c r="S55" i="14"/>
  <c r="AW35" i="51"/>
  <c r="R57" i="12"/>
  <c r="T32" i="51"/>
  <c r="T31" i="51"/>
  <c r="AZ30" i="51"/>
  <c r="T34" i="51"/>
  <c r="U30" i="51"/>
  <c r="V47" i="45"/>
  <c r="V46" i="45"/>
  <c r="V49" i="45"/>
  <c r="W45" i="45"/>
  <c r="Q59" i="14"/>
  <c r="U54" i="12"/>
  <c r="V50" i="12"/>
  <c r="U52" i="12"/>
  <c r="U51" i="12"/>
  <c r="AY32" i="51"/>
  <c r="AY31" i="51"/>
  <c r="AY34" i="51"/>
  <c r="U52" i="14"/>
  <c r="U51" i="14"/>
  <c r="U54" i="14"/>
  <c r="V50" i="14"/>
  <c r="T53" i="12"/>
  <c r="S36" i="46"/>
  <c r="S33" i="51"/>
  <c r="Q59" i="12"/>
  <c r="R58" i="12"/>
  <c r="BA46" i="45"/>
  <c r="BA49" i="45"/>
  <c r="BB45" i="45"/>
  <c r="BA47" i="45"/>
  <c r="T53" i="45" l="1"/>
  <c r="T52" i="45"/>
  <c r="T51" i="45"/>
  <c r="BA48" i="45"/>
  <c r="T55" i="12"/>
  <c r="V48" i="45"/>
  <c r="P36" i="54"/>
  <c r="AW55" i="51"/>
  <c r="AX92" i="45"/>
  <c r="AY88" i="45"/>
  <c r="AY51" i="45"/>
  <c r="AY52" i="45"/>
  <c r="R36" i="48"/>
  <c r="AY53" i="45"/>
  <c r="T33" i="51"/>
  <c r="T35" i="51" s="1"/>
  <c r="T55" i="51" s="1"/>
  <c r="R39" i="19"/>
  <c r="S56" i="14"/>
  <c r="S61" i="14"/>
  <c r="S218" i="14"/>
  <c r="S60" i="14"/>
  <c r="S112" i="14"/>
  <c r="AX35" i="51"/>
  <c r="AZ50" i="45"/>
  <c r="S35" i="51"/>
  <c r="R36" i="53" s="1"/>
  <c r="T55" i="14"/>
  <c r="R58" i="14"/>
  <c r="S92" i="45"/>
  <c r="T92" i="45"/>
  <c r="R39" i="20"/>
  <c r="S60" i="12"/>
  <c r="S218" i="12"/>
  <c r="S61" i="12"/>
  <c r="S56" i="12"/>
  <c r="S112" i="12"/>
  <c r="U50" i="45"/>
  <c r="R57" i="14"/>
  <c r="Q36" i="53"/>
  <c r="R55" i="51"/>
  <c r="AY33" i="51"/>
  <c r="V54" i="12"/>
  <c r="W50" i="12"/>
  <c r="V51" i="12"/>
  <c r="V52" i="12"/>
  <c r="V30" i="51"/>
  <c r="U32" i="51"/>
  <c r="U31" i="51"/>
  <c r="BA30" i="51"/>
  <c r="U34" i="51"/>
  <c r="S39" i="20"/>
  <c r="T61" i="12"/>
  <c r="T60" i="12"/>
  <c r="T218" i="12"/>
  <c r="T112" i="12"/>
  <c r="T56" i="12"/>
  <c r="V52" i="14"/>
  <c r="V51" i="14"/>
  <c r="W50" i="14"/>
  <c r="V54" i="14"/>
  <c r="AZ32" i="51"/>
  <c r="AZ31" i="51"/>
  <c r="AZ34" i="51"/>
  <c r="R59" i="12"/>
  <c r="BB47" i="45"/>
  <c r="BB46" i="45"/>
  <c r="BB49" i="45"/>
  <c r="BC45" i="45"/>
  <c r="U53" i="14"/>
  <c r="W47" i="45"/>
  <c r="W46" i="45"/>
  <c r="W49" i="45"/>
  <c r="X45" i="45"/>
  <c r="U53" i="12"/>
  <c r="S55" i="51" l="1"/>
  <c r="W48" i="45"/>
  <c r="R59" i="14"/>
  <c r="S57" i="12"/>
  <c r="AZ88" i="45"/>
  <c r="AZ51" i="45"/>
  <c r="AZ52" i="45"/>
  <c r="S36" i="48"/>
  <c r="AZ53" i="45"/>
  <c r="V50" i="45"/>
  <c r="V53" i="14"/>
  <c r="S36" i="53"/>
  <c r="S58" i="12"/>
  <c r="Q36" i="54"/>
  <c r="AX55" i="51"/>
  <c r="AY92" i="45"/>
  <c r="U55" i="12"/>
  <c r="U56" i="12" s="1"/>
  <c r="AY35" i="51"/>
  <c r="T36" i="46"/>
  <c r="U88" i="45"/>
  <c r="U51" i="45"/>
  <c r="U53" i="45"/>
  <c r="U52" i="45"/>
  <c r="T56" i="14"/>
  <c r="T61" i="14"/>
  <c r="T218" i="14"/>
  <c r="T60" i="14"/>
  <c r="T112" i="14"/>
  <c r="S39" i="19"/>
  <c r="S58" i="14"/>
  <c r="U55" i="14"/>
  <c r="U56" i="14" s="1"/>
  <c r="AZ33" i="51"/>
  <c r="U33" i="51"/>
  <c r="V53" i="12"/>
  <c r="S57" i="14"/>
  <c r="BA50" i="45"/>
  <c r="W52" i="14"/>
  <c r="W51" i="14"/>
  <c r="W54" i="14"/>
  <c r="X50" i="14"/>
  <c r="W51" i="12"/>
  <c r="W54" i="12"/>
  <c r="X50" i="12"/>
  <c r="W52" i="12"/>
  <c r="T58" i="12"/>
  <c r="BA32" i="51"/>
  <c r="BA31" i="51"/>
  <c r="BA34" i="51"/>
  <c r="BB48" i="45"/>
  <c r="T57" i="12"/>
  <c r="BC47" i="45"/>
  <c r="BC46" i="45"/>
  <c r="BC49" i="45"/>
  <c r="BD45" i="45"/>
  <c r="Y45" i="45"/>
  <c r="X47" i="45"/>
  <c r="X46" i="45"/>
  <c r="X49" i="45"/>
  <c r="V34" i="51"/>
  <c r="W30" i="51"/>
  <c r="V32" i="51"/>
  <c r="V31" i="51"/>
  <c r="BB30" i="51"/>
  <c r="U61" i="14" l="1"/>
  <c r="T39" i="19"/>
  <c r="U60" i="12"/>
  <c r="U61" i="12"/>
  <c r="U218" i="14"/>
  <c r="U112" i="12"/>
  <c r="U112" i="14"/>
  <c r="U218" i="12"/>
  <c r="T39" i="20"/>
  <c r="U60" i="14"/>
  <c r="U58" i="14" s="1"/>
  <c r="V55" i="14"/>
  <c r="U35" i="51"/>
  <c r="V88" i="45"/>
  <c r="V52" i="45"/>
  <c r="U36" i="46"/>
  <c r="V51" i="45"/>
  <c r="V53" i="45"/>
  <c r="S59" i="12"/>
  <c r="T58" i="14"/>
  <c r="V55" i="12"/>
  <c r="W53" i="12"/>
  <c r="W53" i="14"/>
  <c r="BA52" i="45"/>
  <c r="BA88" i="45"/>
  <c r="BA51" i="45"/>
  <c r="T36" i="48"/>
  <c r="BA53" i="45"/>
  <c r="AZ35" i="51"/>
  <c r="U92" i="45"/>
  <c r="BB50" i="45"/>
  <c r="S59" i="14"/>
  <c r="T57" i="14"/>
  <c r="R36" i="54"/>
  <c r="AY55" i="51"/>
  <c r="AZ92" i="45"/>
  <c r="W50" i="45"/>
  <c r="BC30" i="51"/>
  <c r="W34" i="51"/>
  <c r="X30" i="51"/>
  <c r="W32" i="51"/>
  <c r="W31" i="51"/>
  <c r="Y49" i="45"/>
  <c r="Z45" i="45"/>
  <c r="Y47" i="45"/>
  <c r="Y46" i="45"/>
  <c r="U57" i="14"/>
  <c r="Y50" i="14"/>
  <c r="X52" i="14"/>
  <c r="X54" i="14"/>
  <c r="X51" i="14"/>
  <c r="U57" i="12"/>
  <c r="BD47" i="45"/>
  <c r="BD46" i="45"/>
  <c r="BD49" i="45"/>
  <c r="BE45" i="45"/>
  <c r="T59" i="12"/>
  <c r="BB32" i="51"/>
  <c r="BB31" i="51"/>
  <c r="BB34" i="51"/>
  <c r="BA33" i="51"/>
  <c r="V33" i="51"/>
  <c r="BC48" i="45"/>
  <c r="X51" i="12"/>
  <c r="X54" i="12"/>
  <c r="Y50" i="12"/>
  <c r="X52" i="12"/>
  <c r="X48" i="45"/>
  <c r="U58" i="12"/>
  <c r="Y48" i="45" l="1"/>
  <c r="W52" i="45"/>
  <c r="W88" i="45"/>
  <c r="W51" i="45"/>
  <c r="W53" i="45"/>
  <c r="V36" i="46"/>
  <c r="V218" i="12"/>
  <c r="V56" i="12"/>
  <c r="U39" i="20"/>
  <c r="V60" i="12"/>
  <c r="V112" i="12"/>
  <c r="V61" i="12"/>
  <c r="BB52" i="45"/>
  <c r="BD48" i="45"/>
  <c r="T59" i="14"/>
  <c r="S36" i="54"/>
  <c r="AZ55" i="51"/>
  <c r="BC50" i="45"/>
  <c r="V35" i="51"/>
  <c r="X53" i="14"/>
  <c r="W55" i="14"/>
  <c r="BB53" i="45"/>
  <c r="W33" i="51"/>
  <c r="V92" i="45"/>
  <c r="BB88" i="45"/>
  <c r="X50" i="45"/>
  <c r="BB51" i="45"/>
  <c r="BA35" i="51"/>
  <c r="U36" i="48"/>
  <c r="W55" i="12"/>
  <c r="T36" i="53"/>
  <c r="U55" i="51"/>
  <c r="BA92" i="45"/>
  <c r="V218" i="14"/>
  <c r="V60" i="14"/>
  <c r="V112" i="14"/>
  <c r="V61" i="14"/>
  <c r="U39" i="19"/>
  <c r="V56" i="14"/>
  <c r="Y52" i="12"/>
  <c r="Y51" i="12"/>
  <c r="Y54" i="12"/>
  <c r="Z50" i="12"/>
  <c r="U59" i="12"/>
  <c r="X88" i="45"/>
  <c r="X51" i="45"/>
  <c r="X53" i="45"/>
  <c r="U36" i="53"/>
  <c r="V55" i="51"/>
  <c r="Y54" i="14"/>
  <c r="Z50" i="14"/>
  <c r="Y52" i="14"/>
  <c r="Y51" i="14"/>
  <c r="BF45" i="45"/>
  <c r="BE47" i="45"/>
  <c r="BE46" i="45"/>
  <c r="BE49" i="45"/>
  <c r="X31" i="51"/>
  <c r="BD30" i="51"/>
  <c r="X34" i="51"/>
  <c r="Y30" i="51"/>
  <c r="X32" i="51"/>
  <c r="T36" i="54"/>
  <c r="BA55" i="51"/>
  <c r="U59" i="14"/>
  <c r="X53" i="12"/>
  <c r="V36" i="48"/>
  <c r="BB33" i="51"/>
  <c r="Z49" i="45"/>
  <c r="AA45" i="45"/>
  <c r="Z47" i="45"/>
  <c r="Z46" i="45"/>
  <c r="BC34" i="51"/>
  <c r="BC32" i="51"/>
  <c r="BC31" i="51"/>
  <c r="X55" i="12" l="1"/>
  <c r="V57" i="14"/>
  <c r="W56" i="14"/>
  <c r="W112" i="14"/>
  <c r="W61" i="14"/>
  <c r="W218" i="14"/>
  <c r="V39" i="19"/>
  <c r="W60" i="14"/>
  <c r="V57" i="12"/>
  <c r="Y53" i="14"/>
  <c r="W92" i="45"/>
  <c r="X92" i="45"/>
  <c r="V58" i="14"/>
  <c r="V39" i="20"/>
  <c r="W56" i="12"/>
  <c r="W112" i="12"/>
  <c r="W61" i="12"/>
  <c r="W60" i="12"/>
  <c r="W218" i="12"/>
  <c r="V58" i="12"/>
  <c r="X55" i="14"/>
  <c r="BC33" i="51"/>
  <c r="BB35" i="51"/>
  <c r="U36" i="54" s="1"/>
  <c r="BC88" i="45"/>
  <c r="BC52" i="45"/>
  <c r="X52" i="45"/>
  <c r="BB92" i="45"/>
  <c r="Z48" i="45"/>
  <c r="BC53" i="45"/>
  <c r="W36" i="46"/>
  <c r="BC51" i="45"/>
  <c r="W35" i="51"/>
  <c r="BD50" i="45"/>
  <c r="Y50" i="45"/>
  <c r="AA46" i="45"/>
  <c r="AA49" i="45"/>
  <c r="AB45" i="45"/>
  <c r="AA47" i="45"/>
  <c r="X33" i="51"/>
  <c r="BE48" i="45"/>
  <c r="BD34" i="51"/>
  <c r="BD32" i="51"/>
  <c r="BD31" i="51"/>
  <c r="BF49" i="45"/>
  <c r="BG45" i="45"/>
  <c r="BF47" i="45"/>
  <c r="BF46" i="45"/>
  <c r="Z52" i="12"/>
  <c r="Z51" i="12"/>
  <c r="AA50" i="12"/>
  <c r="Z54" i="12"/>
  <c r="X61" i="12"/>
  <c r="X218" i="12"/>
  <c r="Y31" i="51"/>
  <c r="BE30" i="51"/>
  <c r="Y34" i="51"/>
  <c r="Z30" i="51"/>
  <c r="Y32" i="51"/>
  <c r="Z54" i="14"/>
  <c r="AA50" i="14"/>
  <c r="Z52" i="14"/>
  <c r="Z51" i="14"/>
  <c r="Y53" i="12"/>
  <c r="BB55" i="51" l="1"/>
  <c r="BC92" i="45"/>
  <c r="W57" i="14"/>
  <c r="V36" i="53"/>
  <c r="W55" i="51"/>
  <c r="Y55" i="14"/>
  <c r="BD33" i="51"/>
  <c r="BE50" i="45"/>
  <c r="X36" i="48" s="1"/>
  <c r="W39" i="20"/>
  <c r="V59" i="12"/>
  <c r="BF48" i="45"/>
  <c r="Y33" i="51"/>
  <c r="Z50" i="45"/>
  <c r="V59" i="14"/>
  <c r="X112" i="12"/>
  <c r="X35" i="51"/>
  <c r="W36" i="53" s="1"/>
  <c r="Y55" i="12"/>
  <c r="X56" i="12"/>
  <c r="AA48" i="45"/>
  <c r="BD52" i="45"/>
  <c r="BD53" i="45"/>
  <c r="BD88" i="45"/>
  <c r="BD51" i="45"/>
  <c r="W36" i="48"/>
  <c r="W58" i="12"/>
  <c r="W58" i="14"/>
  <c r="Y51" i="45"/>
  <c r="Y88" i="45"/>
  <c r="X36" i="46"/>
  <c r="Y53" i="45"/>
  <c r="Y52" i="45"/>
  <c r="W39" i="19"/>
  <c r="X60" i="14"/>
  <c r="X61" i="14"/>
  <c r="X112" i="14"/>
  <c r="X56" i="14"/>
  <c r="X218" i="14"/>
  <c r="X60" i="12"/>
  <c r="W57" i="12"/>
  <c r="Z53" i="12"/>
  <c r="BC35" i="51"/>
  <c r="X39" i="20"/>
  <c r="Y56" i="12"/>
  <c r="Y112" i="12"/>
  <c r="Y60" i="12"/>
  <c r="Y61" i="12"/>
  <c r="Y218" i="12"/>
  <c r="Z53" i="14"/>
  <c r="BG49" i="45"/>
  <c r="BH45" i="45"/>
  <c r="BG47" i="45"/>
  <c r="BG46" i="45"/>
  <c r="Z32" i="51"/>
  <c r="Z31" i="51"/>
  <c r="BF30" i="51"/>
  <c r="Z34" i="51"/>
  <c r="AA30" i="51"/>
  <c r="AB46" i="45"/>
  <c r="AB49" i="45"/>
  <c r="AC45" i="45"/>
  <c r="AB47" i="45"/>
  <c r="AA51" i="14"/>
  <c r="AA54" i="14"/>
  <c r="AB50" i="14"/>
  <c r="AA52" i="14"/>
  <c r="X57" i="12"/>
  <c r="AA52" i="12"/>
  <c r="AA51" i="12"/>
  <c r="AA54" i="12"/>
  <c r="AB50" i="12"/>
  <c r="BE31" i="51"/>
  <c r="BE34" i="51"/>
  <c r="BE32" i="51"/>
  <c r="BE53" i="45" l="1"/>
  <c r="BE51" i="45"/>
  <c r="BE92" i="45" s="1"/>
  <c r="X55" i="51"/>
  <c r="BE88" i="45"/>
  <c r="BE52" i="45"/>
  <c r="X57" i="14"/>
  <c r="Y92" i="45"/>
  <c r="BG48" i="45"/>
  <c r="Z55" i="12"/>
  <c r="X58" i="14"/>
  <c r="Y35" i="51"/>
  <c r="W59" i="12"/>
  <c r="AB48" i="45"/>
  <c r="BF50" i="45"/>
  <c r="BD35" i="51"/>
  <c r="W59" i="14"/>
  <c r="BE33" i="51"/>
  <c r="AA53" i="14"/>
  <c r="AA50" i="45"/>
  <c r="Y218" i="14"/>
  <c r="X39" i="19"/>
  <c r="Y61" i="14"/>
  <c r="Y56" i="14"/>
  <c r="Y60" i="14"/>
  <c r="Y112" i="14"/>
  <c r="Z55" i="14"/>
  <c r="V36" i="54"/>
  <c r="BC55" i="51"/>
  <c r="Y36" i="46"/>
  <c r="Z53" i="45"/>
  <c r="Z51" i="45"/>
  <c r="Z52" i="45"/>
  <c r="Z88" i="45"/>
  <c r="X58" i="12"/>
  <c r="BD92" i="45"/>
  <c r="AB51" i="14"/>
  <c r="AB54" i="14"/>
  <c r="AC50" i="14"/>
  <c r="AB52" i="14"/>
  <c r="BF31" i="51"/>
  <c r="BF34" i="51"/>
  <c r="BF32" i="51"/>
  <c r="Z33" i="51"/>
  <c r="X59" i="12"/>
  <c r="AC47" i="45"/>
  <c r="AC46" i="45"/>
  <c r="AC49" i="45"/>
  <c r="AD45" i="45"/>
  <c r="Y57" i="12"/>
  <c r="AC50" i="12"/>
  <c r="AB52" i="12"/>
  <c r="AB54" i="12"/>
  <c r="AB51" i="12"/>
  <c r="AA53" i="12"/>
  <c r="BH46" i="45"/>
  <c r="BH49" i="45"/>
  <c r="BI45" i="45"/>
  <c r="BH47" i="45"/>
  <c r="Y39" i="19"/>
  <c r="Z61" i="14"/>
  <c r="Z60" i="14"/>
  <c r="Z112" i="14"/>
  <c r="Z56" i="14"/>
  <c r="Z218" i="14"/>
  <c r="Y58" i="12"/>
  <c r="AA32" i="51"/>
  <c r="AA31" i="51"/>
  <c r="BG30" i="51"/>
  <c r="AA34" i="51"/>
  <c r="AB30" i="51"/>
  <c r="Z92" i="45" l="1"/>
  <c r="AC48" i="45"/>
  <c r="AA51" i="45"/>
  <c r="Z36" i="46"/>
  <c r="AA53" i="45"/>
  <c r="AA52" i="45"/>
  <c r="AA88" i="45"/>
  <c r="W36" i="54"/>
  <c r="BD55" i="51"/>
  <c r="BG50" i="45"/>
  <c r="Y58" i="14"/>
  <c r="Y36" i="48"/>
  <c r="BF53" i="45"/>
  <c r="BF52" i="45"/>
  <c r="BF88" i="45"/>
  <c r="BF51" i="45"/>
  <c r="X36" i="53"/>
  <c r="Y55" i="51"/>
  <c r="AA55" i="14"/>
  <c r="AA55" i="12"/>
  <c r="Z39" i="20" s="1"/>
  <c r="Z35" i="51"/>
  <c r="Y57" i="14"/>
  <c r="BE35" i="51"/>
  <c r="X59" i="14"/>
  <c r="AB50" i="45"/>
  <c r="Z60" i="12"/>
  <c r="Y39" i="20"/>
  <c r="Z218" i="12"/>
  <c r="Z56" i="12"/>
  <c r="Z61" i="12"/>
  <c r="Z112" i="12"/>
  <c r="BG32" i="51"/>
  <c r="BG31" i="51"/>
  <c r="BG34" i="51"/>
  <c r="AA60" i="12"/>
  <c r="AA218" i="12"/>
  <c r="AA61" i="12"/>
  <c r="AC52" i="14"/>
  <c r="AC51" i="14"/>
  <c r="AC54" i="14"/>
  <c r="AD50" i="14"/>
  <c r="AD47" i="45"/>
  <c r="AD46" i="45"/>
  <c r="AD49" i="45"/>
  <c r="AE45" i="45"/>
  <c r="Y36" i="53"/>
  <c r="Z55" i="51"/>
  <c r="AA33" i="51"/>
  <c r="Z57" i="14"/>
  <c r="BI46" i="45"/>
  <c r="BI49" i="45"/>
  <c r="BJ45" i="45"/>
  <c r="BI47" i="45"/>
  <c r="AC54" i="12"/>
  <c r="AD50" i="12"/>
  <c r="AC52" i="12"/>
  <c r="AC51" i="12"/>
  <c r="AB53" i="14"/>
  <c r="Z58" i="14"/>
  <c r="BH48" i="45"/>
  <c r="Y59" i="12"/>
  <c r="AB32" i="51"/>
  <c r="AB31" i="51"/>
  <c r="BH30" i="51"/>
  <c r="AC30" i="51"/>
  <c r="AB34" i="51"/>
  <c r="AB53" i="12"/>
  <c r="BF33" i="51"/>
  <c r="AB55" i="14" l="1"/>
  <c r="AA92" i="45"/>
  <c r="AC53" i="12"/>
  <c r="AA35" i="51"/>
  <c r="Z58" i="12"/>
  <c r="X36" i="54"/>
  <c r="BE55" i="51"/>
  <c r="AA61" i="14"/>
  <c r="AA60" i="14"/>
  <c r="AA112" i="14"/>
  <c r="AA218" i="14"/>
  <c r="Z39" i="19"/>
  <c r="AA56" i="14"/>
  <c r="AC50" i="45"/>
  <c r="AB33" i="51"/>
  <c r="Y59" i="14"/>
  <c r="BG33" i="51"/>
  <c r="AB53" i="45"/>
  <c r="AB52" i="45"/>
  <c r="AB88" i="45"/>
  <c r="AB51" i="45"/>
  <c r="AA36" i="46"/>
  <c r="AB55" i="12"/>
  <c r="AB61" i="12" s="1"/>
  <c r="BH50" i="45"/>
  <c r="BH88" i="45" s="1"/>
  <c r="AA112" i="12"/>
  <c r="Z57" i="12"/>
  <c r="BF35" i="51"/>
  <c r="AD48" i="45"/>
  <c r="AA56" i="12"/>
  <c r="BF92" i="45"/>
  <c r="Z36" i="48"/>
  <c r="BG53" i="45"/>
  <c r="BG52" i="45"/>
  <c r="BG88" i="45"/>
  <c r="BG51" i="45"/>
  <c r="AA57" i="12"/>
  <c r="BJ47" i="45"/>
  <c r="BJ46" i="45"/>
  <c r="BJ49" i="45"/>
  <c r="BK45" i="45"/>
  <c r="AE47" i="45"/>
  <c r="AE46" i="45"/>
  <c r="AE49" i="45"/>
  <c r="AF45" i="45"/>
  <c r="AD30" i="51"/>
  <c r="AC32" i="51"/>
  <c r="AC31" i="51"/>
  <c r="BI30" i="51"/>
  <c r="AC34" i="51"/>
  <c r="BH32" i="51"/>
  <c r="BH31" i="51"/>
  <c r="BH34" i="51"/>
  <c r="Z36" i="53"/>
  <c r="AA55" i="51"/>
  <c r="AD52" i="14"/>
  <c r="AD51" i="14"/>
  <c r="AE50" i="14"/>
  <c r="AD54" i="14"/>
  <c r="Z59" i="14"/>
  <c r="BI48" i="45"/>
  <c r="AA58" i="12"/>
  <c r="Y36" i="54"/>
  <c r="BF55" i="51"/>
  <c r="AA39" i="20"/>
  <c r="AB60" i="12"/>
  <c r="AB218" i="12"/>
  <c r="AB112" i="12"/>
  <c r="AB56" i="12"/>
  <c r="AC53" i="14"/>
  <c r="AA39" i="19"/>
  <c r="AB56" i="14"/>
  <c r="AB61" i="14"/>
  <c r="AB218" i="14"/>
  <c r="AB60" i="14"/>
  <c r="AB112" i="14"/>
  <c r="AD54" i="12"/>
  <c r="AE50" i="12"/>
  <c r="AD52" i="12"/>
  <c r="AD51" i="12"/>
  <c r="BH52" i="45" l="1"/>
  <c r="BH51" i="45"/>
  <c r="BH53" i="45"/>
  <c r="AA36" i="48"/>
  <c r="AD50" i="45"/>
  <c r="BG35" i="51"/>
  <c r="BH92" i="45"/>
  <c r="AD53" i="14"/>
  <c r="AA58" i="14"/>
  <c r="AD53" i="12"/>
  <c r="Z59" i="12"/>
  <c r="AB35" i="51"/>
  <c r="AA57" i="14"/>
  <c r="AC33" i="51"/>
  <c r="AB92" i="45"/>
  <c r="AC55" i="14"/>
  <c r="AC61" i="14" s="1"/>
  <c r="BG92" i="45"/>
  <c r="BI50" i="45"/>
  <c r="AC55" i="12"/>
  <c r="BH33" i="51"/>
  <c r="AB36" i="46"/>
  <c r="AC51" i="45"/>
  <c r="AC53" i="45"/>
  <c r="AC52" i="45"/>
  <c r="AC88" i="45"/>
  <c r="AE52" i="14"/>
  <c r="AE51" i="14"/>
  <c r="AE54" i="14"/>
  <c r="AF50" i="14"/>
  <c r="AB58" i="14"/>
  <c r="AD34" i="51"/>
  <c r="AE30" i="51"/>
  <c r="AD32" i="51"/>
  <c r="AD31" i="51"/>
  <c r="BJ30" i="51"/>
  <c r="AB57" i="12"/>
  <c r="AB36" i="48"/>
  <c r="BI53" i="45"/>
  <c r="AG45" i="45"/>
  <c r="AF47" i="45"/>
  <c r="AF46" i="45"/>
  <c r="AF49" i="45"/>
  <c r="BK47" i="45"/>
  <c r="BK46" i="45"/>
  <c r="BK49" i="45"/>
  <c r="BL45" i="45"/>
  <c r="AA59" i="12"/>
  <c r="AB57" i="14"/>
  <c r="BI32" i="51"/>
  <c r="BI31" i="51"/>
  <c r="BI34" i="51"/>
  <c r="AE51" i="12"/>
  <c r="AE54" i="12"/>
  <c r="AF50" i="12"/>
  <c r="AE52" i="12"/>
  <c r="AB58" i="12"/>
  <c r="AE48" i="45"/>
  <c r="BJ48" i="45"/>
  <c r="AB39" i="19" l="1"/>
  <c r="AC112" i="14"/>
  <c r="AC218" i="14"/>
  <c r="AC60" i="14"/>
  <c r="AC56" i="14"/>
  <c r="BJ50" i="45"/>
  <c r="BJ53" i="45" s="1"/>
  <c r="AE50" i="45"/>
  <c r="AE88" i="45" s="1"/>
  <c r="AD33" i="51"/>
  <c r="Z36" i="54"/>
  <c r="BG55" i="51"/>
  <c r="AC35" i="51"/>
  <c r="AD55" i="12"/>
  <c r="AC92" i="45"/>
  <c r="BI51" i="45"/>
  <c r="AA59" i="14"/>
  <c r="BH35" i="51"/>
  <c r="AF48" i="45"/>
  <c r="AE53" i="12"/>
  <c r="BK48" i="45"/>
  <c r="BI88" i="45"/>
  <c r="BI52" i="45"/>
  <c r="AB39" i="20"/>
  <c r="AC112" i="12"/>
  <c r="AC60" i="12"/>
  <c r="AC61" i="12"/>
  <c r="AC218" i="12"/>
  <c r="AC56" i="12"/>
  <c r="AA36" i="53"/>
  <c r="AB55" i="51"/>
  <c r="AD55" i="14"/>
  <c r="AD88" i="45"/>
  <c r="AC36" i="46"/>
  <c r="AD51" i="45"/>
  <c r="AD53" i="45"/>
  <c r="AD52" i="45"/>
  <c r="AG50" i="14"/>
  <c r="AF52" i="14"/>
  <c r="AF51" i="14"/>
  <c r="AF54" i="14"/>
  <c r="AD36" i="46"/>
  <c r="AF51" i="12"/>
  <c r="AF54" i="12"/>
  <c r="AG50" i="12"/>
  <c r="AF52" i="12"/>
  <c r="AB59" i="14"/>
  <c r="BL47" i="45"/>
  <c r="BL46" i="45"/>
  <c r="BL49" i="45"/>
  <c r="BM45" i="45"/>
  <c r="BK30" i="51"/>
  <c r="AE34" i="51"/>
  <c r="AF30" i="51"/>
  <c r="AE32" i="51"/>
  <c r="AE31" i="51"/>
  <c r="AG49" i="45"/>
  <c r="AH45" i="45"/>
  <c r="AG47" i="45"/>
  <c r="AG46" i="45"/>
  <c r="AB59" i="12"/>
  <c r="AE53" i="14"/>
  <c r="BI33" i="51"/>
  <c r="AC57" i="14"/>
  <c r="AC58" i="14"/>
  <c r="BJ32" i="51"/>
  <c r="BJ31" i="51"/>
  <c r="BJ34" i="51"/>
  <c r="BJ88" i="45" l="1"/>
  <c r="BJ51" i="45"/>
  <c r="AC36" i="48"/>
  <c r="BJ52" i="45"/>
  <c r="AE53" i="45"/>
  <c r="AE52" i="45"/>
  <c r="AE51" i="45"/>
  <c r="AE92" i="45" s="1"/>
  <c r="AC58" i="12"/>
  <c r="BI92" i="45"/>
  <c r="AE55" i="12"/>
  <c r="AD92" i="45"/>
  <c r="BI35" i="51"/>
  <c r="AB36" i="54" s="1"/>
  <c r="AF53" i="12"/>
  <c r="BJ33" i="51"/>
  <c r="BL48" i="45"/>
  <c r="AF50" i="45"/>
  <c r="AD35" i="51"/>
  <c r="AA36" i="54"/>
  <c r="BH55" i="51"/>
  <c r="AF55" i="12"/>
  <c r="AE39" i="20" s="1"/>
  <c r="BJ92" i="45"/>
  <c r="AD61" i="14"/>
  <c r="AD112" i="14"/>
  <c r="AD218" i="14"/>
  <c r="AD60" i="14"/>
  <c r="AC39" i="19"/>
  <c r="AD56" i="14"/>
  <c r="AB36" i="53"/>
  <c r="AC55" i="51"/>
  <c r="AC39" i="20"/>
  <c r="AD112" i="12"/>
  <c r="AD61" i="12"/>
  <c r="AD60" i="12"/>
  <c r="AD218" i="12"/>
  <c r="AD56" i="12"/>
  <c r="AE55" i="14"/>
  <c r="AD39" i="19" s="1"/>
  <c r="AC57" i="12"/>
  <c r="BK50" i="45"/>
  <c r="AF61" i="12"/>
  <c r="AF218" i="12"/>
  <c r="AF60" i="12"/>
  <c r="AC59" i="14"/>
  <c r="AE56" i="14"/>
  <c r="AE218" i="14"/>
  <c r="AE61" i="14"/>
  <c r="BN45" i="45"/>
  <c r="BM47" i="45"/>
  <c r="BM46" i="45"/>
  <c r="BM49" i="45"/>
  <c r="AG54" i="14"/>
  <c r="AH50" i="14"/>
  <c r="AG52" i="14"/>
  <c r="AG51" i="14"/>
  <c r="AG48" i="45"/>
  <c r="BK34" i="51"/>
  <c r="BK32" i="51"/>
  <c r="BK31" i="51"/>
  <c r="AE33" i="51"/>
  <c r="AH49" i="45"/>
  <c r="AH47" i="45"/>
  <c r="AH46" i="45"/>
  <c r="AF31" i="51"/>
  <c r="BL30" i="51"/>
  <c r="AF34" i="51"/>
  <c r="AG30" i="51"/>
  <c r="AF32" i="51"/>
  <c r="AG52" i="12"/>
  <c r="AG51" i="12"/>
  <c r="AG54" i="12"/>
  <c r="AH50" i="12"/>
  <c r="AF53" i="14"/>
  <c r="AE112" i="14" l="1"/>
  <c r="AE60" i="14"/>
  <c r="AF112" i="12"/>
  <c r="AF56" i="12"/>
  <c r="BI55" i="51"/>
  <c r="AG53" i="12"/>
  <c r="AF33" i="51"/>
  <c r="AC36" i="53"/>
  <c r="AD55" i="51"/>
  <c r="AD58" i="12"/>
  <c r="AF88" i="45"/>
  <c r="AE36" i="46"/>
  <c r="AF51" i="45"/>
  <c r="AF53" i="45"/>
  <c r="AF52" i="45"/>
  <c r="BM48" i="45"/>
  <c r="AD36" i="48"/>
  <c r="BK51" i="45"/>
  <c r="BK52" i="45"/>
  <c r="BK53" i="45"/>
  <c r="BK88" i="45"/>
  <c r="AD57" i="12"/>
  <c r="BJ35" i="51"/>
  <c r="AE218" i="12"/>
  <c r="AE56" i="12"/>
  <c r="AD39" i="20"/>
  <c r="AE112" i="12"/>
  <c r="AE61" i="12"/>
  <c r="AE60" i="12"/>
  <c r="AG50" i="45"/>
  <c r="AF36" i="46" s="1"/>
  <c r="AC59" i="12"/>
  <c r="AD58" i="14"/>
  <c r="AG53" i="14"/>
  <c r="BL50" i="45"/>
  <c r="AF55" i="14"/>
  <c r="AF112" i="14" s="1"/>
  <c r="AE35" i="51"/>
  <c r="AD57" i="14"/>
  <c r="AG31" i="51"/>
  <c r="BM30" i="51"/>
  <c r="AG34" i="51"/>
  <c r="AH30" i="51"/>
  <c r="AG32" i="51"/>
  <c r="AF58" i="12"/>
  <c r="AH52" i="12"/>
  <c r="AH51" i="12"/>
  <c r="AL190" i="12"/>
  <c r="AL212" i="12"/>
  <c r="AM190" i="12"/>
  <c r="AH54" i="12"/>
  <c r="BL34" i="51"/>
  <c r="BL32" i="51"/>
  <c r="BL31" i="51"/>
  <c r="BK33" i="51"/>
  <c r="AE57" i="14"/>
  <c r="AH54" i="14"/>
  <c r="AH52" i="14"/>
  <c r="AH51" i="14"/>
  <c r="AF57" i="12"/>
  <c r="BN49" i="45"/>
  <c r="BN47" i="45"/>
  <c r="BN46" i="45"/>
  <c r="AE39" i="19"/>
  <c r="AF61" i="14"/>
  <c r="AF60" i="14"/>
  <c r="AF56" i="14"/>
  <c r="AH48" i="45"/>
  <c r="AE58" i="14"/>
  <c r="AF218" i="14" l="1"/>
  <c r="AG51" i="45"/>
  <c r="AG53" i="45"/>
  <c r="BK92" i="45"/>
  <c r="AC36" i="54"/>
  <c r="BJ55" i="51"/>
  <c r="AH50" i="45"/>
  <c r="AH88" i="45" s="1"/>
  <c r="BK35" i="51"/>
  <c r="AD36" i="54" s="1"/>
  <c r="AE55" i="51"/>
  <c r="AE58" i="12"/>
  <c r="AG55" i="14"/>
  <c r="AD36" i="53"/>
  <c r="AE57" i="12"/>
  <c r="AD59" i="12"/>
  <c r="AD59" i="14"/>
  <c r="AF35" i="51"/>
  <c r="BL53" i="45"/>
  <c r="BL88" i="45"/>
  <c r="AE36" i="48"/>
  <c r="BL52" i="45"/>
  <c r="BL51" i="45"/>
  <c r="AG88" i="45"/>
  <c r="AG33" i="51"/>
  <c r="BM50" i="45"/>
  <c r="AO190" i="12"/>
  <c r="AO191" i="12" s="1"/>
  <c r="AG52" i="45"/>
  <c r="AF92" i="45"/>
  <c r="AG55" i="12"/>
  <c r="AQ190" i="12"/>
  <c r="AQ191" i="12" s="1"/>
  <c r="AQ174" i="14"/>
  <c r="BL33" i="51"/>
  <c r="AQ174" i="12"/>
  <c r="AP262" i="12"/>
  <c r="AH32" i="51"/>
  <c r="AH31" i="51"/>
  <c r="BN30" i="51"/>
  <c r="AH34" i="51"/>
  <c r="AE59" i="14"/>
  <c r="AF58" i="14"/>
  <c r="BM31" i="51"/>
  <c r="BM34" i="51"/>
  <c r="BM32" i="51"/>
  <c r="AF57" i="14"/>
  <c r="AH53" i="12"/>
  <c r="AH53" i="14"/>
  <c r="AN190" i="12"/>
  <c r="BN48" i="45"/>
  <c r="AF59" i="12"/>
  <c r="AH52" i="45" l="1"/>
  <c r="BK55" i="51"/>
  <c r="AG60" i="14"/>
  <c r="AG112" i="14"/>
  <c r="AG56" i="14"/>
  <c r="AF39" i="19"/>
  <c r="AG218" i="14"/>
  <c r="AG61" i="14"/>
  <c r="AG36" i="46"/>
  <c r="BM53" i="45"/>
  <c r="AF36" i="48"/>
  <c r="BM88" i="45"/>
  <c r="BM52" i="45"/>
  <c r="BM51" i="45"/>
  <c r="AE59" i="12"/>
  <c r="AG61" i="12"/>
  <c r="AG60" i="12"/>
  <c r="AF39" i="20"/>
  <c r="AG56" i="12"/>
  <c r="AG112" i="12"/>
  <c r="AG218" i="12"/>
  <c r="AG35" i="51"/>
  <c r="BL35" i="51"/>
  <c r="AE36" i="54" s="1"/>
  <c r="AH51" i="45"/>
  <c r="AN191" i="12"/>
  <c r="AP190" i="12" s="1"/>
  <c r="AR190" i="12" s="1"/>
  <c r="AE36" i="53"/>
  <c r="AF55" i="51"/>
  <c r="BL92" i="45"/>
  <c r="BN50" i="45"/>
  <c r="BN51" i="45" s="1"/>
  <c r="AH53" i="45"/>
  <c r="AG92" i="45"/>
  <c r="BN53" i="45"/>
  <c r="BN31" i="51"/>
  <c r="BN34" i="51"/>
  <c r="BN32" i="51"/>
  <c r="AF59" i="14"/>
  <c r="AO262" i="12"/>
  <c r="AQ173" i="12"/>
  <c r="AH55" i="12"/>
  <c r="AH33" i="51"/>
  <c r="BM33" i="51"/>
  <c r="AQ173" i="14"/>
  <c r="AH55" i="14"/>
  <c r="BN52" i="45" l="1"/>
  <c r="BN88" i="45"/>
  <c r="BL55" i="51"/>
  <c r="BM92" i="45"/>
  <c r="BN92" i="45"/>
  <c r="AH92" i="45"/>
  <c r="AG57" i="14"/>
  <c r="AG58" i="12"/>
  <c r="AG57" i="12"/>
  <c r="AG58" i="14"/>
  <c r="AH35" i="51"/>
  <c r="AH55" i="51" s="1"/>
  <c r="BM35" i="51"/>
  <c r="AG36" i="48"/>
  <c r="AF36" i="53"/>
  <c r="AG55" i="51"/>
  <c r="AG39" i="20"/>
  <c r="AH218" i="12"/>
  <c r="AH56" i="12"/>
  <c r="D178" i="12"/>
  <c r="AH61" i="12"/>
  <c r="AH60" i="12"/>
  <c r="AH112" i="12"/>
  <c r="AN212" i="12"/>
  <c r="AF36" i="54"/>
  <c r="BM55" i="51"/>
  <c r="AG39" i="19"/>
  <c r="AH61" i="14"/>
  <c r="AH60" i="14"/>
  <c r="AH112" i="14"/>
  <c r="D178" i="14"/>
  <c r="AH218" i="14"/>
  <c r="AH56" i="14"/>
  <c r="AG36" i="53"/>
  <c r="BN33" i="51"/>
  <c r="AG59" i="12" l="1"/>
  <c r="AG59" i="14"/>
  <c r="BN35" i="51"/>
  <c r="AG36" i="54" s="1"/>
  <c r="AH57" i="12"/>
  <c r="BN55" i="51"/>
  <c r="AH58" i="14"/>
  <c r="AH57" i="14"/>
  <c r="AH58" i="12"/>
  <c r="AH59" i="12" l="1"/>
  <c r="AH59" i="14"/>
  <c r="T20" i="7" l="1"/>
  <c r="C40" i="7" s="1"/>
  <c r="C41" i="7" l="1"/>
  <c r="C42" i="7" s="1"/>
  <c r="I66" i="7"/>
  <c r="J66" i="7" s="1"/>
  <c r="I63" i="7"/>
  <c r="I67" i="7" l="1"/>
  <c r="J67" i="7" s="1"/>
  <c r="I64" i="7"/>
  <c r="I68" i="7"/>
  <c r="J68" i="7" s="1"/>
  <c r="I65" i="7"/>
  <c r="C75" i="7" s="1"/>
  <c r="K67" i="7"/>
  <c r="M67" i="7" s="1"/>
  <c r="B176" i="12"/>
  <c r="B176" i="14"/>
  <c r="E76" i="7"/>
  <c r="C76" i="7"/>
  <c r="D76" i="7"/>
  <c r="J65" i="7"/>
  <c r="D75" i="7"/>
  <c r="E75" i="7"/>
  <c r="C73" i="7"/>
  <c r="D73" i="7"/>
  <c r="E73" i="7"/>
  <c r="J63" i="7"/>
  <c r="I70" i="7"/>
  <c r="J70" i="7" s="1"/>
  <c r="C74" i="7"/>
  <c r="D74" i="7"/>
  <c r="J64" i="7"/>
  <c r="E74" i="7"/>
  <c r="K66" i="7"/>
  <c r="B175" i="12"/>
  <c r="B187" i="12" s="1"/>
  <c r="B195" i="12" s="1"/>
  <c r="B205" i="12" s="1"/>
  <c r="B175" i="14"/>
  <c r="B187" i="14" s="1"/>
  <c r="B195" i="14" s="1"/>
  <c r="F75" i="7" l="1"/>
  <c r="G75" i="7" s="1"/>
  <c r="F76" i="7"/>
  <c r="G76" i="7" s="1"/>
  <c r="K68" i="7"/>
  <c r="I76" i="7" s="1"/>
  <c r="B177" i="12"/>
  <c r="B188" i="12" s="1"/>
  <c r="B194" i="12" s="1"/>
  <c r="B177" i="14"/>
  <c r="B188" i="14" s="1"/>
  <c r="B194" i="14" s="1"/>
  <c r="F73" i="7"/>
  <c r="G73" i="7" s="1"/>
  <c r="D27" i="49"/>
  <c r="K64" i="7"/>
  <c r="B173" i="12"/>
  <c r="B184" i="12" s="1"/>
  <c r="B198" i="12" s="1"/>
  <c r="B208" i="12" s="1"/>
  <c r="B173" i="14"/>
  <c r="B184" i="14" s="1"/>
  <c r="B198" i="14" s="1"/>
  <c r="F4" i="26"/>
  <c r="K63" i="7"/>
  <c r="I73" i="7" s="1"/>
  <c r="D26" i="49"/>
  <c r="B172" i="12"/>
  <c r="B172" i="14"/>
  <c r="F74" i="7"/>
  <c r="G74" i="7" s="1"/>
  <c r="D28" i="49"/>
  <c r="K65" i="7"/>
  <c r="I75" i="7" s="1"/>
  <c r="B174" i="12"/>
  <c r="B185" i="12" s="1"/>
  <c r="B197" i="12" s="1"/>
  <c r="B207" i="12" s="1"/>
  <c r="B174" i="14"/>
  <c r="B185" i="14" s="1"/>
  <c r="B197" i="14" s="1"/>
  <c r="B204" i="12" l="1"/>
  <c r="M64" i="7"/>
  <c r="J4" i="4"/>
  <c r="B180" i="14"/>
  <c r="B183" i="14"/>
  <c r="I26" i="49"/>
  <c r="O26" i="49"/>
  <c r="D30" i="49"/>
  <c r="I27" i="49"/>
  <c r="O27" i="49"/>
  <c r="B183" i="12"/>
  <c r="B180" i="12"/>
  <c r="M63" i="7"/>
  <c r="K70" i="7"/>
  <c r="M70" i="7" s="1"/>
  <c r="J4" i="8"/>
  <c r="M65" i="7"/>
  <c r="D4" i="3"/>
  <c r="I28" i="49"/>
  <c r="O28" i="49"/>
  <c r="I74" i="7"/>
  <c r="N65" i="7" l="1"/>
  <c r="D12" i="12"/>
  <c r="D12" i="14"/>
  <c r="N63" i="7"/>
  <c r="N64" i="7"/>
  <c r="C198" i="14" s="1"/>
  <c r="R26" i="49"/>
  <c r="D18" i="51"/>
  <c r="R28" i="49"/>
  <c r="D10" i="51"/>
  <c r="B190" i="12"/>
  <c r="B199" i="12"/>
  <c r="B190" i="14"/>
  <c r="B199" i="14"/>
  <c r="B200" i="14" s="1"/>
  <c r="L28" i="49"/>
  <c r="J4" i="3"/>
  <c r="C197" i="12"/>
  <c r="C207" i="12" s="1"/>
  <c r="C197" i="14"/>
  <c r="J5" i="4"/>
  <c r="J6" i="4" s="1"/>
  <c r="D40" i="12"/>
  <c r="D40" i="14"/>
  <c r="R27" i="49"/>
  <c r="D26" i="51"/>
  <c r="C198" i="12"/>
  <c r="C208" i="12" s="1"/>
  <c r="L26" i="49"/>
  <c r="O4" i="8"/>
  <c r="L27" i="49"/>
  <c r="O4" i="4"/>
  <c r="D5" i="3"/>
  <c r="D7" i="3" s="1"/>
  <c r="J5" i="8"/>
  <c r="J6" i="8" s="1"/>
  <c r="D26" i="12"/>
  <c r="D26" i="14"/>
  <c r="M66" i="7"/>
  <c r="M68" i="7"/>
  <c r="N69" i="7"/>
  <c r="N67" i="7"/>
  <c r="C199" i="12" s="1"/>
  <c r="C209" i="12" s="1"/>
  <c r="O30" i="49"/>
  <c r="O31" i="49" s="1"/>
  <c r="I30" i="49"/>
  <c r="I31" i="49" s="1"/>
  <c r="J31" i="49" l="1"/>
  <c r="J29" i="49"/>
  <c r="J27" i="49"/>
  <c r="J28" i="49"/>
  <c r="J26" i="49"/>
  <c r="P29" i="49"/>
  <c r="P28" i="49"/>
  <c r="P27" i="49"/>
  <c r="P26" i="49"/>
  <c r="D14" i="12"/>
  <c r="D62" i="12"/>
  <c r="D166" i="12" s="1"/>
  <c r="E12" i="12"/>
  <c r="AK209" i="12"/>
  <c r="AK186" i="12"/>
  <c r="E40" i="14"/>
  <c r="D43" i="14"/>
  <c r="D8" i="3"/>
  <c r="D10" i="3" s="1"/>
  <c r="J7" i="4"/>
  <c r="J8" i="4"/>
  <c r="E26" i="14"/>
  <c r="D34" i="14"/>
  <c r="D33" i="14"/>
  <c r="L68" i="7"/>
  <c r="AI15" i="20" s="1"/>
  <c r="N68" i="7"/>
  <c r="C196" i="12" s="1"/>
  <c r="C206" i="12" s="1"/>
  <c r="D25" i="51"/>
  <c r="AJ18" i="51"/>
  <c r="E18" i="51"/>
  <c r="B209" i="12"/>
  <c r="B210" i="12" s="1"/>
  <c r="B200" i="12"/>
  <c r="O5" i="8"/>
  <c r="O6" i="8" s="1"/>
  <c r="J30" i="49"/>
  <c r="L30" i="49"/>
  <c r="K4" i="26"/>
  <c r="O5" i="4"/>
  <c r="O6" i="4"/>
  <c r="AJ26" i="51"/>
  <c r="E26" i="51"/>
  <c r="D29" i="51"/>
  <c r="C199" i="14"/>
  <c r="L66" i="7"/>
  <c r="C5" i="26" s="1"/>
  <c r="F5" i="26" s="1"/>
  <c r="F6" i="26" s="1"/>
  <c r="N66" i="7"/>
  <c r="P30" i="49"/>
  <c r="R30" i="49"/>
  <c r="R31" i="49" s="1"/>
  <c r="AJ10" i="51"/>
  <c r="D12" i="51"/>
  <c r="E10" i="51"/>
  <c r="D36" i="51"/>
  <c r="D43" i="12"/>
  <c r="D122" i="12" s="1"/>
  <c r="D127" i="12" s="1"/>
  <c r="E40" i="12"/>
  <c r="AK206" i="12"/>
  <c r="AK182" i="12"/>
  <c r="E26" i="12"/>
  <c r="D34" i="12"/>
  <c r="D33" i="12"/>
  <c r="AK178" i="12"/>
  <c r="AK202" i="12"/>
  <c r="J9" i="8"/>
  <c r="J10" i="8"/>
  <c r="J7" i="8"/>
  <c r="J8" i="8"/>
  <c r="D14" i="14"/>
  <c r="D62" i="14"/>
  <c r="E12" i="14"/>
  <c r="J5" i="3"/>
  <c r="J7" i="3" s="1"/>
  <c r="J9" i="4" l="1"/>
  <c r="AJ25" i="51"/>
  <c r="C196" i="14"/>
  <c r="C194" i="14" s="1"/>
  <c r="D39" i="51"/>
  <c r="D19" i="12"/>
  <c r="D19" i="14"/>
  <c r="D17" i="51"/>
  <c r="D65" i="14"/>
  <c r="C40" i="19" s="1"/>
  <c r="AJ29" i="51"/>
  <c r="J11" i="8"/>
  <c r="D11" i="3"/>
  <c r="S29" i="49"/>
  <c r="S27" i="49"/>
  <c r="S28" i="49"/>
  <c r="S26" i="49"/>
  <c r="F7" i="26"/>
  <c r="F9" i="26" s="1"/>
  <c r="F8" i="26"/>
  <c r="E13" i="14"/>
  <c r="E62" i="14"/>
  <c r="F12" i="14"/>
  <c r="C38" i="20"/>
  <c r="D44" i="12"/>
  <c r="D49" i="12"/>
  <c r="D48" i="12"/>
  <c r="D216" i="12"/>
  <c r="C195" i="12"/>
  <c r="C205" i="12" s="1"/>
  <c r="C195" i="14"/>
  <c r="N70" i="7"/>
  <c r="C36" i="19"/>
  <c r="D39" i="14"/>
  <c r="D38" i="14"/>
  <c r="D92" i="14"/>
  <c r="D215" i="14"/>
  <c r="F40" i="14"/>
  <c r="E42" i="14"/>
  <c r="E41" i="14"/>
  <c r="AK10" i="51"/>
  <c r="E12" i="51"/>
  <c r="F10" i="51"/>
  <c r="E36" i="51"/>
  <c r="K5" i="26"/>
  <c r="K6" i="26" s="1"/>
  <c r="C33" i="54"/>
  <c r="AJ48" i="51"/>
  <c r="E28" i="14"/>
  <c r="E27" i="14"/>
  <c r="E31" i="14"/>
  <c r="E30" i="14"/>
  <c r="F26" i="14"/>
  <c r="C35" i="53"/>
  <c r="D59" i="51"/>
  <c r="C33" i="53"/>
  <c r="D48" i="51"/>
  <c r="D13" i="3"/>
  <c r="C37" i="53"/>
  <c r="D65" i="51"/>
  <c r="E19" i="51"/>
  <c r="E23" i="51"/>
  <c r="AK18" i="51"/>
  <c r="F18" i="51"/>
  <c r="E20" i="51"/>
  <c r="E22" i="51"/>
  <c r="C37" i="19"/>
  <c r="D20" i="14"/>
  <c r="D25" i="14"/>
  <c r="D24" i="14"/>
  <c r="D102" i="14"/>
  <c r="D217" i="14"/>
  <c r="E27" i="12"/>
  <c r="E31" i="12"/>
  <c r="E30" i="12"/>
  <c r="F26" i="12"/>
  <c r="E28" i="12"/>
  <c r="AJ12" i="51"/>
  <c r="AJ36" i="51"/>
  <c r="AK26" i="51"/>
  <c r="F26" i="51"/>
  <c r="E28" i="51"/>
  <c r="E27" i="51"/>
  <c r="E13" i="12"/>
  <c r="E62" i="12"/>
  <c r="F12" i="12"/>
  <c r="J11" i="3"/>
  <c r="J12" i="3"/>
  <c r="J10" i="3"/>
  <c r="C35" i="54"/>
  <c r="D65" i="12"/>
  <c r="D134" i="12" s="1"/>
  <c r="AK194" i="12"/>
  <c r="AK215" i="12"/>
  <c r="S30" i="49"/>
  <c r="O7" i="4"/>
  <c r="O8" i="4"/>
  <c r="L31" i="49"/>
  <c r="M30" i="49" s="1"/>
  <c r="C194" i="12"/>
  <c r="D20" i="12"/>
  <c r="C36" i="20"/>
  <c r="D38" i="12"/>
  <c r="D92" i="12"/>
  <c r="D39" i="12"/>
  <c r="D215" i="12"/>
  <c r="O8" i="8"/>
  <c r="O9" i="8"/>
  <c r="O10" i="8"/>
  <c r="O7" i="8"/>
  <c r="F40" i="12"/>
  <c r="E42" i="12"/>
  <c r="E41" i="12"/>
  <c r="C38" i="19"/>
  <c r="D44" i="14"/>
  <c r="D49" i="14"/>
  <c r="D122" i="14"/>
  <c r="D48" i="14"/>
  <c r="D216" i="14"/>
  <c r="P31" i="49"/>
  <c r="D220" i="14" l="1"/>
  <c r="O9" i="4"/>
  <c r="C200" i="14"/>
  <c r="D167" i="12"/>
  <c r="D134" i="14"/>
  <c r="D66" i="14"/>
  <c r="D70" i="14"/>
  <c r="D71" i="14"/>
  <c r="D67" i="14" s="1"/>
  <c r="D217" i="12"/>
  <c r="AJ59" i="51"/>
  <c r="E29" i="51"/>
  <c r="C34" i="53"/>
  <c r="E32" i="14"/>
  <c r="D102" i="12"/>
  <c r="E24" i="51"/>
  <c r="D24" i="12"/>
  <c r="D22" i="12" s="1"/>
  <c r="E43" i="12"/>
  <c r="D25" i="12"/>
  <c r="AJ39" i="51"/>
  <c r="C37" i="20"/>
  <c r="E166" i="12"/>
  <c r="AJ17" i="51"/>
  <c r="E83" i="12"/>
  <c r="E34" i="12"/>
  <c r="E21" i="51"/>
  <c r="D52" i="51"/>
  <c r="E83" i="14"/>
  <c r="E29" i="12"/>
  <c r="O11" i="8"/>
  <c r="J13" i="3"/>
  <c r="E32" i="12"/>
  <c r="K7" i="26"/>
  <c r="K9" i="26" s="1"/>
  <c r="K8" i="26"/>
  <c r="D35" i="53"/>
  <c r="E59" i="51"/>
  <c r="D45" i="12"/>
  <c r="F27" i="51"/>
  <c r="AL26" i="51"/>
  <c r="G26" i="51"/>
  <c r="F28" i="51"/>
  <c r="F28" i="12"/>
  <c r="F27" i="12"/>
  <c r="F31" i="12"/>
  <c r="F30" i="12"/>
  <c r="G26" i="12"/>
  <c r="D89" i="14"/>
  <c r="D22" i="14"/>
  <c r="E38" i="14"/>
  <c r="E37" i="51"/>
  <c r="E38" i="51"/>
  <c r="G40" i="14"/>
  <c r="F42" i="14"/>
  <c r="F41" i="14"/>
  <c r="D36" i="12"/>
  <c r="AK19" i="51"/>
  <c r="AK23" i="51"/>
  <c r="AK20" i="51"/>
  <c r="AK22" i="51"/>
  <c r="E43" i="14"/>
  <c r="C200" i="12"/>
  <c r="C204" i="12"/>
  <c r="C210" i="12" s="1"/>
  <c r="C40" i="20"/>
  <c r="D70" i="12"/>
  <c r="D66" i="12"/>
  <c r="D85" i="12" s="1"/>
  <c r="D71" i="12"/>
  <c r="D220" i="12"/>
  <c r="D221" i="12" s="1"/>
  <c r="AK28" i="51"/>
  <c r="AK27" i="51"/>
  <c r="D21" i="14"/>
  <c r="D68" i="14"/>
  <c r="AL10" i="51"/>
  <c r="F12" i="51"/>
  <c r="G10" i="51"/>
  <c r="F36" i="51"/>
  <c r="D45" i="14"/>
  <c r="F28" i="14"/>
  <c r="F27" i="14"/>
  <c r="F31" i="14"/>
  <c r="F30" i="14"/>
  <c r="G26" i="14"/>
  <c r="M31" i="49"/>
  <c r="M29" i="49"/>
  <c r="M28" i="49"/>
  <c r="M26" i="49"/>
  <c r="M27" i="49"/>
  <c r="F13" i="12"/>
  <c r="F62" i="12"/>
  <c r="G12" i="12"/>
  <c r="E38" i="12"/>
  <c r="D85" i="14"/>
  <c r="E29" i="14"/>
  <c r="E13" i="51"/>
  <c r="E14" i="51"/>
  <c r="D221" i="14"/>
  <c r="F13" i="14"/>
  <c r="F62" i="14"/>
  <c r="G12" i="14"/>
  <c r="D35" i="14"/>
  <c r="E63" i="12"/>
  <c r="E64" i="12"/>
  <c r="C37" i="54"/>
  <c r="AJ65" i="51"/>
  <c r="AK12" i="51"/>
  <c r="AK36" i="51"/>
  <c r="E64" i="14"/>
  <c r="E63" i="14"/>
  <c r="D35" i="12"/>
  <c r="G40" i="12"/>
  <c r="F42" i="12"/>
  <c r="F41" i="12"/>
  <c r="AJ52" i="51"/>
  <c r="E44" i="51"/>
  <c r="S31" i="49"/>
  <c r="G18" i="51"/>
  <c r="F20" i="51"/>
  <c r="F22" i="51"/>
  <c r="F19" i="51"/>
  <c r="F23" i="51"/>
  <c r="AL18" i="51"/>
  <c r="D46" i="14"/>
  <c r="D95" i="12"/>
  <c r="D168" i="12"/>
  <c r="D90" i="12"/>
  <c r="D21" i="12"/>
  <c r="E14" i="12"/>
  <c r="E34" i="14"/>
  <c r="D36" i="14"/>
  <c r="D46" i="12"/>
  <c r="E14" i="14"/>
  <c r="D90" i="14" l="1"/>
  <c r="E33" i="14"/>
  <c r="E65" i="14"/>
  <c r="E15" i="51"/>
  <c r="F29" i="51"/>
  <c r="F38" i="14"/>
  <c r="F36" i="14" s="1"/>
  <c r="C34" i="54"/>
  <c r="AK29" i="51"/>
  <c r="D35" i="54" s="1"/>
  <c r="E216" i="12"/>
  <c r="E82" i="14"/>
  <c r="F43" i="14"/>
  <c r="E48" i="12"/>
  <c r="F32" i="12"/>
  <c r="E49" i="12"/>
  <c r="E122" i="12"/>
  <c r="E25" i="51"/>
  <c r="F83" i="14"/>
  <c r="E82" i="12"/>
  <c r="F166" i="12"/>
  <c r="E44" i="12"/>
  <c r="E65" i="12"/>
  <c r="F83" i="12"/>
  <c r="E39" i="51"/>
  <c r="E65" i="51" s="1"/>
  <c r="F38" i="12"/>
  <c r="F36" i="12" s="1"/>
  <c r="D38" i="20"/>
  <c r="F14" i="14"/>
  <c r="F21" i="51"/>
  <c r="F43" i="12"/>
  <c r="E38" i="20" s="1"/>
  <c r="F14" i="12"/>
  <c r="E33" i="12"/>
  <c r="F44" i="12"/>
  <c r="F122" i="12"/>
  <c r="E38" i="19"/>
  <c r="F44" i="14"/>
  <c r="F49" i="14"/>
  <c r="F122" i="14"/>
  <c r="F48" i="14"/>
  <c r="F216" i="14"/>
  <c r="E71" i="14"/>
  <c r="E220" i="14"/>
  <c r="E35" i="53"/>
  <c r="F15" i="14"/>
  <c r="AL12" i="51"/>
  <c r="AL36" i="51"/>
  <c r="G41" i="14"/>
  <c r="H40" i="14"/>
  <c r="G42" i="14"/>
  <c r="D40" i="20"/>
  <c r="E71" i="12"/>
  <c r="E70" i="12"/>
  <c r="E134" i="12"/>
  <c r="E66" i="12"/>
  <c r="E220" i="12"/>
  <c r="D226" i="12"/>
  <c r="F34" i="14"/>
  <c r="D67" i="12"/>
  <c r="D38" i="19"/>
  <c r="E44" i="14"/>
  <c r="E49" i="14"/>
  <c r="E122" i="14"/>
  <c r="E48" i="14"/>
  <c r="E216" i="14"/>
  <c r="F34" i="12"/>
  <c r="G27" i="51"/>
  <c r="AM26" i="51"/>
  <c r="H26" i="51"/>
  <c r="G28" i="51"/>
  <c r="E45" i="12"/>
  <c r="H40" i="12"/>
  <c r="G42" i="12"/>
  <c r="G41" i="12"/>
  <c r="AK37" i="51"/>
  <c r="AK38" i="51"/>
  <c r="E36" i="12"/>
  <c r="G28" i="14"/>
  <c r="G27" i="14"/>
  <c r="G31" i="14"/>
  <c r="G30" i="14"/>
  <c r="H26" i="14"/>
  <c r="AK24" i="51"/>
  <c r="G28" i="12"/>
  <c r="G27" i="12"/>
  <c r="G31" i="12"/>
  <c r="G30" i="12"/>
  <c r="H26" i="12"/>
  <c r="AL28" i="51"/>
  <c r="AL27" i="51"/>
  <c r="AK14" i="51"/>
  <c r="AK13" i="51"/>
  <c r="D37" i="14"/>
  <c r="E17" i="51"/>
  <c r="F32" i="14"/>
  <c r="D47" i="14"/>
  <c r="E36" i="14"/>
  <c r="F24" i="51"/>
  <c r="E15" i="12"/>
  <c r="H18" i="51"/>
  <c r="G20" i="51"/>
  <c r="G22" i="51"/>
  <c r="G19" i="51"/>
  <c r="G23" i="51"/>
  <c r="AM18" i="51"/>
  <c r="D37" i="12"/>
  <c r="H12" i="14"/>
  <c r="G13" i="14"/>
  <c r="G62" i="14"/>
  <c r="D36" i="19"/>
  <c r="E39" i="14"/>
  <c r="E92" i="14"/>
  <c r="E215" i="14"/>
  <c r="G13" i="12"/>
  <c r="G62" i="12"/>
  <c r="G166" i="12" s="1"/>
  <c r="H12" i="12"/>
  <c r="F38" i="51"/>
  <c r="F37" i="51"/>
  <c r="D86" i="14"/>
  <c r="D23" i="14"/>
  <c r="D86" i="12"/>
  <c r="D23" i="12"/>
  <c r="G36" i="51"/>
  <c r="AM10" i="51"/>
  <c r="G12" i="51"/>
  <c r="H10" i="51"/>
  <c r="F64" i="14"/>
  <c r="F63" i="14"/>
  <c r="F64" i="12"/>
  <c r="F63" i="12"/>
  <c r="D68" i="12"/>
  <c r="E15" i="14"/>
  <c r="AL19" i="51"/>
  <c r="AL23" i="51"/>
  <c r="AL20" i="51"/>
  <c r="AL22" i="51"/>
  <c r="D89" i="12"/>
  <c r="D69" i="14"/>
  <c r="F29" i="14"/>
  <c r="F13" i="51"/>
  <c r="F14" i="51"/>
  <c r="AK21" i="51"/>
  <c r="D87" i="14"/>
  <c r="F29" i="12"/>
  <c r="D47" i="12"/>
  <c r="AK59" i="51" l="1"/>
  <c r="F65" i="12"/>
  <c r="F82" i="12"/>
  <c r="G83" i="14"/>
  <c r="E134" i="14"/>
  <c r="E214" i="14"/>
  <c r="E224" i="14" s="1"/>
  <c r="D87" i="12"/>
  <c r="F33" i="12"/>
  <c r="E36" i="20" s="1"/>
  <c r="AL24" i="51"/>
  <c r="E16" i="12"/>
  <c r="F15" i="12"/>
  <c r="E66" i="14"/>
  <c r="E43" i="51"/>
  <c r="F33" i="14"/>
  <c r="D33" i="53"/>
  <c r="E48" i="51"/>
  <c r="F82" i="14"/>
  <c r="G83" i="12"/>
  <c r="F16" i="14"/>
  <c r="E70" i="14"/>
  <c r="E214" i="12"/>
  <c r="E224" i="12" s="1"/>
  <c r="G43" i="12"/>
  <c r="F38" i="20" s="1"/>
  <c r="F49" i="12"/>
  <c r="AL21" i="51"/>
  <c r="G34" i="14"/>
  <c r="G43" i="14"/>
  <c r="D37" i="53"/>
  <c r="D40" i="19"/>
  <c r="AK25" i="51"/>
  <c r="E16" i="14"/>
  <c r="F39" i="51"/>
  <c r="G21" i="51"/>
  <c r="G32" i="12"/>
  <c r="G29" i="14"/>
  <c r="E46" i="12"/>
  <c r="F59" i="51"/>
  <c r="F216" i="12"/>
  <c r="D36" i="20"/>
  <c r="E39" i="12"/>
  <c r="E92" i="12"/>
  <c r="E215" i="12"/>
  <c r="G14" i="14"/>
  <c r="G38" i="12"/>
  <c r="AK39" i="51"/>
  <c r="F48" i="12"/>
  <c r="F15" i="51"/>
  <c r="AL29" i="51"/>
  <c r="AL59" i="51" s="1"/>
  <c r="G29" i="51"/>
  <c r="F35" i="53" s="1"/>
  <c r="G44" i="12"/>
  <c r="G122" i="12"/>
  <c r="G49" i="12"/>
  <c r="G48" i="12"/>
  <c r="G216" i="12"/>
  <c r="E40" i="20"/>
  <c r="F71" i="12"/>
  <c r="F70" i="12"/>
  <c r="F134" i="12"/>
  <c r="F66" i="12"/>
  <c r="F220" i="12"/>
  <c r="E37" i="53"/>
  <c r="F65" i="51"/>
  <c r="AL13" i="51"/>
  <c r="AL14" i="51"/>
  <c r="E35" i="14"/>
  <c r="AN18" i="51"/>
  <c r="I18" i="51"/>
  <c r="H20" i="51"/>
  <c r="H22" i="51"/>
  <c r="H19" i="51"/>
  <c r="H23" i="51"/>
  <c r="AK15" i="51"/>
  <c r="H28" i="12"/>
  <c r="H27" i="12"/>
  <c r="H31" i="12"/>
  <c r="H30" i="12"/>
  <c r="I26" i="12"/>
  <c r="AK44" i="51"/>
  <c r="F38" i="19"/>
  <c r="G48" i="14"/>
  <c r="G44" i="14"/>
  <c r="G49" i="14"/>
  <c r="G122" i="14"/>
  <c r="G216" i="14"/>
  <c r="I10" i="51"/>
  <c r="H36" i="51"/>
  <c r="AN10" i="51"/>
  <c r="H12" i="51"/>
  <c r="D88" i="14"/>
  <c r="G64" i="12"/>
  <c r="G63" i="12"/>
  <c r="G64" i="14"/>
  <c r="G63" i="14"/>
  <c r="AM19" i="51"/>
  <c r="AM23" i="51"/>
  <c r="AM20" i="51"/>
  <c r="AM22" i="51"/>
  <c r="I26" i="14"/>
  <c r="H28" i="14"/>
  <c r="H27" i="14"/>
  <c r="H31" i="14"/>
  <c r="H30" i="14"/>
  <c r="H27" i="51"/>
  <c r="AN26" i="51"/>
  <c r="I26" i="51"/>
  <c r="H28" i="51"/>
  <c r="H41" i="14"/>
  <c r="I40" i="14"/>
  <c r="H42" i="14"/>
  <c r="E67" i="14"/>
  <c r="F46" i="12"/>
  <c r="I12" i="12"/>
  <c r="H13" i="12"/>
  <c r="H62" i="12"/>
  <c r="E46" i="14"/>
  <c r="G14" i="51"/>
  <c r="G13" i="51"/>
  <c r="G32" i="14"/>
  <c r="H41" i="12"/>
  <c r="I40" i="12"/>
  <c r="H42" i="12"/>
  <c r="AM28" i="51"/>
  <c r="AM27" i="51"/>
  <c r="E45" i="14"/>
  <c r="F45" i="12"/>
  <c r="E17" i="12"/>
  <c r="E68" i="14"/>
  <c r="D33" i="54"/>
  <c r="AK48" i="51"/>
  <c r="F65" i="14"/>
  <c r="AM12" i="51"/>
  <c r="AM36" i="51"/>
  <c r="G14" i="12"/>
  <c r="G15" i="14"/>
  <c r="F44" i="51"/>
  <c r="D34" i="53"/>
  <c r="E52" i="51"/>
  <c r="G29" i="12"/>
  <c r="G38" i="14"/>
  <c r="AL37" i="51"/>
  <c r="AL38" i="51"/>
  <c r="I12" i="14"/>
  <c r="H13" i="14"/>
  <c r="H62" i="14"/>
  <c r="G24" i="51"/>
  <c r="E67" i="12"/>
  <c r="F16" i="12"/>
  <c r="G38" i="51"/>
  <c r="G37" i="51"/>
  <c r="E68" i="12"/>
  <c r="F46" i="14"/>
  <c r="F17" i="51"/>
  <c r="E36" i="19"/>
  <c r="F39" i="14"/>
  <c r="F92" i="14"/>
  <c r="F215" i="14"/>
  <c r="G34" i="12"/>
  <c r="E47" i="12"/>
  <c r="D69" i="12"/>
  <c r="F45" i="14"/>
  <c r="F25" i="51"/>
  <c r="F215" i="12" l="1"/>
  <c r="F92" i="12"/>
  <c r="F39" i="12"/>
  <c r="E35" i="54"/>
  <c r="AL39" i="51"/>
  <c r="F43" i="51"/>
  <c r="D88" i="12"/>
  <c r="H83" i="14"/>
  <c r="E17" i="14"/>
  <c r="H34" i="14"/>
  <c r="H38" i="12"/>
  <c r="H166" i="12"/>
  <c r="G65" i="12"/>
  <c r="G71" i="12" s="1"/>
  <c r="D37" i="54"/>
  <c r="G39" i="51"/>
  <c r="H83" i="12"/>
  <c r="H29" i="51"/>
  <c r="G82" i="12"/>
  <c r="H29" i="12"/>
  <c r="G36" i="12"/>
  <c r="E46" i="51"/>
  <c r="G65" i="14"/>
  <c r="AM24" i="51"/>
  <c r="F214" i="14"/>
  <c r="F224" i="14" s="1"/>
  <c r="H43" i="12"/>
  <c r="F214" i="12"/>
  <c r="F224" i="12" s="1"/>
  <c r="F17" i="12"/>
  <c r="F81" i="12" s="1"/>
  <c r="G33" i="14"/>
  <c r="G59" i="51"/>
  <c r="G33" i="12"/>
  <c r="AL44" i="51"/>
  <c r="G44" i="51"/>
  <c r="F17" i="14"/>
  <c r="H21" i="51"/>
  <c r="E35" i="12"/>
  <c r="AL25" i="51"/>
  <c r="H14" i="12"/>
  <c r="H15" i="12" s="1"/>
  <c r="AK65" i="51"/>
  <c r="H14" i="14"/>
  <c r="AM29" i="51"/>
  <c r="H43" i="14"/>
  <c r="G38" i="19" s="1"/>
  <c r="H32" i="14"/>
  <c r="H34" i="12"/>
  <c r="F37" i="53"/>
  <c r="G65" i="51"/>
  <c r="H44" i="14"/>
  <c r="H122" i="12"/>
  <c r="H49" i="12"/>
  <c r="I41" i="12"/>
  <c r="J40" i="12"/>
  <c r="I42" i="12"/>
  <c r="E81" i="12"/>
  <c r="E19" i="12"/>
  <c r="AN36" i="51"/>
  <c r="AN12" i="51"/>
  <c r="G46" i="14"/>
  <c r="AK43" i="51"/>
  <c r="AK17" i="51"/>
  <c r="AM13" i="51"/>
  <c r="AM14" i="51"/>
  <c r="E47" i="14"/>
  <c r="I42" i="14"/>
  <c r="I41" i="14"/>
  <c r="J40" i="14"/>
  <c r="I30" i="14"/>
  <c r="J26" i="14"/>
  <c r="I28" i="14"/>
  <c r="I27" i="14"/>
  <c r="I31" i="14"/>
  <c r="H38" i="51"/>
  <c r="H37" i="51"/>
  <c r="H32" i="12"/>
  <c r="G46" i="12"/>
  <c r="AM37" i="51"/>
  <c r="AM38" i="51"/>
  <c r="E37" i="14"/>
  <c r="E33" i="53"/>
  <c r="F48" i="51"/>
  <c r="E37" i="54"/>
  <c r="AL65" i="51"/>
  <c r="E40" i="19"/>
  <c r="F71" i="14"/>
  <c r="F70" i="14"/>
  <c r="F66" i="14"/>
  <c r="F134" i="14"/>
  <c r="F220" i="14"/>
  <c r="F47" i="12"/>
  <c r="F36" i="19"/>
  <c r="G39" i="14"/>
  <c r="G92" i="14"/>
  <c r="G215" i="14"/>
  <c r="AM44" i="51"/>
  <c r="J10" i="51"/>
  <c r="I36" i="51"/>
  <c r="AO10" i="51"/>
  <c r="I12" i="51"/>
  <c r="H36" i="12"/>
  <c r="AL15" i="51"/>
  <c r="G45" i="12"/>
  <c r="J12" i="12"/>
  <c r="I13" i="12"/>
  <c r="I62" i="12"/>
  <c r="F35" i="14"/>
  <c r="H64" i="14"/>
  <c r="H63" i="14"/>
  <c r="H38" i="14"/>
  <c r="F68" i="12"/>
  <c r="G36" i="14"/>
  <c r="AN27" i="51"/>
  <c r="AN28" i="51"/>
  <c r="AN20" i="51"/>
  <c r="AN22" i="51"/>
  <c r="AN19" i="51"/>
  <c r="AN23" i="51"/>
  <c r="F47" i="14"/>
  <c r="E69" i="12"/>
  <c r="E69" i="14"/>
  <c r="H24" i="51"/>
  <c r="F67" i="12"/>
  <c r="H14" i="51"/>
  <c r="H13" i="51"/>
  <c r="J26" i="12"/>
  <c r="I28" i="12"/>
  <c r="I27" i="12"/>
  <c r="I31" i="12"/>
  <c r="I30" i="12"/>
  <c r="E34" i="53"/>
  <c r="F52" i="51"/>
  <c r="F19" i="14"/>
  <c r="G15" i="51"/>
  <c r="H64" i="12"/>
  <c r="H63" i="12"/>
  <c r="H29" i="14"/>
  <c r="G45" i="14"/>
  <c r="G25" i="51"/>
  <c r="G15" i="12"/>
  <c r="F36" i="20"/>
  <c r="G39" i="12"/>
  <c r="G92" i="12"/>
  <c r="G215" i="12"/>
  <c r="I62" i="14"/>
  <c r="J12" i="14"/>
  <c r="I13" i="14"/>
  <c r="G16" i="14"/>
  <c r="I27" i="51"/>
  <c r="AO26" i="51"/>
  <c r="J26" i="51"/>
  <c r="I28" i="51"/>
  <c r="AM21" i="51"/>
  <c r="G82" i="14"/>
  <c r="AO18" i="51"/>
  <c r="J18" i="51"/>
  <c r="I20" i="51"/>
  <c r="I22" i="51"/>
  <c r="I19" i="51"/>
  <c r="I23" i="51"/>
  <c r="F35" i="12"/>
  <c r="H48" i="14" l="1"/>
  <c r="H49" i="14"/>
  <c r="G220" i="12"/>
  <c r="G66" i="12"/>
  <c r="F19" i="12"/>
  <c r="I29" i="12"/>
  <c r="G214" i="12"/>
  <c r="G224" i="12" s="1"/>
  <c r="H16" i="12"/>
  <c r="H17" i="12" s="1"/>
  <c r="I83" i="14"/>
  <c r="I43" i="14"/>
  <c r="G220" i="14"/>
  <c r="H65" i="14"/>
  <c r="G40" i="19" s="1"/>
  <c r="AK46" i="51"/>
  <c r="G16" i="12"/>
  <c r="F81" i="14"/>
  <c r="H44" i="12"/>
  <c r="G214" i="14"/>
  <c r="G224" i="14" s="1"/>
  <c r="H15" i="14"/>
  <c r="H59" i="51"/>
  <c r="I166" i="12"/>
  <c r="G134" i="12"/>
  <c r="H48" i="12"/>
  <c r="G134" i="14"/>
  <c r="H39" i="51"/>
  <c r="AM25" i="51"/>
  <c r="G35" i="53"/>
  <c r="I83" i="12"/>
  <c r="G70" i="12"/>
  <c r="G38" i="20"/>
  <c r="G70" i="14"/>
  <c r="E33" i="54"/>
  <c r="AL48" i="51"/>
  <c r="I43" i="12"/>
  <c r="I29" i="51"/>
  <c r="G17" i="14"/>
  <c r="H44" i="51"/>
  <c r="H33" i="12"/>
  <c r="H215" i="12" s="1"/>
  <c r="H15" i="51"/>
  <c r="H65" i="12"/>
  <c r="H70" i="12" s="1"/>
  <c r="I32" i="12"/>
  <c r="AN21" i="51"/>
  <c r="E19" i="14"/>
  <c r="F40" i="20"/>
  <c r="G66" i="14"/>
  <c r="H216" i="14"/>
  <c r="E37" i="12"/>
  <c r="I32" i="14"/>
  <c r="H33" i="14"/>
  <c r="H39" i="14" s="1"/>
  <c r="I29" i="14"/>
  <c r="G71" i="14"/>
  <c r="H82" i="12"/>
  <c r="H82" i="14"/>
  <c r="E81" i="14"/>
  <c r="E213" i="14" s="1"/>
  <c r="H216" i="12"/>
  <c r="H122" i="14"/>
  <c r="F40" i="19"/>
  <c r="F35" i="54"/>
  <c r="F46" i="51"/>
  <c r="I21" i="51"/>
  <c r="AM39" i="51"/>
  <c r="F37" i="54" s="1"/>
  <c r="AM59" i="51"/>
  <c r="AN29" i="51"/>
  <c r="I34" i="14"/>
  <c r="G40" i="20"/>
  <c r="H38" i="19"/>
  <c r="I49" i="14"/>
  <c r="I122" i="14"/>
  <c r="I48" i="14"/>
  <c r="I44" i="14"/>
  <c r="I216" i="14"/>
  <c r="G81" i="14"/>
  <c r="G19" i="14"/>
  <c r="H134" i="14"/>
  <c r="H220" i="14"/>
  <c r="AM65" i="51"/>
  <c r="G36" i="20"/>
  <c r="H39" i="12"/>
  <c r="H92" i="12"/>
  <c r="AO20" i="51"/>
  <c r="AO22" i="51"/>
  <c r="AO19" i="51"/>
  <c r="AO23" i="51"/>
  <c r="E37" i="20"/>
  <c r="F20" i="12"/>
  <c r="F25" i="12"/>
  <c r="F24" i="12"/>
  <c r="F102" i="12"/>
  <c r="F217" i="12"/>
  <c r="F37" i="12"/>
  <c r="I38" i="12"/>
  <c r="F69" i="12"/>
  <c r="AN13" i="51"/>
  <c r="AN14" i="51"/>
  <c r="F213" i="12"/>
  <c r="F84" i="12"/>
  <c r="H35" i="53"/>
  <c r="I59" i="51"/>
  <c r="E37" i="19"/>
  <c r="F102" i="14"/>
  <c r="F20" i="14"/>
  <c r="F25" i="14"/>
  <c r="F24" i="14"/>
  <c r="F217" i="14"/>
  <c r="G68" i="12"/>
  <c r="J30" i="14"/>
  <c r="K26" i="14"/>
  <c r="J28" i="14"/>
  <c r="J27" i="14"/>
  <c r="J31" i="14"/>
  <c r="AN24" i="51"/>
  <c r="I14" i="12"/>
  <c r="I38" i="14"/>
  <c r="AN37" i="51"/>
  <c r="AN38" i="51"/>
  <c r="H25" i="51"/>
  <c r="G47" i="12"/>
  <c r="H46" i="12"/>
  <c r="F33" i="54"/>
  <c r="AM48" i="51"/>
  <c r="G35" i="12"/>
  <c r="H43" i="51"/>
  <c r="J62" i="12"/>
  <c r="K12" i="12"/>
  <c r="J13" i="12"/>
  <c r="I14" i="51"/>
  <c r="I13" i="51"/>
  <c r="J42" i="14"/>
  <c r="J41" i="14"/>
  <c r="K40" i="14"/>
  <c r="AM15" i="51"/>
  <c r="G47" i="14"/>
  <c r="D37" i="19"/>
  <c r="E102" i="14"/>
  <c r="E20" i="14"/>
  <c r="E25" i="14"/>
  <c r="E24" i="14"/>
  <c r="E217" i="14"/>
  <c r="H38" i="20"/>
  <c r="I49" i="12"/>
  <c r="I48" i="12"/>
  <c r="I44" i="12"/>
  <c r="I122" i="12"/>
  <c r="I216" i="12"/>
  <c r="F213" i="14"/>
  <c r="F84" i="14"/>
  <c r="G67" i="12"/>
  <c r="I14" i="14"/>
  <c r="F33" i="53"/>
  <c r="G48" i="51"/>
  <c r="H16" i="14"/>
  <c r="H17" i="51"/>
  <c r="F37" i="14"/>
  <c r="AO36" i="51"/>
  <c r="AO12" i="51"/>
  <c r="G35" i="14"/>
  <c r="F68" i="14"/>
  <c r="D37" i="20"/>
  <c r="E20" i="12"/>
  <c r="E25" i="12"/>
  <c r="E24" i="12"/>
  <c r="E102" i="12"/>
  <c r="E217" i="12"/>
  <c r="H45" i="12"/>
  <c r="G68" i="14"/>
  <c r="H45" i="14"/>
  <c r="AL43" i="51"/>
  <c r="AL17" i="51"/>
  <c r="I24" i="51"/>
  <c r="K26" i="51"/>
  <c r="J28" i="51"/>
  <c r="J27" i="51"/>
  <c r="AP26" i="51"/>
  <c r="J13" i="14"/>
  <c r="J14" i="14" s="1"/>
  <c r="J62" i="14"/>
  <c r="K12" i="14"/>
  <c r="G43" i="51"/>
  <c r="G17" i="51"/>
  <c r="I37" i="51"/>
  <c r="I38" i="51"/>
  <c r="F67" i="14"/>
  <c r="D34" i="54"/>
  <c r="AK52" i="51"/>
  <c r="E213" i="12"/>
  <c r="E84" i="12"/>
  <c r="H46" i="14"/>
  <c r="J30" i="12"/>
  <c r="K26" i="12"/>
  <c r="J28" i="12"/>
  <c r="J27" i="12"/>
  <c r="J31" i="12"/>
  <c r="G36" i="19"/>
  <c r="I64" i="12"/>
  <c r="I63" i="12"/>
  <c r="J42" i="12"/>
  <c r="J41" i="12"/>
  <c r="K40" i="12"/>
  <c r="J19" i="51"/>
  <c r="J23" i="51"/>
  <c r="AP18" i="51"/>
  <c r="K18" i="51"/>
  <c r="J20" i="51"/>
  <c r="J22" i="51"/>
  <c r="AO27" i="51"/>
  <c r="AO28" i="51"/>
  <c r="I64" i="14"/>
  <c r="I63" i="14"/>
  <c r="I34" i="12"/>
  <c r="H36" i="14"/>
  <c r="AP10" i="51"/>
  <c r="J12" i="51"/>
  <c r="K10" i="51"/>
  <c r="J36" i="51"/>
  <c r="H92" i="14" l="1"/>
  <c r="H215" i="14"/>
  <c r="H71" i="12"/>
  <c r="H66" i="12"/>
  <c r="H220" i="12"/>
  <c r="H134" i="12"/>
  <c r="H70" i="14"/>
  <c r="H71" i="14"/>
  <c r="H67" i="14" s="1"/>
  <c r="E84" i="14"/>
  <c r="H66" i="14"/>
  <c r="J83" i="12"/>
  <c r="G67" i="14"/>
  <c r="I39" i="51"/>
  <c r="H37" i="53" s="1"/>
  <c r="J29" i="51"/>
  <c r="AO24" i="51"/>
  <c r="H214" i="12"/>
  <c r="H224" i="12" s="1"/>
  <c r="G35" i="54"/>
  <c r="G46" i="51"/>
  <c r="H46" i="51"/>
  <c r="I82" i="14"/>
  <c r="AO29" i="51"/>
  <c r="J43" i="14"/>
  <c r="J122" i="14" s="1"/>
  <c r="I33" i="14"/>
  <c r="J38" i="12"/>
  <c r="J36" i="12" s="1"/>
  <c r="I33" i="12"/>
  <c r="AL46" i="51"/>
  <c r="H17" i="14"/>
  <c r="H65" i="51"/>
  <c r="J166" i="12"/>
  <c r="I82" i="12"/>
  <c r="J83" i="14"/>
  <c r="G17" i="12"/>
  <c r="G81" i="12" s="1"/>
  <c r="G37" i="53"/>
  <c r="H214" i="14"/>
  <c r="H224" i="14" s="1"/>
  <c r="J29" i="14"/>
  <c r="I65" i="12"/>
  <c r="I66" i="12" s="1"/>
  <c r="J29" i="12"/>
  <c r="AN39" i="51"/>
  <c r="G37" i="54" s="1"/>
  <c r="I65" i="14"/>
  <c r="I66" i="14" s="1"/>
  <c r="J32" i="12"/>
  <c r="J21" i="51"/>
  <c r="AN59" i="51"/>
  <c r="I71" i="12"/>
  <c r="I134" i="12"/>
  <c r="I71" i="14"/>
  <c r="I70" i="14"/>
  <c r="I220" i="14"/>
  <c r="I35" i="53"/>
  <c r="J59" i="51"/>
  <c r="H35" i="54"/>
  <c r="AO59" i="51"/>
  <c r="I38" i="19"/>
  <c r="J44" i="14"/>
  <c r="J216" i="14"/>
  <c r="K19" i="51"/>
  <c r="K23" i="51"/>
  <c r="AQ18" i="51"/>
  <c r="L18" i="51"/>
  <c r="K20" i="51"/>
  <c r="K22" i="51"/>
  <c r="E168" i="12"/>
  <c r="E167" i="12"/>
  <c r="I15" i="14"/>
  <c r="E22" i="14"/>
  <c r="E89" i="14"/>
  <c r="F85" i="14"/>
  <c r="I36" i="12"/>
  <c r="F85" i="12"/>
  <c r="F37" i="19"/>
  <c r="G24" i="14"/>
  <c r="G102" i="14"/>
  <c r="G20" i="14"/>
  <c r="G25" i="14"/>
  <c r="G217" i="14"/>
  <c r="AP27" i="51"/>
  <c r="AP28" i="51"/>
  <c r="AM43" i="51"/>
  <c r="AM17" i="51"/>
  <c r="G213" i="14"/>
  <c r="G84" i="14"/>
  <c r="AP36" i="51"/>
  <c r="AP12" i="51"/>
  <c r="H47" i="14"/>
  <c r="I46" i="12"/>
  <c r="E85" i="14"/>
  <c r="K42" i="14"/>
  <c r="K41" i="14"/>
  <c r="L40" i="14"/>
  <c r="G37" i="12"/>
  <c r="I15" i="12"/>
  <c r="AN15" i="51"/>
  <c r="E21" i="14"/>
  <c r="E90" i="14"/>
  <c r="F34" i="53"/>
  <c r="G52" i="51"/>
  <c r="G69" i="12"/>
  <c r="I45" i="12"/>
  <c r="G33" i="53"/>
  <c r="H48" i="51"/>
  <c r="AN44" i="51"/>
  <c r="AN25" i="51"/>
  <c r="E221" i="14"/>
  <c r="E223" i="14"/>
  <c r="J14" i="51"/>
  <c r="J13" i="51"/>
  <c r="G69" i="14"/>
  <c r="E89" i="12"/>
  <c r="E22" i="12"/>
  <c r="G37" i="14"/>
  <c r="G34" i="53"/>
  <c r="H52" i="51"/>
  <c r="J14" i="12"/>
  <c r="J34" i="14"/>
  <c r="H68" i="12"/>
  <c r="J15" i="14"/>
  <c r="L26" i="51"/>
  <c r="K28" i="51"/>
  <c r="K27" i="51"/>
  <c r="AQ26" i="51"/>
  <c r="E21" i="12"/>
  <c r="E90" i="12"/>
  <c r="F221" i="14"/>
  <c r="F223" i="14"/>
  <c r="K13" i="12"/>
  <c r="K62" i="12"/>
  <c r="L12" i="12"/>
  <c r="K27" i="14"/>
  <c r="K31" i="14"/>
  <c r="K30" i="14"/>
  <c r="L26" i="14"/>
  <c r="K28" i="14"/>
  <c r="I46" i="14"/>
  <c r="H67" i="12"/>
  <c r="H81" i="14"/>
  <c r="H19" i="14"/>
  <c r="J43" i="12"/>
  <c r="J24" i="51"/>
  <c r="K42" i="12"/>
  <c r="K41" i="12"/>
  <c r="L40" i="12"/>
  <c r="J34" i="12"/>
  <c r="F69" i="14"/>
  <c r="K13" i="14"/>
  <c r="K62" i="14"/>
  <c r="L12" i="14"/>
  <c r="I44" i="51"/>
  <c r="I25" i="51"/>
  <c r="E85" i="12"/>
  <c r="AO14" i="51"/>
  <c r="AO13" i="51"/>
  <c r="J64" i="12"/>
  <c r="J63" i="12"/>
  <c r="J32" i="14"/>
  <c r="F22" i="14"/>
  <c r="F89" i="14"/>
  <c r="F168" i="12"/>
  <c r="F167" i="12"/>
  <c r="F22" i="12"/>
  <c r="F89" i="12"/>
  <c r="H35" i="12"/>
  <c r="AQ10" i="51"/>
  <c r="K12" i="51"/>
  <c r="L10" i="51"/>
  <c r="K36" i="51"/>
  <c r="AP20" i="51"/>
  <c r="AP22" i="51"/>
  <c r="AP19" i="51"/>
  <c r="AP23" i="51"/>
  <c r="E223" i="12"/>
  <c r="E221" i="12"/>
  <c r="J37" i="51"/>
  <c r="J38" i="51"/>
  <c r="J39" i="51" s="1"/>
  <c r="H81" i="12"/>
  <c r="H19" i="12"/>
  <c r="H35" i="14"/>
  <c r="K30" i="12"/>
  <c r="L26" i="12"/>
  <c r="K28" i="12"/>
  <c r="K27" i="12"/>
  <c r="K31" i="12"/>
  <c r="J64" i="14"/>
  <c r="J63" i="14"/>
  <c r="E34" i="54"/>
  <c r="AL52" i="51"/>
  <c r="H47" i="12"/>
  <c r="AO37" i="51"/>
  <c r="AO38" i="51"/>
  <c r="I15" i="51"/>
  <c r="I36" i="14"/>
  <c r="J38" i="14"/>
  <c r="F21" i="14"/>
  <c r="F90" i="14"/>
  <c r="F223" i="12"/>
  <c r="F221" i="12"/>
  <c r="F21" i="12"/>
  <c r="F90" i="12"/>
  <c r="AO21" i="51"/>
  <c r="H68" i="14"/>
  <c r="I45" i="14"/>
  <c r="G19" i="12" l="1"/>
  <c r="J48" i="14"/>
  <c r="I65" i="51"/>
  <c r="J49" i="14"/>
  <c r="J33" i="14"/>
  <c r="AP29" i="51"/>
  <c r="AN65" i="51"/>
  <c r="H40" i="20"/>
  <c r="AP21" i="51"/>
  <c r="I214" i="12"/>
  <c r="I224" i="12" s="1"/>
  <c r="AO25" i="51"/>
  <c r="AP24" i="51"/>
  <c r="J82" i="12"/>
  <c r="K83" i="14"/>
  <c r="K24" i="51"/>
  <c r="AO44" i="51"/>
  <c r="J33" i="12"/>
  <c r="I92" i="14"/>
  <c r="I215" i="14"/>
  <c r="I39" i="14"/>
  <c r="H36" i="19"/>
  <c r="I214" i="14"/>
  <c r="I224" i="14" s="1"/>
  <c r="J65" i="14"/>
  <c r="AO15" i="51"/>
  <c r="AO43" i="51" s="1"/>
  <c r="K29" i="51"/>
  <c r="J15" i="51"/>
  <c r="K83" i="12"/>
  <c r="I220" i="12"/>
  <c r="H40" i="19"/>
  <c r="I215" i="12"/>
  <c r="H36" i="20"/>
  <c r="I92" i="12"/>
  <c r="I39" i="12"/>
  <c r="J65" i="12"/>
  <c r="J71" i="12" s="1"/>
  <c r="K43" i="14"/>
  <c r="K122" i="14" s="1"/>
  <c r="AM46" i="51"/>
  <c r="K21" i="51"/>
  <c r="I134" i="14"/>
  <c r="I70" i="12"/>
  <c r="K32" i="14"/>
  <c r="K38" i="14"/>
  <c r="J82" i="14"/>
  <c r="K38" i="12"/>
  <c r="AO39" i="51"/>
  <c r="K43" i="12"/>
  <c r="K49" i="12" s="1"/>
  <c r="K32" i="12"/>
  <c r="I36" i="19"/>
  <c r="J39" i="14"/>
  <c r="J92" i="14"/>
  <c r="J215" i="14"/>
  <c r="I40" i="20"/>
  <c r="AP59" i="51"/>
  <c r="J71" i="14"/>
  <c r="J38" i="20"/>
  <c r="K122" i="12"/>
  <c r="K49" i="14"/>
  <c r="L27" i="14"/>
  <c r="L31" i="14"/>
  <c r="L30" i="14"/>
  <c r="M26" i="14"/>
  <c r="L28" i="14"/>
  <c r="G33" i="54"/>
  <c r="AN48" i="51"/>
  <c r="AP14" i="51"/>
  <c r="AP13" i="51"/>
  <c r="J45" i="14"/>
  <c r="AQ20" i="51"/>
  <c r="AQ22" i="51"/>
  <c r="AQ19" i="51"/>
  <c r="AQ23" i="51"/>
  <c r="F86" i="14"/>
  <c r="F23" i="14"/>
  <c r="K34" i="12"/>
  <c r="AP37" i="51"/>
  <c r="AP38" i="51"/>
  <c r="G22" i="14"/>
  <c r="G89" i="14"/>
  <c r="E87" i="14"/>
  <c r="AQ27" i="51"/>
  <c r="AQ28" i="51"/>
  <c r="H33" i="54"/>
  <c r="AO48" i="51"/>
  <c r="L27" i="12"/>
  <c r="L31" i="12"/>
  <c r="L30" i="12"/>
  <c r="M26" i="12"/>
  <c r="L28" i="12"/>
  <c r="L13" i="14"/>
  <c r="L62" i="14"/>
  <c r="M12" i="14"/>
  <c r="L42" i="12"/>
  <c r="L41" i="12"/>
  <c r="M40" i="12"/>
  <c r="G37" i="19"/>
  <c r="H25" i="14"/>
  <c r="H24" i="14"/>
  <c r="H102" i="14"/>
  <c r="H20" i="14"/>
  <c r="H217" i="14"/>
  <c r="I16" i="12"/>
  <c r="I68" i="12"/>
  <c r="I43" i="51"/>
  <c r="I17" i="51"/>
  <c r="F87" i="12"/>
  <c r="K64" i="12"/>
  <c r="K63" i="12"/>
  <c r="I47" i="12"/>
  <c r="H33" i="53"/>
  <c r="I48" i="51"/>
  <c r="J36" i="14"/>
  <c r="K37" i="51"/>
  <c r="K38" i="51"/>
  <c r="H37" i="12"/>
  <c r="K63" i="14"/>
  <c r="K64" i="14"/>
  <c r="H213" i="14"/>
  <c r="H84" i="14"/>
  <c r="K29" i="14"/>
  <c r="E86" i="14"/>
  <c r="E23" i="14"/>
  <c r="G223" i="14"/>
  <c r="G221" i="14"/>
  <c r="I67" i="12"/>
  <c r="H213" i="12"/>
  <c r="H84" i="12"/>
  <c r="I38" i="20"/>
  <c r="J49" i="12"/>
  <c r="J48" i="12"/>
  <c r="J44" i="12"/>
  <c r="J122" i="12"/>
  <c r="J216" i="12"/>
  <c r="I67" i="14"/>
  <c r="K166" i="12"/>
  <c r="AR26" i="51"/>
  <c r="M26" i="51"/>
  <c r="L28" i="51"/>
  <c r="L27" i="51"/>
  <c r="F37" i="20"/>
  <c r="G20" i="12"/>
  <c r="G25" i="12"/>
  <c r="G24" i="12"/>
  <c r="G102" i="12"/>
  <c r="G217" i="12"/>
  <c r="H69" i="14"/>
  <c r="K44" i="51"/>
  <c r="I37" i="53"/>
  <c r="J65" i="51"/>
  <c r="F86" i="12"/>
  <c r="F23" i="12"/>
  <c r="H37" i="14"/>
  <c r="K14" i="51"/>
  <c r="K13" i="51"/>
  <c r="F87" i="14"/>
  <c r="K14" i="14"/>
  <c r="H69" i="12"/>
  <c r="K14" i="12"/>
  <c r="G213" i="12"/>
  <c r="G84" i="12"/>
  <c r="M40" i="14"/>
  <c r="L42" i="14"/>
  <c r="L41" i="14"/>
  <c r="F34" i="54"/>
  <c r="AM52" i="51"/>
  <c r="G21" i="14"/>
  <c r="G90" i="14"/>
  <c r="I16" i="14"/>
  <c r="I47" i="14"/>
  <c r="J15" i="12"/>
  <c r="AR10" i="51"/>
  <c r="L12" i="51"/>
  <c r="M10" i="51"/>
  <c r="L36" i="51"/>
  <c r="K29" i="12"/>
  <c r="G37" i="20"/>
  <c r="H24" i="12"/>
  <c r="H102" i="12"/>
  <c r="H20" i="12"/>
  <c r="H25" i="12"/>
  <c r="H217" i="12"/>
  <c r="AQ12" i="51"/>
  <c r="AQ36" i="51"/>
  <c r="J44" i="51"/>
  <c r="J25" i="51"/>
  <c r="K34" i="14"/>
  <c r="L13" i="12"/>
  <c r="L62" i="12"/>
  <c r="M12" i="12"/>
  <c r="E86" i="12"/>
  <c r="E23" i="12"/>
  <c r="J16" i="14"/>
  <c r="E87" i="12"/>
  <c r="AN43" i="51"/>
  <c r="AN17" i="51"/>
  <c r="G85" i="14"/>
  <c r="L19" i="51"/>
  <c r="L23" i="51"/>
  <c r="AR18" i="51"/>
  <c r="M18" i="51"/>
  <c r="L20" i="51"/>
  <c r="L22" i="51"/>
  <c r="J46" i="14"/>
  <c r="I68" i="14"/>
  <c r="AO17" i="51" l="1"/>
  <c r="K44" i="12"/>
  <c r="K48" i="12"/>
  <c r="K48" i="14"/>
  <c r="J134" i="12"/>
  <c r="J70" i="12"/>
  <c r="K82" i="14"/>
  <c r="AP39" i="51"/>
  <c r="I37" i="54" s="1"/>
  <c r="J92" i="12"/>
  <c r="I36" i="20"/>
  <c r="J39" i="12"/>
  <c r="AQ21" i="51"/>
  <c r="J17" i="14"/>
  <c r="K36" i="14"/>
  <c r="I40" i="19"/>
  <c r="J215" i="12"/>
  <c r="L29" i="12"/>
  <c r="K33" i="12"/>
  <c r="J17" i="51"/>
  <c r="K44" i="14"/>
  <c r="K59" i="51"/>
  <c r="J66" i="12"/>
  <c r="I17" i="12"/>
  <c r="I81" i="12" s="1"/>
  <c r="I35" i="14"/>
  <c r="L29" i="51"/>
  <c r="AQ24" i="51"/>
  <c r="J66" i="14"/>
  <c r="J38" i="19"/>
  <c r="J35" i="53"/>
  <c r="L166" i="12"/>
  <c r="AO46" i="51"/>
  <c r="K82" i="12"/>
  <c r="K33" i="14"/>
  <c r="AQ29" i="51"/>
  <c r="AQ59" i="51" s="1"/>
  <c r="J220" i="14"/>
  <c r="K36" i="12"/>
  <c r="I35" i="12"/>
  <c r="J214" i="12"/>
  <c r="J224" i="12" s="1"/>
  <c r="K15" i="51"/>
  <c r="H37" i="54"/>
  <c r="L83" i="12"/>
  <c r="I46" i="51"/>
  <c r="J134" i="14"/>
  <c r="I35" i="54"/>
  <c r="J43" i="51"/>
  <c r="J46" i="51" s="1"/>
  <c r="K25" i="51"/>
  <c r="K65" i="14"/>
  <c r="J40" i="19" s="1"/>
  <c r="I17" i="14"/>
  <c r="K65" i="12"/>
  <c r="K39" i="51"/>
  <c r="L83" i="14"/>
  <c r="L24" i="51"/>
  <c r="AN46" i="51"/>
  <c r="L43" i="14"/>
  <c r="K216" i="14"/>
  <c r="K216" i="12"/>
  <c r="J70" i="14"/>
  <c r="J220" i="12"/>
  <c r="J214" i="14"/>
  <c r="J224" i="14" s="1"/>
  <c r="AP25" i="51"/>
  <c r="L43" i="12"/>
  <c r="AQ25" i="51"/>
  <c r="AQ48" i="51" s="1"/>
  <c r="AO65" i="51"/>
  <c r="L14" i="14"/>
  <c r="L15" i="14" s="1"/>
  <c r="AP44" i="51"/>
  <c r="AP15" i="51"/>
  <c r="L29" i="14"/>
  <c r="K70" i="14"/>
  <c r="K71" i="14"/>
  <c r="K134" i="14"/>
  <c r="K220" i="14"/>
  <c r="J35" i="54"/>
  <c r="K38" i="20"/>
  <c r="L44" i="12"/>
  <c r="L122" i="12"/>
  <c r="L49" i="12"/>
  <c r="J33" i="54"/>
  <c r="K35" i="53"/>
  <c r="L59" i="51"/>
  <c r="E88" i="12"/>
  <c r="H85" i="12"/>
  <c r="AS10" i="51"/>
  <c r="M12" i="51"/>
  <c r="N10" i="51"/>
  <c r="M36" i="51"/>
  <c r="G21" i="12"/>
  <c r="G90" i="12"/>
  <c r="AR28" i="51"/>
  <c r="AR27" i="51"/>
  <c r="K45" i="12"/>
  <c r="J67" i="14"/>
  <c r="I33" i="53"/>
  <c r="J48" i="51"/>
  <c r="G168" i="12"/>
  <c r="G167" i="12"/>
  <c r="G85" i="12"/>
  <c r="I69" i="12"/>
  <c r="E88" i="14"/>
  <c r="J36" i="19"/>
  <c r="K92" i="14"/>
  <c r="K39" i="14"/>
  <c r="K215" i="14"/>
  <c r="H34" i="53"/>
  <c r="I52" i="51"/>
  <c r="N40" i="12"/>
  <c r="M42" i="12"/>
  <c r="M41" i="12"/>
  <c r="G87" i="14"/>
  <c r="F88" i="14"/>
  <c r="AR12" i="51"/>
  <c r="AR36" i="51"/>
  <c r="G221" i="12"/>
  <c r="G223" i="12"/>
  <c r="F88" i="12"/>
  <c r="J37" i="53"/>
  <c r="K65" i="51"/>
  <c r="AP17" i="51"/>
  <c r="L13" i="51"/>
  <c r="L14" i="51"/>
  <c r="G34" i="54"/>
  <c r="AN52" i="51"/>
  <c r="H22" i="12"/>
  <c r="H89" i="12"/>
  <c r="J81" i="14"/>
  <c r="J19" i="14"/>
  <c r="K17" i="51"/>
  <c r="J46" i="12"/>
  <c r="H223" i="14"/>
  <c r="H221" i="14"/>
  <c r="H85" i="14"/>
  <c r="J35" i="14"/>
  <c r="M19" i="51"/>
  <c r="M23" i="51"/>
  <c r="AS18" i="51"/>
  <c r="N18" i="51"/>
  <c r="M20" i="51"/>
  <c r="M22" i="51"/>
  <c r="AR19" i="51"/>
  <c r="AR23" i="51"/>
  <c r="AR20" i="51"/>
  <c r="AR22" i="51"/>
  <c r="M13" i="12"/>
  <c r="M62" i="12"/>
  <c r="N12" i="12"/>
  <c r="AQ37" i="51"/>
  <c r="AQ38" i="51"/>
  <c r="K15" i="12"/>
  <c r="J45" i="12"/>
  <c r="L34" i="12"/>
  <c r="L34" i="14"/>
  <c r="AQ14" i="51"/>
  <c r="AQ13" i="51"/>
  <c r="K38" i="19"/>
  <c r="L44" i="14"/>
  <c r="L49" i="14"/>
  <c r="L122" i="14"/>
  <c r="L48" i="14"/>
  <c r="L216" i="14"/>
  <c r="I69" i="14"/>
  <c r="M13" i="14"/>
  <c r="M62" i="14"/>
  <c r="N12" i="14"/>
  <c r="M27" i="12"/>
  <c r="M31" i="12"/>
  <c r="M30" i="12"/>
  <c r="N26" i="12"/>
  <c r="M28" i="12"/>
  <c r="M28" i="14"/>
  <c r="M27" i="14"/>
  <c r="M31" i="14"/>
  <c r="M30" i="14"/>
  <c r="N26" i="14"/>
  <c r="K46" i="14"/>
  <c r="J68" i="12"/>
  <c r="L63" i="12"/>
  <c r="L64" i="12"/>
  <c r="J16" i="12"/>
  <c r="N40" i="14"/>
  <c r="M42" i="14"/>
  <c r="M41" i="14"/>
  <c r="H168" i="12"/>
  <c r="H167" i="12"/>
  <c r="J40" i="20"/>
  <c r="K134" i="12"/>
  <c r="K66" i="12"/>
  <c r="K71" i="12"/>
  <c r="K70" i="12"/>
  <c r="K220" i="12"/>
  <c r="H22" i="14"/>
  <c r="H89" i="14"/>
  <c r="L63" i="14"/>
  <c r="L64" i="14"/>
  <c r="L32" i="12"/>
  <c r="I34" i="53"/>
  <c r="J52" i="51"/>
  <c r="L32" i="14"/>
  <c r="J67" i="12"/>
  <c r="J36" i="20"/>
  <c r="K39" i="12"/>
  <c r="K92" i="12"/>
  <c r="K215" i="12"/>
  <c r="G86" i="14"/>
  <c r="G23" i="14"/>
  <c r="L21" i="51"/>
  <c r="L14" i="12"/>
  <c r="H21" i="12"/>
  <c r="H90" i="12"/>
  <c r="L37" i="51"/>
  <c r="L38" i="51"/>
  <c r="K15" i="14"/>
  <c r="G22" i="12"/>
  <c r="G89" i="12"/>
  <c r="AS26" i="51"/>
  <c r="N26" i="51"/>
  <c r="M28" i="51"/>
  <c r="M27" i="51"/>
  <c r="H221" i="12"/>
  <c r="H223" i="12"/>
  <c r="H34" i="54"/>
  <c r="AO52" i="51"/>
  <c r="H21" i="14"/>
  <c r="H90" i="14"/>
  <c r="L38" i="12"/>
  <c r="J47" i="14"/>
  <c r="L38" i="14"/>
  <c r="K45" i="14"/>
  <c r="K46" i="12"/>
  <c r="K66" i="14" l="1"/>
  <c r="I19" i="12"/>
  <c r="AP65" i="51"/>
  <c r="L65" i="14"/>
  <c r="L39" i="51"/>
  <c r="J17" i="12"/>
  <c r="J19" i="12" s="1"/>
  <c r="M43" i="12"/>
  <c r="M44" i="12" s="1"/>
  <c r="I81" i="14"/>
  <c r="I84" i="14" s="1"/>
  <c r="J35" i="12"/>
  <c r="M166" i="12"/>
  <c r="K43" i="51"/>
  <c r="J68" i="14"/>
  <c r="M83" i="12"/>
  <c r="M83" i="14"/>
  <c r="AR24" i="51"/>
  <c r="L25" i="51"/>
  <c r="K33" i="53" s="1"/>
  <c r="M21" i="51"/>
  <c r="L216" i="12"/>
  <c r="I33" i="54"/>
  <c r="AP48" i="51"/>
  <c r="J33" i="53"/>
  <c r="K48" i="51"/>
  <c r="I37" i="12"/>
  <c r="I37" i="14"/>
  <c r="L33" i="14"/>
  <c r="K16" i="14"/>
  <c r="K17" i="14" s="1"/>
  <c r="M43" i="14"/>
  <c r="M48" i="14" s="1"/>
  <c r="M29" i="12"/>
  <c r="K16" i="12"/>
  <c r="L48" i="12"/>
  <c r="AP43" i="51"/>
  <c r="K214" i="12"/>
  <c r="K224" i="12" s="1"/>
  <c r="M29" i="51"/>
  <c r="L44" i="51"/>
  <c r="L33" i="12"/>
  <c r="K36" i="20" s="1"/>
  <c r="AQ44" i="51"/>
  <c r="I19" i="14"/>
  <c r="K214" i="14"/>
  <c r="K224" i="14" s="1"/>
  <c r="M29" i="14"/>
  <c r="L65" i="12"/>
  <c r="K40" i="20" s="1"/>
  <c r="M14" i="14"/>
  <c r="M15" i="14" s="1"/>
  <c r="AQ39" i="51"/>
  <c r="AR29" i="51"/>
  <c r="K40" i="19"/>
  <c r="L71" i="14"/>
  <c r="L70" i="14"/>
  <c r="L66" i="14"/>
  <c r="K37" i="53"/>
  <c r="L65" i="51"/>
  <c r="K35" i="54"/>
  <c r="G87" i="12"/>
  <c r="L38" i="19"/>
  <c r="M44" i="14"/>
  <c r="M49" i="14"/>
  <c r="M122" i="14"/>
  <c r="M216" i="14"/>
  <c r="M32" i="14"/>
  <c r="N28" i="12"/>
  <c r="N27" i="12"/>
  <c r="N31" i="12"/>
  <c r="N30" i="12"/>
  <c r="O26" i="12"/>
  <c r="L46" i="14"/>
  <c r="J47" i="12"/>
  <c r="O18" i="51"/>
  <c r="N20" i="51"/>
  <c r="N22" i="51"/>
  <c r="N19" i="51"/>
  <c r="N23" i="51"/>
  <c r="AT18" i="51"/>
  <c r="O40" i="12"/>
  <c r="N42" i="12"/>
  <c r="N41" i="12"/>
  <c r="L45" i="12"/>
  <c r="J69" i="12"/>
  <c r="K68" i="12"/>
  <c r="O40" i="14"/>
  <c r="N42" i="14"/>
  <c r="N41" i="14"/>
  <c r="M38" i="14"/>
  <c r="M32" i="12"/>
  <c r="AS19" i="51"/>
  <c r="AS23" i="51"/>
  <c r="AS20" i="51"/>
  <c r="AS22" i="51"/>
  <c r="L82" i="12"/>
  <c r="J34" i="53"/>
  <c r="K52" i="51"/>
  <c r="M37" i="51"/>
  <c r="M38" i="51"/>
  <c r="H86" i="14"/>
  <c r="H23" i="14"/>
  <c r="K67" i="12"/>
  <c r="M38" i="12"/>
  <c r="L45" i="14"/>
  <c r="I37" i="19"/>
  <c r="J25" i="14"/>
  <c r="J24" i="14"/>
  <c r="J102" i="14"/>
  <c r="J20" i="14"/>
  <c r="J217" i="14"/>
  <c r="AT10" i="51"/>
  <c r="N12" i="51"/>
  <c r="O10" i="51"/>
  <c r="N36" i="51"/>
  <c r="H86" i="12"/>
  <c r="H23" i="12"/>
  <c r="K35" i="12"/>
  <c r="N13" i="12"/>
  <c r="N62" i="12"/>
  <c r="O12" i="12"/>
  <c r="J213" i="14"/>
  <c r="J84" i="14"/>
  <c r="L15" i="51"/>
  <c r="AR37" i="51"/>
  <c r="AR38" i="51"/>
  <c r="M13" i="51"/>
  <c r="M14" i="51"/>
  <c r="K67" i="14"/>
  <c r="L36" i="14"/>
  <c r="AS28" i="51"/>
  <c r="AS27" i="51"/>
  <c r="L15" i="12"/>
  <c r="M63" i="12"/>
  <c r="M64" i="12"/>
  <c r="AR21" i="51"/>
  <c r="AR14" i="51"/>
  <c r="AR13" i="51"/>
  <c r="K35" i="14"/>
  <c r="AS12" i="51"/>
  <c r="AS36" i="51"/>
  <c r="H37" i="20"/>
  <c r="I25" i="12"/>
  <c r="I24" i="12"/>
  <c r="I102" i="12"/>
  <c r="I20" i="12"/>
  <c r="I217" i="12"/>
  <c r="K47" i="14"/>
  <c r="N13" i="14"/>
  <c r="N62" i="14"/>
  <c r="O12" i="14"/>
  <c r="L82" i="14"/>
  <c r="H87" i="12"/>
  <c r="L16" i="14"/>
  <c r="I25" i="14"/>
  <c r="I24" i="14"/>
  <c r="I213" i="12"/>
  <c r="I84" i="12"/>
  <c r="G88" i="14"/>
  <c r="M34" i="14"/>
  <c r="M64" i="14"/>
  <c r="M63" i="14"/>
  <c r="M14" i="12"/>
  <c r="M24" i="51"/>
  <c r="J37" i="14"/>
  <c r="I34" i="54"/>
  <c r="AP52" i="51"/>
  <c r="J69" i="14"/>
  <c r="I213" i="14"/>
  <c r="K68" i="14"/>
  <c r="N27" i="51"/>
  <c r="AT26" i="51"/>
  <c r="O26" i="51"/>
  <c r="N28" i="51"/>
  <c r="L36" i="12"/>
  <c r="H87" i="14"/>
  <c r="N28" i="14"/>
  <c r="N27" i="14"/>
  <c r="N31" i="14"/>
  <c r="N30" i="14"/>
  <c r="O26" i="14"/>
  <c r="M34" i="12"/>
  <c r="AQ15" i="51"/>
  <c r="K47" i="12"/>
  <c r="G86" i="12"/>
  <c r="G23" i="12"/>
  <c r="L46" i="12"/>
  <c r="M48" i="12" l="1"/>
  <c r="M49" i="12"/>
  <c r="M122" i="12"/>
  <c r="L48" i="51"/>
  <c r="L71" i="12"/>
  <c r="L66" i="12"/>
  <c r="L220" i="12"/>
  <c r="L215" i="12"/>
  <c r="L39" i="12"/>
  <c r="L92" i="12"/>
  <c r="L134" i="12"/>
  <c r="L70" i="12"/>
  <c r="H37" i="19"/>
  <c r="M16" i="14"/>
  <c r="AR59" i="51"/>
  <c r="N83" i="12"/>
  <c r="M82" i="12"/>
  <c r="L215" i="14"/>
  <c r="J37" i="54"/>
  <c r="K46" i="51"/>
  <c r="AR44" i="51"/>
  <c r="N32" i="14"/>
  <c r="N32" i="12"/>
  <c r="L92" i="14"/>
  <c r="L38" i="20"/>
  <c r="M59" i="51"/>
  <c r="M33" i="14"/>
  <c r="M65" i="12"/>
  <c r="M66" i="12" s="1"/>
  <c r="L214" i="12"/>
  <c r="L224" i="12" s="1"/>
  <c r="M44" i="51"/>
  <c r="I217" i="14"/>
  <c r="I221" i="14" s="1"/>
  <c r="L214" i="14"/>
  <c r="L224" i="14" s="1"/>
  <c r="M39" i="51"/>
  <c r="L39" i="14"/>
  <c r="AQ65" i="51"/>
  <c r="L35" i="53"/>
  <c r="J81" i="12"/>
  <c r="L17" i="14"/>
  <c r="L81" i="14" s="1"/>
  <c r="N21" i="51"/>
  <c r="M82" i="14"/>
  <c r="I20" i="14"/>
  <c r="K17" i="12"/>
  <c r="K81" i="12" s="1"/>
  <c r="M33" i="12"/>
  <c r="N29" i="12"/>
  <c r="K36" i="19"/>
  <c r="L220" i="14"/>
  <c r="AP46" i="51"/>
  <c r="J37" i="12"/>
  <c r="N83" i="14"/>
  <c r="N43" i="14"/>
  <c r="N29" i="51"/>
  <c r="M65" i="14"/>
  <c r="M66" i="14" s="1"/>
  <c r="I102" i="14"/>
  <c r="AR25" i="51"/>
  <c r="K33" i="54" s="1"/>
  <c r="N166" i="12"/>
  <c r="N43" i="12"/>
  <c r="N44" i="12" s="1"/>
  <c r="M216" i="12"/>
  <c r="L134" i="14"/>
  <c r="AS24" i="51"/>
  <c r="AS21" i="51"/>
  <c r="N38" i="12"/>
  <c r="N33" i="12"/>
  <c r="M36" i="20" s="1"/>
  <c r="AR39" i="51"/>
  <c r="N29" i="14"/>
  <c r="AS29" i="51"/>
  <c r="L36" i="20"/>
  <c r="L40" i="20"/>
  <c r="M71" i="12"/>
  <c r="M70" i="12"/>
  <c r="M134" i="12"/>
  <c r="M220" i="12"/>
  <c r="N215" i="12"/>
  <c r="L36" i="19"/>
  <c r="G88" i="12"/>
  <c r="N34" i="14"/>
  <c r="I223" i="14"/>
  <c r="K37" i="14"/>
  <c r="K81" i="14"/>
  <c r="K19" i="14"/>
  <c r="M38" i="19"/>
  <c r="N44" i="14"/>
  <c r="N49" i="14"/>
  <c r="N122" i="14"/>
  <c r="N48" i="14"/>
  <c r="N216" i="14"/>
  <c r="AT19" i="51"/>
  <c r="AT23" i="51"/>
  <c r="AT20" i="51"/>
  <c r="AT22" i="51"/>
  <c r="N34" i="12"/>
  <c r="M46" i="12"/>
  <c r="L67" i="12"/>
  <c r="I37" i="20"/>
  <c r="J25" i="12"/>
  <c r="J24" i="12"/>
  <c r="J102" i="12"/>
  <c r="J20" i="12"/>
  <c r="J217" i="12"/>
  <c r="O27" i="51"/>
  <c r="AU26" i="51"/>
  <c r="P26" i="51"/>
  <c r="O28" i="51"/>
  <c r="I22" i="12"/>
  <c r="I89" i="12"/>
  <c r="J223" i="14"/>
  <c r="J221" i="14"/>
  <c r="N38" i="51"/>
  <c r="N37" i="51"/>
  <c r="H88" i="14"/>
  <c r="O41" i="14"/>
  <c r="P40" i="14"/>
  <c r="O42" i="14"/>
  <c r="O28" i="12"/>
  <c r="O27" i="12"/>
  <c r="O31" i="12"/>
  <c r="O30" i="12"/>
  <c r="P26" i="12"/>
  <c r="M45" i="12"/>
  <c r="AT28" i="51"/>
  <c r="AT27" i="51"/>
  <c r="I89" i="14"/>
  <c r="I22" i="14"/>
  <c r="I21" i="12"/>
  <c r="I90" i="12"/>
  <c r="AR15" i="51"/>
  <c r="M15" i="51"/>
  <c r="O36" i="51"/>
  <c r="AU10" i="51"/>
  <c r="O12" i="51"/>
  <c r="P10" i="51"/>
  <c r="J85" i="14"/>
  <c r="L47" i="14"/>
  <c r="M46" i="14"/>
  <c r="M25" i="51"/>
  <c r="N38" i="14"/>
  <c r="M35" i="53"/>
  <c r="N59" i="51"/>
  <c r="M15" i="12"/>
  <c r="I21" i="14"/>
  <c r="I90" i="14"/>
  <c r="P12" i="14"/>
  <c r="O13" i="14"/>
  <c r="O62" i="14"/>
  <c r="O13" i="12"/>
  <c r="O62" i="12"/>
  <c r="P12" i="12"/>
  <c r="K37" i="12"/>
  <c r="N13" i="51"/>
  <c r="N14" i="51"/>
  <c r="N36" i="12"/>
  <c r="I168" i="12"/>
  <c r="I167" i="12"/>
  <c r="N64" i="14"/>
  <c r="N63" i="14"/>
  <c r="AS37" i="51"/>
  <c r="AS38" i="51"/>
  <c r="N64" i="12"/>
  <c r="N63" i="12"/>
  <c r="H88" i="12"/>
  <c r="AT12" i="51"/>
  <c r="AT36" i="51"/>
  <c r="M36" i="12"/>
  <c r="M36" i="14"/>
  <c r="P40" i="12"/>
  <c r="O42" i="12"/>
  <c r="O41" i="12"/>
  <c r="N24" i="51"/>
  <c r="M45" i="14"/>
  <c r="L68" i="12"/>
  <c r="L68" i="14"/>
  <c r="L35" i="12"/>
  <c r="I223" i="12"/>
  <c r="I221" i="12"/>
  <c r="AS14" i="51"/>
  <c r="AS13" i="51"/>
  <c r="J89" i="14"/>
  <c r="J22" i="14"/>
  <c r="L37" i="53"/>
  <c r="M65" i="51"/>
  <c r="AS44" i="51"/>
  <c r="L67" i="14"/>
  <c r="N14" i="14"/>
  <c r="I85" i="12"/>
  <c r="L16" i="12"/>
  <c r="K69" i="14"/>
  <c r="N14" i="12"/>
  <c r="J90" i="14"/>
  <c r="J21" i="14"/>
  <c r="K69" i="12"/>
  <c r="L47" i="12"/>
  <c r="P18" i="51"/>
  <c r="O20" i="51"/>
  <c r="O22" i="51"/>
  <c r="O19" i="51"/>
  <c r="O23" i="51"/>
  <c r="AU18" i="51"/>
  <c r="M17" i="14"/>
  <c r="O28" i="14"/>
  <c r="O27" i="14"/>
  <c r="O31" i="14"/>
  <c r="O30" i="14"/>
  <c r="P26" i="14"/>
  <c r="AQ43" i="51"/>
  <c r="AQ17" i="51"/>
  <c r="I85" i="14"/>
  <c r="L43" i="51"/>
  <c r="L17" i="51"/>
  <c r="N82" i="14"/>
  <c r="N216" i="12" l="1"/>
  <c r="N49" i="12"/>
  <c r="N122" i="12"/>
  <c r="N48" i="12"/>
  <c r="AR48" i="51"/>
  <c r="M70" i="14"/>
  <c r="L19" i="14"/>
  <c r="M71" i="14"/>
  <c r="N92" i="12"/>
  <c r="L40" i="19"/>
  <c r="K19" i="12"/>
  <c r="M220" i="14"/>
  <c r="M134" i="14"/>
  <c r="K37" i="54"/>
  <c r="L35" i="14"/>
  <c r="O38" i="12"/>
  <c r="O36" i="12" s="1"/>
  <c r="M39" i="14"/>
  <c r="M39" i="12"/>
  <c r="M214" i="12"/>
  <c r="M224" i="12" s="1"/>
  <c r="N44" i="51"/>
  <c r="L35" i="54"/>
  <c r="M214" i="14"/>
  <c r="M224" i="14" s="1"/>
  <c r="O32" i="14"/>
  <c r="O43" i="12"/>
  <c r="N38" i="20" s="1"/>
  <c r="N65" i="12"/>
  <c r="O83" i="14"/>
  <c r="J84" i="12"/>
  <c r="J168" i="12" s="1"/>
  <c r="N33" i="14"/>
  <c r="N214" i="14"/>
  <c r="N224" i="14" s="1"/>
  <c r="AT29" i="51"/>
  <c r="M35" i="54" s="1"/>
  <c r="N39" i="12"/>
  <c r="O83" i="12"/>
  <c r="J213" i="12"/>
  <c r="J223" i="12" s="1"/>
  <c r="L46" i="51"/>
  <c r="AS39" i="51"/>
  <c r="O34" i="12"/>
  <c r="O43" i="14"/>
  <c r="AT21" i="51"/>
  <c r="M215" i="14"/>
  <c r="M215" i="12"/>
  <c r="AQ46" i="51"/>
  <c r="L17" i="12"/>
  <c r="L19" i="12" s="1"/>
  <c r="N82" i="12"/>
  <c r="AR65" i="51"/>
  <c r="M92" i="14"/>
  <c r="M38" i="20"/>
  <c r="M92" i="12"/>
  <c r="AS25" i="51"/>
  <c r="N65" i="14"/>
  <c r="M40" i="19" s="1"/>
  <c r="AS15" i="51"/>
  <c r="N39" i="51"/>
  <c r="O29" i="51"/>
  <c r="N35" i="53" s="1"/>
  <c r="O14" i="14"/>
  <c r="AS59" i="51"/>
  <c r="O38" i="14"/>
  <c r="O216" i="14"/>
  <c r="L81" i="12"/>
  <c r="L37" i="54"/>
  <c r="AS65" i="51"/>
  <c r="N66" i="14"/>
  <c r="N134" i="14"/>
  <c r="N220" i="14"/>
  <c r="Q26" i="14"/>
  <c r="P28" i="14"/>
  <c r="P27" i="14"/>
  <c r="P31" i="14"/>
  <c r="P30" i="14"/>
  <c r="AT37" i="51"/>
  <c r="AT38" i="51"/>
  <c r="Q12" i="12"/>
  <c r="P13" i="12"/>
  <c r="P62" i="12"/>
  <c r="O14" i="51"/>
  <c r="O13" i="51"/>
  <c r="N25" i="51"/>
  <c r="K37" i="19"/>
  <c r="L20" i="14"/>
  <c r="L25" i="14"/>
  <c r="L24" i="14"/>
  <c r="L102" i="14"/>
  <c r="L217" i="14"/>
  <c r="M67" i="12"/>
  <c r="AV18" i="51"/>
  <c r="Q18" i="51"/>
  <c r="P20" i="51"/>
  <c r="P22" i="51"/>
  <c r="P19" i="51"/>
  <c r="P23" i="51"/>
  <c r="N15" i="12"/>
  <c r="N16" i="12" s="1"/>
  <c r="N15" i="14"/>
  <c r="AT13" i="51"/>
  <c r="AT14" i="51"/>
  <c r="O64" i="12"/>
  <c r="O63" i="12"/>
  <c r="Q12" i="14"/>
  <c r="P13" i="14"/>
  <c r="P62" i="14"/>
  <c r="AU12" i="51"/>
  <c r="AU36" i="51"/>
  <c r="I87" i="12"/>
  <c r="L69" i="12"/>
  <c r="L213" i="14"/>
  <c r="L84" i="14"/>
  <c r="L37" i="14"/>
  <c r="P41" i="12"/>
  <c r="Q40" i="12"/>
  <c r="P42" i="12"/>
  <c r="N36" i="14"/>
  <c r="O37" i="51"/>
  <c r="O38" i="51"/>
  <c r="I87" i="14"/>
  <c r="O29" i="12"/>
  <c r="J85" i="12"/>
  <c r="J37" i="19"/>
  <c r="K20" i="14"/>
  <c r="K25" i="14"/>
  <c r="K24" i="14"/>
  <c r="K102" i="14"/>
  <c r="K217" i="14"/>
  <c r="N35" i="12"/>
  <c r="M81" i="14"/>
  <c r="M19" i="14"/>
  <c r="AU19" i="51"/>
  <c r="AU23" i="51"/>
  <c r="AU20" i="51"/>
  <c r="AU22" i="51"/>
  <c r="N15" i="51"/>
  <c r="O14" i="12"/>
  <c r="I86" i="14"/>
  <c r="I23" i="14"/>
  <c r="L33" i="53"/>
  <c r="M48" i="51"/>
  <c r="M43" i="51"/>
  <c r="M17" i="51"/>
  <c r="K213" i="14"/>
  <c r="K84" i="14"/>
  <c r="O29" i="14"/>
  <c r="AS17" i="51"/>
  <c r="AR43" i="51"/>
  <c r="AR17" i="51"/>
  <c r="M47" i="12"/>
  <c r="N46" i="14"/>
  <c r="J37" i="20"/>
  <c r="K25" i="12"/>
  <c r="K24" i="12"/>
  <c r="K102" i="12"/>
  <c r="K20" i="12"/>
  <c r="K217" i="12"/>
  <c r="M35" i="14"/>
  <c r="L37" i="12"/>
  <c r="M47" i="14"/>
  <c r="P27" i="51"/>
  <c r="AV26" i="51"/>
  <c r="Q26" i="51"/>
  <c r="P28" i="51"/>
  <c r="J89" i="12"/>
  <c r="J22" i="12"/>
  <c r="K213" i="12"/>
  <c r="K84" i="12"/>
  <c r="M35" i="12"/>
  <c r="M68" i="14"/>
  <c r="J34" i="54"/>
  <c r="AQ52" i="51"/>
  <c r="O21" i="51"/>
  <c r="J86" i="14"/>
  <c r="J23" i="14"/>
  <c r="L69" i="14"/>
  <c r="J87" i="14"/>
  <c r="O64" i="14"/>
  <c r="O63" i="14"/>
  <c r="M16" i="12"/>
  <c r="I86" i="12"/>
  <c r="I23" i="12"/>
  <c r="P28" i="12"/>
  <c r="P27" i="12"/>
  <c r="P31" i="12"/>
  <c r="P30" i="12"/>
  <c r="Q26" i="12"/>
  <c r="AU28" i="51"/>
  <c r="AU27" i="51"/>
  <c r="J21" i="12"/>
  <c r="J90" i="12"/>
  <c r="AT24" i="51"/>
  <c r="N45" i="14"/>
  <c r="N46" i="12"/>
  <c r="M67" i="14"/>
  <c r="K34" i="53"/>
  <c r="L52" i="51"/>
  <c r="O34" i="14"/>
  <c r="O24" i="51"/>
  <c r="O166" i="12"/>
  <c r="Q10" i="51"/>
  <c r="P36" i="51"/>
  <c r="AV10" i="51"/>
  <c r="P12" i="51"/>
  <c r="J167" i="12"/>
  <c r="O32" i="12"/>
  <c r="P41" i="14"/>
  <c r="Q40" i="14"/>
  <c r="P42" i="14"/>
  <c r="N45" i="12"/>
  <c r="M68" i="12"/>
  <c r="O216" i="12" l="1"/>
  <c r="O48" i="12"/>
  <c r="O49" i="12"/>
  <c r="O122" i="12"/>
  <c r="O44" i="12"/>
  <c r="AT59" i="51"/>
  <c r="J221" i="12"/>
  <c r="N70" i="14"/>
  <c r="N68" i="14" s="1"/>
  <c r="N71" i="14"/>
  <c r="P32" i="14"/>
  <c r="O82" i="12"/>
  <c r="O44" i="51"/>
  <c r="AT39" i="51"/>
  <c r="O59" i="51"/>
  <c r="M46" i="51"/>
  <c r="M17" i="12"/>
  <c r="M81" i="12" s="1"/>
  <c r="O15" i="14"/>
  <c r="N220" i="12"/>
  <c r="O122" i="14"/>
  <c r="M36" i="19"/>
  <c r="N215" i="14"/>
  <c r="N39" i="14"/>
  <c r="N92" i="14"/>
  <c r="O65" i="14"/>
  <c r="O70" i="14" s="1"/>
  <c r="AR46" i="51"/>
  <c r="P166" i="12"/>
  <c r="N66" i="12"/>
  <c r="O49" i="14"/>
  <c r="N65" i="51"/>
  <c r="AU29" i="51"/>
  <c r="N134" i="12"/>
  <c r="O44" i="14"/>
  <c r="AS43" i="51"/>
  <c r="P24" i="51"/>
  <c r="O82" i="14"/>
  <c r="O33" i="14"/>
  <c r="P83" i="12"/>
  <c r="N70" i="12"/>
  <c r="N68" i="12" s="1"/>
  <c r="O48" i="14"/>
  <c r="N214" i="12"/>
  <c r="N224" i="12" s="1"/>
  <c r="AT44" i="51"/>
  <c r="P29" i="12"/>
  <c r="N37" i="12"/>
  <c r="P83" i="14"/>
  <c r="N71" i="12"/>
  <c r="N67" i="12" s="1"/>
  <c r="M37" i="53"/>
  <c r="N38" i="19"/>
  <c r="M40" i="20"/>
  <c r="O36" i="14"/>
  <c r="L33" i="54"/>
  <c r="AS48" i="51"/>
  <c r="P32" i="12"/>
  <c r="P38" i="14"/>
  <c r="P43" i="14"/>
  <c r="P122" i="14" s="1"/>
  <c r="P34" i="12"/>
  <c r="P29" i="51"/>
  <c r="P59" i="51" s="1"/>
  <c r="P43" i="12"/>
  <c r="P122" i="12" s="1"/>
  <c r="P34" i="14"/>
  <c r="AU24" i="51"/>
  <c r="O39" i="51"/>
  <c r="O65" i="12"/>
  <c r="N40" i="20" s="1"/>
  <c r="O15" i="51"/>
  <c r="O17" i="51" s="1"/>
  <c r="P49" i="14"/>
  <c r="P44" i="12"/>
  <c r="N37" i="53"/>
  <c r="O65" i="51"/>
  <c r="AT65" i="51"/>
  <c r="Q42" i="14"/>
  <c r="Q41" i="14"/>
  <c r="R40" i="14"/>
  <c r="R10" i="51"/>
  <c r="Q36" i="51"/>
  <c r="AW10" i="51"/>
  <c r="Q12" i="51"/>
  <c r="O71" i="14"/>
  <c r="O25" i="51"/>
  <c r="N43" i="51"/>
  <c r="N17" i="51"/>
  <c r="M213" i="14"/>
  <c r="M84" i="14"/>
  <c r="K90" i="14"/>
  <c r="K21" i="14"/>
  <c r="AU13" i="51"/>
  <c r="AU14" i="51"/>
  <c r="AT25" i="51"/>
  <c r="N47" i="14"/>
  <c r="M19" i="12"/>
  <c r="N36" i="19"/>
  <c r="O39" i="14"/>
  <c r="O92" i="14"/>
  <c r="O215" i="14"/>
  <c r="K85" i="14"/>
  <c r="Q41" i="12"/>
  <c r="R40" i="12"/>
  <c r="Q42" i="12"/>
  <c r="P64" i="14"/>
  <c r="P63" i="14"/>
  <c r="AW18" i="51"/>
  <c r="R18" i="51"/>
  <c r="Q20" i="51"/>
  <c r="Q22" i="51"/>
  <c r="Q19" i="51"/>
  <c r="Q23" i="51"/>
  <c r="L89" i="14"/>
  <c r="L22" i="14"/>
  <c r="R26" i="12"/>
  <c r="Q28" i="12"/>
  <c r="Q27" i="12"/>
  <c r="Q31" i="12"/>
  <c r="Q30" i="12"/>
  <c r="I88" i="12"/>
  <c r="K89" i="12"/>
  <c r="K22" i="12"/>
  <c r="L223" i="14"/>
  <c r="L221" i="14"/>
  <c r="AT15" i="51"/>
  <c r="AV20" i="51"/>
  <c r="AV22" i="51"/>
  <c r="AV19" i="51"/>
  <c r="AV23" i="51"/>
  <c r="L21" i="14"/>
  <c r="L90" i="14"/>
  <c r="N67" i="14"/>
  <c r="K37" i="20"/>
  <c r="L20" i="12"/>
  <c r="L25" i="12"/>
  <c r="L24" i="12"/>
  <c r="L102" i="12"/>
  <c r="L217" i="12"/>
  <c r="M69" i="14"/>
  <c r="Q27" i="51"/>
  <c r="AW26" i="51"/>
  <c r="R26" i="51"/>
  <c r="Q28" i="51"/>
  <c r="M37" i="14"/>
  <c r="K90" i="12"/>
  <c r="K21" i="12"/>
  <c r="K34" i="54"/>
  <c r="AR52" i="51"/>
  <c r="P14" i="14"/>
  <c r="N17" i="12"/>
  <c r="L85" i="14"/>
  <c r="P64" i="12"/>
  <c r="P63" i="12"/>
  <c r="Q30" i="14"/>
  <c r="R26" i="14"/>
  <c r="Q28" i="14"/>
  <c r="Q27" i="14"/>
  <c r="Q31" i="14"/>
  <c r="L213" i="12"/>
  <c r="L84" i="12"/>
  <c r="O45" i="14"/>
  <c r="J86" i="12"/>
  <c r="J23" i="12"/>
  <c r="P38" i="12"/>
  <c r="K167" i="12"/>
  <c r="K168" i="12"/>
  <c r="AV27" i="51"/>
  <c r="AV28" i="51"/>
  <c r="I88" i="14"/>
  <c r="Q62" i="14"/>
  <c r="R12" i="14"/>
  <c r="Q13" i="14"/>
  <c r="M69" i="12"/>
  <c r="P14" i="51"/>
  <c r="P13" i="51"/>
  <c r="J88" i="14"/>
  <c r="K223" i="12"/>
  <c r="K221" i="12"/>
  <c r="M33" i="53"/>
  <c r="N48" i="51"/>
  <c r="P14" i="12"/>
  <c r="P82" i="14"/>
  <c r="K223" i="14"/>
  <c r="K221" i="14"/>
  <c r="AU21" i="51"/>
  <c r="O33" i="12"/>
  <c r="N16" i="14"/>
  <c r="P21" i="51"/>
  <c r="R12" i="12"/>
  <c r="Q13" i="12"/>
  <c r="Q14" i="12" s="1"/>
  <c r="Q62" i="12"/>
  <c r="O46" i="12"/>
  <c r="N47" i="12"/>
  <c r="AV36" i="51"/>
  <c r="AV12" i="51"/>
  <c r="P38" i="51"/>
  <c r="P37" i="51"/>
  <c r="M37" i="12"/>
  <c r="J87" i="12"/>
  <c r="K85" i="12"/>
  <c r="L34" i="54"/>
  <c r="AS52" i="51"/>
  <c r="L34" i="53"/>
  <c r="M52" i="51"/>
  <c r="O15" i="12"/>
  <c r="L37" i="19"/>
  <c r="M102" i="14"/>
  <c r="M20" i="14"/>
  <c r="M25" i="14"/>
  <c r="M24" i="14"/>
  <c r="M217" i="14"/>
  <c r="K89" i="14"/>
  <c r="K22" i="14"/>
  <c r="AU37" i="51"/>
  <c r="AU38" i="51"/>
  <c r="P29" i="14"/>
  <c r="O45" i="12"/>
  <c r="O66" i="14" l="1"/>
  <c r="O38" i="19"/>
  <c r="N40" i="19"/>
  <c r="O43" i="51"/>
  <c r="O220" i="14"/>
  <c r="O134" i="14"/>
  <c r="O134" i="12"/>
  <c r="O66" i="12"/>
  <c r="P214" i="14"/>
  <c r="P224" i="14" s="1"/>
  <c r="P49" i="12"/>
  <c r="P44" i="51"/>
  <c r="P25" i="51"/>
  <c r="N46" i="51"/>
  <c r="M37" i="54"/>
  <c r="O71" i="12"/>
  <c r="O67" i="12" s="1"/>
  <c r="P48" i="12"/>
  <c r="P46" i="12" s="1"/>
  <c r="O16" i="14"/>
  <c r="O214" i="14"/>
  <c r="O224" i="14" s="1"/>
  <c r="N17" i="14"/>
  <c r="Q83" i="14"/>
  <c r="O38" i="20"/>
  <c r="P216" i="14"/>
  <c r="O16" i="12"/>
  <c r="O17" i="12" s="1"/>
  <c r="P33" i="14"/>
  <c r="P39" i="14" s="1"/>
  <c r="AV24" i="51"/>
  <c r="AU15" i="51"/>
  <c r="O70" i="12"/>
  <c r="N35" i="14"/>
  <c r="AV29" i="51"/>
  <c r="AU25" i="51"/>
  <c r="Q29" i="51"/>
  <c r="Q38" i="12"/>
  <c r="Q36" i="12" s="1"/>
  <c r="P65" i="14"/>
  <c r="P220" i="14" s="1"/>
  <c r="P36" i="14"/>
  <c r="P33" i="12"/>
  <c r="AS46" i="51"/>
  <c r="O214" i="12"/>
  <c r="O224" i="12" s="1"/>
  <c r="Q43" i="12"/>
  <c r="Q216" i="12" s="1"/>
  <c r="O35" i="53"/>
  <c r="AU44" i="51"/>
  <c r="O46" i="14"/>
  <c r="P82" i="12"/>
  <c r="Q166" i="12"/>
  <c r="AU59" i="51"/>
  <c r="P44" i="14"/>
  <c r="Q83" i="12"/>
  <c r="O46" i="51"/>
  <c r="Q43" i="14"/>
  <c r="Q49" i="14" s="1"/>
  <c r="O220" i="12"/>
  <c r="N35" i="54"/>
  <c r="P48" i="14"/>
  <c r="P39" i="51"/>
  <c r="P15" i="51"/>
  <c r="P43" i="51" s="1"/>
  <c r="Q32" i="12"/>
  <c r="P65" i="12"/>
  <c r="O40" i="20" s="1"/>
  <c r="Q21" i="51"/>
  <c r="Q24" i="51"/>
  <c r="AU39" i="51"/>
  <c r="Q38" i="14"/>
  <c r="Q14" i="14"/>
  <c r="P216" i="12"/>
  <c r="AV21" i="51"/>
  <c r="P65" i="51"/>
  <c r="O35" i="54"/>
  <c r="AV59" i="51"/>
  <c r="N81" i="14"/>
  <c r="N19" i="14"/>
  <c r="P38" i="20"/>
  <c r="Q49" i="12"/>
  <c r="Q48" i="12"/>
  <c r="Q122" i="12"/>
  <c r="P38" i="19"/>
  <c r="M21" i="14"/>
  <c r="M90" i="14"/>
  <c r="S26" i="51"/>
  <c r="R28" i="51"/>
  <c r="R27" i="51"/>
  <c r="AX26" i="51"/>
  <c r="R30" i="12"/>
  <c r="S26" i="12"/>
  <c r="R28" i="12"/>
  <c r="R27" i="12"/>
  <c r="R31" i="12"/>
  <c r="M213" i="12"/>
  <c r="M84" i="12"/>
  <c r="Q14" i="51"/>
  <c r="Q13" i="51"/>
  <c r="M85" i="14"/>
  <c r="Q15" i="12"/>
  <c r="N69" i="12"/>
  <c r="Q34" i="14"/>
  <c r="K86" i="12"/>
  <c r="K23" i="12"/>
  <c r="AW27" i="51"/>
  <c r="AW28" i="51"/>
  <c r="O40" i="19"/>
  <c r="P71" i="14"/>
  <c r="P70" i="14"/>
  <c r="P134" i="14"/>
  <c r="AW36" i="51"/>
  <c r="AW12" i="51"/>
  <c r="R62" i="12"/>
  <c r="S12" i="12"/>
  <c r="R13" i="12"/>
  <c r="P36" i="12"/>
  <c r="L168" i="12"/>
  <c r="L167" i="12"/>
  <c r="R30" i="14"/>
  <c r="S26" i="14"/>
  <c r="R28" i="14"/>
  <c r="R27" i="14"/>
  <c r="R31" i="14"/>
  <c r="N81" i="12"/>
  <c r="N19" i="12"/>
  <c r="P35" i="53"/>
  <c r="Q59" i="51"/>
  <c r="N69" i="14"/>
  <c r="Q37" i="51"/>
  <c r="Q38" i="51"/>
  <c r="O36" i="19"/>
  <c r="K87" i="14"/>
  <c r="J88" i="12"/>
  <c r="L223" i="12"/>
  <c r="L221" i="12"/>
  <c r="Q32" i="14"/>
  <c r="P15" i="14"/>
  <c r="K87" i="12"/>
  <c r="O35" i="14"/>
  <c r="M221" i="14"/>
  <c r="M223" i="14"/>
  <c r="O68" i="14"/>
  <c r="AX10" i="51"/>
  <c r="R12" i="51"/>
  <c r="S10" i="51"/>
  <c r="R36" i="51"/>
  <c r="AV13" i="51"/>
  <c r="AV14" i="51"/>
  <c r="O33" i="53"/>
  <c r="P48" i="51"/>
  <c r="AT43" i="51"/>
  <c r="AT17" i="51"/>
  <c r="Q29" i="12"/>
  <c r="R19" i="51"/>
  <c r="R23" i="51"/>
  <c r="AX18" i="51"/>
  <c r="S18" i="51"/>
  <c r="R20" i="51"/>
  <c r="R22" i="51"/>
  <c r="R42" i="12"/>
  <c r="R41" i="12"/>
  <c r="S40" i="12"/>
  <c r="M34" i="53"/>
  <c r="N52" i="51"/>
  <c r="O67" i="14"/>
  <c r="P46" i="14"/>
  <c r="Q15" i="14"/>
  <c r="L89" i="12"/>
  <c r="L22" i="12"/>
  <c r="AW20" i="51"/>
  <c r="AW22" i="51"/>
  <c r="AW19" i="51"/>
  <c r="AW23" i="51"/>
  <c r="R42" i="14"/>
  <c r="R41" i="14"/>
  <c r="S40" i="14"/>
  <c r="O68" i="12"/>
  <c r="AV37" i="51"/>
  <c r="AV38" i="51"/>
  <c r="N36" i="20"/>
  <c r="O39" i="12"/>
  <c r="O92" i="12"/>
  <c r="O215" i="12"/>
  <c r="P15" i="12"/>
  <c r="R13" i="14"/>
  <c r="R62" i="14"/>
  <c r="S12" i="14"/>
  <c r="Q29" i="14"/>
  <c r="L90" i="12"/>
  <c r="L21" i="12"/>
  <c r="L86" i="14"/>
  <c r="L23" i="14"/>
  <c r="L87" i="14"/>
  <c r="M33" i="54"/>
  <c r="AT48" i="51"/>
  <c r="AU43" i="51"/>
  <c r="P45" i="14"/>
  <c r="O47" i="12"/>
  <c r="M22" i="14"/>
  <c r="M89" i="14"/>
  <c r="Q64" i="12"/>
  <c r="Q63" i="12"/>
  <c r="N33" i="54"/>
  <c r="AU48" i="51"/>
  <c r="Q64" i="14"/>
  <c r="Q63" i="14"/>
  <c r="O47" i="14"/>
  <c r="N34" i="53"/>
  <c r="O52" i="51"/>
  <c r="L85" i="12"/>
  <c r="Q34" i="12"/>
  <c r="L37" i="20"/>
  <c r="M20" i="12"/>
  <c r="M25" i="12"/>
  <c r="M24" i="12"/>
  <c r="M102" i="12"/>
  <c r="M217" i="12"/>
  <c r="K86" i="14"/>
  <c r="K23" i="14"/>
  <c r="N33" i="53"/>
  <c r="O48" i="51"/>
  <c r="P45" i="12"/>
  <c r="P66" i="14" l="1"/>
  <c r="Q44" i="14"/>
  <c r="P215" i="14"/>
  <c r="Q48" i="14"/>
  <c r="P92" i="14"/>
  <c r="Q122" i="14"/>
  <c r="P134" i="12"/>
  <c r="P71" i="12"/>
  <c r="P67" i="12" s="1"/>
  <c r="P66" i="12"/>
  <c r="Q82" i="12"/>
  <c r="AV44" i="51"/>
  <c r="P70" i="12"/>
  <c r="AV25" i="51"/>
  <c r="R83" i="14"/>
  <c r="R83" i="12"/>
  <c r="R29" i="51"/>
  <c r="Q35" i="53" s="1"/>
  <c r="P17" i="51"/>
  <c r="O36" i="20"/>
  <c r="P39" i="12"/>
  <c r="P92" i="12"/>
  <c r="P215" i="12"/>
  <c r="AU17" i="51"/>
  <c r="O17" i="14"/>
  <c r="R38" i="14"/>
  <c r="R36" i="14" s="1"/>
  <c r="Q36" i="14"/>
  <c r="Q82" i="14"/>
  <c r="Q33" i="12"/>
  <c r="P46" i="51"/>
  <c r="R29" i="12"/>
  <c r="N37" i="54"/>
  <c r="P214" i="12"/>
  <c r="P224" i="12" s="1"/>
  <c r="N37" i="14"/>
  <c r="O37" i="53"/>
  <c r="AU46" i="51"/>
  <c r="Q33" i="14"/>
  <c r="R24" i="51"/>
  <c r="AT46" i="51"/>
  <c r="Q216" i="14"/>
  <c r="Q44" i="12"/>
  <c r="P220" i="12"/>
  <c r="Q25" i="51"/>
  <c r="Q65" i="12"/>
  <c r="Q71" i="12" s="1"/>
  <c r="Q44" i="51"/>
  <c r="AW29" i="51"/>
  <c r="P35" i="54" s="1"/>
  <c r="Q15" i="51"/>
  <c r="R43" i="14"/>
  <c r="Q38" i="19" s="1"/>
  <c r="R43" i="12"/>
  <c r="R49" i="12" s="1"/>
  <c r="R34" i="14"/>
  <c r="Q39" i="51"/>
  <c r="P37" i="53" s="1"/>
  <c r="AV39" i="51"/>
  <c r="Q48" i="51"/>
  <c r="AU65" i="51"/>
  <c r="Q65" i="14"/>
  <c r="R21" i="51"/>
  <c r="AW59" i="51"/>
  <c r="R49" i="14"/>
  <c r="Q66" i="12"/>
  <c r="Q70" i="12"/>
  <c r="Q134" i="12"/>
  <c r="Q65" i="51"/>
  <c r="K88" i="14"/>
  <c r="M85" i="12"/>
  <c r="R64" i="14"/>
  <c r="R82" i="14" s="1"/>
  <c r="R63" i="14"/>
  <c r="O35" i="12"/>
  <c r="S42" i="12"/>
  <c r="S41" i="12"/>
  <c r="T40" i="12"/>
  <c r="R64" i="12"/>
  <c r="R63" i="12"/>
  <c r="R38" i="12"/>
  <c r="Q46" i="14"/>
  <c r="Q46" i="12"/>
  <c r="M87" i="14"/>
  <c r="L87" i="12"/>
  <c r="P35" i="14"/>
  <c r="AX27" i="51"/>
  <c r="AX28" i="51"/>
  <c r="Q45" i="12"/>
  <c r="L86" i="12"/>
  <c r="L23" i="12"/>
  <c r="P36" i="20"/>
  <c r="Q39" i="12"/>
  <c r="Q92" i="12"/>
  <c r="Q215" i="12"/>
  <c r="AW14" i="51"/>
  <c r="AW13" i="51"/>
  <c r="P68" i="14"/>
  <c r="K88" i="12"/>
  <c r="Q45" i="14"/>
  <c r="O81" i="12"/>
  <c r="O19" i="12"/>
  <c r="O69" i="14"/>
  <c r="M34" i="54"/>
  <c r="AT52" i="51"/>
  <c r="M37" i="20"/>
  <c r="N20" i="12"/>
  <c r="N25" i="12"/>
  <c r="N24" i="12"/>
  <c r="N102" i="12"/>
  <c r="N217" i="12"/>
  <c r="S27" i="14"/>
  <c r="S31" i="14"/>
  <c r="S30" i="14"/>
  <c r="T26" i="14"/>
  <c r="S28" i="14"/>
  <c r="AW37" i="51"/>
  <c r="AW38" i="51"/>
  <c r="P67" i="14"/>
  <c r="Q43" i="51"/>
  <c r="M37" i="19"/>
  <c r="N102" i="14"/>
  <c r="N20" i="14"/>
  <c r="N25" i="14"/>
  <c r="N24" i="14"/>
  <c r="N217" i="14"/>
  <c r="P47" i="12"/>
  <c r="P16" i="12"/>
  <c r="S42" i="14"/>
  <c r="S41" i="14"/>
  <c r="T40" i="14"/>
  <c r="R37" i="51"/>
  <c r="R38" i="51"/>
  <c r="O37" i="14"/>
  <c r="P16" i="14"/>
  <c r="N213" i="12"/>
  <c r="N84" i="12"/>
  <c r="R32" i="14"/>
  <c r="R166" i="12"/>
  <c r="Q16" i="12"/>
  <c r="Q17" i="51"/>
  <c r="M86" i="14"/>
  <c r="M23" i="14"/>
  <c r="N213" i="14"/>
  <c r="N84" i="14"/>
  <c r="P68" i="12"/>
  <c r="P47" i="14"/>
  <c r="P36" i="19"/>
  <c r="Q39" i="14"/>
  <c r="Q92" i="14"/>
  <c r="Q215" i="14"/>
  <c r="S19" i="51"/>
  <c r="S23" i="51"/>
  <c r="AY18" i="51"/>
  <c r="T18" i="51"/>
  <c r="S20" i="51"/>
  <c r="S22" i="51"/>
  <c r="AY10" i="51"/>
  <c r="S12" i="51"/>
  <c r="T10" i="51"/>
  <c r="S36" i="51"/>
  <c r="R34" i="12"/>
  <c r="T26" i="51"/>
  <c r="S28" i="51"/>
  <c r="S27" i="51"/>
  <c r="AY26" i="51"/>
  <c r="R14" i="14"/>
  <c r="AW21" i="51"/>
  <c r="AX20" i="51"/>
  <c r="AX22" i="51"/>
  <c r="AX19" i="51"/>
  <c r="AX23" i="51"/>
  <c r="AV15" i="51"/>
  <c r="R14" i="51"/>
  <c r="R13" i="51"/>
  <c r="R14" i="12"/>
  <c r="M168" i="12"/>
  <c r="M167" i="12"/>
  <c r="S30" i="12"/>
  <c r="T26" i="12"/>
  <c r="S28" i="12"/>
  <c r="S27" i="12"/>
  <c r="S31" i="12"/>
  <c r="M89" i="12"/>
  <c r="M22" i="12"/>
  <c r="M21" i="12"/>
  <c r="M90" i="12"/>
  <c r="O69" i="12"/>
  <c r="L88" i="14"/>
  <c r="S13" i="14"/>
  <c r="S62" i="14"/>
  <c r="T12" i="14"/>
  <c r="AW24" i="51"/>
  <c r="Q16" i="14"/>
  <c r="AX36" i="51"/>
  <c r="AX12" i="51"/>
  <c r="R29" i="14"/>
  <c r="S13" i="12"/>
  <c r="S62" i="12"/>
  <c r="T12" i="12"/>
  <c r="M223" i="12"/>
  <c r="M221" i="12"/>
  <c r="R32" i="12"/>
  <c r="R122" i="12" l="1"/>
  <c r="R44" i="12"/>
  <c r="R59" i="51"/>
  <c r="Q220" i="12"/>
  <c r="R48" i="12"/>
  <c r="R216" i="12"/>
  <c r="R48" i="14"/>
  <c r="R122" i="14"/>
  <c r="S83" i="12"/>
  <c r="S83" i="14"/>
  <c r="S29" i="12"/>
  <c r="O81" i="14"/>
  <c r="O19" i="14"/>
  <c r="S32" i="14"/>
  <c r="Q214" i="14"/>
  <c r="Q224" i="14" s="1"/>
  <c r="R214" i="14"/>
  <c r="R224" i="14" s="1"/>
  <c r="S43" i="14"/>
  <c r="R25" i="51"/>
  <c r="P52" i="51"/>
  <c r="O34" i="53"/>
  <c r="O33" i="54"/>
  <c r="AV48" i="51"/>
  <c r="P17" i="14"/>
  <c r="P19" i="14" s="1"/>
  <c r="P17" i="12"/>
  <c r="P19" i="12" s="1"/>
  <c r="Q46" i="51"/>
  <c r="S29" i="14"/>
  <c r="R65" i="14"/>
  <c r="Q70" i="14"/>
  <c r="N34" i="54"/>
  <c r="AU52" i="51"/>
  <c r="Q38" i="20"/>
  <c r="Q17" i="14"/>
  <c r="Q81" i="14" s="1"/>
  <c r="AW44" i="51"/>
  <c r="S24" i="51"/>
  <c r="R44" i="51"/>
  <c r="AW39" i="51"/>
  <c r="R65" i="12"/>
  <c r="R220" i="12" s="1"/>
  <c r="R216" i="14"/>
  <c r="Q71" i="14"/>
  <c r="Q67" i="14" s="1"/>
  <c r="P33" i="53"/>
  <c r="R33" i="12"/>
  <c r="S29" i="51"/>
  <c r="Q17" i="12"/>
  <c r="R39" i="51"/>
  <c r="P40" i="20"/>
  <c r="R44" i="14"/>
  <c r="Q66" i="14"/>
  <c r="O37" i="54"/>
  <c r="P35" i="12"/>
  <c r="R33" i="14"/>
  <c r="P40" i="19"/>
  <c r="Q214" i="12"/>
  <c r="Q224" i="12" s="1"/>
  <c r="S43" i="12"/>
  <c r="S44" i="12" s="1"/>
  <c r="AX21" i="51"/>
  <c r="AX24" i="51"/>
  <c r="AW15" i="51"/>
  <c r="Q220" i="14"/>
  <c r="AV65" i="51"/>
  <c r="AX29" i="51"/>
  <c r="Q134" i="14"/>
  <c r="R38" i="20"/>
  <c r="S122" i="12"/>
  <c r="S49" i="12"/>
  <c r="S48" i="12"/>
  <c r="Q36" i="20"/>
  <c r="R92" i="12"/>
  <c r="R215" i="12"/>
  <c r="P81" i="14"/>
  <c r="Q40" i="19"/>
  <c r="R66" i="14"/>
  <c r="R71" i="14"/>
  <c r="R70" i="14"/>
  <c r="R134" i="14"/>
  <c r="R220" i="14"/>
  <c r="Q81" i="12"/>
  <c r="Q19" i="12"/>
  <c r="Q37" i="53"/>
  <c r="R65" i="51"/>
  <c r="R71" i="12"/>
  <c r="R70" i="12"/>
  <c r="R134" i="12"/>
  <c r="S64" i="12"/>
  <c r="S63" i="12"/>
  <c r="AW25" i="51"/>
  <c r="N85" i="14"/>
  <c r="N21" i="12"/>
  <c r="N90" i="12"/>
  <c r="O37" i="12"/>
  <c r="Q68" i="14"/>
  <c r="AV43" i="51"/>
  <c r="AV17" i="51"/>
  <c r="T19" i="51"/>
  <c r="T23" i="51"/>
  <c r="AZ18" i="51"/>
  <c r="U18" i="51"/>
  <c r="T20" i="51"/>
  <c r="T22" i="51"/>
  <c r="R38" i="19"/>
  <c r="S44" i="14"/>
  <c r="S49" i="14"/>
  <c r="S122" i="14"/>
  <c r="S48" i="14"/>
  <c r="S216" i="14"/>
  <c r="P37" i="54"/>
  <c r="AW65" i="51"/>
  <c r="S38" i="14"/>
  <c r="N85" i="12"/>
  <c r="Q68" i="12"/>
  <c r="R46" i="12"/>
  <c r="R45" i="14"/>
  <c r="R15" i="14"/>
  <c r="AY27" i="51"/>
  <c r="AY28" i="51"/>
  <c r="AY20" i="51"/>
  <c r="AY22" i="51"/>
  <c r="AY19" i="51"/>
  <c r="AY23" i="51"/>
  <c r="Q35" i="14"/>
  <c r="N221" i="14"/>
  <c r="N223" i="14"/>
  <c r="Q67" i="12"/>
  <c r="R45" i="12"/>
  <c r="R35" i="53"/>
  <c r="S59" i="51"/>
  <c r="S37" i="51"/>
  <c r="S38" i="51"/>
  <c r="S39" i="51"/>
  <c r="M88" i="14"/>
  <c r="N168" i="12"/>
  <c r="N167" i="12"/>
  <c r="Q47" i="14"/>
  <c r="AW43" i="51"/>
  <c r="Q35" i="12"/>
  <c r="T13" i="14"/>
  <c r="T62" i="14"/>
  <c r="U12" i="14"/>
  <c r="S63" i="14"/>
  <c r="S64" i="14"/>
  <c r="S34" i="12"/>
  <c r="R15" i="12"/>
  <c r="AZ10" i="51"/>
  <c r="T12" i="51"/>
  <c r="U10" i="51"/>
  <c r="T36" i="51"/>
  <c r="N223" i="12"/>
  <c r="N221" i="12"/>
  <c r="N37" i="20"/>
  <c r="O20" i="12"/>
  <c r="O25" i="12"/>
  <c r="O24" i="12"/>
  <c r="O102" i="12"/>
  <c r="O217" i="12"/>
  <c r="P37" i="14"/>
  <c r="T42" i="12"/>
  <c r="T41" i="12"/>
  <c r="U40" i="12"/>
  <c r="T27" i="12"/>
  <c r="T31" i="12"/>
  <c r="T30" i="12"/>
  <c r="U26" i="12"/>
  <c r="T28" i="12"/>
  <c r="S14" i="51"/>
  <c r="S13" i="51"/>
  <c r="S21" i="51"/>
  <c r="O213" i="12"/>
  <c r="O84" i="12"/>
  <c r="R82" i="12"/>
  <c r="Q47" i="12"/>
  <c r="R36" i="12"/>
  <c r="Q36" i="19"/>
  <c r="R39" i="14"/>
  <c r="R92" i="14"/>
  <c r="R215" i="14"/>
  <c r="S166" i="12"/>
  <c r="S14" i="12"/>
  <c r="AX14" i="51"/>
  <c r="AX13" i="51"/>
  <c r="S14" i="14"/>
  <c r="M86" i="12"/>
  <c r="M23" i="12"/>
  <c r="S32" i="12"/>
  <c r="R15" i="51"/>
  <c r="AZ26" i="51"/>
  <c r="U26" i="51"/>
  <c r="T28" i="51"/>
  <c r="T27" i="51"/>
  <c r="AY12" i="51"/>
  <c r="AY36" i="51"/>
  <c r="P34" i="53"/>
  <c r="Q52" i="51"/>
  <c r="U40" i="14"/>
  <c r="T42" i="14"/>
  <c r="T41" i="14"/>
  <c r="N22" i="14"/>
  <c r="N89" i="14"/>
  <c r="S34" i="14"/>
  <c r="S82" i="12"/>
  <c r="T13" i="12"/>
  <c r="T62" i="12"/>
  <c r="U12" i="12"/>
  <c r="AX37" i="51"/>
  <c r="AX38" i="51"/>
  <c r="M87" i="12"/>
  <c r="S38" i="12"/>
  <c r="P69" i="12"/>
  <c r="S44" i="51"/>
  <c r="N21" i="14"/>
  <c r="N90" i="14"/>
  <c r="P69" i="14"/>
  <c r="T27" i="14"/>
  <c r="T31" i="14"/>
  <c r="T30" i="14"/>
  <c r="U26" i="14"/>
  <c r="T28" i="14"/>
  <c r="N22" i="12"/>
  <c r="N89" i="12"/>
  <c r="L88" i="12"/>
  <c r="R46" i="14"/>
  <c r="P81" i="12" l="1"/>
  <c r="Q19" i="14"/>
  <c r="R66" i="12"/>
  <c r="Q40" i="20"/>
  <c r="S216" i="12"/>
  <c r="AX44" i="51"/>
  <c r="S25" i="51"/>
  <c r="AW46" i="51"/>
  <c r="AV46" i="51"/>
  <c r="Q35" i="54"/>
  <c r="O213" i="14"/>
  <c r="O84" i="14"/>
  <c r="AX39" i="51"/>
  <c r="T43" i="12"/>
  <c r="T29" i="51"/>
  <c r="S82" i="14"/>
  <c r="T43" i="14"/>
  <c r="AX15" i="51"/>
  <c r="AW17" i="51"/>
  <c r="T34" i="14"/>
  <c r="T83" i="12"/>
  <c r="AY24" i="51"/>
  <c r="P37" i="12"/>
  <c r="S214" i="12"/>
  <c r="S224" i="12" s="1"/>
  <c r="R214" i="12"/>
  <c r="R224" i="12" s="1"/>
  <c r="Q33" i="53"/>
  <c r="R48" i="51"/>
  <c r="T32" i="14"/>
  <c r="T83" i="14"/>
  <c r="S33" i="12"/>
  <c r="T29" i="12"/>
  <c r="S65" i="12"/>
  <c r="R40" i="20" s="1"/>
  <c r="R39" i="12"/>
  <c r="S33" i="14"/>
  <c r="N37" i="19"/>
  <c r="O24" i="14"/>
  <c r="O102" i="14"/>
  <c r="O20" i="14"/>
  <c r="O25" i="14"/>
  <c r="O217" i="14"/>
  <c r="T38" i="12"/>
  <c r="S15" i="51"/>
  <c r="AY29" i="51"/>
  <c r="AX59" i="51"/>
  <c r="AX25" i="51"/>
  <c r="T32" i="12"/>
  <c r="S65" i="14"/>
  <c r="S71" i="14" s="1"/>
  <c r="Q37" i="54"/>
  <c r="AX65" i="51"/>
  <c r="U28" i="14"/>
  <c r="U27" i="14"/>
  <c r="U31" i="14"/>
  <c r="U30" i="14"/>
  <c r="V26" i="14"/>
  <c r="V40" i="14"/>
  <c r="U42" i="14"/>
  <c r="U41" i="14"/>
  <c r="U13" i="12"/>
  <c r="U62" i="12"/>
  <c r="V12" i="12"/>
  <c r="T44" i="14"/>
  <c r="T49" i="14"/>
  <c r="T122" i="14"/>
  <c r="T48" i="14"/>
  <c r="T216" i="14"/>
  <c r="M88" i="12"/>
  <c r="R33" i="53"/>
  <c r="S48" i="51"/>
  <c r="O22" i="12"/>
  <c r="O89" i="12"/>
  <c r="T63" i="14"/>
  <c r="T64" i="14"/>
  <c r="S46" i="14"/>
  <c r="U19" i="51"/>
  <c r="U23" i="51"/>
  <c r="BA18" i="51"/>
  <c r="V18" i="51"/>
  <c r="U20" i="51"/>
  <c r="U22" i="51"/>
  <c r="N86" i="12"/>
  <c r="N23" i="12"/>
  <c r="S220" i="12"/>
  <c r="O37" i="19"/>
  <c r="P25" i="14"/>
  <c r="P24" i="14"/>
  <c r="P102" i="14"/>
  <c r="P20" i="14"/>
  <c r="P217" i="14"/>
  <c r="T63" i="12"/>
  <c r="T64" i="12"/>
  <c r="T36" i="12"/>
  <c r="S38" i="20"/>
  <c r="T44" i="12"/>
  <c r="T122" i="12"/>
  <c r="T49" i="12"/>
  <c r="T48" i="12"/>
  <c r="T216" i="12"/>
  <c r="O21" i="12"/>
  <c r="O90" i="12"/>
  <c r="T37" i="51"/>
  <c r="T38" i="51"/>
  <c r="R37" i="53"/>
  <c r="S65" i="51"/>
  <c r="R47" i="14"/>
  <c r="AZ19" i="51"/>
  <c r="AZ23" i="51"/>
  <c r="AZ20" i="51"/>
  <c r="AZ22" i="51"/>
  <c r="P213" i="14"/>
  <c r="P84" i="14"/>
  <c r="S17" i="51"/>
  <c r="O85" i="12"/>
  <c r="BA10" i="51"/>
  <c r="U12" i="51"/>
  <c r="V10" i="51"/>
  <c r="U36" i="51"/>
  <c r="R16" i="12"/>
  <c r="T14" i="14"/>
  <c r="S36" i="14"/>
  <c r="S45" i="14"/>
  <c r="R68" i="14"/>
  <c r="P37" i="19"/>
  <c r="Q25" i="14"/>
  <c r="Q24" i="14"/>
  <c r="Q102" i="14"/>
  <c r="Q20" i="14"/>
  <c r="Q217" i="14"/>
  <c r="N86" i="14"/>
  <c r="N23" i="14"/>
  <c r="T14" i="12"/>
  <c r="S15" i="14"/>
  <c r="T13" i="51"/>
  <c r="T14" i="51"/>
  <c r="R16" i="14"/>
  <c r="R67" i="14"/>
  <c r="Q213" i="14"/>
  <c r="Q84" i="14"/>
  <c r="AY37" i="51"/>
  <c r="AY38" i="51"/>
  <c r="BA26" i="51"/>
  <c r="V26" i="51"/>
  <c r="U28" i="51"/>
  <c r="U27" i="51"/>
  <c r="R35" i="14"/>
  <c r="AZ12" i="51"/>
  <c r="AZ36" i="51"/>
  <c r="R47" i="12"/>
  <c r="T21" i="51"/>
  <c r="P37" i="20"/>
  <c r="Q25" i="12"/>
  <c r="Q24" i="12"/>
  <c r="Q102" i="12"/>
  <c r="Q20" i="12"/>
  <c r="Q217" i="12"/>
  <c r="S46" i="12"/>
  <c r="S35" i="53"/>
  <c r="T59" i="51"/>
  <c r="T38" i="14"/>
  <c r="N87" i="12"/>
  <c r="T29" i="14"/>
  <c r="N87" i="14"/>
  <c r="AY14" i="51"/>
  <c r="AY13" i="51"/>
  <c r="AZ28" i="51"/>
  <c r="AZ27" i="51"/>
  <c r="AX43" i="51"/>
  <c r="O168" i="12"/>
  <c r="O167" i="12"/>
  <c r="Q37" i="14"/>
  <c r="O34" i="54"/>
  <c r="AV52" i="51"/>
  <c r="P33" i="54"/>
  <c r="AW48" i="51"/>
  <c r="Q213" i="12"/>
  <c r="Q84" i="12"/>
  <c r="S45" i="12"/>
  <c r="R43" i="51"/>
  <c r="R17" i="51"/>
  <c r="O221" i="12"/>
  <c r="O223" i="12"/>
  <c r="T34" i="12"/>
  <c r="V40" i="12"/>
  <c r="U42" i="12"/>
  <c r="U41" i="12"/>
  <c r="T24" i="51"/>
  <c r="R68" i="12"/>
  <c r="O37" i="20"/>
  <c r="P24" i="12"/>
  <c r="P102" i="12"/>
  <c r="P20" i="12"/>
  <c r="P25" i="12"/>
  <c r="P217" i="12"/>
  <c r="S36" i="12"/>
  <c r="T166" i="12"/>
  <c r="T82" i="14"/>
  <c r="R36" i="20"/>
  <c r="S39" i="12"/>
  <c r="S92" i="12"/>
  <c r="S215" i="12"/>
  <c r="S15" i="12"/>
  <c r="U27" i="12"/>
  <c r="U31" i="12"/>
  <c r="U30" i="12"/>
  <c r="V26" i="12"/>
  <c r="U28" i="12"/>
  <c r="U13" i="14"/>
  <c r="U62" i="14"/>
  <c r="V12" i="14"/>
  <c r="Q37" i="12"/>
  <c r="Q69" i="12"/>
  <c r="AY21" i="51"/>
  <c r="Q69" i="14"/>
  <c r="R67" i="12"/>
  <c r="P213" i="12"/>
  <c r="P84" i="12"/>
  <c r="R35" i="12"/>
  <c r="S70" i="12" l="1"/>
  <c r="S71" i="12"/>
  <c r="S66" i="12"/>
  <c r="S220" i="14"/>
  <c r="T82" i="12"/>
  <c r="U29" i="14"/>
  <c r="P34" i="54"/>
  <c r="AW52" i="51"/>
  <c r="U24" i="51"/>
  <c r="R36" i="19"/>
  <c r="S92" i="14"/>
  <c r="S39" i="14"/>
  <c r="S215" i="14"/>
  <c r="U83" i="14"/>
  <c r="T33" i="14"/>
  <c r="R40" i="19"/>
  <c r="O21" i="14"/>
  <c r="O90" i="14"/>
  <c r="AX17" i="51"/>
  <c r="S214" i="14"/>
  <c r="S224" i="14" s="1"/>
  <c r="O223" i="14"/>
  <c r="O221" i="14"/>
  <c r="U29" i="51"/>
  <c r="S134" i="14"/>
  <c r="T33" i="12"/>
  <c r="T39" i="12" s="1"/>
  <c r="T35" i="12" s="1"/>
  <c r="O85" i="14"/>
  <c r="R17" i="14"/>
  <c r="R81" i="14" s="1"/>
  <c r="AZ21" i="51"/>
  <c r="AX46" i="51"/>
  <c r="AY25" i="51"/>
  <c r="T214" i="14"/>
  <c r="T224" i="14" s="1"/>
  <c r="R17" i="12"/>
  <c r="R81" i="12" s="1"/>
  <c r="S134" i="12"/>
  <c r="S38" i="19"/>
  <c r="S66" i="14"/>
  <c r="O22" i="14"/>
  <c r="O89" i="14"/>
  <c r="U83" i="12"/>
  <c r="T15" i="51"/>
  <c r="AZ24" i="51"/>
  <c r="T39" i="51"/>
  <c r="U21" i="51"/>
  <c r="U166" i="12"/>
  <c r="R35" i="54"/>
  <c r="T44" i="51"/>
  <c r="R46" i="51"/>
  <c r="AY15" i="51"/>
  <c r="AY44" i="51"/>
  <c r="S16" i="14"/>
  <c r="S17" i="14" s="1"/>
  <c r="S43" i="51"/>
  <c r="S36" i="20"/>
  <c r="T92" i="12"/>
  <c r="T215" i="12"/>
  <c r="U43" i="14"/>
  <c r="U216" i="14" s="1"/>
  <c r="U29" i="12"/>
  <c r="AY39" i="51"/>
  <c r="Q33" i="54"/>
  <c r="AX48" i="51"/>
  <c r="S70" i="14"/>
  <c r="T65" i="14"/>
  <c r="AY59" i="51"/>
  <c r="U32" i="12"/>
  <c r="AZ29" i="51"/>
  <c r="AZ59" i="51" s="1"/>
  <c r="U14" i="12"/>
  <c r="U15" i="12" s="1"/>
  <c r="T35" i="53"/>
  <c r="U59" i="51"/>
  <c r="S40" i="19"/>
  <c r="T71" i="14"/>
  <c r="T70" i="14"/>
  <c r="T66" i="14"/>
  <c r="P221" i="12"/>
  <c r="P223" i="12"/>
  <c r="R69" i="12"/>
  <c r="V13" i="14"/>
  <c r="V62" i="14"/>
  <c r="W12" i="14"/>
  <c r="U34" i="12"/>
  <c r="P85" i="12"/>
  <c r="Q168" i="12"/>
  <c r="Q167" i="12"/>
  <c r="R37" i="14"/>
  <c r="BA12" i="51"/>
  <c r="BA36" i="51"/>
  <c r="O86" i="12"/>
  <c r="O23" i="12"/>
  <c r="P85" i="14"/>
  <c r="N88" i="12"/>
  <c r="T45" i="14"/>
  <c r="U38" i="14"/>
  <c r="U64" i="14"/>
  <c r="U63" i="14"/>
  <c r="Q223" i="12"/>
  <c r="Q221" i="12"/>
  <c r="T25" i="51"/>
  <c r="P223" i="14"/>
  <c r="P221" i="14"/>
  <c r="S68" i="14"/>
  <c r="V28" i="12"/>
  <c r="V27" i="12"/>
  <c r="V31" i="12"/>
  <c r="V30" i="12"/>
  <c r="W26" i="12"/>
  <c r="T36" i="14"/>
  <c r="Q85" i="12"/>
  <c r="Q223" i="14"/>
  <c r="Q221" i="14"/>
  <c r="Q85" i="14"/>
  <c r="S68" i="12"/>
  <c r="R37" i="12"/>
  <c r="R33" i="54"/>
  <c r="AY48" i="51"/>
  <c r="U14" i="14"/>
  <c r="U38" i="12"/>
  <c r="S35" i="12"/>
  <c r="P22" i="12"/>
  <c r="P89" i="12"/>
  <c r="Q34" i="53"/>
  <c r="R52" i="51"/>
  <c r="AY43" i="51"/>
  <c r="V27" i="51"/>
  <c r="BB26" i="51"/>
  <c r="W26" i="51"/>
  <c r="V28" i="51"/>
  <c r="T15" i="14"/>
  <c r="R34" i="53"/>
  <c r="S52" i="51"/>
  <c r="S37" i="53"/>
  <c r="T65" i="51"/>
  <c r="T46" i="12"/>
  <c r="P22" i="14"/>
  <c r="P89" i="14"/>
  <c r="S67" i="12"/>
  <c r="W40" i="14"/>
  <c r="V42" i="14"/>
  <c r="V41" i="14"/>
  <c r="P168" i="12"/>
  <c r="P167" i="12"/>
  <c r="AZ37" i="51"/>
  <c r="AZ38" i="51"/>
  <c r="BA28" i="51"/>
  <c r="BA27" i="51"/>
  <c r="R69" i="14"/>
  <c r="T15" i="12"/>
  <c r="T45" i="12"/>
  <c r="P21" i="14"/>
  <c r="P90" i="14"/>
  <c r="O87" i="12"/>
  <c r="V13" i="12"/>
  <c r="V62" i="12"/>
  <c r="W12" i="12"/>
  <c r="Q22" i="12"/>
  <c r="Q89" i="12"/>
  <c r="AZ14" i="51"/>
  <c r="AZ13" i="51"/>
  <c r="T43" i="51"/>
  <c r="N88" i="14"/>
  <c r="Q89" i="14"/>
  <c r="Q22" i="14"/>
  <c r="S47" i="14"/>
  <c r="U37" i="51"/>
  <c r="U38" i="51"/>
  <c r="T65" i="12"/>
  <c r="W18" i="51"/>
  <c r="V20" i="51"/>
  <c r="V22" i="51"/>
  <c r="V19" i="51"/>
  <c r="V23" i="51"/>
  <c r="BB18" i="51"/>
  <c r="U63" i="12"/>
  <c r="U64" i="12"/>
  <c r="U34" i="14"/>
  <c r="U43" i="12"/>
  <c r="S47" i="12"/>
  <c r="Q21" i="12"/>
  <c r="Q90" i="12"/>
  <c r="Q21" i="14"/>
  <c r="Q90" i="14"/>
  <c r="BB10" i="51"/>
  <c r="V12" i="51"/>
  <c r="W10" i="51"/>
  <c r="V36" i="51"/>
  <c r="BA19" i="51"/>
  <c r="BA23" i="51"/>
  <c r="BA20" i="51"/>
  <c r="BA22" i="51"/>
  <c r="T46" i="14"/>
  <c r="V28" i="14"/>
  <c r="V27" i="14"/>
  <c r="V31" i="14"/>
  <c r="V30" i="14"/>
  <c r="W26" i="14"/>
  <c r="S67" i="14"/>
  <c r="S16" i="12"/>
  <c r="P21" i="12"/>
  <c r="P90" i="12"/>
  <c r="W40" i="12"/>
  <c r="V42" i="12"/>
  <c r="V41" i="12"/>
  <c r="S36" i="19"/>
  <c r="T39" i="14"/>
  <c r="T92" i="14"/>
  <c r="T215" i="14"/>
  <c r="U13" i="51"/>
  <c r="U14" i="51"/>
  <c r="U32" i="14"/>
  <c r="AZ44" i="51" l="1"/>
  <c r="R19" i="12"/>
  <c r="U48" i="14"/>
  <c r="R19" i="14"/>
  <c r="U82" i="12"/>
  <c r="T46" i="51"/>
  <c r="T17" i="51"/>
  <c r="S17" i="12"/>
  <c r="S19" i="12" s="1"/>
  <c r="U65" i="12"/>
  <c r="U70" i="12" s="1"/>
  <c r="AZ39" i="51"/>
  <c r="AZ65" i="51" s="1"/>
  <c r="R37" i="54"/>
  <c r="S46" i="51"/>
  <c r="O23" i="14"/>
  <c r="O86" i="14"/>
  <c r="U82" i="14"/>
  <c r="U44" i="51"/>
  <c r="S35" i="54"/>
  <c r="U25" i="51"/>
  <c r="AZ25" i="51"/>
  <c r="S35" i="14"/>
  <c r="V29" i="51"/>
  <c r="T38" i="19"/>
  <c r="V43" i="14"/>
  <c r="AY46" i="51"/>
  <c r="U122" i="14"/>
  <c r="T134" i="14"/>
  <c r="O87" i="14"/>
  <c r="V24" i="51"/>
  <c r="V83" i="14"/>
  <c r="AY65" i="51"/>
  <c r="U49" i="14"/>
  <c r="U16" i="12"/>
  <c r="U17" i="12" s="1"/>
  <c r="V29" i="14"/>
  <c r="BA29" i="51"/>
  <c r="T214" i="12"/>
  <c r="T224" i="12" s="1"/>
  <c r="V83" i="12"/>
  <c r="T16" i="14"/>
  <c r="T37" i="12"/>
  <c r="AY17" i="51"/>
  <c r="Q34" i="54"/>
  <c r="AX52" i="51"/>
  <c r="V29" i="12"/>
  <c r="U33" i="12"/>
  <c r="U65" i="14"/>
  <c r="T40" i="19" s="1"/>
  <c r="U44" i="14"/>
  <c r="U39" i="51"/>
  <c r="T37" i="53" s="1"/>
  <c r="V38" i="12"/>
  <c r="T220" i="14"/>
  <c r="V43" i="12"/>
  <c r="T35" i="54"/>
  <c r="BA59" i="51"/>
  <c r="U35" i="53"/>
  <c r="V59" i="51"/>
  <c r="U71" i="14"/>
  <c r="U70" i="14"/>
  <c r="S81" i="12"/>
  <c r="T40" i="20"/>
  <c r="U71" i="12"/>
  <c r="S37" i="54"/>
  <c r="U65" i="51"/>
  <c r="U38" i="20"/>
  <c r="V44" i="12"/>
  <c r="X40" i="12"/>
  <c r="W42" i="12"/>
  <c r="W41" i="12"/>
  <c r="BA24" i="51"/>
  <c r="W36" i="51"/>
  <c r="BC10" i="51"/>
  <c r="W12" i="51"/>
  <c r="X10" i="51"/>
  <c r="Q86" i="12"/>
  <c r="Q23" i="12"/>
  <c r="V64" i="12"/>
  <c r="V63" i="12"/>
  <c r="U38" i="19"/>
  <c r="V44" i="14"/>
  <c r="V49" i="14"/>
  <c r="V122" i="14"/>
  <c r="V48" i="14"/>
  <c r="V216" i="14"/>
  <c r="P87" i="14"/>
  <c r="T17" i="14"/>
  <c r="V32" i="12"/>
  <c r="T47" i="14"/>
  <c r="BA37" i="51"/>
  <c r="BA38" i="51"/>
  <c r="T67" i="14"/>
  <c r="T35" i="14"/>
  <c r="V13" i="51"/>
  <c r="V14" i="51"/>
  <c r="T47" i="12"/>
  <c r="W41" i="14"/>
  <c r="X40" i="14"/>
  <c r="W42" i="14"/>
  <c r="V36" i="12"/>
  <c r="BA14" i="51"/>
  <c r="BA13" i="51"/>
  <c r="U46" i="14"/>
  <c r="U15" i="51"/>
  <c r="BB12" i="51"/>
  <c r="BB36" i="51"/>
  <c r="X18" i="51"/>
  <c r="W20" i="51"/>
  <c r="W22" i="51"/>
  <c r="W19" i="51"/>
  <c r="W23" i="51"/>
  <c r="BC18" i="51"/>
  <c r="V14" i="12"/>
  <c r="S37" i="12"/>
  <c r="S81" i="14"/>
  <c r="S19" i="14"/>
  <c r="U33" i="14"/>
  <c r="U36" i="12"/>
  <c r="X12" i="14"/>
  <c r="W13" i="14"/>
  <c r="W62" i="14"/>
  <c r="Q37" i="20"/>
  <c r="R25" i="12"/>
  <c r="R24" i="12"/>
  <c r="R102" i="12"/>
  <c r="R20" i="12"/>
  <c r="R217" i="12"/>
  <c r="U45" i="14"/>
  <c r="P86" i="12"/>
  <c r="P23" i="12"/>
  <c r="V34" i="14"/>
  <c r="BA21" i="51"/>
  <c r="BB19" i="51"/>
  <c r="BB23" i="51"/>
  <c r="BB20" i="51"/>
  <c r="BB22" i="51"/>
  <c r="AZ15" i="51"/>
  <c r="T16" i="12"/>
  <c r="U15" i="14"/>
  <c r="V64" i="14"/>
  <c r="V63" i="14"/>
  <c r="R213" i="12"/>
  <c r="R84" i="12"/>
  <c r="W28" i="14"/>
  <c r="W27" i="14"/>
  <c r="W31" i="14"/>
  <c r="W30" i="14"/>
  <c r="X26" i="14"/>
  <c r="Q86" i="14"/>
  <c r="Q23" i="14"/>
  <c r="T38" i="20"/>
  <c r="U44" i="12"/>
  <c r="U122" i="12"/>
  <c r="U49" i="12"/>
  <c r="U48" i="12"/>
  <c r="U216" i="12"/>
  <c r="S40" i="20"/>
  <c r="T70" i="12"/>
  <c r="T134" i="12"/>
  <c r="T66" i="12"/>
  <c r="T71" i="12"/>
  <c r="T220" i="12"/>
  <c r="S69" i="12"/>
  <c r="W27" i="51"/>
  <c r="BC26" i="51"/>
  <c r="X26" i="51"/>
  <c r="W28" i="51"/>
  <c r="Q37" i="19"/>
  <c r="R25" i="14"/>
  <c r="R24" i="14"/>
  <c r="R102" i="14"/>
  <c r="R20" i="14"/>
  <c r="R217" i="14"/>
  <c r="O88" i="12"/>
  <c r="S69" i="14"/>
  <c r="V82" i="12"/>
  <c r="V32" i="14"/>
  <c r="Q87" i="14"/>
  <c r="V166" i="12"/>
  <c r="BB28" i="51"/>
  <c r="BB27" i="51"/>
  <c r="P87" i="12"/>
  <c r="V34" i="12"/>
  <c r="R213" i="14"/>
  <c r="R84" i="14"/>
  <c r="U36" i="14"/>
  <c r="V14" i="14"/>
  <c r="V38" i="14"/>
  <c r="V37" i="51"/>
  <c r="V38" i="51"/>
  <c r="V21" i="51"/>
  <c r="Q87" i="12"/>
  <c r="W13" i="12"/>
  <c r="W62" i="12"/>
  <c r="X12" i="12"/>
  <c r="P86" i="14"/>
  <c r="P23" i="14"/>
  <c r="W28" i="12"/>
  <c r="W27" i="12"/>
  <c r="W31" i="12"/>
  <c r="W30" i="12"/>
  <c r="X26" i="12"/>
  <c r="S33" i="53"/>
  <c r="T48" i="51"/>
  <c r="T68" i="14"/>
  <c r="U220" i="12" l="1"/>
  <c r="U66" i="12"/>
  <c r="U134" i="12"/>
  <c r="W29" i="51"/>
  <c r="BA25" i="51"/>
  <c r="U66" i="14"/>
  <c r="V122" i="12"/>
  <c r="U16" i="14"/>
  <c r="W166" i="12"/>
  <c r="T17" i="12"/>
  <c r="S37" i="14"/>
  <c r="W83" i="12"/>
  <c r="V33" i="14"/>
  <c r="W29" i="14"/>
  <c r="W33" i="14" s="1"/>
  <c r="S34" i="53"/>
  <c r="T52" i="51"/>
  <c r="V214" i="12"/>
  <c r="V224" i="12" s="1"/>
  <c r="R34" i="54"/>
  <c r="AY52" i="51"/>
  <c r="U214" i="14"/>
  <c r="U224" i="14" s="1"/>
  <c r="V25" i="51"/>
  <c r="W83" i="14"/>
  <c r="V33" i="12"/>
  <c r="V92" i="12" s="1"/>
  <c r="U134" i="14"/>
  <c r="AZ48" i="51"/>
  <c r="S33" i="54"/>
  <c r="O88" i="14"/>
  <c r="V65" i="12"/>
  <c r="V220" i="12" s="1"/>
  <c r="W43" i="12"/>
  <c r="V38" i="20" s="1"/>
  <c r="T33" i="53"/>
  <c r="U48" i="51"/>
  <c r="U214" i="12"/>
  <c r="U224" i="12" s="1"/>
  <c r="W32" i="14"/>
  <c r="BA15" i="51"/>
  <c r="W34" i="12"/>
  <c r="V39" i="51"/>
  <c r="U37" i="53" s="1"/>
  <c r="BA39" i="51"/>
  <c r="V216" i="12"/>
  <c r="W43" i="14"/>
  <c r="W49" i="14" s="1"/>
  <c r="V48" i="12"/>
  <c r="BB29" i="51"/>
  <c r="V65" i="14"/>
  <c r="U40" i="19" s="1"/>
  <c r="V49" i="12"/>
  <c r="U220" i="14"/>
  <c r="T36" i="20"/>
  <c r="U39" i="12"/>
  <c r="U92" i="12"/>
  <c r="U215" i="12"/>
  <c r="BB21" i="51"/>
  <c r="W21" i="51"/>
  <c r="U40" i="20"/>
  <c r="V71" i="12"/>
  <c r="V70" i="12"/>
  <c r="V134" i="12"/>
  <c r="V66" i="12"/>
  <c r="T81" i="12"/>
  <c r="T19" i="12"/>
  <c r="T37" i="54"/>
  <c r="U35" i="54"/>
  <c r="V70" i="14"/>
  <c r="V66" i="14"/>
  <c r="V134" i="14"/>
  <c r="V220" i="14"/>
  <c r="V35" i="53"/>
  <c r="W59" i="51"/>
  <c r="U36" i="20"/>
  <c r="V39" i="12"/>
  <c r="W64" i="12"/>
  <c r="W63" i="12"/>
  <c r="W38" i="12"/>
  <c r="P88" i="14"/>
  <c r="X27" i="51"/>
  <c r="BD26" i="51"/>
  <c r="Y26" i="51"/>
  <c r="X28" i="51"/>
  <c r="T67" i="12"/>
  <c r="U46" i="12"/>
  <c r="Y26" i="14"/>
  <c r="X28" i="14"/>
  <c r="X27" i="14"/>
  <c r="X31" i="14"/>
  <c r="X30" i="14"/>
  <c r="R89" i="12"/>
  <c r="R22" i="12"/>
  <c r="Y12" i="14"/>
  <c r="X13" i="14"/>
  <c r="X62" i="14"/>
  <c r="V46" i="14"/>
  <c r="BC12" i="51"/>
  <c r="BC36" i="51"/>
  <c r="U67" i="12"/>
  <c r="U68" i="14"/>
  <c r="BC28" i="51"/>
  <c r="BC29" i="51" s="1"/>
  <c r="BC27" i="51"/>
  <c r="U45" i="12"/>
  <c r="R168" i="12"/>
  <c r="R167" i="12"/>
  <c r="U81" i="12"/>
  <c r="U19" i="12"/>
  <c r="R21" i="12"/>
  <c r="R90" i="12"/>
  <c r="T69" i="14"/>
  <c r="V44" i="51"/>
  <c r="W37" i="51"/>
  <c r="W38" i="51"/>
  <c r="U67" i="14"/>
  <c r="W29" i="12"/>
  <c r="U33" i="53"/>
  <c r="V48" i="51"/>
  <c r="V15" i="14"/>
  <c r="R89" i="14"/>
  <c r="R22" i="14"/>
  <c r="W38" i="14"/>
  <c r="R223" i="12"/>
  <c r="R221" i="12"/>
  <c r="W24" i="51"/>
  <c r="V45" i="14"/>
  <c r="BA44" i="51"/>
  <c r="V46" i="12"/>
  <c r="R37" i="20"/>
  <c r="S25" i="12"/>
  <c r="S24" i="12"/>
  <c r="S102" i="12"/>
  <c r="S20" i="12"/>
  <c r="S217" i="12"/>
  <c r="R90" i="14"/>
  <c r="R21" i="14"/>
  <c r="U17" i="14"/>
  <c r="U47" i="14"/>
  <c r="T36" i="19"/>
  <c r="U39" i="14"/>
  <c r="U92" i="14"/>
  <c r="U215" i="14"/>
  <c r="Q88" i="12"/>
  <c r="V45" i="12"/>
  <c r="S213" i="12"/>
  <c r="S84" i="12"/>
  <c r="Y12" i="12"/>
  <c r="X13" i="12"/>
  <c r="X62" i="12"/>
  <c r="U36" i="19"/>
  <c r="V39" i="14"/>
  <c r="V92" i="14"/>
  <c r="V215" i="14"/>
  <c r="T68" i="12"/>
  <c r="T33" i="54"/>
  <c r="BA48" i="51"/>
  <c r="V15" i="12"/>
  <c r="BD18" i="51"/>
  <c r="Y18" i="51"/>
  <c r="X20" i="51"/>
  <c r="X22" i="51"/>
  <c r="X19" i="51"/>
  <c r="X23" i="51"/>
  <c r="V15" i="51"/>
  <c r="T81" i="14"/>
  <c r="T19" i="14"/>
  <c r="Q88" i="14"/>
  <c r="R85" i="12"/>
  <c r="W64" i="14"/>
  <c r="W63" i="14"/>
  <c r="BB37" i="51"/>
  <c r="BB38" i="51"/>
  <c r="BA43" i="51"/>
  <c r="X28" i="12"/>
  <c r="X27" i="12"/>
  <c r="X31" i="12"/>
  <c r="X30" i="12"/>
  <c r="Y26" i="12"/>
  <c r="V36" i="14"/>
  <c r="R223" i="14"/>
  <c r="R221" i="14"/>
  <c r="AZ43" i="51"/>
  <c r="AZ17" i="51"/>
  <c r="P88" i="12"/>
  <c r="R37" i="19"/>
  <c r="S20" i="14"/>
  <c r="S25" i="14"/>
  <c r="S24" i="14"/>
  <c r="S102" i="14"/>
  <c r="S217" i="14"/>
  <c r="BC19" i="51"/>
  <c r="BC23" i="51"/>
  <c r="BC20" i="51"/>
  <c r="BC22" i="51"/>
  <c r="BB13" i="51"/>
  <c r="BB14" i="51"/>
  <c r="X41" i="14"/>
  <c r="Y40" i="14"/>
  <c r="X42" i="14"/>
  <c r="T37" i="14"/>
  <c r="Y10" i="51"/>
  <c r="X36" i="51"/>
  <c r="BD10" i="51"/>
  <c r="X12" i="51"/>
  <c r="X41" i="12"/>
  <c r="Y40" i="12"/>
  <c r="X42" i="12"/>
  <c r="W32" i="12"/>
  <c r="V82" i="14"/>
  <c r="W14" i="12"/>
  <c r="R85" i="14"/>
  <c r="W34" i="14"/>
  <c r="BB24" i="51"/>
  <c r="W14" i="14"/>
  <c r="S213" i="14"/>
  <c r="S84" i="14"/>
  <c r="U43" i="51"/>
  <c r="U17" i="51"/>
  <c r="W14" i="51"/>
  <c r="W13" i="51"/>
  <c r="U68" i="12"/>
  <c r="V36" i="19" l="1"/>
  <c r="W215" i="14"/>
  <c r="W39" i="14"/>
  <c r="W92" i="14"/>
  <c r="W216" i="14"/>
  <c r="W44" i="14"/>
  <c r="V65" i="51"/>
  <c r="W216" i="12"/>
  <c r="W48" i="12"/>
  <c r="V215" i="12"/>
  <c r="W49" i="12"/>
  <c r="W122" i="12"/>
  <c r="W122" i="14"/>
  <c r="W44" i="12"/>
  <c r="V71" i="14"/>
  <c r="V214" i="14"/>
  <c r="V224" i="14" s="1"/>
  <c r="X83" i="12"/>
  <c r="W65" i="12"/>
  <c r="W70" i="12" s="1"/>
  <c r="W82" i="12"/>
  <c r="W65" i="14"/>
  <c r="W220" i="14" s="1"/>
  <c r="X38" i="12"/>
  <c r="X21" i="51"/>
  <c r="BA17" i="51"/>
  <c r="X43" i="12"/>
  <c r="W38" i="20" s="1"/>
  <c r="X32" i="14"/>
  <c r="U46" i="51"/>
  <c r="AZ46" i="51"/>
  <c r="V38" i="19"/>
  <c r="BA46" i="51"/>
  <c r="V16" i="14"/>
  <c r="U35" i="12"/>
  <c r="BB59" i="51"/>
  <c r="BA65" i="51"/>
  <c r="BB39" i="51"/>
  <c r="U37" i="54" s="1"/>
  <c r="V16" i="12"/>
  <c r="X166" i="12"/>
  <c r="W44" i="51"/>
  <c r="X83" i="14"/>
  <c r="X43" i="14"/>
  <c r="X122" i="14" s="1"/>
  <c r="X29" i="12"/>
  <c r="X34" i="12"/>
  <c r="BB15" i="51"/>
  <c r="W39" i="51"/>
  <c r="W48" i="14"/>
  <c r="BC24" i="51"/>
  <c r="X29" i="51"/>
  <c r="X32" i="12"/>
  <c r="BB65" i="51"/>
  <c r="W71" i="14"/>
  <c r="W70" i="14"/>
  <c r="W134" i="14"/>
  <c r="V40" i="20"/>
  <c r="W71" i="12"/>
  <c r="W220" i="12"/>
  <c r="X49" i="14"/>
  <c r="X44" i="14"/>
  <c r="W15" i="12"/>
  <c r="W16" i="12" s="1"/>
  <c r="W15" i="51"/>
  <c r="W15" i="14"/>
  <c r="X37" i="51"/>
  <c r="X38" i="51"/>
  <c r="W82" i="14"/>
  <c r="BE18" i="51"/>
  <c r="Z18" i="51"/>
  <c r="Y20" i="51"/>
  <c r="Y22" i="51"/>
  <c r="Y19" i="51"/>
  <c r="Y23" i="51"/>
  <c r="S223" i="12"/>
  <c r="S221" i="12"/>
  <c r="R86" i="14"/>
  <c r="R23" i="14"/>
  <c r="S89" i="12"/>
  <c r="S22" i="12"/>
  <c r="R87" i="14"/>
  <c r="T37" i="20"/>
  <c r="U20" i="12"/>
  <c r="U25" i="12"/>
  <c r="U24" i="12"/>
  <c r="U102" i="12"/>
  <c r="U217" i="12"/>
  <c r="R87" i="12"/>
  <c r="Y27" i="51"/>
  <c r="BE26" i="51"/>
  <c r="Z26" i="51"/>
  <c r="Y28" i="51"/>
  <c r="W36" i="12"/>
  <c r="W35" i="14"/>
  <c r="Z10" i="51"/>
  <c r="Y36" i="51"/>
  <c r="BE10" i="51"/>
  <c r="Y12" i="51"/>
  <c r="BD20" i="51"/>
  <c r="BD22" i="51"/>
  <c r="BD19" i="51"/>
  <c r="BD23" i="51"/>
  <c r="S90" i="12"/>
  <c r="S21" i="12"/>
  <c r="U213" i="12"/>
  <c r="U84" i="12"/>
  <c r="V35" i="54"/>
  <c r="BC59" i="51"/>
  <c r="X34" i="14"/>
  <c r="BD27" i="51"/>
  <c r="BD28" i="51"/>
  <c r="V35" i="12"/>
  <c r="W45" i="14"/>
  <c r="BB44" i="51"/>
  <c r="BB25" i="51"/>
  <c r="S34" i="54"/>
  <c r="AZ52" i="51"/>
  <c r="Z26" i="12"/>
  <c r="Y28" i="12"/>
  <c r="Y27" i="12"/>
  <c r="Y31" i="12"/>
  <c r="Y30" i="12"/>
  <c r="X64" i="12"/>
  <c r="X63" i="12"/>
  <c r="V47" i="12"/>
  <c r="U35" i="14"/>
  <c r="U69" i="14"/>
  <c r="Y30" i="14"/>
  <c r="Z26" i="14"/>
  <c r="Y28" i="14"/>
  <c r="Y27" i="14"/>
  <c r="Y31" i="14"/>
  <c r="V68" i="14"/>
  <c r="S89" i="14"/>
  <c r="S22" i="14"/>
  <c r="W25" i="51"/>
  <c r="V67" i="14"/>
  <c r="S37" i="20"/>
  <c r="T20" i="12"/>
  <c r="T25" i="12"/>
  <c r="T24" i="12"/>
  <c r="T102" i="12"/>
  <c r="T217" i="12"/>
  <c r="W46" i="12"/>
  <c r="S90" i="14"/>
  <c r="S21" i="14"/>
  <c r="X36" i="12"/>
  <c r="V17" i="12"/>
  <c r="X14" i="12"/>
  <c r="W36" i="14"/>
  <c r="W37" i="14" s="1"/>
  <c r="V17" i="14"/>
  <c r="X64" i="14"/>
  <c r="X63" i="14"/>
  <c r="X38" i="14"/>
  <c r="W46" i="14"/>
  <c r="T213" i="12"/>
  <c r="T84" i="12"/>
  <c r="W45" i="12"/>
  <c r="S85" i="14"/>
  <c r="S37" i="19"/>
  <c r="T20" i="14"/>
  <c r="T25" i="14"/>
  <c r="T24" i="14"/>
  <c r="T102" i="14"/>
  <c r="T217" i="14"/>
  <c r="Z12" i="12"/>
  <c r="Y13" i="12"/>
  <c r="Y62" i="12"/>
  <c r="S85" i="12"/>
  <c r="U47" i="12"/>
  <c r="U69" i="12"/>
  <c r="V68" i="12"/>
  <c r="T34" i="53"/>
  <c r="U52" i="51"/>
  <c r="X14" i="51"/>
  <c r="X13" i="51"/>
  <c r="Y42" i="14"/>
  <c r="Y41" i="14"/>
  <c r="Z40" i="14"/>
  <c r="T213" i="14"/>
  <c r="T84" i="14"/>
  <c r="X24" i="51"/>
  <c r="U81" i="14"/>
  <c r="U19" i="14"/>
  <c r="R86" i="12"/>
  <c r="R23" i="12"/>
  <c r="BC37" i="51"/>
  <c r="BC38" i="51"/>
  <c r="X14" i="14"/>
  <c r="X29" i="14"/>
  <c r="T69" i="12"/>
  <c r="V67" i="12"/>
  <c r="Y41" i="12"/>
  <c r="Z40" i="12"/>
  <c r="Y42" i="12"/>
  <c r="S223" i="14"/>
  <c r="S221" i="14"/>
  <c r="BD36" i="51"/>
  <c r="BD12" i="51"/>
  <c r="BC21" i="51"/>
  <c r="V43" i="51"/>
  <c r="V17" i="51"/>
  <c r="V35" i="14"/>
  <c r="S167" i="12"/>
  <c r="S168" i="12"/>
  <c r="V47" i="14"/>
  <c r="W33" i="12"/>
  <c r="BC13" i="51"/>
  <c r="BC14" i="51"/>
  <c r="Y62" i="14"/>
  <c r="Z12" i="14"/>
  <c r="Y13" i="14"/>
  <c r="X216" i="12" l="1"/>
  <c r="X49" i="12"/>
  <c r="X122" i="12"/>
  <c r="X44" i="12"/>
  <c r="X48" i="12"/>
  <c r="W66" i="12"/>
  <c r="W134" i="12"/>
  <c r="W66" i="14"/>
  <c r="V40" i="19"/>
  <c r="Y43" i="12"/>
  <c r="Y43" i="14"/>
  <c r="Y24" i="51"/>
  <c r="X65" i="14"/>
  <c r="X82" i="14"/>
  <c r="BD29" i="51"/>
  <c r="X48" i="14"/>
  <c r="X33" i="12"/>
  <c r="U37" i="12"/>
  <c r="BA52" i="51"/>
  <c r="T34" i="54"/>
  <c r="Y83" i="12"/>
  <c r="BD21" i="51"/>
  <c r="V46" i="51"/>
  <c r="X33" i="14"/>
  <c r="X215" i="14" s="1"/>
  <c r="W214" i="14"/>
  <c r="W224" i="14" s="1"/>
  <c r="W38" i="19"/>
  <c r="W35" i="53"/>
  <c r="W214" i="12"/>
  <c r="W224" i="12" s="1"/>
  <c r="Y83" i="14"/>
  <c r="Y29" i="14"/>
  <c r="X82" i="12"/>
  <c r="X39" i="51"/>
  <c r="W37" i="53" s="1"/>
  <c r="BC44" i="51"/>
  <c r="Y32" i="12"/>
  <c r="BC25" i="51"/>
  <c r="BC48" i="51" s="1"/>
  <c r="X216" i="14"/>
  <c r="V37" i="53"/>
  <c r="X65" i="12"/>
  <c r="X66" i="12" s="1"/>
  <c r="X59" i="51"/>
  <c r="Y32" i="14"/>
  <c r="Y82" i="14" s="1"/>
  <c r="BB43" i="51"/>
  <c r="BB17" i="51"/>
  <c r="Y34" i="12"/>
  <c r="W65" i="51"/>
  <c r="Y38" i="14"/>
  <c r="Y36" i="14" s="1"/>
  <c r="Y29" i="51"/>
  <c r="Y59" i="51" s="1"/>
  <c r="W40" i="20"/>
  <c r="X220" i="12"/>
  <c r="X38" i="20"/>
  <c r="Y49" i="12"/>
  <c r="Y48" i="12"/>
  <c r="Y44" i="12"/>
  <c r="Y122" i="12"/>
  <c r="Y216" i="12"/>
  <c r="T37" i="19"/>
  <c r="U102" i="14"/>
  <c r="U20" i="14"/>
  <c r="U25" i="14"/>
  <c r="U24" i="14"/>
  <c r="U217" i="14"/>
  <c r="Y64" i="12"/>
  <c r="Y63" i="12"/>
  <c r="T21" i="14"/>
  <c r="T90" i="14"/>
  <c r="W47" i="12"/>
  <c r="V81" i="12"/>
  <c r="V19" i="12"/>
  <c r="Y29" i="12"/>
  <c r="U223" i="12"/>
  <c r="U221" i="12"/>
  <c r="U21" i="12"/>
  <c r="U90" i="12"/>
  <c r="R88" i="14"/>
  <c r="W68" i="12"/>
  <c r="Y64" i="14"/>
  <c r="Y63" i="14"/>
  <c r="X15" i="14"/>
  <c r="T85" i="14"/>
  <c r="T168" i="12"/>
  <c r="T167" i="12"/>
  <c r="X134" i="14"/>
  <c r="W35" i="54"/>
  <c r="BD59" i="51"/>
  <c r="Y14" i="51"/>
  <c r="Y13" i="51"/>
  <c r="U85" i="12"/>
  <c r="Z19" i="51"/>
  <c r="Z23" i="51"/>
  <c r="BF18" i="51"/>
  <c r="AA18" i="51"/>
  <c r="Z20" i="51"/>
  <c r="Z22" i="51"/>
  <c r="X46" i="14"/>
  <c r="W67" i="12"/>
  <c r="BD37" i="51"/>
  <c r="BD38" i="51"/>
  <c r="V69" i="12"/>
  <c r="BC39" i="51"/>
  <c r="X38" i="19"/>
  <c r="Y49" i="14"/>
  <c r="Y122" i="14"/>
  <c r="Y48" i="14"/>
  <c r="Y44" i="14"/>
  <c r="Y216" i="14"/>
  <c r="Y14" i="12"/>
  <c r="T223" i="12"/>
  <c r="T221" i="12"/>
  <c r="V81" i="14"/>
  <c r="V19" i="14"/>
  <c r="V69" i="14"/>
  <c r="S87" i="14"/>
  <c r="X46" i="12"/>
  <c r="U33" i="54"/>
  <c r="BB48" i="51"/>
  <c r="S86" i="12"/>
  <c r="S23" i="12"/>
  <c r="BD24" i="51"/>
  <c r="BE36" i="51"/>
  <c r="BE12" i="51"/>
  <c r="BE20" i="51"/>
  <c r="BE22" i="51"/>
  <c r="BE19" i="51"/>
  <c r="BE23" i="51"/>
  <c r="W16" i="14"/>
  <c r="X45" i="14"/>
  <c r="U213" i="14"/>
  <c r="U84" i="14"/>
  <c r="V37" i="14"/>
  <c r="Z42" i="14"/>
  <c r="Z41" i="14"/>
  <c r="AA40" i="14"/>
  <c r="Z62" i="12"/>
  <c r="AA12" i="12"/>
  <c r="Z13" i="12"/>
  <c r="Z14" i="12" s="1"/>
  <c r="S86" i="14"/>
  <c r="S23" i="14"/>
  <c r="V33" i="53"/>
  <c r="W48" i="51"/>
  <c r="Y37" i="51"/>
  <c r="Y38" i="51"/>
  <c r="W43" i="51"/>
  <c r="W17" i="51"/>
  <c r="BC15" i="51"/>
  <c r="X44" i="51"/>
  <c r="X25" i="51"/>
  <c r="Z30" i="12"/>
  <c r="AA26" i="12"/>
  <c r="Z28" i="12"/>
  <c r="Z27" i="12"/>
  <c r="Z31" i="12"/>
  <c r="BF10" i="51"/>
  <c r="Z12" i="51"/>
  <c r="AA10" i="51"/>
  <c r="Z36" i="51"/>
  <c r="Z13" i="14"/>
  <c r="Z14" i="14" s="1"/>
  <c r="Z62" i="14"/>
  <c r="AA12" i="14"/>
  <c r="U34" i="53"/>
  <c r="V52" i="51"/>
  <c r="R88" i="12"/>
  <c r="T89" i="12"/>
  <c r="T22" i="12"/>
  <c r="U37" i="14"/>
  <c r="W47" i="14"/>
  <c r="S87" i="12"/>
  <c r="T223" i="14"/>
  <c r="T221" i="14"/>
  <c r="X15" i="51"/>
  <c r="X36" i="14"/>
  <c r="T90" i="12"/>
  <c r="T21" i="12"/>
  <c r="X45" i="12"/>
  <c r="Y34" i="14"/>
  <c r="Y38" i="12"/>
  <c r="AA26" i="51"/>
  <c r="Z28" i="51"/>
  <c r="Z27" i="51"/>
  <c r="BF26" i="51"/>
  <c r="Y21" i="51"/>
  <c r="W17" i="12"/>
  <c r="W68" i="14"/>
  <c r="BD13" i="51"/>
  <c r="BD14" i="51"/>
  <c r="V36" i="20"/>
  <c r="W39" i="12"/>
  <c r="W92" i="12"/>
  <c r="W215" i="12"/>
  <c r="Y14" i="14"/>
  <c r="Z42" i="12"/>
  <c r="Z41" i="12"/>
  <c r="AA40" i="12"/>
  <c r="Y166" i="12"/>
  <c r="T89" i="14"/>
  <c r="T22" i="14"/>
  <c r="X15" i="12"/>
  <c r="T85" i="12"/>
  <c r="Z30" i="14"/>
  <c r="AA26" i="14"/>
  <c r="Z28" i="14"/>
  <c r="Z27" i="14"/>
  <c r="Z31" i="14"/>
  <c r="V37" i="12"/>
  <c r="U168" i="12"/>
  <c r="U167" i="12"/>
  <c r="BE27" i="51"/>
  <c r="BE28" i="51"/>
  <c r="U89" i="12"/>
  <c r="U22" i="12"/>
  <c r="Y44" i="51"/>
  <c r="W67" i="14"/>
  <c r="X39" i="14" l="1"/>
  <c r="X92" i="14"/>
  <c r="W36" i="19"/>
  <c r="X65" i="51"/>
  <c r="X134" i="12"/>
  <c r="X70" i="12"/>
  <c r="X71" i="12"/>
  <c r="X67" i="12" s="1"/>
  <c r="X16" i="12"/>
  <c r="X17" i="12" s="1"/>
  <c r="Y25" i="51"/>
  <c r="X220" i="14"/>
  <c r="Y65" i="12"/>
  <c r="Y70" i="12" s="1"/>
  <c r="Z29" i="51"/>
  <c r="W46" i="51"/>
  <c r="X70" i="14"/>
  <c r="Y65" i="14"/>
  <c r="Y71" i="14" s="1"/>
  <c r="Y33" i="12"/>
  <c r="Y39" i="12" s="1"/>
  <c r="W36" i="20"/>
  <c r="X39" i="12"/>
  <c r="X92" i="12"/>
  <c r="X215" i="12"/>
  <c r="BD39" i="51"/>
  <c r="Y214" i="14"/>
  <c r="Y224" i="14" s="1"/>
  <c r="Z83" i="14"/>
  <c r="Y15" i="51"/>
  <c r="Y17" i="51" s="1"/>
  <c r="X71" i="14"/>
  <c r="BB46" i="51"/>
  <c r="X66" i="14"/>
  <c r="Y33" i="14"/>
  <c r="X36" i="19" s="1"/>
  <c r="X214" i="12"/>
  <c r="X224" i="12" s="1"/>
  <c r="W17" i="14"/>
  <c r="W81" i="14" s="1"/>
  <c r="Y82" i="12"/>
  <c r="W40" i="19"/>
  <c r="V33" i="54"/>
  <c r="X35" i="53"/>
  <c r="BE29" i="51"/>
  <c r="X35" i="54" s="1"/>
  <c r="Z43" i="12"/>
  <c r="BE21" i="51"/>
  <c r="Z83" i="12"/>
  <c r="BE24" i="51"/>
  <c r="BE44" i="51" s="1"/>
  <c r="X214" i="14"/>
  <c r="X224" i="14" s="1"/>
  <c r="Z43" i="14"/>
  <c r="Z48" i="14" s="1"/>
  <c r="U34" i="54"/>
  <c r="BB52" i="51"/>
  <c r="Z29" i="14"/>
  <c r="Z29" i="12"/>
  <c r="Y39" i="51"/>
  <c r="X37" i="53" s="1"/>
  <c r="BD44" i="51"/>
  <c r="Z32" i="14"/>
  <c r="Z24" i="51"/>
  <c r="Z44" i="14"/>
  <c r="Z216" i="14"/>
  <c r="X40" i="20"/>
  <c r="Y66" i="12"/>
  <c r="Y71" i="12"/>
  <c r="Y35" i="53"/>
  <c r="Z59" i="51"/>
  <c r="Z34" i="14"/>
  <c r="W81" i="12"/>
  <c r="W19" i="12"/>
  <c r="BE14" i="51"/>
  <c r="BE13" i="51"/>
  <c r="Y15" i="14"/>
  <c r="X33" i="53"/>
  <c r="Y48" i="51"/>
  <c r="Y36" i="12"/>
  <c r="V34" i="53"/>
  <c r="W52" i="51"/>
  <c r="Z15" i="12"/>
  <c r="BE37" i="51"/>
  <c r="BE38" i="51"/>
  <c r="Y46" i="14"/>
  <c r="W37" i="54"/>
  <c r="BD65" i="51"/>
  <c r="X36" i="20"/>
  <c r="T87" i="14"/>
  <c r="BD15" i="51"/>
  <c r="X43" i="51"/>
  <c r="X17" i="51"/>
  <c r="T87" i="12"/>
  <c r="W33" i="53"/>
  <c r="X48" i="51"/>
  <c r="AA13" i="12"/>
  <c r="AA62" i="12"/>
  <c r="AB12" i="12"/>
  <c r="AA19" i="51"/>
  <c r="AA23" i="51"/>
  <c r="BG18" i="51"/>
  <c r="AB18" i="51"/>
  <c r="AA20" i="51"/>
  <c r="AA22" i="51"/>
  <c r="X16" i="14"/>
  <c r="U22" i="14"/>
  <c r="U89" i="14"/>
  <c r="X35" i="14"/>
  <c r="BD25" i="51"/>
  <c r="X68" i="12"/>
  <c r="AA27" i="14"/>
  <c r="AA31" i="14"/>
  <c r="AA30" i="14"/>
  <c r="AB26" i="14"/>
  <c r="AA28" i="14"/>
  <c r="Z38" i="14"/>
  <c r="BF27" i="51"/>
  <c r="BF28" i="51"/>
  <c r="Z37" i="51"/>
  <c r="Z38" i="51"/>
  <c r="S88" i="14"/>
  <c r="Z64" i="12"/>
  <c r="Z63" i="12"/>
  <c r="S88" i="12"/>
  <c r="Y15" i="12"/>
  <c r="Y45" i="14"/>
  <c r="BF20" i="51"/>
  <c r="BF22" i="51"/>
  <c r="BF19" i="51"/>
  <c r="BF23" i="51"/>
  <c r="T86" i="14"/>
  <c r="T23" i="14"/>
  <c r="U21" i="14"/>
  <c r="U90" i="14"/>
  <c r="W69" i="14"/>
  <c r="X47" i="12"/>
  <c r="Z15" i="14"/>
  <c r="BG10" i="51"/>
  <c r="AA12" i="51"/>
  <c r="AB10" i="51"/>
  <c r="AA36" i="51"/>
  <c r="Z34" i="12"/>
  <c r="AA42" i="14"/>
  <c r="AA41" i="14"/>
  <c r="AB40" i="14"/>
  <c r="U221" i="14"/>
  <c r="U223" i="14"/>
  <c r="W69" i="12"/>
  <c r="U85" i="14"/>
  <c r="Y46" i="12"/>
  <c r="Y38" i="20"/>
  <c r="Z49" i="12"/>
  <c r="Z48" i="12"/>
  <c r="Z44" i="12"/>
  <c r="Z122" i="12"/>
  <c r="Z216" i="12"/>
  <c r="T86" i="12"/>
  <c r="T23" i="12"/>
  <c r="AA13" i="14"/>
  <c r="AA62" i="14"/>
  <c r="AB12" i="14"/>
  <c r="Z14" i="51"/>
  <c r="Z13" i="51"/>
  <c r="AA30" i="12"/>
  <c r="AB26" i="12"/>
  <c r="AA28" i="12"/>
  <c r="AA27" i="12"/>
  <c r="AA31" i="12"/>
  <c r="V37" i="54"/>
  <c r="BC65" i="51"/>
  <c r="U86" i="12"/>
  <c r="U23" i="12"/>
  <c r="U37" i="20"/>
  <c r="V20" i="12"/>
  <c r="V25" i="12"/>
  <c r="V24" i="12"/>
  <c r="V102" i="12"/>
  <c r="V217" i="12"/>
  <c r="Y45" i="12"/>
  <c r="AA42" i="12"/>
  <c r="AA41" i="12"/>
  <c r="AB40" i="12"/>
  <c r="W35" i="12"/>
  <c r="Z64" i="14"/>
  <c r="Z82" i="14" s="1"/>
  <c r="Z63" i="14"/>
  <c r="BF36" i="51"/>
  <c r="BF12" i="51"/>
  <c r="Z32" i="12"/>
  <c r="BC43" i="51"/>
  <c r="BC17" i="51"/>
  <c r="U37" i="19"/>
  <c r="V102" i="14"/>
  <c r="V20" i="14"/>
  <c r="V25" i="14"/>
  <c r="V24" i="14"/>
  <c r="V217" i="14"/>
  <c r="Z21" i="51"/>
  <c r="X68" i="14"/>
  <c r="V213" i="12"/>
  <c r="V84" i="12"/>
  <c r="U87" i="12"/>
  <c r="AB26" i="51"/>
  <c r="AA28" i="51"/>
  <c r="AA27" i="51"/>
  <c r="BG26" i="51"/>
  <c r="Z38" i="12"/>
  <c r="Z166" i="12"/>
  <c r="X47" i="14"/>
  <c r="V213" i="14"/>
  <c r="V84" i="14"/>
  <c r="X67" i="14"/>
  <c r="Y43" i="51" l="1"/>
  <c r="Y66" i="14"/>
  <c r="X40" i="19"/>
  <c r="Y65" i="51"/>
  <c r="Y215" i="12"/>
  <c r="Y92" i="12"/>
  <c r="Y39" i="14"/>
  <c r="Y35" i="14" s="1"/>
  <c r="Z65" i="14"/>
  <c r="Z220" i="14" s="1"/>
  <c r="BE59" i="51"/>
  <c r="Y220" i="12"/>
  <c r="Y134" i="12"/>
  <c r="W19" i="14"/>
  <c r="Y220" i="14"/>
  <c r="Y134" i="14"/>
  <c r="Y70" i="14"/>
  <c r="Z214" i="14"/>
  <c r="Z224" i="14" s="1"/>
  <c r="Z16" i="14"/>
  <c r="Z65" i="12"/>
  <c r="Y46" i="51"/>
  <c r="BF21" i="51"/>
  <c r="X46" i="51"/>
  <c r="Y214" i="12"/>
  <c r="Y224" i="12" s="1"/>
  <c r="AA29" i="51"/>
  <c r="BC46" i="51"/>
  <c r="AA83" i="14"/>
  <c r="AA32" i="14"/>
  <c r="X17" i="14"/>
  <c r="X81" i="14" s="1"/>
  <c r="AA43" i="12"/>
  <c r="Z44" i="51"/>
  <c r="AA166" i="12"/>
  <c r="BE25" i="51"/>
  <c r="BE48" i="51" s="1"/>
  <c r="AA29" i="14"/>
  <c r="AA24" i="51"/>
  <c r="AA83" i="12"/>
  <c r="BE39" i="51"/>
  <c r="Y16" i="14"/>
  <c r="Y38" i="19"/>
  <c r="X35" i="12"/>
  <c r="Z25" i="51"/>
  <c r="Z33" i="12"/>
  <c r="Y36" i="20" s="1"/>
  <c r="BF29" i="51"/>
  <c r="BE15" i="51"/>
  <c r="Z122" i="14"/>
  <c r="Y215" i="14"/>
  <c r="Y16" i="12"/>
  <c r="Z49" i="14"/>
  <c r="Y92" i="14"/>
  <c r="AA34" i="12"/>
  <c r="AA43" i="14"/>
  <c r="BE43" i="51"/>
  <c r="Z15" i="51"/>
  <c r="AA14" i="12"/>
  <c r="Z33" i="14"/>
  <c r="AA44" i="14"/>
  <c r="AA49" i="14"/>
  <c r="AA122" i="14"/>
  <c r="AA48" i="14"/>
  <c r="AA216" i="14"/>
  <c r="Z38" i="20"/>
  <c r="AA122" i="12"/>
  <c r="AA49" i="12"/>
  <c r="AA48" i="12"/>
  <c r="AA44" i="12"/>
  <c r="AA216" i="12"/>
  <c r="Y35" i="54"/>
  <c r="BF59" i="51"/>
  <c r="X69" i="14"/>
  <c r="BH26" i="51"/>
  <c r="AC26" i="51"/>
  <c r="AB28" i="51"/>
  <c r="AB27" i="51"/>
  <c r="Z134" i="14"/>
  <c r="Y47" i="12"/>
  <c r="V85" i="12"/>
  <c r="AA38" i="12"/>
  <c r="Z43" i="51"/>
  <c r="T88" i="12"/>
  <c r="BH10" i="51"/>
  <c r="AB12" i="51"/>
  <c r="AC10" i="51"/>
  <c r="AB36" i="51"/>
  <c r="T88" i="14"/>
  <c r="AB27" i="14"/>
  <c r="AB31" i="14"/>
  <c r="AB30" i="14"/>
  <c r="AC26" i="14"/>
  <c r="AB28" i="14"/>
  <c r="W33" i="54"/>
  <c r="BD48" i="51"/>
  <c r="BE17" i="51"/>
  <c r="Z82" i="12"/>
  <c r="Y68" i="12"/>
  <c r="V22" i="14"/>
  <c r="V89" i="14"/>
  <c r="V34" i="54"/>
  <c r="BC52" i="51"/>
  <c r="Z46" i="12"/>
  <c r="AA14" i="51"/>
  <c r="AA13" i="51"/>
  <c r="Y47" i="14"/>
  <c r="Y40" i="20"/>
  <c r="Z66" i="12"/>
  <c r="Z71" i="12"/>
  <c r="Z70" i="12"/>
  <c r="Z134" i="12"/>
  <c r="Z220" i="12"/>
  <c r="AA15" i="12"/>
  <c r="X37" i="54"/>
  <c r="BE65" i="51"/>
  <c r="BE46" i="51"/>
  <c r="Y67" i="12"/>
  <c r="Z45" i="14"/>
  <c r="V168" i="12"/>
  <c r="V167" i="12"/>
  <c r="W37" i="12"/>
  <c r="Z36" i="12"/>
  <c r="V223" i="12"/>
  <c r="V221" i="12"/>
  <c r="V21" i="14"/>
  <c r="V90" i="14"/>
  <c r="U88" i="12"/>
  <c r="AA29" i="12"/>
  <c r="Z45" i="12"/>
  <c r="AC40" i="14"/>
  <c r="AB42" i="14"/>
  <c r="AB41" i="14"/>
  <c r="BG12" i="51"/>
  <c r="BG36" i="51"/>
  <c r="AA38" i="14"/>
  <c r="X37" i="14"/>
  <c r="AB19" i="51"/>
  <c r="AB23" i="51"/>
  <c r="BH18" i="51"/>
  <c r="AC18" i="51"/>
  <c r="AB20" i="51"/>
  <c r="AB22" i="51"/>
  <c r="AB13" i="12"/>
  <c r="AB62" i="12"/>
  <c r="AC12" i="12"/>
  <c r="Y68" i="14"/>
  <c r="X81" i="12"/>
  <c r="X19" i="12"/>
  <c r="V85" i="14"/>
  <c r="AB42" i="12"/>
  <c r="AB41" i="12"/>
  <c r="AC40" i="12"/>
  <c r="AB13" i="14"/>
  <c r="AB14" i="14" s="1"/>
  <c r="AB62" i="14"/>
  <c r="AC12" i="14"/>
  <c r="Z17" i="14"/>
  <c r="Y17" i="12"/>
  <c r="BG20" i="51"/>
  <c r="BG22" i="51"/>
  <c r="BG19" i="51"/>
  <c r="BG23" i="51"/>
  <c r="AA64" i="12"/>
  <c r="AA63" i="12"/>
  <c r="W34" i="53"/>
  <c r="X52" i="51"/>
  <c r="Y67" i="14"/>
  <c r="V221" i="14"/>
  <c r="V223" i="14"/>
  <c r="BG27" i="51"/>
  <c r="BG28" i="51"/>
  <c r="BF14" i="51"/>
  <c r="BF13" i="51"/>
  <c r="AA63" i="14"/>
  <c r="AA64" i="14"/>
  <c r="X69" i="12"/>
  <c r="Z36" i="14"/>
  <c r="BF37" i="51"/>
  <c r="BF38" i="51"/>
  <c r="BF24" i="51"/>
  <c r="Z39" i="51"/>
  <c r="U87" i="14"/>
  <c r="V37" i="19"/>
  <c r="W24" i="14"/>
  <c r="W102" i="14"/>
  <c r="W20" i="14"/>
  <c r="W25" i="14"/>
  <c r="W217" i="14"/>
  <c r="Y33" i="53"/>
  <c r="Z48" i="51"/>
  <c r="V22" i="12"/>
  <c r="V89" i="12"/>
  <c r="AB27" i="12"/>
  <c r="AB31" i="12"/>
  <c r="AB30" i="12"/>
  <c r="AC26" i="12"/>
  <c r="AB28" i="12"/>
  <c r="AA14" i="14"/>
  <c r="AA21" i="51"/>
  <c r="BD43" i="51"/>
  <c r="BD17" i="51"/>
  <c r="Y35" i="12"/>
  <c r="Z16" i="12"/>
  <c r="V37" i="20"/>
  <c r="W20" i="12"/>
  <c r="W25" i="12"/>
  <c r="W24" i="12"/>
  <c r="W102" i="12"/>
  <c r="W217" i="12"/>
  <c r="W213" i="14"/>
  <c r="W84" i="14"/>
  <c r="Z35" i="53"/>
  <c r="AA59" i="51"/>
  <c r="V21" i="12"/>
  <c r="V90" i="12"/>
  <c r="AA32" i="12"/>
  <c r="Y37" i="14"/>
  <c r="AA37" i="51"/>
  <c r="AA38" i="51"/>
  <c r="U86" i="14"/>
  <c r="U23" i="14"/>
  <c r="AA34" i="14"/>
  <c r="X34" i="53"/>
  <c r="Y52" i="51"/>
  <c r="Y17" i="14"/>
  <c r="W213" i="12"/>
  <c r="W84" i="12"/>
  <c r="Z46" i="14"/>
  <c r="Z70" i="14" l="1"/>
  <c r="Z71" i="14"/>
  <c r="Z66" i="14"/>
  <c r="Y40" i="19"/>
  <c r="Z215" i="12"/>
  <c r="Z92" i="12"/>
  <c r="Z39" i="12"/>
  <c r="X19" i="14"/>
  <c r="X24" i="14" s="1"/>
  <c r="AA25" i="51"/>
  <c r="AA82" i="12"/>
  <c r="BD46" i="51"/>
  <c r="Z46" i="51"/>
  <c r="AA82" i="14"/>
  <c r="AB43" i="12"/>
  <c r="AA38" i="20" s="1"/>
  <c r="AB83" i="12"/>
  <c r="Z214" i="12"/>
  <c r="Z224" i="12" s="1"/>
  <c r="AB29" i="14"/>
  <c r="AA65" i="14"/>
  <c r="AB29" i="51"/>
  <c r="Z17" i="51"/>
  <c r="AB34" i="12"/>
  <c r="AA33" i="14"/>
  <c r="BF44" i="51"/>
  <c r="AA65" i="12"/>
  <c r="AA70" i="12" s="1"/>
  <c r="AB43" i="14"/>
  <c r="X33" i="54"/>
  <c r="AA39" i="51"/>
  <c r="AA65" i="51" s="1"/>
  <c r="Z17" i="12"/>
  <c r="Z81" i="12" s="1"/>
  <c r="BF39" i="51"/>
  <c r="BG29" i="51"/>
  <c r="AB83" i="14"/>
  <c r="X37" i="12"/>
  <c r="Z38" i="19"/>
  <c r="AA15" i="51"/>
  <c r="Y36" i="19"/>
  <c r="Z39" i="14"/>
  <c r="Z92" i="14"/>
  <c r="Z215" i="14"/>
  <c r="AB38" i="12"/>
  <c r="AB49" i="12"/>
  <c r="Z37" i="53"/>
  <c r="AA71" i="12"/>
  <c r="AA38" i="19"/>
  <c r="AB44" i="14"/>
  <c r="AB49" i="14"/>
  <c r="AB122" i="14"/>
  <c r="AB48" i="14"/>
  <c r="AB216" i="14"/>
  <c r="W22" i="12"/>
  <c r="W89" i="12"/>
  <c r="W34" i="54"/>
  <c r="BD52" i="51"/>
  <c r="W21" i="14"/>
  <c r="W90" i="14"/>
  <c r="BG24" i="51"/>
  <c r="AB15" i="14"/>
  <c r="X213" i="12"/>
  <c r="X84" i="12"/>
  <c r="AC13" i="12"/>
  <c r="AC62" i="12"/>
  <c r="AD12" i="12"/>
  <c r="Y69" i="12"/>
  <c r="V87" i="14"/>
  <c r="AA44" i="51"/>
  <c r="AB38" i="14"/>
  <c r="BH12" i="51"/>
  <c r="BH36" i="51"/>
  <c r="BF25" i="51"/>
  <c r="W21" i="12"/>
  <c r="W90" i="12"/>
  <c r="W85" i="14"/>
  <c r="Z40" i="19"/>
  <c r="AA70" i="14"/>
  <c r="AA66" i="14"/>
  <c r="AA71" i="14"/>
  <c r="AA134" i="14"/>
  <c r="AA220" i="14"/>
  <c r="Z35" i="54"/>
  <c r="BG59" i="51"/>
  <c r="AD40" i="12"/>
  <c r="AC42" i="12"/>
  <c r="AC41" i="12"/>
  <c r="AB63" i="12"/>
  <c r="AB64" i="12"/>
  <c r="AA35" i="53"/>
  <c r="AB59" i="51"/>
  <c r="X25" i="14"/>
  <c r="W85" i="12"/>
  <c r="V87" i="12"/>
  <c r="AB21" i="51"/>
  <c r="X213" i="14"/>
  <c r="X84" i="14"/>
  <c r="AA46" i="14"/>
  <c r="U88" i="14"/>
  <c r="W223" i="14"/>
  <c r="W221" i="14"/>
  <c r="Z33" i="53"/>
  <c r="AA48" i="51"/>
  <c r="Y81" i="12"/>
  <c r="Y19" i="12"/>
  <c r="AB14" i="12"/>
  <c r="AD40" i="14"/>
  <c r="AC42" i="14"/>
  <c r="AC41" i="14"/>
  <c r="V86" i="14"/>
  <c r="V23" i="14"/>
  <c r="AA43" i="51"/>
  <c r="W168" i="12"/>
  <c r="W167" i="12"/>
  <c r="AC27" i="12"/>
  <c r="AC31" i="12"/>
  <c r="AC30" i="12"/>
  <c r="AD26" i="12"/>
  <c r="AC28" i="12"/>
  <c r="W221" i="12"/>
  <c r="W223" i="12"/>
  <c r="AB32" i="12"/>
  <c r="W22" i="14"/>
  <c r="W89" i="14"/>
  <c r="Y37" i="53"/>
  <c r="Z65" i="51"/>
  <c r="BF15" i="51"/>
  <c r="Z81" i="14"/>
  <c r="Z19" i="14"/>
  <c r="AB24" i="51"/>
  <c r="Z47" i="12"/>
  <c r="Z68" i="12"/>
  <c r="AA17" i="51"/>
  <c r="Z68" i="14"/>
  <c r="BI26" i="51"/>
  <c r="AD26" i="51"/>
  <c r="AC28" i="51"/>
  <c r="AC27" i="51"/>
  <c r="AA46" i="12"/>
  <c r="AA45" i="14"/>
  <c r="Y81" i="14"/>
  <c r="Y19" i="14"/>
  <c r="AB36" i="12"/>
  <c r="Y37" i="54"/>
  <c r="BF65" i="51"/>
  <c r="AC13" i="14"/>
  <c r="AC62" i="14"/>
  <c r="AD12" i="14"/>
  <c r="AA36" i="14"/>
  <c r="Z67" i="12"/>
  <c r="AB34" i="14"/>
  <c r="AB37" i="51"/>
  <c r="AB38" i="51"/>
  <c r="AA36" i="12"/>
  <c r="Z67" i="14"/>
  <c r="BH28" i="51"/>
  <c r="BH27" i="51"/>
  <c r="AA45" i="12"/>
  <c r="V86" i="12"/>
  <c r="V23" i="12"/>
  <c r="Y69" i="14"/>
  <c r="AB63" i="14"/>
  <c r="AB64" i="14"/>
  <c r="AC19" i="51"/>
  <c r="AC23" i="51"/>
  <c r="BI18" i="51"/>
  <c r="AD18" i="51"/>
  <c r="AC20" i="51"/>
  <c r="AC22" i="51"/>
  <c r="BG37" i="51"/>
  <c r="BG38" i="51"/>
  <c r="AA33" i="12"/>
  <c r="Z47" i="14"/>
  <c r="X34" i="54"/>
  <c r="BE52" i="51"/>
  <c r="AC28" i="14"/>
  <c r="AC27" i="14"/>
  <c r="AC31" i="14"/>
  <c r="AC30" i="14"/>
  <c r="AD26" i="14"/>
  <c r="BI10" i="51"/>
  <c r="AC12" i="51"/>
  <c r="AD10" i="51"/>
  <c r="AC36" i="51"/>
  <c r="Z35" i="12"/>
  <c r="Y37" i="12"/>
  <c r="AA15" i="14"/>
  <c r="AB29" i="12"/>
  <c r="BG21" i="51"/>
  <c r="W37" i="20"/>
  <c r="X24" i="12"/>
  <c r="X102" i="12"/>
  <c r="X20" i="12"/>
  <c r="X25" i="12"/>
  <c r="X217" i="12"/>
  <c r="AB166" i="12"/>
  <c r="BH19" i="51"/>
  <c r="BH23" i="51"/>
  <c r="BH20" i="51"/>
  <c r="BH22" i="51"/>
  <c r="BG14" i="51"/>
  <c r="BG13" i="51"/>
  <c r="AA16" i="12"/>
  <c r="AB32" i="14"/>
  <c r="AB13" i="51"/>
  <c r="AB14" i="51"/>
  <c r="W37" i="19" l="1"/>
  <c r="AA66" i="12"/>
  <c r="AA134" i="12"/>
  <c r="Z40" i="20"/>
  <c r="X217" i="14"/>
  <c r="X20" i="14"/>
  <c r="X102" i="14"/>
  <c r="AA220" i="12"/>
  <c r="AB216" i="12"/>
  <c r="AB48" i="12"/>
  <c r="AB122" i="12"/>
  <c r="AB44" i="12"/>
  <c r="Z19" i="12"/>
  <c r="AA17" i="12"/>
  <c r="AA81" i="12" s="1"/>
  <c r="BH29" i="51"/>
  <c r="AC32" i="12"/>
  <c r="AC43" i="14"/>
  <c r="AB65" i="14"/>
  <c r="AB66" i="14" s="1"/>
  <c r="BG15" i="51"/>
  <c r="BG17" i="51" s="1"/>
  <c r="AB65" i="12"/>
  <c r="AA40" i="20" s="1"/>
  <c r="AC83" i="12"/>
  <c r="Y34" i="53"/>
  <c r="Z52" i="51"/>
  <c r="AC32" i="14"/>
  <c r="AC82" i="14" s="1"/>
  <c r="AC83" i="14"/>
  <c r="AB82" i="12"/>
  <c r="AC43" i="12"/>
  <c r="AC44" i="12" s="1"/>
  <c r="AA46" i="51"/>
  <c r="AA214" i="12"/>
  <c r="AA224" i="12" s="1"/>
  <c r="BG25" i="51"/>
  <c r="Z35" i="14"/>
  <c r="Z36" i="19"/>
  <c r="AA92" i="14"/>
  <c r="AA39" i="14"/>
  <c r="AA215" i="14"/>
  <c r="AB33" i="14"/>
  <c r="AB215" i="14" s="1"/>
  <c r="AB33" i="12"/>
  <c r="AA214" i="14"/>
  <c r="AA224" i="14" s="1"/>
  <c r="AC29" i="51"/>
  <c r="AB35" i="53" s="1"/>
  <c r="AB39" i="51"/>
  <c r="AA37" i="53" s="1"/>
  <c r="BH21" i="51"/>
  <c r="BG39" i="51"/>
  <c r="AC29" i="14"/>
  <c r="AC24" i="51"/>
  <c r="AC29" i="12"/>
  <c r="AA36" i="19"/>
  <c r="AB39" i="14"/>
  <c r="AA19" i="12"/>
  <c r="AA35" i="54"/>
  <c r="BH59" i="51"/>
  <c r="AD28" i="14"/>
  <c r="AD27" i="14"/>
  <c r="AD31" i="14"/>
  <c r="AD30" i="14"/>
  <c r="AE26" i="14"/>
  <c r="AD13" i="14"/>
  <c r="AD62" i="14"/>
  <c r="AE12" i="14"/>
  <c r="Y37" i="19"/>
  <c r="Z25" i="14"/>
  <c r="Z24" i="14"/>
  <c r="Z102" i="14"/>
  <c r="Z20" i="14"/>
  <c r="Z217" i="14"/>
  <c r="AD28" i="12"/>
  <c r="AD27" i="12"/>
  <c r="AD31" i="12"/>
  <c r="AD30" i="12"/>
  <c r="AE26" i="12"/>
  <c r="AB38" i="19"/>
  <c r="AC44" i="14"/>
  <c r="AC49" i="14"/>
  <c r="AC122" i="14"/>
  <c r="AC48" i="14"/>
  <c r="AC216" i="14"/>
  <c r="X85" i="14"/>
  <c r="AA67" i="14"/>
  <c r="AD13" i="12"/>
  <c r="AD62" i="12"/>
  <c r="AD166" i="12" s="1"/>
  <c r="AE12" i="12"/>
  <c r="AB46" i="12"/>
  <c r="AA40" i="19"/>
  <c r="AB71" i="14"/>
  <c r="AB70" i="14"/>
  <c r="AC64" i="14"/>
  <c r="AC63" i="14"/>
  <c r="Z213" i="14"/>
  <c r="Z84" i="14"/>
  <c r="W87" i="14"/>
  <c r="AE40" i="14"/>
  <c r="AD42" i="14"/>
  <c r="AD41" i="14"/>
  <c r="AB38" i="20"/>
  <c r="AC49" i="12"/>
  <c r="AC48" i="12"/>
  <c r="AC63" i="12"/>
  <c r="AC64" i="12"/>
  <c r="BG44" i="51"/>
  <c r="W87" i="12"/>
  <c r="AB45" i="14"/>
  <c r="AB45" i="12"/>
  <c r="AC38" i="14"/>
  <c r="X37" i="19"/>
  <c r="Y25" i="14"/>
  <c r="Y24" i="14"/>
  <c r="Y102" i="14"/>
  <c r="Y20" i="14"/>
  <c r="Y217" i="14"/>
  <c r="AD27" i="51"/>
  <c r="BJ26" i="51"/>
  <c r="AE26" i="51"/>
  <c r="AD28" i="51"/>
  <c r="Z34" i="53"/>
  <c r="AA52" i="51"/>
  <c r="AC38" i="12"/>
  <c r="X223" i="14"/>
  <c r="X221" i="14"/>
  <c r="AE40" i="12"/>
  <c r="AD42" i="12"/>
  <c r="AD41" i="12"/>
  <c r="W86" i="12"/>
  <c r="W23" i="12"/>
  <c r="BJ10" i="51"/>
  <c r="AD12" i="51"/>
  <c r="AE10" i="51"/>
  <c r="AD36" i="51"/>
  <c r="AE18" i="51"/>
  <c r="AD20" i="51"/>
  <c r="AD22" i="51"/>
  <c r="AD19" i="51"/>
  <c r="AD23" i="51"/>
  <c r="BJ18" i="51"/>
  <c r="AA47" i="12"/>
  <c r="AC14" i="14"/>
  <c r="Y213" i="14"/>
  <c r="Y84" i="14"/>
  <c r="BI28" i="51"/>
  <c r="BI27" i="51"/>
  <c r="BF43" i="51"/>
  <c r="BF17" i="51"/>
  <c r="V88" i="14"/>
  <c r="AB15" i="12"/>
  <c r="X22" i="14"/>
  <c r="X89" i="14"/>
  <c r="AB82" i="14"/>
  <c r="AA68" i="14"/>
  <c r="Y33" i="54"/>
  <c r="BF48" i="51"/>
  <c r="AC14" i="12"/>
  <c r="W86" i="14"/>
  <c r="W23" i="14"/>
  <c r="X22" i="12"/>
  <c r="X89" i="12"/>
  <c r="AC13" i="51"/>
  <c r="AC14" i="51"/>
  <c r="BI19" i="51"/>
  <c r="BI23" i="51"/>
  <c r="BI20" i="51"/>
  <c r="BI22" i="51"/>
  <c r="Z69" i="14"/>
  <c r="Z69" i="12"/>
  <c r="X21" i="14"/>
  <c r="X90" i="14"/>
  <c r="X168" i="12"/>
  <c r="X167" i="12"/>
  <c r="AC37" i="51"/>
  <c r="AC38" i="51"/>
  <c r="Z33" i="54"/>
  <c r="BG48" i="51"/>
  <c r="X21" i="12"/>
  <c r="X90" i="12"/>
  <c r="AA36" i="20"/>
  <c r="AB92" i="12"/>
  <c r="AB39" i="12"/>
  <c r="AB215" i="12"/>
  <c r="BI12" i="51"/>
  <c r="BI36" i="51"/>
  <c r="Z36" i="20"/>
  <c r="AA39" i="12"/>
  <c r="AA92" i="12"/>
  <c r="AA215" i="12"/>
  <c r="AA47" i="14"/>
  <c r="X37" i="20"/>
  <c r="Y25" i="12"/>
  <c r="Y24" i="12"/>
  <c r="Y102" i="12"/>
  <c r="Y20" i="12"/>
  <c r="Y217" i="12"/>
  <c r="BH37" i="51"/>
  <c r="BH38" i="51"/>
  <c r="X221" i="12"/>
  <c r="X223" i="12"/>
  <c r="AA68" i="12"/>
  <c r="Y37" i="20"/>
  <c r="Z25" i="12"/>
  <c r="Z24" i="12"/>
  <c r="Z102" i="12"/>
  <c r="Z20" i="12"/>
  <c r="Z217" i="12"/>
  <c r="BH24" i="51"/>
  <c r="X85" i="12"/>
  <c r="V88" i="12"/>
  <c r="Y213" i="12"/>
  <c r="Y84" i="12"/>
  <c r="AB25" i="51"/>
  <c r="BH14" i="51"/>
  <c r="BH13" i="51"/>
  <c r="AA67" i="12"/>
  <c r="Z213" i="12"/>
  <c r="Z84" i="12"/>
  <c r="AB15" i="51"/>
  <c r="AA16" i="14"/>
  <c r="Z37" i="12"/>
  <c r="AC34" i="14"/>
  <c r="AC21" i="51"/>
  <c r="AB44" i="51"/>
  <c r="AC34" i="12"/>
  <c r="AB36" i="14"/>
  <c r="AC166" i="12"/>
  <c r="AB16" i="14"/>
  <c r="AB46" i="14"/>
  <c r="Z34" i="54" l="1"/>
  <c r="BG52" i="51"/>
  <c r="AC33" i="12"/>
  <c r="AC215" i="12" s="1"/>
  <c r="AC216" i="12"/>
  <c r="AC122" i="12"/>
  <c r="AB92" i="14"/>
  <c r="AB65" i="51"/>
  <c r="AC59" i="51"/>
  <c r="AB220" i="12"/>
  <c r="AB71" i="12"/>
  <c r="AB66" i="12"/>
  <c r="AB134" i="12"/>
  <c r="AB70" i="12"/>
  <c r="AB68" i="12" s="1"/>
  <c r="AB220" i="14"/>
  <c r="AB134" i="14"/>
  <c r="AC33" i="14"/>
  <c r="AB36" i="19" s="1"/>
  <c r="AB214" i="14"/>
  <c r="AB224" i="14" s="1"/>
  <c r="BI29" i="51"/>
  <c r="AC65" i="14"/>
  <c r="Z37" i="54"/>
  <c r="BH25" i="51"/>
  <c r="BH48" i="51" s="1"/>
  <c r="AC25" i="51"/>
  <c r="AC44" i="51"/>
  <c r="BI24" i="51"/>
  <c r="BG65" i="51"/>
  <c r="BG43" i="51"/>
  <c r="AC82" i="12"/>
  <c r="AD43" i="14"/>
  <c r="AC38" i="19" s="1"/>
  <c r="Z37" i="14"/>
  <c r="AB214" i="12"/>
  <c r="AB224" i="12" s="1"/>
  <c r="BH39" i="51"/>
  <c r="AA37" i="54" s="1"/>
  <c r="AD43" i="12"/>
  <c r="AC65" i="12"/>
  <c r="AC134" i="12" s="1"/>
  <c r="AD83" i="14"/>
  <c r="AB17" i="14"/>
  <c r="AB81" i="14" s="1"/>
  <c r="AA17" i="14"/>
  <c r="AA81" i="14" s="1"/>
  <c r="AD83" i="12"/>
  <c r="AA35" i="14"/>
  <c r="AC214" i="14"/>
  <c r="AC224" i="14" s="1"/>
  <c r="AC15" i="51"/>
  <c r="BF46" i="51"/>
  <c r="AD32" i="12"/>
  <c r="AD29" i="14"/>
  <c r="AD29" i="51"/>
  <c r="AC35" i="53" s="1"/>
  <c r="AC39" i="12"/>
  <c r="BH15" i="51"/>
  <c r="AD38" i="14"/>
  <c r="AC38" i="20"/>
  <c r="AD44" i="12"/>
  <c r="AC71" i="12"/>
  <c r="AC70" i="12"/>
  <c r="Z223" i="12"/>
  <c r="Z221" i="12"/>
  <c r="AA33" i="53"/>
  <c r="AB48" i="51"/>
  <c r="W88" i="14"/>
  <c r="BJ12" i="51"/>
  <c r="BJ36" i="51"/>
  <c r="AB68" i="14"/>
  <c r="AD29" i="12"/>
  <c r="AB67" i="12"/>
  <c r="AB33" i="53"/>
  <c r="AC48" i="51"/>
  <c r="Y168" i="12"/>
  <c r="Y167" i="12"/>
  <c r="Y22" i="12"/>
  <c r="Y89" i="12"/>
  <c r="AB35" i="12"/>
  <c r="AC17" i="51"/>
  <c r="Y223" i="14"/>
  <c r="Y221" i="14"/>
  <c r="AD21" i="51"/>
  <c r="AC36" i="12"/>
  <c r="AC46" i="12"/>
  <c r="AD49" i="14"/>
  <c r="AD122" i="14"/>
  <c r="AD216" i="14"/>
  <c r="AB67" i="14"/>
  <c r="AE13" i="12"/>
  <c r="AE62" i="12"/>
  <c r="AF12" i="12"/>
  <c r="AF12" i="14"/>
  <c r="AE13" i="14"/>
  <c r="AE62" i="14"/>
  <c r="AA69" i="12"/>
  <c r="Y223" i="12"/>
  <c r="Y221" i="12"/>
  <c r="Z89" i="12"/>
  <c r="Z22" i="12"/>
  <c r="Y21" i="12"/>
  <c r="Y90" i="12"/>
  <c r="AC39" i="51"/>
  <c r="X86" i="14"/>
  <c r="X23" i="14"/>
  <c r="AC15" i="14"/>
  <c r="AD24" i="51"/>
  <c r="Y85" i="14"/>
  <c r="AC45" i="12"/>
  <c r="AE41" i="14"/>
  <c r="AF40" i="14"/>
  <c r="AE42" i="14"/>
  <c r="AD64" i="12"/>
  <c r="AD63" i="12"/>
  <c r="AD64" i="14"/>
  <c r="AD63" i="14"/>
  <c r="Z21" i="12"/>
  <c r="Z90" i="12"/>
  <c r="AA35" i="12"/>
  <c r="AC15" i="12"/>
  <c r="X87" i="14"/>
  <c r="Y34" i="54"/>
  <c r="BF52" i="51"/>
  <c r="AC36" i="14"/>
  <c r="AD34" i="12"/>
  <c r="Z85" i="14"/>
  <c r="BH65" i="51"/>
  <c r="BH17" i="51"/>
  <c r="X87" i="12"/>
  <c r="AF18" i="51"/>
  <c r="AE20" i="51"/>
  <c r="AE22" i="51"/>
  <c r="AE19" i="51"/>
  <c r="AE23" i="51"/>
  <c r="BK18" i="51"/>
  <c r="AB47" i="12"/>
  <c r="AD14" i="12"/>
  <c r="AE28" i="12"/>
  <c r="AE27" i="12"/>
  <c r="AE31" i="12"/>
  <c r="AE30" i="12"/>
  <c r="AF26" i="12"/>
  <c r="AD14" i="14"/>
  <c r="BH44" i="51"/>
  <c r="AB35" i="54"/>
  <c r="BI59" i="51"/>
  <c r="AD37" i="51"/>
  <c r="AD38" i="51"/>
  <c r="AF40" i="12"/>
  <c r="AE42" i="12"/>
  <c r="AE41" i="12"/>
  <c r="AE27" i="51"/>
  <c r="BK26" i="51"/>
  <c r="AF26" i="51"/>
  <c r="AE28" i="51"/>
  <c r="Y89" i="14"/>
  <c r="Y22" i="14"/>
  <c r="AC46" i="14"/>
  <c r="AD34" i="14"/>
  <c r="AC35" i="12"/>
  <c r="AB43" i="51"/>
  <c r="AB17" i="51"/>
  <c r="Y85" i="12"/>
  <c r="BI37" i="51"/>
  <c r="BI38" i="51"/>
  <c r="BI21" i="51"/>
  <c r="AB16" i="12"/>
  <c r="BJ19" i="51"/>
  <c r="BJ23" i="51"/>
  <c r="BJ20" i="51"/>
  <c r="BJ22" i="51"/>
  <c r="AE36" i="51"/>
  <c r="BK10" i="51"/>
  <c r="AE12" i="51"/>
  <c r="AF10" i="51"/>
  <c r="BJ28" i="51"/>
  <c r="BJ27" i="51"/>
  <c r="Y21" i="14"/>
  <c r="Y90" i="14"/>
  <c r="AA69" i="14"/>
  <c r="AD38" i="12"/>
  <c r="Z89" i="14"/>
  <c r="Z22" i="14"/>
  <c r="AE28" i="14"/>
  <c r="AE27" i="14"/>
  <c r="AE31" i="14"/>
  <c r="AE30" i="14"/>
  <c r="AF26" i="14"/>
  <c r="Z37" i="20"/>
  <c r="AA25" i="12"/>
  <c r="AA24" i="12"/>
  <c r="AA102" i="12"/>
  <c r="AA20" i="12"/>
  <c r="AA217" i="12"/>
  <c r="AB35" i="14"/>
  <c r="Z168" i="12"/>
  <c r="Z167" i="12"/>
  <c r="Z85" i="12"/>
  <c r="BI14" i="51"/>
  <c r="BI13" i="51"/>
  <c r="X86" i="12"/>
  <c r="X23" i="12"/>
  <c r="AD13" i="51"/>
  <c r="AD14" i="51"/>
  <c r="W88" i="12"/>
  <c r="AB47" i="14"/>
  <c r="Z223" i="14"/>
  <c r="Z221" i="14"/>
  <c r="AC45" i="14"/>
  <c r="Z90" i="14"/>
  <c r="Z21" i="14"/>
  <c r="AD32" i="14"/>
  <c r="AA213" i="12"/>
  <c r="AA84" i="12"/>
  <c r="AD48" i="14" l="1"/>
  <c r="AA33" i="54"/>
  <c r="AC215" i="14"/>
  <c r="AC92" i="14"/>
  <c r="AD44" i="14"/>
  <c r="AC39" i="14"/>
  <c r="AC35" i="14" s="1"/>
  <c r="AC37" i="14" s="1"/>
  <c r="AB36" i="20"/>
  <c r="AB40" i="20"/>
  <c r="AC92" i="12"/>
  <c r="AC220" i="12"/>
  <c r="AD59" i="51"/>
  <c r="AC66" i="12"/>
  <c r="AB19" i="14"/>
  <c r="BI25" i="51"/>
  <c r="AE166" i="12"/>
  <c r="AB40" i="19"/>
  <c r="AD122" i="12"/>
  <c r="BG46" i="51"/>
  <c r="BI39" i="51"/>
  <c r="AD82" i="12"/>
  <c r="AC43" i="51"/>
  <c r="AD82" i="14"/>
  <c r="AE29" i="51"/>
  <c r="AD39" i="51"/>
  <c r="AD65" i="51" s="1"/>
  <c r="AE32" i="12"/>
  <c r="AC220" i="14"/>
  <c r="AA19" i="14"/>
  <c r="BH43" i="51"/>
  <c r="BH46" i="51" s="1"/>
  <c r="AC134" i="14"/>
  <c r="BJ29" i="51"/>
  <c r="BJ59" i="51" s="1"/>
  <c r="AB46" i="51"/>
  <c r="AE43" i="14"/>
  <c r="AE44" i="14" s="1"/>
  <c r="AE83" i="14"/>
  <c r="AC66" i="14"/>
  <c r="AD33" i="12"/>
  <c r="AD216" i="12"/>
  <c r="AD36" i="14"/>
  <c r="BI44" i="51"/>
  <c r="AD65" i="12"/>
  <c r="AD70" i="12" s="1"/>
  <c r="AC37" i="12"/>
  <c r="AC70" i="14"/>
  <c r="AD48" i="12"/>
  <c r="AC214" i="12"/>
  <c r="AC224" i="12" s="1"/>
  <c r="AE83" i="12"/>
  <c r="AB17" i="12"/>
  <c r="AB81" i="12" s="1"/>
  <c r="AD65" i="14"/>
  <c r="AC40" i="19" s="1"/>
  <c r="AC71" i="14"/>
  <c r="AD49" i="12"/>
  <c r="AA37" i="14"/>
  <c r="AD15" i="51"/>
  <c r="BJ24" i="51"/>
  <c r="AE38" i="14"/>
  <c r="AE24" i="51"/>
  <c r="AE43" i="12"/>
  <c r="AE49" i="12" s="1"/>
  <c r="AE38" i="12"/>
  <c r="AB37" i="54"/>
  <c r="BI65" i="51"/>
  <c r="AD66" i="12"/>
  <c r="AD220" i="12"/>
  <c r="AC35" i="54"/>
  <c r="AE37" i="51"/>
  <c r="AE38" i="51"/>
  <c r="AA34" i="53"/>
  <c r="AB52" i="51"/>
  <c r="AD35" i="53"/>
  <c r="AE59" i="51"/>
  <c r="BL18" i="51"/>
  <c r="AG18" i="51"/>
  <c r="AF20" i="51"/>
  <c r="AF22" i="51"/>
  <c r="AF19" i="51"/>
  <c r="AF23" i="51"/>
  <c r="AD134" i="14"/>
  <c r="AD46" i="14"/>
  <c r="AA213" i="14"/>
  <c r="AA84" i="14"/>
  <c r="AD36" i="12"/>
  <c r="AA37" i="19"/>
  <c r="AB20" i="14"/>
  <c r="AB25" i="14"/>
  <c r="AB24" i="14"/>
  <c r="AB102" i="14"/>
  <c r="AB217" i="14"/>
  <c r="Z86" i="12"/>
  <c r="Z23" i="12"/>
  <c r="AC47" i="12"/>
  <c r="Y86" i="12"/>
  <c r="Y23" i="12"/>
  <c r="AG12" i="12"/>
  <c r="AF13" i="12"/>
  <c r="AF62" i="12"/>
  <c r="AF166" i="12"/>
  <c r="AD45" i="14"/>
  <c r="Y87" i="12"/>
  <c r="AD33" i="14"/>
  <c r="AA223" i="12"/>
  <c r="AA221" i="12"/>
  <c r="AA89" i="12"/>
  <c r="AA22" i="12"/>
  <c r="AE29" i="14"/>
  <c r="AE29" i="12"/>
  <c r="BK19" i="51"/>
  <c r="BK23" i="51"/>
  <c r="BK20" i="51"/>
  <c r="BK22" i="51"/>
  <c r="AB213" i="14"/>
  <c r="AB84" i="14"/>
  <c r="AE64" i="12"/>
  <c r="AE63" i="12"/>
  <c r="AD25" i="51"/>
  <c r="AD46" i="12"/>
  <c r="AA90" i="12"/>
  <c r="AA21" i="12"/>
  <c r="Y87" i="14"/>
  <c r="AD15" i="14"/>
  <c r="X88" i="14"/>
  <c r="Z87" i="12"/>
  <c r="AC68" i="14"/>
  <c r="BJ37" i="51"/>
  <c r="BJ38" i="51"/>
  <c r="AD45" i="12"/>
  <c r="Z86" i="14"/>
  <c r="Z23" i="14"/>
  <c r="AB37" i="14"/>
  <c r="AC16" i="12"/>
  <c r="AE64" i="14"/>
  <c r="AE63" i="14"/>
  <c r="AE14" i="12"/>
  <c r="AC67" i="14"/>
  <c r="BJ13" i="51"/>
  <c r="BJ14" i="51"/>
  <c r="X88" i="12"/>
  <c r="AA167" i="12"/>
  <c r="AA168" i="12"/>
  <c r="AC47" i="14"/>
  <c r="BI15" i="51"/>
  <c r="AE34" i="14"/>
  <c r="AG10" i="51"/>
  <c r="AF36" i="51"/>
  <c r="BL10" i="51"/>
  <c r="AF12" i="51"/>
  <c r="BJ21" i="51"/>
  <c r="AF41" i="12"/>
  <c r="AG40" i="12"/>
  <c r="AF42" i="12"/>
  <c r="AE34" i="12"/>
  <c r="AD15" i="12"/>
  <c r="AE21" i="51"/>
  <c r="AA34" i="54"/>
  <c r="BH52" i="51"/>
  <c r="AE48" i="14"/>
  <c r="AD44" i="51"/>
  <c r="AB34" i="53"/>
  <c r="AC52" i="51"/>
  <c r="AB69" i="12"/>
  <c r="AC68" i="12"/>
  <c r="AG26" i="14"/>
  <c r="AF28" i="14"/>
  <c r="AF27" i="14"/>
  <c r="AF31" i="14"/>
  <c r="AF30" i="14"/>
  <c r="AE14" i="51"/>
  <c r="AE13" i="51"/>
  <c r="AF27" i="51"/>
  <c r="BL26" i="51"/>
  <c r="AG26" i="51"/>
  <c r="AF28" i="51"/>
  <c r="AF28" i="12"/>
  <c r="AF27" i="12"/>
  <c r="AF31" i="12"/>
  <c r="AF30" i="12"/>
  <c r="AG26" i="12"/>
  <c r="AE44" i="51"/>
  <c r="AF41" i="14"/>
  <c r="AG40" i="14"/>
  <c r="AF42" i="14"/>
  <c r="AC16" i="14"/>
  <c r="AB37" i="53"/>
  <c r="AC65" i="51"/>
  <c r="AE14" i="14"/>
  <c r="AB69" i="14"/>
  <c r="AC36" i="20"/>
  <c r="AD39" i="12"/>
  <c r="AD92" i="12"/>
  <c r="AD215" i="12"/>
  <c r="AC67" i="12"/>
  <c r="AD17" i="51"/>
  <c r="AA85" i="12"/>
  <c r="AE32" i="14"/>
  <c r="Z87" i="14"/>
  <c r="Y86" i="14"/>
  <c r="Y23" i="14"/>
  <c r="BK12" i="51"/>
  <c r="BK36" i="51"/>
  <c r="AB33" i="54"/>
  <c r="BI48" i="51"/>
  <c r="BK28" i="51"/>
  <c r="BK27" i="51"/>
  <c r="AA37" i="12"/>
  <c r="AG12" i="14"/>
  <c r="AF13" i="14"/>
  <c r="AF62" i="14"/>
  <c r="AB37" i="12"/>
  <c r="Z37" i="19"/>
  <c r="AA20" i="14"/>
  <c r="AA25" i="14"/>
  <c r="AA24" i="14"/>
  <c r="AA102" i="14"/>
  <c r="AA217" i="14"/>
  <c r="AD38" i="19" l="1"/>
  <c r="AD66" i="14"/>
  <c r="AD70" i="14"/>
  <c r="AC37" i="53"/>
  <c r="AE216" i="14"/>
  <c r="AE122" i="14"/>
  <c r="AE49" i="14"/>
  <c r="AE216" i="12"/>
  <c r="AD220" i="14"/>
  <c r="AD71" i="14"/>
  <c r="AE48" i="12"/>
  <c r="AD71" i="12"/>
  <c r="AC40" i="20"/>
  <c r="AB19" i="12"/>
  <c r="AD134" i="12"/>
  <c r="AE82" i="14"/>
  <c r="BJ15" i="51"/>
  <c r="AF83" i="12"/>
  <c r="AF32" i="12"/>
  <c r="BJ44" i="51"/>
  <c r="AE39" i="51"/>
  <c r="AD214" i="14"/>
  <c r="AD224" i="14" s="1"/>
  <c r="AE65" i="14"/>
  <c r="AE70" i="14" s="1"/>
  <c r="AD43" i="51"/>
  <c r="AC46" i="51"/>
  <c r="AF83" i="14"/>
  <c r="AC17" i="14"/>
  <c r="AF29" i="12"/>
  <c r="AF32" i="14"/>
  <c r="BJ25" i="51"/>
  <c r="AC17" i="12"/>
  <c r="AC19" i="12" s="1"/>
  <c r="AE33" i="12"/>
  <c r="AE39" i="12" s="1"/>
  <c r="AE36" i="14"/>
  <c r="AD214" i="12"/>
  <c r="AD224" i="12" s="1"/>
  <c r="AF29" i="51"/>
  <c r="AE25" i="51"/>
  <c r="AE82" i="12"/>
  <c r="AE36" i="12"/>
  <c r="BK29" i="51"/>
  <c r="AF43" i="14"/>
  <c r="AE38" i="19" s="1"/>
  <c r="AD16" i="14"/>
  <c r="AD38" i="20"/>
  <c r="AF21" i="51"/>
  <c r="BJ39" i="51"/>
  <c r="BK21" i="51"/>
  <c r="AE122" i="12"/>
  <c r="AE44" i="12"/>
  <c r="AF38" i="12"/>
  <c r="AF14" i="14"/>
  <c r="AE35" i="53"/>
  <c r="AF59" i="51"/>
  <c r="AC81" i="14"/>
  <c r="AC19" i="14"/>
  <c r="AD35" i="54"/>
  <c r="BK59" i="51"/>
  <c r="AG30" i="14"/>
  <c r="AH26" i="14"/>
  <c r="AG28" i="14"/>
  <c r="AG27" i="14"/>
  <c r="AG31" i="14"/>
  <c r="AC33" i="54"/>
  <c r="BJ48" i="51"/>
  <c r="AD47" i="14"/>
  <c r="AD68" i="14"/>
  <c r="BM18" i="51"/>
  <c r="AH18" i="51"/>
  <c r="AG20" i="51"/>
  <c r="AG22" i="51"/>
  <c r="AG19" i="51"/>
  <c r="AG23" i="51"/>
  <c r="AG27" i="51"/>
  <c r="BM26" i="51"/>
  <c r="AH26" i="51"/>
  <c r="AG28" i="51"/>
  <c r="AE46" i="14"/>
  <c r="AF14" i="51"/>
  <c r="AF13" i="51"/>
  <c r="AD40" i="19"/>
  <c r="AE66" i="14"/>
  <c r="AD67" i="14"/>
  <c r="BL20" i="51"/>
  <c r="BL22" i="51"/>
  <c r="BL19" i="51"/>
  <c r="BL23" i="51"/>
  <c r="AD37" i="53"/>
  <c r="AE65" i="51"/>
  <c r="BL27" i="51"/>
  <c r="BL28" i="51"/>
  <c r="AF38" i="14"/>
  <c r="BL36" i="51"/>
  <c r="BL12" i="51"/>
  <c r="BJ43" i="51"/>
  <c r="AD47" i="12"/>
  <c r="AD17" i="14"/>
  <c r="AE65" i="12"/>
  <c r="AB89" i="14"/>
  <c r="AB22" i="14"/>
  <c r="AD68" i="12"/>
  <c r="AD35" i="12"/>
  <c r="AF37" i="51"/>
  <c r="AF38" i="51"/>
  <c r="AD36" i="20"/>
  <c r="AC36" i="19"/>
  <c r="AD39" i="14"/>
  <c r="AD92" i="14"/>
  <c r="AD215" i="14"/>
  <c r="AF64" i="12"/>
  <c r="AF63" i="12"/>
  <c r="AB21" i="14"/>
  <c r="AB90" i="14"/>
  <c r="AD67" i="12"/>
  <c r="AA37" i="20"/>
  <c r="AB20" i="12"/>
  <c r="AB25" i="12"/>
  <c r="AB24" i="12"/>
  <c r="AB102" i="12"/>
  <c r="AB217" i="12"/>
  <c r="AA89" i="14"/>
  <c r="AA22" i="14"/>
  <c r="AC69" i="12"/>
  <c r="AG42" i="14"/>
  <c r="AG41" i="14"/>
  <c r="AH40" i="14"/>
  <c r="AF29" i="14"/>
  <c r="AF43" i="12"/>
  <c r="AH10" i="51"/>
  <c r="AG36" i="51"/>
  <c r="BM10" i="51"/>
  <c r="AG12" i="51"/>
  <c r="AC37" i="54"/>
  <c r="BJ65" i="51"/>
  <c r="Z88" i="12"/>
  <c r="AB85" i="14"/>
  <c r="AB213" i="12"/>
  <c r="AB84" i="12"/>
  <c r="BK37" i="51"/>
  <c r="BK38" i="51"/>
  <c r="AE15" i="14"/>
  <c r="AD33" i="53"/>
  <c r="AE48" i="51"/>
  <c r="AG41" i="12"/>
  <c r="AH40" i="12"/>
  <c r="AG42" i="12"/>
  <c r="AC69" i="14"/>
  <c r="AB223" i="14"/>
  <c r="AB221" i="14"/>
  <c r="AE33" i="14"/>
  <c r="AF14" i="12"/>
  <c r="AA223" i="14"/>
  <c r="AA221" i="14"/>
  <c r="AE46" i="12"/>
  <c r="AA85" i="14"/>
  <c r="AF64" i="14"/>
  <c r="AF63" i="14"/>
  <c r="BK13" i="51"/>
  <c r="BK14" i="51"/>
  <c r="AF34" i="12"/>
  <c r="AE15" i="51"/>
  <c r="AE45" i="14"/>
  <c r="AD16" i="12"/>
  <c r="BI43" i="51"/>
  <c r="BI17" i="51"/>
  <c r="AE15" i="12"/>
  <c r="Z88" i="14"/>
  <c r="AC33" i="53"/>
  <c r="AD48" i="51"/>
  <c r="BK24" i="51"/>
  <c r="AA87" i="12"/>
  <c r="AH12" i="12"/>
  <c r="AG13" i="12"/>
  <c r="AG62" i="12"/>
  <c r="AF24" i="51"/>
  <c r="AE45" i="12"/>
  <c r="AG62" i="14"/>
  <c r="AH12" i="14"/>
  <c r="AG13" i="14"/>
  <c r="AA90" i="14"/>
  <c r="AA21" i="14"/>
  <c r="Y88" i="14"/>
  <c r="AC34" i="53"/>
  <c r="AD52" i="51"/>
  <c r="AH26" i="12"/>
  <c r="AG28" i="12"/>
  <c r="AG27" i="12"/>
  <c r="AG31" i="12"/>
  <c r="AG30" i="12"/>
  <c r="AF34" i="14"/>
  <c r="AA86" i="12"/>
  <c r="AA23" i="12"/>
  <c r="Y88" i="12"/>
  <c r="AC81" i="12" l="1"/>
  <c r="AE215" i="12"/>
  <c r="AE92" i="12"/>
  <c r="AE71" i="14"/>
  <c r="AF216" i="14"/>
  <c r="AF44" i="14"/>
  <c r="AF48" i="14"/>
  <c r="AF46" i="14" s="1"/>
  <c r="AF49" i="14"/>
  <c r="AE220" i="14"/>
  <c r="AE134" i="14"/>
  <c r="AD17" i="12"/>
  <c r="AD81" i="12" s="1"/>
  <c r="AF33" i="12"/>
  <c r="AG29" i="51"/>
  <c r="AE214" i="12"/>
  <c r="AE224" i="12" s="1"/>
  <c r="AG166" i="12"/>
  <c r="AF33" i="14"/>
  <c r="AE36" i="19" s="1"/>
  <c r="AF65" i="12"/>
  <c r="AF220" i="12" s="1"/>
  <c r="AF15" i="14"/>
  <c r="AG32" i="12"/>
  <c r="AF82" i="12"/>
  <c r="AG24" i="51"/>
  <c r="AF36" i="12"/>
  <c r="BJ17" i="51"/>
  <c r="AG83" i="12"/>
  <c r="AF65" i="14"/>
  <c r="AF70" i="14" s="1"/>
  <c r="AE16" i="14"/>
  <c r="AG29" i="14"/>
  <c r="AG29" i="12"/>
  <c r="AG83" i="14"/>
  <c r="BI46" i="51"/>
  <c r="AF82" i="14"/>
  <c r="BK39" i="51"/>
  <c r="AD37" i="54" s="1"/>
  <c r="AF39" i="51"/>
  <c r="AE37" i="53" s="1"/>
  <c r="BJ46" i="51"/>
  <c r="AF122" i="14"/>
  <c r="AD46" i="51"/>
  <c r="AE214" i="14"/>
  <c r="AE224" i="14" s="1"/>
  <c r="BK44" i="51"/>
  <c r="AG43" i="14"/>
  <c r="AG216" i="14" s="1"/>
  <c r="AG43" i="12"/>
  <c r="AF38" i="20" s="1"/>
  <c r="BL24" i="51"/>
  <c r="AG38" i="12"/>
  <c r="BK15" i="51"/>
  <c r="BL29" i="51"/>
  <c r="AE40" i="19"/>
  <c r="AF66" i="14"/>
  <c r="AF71" i="14"/>
  <c r="AF220" i="14"/>
  <c r="AE40" i="20"/>
  <c r="AF66" i="12"/>
  <c r="AF71" i="12"/>
  <c r="AF70" i="12"/>
  <c r="AF134" i="12"/>
  <c r="AD19" i="12"/>
  <c r="AF44" i="51"/>
  <c r="AF25" i="51"/>
  <c r="AD36" i="19"/>
  <c r="AE39" i="14"/>
  <c r="AE92" i="14"/>
  <c r="AE215" i="14"/>
  <c r="AH42" i="12"/>
  <c r="AH41" i="12"/>
  <c r="AL206" i="12"/>
  <c r="AL182" i="12"/>
  <c r="AM182" i="12"/>
  <c r="AB85" i="12"/>
  <c r="BM27" i="51"/>
  <c r="BM28" i="51"/>
  <c r="AG21" i="51"/>
  <c r="AB34" i="54"/>
  <c r="BI52" i="51"/>
  <c r="BK65" i="51"/>
  <c r="AG14" i="51"/>
  <c r="AG13" i="51"/>
  <c r="AH42" i="14"/>
  <c r="AH41" i="14"/>
  <c r="AE68" i="14"/>
  <c r="AF35" i="53"/>
  <c r="AG59" i="51"/>
  <c r="AA88" i="12"/>
  <c r="BM36" i="51"/>
  <c r="BM12" i="51"/>
  <c r="AB87" i="14"/>
  <c r="AD69" i="14"/>
  <c r="AE67" i="14"/>
  <c r="AF16" i="14"/>
  <c r="AB37" i="19"/>
  <c r="AC102" i="14"/>
  <c r="AC20" i="14"/>
  <c r="AC25" i="14"/>
  <c r="AC24" i="14"/>
  <c r="AC217" i="14"/>
  <c r="AH13" i="14"/>
  <c r="AH62" i="14"/>
  <c r="AG64" i="12"/>
  <c r="AG63" i="12"/>
  <c r="AG37" i="51"/>
  <c r="AG38" i="51"/>
  <c r="AD69" i="12"/>
  <c r="AE35" i="12"/>
  <c r="BL13" i="51"/>
  <c r="BL14" i="51"/>
  <c r="AH19" i="51"/>
  <c r="AH23" i="51"/>
  <c r="BN18" i="51"/>
  <c r="AH20" i="51"/>
  <c r="AH22" i="51"/>
  <c r="AC213" i="14"/>
  <c r="AC84" i="14"/>
  <c r="AG64" i="14"/>
  <c r="AG63" i="14"/>
  <c r="BN10" i="51"/>
  <c r="AH12" i="51"/>
  <c r="AH36" i="51"/>
  <c r="BL37" i="51"/>
  <c r="BL38" i="51"/>
  <c r="BM20" i="51"/>
  <c r="BM22" i="51"/>
  <c r="BM19" i="51"/>
  <c r="BM23" i="51"/>
  <c r="AG34" i="14"/>
  <c r="BK25" i="51"/>
  <c r="AG36" i="12"/>
  <c r="AG14" i="14"/>
  <c r="AG14" i="12"/>
  <c r="AE47" i="14"/>
  <c r="AB168" i="12"/>
  <c r="AB167" i="12"/>
  <c r="AE38" i="20"/>
  <c r="AF48" i="12"/>
  <c r="AF44" i="12"/>
  <c r="AF122" i="12"/>
  <c r="AF49" i="12"/>
  <c r="AF216" i="12"/>
  <c r="AD37" i="12"/>
  <c r="AF36" i="14"/>
  <c r="AH30" i="14"/>
  <c r="AH28" i="14"/>
  <c r="AH27" i="14"/>
  <c r="AH31" i="14"/>
  <c r="AB37" i="20"/>
  <c r="AC20" i="12"/>
  <c r="AC25" i="12"/>
  <c r="AC24" i="12"/>
  <c r="AC102" i="12"/>
  <c r="AC217" i="12"/>
  <c r="AG34" i="12"/>
  <c r="AA86" i="14"/>
  <c r="AA23" i="14"/>
  <c r="AE47" i="12"/>
  <c r="AH62" i="12"/>
  <c r="AH13" i="12"/>
  <c r="AM186" i="12"/>
  <c r="AL209" i="12"/>
  <c r="AL186" i="12"/>
  <c r="AE16" i="12"/>
  <c r="AE43" i="51"/>
  <c r="AE17" i="51"/>
  <c r="AG82" i="12"/>
  <c r="AB223" i="12"/>
  <c r="AB221" i="12"/>
  <c r="AB89" i="12"/>
  <c r="AB22" i="12"/>
  <c r="AD35" i="14"/>
  <c r="AD40" i="20"/>
  <c r="AE71" i="12"/>
  <c r="AE70" i="12"/>
  <c r="AE134" i="12"/>
  <c r="AE66" i="12"/>
  <c r="AE220" i="12"/>
  <c r="BL21" i="51"/>
  <c r="AG32" i="14"/>
  <c r="AC213" i="12"/>
  <c r="AC84" i="12"/>
  <c r="AF45" i="14"/>
  <c r="AH30" i="12"/>
  <c r="AH28" i="12"/>
  <c r="AH27" i="12"/>
  <c r="AH31" i="12"/>
  <c r="AL178" i="12"/>
  <c r="AL202" i="12"/>
  <c r="AM178" i="12"/>
  <c r="AF15" i="12"/>
  <c r="AE17" i="14"/>
  <c r="AA87" i="14"/>
  <c r="AB90" i="12"/>
  <c r="AB21" i="12"/>
  <c r="AB86" i="14"/>
  <c r="AB23" i="14"/>
  <c r="AD81" i="14"/>
  <c r="AD19" i="14"/>
  <c r="BL44" i="51"/>
  <c r="AF15" i="51"/>
  <c r="AH28" i="51"/>
  <c r="AH27" i="51"/>
  <c r="BN26" i="51"/>
  <c r="AG38" i="14"/>
  <c r="AG122" i="12" l="1"/>
  <c r="AF215" i="14"/>
  <c r="AG44" i="14"/>
  <c r="AG48" i="12"/>
  <c r="AF92" i="14"/>
  <c r="AG48" i="14"/>
  <c r="AF39" i="14"/>
  <c r="AG122" i="14"/>
  <c r="AG49" i="14"/>
  <c r="AF38" i="19"/>
  <c r="AF134" i="14"/>
  <c r="AF65" i="51"/>
  <c r="CG5" i="51"/>
  <c r="AF16" i="12"/>
  <c r="AG214" i="12"/>
  <c r="AG224" i="12" s="1"/>
  <c r="AH166" i="12"/>
  <c r="AG65" i="12"/>
  <c r="AG71" i="12" s="1"/>
  <c r="AG216" i="12"/>
  <c r="AG33" i="12"/>
  <c r="BM21" i="51"/>
  <c r="AG65" i="14"/>
  <c r="AG134" i="14" s="1"/>
  <c r="AE35" i="54"/>
  <c r="AF214" i="12"/>
  <c r="AF224" i="12" s="1"/>
  <c r="CG6" i="51"/>
  <c r="AE46" i="51"/>
  <c r="AF17" i="14"/>
  <c r="AF81" i="14" s="1"/>
  <c r="AG44" i="12"/>
  <c r="AG33" i="14"/>
  <c r="AF36" i="19" s="1"/>
  <c r="AE17" i="12"/>
  <c r="AH83" i="14"/>
  <c r="AF214" i="14"/>
  <c r="AF224" i="14" s="1"/>
  <c r="AC34" i="54"/>
  <c r="BJ52" i="51"/>
  <c r="BL25" i="51"/>
  <c r="AR178" i="12"/>
  <c r="AR179" i="12" s="1"/>
  <c r="BL39" i="51"/>
  <c r="AE37" i="54" s="1"/>
  <c r="AH43" i="12"/>
  <c r="AH122" i="12" s="1"/>
  <c r="AG49" i="12"/>
  <c r="AG45" i="12" s="1"/>
  <c r="AE36" i="20"/>
  <c r="AF39" i="12"/>
  <c r="AF92" i="12"/>
  <c r="AF215" i="12"/>
  <c r="AH38" i="12"/>
  <c r="AG25" i="51"/>
  <c r="AF33" i="53" s="1"/>
  <c r="AO178" i="12"/>
  <c r="AO179" i="12" s="1"/>
  <c r="AG44" i="51"/>
  <c r="AG15" i="51"/>
  <c r="AG43" i="51" s="1"/>
  <c r="AG39" i="51"/>
  <c r="AF37" i="53" s="1"/>
  <c r="AH14" i="14"/>
  <c r="BM29" i="51"/>
  <c r="AF35" i="54" s="1"/>
  <c r="AH34" i="12"/>
  <c r="BK43" i="51"/>
  <c r="BK17" i="51"/>
  <c r="AG215" i="12"/>
  <c r="AG92" i="12"/>
  <c r="AH21" i="51"/>
  <c r="AH25" i="51" s="1"/>
  <c r="BL59" i="51"/>
  <c r="AG39" i="12"/>
  <c r="AG39" i="14"/>
  <c r="AG92" i="14"/>
  <c r="AE81" i="12"/>
  <c r="AE19" i="12"/>
  <c r="BM59" i="51"/>
  <c r="BL65" i="51"/>
  <c r="AF40" i="19"/>
  <c r="AG71" i="14"/>
  <c r="AG70" i="14"/>
  <c r="AF40" i="20"/>
  <c r="AG220" i="12"/>
  <c r="AG38" i="20"/>
  <c r="AH48" i="12"/>
  <c r="AH44" i="12"/>
  <c r="D173" i="12"/>
  <c r="AH29" i="51"/>
  <c r="AB88" i="14"/>
  <c r="AC223" i="12"/>
  <c r="AC221" i="12"/>
  <c r="AE67" i="12"/>
  <c r="AA88" i="14"/>
  <c r="AN178" i="12"/>
  <c r="AH29" i="14"/>
  <c r="AG15" i="12"/>
  <c r="AF46" i="12"/>
  <c r="AG15" i="14"/>
  <c r="AH37" i="51"/>
  <c r="AH38" i="51"/>
  <c r="AG48" i="51"/>
  <c r="AG46" i="12"/>
  <c r="AE33" i="54"/>
  <c r="BL48" i="51"/>
  <c r="AD37" i="14"/>
  <c r="AC89" i="12"/>
  <c r="AC22" i="12"/>
  <c r="BM24" i="51"/>
  <c r="AH14" i="51"/>
  <c r="AH13" i="51"/>
  <c r="AC221" i="14"/>
  <c r="AC223" i="14"/>
  <c r="AC22" i="14"/>
  <c r="AC89" i="14"/>
  <c r="AE69" i="14"/>
  <c r="BM14" i="51"/>
  <c r="BM13" i="51"/>
  <c r="AN182" i="12"/>
  <c r="AO173" i="14"/>
  <c r="AE35" i="14"/>
  <c r="AG46" i="14"/>
  <c r="AB86" i="12"/>
  <c r="AB23" i="12"/>
  <c r="AH32" i="12"/>
  <c r="AH83" i="12"/>
  <c r="AN186" i="12"/>
  <c r="AC21" i="12"/>
  <c r="AC90" i="12"/>
  <c r="AH34" i="14"/>
  <c r="BN36" i="51"/>
  <c r="BN12" i="51"/>
  <c r="AG82" i="14"/>
  <c r="AH15" i="14"/>
  <c r="AC21" i="14"/>
  <c r="AC90" i="14"/>
  <c r="BM37" i="51"/>
  <c r="BM38" i="51"/>
  <c r="AO182" i="12"/>
  <c r="AO174" i="14"/>
  <c r="AG35" i="12"/>
  <c r="AF43" i="51"/>
  <c r="AF17" i="51"/>
  <c r="AF35" i="14"/>
  <c r="AB87" i="12"/>
  <c r="AD34" i="53"/>
  <c r="AE52" i="51"/>
  <c r="AH14" i="12"/>
  <c r="AC85" i="12"/>
  <c r="AQ178" i="12"/>
  <c r="AQ179" i="12" s="1"/>
  <c r="AH32" i="14"/>
  <c r="AD33" i="54"/>
  <c r="BK48" i="51"/>
  <c r="AH24" i="51"/>
  <c r="AH64" i="14"/>
  <c r="AH63" i="14"/>
  <c r="AC85" i="14"/>
  <c r="AH43" i="14"/>
  <c r="AG45" i="14"/>
  <c r="AF68" i="14"/>
  <c r="AE81" i="14"/>
  <c r="AE19" i="14"/>
  <c r="AH36" i="12"/>
  <c r="AH64" i="12"/>
  <c r="AH63" i="12"/>
  <c r="AL194" i="12"/>
  <c r="AM194" i="12"/>
  <c r="AL215" i="12"/>
  <c r="AF45" i="12"/>
  <c r="AO173" i="12"/>
  <c r="AN183" i="12"/>
  <c r="AE33" i="53"/>
  <c r="AF48" i="51"/>
  <c r="AF68" i="12"/>
  <c r="AF67" i="14"/>
  <c r="AG36" i="14"/>
  <c r="AC37" i="19"/>
  <c r="AD102" i="14"/>
  <c r="AD20" i="14"/>
  <c r="AD25" i="14"/>
  <c r="AD24" i="14"/>
  <c r="AD217" i="14"/>
  <c r="AF47" i="14"/>
  <c r="AH38" i="14"/>
  <c r="BN20" i="51"/>
  <c r="BN22" i="51"/>
  <c r="BN19" i="51"/>
  <c r="BN23" i="51"/>
  <c r="BL15" i="51"/>
  <c r="AG17" i="51"/>
  <c r="AO174" i="12"/>
  <c r="AO183" i="12"/>
  <c r="AC37" i="20"/>
  <c r="AD20" i="12"/>
  <c r="AD25" i="12"/>
  <c r="AD24" i="12"/>
  <c r="AD102" i="12"/>
  <c r="AD217" i="12"/>
  <c r="AF67" i="12"/>
  <c r="BN27" i="51"/>
  <c r="BN28" i="51"/>
  <c r="AD213" i="14"/>
  <c r="AD84" i="14"/>
  <c r="AF17" i="12"/>
  <c r="AH29" i="12"/>
  <c r="AN179" i="12"/>
  <c r="AC168" i="12"/>
  <c r="AC167" i="12"/>
  <c r="AE68" i="12"/>
  <c r="AE37" i="12"/>
  <c r="AD213" i="12"/>
  <c r="AD84" i="12"/>
  <c r="AH49" i="12" l="1"/>
  <c r="AG66" i="14"/>
  <c r="AG215" i="14"/>
  <c r="AH82" i="12"/>
  <c r="AP218" i="12" s="1"/>
  <c r="AH216" i="12"/>
  <c r="AN206" i="12"/>
  <c r="AG65" i="51"/>
  <c r="AP182" i="12"/>
  <c r="AG220" i="14"/>
  <c r="AG66" i="12"/>
  <c r="AG134" i="12"/>
  <c r="AG70" i="12"/>
  <c r="AF19" i="14"/>
  <c r="BM39" i="51"/>
  <c r="AF37" i="54" s="1"/>
  <c r="AF35" i="12"/>
  <c r="AN174" i="14"/>
  <c r="AG16" i="12"/>
  <c r="AG17" i="12" s="1"/>
  <c r="BK46" i="51"/>
  <c r="AF46" i="51"/>
  <c r="AH15" i="51"/>
  <c r="BN29" i="51"/>
  <c r="AG214" i="14"/>
  <c r="AG224" i="14" s="1"/>
  <c r="BM15" i="51"/>
  <c r="AF36" i="20"/>
  <c r="AG46" i="51"/>
  <c r="BM25" i="51"/>
  <c r="AP178" i="12"/>
  <c r="CH6" i="51"/>
  <c r="CF5" i="51"/>
  <c r="CH5" i="51"/>
  <c r="AD34" i="54"/>
  <c r="BK52" i="51"/>
  <c r="AF33" i="54"/>
  <c r="BM48" i="51"/>
  <c r="AD223" i="12"/>
  <c r="AD221" i="12"/>
  <c r="BN24" i="51"/>
  <c r="AG38" i="19"/>
  <c r="AH49" i="14"/>
  <c r="AH122" i="14"/>
  <c r="AH48" i="14"/>
  <c r="AH44" i="14"/>
  <c r="AH216" i="14"/>
  <c r="D173" i="14"/>
  <c r="AG47" i="12"/>
  <c r="AC87" i="14"/>
  <c r="AC87" i="12"/>
  <c r="AE69" i="12"/>
  <c r="AD37" i="20"/>
  <c r="AE20" i="12"/>
  <c r="AE25" i="12"/>
  <c r="AE24" i="12"/>
  <c r="AE102" i="12"/>
  <c r="AE217" i="12"/>
  <c r="BN59" i="51"/>
  <c r="AH214" i="12"/>
  <c r="AH224" i="12" s="1"/>
  <c r="AD37" i="19"/>
  <c r="AE24" i="14"/>
  <c r="AE102" i="14"/>
  <c r="AE20" i="14"/>
  <c r="AE25" i="14"/>
  <c r="AE217" i="14"/>
  <c r="BN14" i="51"/>
  <c r="BN13" i="51"/>
  <c r="AN218" i="12"/>
  <c r="AH39" i="51"/>
  <c r="AE37" i="19"/>
  <c r="AF25" i="14"/>
  <c r="AF24" i="14"/>
  <c r="AF102" i="14"/>
  <c r="AF20" i="14"/>
  <c r="AF217" i="14"/>
  <c r="AE213" i="12"/>
  <c r="AE84" i="12"/>
  <c r="AD22" i="12"/>
  <c r="AD89" i="12"/>
  <c r="AR173" i="12"/>
  <c r="AE213" i="14"/>
  <c r="AE84" i="14"/>
  <c r="AN194" i="12"/>
  <c r="AR173" i="14"/>
  <c r="BN37" i="51"/>
  <c r="BN38" i="51"/>
  <c r="BM43" i="51"/>
  <c r="AN173" i="14"/>
  <c r="AH33" i="14"/>
  <c r="AF213" i="14"/>
  <c r="AF84" i="14"/>
  <c r="AN173" i="12"/>
  <c r="AH33" i="12"/>
  <c r="AD21" i="12"/>
  <c r="AD90" i="12"/>
  <c r="AD22" i="14"/>
  <c r="AD89" i="14"/>
  <c r="AR174" i="12"/>
  <c r="AO194" i="12"/>
  <c r="AO195" i="12" s="1"/>
  <c r="AR174" i="14"/>
  <c r="AF37" i="14"/>
  <c r="AN174" i="12"/>
  <c r="CE5" i="51"/>
  <c r="AH43" i="51"/>
  <c r="AG68" i="14"/>
  <c r="AF34" i="53"/>
  <c r="AG52" i="51"/>
  <c r="AG33" i="53"/>
  <c r="AH48" i="51"/>
  <c r="AF81" i="12"/>
  <c r="AF19" i="12"/>
  <c r="AD85" i="12"/>
  <c r="BL43" i="51"/>
  <c r="BL17" i="51"/>
  <c r="AD21" i="14"/>
  <c r="AD90" i="14"/>
  <c r="AF69" i="14"/>
  <c r="AH65" i="12"/>
  <c r="AH65" i="14"/>
  <c r="AH15" i="12"/>
  <c r="AE34" i="53"/>
  <c r="AF52" i="51"/>
  <c r="AC86" i="14"/>
  <c r="AC23" i="14"/>
  <c r="AB88" i="12"/>
  <c r="AH17" i="51"/>
  <c r="AG68" i="12"/>
  <c r="AG67" i="14"/>
  <c r="AH36" i="14"/>
  <c r="AD85" i="14"/>
  <c r="CF6" i="51"/>
  <c r="AH44" i="51"/>
  <c r="AH82" i="14"/>
  <c r="AO186" i="12"/>
  <c r="AE37" i="14"/>
  <c r="AG16" i="14"/>
  <c r="AG35" i="53"/>
  <c r="AH59" i="51"/>
  <c r="AH46" i="12"/>
  <c r="AG67" i="12"/>
  <c r="AG37" i="12"/>
  <c r="AG35" i="14"/>
  <c r="AD168" i="12"/>
  <c r="AD167" i="12"/>
  <c r="AD221" i="14"/>
  <c r="AD223" i="14"/>
  <c r="AF69" i="12"/>
  <c r="BN21" i="51"/>
  <c r="AF47" i="12"/>
  <c r="AG47" i="14"/>
  <c r="AH16" i="14"/>
  <c r="AC86" i="12"/>
  <c r="AC23" i="12"/>
  <c r="BM44" i="51"/>
  <c r="AH45" i="12"/>
  <c r="BM65" i="51" l="1"/>
  <c r="BN25" i="51"/>
  <c r="CE12" i="51"/>
  <c r="AF37" i="12"/>
  <c r="BL46" i="51"/>
  <c r="AG17" i="14"/>
  <c r="AG81" i="14" s="1"/>
  <c r="AH16" i="12"/>
  <c r="AG35" i="54"/>
  <c r="BM17" i="51"/>
  <c r="AP186" i="12"/>
  <c r="BN39" i="51"/>
  <c r="AH17" i="14"/>
  <c r="AC88" i="12"/>
  <c r="CD11" i="51"/>
  <c r="AH46" i="51"/>
  <c r="AF85" i="14"/>
  <c r="AG37" i="53"/>
  <c r="AH65" i="51"/>
  <c r="BN15" i="51"/>
  <c r="AH46" i="14"/>
  <c r="AH81" i="14"/>
  <c r="AN198" i="14" s="1"/>
  <c r="AO198" i="14" s="1"/>
  <c r="AP173" i="14"/>
  <c r="AH19" i="14"/>
  <c r="AC88" i="14"/>
  <c r="AG40" i="19"/>
  <c r="AH66" i="14"/>
  <c r="AH71" i="14"/>
  <c r="AH70" i="14"/>
  <c r="D175" i="14"/>
  <c r="AH134" i="14"/>
  <c r="AH220" i="14"/>
  <c r="D177" i="14"/>
  <c r="AE34" i="54"/>
  <c r="BL52" i="51"/>
  <c r="AD86" i="12"/>
  <c r="AD23" i="12"/>
  <c r="AE22" i="12"/>
  <c r="AE89" i="12"/>
  <c r="AG81" i="12"/>
  <c r="AG19" i="12"/>
  <c r="AH214" i="14"/>
  <c r="AH224" i="14" s="1"/>
  <c r="AG36" i="20"/>
  <c r="AH39" i="12"/>
  <c r="AH92" i="12"/>
  <c r="D172" i="12"/>
  <c r="AN202" i="12"/>
  <c r="AH215" i="12"/>
  <c r="D176" i="12"/>
  <c r="AG36" i="19"/>
  <c r="AH39" i="14"/>
  <c r="AH92" i="14"/>
  <c r="AH215" i="14"/>
  <c r="D176" i="14"/>
  <c r="D172" i="14"/>
  <c r="AE21" i="12"/>
  <c r="AE90" i="12"/>
  <c r="AH45" i="14"/>
  <c r="AG33" i="54"/>
  <c r="BN48" i="51"/>
  <c r="AG37" i="14"/>
  <c r="AG40" i="20"/>
  <c r="AH66" i="12"/>
  <c r="AH71" i="12"/>
  <c r="AH70" i="12"/>
  <c r="AH134" i="12"/>
  <c r="D177" i="12"/>
  <c r="AH220" i="12"/>
  <c r="AN215" i="12"/>
  <c r="D175" i="12"/>
  <c r="AF22" i="14"/>
  <c r="AF89" i="14"/>
  <c r="AE21" i="14"/>
  <c r="AE90" i="14"/>
  <c r="AE85" i="12"/>
  <c r="AH47" i="12"/>
  <c r="AG34" i="53"/>
  <c r="AH52" i="51"/>
  <c r="AE223" i="14"/>
  <c r="AE221" i="14"/>
  <c r="AD87" i="12"/>
  <c r="AF21" i="14"/>
  <c r="AF90" i="14"/>
  <c r="AE85" i="14"/>
  <c r="AE37" i="20"/>
  <c r="AF24" i="12"/>
  <c r="AF102" i="12"/>
  <c r="AF20" i="12"/>
  <c r="AF25" i="12"/>
  <c r="AF217" i="12"/>
  <c r="BM46" i="51"/>
  <c r="AE168" i="12"/>
  <c r="AE167" i="12"/>
  <c r="BN44" i="51"/>
  <c r="AF213" i="12"/>
  <c r="AF84" i="12"/>
  <c r="AD87" i="14"/>
  <c r="AF223" i="14"/>
  <c r="AF221" i="14"/>
  <c r="AE221" i="12"/>
  <c r="AE223" i="12"/>
  <c r="AG69" i="12"/>
  <c r="AG69" i="14"/>
  <c r="AH17" i="12"/>
  <c r="AO187" i="12"/>
  <c r="AD86" i="14"/>
  <c r="AD23" i="14"/>
  <c r="AN195" i="12"/>
  <c r="AP194" i="12" s="1"/>
  <c r="AE22" i="14"/>
  <c r="AE89" i="14"/>
  <c r="AG19" i="14" l="1"/>
  <c r="AP187" i="12"/>
  <c r="AQ186" i="12"/>
  <c r="AS186" i="12" s="1"/>
  <c r="AG37" i="54"/>
  <c r="AF34" i="54"/>
  <c r="BM52" i="51"/>
  <c r="BN65" i="51"/>
  <c r="AD88" i="14"/>
  <c r="AE86" i="12"/>
  <c r="AE23" i="12"/>
  <c r="AG213" i="12"/>
  <c r="AG84" i="12"/>
  <c r="AH68" i="14"/>
  <c r="AG37" i="19"/>
  <c r="AH25" i="14"/>
  <c r="AH24" i="14"/>
  <c r="AH102" i="14"/>
  <c r="AH20" i="14"/>
  <c r="D174" i="14"/>
  <c r="AH217" i="14"/>
  <c r="AF21" i="12"/>
  <c r="AF90" i="12"/>
  <c r="D180" i="14"/>
  <c r="C172" i="14" s="1"/>
  <c r="AH67" i="14"/>
  <c r="AF85" i="12"/>
  <c r="AH213" i="14"/>
  <c r="AH84" i="14"/>
  <c r="AF87" i="14"/>
  <c r="AH68" i="12"/>
  <c r="AE87" i="12"/>
  <c r="AH81" i="12"/>
  <c r="AP173" i="12"/>
  <c r="AH19" i="12"/>
  <c r="AF168" i="12"/>
  <c r="AF167" i="12"/>
  <c r="AH67" i="12"/>
  <c r="AE87" i="14"/>
  <c r="AF221" i="12"/>
  <c r="AF223" i="12"/>
  <c r="AF22" i="12"/>
  <c r="AF89" i="12"/>
  <c r="AH47" i="14"/>
  <c r="AH35" i="14"/>
  <c r="AD88" i="12"/>
  <c r="AF86" i="14"/>
  <c r="AF23" i="14"/>
  <c r="AH35" i="12"/>
  <c r="AF37" i="19"/>
  <c r="AG25" i="14"/>
  <c r="AG24" i="14"/>
  <c r="AG102" i="14"/>
  <c r="AG20" i="14"/>
  <c r="AG217" i="14"/>
  <c r="AE86" i="14"/>
  <c r="AE23" i="14"/>
  <c r="AF37" i="20"/>
  <c r="AG25" i="12"/>
  <c r="AG24" i="12"/>
  <c r="AG102" i="12"/>
  <c r="AG20" i="12"/>
  <c r="AG217" i="12"/>
  <c r="BN43" i="51"/>
  <c r="BN17" i="51"/>
  <c r="AG213" i="14"/>
  <c r="AG84" i="14"/>
  <c r="BN46" i="51" l="1"/>
  <c r="AT172" i="14"/>
  <c r="C176" i="14"/>
  <c r="C177" i="14"/>
  <c r="C175" i="14"/>
  <c r="C187" i="14" s="1"/>
  <c r="D195" i="14" s="1"/>
  <c r="AF87" i="12"/>
  <c r="AG37" i="20"/>
  <c r="AH25" i="12"/>
  <c r="AH24" i="12"/>
  <c r="AH102" i="12"/>
  <c r="AH20" i="12"/>
  <c r="AH217" i="12"/>
  <c r="AN209" i="12"/>
  <c r="D174" i="12"/>
  <c r="AF86" i="12"/>
  <c r="AF23" i="12"/>
  <c r="AH89" i="14"/>
  <c r="AH22" i="14"/>
  <c r="AE88" i="12"/>
  <c r="AF88" i="14"/>
  <c r="AH69" i="14"/>
  <c r="AH90" i="14"/>
  <c r="AH21" i="14"/>
  <c r="AG89" i="14"/>
  <c r="AG22" i="14"/>
  <c r="AE88" i="14"/>
  <c r="AG21" i="14"/>
  <c r="AG90" i="14"/>
  <c r="AH37" i="14"/>
  <c r="AH69" i="12"/>
  <c r="AO218" i="12"/>
  <c r="AH213" i="12"/>
  <c r="AH84" i="12"/>
  <c r="AN198" i="12"/>
  <c r="AO198" i="12" s="1"/>
  <c r="C183" i="14"/>
  <c r="C178" i="14"/>
  <c r="C179" i="14"/>
  <c r="C189" i="14" s="1"/>
  <c r="D193" i="14" s="1"/>
  <c r="C173" i="14"/>
  <c r="C184" i="14" s="1"/>
  <c r="D198" i="14" s="1"/>
  <c r="C174" i="14"/>
  <c r="C185" i="14" s="1"/>
  <c r="D197" i="14" s="1"/>
  <c r="AH85" i="14"/>
  <c r="AG168" i="12"/>
  <c r="AG167" i="12"/>
  <c r="AG85" i="12"/>
  <c r="AG223" i="14"/>
  <c r="AG221" i="14"/>
  <c r="AG22" i="12"/>
  <c r="AG89" i="12"/>
  <c r="AG223" i="12"/>
  <c r="AG221" i="12"/>
  <c r="AG34" i="54"/>
  <c r="BN52" i="51"/>
  <c r="AG21" i="12"/>
  <c r="AG90" i="12"/>
  <c r="AG85" i="14"/>
  <c r="AH37" i="12"/>
  <c r="AH223" i="14"/>
  <c r="AH221" i="14"/>
  <c r="C180" i="14" l="1"/>
  <c r="D199" i="14"/>
  <c r="AF88" i="12"/>
  <c r="AH89" i="12"/>
  <c r="AH22" i="12"/>
  <c r="AG87" i="14"/>
  <c r="AH21" i="12"/>
  <c r="AH90" i="12"/>
  <c r="AG87" i="12"/>
  <c r="AK271" i="12"/>
  <c r="AT172" i="12"/>
  <c r="AH168" i="12"/>
  <c r="AH167" i="12"/>
  <c r="D180" i="12"/>
  <c r="AH86" i="14"/>
  <c r="AH23" i="14"/>
  <c r="AG86" i="12"/>
  <c r="AG23" i="12"/>
  <c r="AH223" i="12"/>
  <c r="AH221" i="12"/>
  <c r="AG86" i="14"/>
  <c r="AG23" i="14"/>
  <c r="AH87" i="14"/>
  <c r="AH85" i="12"/>
  <c r="AH88" i="14" l="1"/>
  <c r="C178" i="12"/>
  <c r="C179" i="12"/>
  <c r="C189" i="12" s="1"/>
  <c r="D193" i="12" s="1"/>
  <c r="C173" i="12"/>
  <c r="C184" i="12" s="1"/>
  <c r="D198" i="12" s="1"/>
  <c r="C176" i="12"/>
  <c r="C177" i="12"/>
  <c r="C175" i="12"/>
  <c r="C187" i="12" s="1"/>
  <c r="D195" i="12" s="1"/>
  <c r="C172" i="12"/>
  <c r="AG88" i="14"/>
  <c r="AG88" i="12"/>
  <c r="C174" i="12"/>
  <c r="C185" i="12" s="1"/>
  <c r="D197" i="12" s="1"/>
  <c r="AH87" i="12"/>
  <c r="AH86" i="12"/>
  <c r="AH23" i="12"/>
  <c r="AH88" i="12" l="1"/>
  <c r="C186" i="12"/>
  <c r="D196" i="12" s="1"/>
  <c r="C186" i="14"/>
  <c r="C183" i="12"/>
  <c r="C180" i="12"/>
  <c r="D196" i="14" l="1"/>
  <c r="C188" i="14"/>
  <c r="D194" i="14" s="1"/>
  <c r="D200" i="14" s="1"/>
  <c r="D199" i="12"/>
  <c r="C188" i="12"/>
  <c r="D194" i="12" s="1"/>
  <c r="D200" i="12" s="1"/>
  <c r="C190" i="12" l="1"/>
  <c r="C190" i="14"/>
  <c r="S19" i="7"/>
  <c r="T19" i="7" s="1"/>
  <c r="D227" i="12" l="1"/>
  <c r="C22" i="27"/>
  <c r="C21" i="27"/>
  <c r="B31" i="27"/>
  <c r="B39" i="27" s="1"/>
  <c r="C24" i="27"/>
  <c r="C8" i="28" s="1"/>
  <c r="C15" i="28" s="1"/>
  <c r="C19" i="27"/>
  <c r="C6" i="19" s="1"/>
  <c r="C18" i="27"/>
  <c r="C4" i="19" s="1"/>
  <c r="B25" i="27"/>
  <c r="C20" i="27"/>
  <c r="C5" i="20" s="1"/>
  <c r="C12" i="20" s="1"/>
  <c r="C4" i="53" l="1"/>
  <c r="D4" i="53" s="1"/>
  <c r="C5" i="53"/>
  <c r="C12" i="53" s="1"/>
  <c r="C4" i="20"/>
  <c r="C11" i="20" s="1"/>
  <c r="C4" i="29"/>
  <c r="D4" i="29" s="1"/>
  <c r="C4" i="46"/>
  <c r="C13" i="19"/>
  <c r="D6" i="19"/>
  <c r="D5" i="20"/>
  <c r="D11" i="53"/>
  <c r="E4" i="53"/>
  <c r="D5" i="53"/>
  <c r="D11" i="29"/>
  <c r="E4" i="29"/>
  <c r="D4" i="20"/>
  <c r="C11" i="19"/>
  <c r="D4" i="19"/>
  <c r="C30" i="27"/>
  <c r="C5" i="28"/>
  <c r="C5" i="19"/>
  <c r="C5" i="29"/>
  <c r="C5" i="42"/>
  <c r="C5" i="48"/>
  <c r="C32" i="27"/>
  <c r="C8" i="42"/>
  <c r="C8" i="54"/>
  <c r="C8" i="20"/>
  <c r="C8" i="29"/>
  <c r="C8" i="38"/>
  <c r="C8" i="46"/>
  <c r="C8" i="48"/>
  <c r="C8" i="19"/>
  <c r="C8" i="53"/>
  <c r="C5" i="46"/>
  <c r="C4" i="28"/>
  <c r="C5" i="54"/>
  <c r="C29" i="27"/>
  <c r="C6" i="29"/>
  <c r="C6" i="28"/>
  <c r="C6" i="20"/>
  <c r="C6" i="42"/>
  <c r="C6" i="48"/>
  <c r="C6" i="54"/>
  <c r="C6" i="46"/>
  <c r="C6" i="38"/>
  <c r="C9" i="29"/>
  <c r="C11" i="53"/>
  <c r="C11" i="29"/>
  <c r="C28" i="27"/>
  <c r="C25" i="27"/>
  <c r="C4" i="42"/>
  <c r="C5" i="38"/>
  <c r="C4" i="54"/>
  <c r="D8" i="28"/>
  <c r="C4" i="38"/>
  <c r="C4" i="48"/>
  <c r="C6" i="53"/>
  <c r="C9" i="53" s="1"/>
  <c r="B41" i="27"/>
  <c r="C39" i="27" s="1"/>
  <c r="B33" i="27"/>
  <c r="C9" i="46" l="1"/>
  <c r="C33" i="27"/>
  <c r="C11" i="46"/>
  <c r="D4" i="46"/>
  <c r="D15" i="28"/>
  <c r="E8" i="28"/>
  <c r="C13" i="42"/>
  <c r="D6" i="42"/>
  <c r="C12" i="46"/>
  <c r="D5" i="46"/>
  <c r="C15" i="54"/>
  <c r="D8" i="54"/>
  <c r="F4" i="53"/>
  <c r="E11" i="53"/>
  <c r="C95" i="29"/>
  <c r="C13" i="20"/>
  <c r="D6" i="20"/>
  <c r="C15" i="53"/>
  <c r="D8" i="53"/>
  <c r="C15" i="42"/>
  <c r="D8" i="42"/>
  <c r="E11" i="29"/>
  <c r="F4" i="29"/>
  <c r="C13" i="28"/>
  <c r="D6" i="28"/>
  <c r="C15" i="19"/>
  <c r="D8" i="19"/>
  <c r="C13" i="29"/>
  <c r="D6" i="29"/>
  <c r="C15" i="48"/>
  <c r="D8" i="48"/>
  <c r="C12" i="48"/>
  <c r="D5" i="48"/>
  <c r="D12" i="20"/>
  <c r="E5" i="20"/>
  <c r="C13" i="53"/>
  <c r="C16" i="53" s="1"/>
  <c r="D6" i="53"/>
  <c r="C9" i="54"/>
  <c r="C11" i="54"/>
  <c r="D4" i="54"/>
  <c r="C13" i="38"/>
  <c r="D6" i="38"/>
  <c r="C15" i="46"/>
  <c r="D8" i="46"/>
  <c r="C12" i="42"/>
  <c r="D5" i="42"/>
  <c r="D11" i="19"/>
  <c r="E4" i="19"/>
  <c r="C9" i="20"/>
  <c r="D13" i="19"/>
  <c r="E6" i="19"/>
  <c r="C12" i="38"/>
  <c r="D5" i="38"/>
  <c r="C13" i="46"/>
  <c r="D6" i="46"/>
  <c r="C12" i="54"/>
  <c r="D5" i="54"/>
  <c r="C15" i="38"/>
  <c r="D8" i="38"/>
  <c r="C12" i="29"/>
  <c r="D5" i="29"/>
  <c r="D12" i="53"/>
  <c r="E5" i="53"/>
  <c r="C11" i="48"/>
  <c r="C9" i="48"/>
  <c r="D4" i="48"/>
  <c r="C9" i="42"/>
  <c r="C11" i="42"/>
  <c r="D4" i="42"/>
  <c r="C13" i="54"/>
  <c r="D6" i="54"/>
  <c r="D8" i="29"/>
  <c r="C15" i="29"/>
  <c r="C12" i="19"/>
  <c r="C16" i="19" s="1"/>
  <c r="D5" i="19"/>
  <c r="D9" i="19" s="1"/>
  <c r="C9" i="19"/>
  <c r="C38" i="27"/>
  <c r="C40" i="27"/>
  <c r="C37" i="27"/>
  <c r="C36" i="27"/>
  <c r="C9" i="38"/>
  <c r="C11" i="38"/>
  <c r="D4" i="38"/>
  <c r="C13" i="48"/>
  <c r="D6" i="48"/>
  <c r="C9" i="28"/>
  <c r="C11" i="28"/>
  <c r="D4" i="28"/>
  <c r="C15" i="20"/>
  <c r="D8" i="20"/>
  <c r="D9" i="20" s="1"/>
  <c r="C12" i="28"/>
  <c r="D5" i="28"/>
  <c r="D11" i="20"/>
  <c r="E4" i="20"/>
  <c r="C16" i="29" l="1"/>
  <c r="C41" i="27"/>
  <c r="E4" i="46"/>
  <c r="D11" i="46"/>
  <c r="D15" i="29"/>
  <c r="E8" i="29"/>
  <c r="D13" i="46"/>
  <c r="E6" i="46"/>
  <c r="E11" i="19"/>
  <c r="F4" i="19"/>
  <c r="D12" i="48"/>
  <c r="E5" i="48"/>
  <c r="C16" i="28"/>
  <c r="C115" i="28" s="1"/>
  <c r="D9" i="48"/>
  <c r="D11" i="48"/>
  <c r="E4" i="48"/>
  <c r="D9" i="54"/>
  <c r="D11" i="54"/>
  <c r="E4" i="54"/>
  <c r="D12" i="46"/>
  <c r="E5" i="46"/>
  <c r="D9" i="46"/>
  <c r="D12" i="29"/>
  <c r="E5" i="29"/>
  <c r="D9" i="29"/>
  <c r="D12" i="38"/>
  <c r="E5" i="38"/>
  <c r="C16" i="54"/>
  <c r="D15" i="48"/>
  <c r="E8" i="48"/>
  <c r="D15" i="42"/>
  <c r="E8" i="42"/>
  <c r="C16" i="46"/>
  <c r="C272" i="46" s="1"/>
  <c r="E11" i="20"/>
  <c r="F4" i="20"/>
  <c r="C16" i="48"/>
  <c r="C272" i="48" s="1"/>
  <c r="D12" i="42"/>
  <c r="E5" i="42"/>
  <c r="D13" i="42"/>
  <c r="E6" i="42"/>
  <c r="D12" i="28"/>
  <c r="E5" i="28"/>
  <c r="D13" i="54"/>
  <c r="E6" i="54"/>
  <c r="D15" i="38"/>
  <c r="E8" i="38"/>
  <c r="D13" i="53"/>
  <c r="E6" i="53"/>
  <c r="D13" i="29"/>
  <c r="E6" i="29"/>
  <c r="D15" i="19"/>
  <c r="E8" i="19"/>
  <c r="F11" i="29"/>
  <c r="G4" i="29"/>
  <c r="D15" i="53"/>
  <c r="E8" i="53"/>
  <c r="D9" i="28"/>
  <c r="D11" i="28"/>
  <c r="E4" i="28"/>
  <c r="D13" i="48"/>
  <c r="E6" i="48"/>
  <c r="D9" i="38"/>
  <c r="D11" i="38"/>
  <c r="E4" i="38"/>
  <c r="D12" i="19"/>
  <c r="E5" i="19"/>
  <c r="E12" i="53"/>
  <c r="F5" i="53"/>
  <c r="E13" i="19"/>
  <c r="F6" i="19"/>
  <c r="D15" i="46"/>
  <c r="E8" i="46"/>
  <c r="G4" i="53"/>
  <c r="F11" i="53"/>
  <c r="E15" i="28"/>
  <c r="F8" i="28"/>
  <c r="D15" i="20"/>
  <c r="E8" i="20"/>
  <c r="C16" i="38"/>
  <c r="C244" i="38" s="1"/>
  <c r="D9" i="42"/>
  <c r="D11" i="42"/>
  <c r="E4" i="42"/>
  <c r="D12" i="54"/>
  <c r="E5" i="54"/>
  <c r="E12" i="20"/>
  <c r="F5" i="20"/>
  <c r="D13" i="28"/>
  <c r="E6" i="28"/>
  <c r="D13" i="20"/>
  <c r="E6" i="20"/>
  <c r="C16" i="42"/>
  <c r="C244" i="42" s="1"/>
  <c r="D13" i="38"/>
  <c r="E6" i="38"/>
  <c r="C16" i="20"/>
  <c r="C219" i="20" s="1"/>
  <c r="D15" i="54"/>
  <c r="E8" i="54"/>
  <c r="D9" i="53"/>
  <c r="E9" i="53" l="1"/>
  <c r="E9" i="20"/>
  <c r="D16" i="19"/>
  <c r="E11" i="46"/>
  <c r="F4" i="46"/>
  <c r="E15" i="46"/>
  <c r="F8" i="46"/>
  <c r="E12" i="19"/>
  <c r="F5" i="19"/>
  <c r="D16" i="28"/>
  <c r="D115" i="28" s="1"/>
  <c r="G4" i="19"/>
  <c r="F11" i="19"/>
  <c r="E13" i="28"/>
  <c r="F6" i="28"/>
  <c r="E15" i="38"/>
  <c r="F8" i="38"/>
  <c r="D16" i="20"/>
  <c r="D219" i="20" s="1"/>
  <c r="F5" i="46"/>
  <c r="E12" i="46"/>
  <c r="E9" i="46"/>
  <c r="E9" i="42"/>
  <c r="E11" i="42"/>
  <c r="F4" i="42"/>
  <c r="F13" i="19"/>
  <c r="G6" i="19"/>
  <c r="E9" i="38"/>
  <c r="E11" i="38"/>
  <c r="F4" i="38"/>
  <c r="E15" i="19"/>
  <c r="F8" i="19"/>
  <c r="D16" i="46"/>
  <c r="D272" i="46" s="1"/>
  <c r="E9" i="19"/>
  <c r="E15" i="54"/>
  <c r="F8" i="54"/>
  <c r="F12" i="20"/>
  <c r="G5" i="20"/>
  <c r="D16" i="42"/>
  <c r="D244" i="42" s="1"/>
  <c r="D16" i="38"/>
  <c r="D244" i="38" s="1"/>
  <c r="E13" i="54"/>
  <c r="F6" i="54"/>
  <c r="E13" i="42"/>
  <c r="F6" i="42"/>
  <c r="F5" i="38"/>
  <c r="E12" i="38"/>
  <c r="E9" i="48"/>
  <c r="F4" i="48"/>
  <c r="E11" i="48"/>
  <c r="E13" i="46"/>
  <c r="F6" i="46"/>
  <c r="E13" i="38"/>
  <c r="F6" i="38"/>
  <c r="F15" i="28"/>
  <c r="G8" i="28"/>
  <c r="E13" i="29"/>
  <c r="F6" i="29"/>
  <c r="E9" i="54"/>
  <c r="E11" i="54"/>
  <c r="F4" i="54"/>
  <c r="D16" i="48"/>
  <c r="D272" i="48" s="1"/>
  <c r="E15" i="20"/>
  <c r="F8" i="20"/>
  <c r="F12" i="53"/>
  <c r="G5" i="53"/>
  <c r="E13" i="48"/>
  <c r="F6" i="48"/>
  <c r="E15" i="53"/>
  <c r="F8" i="53"/>
  <c r="E15" i="42"/>
  <c r="F8" i="42"/>
  <c r="D16" i="54"/>
  <c r="E12" i="48"/>
  <c r="F5" i="48"/>
  <c r="E15" i="29"/>
  <c r="F8" i="29"/>
  <c r="E13" i="53"/>
  <c r="F6" i="53"/>
  <c r="E12" i="28"/>
  <c r="F5" i="28"/>
  <c r="F11" i="20"/>
  <c r="G4" i="20"/>
  <c r="E12" i="29"/>
  <c r="F5" i="29"/>
  <c r="E9" i="29"/>
  <c r="L26" i="33"/>
  <c r="E13" i="20"/>
  <c r="E16" i="20" s="1"/>
  <c r="E219" i="20" s="1"/>
  <c r="F6" i="20"/>
  <c r="E12" i="54"/>
  <c r="F5" i="54"/>
  <c r="H4" i="53"/>
  <c r="G11" i="53"/>
  <c r="E9" i="28"/>
  <c r="E11" i="28"/>
  <c r="F4" i="28"/>
  <c r="G11" i="29"/>
  <c r="H4" i="29"/>
  <c r="E12" i="42"/>
  <c r="F5" i="42"/>
  <c r="E15" i="48"/>
  <c r="F8" i="48"/>
  <c r="D16" i="29"/>
  <c r="D16" i="53"/>
  <c r="E16" i="19" l="1"/>
  <c r="F9" i="19"/>
  <c r="F11" i="46"/>
  <c r="G4" i="46"/>
  <c r="F12" i="28"/>
  <c r="G5" i="28"/>
  <c r="F9" i="54"/>
  <c r="F11" i="54"/>
  <c r="G4" i="54"/>
  <c r="G15" i="28"/>
  <c r="H8" i="28"/>
  <c r="G6" i="54"/>
  <c r="F13" i="54"/>
  <c r="F9" i="38"/>
  <c r="F11" i="38"/>
  <c r="G4" i="38"/>
  <c r="G11" i="19"/>
  <c r="H4" i="19"/>
  <c r="H11" i="53"/>
  <c r="I4" i="53"/>
  <c r="F15" i="29"/>
  <c r="G8" i="29"/>
  <c r="E16" i="54"/>
  <c r="E16" i="48"/>
  <c r="E272" i="48" s="1"/>
  <c r="E16" i="38"/>
  <c r="E244" i="38" s="1"/>
  <c r="F15" i="38"/>
  <c r="G8" i="38"/>
  <c r="F12" i="29"/>
  <c r="G5" i="29"/>
  <c r="F9" i="29"/>
  <c r="F13" i="53"/>
  <c r="G6" i="53"/>
  <c r="F9" i="53"/>
  <c r="F15" i="53"/>
  <c r="G8" i="53"/>
  <c r="F15" i="20"/>
  <c r="G8" i="20"/>
  <c r="F9" i="48"/>
  <c r="F11" i="48"/>
  <c r="G4" i="48"/>
  <c r="G12" i="20"/>
  <c r="H5" i="20"/>
  <c r="F12" i="19"/>
  <c r="G5" i="19"/>
  <c r="G8" i="48"/>
  <c r="F15" i="48"/>
  <c r="H11" i="29"/>
  <c r="I4" i="29"/>
  <c r="F12" i="54"/>
  <c r="G5" i="54"/>
  <c r="E16" i="29"/>
  <c r="E16" i="53"/>
  <c r="F12" i="48"/>
  <c r="G5" i="48"/>
  <c r="F13" i="38"/>
  <c r="G6" i="38"/>
  <c r="G13" i="19"/>
  <c r="H6" i="19"/>
  <c r="F13" i="48"/>
  <c r="G6" i="48"/>
  <c r="F15" i="46"/>
  <c r="G8" i="46"/>
  <c r="F9" i="28"/>
  <c r="F11" i="28"/>
  <c r="G4" i="28"/>
  <c r="F13" i="20"/>
  <c r="G6" i="20"/>
  <c r="G11" i="20"/>
  <c r="H4" i="20"/>
  <c r="F12" i="38"/>
  <c r="G5" i="38"/>
  <c r="F13" i="28"/>
  <c r="G6" i="28"/>
  <c r="F12" i="42"/>
  <c r="G5" i="42"/>
  <c r="E16" i="28"/>
  <c r="E115" i="28" s="1"/>
  <c r="G12" i="53"/>
  <c r="H5" i="53"/>
  <c r="F13" i="29"/>
  <c r="G6" i="29"/>
  <c r="F13" i="42"/>
  <c r="G6" i="42"/>
  <c r="F15" i="54"/>
  <c r="G8" i="54"/>
  <c r="F15" i="19"/>
  <c r="G8" i="19"/>
  <c r="F9" i="42"/>
  <c r="F11" i="42"/>
  <c r="G4" i="42"/>
  <c r="E16" i="46"/>
  <c r="E272" i="46"/>
  <c r="F9" i="20"/>
  <c r="F15" i="42"/>
  <c r="G8" i="42"/>
  <c r="F13" i="46"/>
  <c r="G6" i="46"/>
  <c r="E16" i="42"/>
  <c r="E244" i="42" s="1"/>
  <c r="G5" i="46"/>
  <c r="F12" i="46"/>
  <c r="F9" i="46"/>
  <c r="G9" i="20" l="1"/>
  <c r="F16" i="19"/>
  <c r="G9" i="19"/>
  <c r="H4" i="46"/>
  <c r="G11" i="46"/>
  <c r="I5" i="53"/>
  <c r="H12" i="53"/>
  <c r="I11" i="29"/>
  <c r="J4" i="29"/>
  <c r="G15" i="53"/>
  <c r="H8" i="53"/>
  <c r="F16" i="29"/>
  <c r="G12" i="42"/>
  <c r="H5" i="42"/>
  <c r="G9" i="28"/>
  <c r="G11" i="28"/>
  <c r="H4" i="28"/>
  <c r="G13" i="48"/>
  <c r="H6" i="48"/>
  <c r="G13" i="38"/>
  <c r="H6" i="38"/>
  <c r="H12" i="20"/>
  <c r="I5" i="20"/>
  <c r="G15" i="38"/>
  <c r="H8" i="38"/>
  <c r="H6" i="54"/>
  <c r="G13" i="54"/>
  <c r="G12" i="28"/>
  <c r="H5" i="28"/>
  <c r="F16" i="28"/>
  <c r="F115" i="28" s="1"/>
  <c r="H11" i="19"/>
  <c r="I4" i="19"/>
  <c r="G13" i="42"/>
  <c r="H6" i="42"/>
  <c r="F16" i="20"/>
  <c r="G12" i="54"/>
  <c r="H5" i="54"/>
  <c r="G9" i="48"/>
  <c r="G11" i="48"/>
  <c r="H4" i="48"/>
  <c r="H15" i="28"/>
  <c r="I8" i="28"/>
  <c r="G15" i="42"/>
  <c r="H8" i="42"/>
  <c r="F16" i="46"/>
  <c r="F272" i="46" s="1"/>
  <c r="G13" i="46"/>
  <c r="H6" i="46"/>
  <c r="G9" i="42"/>
  <c r="G11" i="42"/>
  <c r="H4" i="42"/>
  <c r="F219" i="20"/>
  <c r="G13" i="28"/>
  <c r="H6" i="28"/>
  <c r="H11" i="20"/>
  <c r="I4" i="20"/>
  <c r="G15" i="46"/>
  <c r="H8" i="46"/>
  <c r="F16" i="48"/>
  <c r="F272" i="48" s="1"/>
  <c r="G13" i="53"/>
  <c r="H6" i="53"/>
  <c r="G9" i="53"/>
  <c r="G15" i="54"/>
  <c r="H8" i="54"/>
  <c r="F16" i="42"/>
  <c r="F244" i="42" s="1"/>
  <c r="H5" i="48"/>
  <c r="G12" i="48"/>
  <c r="G15" i="48"/>
  <c r="H8" i="48"/>
  <c r="F16" i="53"/>
  <c r="G15" i="29"/>
  <c r="H8" i="29"/>
  <c r="G9" i="38"/>
  <c r="G11" i="38"/>
  <c r="H4" i="38"/>
  <c r="G9" i="54"/>
  <c r="G11" i="54"/>
  <c r="H4" i="54"/>
  <c r="H5" i="46"/>
  <c r="G12" i="46"/>
  <c r="G9" i="46"/>
  <c r="G13" i="29"/>
  <c r="H6" i="29"/>
  <c r="G12" i="38"/>
  <c r="H5" i="38"/>
  <c r="H13" i="19"/>
  <c r="I6" i="19"/>
  <c r="G12" i="19"/>
  <c r="G16" i="19" s="1"/>
  <c r="H5" i="19"/>
  <c r="G15" i="20"/>
  <c r="H8" i="20"/>
  <c r="F16" i="38"/>
  <c r="F244" i="38" s="1"/>
  <c r="F16" i="54"/>
  <c r="G15" i="19"/>
  <c r="H8" i="19"/>
  <c r="G13" i="20"/>
  <c r="H6" i="20"/>
  <c r="G12" i="29"/>
  <c r="H5" i="29"/>
  <c r="G9" i="29"/>
  <c r="I11" i="53"/>
  <c r="J4" i="53"/>
  <c r="H9" i="19" l="1"/>
  <c r="G16" i="53"/>
  <c r="H11" i="46"/>
  <c r="I4" i="46"/>
  <c r="H9" i="20"/>
  <c r="G16" i="20"/>
  <c r="G219" i="20" s="1"/>
  <c r="H13" i="29"/>
  <c r="I6" i="29"/>
  <c r="H9" i="38"/>
  <c r="H11" i="38"/>
  <c r="I4" i="38"/>
  <c r="H13" i="53"/>
  <c r="I6" i="53"/>
  <c r="H9" i="42"/>
  <c r="H11" i="42"/>
  <c r="I4" i="42"/>
  <c r="H13" i="42"/>
  <c r="I6" i="42"/>
  <c r="H15" i="38"/>
  <c r="I8" i="38"/>
  <c r="H13" i="38"/>
  <c r="I6" i="38"/>
  <c r="I11" i="20"/>
  <c r="J4" i="20"/>
  <c r="G16" i="42"/>
  <c r="G244" i="42" s="1"/>
  <c r="J11" i="29"/>
  <c r="K4" i="29"/>
  <c r="H12" i="19"/>
  <c r="I5" i="19"/>
  <c r="H12" i="48"/>
  <c r="I5" i="48"/>
  <c r="H9" i="48"/>
  <c r="H11" i="48"/>
  <c r="I4" i="48"/>
  <c r="H13" i="48"/>
  <c r="I6" i="48"/>
  <c r="G16" i="46"/>
  <c r="G272" i="46" s="1"/>
  <c r="H15" i="29"/>
  <c r="I8" i="29"/>
  <c r="H15" i="42"/>
  <c r="I8" i="42"/>
  <c r="G16" i="48"/>
  <c r="G272" i="48" s="1"/>
  <c r="H12" i="28"/>
  <c r="I5" i="28"/>
  <c r="I12" i="20"/>
  <c r="J5" i="20"/>
  <c r="I13" i="19"/>
  <c r="J6" i="19"/>
  <c r="H12" i="46"/>
  <c r="I5" i="46"/>
  <c r="H9" i="46"/>
  <c r="I8" i="54"/>
  <c r="H15" i="54"/>
  <c r="H13" i="28"/>
  <c r="I6" i="28"/>
  <c r="H9" i="28"/>
  <c r="H11" i="28"/>
  <c r="I4" i="28"/>
  <c r="I15" i="28"/>
  <c r="J8" i="28"/>
  <c r="H12" i="54"/>
  <c r="I5" i="54"/>
  <c r="G16" i="28"/>
  <c r="G115" i="28" s="1"/>
  <c r="G16" i="38"/>
  <c r="G244" i="38" s="1"/>
  <c r="H13" i="20"/>
  <c r="I6" i="20"/>
  <c r="H12" i="38"/>
  <c r="I5" i="38"/>
  <c r="G16" i="54"/>
  <c r="H13" i="46"/>
  <c r="I6" i="46"/>
  <c r="H13" i="54"/>
  <c r="I6" i="54"/>
  <c r="I12" i="53"/>
  <c r="J5" i="53"/>
  <c r="K4" i="53"/>
  <c r="J11" i="53"/>
  <c r="H9" i="54"/>
  <c r="H11" i="54"/>
  <c r="I4" i="54"/>
  <c r="H12" i="29"/>
  <c r="I5" i="29"/>
  <c r="H9" i="29"/>
  <c r="G16" i="29"/>
  <c r="H15" i="19"/>
  <c r="I8" i="19"/>
  <c r="H15" i="20"/>
  <c r="I8" i="20"/>
  <c r="H15" i="48"/>
  <c r="I8" i="48"/>
  <c r="H15" i="46"/>
  <c r="I8" i="46"/>
  <c r="I11" i="19"/>
  <c r="J4" i="19"/>
  <c r="H9" i="53"/>
  <c r="H12" i="42"/>
  <c r="I5" i="42"/>
  <c r="H15" i="53"/>
  <c r="I8" i="53"/>
  <c r="I9" i="19" l="1"/>
  <c r="I11" i="46"/>
  <c r="J4" i="46"/>
  <c r="I15" i="48"/>
  <c r="J8" i="48"/>
  <c r="I13" i="20"/>
  <c r="J6" i="20"/>
  <c r="I13" i="28"/>
  <c r="J6" i="28"/>
  <c r="J13" i="19"/>
  <c r="K6" i="19"/>
  <c r="H16" i="48"/>
  <c r="H272" i="48" s="1"/>
  <c r="I12" i="19"/>
  <c r="J5" i="19"/>
  <c r="I13" i="42"/>
  <c r="J6" i="42"/>
  <c r="I13" i="38"/>
  <c r="J6" i="38"/>
  <c r="I9" i="38"/>
  <c r="I11" i="38"/>
  <c r="J4" i="38"/>
  <c r="K4" i="19"/>
  <c r="J11" i="19"/>
  <c r="I12" i="29"/>
  <c r="J5" i="29"/>
  <c r="I9" i="29"/>
  <c r="I12" i="54"/>
  <c r="J5" i="54"/>
  <c r="I9" i="28"/>
  <c r="I11" i="28"/>
  <c r="J4" i="28"/>
  <c r="I13" i="48"/>
  <c r="J6" i="48"/>
  <c r="K11" i="29"/>
  <c r="L4" i="29"/>
  <c r="I9" i="42"/>
  <c r="J4" i="42"/>
  <c r="I11" i="42"/>
  <c r="H16" i="38"/>
  <c r="H244" i="38" s="1"/>
  <c r="J12" i="53"/>
  <c r="K5" i="53"/>
  <c r="H16" i="28"/>
  <c r="H115" i="28" s="1"/>
  <c r="I15" i="54"/>
  <c r="J8" i="54"/>
  <c r="J12" i="20"/>
  <c r="K5" i="20"/>
  <c r="J11" i="20"/>
  <c r="K4" i="20"/>
  <c r="I15" i="38"/>
  <c r="J8" i="38"/>
  <c r="H16" i="42"/>
  <c r="H244" i="42" s="1"/>
  <c r="H16" i="29"/>
  <c r="J15" i="28"/>
  <c r="K8" i="28"/>
  <c r="H16" i="20"/>
  <c r="H219" i="20" s="1"/>
  <c r="I13" i="29"/>
  <c r="J6" i="29"/>
  <c r="L4" i="53"/>
  <c r="K11" i="53"/>
  <c r="I9" i="54"/>
  <c r="I11" i="54"/>
  <c r="J4" i="54"/>
  <c r="I15" i="53"/>
  <c r="J8" i="53"/>
  <c r="I15" i="19"/>
  <c r="J8" i="19"/>
  <c r="H16" i="54"/>
  <c r="I13" i="54"/>
  <c r="J6" i="54"/>
  <c r="I12" i="38"/>
  <c r="J5" i="38"/>
  <c r="I12" i="28"/>
  <c r="J5" i="28"/>
  <c r="I15" i="42"/>
  <c r="J8" i="42"/>
  <c r="I12" i="48"/>
  <c r="J5" i="48"/>
  <c r="I9" i="20"/>
  <c r="J8" i="46"/>
  <c r="I15" i="46"/>
  <c r="I12" i="46"/>
  <c r="J5" i="46"/>
  <c r="I9" i="46"/>
  <c r="I13" i="53"/>
  <c r="J6" i="53"/>
  <c r="I9" i="53"/>
  <c r="I13" i="46"/>
  <c r="J6" i="46"/>
  <c r="I15" i="20"/>
  <c r="J8" i="20"/>
  <c r="I12" i="42"/>
  <c r="J5" i="42"/>
  <c r="H16" i="46"/>
  <c r="H272" i="46" s="1"/>
  <c r="I15" i="29"/>
  <c r="J8" i="29"/>
  <c r="I9" i="48"/>
  <c r="J4" i="48"/>
  <c r="I11" i="48"/>
  <c r="H16" i="19"/>
  <c r="H16" i="53"/>
  <c r="J9" i="19" l="1"/>
  <c r="I16" i="19"/>
  <c r="J9" i="20"/>
  <c r="K4" i="46"/>
  <c r="J11" i="46"/>
  <c r="J12" i="46"/>
  <c r="K5" i="46"/>
  <c r="J9" i="46"/>
  <c r="J15" i="42"/>
  <c r="K8" i="42"/>
  <c r="I16" i="54"/>
  <c r="I16" i="28"/>
  <c r="I115" i="28" s="1"/>
  <c r="I16" i="46"/>
  <c r="I272" i="46" s="1"/>
  <c r="J13" i="29"/>
  <c r="K6" i="29"/>
  <c r="J15" i="54"/>
  <c r="K8" i="54"/>
  <c r="L11" i="29"/>
  <c r="M4" i="29"/>
  <c r="K11" i="19"/>
  <c r="L4" i="19"/>
  <c r="J13" i="20"/>
  <c r="K6" i="20"/>
  <c r="I16" i="48"/>
  <c r="I272" i="48" s="1"/>
  <c r="K6" i="53"/>
  <c r="J13" i="53"/>
  <c r="J12" i="48"/>
  <c r="K5" i="48"/>
  <c r="J12" i="28"/>
  <c r="K5" i="28"/>
  <c r="J12" i="54"/>
  <c r="K5" i="54"/>
  <c r="J15" i="19"/>
  <c r="K8" i="19"/>
  <c r="J9" i="38"/>
  <c r="J11" i="38"/>
  <c r="K4" i="38"/>
  <c r="J9" i="48"/>
  <c r="J11" i="48"/>
  <c r="K4" i="48"/>
  <c r="K15" i="28"/>
  <c r="L8" i="28"/>
  <c r="J13" i="48"/>
  <c r="K6" i="48"/>
  <c r="I16" i="38"/>
  <c r="I244" i="38" s="1"/>
  <c r="J12" i="42"/>
  <c r="K5" i="42"/>
  <c r="J12" i="38"/>
  <c r="K5" i="38"/>
  <c r="J15" i="53"/>
  <c r="K8" i="53"/>
  <c r="J15" i="38"/>
  <c r="K8" i="38"/>
  <c r="I16" i="42"/>
  <c r="I244" i="42"/>
  <c r="J13" i="42"/>
  <c r="K6" i="42"/>
  <c r="K13" i="19"/>
  <c r="L6" i="19"/>
  <c r="J15" i="48"/>
  <c r="K8" i="48"/>
  <c r="J15" i="29"/>
  <c r="K8" i="29"/>
  <c r="J15" i="20"/>
  <c r="K8" i="20"/>
  <c r="J15" i="46"/>
  <c r="K8" i="46"/>
  <c r="I16" i="20"/>
  <c r="I219" i="20" s="1"/>
  <c r="J9" i="42"/>
  <c r="J11" i="42"/>
  <c r="K4" i="42"/>
  <c r="J12" i="29"/>
  <c r="K5" i="29"/>
  <c r="J9" i="29"/>
  <c r="J13" i="46"/>
  <c r="K6" i="46"/>
  <c r="I16" i="53"/>
  <c r="J13" i="54"/>
  <c r="K6" i="54"/>
  <c r="J9" i="54"/>
  <c r="J11" i="54"/>
  <c r="K4" i="54"/>
  <c r="M4" i="53"/>
  <c r="L11" i="53"/>
  <c r="K11" i="20"/>
  <c r="L4" i="20"/>
  <c r="K12" i="20"/>
  <c r="L5" i="20"/>
  <c r="K12" i="53"/>
  <c r="L5" i="53"/>
  <c r="J9" i="28"/>
  <c r="J11" i="28"/>
  <c r="K4" i="28"/>
  <c r="I16" i="29"/>
  <c r="J13" i="38"/>
  <c r="K6" i="38"/>
  <c r="J12" i="19"/>
  <c r="J16" i="19" s="1"/>
  <c r="K5" i="19"/>
  <c r="J13" i="28"/>
  <c r="K6" i="28"/>
  <c r="J9" i="53"/>
  <c r="K9" i="20" l="1"/>
  <c r="J16" i="53"/>
  <c r="J16" i="20"/>
  <c r="K11" i="46"/>
  <c r="L4" i="46"/>
  <c r="L12" i="20"/>
  <c r="M5" i="20"/>
  <c r="K9" i="54"/>
  <c r="K11" i="54"/>
  <c r="L4" i="54"/>
  <c r="J16" i="29"/>
  <c r="K12" i="38"/>
  <c r="L5" i="38"/>
  <c r="K13" i="48"/>
  <c r="L6" i="48"/>
  <c r="M11" i="29"/>
  <c r="N4" i="29"/>
  <c r="K13" i="29"/>
  <c r="L6" i="29"/>
  <c r="K15" i="48"/>
  <c r="L8" i="48"/>
  <c r="K9" i="38"/>
  <c r="K11" i="38"/>
  <c r="L4" i="38"/>
  <c r="J16" i="42"/>
  <c r="J244" i="42" s="1"/>
  <c r="K15" i="46"/>
  <c r="L8" i="46"/>
  <c r="K12" i="42"/>
  <c r="L5" i="42"/>
  <c r="L15" i="28"/>
  <c r="M8" i="28"/>
  <c r="J16" i="38"/>
  <c r="J244" i="38" s="1"/>
  <c r="K12" i="28"/>
  <c r="L5" i="28"/>
  <c r="J219" i="20"/>
  <c r="K15" i="42"/>
  <c r="L8" i="42"/>
  <c r="L11" i="20"/>
  <c r="M4" i="20"/>
  <c r="K13" i="28"/>
  <c r="L6" i="28"/>
  <c r="K9" i="28"/>
  <c r="K11" i="28"/>
  <c r="L4" i="28"/>
  <c r="K13" i="54"/>
  <c r="L6" i="54"/>
  <c r="L13" i="19"/>
  <c r="M6" i="19"/>
  <c r="K15" i="38"/>
  <c r="L8" i="38"/>
  <c r="K12" i="54"/>
  <c r="L5" i="54"/>
  <c r="K13" i="20"/>
  <c r="L6" i="20"/>
  <c r="K15" i="54"/>
  <c r="L8" i="54"/>
  <c r="K12" i="48"/>
  <c r="L5" i="48"/>
  <c r="K9" i="42"/>
  <c r="K11" i="42"/>
  <c r="L4" i="42"/>
  <c r="J16" i="28"/>
  <c r="J115" i="28" s="1"/>
  <c r="K12" i="19"/>
  <c r="L5" i="19"/>
  <c r="K15" i="20"/>
  <c r="L8" i="20"/>
  <c r="K13" i="42"/>
  <c r="L6" i="42"/>
  <c r="K15" i="19"/>
  <c r="L8" i="19"/>
  <c r="L11" i="19"/>
  <c r="M4" i="19"/>
  <c r="K12" i="46"/>
  <c r="L5" i="46"/>
  <c r="K9" i="46"/>
  <c r="J16" i="54"/>
  <c r="L12" i="53"/>
  <c r="M5" i="53"/>
  <c r="M11" i="53"/>
  <c r="N4" i="53"/>
  <c r="K13" i="46"/>
  <c r="L6" i="46"/>
  <c r="K15" i="53"/>
  <c r="L8" i="53"/>
  <c r="K9" i="48"/>
  <c r="L4" i="48"/>
  <c r="K11" i="48"/>
  <c r="J16" i="46"/>
  <c r="J272" i="46" s="1"/>
  <c r="K13" i="38"/>
  <c r="L6" i="38"/>
  <c r="K12" i="29"/>
  <c r="L5" i="29"/>
  <c r="K9" i="29"/>
  <c r="K15" i="29"/>
  <c r="L8" i="29"/>
  <c r="J16" i="48"/>
  <c r="J272" i="48" s="1"/>
  <c r="K13" i="53"/>
  <c r="L6" i="53"/>
  <c r="K9" i="53"/>
  <c r="K9" i="19"/>
  <c r="L9" i="53" l="1"/>
  <c r="K16" i="19"/>
  <c r="M4" i="46"/>
  <c r="L11" i="46"/>
  <c r="L12" i="46"/>
  <c r="M5" i="46"/>
  <c r="L9" i="46"/>
  <c r="K16" i="42"/>
  <c r="K244" i="42" s="1"/>
  <c r="L13" i="20"/>
  <c r="M6" i="20"/>
  <c r="L9" i="20"/>
  <c r="K16" i="38"/>
  <c r="K244" i="38" s="1"/>
  <c r="N11" i="29"/>
  <c r="O4" i="29"/>
  <c r="K16" i="46"/>
  <c r="K272" i="46" s="1"/>
  <c r="L15" i="19"/>
  <c r="L16" i="19" s="1"/>
  <c r="M8" i="19"/>
  <c r="L12" i="19"/>
  <c r="M5" i="19"/>
  <c r="M13" i="19"/>
  <c r="N6" i="19"/>
  <c r="L9" i="28"/>
  <c r="L11" i="28"/>
  <c r="M4" i="28"/>
  <c r="L15" i="42"/>
  <c r="M8" i="42"/>
  <c r="M15" i="28"/>
  <c r="N8" i="28"/>
  <c r="L15" i="29"/>
  <c r="M8" i="29"/>
  <c r="M12" i="53"/>
  <c r="N5" i="53"/>
  <c r="K16" i="28"/>
  <c r="K115" i="28" s="1"/>
  <c r="L9" i="54"/>
  <c r="L11" i="54"/>
  <c r="M4" i="54"/>
  <c r="L15" i="53"/>
  <c r="M8" i="53"/>
  <c r="L13" i="38"/>
  <c r="M6" i="38"/>
  <c r="L13" i="42"/>
  <c r="M6" i="42"/>
  <c r="L12" i="54"/>
  <c r="M5" i="54"/>
  <c r="M5" i="42"/>
  <c r="L12" i="42"/>
  <c r="L13" i="48"/>
  <c r="M6" i="48"/>
  <c r="K16" i="54"/>
  <c r="L13" i="54"/>
  <c r="M6" i="54"/>
  <c r="L13" i="28"/>
  <c r="M6" i="28"/>
  <c r="L12" i="28"/>
  <c r="M5" i="28"/>
  <c r="L15" i="48"/>
  <c r="M8" i="48"/>
  <c r="L13" i="46"/>
  <c r="M6" i="46"/>
  <c r="M11" i="19"/>
  <c r="N4" i="19"/>
  <c r="L15" i="20"/>
  <c r="M8" i="20"/>
  <c r="M9" i="20" s="1"/>
  <c r="L12" i="38"/>
  <c r="M5" i="38"/>
  <c r="M12" i="20"/>
  <c r="N5" i="20"/>
  <c r="K16" i="53"/>
  <c r="K16" i="48"/>
  <c r="K272" i="48" s="1"/>
  <c r="L15" i="54"/>
  <c r="M8" i="54"/>
  <c r="M11" i="20"/>
  <c r="N4" i="20"/>
  <c r="L15" i="46"/>
  <c r="M8" i="46"/>
  <c r="L13" i="29"/>
  <c r="M6" i="29"/>
  <c r="L13" i="53"/>
  <c r="M6" i="53"/>
  <c r="L12" i="29"/>
  <c r="M5" i="29"/>
  <c r="L9" i="29"/>
  <c r="K16" i="29"/>
  <c r="L9" i="48"/>
  <c r="L11" i="48"/>
  <c r="M4" i="48"/>
  <c r="N11" i="53"/>
  <c r="O4" i="53"/>
  <c r="L9" i="19"/>
  <c r="L9" i="42"/>
  <c r="L11" i="42"/>
  <c r="M4" i="42"/>
  <c r="L12" i="48"/>
  <c r="M5" i="48"/>
  <c r="L15" i="38"/>
  <c r="M8" i="38"/>
  <c r="K16" i="20"/>
  <c r="K219" i="20" s="1"/>
  <c r="L9" i="38"/>
  <c r="L11" i="38"/>
  <c r="M4" i="38"/>
  <c r="M9" i="19" l="1"/>
  <c r="L16" i="20"/>
  <c r="L219" i="20" s="1"/>
  <c r="M11" i="46"/>
  <c r="N4" i="46"/>
  <c r="L16" i="42"/>
  <c r="L244" i="42" s="1"/>
  <c r="M12" i="28"/>
  <c r="N5" i="28"/>
  <c r="M12" i="54"/>
  <c r="N5" i="54"/>
  <c r="M13" i="38"/>
  <c r="N6" i="38"/>
  <c r="M13" i="46"/>
  <c r="N6" i="46"/>
  <c r="N13" i="19"/>
  <c r="O6" i="19"/>
  <c r="M13" i="29"/>
  <c r="N6" i="29"/>
  <c r="M13" i="28"/>
  <c r="N6" i="28"/>
  <c r="M15" i="53"/>
  <c r="N8" i="53"/>
  <c r="N12" i="53"/>
  <c r="O5" i="53"/>
  <c r="N15" i="28"/>
  <c r="O8" i="28"/>
  <c r="M12" i="46"/>
  <c r="N5" i="46"/>
  <c r="M9" i="46"/>
  <c r="L16" i="38"/>
  <c r="L244" i="38" s="1"/>
  <c r="O11" i="29"/>
  <c r="P4" i="29"/>
  <c r="M13" i="20"/>
  <c r="M16" i="20" s="1"/>
  <c r="M219" i="20" s="1"/>
  <c r="N6" i="20"/>
  <c r="L16" i="46"/>
  <c r="L272" i="46" s="1"/>
  <c r="M12" i="29"/>
  <c r="N5" i="29"/>
  <c r="M9" i="29"/>
  <c r="M15" i="46"/>
  <c r="N8" i="46"/>
  <c r="N12" i="20"/>
  <c r="O5" i="20"/>
  <c r="M15" i="20"/>
  <c r="N8" i="20"/>
  <c r="M13" i="54"/>
  <c r="N6" i="54"/>
  <c r="M13" i="48"/>
  <c r="N6" i="48"/>
  <c r="M9" i="54"/>
  <c r="M11" i="54"/>
  <c r="N4" i="54"/>
  <c r="M15" i="42"/>
  <c r="N8" i="42"/>
  <c r="M12" i="19"/>
  <c r="N5" i="19"/>
  <c r="M15" i="54"/>
  <c r="N8" i="54"/>
  <c r="L16" i="29"/>
  <c r="M15" i="48"/>
  <c r="N8" i="48"/>
  <c r="M13" i="42"/>
  <c r="N6" i="42"/>
  <c r="L16" i="54"/>
  <c r="M15" i="29"/>
  <c r="N8" i="29"/>
  <c r="M9" i="38"/>
  <c r="M11" i="38"/>
  <c r="N4" i="38"/>
  <c r="M9" i="48"/>
  <c r="M11" i="48"/>
  <c r="N4" i="48"/>
  <c r="M13" i="53"/>
  <c r="N6" i="53"/>
  <c r="M9" i="53"/>
  <c r="N11" i="20"/>
  <c r="O4" i="20"/>
  <c r="M12" i="38"/>
  <c r="N5" i="38"/>
  <c r="N11" i="19"/>
  <c r="O4" i="19"/>
  <c r="M9" i="28"/>
  <c r="M11" i="28"/>
  <c r="N4" i="28"/>
  <c r="M15" i="19"/>
  <c r="N8" i="19"/>
  <c r="M15" i="38"/>
  <c r="N8" i="38"/>
  <c r="O11" i="53"/>
  <c r="P4" i="53"/>
  <c r="M12" i="48"/>
  <c r="N5" i="48"/>
  <c r="M9" i="42"/>
  <c r="M11" i="42"/>
  <c r="N4" i="42"/>
  <c r="L16" i="48"/>
  <c r="L272" i="48" s="1"/>
  <c r="N5" i="42"/>
  <c r="M12" i="42"/>
  <c r="L16" i="28"/>
  <c r="L115" i="28" s="1"/>
  <c r="L16" i="53"/>
  <c r="N9" i="20" l="1"/>
  <c r="N11" i="46"/>
  <c r="O4" i="46"/>
  <c r="N15" i="19"/>
  <c r="O8" i="19"/>
  <c r="O9" i="19" s="1"/>
  <c r="M16" i="48"/>
  <c r="M272" i="48" s="1"/>
  <c r="N13" i="42"/>
  <c r="O6" i="42"/>
  <c r="N13" i="48"/>
  <c r="O6" i="48"/>
  <c r="N15" i="46"/>
  <c r="O8" i="46"/>
  <c r="N15" i="53"/>
  <c r="O8" i="53"/>
  <c r="O13" i="19"/>
  <c r="P6" i="19"/>
  <c r="N12" i="19"/>
  <c r="O5" i="19"/>
  <c r="O5" i="46"/>
  <c r="N12" i="46"/>
  <c r="N9" i="46"/>
  <c r="N12" i="54"/>
  <c r="O5" i="54"/>
  <c r="N9" i="28"/>
  <c r="N11" i="28"/>
  <c r="O4" i="28"/>
  <c r="N13" i="54"/>
  <c r="O6" i="54"/>
  <c r="M16" i="46"/>
  <c r="M272" i="46" s="1"/>
  <c r="O6" i="28"/>
  <c r="N13" i="28"/>
  <c r="N12" i="42"/>
  <c r="O5" i="42"/>
  <c r="P11" i="53"/>
  <c r="Q4" i="53"/>
  <c r="M16" i="28"/>
  <c r="M115" i="28"/>
  <c r="N9" i="38"/>
  <c r="N11" i="38"/>
  <c r="O4" i="38"/>
  <c r="O8" i="54"/>
  <c r="N15" i="54"/>
  <c r="N15" i="42"/>
  <c r="O8" i="42"/>
  <c r="N12" i="29"/>
  <c r="O5" i="29"/>
  <c r="N9" i="29"/>
  <c r="N12" i="28"/>
  <c r="O5" i="28"/>
  <c r="N12" i="48"/>
  <c r="O5" i="48"/>
  <c r="O11" i="19"/>
  <c r="P4" i="19"/>
  <c r="M16" i="38"/>
  <c r="M244" i="38" s="1"/>
  <c r="O8" i="48"/>
  <c r="N15" i="48"/>
  <c r="N15" i="20"/>
  <c r="O8" i="20"/>
  <c r="M16" i="29"/>
  <c r="N13" i="20"/>
  <c r="O6" i="20"/>
  <c r="O15" i="28"/>
  <c r="P8" i="28"/>
  <c r="N16" i="19"/>
  <c r="N13" i="53"/>
  <c r="O6" i="53"/>
  <c r="N9" i="53"/>
  <c r="N9" i="54"/>
  <c r="N11" i="54"/>
  <c r="O4" i="54"/>
  <c r="N13" i="46"/>
  <c r="O6" i="46"/>
  <c r="N15" i="29"/>
  <c r="O8" i="29"/>
  <c r="M16" i="19"/>
  <c r="N9" i="42"/>
  <c r="N11" i="42"/>
  <c r="O4" i="42"/>
  <c r="N15" i="38"/>
  <c r="O8" i="38"/>
  <c r="N9" i="19"/>
  <c r="M16" i="53"/>
  <c r="M16" i="54"/>
  <c r="O12" i="20"/>
  <c r="P5" i="20"/>
  <c r="P11" i="29"/>
  <c r="Q4" i="29"/>
  <c r="O12" i="53"/>
  <c r="P5" i="53"/>
  <c r="N13" i="29"/>
  <c r="O6" i="29"/>
  <c r="O11" i="20"/>
  <c r="P4" i="20"/>
  <c r="M16" i="42"/>
  <c r="M244" i="42" s="1"/>
  <c r="N12" i="38"/>
  <c r="O5" i="38"/>
  <c r="N9" i="48"/>
  <c r="N11" i="48"/>
  <c r="O4" i="48"/>
  <c r="O6" i="38"/>
  <c r="N13" i="38"/>
  <c r="P4" i="46" l="1"/>
  <c r="O11" i="46"/>
  <c r="O13" i="29"/>
  <c r="P6" i="29"/>
  <c r="O9" i="42"/>
  <c r="O11" i="42"/>
  <c r="P4" i="42"/>
  <c r="O13" i="53"/>
  <c r="P6" i="53"/>
  <c r="O9" i="53"/>
  <c r="O13" i="20"/>
  <c r="P6" i="20"/>
  <c r="P11" i="19"/>
  <c r="Q4" i="19"/>
  <c r="P5" i="46"/>
  <c r="O12" i="46"/>
  <c r="O9" i="46"/>
  <c r="P13" i="19"/>
  <c r="Q6" i="19"/>
  <c r="O13" i="42"/>
  <c r="P6" i="42"/>
  <c r="O15" i="48"/>
  <c r="P8" i="48"/>
  <c r="O15" i="54"/>
  <c r="P8" i="54"/>
  <c r="Q5" i="53"/>
  <c r="P12" i="53"/>
  <c r="O12" i="54"/>
  <c r="P5" i="54"/>
  <c r="O15" i="53"/>
  <c r="P8" i="53"/>
  <c r="O9" i="54"/>
  <c r="O11" i="54"/>
  <c r="P4" i="54"/>
  <c r="O12" i="29"/>
  <c r="P5" i="29"/>
  <c r="O9" i="29"/>
  <c r="Q11" i="53"/>
  <c r="R4" i="53"/>
  <c r="O13" i="28"/>
  <c r="P6" i="28"/>
  <c r="O12" i="19"/>
  <c r="P5" i="19"/>
  <c r="N16" i="42"/>
  <c r="N244" i="42" s="1"/>
  <c r="O9" i="48"/>
  <c r="P4" i="48"/>
  <c r="O11" i="48"/>
  <c r="O13" i="38"/>
  <c r="P6" i="38"/>
  <c r="N16" i="48"/>
  <c r="N272" i="48"/>
  <c r="Q4" i="20"/>
  <c r="P11" i="20"/>
  <c r="Q11" i="29"/>
  <c r="R4" i="29"/>
  <c r="O15" i="29"/>
  <c r="P8" i="29"/>
  <c r="N16" i="54"/>
  <c r="O15" i="20"/>
  <c r="P8" i="20"/>
  <c r="N16" i="29"/>
  <c r="N16" i="20"/>
  <c r="N219" i="20" s="1"/>
  <c r="O15" i="46"/>
  <c r="P8" i="46"/>
  <c r="N16" i="53"/>
  <c r="O12" i="48"/>
  <c r="P5" i="48"/>
  <c r="O9" i="38"/>
  <c r="O11" i="38"/>
  <c r="P4" i="38"/>
  <c r="P9" i="53"/>
  <c r="O12" i="38"/>
  <c r="P5" i="38"/>
  <c r="O9" i="20"/>
  <c r="O15" i="38"/>
  <c r="P8" i="38"/>
  <c r="P6" i="46"/>
  <c r="O13" i="46"/>
  <c r="Q8" i="28"/>
  <c r="P15" i="28"/>
  <c r="O15" i="42"/>
  <c r="P8" i="42"/>
  <c r="N16" i="38"/>
  <c r="N244" i="38" s="1"/>
  <c r="O12" i="42"/>
  <c r="P5" i="42"/>
  <c r="O9" i="28"/>
  <c r="P4" i="28"/>
  <c r="O11" i="28"/>
  <c r="O13" i="48"/>
  <c r="P6" i="48"/>
  <c r="O15" i="19"/>
  <c r="P8" i="19"/>
  <c r="P12" i="20"/>
  <c r="Q5" i="20"/>
  <c r="O12" i="28"/>
  <c r="P5" i="28"/>
  <c r="O13" i="54"/>
  <c r="P6" i="54"/>
  <c r="N16" i="28"/>
  <c r="N115" i="28"/>
  <c r="N16" i="46"/>
  <c r="N272" i="46" s="1"/>
  <c r="P11" i="46" l="1"/>
  <c r="Q4" i="46"/>
  <c r="P13" i="54"/>
  <c r="Q6" i="54"/>
  <c r="O16" i="28"/>
  <c r="O115" i="28" s="1"/>
  <c r="Q8" i="42"/>
  <c r="P15" i="42"/>
  <c r="P15" i="20"/>
  <c r="Q8" i="20"/>
  <c r="P12" i="19"/>
  <c r="Q5" i="19"/>
  <c r="P13" i="53"/>
  <c r="Q6" i="53"/>
  <c r="Q12" i="20"/>
  <c r="R5" i="20"/>
  <c r="O16" i="48"/>
  <c r="O272" i="48" s="1"/>
  <c r="Q13" i="19"/>
  <c r="R6" i="19"/>
  <c r="Q11" i="19"/>
  <c r="R4" i="19"/>
  <c r="P12" i="38"/>
  <c r="Q5" i="38"/>
  <c r="Q11" i="20"/>
  <c r="R4" i="20"/>
  <c r="P9" i="48"/>
  <c r="P11" i="48"/>
  <c r="Q4" i="48"/>
  <c r="P15" i="53"/>
  <c r="Q8" i="53"/>
  <c r="P9" i="42"/>
  <c r="P11" i="42"/>
  <c r="Q4" i="42"/>
  <c r="P9" i="38"/>
  <c r="P11" i="38"/>
  <c r="Q4" i="38"/>
  <c r="P9" i="20"/>
  <c r="P13" i="28"/>
  <c r="Q6" i="28"/>
  <c r="Q12" i="53"/>
  <c r="R5" i="53"/>
  <c r="O16" i="19"/>
  <c r="P9" i="19"/>
  <c r="O16" i="42"/>
  <c r="O244" i="42" s="1"/>
  <c r="P12" i="42"/>
  <c r="Q5" i="42"/>
  <c r="P12" i="28"/>
  <c r="Q5" i="28"/>
  <c r="P15" i="19"/>
  <c r="Q8" i="19"/>
  <c r="Q15" i="28"/>
  <c r="R8" i="28"/>
  <c r="O16" i="38"/>
  <c r="O244" i="38" s="1"/>
  <c r="P15" i="29"/>
  <c r="Q8" i="29"/>
  <c r="P12" i="29"/>
  <c r="Q5" i="29"/>
  <c r="P9" i="29"/>
  <c r="P12" i="54"/>
  <c r="Q5" i="54"/>
  <c r="P15" i="48"/>
  <c r="Q8" i="48"/>
  <c r="O16" i="46"/>
  <c r="O272" i="46" s="1"/>
  <c r="S4" i="53"/>
  <c r="R11" i="53"/>
  <c r="O16" i="29"/>
  <c r="P12" i="46"/>
  <c r="Q5" i="46"/>
  <c r="P9" i="46"/>
  <c r="P13" i="20"/>
  <c r="Q6" i="20"/>
  <c r="P13" i="48"/>
  <c r="Q6" i="48"/>
  <c r="P13" i="46"/>
  <c r="Q6" i="46"/>
  <c r="O16" i="20"/>
  <c r="O219" i="20" s="1"/>
  <c r="P12" i="48"/>
  <c r="Q5" i="48"/>
  <c r="R11" i="29"/>
  <c r="S4" i="29"/>
  <c r="P9" i="54"/>
  <c r="P11" i="54"/>
  <c r="Q4" i="54"/>
  <c r="P13" i="29"/>
  <c r="Q6" i="29"/>
  <c r="P9" i="28"/>
  <c r="P11" i="28"/>
  <c r="Q4" i="28"/>
  <c r="P15" i="38"/>
  <c r="Q8" i="38"/>
  <c r="P15" i="46"/>
  <c r="Q8" i="46"/>
  <c r="O16" i="53"/>
  <c r="P13" i="38"/>
  <c r="Q6" i="38"/>
  <c r="O16" i="54"/>
  <c r="P15" i="54"/>
  <c r="Q8" i="54"/>
  <c r="P13" i="42"/>
  <c r="Q6" i="42"/>
  <c r="Q9" i="53" l="1"/>
  <c r="Q11" i="46"/>
  <c r="R4" i="46"/>
  <c r="Q9" i="28"/>
  <c r="Q11" i="28"/>
  <c r="R4" i="28"/>
  <c r="Q13" i="20"/>
  <c r="R6" i="20"/>
  <c r="Q9" i="42"/>
  <c r="Q11" i="42"/>
  <c r="R4" i="42"/>
  <c r="Q15" i="53"/>
  <c r="R8" i="53"/>
  <c r="Q12" i="38"/>
  <c r="R5" i="38"/>
  <c r="Q13" i="46"/>
  <c r="R6" i="46"/>
  <c r="Q15" i="48"/>
  <c r="R8" i="48"/>
  <c r="Q15" i="29"/>
  <c r="R8" i="29"/>
  <c r="Q15" i="19"/>
  <c r="R8" i="19"/>
  <c r="R9" i="19" s="1"/>
  <c r="P16" i="42"/>
  <c r="P244" i="42" s="1"/>
  <c r="R12" i="20"/>
  <c r="S5" i="20"/>
  <c r="S11" i="53"/>
  <c r="T4" i="53"/>
  <c r="Q9" i="38"/>
  <c r="Q11" i="38"/>
  <c r="R4" i="38"/>
  <c r="Q9" i="48"/>
  <c r="Q11" i="48"/>
  <c r="R4" i="48"/>
  <c r="Q12" i="19"/>
  <c r="R5" i="19"/>
  <c r="R8" i="42"/>
  <c r="Q15" i="42"/>
  <c r="Q13" i="42"/>
  <c r="R6" i="42"/>
  <c r="Q13" i="29"/>
  <c r="R6" i="29"/>
  <c r="S11" i="29"/>
  <c r="T4" i="29"/>
  <c r="Q13" i="48"/>
  <c r="R6" i="48"/>
  <c r="Q12" i="46"/>
  <c r="R5" i="46"/>
  <c r="Q9" i="46"/>
  <c r="Q12" i="54"/>
  <c r="R5" i="54"/>
  <c r="Q12" i="28"/>
  <c r="R5" i="28"/>
  <c r="P16" i="38"/>
  <c r="P244" i="38" s="1"/>
  <c r="P16" i="48"/>
  <c r="P272" i="48" s="1"/>
  <c r="Q13" i="53"/>
  <c r="R6" i="53"/>
  <c r="P16" i="28"/>
  <c r="P115" i="28" s="1"/>
  <c r="Q15" i="54"/>
  <c r="R8" i="54"/>
  <c r="R6" i="38"/>
  <c r="Q13" i="38"/>
  <c r="P16" i="46"/>
  <c r="P272" i="46" s="1"/>
  <c r="R12" i="53"/>
  <c r="S5" i="53"/>
  <c r="P16" i="19"/>
  <c r="R11" i="19"/>
  <c r="S4" i="19"/>
  <c r="P16" i="53"/>
  <c r="Q15" i="38"/>
  <c r="R8" i="38"/>
  <c r="Q12" i="42"/>
  <c r="R5" i="42"/>
  <c r="R11" i="20"/>
  <c r="S4" i="20"/>
  <c r="Q15" i="20"/>
  <c r="R8" i="20"/>
  <c r="Q12" i="48"/>
  <c r="R5" i="48"/>
  <c r="Q12" i="29"/>
  <c r="R5" i="29"/>
  <c r="Q9" i="29"/>
  <c r="R15" i="28"/>
  <c r="S8" i="28"/>
  <c r="Q9" i="19"/>
  <c r="R6" i="54"/>
  <c r="Q13" i="54"/>
  <c r="Q15" i="46"/>
  <c r="R8" i="46"/>
  <c r="Q9" i="54"/>
  <c r="Q11" i="54"/>
  <c r="R4" i="54"/>
  <c r="P16" i="54"/>
  <c r="P16" i="29"/>
  <c r="Q13" i="28"/>
  <c r="R6" i="28"/>
  <c r="Q9" i="20"/>
  <c r="R13" i="19"/>
  <c r="S6" i="19"/>
  <c r="P16" i="20"/>
  <c r="P219" i="20" s="1"/>
  <c r="Q16" i="19" l="1"/>
  <c r="R9" i="20"/>
  <c r="S4" i="46"/>
  <c r="R11" i="46"/>
  <c r="R13" i="48"/>
  <c r="S6" i="48"/>
  <c r="R13" i="42"/>
  <c r="S6" i="42"/>
  <c r="Q16" i="48"/>
  <c r="Q272" i="48" s="1"/>
  <c r="U4" i="53"/>
  <c r="T11" i="53"/>
  <c r="R15" i="48"/>
  <c r="S8" i="48"/>
  <c r="Q16" i="42"/>
  <c r="Q244" i="42" s="1"/>
  <c r="S15" i="28"/>
  <c r="T8" i="28"/>
  <c r="R15" i="20"/>
  <c r="S8" i="20"/>
  <c r="S11" i="19"/>
  <c r="T4" i="19"/>
  <c r="R13" i="53"/>
  <c r="S6" i="53"/>
  <c r="R9" i="53"/>
  <c r="R12" i="28"/>
  <c r="S5" i="28"/>
  <c r="Q16" i="54"/>
  <c r="S5" i="42"/>
  <c r="R12" i="42"/>
  <c r="R13" i="38"/>
  <c r="S6" i="38"/>
  <c r="Q16" i="53"/>
  <c r="T11" i="29"/>
  <c r="U4" i="29"/>
  <c r="R9" i="38"/>
  <c r="R11" i="38"/>
  <c r="S4" i="38"/>
  <c r="R15" i="54"/>
  <c r="S8" i="54"/>
  <c r="R12" i="54"/>
  <c r="S5" i="54"/>
  <c r="R15" i="42"/>
  <c r="S8" i="42"/>
  <c r="Q16" i="38"/>
  <c r="Q244" i="38" s="1"/>
  <c r="R12" i="38"/>
  <c r="S5" i="38"/>
  <c r="R13" i="20"/>
  <c r="S6" i="20"/>
  <c r="S9" i="20" s="1"/>
  <c r="R9" i="54"/>
  <c r="R11" i="54"/>
  <c r="S4" i="54"/>
  <c r="S5" i="29"/>
  <c r="R12" i="29"/>
  <c r="R9" i="29"/>
  <c r="S8" i="38"/>
  <c r="R15" i="38"/>
  <c r="R12" i="19"/>
  <c r="S5" i="19"/>
  <c r="R15" i="19"/>
  <c r="S8" i="19"/>
  <c r="R13" i="54"/>
  <c r="S6" i="54"/>
  <c r="Q16" i="29"/>
  <c r="S12" i="53"/>
  <c r="T5" i="53"/>
  <c r="R13" i="29"/>
  <c r="S6" i="29"/>
  <c r="S12" i="20"/>
  <c r="T5" i="20"/>
  <c r="R13" i="46"/>
  <c r="S6" i="46"/>
  <c r="R15" i="53"/>
  <c r="S8" i="53"/>
  <c r="R9" i="28"/>
  <c r="R11" i="28"/>
  <c r="S4" i="28"/>
  <c r="R13" i="28"/>
  <c r="S6" i="28"/>
  <c r="S13" i="19"/>
  <c r="T6" i="19"/>
  <c r="R15" i="46"/>
  <c r="S8" i="46"/>
  <c r="Q16" i="20"/>
  <c r="Q219" i="20" s="1"/>
  <c r="R12" i="48"/>
  <c r="S5" i="48"/>
  <c r="T4" i="20"/>
  <c r="S11" i="20"/>
  <c r="S5" i="46"/>
  <c r="R12" i="46"/>
  <c r="R9" i="46"/>
  <c r="R15" i="29"/>
  <c r="S8" i="29"/>
  <c r="Q16" i="28"/>
  <c r="Q115" i="28" s="1"/>
  <c r="Q16" i="46"/>
  <c r="Q272" i="46" s="1"/>
  <c r="R9" i="48"/>
  <c r="R11" i="48"/>
  <c r="S4" i="48"/>
  <c r="R9" i="42"/>
  <c r="R11" i="42"/>
  <c r="S4" i="42"/>
  <c r="R16" i="20" l="1"/>
  <c r="R219" i="20" s="1"/>
  <c r="S9" i="19"/>
  <c r="R16" i="19"/>
  <c r="S11" i="46"/>
  <c r="T4" i="46"/>
  <c r="S15" i="29"/>
  <c r="T8" i="29"/>
  <c r="T13" i="19"/>
  <c r="U6" i="19"/>
  <c r="S9" i="54"/>
  <c r="S11" i="54"/>
  <c r="T4" i="54"/>
  <c r="U11" i="29"/>
  <c r="V4" i="29"/>
  <c r="T11" i="20"/>
  <c r="U4" i="20"/>
  <c r="S13" i="46"/>
  <c r="T6" i="46"/>
  <c r="T12" i="53"/>
  <c r="U5" i="53"/>
  <c r="S15" i="38"/>
  <c r="T8" i="38"/>
  <c r="R16" i="54"/>
  <c r="S15" i="54"/>
  <c r="T8" i="54"/>
  <c r="S12" i="28"/>
  <c r="T5" i="28"/>
  <c r="S15" i="48"/>
  <c r="T8" i="48"/>
  <c r="S13" i="42"/>
  <c r="T6" i="42"/>
  <c r="S13" i="28"/>
  <c r="T6" i="28"/>
  <c r="S15" i="19"/>
  <c r="T8" i="19"/>
  <c r="T8" i="42"/>
  <c r="S15" i="42"/>
  <c r="S15" i="20"/>
  <c r="T8" i="20"/>
  <c r="R16" i="42"/>
  <c r="R244" i="42" s="1"/>
  <c r="S12" i="48"/>
  <c r="T5" i="48"/>
  <c r="R16" i="29"/>
  <c r="S13" i="20"/>
  <c r="T6" i="20"/>
  <c r="S13" i="48"/>
  <c r="T6" i="48"/>
  <c r="S9" i="28"/>
  <c r="S11" i="28"/>
  <c r="T4" i="28"/>
  <c r="T12" i="20"/>
  <c r="U5" i="20"/>
  <c r="S12" i="19"/>
  <c r="T5" i="19"/>
  <c r="T9" i="19" s="1"/>
  <c r="S12" i="29"/>
  <c r="T5" i="29"/>
  <c r="S9" i="29"/>
  <c r="S9" i="38"/>
  <c r="S11" i="38"/>
  <c r="T4" i="38"/>
  <c r="S12" i="42"/>
  <c r="T5" i="42"/>
  <c r="S13" i="53"/>
  <c r="T6" i="53"/>
  <c r="T15" i="28"/>
  <c r="U8" i="28"/>
  <c r="V4" i="53"/>
  <c r="U11" i="53"/>
  <c r="S9" i="48"/>
  <c r="T4" i="48"/>
  <c r="S11" i="48"/>
  <c r="R16" i="46"/>
  <c r="R272" i="46" s="1"/>
  <c r="R16" i="28"/>
  <c r="R115" i="28" s="1"/>
  <c r="S12" i="38"/>
  <c r="T5" i="38"/>
  <c r="R16" i="38"/>
  <c r="R244" i="38" s="1"/>
  <c r="R16" i="48"/>
  <c r="R272" i="48" s="1"/>
  <c r="S12" i="46"/>
  <c r="T5" i="46"/>
  <c r="S9" i="46"/>
  <c r="S15" i="46"/>
  <c r="T8" i="46"/>
  <c r="S13" i="54"/>
  <c r="T6" i="54"/>
  <c r="S13" i="38"/>
  <c r="T6" i="38"/>
  <c r="R16" i="53"/>
  <c r="S9" i="42"/>
  <c r="S11" i="42"/>
  <c r="T4" i="42"/>
  <c r="T8" i="53"/>
  <c r="S15" i="53"/>
  <c r="S13" i="29"/>
  <c r="T6" i="29"/>
  <c r="S12" i="54"/>
  <c r="T5" i="54"/>
  <c r="U4" i="19"/>
  <c r="T11" i="19"/>
  <c r="S9" i="53"/>
  <c r="T9" i="20" l="1"/>
  <c r="S16" i="53"/>
  <c r="T11" i="46"/>
  <c r="U4" i="46"/>
  <c r="S16" i="20"/>
  <c r="S219" i="20" s="1"/>
  <c r="T9" i="53"/>
  <c r="T12" i="46"/>
  <c r="U5" i="46"/>
  <c r="T9" i="46"/>
  <c r="S16" i="48"/>
  <c r="S272" i="48" s="1"/>
  <c r="U15" i="28"/>
  <c r="V8" i="28"/>
  <c r="S16" i="46"/>
  <c r="S272" i="46" s="1"/>
  <c r="T9" i="48"/>
  <c r="T11" i="48"/>
  <c r="U4" i="48"/>
  <c r="T9" i="28"/>
  <c r="T11" i="28"/>
  <c r="U4" i="28"/>
  <c r="T15" i="20"/>
  <c r="U8" i="20"/>
  <c r="T12" i="28"/>
  <c r="U5" i="28"/>
  <c r="U11" i="20"/>
  <c r="V4" i="20"/>
  <c r="U13" i="19"/>
  <c r="V6" i="19"/>
  <c r="T13" i="53"/>
  <c r="U6" i="53"/>
  <c r="S16" i="28"/>
  <c r="S115" i="28" s="1"/>
  <c r="T12" i="48"/>
  <c r="U5" i="48"/>
  <c r="T15" i="38"/>
  <c r="U8" i="38"/>
  <c r="T12" i="54"/>
  <c r="U5" i="54"/>
  <c r="S16" i="42"/>
  <c r="S244" i="42" s="1"/>
  <c r="T13" i="29"/>
  <c r="U6" i="29"/>
  <c r="T13" i="54"/>
  <c r="U6" i="54"/>
  <c r="T12" i="38"/>
  <c r="U5" i="38"/>
  <c r="T12" i="29"/>
  <c r="U5" i="29"/>
  <c r="T9" i="29"/>
  <c r="T13" i="28"/>
  <c r="U6" i="28"/>
  <c r="T9" i="54"/>
  <c r="T11" i="54"/>
  <c r="U4" i="54"/>
  <c r="T9" i="42"/>
  <c r="T11" i="42"/>
  <c r="U4" i="42"/>
  <c r="T12" i="42"/>
  <c r="U5" i="42"/>
  <c r="S16" i="29"/>
  <c r="T13" i="20"/>
  <c r="U6" i="20"/>
  <c r="U12" i="53"/>
  <c r="V5" i="53"/>
  <c r="S16" i="54"/>
  <c r="T13" i="38"/>
  <c r="U6" i="38"/>
  <c r="T15" i="46"/>
  <c r="U8" i="46"/>
  <c r="T12" i="19"/>
  <c r="U5" i="19"/>
  <c r="T13" i="48"/>
  <c r="U6" i="48"/>
  <c r="T13" i="42"/>
  <c r="U6" i="42"/>
  <c r="U11" i="19"/>
  <c r="V4" i="19"/>
  <c r="V11" i="53"/>
  <c r="W4" i="53"/>
  <c r="T9" i="38"/>
  <c r="T11" i="38"/>
  <c r="U4" i="38"/>
  <c r="T15" i="42"/>
  <c r="U8" i="42"/>
  <c r="T15" i="54"/>
  <c r="U8" i="54"/>
  <c r="T13" i="46"/>
  <c r="U6" i="46"/>
  <c r="S16" i="19"/>
  <c r="U8" i="29"/>
  <c r="T15" i="29"/>
  <c r="T15" i="53"/>
  <c r="U8" i="53"/>
  <c r="S16" i="38"/>
  <c r="S244" i="38" s="1"/>
  <c r="U12" i="20"/>
  <c r="V5" i="20"/>
  <c r="T15" i="19"/>
  <c r="U8" i="19"/>
  <c r="T15" i="48"/>
  <c r="U8" i="48"/>
  <c r="V11" i="29"/>
  <c r="W4" i="29"/>
  <c r="U9" i="20" l="1"/>
  <c r="T16" i="20"/>
  <c r="U9" i="19"/>
  <c r="T219" i="20"/>
  <c r="U11" i="46"/>
  <c r="V4" i="46"/>
  <c r="U15" i="29"/>
  <c r="V8" i="29"/>
  <c r="U15" i="42"/>
  <c r="V8" i="42"/>
  <c r="U13" i="48"/>
  <c r="V6" i="48"/>
  <c r="U13" i="29"/>
  <c r="V6" i="29"/>
  <c r="V11" i="20"/>
  <c r="W4" i="20"/>
  <c r="T16" i="28"/>
  <c r="T115" i="28"/>
  <c r="W8" i="28"/>
  <c r="V15" i="28"/>
  <c r="U9" i="54"/>
  <c r="U11" i="54"/>
  <c r="V4" i="54"/>
  <c r="V5" i="29"/>
  <c r="U12" i="29"/>
  <c r="U9" i="29"/>
  <c r="U12" i="19"/>
  <c r="V5" i="19"/>
  <c r="U15" i="46"/>
  <c r="V8" i="46"/>
  <c r="U12" i="42"/>
  <c r="V5" i="42"/>
  <c r="T16" i="54"/>
  <c r="T16" i="29"/>
  <c r="U13" i="46"/>
  <c r="V6" i="46"/>
  <c r="V12" i="53"/>
  <c r="W5" i="53"/>
  <c r="U15" i="38"/>
  <c r="V8" i="38"/>
  <c r="U12" i="28"/>
  <c r="V5" i="28"/>
  <c r="U9" i="48"/>
  <c r="U11" i="48"/>
  <c r="V4" i="48"/>
  <c r="U15" i="48"/>
  <c r="V8" i="48"/>
  <c r="U9" i="38"/>
  <c r="U11" i="38"/>
  <c r="V4" i="38"/>
  <c r="U13" i="42"/>
  <c r="V6" i="42"/>
  <c r="U13" i="38"/>
  <c r="V6" i="38"/>
  <c r="U12" i="38"/>
  <c r="V5" i="38"/>
  <c r="U13" i="53"/>
  <c r="V6" i="53"/>
  <c r="U9" i="53"/>
  <c r="T16" i="48"/>
  <c r="T272" i="48" s="1"/>
  <c r="U15" i="19"/>
  <c r="V8" i="19"/>
  <c r="V9" i="19" s="1"/>
  <c r="U15" i="53"/>
  <c r="V8" i="53"/>
  <c r="U15" i="54"/>
  <c r="V8" i="54"/>
  <c r="T16" i="38"/>
  <c r="T244" i="38" s="1"/>
  <c r="V6" i="28"/>
  <c r="U13" i="28"/>
  <c r="U12" i="54"/>
  <c r="V5" i="54"/>
  <c r="T16" i="53"/>
  <c r="U15" i="20"/>
  <c r="V8" i="20"/>
  <c r="V11" i="19"/>
  <c r="W4" i="19"/>
  <c r="U13" i="20"/>
  <c r="V6" i="20"/>
  <c r="U9" i="42"/>
  <c r="U11" i="42"/>
  <c r="V4" i="42"/>
  <c r="U13" i="54"/>
  <c r="V6" i="54"/>
  <c r="V13" i="19"/>
  <c r="W6" i="19"/>
  <c r="U12" i="46"/>
  <c r="V5" i="46"/>
  <c r="U9" i="46"/>
  <c r="W11" i="29"/>
  <c r="X4" i="29"/>
  <c r="V12" i="20"/>
  <c r="W5" i="20"/>
  <c r="W11" i="53"/>
  <c r="X4" i="53"/>
  <c r="T16" i="19"/>
  <c r="T16" i="42"/>
  <c r="T244" i="42" s="1"/>
  <c r="U12" i="48"/>
  <c r="V5" i="48"/>
  <c r="U9" i="28"/>
  <c r="U11" i="28"/>
  <c r="V4" i="28"/>
  <c r="T16" i="46"/>
  <c r="T272" i="46" s="1"/>
  <c r="U16" i="19" l="1"/>
  <c r="U16" i="53"/>
  <c r="V11" i="46"/>
  <c r="W4" i="46"/>
  <c r="X11" i="53"/>
  <c r="Y4" i="53"/>
  <c r="Y4" i="29"/>
  <c r="X11" i="29"/>
  <c r="V13" i="20"/>
  <c r="W6" i="20"/>
  <c r="V15" i="54"/>
  <c r="W8" i="54"/>
  <c r="V15" i="38"/>
  <c r="W8" i="38"/>
  <c r="V13" i="38"/>
  <c r="W6" i="38"/>
  <c r="V15" i="48"/>
  <c r="W8" i="48"/>
  <c r="V12" i="19"/>
  <c r="W5" i="19"/>
  <c r="W15" i="28"/>
  <c r="X8" i="28"/>
  <c r="V13" i="29"/>
  <c r="W6" i="29"/>
  <c r="W6" i="54"/>
  <c r="V13" i="54"/>
  <c r="V15" i="20"/>
  <c r="W8" i="20"/>
  <c r="W9" i="20" s="1"/>
  <c r="V13" i="28"/>
  <c r="W6" i="28"/>
  <c r="V15" i="53"/>
  <c r="W8" i="53"/>
  <c r="U16" i="29"/>
  <c r="V15" i="42"/>
  <c r="W8" i="42"/>
  <c r="W11" i="19"/>
  <c r="X4" i="19"/>
  <c r="V13" i="53"/>
  <c r="W6" i="53"/>
  <c r="V9" i="53"/>
  <c r="V13" i="42"/>
  <c r="W6" i="42"/>
  <c r="V9" i="48"/>
  <c r="W4" i="48"/>
  <c r="V11" i="48"/>
  <c r="W12" i="53"/>
  <c r="X5" i="53"/>
  <c r="V12" i="29"/>
  <c r="W5" i="29"/>
  <c r="V9" i="29"/>
  <c r="V12" i="46"/>
  <c r="W5" i="46"/>
  <c r="V9" i="46"/>
  <c r="W8" i="19"/>
  <c r="V15" i="19"/>
  <c r="V16" i="19" s="1"/>
  <c r="U16" i="48"/>
  <c r="U272" i="48" s="1"/>
  <c r="V9" i="54"/>
  <c r="V11" i="54"/>
  <c r="W4" i="54"/>
  <c r="U16" i="46"/>
  <c r="U272" i="46" s="1"/>
  <c r="V9" i="42"/>
  <c r="V11" i="42"/>
  <c r="W4" i="42"/>
  <c r="V9" i="38"/>
  <c r="V11" i="38"/>
  <c r="W4" i="38"/>
  <c r="V12" i="42"/>
  <c r="W5" i="42"/>
  <c r="U16" i="54"/>
  <c r="W11" i="20"/>
  <c r="X4" i="20"/>
  <c r="W12" i="20"/>
  <c r="X5" i="20"/>
  <c r="V9" i="28"/>
  <c r="V11" i="28"/>
  <c r="W4" i="28"/>
  <c r="U16" i="42"/>
  <c r="U244" i="42" s="1"/>
  <c r="V12" i="54"/>
  <c r="W5" i="54"/>
  <c r="V12" i="38"/>
  <c r="W5" i="38"/>
  <c r="U16" i="38"/>
  <c r="U244" i="38"/>
  <c r="W5" i="28"/>
  <c r="V12" i="28"/>
  <c r="V13" i="48"/>
  <c r="W6" i="48"/>
  <c r="V15" i="29"/>
  <c r="W8" i="29"/>
  <c r="V12" i="48"/>
  <c r="W5" i="48"/>
  <c r="U16" i="28"/>
  <c r="U115" i="28" s="1"/>
  <c r="W13" i="19"/>
  <c r="X6" i="19"/>
  <c r="V13" i="46"/>
  <c r="W6" i="46"/>
  <c r="V15" i="46"/>
  <c r="W8" i="46"/>
  <c r="U16" i="20"/>
  <c r="U219" i="20" s="1"/>
  <c r="V9" i="20"/>
  <c r="W9" i="19" l="1"/>
  <c r="V16" i="20"/>
  <c r="V219" i="20" s="1"/>
  <c r="W11" i="46"/>
  <c r="X4" i="46"/>
  <c r="X6" i="48"/>
  <c r="W13" i="48"/>
  <c r="W12" i="28"/>
  <c r="X5" i="28"/>
  <c r="X11" i="20"/>
  <c r="Y4" i="20"/>
  <c r="V16" i="38"/>
  <c r="V244" i="38" s="1"/>
  <c r="W12" i="29"/>
  <c r="X5" i="29"/>
  <c r="W9" i="29"/>
  <c r="X8" i="48"/>
  <c r="W15" i="48"/>
  <c r="V16" i="29"/>
  <c r="W13" i="29"/>
  <c r="X6" i="29"/>
  <c r="W13" i="46"/>
  <c r="X6" i="46"/>
  <c r="W12" i="48"/>
  <c r="X5" i="48"/>
  <c r="X12" i="53"/>
  <c r="Y5" i="53"/>
  <c r="W13" i="53"/>
  <c r="X6" i="53"/>
  <c r="W9" i="53"/>
  <c r="W13" i="54"/>
  <c r="X6" i="54"/>
  <c r="W13" i="38"/>
  <c r="X6" i="38"/>
  <c r="W15" i="38"/>
  <c r="X8" i="38"/>
  <c r="Y11" i="29"/>
  <c r="Z4" i="29"/>
  <c r="W9" i="28"/>
  <c r="W11" i="28"/>
  <c r="X4" i="28"/>
  <c r="W9" i="42"/>
  <c r="W11" i="42"/>
  <c r="X4" i="42"/>
  <c r="W12" i="46"/>
  <c r="X5" i="46"/>
  <c r="W9" i="46"/>
  <c r="W15" i="42"/>
  <c r="X8" i="42"/>
  <c r="W15" i="53"/>
  <c r="X8" i="53"/>
  <c r="X15" i="28"/>
  <c r="Y8" i="28"/>
  <c r="W12" i="38"/>
  <c r="X5" i="38"/>
  <c r="V16" i="28"/>
  <c r="V115" i="28" s="1"/>
  <c r="V16" i="42"/>
  <c r="V244" i="42" s="1"/>
  <c r="W9" i="54"/>
  <c r="X4" i="54"/>
  <c r="W11" i="54"/>
  <c r="V16" i="46"/>
  <c r="V272" i="46" s="1"/>
  <c r="V16" i="48"/>
  <c r="V272" i="48" s="1"/>
  <c r="W15" i="54"/>
  <c r="X8" i="54"/>
  <c r="Y11" i="53"/>
  <c r="Z4" i="53"/>
  <c r="X13" i="19"/>
  <c r="Y6" i="19"/>
  <c r="W12" i="42"/>
  <c r="X5" i="42"/>
  <c r="V16" i="54"/>
  <c r="W9" i="48"/>
  <c r="W11" i="48"/>
  <c r="X4" i="48"/>
  <c r="W13" i="28"/>
  <c r="X6" i="28"/>
  <c r="W12" i="19"/>
  <c r="X5" i="19"/>
  <c r="W15" i="46"/>
  <c r="X8" i="46"/>
  <c r="W15" i="29"/>
  <c r="X8" i="29"/>
  <c r="W12" i="54"/>
  <c r="X5" i="54"/>
  <c r="X12" i="20"/>
  <c r="Y5" i="20"/>
  <c r="W15" i="19"/>
  <c r="X8" i="19"/>
  <c r="X11" i="19"/>
  <c r="Y4" i="19"/>
  <c r="W13" i="20"/>
  <c r="X6" i="20"/>
  <c r="W9" i="38"/>
  <c r="W11" i="38"/>
  <c r="X4" i="38"/>
  <c r="W13" i="42"/>
  <c r="X6" i="42"/>
  <c r="W15" i="20"/>
  <c r="X8" i="20"/>
  <c r="V16" i="53"/>
  <c r="X9" i="53" l="1"/>
  <c r="X9" i="19"/>
  <c r="W16" i="19"/>
  <c r="W16" i="20"/>
  <c r="X11" i="46"/>
  <c r="Y4" i="46"/>
  <c r="X9" i="20"/>
  <c r="Y8" i="54"/>
  <c r="X15" i="54"/>
  <c r="Y15" i="28"/>
  <c r="Z8" i="28"/>
  <c r="X15" i="48"/>
  <c r="Y8" i="48"/>
  <c r="X11" i="48"/>
  <c r="X9" i="48"/>
  <c r="Y4" i="48"/>
  <c r="X12" i="46"/>
  <c r="Y5" i="46"/>
  <c r="X9" i="46"/>
  <c r="Y11" i="20"/>
  <c r="Z4" i="20"/>
  <c r="Y11" i="19"/>
  <c r="Z4" i="19"/>
  <c r="X12" i="54"/>
  <c r="Y5" i="54"/>
  <c r="W16" i="48"/>
  <c r="W272" i="48" s="1"/>
  <c r="Y13" i="19"/>
  <c r="Z6" i="19"/>
  <c r="Y8" i="53"/>
  <c r="X15" i="53"/>
  <c r="W16" i="46"/>
  <c r="W272" i="46" s="1"/>
  <c r="Z11" i="29"/>
  <c r="AA4" i="29"/>
  <c r="X13" i="54"/>
  <c r="Y6" i="54"/>
  <c r="W16" i="54"/>
  <c r="X9" i="42"/>
  <c r="X11" i="42"/>
  <c r="Y4" i="42"/>
  <c r="X13" i="42"/>
  <c r="Y6" i="42"/>
  <c r="X15" i="29"/>
  <c r="Y8" i="29"/>
  <c r="X9" i="54"/>
  <c r="X11" i="54"/>
  <c r="Y4" i="54"/>
  <c r="X12" i="38"/>
  <c r="Y5" i="38"/>
  <c r="X15" i="42"/>
  <c r="Y8" i="42"/>
  <c r="W16" i="42"/>
  <c r="W244" i="42" s="1"/>
  <c r="X12" i="48"/>
  <c r="Y5" i="48"/>
  <c r="X13" i="29"/>
  <c r="Y6" i="29"/>
  <c r="X12" i="29"/>
  <c r="Y5" i="29"/>
  <c r="X9" i="29"/>
  <c r="X12" i="28"/>
  <c r="Y5" i="28"/>
  <c r="Y12" i="20"/>
  <c r="Z5" i="20"/>
  <c r="X12" i="19"/>
  <c r="Y5" i="19"/>
  <c r="Z11" i="53"/>
  <c r="AA4" i="53"/>
  <c r="X15" i="38"/>
  <c r="Y8" i="38"/>
  <c r="X13" i="53"/>
  <c r="Y6" i="53"/>
  <c r="W219" i="20"/>
  <c r="W16" i="29"/>
  <c r="X15" i="20"/>
  <c r="Y8" i="20"/>
  <c r="X9" i="28"/>
  <c r="X11" i="28"/>
  <c r="Y4" i="28"/>
  <c r="W16" i="53"/>
  <c r="X13" i="46"/>
  <c r="Y6" i="46"/>
  <c r="X9" i="38"/>
  <c r="X11" i="38"/>
  <c r="Y4" i="38"/>
  <c r="X15" i="19"/>
  <c r="Y8" i="19"/>
  <c r="W16" i="38"/>
  <c r="W244" i="38" s="1"/>
  <c r="X13" i="20"/>
  <c r="Y6" i="20"/>
  <c r="X15" i="46"/>
  <c r="Y8" i="46"/>
  <c r="X13" i="28"/>
  <c r="Y6" i="28"/>
  <c r="X12" i="42"/>
  <c r="Y5" i="42"/>
  <c r="W16" i="28"/>
  <c r="W115" i="28" s="1"/>
  <c r="X13" i="38"/>
  <c r="Y6" i="38"/>
  <c r="Y12" i="53"/>
  <c r="Z5" i="53"/>
  <c r="X13" i="48"/>
  <c r="Y6" i="48"/>
  <c r="Z4" i="46" l="1"/>
  <c r="Y11" i="46"/>
  <c r="Y12" i="42"/>
  <c r="Z5" i="42"/>
  <c r="Y13" i="20"/>
  <c r="Z6" i="20"/>
  <c r="X16" i="38"/>
  <c r="X244" i="38" s="1"/>
  <c r="Y9" i="28"/>
  <c r="Y11" i="28"/>
  <c r="Z4" i="28"/>
  <c r="X16" i="53"/>
  <c r="Y12" i="19"/>
  <c r="Z5" i="19"/>
  <c r="Y12" i="29"/>
  <c r="Z5" i="29"/>
  <c r="Y9" i="29"/>
  <c r="Y15" i="29"/>
  <c r="Z8" i="29"/>
  <c r="Y9" i="20"/>
  <c r="X16" i="28"/>
  <c r="X115" i="28" s="1"/>
  <c r="Y15" i="38"/>
  <c r="Z8" i="38"/>
  <c r="X16" i="29"/>
  <c r="Y15" i="42"/>
  <c r="Z8" i="42"/>
  <c r="Y12" i="54"/>
  <c r="Z5" i="54"/>
  <c r="Y9" i="48"/>
  <c r="Y11" i="48"/>
  <c r="Z4" i="48"/>
  <c r="Z15" i="28"/>
  <c r="AA8" i="28"/>
  <c r="Y13" i="29"/>
  <c r="Z6" i="29"/>
  <c r="Y9" i="42"/>
  <c r="Y11" i="42"/>
  <c r="Z4" i="42"/>
  <c r="X16" i="19"/>
  <c r="Y13" i="54"/>
  <c r="Z6" i="54"/>
  <c r="Z12" i="53"/>
  <c r="AA5" i="53"/>
  <c r="Y13" i="38"/>
  <c r="Z6" i="38"/>
  <c r="Y13" i="46"/>
  <c r="Z6" i="46"/>
  <c r="Z12" i="20"/>
  <c r="AA5" i="20"/>
  <c r="Y12" i="38"/>
  <c r="Z5" i="38"/>
  <c r="X16" i="42"/>
  <c r="X244" i="42" s="1"/>
  <c r="Y15" i="53"/>
  <c r="Z8" i="53"/>
  <c r="Z11" i="19"/>
  <c r="AA4" i="19"/>
  <c r="X16" i="48"/>
  <c r="X272" i="48" s="1"/>
  <c r="Y12" i="48"/>
  <c r="Z5" i="48"/>
  <c r="Y13" i="42"/>
  <c r="Z6" i="42"/>
  <c r="AA11" i="29"/>
  <c r="AB4" i="29"/>
  <c r="Z13" i="19"/>
  <c r="AA6" i="19"/>
  <c r="Z8" i="54"/>
  <c r="Y15" i="54"/>
  <c r="Y15" i="19"/>
  <c r="Y16" i="19" s="1"/>
  <c r="Z8" i="19"/>
  <c r="AA11" i="53"/>
  <c r="AB4" i="53"/>
  <c r="Y12" i="28"/>
  <c r="Z5" i="28"/>
  <c r="Y9" i="54"/>
  <c r="Y11" i="54"/>
  <c r="Z4" i="54"/>
  <c r="Y9" i="19"/>
  <c r="Y12" i="46"/>
  <c r="Z5" i="46"/>
  <c r="Y9" i="46"/>
  <c r="Y15" i="48"/>
  <c r="Z8" i="48"/>
  <c r="Y13" i="48"/>
  <c r="Z6" i="48"/>
  <c r="X16" i="54"/>
  <c r="X16" i="20"/>
  <c r="X219" i="20" s="1"/>
  <c r="Z11" i="20"/>
  <c r="AA4" i="20"/>
  <c r="X16" i="46"/>
  <c r="X272" i="46" s="1"/>
  <c r="Y13" i="28"/>
  <c r="Z6" i="28"/>
  <c r="Y15" i="46"/>
  <c r="Z8" i="46"/>
  <c r="Y9" i="38"/>
  <c r="Z4" i="38"/>
  <c r="Y11" i="38"/>
  <c r="Y15" i="20"/>
  <c r="Z8" i="20"/>
  <c r="Y13" i="53"/>
  <c r="Z6" i="53"/>
  <c r="Y9" i="53"/>
  <c r="Z9" i="53"/>
  <c r="Y16" i="53" l="1"/>
  <c r="Z9" i="19"/>
  <c r="Y16" i="20"/>
  <c r="Y219" i="20" s="1"/>
  <c r="Z11" i="46"/>
  <c r="AA4" i="46"/>
  <c r="Z9" i="38"/>
  <c r="AA4" i="38"/>
  <c r="Z11" i="38"/>
  <c r="AB11" i="29"/>
  <c r="AC4" i="29"/>
  <c r="AA11" i="19"/>
  <c r="AB4" i="19"/>
  <c r="Y16" i="48"/>
  <c r="Y272" i="48" s="1"/>
  <c r="Z15" i="42"/>
  <c r="AA8" i="42"/>
  <c r="Y16" i="29"/>
  <c r="Z15" i="48"/>
  <c r="AA8" i="48"/>
  <c r="Z12" i="28"/>
  <c r="AA5" i="28"/>
  <c r="Z12" i="38"/>
  <c r="AA5" i="38"/>
  <c r="AA6" i="38"/>
  <c r="Z13" i="38"/>
  <c r="Z12" i="19"/>
  <c r="AA5" i="19"/>
  <c r="Z15" i="54"/>
  <c r="AA8" i="54"/>
  <c r="Z13" i="29"/>
  <c r="AA6" i="29"/>
  <c r="AA11" i="20"/>
  <c r="AB4" i="20"/>
  <c r="AB11" i="53"/>
  <c r="AC4" i="53"/>
  <c r="Z13" i="42"/>
  <c r="AA6" i="42"/>
  <c r="Z15" i="53"/>
  <c r="AA8" i="53"/>
  <c r="AA12" i="53"/>
  <c r="AB5" i="53"/>
  <c r="Z13" i="54"/>
  <c r="AA6" i="54"/>
  <c r="Z12" i="46"/>
  <c r="AA5" i="46"/>
  <c r="Z9" i="46"/>
  <c r="AA12" i="20"/>
  <c r="AB5" i="20"/>
  <c r="Z15" i="29"/>
  <c r="AA8" i="29"/>
  <c r="Z13" i="20"/>
  <c r="AA6" i="20"/>
  <c r="AA8" i="20"/>
  <c r="Z15" i="20"/>
  <c r="Z13" i="28"/>
  <c r="AA6" i="28"/>
  <c r="Z9" i="20"/>
  <c r="Z13" i="48"/>
  <c r="AA6" i="48"/>
  <c r="Y16" i="46"/>
  <c r="Y272" i="46" s="1"/>
  <c r="Z9" i="54"/>
  <c r="Z11" i="54"/>
  <c r="AA4" i="54"/>
  <c r="AA15" i="28"/>
  <c r="AB8" i="28"/>
  <c r="Z12" i="54"/>
  <c r="AA5" i="54"/>
  <c r="Z15" i="38"/>
  <c r="AA8" i="38"/>
  <c r="Z15" i="46"/>
  <c r="AA8" i="46"/>
  <c r="Y16" i="54"/>
  <c r="Z15" i="19"/>
  <c r="AA8" i="19"/>
  <c r="AA13" i="19"/>
  <c r="AB6" i="19"/>
  <c r="Z12" i="48"/>
  <c r="AA5" i="48"/>
  <c r="Z13" i="46"/>
  <c r="AA6" i="46"/>
  <c r="Z9" i="42"/>
  <c r="Z11" i="42"/>
  <c r="AA4" i="42"/>
  <c r="Z9" i="28"/>
  <c r="Z11" i="28"/>
  <c r="AA4" i="28"/>
  <c r="Z12" i="42"/>
  <c r="AA5" i="42"/>
  <c r="AA6" i="53"/>
  <c r="Z13" i="53"/>
  <c r="Y16" i="38"/>
  <c r="Y244" i="38" s="1"/>
  <c r="Y16" i="42"/>
  <c r="Y244" i="42" s="1"/>
  <c r="Z9" i="48"/>
  <c r="Z11" i="48"/>
  <c r="AA4" i="48"/>
  <c r="Z12" i="29"/>
  <c r="AA5" i="29"/>
  <c r="Z9" i="29"/>
  <c r="Y16" i="28"/>
  <c r="Y115" i="28" s="1"/>
  <c r="AA9" i="20" l="1"/>
  <c r="AA11" i="46"/>
  <c r="AB4" i="46"/>
  <c r="AA9" i="19"/>
  <c r="Z16" i="20"/>
  <c r="Z219" i="20" s="1"/>
  <c r="AA9" i="54"/>
  <c r="AA11" i="54"/>
  <c r="AB4" i="54"/>
  <c r="AB11" i="20"/>
  <c r="AC4" i="20"/>
  <c r="AA12" i="48"/>
  <c r="AB5" i="48"/>
  <c r="AA15" i="38"/>
  <c r="AB8" i="38"/>
  <c r="Z16" i="54"/>
  <c r="AA13" i="28"/>
  <c r="AB6" i="28"/>
  <c r="AA15" i="53"/>
  <c r="AB8" i="53"/>
  <c r="Z16" i="53"/>
  <c r="AA12" i="46"/>
  <c r="AB5" i="46"/>
  <c r="AA9" i="46"/>
  <c r="AB6" i="38"/>
  <c r="AA13" i="38"/>
  <c r="AA15" i="42"/>
  <c r="AB8" i="42"/>
  <c r="AD4" i="29"/>
  <c r="AC11" i="29"/>
  <c r="AA12" i="29"/>
  <c r="AB5" i="29"/>
  <c r="AA9" i="29"/>
  <c r="AB6" i="53"/>
  <c r="AA13" i="53"/>
  <c r="AA9" i="53"/>
  <c r="AB13" i="19"/>
  <c r="AC6" i="19"/>
  <c r="AA12" i="54"/>
  <c r="AB5" i="54"/>
  <c r="AC5" i="20"/>
  <c r="AB12" i="20"/>
  <c r="Z16" i="46"/>
  <c r="Z272" i="46" s="1"/>
  <c r="AA13" i="42"/>
  <c r="AB6" i="42"/>
  <c r="AA15" i="54"/>
  <c r="AB8" i="54"/>
  <c r="AA12" i="38"/>
  <c r="AB5" i="38"/>
  <c r="AA9" i="42"/>
  <c r="AA11" i="42"/>
  <c r="AB4" i="42"/>
  <c r="AA15" i="46"/>
  <c r="AB8" i="46"/>
  <c r="AA15" i="20"/>
  <c r="AB8" i="20"/>
  <c r="AB5" i="28"/>
  <c r="AA12" i="28"/>
  <c r="Z16" i="29"/>
  <c r="Z16" i="42"/>
  <c r="Z244" i="42"/>
  <c r="AA15" i="19"/>
  <c r="AB8" i="19"/>
  <c r="AB9" i="19" s="1"/>
  <c r="AC8" i="28"/>
  <c r="AB15" i="28"/>
  <c r="AA13" i="20"/>
  <c r="AB6" i="20"/>
  <c r="AA13" i="54"/>
  <c r="AB6" i="54"/>
  <c r="AD4" i="53"/>
  <c r="AC11" i="53"/>
  <c r="Z16" i="38"/>
  <c r="Z244" i="38" s="1"/>
  <c r="AB5" i="42"/>
  <c r="AA12" i="42"/>
  <c r="AB5" i="19"/>
  <c r="AA12" i="19"/>
  <c r="AA15" i="48"/>
  <c r="AB8" i="48"/>
  <c r="AA9" i="38"/>
  <c r="AB4" i="38"/>
  <c r="AA11" i="38"/>
  <c r="AA9" i="48"/>
  <c r="AA11" i="48"/>
  <c r="AB4" i="48"/>
  <c r="Z16" i="48"/>
  <c r="Z272" i="48" s="1"/>
  <c r="AA9" i="28"/>
  <c r="AA11" i="28"/>
  <c r="AB4" i="28"/>
  <c r="AA13" i="48"/>
  <c r="AB6" i="48"/>
  <c r="Z16" i="28"/>
  <c r="Z115" i="28" s="1"/>
  <c r="AA13" i="46"/>
  <c r="AB6" i="46"/>
  <c r="AA15" i="29"/>
  <c r="AB8" i="29"/>
  <c r="AB12" i="53"/>
  <c r="AC5" i="53"/>
  <c r="AB9" i="53"/>
  <c r="AA13" i="29"/>
  <c r="AB6" i="29"/>
  <c r="Z16" i="19"/>
  <c r="AB11" i="19"/>
  <c r="AC4" i="19"/>
  <c r="AB9" i="20" l="1"/>
  <c r="AB11" i="46"/>
  <c r="AC4" i="46"/>
  <c r="AB13" i="46"/>
  <c r="AC6" i="46"/>
  <c r="AA16" i="28"/>
  <c r="AA115" i="28" s="1"/>
  <c r="AA16" i="38"/>
  <c r="AA244" i="38" s="1"/>
  <c r="AE4" i="53"/>
  <c r="AD11" i="53"/>
  <c r="AB9" i="42"/>
  <c r="AB11" i="42"/>
  <c r="AC4" i="42"/>
  <c r="AA16" i="53"/>
  <c r="AB15" i="42"/>
  <c r="AC8" i="42"/>
  <c r="AB9" i="38"/>
  <c r="AB11" i="38"/>
  <c r="AC4" i="38"/>
  <c r="AC8" i="19"/>
  <c r="AB15" i="19"/>
  <c r="AA16" i="42"/>
  <c r="AA244" i="42" s="1"/>
  <c r="AB15" i="54"/>
  <c r="AC8" i="54"/>
  <c r="AC12" i="20"/>
  <c r="AD5" i="20"/>
  <c r="AB13" i="53"/>
  <c r="AC6" i="53"/>
  <c r="AB15" i="53"/>
  <c r="AC8" i="53"/>
  <c r="AB12" i="48"/>
  <c r="AC5" i="48"/>
  <c r="AB13" i="54"/>
  <c r="AC6" i="54"/>
  <c r="AB12" i="28"/>
  <c r="AC5" i="28"/>
  <c r="AB15" i="20"/>
  <c r="AC8" i="20"/>
  <c r="AC12" i="53"/>
  <c r="AD5" i="53"/>
  <c r="AB15" i="48"/>
  <c r="AC8" i="48"/>
  <c r="AB13" i="42"/>
  <c r="AC6" i="42"/>
  <c r="AB12" i="54"/>
  <c r="AC5" i="54"/>
  <c r="AC5" i="29"/>
  <c r="AB12" i="29"/>
  <c r="AB9" i="29"/>
  <c r="AC6" i="38"/>
  <c r="AB13" i="38"/>
  <c r="AB13" i="28"/>
  <c r="AC6" i="28"/>
  <c r="AC11" i="19"/>
  <c r="AD4" i="19"/>
  <c r="AC6" i="20"/>
  <c r="AC9" i="20" s="1"/>
  <c r="AB13" i="20"/>
  <c r="AA16" i="29"/>
  <c r="AB9" i="54"/>
  <c r="AC4" i="54"/>
  <c r="AB11" i="54"/>
  <c r="AB13" i="29"/>
  <c r="AC6" i="29"/>
  <c r="AC8" i="29"/>
  <c r="AB15" i="29"/>
  <c r="AB9" i="48"/>
  <c r="AC4" i="48"/>
  <c r="AB11" i="48"/>
  <c r="AB15" i="46"/>
  <c r="AC8" i="46"/>
  <c r="AC13" i="19"/>
  <c r="AD6" i="19"/>
  <c r="AA16" i="19"/>
  <c r="AA16" i="54"/>
  <c r="AC5" i="19"/>
  <c r="AB12" i="19"/>
  <c r="AD11" i="29"/>
  <c r="AE4" i="29"/>
  <c r="AB12" i="46"/>
  <c r="AC5" i="46"/>
  <c r="AB9" i="46"/>
  <c r="AB13" i="48"/>
  <c r="AC6" i="48"/>
  <c r="AA16" i="48"/>
  <c r="AA272" i="48" s="1"/>
  <c r="AB9" i="28"/>
  <c r="AB11" i="28"/>
  <c r="AC4" i="28"/>
  <c r="AB12" i="42"/>
  <c r="AC5" i="42"/>
  <c r="AC15" i="28"/>
  <c r="AD8" i="28"/>
  <c r="AB12" i="38"/>
  <c r="AC5" i="38"/>
  <c r="AA16" i="46"/>
  <c r="AA272" i="46" s="1"/>
  <c r="AA16" i="20"/>
  <c r="AA219" i="20" s="1"/>
  <c r="AC8" i="38"/>
  <c r="AB15" i="38"/>
  <c r="AC11" i="20"/>
  <c r="AD4" i="20"/>
  <c r="AC9" i="53" l="1"/>
  <c r="AC11" i="46"/>
  <c r="AD4" i="46"/>
  <c r="AB16" i="46"/>
  <c r="AB272" i="46" s="1"/>
  <c r="AC9" i="54"/>
  <c r="AC11" i="54"/>
  <c r="AD4" i="54"/>
  <c r="AC13" i="20"/>
  <c r="AC16" i="20" s="1"/>
  <c r="AC219" i="20" s="1"/>
  <c r="AD6" i="20"/>
  <c r="AC13" i="54"/>
  <c r="AD6" i="54"/>
  <c r="AB16" i="53"/>
  <c r="AC9" i="42"/>
  <c r="AC11" i="42"/>
  <c r="AD4" i="42"/>
  <c r="AF4" i="29"/>
  <c r="AE11" i="29"/>
  <c r="AC15" i="29"/>
  <c r="AD8" i="29"/>
  <c r="AC13" i="38"/>
  <c r="AD6" i="38"/>
  <c r="AD12" i="20"/>
  <c r="AE5" i="20"/>
  <c r="AB16" i="42"/>
  <c r="AB244" i="42" s="1"/>
  <c r="AD6" i="48"/>
  <c r="AC13" i="48"/>
  <c r="AD11" i="19"/>
  <c r="AE4" i="19"/>
  <c r="AC12" i="48"/>
  <c r="AD5" i="48"/>
  <c r="AC15" i="19"/>
  <c r="AD8" i="19"/>
  <c r="AD8" i="42"/>
  <c r="AC15" i="42"/>
  <c r="AC12" i="42"/>
  <c r="AD5" i="42"/>
  <c r="AC12" i="38"/>
  <c r="AD5" i="38"/>
  <c r="AB16" i="19"/>
  <c r="AB16" i="29"/>
  <c r="AC15" i="48"/>
  <c r="AD8" i="48"/>
  <c r="AC15" i="20"/>
  <c r="AD8" i="20"/>
  <c r="AD9" i="20" s="1"/>
  <c r="AC15" i="54"/>
  <c r="AD8" i="54"/>
  <c r="AC9" i="38"/>
  <c r="AC11" i="38"/>
  <c r="AD4" i="38"/>
  <c r="AC9" i="28"/>
  <c r="AC11" i="28"/>
  <c r="AD4" i="28"/>
  <c r="AB16" i="28"/>
  <c r="AB115" i="28" s="1"/>
  <c r="AC12" i="19"/>
  <c r="AD5" i="19"/>
  <c r="AD13" i="19"/>
  <c r="AE6" i="19"/>
  <c r="AC9" i="19"/>
  <c r="AC12" i="29"/>
  <c r="AD5" i="29"/>
  <c r="AC9" i="29"/>
  <c r="AC15" i="53"/>
  <c r="AD8" i="53"/>
  <c r="AB16" i="38"/>
  <c r="AB244" i="38" s="1"/>
  <c r="AE11" i="53"/>
  <c r="AF4" i="53"/>
  <c r="AC13" i="46"/>
  <c r="AD6" i="46"/>
  <c r="AB16" i="48"/>
  <c r="AB272" i="48" s="1"/>
  <c r="AC13" i="29"/>
  <c r="AD6" i="29"/>
  <c r="AC12" i="54"/>
  <c r="AD5" i="54"/>
  <c r="AE5" i="53"/>
  <c r="AD12" i="53"/>
  <c r="AC12" i="28"/>
  <c r="AD5" i="28"/>
  <c r="AD11" i="20"/>
  <c r="AE4" i="20"/>
  <c r="AC15" i="46"/>
  <c r="AD8" i="46"/>
  <c r="AC9" i="48"/>
  <c r="AD4" i="48"/>
  <c r="AC11" i="48"/>
  <c r="AC13" i="28"/>
  <c r="AD6" i="28"/>
  <c r="AD15" i="28"/>
  <c r="AE8" i="28"/>
  <c r="AC15" i="38"/>
  <c r="AD8" i="38"/>
  <c r="AD5" i="46"/>
  <c r="AC12" i="46"/>
  <c r="AC9" i="46"/>
  <c r="AB16" i="54"/>
  <c r="AC13" i="42"/>
  <c r="AD6" i="42"/>
  <c r="AC13" i="53"/>
  <c r="AD6" i="53"/>
  <c r="AB16" i="20"/>
  <c r="AB219" i="20" s="1"/>
  <c r="AC16" i="19" l="1"/>
  <c r="AD11" i="46"/>
  <c r="AE4" i="46"/>
  <c r="AF4" i="20"/>
  <c r="AE11" i="20"/>
  <c r="AD9" i="38"/>
  <c r="AE4" i="38"/>
  <c r="AD11" i="38"/>
  <c r="AD15" i="48"/>
  <c r="AE8" i="48"/>
  <c r="AD15" i="19"/>
  <c r="AE8" i="19"/>
  <c r="AD13" i="54"/>
  <c r="AE6" i="54"/>
  <c r="AF5" i="53"/>
  <c r="AE12" i="53"/>
  <c r="AE5" i="29"/>
  <c r="AD12" i="29"/>
  <c r="AD9" i="29"/>
  <c r="AC16" i="38"/>
  <c r="AC244" i="38" s="1"/>
  <c r="AE6" i="48"/>
  <c r="AD13" i="48"/>
  <c r="AD13" i="38"/>
  <c r="AE6" i="38"/>
  <c r="AG4" i="29"/>
  <c r="AF11" i="29"/>
  <c r="AD12" i="54"/>
  <c r="AE5" i="54"/>
  <c r="AC16" i="29"/>
  <c r="AD12" i="38"/>
  <c r="AE5" i="38"/>
  <c r="AD13" i="53"/>
  <c r="AE6" i="53"/>
  <c r="AD9" i="48"/>
  <c r="AD11" i="48"/>
  <c r="AE4" i="48"/>
  <c r="AD13" i="46"/>
  <c r="AE6" i="46"/>
  <c r="AD15" i="54"/>
  <c r="AE8" i="54"/>
  <c r="AE5" i="48"/>
  <c r="AD12" i="48"/>
  <c r="AE8" i="29"/>
  <c r="AD15" i="29"/>
  <c r="AD9" i="42"/>
  <c r="AD11" i="42"/>
  <c r="AE4" i="42"/>
  <c r="AD9" i="53"/>
  <c r="AE6" i="29"/>
  <c r="AD13" i="29"/>
  <c r="AE8" i="53"/>
  <c r="AD15" i="53"/>
  <c r="AE13" i="19"/>
  <c r="AF6" i="19"/>
  <c r="AD9" i="28"/>
  <c r="AD11" i="28"/>
  <c r="AE4" i="28"/>
  <c r="AD12" i="42"/>
  <c r="AE5" i="42"/>
  <c r="AC16" i="42"/>
  <c r="AC244" i="42" s="1"/>
  <c r="AD13" i="20"/>
  <c r="AE6" i="20"/>
  <c r="AC16" i="53"/>
  <c r="AD13" i="42"/>
  <c r="AE6" i="42"/>
  <c r="AD15" i="46"/>
  <c r="AE8" i="46"/>
  <c r="AG4" i="53"/>
  <c r="AF11" i="53"/>
  <c r="AC16" i="28"/>
  <c r="AC115" i="28" s="1"/>
  <c r="AF4" i="19"/>
  <c r="AE11" i="19"/>
  <c r="AD12" i="46"/>
  <c r="AE5" i="46"/>
  <c r="AD9" i="46"/>
  <c r="AD12" i="28"/>
  <c r="AE5" i="28"/>
  <c r="AE5" i="19"/>
  <c r="AE9" i="19" s="1"/>
  <c r="AD12" i="19"/>
  <c r="AD16" i="19" s="1"/>
  <c r="AD15" i="20"/>
  <c r="AE8" i="20"/>
  <c r="AF5" i="20"/>
  <c r="AE12" i="20"/>
  <c r="AD9" i="54"/>
  <c r="AE4" i="54"/>
  <c r="AD11" i="54"/>
  <c r="AE15" i="28"/>
  <c r="AF8" i="28"/>
  <c r="AC16" i="48"/>
  <c r="AC272" i="48" s="1"/>
  <c r="AC16" i="46"/>
  <c r="AC272" i="46" s="1"/>
  <c r="AD15" i="38"/>
  <c r="AE8" i="38"/>
  <c r="AD13" i="28"/>
  <c r="AE6" i="28"/>
  <c r="AD15" i="42"/>
  <c r="AE8" i="42"/>
  <c r="AD9" i="19"/>
  <c r="AC16" i="54"/>
  <c r="AD16" i="53" l="1"/>
  <c r="AE9" i="53"/>
  <c r="AD16" i="20"/>
  <c r="AE11" i="46"/>
  <c r="AF4" i="46"/>
  <c r="AE13" i="42"/>
  <c r="AF6" i="42"/>
  <c r="AD16" i="28"/>
  <c r="AD115" i="28" s="1"/>
  <c r="AE13" i="29"/>
  <c r="AF6" i="29"/>
  <c r="AE9" i="42"/>
  <c r="AF4" i="42"/>
  <c r="AE11" i="42"/>
  <c r="AF8" i="54"/>
  <c r="AE15" i="54"/>
  <c r="AF6" i="53"/>
  <c r="AE13" i="53"/>
  <c r="AE9" i="38"/>
  <c r="AE11" i="38"/>
  <c r="AF4" i="38"/>
  <c r="AD16" i="54"/>
  <c r="AD16" i="42"/>
  <c r="AD244" i="42" s="1"/>
  <c r="AE12" i="54"/>
  <c r="AF5" i="54"/>
  <c r="AD16" i="29"/>
  <c r="AE9" i="54"/>
  <c r="AE11" i="54"/>
  <c r="AF4" i="54"/>
  <c r="AF8" i="20"/>
  <c r="AE15" i="20"/>
  <c r="AF11" i="19"/>
  <c r="AG4" i="19"/>
  <c r="AF13" i="19"/>
  <c r="AG6" i="19"/>
  <c r="AG13" i="19" s="1"/>
  <c r="AE13" i="46"/>
  <c r="AF6" i="46"/>
  <c r="AE13" i="48"/>
  <c r="AF6" i="48"/>
  <c r="AE12" i="29"/>
  <c r="AF5" i="29"/>
  <c r="AE9" i="29"/>
  <c r="AG11" i="53"/>
  <c r="AD219" i="20"/>
  <c r="AE15" i="19"/>
  <c r="AF8" i="19"/>
  <c r="AE12" i="42"/>
  <c r="AF5" i="42"/>
  <c r="AE15" i="29"/>
  <c r="AF8" i="29"/>
  <c r="AG5" i="53"/>
  <c r="AG12" i="53" s="1"/>
  <c r="AF12" i="53"/>
  <c r="AF11" i="20"/>
  <c r="AG4" i="20"/>
  <c r="AE13" i="28"/>
  <c r="AF6" i="28"/>
  <c r="AG5" i="20"/>
  <c r="AG12" i="20" s="1"/>
  <c r="AF12" i="20"/>
  <c r="AE12" i="46"/>
  <c r="AF5" i="46"/>
  <c r="AE9" i="46"/>
  <c r="AE13" i="20"/>
  <c r="AF6" i="20"/>
  <c r="AF9" i="20" s="1"/>
  <c r="AE15" i="53"/>
  <c r="AF8" i="53"/>
  <c r="AE9" i="48"/>
  <c r="AE11" i="48"/>
  <c r="AF4" i="48"/>
  <c r="AE12" i="38"/>
  <c r="AF5" i="38"/>
  <c r="AG11" i="29"/>
  <c r="AF6" i="54"/>
  <c r="AE13" i="54"/>
  <c r="AE15" i="48"/>
  <c r="AF8" i="48"/>
  <c r="AE9" i="20"/>
  <c r="AE12" i="28"/>
  <c r="AF5" i="28"/>
  <c r="AF5" i="19"/>
  <c r="AE12" i="19"/>
  <c r="AD16" i="46"/>
  <c r="AD272" i="46" s="1"/>
  <c r="AE15" i="46"/>
  <c r="AF8" i="46"/>
  <c r="AF5" i="48"/>
  <c r="AE12" i="48"/>
  <c r="AD16" i="48"/>
  <c r="AD272" i="48" s="1"/>
  <c r="AE15" i="42"/>
  <c r="AF8" i="42"/>
  <c r="AE15" i="38"/>
  <c r="AF8" i="38"/>
  <c r="AG8" i="28"/>
  <c r="AG15" i="28" s="1"/>
  <c r="AF15" i="28"/>
  <c r="AE9" i="28"/>
  <c r="AF4" i="28"/>
  <c r="AE11" i="28"/>
  <c r="AE13" i="38"/>
  <c r="AF6" i="38"/>
  <c r="AD16" i="38"/>
  <c r="AD244" i="38" s="1"/>
  <c r="AF11" i="46" l="1"/>
  <c r="AG4" i="46"/>
  <c r="AG11" i="46" s="1"/>
  <c r="AE16" i="28"/>
  <c r="AE115" i="28" s="1"/>
  <c r="AG8" i="42"/>
  <c r="AG15" i="42" s="1"/>
  <c r="AF15" i="42"/>
  <c r="AF12" i="46"/>
  <c r="AG5" i="46"/>
  <c r="AF9" i="46"/>
  <c r="AF15" i="29"/>
  <c r="AG8" i="29"/>
  <c r="AG15" i="29" s="1"/>
  <c r="AE16" i="29"/>
  <c r="AF13" i="53"/>
  <c r="AG6" i="53"/>
  <c r="AF9" i="53"/>
  <c r="AG5" i="48"/>
  <c r="AG12" i="48" s="1"/>
  <c r="AF12" i="48"/>
  <c r="AE16" i="46"/>
  <c r="AE272" i="46" s="1"/>
  <c r="AF15" i="19"/>
  <c r="AG8" i="19"/>
  <c r="AG15" i="19" s="1"/>
  <c r="AF13" i="48"/>
  <c r="AG6" i="48"/>
  <c r="AG13" i="48" s="1"/>
  <c r="AG5" i="54"/>
  <c r="AG12" i="54" s="1"/>
  <c r="AF12" i="54"/>
  <c r="AG8" i="53"/>
  <c r="AG15" i="53" s="1"/>
  <c r="AF15" i="53"/>
  <c r="AF15" i="20"/>
  <c r="AG8" i="20"/>
  <c r="AG15" i="20" s="1"/>
  <c r="AG8" i="54"/>
  <c r="AG15" i="54" s="1"/>
  <c r="AF15" i="54"/>
  <c r="AF9" i="28"/>
  <c r="AF11" i="28"/>
  <c r="AG4" i="28"/>
  <c r="AG8" i="46"/>
  <c r="AG15" i="46" s="1"/>
  <c r="AF15" i="46"/>
  <c r="AF12" i="28"/>
  <c r="AG5" i="28"/>
  <c r="AG12" i="28" s="1"/>
  <c r="AG5" i="42"/>
  <c r="AG12" i="42" s="1"/>
  <c r="AF12" i="42"/>
  <c r="AF9" i="54"/>
  <c r="AG4" i="54"/>
  <c r="AF11" i="54"/>
  <c r="AF9" i="38"/>
  <c r="AG4" i="38"/>
  <c r="AF11" i="38"/>
  <c r="AE16" i="42"/>
  <c r="AE244" i="42" s="1"/>
  <c r="AG6" i="42"/>
  <c r="AG13" i="42" s="1"/>
  <c r="AF13" i="42"/>
  <c r="AF12" i="38"/>
  <c r="AG5" i="38"/>
  <c r="AG12" i="38" s="1"/>
  <c r="AE16" i="19"/>
  <c r="AF16" i="53"/>
  <c r="AE16" i="54"/>
  <c r="AE16" i="38"/>
  <c r="AE244" i="38" s="1"/>
  <c r="AF9" i="42"/>
  <c r="AG4" i="42"/>
  <c r="AF11" i="42"/>
  <c r="AG6" i="54"/>
  <c r="AG13" i="54" s="1"/>
  <c r="AF13" i="54"/>
  <c r="AG6" i="38"/>
  <c r="AG13" i="38" s="1"/>
  <c r="AF13" i="38"/>
  <c r="AG6" i="20"/>
  <c r="AG13" i="20" s="1"/>
  <c r="AF13" i="20"/>
  <c r="AF13" i="28"/>
  <c r="AG6" i="28"/>
  <c r="AG13" i="28" s="1"/>
  <c r="AG11" i="19"/>
  <c r="AG5" i="19"/>
  <c r="AG12" i="19" s="1"/>
  <c r="AF12" i="19"/>
  <c r="AF16" i="19" s="1"/>
  <c r="AF15" i="38"/>
  <c r="AG8" i="38"/>
  <c r="AG15" i="38" s="1"/>
  <c r="AF15" i="48"/>
  <c r="AG8" i="48"/>
  <c r="AG15" i="48" s="1"/>
  <c r="AF9" i="48"/>
  <c r="AG4" i="48"/>
  <c r="AF11" i="48"/>
  <c r="AG6" i="29"/>
  <c r="AG13" i="29" s="1"/>
  <c r="AF13" i="29"/>
  <c r="AE16" i="48"/>
  <c r="AE272" i="48" s="1"/>
  <c r="AG11" i="20"/>
  <c r="AE16" i="20"/>
  <c r="AE219" i="20" s="1"/>
  <c r="AG5" i="29"/>
  <c r="AF12" i="29"/>
  <c r="AF9" i="29"/>
  <c r="AG6" i="46"/>
  <c r="AG13" i="46" s="1"/>
  <c r="AF13" i="46"/>
  <c r="AF9" i="19"/>
  <c r="AE16" i="53"/>
  <c r="AG9" i="20" l="1"/>
  <c r="AG9" i="28"/>
  <c r="AG11" i="28"/>
  <c r="AG13" i="53"/>
  <c r="AG9" i="53"/>
  <c r="AF16" i="29"/>
  <c r="AF16" i="42"/>
  <c r="AF244" i="42" s="1"/>
  <c r="AF16" i="38"/>
  <c r="AF244" i="38" s="1"/>
  <c r="AF16" i="28"/>
  <c r="AF115" i="28" s="1"/>
  <c r="AG12" i="29"/>
  <c r="AG9" i="29"/>
  <c r="AF16" i="48"/>
  <c r="AF272" i="48" s="1"/>
  <c r="AG9" i="42"/>
  <c r="AG11" i="42"/>
  <c r="AG9" i="38"/>
  <c r="AG11" i="38"/>
  <c r="AG9" i="48"/>
  <c r="AG11" i="48"/>
  <c r="AF16" i="20"/>
  <c r="AF219" i="20" s="1"/>
  <c r="AG16" i="20"/>
  <c r="AG219" i="20" s="1"/>
  <c r="AG16" i="19"/>
  <c r="AF16" i="54"/>
  <c r="AG9" i="19"/>
  <c r="AG9" i="54"/>
  <c r="AG11" i="54"/>
  <c r="AG12" i="46"/>
  <c r="AG9" i="46"/>
  <c r="AF16" i="46"/>
  <c r="AF272" i="46" s="1"/>
  <c r="AG16" i="53" l="1"/>
  <c r="AG16" i="28"/>
  <c r="AG115" i="28" s="1"/>
  <c r="AG16" i="38"/>
  <c r="AG244" i="38" s="1"/>
  <c r="AG16" i="54"/>
  <c r="AG16" i="29"/>
  <c r="AG16" i="46"/>
  <c r="AG272" i="46"/>
  <c r="AG16" i="48"/>
  <c r="AG272" i="48" s="1"/>
  <c r="AG16" i="42"/>
  <c r="AG244" i="42" s="1"/>
  <c r="D12" i="25"/>
  <c r="AH16" i="25" s="1"/>
  <c r="AI16" i="25" s="1"/>
  <c r="D9" i="25"/>
  <c r="S17" i="25" s="1"/>
  <c r="T17" i="25" s="1"/>
  <c r="D7" i="25"/>
  <c r="I18" i="25"/>
  <c r="J18" i="25" s="1"/>
  <c r="D11" i="25"/>
  <c r="AC16" i="25" s="1"/>
  <c r="AD16" i="25" s="1"/>
  <c r="D10" i="25"/>
  <c r="X16" i="25" s="1"/>
  <c r="D6" i="25"/>
  <c r="D18" i="25" s="1"/>
  <c r="D8" i="25"/>
  <c r="D16" i="25" l="1"/>
  <c r="E16" i="25" s="1"/>
  <c r="D17" i="25"/>
  <c r="C46" i="44"/>
  <c r="C48" i="44" s="1"/>
  <c r="D51" i="44" s="1"/>
  <c r="Y16" i="25"/>
  <c r="X20" i="25"/>
  <c r="N18" i="25"/>
  <c r="O18" i="25" s="1"/>
  <c r="N17" i="25"/>
  <c r="O17" i="25" s="1"/>
  <c r="N19" i="25"/>
  <c r="O19" i="25" s="1"/>
  <c r="N16" i="25"/>
  <c r="X17" i="25"/>
  <c r="Y17" i="25" s="1"/>
  <c r="X18" i="25"/>
  <c r="Y18" i="25" s="1"/>
  <c r="X19" i="25"/>
  <c r="Y19" i="25" s="1"/>
  <c r="I19" i="25"/>
  <c r="J19" i="25" s="1"/>
  <c r="I16" i="25"/>
  <c r="I17" i="25"/>
  <c r="J17" i="25" s="1"/>
  <c r="S16" i="25"/>
  <c r="I20" i="25" l="1"/>
  <c r="J16" i="25"/>
  <c r="T16" i="25"/>
  <c r="S18" i="25"/>
  <c r="G50" i="44"/>
  <c r="G51" i="44"/>
  <c r="E17" i="25"/>
  <c r="O22" i="24"/>
  <c r="N20" i="25"/>
  <c r="O16" i="25"/>
  <c r="C27" i="25" s="1"/>
  <c r="P22" i="24" l="1"/>
  <c r="C28" i="25"/>
  <c r="D53" i="25" s="1"/>
  <c r="J53" i="25" s="1"/>
  <c r="D52" i="25" l="1"/>
  <c r="J52" i="25" s="1"/>
  <c r="D51" i="25"/>
  <c r="J51" i="25" s="1"/>
  <c r="B81" i="15" s="1"/>
  <c r="B93" i="15" s="1"/>
  <c r="B104" i="15" s="1"/>
  <c r="B116" i="15" s="1"/>
  <c r="C29" i="25"/>
  <c r="B83" i="16"/>
  <c r="B94" i="16" s="1"/>
  <c r="B103" i="16" s="1"/>
  <c r="B113" i="16" s="1"/>
  <c r="K53" i="25"/>
  <c r="B83" i="15"/>
  <c r="B94" i="15" s="1"/>
  <c r="B103" i="15" s="1"/>
  <c r="B113" i="15" s="1"/>
  <c r="D54" i="25"/>
  <c r="J54" i="25" s="1"/>
  <c r="D55" i="25"/>
  <c r="J55" i="25" s="1"/>
  <c r="M24" i="24"/>
  <c r="N24" i="24"/>
  <c r="N28" i="24"/>
  <c r="M28" i="24"/>
  <c r="L16" i="24"/>
  <c r="L17" i="24" s="1"/>
  <c r="O28" i="24"/>
  <c r="B82" i="16"/>
  <c r="B92" i="16" s="1"/>
  <c r="B105" i="16" s="1"/>
  <c r="B115" i="16" s="1"/>
  <c r="B82" i="15"/>
  <c r="B92" i="15" s="1"/>
  <c r="B105" i="15" s="1"/>
  <c r="B115" i="15" s="1"/>
  <c r="K52" i="25"/>
  <c r="O24" i="24"/>
  <c r="B81" i="16"/>
  <c r="B93" i="16" s="1"/>
  <c r="B104" i="16" s="1"/>
  <c r="B116" i="16" s="1"/>
  <c r="K51" i="25"/>
  <c r="D50" i="25"/>
  <c r="M51" i="25" l="1"/>
  <c r="I4" i="4"/>
  <c r="D40" i="24"/>
  <c r="D50" i="24" s="1"/>
  <c r="G37" i="24"/>
  <c r="G47" i="24" s="1"/>
  <c r="G40" i="24"/>
  <c r="G50" i="24" s="1"/>
  <c r="H37" i="24"/>
  <c r="H47" i="24" s="1"/>
  <c r="E40" i="24"/>
  <c r="E50" i="24" s="1"/>
  <c r="C37" i="24"/>
  <c r="C38" i="24"/>
  <c r="E37" i="24"/>
  <c r="E47" i="24" s="1"/>
  <c r="F37" i="24"/>
  <c r="F47" i="24" s="1"/>
  <c r="B40" i="24"/>
  <c r="D37" i="24"/>
  <c r="D47" i="24" s="1"/>
  <c r="F40" i="24"/>
  <c r="F50" i="24" s="1"/>
  <c r="H36" i="24"/>
  <c r="C40" i="24"/>
  <c r="B37" i="24"/>
  <c r="E38" i="24"/>
  <c r="E48" i="24" s="1"/>
  <c r="C36" i="24"/>
  <c r="F38" i="24"/>
  <c r="F48" i="24" s="1"/>
  <c r="D38" i="24"/>
  <c r="D48" i="24" s="1"/>
  <c r="G38" i="24"/>
  <c r="G48" i="24" s="1"/>
  <c r="D36" i="24"/>
  <c r="E36" i="24"/>
  <c r="B38" i="24"/>
  <c r="H39" i="24"/>
  <c r="H49" i="24" s="1"/>
  <c r="H38" i="24"/>
  <c r="H48" i="24" s="1"/>
  <c r="G36" i="24"/>
  <c r="F39" i="24"/>
  <c r="F49" i="24" s="1"/>
  <c r="H40" i="24"/>
  <c r="H50" i="24" s="1"/>
  <c r="F36" i="24"/>
  <c r="B36" i="24"/>
  <c r="C39" i="24"/>
  <c r="B85" i="15"/>
  <c r="B95" i="15" s="1"/>
  <c r="B102" i="15" s="1"/>
  <c r="B85" i="16"/>
  <c r="B95" i="16" s="1"/>
  <c r="B102" i="16" s="1"/>
  <c r="K55" i="25"/>
  <c r="K54" i="25"/>
  <c r="M54" i="25" s="1"/>
  <c r="B84" i="16"/>
  <c r="B84" i="15"/>
  <c r="D57" i="25"/>
  <c r="J57" i="25" s="1"/>
  <c r="J50" i="25"/>
  <c r="M52" i="25"/>
  <c r="C4" i="3"/>
  <c r="E4" i="26"/>
  <c r="I39" i="24" l="1"/>
  <c r="B41" i="24"/>
  <c r="I36" i="24"/>
  <c r="B46" i="24"/>
  <c r="C47" i="24"/>
  <c r="H41" i="24"/>
  <c r="H46" i="24"/>
  <c r="F41" i="24"/>
  <c r="F46" i="24"/>
  <c r="E41" i="24"/>
  <c r="E46" i="24"/>
  <c r="I49" i="24"/>
  <c r="G6" i="33" s="1"/>
  <c r="C5" i="3"/>
  <c r="C7" i="3" s="1"/>
  <c r="D6" i="15"/>
  <c r="D6" i="16"/>
  <c r="G41" i="24"/>
  <c r="G46" i="24"/>
  <c r="D41" i="24"/>
  <c r="D46" i="24"/>
  <c r="C41" i="24"/>
  <c r="C46" i="24"/>
  <c r="I40" i="24"/>
  <c r="B50" i="24"/>
  <c r="I38" i="24"/>
  <c r="B48" i="24"/>
  <c r="B112" i="16"/>
  <c r="B112" i="15"/>
  <c r="I6" i="33"/>
  <c r="I15" i="33"/>
  <c r="I37" i="24"/>
  <c r="B47" i="24"/>
  <c r="I5" i="4"/>
  <c r="I6" i="4" s="1"/>
  <c r="D22" i="16"/>
  <c r="D22" i="15"/>
  <c r="B80" i="16"/>
  <c r="B80" i="15"/>
  <c r="K50" i="25"/>
  <c r="C50" i="24"/>
  <c r="C48" i="24"/>
  <c r="I8" i="4" l="1"/>
  <c r="I7" i="4"/>
  <c r="I9" i="4"/>
  <c r="G51" i="24"/>
  <c r="E51" i="24"/>
  <c r="H51" i="24"/>
  <c r="I50" i="24"/>
  <c r="C16" i="33" s="1"/>
  <c r="E6" i="16"/>
  <c r="D8" i="16"/>
  <c r="B88" i="16"/>
  <c r="B91" i="16"/>
  <c r="I47" i="24"/>
  <c r="C13" i="33"/>
  <c r="C51" i="24"/>
  <c r="AK94" i="15"/>
  <c r="AK117" i="15"/>
  <c r="D8" i="15"/>
  <c r="E6" i="15"/>
  <c r="F51" i="24"/>
  <c r="C8" i="3"/>
  <c r="B51" i="24"/>
  <c r="I46" i="24"/>
  <c r="D12" i="33" s="1"/>
  <c r="C3" i="33"/>
  <c r="B97" i="24"/>
  <c r="B88" i="15"/>
  <c r="B91" i="15"/>
  <c r="AK90" i="15"/>
  <c r="AK114" i="15"/>
  <c r="D25" i="15"/>
  <c r="E22" i="15"/>
  <c r="D25" i="16"/>
  <c r="E22" i="16"/>
  <c r="L23" i="34"/>
  <c r="M20" i="47"/>
  <c r="M17" i="41"/>
  <c r="I48" i="24"/>
  <c r="C5" i="33" s="1"/>
  <c r="E3" i="33"/>
  <c r="D51" i="24"/>
  <c r="E12" i="33"/>
  <c r="C6" i="33"/>
  <c r="D15" i="33"/>
  <c r="E15" i="33"/>
  <c r="F6" i="33"/>
  <c r="H6" i="33"/>
  <c r="D6" i="33"/>
  <c r="E6" i="33"/>
  <c r="F15" i="33"/>
  <c r="C15" i="33"/>
  <c r="H15" i="33"/>
  <c r="M50" i="25"/>
  <c r="K57" i="25"/>
  <c r="M57" i="25" s="1"/>
  <c r="I4" i="8"/>
  <c r="G15" i="33"/>
  <c r="I41" i="24"/>
  <c r="D24" i="33" l="1"/>
  <c r="G12" i="33"/>
  <c r="J6" i="33"/>
  <c r="D7" i="33"/>
  <c r="D16" i="33"/>
  <c r="C7" i="33"/>
  <c r="N50" i="25"/>
  <c r="C12" i="33"/>
  <c r="M18" i="47"/>
  <c r="E24" i="33"/>
  <c r="L20" i="34"/>
  <c r="E5" i="33"/>
  <c r="E14" i="33"/>
  <c r="G5" i="33"/>
  <c r="H5" i="33"/>
  <c r="G14" i="33"/>
  <c r="H14" i="33"/>
  <c r="I5" i="33"/>
  <c r="I14" i="33"/>
  <c r="F5" i="33"/>
  <c r="F14" i="33"/>
  <c r="L13" i="34" s="1"/>
  <c r="C10" i="3"/>
  <c r="D13" i="15"/>
  <c r="E7" i="16"/>
  <c r="F6" i="16"/>
  <c r="L35" i="34"/>
  <c r="F12" i="33"/>
  <c r="E23" i="15"/>
  <c r="E24" i="15"/>
  <c r="F22" i="15"/>
  <c r="L27" i="34"/>
  <c r="H12" i="33"/>
  <c r="D124" i="15"/>
  <c r="C38" i="28"/>
  <c r="D54" i="15"/>
  <c r="B104" i="24"/>
  <c r="K97" i="24"/>
  <c r="C11" i="3"/>
  <c r="G13" i="33"/>
  <c r="L30" i="34" s="1"/>
  <c r="G4" i="33"/>
  <c r="F4" i="33"/>
  <c r="I13" i="33"/>
  <c r="L31" i="34" s="1"/>
  <c r="E4" i="33"/>
  <c r="I4" i="33"/>
  <c r="E13" i="33"/>
  <c r="L28" i="34" s="1"/>
  <c r="F13" i="33"/>
  <c r="L29" i="34" s="1"/>
  <c r="H4" i="33"/>
  <c r="H13" i="33"/>
  <c r="F16" i="33"/>
  <c r="F7" i="33"/>
  <c r="G7" i="33"/>
  <c r="E7" i="33"/>
  <c r="G16" i="33"/>
  <c r="E16" i="33"/>
  <c r="I7" i="33"/>
  <c r="I16" i="33"/>
  <c r="H16" i="33"/>
  <c r="H7" i="33"/>
  <c r="C24" i="33"/>
  <c r="H71" i="33"/>
  <c r="D71" i="33"/>
  <c r="L19" i="34"/>
  <c r="J15" i="33"/>
  <c r="J42" i="33" s="1"/>
  <c r="G71" i="33"/>
  <c r="G79" i="33" s="1"/>
  <c r="E71" i="33"/>
  <c r="F71" i="33"/>
  <c r="I71" i="33"/>
  <c r="M3" i="41"/>
  <c r="M21" i="41"/>
  <c r="L6" i="34"/>
  <c r="M3" i="47"/>
  <c r="G17" i="33"/>
  <c r="M24" i="47"/>
  <c r="C4" i="33"/>
  <c r="C8" i="33" s="1"/>
  <c r="I12" i="33"/>
  <c r="H3" i="33"/>
  <c r="L4" i="34"/>
  <c r="M25" i="47"/>
  <c r="M4" i="47"/>
  <c r="B106" i="16"/>
  <c r="B97" i="16"/>
  <c r="D14" i="33"/>
  <c r="I3" i="33"/>
  <c r="I24" i="33"/>
  <c r="G3" i="33"/>
  <c r="D5" i="33"/>
  <c r="J5" i="33" s="1"/>
  <c r="M17" i="47"/>
  <c r="G24" i="33"/>
  <c r="M15" i="41"/>
  <c r="L22" i="34"/>
  <c r="I5" i="8"/>
  <c r="I6" i="8" s="1"/>
  <c r="D14" i="15"/>
  <c r="D14" i="16"/>
  <c r="K59" i="25"/>
  <c r="E8" i="33"/>
  <c r="E23" i="16"/>
  <c r="E24" i="16"/>
  <c r="E25" i="16" s="1"/>
  <c r="F22" i="16"/>
  <c r="B106" i="15"/>
  <c r="B97" i="15"/>
  <c r="I51" i="24"/>
  <c r="E7" i="15"/>
  <c r="F6" i="15"/>
  <c r="D3" i="33"/>
  <c r="D13" i="33"/>
  <c r="F3" i="33"/>
  <c r="F8" i="33" s="1"/>
  <c r="H24" i="33"/>
  <c r="M16" i="41"/>
  <c r="M19" i="47"/>
  <c r="F24" i="33"/>
  <c r="L21" i="34"/>
  <c r="M55" i="25"/>
  <c r="N56" i="25"/>
  <c r="M53" i="25"/>
  <c r="N51" i="25"/>
  <c r="N54" i="25"/>
  <c r="C106" i="16" s="1"/>
  <c r="C117" i="16" s="1"/>
  <c r="N52" i="25"/>
  <c r="C14" i="33"/>
  <c r="D54" i="16"/>
  <c r="D124" i="16"/>
  <c r="C38" i="29"/>
  <c r="D13" i="16"/>
  <c r="D4" i="33"/>
  <c r="D79" i="33" l="1"/>
  <c r="E17" i="33"/>
  <c r="I8" i="33"/>
  <c r="H8" i="33"/>
  <c r="D17" i="33"/>
  <c r="J12" i="33"/>
  <c r="J39" i="33" s="1"/>
  <c r="H79" i="33"/>
  <c r="C21" i="48" s="1"/>
  <c r="I79" i="33"/>
  <c r="C21" i="54" s="1"/>
  <c r="F79" i="33"/>
  <c r="E79" i="33"/>
  <c r="L3" i="34"/>
  <c r="J7" i="33"/>
  <c r="G68" i="33"/>
  <c r="G8" i="33"/>
  <c r="H68" i="33"/>
  <c r="D68" i="33"/>
  <c r="D76" i="33" s="1"/>
  <c r="C18" i="28" s="1"/>
  <c r="I68" i="33"/>
  <c r="I22" i="33"/>
  <c r="E68" i="33"/>
  <c r="F68" i="33"/>
  <c r="J3" i="33"/>
  <c r="H22" i="33"/>
  <c r="H72" i="33"/>
  <c r="I8" i="8"/>
  <c r="I10" i="8"/>
  <c r="I7" i="8"/>
  <c r="I9" i="8"/>
  <c r="C21" i="29"/>
  <c r="C21" i="28"/>
  <c r="M4" i="41"/>
  <c r="M26" i="47"/>
  <c r="M22" i="41"/>
  <c r="H17" i="33"/>
  <c r="M5" i="47"/>
  <c r="J13" i="33"/>
  <c r="J40" i="33" s="1"/>
  <c r="F72" i="33"/>
  <c r="F7" i="16"/>
  <c r="G6" i="16"/>
  <c r="E41" i="15"/>
  <c r="J24" i="33"/>
  <c r="D59" i="15"/>
  <c r="L32" i="34"/>
  <c r="M27" i="34" s="1"/>
  <c r="J16" i="33"/>
  <c r="J43" i="33" s="1"/>
  <c r="E41" i="16"/>
  <c r="L12" i="34"/>
  <c r="M11" i="47"/>
  <c r="E124" i="16"/>
  <c r="D38" i="29"/>
  <c r="E54" i="16"/>
  <c r="M18" i="41"/>
  <c r="N15" i="41" s="1"/>
  <c r="F69" i="33"/>
  <c r="F77" i="33" s="1"/>
  <c r="E8" i="16"/>
  <c r="B117" i="16"/>
  <c r="B118" i="16" s="1"/>
  <c r="B107" i="16"/>
  <c r="M33" i="47"/>
  <c r="M28" i="41"/>
  <c r="H25" i="33"/>
  <c r="L37" i="34"/>
  <c r="F25" i="33"/>
  <c r="I69" i="33"/>
  <c r="I77" i="33" s="1"/>
  <c r="H69" i="33"/>
  <c r="H77" i="33" s="1"/>
  <c r="F17" i="33"/>
  <c r="L5" i="34"/>
  <c r="M13" i="47"/>
  <c r="M11" i="41"/>
  <c r="L15" i="34"/>
  <c r="C37" i="29"/>
  <c r="D125" i="16"/>
  <c r="D47" i="16"/>
  <c r="C104" i="16"/>
  <c r="C116" i="16" s="1"/>
  <c r="C104" i="15"/>
  <c r="C116" i="15" s="1"/>
  <c r="L55" i="25"/>
  <c r="N55" i="25"/>
  <c r="D8" i="33"/>
  <c r="M21" i="47"/>
  <c r="O18" i="47" s="1"/>
  <c r="AI79" i="47" s="1"/>
  <c r="M27" i="47"/>
  <c r="M23" i="41"/>
  <c r="I17" i="33"/>
  <c r="L7" i="34"/>
  <c r="M5" i="41"/>
  <c r="M6" i="47"/>
  <c r="M7" i="47" s="1"/>
  <c r="C21" i="42"/>
  <c r="C21" i="38"/>
  <c r="M29" i="41"/>
  <c r="L39" i="34"/>
  <c r="I25" i="33"/>
  <c r="M34" i="47"/>
  <c r="G69" i="33"/>
  <c r="G77" i="33" s="1"/>
  <c r="D72" i="33"/>
  <c r="D80" i="33" s="1"/>
  <c r="D59" i="16"/>
  <c r="E8" i="15"/>
  <c r="B117" i="15"/>
  <c r="B118" i="15" s="1"/>
  <c r="B107" i="15"/>
  <c r="D21" i="16"/>
  <c r="E14" i="16"/>
  <c r="D32" i="16"/>
  <c r="D74" i="16" s="1"/>
  <c r="J4" i="33"/>
  <c r="J8" i="33" s="1"/>
  <c r="E69" i="33"/>
  <c r="E77" i="33" s="1"/>
  <c r="D25" i="33"/>
  <c r="I72" i="33"/>
  <c r="I80" i="33" s="1"/>
  <c r="M12" i="47"/>
  <c r="M10" i="41"/>
  <c r="H70" i="33"/>
  <c r="G70" i="33"/>
  <c r="L11" i="34"/>
  <c r="J14" i="33"/>
  <c r="J41" i="33" s="1"/>
  <c r="I70" i="33"/>
  <c r="D70" i="33"/>
  <c r="F70" i="33"/>
  <c r="E70" i="33"/>
  <c r="F7" i="15"/>
  <c r="F8" i="15"/>
  <c r="G6" i="15"/>
  <c r="F23" i="16"/>
  <c r="F24" i="16"/>
  <c r="G22" i="16"/>
  <c r="AK110" i="15"/>
  <c r="AK86" i="15"/>
  <c r="D21" i="15"/>
  <c r="E14" i="15"/>
  <c r="D32" i="15"/>
  <c r="D74" i="15" s="1"/>
  <c r="C106" i="15"/>
  <c r="C117" i="15" s="1"/>
  <c r="C42" i="33"/>
  <c r="C33" i="33" s="1"/>
  <c r="C51" i="33" s="1"/>
  <c r="F42" i="33"/>
  <c r="F33" i="33" s="1"/>
  <c r="F51" i="33" s="1"/>
  <c r="I42" i="33"/>
  <c r="H42" i="33"/>
  <c r="E42" i="33"/>
  <c r="G42" i="33"/>
  <c r="D42" i="33"/>
  <c r="D33" i="33" s="1"/>
  <c r="D51" i="33" s="1"/>
  <c r="E25" i="33"/>
  <c r="M32" i="47"/>
  <c r="L36" i="34"/>
  <c r="M29" i="34"/>
  <c r="AI105" i="34" s="1"/>
  <c r="F23" i="15"/>
  <c r="F24" i="15"/>
  <c r="G22" i="15"/>
  <c r="E72" i="33"/>
  <c r="E80" i="33" s="1"/>
  <c r="C25" i="33"/>
  <c r="D47" i="15"/>
  <c r="C37" i="28"/>
  <c r="D125" i="15"/>
  <c r="M9" i="41"/>
  <c r="M10" i="47"/>
  <c r="L14" i="34"/>
  <c r="C13" i="3"/>
  <c r="L53" i="25"/>
  <c r="B5" i="26" s="1"/>
  <c r="E5" i="26" s="1"/>
  <c r="E6" i="26" s="1"/>
  <c r="M59" i="25" s="1"/>
  <c r="N53" i="25"/>
  <c r="C105" i="15"/>
  <c r="C115" i="15" s="1"/>
  <c r="C105" i="16"/>
  <c r="C115" i="16" s="1"/>
  <c r="O19" i="47"/>
  <c r="AI80" i="47" s="1"/>
  <c r="C17" i="33"/>
  <c r="L24" i="34"/>
  <c r="N19" i="34" s="1"/>
  <c r="L38" i="34"/>
  <c r="M27" i="41"/>
  <c r="G25" i="33"/>
  <c r="M31" i="47"/>
  <c r="K104" i="24"/>
  <c r="L97" i="24" s="1"/>
  <c r="D69" i="33"/>
  <c r="D77" i="33" s="1"/>
  <c r="E25" i="15"/>
  <c r="G72" i="33"/>
  <c r="G80" i="33" s="1"/>
  <c r="I76" i="33" l="1"/>
  <c r="C18" i="53" s="1"/>
  <c r="C21" i="46"/>
  <c r="N3" i="47"/>
  <c r="O4" i="47"/>
  <c r="AI43" i="47" s="1"/>
  <c r="N4" i="47"/>
  <c r="AI39" i="47" s="1"/>
  <c r="R4" i="47"/>
  <c r="AI55" i="47" s="1"/>
  <c r="H76" i="33"/>
  <c r="C21" i="53"/>
  <c r="C27" i="53" s="1"/>
  <c r="C42" i="53" s="1"/>
  <c r="G76" i="33"/>
  <c r="M30" i="34"/>
  <c r="AI106" i="34" s="1"/>
  <c r="F76" i="33"/>
  <c r="M28" i="34"/>
  <c r="AI104" i="34" s="1"/>
  <c r="C18" i="54"/>
  <c r="E76" i="33"/>
  <c r="L8" i="34"/>
  <c r="M6" i="34" s="1"/>
  <c r="AI46" i="34" s="1"/>
  <c r="F46" i="34" s="1"/>
  <c r="G46" i="34" s="1"/>
  <c r="H46" i="34" s="1"/>
  <c r="I46" i="34" s="1"/>
  <c r="J46" i="34" s="1"/>
  <c r="K46" i="34" s="1"/>
  <c r="L46" i="34" s="1"/>
  <c r="M46" i="34" s="1"/>
  <c r="N46" i="34" s="1"/>
  <c r="O46" i="34" s="1"/>
  <c r="P46" i="34" s="1"/>
  <c r="Q46" i="34" s="1"/>
  <c r="R46" i="34" s="1"/>
  <c r="S46" i="34" s="1"/>
  <c r="T46" i="34" s="1"/>
  <c r="U46" i="34" s="1"/>
  <c r="V46" i="34" s="1"/>
  <c r="W46" i="34" s="1"/>
  <c r="X46" i="34" s="1"/>
  <c r="Y46" i="34" s="1"/>
  <c r="Z46" i="34" s="1"/>
  <c r="AA46" i="34" s="1"/>
  <c r="AB46" i="34" s="1"/>
  <c r="AC46" i="34" s="1"/>
  <c r="AD46" i="34" s="1"/>
  <c r="AE46" i="34" s="1"/>
  <c r="AF46" i="34" s="1"/>
  <c r="AG46" i="34" s="1"/>
  <c r="AH46" i="34" s="1"/>
  <c r="M31" i="34"/>
  <c r="AI107" i="34" s="1"/>
  <c r="C18" i="29"/>
  <c r="C24" i="29" s="1"/>
  <c r="M24" i="41"/>
  <c r="N21" i="41" s="1"/>
  <c r="AI69" i="41" s="1"/>
  <c r="M19" i="34"/>
  <c r="R3" i="47"/>
  <c r="J22" i="33"/>
  <c r="D78" i="33"/>
  <c r="C19" i="28" s="1"/>
  <c r="J17" i="33"/>
  <c r="P19" i="47"/>
  <c r="AI84" i="47" s="1"/>
  <c r="I78" i="33"/>
  <c r="I11" i="8"/>
  <c r="N19" i="47"/>
  <c r="AI76" i="47" s="1"/>
  <c r="O3" i="47"/>
  <c r="AI42" i="47" s="1"/>
  <c r="G78" i="33"/>
  <c r="F80" i="33"/>
  <c r="H78" i="33"/>
  <c r="E78" i="33"/>
  <c r="P18" i="47"/>
  <c r="AI83" i="47" s="1"/>
  <c r="F78" i="33"/>
  <c r="AI103" i="34"/>
  <c r="AI38" i="47"/>
  <c r="AI93" i="34"/>
  <c r="M12" i="41"/>
  <c r="P9" i="41" s="1"/>
  <c r="G23" i="15"/>
  <c r="G24" i="15"/>
  <c r="H22" i="15"/>
  <c r="G7" i="15"/>
  <c r="G8" i="15" s="1"/>
  <c r="H6" i="15"/>
  <c r="C20" i="38"/>
  <c r="C20" i="42"/>
  <c r="D35" i="16"/>
  <c r="N21" i="34"/>
  <c r="AI95" i="34" s="1"/>
  <c r="AI54" i="47"/>
  <c r="N20" i="34"/>
  <c r="AI94" i="34" s="1"/>
  <c r="C20" i="54"/>
  <c r="C20" i="53"/>
  <c r="AI60" i="41"/>
  <c r="D135" i="15"/>
  <c r="H80" i="33"/>
  <c r="M21" i="34"/>
  <c r="AI90" i="34" s="1"/>
  <c r="O20" i="47"/>
  <c r="AI81" i="47" s="1"/>
  <c r="N20" i="47"/>
  <c r="AI77" i="47" s="1"/>
  <c r="P20" i="47"/>
  <c r="AI85" i="47" s="1"/>
  <c r="M20" i="34"/>
  <c r="AI89" i="34" s="1"/>
  <c r="Q4" i="34"/>
  <c r="AI64" i="34" s="1"/>
  <c r="AI88" i="34"/>
  <c r="G33" i="33"/>
  <c r="G51" i="33" s="1"/>
  <c r="C15" i="41"/>
  <c r="C22" i="34"/>
  <c r="C17" i="47"/>
  <c r="F9" i="15"/>
  <c r="F10" i="15" s="1"/>
  <c r="C19" i="53"/>
  <c r="C19" i="54"/>
  <c r="Q6" i="34"/>
  <c r="AI66" i="34" s="1"/>
  <c r="E16" i="16"/>
  <c r="E19" i="16"/>
  <c r="E18" i="16"/>
  <c r="E15" i="16"/>
  <c r="F14" i="16"/>
  <c r="E32" i="16"/>
  <c r="O21" i="34"/>
  <c r="AI100" i="34" s="1"/>
  <c r="O17" i="47"/>
  <c r="D49" i="16"/>
  <c r="E9" i="16"/>
  <c r="C27" i="28"/>
  <c r="D21" i="28"/>
  <c r="L30" i="41"/>
  <c r="N27" i="41" s="1"/>
  <c r="C20" i="29"/>
  <c r="C20" i="28"/>
  <c r="C76" i="44"/>
  <c r="C71" i="44"/>
  <c r="G70" i="44"/>
  <c r="C72" i="44"/>
  <c r="C75" i="44"/>
  <c r="F70" i="44"/>
  <c r="L103" i="24"/>
  <c r="H4" i="26" s="1"/>
  <c r="F76" i="44"/>
  <c r="G76" i="44"/>
  <c r="F72" i="44"/>
  <c r="L101" i="24"/>
  <c r="F74" i="44"/>
  <c r="G73" i="44"/>
  <c r="G75" i="44"/>
  <c r="F75" i="44"/>
  <c r="L100" i="24"/>
  <c r="G71" i="44"/>
  <c r="C73" i="44"/>
  <c r="F73" i="44"/>
  <c r="G72" i="44"/>
  <c r="F71" i="44"/>
  <c r="G74" i="44"/>
  <c r="C74" i="44"/>
  <c r="C70" i="44"/>
  <c r="L98" i="24"/>
  <c r="L4" i="4" s="1"/>
  <c r="L99" i="24"/>
  <c r="G4" i="3" s="1"/>
  <c r="C103" i="15"/>
  <c r="C113" i="15" s="1"/>
  <c r="C103" i="16"/>
  <c r="C113" i="16" s="1"/>
  <c r="E33" i="33"/>
  <c r="E51" i="33" s="1"/>
  <c r="C18" i="47"/>
  <c r="G23" i="16"/>
  <c r="G24" i="16"/>
  <c r="H22" i="16"/>
  <c r="D41" i="33"/>
  <c r="D32" i="33" s="1"/>
  <c r="D50" i="33" s="1"/>
  <c r="F41" i="33"/>
  <c r="I41" i="33"/>
  <c r="H41" i="33"/>
  <c r="G41" i="33"/>
  <c r="E41" i="33"/>
  <c r="C41" i="33"/>
  <c r="N18" i="47"/>
  <c r="AI75" i="47" s="1"/>
  <c r="D123" i="16"/>
  <c r="C36" i="29"/>
  <c r="D43" i="16"/>
  <c r="R6" i="47"/>
  <c r="AI57" i="47" s="1"/>
  <c r="O6" i="47"/>
  <c r="AI45" i="47" s="1"/>
  <c r="N6" i="47"/>
  <c r="AI41" i="47" s="1"/>
  <c r="N17" i="47"/>
  <c r="N11" i="41"/>
  <c r="AI50" i="41" s="1"/>
  <c r="C19" i="48"/>
  <c r="C19" i="46"/>
  <c r="C24" i="54"/>
  <c r="D18" i="54"/>
  <c r="G7" i="16"/>
  <c r="G8" i="16" s="1"/>
  <c r="H6" i="16"/>
  <c r="C27" i="29"/>
  <c r="D21" i="29"/>
  <c r="C24" i="28"/>
  <c r="D18" i="28"/>
  <c r="E8" i="26"/>
  <c r="E7" i="26"/>
  <c r="F25" i="15"/>
  <c r="C16" i="41"/>
  <c r="H33" i="33"/>
  <c r="H51" i="33" s="1"/>
  <c r="C19" i="47"/>
  <c r="L16" i="34"/>
  <c r="O15" i="34" s="1"/>
  <c r="AI82" i="34" s="1"/>
  <c r="N10" i="41"/>
  <c r="AI49" i="41" s="1"/>
  <c r="D135" i="16"/>
  <c r="P17" i="47"/>
  <c r="C24" i="53"/>
  <c r="D18" i="53"/>
  <c r="D40" i="33"/>
  <c r="D31" i="33" s="1"/>
  <c r="D49" i="33" s="1"/>
  <c r="I40" i="33"/>
  <c r="H40" i="33"/>
  <c r="E40" i="33"/>
  <c r="G40" i="33"/>
  <c r="C40" i="33"/>
  <c r="F40" i="33"/>
  <c r="L35" i="47"/>
  <c r="N34" i="47" s="1"/>
  <c r="AI93" i="47" s="1"/>
  <c r="E54" i="15"/>
  <c r="D38" i="28"/>
  <c r="E124" i="15"/>
  <c r="O23" i="34"/>
  <c r="AI102" i="34" s="1"/>
  <c r="M23" i="34"/>
  <c r="AI92" i="34" s="1"/>
  <c r="N23" i="34"/>
  <c r="AI97" i="34" s="1"/>
  <c r="O19" i="34"/>
  <c r="D49" i="15"/>
  <c r="I33" i="33"/>
  <c r="I51" i="33" s="1"/>
  <c r="C17" i="41"/>
  <c r="C23" i="34"/>
  <c r="C20" i="47"/>
  <c r="AK123" i="15"/>
  <c r="AK102" i="15"/>
  <c r="D35" i="15"/>
  <c r="F25" i="16"/>
  <c r="F41" i="15"/>
  <c r="N57" i="25"/>
  <c r="C27" i="38"/>
  <c r="C42" i="38" s="1"/>
  <c r="D21" i="38"/>
  <c r="D75" i="16"/>
  <c r="M5" i="34"/>
  <c r="AI45" i="34" s="1"/>
  <c r="Q5" i="34"/>
  <c r="AI65" i="34" s="1"/>
  <c r="C27" i="46"/>
  <c r="C42" i="46" s="1"/>
  <c r="D21" i="46"/>
  <c r="P17" i="41"/>
  <c r="AI68" i="41" s="1"/>
  <c r="O17" i="41"/>
  <c r="AI65" i="41" s="1"/>
  <c r="N17" i="41"/>
  <c r="AI62" i="41" s="1"/>
  <c r="D43" i="33"/>
  <c r="D34" i="33" s="1"/>
  <c r="D52" i="33" s="1"/>
  <c r="F43" i="33"/>
  <c r="C43" i="33"/>
  <c r="H43" i="33"/>
  <c r="E43" i="33"/>
  <c r="G43" i="33"/>
  <c r="I43" i="33"/>
  <c r="N22" i="34"/>
  <c r="AI96" i="34" s="1"/>
  <c r="N5" i="47"/>
  <c r="AI40" i="47" s="1"/>
  <c r="R5" i="47"/>
  <c r="AI56" i="47" s="1"/>
  <c r="O5" i="47"/>
  <c r="AI44" i="47" s="1"/>
  <c r="C27" i="54"/>
  <c r="C42" i="54" s="1"/>
  <c r="D21" i="54"/>
  <c r="P16" i="41"/>
  <c r="AI67" i="41" s="1"/>
  <c r="J25" i="33"/>
  <c r="E19" i="15"/>
  <c r="E15" i="15"/>
  <c r="E18" i="15"/>
  <c r="E16" i="15"/>
  <c r="F14" i="15"/>
  <c r="E32" i="15"/>
  <c r="E74" i="15" s="1"/>
  <c r="C19" i="42"/>
  <c r="C19" i="38"/>
  <c r="C22" i="54"/>
  <c r="C22" i="53"/>
  <c r="J44" i="33"/>
  <c r="C39" i="33"/>
  <c r="F39" i="33"/>
  <c r="D39" i="33"/>
  <c r="I39" i="33"/>
  <c r="E39" i="33"/>
  <c r="G39" i="33"/>
  <c r="H39" i="33"/>
  <c r="L40" i="34"/>
  <c r="M35" i="34" s="1"/>
  <c r="C27" i="42"/>
  <c r="C42" i="42" s="1"/>
  <c r="D21" i="42"/>
  <c r="C102" i="15"/>
  <c r="C102" i="16"/>
  <c r="C27" i="48"/>
  <c r="C42" i="48" s="1"/>
  <c r="D21" i="48"/>
  <c r="P15" i="41"/>
  <c r="O22" i="34"/>
  <c r="AI101" i="34" s="1"/>
  <c r="F41" i="16"/>
  <c r="M6" i="41"/>
  <c r="R4" i="41" s="1"/>
  <c r="AI46" i="41" s="1"/>
  <c r="N16" i="41"/>
  <c r="AI61" i="41" s="1"/>
  <c r="M14" i="47"/>
  <c r="N13" i="47" s="1"/>
  <c r="AI61" i="47" s="1"/>
  <c r="C22" i="42"/>
  <c r="C22" i="38"/>
  <c r="D123" i="15"/>
  <c r="C36" i="28"/>
  <c r="D43" i="15"/>
  <c r="E9" i="15"/>
  <c r="E10" i="15" s="1"/>
  <c r="C22" i="29"/>
  <c r="C22" i="28"/>
  <c r="N23" i="41"/>
  <c r="AI71" i="41" s="1"/>
  <c r="O20" i="34"/>
  <c r="AI99" i="34" s="1"/>
  <c r="M28" i="47"/>
  <c r="O15" i="41"/>
  <c r="M22" i="34"/>
  <c r="AI91" i="34" s="1"/>
  <c r="F8" i="16"/>
  <c r="N22" i="41"/>
  <c r="AI70" i="41" s="1"/>
  <c r="O16" i="41"/>
  <c r="AI64" i="41" s="1"/>
  <c r="P11" i="41" l="1"/>
  <c r="AI56" i="41" s="1"/>
  <c r="M3" i="34"/>
  <c r="AI43" i="34" s="1"/>
  <c r="Q11" i="41"/>
  <c r="AI59" i="41" s="1"/>
  <c r="Q10" i="41"/>
  <c r="AI58" i="41" s="1"/>
  <c r="O10" i="41"/>
  <c r="AI52" i="41" s="1"/>
  <c r="P10" i="41"/>
  <c r="AI55" i="41" s="1"/>
  <c r="O11" i="41"/>
  <c r="AI53" i="41" s="1"/>
  <c r="C18" i="48"/>
  <c r="C24" i="48" s="1"/>
  <c r="N28" i="41"/>
  <c r="AI73" i="41" s="1"/>
  <c r="C18" i="46"/>
  <c r="D18" i="46" s="1"/>
  <c r="M32" i="34"/>
  <c r="J26" i="33"/>
  <c r="J35" i="33" s="1"/>
  <c r="D21" i="53"/>
  <c r="D27" i="53" s="1"/>
  <c r="D42" i="53" s="1"/>
  <c r="C22" i="48"/>
  <c r="C28" i="48" s="1"/>
  <c r="N7" i="34"/>
  <c r="N8" i="34" s="1"/>
  <c r="M4" i="34"/>
  <c r="AI44" i="34" s="1"/>
  <c r="N29" i="41"/>
  <c r="AI74" i="41" s="1"/>
  <c r="M7" i="34"/>
  <c r="AI47" i="34" s="1"/>
  <c r="Q7" i="34"/>
  <c r="AI67" i="34" s="1"/>
  <c r="Q3" i="34"/>
  <c r="AI63" i="34" s="1"/>
  <c r="C18" i="42"/>
  <c r="C18" i="38"/>
  <c r="N32" i="47"/>
  <c r="AI91" i="47" s="1"/>
  <c r="O12" i="34"/>
  <c r="AI79" i="34" s="1"/>
  <c r="D18" i="29"/>
  <c r="D24" i="29" s="1"/>
  <c r="P14" i="34"/>
  <c r="AI86" i="34" s="1"/>
  <c r="M14" i="34"/>
  <c r="AI71" i="34" s="1"/>
  <c r="P12" i="34"/>
  <c r="AI84" i="34" s="1"/>
  <c r="O14" i="34"/>
  <c r="AI81" i="34" s="1"/>
  <c r="M11" i="34"/>
  <c r="N12" i="34"/>
  <c r="AI74" i="34" s="1"/>
  <c r="N14" i="34"/>
  <c r="AI76" i="34" s="1"/>
  <c r="M12" i="34"/>
  <c r="AI69" i="34" s="1"/>
  <c r="E9" i="26"/>
  <c r="J74" i="44"/>
  <c r="K74" i="44" s="1"/>
  <c r="M74" i="44" s="1"/>
  <c r="Q9" i="41"/>
  <c r="AI57" i="41" s="1"/>
  <c r="C20" i="48"/>
  <c r="C19" i="29"/>
  <c r="C25" i="29" s="1"/>
  <c r="C43" i="29" s="1"/>
  <c r="N9" i="41"/>
  <c r="N12" i="41" s="1"/>
  <c r="N33" i="47"/>
  <c r="AI92" i="47" s="1"/>
  <c r="L105" i="24"/>
  <c r="N11" i="34"/>
  <c r="AI73" i="34" s="1"/>
  <c r="N31" i="47"/>
  <c r="P11" i="34"/>
  <c r="AI83" i="34" s="1"/>
  <c r="C22" i="46"/>
  <c r="C28" i="46" s="1"/>
  <c r="C20" i="46"/>
  <c r="C26" i="46" s="1"/>
  <c r="O11" i="34"/>
  <c r="AI78" i="34" s="1"/>
  <c r="O9" i="41"/>
  <c r="AI51" i="41" s="1"/>
  <c r="AI54" i="41"/>
  <c r="E44" i="33"/>
  <c r="E35" i="33" s="1"/>
  <c r="E30" i="33"/>
  <c r="E48" i="33" s="1"/>
  <c r="C4" i="47"/>
  <c r="C25" i="38"/>
  <c r="C40" i="38" s="1"/>
  <c r="D19" i="38"/>
  <c r="E17" i="15"/>
  <c r="C29" i="41"/>
  <c r="C39" i="34"/>
  <c r="C34" i="47"/>
  <c r="I34" i="33"/>
  <c r="I52" i="33" s="1"/>
  <c r="O11" i="47"/>
  <c r="AI63" i="47" s="1"/>
  <c r="F54" i="16"/>
  <c r="F124" i="16"/>
  <c r="E38" i="29"/>
  <c r="Q13" i="47"/>
  <c r="AI73" i="47" s="1"/>
  <c r="C39" i="54"/>
  <c r="D46" i="16"/>
  <c r="C10" i="41"/>
  <c r="H32" i="33"/>
  <c r="H50" i="33" s="1"/>
  <c r="C12" i="47"/>
  <c r="H5" i="26"/>
  <c r="H6" i="26" s="1"/>
  <c r="C26" i="29"/>
  <c r="C44" i="29" s="1"/>
  <c r="D20" i="29"/>
  <c r="D136" i="16"/>
  <c r="E17" i="16"/>
  <c r="F94" i="34"/>
  <c r="G94" i="34" s="1"/>
  <c r="H94" i="34" s="1"/>
  <c r="I94" i="34" s="1"/>
  <c r="J94" i="34" s="1"/>
  <c r="K94" i="34" s="1"/>
  <c r="L94" i="34" s="1"/>
  <c r="M94" i="34" s="1"/>
  <c r="N94" i="34" s="1"/>
  <c r="O94" i="34" s="1"/>
  <c r="P94" i="34" s="1"/>
  <c r="Q94" i="34" s="1"/>
  <c r="R94" i="34" s="1"/>
  <c r="S94" i="34" s="1"/>
  <c r="T94" i="34" s="1"/>
  <c r="U94" i="34" s="1"/>
  <c r="V94" i="34" s="1"/>
  <c r="W94" i="34" s="1"/>
  <c r="X94" i="34" s="1"/>
  <c r="Y94" i="34" s="1"/>
  <c r="Z94" i="34" s="1"/>
  <c r="AA94" i="34" s="1"/>
  <c r="AB94" i="34" s="1"/>
  <c r="AC94" i="34" s="1"/>
  <c r="AD94" i="34" s="1"/>
  <c r="AE94" i="34" s="1"/>
  <c r="AF94" i="34" s="1"/>
  <c r="AG94" i="34" s="1"/>
  <c r="AH94" i="34" s="1"/>
  <c r="C26" i="38"/>
  <c r="C41" i="38" s="1"/>
  <c r="D20" i="38"/>
  <c r="N25" i="47"/>
  <c r="AI87" i="47" s="1"/>
  <c r="N24" i="47"/>
  <c r="F99" i="34"/>
  <c r="G99" i="34" s="1"/>
  <c r="H99" i="34" s="1"/>
  <c r="I99" i="34" s="1"/>
  <c r="J99" i="34" s="1"/>
  <c r="K99" i="34" s="1"/>
  <c r="L99" i="34" s="1"/>
  <c r="M99" i="34" s="1"/>
  <c r="N99" i="34" s="1"/>
  <c r="O99" i="34" s="1"/>
  <c r="P99" i="34" s="1"/>
  <c r="Q99" i="34" s="1"/>
  <c r="R99" i="34" s="1"/>
  <c r="S99" i="34" s="1"/>
  <c r="T99" i="34" s="1"/>
  <c r="U99" i="34" s="1"/>
  <c r="V99" i="34" s="1"/>
  <c r="W99" i="34" s="1"/>
  <c r="X99" i="34" s="1"/>
  <c r="Y99" i="34" s="1"/>
  <c r="Z99" i="34" s="1"/>
  <c r="AA99" i="34" s="1"/>
  <c r="AB99" i="34" s="1"/>
  <c r="AC99" i="34" s="1"/>
  <c r="AD99" i="34" s="1"/>
  <c r="AE99" i="34" s="1"/>
  <c r="AF99" i="34" s="1"/>
  <c r="AG99" i="34" s="1"/>
  <c r="AH99" i="34" s="1"/>
  <c r="D46" i="15"/>
  <c r="Q10" i="47"/>
  <c r="C107" i="16"/>
  <c r="C112" i="16"/>
  <c r="C118" i="16" s="1"/>
  <c r="I44" i="33"/>
  <c r="I35" i="33" s="1"/>
  <c r="I30" i="33"/>
  <c r="I48" i="33" s="1"/>
  <c r="C5" i="41"/>
  <c r="C6" i="47"/>
  <c r="C25" i="42"/>
  <c r="C40" i="42" s="1"/>
  <c r="D19" i="42"/>
  <c r="G34" i="33"/>
  <c r="G52" i="33" s="1"/>
  <c r="C27" i="41"/>
  <c r="C38" i="34"/>
  <c r="C31" i="47"/>
  <c r="P11" i="47"/>
  <c r="AI67" i="47" s="1"/>
  <c r="F65" i="34"/>
  <c r="G65" i="34" s="1"/>
  <c r="H65" i="34" s="1"/>
  <c r="I65" i="34" s="1"/>
  <c r="J65" i="34" s="1"/>
  <c r="K65" i="34" s="1"/>
  <c r="L65" i="34" s="1"/>
  <c r="M65" i="34" s="1"/>
  <c r="N65" i="34" s="1"/>
  <c r="O65" i="34" s="1"/>
  <c r="P65" i="34" s="1"/>
  <c r="Q65" i="34" s="1"/>
  <c r="R65" i="34" s="1"/>
  <c r="S65" i="34" s="1"/>
  <c r="T65" i="34" s="1"/>
  <c r="U65" i="34" s="1"/>
  <c r="V65" i="34" s="1"/>
  <c r="W65" i="34" s="1"/>
  <c r="X65" i="34" s="1"/>
  <c r="Y65" i="34" s="1"/>
  <c r="Z65" i="34" s="1"/>
  <c r="AA65" i="34" s="1"/>
  <c r="AB65" i="34" s="1"/>
  <c r="AC65" i="34" s="1"/>
  <c r="AD65" i="34" s="1"/>
  <c r="AE65" i="34" s="1"/>
  <c r="AF65" i="34" s="1"/>
  <c r="AG65" i="34" s="1"/>
  <c r="AH65" i="34" s="1"/>
  <c r="D128" i="15"/>
  <c r="C40" i="28"/>
  <c r="D60" i="15"/>
  <c r="D75" i="15"/>
  <c r="E18" i="53"/>
  <c r="D24" i="53"/>
  <c r="P13" i="47"/>
  <c r="AI69" i="47" s="1"/>
  <c r="H7" i="16"/>
  <c r="H8" i="16" s="1"/>
  <c r="I6" i="16"/>
  <c r="I32" i="33"/>
  <c r="I50" i="33" s="1"/>
  <c r="C11" i="41"/>
  <c r="C15" i="34"/>
  <c r="C13" i="47"/>
  <c r="F77" i="44"/>
  <c r="E10" i="16"/>
  <c r="AI78" i="47"/>
  <c r="O21" i="47"/>
  <c r="E20" i="16"/>
  <c r="M24" i="34"/>
  <c r="C25" i="28"/>
  <c r="C43" i="28" s="1"/>
  <c r="D19" i="28"/>
  <c r="N27" i="47"/>
  <c r="AI89" i="47" s="1"/>
  <c r="H24" i="15"/>
  <c r="H23" i="15"/>
  <c r="I22" i="15"/>
  <c r="O10" i="47"/>
  <c r="C112" i="15"/>
  <c r="C118" i="15" s="1"/>
  <c r="C107" i="15"/>
  <c r="D44" i="33"/>
  <c r="D35" i="33" s="1"/>
  <c r="D30" i="33"/>
  <c r="D48" i="33" s="1"/>
  <c r="D27" i="54"/>
  <c r="D42" i="54" s="1"/>
  <c r="E21" i="54"/>
  <c r="E34" i="33"/>
  <c r="E52" i="33" s="1"/>
  <c r="C36" i="34"/>
  <c r="C32" i="47"/>
  <c r="Q11" i="47"/>
  <c r="AI71" i="47" s="1"/>
  <c r="F45" i="34"/>
  <c r="G45" i="34" s="1"/>
  <c r="H45" i="34" s="1"/>
  <c r="I45" i="34" s="1"/>
  <c r="J45" i="34" s="1"/>
  <c r="K45" i="34" s="1"/>
  <c r="L45" i="34" s="1"/>
  <c r="M45" i="34" s="1"/>
  <c r="N45" i="34" s="1"/>
  <c r="O45" i="34" s="1"/>
  <c r="P45" i="34" s="1"/>
  <c r="Q45" i="34" s="1"/>
  <c r="R45" i="34" s="1"/>
  <c r="S45" i="34" s="1"/>
  <c r="T45" i="34" s="1"/>
  <c r="U45" i="34" s="1"/>
  <c r="V45" i="34" s="1"/>
  <c r="W45" i="34" s="1"/>
  <c r="X45" i="34" s="1"/>
  <c r="Y45" i="34" s="1"/>
  <c r="Z45" i="34" s="1"/>
  <c r="AA45" i="34" s="1"/>
  <c r="AB45" i="34" s="1"/>
  <c r="AC45" i="34" s="1"/>
  <c r="AD45" i="34" s="1"/>
  <c r="AE45" i="34" s="1"/>
  <c r="AF45" i="34" s="1"/>
  <c r="AG45" i="34" s="1"/>
  <c r="AH45" i="34" s="1"/>
  <c r="N12" i="47"/>
  <c r="AI60" i="47" s="1"/>
  <c r="D136" i="15"/>
  <c r="C29" i="34"/>
  <c r="F31" i="33"/>
  <c r="F49" i="33" s="1"/>
  <c r="C39" i="53"/>
  <c r="AI82" i="47"/>
  <c r="P21" i="47"/>
  <c r="F32" i="33"/>
  <c r="F50" i="33" s="1"/>
  <c r="C13" i="34"/>
  <c r="J75" i="44"/>
  <c r="K75" i="44" s="1"/>
  <c r="M75" i="44" s="1"/>
  <c r="AI72" i="41"/>
  <c r="M37" i="34"/>
  <c r="AI110" i="34" s="1"/>
  <c r="F100" i="34"/>
  <c r="G100" i="34" s="1"/>
  <c r="H100" i="34" s="1"/>
  <c r="I100" i="34" s="1"/>
  <c r="J100" i="34" s="1"/>
  <c r="K100" i="34" s="1"/>
  <c r="L100" i="34" s="1"/>
  <c r="M100" i="34" s="1"/>
  <c r="N100" i="34" s="1"/>
  <c r="O100" i="34" s="1"/>
  <c r="P100" i="34" s="1"/>
  <c r="Q100" i="34" s="1"/>
  <c r="R100" i="34" s="1"/>
  <c r="S100" i="34" s="1"/>
  <c r="T100" i="34" s="1"/>
  <c r="U100" i="34" s="1"/>
  <c r="V100" i="34" s="1"/>
  <c r="W100" i="34" s="1"/>
  <c r="X100" i="34" s="1"/>
  <c r="Y100" i="34" s="1"/>
  <c r="Z100" i="34" s="1"/>
  <c r="AA100" i="34" s="1"/>
  <c r="AB100" i="34" s="1"/>
  <c r="AC100" i="34" s="1"/>
  <c r="AD100" i="34" s="1"/>
  <c r="AE100" i="34" s="1"/>
  <c r="AF100" i="34" s="1"/>
  <c r="AG100" i="34" s="1"/>
  <c r="AH100" i="34" s="1"/>
  <c r="F88" i="34"/>
  <c r="G88" i="34" s="1"/>
  <c r="H88" i="34" s="1"/>
  <c r="I88" i="34" s="1"/>
  <c r="J88" i="34" s="1"/>
  <c r="K88" i="34" s="1"/>
  <c r="L88" i="34" s="1"/>
  <c r="M88" i="34" s="1"/>
  <c r="N88" i="34" s="1"/>
  <c r="O88" i="34" s="1"/>
  <c r="P88" i="34" s="1"/>
  <c r="Q88" i="34" s="1"/>
  <c r="R88" i="34" s="1"/>
  <c r="S88" i="34" s="1"/>
  <c r="T88" i="34" s="1"/>
  <c r="U88" i="34" s="1"/>
  <c r="V88" i="34" s="1"/>
  <c r="W88" i="34" s="1"/>
  <c r="X88" i="34" s="1"/>
  <c r="Y88" i="34" s="1"/>
  <c r="Z88" i="34" s="1"/>
  <c r="AA88" i="34" s="1"/>
  <c r="AB88" i="34" s="1"/>
  <c r="AC88" i="34" s="1"/>
  <c r="AD88" i="34" s="1"/>
  <c r="AE88" i="34" s="1"/>
  <c r="AF88" i="34" s="1"/>
  <c r="AG88" i="34" s="1"/>
  <c r="AH88" i="34" s="1"/>
  <c r="O7" i="47"/>
  <c r="N18" i="41"/>
  <c r="C26" i="48"/>
  <c r="C41" i="48" s="1"/>
  <c r="D20" i="48"/>
  <c r="C28" i="28"/>
  <c r="C46" i="28" s="1"/>
  <c r="D22" i="28"/>
  <c r="P10" i="47"/>
  <c r="D27" i="42"/>
  <c r="D42" i="42" s="1"/>
  <c r="E21" i="42"/>
  <c r="E34" i="15"/>
  <c r="E33" i="15"/>
  <c r="H34" i="33"/>
  <c r="H52" i="33" s="1"/>
  <c r="C28" i="41"/>
  <c r="C33" i="47"/>
  <c r="P12" i="47"/>
  <c r="AI68" i="47" s="1"/>
  <c r="O24" i="34"/>
  <c r="AI98" i="34"/>
  <c r="H85" i="33"/>
  <c r="H94" i="33" s="1" a="1"/>
  <c r="H94" i="33" s="1"/>
  <c r="I85" i="33"/>
  <c r="I94" i="33" s="1" a="1"/>
  <c r="I94" i="33" s="1"/>
  <c r="G85" i="33"/>
  <c r="G94" i="33" s="1" a="1"/>
  <c r="G94" i="33" s="1"/>
  <c r="C27" i="34"/>
  <c r="C31" i="33"/>
  <c r="C49" i="33" s="1"/>
  <c r="E85" i="33"/>
  <c r="D85" i="33"/>
  <c r="F85" i="33"/>
  <c r="O5" i="41"/>
  <c r="AI38" i="41" s="1"/>
  <c r="G9" i="16"/>
  <c r="N21" i="47"/>
  <c r="AI74" i="47"/>
  <c r="J72" i="44"/>
  <c r="K72" i="44" s="1"/>
  <c r="M72" i="44" s="1"/>
  <c r="D27" i="28"/>
  <c r="E21" i="28"/>
  <c r="P15" i="34"/>
  <c r="AI87" i="34" s="1"/>
  <c r="E34" i="16"/>
  <c r="E33" i="16"/>
  <c r="F63" i="34"/>
  <c r="G63" i="34" s="1"/>
  <c r="H63" i="34" s="1"/>
  <c r="I63" i="34" s="1"/>
  <c r="J63" i="34" s="1"/>
  <c r="K63" i="34" s="1"/>
  <c r="L63" i="34" s="1"/>
  <c r="M63" i="34" s="1"/>
  <c r="N63" i="34" s="1"/>
  <c r="O63" i="34" s="1"/>
  <c r="P63" i="34" s="1"/>
  <c r="Q63" i="34" s="1"/>
  <c r="R63" i="34" s="1"/>
  <c r="S63" i="34" s="1"/>
  <c r="T63" i="34" s="1"/>
  <c r="U63" i="34" s="1"/>
  <c r="V63" i="34" s="1"/>
  <c r="W63" i="34" s="1"/>
  <c r="X63" i="34" s="1"/>
  <c r="Y63" i="34" s="1"/>
  <c r="Z63" i="34" s="1"/>
  <c r="AA63" i="34" s="1"/>
  <c r="AB63" i="34" s="1"/>
  <c r="AC63" i="34" s="1"/>
  <c r="AD63" i="34" s="1"/>
  <c r="AE63" i="34" s="1"/>
  <c r="AF63" i="34" s="1"/>
  <c r="AG63" i="34" s="1"/>
  <c r="AH63" i="34" s="1"/>
  <c r="M38" i="34"/>
  <c r="AI111" i="34" s="1"/>
  <c r="F64" i="34"/>
  <c r="G64" i="34" s="1"/>
  <c r="H64" i="34" s="1"/>
  <c r="I64" i="34" s="1"/>
  <c r="J64" i="34" s="1"/>
  <c r="K64" i="34" s="1"/>
  <c r="L64" i="34" s="1"/>
  <c r="M64" i="34" s="1"/>
  <c r="N64" i="34" s="1"/>
  <c r="O64" i="34" s="1"/>
  <c r="P64" i="34" s="1"/>
  <c r="Q64" i="34" s="1"/>
  <c r="R64" i="34" s="1"/>
  <c r="S64" i="34" s="1"/>
  <c r="T64" i="34" s="1"/>
  <c r="U64" i="34" s="1"/>
  <c r="V64" i="34" s="1"/>
  <c r="W64" i="34" s="1"/>
  <c r="X64" i="34" s="1"/>
  <c r="Y64" i="34" s="1"/>
  <c r="Z64" i="34" s="1"/>
  <c r="AA64" i="34" s="1"/>
  <c r="AB64" i="34" s="1"/>
  <c r="AC64" i="34" s="1"/>
  <c r="AD64" i="34" s="1"/>
  <c r="AE64" i="34" s="1"/>
  <c r="AF64" i="34" s="1"/>
  <c r="AG64" i="34" s="1"/>
  <c r="AH64" i="34" s="1"/>
  <c r="F43" i="34"/>
  <c r="G43" i="34" s="1"/>
  <c r="H43" i="34" s="1"/>
  <c r="I43" i="34" s="1"/>
  <c r="J43" i="34" s="1"/>
  <c r="K43" i="34" s="1"/>
  <c r="L43" i="34" s="1"/>
  <c r="M43" i="34" s="1"/>
  <c r="N43" i="34" s="1"/>
  <c r="O43" i="34" s="1"/>
  <c r="P43" i="34" s="1"/>
  <c r="Q43" i="34" s="1"/>
  <c r="R43" i="34" s="1"/>
  <c r="S43" i="34" s="1"/>
  <c r="T43" i="34" s="1"/>
  <c r="U43" i="34" s="1"/>
  <c r="V43" i="34" s="1"/>
  <c r="W43" i="34" s="1"/>
  <c r="X43" i="34" s="1"/>
  <c r="Y43" i="34" s="1"/>
  <c r="Z43" i="34" s="1"/>
  <c r="AA43" i="34" s="1"/>
  <c r="AB43" i="34" s="1"/>
  <c r="AC43" i="34" s="1"/>
  <c r="AD43" i="34" s="1"/>
  <c r="AE43" i="34" s="1"/>
  <c r="AF43" i="34" s="1"/>
  <c r="AG43" i="34" s="1"/>
  <c r="AH43" i="34" s="1"/>
  <c r="R7" i="47"/>
  <c r="H8" i="15"/>
  <c r="H7" i="15"/>
  <c r="I6" i="15"/>
  <c r="G25" i="15"/>
  <c r="N24" i="34"/>
  <c r="F30" i="33"/>
  <c r="F48" i="33" s="1"/>
  <c r="F44" i="33"/>
  <c r="F35" i="33" s="1"/>
  <c r="M36" i="34"/>
  <c r="AI109" i="34" s="1"/>
  <c r="C28" i="29"/>
  <c r="D22" i="29"/>
  <c r="D129" i="15"/>
  <c r="N10" i="47"/>
  <c r="C30" i="33"/>
  <c r="C48" i="33" s="1"/>
  <c r="C44" i="33"/>
  <c r="C35" i="33" s="1"/>
  <c r="H84" i="33"/>
  <c r="H93" i="33" s="1" a="1"/>
  <c r="H93" i="33" s="1"/>
  <c r="I84" i="33"/>
  <c r="I93" i="33" s="1" a="1"/>
  <c r="I93" i="33" s="1"/>
  <c r="G84" i="33"/>
  <c r="G93" i="33" s="1" a="1"/>
  <c r="G93" i="33" s="1"/>
  <c r="F84" i="33"/>
  <c r="D84" i="33"/>
  <c r="E84" i="33"/>
  <c r="F18" i="15"/>
  <c r="F19" i="15"/>
  <c r="F15" i="15"/>
  <c r="F16" i="15"/>
  <c r="G14" i="15"/>
  <c r="F32" i="15"/>
  <c r="C34" i="33"/>
  <c r="C52" i="33" s="1"/>
  <c r="H88" i="33"/>
  <c r="H97" i="33" s="1" a="1"/>
  <c r="H97" i="33" s="1"/>
  <c r="G88" i="33"/>
  <c r="G97" i="33" s="1" a="1"/>
  <c r="G97" i="33" s="1"/>
  <c r="D88" i="33"/>
  <c r="D97" i="33" s="1" a="1"/>
  <c r="D97" i="33" s="1"/>
  <c r="C35" i="34"/>
  <c r="I88" i="33"/>
  <c r="I97" i="33" s="1" a="1"/>
  <c r="I97" i="33" s="1"/>
  <c r="E88" i="33"/>
  <c r="F88" i="33"/>
  <c r="F47" i="34"/>
  <c r="G47" i="34" s="1"/>
  <c r="H47" i="34" s="1"/>
  <c r="I47" i="34" s="1"/>
  <c r="J47" i="34" s="1"/>
  <c r="K47" i="34" s="1"/>
  <c r="L47" i="34" s="1"/>
  <c r="M47" i="34" s="1"/>
  <c r="N47" i="34" s="1"/>
  <c r="O47" i="34" s="1"/>
  <c r="P47" i="34" s="1"/>
  <c r="Q47" i="34" s="1"/>
  <c r="R47" i="34" s="1"/>
  <c r="S47" i="34" s="1"/>
  <c r="T47" i="34" s="1"/>
  <c r="U47" i="34" s="1"/>
  <c r="V47" i="34" s="1"/>
  <c r="W47" i="34" s="1"/>
  <c r="X47" i="34" s="1"/>
  <c r="Y47" i="34" s="1"/>
  <c r="Z47" i="34" s="1"/>
  <c r="AA47" i="34" s="1"/>
  <c r="AB47" i="34" s="1"/>
  <c r="AC47" i="34" s="1"/>
  <c r="AD47" i="34" s="1"/>
  <c r="AE47" i="34" s="1"/>
  <c r="AF47" i="34" s="1"/>
  <c r="AG47" i="34" s="1"/>
  <c r="AH47" i="34" s="1"/>
  <c r="O12" i="47"/>
  <c r="AI64" i="47" s="1"/>
  <c r="G31" i="33"/>
  <c r="G49" i="33" s="1"/>
  <c r="C21" i="41"/>
  <c r="C30" i="34"/>
  <c r="C24" i="47"/>
  <c r="R5" i="41"/>
  <c r="AI47" i="41" s="1"/>
  <c r="G41" i="16"/>
  <c r="H23" i="16"/>
  <c r="H24" i="16"/>
  <c r="I22" i="16"/>
  <c r="G77" i="44"/>
  <c r="M15" i="34"/>
  <c r="AI72" i="34" s="1"/>
  <c r="E74" i="16"/>
  <c r="F66" i="34"/>
  <c r="G66" i="34" s="1"/>
  <c r="H66" i="34" s="1"/>
  <c r="I66" i="34" s="1"/>
  <c r="J66" i="34" s="1"/>
  <c r="K66" i="34" s="1"/>
  <c r="L66" i="34" s="1"/>
  <c r="M66" i="34" s="1"/>
  <c r="N66" i="34" s="1"/>
  <c r="O66" i="34" s="1"/>
  <c r="P66" i="34" s="1"/>
  <c r="Q66" i="34" s="1"/>
  <c r="R66" i="34" s="1"/>
  <c r="S66" i="34" s="1"/>
  <c r="T66" i="34" s="1"/>
  <c r="U66" i="34" s="1"/>
  <c r="V66" i="34" s="1"/>
  <c r="W66" i="34" s="1"/>
  <c r="X66" i="34" s="1"/>
  <c r="Y66" i="34" s="1"/>
  <c r="Z66" i="34" s="1"/>
  <c r="AA66" i="34" s="1"/>
  <c r="AB66" i="34" s="1"/>
  <c r="AC66" i="34" s="1"/>
  <c r="AD66" i="34" s="1"/>
  <c r="AE66" i="34" s="1"/>
  <c r="AF66" i="34" s="1"/>
  <c r="AG66" i="34" s="1"/>
  <c r="AH66" i="34" s="1"/>
  <c r="Q8" i="34"/>
  <c r="O4" i="41"/>
  <c r="AI37" i="41" s="1"/>
  <c r="F95" i="34"/>
  <c r="G95" i="34" s="1"/>
  <c r="H95" i="34" s="1"/>
  <c r="I95" i="34" s="1"/>
  <c r="J95" i="34" s="1"/>
  <c r="K95" i="34" s="1"/>
  <c r="L95" i="34" s="1"/>
  <c r="M95" i="34" s="1"/>
  <c r="N95" i="34" s="1"/>
  <c r="O95" i="34" s="1"/>
  <c r="P95" i="34" s="1"/>
  <c r="Q95" i="34" s="1"/>
  <c r="R95" i="34" s="1"/>
  <c r="S95" i="34" s="1"/>
  <c r="T95" i="34" s="1"/>
  <c r="U95" i="34" s="1"/>
  <c r="V95" i="34" s="1"/>
  <c r="W95" i="34" s="1"/>
  <c r="X95" i="34" s="1"/>
  <c r="Y95" i="34" s="1"/>
  <c r="Z95" i="34" s="1"/>
  <c r="AA95" i="34" s="1"/>
  <c r="AB95" i="34" s="1"/>
  <c r="AC95" i="34" s="1"/>
  <c r="AD95" i="34" s="1"/>
  <c r="AE95" i="34" s="1"/>
  <c r="AF95" i="34" s="1"/>
  <c r="AG95" i="34" s="1"/>
  <c r="AH95" i="34" s="1"/>
  <c r="G9" i="15"/>
  <c r="F93" i="34"/>
  <c r="G93" i="34" s="1"/>
  <c r="H93" i="34" s="1"/>
  <c r="I93" i="34" s="1"/>
  <c r="J93" i="34" s="1"/>
  <c r="K93" i="34" s="1"/>
  <c r="L93" i="34" s="1"/>
  <c r="M93" i="34" s="1"/>
  <c r="N93" i="34" s="1"/>
  <c r="O93" i="34" s="1"/>
  <c r="P93" i="34" s="1"/>
  <c r="Q93" i="34" s="1"/>
  <c r="R93" i="34" s="1"/>
  <c r="S93" i="34" s="1"/>
  <c r="T93" i="34" s="1"/>
  <c r="U93" i="34" s="1"/>
  <c r="V93" i="34" s="1"/>
  <c r="W93" i="34" s="1"/>
  <c r="X93" i="34" s="1"/>
  <c r="Y93" i="34" s="1"/>
  <c r="Z93" i="34" s="1"/>
  <c r="AA93" i="34" s="1"/>
  <c r="AB93" i="34" s="1"/>
  <c r="AC93" i="34" s="1"/>
  <c r="AD93" i="34" s="1"/>
  <c r="AE93" i="34" s="1"/>
  <c r="AF93" i="34" s="1"/>
  <c r="AG93" i="34" s="1"/>
  <c r="AH93" i="34" s="1"/>
  <c r="F34" i="33"/>
  <c r="F52" i="33" s="1"/>
  <c r="C37" i="34"/>
  <c r="Q12" i="47"/>
  <c r="AI72" i="47" s="1"/>
  <c r="AI90" i="47"/>
  <c r="E31" i="33"/>
  <c r="E49" i="33" s="1"/>
  <c r="C28" i="34"/>
  <c r="C25" i="47"/>
  <c r="N5" i="41"/>
  <c r="AI35" i="41" s="1"/>
  <c r="D24" i="28"/>
  <c r="E18" i="28"/>
  <c r="C25" i="46"/>
  <c r="D19" i="46"/>
  <c r="G86" i="33"/>
  <c r="G95" i="33" s="1" a="1"/>
  <c r="G95" i="33" s="1"/>
  <c r="C11" i="34"/>
  <c r="I86" i="33"/>
  <c r="I95" i="33" s="1" a="1"/>
  <c r="I95" i="33" s="1"/>
  <c r="C32" i="33"/>
  <c r="C50" i="33" s="1"/>
  <c r="H86" i="33"/>
  <c r="H95" i="33" s="1" a="1"/>
  <c r="H95" i="33" s="1"/>
  <c r="E86" i="33"/>
  <c r="D86" i="33"/>
  <c r="F86" i="33"/>
  <c r="G5" i="3"/>
  <c r="G7" i="3" s="1"/>
  <c r="D16" i="45"/>
  <c r="J73" i="44"/>
  <c r="K73" i="44" s="1"/>
  <c r="M73" i="44" s="1"/>
  <c r="J71" i="44"/>
  <c r="K71" i="44" s="1"/>
  <c r="M71" i="44" s="1"/>
  <c r="F44" i="34"/>
  <c r="G44" i="34" s="1"/>
  <c r="H44" i="34" s="1"/>
  <c r="I44" i="34" s="1"/>
  <c r="J44" i="34" s="1"/>
  <c r="K44" i="34" s="1"/>
  <c r="L44" i="34" s="1"/>
  <c r="M44" i="34" s="1"/>
  <c r="N44" i="34" s="1"/>
  <c r="O44" i="34" s="1"/>
  <c r="P44" i="34" s="1"/>
  <c r="Q44" i="34" s="1"/>
  <c r="R44" i="34" s="1"/>
  <c r="S44" i="34" s="1"/>
  <c r="T44" i="34" s="1"/>
  <c r="U44" i="34" s="1"/>
  <c r="V44" i="34" s="1"/>
  <c r="W44" i="34" s="1"/>
  <c r="X44" i="34" s="1"/>
  <c r="Y44" i="34" s="1"/>
  <c r="Z44" i="34" s="1"/>
  <c r="AA44" i="34" s="1"/>
  <c r="AB44" i="34" s="1"/>
  <c r="AC44" i="34" s="1"/>
  <c r="AD44" i="34" s="1"/>
  <c r="AE44" i="34" s="1"/>
  <c r="AF44" i="34" s="1"/>
  <c r="AG44" i="34" s="1"/>
  <c r="AH44" i="34" s="1"/>
  <c r="N15" i="34"/>
  <c r="AI77" i="34" s="1"/>
  <c r="F18" i="16"/>
  <c r="F19" i="16"/>
  <c r="F15" i="16"/>
  <c r="F16" i="16"/>
  <c r="G14" i="16"/>
  <c r="F32" i="16"/>
  <c r="F74" i="16" s="1"/>
  <c r="C25" i="54"/>
  <c r="C40" i="54" s="1"/>
  <c r="D19" i="54"/>
  <c r="C21" i="47"/>
  <c r="E20" i="47" s="1"/>
  <c r="E81" i="47" s="1"/>
  <c r="F90" i="34"/>
  <c r="G90" i="34" s="1"/>
  <c r="H90" i="34" s="1"/>
  <c r="I90" i="34" s="1"/>
  <c r="J90" i="34" s="1"/>
  <c r="K90" i="34" s="1"/>
  <c r="L90" i="34" s="1"/>
  <c r="M90" i="34" s="1"/>
  <c r="N90" i="34" s="1"/>
  <c r="O90" i="34" s="1"/>
  <c r="P90" i="34" s="1"/>
  <c r="Q90" i="34" s="1"/>
  <c r="R90" i="34" s="1"/>
  <c r="S90" i="34" s="1"/>
  <c r="T90" i="34" s="1"/>
  <c r="U90" i="34" s="1"/>
  <c r="V90" i="34" s="1"/>
  <c r="W90" i="34" s="1"/>
  <c r="X90" i="34" s="1"/>
  <c r="Y90" i="34" s="1"/>
  <c r="Z90" i="34" s="1"/>
  <c r="AA90" i="34" s="1"/>
  <c r="AB90" i="34" s="1"/>
  <c r="AC90" i="34" s="1"/>
  <c r="AD90" i="34" s="1"/>
  <c r="AE90" i="34" s="1"/>
  <c r="AF90" i="34" s="1"/>
  <c r="AG90" i="34" s="1"/>
  <c r="AH90" i="34" s="1"/>
  <c r="N26" i="47"/>
  <c r="AI88" i="47" s="1"/>
  <c r="D128" i="16"/>
  <c r="D129" i="16" s="1"/>
  <c r="C40" i="29"/>
  <c r="D60" i="16"/>
  <c r="D76" i="16" s="1"/>
  <c r="N7" i="47"/>
  <c r="F9" i="16"/>
  <c r="N3" i="41"/>
  <c r="O3" i="41"/>
  <c r="R3" i="41"/>
  <c r="H44" i="33"/>
  <c r="H35" i="33" s="1"/>
  <c r="H30" i="33"/>
  <c r="H48" i="33" s="1"/>
  <c r="C4" i="41"/>
  <c r="C5" i="47"/>
  <c r="H57" i="33"/>
  <c r="C86" i="33" s="1"/>
  <c r="D27" i="46"/>
  <c r="D42" i="46" s="1"/>
  <c r="E21" i="46"/>
  <c r="F67" i="34"/>
  <c r="G67" i="34" s="1"/>
  <c r="H67" i="34" s="1"/>
  <c r="I67" i="34" s="1"/>
  <c r="J67" i="34" s="1"/>
  <c r="K67" i="34" s="1"/>
  <c r="L67" i="34" s="1"/>
  <c r="M67" i="34" s="1"/>
  <c r="N67" i="34" s="1"/>
  <c r="O67" i="34" s="1"/>
  <c r="P67" i="34" s="1"/>
  <c r="Q67" i="34" s="1"/>
  <c r="R67" i="34" s="1"/>
  <c r="S67" i="34" s="1"/>
  <c r="T67" i="34" s="1"/>
  <c r="U67" i="34" s="1"/>
  <c r="V67" i="34" s="1"/>
  <c r="W67" i="34" s="1"/>
  <c r="X67" i="34" s="1"/>
  <c r="Y67" i="34" s="1"/>
  <c r="Z67" i="34" s="1"/>
  <c r="AA67" i="34" s="1"/>
  <c r="AB67" i="34" s="1"/>
  <c r="AC67" i="34" s="1"/>
  <c r="AD67" i="34" s="1"/>
  <c r="AE67" i="34" s="1"/>
  <c r="AF67" i="34" s="1"/>
  <c r="AG67" i="34" s="1"/>
  <c r="AH67" i="34" s="1"/>
  <c r="H31" i="33"/>
  <c r="H49" i="33" s="1"/>
  <c r="C22" i="41"/>
  <c r="C26" i="47"/>
  <c r="O13" i="47"/>
  <c r="AI65" i="47" s="1"/>
  <c r="AI68" i="34"/>
  <c r="C42" i="28"/>
  <c r="C25" i="48"/>
  <c r="D19" i="48"/>
  <c r="C12" i="34"/>
  <c r="C11" i="47"/>
  <c r="E32" i="33"/>
  <c r="E50" i="33" s="1"/>
  <c r="G25" i="16"/>
  <c r="L5" i="4"/>
  <c r="L6" i="4" s="1"/>
  <c r="D38" i="45"/>
  <c r="J76" i="44"/>
  <c r="K76" i="44" s="1"/>
  <c r="M76" i="44" s="1"/>
  <c r="D19" i="53"/>
  <c r="C25" i="53"/>
  <c r="C40" i="53" s="1"/>
  <c r="C24" i="34"/>
  <c r="F23" i="34" s="1"/>
  <c r="E102" i="34" s="1"/>
  <c r="N4" i="41"/>
  <c r="AI34" i="41" s="1"/>
  <c r="F89" i="34"/>
  <c r="G89" i="34" s="1"/>
  <c r="H89" i="34" s="1"/>
  <c r="I89" i="34" s="1"/>
  <c r="J89" i="34" s="1"/>
  <c r="K89" i="34" s="1"/>
  <c r="L89" i="34" s="1"/>
  <c r="M89" i="34" s="1"/>
  <c r="N89" i="34" s="1"/>
  <c r="O89" i="34" s="1"/>
  <c r="P89" i="34" s="1"/>
  <c r="Q89" i="34" s="1"/>
  <c r="R89" i="34" s="1"/>
  <c r="S89" i="34" s="1"/>
  <c r="T89" i="34" s="1"/>
  <c r="U89" i="34" s="1"/>
  <c r="V89" i="34" s="1"/>
  <c r="W89" i="34" s="1"/>
  <c r="X89" i="34" s="1"/>
  <c r="Y89" i="34" s="1"/>
  <c r="Z89" i="34" s="1"/>
  <c r="AA89" i="34" s="1"/>
  <c r="AB89" i="34" s="1"/>
  <c r="AC89" i="34" s="1"/>
  <c r="AD89" i="34" s="1"/>
  <c r="AE89" i="34" s="1"/>
  <c r="AF89" i="34" s="1"/>
  <c r="AG89" i="34" s="1"/>
  <c r="AH89" i="34" s="1"/>
  <c r="C26" i="53"/>
  <c r="C41" i="53" s="1"/>
  <c r="C147" i="53" s="1"/>
  <c r="C148" i="53" s="1"/>
  <c r="D60" i="51" s="1"/>
  <c r="D20" i="53"/>
  <c r="G41" i="15"/>
  <c r="E11" i="15"/>
  <c r="AI108" i="34"/>
  <c r="C28" i="38"/>
  <c r="C43" i="38" s="1"/>
  <c r="D22" i="38"/>
  <c r="P18" i="41"/>
  <c r="AI66" i="41"/>
  <c r="C28" i="53"/>
  <c r="C43" i="53" s="1"/>
  <c r="D22" i="53"/>
  <c r="AI63" i="41"/>
  <c r="O18" i="41"/>
  <c r="C28" i="42"/>
  <c r="C43" i="42" s="1"/>
  <c r="D22" i="42"/>
  <c r="D27" i="48"/>
  <c r="D42" i="48" s="1"/>
  <c r="E21" i="48"/>
  <c r="G44" i="33"/>
  <c r="G35" i="33" s="1"/>
  <c r="G30" i="33"/>
  <c r="G48" i="33" s="1"/>
  <c r="C3" i="41"/>
  <c r="C3" i="47"/>
  <c r="C28" i="54"/>
  <c r="C43" i="54" s="1"/>
  <c r="D22" i="54"/>
  <c r="E20" i="15"/>
  <c r="N11" i="47"/>
  <c r="AI59" i="47" s="1"/>
  <c r="D27" i="38"/>
  <c r="D42" i="38" s="1"/>
  <c r="E21" i="38"/>
  <c r="C42" i="29"/>
  <c r="I31" i="33"/>
  <c r="I49" i="33" s="1"/>
  <c r="C23" i="41"/>
  <c r="C31" i="34"/>
  <c r="C27" i="47"/>
  <c r="N13" i="34"/>
  <c r="AI75" i="34" s="1"/>
  <c r="O13" i="34"/>
  <c r="AI80" i="34" s="1"/>
  <c r="M13" i="34"/>
  <c r="AI70" i="34" s="1"/>
  <c r="P13" i="34"/>
  <c r="AI85" i="34" s="1"/>
  <c r="F54" i="15"/>
  <c r="F124" i="15"/>
  <c r="E38" i="28"/>
  <c r="D27" i="29"/>
  <c r="E21" i="29"/>
  <c r="D24" i="54"/>
  <c r="E18" i="54"/>
  <c r="M39" i="34"/>
  <c r="AI112" i="34" s="1"/>
  <c r="C9" i="41"/>
  <c r="C14" i="34"/>
  <c r="C10" i="47"/>
  <c r="G32" i="33"/>
  <c r="G50" i="33" s="1"/>
  <c r="C77" i="44"/>
  <c r="J70" i="44"/>
  <c r="K70" i="44" s="1"/>
  <c r="C26" i="28"/>
  <c r="C44" i="28" s="1"/>
  <c r="D20" i="28"/>
  <c r="F11" i="15"/>
  <c r="C18" i="41"/>
  <c r="F17" i="41" s="1"/>
  <c r="E68" i="41" s="1"/>
  <c r="C26" i="54"/>
  <c r="C41" i="54" s="1"/>
  <c r="C147" i="54" s="1"/>
  <c r="C148" i="54" s="1"/>
  <c r="D20" i="54"/>
  <c r="C26" i="42"/>
  <c r="C41" i="42" s="1"/>
  <c r="D20" i="42"/>
  <c r="N24" i="41"/>
  <c r="M8" i="34" l="1"/>
  <c r="O12" i="41"/>
  <c r="E21" i="53"/>
  <c r="P12" i="41"/>
  <c r="E18" i="29"/>
  <c r="M30" i="41"/>
  <c r="E17" i="47"/>
  <c r="D18" i="48"/>
  <c r="E18" i="48" s="1"/>
  <c r="C24" i="46"/>
  <c r="D24" i="46"/>
  <c r="E18" i="46"/>
  <c r="D18" i="38"/>
  <c r="C24" i="38"/>
  <c r="C39" i="38" s="1"/>
  <c r="M35" i="47"/>
  <c r="D18" i="42"/>
  <c r="C24" i="42"/>
  <c r="C39" i="42" s="1"/>
  <c r="C44" i="42" s="1"/>
  <c r="C288" i="42" s="1"/>
  <c r="AI52" i="34"/>
  <c r="F52" i="34" s="1"/>
  <c r="G52" i="34" s="1"/>
  <c r="H52" i="34" s="1"/>
  <c r="I52" i="34" s="1"/>
  <c r="J52" i="34" s="1"/>
  <c r="K52" i="34" s="1"/>
  <c r="L52" i="34" s="1"/>
  <c r="M52" i="34" s="1"/>
  <c r="N52" i="34" s="1"/>
  <c r="O52" i="34" s="1"/>
  <c r="P52" i="34" s="1"/>
  <c r="Q52" i="34" s="1"/>
  <c r="R52" i="34" s="1"/>
  <c r="S52" i="34" s="1"/>
  <c r="T52" i="34" s="1"/>
  <c r="U52" i="34" s="1"/>
  <c r="V52" i="34" s="1"/>
  <c r="W52" i="34" s="1"/>
  <c r="X52" i="34" s="1"/>
  <c r="Y52" i="34" s="1"/>
  <c r="Z52" i="34" s="1"/>
  <c r="AA52" i="34" s="1"/>
  <c r="AB52" i="34" s="1"/>
  <c r="AC52" i="34" s="1"/>
  <c r="AD52" i="34" s="1"/>
  <c r="AE52" i="34" s="1"/>
  <c r="AF52" i="34" s="1"/>
  <c r="AG52" i="34" s="1"/>
  <c r="AH52" i="34" s="1"/>
  <c r="Q12" i="41"/>
  <c r="D22" i="48"/>
  <c r="E22" i="48" s="1"/>
  <c r="C29" i="48"/>
  <c r="C41" i="46"/>
  <c r="C29" i="46"/>
  <c r="D20" i="46"/>
  <c r="D26" i="46" s="1"/>
  <c r="D41" i="46" s="1"/>
  <c r="D19" i="29"/>
  <c r="D25" i="29" s="1"/>
  <c r="D43" i="29" s="1"/>
  <c r="D22" i="46"/>
  <c r="D28" i="46" s="1"/>
  <c r="J77" i="44"/>
  <c r="C29" i="29"/>
  <c r="AI48" i="41"/>
  <c r="F22" i="34"/>
  <c r="E35" i="15"/>
  <c r="C46" i="29"/>
  <c r="C47" i="29" s="1"/>
  <c r="C142" i="29" s="1"/>
  <c r="D22" i="34"/>
  <c r="E91" i="34" s="1"/>
  <c r="F81" i="47"/>
  <c r="G81" i="47" s="1"/>
  <c r="H81" i="47" s="1"/>
  <c r="I81" i="47" s="1"/>
  <c r="J81" i="47" s="1"/>
  <c r="K81" i="47" s="1"/>
  <c r="L81" i="47" s="1"/>
  <c r="M81" i="47" s="1"/>
  <c r="N81" i="47" s="1"/>
  <c r="O81" i="47" s="1"/>
  <c r="P81" i="47" s="1"/>
  <c r="Q81" i="47" s="1"/>
  <c r="R81" i="47" s="1"/>
  <c r="S81" i="47" s="1"/>
  <c r="T81" i="47" s="1"/>
  <c r="U81" i="47" s="1"/>
  <c r="V81" i="47" s="1"/>
  <c r="W81" i="47" s="1"/>
  <c r="X81" i="47" s="1"/>
  <c r="Y81" i="47" s="1"/>
  <c r="Z81" i="47" s="1"/>
  <c r="AA81" i="47" s="1"/>
  <c r="AB81" i="47" s="1"/>
  <c r="AC81" i="47" s="1"/>
  <c r="AD81" i="47" s="1"/>
  <c r="AE81" i="47" s="1"/>
  <c r="AF81" i="47" s="1"/>
  <c r="AG81" i="47" s="1"/>
  <c r="AH81" i="47" s="1"/>
  <c r="H7" i="26"/>
  <c r="H8" i="26"/>
  <c r="L8" i="4"/>
  <c r="L7" i="4"/>
  <c r="F102" i="34"/>
  <c r="G102" i="34" s="1"/>
  <c r="H102" i="34" s="1"/>
  <c r="I102" i="34" s="1"/>
  <c r="J102" i="34" s="1"/>
  <c r="K102" i="34" s="1"/>
  <c r="L102" i="34" s="1"/>
  <c r="M102" i="34" s="1"/>
  <c r="N102" i="34" s="1"/>
  <c r="O102" i="34" s="1"/>
  <c r="P102" i="34" s="1"/>
  <c r="Q102" i="34" s="1"/>
  <c r="R102" i="34" s="1"/>
  <c r="S102" i="34" s="1"/>
  <c r="T102" i="34" s="1"/>
  <c r="U102" i="34" s="1"/>
  <c r="V102" i="34" s="1"/>
  <c r="W102" i="34" s="1"/>
  <c r="X102" i="34" s="1"/>
  <c r="Y102" i="34" s="1"/>
  <c r="Z102" i="34" s="1"/>
  <c r="AA102" i="34" s="1"/>
  <c r="AB102" i="34" s="1"/>
  <c r="AC102" i="34" s="1"/>
  <c r="AD102" i="34" s="1"/>
  <c r="AE102" i="34" s="1"/>
  <c r="AF102" i="34" s="1"/>
  <c r="AG102" i="34" s="1"/>
  <c r="AH102" i="34" s="1"/>
  <c r="F68" i="41"/>
  <c r="G68" i="41" s="1"/>
  <c r="H68" i="41" s="1"/>
  <c r="I68" i="41" s="1"/>
  <c r="J68" i="41" s="1"/>
  <c r="K68" i="41" s="1"/>
  <c r="L68" i="41" s="1"/>
  <c r="M68" i="41" s="1"/>
  <c r="N68" i="41" s="1"/>
  <c r="O68" i="41" s="1"/>
  <c r="P68" i="41" s="1"/>
  <c r="Q68" i="41" s="1"/>
  <c r="R68" i="41" s="1"/>
  <c r="S68" i="41" s="1"/>
  <c r="T68" i="41" s="1"/>
  <c r="U68" i="41" s="1"/>
  <c r="V68" i="41" s="1"/>
  <c r="W68" i="41" s="1"/>
  <c r="X68" i="41" s="1"/>
  <c r="Y68" i="41" s="1"/>
  <c r="Z68" i="41" s="1"/>
  <c r="AA68" i="41" s="1"/>
  <c r="AB68" i="41" s="1"/>
  <c r="AC68" i="41" s="1"/>
  <c r="AD68" i="41" s="1"/>
  <c r="AE68" i="41" s="1"/>
  <c r="AF68" i="41" s="1"/>
  <c r="AG68" i="41" s="1"/>
  <c r="AH68" i="41" s="1"/>
  <c r="H9" i="16"/>
  <c r="C95" i="33" a="1"/>
  <c r="C95" i="33" s="1"/>
  <c r="AG119" i="20" s="1"/>
  <c r="C119" i="20"/>
  <c r="E24" i="29"/>
  <c r="F18" i="29"/>
  <c r="C14" i="47"/>
  <c r="E10" i="47" s="1"/>
  <c r="C7" i="47"/>
  <c r="D3" i="47" s="1"/>
  <c r="D26" i="53"/>
  <c r="D41" i="53" s="1"/>
  <c r="D147" i="53" s="1"/>
  <c r="D148" i="53" s="1"/>
  <c r="E60" i="51" s="1"/>
  <c r="E20" i="53"/>
  <c r="F13" i="15"/>
  <c r="C6" i="41"/>
  <c r="H3" i="41" s="1"/>
  <c r="D25" i="48"/>
  <c r="E19" i="48"/>
  <c r="C12" i="41"/>
  <c r="F9" i="41" s="1"/>
  <c r="D41" i="45"/>
  <c r="AJ38" i="45"/>
  <c r="E38" i="45"/>
  <c r="D23" i="34"/>
  <c r="E92" i="34" s="1"/>
  <c r="E27" i="46"/>
  <c r="E42" i="46" s="1"/>
  <c r="F21" i="46"/>
  <c r="O6" i="41"/>
  <c r="AI36" i="41"/>
  <c r="F17" i="47"/>
  <c r="D20" i="47"/>
  <c r="E77" i="47" s="1"/>
  <c r="F18" i="48"/>
  <c r="E24" i="48"/>
  <c r="C44" i="38"/>
  <c r="C288" i="38" s="1"/>
  <c r="C40" i="34"/>
  <c r="D35" i="34" s="1"/>
  <c r="G19" i="15"/>
  <c r="G16" i="15"/>
  <c r="G15" i="15"/>
  <c r="G18" i="15"/>
  <c r="H14" i="15"/>
  <c r="G32" i="15"/>
  <c r="C84" i="33"/>
  <c r="C216" i="38"/>
  <c r="E94" i="33" a="1"/>
  <c r="E94" i="33" s="1"/>
  <c r="C216" i="42"/>
  <c r="C63" i="29"/>
  <c r="C62" i="29" s="1"/>
  <c r="C64" i="29"/>
  <c r="C96" i="29" s="1"/>
  <c r="C67" i="29"/>
  <c r="C68" i="29"/>
  <c r="C65" i="29"/>
  <c r="C66" i="29"/>
  <c r="D18" i="47"/>
  <c r="E75" i="47" s="1"/>
  <c r="D39" i="53"/>
  <c r="E11" i="16"/>
  <c r="D26" i="42"/>
  <c r="D41" i="42" s="1"/>
  <c r="E20" i="42"/>
  <c r="G16" i="16"/>
  <c r="G19" i="16"/>
  <c r="G15" i="16"/>
  <c r="G18" i="16"/>
  <c r="H14" i="16"/>
  <c r="G32" i="16"/>
  <c r="G74" i="16" s="1"/>
  <c r="G8" i="3"/>
  <c r="G12" i="3" s="1"/>
  <c r="D28" i="38"/>
  <c r="D43" i="38" s="1"/>
  <c r="E22" i="38"/>
  <c r="E27" i="38"/>
  <c r="E42" i="38" s="1"/>
  <c r="F21" i="38"/>
  <c r="AJ60" i="51"/>
  <c r="D26" i="28"/>
  <c r="D44" i="28" s="1"/>
  <c r="E20" i="28"/>
  <c r="M40" i="34"/>
  <c r="E22" i="34"/>
  <c r="C52" i="29"/>
  <c r="C49" i="29" s="1"/>
  <c r="C53" i="29"/>
  <c r="C50" i="29"/>
  <c r="C47" i="28"/>
  <c r="C54" i="29"/>
  <c r="C51" i="29"/>
  <c r="AI33" i="41"/>
  <c r="N6" i="41"/>
  <c r="D25" i="54"/>
  <c r="D40" i="54" s="1"/>
  <c r="E19" i="54"/>
  <c r="F17" i="16"/>
  <c r="C16" i="34"/>
  <c r="D12" i="34" s="1"/>
  <c r="E69" i="34" s="1"/>
  <c r="F20" i="47"/>
  <c r="E85" i="47" s="1"/>
  <c r="C29" i="38"/>
  <c r="D93" i="33" a="1"/>
  <c r="D93" i="33" s="1"/>
  <c r="AG59" i="28" s="1"/>
  <c r="C59" i="28"/>
  <c r="AI58" i="47"/>
  <c r="N14" i="47"/>
  <c r="G54" i="15"/>
  <c r="G124" i="15"/>
  <c r="F38" i="28"/>
  <c r="F98" i="34"/>
  <c r="G98" i="34" s="1"/>
  <c r="H98" i="34" s="1"/>
  <c r="I98" i="34" s="1"/>
  <c r="J98" i="34" s="1"/>
  <c r="K98" i="34" s="1"/>
  <c r="L98" i="34" s="1"/>
  <c r="M98" i="34" s="1"/>
  <c r="N98" i="34" s="1"/>
  <c r="O98" i="34" s="1"/>
  <c r="P98" i="34" s="1"/>
  <c r="Q98" i="34" s="1"/>
  <c r="R98" i="34" s="1"/>
  <c r="S98" i="34" s="1"/>
  <c r="T98" i="34" s="1"/>
  <c r="U98" i="34" s="1"/>
  <c r="V98" i="34" s="1"/>
  <c r="W98" i="34" s="1"/>
  <c r="X98" i="34" s="1"/>
  <c r="Y98" i="34" s="1"/>
  <c r="Z98" i="34" s="1"/>
  <c r="AA98" i="34" s="1"/>
  <c r="AB98" i="34" s="1"/>
  <c r="AC98" i="34" s="1"/>
  <c r="AD98" i="34" s="1"/>
  <c r="AE98" i="34" s="1"/>
  <c r="AF98" i="34" s="1"/>
  <c r="AG98" i="34" s="1"/>
  <c r="AH98" i="34" s="1"/>
  <c r="E60" i="15"/>
  <c r="D40" i="28"/>
  <c r="E128" i="15"/>
  <c r="E18" i="47"/>
  <c r="E79" i="47" s="1"/>
  <c r="H41" i="16"/>
  <c r="E24" i="53"/>
  <c r="F18" i="53"/>
  <c r="D26" i="38"/>
  <c r="D41" i="38" s="1"/>
  <c r="E20" i="38"/>
  <c r="G10" i="41"/>
  <c r="E58" i="41" s="1"/>
  <c r="D10" i="41"/>
  <c r="E49" i="41" s="1"/>
  <c r="E10" i="41"/>
  <c r="E52" i="41" s="1"/>
  <c r="F10" i="41"/>
  <c r="E55" i="41" s="1"/>
  <c r="H4" i="47"/>
  <c r="E55" i="47" s="1"/>
  <c r="F4" i="47"/>
  <c r="E47" i="47" s="1"/>
  <c r="G4" i="47"/>
  <c r="E51" i="47" s="1"/>
  <c r="E4" i="47"/>
  <c r="E43" i="47" s="1"/>
  <c r="D4" i="47"/>
  <c r="E39" i="47" s="1"/>
  <c r="E27" i="29"/>
  <c r="F21" i="29"/>
  <c r="C80" i="29"/>
  <c r="C79" i="29" s="1"/>
  <c r="E24" i="54"/>
  <c r="F18" i="54"/>
  <c r="E40" i="15"/>
  <c r="E27" i="48"/>
  <c r="E42" i="48" s="1"/>
  <c r="F21" i="48"/>
  <c r="D28" i="53"/>
  <c r="D43" i="53" s="1"/>
  <c r="E22" i="53"/>
  <c r="C29" i="28"/>
  <c r="H64" i="33"/>
  <c r="C72" i="33"/>
  <c r="C80" i="33" s="1"/>
  <c r="C22" i="20" s="1"/>
  <c r="D87" i="33"/>
  <c r="D96" i="33" s="1" a="1"/>
  <c r="D96" i="33" s="1"/>
  <c r="C71" i="33"/>
  <c r="C79" i="33" s="1"/>
  <c r="C21" i="20" s="1"/>
  <c r="C360" i="46"/>
  <c r="H87" i="33"/>
  <c r="H96" i="33" s="1" a="1"/>
  <c r="H96" i="33" s="1"/>
  <c r="E87" i="33"/>
  <c r="C332" i="42"/>
  <c r="C307" i="20"/>
  <c r="I87" i="33"/>
  <c r="I96" i="33" s="1" a="1"/>
  <c r="I96" i="33" s="1"/>
  <c r="C69" i="33"/>
  <c r="C77" i="33" s="1"/>
  <c r="C20" i="20" s="1"/>
  <c r="C68" i="33"/>
  <c r="G87" i="33"/>
  <c r="G96" i="33" s="1" a="1"/>
  <c r="G96" i="33" s="1"/>
  <c r="F87" i="33"/>
  <c r="J87" i="33"/>
  <c r="J96" i="33" s="1" a="1"/>
  <c r="J96" i="33" s="1"/>
  <c r="C87" i="33"/>
  <c r="C332" i="38"/>
  <c r="C360" i="48"/>
  <c r="C70" i="33"/>
  <c r="C78" i="33" s="1"/>
  <c r="C19" i="20" s="1"/>
  <c r="C108" i="54"/>
  <c r="C109" i="54" s="1"/>
  <c r="C110" i="54"/>
  <c r="C111" i="54" s="1"/>
  <c r="C104" i="54"/>
  <c r="C105" i="54" s="1"/>
  <c r="C106" i="54"/>
  <c r="C107" i="54" s="1"/>
  <c r="C136" i="48"/>
  <c r="F95" i="33" a="1"/>
  <c r="F95" i="33" s="1"/>
  <c r="C136" i="46"/>
  <c r="C28" i="47"/>
  <c r="D25" i="47" s="1"/>
  <c r="E87" i="47" s="1"/>
  <c r="F93" i="33" a="1"/>
  <c r="F93" i="33" s="1"/>
  <c r="C60" i="54"/>
  <c r="C60" i="48"/>
  <c r="C60" i="46"/>
  <c r="C60" i="53"/>
  <c r="I7" i="15"/>
  <c r="I8" i="15" s="1"/>
  <c r="J6" i="15"/>
  <c r="F13" i="34"/>
  <c r="E80" i="34" s="1"/>
  <c r="D13" i="34"/>
  <c r="E70" i="34" s="1"/>
  <c r="E13" i="34"/>
  <c r="E75" i="34" s="1"/>
  <c r="G13" i="34"/>
  <c r="E85" i="34" s="1"/>
  <c r="H25" i="15"/>
  <c r="E40" i="16"/>
  <c r="F18" i="47"/>
  <c r="E83" i="47" s="1"/>
  <c r="E22" i="46"/>
  <c r="D26" i="29"/>
  <c r="D44" i="29" s="1"/>
  <c r="E20" i="29"/>
  <c r="E27" i="53"/>
  <c r="E42" i="53" s="1"/>
  <c r="F21" i="53"/>
  <c r="D15" i="41"/>
  <c r="K77" i="44"/>
  <c r="M77" i="44" s="1"/>
  <c r="N74" i="44" s="1"/>
  <c r="M70" i="44"/>
  <c r="L4" i="8"/>
  <c r="D39" i="54"/>
  <c r="C31" i="29"/>
  <c r="C132" i="29"/>
  <c r="E39" i="15"/>
  <c r="E13" i="15"/>
  <c r="F24" i="34"/>
  <c r="E101" i="34"/>
  <c r="G54" i="16"/>
  <c r="F38" i="29"/>
  <c r="G124" i="16"/>
  <c r="E16" i="41"/>
  <c r="E64" i="41" s="1"/>
  <c r="H5" i="47"/>
  <c r="E56" i="47" s="1"/>
  <c r="F5" i="47"/>
  <c r="E48" i="47" s="1"/>
  <c r="G5" i="47"/>
  <c r="E52" i="47" s="1"/>
  <c r="E5" i="47"/>
  <c r="E44" i="47" s="1"/>
  <c r="D5" i="47"/>
  <c r="E40" i="47" s="1"/>
  <c r="F10" i="16"/>
  <c r="C306" i="48"/>
  <c r="C31" i="48"/>
  <c r="F20" i="16"/>
  <c r="D95" i="33" a="1"/>
  <c r="D95" i="33" s="1"/>
  <c r="AG82" i="28" s="1"/>
  <c r="C82" i="28"/>
  <c r="D25" i="46"/>
  <c r="E19" i="46"/>
  <c r="I23" i="16"/>
  <c r="I24" i="16"/>
  <c r="I25" i="16" s="1"/>
  <c r="J22" i="16"/>
  <c r="F17" i="15"/>
  <c r="AG60" i="48"/>
  <c r="AG60" i="53"/>
  <c r="AG60" i="54"/>
  <c r="AG60" i="46"/>
  <c r="D28" i="29"/>
  <c r="D46" i="29" s="1"/>
  <c r="E22" i="29"/>
  <c r="E35" i="16"/>
  <c r="C32" i="34"/>
  <c r="D29" i="34" s="1"/>
  <c r="E105" i="34" s="1"/>
  <c r="E27" i="42"/>
  <c r="E42" i="42" s="1"/>
  <c r="F21" i="42"/>
  <c r="G13" i="47"/>
  <c r="E73" i="47" s="1"/>
  <c r="D13" i="47"/>
  <c r="E61" i="47" s="1"/>
  <c r="F13" i="47"/>
  <c r="E69" i="47" s="1"/>
  <c r="E13" i="47"/>
  <c r="E65" i="47" s="1"/>
  <c r="D65" i="15"/>
  <c r="D136" i="53"/>
  <c r="D138" i="53"/>
  <c r="D134" i="53"/>
  <c r="D39" i="34"/>
  <c r="E112" i="34" s="1"/>
  <c r="E17" i="41"/>
  <c r="E65" i="41" s="1"/>
  <c r="C31" i="46"/>
  <c r="C306" i="46"/>
  <c r="F34" i="16"/>
  <c r="F33" i="16"/>
  <c r="AJ16" i="45"/>
  <c r="D18" i="45"/>
  <c r="E16" i="45"/>
  <c r="E95" i="33" a="1"/>
  <c r="E95" i="33" s="1"/>
  <c r="C126" i="42"/>
  <c r="C126" i="38"/>
  <c r="E19" i="47"/>
  <c r="E80" i="47" s="1"/>
  <c r="C24" i="41"/>
  <c r="D21" i="41" s="1"/>
  <c r="C88" i="33"/>
  <c r="H41" i="15"/>
  <c r="D26" i="48"/>
  <c r="D41" i="48" s="1"/>
  <c r="E20" i="48"/>
  <c r="D36" i="34"/>
  <c r="E109" i="34" s="1"/>
  <c r="AI62" i="47"/>
  <c r="O14" i="47"/>
  <c r="F15" i="34"/>
  <c r="E82" i="34" s="1"/>
  <c r="E15" i="34"/>
  <c r="E77" i="34" s="1"/>
  <c r="G15" i="34"/>
  <c r="E87" i="34" s="1"/>
  <c r="D15" i="34"/>
  <c r="E72" i="34" s="1"/>
  <c r="D25" i="42"/>
  <c r="D40" i="42" s="1"/>
  <c r="E19" i="42"/>
  <c r="Q14" i="47"/>
  <c r="AI70" i="47"/>
  <c r="D134" i="16"/>
  <c r="D16" i="41"/>
  <c r="E61" i="41" s="1"/>
  <c r="G11" i="47"/>
  <c r="E71" i="47" s="1"/>
  <c r="E11" i="47"/>
  <c r="E63" i="47" s="1"/>
  <c r="D11" i="47"/>
  <c r="E59" i="47" s="1"/>
  <c r="F11" i="47"/>
  <c r="E67" i="47" s="1"/>
  <c r="E24" i="28"/>
  <c r="F18" i="28"/>
  <c r="D37" i="34"/>
  <c r="E110" i="34" s="1"/>
  <c r="E24" i="46"/>
  <c r="F18" i="46"/>
  <c r="D19" i="47"/>
  <c r="E76" i="47" s="1"/>
  <c r="C257" i="48"/>
  <c r="C257" i="46"/>
  <c r="C153" i="54"/>
  <c r="C153" i="53"/>
  <c r="F97" i="33" a="1"/>
  <c r="F97" i="33" s="1"/>
  <c r="F20" i="15"/>
  <c r="C240" i="48"/>
  <c r="F94" i="33" a="1"/>
  <c r="F94" i="33" s="1"/>
  <c r="C240" i="46"/>
  <c r="AI66" i="47"/>
  <c r="P14" i="47"/>
  <c r="D11" i="41"/>
  <c r="E50" i="41" s="1"/>
  <c r="G11" i="41"/>
  <c r="E59" i="41" s="1"/>
  <c r="E11" i="41"/>
  <c r="E53" i="41" s="1"/>
  <c r="F11" i="41"/>
  <c r="E56" i="41" s="1"/>
  <c r="N16" i="34"/>
  <c r="C35" i="47"/>
  <c r="D32" i="47" s="1"/>
  <c r="E91" i="47" s="1"/>
  <c r="AI86" i="47"/>
  <c r="N28" i="47"/>
  <c r="E21" i="16"/>
  <c r="C44" i="54"/>
  <c r="C204" i="54" s="1"/>
  <c r="E21" i="15"/>
  <c r="D28" i="54"/>
  <c r="D43" i="54" s="1"/>
  <c r="E22" i="54"/>
  <c r="F15" i="41"/>
  <c r="C110" i="53"/>
  <c r="C111" i="53" s="1"/>
  <c r="C104" i="53"/>
  <c r="C105" i="53" s="1"/>
  <c r="D53" i="51" s="1"/>
  <c r="C106" i="53"/>
  <c r="C107" i="53" s="1"/>
  <c r="D62" i="51" s="1"/>
  <c r="C108" i="53"/>
  <c r="C109" i="53" s="1"/>
  <c r="E78" i="47"/>
  <c r="D26" i="54"/>
  <c r="D41" i="54" s="1"/>
  <c r="D147" i="54" s="1"/>
  <c r="D148" i="54" s="1"/>
  <c r="E20" i="54"/>
  <c r="D28" i="42"/>
  <c r="D43" i="42" s="1"/>
  <c r="E22" i="42"/>
  <c r="D25" i="53"/>
  <c r="D40" i="53" s="1"/>
  <c r="E19" i="53"/>
  <c r="E23" i="34"/>
  <c r="E97" i="34" s="1"/>
  <c r="G10" i="15"/>
  <c r="H25" i="16"/>
  <c r="F19" i="47"/>
  <c r="E84" i="47" s="1"/>
  <c r="C231" i="38"/>
  <c r="E97" i="33" a="1"/>
  <c r="E97" i="33" s="1"/>
  <c r="C231" i="42"/>
  <c r="F34" i="15"/>
  <c r="F33" i="15"/>
  <c r="H9" i="15"/>
  <c r="H10" i="15" s="1"/>
  <c r="F21" i="28"/>
  <c r="E27" i="28"/>
  <c r="G11" i="16"/>
  <c r="D94" i="33" a="1"/>
  <c r="D94" i="33" s="1"/>
  <c r="AG107" i="28" s="1"/>
  <c r="AG108" i="28" s="1"/>
  <c r="C107" i="28"/>
  <c r="D28" i="28"/>
  <c r="D46" i="28" s="1"/>
  <c r="E22" i="28"/>
  <c r="C44" i="53"/>
  <c r="C204" i="53" s="1"/>
  <c r="E27" i="54"/>
  <c r="E42" i="54" s="1"/>
  <c r="F21" i="54"/>
  <c r="D38" i="34"/>
  <c r="E111" i="34" s="1"/>
  <c r="H6" i="47"/>
  <c r="E57" i="47" s="1"/>
  <c r="F6" i="47"/>
  <c r="E49" i="47" s="1"/>
  <c r="G6" i="47"/>
  <c r="E53" i="47" s="1"/>
  <c r="E6" i="47"/>
  <c r="E45" i="47" s="1"/>
  <c r="D6" i="47"/>
  <c r="E41" i="47" s="1"/>
  <c r="D76" i="15"/>
  <c r="C29" i="54"/>
  <c r="D28" i="48"/>
  <c r="D17" i="41"/>
  <c r="E62" i="41" s="1"/>
  <c r="F16" i="41"/>
  <c r="E67" i="41" s="1"/>
  <c r="E15" i="41"/>
  <c r="M16" i="34"/>
  <c r="R6" i="41"/>
  <c r="AI45" i="41"/>
  <c r="D65" i="16"/>
  <c r="D17" i="47"/>
  <c r="P16" i="34"/>
  <c r="F74" i="15"/>
  <c r="E93" i="33" a="1"/>
  <c r="E93" i="33" s="1"/>
  <c r="C60" i="38"/>
  <c r="C60" i="42"/>
  <c r="G10" i="16"/>
  <c r="C85" i="33"/>
  <c r="C85" i="29"/>
  <c r="C84" i="29" s="1"/>
  <c r="C29" i="53"/>
  <c r="D134" i="54"/>
  <c r="D138" i="54"/>
  <c r="D136" i="54"/>
  <c r="I23" i="15"/>
  <c r="I24" i="15"/>
  <c r="J22" i="15"/>
  <c r="D25" i="28"/>
  <c r="D43" i="28" s="1"/>
  <c r="E19" i="28"/>
  <c r="I7" i="16"/>
  <c r="J6" i="16"/>
  <c r="C30" i="41"/>
  <c r="D27" i="41" s="1"/>
  <c r="D5" i="41"/>
  <c r="E35" i="41" s="1"/>
  <c r="D133" i="15" a="1"/>
  <c r="D133" i="15" s="1"/>
  <c r="D134" i="15"/>
  <c r="D68" i="15"/>
  <c r="D77" i="15" s="1"/>
  <c r="G12" i="47"/>
  <c r="E72" i="47" s="1"/>
  <c r="F12" i="47"/>
  <c r="E68" i="47" s="1"/>
  <c r="E12" i="47"/>
  <c r="E64" i="47" s="1"/>
  <c r="D12" i="47"/>
  <c r="E60" i="47" s="1"/>
  <c r="O16" i="34"/>
  <c r="D25" i="38"/>
  <c r="D40" i="38" s="1"/>
  <c r="E19" i="38"/>
  <c r="D24" i="48" l="1"/>
  <c r="E19" i="29"/>
  <c r="C29" i="42"/>
  <c r="F4" i="41"/>
  <c r="E40" i="41" s="1"/>
  <c r="F5" i="41"/>
  <c r="E41" i="41" s="1"/>
  <c r="E4" i="41"/>
  <c r="E37" i="41" s="1"/>
  <c r="D24" i="42"/>
  <c r="D39" i="42" s="1"/>
  <c r="D44" i="42" s="1"/>
  <c r="D288" i="42" s="1"/>
  <c r="E18" i="42"/>
  <c r="H5" i="41"/>
  <c r="E47" i="41" s="1"/>
  <c r="F47" i="41" s="1"/>
  <c r="G47" i="41" s="1"/>
  <c r="H47" i="41" s="1"/>
  <c r="I47" i="41" s="1"/>
  <c r="J47" i="41" s="1"/>
  <c r="K47" i="41" s="1"/>
  <c r="L47" i="41" s="1"/>
  <c r="M47" i="41" s="1"/>
  <c r="N47" i="41" s="1"/>
  <c r="O47" i="41" s="1"/>
  <c r="P47" i="41" s="1"/>
  <c r="Q47" i="41" s="1"/>
  <c r="R47" i="41" s="1"/>
  <c r="S47" i="41" s="1"/>
  <c r="T47" i="41" s="1"/>
  <c r="U47" i="41" s="1"/>
  <c r="V47" i="41" s="1"/>
  <c r="W47" i="41" s="1"/>
  <c r="X47" i="41" s="1"/>
  <c r="Y47" i="41" s="1"/>
  <c r="Z47" i="41" s="1"/>
  <c r="AA47" i="41" s="1"/>
  <c r="AB47" i="41" s="1"/>
  <c r="AC47" i="41" s="1"/>
  <c r="AD47" i="41" s="1"/>
  <c r="AE47" i="41" s="1"/>
  <c r="AF47" i="41" s="1"/>
  <c r="AG47" i="41" s="1"/>
  <c r="AH47" i="41" s="1"/>
  <c r="G4" i="41"/>
  <c r="E43" i="41" s="1"/>
  <c r="F43" i="41" s="1"/>
  <c r="G43" i="41" s="1"/>
  <c r="H43" i="41" s="1"/>
  <c r="I43" i="41" s="1"/>
  <c r="J43" i="41" s="1"/>
  <c r="K43" i="41" s="1"/>
  <c r="L43" i="41" s="1"/>
  <c r="M43" i="41" s="1"/>
  <c r="N43" i="41" s="1"/>
  <c r="O43" i="41" s="1"/>
  <c r="P43" i="41" s="1"/>
  <c r="Q43" i="41" s="1"/>
  <c r="R43" i="41" s="1"/>
  <c r="S43" i="41" s="1"/>
  <c r="T43" i="41" s="1"/>
  <c r="U43" i="41" s="1"/>
  <c r="V43" i="41" s="1"/>
  <c r="W43" i="41" s="1"/>
  <c r="X43" i="41" s="1"/>
  <c r="Y43" i="41" s="1"/>
  <c r="Z43" i="41" s="1"/>
  <c r="AA43" i="41" s="1"/>
  <c r="AB43" i="41" s="1"/>
  <c r="AC43" i="41" s="1"/>
  <c r="AD43" i="41" s="1"/>
  <c r="AE43" i="41" s="1"/>
  <c r="AF43" i="41" s="1"/>
  <c r="AG43" i="41" s="1"/>
  <c r="AH43" i="41" s="1"/>
  <c r="D4" i="41"/>
  <c r="E34" i="41" s="1"/>
  <c r="E5" i="41"/>
  <c r="E38" i="41" s="1"/>
  <c r="E20" i="46"/>
  <c r="H4" i="41"/>
  <c r="E46" i="41" s="1"/>
  <c r="G5" i="41"/>
  <c r="E44" i="41" s="1"/>
  <c r="D24" i="38"/>
  <c r="D39" i="38" s="1"/>
  <c r="E18" i="38"/>
  <c r="N73" i="44"/>
  <c r="D29" i="48"/>
  <c r="D24" i="34"/>
  <c r="L9" i="4"/>
  <c r="N76" i="44"/>
  <c r="K87" i="33"/>
  <c r="L87" i="33" s="1"/>
  <c r="E3" i="47"/>
  <c r="D29" i="46"/>
  <c r="D306" i="46" s="1"/>
  <c r="D9" i="41"/>
  <c r="E48" i="41" s="1"/>
  <c r="E21" i="47"/>
  <c r="G11" i="34"/>
  <c r="E83" i="34" s="1"/>
  <c r="E9" i="41"/>
  <c r="H9" i="26"/>
  <c r="D11" i="34"/>
  <c r="E68" i="34" s="1"/>
  <c r="C93" i="29"/>
  <c r="D3" i="41"/>
  <c r="E33" i="41" s="1"/>
  <c r="G10" i="47"/>
  <c r="E70" i="47" s="1"/>
  <c r="E72" i="41"/>
  <c r="F91" i="47"/>
  <c r="G91" i="47" s="1"/>
  <c r="H91" i="47" s="1"/>
  <c r="I91" i="47" s="1"/>
  <c r="J91" i="47" s="1"/>
  <c r="K91" i="47" s="1"/>
  <c r="L91" i="47" s="1"/>
  <c r="M91" i="47" s="1"/>
  <c r="N91" i="47" s="1"/>
  <c r="O91" i="47" s="1"/>
  <c r="P91" i="47" s="1"/>
  <c r="Q91" i="47" s="1"/>
  <c r="R91" i="47" s="1"/>
  <c r="S91" i="47" s="1"/>
  <c r="T91" i="47" s="1"/>
  <c r="U91" i="47" s="1"/>
  <c r="V91" i="47" s="1"/>
  <c r="W91" i="47" s="1"/>
  <c r="X91" i="47" s="1"/>
  <c r="Y91" i="47" s="1"/>
  <c r="Z91" i="47" s="1"/>
  <c r="AA91" i="47" s="1"/>
  <c r="AB91" i="47" s="1"/>
  <c r="AC91" i="47" s="1"/>
  <c r="AD91" i="47" s="1"/>
  <c r="AE91" i="47" s="1"/>
  <c r="AF91" i="47" s="1"/>
  <c r="AG91" i="47" s="1"/>
  <c r="AH91" i="47" s="1"/>
  <c r="E69" i="41"/>
  <c r="F69" i="34"/>
  <c r="G69" i="34" s="1"/>
  <c r="H69" i="34" s="1"/>
  <c r="I69" i="34" s="1"/>
  <c r="J69" i="34" s="1"/>
  <c r="K69" i="34" s="1"/>
  <c r="L69" i="34" s="1"/>
  <c r="M69" i="34" s="1"/>
  <c r="N69" i="34" s="1"/>
  <c r="O69" i="34" s="1"/>
  <c r="P69" i="34" s="1"/>
  <c r="Q69" i="34" s="1"/>
  <c r="R69" i="34" s="1"/>
  <c r="S69" i="34" s="1"/>
  <c r="T69" i="34" s="1"/>
  <c r="U69" i="34" s="1"/>
  <c r="V69" i="34" s="1"/>
  <c r="W69" i="34" s="1"/>
  <c r="X69" i="34" s="1"/>
  <c r="Y69" i="34" s="1"/>
  <c r="Z69" i="34" s="1"/>
  <c r="AA69" i="34" s="1"/>
  <c r="AB69" i="34" s="1"/>
  <c r="AC69" i="34" s="1"/>
  <c r="AD69" i="34" s="1"/>
  <c r="AE69" i="34" s="1"/>
  <c r="AF69" i="34" s="1"/>
  <c r="AG69" i="34" s="1"/>
  <c r="AH69" i="34" s="1"/>
  <c r="E38" i="47"/>
  <c r="D7" i="47"/>
  <c r="E62" i="47"/>
  <c r="E14" i="47"/>
  <c r="F105" i="34"/>
  <c r="G105" i="34" s="1"/>
  <c r="H105" i="34" s="1"/>
  <c r="I105" i="34" s="1"/>
  <c r="J105" i="34" s="1"/>
  <c r="K105" i="34" s="1"/>
  <c r="L105" i="34" s="1"/>
  <c r="M105" i="34" s="1"/>
  <c r="N105" i="34" s="1"/>
  <c r="O105" i="34" s="1"/>
  <c r="P105" i="34" s="1"/>
  <c r="Q105" i="34" s="1"/>
  <c r="R105" i="34" s="1"/>
  <c r="S105" i="34" s="1"/>
  <c r="T105" i="34" s="1"/>
  <c r="U105" i="34" s="1"/>
  <c r="V105" i="34" s="1"/>
  <c r="W105" i="34" s="1"/>
  <c r="X105" i="34" s="1"/>
  <c r="Y105" i="34" s="1"/>
  <c r="Z105" i="34" s="1"/>
  <c r="AA105" i="34" s="1"/>
  <c r="AB105" i="34" s="1"/>
  <c r="AC105" i="34" s="1"/>
  <c r="AD105" i="34" s="1"/>
  <c r="AE105" i="34" s="1"/>
  <c r="AF105" i="34" s="1"/>
  <c r="AG105" i="34" s="1"/>
  <c r="AH105" i="34" s="1"/>
  <c r="E45" i="41"/>
  <c r="F87" i="47"/>
  <c r="G87" i="47" s="1"/>
  <c r="H87" i="47" s="1"/>
  <c r="I87" i="47" s="1"/>
  <c r="J87" i="47" s="1"/>
  <c r="K87" i="47" s="1"/>
  <c r="L87" i="47" s="1"/>
  <c r="M87" i="47" s="1"/>
  <c r="N87" i="47" s="1"/>
  <c r="O87" i="47" s="1"/>
  <c r="P87" i="47" s="1"/>
  <c r="Q87" i="47" s="1"/>
  <c r="R87" i="47" s="1"/>
  <c r="S87" i="47" s="1"/>
  <c r="T87" i="47" s="1"/>
  <c r="U87" i="47" s="1"/>
  <c r="V87" i="47" s="1"/>
  <c r="W87" i="47" s="1"/>
  <c r="X87" i="47" s="1"/>
  <c r="Y87" i="47" s="1"/>
  <c r="Z87" i="47" s="1"/>
  <c r="AA87" i="47" s="1"/>
  <c r="AB87" i="47" s="1"/>
  <c r="AC87" i="47" s="1"/>
  <c r="AD87" i="47" s="1"/>
  <c r="AE87" i="47" s="1"/>
  <c r="AF87" i="47" s="1"/>
  <c r="AG87" i="47" s="1"/>
  <c r="AH87" i="47" s="1"/>
  <c r="F12" i="41"/>
  <c r="E54" i="41"/>
  <c r="C61" i="42"/>
  <c r="C62" i="42"/>
  <c r="C64" i="42"/>
  <c r="C77" i="42" s="1"/>
  <c r="C67" i="42"/>
  <c r="C101" i="42" s="1"/>
  <c r="C65" i="42"/>
  <c r="C93" i="42" s="1"/>
  <c r="C66" i="42"/>
  <c r="C85" i="42" s="1"/>
  <c r="D139" i="16"/>
  <c r="F62" i="41"/>
  <c r="G62" i="41" s="1"/>
  <c r="H62" i="41" s="1"/>
  <c r="I62" i="41" s="1"/>
  <c r="J62" i="41" s="1"/>
  <c r="K62" i="41" s="1"/>
  <c r="L62" i="41" s="1"/>
  <c r="M62" i="41" s="1"/>
  <c r="N62" i="41" s="1"/>
  <c r="O62" i="41" s="1"/>
  <c r="P62" i="41" s="1"/>
  <c r="Q62" i="41" s="1"/>
  <c r="R62" i="41" s="1"/>
  <c r="S62" i="41" s="1"/>
  <c r="T62" i="41" s="1"/>
  <c r="U62" i="41" s="1"/>
  <c r="V62" i="41" s="1"/>
  <c r="W62" i="41" s="1"/>
  <c r="X62" i="41" s="1"/>
  <c r="Y62" i="41" s="1"/>
  <c r="Z62" i="41" s="1"/>
  <c r="AA62" i="41" s="1"/>
  <c r="AB62" i="41" s="1"/>
  <c r="AC62" i="41" s="1"/>
  <c r="AD62" i="41" s="1"/>
  <c r="AE62" i="41" s="1"/>
  <c r="AF62" i="41" s="1"/>
  <c r="AG62" i="41" s="1"/>
  <c r="AH62" i="41" s="1"/>
  <c r="F49" i="47"/>
  <c r="G49" i="47" s="1"/>
  <c r="H49" i="47" s="1"/>
  <c r="I49" i="47" s="1"/>
  <c r="J49" i="47" s="1"/>
  <c r="K49" i="47" s="1"/>
  <c r="L49" i="47" s="1"/>
  <c r="M49" i="47" s="1"/>
  <c r="N49" i="47" s="1"/>
  <c r="O49" i="47" s="1"/>
  <c r="P49" i="47" s="1"/>
  <c r="Q49" i="47" s="1"/>
  <c r="R49" i="47" s="1"/>
  <c r="S49" i="47" s="1"/>
  <c r="T49" i="47" s="1"/>
  <c r="U49" i="47" s="1"/>
  <c r="V49" i="47" s="1"/>
  <c r="W49" i="47" s="1"/>
  <c r="X49" i="47" s="1"/>
  <c r="Y49" i="47" s="1"/>
  <c r="Z49" i="47" s="1"/>
  <c r="AA49" i="47" s="1"/>
  <c r="AB49" i="47" s="1"/>
  <c r="AC49" i="47" s="1"/>
  <c r="AD49" i="47" s="1"/>
  <c r="AE49" i="47" s="1"/>
  <c r="AF49" i="47" s="1"/>
  <c r="AG49" i="47" s="1"/>
  <c r="AH49" i="47" s="1"/>
  <c r="F84" i="47"/>
  <c r="G84" i="47" s="1"/>
  <c r="H84" i="47" s="1"/>
  <c r="I84" i="47" s="1"/>
  <c r="J84" i="47" s="1"/>
  <c r="K84" i="47" s="1"/>
  <c r="L84" i="47" s="1"/>
  <c r="M84" i="47" s="1"/>
  <c r="N84" i="47" s="1"/>
  <c r="O84" i="47" s="1"/>
  <c r="P84" i="47" s="1"/>
  <c r="Q84" i="47" s="1"/>
  <c r="R84" i="47" s="1"/>
  <c r="S84" i="47" s="1"/>
  <c r="T84" i="47" s="1"/>
  <c r="U84" i="47" s="1"/>
  <c r="V84" i="47" s="1"/>
  <c r="W84" i="47" s="1"/>
  <c r="X84" i="47" s="1"/>
  <c r="Y84" i="47" s="1"/>
  <c r="Z84" i="47" s="1"/>
  <c r="AA84" i="47" s="1"/>
  <c r="AB84" i="47" s="1"/>
  <c r="AC84" i="47" s="1"/>
  <c r="AD84" i="47" s="1"/>
  <c r="AE84" i="47" s="1"/>
  <c r="AF84" i="47" s="1"/>
  <c r="AG84" i="47" s="1"/>
  <c r="AH84" i="47" s="1"/>
  <c r="E25" i="53"/>
  <c r="E40" i="53" s="1"/>
  <c r="F19" i="53"/>
  <c r="D68" i="51"/>
  <c r="D50" i="51"/>
  <c r="F50" i="41"/>
  <c r="G50" i="41" s="1"/>
  <c r="H50" i="41" s="1"/>
  <c r="I50" i="41" s="1"/>
  <c r="J50" i="41" s="1"/>
  <c r="K50" i="41" s="1"/>
  <c r="L50" i="41" s="1"/>
  <c r="M50" i="41" s="1"/>
  <c r="N50" i="41" s="1"/>
  <c r="O50" i="41" s="1"/>
  <c r="P50" i="41" s="1"/>
  <c r="Q50" i="41" s="1"/>
  <c r="R50" i="41" s="1"/>
  <c r="S50" i="41" s="1"/>
  <c r="T50" i="41" s="1"/>
  <c r="U50" i="41" s="1"/>
  <c r="V50" i="41" s="1"/>
  <c r="W50" i="41" s="1"/>
  <c r="X50" i="41" s="1"/>
  <c r="Y50" i="41" s="1"/>
  <c r="Z50" i="41" s="1"/>
  <c r="AA50" i="41" s="1"/>
  <c r="AB50" i="41" s="1"/>
  <c r="AC50" i="41" s="1"/>
  <c r="AD50" i="41" s="1"/>
  <c r="AE50" i="41" s="1"/>
  <c r="AF50" i="41" s="1"/>
  <c r="AG50" i="41" s="1"/>
  <c r="AH50" i="41" s="1"/>
  <c r="D29" i="38"/>
  <c r="F76" i="47"/>
  <c r="G76" i="47" s="1"/>
  <c r="H76" i="47" s="1"/>
  <c r="I76" i="47" s="1"/>
  <c r="J76" i="47" s="1"/>
  <c r="K76" i="47" s="1"/>
  <c r="L76" i="47" s="1"/>
  <c r="M76" i="47" s="1"/>
  <c r="N76" i="47" s="1"/>
  <c r="O76" i="47" s="1"/>
  <c r="P76" i="47" s="1"/>
  <c r="Q76" i="47" s="1"/>
  <c r="R76" i="47" s="1"/>
  <c r="S76" i="47" s="1"/>
  <c r="T76" i="47" s="1"/>
  <c r="U76" i="47" s="1"/>
  <c r="V76" i="47" s="1"/>
  <c r="W76" i="47" s="1"/>
  <c r="X76" i="47" s="1"/>
  <c r="Y76" i="47" s="1"/>
  <c r="Z76" i="47" s="1"/>
  <c r="AA76" i="47" s="1"/>
  <c r="AB76" i="47" s="1"/>
  <c r="AC76" i="47" s="1"/>
  <c r="AD76" i="47" s="1"/>
  <c r="AE76" i="47" s="1"/>
  <c r="AF76" i="47" s="1"/>
  <c r="AG76" i="47" s="1"/>
  <c r="AH76" i="47" s="1"/>
  <c r="F67" i="47"/>
  <c r="G67" i="47" s="1"/>
  <c r="H67" i="47" s="1"/>
  <c r="I67" i="47" s="1"/>
  <c r="J67" i="47" s="1"/>
  <c r="K67" i="47" s="1"/>
  <c r="L67" i="47" s="1"/>
  <c r="M67" i="47" s="1"/>
  <c r="N67" i="47" s="1"/>
  <c r="O67" i="47" s="1"/>
  <c r="P67" i="47" s="1"/>
  <c r="Q67" i="47" s="1"/>
  <c r="R67" i="47" s="1"/>
  <c r="S67" i="47" s="1"/>
  <c r="T67" i="47" s="1"/>
  <c r="U67" i="47" s="1"/>
  <c r="V67" i="47" s="1"/>
  <c r="W67" i="47" s="1"/>
  <c r="X67" i="47" s="1"/>
  <c r="Y67" i="47" s="1"/>
  <c r="Z67" i="47" s="1"/>
  <c r="AA67" i="47" s="1"/>
  <c r="AB67" i="47" s="1"/>
  <c r="AC67" i="47" s="1"/>
  <c r="AD67" i="47" s="1"/>
  <c r="AE67" i="47" s="1"/>
  <c r="AF67" i="47" s="1"/>
  <c r="AG67" i="47" s="1"/>
  <c r="AH67" i="47" s="1"/>
  <c r="D68" i="16"/>
  <c r="F87" i="34"/>
  <c r="G87" i="34" s="1"/>
  <c r="H87" i="34" s="1"/>
  <c r="I87" i="34" s="1"/>
  <c r="J87" i="34" s="1"/>
  <c r="K87" i="34" s="1"/>
  <c r="L87" i="34" s="1"/>
  <c r="M87" i="34" s="1"/>
  <c r="N87" i="34" s="1"/>
  <c r="O87" i="34" s="1"/>
  <c r="P87" i="34" s="1"/>
  <c r="Q87" i="34" s="1"/>
  <c r="R87" i="34" s="1"/>
  <c r="S87" i="34" s="1"/>
  <c r="T87" i="34" s="1"/>
  <c r="U87" i="34" s="1"/>
  <c r="V87" i="34" s="1"/>
  <c r="W87" i="34" s="1"/>
  <c r="X87" i="34" s="1"/>
  <c r="Y87" i="34" s="1"/>
  <c r="Z87" i="34" s="1"/>
  <c r="AA87" i="34" s="1"/>
  <c r="AB87" i="34" s="1"/>
  <c r="AC87" i="34" s="1"/>
  <c r="AD87" i="34" s="1"/>
  <c r="AE87" i="34" s="1"/>
  <c r="AF87" i="34" s="1"/>
  <c r="AG87" i="34" s="1"/>
  <c r="AH87" i="34" s="1"/>
  <c r="E26" i="48"/>
  <c r="E41" i="48" s="1"/>
  <c r="F20" i="48"/>
  <c r="D27" i="34"/>
  <c r="AG66" i="54"/>
  <c r="AG73" i="54" s="1"/>
  <c r="AG61" i="54"/>
  <c r="AG67" i="54"/>
  <c r="AG65" i="54"/>
  <c r="AG62" i="54"/>
  <c r="AG64" i="54"/>
  <c r="D28" i="34"/>
  <c r="E104" i="34" s="1"/>
  <c r="F64" i="41"/>
  <c r="G64" i="41" s="1"/>
  <c r="H64" i="41" s="1"/>
  <c r="I64" i="41" s="1"/>
  <c r="J64" i="41" s="1"/>
  <c r="K64" i="41" s="1"/>
  <c r="L64" i="41" s="1"/>
  <c r="M64" i="41" s="1"/>
  <c r="N64" i="41" s="1"/>
  <c r="O64" i="41" s="1"/>
  <c r="P64" i="41" s="1"/>
  <c r="Q64" i="41" s="1"/>
  <c r="R64" i="41" s="1"/>
  <c r="S64" i="41" s="1"/>
  <c r="T64" i="41" s="1"/>
  <c r="U64" i="41" s="1"/>
  <c r="V64" i="41" s="1"/>
  <c r="W64" i="41" s="1"/>
  <c r="X64" i="41" s="1"/>
  <c r="Y64" i="41" s="1"/>
  <c r="Z64" i="41" s="1"/>
  <c r="AA64" i="41" s="1"/>
  <c r="AB64" i="41" s="1"/>
  <c r="AC64" i="41" s="1"/>
  <c r="AD64" i="41" s="1"/>
  <c r="AE64" i="41" s="1"/>
  <c r="AF64" i="41" s="1"/>
  <c r="AG64" i="41" s="1"/>
  <c r="AH64" i="41" s="1"/>
  <c r="E26" i="29"/>
  <c r="E44" i="29" s="1"/>
  <c r="F20" i="29"/>
  <c r="F85" i="34"/>
  <c r="G85" i="34" s="1"/>
  <c r="H85" i="34" s="1"/>
  <c r="I85" i="34" s="1"/>
  <c r="J85" i="34" s="1"/>
  <c r="K85" i="34" s="1"/>
  <c r="L85" i="34" s="1"/>
  <c r="M85" i="34" s="1"/>
  <c r="N85" i="34" s="1"/>
  <c r="O85" i="34" s="1"/>
  <c r="P85" i="34" s="1"/>
  <c r="Q85" i="34" s="1"/>
  <c r="R85" i="34" s="1"/>
  <c r="S85" i="34" s="1"/>
  <c r="T85" i="34" s="1"/>
  <c r="U85" i="34" s="1"/>
  <c r="V85" i="34" s="1"/>
  <c r="W85" i="34" s="1"/>
  <c r="X85" i="34" s="1"/>
  <c r="Y85" i="34" s="1"/>
  <c r="Z85" i="34" s="1"/>
  <c r="AA85" i="34" s="1"/>
  <c r="AB85" i="34" s="1"/>
  <c r="AC85" i="34" s="1"/>
  <c r="AD85" i="34" s="1"/>
  <c r="AE85" i="34" s="1"/>
  <c r="AF85" i="34" s="1"/>
  <c r="AG85" i="34" s="1"/>
  <c r="AH85" i="34" s="1"/>
  <c r="N71" i="44"/>
  <c r="D332" i="42"/>
  <c r="D22" i="41"/>
  <c r="E70" i="41" s="1"/>
  <c r="C143" i="29"/>
  <c r="C146" i="29"/>
  <c r="F55" i="41"/>
  <c r="G55" i="41" s="1"/>
  <c r="H55" i="41" s="1"/>
  <c r="I55" i="41" s="1"/>
  <c r="J55" i="41" s="1"/>
  <c r="K55" i="41" s="1"/>
  <c r="L55" i="41" s="1"/>
  <c r="M55" i="41" s="1"/>
  <c r="N55" i="41" s="1"/>
  <c r="O55" i="41" s="1"/>
  <c r="P55" i="41" s="1"/>
  <c r="Q55" i="41" s="1"/>
  <c r="R55" i="41" s="1"/>
  <c r="S55" i="41" s="1"/>
  <c r="T55" i="41" s="1"/>
  <c r="U55" i="41" s="1"/>
  <c r="V55" i="41" s="1"/>
  <c r="W55" i="41" s="1"/>
  <c r="X55" i="41" s="1"/>
  <c r="Y55" i="41" s="1"/>
  <c r="Z55" i="41" s="1"/>
  <c r="AA55" i="41" s="1"/>
  <c r="AB55" i="41" s="1"/>
  <c r="AC55" i="41" s="1"/>
  <c r="AD55" i="41" s="1"/>
  <c r="AE55" i="41" s="1"/>
  <c r="AF55" i="41" s="1"/>
  <c r="AG55" i="41" s="1"/>
  <c r="AH55" i="41" s="1"/>
  <c r="F24" i="53"/>
  <c r="G18" i="53"/>
  <c r="N75" i="44"/>
  <c r="E11" i="34"/>
  <c r="D14" i="34"/>
  <c r="E71" i="34" s="1"/>
  <c r="E28" i="38"/>
  <c r="E43" i="38" s="1"/>
  <c r="F22" i="38"/>
  <c r="G34" i="16"/>
  <c r="G33" i="16"/>
  <c r="E39" i="16"/>
  <c r="E13" i="16"/>
  <c r="N72" i="44"/>
  <c r="E82" i="47"/>
  <c r="F21" i="47"/>
  <c r="AJ41" i="45"/>
  <c r="E51" i="41"/>
  <c r="E12" i="41"/>
  <c r="G3" i="41"/>
  <c r="F3" i="47"/>
  <c r="K6" i="16"/>
  <c r="J7" i="16"/>
  <c r="J23" i="15"/>
  <c r="J24" i="15"/>
  <c r="K22" i="15"/>
  <c r="C31" i="53"/>
  <c r="C194" i="53"/>
  <c r="C205" i="53" s="1"/>
  <c r="C66" i="38"/>
  <c r="C85" i="38" s="1"/>
  <c r="C65" i="38"/>
  <c r="C93" i="38" s="1"/>
  <c r="C67" i="38"/>
  <c r="C101" i="38" s="1"/>
  <c r="C62" i="38"/>
  <c r="C64" i="38"/>
  <c r="C77" i="38" s="1"/>
  <c r="C61" i="38"/>
  <c r="E28" i="48"/>
  <c r="F22" i="48"/>
  <c r="F57" i="47"/>
  <c r="G57" i="47" s="1"/>
  <c r="H57" i="47" s="1"/>
  <c r="I57" i="47" s="1"/>
  <c r="J57" i="47" s="1"/>
  <c r="K57" i="47" s="1"/>
  <c r="L57" i="47" s="1"/>
  <c r="M57" i="47" s="1"/>
  <c r="N57" i="47" s="1"/>
  <c r="O57" i="47" s="1"/>
  <c r="P57" i="47" s="1"/>
  <c r="Q57" i="47" s="1"/>
  <c r="R57" i="47" s="1"/>
  <c r="S57" i="47" s="1"/>
  <c r="T57" i="47" s="1"/>
  <c r="U57" i="47" s="1"/>
  <c r="V57" i="47" s="1"/>
  <c r="W57" i="47" s="1"/>
  <c r="X57" i="47" s="1"/>
  <c r="Y57" i="47" s="1"/>
  <c r="Z57" i="47" s="1"/>
  <c r="AA57" i="47" s="1"/>
  <c r="AB57" i="47" s="1"/>
  <c r="AC57" i="47" s="1"/>
  <c r="AD57" i="47" s="1"/>
  <c r="AE57" i="47" s="1"/>
  <c r="AF57" i="47" s="1"/>
  <c r="AG57" i="47" s="1"/>
  <c r="AH57" i="47" s="1"/>
  <c r="G13" i="16"/>
  <c r="H124" i="16"/>
  <c r="G38" i="29"/>
  <c r="H54" i="16"/>
  <c r="D110" i="53"/>
  <c r="D111" i="53" s="1"/>
  <c r="D104" i="53"/>
  <c r="D105" i="53" s="1"/>
  <c r="E53" i="51" s="1"/>
  <c r="D106" i="53"/>
  <c r="D107" i="53" s="1"/>
  <c r="E62" i="51" s="1"/>
  <c r="D108" i="53"/>
  <c r="D109" i="53" s="1"/>
  <c r="AJ62" i="51"/>
  <c r="C208" i="54"/>
  <c r="F40" i="15"/>
  <c r="G18" i="46"/>
  <c r="F24" i="46"/>
  <c r="F59" i="47"/>
  <c r="G59" i="47" s="1"/>
  <c r="H59" i="47" s="1"/>
  <c r="I59" i="47" s="1"/>
  <c r="J59" i="47" s="1"/>
  <c r="K59" i="47" s="1"/>
  <c r="L59" i="47" s="1"/>
  <c r="M59" i="47" s="1"/>
  <c r="N59" i="47" s="1"/>
  <c r="O59" i="47" s="1"/>
  <c r="P59" i="47" s="1"/>
  <c r="Q59" i="47" s="1"/>
  <c r="R59" i="47" s="1"/>
  <c r="S59" i="47" s="1"/>
  <c r="T59" i="47" s="1"/>
  <c r="U59" i="47" s="1"/>
  <c r="V59" i="47" s="1"/>
  <c r="W59" i="47" s="1"/>
  <c r="X59" i="47" s="1"/>
  <c r="Y59" i="47" s="1"/>
  <c r="Z59" i="47" s="1"/>
  <c r="AA59" i="47" s="1"/>
  <c r="AB59" i="47" s="1"/>
  <c r="AC59" i="47" s="1"/>
  <c r="AD59" i="47" s="1"/>
  <c r="AE59" i="47" s="1"/>
  <c r="AF59" i="47" s="1"/>
  <c r="AG59" i="47" s="1"/>
  <c r="AH59" i="47" s="1"/>
  <c r="D140" i="16"/>
  <c r="F77" i="34"/>
  <c r="G77" i="34" s="1"/>
  <c r="H77" i="34" s="1"/>
  <c r="I77" i="34" s="1"/>
  <c r="J77" i="34" s="1"/>
  <c r="K77" i="34" s="1"/>
  <c r="L77" i="34" s="1"/>
  <c r="M77" i="34" s="1"/>
  <c r="N77" i="34" s="1"/>
  <c r="O77" i="34" s="1"/>
  <c r="P77" i="34" s="1"/>
  <c r="Q77" i="34" s="1"/>
  <c r="R77" i="34" s="1"/>
  <c r="S77" i="34" s="1"/>
  <c r="T77" i="34" s="1"/>
  <c r="U77" i="34" s="1"/>
  <c r="V77" i="34" s="1"/>
  <c r="W77" i="34" s="1"/>
  <c r="X77" i="34" s="1"/>
  <c r="Y77" i="34" s="1"/>
  <c r="Z77" i="34" s="1"/>
  <c r="AA77" i="34" s="1"/>
  <c r="AB77" i="34" s="1"/>
  <c r="AC77" i="34" s="1"/>
  <c r="AD77" i="34" s="1"/>
  <c r="AE77" i="34" s="1"/>
  <c r="AF77" i="34" s="1"/>
  <c r="AG77" i="34" s="1"/>
  <c r="AH77" i="34" s="1"/>
  <c r="AJ18" i="45"/>
  <c r="F65" i="41"/>
  <c r="G65" i="41" s="1"/>
  <c r="H65" i="41" s="1"/>
  <c r="I65" i="41" s="1"/>
  <c r="J65" i="41" s="1"/>
  <c r="K65" i="41" s="1"/>
  <c r="L65" i="41" s="1"/>
  <c r="M65" i="41" s="1"/>
  <c r="N65" i="41" s="1"/>
  <c r="O65" i="41" s="1"/>
  <c r="P65" i="41" s="1"/>
  <c r="Q65" i="41" s="1"/>
  <c r="R65" i="41" s="1"/>
  <c r="S65" i="41" s="1"/>
  <c r="T65" i="41" s="1"/>
  <c r="U65" i="41" s="1"/>
  <c r="V65" i="41" s="1"/>
  <c r="W65" i="41" s="1"/>
  <c r="X65" i="41" s="1"/>
  <c r="Y65" i="41" s="1"/>
  <c r="Z65" i="41" s="1"/>
  <c r="AA65" i="41" s="1"/>
  <c r="AB65" i="41" s="1"/>
  <c r="AC65" i="41" s="1"/>
  <c r="AD65" i="41" s="1"/>
  <c r="AE65" i="41" s="1"/>
  <c r="AF65" i="41" s="1"/>
  <c r="AG65" i="41" s="1"/>
  <c r="AH65" i="41" s="1"/>
  <c r="F65" i="47"/>
  <c r="G65" i="47" s="1"/>
  <c r="H65" i="47" s="1"/>
  <c r="I65" i="47" s="1"/>
  <c r="J65" i="47" s="1"/>
  <c r="K65" i="47" s="1"/>
  <c r="L65" i="47" s="1"/>
  <c r="M65" i="47" s="1"/>
  <c r="N65" i="47" s="1"/>
  <c r="O65" i="47" s="1"/>
  <c r="P65" i="47" s="1"/>
  <c r="Q65" i="47" s="1"/>
  <c r="R65" i="47" s="1"/>
  <c r="S65" i="47" s="1"/>
  <c r="T65" i="47" s="1"/>
  <c r="U65" i="47" s="1"/>
  <c r="V65" i="47" s="1"/>
  <c r="W65" i="47" s="1"/>
  <c r="X65" i="47" s="1"/>
  <c r="Y65" i="47" s="1"/>
  <c r="Z65" i="47" s="1"/>
  <c r="AA65" i="47" s="1"/>
  <c r="AB65" i="47" s="1"/>
  <c r="AC65" i="47" s="1"/>
  <c r="AD65" i="47" s="1"/>
  <c r="AE65" i="47" s="1"/>
  <c r="AF65" i="47" s="1"/>
  <c r="AG65" i="47" s="1"/>
  <c r="AH65" i="47" s="1"/>
  <c r="AG66" i="53"/>
  <c r="AG73" i="53" s="1"/>
  <c r="AG64" i="53"/>
  <c r="AG61" i="53"/>
  <c r="AG62" i="53"/>
  <c r="AG67" i="53"/>
  <c r="AG65" i="53"/>
  <c r="E25" i="46"/>
  <c r="F19" i="46"/>
  <c r="E121" i="15"/>
  <c r="E42" i="15"/>
  <c r="E60" i="41"/>
  <c r="D18" i="41"/>
  <c r="F75" i="34"/>
  <c r="G75" i="34" s="1"/>
  <c r="H75" i="34" s="1"/>
  <c r="I75" i="34" s="1"/>
  <c r="J75" i="34" s="1"/>
  <c r="K75" i="34" s="1"/>
  <c r="L75" i="34" s="1"/>
  <c r="M75" i="34" s="1"/>
  <c r="N75" i="34" s="1"/>
  <c r="O75" i="34" s="1"/>
  <c r="P75" i="34" s="1"/>
  <c r="Q75" i="34" s="1"/>
  <c r="R75" i="34" s="1"/>
  <c r="S75" i="34" s="1"/>
  <c r="T75" i="34" s="1"/>
  <c r="U75" i="34" s="1"/>
  <c r="V75" i="34" s="1"/>
  <c r="W75" i="34" s="1"/>
  <c r="X75" i="34" s="1"/>
  <c r="Y75" i="34" s="1"/>
  <c r="Z75" i="34" s="1"/>
  <c r="AA75" i="34" s="1"/>
  <c r="AB75" i="34" s="1"/>
  <c r="AC75" i="34" s="1"/>
  <c r="AD75" i="34" s="1"/>
  <c r="AE75" i="34" s="1"/>
  <c r="AF75" i="34" s="1"/>
  <c r="AG75" i="34" s="1"/>
  <c r="AH75" i="34" s="1"/>
  <c r="I41" i="15"/>
  <c r="D24" i="47"/>
  <c r="C19" i="19"/>
  <c r="C25" i="20"/>
  <c r="C43" i="20" s="1"/>
  <c r="D19" i="20"/>
  <c r="C181" i="38"/>
  <c r="E96" i="33" a="1"/>
  <c r="E96" i="33" s="1"/>
  <c r="C181" i="42"/>
  <c r="C146" i="28"/>
  <c r="C31" i="28"/>
  <c r="F27" i="29"/>
  <c r="G21" i="29"/>
  <c r="F52" i="41"/>
  <c r="G52" i="41" s="1"/>
  <c r="H52" i="41" s="1"/>
  <c r="I52" i="41" s="1"/>
  <c r="J52" i="41" s="1"/>
  <c r="K52" i="41" s="1"/>
  <c r="L52" i="41" s="1"/>
  <c r="M52" i="41" s="1"/>
  <c r="N52" i="41" s="1"/>
  <c r="O52" i="41" s="1"/>
  <c r="P52" i="41" s="1"/>
  <c r="Q52" i="41" s="1"/>
  <c r="R52" i="41" s="1"/>
  <c r="S52" i="41" s="1"/>
  <c r="T52" i="41" s="1"/>
  <c r="U52" i="41" s="1"/>
  <c r="V52" i="41" s="1"/>
  <c r="W52" i="41" s="1"/>
  <c r="X52" i="41" s="1"/>
  <c r="Y52" i="41" s="1"/>
  <c r="Z52" i="41" s="1"/>
  <c r="AA52" i="41" s="1"/>
  <c r="AB52" i="41" s="1"/>
  <c r="AC52" i="41" s="1"/>
  <c r="AD52" i="41" s="1"/>
  <c r="AE52" i="41" s="1"/>
  <c r="AF52" i="41" s="1"/>
  <c r="AG52" i="41" s="1"/>
  <c r="AH52" i="41" s="1"/>
  <c r="E39" i="53"/>
  <c r="C208" i="28"/>
  <c r="C207" i="28"/>
  <c r="C156" i="28"/>
  <c r="E26" i="28"/>
  <c r="E44" i="28" s="1"/>
  <c r="F20" i="28"/>
  <c r="G14" i="34"/>
  <c r="E86" i="34" s="1"/>
  <c r="F91" i="34"/>
  <c r="G91" i="34" s="1"/>
  <c r="H91" i="34" s="1"/>
  <c r="I91" i="34" s="1"/>
  <c r="J91" i="34" s="1"/>
  <c r="K91" i="34" s="1"/>
  <c r="L91" i="34" s="1"/>
  <c r="M91" i="34" s="1"/>
  <c r="N91" i="34" s="1"/>
  <c r="O91" i="34" s="1"/>
  <c r="P91" i="34" s="1"/>
  <c r="Q91" i="34" s="1"/>
  <c r="R91" i="34" s="1"/>
  <c r="S91" i="34" s="1"/>
  <c r="T91" i="34" s="1"/>
  <c r="U91" i="34" s="1"/>
  <c r="V91" i="34" s="1"/>
  <c r="W91" i="34" s="1"/>
  <c r="X91" i="34" s="1"/>
  <c r="Y91" i="34" s="1"/>
  <c r="Z91" i="34" s="1"/>
  <c r="AA91" i="34" s="1"/>
  <c r="AB91" i="34" s="1"/>
  <c r="AC91" i="34" s="1"/>
  <c r="AD91" i="34" s="1"/>
  <c r="AE91" i="34" s="1"/>
  <c r="AF91" i="34" s="1"/>
  <c r="AG91" i="34" s="1"/>
  <c r="AH91" i="34" s="1"/>
  <c r="E25" i="29"/>
  <c r="E43" i="29" s="1"/>
  <c r="F19" i="29"/>
  <c r="C63" i="20"/>
  <c r="C93" i="33" a="1"/>
  <c r="C93" i="33" s="1"/>
  <c r="AG63" i="20" s="1"/>
  <c r="C35" i="46"/>
  <c r="D43" i="45"/>
  <c r="D42" i="45"/>
  <c r="D95" i="45"/>
  <c r="D44" i="45"/>
  <c r="E25" i="48"/>
  <c r="E29" i="48" s="1"/>
  <c r="F19" i="48"/>
  <c r="D31" i="34"/>
  <c r="E107" i="34" s="1"/>
  <c r="AG60" i="38"/>
  <c r="AG60" i="42"/>
  <c r="F111" i="34"/>
  <c r="G111" i="34" s="1"/>
  <c r="H111" i="34" s="1"/>
  <c r="I111" i="34" s="1"/>
  <c r="J111" i="34" s="1"/>
  <c r="K111" i="34" s="1"/>
  <c r="L111" i="34" s="1"/>
  <c r="M111" i="34" s="1"/>
  <c r="N111" i="34" s="1"/>
  <c r="O111" i="34" s="1"/>
  <c r="P111" i="34" s="1"/>
  <c r="Q111" i="34" s="1"/>
  <c r="R111" i="34" s="1"/>
  <c r="S111" i="34" s="1"/>
  <c r="T111" i="34" s="1"/>
  <c r="U111" i="34" s="1"/>
  <c r="V111" i="34" s="1"/>
  <c r="W111" i="34" s="1"/>
  <c r="X111" i="34" s="1"/>
  <c r="Y111" i="34" s="1"/>
  <c r="Z111" i="34" s="1"/>
  <c r="AA111" i="34" s="1"/>
  <c r="AB111" i="34" s="1"/>
  <c r="AC111" i="34" s="1"/>
  <c r="AD111" i="34" s="1"/>
  <c r="AE111" i="34" s="1"/>
  <c r="AF111" i="34" s="1"/>
  <c r="AG111" i="34" s="1"/>
  <c r="AH111" i="34" s="1"/>
  <c r="C208" i="53"/>
  <c r="E28" i="42"/>
  <c r="E43" i="42" s="1"/>
  <c r="F22" i="42"/>
  <c r="AJ53" i="51"/>
  <c r="D54" i="51"/>
  <c r="F63" i="47"/>
  <c r="G63" i="47" s="1"/>
  <c r="H63" i="47" s="1"/>
  <c r="I63" i="47" s="1"/>
  <c r="J63" i="47" s="1"/>
  <c r="K63" i="47" s="1"/>
  <c r="L63" i="47" s="1"/>
  <c r="M63" i="47" s="1"/>
  <c r="N63" i="47" s="1"/>
  <c r="O63" i="47" s="1"/>
  <c r="P63" i="47" s="1"/>
  <c r="Q63" i="47" s="1"/>
  <c r="R63" i="47" s="1"/>
  <c r="S63" i="47" s="1"/>
  <c r="T63" i="47" s="1"/>
  <c r="U63" i="47" s="1"/>
  <c r="V63" i="47" s="1"/>
  <c r="W63" i="47" s="1"/>
  <c r="X63" i="47" s="1"/>
  <c r="Y63" i="47" s="1"/>
  <c r="Z63" i="47" s="1"/>
  <c r="AA63" i="47" s="1"/>
  <c r="AB63" i="47" s="1"/>
  <c r="AC63" i="47" s="1"/>
  <c r="AD63" i="47" s="1"/>
  <c r="AE63" i="47" s="1"/>
  <c r="AF63" i="47" s="1"/>
  <c r="AG63" i="47" s="1"/>
  <c r="AH63" i="47" s="1"/>
  <c r="D133" i="16" a="1"/>
  <c r="D133" i="16" s="1"/>
  <c r="D141" i="16" s="1"/>
  <c r="D142" i="16" s="1"/>
  <c r="F82" i="34"/>
  <c r="G82" i="34" s="1"/>
  <c r="H82" i="34" s="1"/>
  <c r="I82" i="34" s="1"/>
  <c r="J82" i="34" s="1"/>
  <c r="K82" i="34" s="1"/>
  <c r="L82" i="34" s="1"/>
  <c r="M82" i="34" s="1"/>
  <c r="N82" i="34" s="1"/>
  <c r="O82" i="34" s="1"/>
  <c r="P82" i="34" s="1"/>
  <c r="Q82" i="34" s="1"/>
  <c r="R82" i="34" s="1"/>
  <c r="S82" i="34" s="1"/>
  <c r="T82" i="34" s="1"/>
  <c r="U82" i="34" s="1"/>
  <c r="V82" i="34" s="1"/>
  <c r="W82" i="34" s="1"/>
  <c r="X82" i="34" s="1"/>
  <c r="Y82" i="34" s="1"/>
  <c r="Z82" i="34" s="1"/>
  <c r="AA82" i="34" s="1"/>
  <c r="AB82" i="34" s="1"/>
  <c r="AC82" i="34" s="1"/>
  <c r="AD82" i="34" s="1"/>
  <c r="AE82" i="34" s="1"/>
  <c r="AF82" i="34" s="1"/>
  <c r="AG82" i="34" s="1"/>
  <c r="AH82" i="34" s="1"/>
  <c r="D33" i="47"/>
  <c r="E92" i="47" s="1"/>
  <c r="F112" i="34"/>
  <c r="G112" i="34" s="1"/>
  <c r="H112" i="34" s="1"/>
  <c r="I112" i="34" s="1"/>
  <c r="J112" i="34" s="1"/>
  <c r="K112" i="34" s="1"/>
  <c r="L112" i="34" s="1"/>
  <c r="M112" i="34" s="1"/>
  <c r="N112" i="34" s="1"/>
  <c r="O112" i="34" s="1"/>
  <c r="P112" i="34" s="1"/>
  <c r="Q112" i="34" s="1"/>
  <c r="R112" i="34" s="1"/>
  <c r="S112" i="34" s="1"/>
  <c r="T112" i="34" s="1"/>
  <c r="U112" i="34" s="1"/>
  <c r="V112" i="34" s="1"/>
  <c r="W112" i="34" s="1"/>
  <c r="X112" i="34" s="1"/>
  <c r="Y112" i="34" s="1"/>
  <c r="Z112" i="34" s="1"/>
  <c r="AA112" i="34" s="1"/>
  <c r="AB112" i="34" s="1"/>
  <c r="AC112" i="34" s="1"/>
  <c r="AD112" i="34" s="1"/>
  <c r="AE112" i="34" s="1"/>
  <c r="AF112" i="34" s="1"/>
  <c r="AG112" i="34" s="1"/>
  <c r="AH112" i="34" s="1"/>
  <c r="F69" i="47"/>
  <c r="G69" i="47" s="1"/>
  <c r="H69" i="47" s="1"/>
  <c r="I69" i="47" s="1"/>
  <c r="J69" i="47" s="1"/>
  <c r="K69" i="47" s="1"/>
  <c r="L69" i="47" s="1"/>
  <c r="M69" i="47" s="1"/>
  <c r="N69" i="47" s="1"/>
  <c r="O69" i="47" s="1"/>
  <c r="P69" i="47" s="1"/>
  <c r="Q69" i="47" s="1"/>
  <c r="R69" i="47" s="1"/>
  <c r="S69" i="47" s="1"/>
  <c r="T69" i="47" s="1"/>
  <c r="U69" i="47" s="1"/>
  <c r="V69" i="47" s="1"/>
  <c r="W69" i="47" s="1"/>
  <c r="X69" i="47" s="1"/>
  <c r="Y69" i="47" s="1"/>
  <c r="Z69" i="47" s="1"/>
  <c r="AA69" i="47" s="1"/>
  <c r="AB69" i="47" s="1"/>
  <c r="AC69" i="47" s="1"/>
  <c r="AD69" i="47" s="1"/>
  <c r="AE69" i="47" s="1"/>
  <c r="AF69" i="47" s="1"/>
  <c r="AG69" i="47" s="1"/>
  <c r="AH69" i="47" s="1"/>
  <c r="AG66" i="48"/>
  <c r="AG61" i="48"/>
  <c r="AG64" i="48"/>
  <c r="AG67" i="48"/>
  <c r="AG62" i="48"/>
  <c r="AG65" i="48"/>
  <c r="D34" i="47"/>
  <c r="E93" i="47" s="1"/>
  <c r="E28" i="46"/>
  <c r="F22" i="46"/>
  <c r="F70" i="34"/>
  <c r="G70" i="34" s="1"/>
  <c r="H70" i="34" s="1"/>
  <c r="I70" i="34" s="1"/>
  <c r="J70" i="34" s="1"/>
  <c r="K70" i="34" s="1"/>
  <c r="L70" i="34" s="1"/>
  <c r="M70" i="34" s="1"/>
  <c r="N70" i="34" s="1"/>
  <c r="O70" i="34" s="1"/>
  <c r="P70" i="34" s="1"/>
  <c r="Q70" i="34" s="1"/>
  <c r="R70" i="34" s="1"/>
  <c r="S70" i="34" s="1"/>
  <c r="T70" i="34" s="1"/>
  <c r="U70" i="34" s="1"/>
  <c r="V70" i="34" s="1"/>
  <c r="W70" i="34" s="1"/>
  <c r="X70" i="34" s="1"/>
  <c r="Y70" i="34" s="1"/>
  <c r="Z70" i="34" s="1"/>
  <c r="AA70" i="34" s="1"/>
  <c r="AB70" i="34" s="1"/>
  <c r="AC70" i="34" s="1"/>
  <c r="AD70" i="34" s="1"/>
  <c r="AE70" i="34" s="1"/>
  <c r="AF70" i="34" s="1"/>
  <c r="AG70" i="34" s="1"/>
  <c r="AH70" i="34" s="1"/>
  <c r="D360" i="48"/>
  <c r="C199" i="48"/>
  <c r="F96" i="33" a="1"/>
  <c r="F96" i="33" s="1"/>
  <c r="C127" i="54"/>
  <c r="C127" i="53"/>
  <c r="C199" i="46"/>
  <c r="E28" i="53"/>
  <c r="E43" i="53" s="1"/>
  <c r="F22" i="53"/>
  <c r="F49" i="41"/>
  <c r="G49" i="41" s="1"/>
  <c r="H49" i="41" s="1"/>
  <c r="I49" i="41" s="1"/>
  <c r="J49" i="41" s="1"/>
  <c r="K49" i="41" s="1"/>
  <c r="L49" i="41" s="1"/>
  <c r="M49" i="41" s="1"/>
  <c r="N49" i="41" s="1"/>
  <c r="O49" i="41" s="1"/>
  <c r="P49" i="41" s="1"/>
  <c r="Q49" i="41" s="1"/>
  <c r="R49" i="41" s="1"/>
  <c r="S49" i="41" s="1"/>
  <c r="T49" i="41" s="1"/>
  <c r="U49" i="41" s="1"/>
  <c r="V49" i="41" s="1"/>
  <c r="W49" i="41" s="1"/>
  <c r="X49" i="41" s="1"/>
  <c r="Y49" i="41" s="1"/>
  <c r="Z49" i="41" s="1"/>
  <c r="AA49" i="41" s="1"/>
  <c r="AB49" i="41" s="1"/>
  <c r="AC49" i="41" s="1"/>
  <c r="AD49" i="41" s="1"/>
  <c r="AE49" i="41" s="1"/>
  <c r="AF49" i="41" s="1"/>
  <c r="AG49" i="41" s="1"/>
  <c r="AH49" i="41" s="1"/>
  <c r="C64" i="28"/>
  <c r="C61" i="28"/>
  <c r="C57" i="29" s="1"/>
  <c r="C63" i="28"/>
  <c r="C60" i="28"/>
  <c r="D59" i="28"/>
  <c r="D26" i="47"/>
  <c r="E88" i="47" s="1"/>
  <c r="D80" i="29"/>
  <c r="D79" i="29" s="1"/>
  <c r="E14" i="34"/>
  <c r="E76" i="34" s="1"/>
  <c r="D27" i="47"/>
  <c r="E89" i="47" s="1"/>
  <c r="H16" i="16"/>
  <c r="H19" i="16"/>
  <c r="H18" i="16"/>
  <c r="H15" i="16"/>
  <c r="I14" i="16"/>
  <c r="H32" i="16"/>
  <c r="D29" i="29"/>
  <c r="E26" i="42"/>
  <c r="E41" i="42" s="1"/>
  <c r="F20" i="42"/>
  <c r="G34" i="15"/>
  <c r="G33" i="15"/>
  <c r="G35" i="15" s="1"/>
  <c r="E37" i="28"/>
  <c r="F125" i="15"/>
  <c r="F47" i="15"/>
  <c r="H3" i="47"/>
  <c r="F11" i="16"/>
  <c r="C122" i="20"/>
  <c r="C125" i="20"/>
  <c r="C121" i="20"/>
  <c r="C123" i="20"/>
  <c r="C124" i="20"/>
  <c r="D119" i="20"/>
  <c r="C120" i="20"/>
  <c r="D63" i="29"/>
  <c r="D62" i="29" s="1"/>
  <c r="D67" i="29"/>
  <c r="D66" i="29"/>
  <c r="D64" i="29"/>
  <c r="D68" i="29"/>
  <c r="D65" i="29"/>
  <c r="F64" i="47"/>
  <c r="G64" i="47" s="1"/>
  <c r="H64" i="47" s="1"/>
  <c r="I64" i="47" s="1"/>
  <c r="J64" i="47" s="1"/>
  <c r="K64" i="47" s="1"/>
  <c r="L64" i="47" s="1"/>
  <c r="M64" i="47" s="1"/>
  <c r="N64" i="47" s="1"/>
  <c r="O64" i="47" s="1"/>
  <c r="P64" i="47" s="1"/>
  <c r="Q64" i="47" s="1"/>
  <c r="R64" i="47" s="1"/>
  <c r="S64" i="47" s="1"/>
  <c r="T64" i="47" s="1"/>
  <c r="U64" i="47" s="1"/>
  <c r="V64" i="47" s="1"/>
  <c r="W64" i="47" s="1"/>
  <c r="X64" i="47" s="1"/>
  <c r="Y64" i="47" s="1"/>
  <c r="Z64" i="47" s="1"/>
  <c r="AA64" i="47" s="1"/>
  <c r="AB64" i="47" s="1"/>
  <c r="AC64" i="47" s="1"/>
  <c r="AD64" i="47" s="1"/>
  <c r="AE64" i="47" s="1"/>
  <c r="AF64" i="47" s="1"/>
  <c r="AG64" i="47" s="1"/>
  <c r="AH64" i="47" s="1"/>
  <c r="I41" i="16"/>
  <c r="F27" i="54"/>
  <c r="F42" i="54" s="1"/>
  <c r="G21" i="54"/>
  <c r="D31" i="47"/>
  <c r="D28" i="41"/>
  <c r="E73" i="41" s="1"/>
  <c r="AG257" i="48"/>
  <c r="AG258" i="48" s="1"/>
  <c r="AG257" i="46"/>
  <c r="AG258" i="46" s="1"/>
  <c r="AG153" i="53"/>
  <c r="AG154" i="53" s="1"/>
  <c r="AG153" i="54"/>
  <c r="AG154" i="54" s="1"/>
  <c r="F71" i="47"/>
  <c r="G71" i="47" s="1"/>
  <c r="H71" i="47" s="1"/>
  <c r="I71" i="47" s="1"/>
  <c r="J71" i="47" s="1"/>
  <c r="K71" i="47" s="1"/>
  <c r="L71" i="47" s="1"/>
  <c r="M71" i="47" s="1"/>
  <c r="N71" i="47" s="1"/>
  <c r="O71" i="47" s="1"/>
  <c r="P71" i="47" s="1"/>
  <c r="Q71" i="47" s="1"/>
  <c r="R71" i="47" s="1"/>
  <c r="S71" i="47" s="1"/>
  <c r="T71" i="47" s="1"/>
  <c r="U71" i="47" s="1"/>
  <c r="V71" i="47" s="1"/>
  <c r="W71" i="47" s="1"/>
  <c r="X71" i="47" s="1"/>
  <c r="Y71" i="47" s="1"/>
  <c r="Z71" i="47" s="1"/>
  <c r="AA71" i="47" s="1"/>
  <c r="AB71" i="47" s="1"/>
  <c r="AC71" i="47" s="1"/>
  <c r="AD71" i="47" s="1"/>
  <c r="AE71" i="47" s="1"/>
  <c r="AF71" i="47" s="1"/>
  <c r="AG71" i="47" s="1"/>
  <c r="AH71" i="47" s="1"/>
  <c r="E26" i="46"/>
  <c r="E41" i="46" s="1"/>
  <c r="F20" i="46"/>
  <c r="C127" i="38"/>
  <c r="C128" i="38"/>
  <c r="F35" i="16"/>
  <c r="E56" i="51"/>
  <c r="F61" i="47"/>
  <c r="G61" i="47" s="1"/>
  <c r="H61" i="47" s="1"/>
  <c r="I61" i="47" s="1"/>
  <c r="J61" i="47" s="1"/>
  <c r="K61" i="47" s="1"/>
  <c r="L61" i="47" s="1"/>
  <c r="M61" i="47" s="1"/>
  <c r="N61" i="47" s="1"/>
  <c r="O61" i="47" s="1"/>
  <c r="P61" i="47" s="1"/>
  <c r="Q61" i="47" s="1"/>
  <c r="R61" i="47" s="1"/>
  <c r="S61" i="47" s="1"/>
  <c r="T61" i="47" s="1"/>
  <c r="U61" i="47" s="1"/>
  <c r="V61" i="47" s="1"/>
  <c r="W61" i="47" s="1"/>
  <c r="X61" i="47" s="1"/>
  <c r="Y61" i="47" s="1"/>
  <c r="Z61" i="47" s="1"/>
  <c r="AA61" i="47" s="1"/>
  <c r="AB61" i="47" s="1"/>
  <c r="AC61" i="47" s="1"/>
  <c r="AD61" i="47" s="1"/>
  <c r="AE61" i="47" s="1"/>
  <c r="AF61" i="47" s="1"/>
  <c r="AG61" i="47" s="1"/>
  <c r="AH61" i="47" s="1"/>
  <c r="F21" i="15"/>
  <c r="C86" i="28"/>
  <c r="C88" i="28"/>
  <c r="C85" i="28"/>
  <c r="C72" i="29" s="1"/>
  <c r="C83" i="28"/>
  <c r="C70" i="29" s="1"/>
  <c r="C87" i="28"/>
  <c r="C84" i="28"/>
  <c r="D82" i="28"/>
  <c r="F40" i="47"/>
  <c r="G40" i="47" s="1"/>
  <c r="H40" i="47" s="1"/>
  <c r="I40" i="47" s="1"/>
  <c r="J40" i="47" s="1"/>
  <c r="K40" i="47" s="1"/>
  <c r="L40" i="47" s="1"/>
  <c r="M40" i="47" s="1"/>
  <c r="N40" i="47" s="1"/>
  <c r="O40" i="47" s="1"/>
  <c r="P40" i="47" s="1"/>
  <c r="Q40" i="47" s="1"/>
  <c r="R40" i="47" s="1"/>
  <c r="S40" i="47" s="1"/>
  <c r="T40" i="47" s="1"/>
  <c r="U40" i="47" s="1"/>
  <c r="V40" i="47" s="1"/>
  <c r="W40" i="47" s="1"/>
  <c r="X40" i="47" s="1"/>
  <c r="Y40" i="47" s="1"/>
  <c r="Z40" i="47" s="1"/>
  <c r="AA40" i="47" s="1"/>
  <c r="AB40" i="47" s="1"/>
  <c r="AC40" i="47" s="1"/>
  <c r="AD40" i="47" s="1"/>
  <c r="AE40" i="47" s="1"/>
  <c r="AF40" i="47" s="1"/>
  <c r="AG40" i="47" s="1"/>
  <c r="AH40" i="47" s="1"/>
  <c r="C33" i="29"/>
  <c r="C34" i="29"/>
  <c r="F27" i="53"/>
  <c r="F42" i="53" s="1"/>
  <c r="G21" i="53"/>
  <c r="F80" i="34"/>
  <c r="G80" i="34" s="1"/>
  <c r="H80" i="34" s="1"/>
  <c r="I80" i="34" s="1"/>
  <c r="J80" i="34" s="1"/>
  <c r="K80" i="34" s="1"/>
  <c r="L80" i="34" s="1"/>
  <c r="M80" i="34" s="1"/>
  <c r="N80" i="34" s="1"/>
  <c r="O80" i="34" s="1"/>
  <c r="P80" i="34" s="1"/>
  <c r="Q80" i="34" s="1"/>
  <c r="R80" i="34" s="1"/>
  <c r="S80" i="34" s="1"/>
  <c r="T80" i="34" s="1"/>
  <c r="U80" i="34" s="1"/>
  <c r="V80" i="34" s="1"/>
  <c r="W80" i="34" s="1"/>
  <c r="X80" i="34" s="1"/>
  <c r="Y80" i="34" s="1"/>
  <c r="Z80" i="34" s="1"/>
  <c r="AA80" i="34" s="1"/>
  <c r="AB80" i="34" s="1"/>
  <c r="AC80" i="34" s="1"/>
  <c r="AD80" i="34" s="1"/>
  <c r="AE80" i="34" s="1"/>
  <c r="AF80" i="34" s="1"/>
  <c r="AG80" i="34" s="1"/>
  <c r="AH80" i="34" s="1"/>
  <c r="C61" i="53"/>
  <c r="C66" i="53"/>
  <c r="C73" i="53" s="1"/>
  <c r="C74" i="53" s="1"/>
  <c r="C67" i="53"/>
  <c r="C77" i="53" s="1"/>
  <c r="C78" i="53" s="1"/>
  <c r="D61" i="51" s="1"/>
  <c r="C64" i="53"/>
  <c r="C71" i="53" s="1"/>
  <c r="C72" i="53" s="1"/>
  <c r="D57" i="51" s="1"/>
  <c r="C65" i="53"/>
  <c r="C75" i="53" s="1"/>
  <c r="C62" i="53"/>
  <c r="D60" i="53"/>
  <c r="D332" i="38"/>
  <c r="D360" i="46"/>
  <c r="F24" i="54"/>
  <c r="G18" i="54"/>
  <c r="F39" i="47"/>
  <c r="G39" i="47" s="1"/>
  <c r="H39" i="47" s="1"/>
  <c r="I39" i="47" s="1"/>
  <c r="J39" i="47" s="1"/>
  <c r="K39" i="47" s="1"/>
  <c r="L39" i="47" s="1"/>
  <c r="M39" i="47" s="1"/>
  <c r="N39" i="47" s="1"/>
  <c r="O39" i="47" s="1"/>
  <c r="P39" i="47" s="1"/>
  <c r="Q39" i="47" s="1"/>
  <c r="R39" i="47" s="1"/>
  <c r="S39" i="47" s="1"/>
  <c r="T39" i="47" s="1"/>
  <c r="U39" i="47" s="1"/>
  <c r="V39" i="47" s="1"/>
  <c r="W39" i="47" s="1"/>
  <c r="X39" i="47" s="1"/>
  <c r="Y39" i="47" s="1"/>
  <c r="Z39" i="47" s="1"/>
  <c r="AA39" i="47" s="1"/>
  <c r="AB39" i="47" s="1"/>
  <c r="AC39" i="47" s="1"/>
  <c r="AD39" i="47" s="1"/>
  <c r="AE39" i="47" s="1"/>
  <c r="AF39" i="47" s="1"/>
  <c r="AG39" i="47" s="1"/>
  <c r="AH39" i="47" s="1"/>
  <c r="F58" i="41"/>
  <c r="G58" i="41" s="1"/>
  <c r="H58" i="41" s="1"/>
  <c r="I58" i="41" s="1"/>
  <c r="J58" i="41" s="1"/>
  <c r="K58" i="41" s="1"/>
  <c r="L58" i="41" s="1"/>
  <c r="M58" i="41" s="1"/>
  <c r="N58" i="41" s="1"/>
  <c r="O58" i="41" s="1"/>
  <c r="P58" i="41" s="1"/>
  <c r="Q58" i="41" s="1"/>
  <c r="R58" i="41" s="1"/>
  <c r="S58" i="41" s="1"/>
  <c r="T58" i="41" s="1"/>
  <c r="U58" i="41" s="1"/>
  <c r="V58" i="41" s="1"/>
  <c r="W58" i="41" s="1"/>
  <c r="X58" i="41" s="1"/>
  <c r="Y58" i="41" s="1"/>
  <c r="Z58" i="41" s="1"/>
  <c r="AA58" i="41" s="1"/>
  <c r="AB58" i="41" s="1"/>
  <c r="AC58" i="41" s="1"/>
  <c r="AD58" i="41" s="1"/>
  <c r="AE58" i="41" s="1"/>
  <c r="AF58" i="41" s="1"/>
  <c r="AG58" i="41" s="1"/>
  <c r="AH58" i="41" s="1"/>
  <c r="AG61" i="28"/>
  <c r="AG64" i="28"/>
  <c r="AG63" i="28"/>
  <c r="AG60" i="28"/>
  <c r="C94" i="29"/>
  <c r="F14" i="34"/>
  <c r="E81" i="34" s="1"/>
  <c r="F34" i="41"/>
  <c r="G34" i="41" s="1"/>
  <c r="H34" i="41" s="1"/>
  <c r="I34" i="41" s="1"/>
  <c r="J34" i="41" s="1"/>
  <c r="K34" i="41" s="1"/>
  <c r="L34" i="41" s="1"/>
  <c r="M34" i="41" s="1"/>
  <c r="N34" i="41" s="1"/>
  <c r="O34" i="41" s="1"/>
  <c r="P34" i="41" s="1"/>
  <c r="Q34" i="41" s="1"/>
  <c r="R34" i="41" s="1"/>
  <c r="S34" i="41" s="1"/>
  <c r="T34" i="41" s="1"/>
  <c r="U34" i="41" s="1"/>
  <c r="V34" i="41" s="1"/>
  <c r="W34" i="41" s="1"/>
  <c r="X34" i="41" s="1"/>
  <c r="Y34" i="41" s="1"/>
  <c r="Z34" i="41" s="1"/>
  <c r="AA34" i="41" s="1"/>
  <c r="AB34" i="41" s="1"/>
  <c r="AC34" i="41" s="1"/>
  <c r="AD34" i="41" s="1"/>
  <c r="AE34" i="41" s="1"/>
  <c r="AF34" i="41" s="1"/>
  <c r="AG34" i="41" s="1"/>
  <c r="AH34" i="41" s="1"/>
  <c r="D44" i="53"/>
  <c r="D204" i="53" s="1"/>
  <c r="G74" i="15"/>
  <c r="D40" i="34"/>
  <c r="E108" i="34"/>
  <c r="F27" i="46"/>
  <c r="F42" i="46" s="1"/>
  <c r="G21" i="46"/>
  <c r="D23" i="41"/>
  <c r="E71" i="41" s="1"/>
  <c r="F39" i="15"/>
  <c r="E7" i="47"/>
  <c r="E42" i="47"/>
  <c r="AG121" i="20"/>
  <c r="AG125" i="20"/>
  <c r="AG122" i="20"/>
  <c r="AG120" i="20"/>
  <c r="AG124" i="20"/>
  <c r="AG123" i="20"/>
  <c r="F60" i="47"/>
  <c r="G60" i="47" s="1"/>
  <c r="H60" i="47" s="1"/>
  <c r="I60" i="47" s="1"/>
  <c r="J60" i="47" s="1"/>
  <c r="K60" i="47" s="1"/>
  <c r="L60" i="47" s="1"/>
  <c r="M60" i="47" s="1"/>
  <c r="N60" i="47" s="1"/>
  <c r="O60" i="47" s="1"/>
  <c r="P60" i="47" s="1"/>
  <c r="Q60" i="47" s="1"/>
  <c r="R60" i="47" s="1"/>
  <c r="S60" i="47" s="1"/>
  <c r="T60" i="47" s="1"/>
  <c r="U60" i="47" s="1"/>
  <c r="V60" i="47" s="1"/>
  <c r="W60" i="47" s="1"/>
  <c r="X60" i="47" s="1"/>
  <c r="Y60" i="47" s="1"/>
  <c r="Z60" i="47" s="1"/>
  <c r="AA60" i="47" s="1"/>
  <c r="AB60" i="47" s="1"/>
  <c r="AC60" i="47" s="1"/>
  <c r="AD60" i="47" s="1"/>
  <c r="AE60" i="47" s="1"/>
  <c r="AF60" i="47" s="1"/>
  <c r="AG60" i="47" s="1"/>
  <c r="AH60" i="47" s="1"/>
  <c r="F68" i="47"/>
  <c r="G68" i="47" s="1"/>
  <c r="H68" i="47" s="1"/>
  <c r="I68" i="47" s="1"/>
  <c r="J68" i="47" s="1"/>
  <c r="K68" i="47" s="1"/>
  <c r="L68" i="47" s="1"/>
  <c r="M68" i="47" s="1"/>
  <c r="N68" i="47" s="1"/>
  <c r="O68" i="47" s="1"/>
  <c r="P68" i="47" s="1"/>
  <c r="Q68" i="47" s="1"/>
  <c r="R68" i="47" s="1"/>
  <c r="S68" i="47" s="1"/>
  <c r="T68" i="47" s="1"/>
  <c r="U68" i="47" s="1"/>
  <c r="V68" i="47" s="1"/>
  <c r="W68" i="47" s="1"/>
  <c r="X68" i="47" s="1"/>
  <c r="Y68" i="47" s="1"/>
  <c r="Z68" i="47" s="1"/>
  <c r="AA68" i="47" s="1"/>
  <c r="AB68" i="47" s="1"/>
  <c r="AC68" i="47" s="1"/>
  <c r="AD68" i="47" s="1"/>
  <c r="AE68" i="47" s="1"/>
  <c r="AF68" i="47" s="1"/>
  <c r="AG68" i="47" s="1"/>
  <c r="AH68" i="47" s="1"/>
  <c r="F38" i="41"/>
  <c r="G38" i="41" s="1"/>
  <c r="H38" i="41" s="1"/>
  <c r="I38" i="41" s="1"/>
  <c r="J38" i="41" s="1"/>
  <c r="K38" i="41" s="1"/>
  <c r="L38" i="41" s="1"/>
  <c r="M38" i="41" s="1"/>
  <c r="N38" i="41" s="1"/>
  <c r="O38" i="41" s="1"/>
  <c r="P38" i="41" s="1"/>
  <c r="Q38" i="41" s="1"/>
  <c r="R38" i="41" s="1"/>
  <c r="S38" i="41" s="1"/>
  <c r="T38" i="41" s="1"/>
  <c r="U38" i="41" s="1"/>
  <c r="V38" i="41" s="1"/>
  <c r="W38" i="41" s="1"/>
  <c r="X38" i="41" s="1"/>
  <c r="Y38" i="41" s="1"/>
  <c r="Z38" i="41" s="1"/>
  <c r="AA38" i="41" s="1"/>
  <c r="AB38" i="41" s="1"/>
  <c r="AC38" i="41" s="1"/>
  <c r="AD38" i="41" s="1"/>
  <c r="AE38" i="41" s="1"/>
  <c r="AF38" i="41" s="1"/>
  <c r="AG38" i="41" s="1"/>
  <c r="AH38" i="41" s="1"/>
  <c r="C194" i="54"/>
  <c r="C31" i="54"/>
  <c r="F35" i="15"/>
  <c r="F19" i="38"/>
  <c r="E25" i="38"/>
  <c r="E40" i="38" s="1"/>
  <c r="F72" i="47"/>
  <c r="G72" i="47" s="1"/>
  <c r="H72" i="47" s="1"/>
  <c r="I72" i="47" s="1"/>
  <c r="J72" i="47" s="1"/>
  <c r="K72" i="47" s="1"/>
  <c r="L72" i="47" s="1"/>
  <c r="M72" i="47" s="1"/>
  <c r="N72" i="47" s="1"/>
  <c r="O72" i="47" s="1"/>
  <c r="P72" i="47" s="1"/>
  <c r="Q72" i="47" s="1"/>
  <c r="R72" i="47" s="1"/>
  <c r="S72" i="47" s="1"/>
  <c r="T72" i="47" s="1"/>
  <c r="U72" i="47" s="1"/>
  <c r="V72" i="47" s="1"/>
  <c r="W72" i="47" s="1"/>
  <c r="X72" i="47" s="1"/>
  <c r="Y72" i="47" s="1"/>
  <c r="Z72" i="47" s="1"/>
  <c r="AA72" i="47" s="1"/>
  <c r="AB72" i="47" s="1"/>
  <c r="AC72" i="47" s="1"/>
  <c r="AD72" i="47" s="1"/>
  <c r="AE72" i="47" s="1"/>
  <c r="AF72" i="47" s="1"/>
  <c r="AG72" i="47" s="1"/>
  <c r="AH72" i="47" s="1"/>
  <c r="F44" i="41"/>
  <c r="G44" i="41" s="1"/>
  <c r="H44" i="41" s="1"/>
  <c r="I44" i="41" s="1"/>
  <c r="J44" i="41" s="1"/>
  <c r="K44" i="41" s="1"/>
  <c r="L44" i="41" s="1"/>
  <c r="M44" i="41" s="1"/>
  <c r="N44" i="41" s="1"/>
  <c r="O44" i="41" s="1"/>
  <c r="P44" i="41" s="1"/>
  <c r="Q44" i="41" s="1"/>
  <c r="R44" i="41" s="1"/>
  <c r="S44" i="41" s="1"/>
  <c r="T44" i="41" s="1"/>
  <c r="U44" i="41" s="1"/>
  <c r="V44" i="41" s="1"/>
  <c r="W44" i="41" s="1"/>
  <c r="X44" i="41" s="1"/>
  <c r="Y44" i="41" s="1"/>
  <c r="Z44" i="41" s="1"/>
  <c r="AA44" i="41" s="1"/>
  <c r="AB44" i="41" s="1"/>
  <c r="AC44" i="41" s="1"/>
  <c r="AD44" i="41" s="1"/>
  <c r="AE44" i="41" s="1"/>
  <c r="AF44" i="41" s="1"/>
  <c r="AG44" i="41" s="1"/>
  <c r="AH44" i="41" s="1"/>
  <c r="I8" i="16"/>
  <c r="I25" i="15"/>
  <c r="E134" i="54"/>
  <c r="E136" i="54"/>
  <c r="E138" i="54"/>
  <c r="F27" i="28"/>
  <c r="G21" i="28"/>
  <c r="E26" i="54"/>
  <c r="E41" i="54" s="1"/>
  <c r="E147" i="54" s="1"/>
  <c r="E148" i="54" s="1"/>
  <c r="F20" i="54"/>
  <c r="E66" i="41"/>
  <c r="F18" i="41"/>
  <c r="C241" i="46"/>
  <c r="C243" i="46" s="1"/>
  <c r="C154" i="53"/>
  <c r="C156" i="53" s="1"/>
  <c r="D153" i="53"/>
  <c r="G11" i="15"/>
  <c r="F61" i="41"/>
  <c r="G61" i="41" s="1"/>
  <c r="H61" i="41" s="1"/>
  <c r="I61" i="41" s="1"/>
  <c r="J61" i="41" s="1"/>
  <c r="K61" i="41" s="1"/>
  <c r="L61" i="41" s="1"/>
  <c r="M61" i="41" s="1"/>
  <c r="N61" i="41" s="1"/>
  <c r="O61" i="41" s="1"/>
  <c r="P61" i="41" s="1"/>
  <c r="Q61" i="41" s="1"/>
  <c r="R61" i="41" s="1"/>
  <c r="S61" i="41" s="1"/>
  <c r="T61" i="41" s="1"/>
  <c r="U61" i="41" s="1"/>
  <c r="V61" i="41" s="1"/>
  <c r="W61" i="41" s="1"/>
  <c r="X61" i="41" s="1"/>
  <c r="Y61" i="41" s="1"/>
  <c r="Z61" i="41" s="1"/>
  <c r="AA61" i="41" s="1"/>
  <c r="AB61" i="41" s="1"/>
  <c r="AC61" i="41" s="1"/>
  <c r="AD61" i="41" s="1"/>
  <c r="AE61" i="41" s="1"/>
  <c r="AF61" i="41" s="1"/>
  <c r="AG61" i="41" s="1"/>
  <c r="AH61" i="41" s="1"/>
  <c r="C208" i="20"/>
  <c r="C97" i="33" a="1"/>
  <c r="C97" i="33" s="1"/>
  <c r="AG208" i="20" s="1"/>
  <c r="AG209" i="20" s="1"/>
  <c r="C127" i="42"/>
  <c r="C128" i="42"/>
  <c r="F73" i="47"/>
  <c r="G73" i="47" s="1"/>
  <c r="H73" i="47" s="1"/>
  <c r="I73" i="47" s="1"/>
  <c r="J73" i="47" s="1"/>
  <c r="K73" i="47" s="1"/>
  <c r="L73" i="47" s="1"/>
  <c r="M73" i="47" s="1"/>
  <c r="N73" i="47" s="1"/>
  <c r="O73" i="47" s="1"/>
  <c r="P73" i="47" s="1"/>
  <c r="Q73" i="47" s="1"/>
  <c r="R73" i="47" s="1"/>
  <c r="S73" i="47" s="1"/>
  <c r="T73" i="47" s="1"/>
  <c r="U73" i="47" s="1"/>
  <c r="V73" i="47" s="1"/>
  <c r="W73" i="47" s="1"/>
  <c r="X73" i="47" s="1"/>
  <c r="Y73" i="47" s="1"/>
  <c r="Z73" i="47" s="1"/>
  <c r="AA73" i="47" s="1"/>
  <c r="AB73" i="47" s="1"/>
  <c r="AC73" i="47" s="1"/>
  <c r="AD73" i="47" s="1"/>
  <c r="AE73" i="47" s="1"/>
  <c r="AF73" i="47" s="1"/>
  <c r="AG73" i="47" s="1"/>
  <c r="AH73" i="47" s="1"/>
  <c r="D40" i="29"/>
  <c r="E128" i="16"/>
  <c r="E60" i="16"/>
  <c r="AG83" i="28"/>
  <c r="AG85" i="28"/>
  <c r="AG86" i="28"/>
  <c r="AG84" i="28"/>
  <c r="AG88" i="28"/>
  <c r="AG87" i="28"/>
  <c r="F44" i="47"/>
  <c r="G44" i="47" s="1"/>
  <c r="H44" i="47" s="1"/>
  <c r="I44" i="47" s="1"/>
  <c r="J44" i="47" s="1"/>
  <c r="K44" i="47" s="1"/>
  <c r="L44" i="47" s="1"/>
  <c r="M44" i="47" s="1"/>
  <c r="N44" i="47" s="1"/>
  <c r="O44" i="47" s="1"/>
  <c r="P44" i="47" s="1"/>
  <c r="Q44" i="47" s="1"/>
  <c r="R44" i="47" s="1"/>
  <c r="S44" i="47" s="1"/>
  <c r="T44" i="47" s="1"/>
  <c r="U44" i="47" s="1"/>
  <c r="V44" i="47" s="1"/>
  <c r="W44" i="47" s="1"/>
  <c r="X44" i="47" s="1"/>
  <c r="Y44" i="47" s="1"/>
  <c r="Z44" i="47" s="1"/>
  <c r="AA44" i="47" s="1"/>
  <c r="AB44" i="47" s="1"/>
  <c r="AC44" i="47" s="1"/>
  <c r="AD44" i="47" s="1"/>
  <c r="AE44" i="47" s="1"/>
  <c r="AF44" i="47" s="1"/>
  <c r="AG44" i="47" s="1"/>
  <c r="AH44" i="47" s="1"/>
  <c r="D44" i="54"/>
  <c r="D204" i="54" s="1"/>
  <c r="E136" i="53"/>
  <c r="E134" i="53"/>
  <c r="E138" i="53"/>
  <c r="F83" i="47"/>
  <c r="G83" i="47" s="1"/>
  <c r="H83" i="47" s="1"/>
  <c r="I83" i="47" s="1"/>
  <c r="J83" i="47" s="1"/>
  <c r="K83" i="47" s="1"/>
  <c r="L83" i="47" s="1"/>
  <c r="M83" i="47" s="1"/>
  <c r="N83" i="47" s="1"/>
  <c r="O83" i="47" s="1"/>
  <c r="P83" i="47" s="1"/>
  <c r="Q83" i="47" s="1"/>
  <c r="R83" i="47" s="1"/>
  <c r="S83" i="47" s="1"/>
  <c r="T83" i="47" s="1"/>
  <c r="U83" i="47" s="1"/>
  <c r="V83" i="47" s="1"/>
  <c r="W83" i="47" s="1"/>
  <c r="X83" i="47" s="1"/>
  <c r="Y83" i="47" s="1"/>
  <c r="Z83" i="47" s="1"/>
  <c r="AA83" i="47" s="1"/>
  <c r="AB83" i="47" s="1"/>
  <c r="AC83" i="47" s="1"/>
  <c r="AD83" i="47" s="1"/>
  <c r="AE83" i="47" s="1"/>
  <c r="AF83" i="47" s="1"/>
  <c r="AG83" i="47" s="1"/>
  <c r="AH83" i="47" s="1"/>
  <c r="J7" i="15"/>
  <c r="J8" i="15" s="1"/>
  <c r="K6" i="15"/>
  <c r="C64" i="46"/>
  <c r="C65" i="46"/>
  <c r="C67" i="46"/>
  <c r="C62" i="46"/>
  <c r="C61" i="46"/>
  <c r="C66" i="46"/>
  <c r="C89" i="46" s="1"/>
  <c r="D60" i="46"/>
  <c r="C96" i="33" a="1"/>
  <c r="C96" i="33" s="1"/>
  <c r="AG166" i="20" s="1"/>
  <c r="C166" i="20"/>
  <c r="C76" i="33"/>
  <c r="C27" i="20"/>
  <c r="C45" i="20" s="1"/>
  <c r="C21" i="19"/>
  <c r="D21" i="20"/>
  <c r="F27" i="48"/>
  <c r="F42" i="48" s="1"/>
  <c r="G21" i="48"/>
  <c r="E39" i="54"/>
  <c r="F43" i="47"/>
  <c r="G43" i="47" s="1"/>
  <c r="H43" i="47" s="1"/>
  <c r="I43" i="47" s="1"/>
  <c r="J43" i="47" s="1"/>
  <c r="K43" i="47" s="1"/>
  <c r="L43" i="47" s="1"/>
  <c r="M43" i="47" s="1"/>
  <c r="N43" i="47" s="1"/>
  <c r="O43" i="47" s="1"/>
  <c r="P43" i="47" s="1"/>
  <c r="Q43" i="47" s="1"/>
  <c r="R43" i="47" s="1"/>
  <c r="S43" i="47" s="1"/>
  <c r="T43" i="47" s="1"/>
  <c r="U43" i="47" s="1"/>
  <c r="V43" i="47" s="1"/>
  <c r="W43" i="47" s="1"/>
  <c r="X43" i="47" s="1"/>
  <c r="Y43" i="47" s="1"/>
  <c r="Z43" i="47" s="1"/>
  <c r="AA43" i="47" s="1"/>
  <c r="AB43" i="47" s="1"/>
  <c r="AC43" i="47" s="1"/>
  <c r="AD43" i="47" s="1"/>
  <c r="AE43" i="47" s="1"/>
  <c r="AF43" i="47" s="1"/>
  <c r="AG43" i="47" s="1"/>
  <c r="AH43" i="47" s="1"/>
  <c r="E26" i="38"/>
  <c r="E41" i="38" s="1"/>
  <c r="F20" i="38"/>
  <c r="F79" i="47"/>
  <c r="G79" i="47" s="1"/>
  <c r="H79" i="47" s="1"/>
  <c r="I79" i="47" s="1"/>
  <c r="J79" i="47" s="1"/>
  <c r="K79" i="47" s="1"/>
  <c r="L79" i="47" s="1"/>
  <c r="M79" i="47" s="1"/>
  <c r="N79" i="47" s="1"/>
  <c r="O79" i="47" s="1"/>
  <c r="P79" i="47" s="1"/>
  <c r="Q79" i="47" s="1"/>
  <c r="R79" i="47" s="1"/>
  <c r="S79" i="47" s="1"/>
  <c r="T79" i="47" s="1"/>
  <c r="U79" i="47" s="1"/>
  <c r="V79" i="47" s="1"/>
  <c r="W79" i="47" s="1"/>
  <c r="X79" i="47" s="1"/>
  <c r="Y79" i="47" s="1"/>
  <c r="Z79" i="47" s="1"/>
  <c r="AA79" i="47" s="1"/>
  <c r="AB79" i="47" s="1"/>
  <c r="AC79" i="47" s="1"/>
  <c r="AD79" i="47" s="1"/>
  <c r="AE79" i="47" s="1"/>
  <c r="AF79" i="47" s="1"/>
  <c r="AG79" i="47" s="1"/>
  <c r="AH79" i="47" s="1"/>
  <c r="C278" i="42"/>
  <c r="C289" i="42" s="1"/>
  <c r="C31" i="42"/>
  <c r="F21" i="16"/>
  <c r="C89" i="29"/>
  <c r="C98" i="29" s="1"/>
  <c r="F12" i="34"/>
  <c r="E79" i="34" s="1"/>
  <c r="G10" i="3"/>
  <c r="G20" i="16"/>
  <c r="F40" i="41"/>
  <c r="G40" i="41" s="1"/>
  <c r="H40" i="41" s="1"/>
  <c r="I40" i="41" s="1"/>
  <c r="J40" i="41" s="1"/>
  <c r="K40" i="41" s="1"/>
  <c r="L40" i="41" s="1"/>
  <c r="M40" i="41" s="1"/>
  <c r="N40" i="41" s="1"/>
  <c r="O40" i="41" s="1"/>
  <c r="P40" i="41" s="1"/>
  <c r="Q40" i="41" s="1"/>
  <c r="R40" i="41" s="1"/>
  <c r="S40" i="41" s="1"/>
  <c r="T40" i="41" s="1"/>
  <c r="U40" i="41" s="1"/>
  <c r="V40" i="41" s="1"/>
  <c r="W40" i="41" s="1"/>
  <c r="X40" i="41" s="1"/>
  <c r="Y40" i="41" s="1"/>
  <c r="Z40" i="41" s="1"/>
  <c r="AA40" i="41" s="1"/>
  <c r="AB40" i="41" s="1"/>
  <c r="AC40" i="41" s="1"/>
  <c r="AD40" i="41" s="1"/>
  <c r="AE40" i="41" s="1"/>
  <c r="AF40" i="41" s="1"/>
  <c r="AG40" i="41" s="1"/>
  <c r="AH40" i="41" s="1"/>
  <c r="D29" i="53"/>
  <c r="H18" i="15"/>
  <c r="H19" i="15"/>
  <c r="H15" i="15"/>
  <c r="H16" i="15"/>
  <c r="I14" i="15"/>
  <c r="H74" i="15"/>
  <c r="H32" i="15"/>
  <c r="G3" i="47"/>
  <c r="F24" i="29"/>
  <c r="G18" i="29"/>
  <c r="D306" i="48"/>
  <c r="D31" i="48"/>
  <c r="F41" i="47"/>
  <c r="G41" i="47" s="1"/>
  <c r="H41" i="47" s="1"/>
  <c r="I41" i="47" s="1"/>
  <c r="J41" i="47" s="1"/>
  <c r="K41" i="47" s="1"/>
  <c r="L41" i="47" s="1"/>
  <c r="M41" i="47" s="1"/>
  <c r="N41" i="47" s="1"/>
  <c r="O41" i="47" s="1"/>
  <c r="P41" i="47" s="1"/>
  <c r="Q41" i="47" s="1"/>
  <c r="R41" i="47" s="1"/>
  <c r="S41" i="47" s="1"/>
  <c r="T41" i="47" s="1"/>
  <c r="U41" i="47" s="1"/>
  <c r="V41" i="47" s="1"/>
  <c r="W41" i="47" s="1"/>
  <c r="X41" i="47" s="1"/>
  <c r="Y41" i="47" s="1"/>
  <c r="Z41" i="47" s="1"/>
  <c r="AA41" i="47" s="1"/>
  <c r="AB41" i="47" s="1"/>
  <c r="AC41" i="47" s="1"/>
  <c r="AD41" i="47" s="1"/>
  <c r="AE41" i="47" s="1"/>
  <c r="AF41" i="47" s="1"/>
  <c r="AG41" i="47" s="1"/>
  <c r="AH41" i="47" s="1"/>
  <c r="E28" i="28"/>
  <c r="E46" i="28" s="1"/>
  <c r="F22" i="28"/>
  <c r="C232" i="42"/>
  <c r="C234" i="42" s="1"/>
  <c r="F22" i="54"/>
  <c r="E28" i="54"/>
  <c r="E43" i="54" s="1"/>
  <c r="F56" i="41"/>
  <c r="G56" i="41" s="1"/>
  <c r="H56" i="41" s="1"/>
  <c r="I56" i="41" s="1"/>
  <c r="J56" i="41" s="1"/>
  <c r="K56" i="41" s="1"/>
  <c r="L56" i="41" s="1"/>
  <c r="M56" i="41" s="1"/>
  <c r="N56" i="41" s="1"/>
  <c r="O56" i="41" s="1"/>
  <c r="P56" i="41" s="1"/>
  <c r="Q56" i="41" s="1"/>
  <c r="R56" i="41" s="1"/>
  <c r="S56" i="41" s="1"/>
  <c r="T56" i="41" s="1"/>
  <c r="U56" i="41" s="1"/>
  <c r="V56" i="41" s="1"/>
  <c r="W56" i="41" s="1"/>
  <c r="X56" i="41" s="1"/>
  <c r="Y56" i="41" s="1"/>
  <c r="Z56" i="41" s="1"/>
  <c r="AA56" i="41" s="1"/>
  <c r="AB56" i="41" s="1"/>
  <c r="AC56" i="41" s="1"/>
  <c r="AD56" i="41" s="1"/>
  <c r="AE56" i="41" s="1"/>
  <c r="AF56" i="41" s="1"/>
  <c r="AG56" i="41" s="1"/>
  <c r="AH56" i="41" s="1"/>
  <c r="AG240" i="48"/>
  <c r="AG241" i="48" s="1"/>
  <c r="AG240" i="46"/>
  <c r="AG241" i="46" s="1"/>
  <c r="C154" i="54"/>
  <c r="C156" i="54" s="1"/>
  <c r="F110" i="34"/>
  <c r="G110" i="34" s="1"/>
  <c r="H110" i="34" s="1"/>
  <c r="I110" i="34" s="1"/>
  <c r="J110" i="34" s="1"/>
  <c r="K110" i="34" s="1"/>
  <c r="L110" i="34" s="1"/>
  <c r="M110" i="34" s="1"/>
  <c r="N110" i="34" s="1"/>
  <c r="O110" i="34" s="1"/>
  <c r="P110" i="34" s="1"/>
  <c r="Q110" i="34" s="1"/>
  <c r="R110" i="34" s="1"/>
  <c r="S110" i="34" s="1"/>
  <c r="T110" i="34" s="1"/>
  <c r="U110" i="34" s="1"/>
  <c r="V110" i="34" s="1"/>
  <c r="W110" i="34" s="1"/>
  <c r="X110" i="34" s="1"/>
  <c r="Y110" i="34" s="1"/>
  <c r="Z110" i="34" s="1"/>
  <c r="AA110" i="34" s="1"/>
  <c r="AB110" i="34" s="1"/>
  <c r="AC110" i="34" s="1"/>
  <c r="AD110" i="34" s="1"/>
  <c r="AE110" i="34" s="1"/>
  <c r="AF110" i="34" s="1"/>
  <c r="AG110" i="34" s="1"/>
  <c r="AH110" i="34" s="1"/>
  <c r="D29" i="41"/>
  <c r="E74" i="41" s="1"/>
  <c r="E25" i="42"/>
  <c r="E40" i="42" s="1"/>
  <c r="F19" i="42"/>
  <c r="AG126" i="42"/>
  <c r="AG126" i="38"/>
  <c r="D126" i="38" s="1"/>
  <c r="E28" i="29"/>
  <c r="E46" i="29" s="1"/>
  <c r="F22" i="29"/>
  <c r="D30" i="34"/>
  <c r="E106" i="34" s="1"/>
  <c r="F52" i="47"/>
  <c r="G52" i="47" s="1"/>
  <c r="H52" i="47" s="1"/>
  <c r="I52" i="47" s="1"/>
  <c r="J52" i="47" s="1"/>
  <c r="K52" i="47" s="1"/>
  <c r="L52" i="47" s="1"/>
  <c r="M52" i="47" s="1"/>
  <c r="N52" i="47" s="1"/>
  <c r="O52" i="47" s="1"/>
  <c r="P52" i="47" s="1"/>
  <c r="Q52" i="47" s="1"/>
  <c r="R52" i="47" s="1"/>
  <c r="S52" i="47" s="1"/>
  <c r="T52" i="47" s="1"/>
  <c r="U52" i="47" s="1"/>
  <c r="V52" i="47" s="1"/>
  <c r="W52" i="47" s="1"/>
  <c r="X52" i="47" s="1"/>
  <c r="Y52" i="47" s="1"/>
  <c r="Z52" i="47" s="1"/>
  <c r="AA52" i="47" s="1"/>
  <c r="AB52" i="47" s="1"/>
  <c r="AC52" i="47" s="1"/>
  <c r="AD52" i="47" s="1"/>
  <c r="AE52" i="47" s="1"/>
  <c r="AF52" i="47" s="1"/>
  <c r="AG52" i="47" s="1"/>
  <c r="AH52" i="47" s="1"/>
  <c r="F101" i="34"/>
  <c r="G101" i="34" s="1"/>
  <c r="H101" i="34" s="1"/>
  <c r="I101" i="34" s="1"/>
  <c r="J101" i="34" s="1"/>
  <c r="K101" i="34" s="1"/>
  <c r="L101" i="34" s="1"/>
  <c r="M101" i="34" s="1"/>
  <c r="N101" i="34" s="1"/>
  <c r="O101" i="34" s="1"/>
  <c r="P101" i="34" s="1"/>
  <c r="Q101" i="34" s="1"/>
  <c r="R101" i="34" s="1"/>
  <c r="S101" i="34" s="1"/>
  <c r="T101" i="34" s="1"/>
  <c r="U101" i="34" s="1"/>
  <c r="V101" i="34" s="1"/>
  <c r="W101" i="34" s="1"/>
  <c r="X101" i="34" s="1"/>
  <c r="Y101" i="34" s="1"/>
  <c r="Z101" i="34" s="1"/>
  <c r="AA101" i="34" s="1"/>
  <c r="AB101" i="34" s="1"/>
  <c r="AC101" i="34" s="1"/>
  <c r="AD101" i="34" s="1"/>
  <c r="AE101" i="34" s="1"/>
  <c r="AF101" i="34" s="1"/>
  <c r="AG101" i="34" s="1"/>
  <c r="AH101" i="34" s="1"/>
  <c r="D29" i="54"/>
  <c r="E122" i="16"/>
  <c r="E132" i="16" s="1"/>
  <c r="I9" i="15"/>
  <c r="I10" i="15" s="1"/>
  <c r="C61" i="48"/>
  <c r="C65" i="48"/>
  <c r="C64" i="48"/>
  <c r="C62" i="48"/>
  <c r="C67" i="48"/>
  <c r="C66" i="48"/>
  <c r="D60" i="48"/>
  <c r="C137" i="46"/>
  <c r="C138" i="46"/>
  <c r="C26" i="20"/>
  <c r="C44" i="20" s="1"/>
  <c r="D20" i="20"/>
  <c r="C20" i="19"/>
  <c r="F51" i="47"/>
  <c r="G51" i="47" s="1"/>
  <c r="H51" i="47" s="1"/>
  <c r="I51" i="47" s="1"/>
  <c r="J51" i="47" s="1"/>
  <c r="K51" i="47" s="1"/>
  <c r="L51" i="47" s="1"/>
  <c r="M51" i="47" s="1"/>
  <c r="N51" i="47" s="1"/>
  <c r="O51" i="47" s="1"/>
  <c r="P51" i="47" s="1"/>
  <c r="Q51" i="47" s="1"/>
  <c r="R51" i="47" s="1"/>
  <c r="S51" i="47" s="1"/>
  <c r="T51" i="47" s="1"/>
  <c r="U51" i="47" s="1"/>
  <c r="V51" i="47" s="1"/>
  <c r="W51" i="47" s="1"/>
  <c r="X51" i="47" s="1"/>
  <c r="Y51" i="47" s="1"/>
  <c r="Z51" i="47" s="1"/>
  <c r="AA51" i="47" s="1"/>
  <c r="AB51" i="47" s="1"/>
  <c r="AC51" i="47" s="1"/>
  <c r="AD51" i="47" s="1"/>
  <c r="AE51" i="47" s="1"/>
  <c r="AF51" i="47" s="1"/>
  <c r="AG51" i="47" s="1"/>
  <c r="AH51" i="47" s="1"/>
  <c r="C278" i="38"/>
  <c r="C289" i="38" s="1"/>
  <c r="C31" i="38"/>
  <c r="E96" i="34"/>
  <c r="E24" i="34"/>
  <c r="G12" i="34"/>
  <c r="E84" i="34" s="1"/>
  <c r="G11" i="3"/>
  <c r="G17" i="16"/>
  <c r="F46" i="41"/>
  <c r="G46" i="41" s="1"/>
  <c r="H46" i="41" s="1"/>
  <c r="I46" i="41" s="1"/>
  <c r="J46" i="41" s="1"/>
  <c r="K46" i="41" s="1"/>
  <c r="L46" i="41" s="1"/>
  <c r="M46" i="41" s="1"/>
  <c r="N46" i="41" s="1"/>
  <c r="O46" i="41" s="1"/>
  <c r="P46" i="41" s="1"/>
  <c r="Q46" i="41" s="1"/>
  <c r="R46" i="41" s="1"/>
  <c r="S46" i="41" s="1"/>
  <c r="T46" i="41" s="1"/>
  <c r="U46" i="41" s="1"/>
  <c r="V46" i="41" s="1"/>
  <c r="W46" i="41" s="1"/>
  <c r="X46" i="41" s="1"/>
  <c r="Y46" i="41" s="1"/>
  <c r="Z46" i="41" s="1"/>
  <c r="AA46" i="41" s="1"/>
  <c r="AB46" i="41" s="1"/>
  <c r="AC46" i="41" s="1"/>
  <c r="AD46" i="41" s="1"/>
  <c r="AE46" i="41" s="1"/>
  <c r="AF46" i="41" s="1"/>
  <c r="AG46" i="41" s="1"/>
  <c r="AH46" i="41" s="1"/>
  <c r="F75" i="47"/>
  <c r="G75" i="47" s="1"/>
  <c r="H75" i="47" s="1"/>
  <c r="I75" i="47" s="1"/>
  <c r="J75" i="47" s="1"/>
  <c r="K75" i="47" s="1"/>
  <c r="L75" i="47" s="1"/>
  <c r="M75" i="47" s="1"/>
  <c r="N75" i="47" s="1"/>
  <c r="O75" i="47" s="1"/>
  <c r="P75" i="47" s="1"/>
  <c r="Q75" i="47" s="1"/>
  <c r="R75" i="47" s="1"/>
  <c r="S75" i="47" s="1"/>
  <c r="T75" i="47" s="1"/>
  <c r="U75" i="47" s="1"/>
  <c r="V75" i="47" s="1"/>
  <c r="W75" i="47" s="1"/>
  <c r="X75" i="47" s="1"/>
  <c r="Y75" i="47" s="1"/>
  <c r="Z75" i="47" s="1"/>
  <c r="AA75" i="47" s="1"/>
  <c r="AB75" i="47" s="1"/>
  <c r="AC75" i="47" s="1"/>
  <c r="AD75" i="47" s="1"/>
  <c r="AE75" i="47" s="1"/>
  <c r="AF75" i="47" s="1"/>
  <c r="AG75" i="47" s="1"/>
  <c r="AH75" i="47" s="1"/>
  <c r="C217" i="42"/>
  <c r="C219" i="42" s="1"/>
  <c r="C292" i="42"/>
  <c r="F92" i="34"/>
  <c r="G92" i="34" s="1"/>
  <c r="H92" i="34" s="1"/>
  <c r="I92" i="34" s="1"/>
  <c r="J92" i="34" s="1"/>
  <c r="K92" i="34" s="1"/>
  <c r="L92" i="34" s="1"/>
  <c r="M92" i="34" s="1"/>
  <c r="N92" i="34" s="1"/>
  <c r="O92" i="34" s="1"/>
  <c r="P92" i="34" s="1"/>
  <c r="Q92" i="34" s="1"/>
  <c r="R92" i="34" s="1"/>
  <c r="S92" i="34" s="1"/>
  <c r="T92" i="34" s="1"/>
  <c r="U92" i="34" s="1"/>
  <c r="V92" i="34" s="1"/>
  <c r="W92" i="34" s="1"/>
  <c r="X92" i="34" s="1"/>
  <c r="Y92" i="34" s="1"/>
  <c r="Z92" i="34" s="1"/>
  <c r="AA92" i="34" s="1"/>
  <c r="AB92" i="34" s="1"/>
  <c r="AC92" i="34" s="1"/>
  <c r="AD92" i="34" s="1"/>
  <c r="AE92" i="34" s="1"/>
  <c r="AF92" i="34" s="1"/>
  <c r="AG92" i="34" s="1"/>
  <c r="AH92" i="34" s="1"/>
  <c r="G9" i="41"/>
  <c r="F3" i="41"/>
  <c r="E26" i="53"/>
  <c r="E41" i="53" s="1"/>
  <c r="E147" i="53" s="1"/>
  <c r="E148" i="53" s="1"/>
  <c r="F60" i="51" s="1"/>
  <c r="F20" i="53"/>
  <c r="F10" i="47"/>
  <c r="F35" i="41"/>
  <c r="G35" i="41" s="1"/>
  <c r="H35" i="41" s="1"/>
  <c r="I35" i="41" s="1"/>
  <c r="J35" i="41" s="1"/>
  <c r="K35" i="41" s="1"/>
  <c r="L35" i="41" s="1"/>
  <c r="M35" i="41" s="1"/>
  <c r="N35" i="41" s="1"/>
  <c r="O35" i="41" s="1"/>
  <c r="P35" i="41" s="1"/>
  <c r="Q35" i="41" s="1"/>
  <c r="R35" i="41" s="1"/>
  <c r="S35" i="41" s="1"/>
  <c r="T35" i="41" s="1"/>
  <c r="U35" i="41" s="1"/>
  <c r="V35" i="41" s="1"/>
  <c r="W35" i="41" s="1"/>
  <c r="X35" i="41" s="1"/>
  <c r="Y35" i="41" s="1"/>
  <c r="Z35" i="41" s="1"/>
  <c r="AA35" i="41" s="1"/>
  <c r="AB35" i="41" s="1"/>
  <c r="AC35" i="41" s="1"/>
  <c r="AD35" i="41" s="1"/>
  <c r="AE35" i="41" s="1"/>
  <c r="AF35" i="41" s="1"/>
  <c r="AG35" i="41" s="1"/>
  <c r="AH35" i="41" s="1"/>
  <c r="C94" i="33" a="1"/>
  <c r="C94" i="33" s="1"/>
  <c r="AG195" i="20" s="1"/>
  <c r="AG196" i="20" s="1"/>
  <c r="C195" i="20"/>
  <c r="F45" i="47"/>
  <c r="G45" i="47" s="1"/>
  <c r="H45" i="47" s="1"/>
  <c r="I45" i="47" s="1"/>
  <c r="J45" i="47" s="1"/>
  <c r="K45" i="47" s="1"/>
  <c r="L45" i="47" s="1"/>
  <c r="M45" i="47" s="1"/>
  <c r="N45" i="47" s="1"/>
  <c r="O45" i="47" s="1"/>
  <c r="P45" i="47" s="1"/>
  <c r="Q45" i="47" s="1"/>
  <c r="R45" i="47" s="1"/>
  <c r="S45" i="47" s="1"/>
  <c r="T45" i="47" s="1"/>
  <c r="U45" i="47" s="1"/>
  <c r="V45" i="47" s="1"/>
  <c r="W45" i="47" s="1"/>
  <c r="X45" i="47" s="1"/>
  <c r="Y45" i="47" s="1"/>
  <c r="Z45" i="47" s="1"/>
  <c r="AA45" i="47" s="1"/>
  <c r="AB45" i="47" s="1"/>
  <c r="AC45" i="47" s="1"/>
  <c r="AD45" i="47" s="1"/>
  <c r="AE45" i="47" s="1"/>
  <c r="AF45" i="47" s="1"/>
  <c r="AG45" i="47" s="1"/>
  <c r="AH45" i="47" s="1"/>
  <c r="D85" i="29"/>
  <c r="E61" i="15"/>
  <c r="H11" i="15"/>
  <c r="D29" i="28"/>
  <c r="F53" i="41"/>
  <c r="G53" i="41" s="1"/>
  <c r="H53" i="41" s="1"/>
  <c r="I53" i="41" s="1"/>
  <c r="J53" i="41" s="1"/>
  <c r="K53" i="41" s="1"/>
  <c r="L53" i="41" s="1"/>
  <c r="M53" i="41" s="1"/>
  <c r="N53" i="41" s="1"/>
  <c r="O53" i="41" s="1"/>
  <c r="P53" i="41" s="1"/>
  <c r="Q53" i="41" s="1"/>
  <c r="R53" i="41" s="1"/>
  <c r="S53" i="41" s="1"/>
  <c r="T53" i="41" s="1"/>
  <c r="U53" i="41" s="1"/>
  <c r="V53" i="41" s="1"/>
  <c r="W53" i="41" s="1"/>
  <c r="X53" i="41" s="1"/>
  <c r="Y53" i="41" s="1"/>
  <c r="Z53" i="41" s="1"/>
  <c r="AA53" i="41" s="1"/>
  <c r="AB53" i="41" s="1"/>
  <c r="AC53" i="41" s="1"/>
  <c r="AD53" i="41" s="1"/>
  <c r="AE53" i="41" s="1"/>
  <c r="AF53" i="41" s="1"/>
  <c r="AG53" i="41" s="1"/>
  <c r="AH53" i="41" s="1"/>
  <c r="C241" i="48"/>
  <c r="C258" i="46"/>
  <c r="D257" i="46"/>
  <c r="F24" i="28"/>
  <c r="G18" i="28"/>
  <c r="E17" i="45"/>
  <c r="E18" i="45" s="1"/>
  <c r="F16" i="45"/>
  <c r="AK16" i="45"/>
  <c r="F27" i="42"/>
  <c r="F42" i="42" s="1"/>
  <c r="G21" i="42"/>
  <c r="I54" i="16"/>
  <c r="I124" i="16"/>
  <c r="H38" i="29"/>
  <c r="F40" i="16"/>
  <c r="F48" i="47"/>
  <c r="G48" i="47" s="1"/>
  <c r="H48" i="47" s="1"/>
  <c r="I48" i="47" s="1"/>
  <c r="J48" i="47" s="1"/>
  <c r="K48" i="47" s="1"/>
  <c r="L48" i="47" s="1"/>
  <c r="M48" i="47" s="1"/>
  <c r="N48" i="47" s="1"/>
  <c r="O48" i="47" s="1"/>
  <c r="P48" i="47" s="1"/>
  <c r="Q48" i="47" s="1"/>
  <c r="R48" i="47" s="1"/>
  <c r="S48" i="47" s="1"/>
  <c r="T48" i="47" s="1"/>
  <c r="U48" i="47" s="1"/>
  <c r="V48" i="47" s="1"/>
  <c r="W48" i="47" s="1"/>
  <c r="X48" i="47" s="1"/>
  <c r="Y48" i="47" s="1"/>
  <c r="Z48" i="47" s="1"/>
  <c r="AA48" i="47" s="1"/>
  <c r="AB48" i="47" s="1"/>
  <c r="AC48" i="47" s="1"/>
  <c r="AD48" i="47" s="1"/>
  <c r="AE48" i="47" s="1"/>
  <c r="AF48" i="47" s="1"/>
  <c r="AG48" i="47" s="1"/>
  <c r="AH48" i="47" s="1"/>
  <c r="L5" i="8"/>
  <c r="L6" i="8" s="1"/>
  <c r="D27" i="45"/>
  <c r="C66" i="54"/>
  <c r="C73" i="54" s="1"/>
  <c r="C74" i="54" s="1"/>
  <c r="C64" i="54"/>
  <c r="C71" i="54" s="1"/>
  <c r="C72" i="54" s="1"/>
  <c r="C61" i="54"/>
  <c r="C67" i="54"/>
  <c r="C77" i="54" s="1"/>
  <c r="C78" i="54" s="1"/>
  <c r="C62" i="54"/>
  <c r="C65" i="54"/>
  <c r="C75" i="54" s="1"/>
  <c r="C76" i="54" s="1"/>
  <c r="D60" i="54"/>
  <c r="AG136" i="48"/>
  <c r="D136" i="48" s="1"/>
  <c r="AG136" i="46"/>
  <c r="C28" i="20"/>
  <c r="C46" i="20" s="1"/>
  <c r="D22" i="20"/>
  <c r="C22" i="19"/>
  <c r="E122" i="15"/>
  <c r="E132" i="15" s="1"/>
  <c r="F47" i="47"/>
  <c r="G47" i="47" s="1"/>
  <c r="H47" i="47" s="1"/>
  <c r="I47" i="47" s="1"/>
  <c r="J47" i="47" s="1"/>
  <c r="K47" i="47" s="1"/>
  <c r="L47" i="47" s="1"/>
  <c r="M47" i="47" s="1"/>
  <c r="N47" i="47" s="1"/>
  <c r="O47" i="47" s="1"/>
  <c r="P47" i="47" s="1"/>
  <c r="Q47" i="47" s="1"/>
  <c r="R47" i="47" s="1"/>
  <c r="S47" i="47" s="1"/>
  <c r="T47" i="47" s="1"/>
  <c r="U47" i="47" s="1"/>
  <c r="V47" i="47" s="1"/>
  <c r="W47" i="47" s="1"/>
  <c r="X47" i="47" s="1"/>
  <c r="Y47" i="47" s="1"/>
  <c r="Z47" i="47" s="1"/>
  <c r="AA47" i="47" s="1"/>
  <c r="AB47" i="47" s="1"/>
  <c r="AC47" i="47" s="1"/>
  <c r="AD47" i="47" s="1"/>
  <c r="AE47" i="47" s="1"/>
  <c r="AF47" i="47" s="1"/>
  <c r="AG47" i="47" s="1"/>
  <c r="AH47" i="47" s="1"/>
  <c r="F85" i="47"/>
  <c r="G85" i="47" s="1"/>
  <c r="H85" i="47" s="1"/>
  <c r="I85" i="47" s="1"/>
  <c r="J85" i="47" s="1"/>
  <c r="K85" i="47" s="1"/>
  <c r="L85" i="47" s="1"/>
  <c r="M85" i="47" s="1"/>
  <c r="N85" i="47" s="1"/>
  <c r="O85" i="47" s="1"/>
  <c r="P85" i="47" s="1"/>
  <c r="Q85" i="47" s="1"/>
  <c r="R85" i="47" s="1"/>
  <c r="S85" i="47" s="1"/>
  <c r="T85" i="47" s="1"/>
  <c r="U85" i="47" s="1"/>
  <c r="V85" i="47" s="1"/>
  <c r="W85" i="47" s="1"/>
  <c r="X85" i="47" s="1"/>
  <c r="Y85" i="47" s="1"/>
  <c r="Z85" i="47" s="1"/>
  <c r="AA85" i="47" s="1"/>
  <c r="AB85" i="47" s="1"/>
  <c r="AC85" i="47" s="1"/>
  <c r="AD85" i="47" s="1"/>
  <c r="AE85" i="47" s="1"/>
  <c r="AF85" i="47" s="1"/>
  <c r="AG85" i="47" s="1"/>
  <c r="AH85" i="47" s="1"/>
  <c r="E25" i="54"/>
  <c r="E40" i="54" s="1"/>
  <c r="F19" i="54"/>
  <c r="F27" i="38"/>
  <c r="F42" i="38" s="1"/>
  <c r="G21" i="38"/>
  <c r="E12" i="34"/>
  <c r="E74" i="34" s="1"/>
  <c r="F37" i="41"/>
  <c r="G37" i="41" s="1"/>
  <c r="H37" i="41" s="1"/>
  <c r="I37" i="41" s="1"/>
  <c r="J37" i="41" s="1"/>
  <c r="K37" i="41" s="1"/>
  <c r="L37" i="41" s="1"/>
  <c r="M37" i="41" s="1"/>
  <c r="N37" i="41" s="1"/>
  <c r="O37" i="41" s="1"/>
  <c r="P37" i="41" s="1"/>
  <c r="Q37" i="41" s="1"/>
  <c r="R37" i="41" s="1"/>
  <c r="S37" i="41" s="1"/>
  <c r="T37" i="41" s="1"/>
  <c r="U37" i="41" s="1"/>
  <c r="V37" i="41" s="1"/>
  <c r="W37" i="41" s="1"/>
  <c r="X37" i="41" s="1"/>
  <c r="Y37" i="41" s="1"/>
  <c r="Z37" i="41" s="1"/>
  <c r="AA37" i="41" s="1"/>
  <c r="AB37" i="41" s="1"/>
  <c r="AC37" i="41" s="1"/>
  <c r="AD37" i="41" s="1"/>
  <c r="AE37" i="41" s="1"/>
  <c r="AF37" i="41" s="1"/>
  <c r="AG37" i="41" s="1"/>
  <c r="AH37" i="41" s="1"/>
  <c r="AG216" i="42"/>
  <c r="AG217" i="42" s="1"/>
  <c r="AG216" i="38"/>
  <c r="AG217" i="38" s="1"/>
  <c r="G20" i="15"/>
  <c r="C292" i="38"/>
  <c r="F24" i="48"/>
  <c r="G18" i="48"/>
  <c r="E3" i="41"/>
  <c r="AK60" i="51"/>
  <c r="D10" i="47"/>
  <c r="H10" i="16"/>
  <c r="F41" i="41"/>
  <c r="G41" i="41" s="1"/>
  <c r="H41" i="41" s="1"/>
  <c r="I41" i="41" s="1"/>
  <c r="J41" i="41" s="1"/>
  <c r="K41" i="41" s="1"/>
  <c r="L41" i="41" s="1"/>
  <c r="M41" i="41" s="1"/>
  <c r="N41" i="41" s="1"/>
  <c r="O41" i="41" s="1"/>
  <c r="P41" i="41" s="1"/>
  <c r="Q41" i="41" s="1"/>
  <c r="R41" i="41" s="1"/>
  <c r="S41" i="41" s="1"/>
  <c r="T41" i="41" s="1"/>
  <c r="U41" i="41" s="1"/>
  <c r="V41" i="41" s="1"/>
  <c r="W41" i="41" s="1"/>
  <c r="X41" i="41" s="1"/>
  <c r="Y41" i="41" s="1"/>
  <c r="Z41" i="41" s="1"/>
  <c r="AA41" i="41" s="1"/>
  <c r="AB41" i="41" s="1"/>
  <c r="AC41" i="41" s="1"/>
  <c r="AD41" i="41" s="1"/>
  <c r="AE41" i="41" s="1"/>
  <c r="AF41" i="41" s="1"/>
  <c r="AG41" i="41" s="1"/>
  <c r="AH41" i="41" s="1"/>
  <c r="E63" i="41"/>
  <c r="E18" i="41"/>
  <c r="AG231" i="38"/>
  <c r="AG232" i="38" s="1"/>
  <c r="AG231" i="42"/>
  <c r="AG232" i="42" s="1"/>
  <c r="E25" i="28"/>
  <c r="E43" i="28" s="1"/>
  <c r="F19" i="28"/>
  <c r="D21" i="47"/>
  <c r="E74" i="47"/>
  <c r="F67" i="41"/>
  <c r="G67" i="41" s="1"/>
  <c r="H67" i="41" s="1"/>
  <c r="I67" i="41" s="1"/>
  <c r="J67" i="41" s="1"/>
  <c r="K67" i="41" s="1"/>
  <c r="L67" i="41" s="1"/>
  <c r="M67" i="41" s="1"/>
  <c r="N67" i="41" s="1"/>
  <c r="O67" i="41" s="1"/>
  <c r="P67" i="41" s="1"/>
  <c r="Q67" i="41" s="1"/>
  <c r="R67" i="41" s="1"/>
  <c r="S67" i="41" s="1"/>
  <c r="T67" i="41" s="1"/>
  <c r="U67" i="41" s="1"/>
  <c r="V67" i="41" s="1"/>
  <c r="W67" i="41" s="1"/>
  <c r="X67" i="41" s="1"/>
  <c r="Y67" i="41" s="1"/>
  <c r="Z67" i="41" s="1"/>
  <c r="AA67" i="41" s="1"/>
  <c r="AB67" i="41" s="1"/>
  <c r="AC67" i="41" s="1"/>
  <c r="AD67" i="41" s="1"/>
  <c r="AE67" i="41" s="1"/>
  <c r="AF67" i="41" s="1"/>
  <c r="AG67" i="41" s="1"/>
  <c r="AH67" i="41" s="1"/>
  <c r="F53" i="47"/>
  <c r="G53" i="47" s="1"/>
  <c r="H53" i="47" s="1"/>
  <c r="I53" i="47" s="1"/>
  <c r="J53" i="47" s="1"/>
  <c r="K53" i="47" s="1"/>
  <c r="L53" i="47" s="1"/>
  <c r="M53" i="47" s="1"/>
  <c r="N53" i="47" s="1"/>
  <c r="O53" i="47" s="1"/>
  <c r="P53" i="47" s="1"/>
  <c r="Q53" i="47" s="1"/>
  <c r="R53" i="47" s="1"/>
  <c r="S53" i="47" s="1"/>
  <c r="T53" i="47" s="1"/>
  <c r="U53" i="47" s="1"/>
  <c r="V53" i="47" s="1"/>
  <c r="W53" i="47" s="1"/>
  <c r="X53" i="47" s="1"/>
  <c r="Y53" i="47" s="1"/>
  <c r="Z53" i="47" s="1"/>
  <c r="AA53" i="47" s="1"/>
  <c r="AB53" i="47" s="1"/>
  <c r="AC53" i="47" s="1"/>
  <c r="AD53" i="47" s="1"/>
  <c r="AE53" i="47" s="1"/>
  <c r="AF53" i="47" s="1"/>
  <c r="AG53" i="47" s="1"/>
  <c r="AH53" i="47" s="1"/>
  <c r="C108" i="28"/>
  <c r="D107" i="28"/>
  <c r="C232" i="38"/>
  <c r="C234" i="38" s="1"/>
  <c r="F97" i="34"/>
  <c r="G97" i="34" s="1"/>
  <c r="H97" i="34" s="1"/>
  <c r="I97" i="34" s="1"/>
  <c r="J97" i="34" s="1"/>
  <c r="K97" i="34" s="1"/>
  <c r="L97" i="34" s="1"/>
  <c r="M97" i="34" s="1"/>
  <c r="N97" i="34" s="1"/>
  <c r="O97" i="34" s="1"/>
  <c r="P97" i="34" s="1"/>
  <c r="Q97" i="34" s="1"/>
  <c r="R97" i="34" s="1"/>
  <c r="S97" i="34" s="1"/>
  <c r="T97" i="34" s="1"/>
  <c r="U97" i="34" s="1"/>
  <c r="V97" i="34" s="1"/>
  <c r="W97" i="34" s="1"/>
  <c r="X97" i="34" s="1"/>
  <c r="Y97" i="34" s="1"/>
  <c r="Z97" i="34" s="1"/>
  <c r="AA97" i="34" s="1"/>
  <c r="AB97" i="34" s="1"/>
  <c r="AC97" i="34" s="1"/>
  <c r="AD97" i="34" s="1"/>
  <c r="AE97" i="34" s="1"/>
  <c r="AF97" i="34" s="1"/>
  <c r="AG97" i="34" s="1"/>
  <c r="AH97" i="34" s="1"/>
  <c r="F78" i="47"/>
  <c r="G78" i="47" s="1"/>
  <c r="H78" i="47" s="1"/>
  <c r="I78" i="47" s="1"/>
  <c r="J78" i="47" s="1"/>
  <c r="K78" i="47" s="1"/>
  <c r="L78" i="47" s="1"/>
  <c r="M78" i="47" s="1"/>
  <c r="N78" i="47" s="1"/>
  <c r="O78" i="47" s="1"/>
  <c r="P78" i="47" s="1"/>
  <c r="Q78" i="47" s="1"/>
  <c r="R78" i="47" s="1"/>
  <c r="S78" i="47" s="1"/>
  <c r="T78" i="47" s="1"/>
  <c r="U78" i="47" s="1"/>
  <c r="V78" i="47" s="1"/>
  <c r="W78" i="47" s="1"/>
  <c r="X78" i="47" s="1"/>
  <c r="Y78" i="47" s="1"/>
  <c r="Z78" i="47" s="1"/>
  <c r="AA78" i="47" s="1"/>
  <c r="AB78" i="47" s="1"/>
  <c r="AC78" i="47" s="1"/>
  <c r="AD78" i="47" s="1"/>
  <c r="AE78" i="47" s="1"/>
  <c r="AF78" i="47" s="1"/>
  <c r="AG78" i="47" s="1"/>
  <c r="AH78" i="47" s="1"/>
  <c r="D36" i="28"/>
  <c r="D42" i="28" s="1"/>
  <c r="E123" i="15"/>
  <c r="E43" i="15"/>
  <c r="E123" i="16"/>
  <c r="D36" i="29"/>
  <c r="D42" i="29" s="1"/>
  <c r="E43" i="16"/>
  <c r="F59" i="41"/>
  <c r="G59" i="41" s="1"/>
  <c r="H59" i="41" s="1"/>
  <c r="I59" i="41" s="1"/>
  <c r="J59" i="41" s="1"/>
  <c r="K59" i="41" s="1"/>
  <c r="L59" i="41" s="1"/>
  <c r="M59" i="41" s="1"/>
  <c r="N59" i="41" s="1"/>
  <c r="O59" i="41" s="1"/>
  <c r="P59" i="41" s="1"/>
  <c r="Q59" i="41" s="1"/>
  <c r="R59" i="41" s="1"/>
  <c r="S59" i="41" s="1"/>
  <c r="T59" i="41" s="1"/>
  <c r="U59" i="41" s="1"/>
  <c r="V59" i="41" s="1"/>
  <c r="W59" i="41" s="1"/>
  <c r="X59" i="41" s="1"/>
  <c r="Y59" i="41" s="1"/>
  <c r="Z59" i="41" s="1"/>
  <c r="AA59" i="41" s="1"/>
  <c r="AB59" i="41" s="1"/>
  <c r="AC59" i="41" s="1"/>
  <c r="AD59" i="41" s="1"/>
  <c r="AE59" i="41" s="1"/>
  <c r="AF59" i="41" s="1"/>
  <c r="AG59" i="41" s="1"/>
  <c r="AH59" i="41" s="1"/>
  <c r="D44" i="38"/>
  <c r="D288" i="38" s="1"/>
  <c r="C258" i="48"/>
  <c r="D257" i="48"/>
  <c r="D77" i="16"/>
  <c r="F72" i="34"/>
  <c r="G72" i="34" s="1"/>
  <c r="H72" i="34" s="1"/>
  <c r="I72" i="34" s="1"/>
  <c r="J72" i="34" s="1"/>
  <c r="K72" i="34" s="1"/>
  <c r="L72" i="34" s="1"/>
  <c r="M72" i="34" s="1"/>
  <c r="N72" i="34" s="1"/>
  <c r="O72" i="34" s="1"/>
  <c r="P72" i="34" s="1"/>
  <c r="Q72" i="34" s="1"/>
  <c r="R72" i="34" s="1"/>
  <c r="S72" i="34" s="1"/>
  <c r="T72" i="34" s="1"/>
  <c r="U72" i="34" s="1"/>
  <c r="V72" i="34" s="1"/>
  <c r="W72" i="34" s="1"/>
  <c r="X72" i="34" s="1"/>
  <c r="Y72" i="34" s="1"/>
  <c r="Z72" i="34" s="1"/>
  <c r="AA72" i="34" s="1"/>
  <c r="AB72" i="34" s="1"/>
  <c r="AC72" i="34" s="1"/>
  <c r="AD72" i="34" s="1"/>
  <c r="AE72" i="34" s="1"/>
  <c r="AF72" i="34" s="1"/>
  <c r="AG72" i="34" s="1"/>
  <c r="AH72" i="34" s="1"/>
  <c r="F109" i="34"/>
  <c r="G109" i="34" s="1"/>
  <c r="H109" i="34" s="1"/>
  <c r="I109" i="34" s="1"/>
  <c r="J109" i="34" s="1"/>
  <c r="K109" i="34" s="1"/>
  <c r="L109" i="34" s="1"/>
  <c r="M109" i="34" s="1"/>
  <c r="N109" i="34" s="1"/>
  <c r="O109" i="34" s="1"/>
  <c r="P109" i="34" s="1"/>
  <c r="Q109" i="34" s="1"/>
  <c r="R109" i="34" s="1"/>
  <c r="S109" i="34" s="1"/>
  <c r="T109" i="34" s="1"/>
  <c r="U109" i="34" s="1"/>
  <c r="V109" i="34" s="1"/>
  <c r="W109" i="34" s="1"/>
  <c r="X109" i="34" s="1"/>
  <c r="Y109" i="34" s="1"/>
  <c r="Z109" i="34" s="1"/>
  <c r="AA109" i="34" s="1"/>
  <c r="AB109" i="34" s="1"/>
  <c r="AC109" i="34" s="1"/>
  <c r="AD109" i="34" s="1"/>
  <c r="AE109" i="34" s="1"/>
  <c r="AF109" i="34" s="1"/>
  <c r="AG109" i="34" s="1"/>
  <c r="AH109" i="34" s="1"/>
  <c r="F80" i="47"/>
  <c r="G80" i="47" s="1"/>
  <c r="H80" i="47" s="1"/>
  <c r="I80" i="47" s="1"/>
  <c r="J80" i="47" s="1"/>
  <c r="K80" i="47" s="1"/>
  <c r="L80" i="47" s="1"/>
  <c r="M80" i="47" s="1"/>
  <c r="N80" i="47" s="1"/>
  <c r="O80" i="47" s="1"/>
  <c r="P80" i="47" s="1"/>
  <c r="Q80" i="47" s="1"/>
  <c r="R80" i="47" s="1"/>
  <c r="S80" i="47" s="1"/>
  <c r="T80" i="47" s="1"/>
  <c r="U80" i="47" s="1"/>
  <c r="V80" i="47" s="1"/>
  <c r="W80" i="47" s="1"/>
  <c r="X80" i="47" s="1"/>
  <c r="Y80" i="47" s="1"/>
  <c r="Z80" i="47" s="1"/>
  <c r="AA80" i="47" s="1"/>
  <c r="AB80" i="47" s="1"/>
  <c r="AC80" i="47" s="1"/>
  <c r="AD80" i="47" s="1"/>
  <c r="AE80" i="47" s="1"/>
  <c r="AF80" i="47" s="1"/>
  <c r="AG80" i="47" s="1"/>
  <c r="AH80" i="47" s="1"/>
  <c r="D23" i="45"/>
  <c r="D139" i="15"/>
  <c r="D140" i="15" s="1"/>
  <c r="AG61" i="46"/>
  <c r="AG65" i="46"/>
  <c r="AG67" i="46"/>
  <c r="AG64" i="46"/>
  <c r="AG62" i="46"/>
  <c r="AG66" i="46"/>
  <c r="AG89" i="46" s="1"/>
  <c r="J23" i="16"/>
  <c r="J24" i="16"/>
  <c r="K22" i="16"/>
  <c r="F56" i="47"/>
  <c r="G56" i="47" s="1"/>
  <c r="H56" i="47" s="1"/>
  <c r="I56" i="47" s="1"/>
  <c r="J56" i="47" s="1"/>
  <c r="K56" i="47" s="1"/>
  <c r="L56" i="47" s="1"/>
  <c r="M56" i="47" s="1"/>
  <c r="N56" i="47" s="1"/>
  <c r="O56" i="47" s="1"/>
  <c r="P56" i="47" s="1"/>
  <c r="Q56" i="47" s="1"/>
  <c r="R56" i="47" s="1"/>
  <c r="S56" i="47" s="1"/>
  <c r="T56" i="47" s="1"/>
  <c r="U56" i="47" s="1"/>
  <c r="V56" i="47" s="1"/>
  <c r="W56" i="47" s="1"/>
  <c r="X56" i="47" s="1"/>
  <c r="Y56" i="47" s="1"/>
  <c r="Z56" i="47" s="1"/>
  <c r="AA56" i="47" s="1"/>
  <c r="AB56" i="47" s="1"/>
  <c r="AC56" i="47" s="1"/>
  <c r="AD56" i="47" s="1"/>
  <c r="AE56" i="47" s="1"/>
  <c r="AF56" i="47" s="1"/>
  <c r="AG56" i="47" s="1"/>
  <c r="AH56" i="47" s="1"/>
  <c r="D37" i="28"/>
  <c r="E125" i="15"/>
  <c r="E47" i="15"/>
  <c r="M78" i="44"/>
  <c r="N70" i="44"/>
  <c r="G38" i="28"/>
  <c r="H124" i="15"/>
  <c r="H54" i="15"/>
  <c r="C138" i="48"/>
  <c r="C137" i="48"/>
  <c r="C265" i="19"/>
  <c r="D307" i="20"/>
  <c r="J69" i="33"/>
  <c r="J77" i="33" s="1"/>
  <c r="J71" i="33"/>
  <c r="J79" i="33" s="1"/>
  <c r="J72" i="33"/>
  <c r="J80" i="33" s="1"/>
  <c r="J68" i="33"/>
  <c r="J76" i="33" s="1"/>
  <c r="J70" i="33"/>
  <c r="J78" i="33" s="1"/>
  <c r="J86" i="33"/>
  <c r="J85" i="33"/>
  <c r="J94" i="33" s="1" a="1"/>
  <c r="J94" i="33" s="1"/>
  <c r="J88" i="33"/>
  <c r="J97" i="33" s="1" a="1"/>
  <c r="J97" i="33" s="1"/>
  <c r="J84" i="33"/>
  <c r="F55" i="47"/>
  <c r="G55" i="47" s="1"/>
  <c r="H55" i="47" s="1"/>
  <c r="I55" i="47" s="1"/>
  <c r="J55" i="47" s="1"/>
  <c r="K55" i="47" s="1"/>
  <c r="L55" i="47" s="1"/>
  <c r="M55" i="47" s="1"/>
  <c r="N55" i="47" s="1"/>
  <c r="O55" i="47" s="1"/>
  <c r="P55" i="47" s="1"/>
  <c r="Q55" i="47" s="1"/>
  <c r="R55" i="47" s="1"/>
  <c r="S55" i="47" s="1"/>
  <c r="T55" i="47" s="1"/>
  <c r="U55" i="47" s="1"/>
  <c r="V55" i="47" s="1"/>
  <c r="W55" i="47" s="1"/>
  <c r="X55" i="47" s="1"/>
  <c r="Y55" i="47" s="1"/>
  <c r="Z55" i="47" s="1"/>
  <c r="AA55" i="47" s="1"/>
  <c r="AB55" i="47" s="1"/>
  <c r="AC55" i="47" s="1"/>
  <c r="AD55" i="47" s="1"/>
  <c r="AE55" i="47" s="1"/>
  <c r="AF55" i="47" s="1"/>
  <c r="AG55" i="47" s="1"/>
  <c r="AH55" i="47" s="1"/>
  <c r="F11" i="34"/>
  <c r="D106" i="54"/>
  <c r="D107" i="54" s="1"/>
  <c r="D104" i="54"/>
  <c r="D105" i="54" s="1"/>
  <c r="D108" i="54"/>
  <c r="D109" i="54" s="1"/>
  <c r="D110" i="54"/>
  <c r="D111" i="54" s="1"/>
  <c r="C92" i="29"/>
  <c r="C217" i="38"/>
  <c r="C219" i="38" s="1"/>
  <c r="G17" i="15"/>
  <c r="F77" i="47"/>
  <c r="G77" i="47" s="1"/>
  <c r="H77" i="47" s="1"/>
  <c r="I77" i="47" s="1"/>
  <c r="J77" i="47" s="1"/>
  <c r="K77" i="47" s="1"/>
  <c r="L77" i="47" s="1"/>
  <c r="M77" i="47" s="1"/>
  <c r="N77" i="47" s="1"/>
  <c r="O77" i="47" s="1"/>
  <c r="P77" i="47" s="1"/>
  <c r="Q77" i="47" s="1"/>
  <c r="R77" i="47" s="1"/>
  <c r="S77" i="47" s="1"/>
  <c r="T77" i="47" s="1"/>
  <c r="U77" i="47" s="1"/>
  <c r="V77" i="47" s="1"/>
  <c r="W77" i="47" s="1"/>
  <c r="X77" i="47" s="1"/>
  <c r="Y77" i="47" s="1"/>
  <c r="Z77" i="47" s="1"/>
  <c r="AA77" i="47" s="1"/>
  <c r="AB77" i="47" s="1"/>
  <c r="AC77" i="47" s="1"/>
  <c r="AD77" i="47" s="1"/>
  <c r="AE77" i="47" s="1"/>
  <c r="AF77" i="47" s="1"/>
  <c r="AG77" i="47" s="1"/>
  <c r="AH77" i="47" s="1"/>
  <c r="E40" i="45"/>
  <c r="AK38" i="45"/>
  <c r="E39" i="45"/>
  <c r="F38" i="45"/>
  <c r="E24" i="38" l="1"/>
  <c r="E39" i="38" s="1"/>
  <c r="F18" i="38"/>
  <c r="E24" i="42"/>
  <c r="E39" i="42" s="1"/>
  <c r="F18" i="42"/>
  <c r="N77" i="44"/>
  <c r="D12" i="41"/>
  <c r="G14" i="47"/>
  <c r="D16" i="34"/>
  <c r="H6" i="41"/>
  <c r="D29" i="42"/>
  <c r="D31" i="46"/>
  <c r="D216" i="38"/>
  <c r="E29" i="38"/>
  <c r="E31" i="38" s="1"/>
  <c r="D6" i="41"/>
  <c r="C139" i="48"/>
  <c r="C133" i="20"/>
  <c r="C136" i="20" s="1"/>
  <c r="C112" i="19" s="1"/>
  <c r="AG63" i="46"/>
  <c r="E29" i="29"/>
  <c r="E132" i="29" s="1"/>
  <c r="E80" i="29"/>
  <c r="E79" i="29" s="1"/>
  <c r="E29" i="28"/>
  <c r="E31" i="28" s="1"/>
  <c r="C127" i="20"/>
  <c r="C129" i="20" s="1"/>
  <c r="C105" i="19" s="1"/>
  <c r="D240" i="48"/>
  <c r="D153" i="54"/>
  <c r="E153" i="54" s="1"/>
  <c r="C139" i="20"/>
  <c r="C142" i="20" s="1"/>
  <c r="C118" i="19" s="1"/>
  <c r="D231" i="38"/>
  <c r="C139" i="46"/>
  <c r="G13" i="3"/>
  <c r="K85" i="33"/>
  <c r="L85" i="33" s="1"/>
  <c r="E20" i="45"/>
  <c r="E19" i="45"/>
  <c r="J9" i="15"/>
  <c r="J10" i="15" s="1"/>
  <c r="D127" i="38"/>
  <c r="D182" i="38"/>
  <c r="D183" i="38"/>
  <c r="D128" i="38"/>
  <c r="E126" i="38"/>
  <c r="F40" i="45"/>
  <c r="F39" i="45"/>
  <c r="AL38" i="45"/>
  <c r="G38" i="45"/>
  <c r="E41" i="45"/>
  <c r="G21" i="15"/>
  <c r="E78" i="34"/>
  <c r="F16" i="34"/>
  <c r="C142" i="48"/>
  <c r="C141" i="48"/>
  <c r="C140" i="48"/>
  <c r="C34" i="46"/>
  <c r="E40" i="46" s="1"/>
  <c r="D82" i="45"/>
  <c r="D24" i="45"/>
  <c r="D26" i="45"/>
  <c r="D25" i="45"/>
  <c r="D108" i="28"/>
  <c r="E107" i="28"/>
  <c r="E63" i="29"/>
  <c r="E62" i="29" s="1"/>
  <c r="E67" i="29"/>
  <c r="E65" i="29"/>
  <c r="E66" i="29"/>
  <c r="E68" i="29"/>
  <c r="E64" i="29"/>
  <c r="F25" i="54"/>
  <c r="F40" i="54" s="1"/>
  <c r="G19" i="54"/>
  <c r="G27" i="42"/>
  <c r="G42" i="42" s="1"/>
  <c r="H21" i="42"/>
  <c r="E44" i="38"/>
  <c r="E288" i="38" s="1"/>
  <c r="D258" i="46"/>
  <c r="E257" i="46"/>
  <c r="G12" i="41"/>
  <c r="E57" i="41"/>
  <c r="C294" i="42"/>
  <c r="C293" i="42"/>
  <c r="C296" i="42"/>
  <c r="C295" i="42"/>
  <c r="G21" i="16"/>
  <c r="C141" i="46"/>
  <c r="C142" i="46"/>
  <c r="C140" i="46"/>
  <c r="C63" i="48"/>
  <c r="D194" i="54"/>
  <c r="D205" i="54" s="1"/>
  <c r="D31" i="54"/>
  <c r="AG127" i="42"/>
  <c r="AG128" i="42"/>
  <c r="C235" i="42"/>
  <c r="C239" i="42" s="1"/>
  <c r="C237" i="42"/>
  <c r="C241" i="42" s="1"/>
  <c r="C238" i="42"/>
  <c r="C236" i="42"/>
  <c r="C240" i="42" s="1"/>
  <c r="F48" i="41"/>
  <c r="G48" i="41" s="1"/>
  <c r="H48" i="41" s="1"/>
  <c r="I48" i="41" s="1"/>
  <c r="J48" i="41" s="1"/>
  <c r="K48" i="41" s="1"/>
  <c r="L48" i="41" s="1"/>
  <c r="M48" i="41" s="1"/>
  <c r="N48" i="41" s="1"/>
  <c r="O48" i="41" s="1"/>
  <c r="P48" i="41" s="1"/>
  <c r="Q48" i="41" s="1"/>
  <c r="R48" i="41" s="1"/>
  <c r="S48" i="41" s="1"/>
  <c r="T48" i="41" s="1"/>
  <c r="U48" i="41" s="1"/>
  <c r="V48" i="41" s="1"/>
  <c r="W48" i="41" s="1"/>
  <c r="X48" i="41" s="1"/>
  <c r="Y48" i="41" s="1"/>
  <c r="Z48" i="41" s="1"/>
  <c r="AA48" i="41" s="1"/>
  <c r="AB48" i="41" s="1"/>
  <c r="AC48" i="41" s="1"/>
  <c r="AD48" i="41" s="1"/>
  <c r="AE48" i="41" s="1"/>
  <c r="AF48" i="41" s="1"/>
  <c r="AG48" i="41" s="1"/>
  <c r="AH48" i="41" s="1"/>
  <c r="D61" i="46"/>
  <c r="D65" i="46"/>
  <c r="D67" i="46"/>
  <c r="D62" i="46"/>
  <c r="D64" i="46"/>
  <c r="D66" i="46"/>
  <c r="D89" i="46" s="1"/>
  <c r="E60" i="46"/>
  <c r="D208" i="54"/>
  <c r="D208" i="20"/>
  <c r="C209" i="20"/>
  <c r="C211" i="20" s="1"/>
  <c r="D154" i="53"/>
  <c r="D156" i="53" s="1"/>
  <c r="E153" i="53"/>
  <c r="F26" i="54"/>
  <c r="F41" i="54" s="1"/>
  <c r="F147" i="54" s="1"/>
  <c r="F148" i="54" s="1"/>
  <c r="G20" i="54"/>
  <c r="I54" i="15"/>
  <c r="H38" i="28"/>
  <c r="I124" i="15"/>
  <c r="F121" i="15"/>
  <c r="F42" i="15"/>
  <c r="D208" i="53"/>
  <c r="F81" i="34"/>
  <c r="G81" i="34" s="1"/>
  <c r="H81" i="34" s="1"/>
  <c r="I81" i="34" s="1"/>
  <c r="J81" i="34" s="1"/>
  <c r="K81" i="34" s="1"/>
  <c r="L81" i="34" s="1"/>
  <c r="M81" i="34" s="1"/>
  <c r="N81" i="34" s="1"/>
  <c r="O81" i="34" s="1"/>
  <c r="P81" i="34" s="1"/>
  <c r="Q81" i="34" s="1"/>
  <c r="R81" i="34" s="1"/>
  <c r="S81" i="34" s="1"/>
  <c r="T81" i="34" s="1"/>
  <c r="U81" i="34" s="1"/>
  <c r="V81" i="34" s="1"/>
  <c r="W81" i="34" s="1"/>
  <c r="X81" i="34" s="1"/>
  <c r="Y81" i="34" s="1"/>
  <c r="Z81" i="34" s="1"/>
  <c r="AA81" i="34" s="1"/>
  <c r="AB81" i="34" s="1"/>
  <c r="AC81" i="34" s="1"/>
  <c r="AD81" i="34" s="1"/>
  <c r="AE81" i="34" s="1"/>
  <c r="AF81" i="34" s="1"/>
  <c r="AG81" i="34" s="1"/>
  <c r="AH81" i="34" s="1"/>
  <c r="G27" i="53"/>
  <c r="G42" i="53" s="1"/>
  <c r="H21" i="53"/>
  <c r="E36" i="28"/>
  <c r="E42" i="28" s="1"/>
  <c r="F123" i="15"/>
  <c r="F43" i="15"/>
  <c r="F26" i="46"/>
  <c r="F41" i="46" s="1"/>
  <c r="G20" i="46"/>
  <c r="F134" i="54"/>
  <c r="F138" i="54"/>
  <c r="F136" i="54"/>
  <c r="F26" i="42"/>
  <c r="F41" i="42" s="1"/>
  <c r="G20" i="42"/>
  <c r="H20" i="16"/>
  <c r="F88" i="47"/>
  <c r="G88" i="47" s="1"/>
  <c r="H88" i="47" s="1"/>
  <c r="I88" i="47" s="1"/>
  <c r="J88" i="47" s="1"/>
  <c r="K88" i="47" s="1"/>
  <c r="L88" i="47" s="1"/>
  <c r="M88" i="47" s="1"/>
  <c r="N88" i="47" s="1"/>
  <c r="O88" i="47" s="1"/>
  <c r="P88" i="47" s="1"/>
  <c r="Q88" i="47" s="1"/>
  <c r="R88" i="47" s="1"/>
  <c r="S88" i="47" s="1"/>
  <c r="T88" i="47" s="1"/>
  <c r="U88" i="47" s="1"/>
  <c r="V88" i="47" s="1"/>
  <c r="W88" i="47" s="1"/>
  <c r="X88" i="47" s="1"/>
  <c r="Y88" i="47" s="1"/>
  <c r="Z88" i="47" s="1"/>
  <c r="AA88" i="47" s="1"/>
  <c r="AB88" i="47" s="1"/>
  <c r="AC88" i="47" s="1"/>
  <c r="AD88" i="47" s="1"/>
  <c r="AE88" i="47" s="1"/>
  <c r="AF88" i="47" s="1"/>
  <c r="AG88" i="47" s="1"/>
  <c r="AH88" i="47" s="1"/>
  <c r="C201" i="46"/>
  <c r="C200" i="46"/>
  <c r="AG62" i="42"/>
  <c r="AG64" i="42"/>
  <c r="AG67" i="42"/>
  <c r="AG65" i="42"/>
  <c r="AG61" i="42"/>
  <c r="AG66" i="42"/>
  <c r="AG85" i="42" s="1"/>
  <c r="F25" i="48"/>
  <c r="G19" i="48"/>
  <c r="F60" i="41"/>
  <c r="G60" i="41" s="1"/>
  <c r="H60" i="41" s="1"/>
  <c r="I60" i="41" s="1"/>
  <c r="J60" i="41" s="1"/>
  <c r="K60" i="41" s="1"/>
  <c r="L60" i="41" s="1"/>
  <c r="M60" i="41" s="1"/>
  <c r="N60" i="41" s="1"/>
  <c r="O60" i="41" s="1"/>
  <c r="P60" i="41" s="1"/>
  <c r="Q60" i="41" s="1"/>
  <c r="R60" i="41" s="1"/>
  <c r="S60" i="41" s="1"/>
  <c r="T60" i="41" s="1"/>
  <c r="U60" i="41" s="1"/>
  <c r="V60" i="41" s="1"/>
  <c r="W60" i="41" s="1"/>
  <c r="X60" i="41" s="1"/>
  <c r="Y60" i="41" s="1"/>
  <c r="Z60" i="41" s="1"/>
  <c r="AA60" i="41" s="1"/>
  <c r="AB60" i="41" s="1"/>
  <c r="AC60" i="41" s="1"/>
  <c r="AD60" i="41" s="1"/>
  <c r="AE60" i="41" s="1"/>
  <c r="AF60" i="41" s="1"/>
  <c r="AG60" i="41" s="1"/>
  <c r="AH60" i="41" s="1"/>
  <c r="E54" i="51"/>
  <c r="AK53" i="51"/>
  <c r="F37" i="29"/>
  <c r="G125" i="16"/>
  <c r="G47" i="16"/>
  <c r="F28" i="48"/>
  <c r="G22" i="48"/>
  <c r="C88" i="38"/>
  <c r="C92" i="38" s="1"/>
  <c r="C86" i="38"/>
  <c r="C90" i="38" s="1"/>
  <c r="C89" i="38"/>
  <c r="C87" i="38"/>
  <c r="C91" i="38" s="1"/>
  <c r="J41" i="16"/>
  <c r="F39" i="53"/>
  <c r="AG63" i="54"/>
  <c r="C104" i="42"/>
  <c r="C108" i="42" s="1"/>
  <c r="C105" i="42"/>
  <c r="C103" i="42"/>
  <c r="C107" i="42" s="1"/>
  <c r="F69" i="41"/>
  <c r="G69" i="41" s="1"/>
  <c r="H69" i="41" s="1"/>
  <c r="I69" i="41" s="1"/>
  <c r="J69" i="41" s="1"/>
  <c r="K69" i="41" s="1"/>
  <c r="L69" i="41" s="1"/>
  <c r="M69" i="41" s="1"/>
  <c r="N69" i="41" s="1"/>
  <c r="O69" i="41" s="1"/>
  <c r="P69" i="41" s="1"/>
  <c r="Q69" i="41" s="1"/>
  <c r="R69" i="41" s="1"/>
  <c r="S69" i="41" s="1"/>
  <c r="T69" i="41" s="1"/>
  <c r="U69" i="41" s="1"/>
  <c r="V69" i="41" s="1"/>
  <c r="W69" i="41" s="1"/>
  <c r="X69" i="41" s="1"/>
  <c r="Y69" i="41" s="1"/>
  <c r="Z69" i="41" s="1"/>
  <c r="AA69" i="41" s="1"/>
  <c r="AB69" i="41" s="1"/>
  <c r="AC69" i="41" s="1"/>
  <c r="AD69" i="41" s="1"/>
  <c r="AE69" i="41" s="1"/>
  <c r="AF69" i="41" s="1"/>
  <c r="AG69" i="41" s="1"/>
  <c r="AH69" i="41" s="1"/>
  <c r="D217" i="38"/>
  <c r="D219" i="38" s="1"/>
  <c r="E216" i="38"/>
  <c r="C82" i="29"/>
  <c r="E104" i="54"/>
  <c r="E105" i="54" s="1"/>
  <c r="E108" i="54"/>
  <c r="E109" i="54" s="1"/>
  <c r="E110" i="54"/>
  <c r="E111" i="54" s="1"/>
  <c r="E106" i="54"/>
  <c r="E107" i="54" s="1"/>
  <c r="AG201" i="46"/>
  <c r="AG138" i="46"/>
  <c r="AG137" i="46"/>
  <c r="AG200" i="46"/>
  <c r="E278" i="38"/>
  <c r="D146" i="28"/>
  <c r="D31" i="28"/>
  <c r="F28" i="28"/>
  <c r="F46" i="28" s="1"/>
  <c r="G22" i="28"/>
  <c r="D27" i="20"/>
  <c r="D45" i="20" s="1"/>
  <c r="E21" i="20"/>
  <c r="C92" i="46"/>
  <c r="C97" i="46" s="1"/>
  <c r="C93" i="46"/>
  <c r="C98" i="46" s="1"/>
  <c r="C89" i="48"/>
  <c r="C91" i="46"/>
  <c r="C94" i="46"/>
  <c r="D31" i="42"/>
  <c r="D278" i="42"/>
  <c r="C157" i="53"/>
  <c r="D66" i="51" s="1"/>
  <c r="I9" i="16"/>
  <c r="I10" i="16" s="1"/>
  <c r="F108" i="34"/>
  <c r="G108" i="34" s="1"/>
  <c r="H108" i="34" s="1"/>
  <c r="I108" i="34" s="1"/>
  <c r="J108" i="34" s="1"/>
  <c r="K108" i="34" s="1"/>
  <c r="L108" i="34" s="1"/>
  <c r="M108" i="34" s="1"/>
  <c r="N108" i="34" s="1"/>
  <c r="O108" i="34" s="1"/>
  <c r="P108" i="34" s="1"/>
  <c r="Q108" i="34" s="1"/>
  <c r="R108" i="34" s="1"/>
  <c r="S108" i="34" s="1"/>
  <c r="T108" i="34" s="1"/>
  <c r="U108" i="34" s="1"/>
  <c r="V108" i="34" s="1"/>
  <c r="W108" i="34" s="1"/>
  <c r="X108" i="34" s="1"/>
  <c r="Y108" i="34" s="1"/>
  <c r="Z108" i="34" s="1"/>
  <c r="AA108" i="34" s="1"/>
  <c r="AB108" i="34" s="1"/>
  <c r="AC108" i="34" s="1"/>
  <c r="AD108" i="34" s="1"/>
  <c r="AE108" i="34" s="1"/>
  <c r="AF108" i="34" s="1"/>
  <c r="AG108" i="34" s="1"/>
  <c r="AH108" i="34" s="1"/>
  <c r="C63" i="53"/>
  <c r="C69" i="53"/>
  <c r="C70" i="53" s="1"/>
  <c r="D49" i="51" s="1"/>
  <c r="F138" i="53"/>
  <c r="F136" i="53"/>
  <c r="F134" i="53"/>
  <c r="D85" i="28"/>
  <c r="D72" i="29" s="1"/>
  <c r="D83" i="28"/>
  <c r="D70" i="29" s="1"/>
  <c r="D84" i="28"/>
  <c r="D88" i="28"/>
  <c r="D86" i="28"/>
  <c r="D87" i="28"/>
  <c r="E82" i="28"/>
  <c r="AK56" i="51"/>
  <c r="D61" i="28"/>
  <c r="D57" i="29" s="1"/>
  <c r="D64" i="28"/>
  <c r="D60" i="28"/>
  <c r="E59" i="28"/>
  <c r="D63" i="28"/>
  <c r="C129" i="53"/>
  <c r="C128" i="53"/>
  <c r="E29" i="46"/>
  <c r="C212" i="53"/>
  <c r="C210" i="53"/>
  <c r="C209" i="53"/>
  <c r="C211" i="53"/>
  <c r="AG66" i="38"/>
  <c r="AG85" i="38" s="1"/>
  <c r="AG62" i="38"/>
  <c r="AG67" i="38"/>
  <c r="AG61" i="38"/>
  <c r="AG64" i="38"/>
  <c r="AG65" i="38"/>
  <c r="C157" i="28"/>
  <c r="C160" i="28"/>
  <c r="C183" i="42"/>
  <c r="C182" i="42"/>
  <c r="E76" i="15"/>
  <c r="E75" i="15"/>
  <c r="C211" i="54"/>
  <c r="C210" i="54"/>
  <c r="C209" i="54"/>
  <c r="C212" i="54"/>
  <c r="K7" i="16"/>
  <c r="L6" i="16"/>
  <c r="F82" i="47"/>
  <c r="G82" i="47" s="1"/>
  <c r="H82" i="47" s="1"/>
  <c r="I82" i="47" s="1"/>
  <c r="J82" i="47" s="1"/>
  <c r="K82" i="47" s="1"/>
  <c r="L82" i="47" s="1"/>
  <c r="M82" i="47" s="1"/>
  <c r="N82" i="47" s="1"/>
  <c r="O82" i="47" s="1"/>
  <c r="P82" i="47" s="1"/>
  <c r="Q82" i="47" s="1"/>
  <c r="R82" i="47" s="1"/>
  <c r="S82" i="47" s="1"/>
  <c r="T82" i="47" s="1"/>
  <c r="U82" i="47" s="1"/>
  <c r="V82" i="47" s="1"/>
  <c r="W82" i="47" s="1"/>
  <c r="X82" i="47" s="1"/>
  <c r="Y82" i="47" s="1"/>
  <c r="Z82" i="47" s="1"/>
  <c r="AA82" i="47" s="1"/>
  <c r="AB82" i="47" s="1"/>
  <c r="AC82" i="47" s="1"/>
  <c r="AD82" i="47" s="1"/>
  <c r="AE82" i="47" s="1"/>
  <c r="AF82" i="47" s="1"/>
  <c r="AG82" i="47" s="1"/>
  <c r="AH82" i="47" s="1"/>
  <c r="F70" i="41"/>
  <c r="G70" i="41" s="1"/>
  <c r="H70" i="41" s="1"/>
  <c r="I70" i="41" s="1"/>
  <c r="J70" i="41" s="1"/>
  <c r="K70" i="41" s="1"/>
  <c r="L70" i="41" s="1"/>
  <c r="M70" i="41" s="1"/>
  <c r="N70" i="41" s="1"/>
  <c r="O70" i="41" s="1"/>
  <c r="P70" i="41" s="1"/>
  <c r="Q70" i="41" s="1"/>
  <c r="R70" i="41" s="1"/>
  <c r="S70" i="41" s="1"/>
  <c r="T70" i="41" s="1"/>
  <c r="U70" i="41" s="1"/>
  <c r="V70" i="41" s="1"/>
  <c r="W70" i="41" s="1"/>
  <c r="X70" i="41" s="1"/>
  <c r="Y70" i="41" s="1"/>
  <c r="Z70" i="41" s="1"/>
  <c r="AA70" i="41" s="1"/>
  <c r="AB70" i="41" s="1"/>
  <c r="AC70" i="41" s="1"/>
  <c r="AD70" i="41" s="1"/>
  <c r="AE70" i="41" s="1"/>
  <c r="AF70" i="41" s="1"/>
  <c r="AG70" i="41" s="1"/>
  <c r="AH70" i="41" s="1"/>
  <c r="F104" i="34"/>
  <c r="G104" i="34" s="1"/>
  <c r="H104" i="34" s="1"/>
  <c r="I104" i="34" s="1"/>
  <c r="J104" i="34" s="1"/>
  <c r="K104" i="34" s="1"/>
  <c r="L104" i="34" s="1"/>
  <c r="M104" i="34" s="1"/>
  <c r="N104" i="34" s="1"/>
  <c r="O104" i="34" s="1"/>
  <c r="P104" i="34" s="1"/>
  <c r="Q104" i="34" s="1"/>
  <c r="R104" i="34" s="1"/>
  <c r="S104" i="34" s="1"/>
  <c r="T104" i="34" s="1"/>
  <c r="U104" i="34" s="1"/>
  <c r="V104" i="34" s="1"/>
  <c r="W104" i="34" s="1"/>
  <c r="X104" i="34" s="1"/>
  <c r="Y104" i="34" s="1"/>
  <c r="Z104" i="34" s="1"/>
  <c r="AA104" i="34" s="1"/>
  <c r="AB104" i="34" s="1"/>
  <c r="AC104" i="34" s="1"/>
  <c r="AD104" i="34" s="1"/>
  <c r="AE104" i="34" s="1"/>
  <c r="AF104" i="34" s="1"/>
  <c r="AG104" i="34" s="1"/>
  <c r="AH104" i="34" s="1"/>
  <c r="AG74" i="54"/>
  <c r="C79" i="42"/>
  <c r="C83" i="42" s="1"/>
  <c r="C80" i="42"/>
  <c r="C84" i="42" s="1"/>
  <c r="C81" i="42"/>
  <c r="F38" i="47"/>
  <c r="G38" i="47" s="1"/>
  <c r="H38" i="47" s="1"/>
  <c r="I38" i="47" s="1"/>
  <c r="J38" i="47" s="1"/>
  <c r="K38" i="47" s="1"/>
  <c r="L38" i="47" s="1"/>
  <c r="M38" i="47" s="1"/>
  <c r="N38" i="47" s="1"/>
  <c r="O38" i="47" s="1"/>
  <c r="P38" i="47" s="1"/>
  <c r="Q38" i="47" s="1"/>
  <c r="R38" i="47" s="1"/>
  <c r="S38" i="47" s="1"/>
  <c r="T38" i="47" s="1"/>
  <c r="U38" i="47" s="1"/>
  <c r="V38" i="47" s="1"/>
  <c r="W38" i="47" s="1"/>
  <c r="X38" i="47" s="1"/>
  <c r="Y38" i="47" s="1"/>
  <c r="Z38" i="47" s="1"/>
  <c r="AA38" i="47" s="1"/>
  <c r="AB38" i="47" s="1"/>
  <c r="AC38" i="47" s="1"/>
  <c r="AD38" i="47" s="1"/>
  <c r="AE38" i="47" s="1"/>
  <c r="AF38" i="47" s="1"/>
  <c r="AG38" i="47" s="1"/>
  <c r="AH38" i="47" s="1"/>
  <c r="J93" i="33" a="1"/>
  <c r="J93" i="33" s="1"/>
  <c r="K84" i="33"/>
  <c r="L84" i="33" s="1"/>
  <c r="C222" i="38"/>
  <c r="C226" i="38" s="1"/>
  <c r="C220" i="38"/>
  <c r="C224" i="38" s="1"/>
  <c r="C221" i="38"/>
  <c r="C225" i="38" s="1"/>
  <c r="C223" i="38"/>
  <c r="D98" i="36" s="1"/>
  <c r="D265" i="19"/>
  <c r="E307" i="20"/>
  <c r="K23" i="16"/>
  <c r="L22" i="16"/>
  <c r="K24" i="16"/>
  <c r="D47" i="28"/>
  <c r="D53" i="29"/>
  <c r="D51" i="29"/>
  <c r="D54" i="29"/>
  <c r="D50" i="29"/>
  <c r="D52" i="29"/>
  <c r="D49" i="29" s="1"/>
  <c r="D14" i="47"/>
  <c r="E58" i="47"/>
  <c r="AG200" i="48"/>
  <c r="AG137" i="48"/>
  <c r="AG201" i="48"/>
  <c r="AG138" i="48"/>
  <c r="D36" i="45"/>
  <c r="D34" i="45"/>
  <c r="D35" i="45"/>
  <c r="D37" i="45"/>
  <c r="AJ27" i="45"/>
  <c r="E27" i="45"/>
  <c r="D54" i="45"/>
  <c r="F122" i="16"/>
  <c r="F132" i="16" s="1"/>
  <c r="AK17" i="45"/>
  <c r="D241" i="48"/>
  <c r="E240" i="48"/>
  <c r="H13" i="15"/>
  <c r="F84" i="34"/>
  <c r="G84" i="34" s="1"/>
  <c r="H84" i="34" s="1"/>
  <c r="I84" i="34" s="1"/>
  <c r="J84" i="34" s="1"/>
  <c r="K84" i="34" s="1"/>
  <c r="L84" i="34" s="1"/>
  <c r="M84" i="34" s="1"/>
  <c r="N84" i="34" s="1"/>
  <c r="O84" i="34" s="1"/>
  <c r="P84" i="34" s="1"/>
  <c r="Q84" i="34" s="1"/>
  <c r="R84" i="34" s="1"/>
  <c r="S84" i="34" s="1"/>
  <c r="T84" i="34" s="1"/>
  <c r="U84" i="34" s="1"/>
  <c r="V84" i="34" s="1"/>
  <c r="W84" i="34" s="1"/>
  <c r="X84" i="34" s="1"/>
  <c r="Y84" i="34" s="1"/>
  <c r="Z84" i="34" s="1"/>
  <c r="AA84" i="34" s="1"/>
  <c r="AB84" i="34" s="1"/>
  <c r="AC84" i="34" s="1"/>
  <c r="AD84" i="34" s="1"/>
  <c r="AE84" i="34" s="1"/>
  <c r="AF84" i="34" s="1"/>
  <c r="AG84" i="34" s="1"/>
  <c r="AH84" i="34" s="1"/>
  <c r="D66" i="48"/>
  <c r="D65" i="48"/>
  <c r="D67" i="48"/>
  <c r="D64" i="48"/>
  <c r="D61" i="48"/>
  <c r="D62" i="48"/>
  <c r="E60" i="48"/>
  <c r="F61" i="15"/>
  <c r="E85" i="29"/>
  <c r="H17" i="15"/>
  <c r="C27" i="19"/>
  <c r="C45" i="19" s="1"/>
  <c r="C131" i="19" s="1"/>
  <c r="D21" i="19"/>
  <c r="C63" i="46"/>
  <c r="K7" i="15"/>
  <c r="K8" i="15" s="1"/>
  <c r="L6" i="15"/>
  <c r="D240" i="46"/>
  <c r="G27" i="28"/>
  <c r="H21" i="28"/>
  <c r="F33" i="41"/>
  <c r="G33" i="41" s="1"/>
  <c r="H33" i="41" s="1"/>
  <c r="I33" i="41" s="1"/>
  <c r="J33" i="41" s="1"/>
  <c r="K33" i="41" s="1"/>
  <c r="L33" i="41" s="1"/>
  <c r="M33" i="41" s="1"/>
  <c r="N33" i="41" s="1"/>
  <c r="O33" i="41" s="1"/>
  <c r="P33" i="41" s="1"/>
  <c r="Q33" i="41" s="1"/>
  <c r="R33" i="41" s="1"/>
  <c r="S33" i="41" s="1"/>
  <c r="T33" i="41" s="1"/>
  <c r="U33" i="41" s="1"/>
  <c r="V33" i="41" s="1"/>
  <c r="W33" i="41" s="1"/>
  <c r="X33" i="41" s="1"/>
  <c r="Y33" i="41" s="1"/>
  <c r="Z33" i="41" s="1"/>
  <c r="AA33" i="41" s="1"/>
  <c r="AB33" i="41" s="1"/>
  <c r="AC33" i="41" s="1"/>
  <c r="AD33" i="41" s="1"/>
  <c r="AE33" i="41" s="1"/>
  <c r="AF33" i="41" s="1"/>
  <c r="AG33" i="41" s="1"/>
  <c r="AH33" i="41" s="1"/>
  <c r="C71" i="29"/>
  <c r="E44" i="42"/>
  <c r="E288" i="42" s="1"/>
  <c r="D289" i="42"/>
  <c r="D292" i="42"/>
  <c r="D132" i="29"/>
  <c r="D31" i="29"/>
  <c r="C62" i="28"/>
  <c r="C56" i="29"/>
  <c r="C129" i="54"/>
  <c r="C128" i="54"/>
  <c r="AG181" i="38"/>
  <c r="D181" i="38" s="1"/>
  <c r="E181" i="38" s="1"/>
  <c r="F181" i="38" s="1"/>
  <c r="G181" i="38" s="1"/>
  <c r="H181" i="38" s="1"/>
  <c r="I181" i="38" s="1"/>
  <c r="J181" i="38" s="1"/>
  <c r="K181" i="38" s="1"/>
  <c r="L181" i="38" s="1"/>
  <c r="M181" i="38" s="1"/>
  <c r="N181" i="38" s="1"/>
  <c r="O181" i="38" s="1"/>
  <c r="P181" i="38" s="1"/>
  <c r="Q181" i="38" s="1"/>
  <c r="R181" i="38" s="1"/>
  <c r="S181" i="38" s="1"/>
  <c r="T181" i="38" s="1"/>
  <c r="U181" i="38" s="1"/>
  <c r="V181" i="38" s="1"/>
  <c r="W181" i="38" s="1"/>
  <c r="X181" i="38" s="1"/>
  <c r="Y181" i="38" s="1"/>
  <c r="Z181" i="38" s="1"/>
  <c r="AA181" i="38" s="1"/>
  <c r="AB181" i="38" s="1"/>
  <c r="AC181" i="38" s="1"/>
  <c r="AD181" i="38" s="1"/>
  <c r="AE181" i="38" s="1"/>
  <c r="AF181" i="38" s="1"/>
  <c r="AG181" i="42"/>
  <c r="D181" i="42" s="1"/>
  <c r="AG63" i="53"/>
  <c r="C205" i="54"/>
  <c r="G39" i="16"/>
  <c r="D60" i="38"/>
  <c r="E46" i="47"/>
  <c r="F7" i="47"/>
  <c r="F28" i="38"/>
  <c r="F43" i="38" s="1"/>
  <c r="G22" i="38"/>
  <c r="E332" i="42"/>
  <c r="F26" i="29"/>
  <c r="F44" i="29" s="1"/>
  <c r="G20" i="29"/>
  <c r="D32" i="34"/>
  <c r="E103" i="34"/>
  <c r="C97" i="29"/>
  <c r="M92" i="29" s="1"/>
  <c r="C293" i="38"/>
  <c r="C294" i="38"/>
  <c r="C296" i="38"/>
  <c r="C295" i="38"/>
  <c r="D61" i="54"/>
  <c r="D64" i="54"/>
  <c r="D71" i="54" s="1"/>
  <c r="D72" i="54" s="1"/>
  <c r="D62" i="54"/>
  <c r="D65" i="54"/>
  <c r="D75" i="54" s="1"/>
  <c r="D76" i="54" s="1"/>
  <c r="D66" i="54"/>
  <c r="D73" i="54" s="1"/>
  <c r="D74" i="54" s="1"/>
  <c r="D67" i="54"/>
  <c r="D77" i="54" s="1"/>
  <c r="D78" i="54" s="1"/>
  <c r="E60" i="54"/>
  <c r="C196" i="20"/>
  <c r="D195" i="20"/>
  <c r="D216" i="42"/>
  <c r="F106" i="34"/>
  <c r="G106" i="34" s="1"/>
  <c r="H106" i="34" s="1"/>
  <c r="I106" i="34" s="1"/>
  <c r="J106" i="34" s="1"/>
  <c r="K106" i="34" s="1"/>
  <c r="L106" i="34" s="1"/>
  <c r="M106" i="34" s="1"/>
  <c r="N106" i="34" s="1"/>
  <c r="O106" i="34" s="1"/>
  <c r="P106" i="34" s="1"/>
  <c r="Q106" i="34" s="1"/>
  <c r="R106" i="34" s="1"/>
  <c r="S106" i="34" s="1"/>
  <c r="T106" i="34" s="1"/>
  <c r="U106" i="34" s="1"/>
  <c r="V106" i="34" s="1"/>
  <c r="W106" i="34" s="1"/>
  <c r="X106" i="34" s="1"/>
  <c r="Y106" i="34" s="1"/>
  <c r="Z106" i="34" s="1"/>
  <c r="AA106" i="34" s="1"/>
  <c r="AB106" i="34" s="1"/>
  <c r="AC106" i="34" s="1"/>
  <c r="AD106" i="34" s="1"/>
  <c r="AE106" i="34" s="1"/>
  <c r="AF106" i="34" s="1"/>
  <c r="AG106" i="34" s="1"/>
  <c r="AH106" i="34" s="1"/>
  <c r="F25" i="42"/>
  <c r="F40" i="42" s="1"/>
  <c r="G19" i="42"/>
  <c r="D154" i="54"/>
  <c r="D156" i="54" s="1"/>
  <c r="H11" i="16"/>
  <c r="E36" i="29"/>
  <c r="E42" i="29" s="1"/>
  <c r="F123" i="16"/>
  <c r="F43" i="16"/>
  <c r="C130" i="19"/>
  <c r="F56" i="51"/>
  <c r="C247" i="46"/>
  <c r="C252" i="46" s="1"/>
  <c r="C246" i="46"/>
  <c r="C251" i="46" s="1"/>
  <c r="C245" i="46"/>
  <c r="C250" i="46" s="1"/>
  <c r="C243" i="48"/>
  <c r="C248" i="46"/>
  <c r="D96" i="45" s="1"/>
  <c r="F71" i="41"/>
  <c r="G71" i="41" s="1"/>
  <c r="H71" i="41" s="1"/>
  <c r="I71" i="41" s="1"/>
  <c r="J71" i="41" s="1"/>
  <c r="K71" i="41" s="1"/>
  <c r="L71" i="41" s="1"/>
  <c r="M71" i="41" s="1"/>
  <c r="N71" i="41" s="1"/>
  <c r="O71" i="41" s="1"/>
  <c r="P71" i="41" s="1"/>
  <c r="Q71" i="41" s="1"/>
  <c r="R71" i="41" s="1"/>
  <c r="S71" i="41" s="1"/>
  <c r="T71" i="41" s="1"/>
  <c r="U71" i="41" s="1"/>
  <c r="V71" i="41" s="1"/>
  <c r="W71" i="41" s="1"/>
  <c r="X71" i="41" s="1"/>
  <c r="Y71" i="41" s="1"/>
  <c r="Z71" i="41" s="1"/>
  <c r="AA71" i="41" s="1"/>
  <c r="AB71" i="41" s="1"/>
  <c r="AC71" i="41" s="1"/>
  <c r="AD71" i="41" s="1"/>
  <c r="AE71" i="41" s="1"/>
  <c r="AF71" i="41" s="1"/>
  <c r="AG71" i="41" s="1"/>
  <c r="AH71" i="41" s="1"/>
  <c r="F68" i="34"/>
  <c r="G68" i="34" s="1"/>
  <c r="H68" i="34" s="1"/>
  <c r="I68" i="34" s="1"/>
  <c r="J68" i="34" s="1"/>
  <c r="K68" i="34" s="1"/>
  <c r="L68" i="34" s="1"/>
  <c r="M68" i="34" s="1"/>
  <c r="N68" i="34" s="1"/>
  <c r="O68" i="34" s="1"/>
  <c r="P68" i="34" s="1"/>
  <c r="Q68" i="34" s="1"/>
  <c r="R68" i="34" s="1"/>
  <c r="S68" i="34" s="1"/>
  <c r="T68" i="34" s="1"/>
  <c r="U68" i="34" s="1"/>
  <c r="V68" i="34" s="1"/>
  <c r="W68" i="34" s="1"/>
  <c r="X68" i="34" s="1"/>
  <c r="Y68" i="34" s="1"/>
  <c r="Z68" i="34" s="1"/>
  <c r="AA68" i="34" s="1"/>
  <c r="AB68" i="34" s="1"/>
  <c r="AC68" i="34" s="1"/>
  <c r="AD68" i="34" s="1"/>
  <c r="AE68" i="34" s="1"/>
  <c r="AF68" i="34" s="1"/>
  <c r="AG68" i="34" s="1"/>
  <c r="AH68" i="34" s="1"/>
  <c r="G24" i="54"/>
  <c r="H18" i="54"/>
  <c r="D66" i="53"/>
  <c r="D73" i="53" s="1"/>
  <c r="D74" i="53" s="1"/>
  <c r="D62" i="53"/>
  <c r="D64" i="53"/>
  <c r="D71" i="53" s="1"/>
  <c r="D72" i="53" s="1"/>
  <c r="E57" i="51" s="1"/>
  <c r="D65" i="53"/>
  <c r="D75" i="53" s="1"/>
  <c r="D67" i="53"/>
  <c r="D77" i="53" s="1"/>
  <c r="D78" i="53" s="1"/>
  <c r="E61" i="51" s="1"/>
  <c r="D61" i="53"/>
  <c r="E60" i="53"/>
  <c r="C193" i="29"/>
  <c r="C194" i="29"/>
  <c r="C74" i="29"/>
  <c r="E29" i="42"/>
  <c r="F128" i="16"/>
  <c r="E40" i="29"/>
  <c r="F60" i="16"/>
  <c r="F73" i="41"/>
  <c r="G73" i="41" s="1"/>
  <c r="H73" i="41" s="1"/>
  <c r="I73" i="41" s="1"/>
  <c r="J73" i="41" s="1"/>
  <c r="K73" i="41" s="1"/>
  <c r="L73" i="41" s="1"/>
  <c r="M73" i="41" s="1"/>
  <c r="N73" i="41" s="1"/>
  <c r="O73" i="41" s="1"/>
  <c r="P73" i="41" s="1"/>
  <c r="Q73" i="41" s="1"/>
  <c r="R73" i="41" s="1"/>
  <c r="S73" i="41" s="1"/>
  <c r="T73" i="41" s="1"/>
  <c r="U73" i="41" s="1"/>
  <c r="V73" i="41" s="1"/>
  <c r="W73" i="41" s="1"/>
  <c r="X73" i="41" s="1"/>
  <c r="Y73" i="41" s="1"/>
  <c r="Z73" i="41" s="1"/>
  <c r="AA73" i="41" s="1"/>
  <c r="AB73" i="41" s="1"/>
  <c r="AC73" i="41" s="1"/>
  <c r="AD73" i="41" s="1"/>
  <c r="AE73" i="41" s="1"/>
  <c r="AF73" i="41" s="1"/>
  <c r="AG73" i="41" s="1"/>
  <c r="AH73" i="41" s="1"/>
  <c r="H34" i="16"/>
  <c r="H33" i="16"/>
  <c r="C59" i="29"/>
  <c r="AG199" i="48"/>
  <c r="AG199" i="46"/>
  <c r="D199" i="46" s="1"/>
  <c r="E199" i="46" s="1"/>
  <c r="F199" i="46" s="1"/>
  <c r="G199" i="46" s="1"/>
  <c r="H199" i="46" s="1"/>
  <c r="I199" i="46" s="1"/>
  <c r="J199" i="46" s="1"/>
  <c r="K199" i="46" s="1"/>
  <c r="L199" i="46" s="1"/>
  <c r="M199" i="46" s="1"/>
  <c r="N199" i="46" s="1"/>
  <c r="O199" i="46" s="1"/>
  <c r="P199" i="46" s="1"/>
  <c r="Q199" i="46" s="1"/>
  <c r="R199" i="46" s="1"/>
  <c r="S199" i="46" s="1"/>
  <c r="T199" i="46" s="1"/>
  <c r="U199" i="46" s="1"/>
  <c r="V199" i="46" s="1"/>
  <c r="W199" i="46" s="1"/>
  <c r="X199" i="46" s="1"/>
  <c r="Y199" i="46" s="1"/>
  <c r="Z199" i="46" s="1"/>
  <c r="AA199" i="46" s="1"/>
  <c r="AB199" i="46" s="1"/>
  <c r="AC199" i="46" s="1"/>
  <c r="AD199" i="46" s="1"/>
  <c r="AE199" i="46" s="1"/>
  <c r="AF199" i="46" s="1"/>
  <c r="AG127" i="54"/>
  <c r="D127" i="54" s="1"/>
  <c r="E127" i="54" s="1"/>
  <c r="F127" i="54" s="1"/>
  <c r="G127" i="54" s="1"/>
  <c r="H127" i="54" s="1"/>
  <c r="I127" i="54" s="1"/>
  <c r="J127" i="54" s="1"/>
  <c r="K127" i="54" s="1"/>
  <c r="L127" i="54" s="1"/>
  <c r="M127" i="54" s="1"/>
  <c r="N127" i="54" s="1"/>
  <c r="O127" i="54" s="1"/>
  <c r="P127" i="54" s="1"/>
  <c r="Q127" i="54" s="1"/>
  <c r="R127" i="54" s="1"/>
  <c r="S127" i="54" s="1"/>
  <c r="T127" i="54" s="1"/>
  <c r="U127" i="54" s="1"/>
  <c r="V127" i="54" s="1"/>
  <c r="W127" i="54" s="1"/>
  <c r="X127" i="54" s="1"/>
  <c r="Y127" i="54" s="1"/>
  <c r="Z127" i="54" s="1"/>
  <c r="AA127" i="54" s="1"/>
  <c r="AB127" i="54" s="1"/>
  <c r="AC127" i="54" s="1"/>
  <c r="AD127" i="54" s="1"/>
  <c r="AE127" i="54" s="1"/>
  <c r="AF127" i="54" s="1"/>
  <c r="AG127" i="53"/>
  <c r="D127" i="53" s="1"/>
  <c r="E127" i="53" s="1"/>
  <c r="F127" i="53" s="1"/>
  <c r="G127" i="53" s="1"/>
  <c r="H127" i="53" s="1"/>
  <c r="I127" i="53" s="1"/>
  <c r="J127" i="53" s="1"/>
  <c r="K127" i="53" s="1"/>
  <c r="L127" i="53" s="1"/>
  <c r="M127" i="53" s="1"/>
  <c r="N127" i="53" s="1"/>
  <c r="O127" i="53" s="1"/>
  <c r="P127" i="53" s="1"/>
  <c r="Q127" i="53" s="1"/>
  <c r="R127" i="53" s="1"/>
  <c r="S127" i="53" s="1"/>
  <c r="T127" i="53" s="1"/>
  <c r="U127" i="53" s="1"/>
  <c r="V127" i="53" s="1"/>
  <c r="W127" i="53" s="1"/>
  <c r="X127" i="53" s="1"/>
  <c r="Y127" i="53" s="1"/>
  <c r="Z127" i="53" s="1"/>
  <c r="AA127" i="53" s="1"/>
  <c r="AB127" i="53" s="1"/>
  <c r="AC127" i="53" s="1"/>
  <c r="AD127" i="53" s="1"/>
  <c r="AE127" i="53" s="1"/>
  <c r="AF127" i="53" s="1"/>
  <c r="AG65" i="20"/>
  <c r="AG64" i="20"/>
  <c r="C183" i="38"/>
  <c r="C182" i="38"/>
  <c r="E129" i="15"/>
  <c r="E131" i="15"/>
  <c r="C63" i="38"/>
  <c r="C69" i="38"/>
  <c r="K23" i="15"/>
  <c r="K24" i="15"/>
  <c r="L22" i="15"/>
  <c r="G6" i="41"/>
  <c r="E42" i="41"/>
  <c r="D37" i="29"/>
  <c r="E47" i="16"/>
  <c r="E125" i="16"/>
  <c r="F26" i="48"/>
  <c r="F41" i="48" s="1"/>
  <c r="G20" i="48"/>
  <c r="AJ50" i="51"/>
  <c r="C63" i="42"/>
  <c r="C69" i="42"/>
  <c r="J95" i="33" a="1"/>
  <c r="J95" i="33" s="1"/>
  <c r="K86" i="33"/>
  <c r="L86" i="33" s="1"/>
  <c r="D292" i="38"/>
  <c r="F74" i="47"/>
  <c r="G74" i="47" s="1"/>
  <c r="H74" i="47" s="1"/>
  <c r="I74" i="47" s="1"/>
  <c r="J74" i="47" s="1"/>
  <c r="K74" i="47" s="1"/>
  <c r="L74" i="47" s="1"/>
  <c r="M74" i="47" s="1"/>
  <c r="N74" i="47" s="1"/>
  <c r="O74" i="47" s="1"/>
  <c r="P74" i="47" s="1"/>
  <c r="Q74" i="47" s="1"/>
  <c r="R74" i="47" s="1"/>
  <c r="S74" i="47" s="1"/>
  <c r="T74" i="47" s="1"/>
  <c r="U74" i="47" s="1"/>
  <c r="V74" i="47" s="1"/>
  <c r="W74" i="47" s="1"/>
  <c r="X74" i="47" s="1"/>
  <c r="Y74" i="47" s="1"/>
  <c r="Z74" i="47" s="1"/>
  <c r="AA74" i="47" s="1"/>
  <c r="AB74" i="47" s="1"/>
  <c r="AC74" i="47" s="1"/>
  <c r="AD74" i="47" s="1"/>
  <c r="AE74" i="47" s="1"/>
  <c r="AF74" i="47" s="1"/>
  <c r="AG74" i="47" s="1"/>
  <c r="AH74" i="47" s="1"/>
  <c r="G40" i="15"/>
  <c r="L10" i="8"/>
  <c r="L9" i="8"/>
  <c r="L7" i="8"/>
  <c r="L8" i="8"/>
  <c r="F17" i="45"/>
  <c r="G16" i="45"/>
  <c r="AL16" i="45"/>
  <c r="E66" i="47"/>
  <c r="F14" i="47"/>
  <c r="C222" i="42"/>
  <c r="C226" i="42" s="1"/>
  <c r="C221" i="42"/>
  <c r="C225" i="42" s="1"/>
  <c r="C220" i="42"/>
  <c r="C224" i="42" s="1"/>
  <c r="C223" i="42"/>
  <c r="F96" i="34"/>
  <c r="G96" i="34" s="1"/>
  <c r="H96" i="34" s="1"/>
  <c r="I96" i="34" s="1"/>
  <c r="J96" i="34" s="1"/>
  <c r="K96" i="34" s="1"/>
  <c r="L96" i="34" s="1"/>
  <c r="M96" i="34" s="1"/>
  <c r="N96" i="34" s="1"/>
  <c r="O96" i="34" s="1"/>
  <c r="P96" i="34" s="1"/>
  <c r="Q96" i="34" s="1"/>
  <c r="R96" i="34" s="1"/>
  <c r="S96" i="34" s="1"/>
  <c r="T96" i="34" s="1"/>
  <c r="U96" i="34" s="1"/>
  <c r="V96" i="34" s="1"/>
  <c r="W96" i="34" s="1"/>
  <c r="X96" i="34" s="1"/>
  <c r="Y96" i="34" s="1"/>
  <c r="Z96" i="34" s="1"/>
  <c r="AA96" i="34" s="1"/>
  <c r="AB96" i="34" s="1"/>
  <c r="AC96" i="34" s="1"/>
  <c r="AD96" i="34" s="1"/>
  <c r="AE96" i="34" s="1"/>
  <c r="AF96" i="34" s="1"/>
  <c r="AG96" i="34" s="1"/>
  <c r="AH96" i="34" s="1"/>
  <c r="C26" i="19"/>
  <c r="C44" i="19" s="1"/>
  <c r="C155" i="19" s="1"/>
  <c r="C154" i="19" s="1"/>
  <c r="D20" i="19"/>
  <c r="I11" i="15"/>
  <c r="F28" i="29"/>
  <c r="F46" i="29" s="1"/>
  <c r="G22" i="29"/>
  <c r="C157" i="54"/>
  <c r="H20" i="15"/>
  <c r="K80" i="33"/>
  <c r="C18" i="20"/>
  <c r="J41" i="15"/>
  <c r="D126" i="42"/>
  <c r="G27" i="46"/>
  <c r="G42" i="46" s="1"/>
  <c r="H21" i="46"/>
  <c r="AG62" i="28"/>
  <c r="F39" i="54"/>
  <c r="E90" i="47"/>
  <c r="D35" i="47"/>
  <c r="G128" i="15"/>
  <c r="G60" i="15"/>
  <c r="F40" i="28"/>
  <c r="H74" i="16"/>
  <c r="F89" i="47"/>
  <c r="G89" i="47" s="1"/>
  <c r="H89" i="47" s="1"/>
  <c r="I89" i="47" s="1"/>
  <c r="J89" i="47" s="1"/>
  <c r="K89" i="47" s="1"/>
  <c r="L89" i="47" s="1"/>
  <c r="M89" i="47" s="1"/>
  <c r="N89" i="47" s="1"/>
  <c r="O89" i="47" s="1"/>
  <c r="P89" i="47" s="1"/>
  <c r="Q89" i="47" s="1"/>
  <c r="R89" i="47" s="1"/>
  <c r="S89" i="47" s="1"/>
  <c r="T89" i="47" s="1"/>
  <c r="U89" i="47" s="1"/>
  <c r="V89" i="47" s="1"/>
  <c r="W89" i="47" s="1"/>
  <c r="X89" i="47" s="1"/>
  <c r="Y89" i="47" s="1"/>
  <c r="Z89" i="47" s="1"/>
  <c r="AA89" i="47" s="1"/>
  <c r="AB89" i="47" s="1"/>
  <c r="AC89" i="47" s="1"/>
  <c r="AD89" i="47" s="1"/>
  <c r="AE89" i="47" s="1"/>
  <c r="AF89" i="47" s="1"/>
  <c r="AG89" i="47" s="1"/>
  <c r="AH89" i="47" s="1"/>
  <c r="C200" i="48"/>
  <c r="D199" i="48"/>
  <c r="E199" i="48" s="1"/>
  <c r="F199" i="48" s="1"/>
  <c r="G199" i="48" s="1"/>
  <c r="H199" i="48" s="1"/>
  <c r="I199" i="48" s="1"/>
  <c r="J199" i="48" s="1"/>
  <c r="K199" i="48" s="1"/>
  <c r="L199" i="48" s="1"/>
  <c r="M199" i="48" s="1"/>
  <c r="N199" i="48" s="1"/>
  <c r="O199" i="48" s="1"/>
  <c r="P199" i="48" s="1"/>
  <c r="Q199" i="48" s="1"/>
  <c r="R199" i="48" s="1"/>
  <c r="S199" i="48" s="1"/>
  <c r="T199" i="48" s="1"/>
  <c r="U199" i="48" s="1"/>
  <c r="V199" i="48" s="1"/>
  <c r="W199" i="48" s="1"/>
  <c r="X199" i="48" s="1"/>
  <c r="Y199" i="48" s="1"/>
  <c r="Z199" i="48" s="1"/>
  <c r="AA199" i="48" s="1"/>
  <c r="AB199" i="48" s="1"/>
  <c r="AC199" i="48" s="1"/>
  <c r="AD199" i="48" s="1"/>
  <c r="AE199" i="48" s="1"/>
  <c r="AF199" i="48" s="1"/>
  <c r="C201" i="48"/>
  <c r="F28" i="46"/>
  <c r="G22" i="46"/>
  <c r="F92" i="47"/>
  <c r="G92" i="47" s="1"/>
  <c r="H92" i="47" s="1"/>
  <c r="I92" i="47" s="1"/>
  <c r="J92" i="47" s="1"/>
  <c r="K92" i="47" s="1"/>
  <c r="L92" i="47" s="1"/>
  <c r="M92" i="47" s="1"/>
  <c r="N92" i="47" s="1"/>
  <c r="O92" i="47" s="1"/>
  <c r="P92" i="47" s="1"/>
  <c r="Q92" i="47" s="1"/>
  <c r="R92" i="47" s="1"/>
  <c r="S92" i="47" s="1"/>
  <c r="T92" i="47" s="1"/>
  <c r="U92" i="47" s="1"/>
  <c r="V92" i="47" s="1"/>
  <c r="W92" i="47" s="1"/>
  <c r="X92" i="47" s="1"/>
  <c r="Y92" i="47" s="1"/>
  <c r="Z92" i="47" s="1"/>
  <c r="AA92" i="47" s="1"/>
  <c r="AB92" i="47" s="1"/>
  <c r="AC92" i="47" s="1"/>
  <c r="AD92" i="47" s="1"/>
  <c r="AE92" i="47" s="1"/>
  <c r="AF92" i="47" s="1"/>
  <c r="AG92" i="47" s="1"/>
  <c r="AH92" i="47" s="1"/>
  <c r="AJ54" i="51"/>
  <c r="C65" i="20"/>
  <c r="C64" i="20"/>
  <c r="D63" i="20"/>
  <c r="F83" i="34"/>
  <c r="G83" i="34" s="1"/>
  <c r="H83" i="34" s="1"/>
  <c r="I83" i="34" s="1"/>
  <c r="J83" i="34" s="1"/>
  <c r="K83" i="34" s="1"/>
  <c r="L83" i="34" s="1"/>
  <c r="M83" i="34" s="1"/>
  <c r="N83" i="34" s="1"/>
  <c r="O83" i="34" s="1"/>
  <c r="P83" i="34" s="1"/>
  <c r="Q83" i="34" s="1"/>
  <c r="R83" i="34" s="1"/>
  <c r="S83" i="34" s="1"/>
  <c r="T83" i="34" s="1"/>
  <c r="U83" i="34" s="1"/>
  <c r="V83" i="34" s="1"/>
  <c r="W83" i="34" s="1"/>
  <c r="X83" i="34" s="1"/>
  <c r="Y83" i="34" s="1"/>
  <c r="Z83" i="34" s="1"/>
  <c r="AA83" i="34" s="1"/>
  <c r="AB83" i="34" s="1"/>
  <c r="AC83" i="34" s="1"/>
  <c r="AD83" i="34" s="1"/>
  <c r="AE83" i="34" s="1"/>
  <c r="AF83" i="34" s="1"/>
  <c r="AG83" i="34" s="1"/>
  <c r="AH83" i="34" s="1"/>
  <c r="D25" i="20"/>
  <c r="D43" i="20" s="1"/>
  <c r="E19" i="20"/>
  <c r="AG74" i="53"/>
  <c r="C81" i="38"/>
  <c r="D92" i="36" s="1"/>
  <c r="AJ92" i="36" s="1"/>
  <c r="C79" i="38"/>
  <c r="C83" i="38" s="1"/>
  <c r="C80" i="38"/>
  <c r="C84" i="38" s="1"/>
  <c r="J8" i="16"/>
  <c r="E121" i="16"/>
  <c r="E42" i="16"/>
  <c r="F71" i="34"/>
  <c r="G71" i="34" s="1"/>
  <c r="H71" i="34" s="1"/>
  <c r="I71" i="34" s="1"/>
  <c r="J71" i="34" s="1"/>
  <c r="K71" i="34" s="1"/>
  <c r="L71" i="34" s="1"/>
  <c r="M71" i="34" s="1"/>
  <c r="N71" i="34" s="1"/>
  <c r="O71" i="34" s="1"/>
  <c r="P71" i="34" s="1"/>
  <c r="Q71" i="34" s="1"/>
  <c r="R71" i="34" s="1"/>
  <c r="S71" i="34" s="1"/>
  <c r="T71" i="34" s="1"/>
  <c r="U71" i="34" s="1"/>
  <c r="V71" i="34" s="1"/>
  <c r="W71" i="34" s="1"/>
  <c r="X71" i="34" s="1"/>
  <c r="Y71" i="34" s="1"/>
  <c r="Z71" i="34" s="1"/>
  <c r="AA71" i="34" s="1"/>
  <c r="AB71" i="34" s="1"/>
  <c r="AC71" i="34" s="1"/>
  <c r="AD71" i="34" s="1"/>
  <c r="AE71" i="34" s="1"/>
  <c r="AF71" i="34" s="1"/>
  <c r="AG71" i="34" s="1"/>
  <c r="AH71" i="34" s="1"/>
  <c r="AJ68" i="51"/>
  <c r="K88" i="33"/>
  <c r="L88" i="33" s="1"/>
  <c r="J25" i="16"/>
  <c r="E146" i="28"/>
  <c r="D47" i="29"/>
  <c r="D142" i="29" s="1"/>
  <c r="F74" i="34"/>
  <c r="G74" i="34" s="1"/>
  <c r="H74" i="34" s="1"/>
  <c r="I74" i="34" s="1"/>
  <c r="J74" i="34" s="1"/>
  <c r="K74" i="34" s="1"/>
  <c r="L74" i="34" s="1"/>
  <c r="M74" i="34" s="1"/>
  <c r="N74" i="34" s="1"/>
  <c r="O74" i="34" s="1"/>
  <c r="P74" i="34" s="1"/>
  <c r="Q74" i="34" s="1"/>
  <c r="R74" i="34" s="1"/>
  <c r="S74" i="34" s="1"/>
  <c r="T74" i="34" s="1"/>
  <c r="U74" i="34" s="1"/>
  <c r="V74" i="34" s="1"/>
  <c r="W74" i="34" s="1"/>
  <c r="X74" i="34" s="1"/>
  <c r="Y74" i="34" s="1"/>
  <c r="Z74" i="34" s="1"/>
  <c r="AA74" i="34" s="1"/>
  <c r="AB74" i="34" s="1"/>
  <c r="AC74" i="34" s="1"/>
  <c r="AD74" i="34" s="1"/>
  <c r="AE74" i="34" s="1"/>
  <c r="AF74" i="34" s="1"/>
  <c r="AG74" i="34" s="1"/>
  <c r="AH74" i="34" s="1"/>
  <c r="E69" i="45"/>
  <c r="D84" i="29"/>
  <c r="E61" i="16"/>
  <c r="F26" i="53"/>
  <c r="F41" i="53" s="1"/>
  <c r="F147" i="53" s="1"/>
  <c r="F148" i="53" s="1"/>
  <c r="G60" i="51" s="1"/>
  <c r="G20" i="53"/>
  <c r="D26" i="20"/>
  <c r="D44" i="20" s="1"/>
  <c r="E20" i="20"/>
  <c r="F74" i="41"/>
  <c r="G74" i="41" s="1"/>
  <c r="H74" i="41" s="1"/>
  <c r="I74" i="41" s="1"/>
  <c r="J74" i="41" s="1"/>
  <c r="K74" i="41" s="1"/>
  <c r="L74" i="41" s="1"/>
  <c r="M74" i="41" s="1"/>
  <c r="N74" i="41" s="1"/>
  <c r="O74" i="41" s="1"/>
  <c r="P74" i="41" s="1"/>
  <c r="Q74" i="41" s="1"/>
  <c r="R74" i="41" s="1"/>
  <c r="S74" i="41" s="1"/>
  <c r="T74" i="41" s="1"/>
  <c r="U74" i="41" s="1"/>
  <c r="V74" i="41" s="1"/>
  <c r="W74" i="41" s="1"/>
  <c r="X74" i="41" s="1"/>
  <c r="Y74" i="41" s="1"/>
  <c r="Z74" i="41" s="1"/>
  <c r="AA74" i="41" s="1"/>
  <c r="AB74" i="41" s="1"/>
  <c r="AC74" i="41" s="1"/>
  <c r="AD74" i="41" s="1"/>
  <c r="AE74" i="41" s="1"/>
  <c r="AF74" i="41" s="1"/>
  <c r="AG74" i="41" s="1"/>
  <c r="AH74" i="41" s="1"/>
  <c r="G24" i="29"/>
  <c r="H18" i="29"/>
  <c r="H34" i="15"/>
  <c r="H33" i="15"/>
  <c r="H35" i="15" s="1"/>
  <c r="G40" i="16"/>
  <c r="E44" i="54"/>
  <c r="E204" i="54" s="1"/>
  <c r="K72" i="33"/>
  <c r="C131" i="42"/>
  <c r="C150" i="42" s="1"/>
  <c r="C132" i="42"/>
  <c r="C158" i="42" s="1"/>
  <c r="C130" i="42"/>
  <c r="C142" i="42" s="1"/>
  <c r="F25" i="38"/>
  <c r="F40" i="38" s="1"/>
  <c r="G19" i="38"/>
  <c r="E360" i="46"/>
  <c r="C76" i="53"/>
  <c r="D67" i="51"/>
  <c r="C130" i="38"/>
  <c r="C142" i="38" s="1"/>
  <c r="C132" i="38"/>
  <c r="C158" i="38" s="1"/>
  <c r="C131" i="38"/>
  <c r="C150" i="38" s="1"/>
  <c r="F39" i="16"/>
  <c r="F13" i="16"/>
  <c r="I19" i="16"/>
  <c r="I16" i="16"/>
  <c r="I15" i="16"/>
  <c r="I18" i="16"/>
  <c r="J14" i="16"/>
  <c r="I32" i="16"/>
  <c r="I74" i="16" s="1"/>
  <c r="F76" i="34"/>
  <c r="G76" i="34" s="1"/>
  <c r="H76" i="34" s="1"/>
  <c r="I76" i="34" s="1"/>
  <c r="J76" i="34" s="1"/>
  <c r="K76" i="34" s="1"/>
  <c r="L76" i="34" s="1"/>
  <c r="M76" i="34" s="1"/>
  <c r="N76" i="34" s="1"/>
  <c r="O76" i="34" s="1"/>
  <c r="P76" i="34" s="1"/>
  <c r="Q76" i="34" s="1"/>
  <c r="R76" i="34" s="1"/>
  <c r="S76" i="34" s="1"/>
  <c r="T76" i="34" s="1"/>
  <c r="U76" i="34" s="1"/>
  <c r="V76" i="34" s="1"/>
  <c r="W76" i="34" s="1"/>
  <c r="X76" i="34" s="1"/>
  <c r="Y76" i="34" s="1"/>
  <c r="Z76" i="34" s="1"/>
  <c r="AA76" i="34" s="1"/>
  <c r="AB76" i="34" s="1"/>
  <c r="AC76" i="34" s="1"/>
  <c r="AD76" i="34" s="1"/>
  <c r="AE76" i="34" s="1"/>
  <c r="AF76" i="34" s="1"/>
  <c r="AG76" i="34" s="1"/>
  <c r="AH76" i="34" s="1"/>
  <c r="C60" i="29"/>
  <c r="E360" i="48"/>
  <c r="AG63" i="48"/>
  <c r="F28" i="42"/>
  <c r="F43" i="42" s="1"/>
  <c r="G22" i="42"/>
  <c r="F25" i="29"/>
  <c r="F43" i="29" s="1"/>
  <c r="G19" i="29"/>
  <c r="G16" i="34"/>
  <c r="H21" i="29"/>
  <c r="G27" i="29"/>
  <c r="C145" i="20"/>
  <c r="F25" i="46"/>
  <c r="G19" i="46"/>
  <c r="J25" i="15"/>
  <c r="F51" i="41"/>
  <c r="G51" i="41" s="1"/>
  <c r="H51" i="41" s="1"/>
  <c r="I51" i="41" s="1"/>
  <c r="J51" i="41" s="1"/>
  <c r="K51" i="41" s="1"/>
  <c r="L51" i="41" s="1"/>
  <c r="M51" i="41" s="1"/>
  <c r="N51" i="41" s="1"/>
  <c r="O51" i="41" s="1"/>
  <c r="P51" i="41" s="1"/>
  <c r="Q51" i="41" s="1"/>
  <c r="R51" i="41" s="1"/>
  <c r="S51" i="41" s="1"/>
  <c r="T51" i="41" s="1"/>
  <c r="U51" i="41" s="1"/>
  <c r="V51" i="41" s="1"/>
  <c r="W51" i="41" s="1"/>
  <c r="X51" i="41" s="1"/>
  <c r="Y51" i="41" s="1"/>
  <c r="Z51" i="41" s="1"/>
  <c r="AA51" i="41" s="1"/>
  <c r="AB51" i="41" s="1"/>
  <c r="AC51" i="41" s="1"/>
  <c r="AD51" i="41" s="1"/>
  <c r="AE51" i="41" s="1"/>
  <c r="AF51" i="41" s="1"/>
  <c r="AG51" i="41" s="1"/>
  <c r="AH51" i="41" s="1"/>
  <c r="E73" i="34"/>
  <c r="E16" i="34"/>
  <c r="D278" i="38"/>
  <c r="D31" i="38"/>
  <c r="F25" i="53"/>
  <c r="F40" i="53" s="1"/>
  <c r="G19" i="53"/>
  <c r="D60" i="42"/>
  <c r="F54" i="41"/>
  <c r="G54" i="41" s="1"/>
  <c r="H54" i="41" s="1"/>
  <c r="I54" i="41" s="1"/>
  <c r="J54" i="41" s="1"/>
  <c r="K54" i="41" s="1"/>
  <c r="L54" i="41" s="1"/>
  <c r="M54" i="41" s="1"/>
  <c r="N54" i="41" s="1"/>
  <c r="O54" i="41" s="1"/>
  <c r="P54" i="41" s="1"/>
  <c r="Q54" i="41" s="1"/>
  <c r="R54" i="41" s="1"/>
  <c r="S54" i="41" s="1"/>
  <c r="T54" i="41" s="1"/>
  <c r="U54" i="41" s="1"/>
  <c r="V54" i="41" s="1"/>
  <c r="W54" i="41" s="1"/>
  <c r="X54" i="41" s="1"/>
  <c r="Y54" i="41" s="1"/>
  <c r="Z54" i="41" s="1"/>
  <c r="AA54" i="41" s="1"/>
  <c r="AB54" i="41" s="1"/>
  <c r="AC54" i="41" s="1"/>
  <c r="AD54" i="41" s="1"/>
  <c r="AE54" i="41" s="1"/>
  <c r="AF54" i="41" s="1"/>
  <c r="AG54" i="41" s="1"/>
  <c r="AH54" i="41" s="1"/>
  <c r="F45" i="41"/>
  <c r="G45" i="41" s="1"/>
  <c r="H45" i="41" s="1"/>
  <c r="I45" i="41" s="1"/>
  <c r="J45" i="41" s="1"/>
  <c r="K45" i="41" s="1"/>
  <c r="L45" i="41" s="1"/>
  <c r="M45" i="41" s="1"/>
  <c r="N45" i="41" s="1"/>
  <c r="O45" i="41" s="1"/>
  <c r="P45" i="41" s="1"/>
  <c r="Q45" i="41" s="1"/>
  <c r="R45" i="41" s="1"/>
  <c r="S45" i="41" s="1"/>
  <c r="T45" i="41" s="1"/>
  <c r="U45" i="41" s="1"/>
  <c r="V45" i="41" s="1"/>
  <c r="W45" i="41" s="1"/>
  <c r="X45" i="41" s="1"/>
  <c r="Y45" i="41" s="1"/>
  <c r="Z45" i="41" s="1"/>
  <c r="AA45" i="41" s="1"/>
  <c r="AB45" i="41" s="1"/>
  <c r="AC45" i="41" s="1"/>
  <c r="AD45" i="41" s="1"/>
  <c r="AE45" i="41" s="1"/>
  <c r="AF45" i="41" s="1"/>
  <c r="AG45" i="41" s="1"/>
  <c r="AH45" i="41" s="1"/>
  <c r="F62" i="47"/>
  <c r="G62" i="47" s="1"/>
  <c r="H62" i="47" s="1"/>
  <c r="I62" i="47" s="1"/>
  <c r="J62" i="47" s="1"/>
  <c r="K62" i="47" s="1"/>
  <c r="L62" i="47" s="1"/>
  <c r="M62" i="47" s="1"/>
  <c r="N62" i="47" s="1"/>
  <c r="O62" i="47" s="1"/>
  <c r="P62" i="47" s="1"/>
  <c r="Q62" i="47" s="1"/>
  <c r="R62" i="47" s="1"/>
  <c r="S62" i="47" s="1"/>
  <c r="T62" i="47" s="1"/>
  <c r="U62" i="47" s="1"/>
  <c r="V62" i="47" s="1"/>
  <c r="W62" i="47" s="1"/>
  <c r="X62" i="47" s="1"/>
  <c r="Y62" i="47" s="1"/>
  <c r="Z62" i="47" s="1"/>
  <c r="AA62" i="47" s="1"/>
  <c r="AB62" i="47" s="1"/>
  <c r="AC62" i="47" s="1"/>
  <c r="AD62" i="47" s="1"/>
  <c r="AE62" i="47" s="1"/>
  <c r="AF62" i="47" s="1"/>
  <c r="AG62" i="47" s="1"/>
  <c r="AH62" i="47" s="1"/>
  <c r="AK40" i="45"/>
  <c r="AK39" i="45"/>
  <c r="D200" i="48"/>
  <c r="D201" i="48"/>
  <c r="D137" i="48"/>
  <c r="D138" i="48"/>
  <c r="E136" i="48"/>
  <c r="D258" i="48"/>
  <c r="E257" i="48"/>
  <c r="D232" i="38"/>
  <c r="D234" i="38" s="1"/>
  <c r="E231" i="38"/>
  <c r="F63" i="41"/>
  <c r="G63" i="41" s="1"/>
  <c r="H63" i="41" s="1"/>
  <c r="I63" i="41" s="1"/>
  <c r="J63" i="41" s="1"/>
  <c r="K63" i="41" s="1"/>
  <c r="L63" i="41" s="1"/>
  <c r="M63" i="41" s="1"/>
  <c r="N63" i="41" s="1"/>
  <c r="O63" i="41" s="1"/>
  <c r="P63" i="41" s="1"/>
  <c r="Q63" i="41" s="1"/>
  <c r="R63" i="41" s="1"/>
  <c r="S63" i="41" s="1"/>
  <c r="T63" i="41" s="1"/>
  <c r="U63" i="41" s="1"/>
  <c r="V63" i="41" s="1"/>
  <c r="W63" i="41" s="1"/>
  <c r="X63" i="41" s="1"/>
  <c r="Y63" i="41" s="1"/>
  <c r="Z63" i="41" s="1"/>
  <c r="AA63" i="41" s="1"/>
  <c r="AB63" i="41" s="1"/>
  <c r="AC63" i="41" s="1"/>
  <c r="AD63" i="41" s="1"/>
  <c r="AE63" i="41" s="1"/>
  <c r="AF63" i="41" s="1"/>
  <c r="AG63" i="41" s="1"/>
  <c r="AH63" i="41" s="1"/>
  <c r="E36" i="41"/>
  <c r="C78" i="38" s="1"/>
  <c r="C82" i="38" s="1"/>
  <c r="E6" i="41"/>
  <c r="G27" i="38"/>
  <c r="G42" i="38" s="1"/>
  <c r="H21" i="38"/>
  <c r="C28" i="19"/>
  <c r="C46" i="19" s="1"/>
  <c r="C167" i="19" s="1"/>
  <c r="C166" i="19" s="1"/>
  <c r="D22" i="19"/>
  <c r="G24" i="28"/>
  <c r="H18" i="28"/>
  <c r="AL60" i="51"/>
  <c r="F28" i="54"/>
  <c r="F43" i="54" s="1"/>
  <c r="G22" i="54"/>
  <c r="D31" i="53"/>
  <c r="D194" i="53"/>
  <c r="G20" i="38"/>
  <c r="F26" i="38"/>
  <c r="F41" i="38" s="1"/>
  <c r="E29" i="54"/>
  <c r="C169" i="20"/>
  <c r="C168" i="20"/>
  <c r="C171" i="20"/>
  <c r="C185" i="20" s="1"/>
  <c r="C170" i="20"/>
  <c r="C179" i="20" s="1"/>
  <c r="C167" i="20"/>
  <c r="C173" i="20" s="1"/>
  <c r="D166" i="20"/>
  <c r="C129" i="42"/>
  <c r="C134" i="42"/>
  <c r="E40" i="28"/>
  <c r="F128" i="15"/>
  <c r="F60" i="15"/>
  <c r="F42" i="47"/>
  <c r="G42" i="47" s="1"/>
  <c r="H42" i="47" s="1"/>
  <c r="I42" i="47" s="1"/>
  <c r="J42" i="47" s="1"/>
  <c r="K42" i="47" s="1"/>
  <c r="L42" i="47" s="1"/>
  <c r="M42" i="47" s="1"/>
  <c r="N42" i="47" s="1"/>
  <c r="O42" i="47" s="1"/>
  <c r="P42" i="47" s="1"/>
  <c r="Q42" i="47" s="1"/>
  <c r="R42" i="47" s="1"/>
  <c r="S42" i="47" s="1"/>
  <c r="T42" i="47" s="1"/>
  <c r="U42" i="47" s="1"/>
  <c r="V42" i="47" s="1"/>
  <c r="W42" i="47" s="1"/>
  <c r="X42" i="47" s="1"/>
  <c r="Y42" i="47" s="1"/>
  <c r="Z42" i="47" s="1"/>
  <c r="AA42" i="47" s="1"/>
  <c r="AB42" i="47" s="1"/>
  <c r="AC42" i="47" s="1"/>
  <c r="AD42" i="47" s="1"/>
  <c r="AE42" i="47" s="1"/>
  <c r="AF42" i="47" s="1"/>
  <c r="AG42" i="47" s="1"/>
  <c r="AH42" i="47" s="1"/>
  <c r="AJ57" i="51"/>
  <c r="C75" i="29"/>
  <c r="C129" i="38"/>
  <c r="C134" i="38"/>
  <c r="C132" i="20"/>
  <c r="C108" i="19" s="1"/>
  <c r="C131" i="20"/>
  <c r="C107" i="19" s="1"/>
  <c r="D103" i="12"/>
  <c r="E54" i="47"/>
  <c r="H7" i="47"/>
  <c r="H17" i="16"/>
  <c r="F28" i="53"/>
  <c r="F43" i="53" s="1"/>
  <c r="G22" i="53"/>
  <c r="F93" i="47"/>
  <c r="G93" i="47" s="1"/>
  <c r="H93" i="47" s="1"/>
  <c r="I93" i="47" s="1"/>
  <c r="J93" i="47" s="1"/>
  <c r="K93" i="47" s="1"/>
  <c r="L93" i="47" s="1"/>
  <c r="M93" i="47" s="1"/>
  <c r="N93" i="47" s="1"/>
  <c r="O93" i="47" s="1"/>
  <c r="P93" i="47" s="1"/>
  <c r="Q93" i="47" s="1"/>
  <c r="R93" i="47" s="1"/>
  <c r="S93" i="47" s="1"/>
  <c r="T93" i="47" s="1"/>
  <c r="U93" i="47" s="1"/>
  <c r="V93" i="47" s="1"/>
  <c r="W93" i="47" s="1"/>
  <c r="X93" i="47" s="1"/>
  <c r="Y93" i="47" s="1"/>
  <c r="Z93" i="47" s="1"/>
  <c r="AA93" i="47" s="1"/>
  <c r="AB93" i="47" s="1"/>
  <c r="AC93" i="47" s="1"/>
  <c r="AD93" i="47" s="1"/>
  <c r="AE93" i="47" s="1"/>
  <c r="AF93" i="47" s="1"/>
  <c r="AG93" i="47" s="1"/>
  <c r="AH93" i="47" s="1"/>
  <c r="F70" i="47"/>
  <c r="G70" i="47" s="1"/>
  <c r="H70" i="47" s="1"/>
  <c r="I70" i="47" s="1"/>
  <c r="J70" i="47" s="1"/>
  <c r="K70" i="47" s="1"/>
  <c r="L70" i="47" s="1"/>
  <c r="M70" i="47" s="1"/>
  <c r="N70" i="47" s="1"/>
  <c r="O70" i="47" s="1"/>
  <c r="P70" i="47" s="1"/>
  <c r="Q70" i="47" s="1"/>
  <c r="R70" i="47" s="1"/>
  <c r="S70" i="47" s="1"/>
  <c r="T70" i="47" s="1"/>
  <c r="U70" i="47" s="1"/>
  <c r="V70" i="47" s="1"/>
  <c r="W70" i="47" s="1"/>
  <c r="X70" i="47" s="1"/>
  <c r="Y70" i="47" s="1"/>
  <c r="Z70" i="47" s="1"/>
  <c r="AA70" i="47" s="1"/>
  <c r="AB70" i="47" s="1"/>
  <c r="AC70" i="47" s="1"/>
  <c r="AD70" i="47" s="1"/>
  <c r="AE70" i="47" s="1"/>
  <c r="AF70" i="47" s="1"/>
  <c r="AG70" i="47" s="1"/>
  <c r="AH70" i="47" s="1"/>
  <c r="F86" i="34"/>
  <c r="G86" i="34" s="1"/>
  <c r="H86" i="34" s="1"/>
  <c r="I86" i="34" s="1"/>
  <c r="J86" i="34" s="1"/>
  <c r="K86" i="34" s="1"/>
  <c r="L86" i="34" s="1"/>
  <c r="M86" i="34" s="1"/>
  <c r="N86" i="34" s="1"/>
  <c r="O86" i="34" s="1"/>
  <c r="P86" i="34" s="1"/>
  <c r="Q86" i="34" s="1"/>
  <c r="R86" i="34" s="1"/>
  <c r="S86" i="34" s="1"/>
  <c r="T86" i="34" s="1"/>
  <c r="U86" i="34" s="1"/>
  <c r="V86" i="34" s="1"/>
  <c r="W86" i="34" s="1"/>
  <c r="X86" i="34" s="1"/>
  <c r="Y86" i="34" s="1"/>
  <c r="Z86" i="34" s="1"/>
  <c r="AA86" i="34" s="1"/>
  <c r="AB86" i="34" s="1"/>
  <c r="AC86" i="34" s="1"/>
  <c r="AD86" i="34" s="1"/>
  <c r="AE86" i="34" s="1"/>
  <c r="AF86" i="34" s="1"/>
  <c r="AG86" i="34" s="1"/>
  <c r="AH86" i="34" s="1"/>
  <c r="E44" i="53"/>
  <c r="E204" i="53" s="1"/>
  <c r="C25" i="19"/>
  <c r="C43" i="19" s="1"/>
  <c r="C100" i="19" s="1"/>
  <c r="D19" i="19"/>
  <c r="G24" i="46"/>
  <c r="H18" i="46"/>
  <c r="E68" i="51"/>
  <c r="E50" i="51"/>
  <c r="C104" i="38"/>
  <c r="C108" i="38" s="1"/>
  <c r="C105" i="38"/>
  <c r="D99" i="36" s="1"/>
  <c r="AJ99" i="36" s="1"/>
  <c r="C102" i="38"/>
  <c r="C106" i="38" s="1"/>
  <c r="C103" i="38"/>
  <c r="C107" i="38" s="1"/>
  <c r="D141" i="15"/>
  <c r="D142" i="15" s="1"/>
  <c r="AJ44" i="45"/>
  <c r="AJ43" i="45"/>
  <c r="AJ42" i="45"/>
  <c r="C35" i="48"/>
  <c r="AJ95" i="45"/>
  <c r="G35" i="16"/>
  <c r="C150" i="29"/>
  <c r="C148" i="29"/>
  <c r="C147" i="29"/>
  <c r="C149" i="29"/>
  <c r="E110" i="53"/>
  <c r="E111" i="53" s="1"/>
  <c r="E106" i="53"/>
  <c r="E107" i="53" s="1"/>
  <c r="F62" i="51" s="1"/>
  <c r="E104" i="53"/>
  <c r="E105" i="53" s="1"/>
  <c r="F53" i="51" s="1"/>
  <c r="E108" i="53"/>
  <c r="E109" i="53" s="1"/>
  <c r="C87" i="42"/>
  <c r="C91" i="42" s="1"/>
  <c r="C86" i="42"/>
  <c r="C90" i="42" s="1"/>
  <c r="C89" i="42"/>
  <c r="C88" i="42"/>
  <c r="C92" i="42" s="1"/>
  <c r="D30" i="41"/>
  <c r="AG93" i="46"/>
  <c r="AG90" i="46"/>
  <c r="AG91" i="46"/>
  <c r="AG92" i="46"/>
  <c r="AG94" i="46"/>
  <c r="AG89" i="48"/>
  <c r="C236" i="38"/>
  <c r="C240" i="38" s="1"/>
  <c r="C235" i="38"/>
  <c r="C239" i="38" s="1"/>
  <c r="C237" i="38"/>
  <c r="C241" i="38" s="1"/>
  <c r="C238" i="38"/>
  <c r="D107" i="36" s="1"/>
  <c r="F25" i="28"/>
  <c r="F43" i="28" s="1"/>
  <c r="G19" i="28"/>
  <c r="G24" i="48"/>
  <c r="H18" i="48"/>
  <c r="D28" i="20"/>
  <c r="D46" i="20" s="1"/>
  <c r="E22" i="20"/>
  <c r="C63" i="54"/>
  <c r="C69" i="54"/>
  <c r="C70" i="54" s="1"/>
  <c r="F6" i="41"/>
  <c r="E39" i="41"/>
  <c r="E31" i="48"/>
  <c r="E306" i="48"/>
  <c r="D136" i="46"/>
  <c r="AG127" i="38"/>
  <c r="AG128" i="38"/>
  <c r="AG183" i="38"/>
  <c r="AG182" i="38"/>
  <c r="D231" i="42"/>
  <c r="G7" i="47"/>
  <c r="E50" i="47"/>
  <c r="I15" i="15"/>
  <c r="I16" i="15"/>
  <c r="I19" i="15"/>
  <c r="I18" i="15"/>
  <c r="J14" i="15"/>
  <c r="I32" i="15"/>
  <c r="I74" i="15" s="1"/>
  <c r="F79" i="34"/>
  <c r="G79" i="34" s="1"/>
  <c r="H79" i="34" s="1"/>
  <c r="I79" i="34" s="1"/>
  <c r="J79" i="34" s="1"/>
  <c r="K79" i="34" s="1"/>
  <c r="L79" i="34" s="1"/>
  <c r="M79" i="34" s="1"/>
  <c r="N79" i="34" s="1"/>
  <c r="O79" i="34" s="1"/>
  <c r="P79" i="34" s="1"/>
  <c r="Q79" i="34" s="1"/>
  <c r="R79" i="34" s="1"/>
  <c r="S79" i="34" s="1"/>
  <c r="T79" i="34" s="1"/>
  <c r="U79" i="34" s="1"/>
  <c r="V79" i="34" s="1"/>
  <c r="W79" i="34" s="1"/>
  <c r="X79" i="34" s="1"/>
  <c r="Y79" i="34" s="1"/>
  <c r="Z79" i="34" s="1"/>
  <c r="AA79" i="34" s="1"/>
  <c r="AB79" i="34" s="1"/>
  <c r="AC79" i="34" s="1"/>
  <c r="AD79" i="34" s="1"/>
  <c r="AE79" i="34" s="1"/>
  <c r="AF79" i="34" s="1"/>
  <c r="AG79" i="34" s="1"/>
  <c r="AH79" i="34" s="1"/>
  <c r="G27" i="48"/>
  <c r="G42" i="48" s="1"/>
  <c r="H21" i="48"/>
  <c r="AG168" i="20"/>
  <c r="AG169" i="20"/>
  <c r="AG171" i="20"/>
  <c r="AG170" i="20"/>
  <c r="AG167" i="20"/>
  <c r="G39" i="15"/>
  <c r="G13" i="15"/>
  <c r="F66" i="41"/>
  <c r="G66" i="41" s="1"/>
  <c r="H66" i="41" s="1"/>
  <c r="I66" i="41" s="1"/>
  <c r="J66" i="41" s="1"/>
  <c r="K66" i="41" s="1"/>
  <c r="L66" i="41" s="1"/>
  <c r="M66" i="41" s="1"/>
  <c r="N66" i="41" s="1"/>
  <c r="O66" i="41" s="1"/>
  <c r="P66" i="41" s="1"/>
  <c r="Q66" i="41" s="1"/>
  <c r="R66" i="41" s="1"/>
  <c r="S66" i="41" s="1"/>
  <c r="T66" i="41" s="1"/>
  <c r="U66" i="41" s="1"/>
  <c r="V66" i="41" s="1"/>
  <c r="W66" i="41" s="1"/>
  <c r="X66" i="41" s="1"/>
  <c r="Y66" i="41" s="1"/>
  <c r="Z66" i="41" s="1"/>
  <c r="AA66" i="41" s="1"/>
  <c r="AB66" i="41" s="1"/>
  <c r="AC66" i="41" s="1"/>
  <c r="AD66" i="41" s="1"/>
  <c r="AE66" i="41" s="1"/>
  <c r="AF66" i="41" s="1"/>
  <c r="AG66" i="41" s="1"/>
  <c r="AH66" i="41" s="1"/>
  <c r="E332" i="38"/>
  <c r="AJ61" i="51"/>
  <c r="C73" i="29"/>
  <c r="G27" i="54"/>
  <c r="G42" i="54" s="1"/>
  <c r="H21" i="54"/>
  <c r="D121" i="20"/>
  <c r="D125" i="20"/>
  <c r="D122" i="20"/>
  <c r="D123" i="20"/>
  <c r="D124" i="20"/>
  <c r="D120" i="20"/>
  <c r="E119" i="20"/>
  <c r="F107" i="34"/>
  <c r="G107" i="34" s="1"/>
  <c r="H107" i="34" s="1"/>
  <c r="I107" i="34" s="1"/>
  <c r="J107" i="34" s="1"/>
  <c r="K107" i="34" s="1"/>
  <c r="L107" i="34" s="1"/>
  <c r="M107" i="34" s="1"/>
  <c r="N107" i="34" s="1"/>
  <c r="O107" i="34" s="1"/>
  <c r="P107" i="34" s="1"/>
  <c r="Q107" i="34" s="1"/>
  <c r="R107" i="34" s="1"/>
  <c r="S107" i="34" s="1"/>
  <c r="T107" i="34" s="1"/>
  <c r="U107" i="34" s="1"/>
  <c r="V107" i="34" s="1"/>
  <c r="W107" i="34" s="1"/>
  <c r="X107" i="34" s="1"/>
  <c r="Y107" i="34" s="1"/>
  <c r="Z107" i="34" s="1"/>
  <c r="AA107" i="34" s="1"/>
  <c r="AB107" i="34" s="1"/>
  <c r="AC107" i="34" s="1"/>
  <c r="AD107" i="34" s="1"/>
  <c r="AE107" i="34" s="1"/>
  <c r="AF107" i="34" s="1"/>
  <c r="AG107" i="34" s="1"/>
  <c r="AH107" i="34" s="1"/>
  <c r="F26" i="28"/>
  <c r="F44" i="28" s="1"/>
  <c r="F80" i="29" s="1"/>
  <c r="F79" i="29" s="1"/>
  <c r="G20" i="28"/>
  <c r="E29" i="53"/>
  <c r="C34" i="28"/>
  <c r="C33" i="28"/>
  <c r="D28" i="47"/>
  <c r="E86" i="47"/>
  <c r="C244" i="46" s="1"/>
  <c r="C249" i="46" s="1"/>
  <c r="AJ23" i="45"/>
  <c r="F122" i="15"/>
  <c r="F132" i="15" s="1"/>
  <c r="AK62" i="51"/>
  <c r="C97" i="38"/>
  <c r="D108" i="36" s="1"/>
  <c r="AJ108" i="36" s="1"/>
  <c r="C94" i="38"/>
  <c r="C98" i="38" s="1"/>
  <c r="C95" i="38"/>
  <c r="C99" i="38" s="1"/>
  <c r="C96" i="38"/>
  <c r="C100" i="38" s="1"/>
  <c r="H18" i="53"/>
  <c r="G24" i="53"/>
  <c r="C94" i="42"/>
  <c r="C98" i="42" s="1"/>
  <c r="C96" i="42"/>
  <c r="C100" i="42" s="1"/>
  <c r="C95" i="42"/>
  <c r="C99" i="42" s="1"/>
  <c r="C97" i="42"/>
  <c r="D24" i="41"/>
  <c r="F72" i="41"/>
  <c r="G72" i="41" s="1"/>
  <c r="H72" i="41" s="1"/>
  <c r="I72" i="41" s="1"/>
  <c r="J72" i="41" s="1"/>
  <c r="K72" i="41" s="1"/>
  <c r="L72" i="41" s="1"/>
  <c r="M72" i="41" s="1"/>
  <c r="N72" i="41" s="1"/>
  <c r="O72" i="41" s="1"/>
  <c r="P72" i="41" s="1"/>
  <c r="Q72" i="41" s="1"/>
  <c r="R72" i="41" s="1"/>
  <c r="S72" i="41" s="1"/>
  <c r="T72" i="41" s="1"/>
  <c r="U72" i="41" s="1"/>
  <c r="V72" i="41" s="1"/>
  <c r="W72" i="41" s="1"/>
  <c r="X72" i="41" s="1"/>
  <c r="Y72" i="41" s="1"/>
  <c r="Z72" i="41" s="1"/>
  <c r="AA72" i="41" s="1"/>
  <c r="AB72" i="41" s="1"/>
  <c r="AC72" i="41" s="1"/>
  <c r="AD72" i="41" s="1"/>
  <c r="AE72" i="41" s="1"/>
  <c r="AF72" i="41" s="1"/>
  <c r="AG72" i="41" s="1"/>
  <c r="AH72" i="41" s="1"/>
  <c r="C137" i="20" l="1"/>
  <c r="C113" i="19" s="1"/>
  <c r="C135" i="20"/>
  <c r="C111" i="19" s="1"/>
  <c r="C138" i="20"/>
  <c r="C114" i="19" s="1"/>
  <c r="AG139" i="48"/>
  <c r="C103" i="19"/>
  <c r="D103" i="14" s="1"/>
  <c r="C143" i="20"/>
  <c r="C119" i="19" s="1"/>
  <c r="F24" i="42"/>
  <c r="F39" i="42" s="1"/>
  <c r="G18" i="42"/>
  <c r="C130" i="20"/>
  <c r="C106" i="19" s="1"/>
  <c r="C133" i="19"/>
  <c r="C144" i="20"/>
  <c r="C120" i="19" s="1"/>
  <c r="C134" i="20"/>
  <c r="C110" i="19" s="1"/>
  <c r="C128" i="20"/>
  <c r="C104" i="19" s="1"/>
  <c r="C132" i="19"/>
  <c r="C109" i="19"/>
  <c r="D126" i="14" s="1"/>
  <c r="C141" i="20"/>
  <c r="C117" i="19" s="1"/>
  <c r="F24" i="38"/>
  <c r="F39" i="38" s="1"/>
  <c r="F44" i="38" s="1"/>
  <c r="F288" i="38" s="1"/>
  <c r="G18" i="38"/>
  <c r="C115" i="19"/>
  <c r="D94" i="14" s="1"/>
  <c r="AG97" i="46"/>
  <c r="F40" i="46"/>
  <c r="AG63" i="42"/>
  <c r="C129" i="19"/>
  <c r="C128" i="19" s="1"/>
  <c r="AK41" i="45"/>
  <c r="AK43" i="45" s="1"/>
  <c r="E31" i="29"/>
  <c r="E33" i="29" s="1"/>
  <c r="C140" i="20"/>
  <c r="C116" i="19" s="1"/>
  <c r="K25" i="15"/>
  <c r="AG98" i="46"/>
  <c r="F29" i="48"/>
  <c r="F306" i="48" s="1"/>
  <c r="D127" i="20"/>
  <c r="D132" i="20" s="1"/>
  <c r="D108" i="19" s="1"/>
  <c r="AG129" i="38"/>
  <c r="F29" i="46"/>
  <c r="F31" i="46" s="1"/>
  <c r="F29" i="29"/>
  <c r="D139" i="48"/>
  <c r="D133" i="20"/>
  <c r="D63" i="46"/>
  <c r="L11" i="8"/>
  <c r="H39" i="15"/>
  <c r="AG63" i="38"/>
  <c r="H121" i="15"/>
  <c r="D183" i="42"/>
  <c r="D182" i="42"/>
  <c r="E181" i="42"/>
  <c r="E31" i="53"/>
  <c r="E194" i="53"/>
  <c r="E205" i="53" s="1"/>
  <c r="D232" i="42"/>
  <c r="D234" i="42" s="1"/>
  <c r="E231" i="42"/>
  <c r="F39" i="41"/>
  <c r="G39" i="41" s="1"/>
  <c r="H39" i="41" s="1"/>
  <c r="I39" i="41" s="1"/>
  <c r="J39" i="41" s="1"/>
  <c r="K39" i="41" s="1"/>
  <c r="L39" i="41" s="1"/>
  <c r="M39" i="41" s="1"/>
  <c r="N39" i="41" s="1"/>
  <c r="O39" i="41" s="1"/>
  <c r="P39" i="41" s="1"/>
  <c r="Q39" i="41" s="1"/>
  <c r="R39" i="41" s="1"/>
  <c r="S39" i="41" s="1"/>
  <c r="T39" i="41" s="1"/>
  <c r="U39" i="41" s="1"/>
  <c r="V39" i="41" s="1"/>
  <c r="W39" i="41" s="1"/>
  <c r="X39" i="41" s="1"/>
  <c r="Y39" i="41" s="1"/>
  <c r="Z39" i="41" s="1"/>
  <c r="AA39" i="41" s="1"/>
  <c r="AB39" i="41" s="1"/>
  <c r="AC39" i="41" s="1"/>
  <c r="AD39" i="41" s="1"/>
  <c r="AE39" i="41" s="1"/>
  <c r="AF39" i="41" s="1"/>
  <c r="AG39" i="41" s="1"/>
  <c r="AH39" i="41" s="1"/>
  <c r="E28" i="20"/>
  <c r="E46" i="20" s="1"/>
  <c r="F22" i="20"/>
  <c r="AL62" i="51"/>
  <c r="D25" i="19"/>
  <c r="D43" i="19" s="1"/>
  <c r="E19" i="19"/>
  <c r="E194" i="54"/>
  <c r="E205" i="54" s="1"/>
  <c r="E31" i="54"/>
  <c r="G28" i="54"/>
  <c r="G43" i="54" s="1"/>
  <c r="H22" i="54"/>
  <c r="E232" i="38"/>
  <c r="E234" i="38" s="1"/>
  <c r="F231" i="38"/>
  <c r="D204" i="48"/>
  <c r="D203" i="48"/>
  <c r="C101" i="19"/>
  <c r="H27" i="29"/>
  <c r="I21" i="29"/>
  <c r="J19" i="16"/>
  <c r="J16" i="16"/>
  <c r="J15" i="16"/>
  <c r="J18" i="16"/>
  <c r="K14" i="16"/>
  <c r="J32" i="16"/>
  <c r="E33" i="28"/>
  <c r="E34" i="28"/>
  <c r="E75" i="16"/>
  <c r="E76" i="16"/>
  <c r="H27" i="46"/>
  <c r="H42" i="46" s="1"/>
  <c r="I21" i="46"/>
  <c r="H40" i="15"/>
  <c r="H42" i="15" s="1"/>
  <c r="G28" i="29"/>
  <c r="G46" i="29" s="1"/>
  <c r="H22" i="29"/>
  <c r="F66" i="47"/>
  <c r="G66" i="47" s="1"/>
  <c r="H66" i="47" s="1"/>
  <c r="I66" i="47" s="1"/>
  <c r="J66" i="47" s="1"/>
  <c r="K66" i="47" s="1"/>
  <c r="L66" i="47" s="1"/>
  <c r="M66" i="47" s="1"/>
  <c r="N66" i="47" s="1"/>
  <c r="O66" i="47" s="1"/>
  <c r="P66" i="47" s="1"/>
  <c r="Q66" i="47" s="1"/>
  <c r="R66" i="47" s="1"/>
  <c r="S66" i="47" s="1"/>
  <c r="T66" i="47" s="1"/>
  <c r="U66" i="47" s="1"/>
  <c r="V66" i="47" s="1"/>
  <c r="W66" i="47" s="1"/>
  <c r="X66" i="47" s="1"/>
  <c r="Y66" i="47" s="1"/>
  <c r="Z66" i="47" s="1"/>
  <c r="AA66" i="47" s="1"/>
  <c r="AB66" i="47" s="1"/>
  <c r="AC66" i="47" s="1"/>
  <c r="AD66" i="47" s="1"/>
  <c r="AE66" i="47" s="1"/>
  <c r="AF66" i="47" s="1"/>
  <c r="AG66" i="47" s="1"/>
  <c r="AH66" i="47" s="1"/>
  <c r="G17" i="45"/>
  <c r="G18" i="45" s="1"/>
  <c r="AM16" i="45"/>
  <c r="H16" i="45"/>
  <c r="D293" i="38"/>
  <c r="D294" i="38"/>
  <c r="D296" i="38"/>
  <c r="D295" i="38"/>
  <c r="E154" i="54"/>
  <c r="E156" i="54" s="1"/>
  <c r="F153" i="54"/>
  <c r="M95" i="29"/>
  <c r="M93" i="29"/>
  <c r="M96" i="29"/>
  <c r="C33" i="46"/>
  <c r="C39" i="46" s="1"/>
  <c r="D75" i="45"/>
  <c r="D89" i="29"/>
  <c r="K25" i="16"/>
  <c r="AJ98" i="36"/>
  <c r="C219" i="53"/>
  <c r="C231" i="53" s="1"/>
  <c r="C220" i="53"/>
  <c r="E56" i="15"/>
  <c r="D60" i="29"/>
  <c r="E56" i="16" s="1"/>
  <c r="G56" i="51"/>
  <c r="C92" i="48"/>
  <c r="C97" i="48" s="1"/>
  <c r="C93" i="48"/>
  <c r="C98" i="48" s="1"/>
  <c r="C94" i="48"/>
  <c r="C90" i="48"/>
  <c r="C95" i="48" s="1"/>
  <c r="C91" i="48"/>
  <c r="AG139" i="46"/>
  <c r="AK54" i="51"/>
  <c r="C203" i="46"/>
  <c r="C204" i="46"/>
  <c r="H20" i="54"/>
  <c r="G26" i="54"/>
  <c r="G41" i="54" s="1"/>
  <c r="G147" i="54" s="1"/>
  <c r="G148" i="54" s="1"/>
  <c r="D209" i="54"/>
  <c r="D210" i="54"/>
  <c r="D212" i="54"/>
  <c r="D211" i="54"/>
  <c r="G25" i="54"/>
  <c r="G40" i="54" s="1"/>
  <c r="H19" i="54"/>
  <c r="D58" i="45"/>
  <c r="F78" i="34"/>
  <c r="G78" i="34" s="1"/>
  <c r="H78" i="34" s="1"/>
  <c r="I78" i="34" s="1"/>
  <c r="J78" i="34" s="1"/>
  <c r="K78" i="34" s="1"/>
  <c r="L78" i="34" s="1"/>
  <c r="M78" i="34" s="1"/>
  <c r="N78" i="34" s="1"/>
  <c r="O78" i="34" s="1"/>
  <c r="P78" i="34" s="1"/>
  <c r="Q78" i="34" s="1"/>
  <c r="R78" i="34" s="1"/>
  <c r="S78" i="34" s="1"/>
  <c r="T78" i="34" s="1"/>
  <c r="U78" i="34" s="1"/>
  <c r="V78" i="34" s="1"/>
  <c r="W78" i="34" s="1"/>
  <c r="X78" i="34" s="1"/>
  <c r="Y78" i="34" s="1"/>
  <c r="Z78" i="34" s="1"/>
  <c r="AA78" i="34" s="1"/>
  <c r="AB78" i="34" s="1"/>
  <c r="AC78" i="34" s="1"/>
  <c r="AD78" i="34" s="1"/>
  <c r="AE78" i="34" s="1"/>
  <c r="AF78" i="34" s="1"/>
  <c r="AG78" i="34" s="1"/>
  <c r="AH78" i="34" s="1"/>
  <c r="G26" i="28"/>
  <c r="G44" i="28" s="1"/>
  <c r="H20" i="28"/>
  <c r="I20" i="15"/>
  <c r="AG184" i="38"/>
  <c r="H21" i="16"/>
  <c r="D237" i="38"/>
  <c r="D241" i="38" s="1"/>
  <c r="D236" i="38"/>
  <c r="D240" i="38" s="1"/>
  <c r="D238" i="38"/>
  <c r="E107" i="36" s="1"/>
  <c r="D235" i="38"/>
  <c r="D239" i="38" s="1"/>
  <c r="D202" i="48"/>
  <c r="J124" i="15"/>
  <c r="I38" i="28"/>
  <c r="J54" i="15"/>
  <c r="G28" i="42"/>
  <c r="G43" i="42" s="1"/>
  <c r="H22" i="42"/>
  <c r="E37" i="29"/>
  <c r="F125" i="16"/>
  <c r="F47" i="16"/>
  <c r="G26" i="53"/>
  <c r="G41" i="53" s="1"/>
  <c r="G147" i="53" s="1"/>
  <c r="G148" i="53" s="1"/>
  <c r="H60" i="51" s="1"/>
  <c r="H20" i="53"/>
  <c r="G28" i="46"/>
  <c r="H22" i="46"/>
  <c r="F90" i="47"/>
  <c r="G90" i="47" s="1"/>
  <c r="H90" i="47" s="1"/>
  <c r="I90" i="47" s="1"/>
  <c r="J90" i="47" s="1"/>
  <c r="K90" i="47" s="1"/>
  <c r="L90" i="47" s="1"/>
  <c r="M90" i="47" s="1"/>
  <c r="N90" i="47" s="1"/>
  <c r="O90" i="47" s="1"/>
  <c r="P90" i="47" s="1"/>
  <c r="Q90" i="47" s="1"/>
  <c r="R90" i="47" s="1"/>
  <c r="S90" i="47" s="1"/>
  <c r="T90" i="47" s="1"/>
  <c r="U90" i="47" s="1"/>
  <c r="V90" i="47" s="1"/>
  <c r="W90" i="47" s="1"/>
  <c r="X90" i="47" s="1"/>
  <c r="Y90" i="47" s="1"/>
  <c r="Z90" i="47" s="1"/>
  <c r="AA90" i="47" s="1"/>
  <c r="AB90" i="47" s="1"/>
  <c r="AC90" i="47" s="1"/>
  <c r="AD90" i="47" s="1"/>
  <c r="AE90" i="47" s="1"/>
  <c r="AF90" i="47" s="1"/>
  <c r="AG90" i="47" s="1"/>
  <c r="AH90" i="47" s="1"/>
  <c r="G26" i="48"/>
  <c r="G41" i="48" s="1"/>
  <c r="H20" i="48"/>
  <c r="L23" i="15"/>
  <c r="L24" i="15"/>
  <c r="M22" i="15"/>
  <c r="H24" i="54"/>
  <c r="I18" i="54"/>
  <c r="D157" i="54"/>
  <c r="D217" i="42"/>
  <c r="D219" i="42" s="1"/>
  <c r="E216" i="42"/>
  <c r="G28" i="38"/>
  <c r="G43" i="38" s="1"/>
  <c r="H22" i="38"/>
  <c r="C131" i="54"/>
  <c r="C132" i="54"/>
  <c r="D296" i="42"/>
  <c r="D294" i="42"/>
  <c r="D293" i="42"/>
  <c r="D295" i="42"/>
  <c r="E292" i="42"/>
  <c r="K41" i="15"/>
  <c r="L7" i="16"/>
  <c r="M6" i="16"/>
  <c r="C219" i="54"/>
  <c r="C231" i="54" s="1"/>
  <c r="C220" i="54"/>
  <c r="C196" i="42"/>
  <c r="C184" i="42"/>
  <c r="C243" i="42" s="1"/>
  <c r="C188" i="42"/>
  <c r="C204" i="42"/>
  <c r="E31" i="46"/>
  <c r="E306" i="46"/>
  <c r="E85" i="28"/>
  <c r="E72" i="29" s="1"/>
  <c r="E83" i="28"/>
  <c r="E70" i="29" s="1"/>
  <c r="E86" i="28"/>
  <c r="E84" i="28"/>
  <c r="E88" i="28"/>
  <c r="E87" i="28"/>
  <c r="F82" i="28"/>
  <c r="AG141" i="46"/>
  <c r="AG142" i="46"/>
  <c r="AG140" i="46"/>
  <c r="G26" i="42"/>
  <c r="G41" i="42" s="1"/>
  <c r="H20" i="42"/>
  <c r="F131" i="15"/>
  <c r="F129" i="15"/>
  <c r="F57" i="41"/>
  <c r="G57" i="41" s="1"/>
  <c r="H57" i="41" s="1"/>
  <c r="I57" i="41" s="1"/>
  <c r="J57" i="41" s="1"/>
  <c r="K57" i="41" s="1"/>
  <c r="L57" i="41" s="1"/>
  <c r="M57" i="41" s="1"/>
  <c r="N57" i="41" s="1"/>
  <c r="O57" i="41" s="1"/>
  <c r="P57" i="41" s="1"/>
  <c r="Q57" i="41" s="1"/>
  <c r="R57" i="41" s="1"/>
  <c r="S57" i="41" s="1"/>
  <c r="T57" i="41" s="1"/>
  <c r="U57" i="41" s="1"/>
  <c r="V57" i="41" s="1"/>
  <c r="W57" i="41" s="1"/>
  <c r="X57" i="41" s="1"/>
  <c r="Y57" i="41" s="1"/>
  <c r="Z57" i="41" s="1"/>
  <c r="AA57" i="41" s="1"/>
  <c r="AB57" i="41" s="1"/>
  <c r="AC57" i="41" s="1"/>
  <c r="AD57" i="41" s="1"/>
  <c r="AE57" i="41" s="1"/>
  <c r="AF57" i="41" s="1"/>
  <c r="AG57" i="41" s="1"/>
  <c r="AH57" i="41" s="1"/>
  <c r="F104" i="54"/>
  <c r="F105" i="54" s="1"/>
  <c r="F106" i="54"/>
  <c r="F107" i="54" s="1"/>
  <c r="F110" i="54"/>
  <c r="F111" i="54" s="1"/>
  <c r="F108" i="54"/>
  <c r="F109" i="54" s="1"/>
  <c r="G123" i="15"/>
  <c r="F36" i="28"/>
  <c r="F42" i="28" s="1"/>
  <c r="G43" i="15"/>
  <c r="F86" i="47"/>
  <c r="G86" i="47" s="1"/>
  <c r="H86" i="47" s="1"/>
  <c r="I86" i="47" s="1"/>
  <c r="J86" i="47" s="1"/>
  <c r="K86" i="47" s="1"/>
  <c r="L86" i="47" s="1"/>
  <c r="M86" i="47" s="1"/>
  <c r="N86" i="47" s="1"/>
  <c r="O86" i="47" s="1"/>
  <c r="P86" i="47" s="1"/>
  <c r="Q86" i="47" s="1"/>
  <c r="R86" i="47" s="1"/>
  <c r="S86" i="47" s="1"/>
  <c r="T86" i="47" s="1"/>
  <c r="U86" i="47" s="1"/>
  <c r="V86" i="47" s="1"/>
  <c r="W86" i="47" s="1"/>
  <c r="X86" i="47" s="1"/>
  <c r="Y86" i="47" s="1"/>
  <c r="Z86" i="47" s="1"/>
  <c r="AA86" i="47" s="1"/>
  <c r="AB86" i="47" s="1"/>
  <c r="AC86" i="47" s="1"/>
  <c r="AD86" i="47" s="1"/>
  <c r="AE86" i="47" s="1"/>
  <c r="AF86" i="47" s="1"/>
  <c r="AG86" i="47" s="1"/>
  <c r="AH86" i="47" s="1"/>
  <c r="C34" i="48"/>
  <c r="F40" i="48" s="1"/>
  <c r="AJ82" i="45"/>
  <c r="AJ24" i="45"/>
  <c r="AJ26" i="45"/>
  <c r="AJ25" i="45"/>
  <c r="AG186" i="38"/>
  <c r="AG185" i="38"/>
  <c r="C151" i="29"/>
  <c r="C152" i="29"/>
  <c r="D169" i="20"/>
  <c r="D168" i="20"/>
  <c r="D171" i="20"/>
  <c r="D185" i="20" s="1"/>
  <c r="D167" i="20"/>
  <c r="D173" i="20" s="1"/>
  <c r="D170" i="20"/>
  <c r="D179" i="20" s="1"/>
  <c r="E166" i="20"/>
  <c r="G26" i="38"/>
  <c r="G41" i="38" s="1"/>
  <c r="H20" i="38"/>
  <c r="H24" i="28"/>
  <c r="I18" i="28"/>
  <c r="F36" i="41"/>
  <c r="G36" i="41" s="1"/>
  <c r="H36" i="41" s="1"/>
  <c r="I36" i="41" s="1"/>
  <c r="J36" i="41" s="1"/>
  <c r="K36" i="41" s="1"/>
  <c r="L36" i="41" s="1"/>
  <c r="M36" i="41" s="1"/>
  <c r="N36" i="41" s="1"/>
  <c r="O36" i="41" s="1"/>
  <c r="P36" i="41" s="1"/>
  <c r="Q36" i="41" s="1"/>
  <c r="R36" i="41" s="1"/>
  <c r="S36" i="41" s="1"/>
  <c r="T36" i="41" s="1"/>
  <c r="U36" i="41" s="1"/>
  <c r="V36" i="41" s="1"/>
  <c r="W36" i="41" s="1"/>
  <c r="X36" i="41" s="1"/>
  <c r="Y36" i="41" s="1"/>
  <c r="Z36" i="41" s="1"/>
  <c r="AA36" i="41" s="1"/>
  <c r="AB36" i="41" s="1"/>
  <c r="AC36" i="41" s="1"/>
  <c r="AD36" i="41" s="1"/>
  <c r="AE36" i="41" s="1"/>
  <c r="AF36" i="41" s="1"/>
  <c r="AG36" i="41" s="1"/>
  <c r="AH36" i="41" s="1"/>
  <c r="E258" i="48"/>
  <c r="F257" i="48"/>
  <c r="C99" i="19"/>
  <c r="I20" i="16"/>
  <c r="F121" i="16"/>
  <c r="F42" i="16"/>
  <c r="F360" i="46"/>
  <c r="G40" i="28"/>
  <c r="H128" i="15"/>
  <c r="H60" i="15"/>
  <c r="AM60" i="51"/>
  <c r="E129" i="16"/>
  <c r="E131" i="16"/>
  <c r="F44" i="54"/>
  <c r="F204" i="54" s="1"/>
  <c r="I13" i="15"/>
  <c r="F69" i="45"/>
  <c r="C184" i="38"/>
  <c r="C196" i="38"/>
  <c r="C204" i="38"/>
  <c r="C188" i="38"/>
  <c r="E61" i="53"/>
  <c r="E65" i="53"/>
  <c r="E75" i="53" s="1"/>
  <c r="E62" i="53"/>
  <c r="E67" i="53"/>
  <c r="E77" i="53" s="1"/>
  <c r="E78" i="53" s="1"/>
  <c r="F61" i="51" s="1"/>
  <c r="E64" i="53"/>
  <c r="E71" i="53" s="1"/>
  <c r="E72" i="53" s="1"/>
  <c r="F57" i="51" s="1"/>
  <c r="E66" i="53"/>
  <c r="E73" i="53" s="1"/>
  <c r="E74" i="53" s="1"/>
  <c r="F60" i="53"/>
  <c r="G39" i="54"/>
  <c r="G25" i="42"/>
  <c r="G40" i="42" s="1"/>
  <c r="H19" i="42"/>
  <c r="E34" i="29"/>
  <c r="E241" i="48"/>
  <c r="F240" i="48"/>
  <c r="D57" i="45"/>
  <c r="AG142" i="48"/>
  <c r="AG141" i="48"/>
  <c r="AG140" i="48"/>
  <c r="L23" i="16"/>
  <c r="L24" i="16"/>
  <c r="M22" i="16"/>
  <c r="C185" i="42"/>
  <c r="C186" i="42"/>
  <c r="C136" i="53"/>
  <c r="F137" i="53" s="1"/>
  <c r="G63" i="51" s="1"/>
  <c r="C130" i="53"/>
  <c r="C134" i="53"/>
  <c r="F135" i="53" s="1"/>
  <c r="C138" i="53"/>
  <c r="F139" i="53" s="1"/>
  <c r="G69" i="51" s="1"/>
  <c r="E45" i="15"/>
  <c r="D74" i="29"/>
  <c r="E45" i="16" s="1"/>
  <c r="AJ66" i="51"/>
  <c r="D34" i="28"/>
  <c r="D33" i="28"/>
  <c r="AG203" i="46"/>
  <c r="AG204" i="46"/>
  <c r="F44" i="53"/>
  <c r="F204" i="53" s="1"/>
  <c r="G28" i="48"/>
  <c r="H22" i="48"/>
  <c r="E47" i="28"/>
  <c r="E53" i="29"/>
  <c r="E51" i="29"/>
  <c r="E52" i="29"/>
  <c r="E49" i="29" s="1"/>
  <c r="E54" i="29"/>
  <c r="E50" i="29"/>
  <c r="E154" i="53"/>
  <c r="E156" i="53" s="1"/>
  <c r="F153" i="53"/>
  <c r="E108" i="28"/>
  <c r="F107" i="28"/>
  <c r="C40" i="46"/>
  <c r="D40" i="46"/>
  <c r="E128" i="38"/>
  <c r="E127" i="38"/>
  <c r="E183" i="38"/>
  <c r="E182" i="38"/>
  <c r="F126" i="38"/>
  <c r="H27" i="54"/>
  <c r="H42" i="54" s="1"/>
  <c r="I21" i="54"/>
  <c r="F332" i="38"/>
  <c r="F37" i="28"/>
  <c r="G47" i="15"/>
  <c r="G125" i="15"/>
  <c r="AG131" i="38"/>
  <c r="AG130" i="38"/>
  <c r="AG132" i="38"/>
  <c r="F29" i="28"/>
  <c r="H24" i="48"/>
  <c r="I18" i="48"/>
  <c r="AG90" i="48"/>
  <c r="AG95" i="48" s="1"/>
  <c r="AG92" i="48"/>
  <c r="AG97" i="48" s="1"/>
  <c r="AG93" i="48"/>
  <c r="AG94" i="48"/>
  <c r="AG91" i="48"/>
  <c r="AK50" i="51"/>
  <c r="C178" i="20"/>
  <c r="C140" i="19" s="1"/>
  <c r="C175" i="20"/>
  <c r="C137" i="19" s="1"/>
  <c r="C174" i="20"/>
  <c r="C136" i="19" s="1"/>
  <c r="D113" i="12"/>
  <c r="C177" i="20"/>
  <c r="C139" i="19" s="1"/>
  <c r="C135" i="19"/>
  <c r="D113" i="14" s="1"/>
  <c r="C176" i="20"/>
  <c r="F73" i="34"/>
  <c r="G73" i="34" s="1"/>
  <c r="H73" i="34" s="1"/>
  <c r="I73" i="34" s="1"/>
  <c r="J73" i="34" s="1"/>
  <c r="K73" i="34" s="1"/>
  <c r="L73" i="34" s="1"/>
  <c r="M73" i="34" s="1"/>
  <c r="N73" i="34" s="1"/>
  <c r="O73" i="34" s="1"/>
  <c r="P73" i="34" s="1"/>
  <c r="Q73" i="34" s="1"/>
  <c r="R73" i="34" s="1"/>
  <c r="S73" i="34" s="1"/>
  <c r="T73" i="34" s="1"/>
  <c r="U73" i="34" s="1"/>
  <c r="V73" i="34" s="1"/>
  <c r="W73" i="34" s="1"/>
  <c r="X73" i="34" s="1"/>
  <c r="Y73" i="34" s="1"/>
  <c r="Z73" i="34" s="1"/>
  <c r="AA73" i="34" s="1"/>
  <c r="AB73" i="34" s="1"/>
  <c r="AC73" i="34" s="1"/>
  <c r="AD73" i="34" s="1"/>
  <c r="AE73" i="34" s="1"/>
  <c r="AF73" i="34" s="1"/>
  <c r="AG73" i="34" s="1"/>
  <c r="AH73" i="34" s="1"/>
  <c r="C98" i="19"/>
  <c r="I17" i="16"/>
  <c r="C144" i="42"/>
  <c r="C148" i="42" s="1"/>
  <c r="C145" i="42"/>
  <c r="C149" i="42" s="1"/>
  <c r="C146" i="42"/>
  <c r="C143" i="42"/>
  <c r="C147" i="42" s="1"/>
  <c r="J9" i="16"/>
  <c r="J10" i="16" s="1"/>
  <c r="E25" i="20"/>
  <c r="E43" i="20" s="1"/>
  <c r="F19" i="20"/>
  <c r="C203" i="48"/>
  <c r="C204" i="48"/>
  <c r="F29" i="54"/>
  <c r="F18" i="45"/>
  <c r="C185" i="38"/>
  <c r="C186" i="38"/>
  <c r="H35" i="16"/>
  <c r="D63" i="53"/>
  <c r="D159" i="53" s="1"/>
  <c r="D69" i="53"/>
  <c r="D70" i="53" s="1"/>
  <c r="E49" i="51" s="1"/>
  <c r="E47" i="29"/>
  <c r="E142" i="29" s="1"/>
  <c r="F103" i="34"/>
  <c r="G103" i="34" s="1"/>
  <c r="H103" i="34" s="1"/>
  <c r="I103" i="34" s="1"/>
  <c r="J103" i="34" s="1"/>
  <c r="K103" i="34" s="1"/>
  <c r="L103" i="34" s="1"/>
  <c r="M103" i="34" s="1"/>
  <c r="N103" i="34" s="1"/>
  <c r="O103" i="34" s="1"/>
  <c r="P103" i="34" s="1"/>
  <c r="Q103" i="34" s="1"/>
  <c r="R103" i="34" s="1"/>
  <c r="S103" i="34" s="1"/>
  <c r="T103" i="34" s="1"/>
  <c r="U103" i="34" s="1"/>
  <c r="V103" i="34" s="1"/>
  <c r="W103" i="34" s="1"/>
  <c r="X103" i="34" s="1"/>
  <c r="Y103" i="34" s="1"/>
  <c r="Z103" i="34" s="1"/>
  <c r="AA103" i="34" s="1"/>
  <c r="AB103" i="34" s="1"/>
  <c r="AC103" i="34" s="1"/>
  <c r="AD103" i="34" s="1"/>
  <c r="AE103" i="34" s="1"/>
  <c r="AF103" i="34" s="1"/>
  <c r="AG103" i="34" s="1"/>
  <c r="AH103" i="34" s="1"/>
  <c r="AG183" i="42"/>
  <c r="AG182" i="42"/>
  <c r="D27" i="19"/>
  <c r="D45" i="19" s="1"/>
  <c r="D130" i="19" s="1"/>
  <c r="E21" i="19"/>
  <c r="E61" i="48"/>
  <c r="E67" i="48"/>
  <c r="E64" i="48"/>
  <c r="E66" i="48"/>
  <c r="E62" i="48"/>
  <c r="E65" i="48"/>
  <c r="F60" i="48"/>
  <c r="AK27" i="45"/>
  <c r="E29" i="45"/>
  <c r="E28" i="45"/>
  <c r="E31" i="45"/>
  <c r="E36" i="45" s="1"/>
  <c r="F27" i="45"/>
  <c r="E54" i="45"/>
  <c r="AG203" i="48"/>
  <c r="AG204" i="48"/>
  <c r="K41" i="16"/>
  <c r="C164" i="28"/>
  <c r="C162" i="28"/>
  <c r="C161" i="28"/>
  <c r="C163" i="28"/>
  <c r="C131" i="53"/>
  <c r="C132" i="53"/>
  <c r="D73" i="29"/>
  <c r="E58" i="16" s="1"/>
  <c r="E58" i="15"/>
  <c r="AJ49" i="51"/>
  <c r="D51" i="51"/>
  <c r="E27" i="20"/>
  <c r="E45" i="20" s="1"/>
  <c r="F21" i="20"/>
  <c r="F29" i="53"/>
  <c r="D211" i="53"/>
  <c r="D212" i="53"/>
  <c r="D210" i="53"/>
  <c r="D209" i="53"/>
  <c r="D157" i="53"/>
  <c r="E66" i="51" s="1"/>
  <c r="E61" i="46"/>
  <c r="E64" i="46"/>
  <c r="E62" i="46"/>
  <c r="E65" i="46"/>
  <c r="E67" i="46"/>
  <c r="E66" i="46"/>
  <c r="E89" i="46" s="1"/>
  <c r="F60" i="46"/>
  <c r="AG131" i="42"/>
  <c r="AG130" i="42"/>
  <c r="AG132" i="42"/>
  <c r="G123" i="16"/>
  <c r="F36" i="29"/>
  <c r="F42" i="29" s="1"/>
  <c r="G43" i="16"/>
  <c r="F257" i="46"/>
  <c r="E258" i="46"/>
  <c r="D82" i="29"/>
  <c r="E55" i="16" s="1"/>
  <c r="E55" i="15"/>
  <c r="D35" i="46"/>
  <c r="E43" i="45"/>
  <c r="E95" i="45"/>
  <c r="E42" i="45"/>
  <c r="E44" i="45"/>
  <c r="D132" i="38"/>
  <c r="D158" i="38" s="1"/>
  <c r="D130" i="38"/>
  <c r="D142" i="38" s="1"/>
  <c r="D131" i="38"/>
  <c r="D150" i="38" s="1"/>
  <c r="J11" i="15"/>
  <c r="G136" i="54"/>
  <c r="G134" i="54"/>
  <c r="G138" i="54"/>
  <c r="G121" i="15"/>
  <c r="G42" i="15"/>
  <c r="I17" i="15"/>
  <c r="AK68" i="51"/>
  <c r="F54" i="47"/>
  <c r="G54" i="47" s="1"/>
  <c r="H54" i="47" s="1"/>
  <c r="I54" i="47" s="1"/>
  <c r="J54" i="47" s="1"/>
  <c r="K54" i="47" s="1"/>
  <c r="L54" i="47" s="1"/>
  <c r="M54" i="47" s="1"/>
  <c r="N54" i="47" s="1"/>
  <c r="O54" i="47" s="1"/>
  <c r="P54" i="47" s="1"/>
  <c r="Q54" i="47" s="1"/>
  <c r="R54" i="47" s="1"/>
  <c r="S54" i="47" s="1"/>
  <c r="T54" i="47" s="1"/>
  <c r="U54" i="47" s="1"/>
  <c r="V54" i="47" s="1"/>
  <c r="W54" i="47" s="1"/>
  <c r="X54" i="47" s="1"/>
  <c r="Y54" i="47" s="1"/>
  <c r="Z54" i="47" s="1"/>
  <c r="AA54" i="47" s="1"/>
  <c r="AB54" i="47" s="1"/>
  <c r="AC54" i="47" s="1"/>
  <c r="AD54" i="47" s="1"/>
  <c r="AE54" i="47" s="1"/>
  <c r="AF54" i="47" s="1"/>
  <c r="AG54" i="47" s="1"/>
  <c r="AH54" i="47" s="1"/>
  <c r="C183" i="20"/>
  <c r="C145" i="19" s="1"/>
  <c r="C181" i="20"/>
  <c r="C143" i="19" s="1"/>
  <c r="C182" i="20"/>
  <c r="C144" i="19" s="1"/>
  <c r="C184" i="20"/>
  <c r="C146" i="19" s="1"/>
  <c r="C180" i="20"/>
  <c r="C142" i="19" s="1"/>
  <c r="C141" i="19"/>
  <c r="D125" i="14" s="1"/>
  <c r="D28" i="19"/>
  <c r="D46" i="19" s="1"/>
  <c r="D167" i="19" s="1"/>
  <c r="D166" i="19" s="1"/>
  <c r="E22" i="19"/>
  <c r="AK42" i="45"/>
  <c r="AK44" i="45"/>
  <c r="H19" i="46"/>
  <c r="G25" i="46"/>
  <c r="G40" i="46" s="1"/>
  <c r="C97" i="19"/>
  <c r="C152" i="38"/>
  <c r="C156" i="38" s="1"/>
  <c r="C151" i="38"/>
  <c r="C155" i="38" s="1"/>
  <c r="C154" i="38"/>
  <c r="D79" i="36" s="1"/>
  <c r="C153" i="38"/>
  <c r="C157" i="38" s="1"/>
  <c r="C159" i="42"/>
  <c r="C163" i="42" s="1"/>
  <c r="C161" i="42"/>
  <c r="C165" i="42" s="1"/>
  <c r="C162" i="42"/>
  <c r="C160" i="42"/>
  <c r="C164" i="42" s="1"/>
  <c r="E208" i="54"/>
  <c r="J54" i="16"/>
  <c r="I38" i="29"/>
  <c r="J124" i="16"/>
  <c r="D96" i="19"/>
  <c r="D95" i="19" s="1"/>
  <c r="D100" i="19"/>
  <c r="D101" i="19"/>
  <c r="D97" i="19"/>
  <c r="D99" i="19"/>
  <c r="E126" i="12"/>
  <c r="D98" i="19"/>
  <c r="D145" i="20"/>
  <c r="D26" i="19"/>
  <c r="D44" i="19" s="1"/>
  <c r="D155" i="19" s="1"/>
  <c r="D154" i="19" s="1"/>
  <c r="E20" i="19"/>
  <c r="G122" i="15"/>
  <c r="G132" i="15" s="1"/>
  <c r="C72" i="42"/>
  <c r="C76" i="42" s="1"/>
  <c r="C70" i="42"/>
  <c r="C74" i="42" s="1"/>
  <c r="C73" i="42"/>
  <c r="C71" i="42"/>
  <c r="C75" i="42" s="1"/>
  <c r="J38" i="28"/>
  <c r="K124" i="15"/>
  <c r="K54" i="15"/>
  <c r="AK61" i="51"/>
  <c r="D196" i="20"/>
  <c r="E195" i="20"/>
  <c r="D63" i="54"/>
  <c r="D159" i="54" s="1"/>
  <c r="D69" i="54"/>
  <c r="D70" i="54" s="1"/>
  <c r="F46" i="47"/>
  <c r="G46" i="47" s="1"/>
  <c r="H46" i="47" s="1"/>
  <c r="I46" i="47" s="1"/>
  <c r="J46" i="47" s="1"/>
  <c r="K46" i="47" s="1"/>
  <c r="L46" i="47" s="1"/>
  <c r="M46" i="47" s="1"/>
  <c r="N46" i="47" s="1"/>
  <c r="O46" i="47" s="1"/>
  <c r="P46" i="47" s="1"/>
  <c r="Q46" i="47" s="1"/>
  <c r="R46" i="47" s="1"/>
  <c r="S46" i="47" s="1"/>
  <c r="T46" i="47" s="1"/>
  <c r="U46" i="47" s="1"/>
  <c r="V46" i="47" s="1"/>
  <c r="W46" i="47" s="1"/>
  <c r="X46" i="47" s="1"/>
  <c r="Y46" i="47" s="1"/>
  <c r="Z46" i="47" s="1"/>
  <c r="AA46" i="47" s="1"/>
  <c r="AB46" i="47" s="1"/>
  <c r="AC46" i="47" s="1"/>
  <c r="AD46" i="47" s="1"/>
  <c r="AE46" i="47" s="1"/>
  <c r="AF46" i="47" s="1"/>
  <c r="AG46" i="47" s="1"/>
  <c r="AH46" i="47" s="1"/>
  <c r="C58" i="29"/>
  <c r="C114" i="28"/>
  <c r="C213" i="28"/>
  <c r="L7" i="15"/>
  <c r="L8" i="15" s="1"/>
  <c r="M6" i="15"/>
  <c r="AK69" i="45"/>
  <c r="AJ34" i="45"/>
  <c r="AJ35" i="45"/>
  <c r="AJ37" i="45"/>
  <c r="AJ36" i="45"/>
  <c r="AJ54" i="45"/>
  <c r="C213" i="54"/>
  <c r="C214" i="54"/>
  <c r="AG87" i="38"/>
  <c r="AG91" i="38" s="1"/>
  <c r="AG86" i="38"/>
  <c r="AG90" i="38" s="1"/>
  <c r="AG88" i="38"/>
  <c r="AG92" i="38" s="1"/>
  <c r="AG89" i="38"/>
  <c r="D75" i="29"/>
  <c r="E64" i="16" s="1"/>
  <c r="E64" i="15"/>
  <c r="C159" i="53"/>
  <c r="D129" i="19"/>
  <c r="D128" i="19" s="1"/>
  <c r="D133" i="19"/>
  <c r="E125" i="12"/>
  <c r="D131" i="19"/>
  <c r="D132" i="19"/>
  <c r="I21" i="53"/>
  <c r="H27" i="53"/>
  <c r="H42" i="53" s="1"/>
  <c r="D205" i="53"/>
  <c r="C213" i="20"/>
  <c r="C171" i="19" s="1"/>
  <c r="C212" i="20"/>
  <c r="C170" i="19" s="1"/>
  <c r="C214" i="20"/>
  <c r="C172" i="19" s="1"/>
  <c r="C216" i="20"/>
  <c r="C174" i="19" s="1"/>
  <c r="D135" i="12"/>
  <c r="C215" i="20"/>
  <c r="C169" i="19"/>
  <c r="D93" i="46"/>
  <c r="D98" i="46" s="1"/>
  <c r="D92" i="46"/>
  <c r="D97" i="46" s="1"/>
  <c r="D89" i="48"/>
  <c r="D90" i="46"/>
  <c r="D91" i="46"/>
  <c r="D94" i="46"/>
  <c r="AG129" i="42"/>
  <c r="H27" i="42"/>
  <c r="H42" i="42" s="1"/>
  <c r="I21" i="42"/>
  <c r="G40" i="45"/>
  <c r="G39" i="45"/>
  <c r="AM38" i="45"/>
  <c r="H38" i="45"/>
  <c r="D185" i="38"/>
  <c r="D186" i="38"/>
  <c r="E121" i="20"/>
  <c r="E125" i="20"/>
  <c r="E122" i="20"/>
  <c r="E120" i="20"/>
  <c r="E127" i="20" s="1"/>
  <c r="E124" i="20"/>
  <c r="E123" i="20"/>
  <c r="F119" i="20"/>
  <c r="G39" i="53"/>
  <c r="D128" i="20"/>
  <c r="D104" i="19" s="1"/>
  <c r="H27" i="48"/>
  <c r="H42" i="48" s="1"/>
  <c r="I21" i="48"/>
  <c r="I34" i="15"/>
  <c r="I33" i="15"/>
  <c r="D138" i="46"/>
  <c r="D201" i="46"/>
  <c r="D137" i="46"/>
  <c r="D200" i="46"/>
  <c r="E136" i="46"/>
  <c r="G25" i="28"/>
  <c r="G43" i="28" s="1"/>
  <c r="H19" i="28"/>
  <c r="C157" i="29"/>
  <c r="C169" i="29" s="1"/>
  <c r="C158" i="29"/>
  <c r="H24" i="46"/>
  <c r="I18" i="46"/>
  <c r="E208" i="53"/>
  <c r="C135" i="38"/>
  <c r="C139" i="38" s="1"/>
  <c r="C137" i="38"/>
  <c r="C141" i="38" s="1"/>
  <c r="C136" i="38"/>
  <c r="C140" i="38" s="1"/>
  <c r="C138" i="38"/>
  <c r="D85" i="36" s="1"/>
  <c r="C189" i="20"/>
  <c r="C151" i="19" s="1"/>
  <c r="C188" i="20"/>
  <c r="C150" i="19" s="1"/>
  <c r="C147" i="19"/>
  <c r="D137" i="14" s="1"/>
  <c r="C186" i="20"/>
  <c r="C148" i="19" s="1"/>
  <c r="C190" i="20"/>
  <c r="C152" i="19" s="1"/>
  <c r="C187" i="20"/>
  <c r="C149" i="19" s="1"/>
  <c r="D137" i="12"/>
  <c r="E137" i="48"/>
  <c r="E200" i="48"/>
  <c r="E201" i="48"/>
  <c r="E138" i="48"/>
  <c r="F136" i="48"/>
  <c r="D64" i="42"/>
  <c r="D77" i="42" s="1"/>
  <c r="D62" i="42"/>
  <c r="D65" i="42"/>
  <c r="D93" i="42" s="1"/>
  <c r="D61" i="42"/>
  <c r="D67" i="42"/>
  <c r="D101" i="42" s="1"/>
  <c r="D66" i="42"/>
  <c r="D85" i="42" s="1"/>
  <c r="E60" i="42"/>
  <c r="G25" i="29"/>
  <c r="G43" i="29" s="1"/>
  <c r="H19" i="29"/>
  <c r="F360" i="48"/>
  <c r="C162" i="38"/>
  <c r="D109" i="36" s="1"/>
  <c r="AJ109" i="36" s="1"/>
  <c r="C159" i="38"/>
  <c r="C163" i="38" s="1"/>
  <c r="C160" i="38"/>
  <c r="C164" i="38" s="1"/>
  <c r="C161" i="38"/>
  <c r="C165" i="38" s="1"/>
  <c r="C151" i="42"/>
  <c r="C155" i="42" s="1"/>
  <c r="C153" i="42"/>
  <c r="C157" i="42" s="1"/>
  <c r="C154" i="42"/>
  <c r="C152" i="42"/>
  <c r="C156" i="42" s="1"/>
  <c r="H24" i="29"/>
  <c r="I18" i="29"/>
  <c r="D143" i="29"/>
  <c r="D146" i="29"/>
  <c r="D65" i="20"/>
  <c r="E63" i="20"/>
  <c r="D64" i="20"/>
  <c r="C202" i="48"/>
  <c r="C246" i="42"/>
  <c r="AG66" i="20"/>
  <c r="E31" i="42"/>
  <c r="E278" i="42"/>
  <c r="E289" i="42" s="1"/>
  <c r="D76" i="53"/>
  <c r="E67" i="51"/>
  <c r="AJ96" i="45"/>
  <c r="C157" i="19"/>
  <c r="C198" i="20"/>
  <c r="C297" i="38"/>
  <c r="C298" i="38"/>
  <c r="G26" i="29"/>
  <c r="G44" i="29" s="1"/>
  <c r="H20" i="29"/>
  <c r="D61" i="38"/>
  <c r="D64" i="38"/>
  <c r="D77" i="38" s="1"/>
  <c r="D65" i="38"/>
  <c r="D93" i="38" s="1"/>
  <c r="D62" i="38"/>
  <c r="D67" i="38"/>
  <c r="D101" i="38" s="1"/>
  <c r="D66" i="38"/>
  <c r="D85" i="38" s="1"/>
  <c r="E60" i="38"/>
  <c r="H27" i="28"/>
  <c r="I21" i="28"/>
  <c r="D63" i="48"/>
  <c r="AK18" i="45"/>
  <c r="AG202" i="48"/>
  <c r="E265" i="19"/>
  <c r="F307" i="20"/>
  <c r="K8" i="16"/>
  <c r="C213" i="53"/>
  <c r="C214" i="53"/>
  <c r="D59" i="29"/>
  <c r="E62" i="16" s="1"/>
  <c r="E62" i="15"/>
  <c r="E48" i="15"/>
  <c r="D71" i="29"/>
  <c r="E48" i="16" s="1"/>
  <c r="E49" i="16" s="1"/>
  <c r="M94" i="29"/>
  <c r="I11" i="16"/>
  <c r="G25" i="48"/>
  <c r="H19" i="48"/>
  <c r="F44" i="42"/>
  <c r="F288" i="42" s="1"/>
  <c r="G138" i="53"/>
  <c r="G136" i="53"/>
  <c r="G137" i="53" s="1"/>
  <c r="H63" i="51" s="1"/>
  <c r="G134" i="53"/>
  <c r="E208" i="20"/>
  <c r="D209" i="20"/>
  <c r="D211" i="20" s="1"/>
  <c r="C297" i="42"/>
  <c r="C298" i="42"/>
  <c r="AL39" i="45"/>
  <c r="AL40" i="45"/>
  <c r="D184" i="38"/>
  <c r="D204" i="38"/>
  <c r="D188" i="38"/>
  <c r="D196" i="38"/>
  <c r="E21" i="45"/>
  <c r="H24" i="53"/>
  <c r="I18" i="53"/>
  <c r="D139" i="20"/>
  <c r="E94" i="12"/>
  <c r="F50" i="47"/>
  <c r="G50" i="47" s="1"/>
  <c r="H50" i="47" s="1"/>
  <c r="I50" i="47" s="1"/>
  <c r="J50" i="47" s="1"/>
  <c r="K50" i="47" s="1"/>
  <c r="L50" i="47" s="1"/>
  <c r="M50" i="47" s="1"/>
  <c r="N50" i="47" s="1"/>
  <c r="O50" i="47" s="1"/>
  <c r="P50" i="47" s="1"/>
  <c r="Q50" i="47" s="1"/>
  <c r="R50" i="47" s="1"/>
  <c r="S50" i="47" s="1"/>
  <c r="T50" i="47" s="1"/>
  <c r="U50" i="47" s="1"/>
  <c r="V50" i="47" s="1"/>
  <c r="W50" i="47" s="1"/>
  <c r="X50" i="47" s="1"/>
  <c r="Y50" i="47" s="1"/>
  <c r="Z50" i="47" s="1"/>
  <c r="AA50" i="47" s="1"/>
  <c r="AB50" i="47" s="1"/>
  <c r="AC50" i="47" s="1"/>
  <c r="AD50" i="47" s="1"/>
  <c r="AE50" i="47" s="1"/>
  <c r="AF50" i="47" s="1"/>
  <c r="AG50" i="47" s="1"/>
  <c r="AH50" i="47" s="1"/>
  <c r="F63" i="29"/>
  <c r="F62" i="29" s="1"/>
  <c r="F64" i="29"/>
  <c r="F65" i="29"/>
  <c r="F67" i="29"/>
  <c r="F66" i="29"/>
  <c r="F68" i="29"/>
  <c r="F68" i="51"/>
  <c r="F50" i="51"/>
  <c r="G128" i="16"/>
  <c r="F40" i="29"/>
  <c r="G60" i="16"/>
  <c r="H27" i="38"/>
  <c r="H42" i="38" s="1"/>
  <c r="I21" i="38"/>
  <c r="D140" i="48"/>
  <c r="D142" i="48"/>
  <c r="D141" i="48"/>
  <c r="G25" i="53"/>
  <c r="G40" i="53" s="1"/>
  <c r="H19" i="53"/>
  <c r="C147" i="20"/>
  <c r="C123" i="19" s="1"/>
  <c r="C148" i="20"/>
  <c r="C124" i="19" s="1"/>
  <c r="C150" i="20"/>
  <c r="C126" i="19" s="1"/>
  <c r="C121" i="19"/>
  <c r="D138" i="14" s="1"/>
  <c r="C146" i="20"/>
  <c r="C122" i="19" s="1"/>
  <c r="C149" i="20"/>
  <c r="C125" i="19" s="1"/>
  <c r="D138" i="12"/>
  <c r="C96" i="19"/>
  <c r="C95" i="19" s="1"/>
  <c r="I33" i="16"/>
  <c r="I34" i="16"/>
  <c r="C144" i="38"/>
  <c r="C148" i="38" s="1"/>
  <c r="C146" i="38"/>
  <c r="D100" i="36" s="1"/>
  <c r="AJ100" i="36" s="1"/>
  <c r="C145" i="38"/>
  <c r="C149" i="38" s="1"/>
  <c r="C143" i="38"/>
  <c r="C147" i="38" s="1"/>
  <c r="C66" i="20"/>
  <c r="C24" i="20"/>
  <c r="C18" i="19"/>
  <c r="D18" i="20"/>
  <c r="C70" i="38"/>
  <c r="C74" i="38" s="1"/>
  <c r="C73" i="38"/>
  <c r="D78" i="36" s="1"/>
  <c r="C72" i="38"/>
  <c r="C76" i="38" s="1"/>
  <c r="C71" i="38"/>
  <c r="C75" i="38" s="1"/>
  <c r="AG70" i="20"/>
  <c r="AG68" i="20"/>
  <c r="AG67" i="20"/>
  <c r="AG69" i="20"/>
  <c r="AK57" i="51"/>
  <c r="AK58" i="51" s="1"/>
  <c r="C246" i="48"/>
  <c r="C251" i="48" s="1"/>
  <c r="C244" i="48"/>
  <c r="C249" i="48" s="1"/>
  <c r="C245" i="48"/>
  <c r="C250" i="48" s="1"/>
  <c r="C248" i="48"/>
  <c r="C247" i="48"/>
  <c r="C252" i="48" s="1"/>
  <c r="E61" i="54"/>
  <c r="E64" i="54"/>
  <c r="E71" i="54" s="1"/>
  <c r="E72" i="54" s="1"/>
  <c r="E65" i="54"/>
  <c r="E75" i="54" s="1"/>
  <c r="E76" i="54" s="1"/>
  <c r="E67" i="54"/>
  <c r="E77" i="54" s="1"/>
  <c r="E78" i="54" s="1"/>
  <c r="E62" i="54"/>
  <c r="E66" i="54"/>
  <c r="E73" i="54" s="1"/>
  <c r="E74" i="54" s="1"/>
  <c r="F60" i="54"/>
  <c r="C303" i="38"/>
  <c r="C315" i="38" s="1"/>
  <c r="C304" i="38"/>
  <c r="G121" i="16"/>
  <c r="G42" i="16"/>
  <c r="D33" i="29"/>
  <c r="D34" i="29"/>
  <c r="H21" i="15"/>
  <c r="F58" i="47"/>
  <c r="G58" i="47" s="1"/>
  <c r="H58" i="47" s="1"/>
  <c r="I58" i="47" s="1"/>
  <c r="J58" i="47" s="1"/>
  <c r="K58" i="47" s="1"/>
  <c r="L58" i="47" s="1"/>
  <c r="M58" i="47" s="1"/>
  <c r="N58" i="47" s="1"/>
  <c r="O58" i="47" s="1"/>
  <c r="P58" i="47" s="1"/>
  <c r="Q58" i="47" s="1"/>
  <c r="R58" i="47" s="1"/>
  <c r="S58" i="47" s="1"/>
  <c r="T58" i="47" s="1"/>
  <c r="U58" i="47" s="1"/>
  <c r="V58" i="47" s="1"/>
  <c r="W58" i="47" s="1"/>
  <c r="X58" i="47" s="1"/>
  <c r="Y58" i="47" s="1"/>
  <c r="Z58" i="47" s="1"/>
  <c r="AA58" i="47" s="1"/>
  <c r="AB58" i="47" s="1"/>
  <c r="AC58" i="47" s="1"/>
  <c r="AD58" i="47" s="1"/>
  <c r="AE58" i="47" s="1"/>
  <c r="AF58" i="47" s="1"/>
  <c r="AG58" i="47" s="1"/>
  <c r="AH58" i="47" s="1"/>
  <c r="D208" i="28"/>
  <c r="D207" i="28"/>
  <c r="D156" i="28"/>
  <c r="E61" i="28"/>
  <c r="E57" i="29" s="1"/>
  <c r="E60" i="28"/>
  <c r="E64" i="28"/>
  <c r="E63" i="28"/>
  <c r="F59" i="28"/>
  <c r="G28" i="28"/>
  <c r="G46" i="28" s="1"/>
  <c r="H22" i="28"/>
  <c r="E217" i="38"/>
  <c r="E219" i="38" s="1"/>
  <c r="F216" i="38"/>
  <c r="F29" i="42"/>
  <c r="G26" i="46"/>
  <c r="G41" i="46" s="1"/>
  <c r="H20" i="46"/>
  <c r="C303" i="42"/>
  <c r="C315" i="42" s="1"/>
  <c r="C304" i="42"/>
  <c r="D59" i="45"/>
  <c r="D72" i="45" s="1"/>
  <c r="F41" i="45"/>
  <c r="D129" i="38"/>
  <c r="D134" i="38"/>
  <c r="D134" i="20"/>
  <c r="D110" i="19" s="1"/>
  <c r="D136" i="20"/>
  <c r="D112" i="19" s="1"/>
  <c r="D137" i="20"/>
  <c r="D113" i="19" s="1"/>
  <c r="D135" i="20"/>
  <c r="D111" i="19" s="1"/>
  <c r="D138" i="20"/>
  <c r="D114" i="19" s="1"/>
  <c r="D109" i="19"/>
  <c r="E126" i="14" s="1"/>
  <c r="J19" i="15"/>
  <c r="J15" i="15"/>
  <c r="J18" i="15"/>
  <c r="J16" i="15"/>
  <c r="K14" i="15"/>
  <c r="J32" i="15"/>
  <c r="J74" i="15" s="1"/>
  <c r="AJ107" i="36"/>
  <c r="F54" i="51"/>
  <c r="AL53" i="51"/>
  <c r="G28" i="53"/>
  <c r="G43" i="53" s="1"/>
  <c r="H22" i="53"/>
  <c r="C137" i="42"/>
  <c r="C141" i="42" s="1"/>
  <c r="C135" i="42"/>
  <c r="C139" i="42" s="1"/>
  <c r="C138" i="42"/>
  <c r="C136" i="42"/>
  <c r="C140" i="42" s="1"/>
  <c r="F31" i="29"/>
  <c r="F132" i="29"/>
  <c r="F110" i="53"/>
  <c r="F111" i="53" s="1"/>
  <c r="F106" i="53"/>
  <c r="F107" i="53" s="1"/>
  <c r="G62" i="51" s="1"/>
  <c r="F104" i="53"/>
  <c r="F105" i="53" s="1"/>
  <c r="G53" i="51" s="1"/>
  <c r="F108" i="53"/>
  <c r="F109" i="53" s="1"/>
  <c r="AJ67" i="51"/>
  <c r="G25" i="38"/>
  <c r="G40" i="38" s="1"/>
  <c r="H19" i="38"/>
  <c r="G122" i="16"/>
  <c r="G132" i="16" s="1"/>
  <c r="E26" i="20"/>
  <c r="E44" i="20" s="1"/>
  <c r="F20" i="20"/>
  <c r="C69" i="20"/>
  <c r="C68" i="20"/>
  <c r="C70" i="20"/>
  <c r="C67" i="20"/>
  <c r="D127" i="42"/>
  <c r="D128" i="42"/>
  <c r="E126" i="42"/>
  <c r="AL17" i="45"/>
  <c r="AL18" i="45" s="1"/>
  <c r="D289" i="38"/>
  <c r="F42" i="41"/>
  <c r="G42" i="41" s="1"/>
  <c r="H42" i="41" s="1"/>
  <c r="I42" i="41" s="1"/>
  <c r="J42" i="41" s="1"/>
  <c r="K42" i="41" s="1"/>
  <c r="L42" i="41" s="1"/>
  <c r="M42" i="41" s="1"/>
  <c r="N42" i="41" s="1"/>
  <c r="O42" i="41" s="1"/>
  <c r="P42" i="41" s="1"/>
  <c r="Q42" i="41" s="1"/>
  <c r="R42" i="41" s="1"/>
  <c r="S42" i="41" s="1"/>
  <c r="T42" i="41" s="1"/>
  <c r="U42" i="41" s="1"/>
  <c r="V42" i="41" s="1"/>
  <c r="W42" i="41" s="1"/>
  <c r="X42" i="41" s="1"/>
  <c r="Y42" i="41" s="1"/>
  <c r="Z42" i="41" s="1"/>
  <c r="AA42" i="41" s="1"/>
  <c r="AB42" i="41" s="1"/>
  <c r="AC42" i="41" s="1"/>
  <c r="AD42" i="41" s="1"/>
  <c r="AE42" i="41" s="1"/>
  <c r="AF42" i="41" s="1"/>
  <c r="AG42" i="41" s="1"/>
  <c r="AH42" i="41" s="1"/>
  <c r="C246" i="38"/>
  <c r="C243" i="38"/>
  <c r="F58" i="51"/>
  <c r="AL56" i="51"/>
  <c r="H39" i="16"/>
  <c r="H13" i="16"/>
  <c r="F332" i="42"/>
  <c r="C138" i="54"/>
  <c r="C134" i="54"/>
  <c r="C130" i="54"/>
  <c r="C159" i="54" s="1"/>
  <c r="C136" i="54"/>
  <c r="F137" i="54" s="1"/>
  <c r="D241" i="46"/>
  <c r="D243" i="46" s="1"/>
  <c r="E240" i="46"/>
  <c r="K9" i="15"/>
  <c r="K10" i="15" s="1"/>
  <c r="E84" i="29"/>
  <c r="F61" i="16"/>
  <c r="H47" i="15"/>
  <c r="H125" i="15"/>
  <c r="G37" i="28"/>
  <c r="C78" i="42"/>
  <c r="C82" i="42" s="1"/>
  <c r="D62" i="28"/>
  <c r="E44" i="15"/>
  <c r="D56" i="29"/>
  <c r="E44" i="16" s="1"/>
  <c r="E58" i="51"/>
  <c r="C90" i="46"/>
  <c r="C95" i="46" s="1"/>
  <c r="G61" i="15"/>
  <c r="F85" i="29"/>
  <c r="AG202" i="46"/>
  <c r="D221" i="38"/>
  <c r="D225" i="38" s="1"/>
  <c r="D223" i="38"/>
  <c r="E98" i="36" s="1"/>
  <c r="D222" i="38"/>
  <c r="D226" i="38" s="1"/>
  <c r="D220" i="38"/>
  <c r="D224" i="38" s="1"/>
  <c r="C102" i="42"/>
  <c r="C106" i="42" s="1"/>
  <c r="AG87" i="42"/>
  <c r="AG91" i="42" s="1"/>
  <c r="AG88" i="42"/>
  <c r="AG92" i="42" s="1"/>
  <c r="AG86" i="42"/>
  <c r="AG90" i="42" s="1"/>
  <c r="AG89" i="42"/>
  <c r="C202" i="46"/>
  <c r="C226" i="46"/>
  <c r="C206" i="46"/>
  <c r="C216" i="46"/>
  <c r="H40" i="16"/>
  <c r="F76" i="15"/>
  <c r="F75" i="15"/>
  <c r="E289" i="38"/>
  <c r="E292" i="38"/>
  <c r="D60" i="45"/>
  <c r="D147" i="12" l="1"/>
  <c r="AG98" i="48"/>
  <c r="AK95" i="45"/>
  <c r="F306" i="46"/>
  <c r="D35" i="48"/>
  <c r="G24" i="42"/>
  <c r="G39" i="42" s="1"/>
  <c r="H18" i="42"/>
  <c r="G29" i="29"/>
  <c r="G31" i="29" s="1"/>
  <c r="AJ110" i="36"/>
  <c r="AJ111" i="36" s="1"/>
  <c r="G139" i="53"/>
  <c r="H69" i="51" s="1"/>
  <c r="AN69" i="51" s="1"/>
  <c r="E133" i="20"/>
  <c r="F29" i="38"/>
  <c r="G24" i="38"/>
  <c r="G39" i="38" s="1"/>
  <c r="H18" i="38"/>
  <c r="D139" i="46"/>
  <c r="F31" i="48"/>
  <c r="E65" i="16"/>
  <c r="E63" i="48"/>
  <c r="D130" i="20"/>
  <c r="G29" i="54"/>
  <c r="D103" i="19"/>
  <c r="E103" i="14" s="1"/>
  <c r="E103" i="12"/>
  <c r="D129" i="20"/>
  <c r="D105" i="19" s="1"/>
  <c r="D131" i="20"/>
  <c r="D107" i="19" s="1"/>
  <c r="G40" i="48"/>
  <c r="E63" i="46"/>
  <c r="E139" i="48"/>
  <c r="D162" i="53"/>
  <c r="D110" i="36"/>
  <c r="AM63" i="51"/>
  <c r="L9" i="15"/>
  <c r="L10" i="15" s="1"/>
  <c r="H75" i="15"/>
  <c r="AK98" i="36"/>
  <c r="K11" i="15"/>
  <c r="C135" i="54"/>
  <c r="D135" i="54"/>
  <c r="E135" i="54"/>
  <c r="D129" i="42"/>
  <c r="D134" i="42"/>
  <c r="AJ113" i="36"/>
  <c r="J17" i="15"/>
  <c r="F217" i="38"/>
  <c r="F219" i="38" s="1"/>
  <c r="G216" i="38"/>
  <c r="F62" i="15"/>
  <c r="E59" i="29"/>
  <c r="F62" i="16" s="1"/>
  <c r="D193" i="29"/>
  <c r="D194" i="29"/>
  <c r="C29" i="20"/>
  <c r="C42" i="20"/>
  <c r="AL50" i="51"/>
  <c r="I24" i="53"/>
  <c r="J18" i="53"/>
  <c r="K9" i="16"/>
  <c r="K10" i="16" s="1"/>
  <c r="D79" i="38"/>
  <c r="D83" i="38" s="1"/>
  <c r="D78" i="38"/>
  <c r="D82" i="38" s="1"/>
  <c r="D80" i="38"/>
  <c r="D84" i="38" s="1"/>
  <c r="D81" i="38"/>
  <c r="E92" i="36" s="1"/>
  <c r="AK92" i="36" s="1"/>
  <c r="D66" i="20"/>
  <c r="H25" i="29"/>
  <c r="H43" i="29" s="1"/>
  <c r="I19" i="29"/>
  <c r="D104" i="42"/>
  <c r="D108" i="42" s="1"/>
  <c r="D102" i="42"/>
  <c r="D106" i="42" s="1"/>
  <c r="D105" i="42"/>
  <c r="D103" i="42"/>
  <c r="D107" i="42" s="1"/>
  <c r="E202" i="48"/>
  <c r="H25" i="28"/>
  <c r="H43" i="28" s="1"/>
  <c r="I19" i="28"/>
  <c r="I35" i="15"/>
  <c r="F122" i="20"/>
  <c r="F121" i="20"/>
  <c r="F125" i="20"/>
  <c r="F123" i="20"/>
  <c r="F120" i="20"/>
  <c r="F124" i="20"/>
  <c r="G119" i="20"/>
  <c r="C215" i="54"/>
  <c r="C216" i="54"/>
  <c r="C214" i="28"/>
  <c r="C158" i="28"/>
  <c r="C159" i="28" s="1"/>
  <c r="C181" i="28"/>
  <c r="C182" i="28" s="1"/>
  <c r="G137" i="54"/>
  <c r="E92" i="46"/>
  <c r="E97" i="46" s="1"/>
  <c r="E90" i="46"/>
  <c r="E95" i="46" s="1"/>
  <c r="E89" i="48"/>
  <c r="E91" i="46"/>
  <c r="E93" i="46"/>
  <c r="E98" i="46" s="1"/>
  <c r="E94" i="46"/>
  <c r="F194" i="53"/>
  <c r="F31" i="53"/>
  <c r="AJ51" i="51"/>
  <c r="C172" i="28"/>
  <c r="C171" i="28"/>
  <c r="C183" i="28" s="1"/>
  <c r="E30" i="45"/>
  <c r="F65" i="48"/>
  <c r="F64" i="48"/>
  <c r="F61" i="48"/>
  <c r="F67" i="48"/>
  <c r="F66" i="48"/>
  <c r="F62" i="48"/>
  <c r="G60" i="48"/>
  <c r="E72" i="51"/>
  <c r="E51" i="51"/>
  <c r="AK49" i="51"/>
  <c r="J11" i="16"/>
  <c r="H138" i="54"/>
  <c r="H139" i="54" s="1"/>
  <c r="H136" i="54"/>
  <c r="H137" i="54" s="1"/>
  <c r="H134" i="54"/>
  <c r="H135" i="54" s="1"/>
  <c r="C154" i="46"/>
  <c r="C164" i="46"/>
  <c r="C174" i="46"/>
  <c r="C144" i="46"/>
  <c r="E89" i="29"/>
  <c r="C37" i="46"/>
  <c r="G43" i="46" s="1"/>
  <c r="D104" i="45"/>
  <c r="E76" i="53"/>
  <c r="F67" i="51"/>
  <c r="G360" i="46"/>
  <c r="I24" i="28"/>
  <c r="J18" i="28"/>
  <c r="AJ59" i="45"/>
  <c r="AJ72" i="45" s="1"/>
  <c r="E73" i="29"/>
  <c r="F58" i="16" s="1"/>
  <c r="F58" i="15"/>
  <c r="C197" i="42"/>
  <c r="C201" i="42" s="1"/>
  <c r="C199" i="42"/>
  <c r="C203" i="42" s="1"/>
  <c r="C198" i="42"/>
  <c r="C202" i="42" s="1"/>
  <c r="C200" i="42"/>
  <c r="H26" i="53"/>
  <c r="H41" i="53" s="1"/>
  <c r="H147" i="53" s="1"/>
  <c r="H148" i="53" s="1"/>
  <c r="I60" i="51" s="1"/>
  <c r="I20" i="53"/>
  <c r="H28" i="42"/>
  <c r="H43" i="42" s="1"/>
  <c r="I22" i="42"/>
  <c r="H26" i="28"/>
  <c r="H44" i="28" s="1"/>
  <c r="I20" i="28"/>
  <c r="I27" i="46"/>
  <c r="I42" i="46" s="1"/>
  <c r="J21" i="46"/>
  <c r="K19" i="16"/>
  <c r="K18" i="16"/>
  <c r="K16" i="16"/>
  <c r="K15" i="16"/>
  <c r="L14" i="16"/>
  <c r="K32" i="16"/>
  <c r="K74" i="16" s="1"/>
  <c r="D137" i="38"/>
  <c r="D141" i="38" s="1"/>
  <c r="D138" i="38"/>
  <c r="E85" i="36" s="1"/>
  <c r="D135" i="38"/>
  <c r="D139" i="38" s="1"/>
  <c r="D136" i="38"/>
  <c r="D140" i="38" s="1"/>
  <c r="E221" i="38"/>
  <c r="E225" i="38" s="1"/>
  <c r="E223" i="38"/>
  <c r="F98" i="36" s="1"/>
  <c r="E222" i="38"/>
  <c r="E226" i="38" s="1"/>
  <c r="E220" i="38"/>
  <c r="E224" i="38" s="1"/>
  <c r="F56" i="15"/>
  <c r="E60" i="29"/>
  <c r="F56" i="16" s="1"/>
  <c r="G76" i="16"/>
  <c r="G75" i="16"/>
  <c r="I19" i="53"/>
  <c r="H25" i="53"/>
  <c r="H40" i="53" s="1"/>
  <c r="AL68" i="51"/>
  <c r="H39" i="53"/>
  <c r="AL41" i="45"/>
  <c r="D216" i="20"/>
  <c r="D174" i="19" s="1"/>
  <c r="D214" i="20"/>
  <c r="D172" i="19" s="1"/>
  <c r="D213" i="20"/>
  <c r="D171" i="19" s="1"/>
  <c r="D212" i="20"/>
  <c r="D170" i="19" s="1"/>
  <c r="E135" i="12"/>
  <c r="D215" i="20"/>
  <c r="D169" i="19"/>
  <c r="F265" i="19"/>
  <c r="G307" i="20"/>
  <c r="I27" i="28"/>
  <c r="J21" i="28"/>
  <c r="D63" i="38"/>
  <c r="D69" i="38"/>
  <c r="C290" i="42"/>
  <c r="C291" i="42" s="1"/>
  <c r="C247" i="42"/>
  <c r="C313" i="42"/>
  <c r="C314" i="42" s="1"/>
  <c r="E65" i="20"/>
  <c r="E64" i="20"/>
  <c r="F63" i="20"/>
  <c r="I24" i="29"/>
  <c r="J18" i="29"/>
  <c r="D63" i="42"/>
  <c r="D69" i="42"/>
  <c r="G63" i="29"/>
  <c r="G62" i="29" s="1"/>
  <c r="G66" i="29"/>
  <c r="G68" i="29"/>
  <c r="G64" i="29"/>
  <c r="G67" i="29"/>
  <c r="G65" i="29"/>
  <c r="E137" i="20"/>
  <c r="E113" i="19" s="1"/>
  <c r="E136" i="20"/>
  <c r="E112" i="19" s="1"/>
  <c r="E138" i="20"/>
  <c r="E114" i="19" s="1"/>
  <c r="E134" i="20"/>
  <c r="E110" i="19" s="1"/>
  <c r="E135" i="20"/>
  <c r="E111" i="19" s="1"/>
  <c r="E109" i="19"/>
  <c r="F126" i="14" s="1"/>
  <c r="H40" i="45"/>
  <c r="H39" i="45"/>
  <c r="AN38" i="45"/>
  <c r="I38" i="45"/>
  <c r="D135" i="14"/>
  <c r="I21" i="15"/>
  <c r="J13" i="15"/>
  <c r="F47" i="29"/>
  <c r="F142" i="29" s="1"/>
  <c r="AG184" i="42"/>
  <c r="G29" i="28"/>
  <c r="F108" i="28"/>
  <c r="G107" i="28"/>
  <c r="M23" i="16"/>
  <c r="M24" i="16"/>
  <c r="N22" i="16"/>
  <c r="G44" i="54"/>
  <c r="G204" i="54" s="1"/>
  <c r="E63" i="53"/>
  <c r="E159" i="53" s="1"/>
  <c r="E69" i="53"/>
  <c r="E70" i="53" s="1"/>
  <c r="F49" i="51" s="1"/>
  <c r="F258" i="48"/>
  <c r="G257" i="48"/>
  <c r="AJ60" i="45"/>
  <c r="AJ73" i="45" s="1"/>
  <c r="G44" i="38"/>
  <c r="G288" i="38" s="1"/>
  <c r="D297" i="42"/>
  <c r="D298" i="42"/>
  <c r="E217" i="42"/>
  <c r="E219" i="42" s="1"/>
  <c r="F216" i="42"/>
  <c r="AN60" i="51"/>
  <c r="AK107" i="36"/>
  <c r="G80" i="29"/>
  <c r="G79" i="29" s="1"/>
  <c r="D71" i="45"/>
  <c r="AM56" i="51"/>
  <c r="J38" i="29"/>
  <c r="K124" i="16"/>
  <c r="K54" i="16"/>
  <c r="H17" i="45"/>
  <c r="H18" i="45" s="1"/>
  <c r="AN16" i="45"/>
  <c r="I16" i="45"/>
  <c r="J20" i="16"/>
  <c r="E183" i="42"/>
  <c r="E182" i="42"/>
  <c r="F181" i="42"/>
  <c r="C139" i="54"/>
  <c r="D139" i="54"/>
  <c r="E139" i="54"/>
  <c r="C162" i="54"/>
  <c r="E295" i="38"/>
  <c r="E293" i="38"/>
  <c r="E296" i="38"/>
  <c r="E294" i="38"/>
  <c r="H122" i="16"/>
  <c r="H132" i="16" s="1"/>
  <c r="E67" i="16"/>
  <c r="E46" i="16"/>
  <c r="G332" i="42"/>
  <c r="AL69" i="45"/>
  <c r="C78" i="20"/>
  <c r="F26" i="20"/>
  <c r="F44" i="20" s="1"/>
  <c r="G20" i="20"/>
  <c r="E62" i="28"/>
  <c r="E56" i="29"/>
  <c r="F44" i="16" s="1"/>
  <c r="F44" i="15"/>
  <c r="G131" i="16"/>
  <c r="G129" i="16"/>
  <c r="G110" i="53"/>
  <c r="G111" i="53" s="1"/>
  <c r="G104" i="53"/>
  <c r="G105" i="53" s="1"/>
  <c r="H53" i="51" s="1"/>
  <c r="G108" i="53"/>
  <c r="G109" i="53" s="1"/>
  <c r="G106" i="53"/>
  <c r="G107" i="53" s="1"/>
  <c r="H62" i="51" s="1"/>
  <c r="E23" i="45"/>
  <c r="E209" i="20"/>
  <c r="E211" i="20" s="1"/>
  <c r="F208" i="20"/>
  <c r="H26" i="29"/>
  <c r="H44" i="29" s="1"/>
  <c r="I20" i="29"/>
  <c r="D68" i="20"/>
  <c r="D70" i="20"/>
  <c r="D69" i="20"/>
  <c r="D67" i="20"/>
  <c r="D94" i="42"/>
  <c r="D98" i="42" s="1"/>
  <c r="D95" i="42"/>
  <c r="D99" i="42" s="1"/>
  <c r="D97" i="42"/>
  <c r="D96" i="42"/>
  <c r="D100" i="42" s="1"/>
  <c r="D86" i="36"/>
  <c r="D89" i="36" s="1"/>
  <c r="AJ85" i="36"/>
  <c r="AJ86" i="36" s="1"/>
  <c r="AJ89" i="36" s="1"/>
  <c r="E137" i="46"/>
  <c r="E201" i="46"/>
  <c r="E138" i="46"/>
  <c r="E200" i="46"/>
  <c r="F136" i="46"/>
  <c r="F94" i="12"/>
  <c r="E139" i="20"/>
  <c r="AM39" i="45"/>
  <c r="AM40" i="45"/>
  <c r="C173" i="19"/>
  <c r="H136" i="53"/>
  <c r="H137" i="53" s="1"/>
  <c r="I63" i="51" s="1"/>
  <c r="H138" i="53"/>
  <c r="H139" i="53" s="1"/>
  <c r="I69" i="51" s="1"/>
  <c r="H134" i="53"/>
  <c r="AJ57" i="45"/>
  <c r="M7" i="15"/>
  <c r="M8" i="15"/>
  <c r="N6" i="15"/>
  <c r="C88" i="29"/>
  <c r="C100" i="29"/>
  <c r="E196" i="20"/>
  <c r="F195" i="20"/>
  <c r="E212" i="54"/>
  <c r="E209" i="54"/>
  <c r="E210" i="54"/>
  <c r="E211" i="54"/>
  <c r="AJ79" i="36"/>
  <c r="D219" i="53"/>
  <c r="D231" i="53" s="1"/>
  <c r="D220" i="53"/>
  <c r="F27" i="20"/>
  <c r="F45" i="20" s="1"/>
  <c r="G21" i="20"/>
  <c r="AG186" i="42"/>
  <c r="AG185" i="42"/>
  <c r="G40" i="29"/>
  <c r="H60" i="16"/>
  <c r="H128" i="16"/>
  <c r="C138" i="19"/>
  <c r="F127" i="38"/>
  <c r="F128" i="38"/>
  <c r="F183" i="38"/>
  <c r="F182" i="38"/>
  <c r="G126" i="38"/>
  <c r="F55" i="15"/>
  <c r="E82" i="29"/>
  <c r="F55" i="16" s="1"/>
  <c r="C139" i="53"/>
  <c r="D69" i="51" s="1"/>
  <c r="D139" i="53"/>
  <c r="E69" i="51" s="1"/>
  <c r="E139" i="53"/>
  <c r="F69" i="51" s="1"/>
  <c r="C162" i="53"/>
  <c r="L25" i="16"/>
  <c r="F241" i="48"/>
  <c r="G240" i="48"/>
  <c r="G194" i="54"/>
  <c r="G31" i="54"/>
  <c r="C190" i="38"/>
  <c r="C194" i="38" s="1"/>
  <c r="C191" i="38"/>
  <c r="C195" i="38" s="1"/>
  <c r="C192" i="38"/>
  <c r="D91" i="36" s="1"/>
  <c r="C189" i="38"/>
  <c r="C193" i="38" s="1"/>
  <c r="I47" i="15"/>
  <c r="H37" i="28"/>
  <c r="I125" i="15"/>
  <c r="F75" i="16"/>
  <c r="F76" i="16"/>
  <c r="H26" i="38"/>
  <c r="H41" i="38" s="1"/>
  <c r="I20" i="38"/>
  <c r="AJ58" i="45"/>
  <c r="G29" i="38"/>
  <c r="D220" i="42"/>
  <c r="D224" i="42" s="1"/>
  <c r="D221" i="42"/>
  <c r="D225" i="42" s="1"/>
  <c r="D223" i="42"/>
  <c r="D222" i="42"/>
  <c r="D226" i="42" s="1"/>
  <c r="M23" i="15"/>
  <c r="M24" i="15"/>
  <c r="N22" i="15"/>
  <c r="H26" i="54"/>
  <c r="H41" i="54" s="1"/>
  <c r="H147" i="54" s="1"/>
  <c r="H148" i="54" s="1"/>
  <c r="I20" i="54"/>
  <c r="AM17" i="45"/>
  <c r="AM18" i="45" s="1"/>
  <c r="J17" i="16"/>
  <c r="E25" i="19"/>
  <c r="E43" i="19" s="1"/>
  <c r="E96" i="19" s="1"/>
  <c r="E95" i="19" s="1"/>
  <c r="F19" i="19"/>
  <c r="D184" i="42"/>
  <c r="D188" i="42"/>
  <c r="D196" i="42"/>
  <c r="D204" i="42"/>
  <c r="E67" i="15"/>
  <c r="E46" i="15"/>
  <c r="E241" i="46"/>
  <c r="E243" i="46" s="1"/>
  <c r="F240" i="46"/>
  <c r="C290" i="38"/>
  <c r="C291" i="38" s="1"/>
  <c r="C247" i="38"/>
  <c r="C313" i="38"/>
  <c r="C314" i="38" s="1"/>
  <c r="C90" i="20"/>
  <c r="H28" i="53"/>
  <c r="H43" i="53" s="1"/>
  <c r="I22" i="53"/>
  <c r="AL54" i="51"/>
  <c r="J33" i="15"/>
  <c r="J34" i="15"/>
  <c r="E35" i="46"/>
  <c r="F43" i="45"/>
  <c r="F44" i="45"/>
  <c r="F42" i="45"/>
  <c r="F95" i="45"/>
  <c r="E139" i="16"/>
  <c r="H28" i="28"/>
  <c r="H46" i="28" s="1"/>
  <c r="I22" i="28"/>
  <c r="D80" i="36"/>
  <c r="D83" i="36" s="1"/>
  <c r="AJ78" i="36"/>
  <c r="G29" i="46"/>
  <c r="G135" i="53"/>
  <c r="H56" i="51"/>
  <c r="E49" i="15"/>
  <c r="E61" i="38"/>
  <c r="E62" i="38"/>
  <c r="E64" i="38"/>
  <c r="E77" i="38" s="1"/>
  <c r="E67" i="38"/>
  <c r="E101" i="38" s="1"/>
  <c r="E65" i="38"/>
  <c r="E93" i="38" s="1"/>
  <c r="E66" i="38"/>
  <c r="E85" i="38" s="1"/>
  <c r="F60" i="38"/>
  <c r="D147" i="29"/>
  <c r="D148" i="29"/>
  <c r="D150" i="29"/>
  <c r="D149" i="29"/>
  <c r="E212" i="53"/>
  <c r="E211" i="53"/>
  <c r="E210" i="53"/>
  <c r="E209" i="53"/>
  <c r="D202" i="46"/>
  <c r="D226" i="46"/>
  <c r="D216" i="46"/>
  <c r="D206" i="46"/>
  <c r="I27" i="48"/>
  <c r="I42" i="48" s="1"/>
  <c r="J21" i="48"/>
  <c r="E132" i="20"/>
  <c r="E108" i="19" s="1"/>
  <c r="E129" i="20"/>
  <c r="E105" i="19" s="1"/>
  <c r="E103" i="19"/>
  <c r="F103" i="14" s="1"/>
  <c r="E131" i="20"/>
  <c r="E107" i="19" s="1"/>
  <c r="E128" i="20"/>
  <c r="E104" i="19" s="1"/>
  <c r="E130" i="20"/>
  <c r="F103" i="12"/>
  <c r="G41" i="45"/>
  <c r="I27" i="53"/>
  <c r="I42" i="53" s="1"/>
  <c r="J21" i="53"/>
  <c r="D157" i="19"/>
  <c r="E123" i="12"/>
  <c r="D198" i="20"/>
  <c r="G75" i="15"/>
  <c r="G76" i="15"/>
  <c r="D152" i="38"/>
  <c r="D156" i="38" s="1"/>
  <c r="D151" i="38"/>
  <c r="D155" i="38" s="1"/>
  <c r="D154" i="38"/>
  <c r="E79" i="36" s="1"/>
  <c r="D153" i="38"/>
  <c r="D157" i="38" s="1"/>
  <c r="D213" i="53"/>
  <c r="D214" i="53"/>
  <c r="F125" i="12"/>
  <c r="AK29" i="45"/>
  <c r="AK31" i="45"/>
  <c r="AK36" i="45" s="1"/>
  <c r="AK28" i="45"/>
  <c r="AK54" i="45"/>
  <c r="I24" i="48"/>
  <c r="J18" i="48"/>
  <c r="E184" i="38"/>
  <c r="E196" i="38"/>
  <c r="E204" i="38"/>
  <c r="E188" i="38"/>
  <c r="F154" i="53"/>
  <c r="F156" i="53" s="1"/>
  <c r="G153" i="53"/>
  <c r="C135" i="53"/>
  <c r="D56" i="51"/>
  <c r="D135" i="53"/>
  <c r="E135" i="53"/>
  <c r="F61" i="53"/>
  <c r="F66" i="53"/>
  <c r="F73" i="53" s="1"/>
  <c r="F74" i="53" s="1"/>
  <c r="F62" i="53"/>
  <c r="F65" i="53"/>
  <c r="F75" i="53" s="1"/>
  <c r="F64" i="53"/>
  <c r="F71" i="53" s="1"/>
  <c r="F72" i="53" s="1"/>
  <c r="G57" i="51" s="1"/>
  <c r="F67" i="53"/>
  <c r="F77" i="53" s="1"/>
  <c r="F78" i="53" s="1"/>
  <c r="G61" i="51" s="1"/>
  <c r="G60" i="53"/>
  <c r="C206" i="38"/>
  <c r="C210" i="38" s="1"/>
  <c r="C207" i="38"/>
  <c r="C211" i="38" s="1"/>
  <c r="C208" i="38"/>
  <c r="C205" i="38"/>
  <c r="C209" i="38" s="1"/>
  <c r="D162" i="54"/>
  <c r="H25" i="54"/>
  <c r="H40" i="54" s="1"/>
  <c r="I19" i="54"/>
  <c r="F154" i="54"/>
  <c r="F156" i="54" s="1"/>
  <c r="G153" i="54"/>
  <c r="G19" i="45"/>
  <c r="G20" i="45"/>
  <c r="F232" i="38"/>
  <c r="F234" i="38" s="1"/>
  <c r="G231" i="38"/>
  <c r="D186" i="42"/>
  <c r="D185" i="42"/>
  <c r="C218" i="46"/>
  <c r="C223" i="46" s="1"/>
  <c r="C220" i="46"/>
  <c r="C225" i="46" s="1"/>
  <c r="C219" i="46"/>
  <c r="C224" i="46" s="1"/>
  <c r="C221" i="46"/>
  <c r="D99" i="45" s="1"/>
  <c r="C217" i="46"/>
  <c r="C222" i="46" s="1"/>
  <c r="C216" i="48"/>
  <c r="D58" i="29"/>
  <c r="D213" i="28"/>
  <c r="D114" i="28"/>
  <c r="D247" i="46"/>
  <c r="D252" i="46" s="1"/>
  <c r="D244" i="46"/>
  <c r="D249" i="46" s="1"/>
  <c r="D246" i="46"/>
  <c r="D251" i="46" s="1"/>
  <c r="D245" i="46"/>
  <c r="D250" i="46" s="1"/>
  <c r="D243" i="48"/>
  <c r="D248" i="46"/>
  <c r="E96" i="45" s="1"/>
  <c r="G37" i="29"/>
  <c r="H125" i="16"/>
  <c r="H47" i="16"/>
  <c r="AL19" i="45"/>
  <c r="AL20" i="45"/>
  <c r="C84" i="20"/>
  <c r="F34" i="29"/>
  <c r="F33" i="29"/>
  <c r="K19" i="15"/>
  <c r="K15" i="15"/>
  <c r="K18" i="15"/>
  <c r="K16" i="15"/>
  <c r="L14" i="15"/>
  <c r="K74" i="15"/>
  <c r="K32" i="15"/>
  <c r="H26" i="46"/>
  <c r="H41" i="46" s="1"/>
  <c r="I20" i="46"/>
  <c r="G85" i="29"/>
  <c r="H61" i="15"/>
  <c r="E63" i="54"/>
  <c r="E159" i="54" s="1"/>
  <c r="E69" i="54"/>
  <c r="E70" i="54" s="1"/>
  <c r="D199" i="38"/>
  <c r="D198" i="38"/>
  <c r="D200" i="38"/>
  <c r="E101" i="36" s="1"/>
  <c r="AK101" i="36" s="1"/>
  <c r="D197" i="38"/>
  <c r="AN63" i="51"/>
  <c r="E65" i="15"/>
  <c r="D88" i="38"/>
  <c r="D92" i="38" s="1"/>
  <c r="D86" i="38"/>
  <c r="D90" i="38" s="1"/>
  <c r="D87" i="38"/>
  <c r="D91" i="38" s="1"/>
  <c r="D89" i="38"/>
  <c r="C300" i="38"/>
  <c r="C299" i="38"/>
  <c r="D78" i="42"/>
  <c r="D82" i="42" s="1"/>
  <c r="D80" i="42"/>
  <c r="D84" i="42" s="1"/>
  <c r="D79" i="42"/>
  <c r="D83" i="42" s="1"/>
  <c r="D81" i="42"/>
  <c r="I24" i="46"/>
  <c r="J18" i="46"/>
  <c r="G44" i="53"/>
  <c r="G204" i="53" s="1"/>
  <c r="F135" i="54"/>
  <c r="E26" i="19"/>
  <c r="E44" i="19" s="1"/>
  <c r="E155" i="19" s="1"/>
  <c r="E154" i="19" s="1"/>
  <c r="F20" i="19"/>
  <c r="D146" i="38"/>
  <c r="E100" i="36" s="1"/>
  <c r="AK100" i="36" s="1"/>
  <c r="D143" i="38"/>
  <c r="D147" i="38" s="1"/>
  <c r="D144" i="38"/>
  <c r="D148" i="38" s="1"/>
  <c r="D145" i="38"/>
  <c r="D149" i="38" s="1"/>
  <c r="E59" i="15"/>
  <c r="F139" i="54"/>
  <c r="F25" i="20"/>
  <c r="F43" i="20" s="1"/>
  <c r="G19" i="20"/>
  <c r="E186" i="38"/>
  <c r="E185" i="38"/>
  <c r="E157" i="53"/>
  <c r="F66" i="51" s="1"/>
  <c r="E162" i="53"/>
  <c r="E207" i="28"/>
  <c r="E208" i="28"/>
  <c r="E156" i="28"/>
  <c r="F31" i="38"/>
  <c r="F278" i="38"/>
  <c r="F289" i="38" s="1"/>
  <c r="C198" i="38"/>
  <c r="C202" i="38" s="1"/>
  <c r="C197" i="38"/>
  <c r="C201" i="38" s="1"/>
  <c r="C200" i="38"/>
  <c r="D101" i="36" s="1"/>
  <c r="AJ101" i="36" s="1"/>
  <c r="AJ102" i="36" s="1"/>
  <c r="C199" i="38"/>
  <c r="C203" i="38" s="1"/>
  <c r="I39" i="15"/>
  <c r="F131" i="16"/>
  <c r="F129" i="16"/>
  <c r="E169" i="20"/>
  <c r="E168" i="20"/>
  <c r="E171" i="20"/>
  <c r="E185" i="20" s="1"/>
  <c r="E170" i="20"/>
  <c r="E179" i="20" s="1"/>
  <c r="F166" i="20"/>
  <c r="E167" i="20"/>
  <c r="E173" i="20" s="1"/>
  <c r="C40" i="48"/>
  <c r="D40" i="48"/>
  <c r="E40" i="48"/>
  <c r="F47" i="28"/>
  <c r="F54" i="29"/>
  <c r="F52" i="29"/>
  <c r="F49" i="29" s="1"/>
  <c r="F51" i="29"/>
  <c r="F50" i="29"/>
  <c r="F53" i="29"/>
  <c r="H26" i="42"/>
  <c r="H41" i="42" s="1"/>
  <c r="I20" i="42"/>
  <c r="F85" i="28"/>
  <c r="F72" i="29" s="1"/>
  <c r="F83" i="28"/>
  <c r="F70" i="29" s="1"/>
  <c r="F84" i="28"/>
  <c r="F88" i="28"/>
  <c r="F86" i="28"/>
  <c r="F87" i="28"/>
  <c r="G82" i="28"/>
  <c r="M7" i="16"/>
  <c r="M8" i="16" s="1"/>
  <c r="N6" i="16"/>
  <c r="D303" i="42"/>
  <c r="D315" i="42" s="1"/>
  <c r="D304" i="42"/>
  <c r="H123" i="16"/>
  <c r="G36" i="29"/>
  <c r="G42" i="29" s="1"/>
  <c r="H43" i="16"/>
  <c r="I40" i="15"/>
  <c r="G108" i="54"/>
  <c r="G109" i="54" s="1"/>
  <c r="G106" i="54"/>
  <c r="G107" i="54" s="1"/>
  <c r="G110" i="54"/>
  <c r="G111" i="54" s="1"/>
  <c r="G104" i="54"/>
  <c r="G105" i="54" s="1"/>
  <c r="C99" i="46"/>
  <c r="C79" i="46"/>
  <c r="C109" i="46"/>
  <c r="C69" i="46"/>
  <c r="E157" i="54"/>
  <c r="E162" i="54"/>
  <c r="H28" i="29"/>
  <c r="H46" i="29" s="1"/>
  <c r="I22" i="29"/>
  <c r="E237" i="38"/>
  <c r="E241" i="38" s="1"/>
  <c r="E236" i="38"/>
  <c r="E240" i="38" s="1"/>
  <c r="E238" i="38"/>
  <c r="F107" i="36" s="1"/>
  <c r="E235" i="38"/>
  <c r="E239" i="38" s="1"/>
  <c r="C96" i="20"/>
  <c r="G68" i="51"/>
  <c r="G50" i="51"/>
  <c r="D157" i="28"/>
  <c r="D160" i="28"/>
  <c r="H123" i="15"/>
  <c r="G36" i="28"/>
  <c r="G42" i="28" s="1"/>
  <c r="H43" i="15"/>
  <c r="I35" i="16"/>
  <c r="D191" i="38"/>
  <c r="D195" i="38" s="1"/>
  <c r="D189" i="38"/>
  <c r="D192" i="38"/>
  <c r="E91" i="36" s="1"/>
  <c r="D190" i="38"/>
  <c r="D194" i="38" s="1"/>
  <c r="H25" i="48"/>
  <c r="H40" i="48" s="1"/>
  <c r="I19" i="48"/>
  <c r="D105" i="38"/>
  <c r="E99" i="36" s="1"/>
  <c r="AK99" i="36" s="1"/>
  <c r="D104" i="38"/>
  <c r="D108" i="38" s="1"/>
  <c r="D103" i="38"/>
  <c r="D107" i="38" s="1"/>
  <c r="D102" i="38"/>
  <c r="D106" i="38" s="1"/>
  <c r="AK67" i="51"/>
  <c r="F138" i="48"/>
  <c r="F200" i="48"/>
  <c r="F201" i="48"/>
  <c r="F137" i="48"/>
  <c r="G136" i="48"/>
  <c r="D204" i="46"/>
  <c r="D203" i="46"/>
  <c r="G29" i="53"/>
  <c r="D95" i="46"/>
  <c r="L41" i="15"/>
  <c r="G131" i="15"/>
  <c r="G129" i="15"/>
  <c r="D160" i="38"/>
  <c r="D164" i="38" s="1"/>
  <c r="D159" i="38"/>
  <c r="D163" i="38" s="1"/>
  <c r="D161" i="38"/>
  <c r="D165" i="38" s="1"/>
  <c r="D162" i="38"/>
  <c r="E109" i="36" s="1"/>
  <c r="AK109" i="36" s="1"/>
  <c r="E59" i="16"/>
  <c r="C165" i="28"/>
  <c r="C166" i="28"/>
  <c r="E56" i="45"/>
  <c r="E55" i="45"/>
  <c r="E35" i="45"/>
  <c r="F126" i="12"/>
  <c r="E145" i="20"/>
  <c r="F31" i="28"/>
  <c r="F146" i="28"/>
  <c r="G332" i="38"/>
  <c r="E129" i="38"/>
  <c r="E134" i="38"/>
  <c r="F205" i="53"/>
  <c r="F208" i="53"/>
  <c r="AM69" i="51"/>
  <c r="C137" i="53"/>
  <c r="D63" i="51" s="1"/>
  <c r="D137" i="53"/>
  <c r="E63" i="51" s="1"/>
  <c r="E137" i="53"/>
  <c r="F63" i="51" s="1"/>
  <c r="AL57" i="51"/>
  <c r="AL58" i="51" s="1"/>
  <c r="F208" i="54"/>
  <c r="I40" i="16"/>
  <c r="D181" i="20"/>
  <c r="D143" i="19" s="1"/>
  <c r="D184" i="20"/>
  <c r="D146" i="19" s="1"/>
  <c r="D183" i="20"/>
  <c r="D145" i="19" s="1"/>
  <c r="D180" i="20"/>
  <c r="D142" i="19" s="1"/>
  <c r="D182" i="20"/>
  <c r="D144" i="19" s="1"/>
  <c r="D141" i="19"/>
  <c r="E125" i="14" s="1"/>
  <c r="E74" i="29"/>
  <c r="F45" i="16" s="1"/>
  <c r="F45" i="15"/>
  <c r="C205" i="42"/>
  <c r="C209" i="42" s="1"/>
  <c r="C206" i="42"/>
  <c r="C210" i="42" s="1"/>
  <c r="C208" i="42"/>
  <c r="C207" i="42"/>
  <c r="C211" i="42" s="1"/>
  <c r="L41" i="16"/>
  <c r="F292" i="38"/>
  <c r="I24" i="54"/>
  <c r="J18" i="54"/>
  <c r="L25" i="15"/>
  <c r="D214" i="54"/>
  <c r="D213" i="54"/>
  <c r="D297" i="38"/>
  <c r="D298" i="38"/>
  <c r="G69" i="45"/>
  <c r="J34" i="16"/>
  <c r="J33" i="16"/>
  <c r="H28" i="54"/>
  <c r="H43" i="54" s="1"/>
  <c r="I22" i="54"/>
  <c r="E232" i="42"/>
  <c r="E234" i="42" s="1"/>
  <c r="F231" i="42"/>
  <c r="H131" i="15"/>
  <c r="C209" i="46"/>
  <c r="C214" i="46" s="1"/>
  <c r="C208" i="46"/>
  <c r="C213" i="46" s="1"/>
  <c r="C206" i="48"/>
  <c r="C210" i="46"/>
  <c r="C215" i="46" s="1"/>
  <c r="C211" i="46"/>
  <c r="D89" i="45" s="1"/>
  <c r="C207" i="46"/>
  <c r="C212" i="46" s="1"/>
  <c r="D73" i="45"/>
  <c r="C227" i="46"/>
  <c r="C232" i="46" s="1"/>
  <c r="C228" i="46"/>
  <c r="C233" i="46" s="1"/>
  <c r="C231" i="46"/>
  <c r="D108" i="45" s="1"/>
  <c r="C226" i="48"/>
  <c r="C230" i="46"/>
  <c r="C235" i="46" s="1"/>
  <c r="C229" i="46"/>
  <c r="C234" i="46" s="1"/>
  <c r="F84" i="29"/>
  <c r="G61" i="16"/>
  <c r="C137" i="54"/>
  <c r="D137" i="54"/>
  <c r="E137" i="54"/>
  <c r="H121" i="16"/>
  <c r="H42" i="16"/>
  <c r="E127" i="42"/>
  <c r="E128" i="42"/>
  <c r="F126" i="42"/>
  <c r="H25" i="38"/>
  <c r="H40" i="38" s="1"/>
  <c r="I19" i="38"/>
  <c r="AM53" i="51"/>
  <c r="G54" i="51"/>
  <c r="AG95" i="46"/>
  <c r="F278" i="42"/>
  <c r="F289" i="42" s="1"/>
  <c r="F31" i="42"/>
  <c r="F66" i="54"/>
  <c r="F73" i="54" s="1"/>
  <c r="F74" i="54" s="1"/>
  <c r="F61" i="54"/>
  <c r="F62" i="54"/>
  <c r="F67" i="54"/>
  <c r="F77" i="54" s="1"/>
  <c r="F78" i="54" s="1"/>
  <c r="F65" i="54"/>
  <c r="F75" i="54" s="1"/>
  <c r="F76" i="54" s="1"/>
  <c r="F64" i="54"/>
  <c r="F71" i="54" s="1"/>
  <c r="F72" i="54" s="1"/>
  <c r="G60" i="54"/>
  <c r="D24" i="20"/>
  <c r="E18" i="20"/>
  <c r="I27" i="38"/>
  <c r="I42" i="38" s="1"/>
  <c r="J21" i="38"/>
  <c r="D205" i="38"/>
  <c r="D207" i="38"/>
  <c r="D208" i="38"/>
  <c r="D206" i="38"/>
  <c r="D210" i="38" s="1"/>
  <c r="F292" i="42"/>
  <c r="C216" i="53"/>
  <c r="C215" i="53"/>
  <c r="C203" i="20"/>
  <c r="C164" i="19" s="1"/>
  <c r="C199" i="20"/>
  <c r="C160" i="19" s="1"/>
  <c r="C200" i="20"/>
  <c r="C161" i="19" s="1"/>
  <c r="C201" i="20"/>
  <c r="C162" i="19" s="1"/>
  <c r="C202" i="20"/>
  <c r="C159" i="19"/>
  <c r="D123" i="14" s="1"/>
  <c r="G360" i="48"/>
  <c r="E61" i="42"/>
  <c r="E65" i="42"/>
  <c r="E93" i="42" s="1"/>
  <c r="E67" i="42"/>
  <c r="E101" i="42" s="1"/>
  <c r="E62" i="42"/>
  <c r="E64" i="42"/>
  <c r="E77" i="42" s="1"/>
  <c r="E66" i="42"/>
  <c r="E85" i="42" s="1"/>
  <c r="F60" i="42"/>
  <c r="E141" i="48"/>
  <c r="E142" i="48"/>
  <c r="E140" i="48"/>
  <c r="D140" i="46"/>
  <c r="D141" i="46"/>
  <c r="D164" i="46" s="1"/>
  <c r="D142" i="46"/>
  <c r="D174" i="46" s="1"/>
  <c r="D106" i="19"/>
  <c r="D92" i="48"/>
  <c r="D97" i="48" s="1"/>
  <c r="D93" i="48"/>
  <c r="D98" i="48" s="1"/>
  <c r="D91" i="48"/>
  <c r="D94" i="48"/>
  <c r="D90" i="48"/>
  <c r="D95" i="48" s="1"/>
  <c r="D150" i="20"/>
  <c r="D126" i="19" s="1"/>
  <c r="D146" i="20"/>
  <c r="D122" i="19" s="1"/>
  <c r="D148" i="20"/>
  <c r="D124" i="19" s="1"/>
  <c r="D147" i="20"/>
  <c r="D123" i="19" s="1"/>
  <c r="E138" i="12"/>
  <c r="D149" i="20"/>
  <c r="D125" i="19" s="1"/>
  <c r="D121" i="19"/>
  <c r="E138" i="14" s="1"/>
  <c r="E28" i="19"/>
  <c r="E46" i="19" s="1"/>
  <c r="F22" i="19"/>
  <c r="G139" i="54"/>
  <c r="D206" i="53"/>
  <c r="D207" i="53" s="1"/>
  <c r="D229" i="53"/>
  <c r="D230" i="53" s="1"/>
  <c r="F32" i="45"/>
  <c r="F29" i="45"/>
  <c r="F28" i="45"/>
  <c r="AL27" i="45"/>
  <c r="F31" i="45"/>
  <c r="F37" i="45" s="1"/>
  <c r="G27" i="45"/>
  <c r="F54" i="45"/>
  <c r="E143" i="29"/>
  <c r="E146" i="29"/>
  <c r="F20" i="45"/>
  <c r="F19" i="45"/>
  <c r="I21" i="16"/>
  <c r="E132" i="38"/>
  <c r="E158" i="38" s="1"/>
  <c r="E131" i="38"/>
  <c r="E150" i="38" s="1"/>
  <c r="E130" i="38"/>
  <c r="E142" i="38" s="1"/>
  <c r="H28" i="48"/>
  <c r="I22" i="48"/>
  <c r="E66" i="16"/>
  <c r="E194" i="29"/>
  <c r="E193" i="29"/>
  <c r="AL61" i="51"/>
  <c r="F64" i="51"/>
  <c r="D175" i="20"/>
  <c r="D137" i="19" s="1"/>
  <c r="D174" i="20"/>
  <c r="D136" i="19" s="1"/>
  <c r="D178" i="20"/>
  <c r="D140" i="19" s="1"/>
  <c r="D135" i="19"/>
  <c r="E113" i="14" s="1"/>
  <c r="D176" i="20"/>
  <c r="D177" i="20"/>
  <c r="D139" i="19" s="1"/>
  <c r="E113" i="12"/>
  <c r="C153" i="29"/>
  <c r="C154" i="29"/>
  <c r="E75" i="29"/>
  <c r="F64" i="16" s="1"/>
  <c r="F64" i="15"/>
  <c r="C191" i="42"/>
  <c r="C195" i="42" s="1"/>
  <c r="C190" i="42"/>
  <c r="C194" i="42" s="1"/>
  <c r="C189" i="42"/>
  <c r="C193" i="42" s="1"/>
  <c r="C192" i="42"/>
  <c r="H39" i="54"/>
  <c r="H28" i="46"/>
  <c r="I22" i="46"/>
  <c r="G44" i="42"/>
  <c r="G288" i="42" s="1"/>
  <c r="D220" i="54"/>
  <c r="D219" i="54"/>
  <c r="D231" i="54" s="1"/>
  <c r="D304" i="38"/>
  <c r="D303" i="38"/>
  <c r="D315" i="38" s="1"/>
  <c r="H122" i="15"/>
  <c r="H132" i="15" s="1"/>
  <c r="J74" i="16"/>
  <c r="I27" i="29"/>
  <c r="J21" i="29"/>
  <c r="F28" i="20"/>
  <c r="F46" i="20" s="1"/>
  <c r="G22" i="20"/>
  <c r="D235" i="42"/>
  <c r="D239" i="42" s="1"/>
  <c r="D236" i="42"/>
  <c r="D240" i="42" s="1"/>
  <c r="D238" i="42"/>
  <c r="D237" i="42"/>
  <c r="D241" i="42" s="1"/>
  <c r="D132" i="42"/>
  <c r="D158" i="42" s="1"/>
  <c r="D130" i="42"/>
  <c r="D142" i="42" s="1"/>
  <c r="D131" i="42"/>
  <c r="D150" i="42" s="1"/>
  <c r="AM62" i="51"/>
  <c r="D112" i="36"/>
  <c r="D111" i="36"/>
  <c r="D113" i="36"/>
  <c r="J20" i="15"/>
  <c r="F61" i="28"/>
  <c r="F57" i="29" s="1"/>
  <c r="F64" i="28"/>
  <c r="F63" i="28"/>
  <c r="F60" i="28"/>
  <c r="G59" i="28"/>
  <c r="C24" i="19"/>
  <c r="D18" i="19"/>
  <c r="D140" i="20"/>
  <c r="D116" i="19" s="1"/>
  <c r="D142" i="20"/>
  <c r="D118" i="19" s="1"/>
  <c r="D144" i="20"/>
  <c r="D120" i="19" s="1"/>
  <c r="D141" i="20"/>
  <c r="D117" i="19" s="1"/>
  <c r="D143" i="20"/>
  <c r="D119" i="19" s="1"/>
  <c r="D115" i="19"/>
  <c r="E94" i="14" s="1"/>
  <c r="C300" i="42"/>
  <c r="C299" i="42"/>
  <c r="I39" i="16"/>
  <c r="I13" i="16"/>
  <c r="AK20" i="45"/>
  <c r="AK19" i="45"/>
  <c r="D97" i="38"/>
  <c r="E108" i="36" s="1"/>
  <c r="AK108" i="36" s="1"/>
  <c r="D94" i="38"/>
  <c r="D98" i="38" s="1"/>
  <c r="D96" i="38"/>
  <c r="D100" i="38" s="1"/>
  <c r="D95" i="38"/>
  <c r="D99" i="38" s="1"/>
  <c r="E136" i="16"/>
  <c r="D88" i="42"/>
  <c r="D92" i="42" s="1"/>
  <c r="D87" i="42"/>
  <c r="D91" i="42" s="1"/>
  <c r="D89" i="42"/>
  <c r="D86" i="42"/>
  <c r="D90" i="42" s="1"/>
  <c r="E204" i="48"/>
  <c r="E203" i="48"/>
  <c r="G29" i="48"/>
  <c r="I27" i="42"/>
  <c r="I42" i="42" s="1"/>
  <c r="J21" i="42"/>
  <c r="C33" i="48"/>
  <c r="C39" i="48" s="1"/>
  <c r="AJ75" i="45"/>
  <c r="H25" i="46"/>
  <c r="H40" i="46" s="1"/>
  <c r="I19" i="46"/>
  <c r="G135" i="54"/>
  <c r="F258" i="46"/>
  <c r="G257" i="46"/>
  <c r="F62" i="46"/>
  <c r="F61" i="46"/>
  <c r="F67" i="46"/>
  <c r="F65" i="46"/>
  <c r="F64" i="46"/>
  <c r="F66" i="46"/>
  <c r="F89" i="46" s="1"/>
  <c r="G60" i="46"/>
  <c r="AK66" i="51"/>
  <c r="E70" i="51"/>
  <c r="E32" i="45"/>
  <c r="E37" i="45"/>
  <c r="E27" i="19"/>
  <c r="E45" i="19" s="1"/>
  <c r="E130" i="19" s="1"/>
  <c r="F21" i="19"/>
  <c r="F194" i="54"/>
  <c r="F31" i="54"/>
  <c r="I27" i="54"/>
  <c r="I42" i="54" s="1"/>
  <c r="J21" i="54"/>
  <c r="D154" i="46"/>
  <c r="D144" i="46"/>
  <c r="E66" i="15"/>
  <c r="H25" i="42"/>
  <c r="H40" i="42" s="1"/>
  <c r="I19" i="42"/>
  <c r="D188" i="20"/>
  <c r="D150" i="19" s="1"/>
  <c r="D190" i="20"/>
  <c r="D152" i="19" s="1"/>
  <c r="D187" i="20"/>
  <c r="D149" i="19" s="1"/>
  <c r="E137" i="12"/>
  <c r="D147" i="19"/>
  <c r="E137" i="14" s="1"/>
  <c r="D189" i="20"/>
  <c r="D151" i="19" s="1"/>
  <c r="D186" i="20"/>
  <c r="D148" i="19" s="1"/>
  <c r="F48" i="15"/>
  <c r="E71" i="29"/>
  <c r="F48" i="16" s="1"/>
  <c r="L8" i="16"/>
  <c r="E294" i="42"/>
  <c r="E295" i="42"/>
  <c r="E296" i="42"/>
  <c r="E293" i="42"/>
  <c r="H28" i="38"/>
  <c r="H43" i="38" s="1"/>
  <c r="I22" i="38"/>
  <c r="H26" i="48"/>
  <c r="H41" i="48" s="1"/>
  <c r="I20" i="48"/>
  <c r="G29" i="42"/>
  <c r="E167" i="19"/>
  <c r="E166" i="19" s="1"/>
  <c r="H43" i="46" l="1"/>
  <c r="D209" i="38"/>
  <c r="H41" i="45"/>
  <c r="G132" i="29"/>
  <c r="AJ112" i="36"/>
  <c r="H24" i="42"/>
  <c r="H39" i="42" s="1"/>
  <c r="I18" i="42"/>
  <c r="D193" i="38"/>
  <c r="I18" i="38"/>
  <c r="H24" i="38"/>
  <c r="H39" i="38" s="1"/>
  <c r="H29" i="54"/>
  <c r="H31" i="54" s="1"/>
  <c r="E100" i="19"/>
  <c r="E99" i="19"/>
  <c r="F139" i="48"/>
  <c r="E101" i="19"/>
  <c r="E98" i="19"/>
  <c r="E97" i="19"/>
  <c r="D211" i="38"/>
  <c r="F35" i="45"/>
  <c r="F36" i="45"/>
  <c r="D202" i="38"/>
  <c r="F63" i="48"/>
  <c r="M25" i="15"/>
  <c r="M124" i="15" s="1"/>
  <c r="M9" i="16"/>
  <c r="L38" i="28"/>
  <c r="I28" i="38"/>
  <c r="I43" i="38" s="1"/>
  <c r="J22" i="38"/>
  <c r="F93" i="46"/>
  <c r="F98" i="46" s="1"/>
  <c r="F89" i="48"/>
  <c r="F90" i="46"/>
  <c r="F95" i="46" s="1"/>
  <c r="F91" i="46"/>
  <c r="F94" i="46"/>
  <c r="F92" i="46"/>
  <c r="F97" i="46" s="1"/>
  <c r="J27" i="42"/>
  <c r="J42" i="42" s="1"/>
  <c r="K21" i="42"/>
  <c r="I25" i="42"/>
  <c r="I40" i="42" s="1"/>
  <c r="J19" i="42"/>
  <c r="D155" i="46"/>
  <c r="D157" i="46"/>
  <c r="D159" i="46"/>
  <c r="E98" i="45" s="1"/>
  <c r="D158" i="46"/>
  <c r="D156" i="46"/>
  <c r="D154" i="48"/>
  <c r="H37" i="29"/>
  <c r="I125" i="16"/>
  <c r="I47" i="16"/>
  <c r="J27" i="54"/>
  <c r="J42" i="54" s="1"/>
  <c r="K21" i="54"/>
  <c r="G31" i="48"/>
  <c r="G306" i="48"/>
  <c r="H194" i="54"/>
  <c r="C155" i="29"/>
  <c r="C159" i="29" s="1"/>
  <c r="C156" i="29"/>
  <c r="I28" i="48"/>
  <c r="J22" i="48"/>
  <c r="F21" i="45"/>
  <c r="F28" i="19"/>
  <c r="F46" i="19" s="1"/>
  <c r="F167" i="19" s="1"/>
  <c r="F166" i="19" s="1"/>
  <c r="G22" i="19"/>
  <c r="E102" i="42"/>
  <c r="E106" i="42" s="1"/>
  <c r="E104" i="42"/>
  <c r="E108" i="42" s="1"/>
  <c r="E103" i="42"/>
  <c r="E107" i="42" s="1"/>
  <c r="E105" i="42"/>
  <c r="G61" i="54"/>
  <c r="G62" i="54"/>
  <c r="G67" i="54"/>
  <c r="G77" i="54" s="1"/>
  <c r="G78" i="54" s="1"/>
  <c r="G65" i="54"/>
  <c r="G75" i="54" s="1"/>
  <c r="G76" i="54" s="1"/>
  <c r="G64" i="54"/>
  <c r="G71" i="54" s="1"/>
  <c r="G72" i="54" s="1"/>
  <c r="G66" i="54"/>
  <c r="G73" i="54" s="1"/>
  <c r="G74" i="54" s="1"/>
  <c r="H60" i="54"/>
  <c r="F66" i="15"/>
  <c r="I122" i="16"/>
  <c r="I132" i="16" s="1"/>
  <c r="AL63" i="51"/>
  <c r="AL64" i="51" s="1"/>
  <c r="E137" i="38"/>
  <c r="E141" i="38" s="1"/>
  <c r="E138" i="38"/>
  <c r="F85" i="36" s="1"/>
  <c r="E135" i="38"/>
  <c r="E139" i="38" s="1"/>
  <c r="E136" i="38"/>
  <c r="E140" i="38" s="1"/>
  <c r="E148" i="20"/>
  <c r="E124" i="19" s="1"/>
  <c r="E150" i="20"/>
  <c r="E126" i="19" s="1"/>
  <c r="E149" i="20"/>
  <c r="E125" i="19" s="1"/>
  <c r="E147" i="20"/>
  <c r="E123" i="19" s="1"/>
  <c r="E121" i="19"/>
  <c r="F138" i="14" s="1"/>
  <c r="F138" i="12"/>
  <c r="E146" i="20"/>
  <c r="E122" i="19" s="1"/>
  <c r="AM50" i="51"/>
  <c r="C111" i="46"/>
  <c r="C116" i="46" s="1"/>
  <c r="C112" i="46"/>
  <c r="C117" i="46" s="1"/>
  <c r="C110" i="46"/>
  <c r="C115" i="46" s="1"/>
  <c r="C113" i="46"/>
  <c r="C118" i="46" s="1"/>
  <c r="C109" i="48"/>
  <c r="C114" i="46"/>
  <c r="D97" i="45" s="1"/>
  <c r="G47" i="29"/>
  <c r="G142" i="29" s="1"/>
  <c r="N7" i="16"/>
  <c r="O6" i="16"/>
  <c r="G58" i="15"/>
  <c r="F73" i="29"/>
  <c r="G58" i="16" s="1"/>
  <c r="E206" i="53"/>
  <c r="E207" i="53" s="1"/>
  <c r="E229" i="53"/>
  <c r="E230" i="53" s="1"/>
  <c r="G25" i="20"/>
  <c r="G43" i="20" s="1"/>
  <c r="H19" i="20"/>
  <c r="D203" i="38"/>
  <c r="I26" i="46"/>
  <c r="I41" i="46" s="1"/>
  <c r="J20" i="46"/>
  <c r="AL21" i="45"/>
  <c r="D88" i="29"/>
  <c r="D100" i="29"/>
  <c r="G154" i="54"/>
  <c r="G156" i="54" s="1"/>
  <c r="H153" i="54"/>
  <c r="AM57" i="51"/>
  <c r="E131" i="19"/>
  <c r="E106" i="19"/>
  <c r="D209" i="46"/>
  <c r="D214" i="46" s="1"/>
  <c r="D208" i="46"/>
  <c r="D213" i="46" s="1"/>
  <c r="D210" i="46"/>
  <c r="D215" i="46" s="1"/>
  <c r="D206" i="48"/>
  <c r="D207" i="46"/>
  <c r="D212" i="46" s="1"/>
  <c r="D211" i="46"/>
  <c r="E89" i="45" s="1"/>
  <c r="F62" i="38"/>
  <c r="F61" i="38"/>
  <c r="F64" i="38"/>
  <c r="F77" i="38" s="1"/>
  <c r="F65" i="38"/>
  <c r="F93" i="38" s="1"/>
  <c r="F67" i="38"/>
  <c r="F101" i="38" s="1"/>
  <c r="F66" i="38"/>
  <c r="F85" i="38" s="1"/>
  <c r="G60" i="38"/>
  <c r="E136" i="15"/>
  <c r="I28" i="28"/>
  <c r="I46" i="28" s="1"/>
  <c r="J22" i="28"/>
  <c r="I28" i="53"/>
  <c r="I43" i="53" s="1"/>
  <c r="J22" i="53"/>
  <c r="J21" i="16"/>
  <c r="I26" i="54"/>
  <c r="I41" i="54" s="1"/>
  <c r="I147" i="54" s="1"/>
  <c r="I148" i="54" s="1"/>
  <c r="J20" i="54"/>
  <c r="G183" i="38"/>
  <c r="G127" i="38"/>
  <c r="G128" i="38"/>
  <c r="G182" i="38"/>
  <c r="H126" i="38"/>
  <c r="AJ114" i="36"/>
  <c r="AO63" i="51"/>
  <c r="E67" i="45"/>
  <c r="E186" i="42"/>
  <c r="E185" i="42"/>
  <c r="H69" i="45"/>
  <c r="G292" i="38"/>
  <c r="M25" i="16"/>
  <c r="E66" i="20"/>
  <c r="J27" i="46"/>
  <c r="J42" i="46" s="1"/>
  <c r="K21" i="46"/>
  <c r="I28" i="42"/>
  <c r="I43" i="42" s="1"/>
  <c r="J22" i="42"/>
  <c r="C177" i="46"/>
  <c r="C182" i="46" s="1"/>
  <c r="C175" i="46"/>
  <c r="C180" i="46" s="1"/>
  <c r="C178" i="46"/>
  <c r="C183" i="46" s="1"/>
  <c r="C176" i="46"/>
  <c r="C181" i="46" s="1"/>
  <c r="C174" i="48"/>
  <c r="C179" i="46"/>
  <c r="D107" i="45" s="1"/>
  <c r="F65" i="15"/>
  <c r="D136" i="42"/>
  <c r="D140" i="42" s="1"/>
  <c r="D135" i="42"/>
  <c r="D139" i="42" s="1"/>
  <c r="D137" i="42"/>
  <c r="D141" i="42" s="1"/>
  <c r="D138" i="42"/>
  <c r="E102" i="36"/>
  <c r="E303" i="42"/>
  <c r="E315" i="42" s="1"/>
  <c r="E304" i="42"/>
  <c r="I138" i="54"/>
  <c r="I139" i="54" s="1"/>
  <c r="I134" i="54"/>
  <c r="I135" i="54" s="1"/>
  <c r="I136" i="54"/>
  <c r="I137" i="54" s="1"/>
  <c r="E95" i="42"/>
  <c r="E99" i="42" s="1"/>
  <c r="E97" i="42"/>
  <c r="E96" i="42"/>
  <c r="E100" i="42" s="1"/>
  <c r="E94" i="42"/>
  <c r="E98" i="42" s="1"/>
  <c r="F128" i="42"/>
  <c r="F127" i="42"/>
  <c r="G126" i="42"/>
  <c r="J35" i="16"/>
  <c r="F66" i="16"/>
  <c r="AK63" i="51"/>
  <c r="E64" i="51"/>
  <c r="E57" i="45"/>
  <c r="AK91" i="36"/>
  <c r="AK93" i="36" s="1"/>
  <c r="AK96" i="36" s="1"/>
  <c r="E93" i="36"/>
  <c r="E96" i="36" s="1"/>
  <c r="AM68" i="51"/>
  <c r="G64" i="15"/>
  <c r="F75" i="29"/>
  <c r="G64" i="16" s="1"/>
  <c r="AL66" i="51"/>
  <c r="F70" i="51"/>
  <c r="F145" i="20"/>
  <c r="G126" i="12"/>
  <c r="F26" i="19"/>
  <c r="F44" i="19" s="1"/>
  <c r="G20" i="19"/>
  <c r="G208" i="53"/>
  <c r="E139" i="15"/>
  <c r="K17" i="15"/>
  <c r="C217" i="48"/>
  <c r="C222" i="48" s="1"/>
  <c r="C219" i="48"/>
  <c r="C224" i="48" s="1"/>
  <c r="C218" i="48"/>
  <c r="C223" i="48" s="1"/>
  <c r="C221" i="48"/>
  <c r="C220" i="48"/>
  <c r="C225" i="48" s="1"/>
  <c r="G232" i="38"/>
  <c r="G234" i="38" s="1"/>
  <c r="H231" i="38"/>
  <c r="F157" i="54"/>
  <c r="F76" i="53"/>
  <c r="G67" i="51"/>
  <c r="G71" i="51" s="1"/>
  <c r="AJ56" i="51"/>
  <c r="D58" i="51"/>
  <c r="J24" i="48"/>
  <c r="K18" i="48"/>
  <c r="E129" i="19"/>
  <c r="E128" i="19" s="1"/>
  <c r="D220" i="46"/>
  <c r="D225" i="46" s="1"/>
  <c r="D219" i="46"/>
  <c r="D224" i="46" s="1"/>
  <c r="D217" i="46"/>
  <c r="D222" i="46" s="1"/>
  <c r="D218" i="46"/>
  <c r="D223" i="46" s="1"/>
  <c r="D216" i="48"/>
  <c r="D221" i="46"/>
  <c r="E99" i="45" s="1"/>
  <c r="E88" i="38"/>
  <c r="E92" i="38" s="1"/>
  <c r="E86" i="38"/>
  <c r="E90" i="38" s="1"/>
  <c r="E87" i="38"/>
  <c r="E91" i="38" s="1"/>
  <c r="E89" i="38"/>
  <c r="H85" i="29"/>
  <c r="I61" i="15"/>
  <c r="C316" i="38"/>
  <c r="C317" i="38" s="1"/>
  <c r="D205" i="42"/>
  <c r="D209" i="42" s="1"/>
  <c r="D206" i="42"/>
  <c r="D210" i="42" s="1"/>
  <c r="D207" i="42"/>
  <c r="D211" i="42" s="1"/>
  <c r="D208" i="42"/>
  <c r="K38" i="29"/>
  <c r="L124" i="16"/>
  <c r="L54" i="16"/>
  <c r="F184" i="38"/>
  <c r="F188" i="38"/>
  <c r="F204" i="38"/>
  <c r="F196" i="38"/>
  <c r="D114" i="36"/>
  <c r="F138" i="46"/>
  <c r="F201" i="46"/>
  <c r="F137" i="46"/>
  <c r="G136" i="46"/>
  <c r="F200" i="46"/>
  <c r="F67" i="15"/>
  <c r="F46" i="15"/>
  <c r="H44" i="42"/>
  <c r="H288" i="42" s="1"/>
  <c r="H20" i="45"/>
  <c r="H19" i="45"/>
  <c r="I40" i="45"/>
  <c r="I39" i="45"/>
  <c r="AO38" i="45"/>
  <c r="J38" i="45"/>
  <c r="E67" i="20"/>
  <c r="E68" i="20"/>
  <c r="E69" i="20"/>
  <c r="E70" i="20"/>
  <c r="G265" i="19"/>
  <c r="H307" i="20"/>
  <c r="H110" i="53"/>
  <c r="H111" i="53" s="1"/>
  <c r="H108" i="53"/>
  <c r="H109" i="53" s="1"/>
  <c r="H104" i="53"/>
  <c r="H105" i="53" s="1"/>
  <c r="I53" i="51" s="1"/>
  <c r="H106" i="53"/>
  <c r="H107" i="53" s="1"/>
  <c r="I62" i="51" s="1"/>
  <c r="L16" i="16"/>
  <c r="L19" i="16"/>
  <c r="L15" i="16"/>
  <c r="L18" i="16"/>
  <c r="M14" i="16"/>
  <c r="L32" i="16"/>
  <c r="L74" i="16" s="1"/>
  <c r="H360" i="46"/>
  <c r="C167" i="46"/>
  <c r="C172" i="46" s="1"/>
  <c r="C165" i="46"/>
  <c r="C170" i="46" s="1"/>
  <c r="C168" i="46"/>
  <c r="C173" i="46" s="1"/>
  <c r="C166" i="46"/>
  <c r="C171" i="46" s="1"/>
  <c r="C164" i="48"/>
  <c r="C169" i="46"/>
  <c r="D77" i="45" s="1"/>
  <c r="K11" i="16"/>
  <c r="G217" i="38"/>
  <c r="G219" i="38" s="1"/>
  <c r="H216" i="38"/>
  <c r="AJ105" i="36"/>
  <c r="AJ103" i="36"/>
  <c r="AJ117" i="36" s="1"/>
  <c r="AJ123" i="36" s="1"/>
  <c r="I25" i="46"/>
  <c r="I40" i="46" s="1"/>
  <c r="J19" i="46"/>
  <c r="I121" i="16"/>
  <c r="I42" i="16"/>
  <c r="G61" i="28"/>
  <c r="G57" i="29" s="1"/>
  <c r="G63" i="28"/>
  <c r="G60" i="28"/>
  <c r="G64" i="28"/>
  <c r="H59" i="28"/>
  <c r="D153" i="42"/>
  <c r="D157" i="42" s="1"/>
  <c r="D152" i="42"/>
  <c r="D156" i="42" s="1"/>
  <c r="D151" i="42"/>
  <c r="D155" i="42" s="1"/>
  <c r="D154" i="42"/>
  <c r="G31" i="42"/>
  <c r="G278" i="42"/>
  <c r="G289" i="42" s="1"/>
  <c r="E297" i="42"/>
  <c r="E298" i="42"/>
  <c r="F63" i="46"/>
  <c r="C302" i="42"/>
  <c r="C301" i="42"/>
  <c r="C305" i="42" s="1"/>
  <c r="F62" i="28"/>
  <c r="F56" i="29"/>
  <c r="G44" i="16" s="1"/>
  <c r="G44" i="15"/>
  <c r="D145" i="42"/>
  <c r="D149" i="42" s="1"/>
  <c r="D144" i="42"/>
  <c r="D148" i="42" s="1"/>
  <c r="D146" i="42"/>
  <c r="D143" i="42"/>
  <c r="D147" i="42" s="1"/>
  <c r="G28" i="20"/>
  <c r="G46" i="20" s="1"/>
  <c r="H22" i="20"/>
  <c r="E145" i="38"/>
  <c r="E149" i="38" s="1"/>
  <c r="E143" i="38"/>
  <c r="E147" i="38" s="1"/>
  <c r="E146" i="38"/>
  <c r="F100" i="36" s="1"/>
  <c r="AL100" i="36" s="1"/>
  <c r="E144" i="38"/>
  <c r="E148" i="38" s="1"/>
  <c r="F33" i="45"/>
  <c r="D233" i="53"/>
  <c r="D234" i="53" s="1"/>
  <c r="D232" i="53"/>
  <c r="E63" i="42"/>
  <c r="E69" i="42"/>
  <c r="F18" i="20"/>
  <c r="E24" i="20"/>
  <c r="E132" i="42"/>
  <c r="E158" i="42" s="1"/>
  <c r="E130" i="42"/>
  <c r="E142" i="42" s="1"/>
  <c r="E131" i="42"/>
  <c r="E150" i="42" s="1"/>
  <c r="H129" i="15"/>
  <c r="AJ63" i="51"/>
  <c r="D64" i="51"/>
  <c r="D71" i="51"/>
  <c r="H332" i="38"/>
  <c r="H29" i="46"/>
  <c r="I25" i="48"/>
  <c r="I40" i="48" s="1"/>
  <c r="J19" i="48"/>
  <c r="G47" i="28"/>
  <c r="G50" i="29"/>
  <c r="G54" i="29"/>
  <c r="G51" i="29"/>
  <c r="G53" i="29"/>
  <c r="G52" i="29"/>
  <c r="G49" i="29" s="1"/>
  <c r="C101" i="20"/>
  <c r="C93" i="19" s="1"/>
  <c r="D136" i="12"/>
  <c r="C97" i="20"/>
  <c r="C100" i="20"/>
  <c r="C98" i="20"/>
  <c r="C88" i="19"/>
  <c r="D136" i="14" s="1"/>
  <c r="C99" i="20"/>
  <c r="C81" i="46"/>
  <c r="C86" i="46" s="1"/>
  <c r="C79" i="48"/>
  <c r="C80" i="46"/>
  <c r="C85" i="46" s="1"/>
  <c r="C83" i="46"/>
  <c r="C88" i="46" s="1"/>
  <c r="C84" i="46"/>
  <c r="D90" i="45" s="1"/>
  <c r="C82" i="46"/>
  <c r="C87" i="46" s="1"/>
  <c r="F49" i="16"/>
  <c r="F71" i="29"/>
  <c r="G48" i="16" s="1"/>
  <c r="G48" i="15"/>
  <c r="F89" i="29"/>
  <c r="E175" i="20"/>
  <c r="E137" i="19" s="1"/>
  <c r="E178" i="20"/>
  <c r="E140" i="19" s="1"/>
  <c r="E177" i="20"/>
  <c r="E139" i="19" s="1"/>
  <c r="F113" i="12"/>
  <c r="E174" i="20"/>
  <c r="E136" i="19" s="1"/>
  <c r="E135" i="19"/>
  <c r="F113" i="14" s="1"/>
  <c r="E176" i="20"/>
  <c r="K33" i="15"/>
  <c r="K39" i="15" s="1"/>
  <c r="K34" i="15"/>
  <c r="C76" i="19"/>
  <c r="D104" i="14" s="1"/>
  <c r="C89" i="20"/>
  <c r="C85" i="20"/>
  <c r="C87" i="20"/>
  <c r="C86" i="20"/>
  <c r="C78" i="19" s="1"/>
  <c r="D104" i="12"/>
  <c r="C88" i="20"/>
  <c r="F237" i="38"/>
  <c r="F241" i="38" s="1"/>
  <c r="F235" i="38"/>
  <c r="F239" i="38" s="1"/>
  <c r="F238" i="38"/>
  <c r="G107" i="36" s="1"/>
  <c r="F236" i="38"/>
  <c r="F240" i="38" s="1"/>
  <c r="AK35" i="45"/>
  <c r="E132" i="19"/>
  <c r="D229" i="46"/>
  <c r="D234" i="46" s="1"/>
  <c r="D227" i="46"/>
  <c r="D232" i="46" s="1"/>
  <c r="D230" i="46"/>
  <c r="D235" i="46" s="1"/>
  <c r="D226" i="48"/>
  <c r="D228" i="46"/>
  <c r="D233" i="46" s="1"/>
  <c r="D231" i="46"/>
  <c r="E108" i="45" s="1"/>
  <c r="D151" i="29"/>
  <c r="D152" i="29"/>
  <c r="E97" i="38"/>
  <c r="F108" i="36" s="1"/>
  <c r="AL108" i="36" s="1"/>
  <c r="E95" i="38"/>
  <c r="E99" i="38" s="1"/>
  <c r="E94" i="38"/>
  <c r="E98" i="38" s="1"/>
  <c r="E96" i="38"/>
  <c r="E100" i="38" s="1"/>
  <c r="AN56" i="51"/>
  <c r="J35" i="15"/>
  <c r="C280" i="38"/>
  <c r="C281" i="38" s="1"/>
  <c r="D247" i="38"/>
  <c r="D198" i="42"/>
  <c r="D202" i="42" s="1"/>
  <c r="D197" i="42"/>
  <c r="D201" i="42" s="1"/>
  <c r="D200" i="42"/>
  <c r="D199" i="42"/>
  <c r="D203" i="42" s="1"/>
  <c r="AM69" i="45"/>
  <c r="AJ71" i="45"/>
  <c r="AJ91" i="36"/>
  <c r="AJ93" i="36" s="1"/>
  <c r="AJ96" i="36" s="1"/>
  <c r="D93" i="36"/>
  <c r="C163" i="53"/>
  <c r="C206" i="53"/>
  <c r="C207" i="53" s="1"/>
  <c r="C229" i="53"/>
  <c r="C230" i="53" s="1"/>
  <c r="F185" i="38"/>
  <c r="F186" i="38"/>
  <c r="G27" i="20"/>
  <c r="G45" i="20" s="1"/>
  <c r="H21" i="20"/>
  <c r="E213" i="54"/>
  <c r="E214" i="54"/>
  <c r="F196" i="20"/>
  <c r="G195" i="20"/>
  <c r="E202" i="46"/>
  <c r="E206" i="46"/>
  <c r="E216" i="46"/>
  <c r="E226" i="46"/>
  <c r="AN62" i="51"/>
  <c r="F67" i="16"/>
  <c r="F46" i="16"/>
  <c r="H29" i="42"/>
  <c r="G58" i="51"/>
  <c r="F217" i="42"/>
  <c r="F219" i="42" s="1"/>
  <c r="G216" i="42"/>
  <c r="H29" i="28"/>
  <c r="G108" i="28"/>
  <c r="H107" i="28"/>
  <c r="C316" i="42"/>
  <c r="C317" i="42" s="1"/>
  <c r="C320" i="42" s="1"/>
  <c r="J19" i="53"/>
  <c r="I25" i="53"/>
  <c r="I40" i="53" s="1"/>
  <c r="AL98" i="36"/>
  <c r="K17" i="16"/>
  <c r="I26" i="53"/>
  <c r="I41" i="53" s="1"/>
  <c r="I147" i="53" s="1"/>
  <c r="I148" i="53" s="1"/>
  <c r="J60" i="51" s="1"/>
  <c r="J20" i="53"/>
  <c r="C156" i="46"/>
  <c r="C161" i="46" s="1"/>
  <c r="C157" i="46"/>
  <c r="C162" i="46" s="1"/>
  <c r="C158" i="46"/>
  <c r="C163" i="46" s="1"/>
  <c r="C155" i="46"/>
  <c r="C160" i="46" s="1"/>
  <c r="C154" i="48"/>
  <c r="C159" i="46"/>
  <c r="D98" i="45" s="1"/>
  <c r="E93" i="48"/>
  <c r="E98" i="48" s="1"/>
  <c r="E90" i="48"/>
  <c r="E95" i="48" s="1"/>
  <c r="E92" i="48"/>
  <c r="E97" i="48" s="1"/>
  <c r="E91" i="48"/>
  <c r="E94" i="48"/>
  <c r="G34" i="29"/>
  <c r="G33" i="29"/>
  <c r="F221" i="38"/>
  <c r="F225" i="38" s="1"/>
  <c r="F223" i="38"/>
  <c r="G98" i="36" s="1"/>
  <c r="F220" i="38"/>
  <c r="F224" i="38" s="1"/>
  <c r="F222" i="38"/>
  <c r="F226" i="38" s="1"/>
  <c r="H76" i="15"/>
  <c r="AK21" i="45"/>
  <c r="G62" i="15"/>
  <c r="F59" i="29"/>
  <c r="G62" i="16" s="1"/>
  <c r="D159" i="42"/>
  <c r="D163" i="42" s="1"/>
  <c r="D160" i="42"/>
  <c r="D164" i="42" s="1"/>
  <c r="D162" i="42"/>
  <c r="D161" i="42"/>
  <c r="D165" i="42" s="1"/>
  <c r="D138" i="19"/>
  <c r="E151" i="38"/>
  <c r="E155" i="38" s="1"/>
  <c r="E152" i="38"/>
  <c r="E156" i="38" s="1"/>
  <c r="E153" i="38"/>
  <c r="E157" i="38" s="1"/>
  <c r="E154" i="38"/>
  <c r="F79" i="36" s="1"/>
  <c r="E148" i="29"/>
  <c r="E147" i="29"/>
  <c r="E150" i="29"/>
  <c r="E149" i="29"/>
  <c r="AL29" i="45"/>
  <c r="AL32" i="45"/>
  <c r="AL28" i="45"/>
  <c r="AL31" i="45"/>
  <c r="AL37" i="45" s="1"/>
  <c r="AL54" i="45"/>
  <c r="D226" i="53"/>
  <c r="D223" i="53"/>
  <c r="D222" i="53"/>
  <c r="D224" i="53"/>
  <c r="D225" i="53"/>
  <c r="D227" i="53"/>
  <c r="H360" i="48"/>
  <c r="C218" i="53"/>
  <c r="C217" i="53"/>
  <c r="C221" i="53" s="1"/>
  <c r="D29" i="20"/>
  <c r="D42" i="20"/>
  <c r="D96" i="20" s="1"/>
  <c r="E129" i="42"/>
  <c r="E134" i="42"/>
  <c r="F232" i="42"/>
  <c r="F234" i="42" s="1"/>
  <c r="G231" i="42"/>
  <c r="D215" i="54"/>
  <c r="D216" i="54"/>
  <c r="F212" i="54"/>
  <c r="F210" i="54"/>
  <c r="F209" i="54"/>
  <c r="F211" i="54"/>
  <c r="G137" i="48"/>
  <c r="G201" i="48"/>
  <c r="G138" i="48"/>
  <c r="G200" i="48"/>
  <c r="H136" i="48"/>
  <c r="I28" i="29"/>
  <c r="I46" i="29" s="1"/>
  <c r="J22" i="29"/>
  <c r="C100" i="46"/>
  <c r="C105" i="46" s="1"/>
  <c r="C102" i="46"/>
  <c r="C107" i="46" s="1"/>
  <c r="C99" i="48"/>
  <c r="C101" i="46"/>
  <c r="C106" i="46" s="1"/>
  <c r="C104" i="46"/>
  <c r="D106" i="45" s="1"/>
  <c r="C103" i="46"/>
  <c r="C108" i="46" s="1"/>
  <c r="F169" i="20"/>
  <c r="F168" i="20"/>
  <c r="F170" i="20"/>
  <c r="F179" i="20" s="1"/>
  <c r="F171" i="20"/>
  <c r="F185" i="20" s="1"/>
  <c r="F167" i="20"/>
  <c r="F173" i="20" s="1"/>
  <c r="G166" i="20"/>
  <c r="E135" i="15"/>
  <c r="C302" i="38"/>
  <c r="C301" i="38"/>
  <c r="C305" i="38" s="1"/>
  <c r="F194" i="29"/>
  <c r="F193" i="29"/>
  <c r="AJ99" i="45"/>
  <c r="D206" i="54"/>
  <c r="D207" i="54" s="1"/>
  <c r="D229" i="54"/>
  <c r="D230" i="54" s="1"/>
  <c r="G154" i="53"/>
  <c r="G156" i="53" s="1"/>
  <c r="H153" i="53"/>
  <c r="AK37" i="45"/>
  <c r="D157" i="29"/>
  <c r="D169" i="29" s="1"/>
  <c r="D158" i="29"/>
  <c r="E105" i="38"/>
  <c r="F99" i="36" s="1"/>
  <c r="AL99" i="36" s="1"/>
  <c r="E102" i="38"/>
  <c r="E106" i="38" s="1"/>
  <c r="E103" i="38"/>
  <c r="E107" i="38" s="1"/>
  <c r="E104" i="38"/>
  <c r="E108" i="38" s="1"/>
  <c r="C309" i="38"/>
  <c r="C311" i="38"/>
  <c r="C307" i="38"/>
  <c r="C306" i="38"/>
  <c r="C310" i="38"/>
  <c r="C308" i="38"/>
  <c r="D190" i="42"/>
  <c r="D194" i="42" s="1"/>
  <c r="D192" i="42"/>
  <c r="D189" i="42"/>
  <c r="D193" i="42" s="1"/>
  <c r="D191" i="42"/>
  <c r="D195" i="42" s="1"/>
  <c r="AM19" i="45"/>
  <c r="AM20" i="45"/>
  <c r="AL69" i="51"/>
  <c r="F131" i="38"/>
  <c r="F150" i="38" s="1"/>
  <c r="F132" i="38"/>
  <c r="F158" i="38" s="1"/>
  <c r="F130" i="38"/>
  <c r="F142" i="38" s="1"/>
  <c r="G125" i="12"/>
  <c r="E157" i="19"/>
  <c r="E198" i="20"/>
  <c r="F123" i="12"/>
  <c r="M41" i="15"/>
  <c r="E140" i="46"/>
  <c r="E154" i="46" s="1"/>
  <c r="E142" i="46"/>
  <c r="E174" i="46" s="1"/>
  <c r="E141" i="46"/>
  <c r="E164" i="46" s="1"/>
  <c r="I26" i="29"/>
  <c r="I44" i="29" s="1"/>
  <c r="J20" i="29"/>
  <c r="H68" i="51"/>
  <c r="H50" i="51"/>
  <c r="E58" i="29"/>
  <c r="E114" i="28"/>
  <c r="E213" i="28"/>
  <c r="J40" i="16"/>
  <c r="E222" i="42"/>
  <c r="E226" i="42" s="1"/>
  <c r="E221" i="42"/>
  <c r="E225" i="42" s="1"/>
  <c r="E223" i="42"/>
  <c r="E220" i="42"/>
  <c r="E224" i="42" s="1"/>
  <c r="G258" i="48"/>
  <c r="H257" i="48"/>
  <c r="F82" i="29"/>
  <c r="G55" i="16" s="1"/>
  <c r="G55" i="15"/>
  <c r="J125" i="15"/>
  <c r="I37" i="28"/>
  <c r="J47" i="15"/>
  <c r="AN40" i="45"/>
  <c r="AN39" i="45"/>
  <c r="D71" i="42"/>
  <c r="D75" i="42" s="1"/>
  <c r="D70" i="42"/>
  <c r="D74" i="42" s="1"/>
  <c r="D73" i="42"/>
  <c r="D72" i="42"/>
  <c r="D76" i="42" s="1"/>
  <c r="C280" i="42"/>
  <c r="C281" i="42" s="1"/>
  <c r="D247" i="42"/>
  <c r="D102" i="36"/>
  <c r="AO60" i="51"/>
  <c r="AK51" i="51"/>
  <c r="AK72" i="51"/>
  <c r="C218" i="54"/>
  <c r="C217" i="54"/>
  <c r="C221" i="54" s="1"/>
  <c r="C221" i="20"/>
  <c r="C47" i="20"/>
  <c r="C218" i="20" s="1"/>
  <c r="C72" i="20"/>
  <c r="J21" i="15"/>
  <c r="E71" i="51"/>
  <c r="I26" i="48"/>
  <c r="I41" i="48" s="1"/>
  <c r="J20" i="48"/>
  <c r="L9" i="16"/>
  <c r="D165" i="46"/>
  <c r="D168" i="46"/>
  <c r="D173" i="46" s="1"/>
  <c r="D166" i="46"/>
  <c r="D171" i="46" s="1"/>
  <c r="D167" i="46"/>
  <c r="D169" i="46"/>
  <c r="E77" i="45" s="1"/>
  <c r="D164" i="48"/>
  <c r="F27" i="19"/>
  <c r="F45" i="19" s="1"/>
  <c r="F129" i="19" s="1"/>
  <c r="F128" i="19" s="1"/>
  <c r="G21" i="19"/>
  <c r="G258" i="46"/>
  <c r="G260" i="46" s="1"/>
  <c r="H257" i="46"/>
  <c r="D24" i="19"/>
  <c r="E18" i="19"/>
  <c r="F60" i="29"/>
  <c r="G56" i="16" s="1"/>
  <c r="G56" i="15"/>
  <c r="J27" i="29"/>
  <c r="K21" i="29"/>
  <c r="E159" i="38"/>
  <c r="E163" i="38" s="1"/>
  <c r="E160" i="38"/>
  <c r="E164" i="38" s="1"/>
  <c r="E162" i="38"/>
  <c r="F109" i="36" s="1"/>
  <c r="AL109" i="36" s="1"/>
  <c r="E161" i="38"/>
  <c r="E165" i="38" s="1"/>
  <c r="F30" i="45"/>
  <c r="F64" i="42"/>
  <c r="F77" i="42" s="1"/>
  <c r="F65" i="42"/>
  <c r="F93" i="42" s="1"/>
  <c r="F67" i="42"/>
  <c r="F101" i="42" s="1"/>
  <c r="F62" i="42"/>
  <c r="F66" i="42"/>
  <c r="F85" i="42" s="1"/>
  <c r="F61" i="42"/>
  <c r="G60" i="42"/>
  <c r="H76" i="16"/>
  <c r="H75" i="16"/>
  <c r="AJ89" i="45"/>
  <c r="D91" i="45"/>
  <c r="E235" i="42"/>
  <c r="E239" i="42" s="1"/>
  <c r="E236" i="42"/>
  <c r="E240" i="42" s="1"/>
  <c r="E237" i="42"/>
  <c r="E241" i="42" s="1"/>
  <c r="E238" i="42"/>
  <c r="L124" i="15"/>
  <c r="K38" i="28"/>
  <c r="L54" i="15"/>
  <c r="I128" i="16"/>
  <c r="H40" i="29"/>
  <c r="I60" i="16"/>
  <c r="I122" i="15"/>
  <c r="I132" i="15" s="1"/>
  <c r="M41" i="16"/>
  <c r="E182" i="20"/>
  <c r="E144" i="19" s="1"/>
  <c r="E181" i="20"/>
  <c r="E143" i="19" s="1"/>
  <c r="E180" i="20"/>
  <c r="E142" i="19" s="1"/>
  <c r="E183" i="20"/>
  <c r="E145" i="19" s="1"/>
  <c r="E184" i="20"/>
  <c r="E146" i="19" s="1"/>
  <c r="E141" i="19"/>
  <c r="F125" i="14" s="1"/>
  <c r="I121" i="15"/>
  <c r="I42" i="15"/>
  <c r="J24" i="46"/>
  <c r="K18" i="46"/>
  <c r="L19" i="15"/>
  <c r="L18" i="15"/>
  <c r="L15" i="15"/>
  <c r="L16" i="15"/>
  <c r="M14" i="15"/>
  <c r="L32" i="15"/>
  <c r="L74" i="15" s="1"/>
  <c r="H44" i="38"/>
  <c r="H288" i="38" s="1"/>
  <c r="F63" i="53"/>
  <c r="F159" i="53" s="1"/>
  <c r="F69" i="53"/>
  <c r="F70" i="53" s="1"/>
  <c r="G49" i="51" s="1"/>
  <c r="F157" i="53"/>
  <c r="G66" i="51" s="1"/>
  <c r="D216" i="53"/>
  <c r="D215" i="53"/>
  <c r="J27" i="53"/>
  <c r="J42" i="53" s="1"/>
  <c r="K21" i="53"/>
  <c r="E78" i="38"/>
  <c r="E82" i="38" s="1"/>
  <c r="E81" i="38"/>
  <c r="F92" i="36" s="1"/>
  <c r="AL92" i="36" s="1"/>
  <c r="E79" i="38"/>
  <c r="E83" i="38" s="1"/>
  <c r="E80" i="38"/>
  <c r="E84" i="38" s="1"/>
  <c r="G31" i="46"/>
  <c r="G306" i="46"/>
  <c r="F241" i="46"/>
  <c r="F243" i="46" s="1"/>
  <c r="G240" i="46"/>
  <c r="AK69" i="51"/>
  <c r="F129" i="38"/>
  <c r="F134" i="38"/>
  <c r="C144" i="29"/>
  <c r="C145" i="29" s="1"/>
  <c r="C101" i="29"/>
  <c r="C167" i="29"/>
  <c r="C168" i="29" s="1"/>
  <c r="C37" i="48"/>
  <c r="AJ104" i="45"/>
  <c r="AM41" i="45"/>
  <c r="E204" i="46"/>
  <c r="E203" i="46"/>
  <c r="H54" i="51"/>
  <c r="AN53" i="51"/>
  <c r="G26" i="20"/>
  <c r="G44" i="20" s="1"/>
  <c r="H20" i="20"/>
  <c r="H332" i="42"/>
  <c r="E304" i="38"/>
  <c r="E303" i="38"/>
  <c r="E315" i="38" s="1"/>
  <c r="D300" i="42"/>
  <c r="D299" i="42"/>
  <c r="G146" i="28"/>
  <c r="G31" i="28"/>
  <c r="J39" i="15"/>
  <c r="H43" i="45"/>
  <c r="H95" i="45"/>
  <c r="G35" i="46"/>
  <c r="H42" i="45"/>
  <c r="H44" i="45"/>
  <c r="D243" i="42"/>
  <c r="D246" i="42"/>
  <c r="C308" i="42"/>
  <c r="C306" i="42"/>
  <c r="C311" i="42"/>
  <c r="C309" i="42"/>
  <c r="C307" i="42"/>
  <c r="C310" i="42"/>
  <c r="E135" i="14"/>
  <c r="AL95" i="45"/>
  <c r="AL43" i="45"/>
  <c r="AL42" i="45"/>
  <c r="E35" i="48"/>
  <c r="AL44" i="45"/>
  <c r="F65" i="16"/>
  <c r="C43" i="46"/>
  <c r="D43" i="46"/>
  <c r="D260" i="46" s="1"/>
  <c r="E43" i="46"/>
  <c r="E260" i="46" s="1"/>
  <c r="F43" i="46"/>
  <c r="F260" i="46" s="1"/>
  <c r="C184" i="28"/>
  <c r="C185" i="28" s="1"/>
  <c r="C186" i="28" s="1"/>
  <c r="G125" i="20"/>
  <c r="G121" i="20"/>
  <c r="G122" i="20"/>
  <c r="G123" i="20"/>
  <c r="G133" i="20" s="1"/>
  <c r="G120" i="20"/>
  <c r="G127" i="20" s="1"/>
  <c r="G124" i="20"/>
  <c r="H119" i="20"/>
  <c r="J24" i="53"/>
  <c r="K18" i="53"/>
  <c r="BP4" i="55"/>
  <c r="C253" i="20"/>
  <c r="C31" i="20"/>
  <c r="D147" i="46"/>
  <c r="D146" i="46"/>
  <c r="D144" i="48"/>
  <c r="D148" i="46"/>
  <c r="D145" i="46"/>
  <c r="D149" i="46"/>
  <c r="E83" i="45" s="1"/>
  <c r="G61" i="46"/>
  <c r="G67" i="46"/>
  <c r="G65" i="46"/>
  <c r="G62" i="46"/>
  <c r="G64" i="46"/>
  <c r="G66" i="46"/>
  <c r="G89" i="46" s="1"/>
  <c r="H60" i="46"/>
  <c r="C29" i="19"/>
  <c r="C42" i="19"/>
  <c r="C55" i="19" s="1"/>
  <c r="G292" i="42"/>
  <c r="I28" i="46"/>
  <c r="I29" i="46" s="1"/>
  <c r="J22" i="46"/>
  <c r="H36" i="29"/>
  <c r="H42" i="29" s="1"/>
  <c r="I123" i="16"/>
  <c r="I43" i="16"/>
  <c r="E87" i="42"/>
  <c r="E91" i="42" s="1"/>
  <c r="E88" i="42"/>
  <c r="E92" i="42" s="1"/>
  <c r="E89" i="42"/>
  <c r="E86" i="42"/>
  <c r="E90" i="42" s="1"/>
  <c r="F296" i="42"/>
  <c r="F293" i="42"/>
  <c r="F294" i="42"/>
  <c r="F295" i="42"/>
  <c r="F63" i="54"/>
  <c r="F159" i="54" s="1"/>
  <c r="F69" i="54"/>
  <c r="F70" i="54" s="1"/>
  <c r="H131" i="16"/>
  <c r="H129" i="16"/>
  <c r="I28" i="54"/>
  <c r="I43" i="54" s="1"/>
  <c r="J22" i="54"/>
  <c r="D300" i="38"/>
  <c r="D299" i="38"/>
  <c r="J24" i="54"/>
  <c r="K18" i="54"/>
  <c r="F205" i="54"/>
  <c r="F212" i="53"/>
  <c r="F209" i="53"/>
  <c r="F210" i="53"/>
  <c r="F211" i="53"/>
  <c r="F34" i="28"/>
  <c r="F33" i="28"/>
  <c r="C168" i="28"/>
  <c r="C167" i="28"/>
  <c r="G194" i="53"/>
  <c r="G31" i="53"/>
  <c r="F204" i="48"/>
  <c r="F203" i="48"/>
  <c r="D164" i="28"/>
  <c r="D161" i="28"/>
  <c r="D162" i="28"/>
  <c r="D163" i="28"/>
  <c r="F110" i="36"/>
  <c r="AL107" i="36"/>
  <c r="E206" i="54"/>
  <c r="E207" i="54" s="1"/>
  <c r="E229" i="54"/>
  <c r="E230" i="54" s="1"/>
  <c r="I26" i="42"/>
  <c r="I41" i="42" s="1"/>
  <c r="J20" i="42"/>
  <c r="E187" i="20"/>
  <c r="E149" i="19" s="1"/>
  <c r="E147" i="19"/>
  <c r="F137" i="14" s="1"/>
  <c r="E190" i="20"/>
  <c r="E152" i="19" s="1"/>
  <c r="F137" i="12"/>
  <c r="E189" i="20"/>
  <c r="E151" i="19" s="1"/>
  <c r="E186" i="20"/>
  <c r="E148" i="19" s="1"/>
  <c r="E188" i="20"/>
  <c r="E150" i="19" s="1"/>
  <c r="E157" i="28"/>
  <c r="E160" i="28"/>
  <c r="D201" i="38"/>
  <c r="H29" i="38"/>
  <c r="E192" i="38"/>
  <c r="F91" i="36" s="1"/>
  <c r="E190" i="38"/>
  <c r="E194" i="38" s="1"/>
  <c r="E189" i="38"/>
  <c r="E193" i="38" s="1"/>
  <c r="E191" i="38"/>
  <c r="E195" i="38" s="1"/>
  <c r="AK56" i="45"/>
  <c r="AK55" i="45"/>
  <c r="I136" i="53"/>
  <c r="I137" i="53" s="1"/>
  <c r="J63" i="51" s="1"/>
  <c r="I138" i="53"/>
  <c r="I139" i="53" s="1"/>
  <c r="J69" i="51" s="1"/>
  <c r="I134" i="53"/>
  <c r="E247" i="46"/>
  <c r="E252" i="46" s="1"/>
  <c r="E246" i="46"/>
  <c r="E251" i="46" s="1"/>
  <c r="E245" i="46"/>
  <c r="E250" i="46" s="1"/>
  <c r="E244" i="46"/>
  <c r="E249" i="46" s="1"/>
  <c r="E243" i="48"/>
  <c r="E248" i="46"/>
  <c r="F96" i="45" s="1"/>
  <c r="N23" i="15"/>
  <c r="N24" i="15"/>
  <c r="O22" i="15"/>
  <c r="AJ69" i="51"/>
  <c r="D70" i="51"/>
  <c r="E219" i="54"/>
  <c r="E231" i="54" s="1"/>
  <c r="E220" i="54"/>
  <c r="E139" i="46"/>
  <c r="E144" i="46"/>
  <c r="H29" i="29"/>
  <c r="G208" i="20"/>
  <c r="F209" i="20"/>
  <c r="F211" i="20" s="1"/>
  <c r="F155" i="19"/>
  <c r="F154" i="19" s="1"/>
  <c r="AK110" i="36"/>
  <c r="F72" i="51"/>
  <c r="AL49" i="51"/>
  <c r="F51" i="51"/>
  <c r="N23" i="16"/>
  <c r="N25" i="16" s="1"/>
  <c r="N24" i="16"/>
  <c r="O22" i="16"/>
  <c r="J24" i="29"/>
  <c r="K18" i="29"/>
  <c r="D73" i="38"/>
  <c r="E78" i="36" s="1"/>
  <c r="D70" i="38"/>
  <c r="D74" i="38" s="1"/>
  <c r="D71" i="38"/>
  <c r="D75" i="38" s="1"/>
  <c r="D72" i="38"/>
  <c r="D76" i="38" s="1"/>
  <c r="D173" i="19"/>
  <c r="H44" i="53"/>
  <c r="H204" i="53" s="1"/>
  <c r="K20" i="16"/>
  <c r="AL67" i="51"/>
  <c r="C174" i="28"/>
  <c r="C177" i="28"/>
  <c r="C176" i="28"/>
  <c r="C175" i="28"/>
  <c r="C178" i="28"/>
  <c r="C179" i="28"/>
  <c r="F139" i="20"/>
  <c r="G94" i="12"/>
  <c r="H40" i="28"/>
  <c r="I128" i="15"/>
  <c r="I60" i="15"/>
  <c r="I25" i="29"/>
  <c r="I43" i="29" s="1"/>
  <c r="J19" i="29"/>
  <c r="I39" i="53"/>
  <c r="K13" i="15"/>
  <c r="L11" i="15"/>
  <c r="J40" i="15"/>
  <c r="F56" i="45"/>
  <c r="F55" i="45"/>
  <c r="E78" i="42"/>
  <c r="E82" i="42" s="1"/>
  <c r="E79" i="42"/>
  <c r="E83" i="42" s="1"/>
  <c r="E81" i="42"/>
  <c r="E80" i="42"/>
  <c r="E84" i="42" s="1"/>
  <c r="C163" i="19"/>
  <c r="AM54" i="51"/>
  <c r="C227" i="48"/>
  <c r="C232" i="48" s="1"/>
  <c r="C230" i="48"/>
  <c r="C235" i="48" s="1"/>
  <c r="C229" i="48"/>
  <c r="C234" i="48" s="1"/>
  <c r="C231" i="48"/>
  <c r="C228" i="48"/>
  <c r="C233" i="48" s="1"/>
  <c r="C208" i="48"/>
  <c r="C213" i="48" s="1"/>
  <c r="C207" i="48"/>
  <c r="C212" i="48" s="1"/>
  <c r="C210" i="48"/>
  <c r="C215" i="48" s="1"/>
  <c r="C209" i="48"/>
  <c r="C214" i="48" s="1"/>
  <c r="C211" i="48"/>
  <c r="I39" i="54"/>
  <c r="F202" i="48"/>
  <c r="G83" i="28"/>
  <c r="G70" i="29" s="1"/>
  <c r="G85" i="28"/>
  <c r="G72" i="29" s="1"/>
  <c r="G87" i="28"/>
  <c r="G84" i="28"/>
  <c r="G88" i="28"/>
  <c r="G86" i="28"/>
  <c r="H82" i="28"/>
  <c r="F208" i="28"/>
  <c r="F207" i="28"/>
  <c r="F156" i="28"/>
  <c r="H29" i="48"/>
  <c r="AK96" i="45"/>
  <c r="G21" i="45"/>
  <c r="I25" i="54"/>
  <c r="I40" i="54" s="1"/>
  <c r="J19" i="54"/>
  <c r="G65" i="53"/>
  <c r="G75" i="53" s="1"/>
  <c r="G61" i="53"/>
  <c r="G62" i="53"/>
  <c r="G67" i="53"/>
  <c r="G77" i="53" s="1"/>
  <c r="G78" i="53" s="1"/>
  <c r="H61" i="51" s="1"/>
  <c r="G66" i="53"/>
  <c r="G73" i="53" s="1"/>
  <c r="G74" i="53" s="1"/>
  <c r="G64" i="53"/>
  <c r="G71" i="53" s="1"/>
  <c r="G72" i="53" s="1"/>
  <c r="H57" i="51" s="1"/>
  <c r="H58" i="51" s="1"/>
  <c r="H60" i="53"/>
  <c r="E207" i="38"/>
  <c r="E211" i="38" s="1"/>
  <c r="E206" i="38"/>
  <c r="E210" i="38" s="1"/>
  <c r="E208" i="38"/>
  <c r="E205" i="38"/>
  <c r="E209" i="38" s="1"/>
  <c r="AK30" i="45"/>
  <c r="E133" i="19"/>
  <c r="G95" i="45"/>
  <c r="G44" i="45"/>
  <c r="G43" i="45"/>
  <c r="F35" i="46"/>
  <c r="G42" i="45"/>
  <c r="J27" i="48"/>
  <c r="J42" i="48" s="1"/>
  <c r="K21" i="48"/>
  <c r="E213" i="53"/>
  <c r="E214" i="53"/>
  <c r="E63" i="38"/>
  <c r="E69" i="38"/>
  <c r="AJ80" i="36"/>
  <c r="AJ83" i="36" s="1"/>
  <c r="E134" i="15"/>
  <c r="E133" i="15" a="1"/>
  <c r="E133" i="15" s="1"/>
  <c r="E68" i="15"/>
  <c r="F25" i="19"/>
  <c r="F43" i="19" s="1"/>
  <c r="F101" i="19" s="1"/>
  <c r="G19" i="19"/>
  <c r="G278" i="38"/>
  <c r="G31" i="38"/>
  <c r="I26" i="38"/>
  <c r="I41" i="38" s="1"/>
  <c r="J20" i="38"/>
  <c r="F59" i="16"/>
  <c r="N7" i="15"/>
  <c r="O6" i="15"/>
  <c r="H135" i="53"/>
  <c r="I56" i="51"/>
  <c r="E216" i="20"/>
  <c r="E174" i="19" s="1"/>
  <c r="E213" i="20"/>
  <c r="E171" i="19" s="1"/>
  <c r="E212" i="20"/>
  <c r="E170" i="19" s="1"/>
  <c r="E214" i="20"/>
  <c r="E172" i="19" s="1"/>
  <c r="F135" i="12"/>
  <c r="E215" i="20"/>
  <c r="E169" i="19"/>
  <c r="C83" i="20"/>
  <c r="C75" i="19" s="1"/>
  <c r="C81" i="20"/>
  <c r="C80" i="20"/>
  <c r="C70" i="19"/>
  <c r="D114" i="14" s="1"/>
  <c r="C79" i="20"/>
  <c r="D114" i="12"/>
  <c r="C82" i="20"/>
  <c r="E134" i="16"/>
  <c r="E77" i="16"/>
  <c r="E133" i="16" a="1"/>
  <c r="E133" i="16" s="1"/>
  <c r="E68" i="16"/>
  <c r="E297" i="38"/>
  <c r="E298" i="38"/>
  <c r="F183" i="42"/>
  <c r="F182" i="42"/>
  <c r="G181" i="42"/>
  <c r="AO16" i="45"/>
  <c r="J16" i="45"/>
  <c r="I17" i="45"/>
  <c r="I18" i="45" s="1"/>
  <c r="E110" i="36"/>
  <c r="H36" i="28"/>
  <c r="H42" i="28" s="1"/>
  <c r="I123" i="15"/>
  <c r="I43" i="15"/>
  <c r="D243" i="38"/>
  <c r="D246" i="38"/>
  <c r="H29" i="53"/>
  <c r="E86" i="36"/>
  <c r="E89" i="36" s="1"/>
  <c r="AK85" i="36"/>
  <c r="AK86" i="36" s="1"/>
  <c r="AK89" i="36" s="1"/>
  <c r="I26" i="28"/>
  <c r="I44" i="28" s="1"/>
  <c r="J20" i="28"/>
  <c r="J39" i="16"/>
  <c r="J13" i="16"/>
  <c r="F127" i="20"/>
  <c r="I25" i="28"/>
  <c r="I43" i="28" s="1"/>
  <c r="J19" i="28"/>
  <c r="F49" i="15"/>
  <c r="D178" i="46"/>
  <c r="D175" i="46"/>
  <c r="D180" i="46" s="1"/>
  <c r="D177" i="46"/>
  <c r="D174" i="48"/>
  <c r="D176" i="46"/>
  <c r="D179" i="46"/>
  <c r="E107" i="45" s="1"/>
  <c r="E33" i="45"/>
  <c r="E34" i="45" s="1"/>
  <c r="H44" i="54"/>
  <c r="H204" i="54" s="1"/>
  <c r="G32" i="45"/>
  <c r="G31" i="45"/>
  <c r="G35" i="45" s="1"/>
  <c r="AM27" i="45"/>
  <c r="G29" i="45"/>
  <c r="H27" i="45"/>
  <c r="G28" i="45"/>
  <c r="G54" i="45"/>
  <c r="J27" i="38"/>
  <c r="J42" i="38" s="1"/>
  <c r="K21" i="38"/>
  <c r="I25" i="38"/>
  <c r="I40" i="38" s="1"/>
  <c r="J19" i="38"/>
  <c r="AJ108" i="45"/>
  <c r="F293" i="38"/>
  <c r="F294" i="38"/>
  <c r="F296" i="38"/>
  <c r="F295" i="38"/>
  <c r="E135" i="16"/>
  <c r="F140" i="48"/>
  <c r="F141" i="48"/>
  <c r="F142" i="48"/>
  <c r="C73" i="46"/>
  <c r="C78" i="46" s="1"/>
  <c r="C72" i="46"/>
  <c r="C77" i="46" s="1"/>
  <c r="C71" i="46"/>
  <c r="C76" i="46" s="1"/>
  <c r="C69" i="48"/>
  <c r="C70" i="46"/>
  <c r="C75" i="46" s="1"/>
  <c r="C74" i="46"/>
  <c r="D76" i="45" s="1"/>
  <c r="F74" i="29"/>
  <c r="G45" i="16" s="1"/>
  <c r="G45" i="15"/>
  <c r="H61" i="16"/>
  <c r="G84" i="29"/>
  <c r="K20" i="15"/>
  <c r="D244" i="48"/>
  <c r="D249" i="48" s="1"/>
  <c r="D247" i="48"/>
  <c r="D252" i="48" s="1"/>
  <c r="D245" i="48"/>
  <c r="D250" i="48" s="1"/>
  <c r="D246" i="48"/>
  <c r="D251" i="48" s="1"/>
  <c r="D248" i="48"/>
  <c r="D158" i="28"/>
  <c r="D159" i="28" s="1"/>
  <c r="D181" i="28"/>
  <c r="D182" i="28" s="1"/>
  <c r="H110" i="54"/>
  <c r="H111" i="54" s="1"/>
  <c r="H108" i="54"/>
  <c r="H109" i="54" s="1"/>
  <c r="H104" i="54"/>
  <c r="H105" i="54" s="1"/>
  <c r="H106" i="54"/>
  <c r="H107" i="54" s="1"/>
  <c r="AM61" i="51"/>
  <c r="G64" i="51"/>
  <c r="E197" i="38"/>
  <c r="E201" i="38" s="1"/>
  <c r="E198" i="38"/>
  <c r="E202" i="38" s="1"/>
  <c r="E200" i="38"/>
  <c r="F101" i="36" s="1"/>
  <c r="AL101" i="36" s="1"/>
  <c r="E199" i="38"/>
  <c r="E203" i="38" s="1"/>
  <c r="AK32" i="45"/>
  <c r="AK33" i="45" s="1"/>
  <c r="AK79" i="36"/>
  <c r="AK114" i="36" s="1"/>
  <c r="E114" i="36"/>
  <c r="D200" i="20"/>
  <c r="D161" i="19" s="1"/>
  <c r="D199" i="20"/>
  <c r="D160" i="19" s="1"/>
  <c r="D203" i="20"/>
  <c r="D164" i="19" s="1"/>
  <c r="D201" i="20"/>
  <c r="D162" i="19" s="1"/>
  <c r="D159" i="19"/>
  <c r="E123" i="14" s="1"/>
  <c r="D202" i="20"/>
  <c r="E219" i="53"/>
  <c r="E231" i="53" s="1"/>
  <c r="E220" i="53"/>
  <c r="C95" i="20"/>
  <c r="C87" i="19" s="1"/>
  <c r="C82" i="19"/>
  <c r="D124" i="14" s="1"/>
  <c r="C94" i="20"/>
  <c r="C86" i="19" s="1"/>
  <c r="C91" i="20"/>
  <c r="C93" i="20"/>
  <c r="C92" i="20"/>
  <c r="G241" i="48"/>
  <c r="H240" i="48"/>
  <c r="F59" i="15"/>
  <c r="AK71" i="51"/>
  <c r="M9" i="15"/>
  <c r="M10" i="15" s="1"/>
  <c r="AO69" i="51"/>
  <c r="E141" i="20"/>
  <c r="E117" i="19" s="1"/>
  <c r="E140" i="20"/>
  <c r="E116" i="19" s="1"/>
  <c r="E143" i="20"/>
  <c r="E119" i="19" s="1"/>
  <c r="E142" i="20"/>
  <c r="E118" i="19" s="1"/>
  <c r="E144" i="20"/>
  <c r="E120" i="19" s="1"/>
  <c r="E115" i="19"/>
  <c r="F94" i="14" s="1"/>
  <c r="E82" i="45"/>
  <c r="E26" i="45"/>
  <c r="E24" i="45"/>
  <c r="D34" i="46"/>
  <c r="E25" i="45"/>
  <c r="C206" i="54"/>
  <c r="C207" i="54" s="1"/>
  <c r="C163" i="54"/>
  <c r="C229" i="54"/>
  <c r="C230" i="54" s="1"/>
  <c r="E196" i="42"/>
  <c r="E184" i="42"/>
  <c r="E188" i="42"/>
  <c r="E204" i="42"/>
  <c r="AN17" i="45"/>
  <c r="AN18" i="45" s="1"/>
  <c r="G205" i="54"/>
  <c r="G208" i="54"/>
  <c r="F143" i="29"/>
  <c r="F146" i="29"/>
  <c r="F65" i="20"/>
  <c r="F64" i="20"/>
  <c r="G63" i="20"/>
  <c r="K21" i="28"/>
  <c r="J27" i="28"/>
  <c r="K34" i="16"/>
  <c r="K33" i="16"/>
  <c r="H80" i="29"/>
  <c r="H79" i="29" s="1"/>
  <c r="J24" i="28"/>
  <c r="K18" i="28"/>
  <c r="C145" i="46"/>
  <c r="C150" i="46" s="1"/>
  <c r="C146" i="46"/>
  <c r="C151" i="46" s="1"/>
  <c r="C144" i="48"/>
  <c r="C147" i="46"/>
  <c r="C152" i="46" s="1"/>
  <c r="C149" i="46"/>
  <c r="D83" i="45" s="1"/>
  <c r="C148" i="46"/>
  <c r="C153" i="46" s="1"/>
  <c r="G64" i="48"/>
  <c r="G66" i="48"/>
  <c r="G67" i="48"/>
  <c r="G62" i="48"/>
  <c r="G65" i="48"/>
  <c r="G61" i="48"/>
  <c r="H60" i="48"/>
  <c r="C148" i="28"/>
  <c r="C149" i="28" s="1"/>
  <c r="D214" i="28"/>
  <c r="F133" i="20"/>
  <c r="H65" i="29"/>
  <c r="H67" i="29"/>
  <c r="H68" i="29"/>
  <c r="H64" i="29"/>
  <c r="H66" i="29"/>
  <c r="H63" i="29"/>
  <c r="H62" i="29" s="1"/>
  <c r="F71" i="51"/>
  <c r="AK102" i="36"/>
  <c r="C220" i="20"/>
  <c r="AL71" i="51" l="1"/>
  <c r="D183" i="46"/>
  <c r="D172" i="46"/>
  <c r="I24" i="38"/>
  <c r="I39" i="38" s="1"/>
  <c r="J18" i="38"/>
  <c r="J18" i="42"/>
  <c r="I24" i="42"/>
  <c r="I39" i="42" s="1"/>
  <c r="I44" i="42" s="1"/>
  <c r="I288" i="42" s="1"/>
  <c r="D94" i="45"/>
  <c r="F57" i="45"/>
  <c r="D78" i="20"/>
  <c r="D81" i="20" s="1"/>
  <c r="AJ93" i="45"/>
  <c r="I80" i="29"/>
  <c r="I79" i="29" s="1"/>
  <c r="D181" i="46"/>
  <c r="AJ115" i="36"/>
  <c r="D170" i="46"/>
  <c r="AJ119" i="36"/>
  <c r="I29" i="53"/>
  <c r="D182" i="46"/>
  <c r="C188" i="28"/>
  <c r="C193" i="28" s="1"/>
  <c r="AJ94" i="45"/>
  <c r="K35" i="15"/>
  <c r="D93" i="45"/>
  <c r="K35" i="16"/>
  <c r="G202" i="48"/>
  <c r="D133" i="14"/>
  <c r="D129" i="14" s="1"/>
  <c r="D102" i="45"/>
  <c r="M54" i="15"/>
  <c r="E141" i="15"/>
  <c r="E142" i="15" s="1"/>
  <c r="G36" i="45"/>
  <c r="I29" i="29"/>
  <c r="E140" i="15"/>
  <c r="I29" i="38"/>
  <c r="I31" i="38" s="1"/>
  <c r="AL110" i="36"/>
  <c r="AL111" i="36" s="1"/>
  <c r="AN19" i="45"/>
  <c r="AN20" i="45"/>
  <c r="D168" i="14"/>
  <c r="G66" i="16"/>
  <c r="K27" i="38"/>
  <c r="K42" i="38" s="1"/>
  <c r="L21" i="38"/>
  <c r="E75" i="45"/>
  <c r="D33" i="46"/>
  <c r="D39" i="46" s="1"/>
  <c r="I19" i="45"/>
  <c r="I20" i="45"/>
  <c r="E141" i="16"/>
  <c r="E142" i="16" s="1"/>
  <c r="D119" i="12"/>
  <c r="C72" i="19"/>
  <c r="D119" i="14" s="1"/>
  <c r="N41" i="15"/>
  <c r="AN61" i="51"/>
  <c r="H64" i="51"/>
  <c r="G75" i="29"/>
  <c r="H64" i="16" s="1"/>
  <c r="H64" i="15"/>
  <c r="I44" i="53"/>
  <c r="I204" i="53" s="1"/>
  <c r="AK111" i="36"/>
  <c r="AK113" i="36"/>
  <c r="AK112" i="36"/>
  <c r="N25" i="15"/>
  <c r="E233" i="54"/>
  <c r="E234" i="54" s="1"/>
  <c r="E232" i="54"/>
  <c r="D301" i="38"/>
  <c r="D305" i="38" s="1"/>
  <c r="D302" i="38"/>
  <c r="F297" i="42"/>
  <c r="F298" i="42"/>
  <c r="D148" i="48"/>
  <c r="D147" i="48"/>
  <c r="D145" i="48"/>
  <c r="D146" i="48"/>
  <c r="D149" i="48"/>
  <c r="H125" i="20"/>
  <c r="H122" i="20"/>
  <c r="H121" i="20"/>
  <c r="H123" i="20"/>
  <c r="H120" i="20"/>
  <c r="H124" i="20"/>
  <c r="I119" i="20"/>
  <c r="F35" i="48"/>
  <c r="AM42" i="45"/>
  <c r="AM43" i="45"/>
  <c r="AM95" i="45"/>
  <c r="AM44" i="45"/>
  <c r="L21" i="53"/>
  <c r="K27" i="53"/>
  <c r="K42" i="53" s="1"/>
  <c r="I131" i="15"/>
  <c r="I129" i="15"/>
  <c r="F63" i="42"/>
  <c r="F69" i="42"/>
  <c r="AK77" i="45"/>
  <c r="D103" i="36"/>
  <c r="D117" i="36" s="1"/>
  <c r="D123" i="36" s="1"/>
  <c r="D105" i="36"/>
  <c r="G59" i="16"/>
  <c r="E168" i="46"/>
  <c r="E173" i="46" s="1"/>
  <c r="E164" i="48"/>
  <c r="E165" i="46"/>
  <c r="E170" i="46" s="1"/>
  <c r="E166" i="46"/>
  <c r="E171" i="46" s="1"/>
  <c r="E167" i="46"/>
  <c r="E172" i="46" s="1"/>
  <c r="E169" i="46"/>
  <c r="F77" i="45" s="1"/>
  <c r="F131" i="19"/>
  <c r="F151" i="38"/>
  <c r="F155" i="38" s="1"/>
  <c r="F152" i="38"/>
  <c r="F156" i="38" s="1"/>
  <c r="F153" i="38"/>
  <c r="F157" i="38" s="1"/>
  <c r="F154" i="38"/>
  <c r="G79" i="36" s="1"/>
  <c r="F186" i="20"/>
  <c r="F148" i="19" s="1"/>
  <c r="F188" i="20"/>
  <c r="F150" i="19" s="1"/>
  <c r="F187" i="20"/>
  <c r="F149" i="19" s="1"/>
  <c r="F190" i="20"/>
  <c r="F152" i="19" s="1"/>
  <c r="F189" i="20"/>
  <c r="F151" i="19" s="1"/>
  <c r="F147" i="19"/>
  <c r="G137" i="14" s="1"/>
  <c r="G137" i="12"/>
  <c r="G139" i="48"/>
  <c r="E157" i="29"/>
  <c r="E169" i="29" s="1"/>
  <c r="E158" i="29"/>
  <c r="C155" i="48"/>
  <c r="C160" i="48" s="1"/>
  <c r="C156" i="48"/>
  <c r="C161" i="48" s="1"/>
  <c r="C157" i="48"/>
  <c r="C162" i="48" s="1"/>
  <c r="C159" i="48"/>
  <c r="C158" i="48"/>
  <c r="C163" i="48" s="1"/>
  <c r="K21" i="16"/>
  <c r="H108" i="28"/>
  <c r="I107" i="28"/>
  <c r="E209" i="46"/>
  <c r="E214" i="46" s="1"/>
  <c r="E210" i="46"/>
  <c r="E215" i="46" s="1"/>
  <c r="E208" i="46"/>
  <c r="E213" i="46" s="1"/>
  <c r="E207" i="46"/>
  <c r="E212" i="46" s="1"/>
  <c r="E211" i="46"/>
  <c r="F89" i="45" s="1"/>
  <c r="E206" i="48"/>
  <c r="I40" i="28"/>
  <c r="J128" i="15"/>
  <c r="J60" i="15"/>
  <c r="D105" i="14"/>
  <c r="C89" i="19"/>
  <c r="D140" i="14" s="1"/>
  <c r="D140" i="12"/>
  <c r="E153" i="42"/>
  <c r="E157" i="42" s="1"/>
  <c r="E151" i="42"/>
  <c r="E155" i="42" s="1"/>
  <c r="E154" i="42"/>
  <c r="E152" i="42"/>
  <c r="E156" i="42" s="1"/>
  <c r="G67" i="16"/>
  <c r="G46" i="16"/>
  <c r="H217" i="38"/>
  <c r="H219" i="38" s="1"/>
  <c r="I216" i="38"/>
  <c r="M19" i="16"/>
  <c r="M16" i="16"/>
  <c r="M15" i="16"/>
  <c r="M18" i="16"/>
  <c r="N14" i="16"/>
  <c r="M32" i="16"/>
  <c r="F134" i="15"/>
  <c r="F133" i="15" a="1"/>
  <c r="F133" i="15" s="1"/>
  <c r="F68" i="15"/>
  <c r="F204" i="46"/>
  <c r="F203" i="46"/>
  <c r="C318" i="38"/>
  <c r="C319" i="38" s="1"/>
  <c r="C321" i="38" s="1"/>
  <c r="AK99" i="45"/>
  <c r="K24" i="48"/>
  <c r="L18" i="48"/>
  <c r="K21" i="15"/>
  <c r="G26" i="19"/>
  <c r="G44" i="19" s="1"/>
  <c r="G155" i="19" s="1"/>
  <c r="G154" i="19" s="1"/>
  <c r="H20" i="19"/>
  <c r="F148" i="20"/>
  <c r="F124" i="19" s="1"/>
  <c r="F150" i="20"/>
  <c r="F126" i="19" s="1"/>
  <c r="F147" i="20"/>
  <c r="F123" i="19" s="1"/>
  <c r="F149" i="20"/>
  <c r="F125" i="19" s="1"/>
  <c r="F146" i="20"/>
  <c r="F122" i="19" s="1"/>
  <c r="G138" i="12"/>
  <c r="F121" i="19"/>
  <c r="G138" i="14" s="1"/>
  <c r="G296" i="38"/>
  <c r="G294" i="38"/>
  <c r="G293" i="38"/>
  <c r="G295" i="38"/>
  <c r="J28" i="53"/>
  <c r="J43" i="53" s="1"/>
  <c r="K22" i="53"/>
  <c r="F105" i="38"/>
  <c r="G99" i="36" s="1"/>
  <c r="AM99" i="36" s="1"/>
  <c r="F103" i="38"/>
  <c r="F107" i="38" s="1"/>
  <c r="F102" i="38"/>
  <c r="F106" i="38" s="1"/>
  <c r="F104" i="38"/>
  <c r="F108" i="38" s="1"/>
  <c r="AK98" i="45"/>
  <c r="F73" i="51"/>
  <c r="D148" i="28"/>
  <c r="D149" i="28" s="1"/>
  <c r="E214" i="28"/>
  <c r="K27" i="28"/>
  <c r="L21" i="28"/>
  <c r="G209" i="54"/>
  <c r="G210" i="54"/>
  <c r="G212" i="54"/>
  <c r="G211" i="54"/>
  <c r="E191" i="42"/>
  <c r="E195" i="42" s="1"/>
  <c r="E190" i="42"/>
  <c r="E194" i="42" s="1"/>
  <c r="E192" i="42"/>
  <c r="E189" i="42"/>
  <c r="E193" i="42" s="1"/>
  <c r="H205" i="54"/>
  <c r="H208" i="54"/>
  <c r="D176" i="48"/>
  <c r="D178" i="48"/>
  <c r="D175" i="48"/>
  <c r="D179" i="48"/>
  <c r="D177" i="48"/>
  <c r="J25" i="28"/>
  <c r="J43" i="28" s="1"/>
  <c r="K19" i="28"/>
  <c r="C73" i="19"/>
  <c r="D120" i="14" s="1"/>
  <c r="D120" i="12"/>
  <c r="J26" i="38"/>
  <c r="J41" i="38" s="1"/>
  <c r="K20" i="38"/>
  <c r="H48" i="15"/>
  <c r="G71" i="29"/>
  <c r="H48" i="16" s="1"/>
  <c r="I31" i="53"/>
  <c r="I194" i="53"/>
  <c r="F141" i="20"/>
  <c r="F117" i="19" s="1"/>
  <c r="F144" i="20"/>
  <c r="F120" i="19" s="1"/>
  <c r="F142" i="20"/>
  <c r="F118" i="19" s="1"/>
  <c r="F143" i="20"/>
  <c r="F119" i="19" s="1"/>
  <c r="F140" i="20"/>
  <c r="F116" i="19" s="1"/>
  <c r="F115" i="19"/>
  <c r="G94" i="14" s="1"/>
  <c r="M38" i="29"/>
  <c r="N124" i="16"/>
  <c r="N54" i="16"/>
  <c r="E224" i="54"/>
  <c r="E223" i="54"/>
  <c r="E226" i="54"/>
  <c r="E225" i="54"/>
  <c r="E222" i="54"/>
  <c r="E227" i="54"/>
  <c r="F214" i="53"/>
  <c r="F213" i="53"/>
  <c r="D151" i="46"/>
  <c r="H94" i="12"/>
  <c r="G139" i="20"/>
  <c r="D301" i="42"/>
  <c r="D305" i="42" s="1"/>
  <c r="D302" i="42"/>
  <c r="H26" i="20"/>
  <c r="H44" i="20" s="1"/>
  <c r="I20" i="20"/>
  <c r="J136" i="53"/>
  <c r="J137" i="53" s="1"/>
  <c r="K63" i="51" s="1"/>
  <c r="J134" i="53"/>
  <c r="J138" i="53"/>
  <c r="J139" i="53" s="1"/>
  <c r="K69" i="51" s="1"/>
  <c r="M16" i="15"/>
  <c r="M19" i="15"/>
  <c r="M18" i="15"/>
  <c r="M15" i="15"/>
  <c r="N14" i="15"/>
  <c r="M32" i="15"/>
  <c r="M74" i="15"/>
  <c r="K24" i="46"/>
  <c r="L18" i="46"/>
  <c r="F88" i="42"/>
  <c r="F92" i="42" s="1"/>
  <c r="F86" i="42"/>
  <c r="F90" i="42" s="1"/>
  <c r="F87" i="42"/>
  <c r="F91" i="42" s="1"/>
  <c r="F89" i="42"/>
  <c r="H258" i="46"/>
  <c r="H260" i="46" s="1"/>
  <c r="I257" i="46"/>
  <c r="J26" i="48"/>
  <c r="J41" i="48" s="1"/>
  <c r="K20" i="48"/>
  <c r="C58" i="19"/>
  <c r="C52" i="19"/>
  <c r="C49" i="19" s="1"/>
  <c r="C177" i="19" s="1"/>
  <c r="D280" i="42"/>
  <c r="D281" i="42" s="1"/>
  <c r="E247" i="42"/>
  <c r="H258" i="48"/>
  <c r="I257" i="48"/>
  <c r="E158" i="28"/>
  <c r="E159" i="28" s="1"/>
  <c r="E181" i="28"/>
  <c r="E182" i="28" s="1"/>
  <c r="E175" i="46"/>
  <c r="E180" i="46" s="1"/>
  <c r="E177" i="46"/>
  <c r="E182" i="46" s="1"/>
  <c r="E176" i="46"/>
  <c r="E181" i="46" s="1"/>
  <c r="E178" i="46"/>
  <c r="E183" i="46" s="1"/>
  <c r="E174" i="48"/>
  <c r="E179" i="46"/>
  <c r="F107" i="45" s="1"/>
  <c r="F183" i="20"/>
  <c r="F145" i="19" s="1"/>
  <c r="F180" i="20"/>
  <c r="F142" i="19" s="1"/>
  <c r="F182" i="20"/>
  <c r="F144" i="19" s="1"/>
  <c r="F184" i="20"/>
  <c r="F146" i="19" s="1"/>
  <c r="F181" i="20"/>
  <c r="F143" i="19" s="1"/>
  <c r="F141" i="19"/>
  <c r="G125" i="14" s="1"/>
  <c r="F213" i="54"/>
  <c r="F214" i="54"/>
  <c r="G232" i="42"/>
  <c r="G234" i="42" s="1"/>
  <c r="H231" i="42"/>
  <c r="D221" i="20"/>
  <c r="D47" i="20"/>
  <c r="D218" i="20" s="1"/>
  <c r="D72" i="20"/>
  <c r="E93" i="12"/>
  <c r="AL33" i="45"/>
  <c r="G65" i="15"/>
  <c r="AL102" i="36"/>
  <c r="G82" i="29"/>
  <c r="H55" i="16" s="1"/>
  <c r="H55" i="15"/>
  <c r="F134" i="16"/>
  <c r="F133" i="16" a="1"/>
  <c r="F133" i="16" s="1"/>
  <c r="F77" i="16"/>
  <c r="F68" i="16"/>
  <c r="D139" i="12"/>
  <c r="E145" i="42"/>
  <c r="E149" i="42" s="1"/>
  <c r="E143" i="42"/>
  <c r="E147" i="42" s="1"/>
  <c r="E144" i="42"/>
  <c r="E148" i="42" s="1"/>
  <c r="E146" i="42"/>
  <c r="D235" i="53"/>
  <c r="H28" i="20"/>
  <c r="H46" i="20" s="1"/>
  <c r="I22" i="20"/>
  <c r="F58" i="29"/>
  <c r="F213" i="28"/>
  <c r="F114" i="28"/>
  <c r="I75" i="16"/>
  <c r="I76" i="16"/>
  <c r="G223" i="38"/>
  <c r="H98" i="36" s="1"/>
  <c r="G222" i="38"/>
  <c r="G226" i="38" s="1"/>
  <c r="G221" i="38"/>
  <c r="G225" i="38" s="1"/>
  <c r="G220" i="38"/>
  <c r="G224" i="38" s="1"/>
  <c r="L20" i="16"/>
  <c r="AO62" i="51"/>
  <c r="F141" i="46"/>
  <c r="F164" i="46" s="1"/>
  <c r="F142" i="46"/>
  <c r="F174" i="46" s="1"/>
  <c r="F140" i="46"/>
  <c r="F154" i="46" s="1"/>
  <c r="D220" i="48"/>
  <c r="D225" i="48" s="1"/>
  <c r="D218" i="48"/>
  <c r="D223" i="48" s="1"/>
  <c r="D219" i="48"/>
  <c r="D224" i="48" s="1"/>
  <c r="D221" i="48"/>
  <c r="D217" i="48"/>
  <c r="D222" i="48" s="1"/>
  <c r="H232" i="38"/>
  <c r="H234" i="38" s="1"/>
  <c r="I231" i="38"/>
  <c r="F96" i="19"/>
  <c r="F95" i="19" s="1"/>
  <c r="F139" i="15"/>
  <c r="F96" i="38"/>
  <c r="F100" i="38" s="1"/>
  <c r="F97" i="38"/>
  <c r="G108" i="36" s="1"/>
  <c r="AM108" i="36" s="1"/>
  <c r="F95" i="38"/>
  <c r="F99" i="38" s="1"/>
  <c r="F94" i="38"/>
  <c r="F98" i="38" s="1"/>
  <c r="J26" i="46"/>
  <c r="J41" i="46" s="1"/>
  <c r="K20" i="46"/>
  <c r="H61" i="54"/>
  <c r="H62" i="54"/>
  <c r="H67" i="54"/>
  <c r="H77" i="54" s="1"/>
  <c r="H78" i="54" s="1"/>
  <c r="H64" i="54"/>
  <c r="H71" i="54" s="1"/>
  <c r="H72" i="54" s="1"/>
  <c r="H65" i="54"/>
  <c r="H75" i="54" s="1"/>
  <c r="H76" i="54" s="1"/>
  <c r="H66" i="54"/>
  <c r="H73" i="54" s="1"/>
  <c r="H74" i="54" s="1"/>
  <c r="I60" i="54"/>
  <c r="F67" i="45"/>
  <c r="F23" i="45"/>
  <c r="D162" i="46"/>
  <c r="G64" i="20"/>
  <c r="G65" i="20"/>
  <c r="H63" i="20"/>
  <c r="AJ76" i="45"/>
  <c r="D78" i="45"/>
  <c r="G55" i="45"/>
  <c r="G56" i="45"/>
  <c r="G33" i="45"/>
  <c r="I63" i="29"/>
  <c r="I62" i="29" s="1"/>
  <c r="I68" i="29"/>
  <c r="I64" i="29"/>
  <c r="I65" i="29"/>
  <c r="I66" i="29"/>
  <c r="I67" i="29"/>
  <c r="I37" i="29"/>
  <c r="J125" i="16"/>
  <c r="J47" i="16"/>
  <c r="I31" i="29"/>
  <c r="I132" i="29"/>
  <c r="G183" i="42"/>
  <c r="G182" i="42"/>
  <c r="H181" i="42"/>
  <c r="N8" i="15"/>
  <c r="E77" i="15"/>
  <c r="E72" i="38"/>
  <c r="E76" i="38" s="1"/>
  <c r="E71" i="38"/>
  <c r="E75" i="38" s="1"/>
  <c r="E70" i="38"/>
  <c r="E74" i="38" s="1"/>
  <c r="E73" i="38"/>
  <c r="F78" i="36" s="1"/>
  <c r="G63" i="53"/>
  <c r="G159" i="53" s="1"/>
  <c r="G69" i="53"/>
  <c r="G70" i="53" s="1"/>
  <c r="H49" i="51" s="1"/>
  <c r="H31" i="48"/>
  <c r="H306" i="48"/>
  <c r="H45" i="15"/>
  <c r="G74" i="29"/>
  <c r="H45" i="16" s="1"/>
  <c r="F60" i="45"/>
  <c r="E37" i="46"/>
  <c r="F58" i="45"/>
  <c r="F59" i="45"/>
  <c r="F104" i="45"/>
  <c r="J25" i="29"/>
  <c r="J43" i="29" s="1"/>
  <c r="K19" i="29"/>
  <c r="F213" i="20"/>
  <c r="F171" i="19" s="1"/>
  <c r="F212" i="20"/>
  <c r="F170" i="19" s="1"/>
  <c r="F214" i="20"/>
  <c r="F172" i="19" s="1"/>
  <c r="F216" i="20"/>
  <c r="F174" i="19" s="1"/>
  <c r="F169" i="19"/>
  <c r="G135" i="12"/>
  <c r="F215" i="20"/>
  <c r="AL113" i="36"/>
  <c r="J28" i="54"/>
  <c r="J43" i="54" s="1"/>
  <c r="K22" i="54"/>
  <c r="G296" i="42"/>
  <c r="G293" i="42"/>
  <c r="G294" i="42"/>
  <c r="G295" i="42"/>
  <c r="D152" i="46"/>
  <c r="G129" i="20"/>
  <c r="G105" i="19" s="1"/>
  <c r="G132" i="20"/>
  <c r="G108" i="19" s="1"/>
  <c r="G131" i="20"/>
  <c r="G107" i="19" s="1"/>
  <c r="G128" i="20"/>
  <c r="G104" i="19" s="1"/>
  <c r="G130" i="20"/>
  <c r="H103" i="12"/>
  <c r="G103" i="19"/>
  <c r="H103" i="14" s="1"/>
  <c r="E262" i="46"/>
  <c r="E264" i="46"/>
  <c r="E261" i="46"/>
  <c r="E263" i="46"/>
  <c r="E260" i="48"/>
  <c r="C43" i="48"/>
  <c r="D43" i="48"/>
  <c r="E43" i="48"/>
  <c r="F43" i="48"/>
  <c r="G43" i="48"/>
  <c r="D217" i="53"/>
  <c r="D221" i="53" s="1"/>
  <c r="D218" i="53"/>
  <c r="H292" i="38"/>
  <c r="E24" i="19"/>
  <c r="F18" i="19"/>
  <c r="G262" i="46"/>
  <c r="G261" i="46"/>
  <c r="G264" i="46"/>
  <c r="G263" i="46"/>
  <c r="G260" i="48"/>
  <c r="C282" i="42"/>
  <c r="C283" i="42"/>
  <c r="C287" i="42"/>
  <c r="C286" i="42"/>
  <c r="C284" i="42"/>
  <c r="C285" i="42"/>
  <c r="E156" i="46"/>
  <c r="E161" i="46" s="1"/>
  <c r="E155" i="46"/>
  <c r="E160" i="46" s="1"/>
  <c r="E154" i="48"/>
  <c r="E158" i="46"/>
  <c r="E163" i="46" s="1"/>
  <c r="E159" i="46"/>
  <c r="F98" i="45" s="1"/>
  <c r="E157" i="46"/>
  <c r="E162" i="46" s="1"/>
  <c r="F130" i="19"/>
  <c r="I153" i="53"/>
  <c r="H154" i="53"/>
  <c r="H156" i="53" s="1"/>
  <c r="J28" i="29"/>
  <c r="J46" i="29" s="1"/>
  <c r="K22" i="29"/>
  <c r="F236" i="42"/>
  <c r="F240" i="42" s="1"/>
  <c r="F237" i="42"/>
  <c r="F241" i="42" s="1"/>
  <c r="F235" i="42"/>
  <c r="F239" i="42" s="1"/>
  <c r="F238" i="42"/>
  <c r="BQ4" i="55"/>
  <c r="D31" i="20"/>
  <c r="D253" i="20"/>
  <c r="AL30" i="45"/>
  <c r="F102" i="36"/>
  <c r="H31" i="28"/>
  <c r="H146" i="28"/>
  <c r="G196" i="20"/>
  <c r="H195" i="20"/>
  <c r="C232" i="53"/>
  <c r="C233" i="53" s="1"/>
  <c r="C236" i="53" s="1"/>
  <c r="D153" i="29"/>
  <c r="D154" i="29"/>
  <c r="AJ102" i="45"/>
  <c r="D111" i="12"/>
  <c r="C80" i="19"/>
  <c r="D111" i="14" s="1"/>
  <c r="C83" i="48"/>
  <c r="C88" i="48" s="1"/>
  <c r="C81" i="48"/>
  <c r="C86" i="48" s="1"/>
  <c r="C82" i="48"/>
  <c r="C87" i="48" s="1"/>
  <c r="C80" i="48"/>
  <c r="C85" i="48" s="1"/>
  <c r="C84" i="48"/>
  <c r="G207" i="28"/>
  <c r="G208" i="28"/>
  <c r="G156" i="28"/>
  <c r="AJ64" i="51"/>
  <c r="AJ71" i="51"/>
  <c r="E159" i="42"/>
  <c r="E163" i="42" s="1"/>
  <c r="E161" i="42"/>
  <c r="E165" i="42" s="1"/>
  <c r="E162" i="42"/>
  <c r="E160" i="42"/>
  <c r="E164" i="42" s="1"/>
  <c r="F68" i="45"/>
  <c r="E300" i="42"/>
  <c r="E299" i="42"/>
  <c r="L17" i="16"/>
  <c r="I54" i="51"/>
  <c r="AO53" i="51"/>
  <c r="H84" i="29"/>
  <c r="I61" i="16"/>
  <c r="D72" i="51"/>
  <c r="G236" i="38"/>
  <c r="G240" i="38" s="1"/>
  <c r="G235" i="38"/>
  <c r="G239" i="38" s="1"/>
  <c r="G238" i="38"/>
  <c r="H107" i="36" s="1"/>
  <c r="G237" i="38"/>
  <c r="G241" i="38" s="1"/>
  <c r="G65" i="16"/>
  <c r="F100" i="19"/>
  <c r="I29" i="28"/>
  <c r="AJ116" i="36"/>
  <c r="J28" i="28"/>
  <c r="J46" i="28" s="1"/>
  <c r="K22" i="28"/>
  <c r="F81" i="38"/>
  <c r="G92" i="36" s="1"/>
  <c r="AM92" i="36" s="1"/>
  <c r="F79" i="38"/>
  <c r="F83" i="38" s="1"/>
  <c r="F80" i="38"/>
  <c r="F84" i="38" s="1"/>
  <c r="F78" i="38"/>
  <c r="F82" i="38" s="1"/>
  <c r="H154" i="54"/>
  <c r="H156" i="54" s="1"/>
  <c r="I153" i="54"/>
  <c r="G143" i="29"/>
  <c r="G146" i="29"/>
  <c r="J28" i="48"/>
  <c r="K22" i="48"/>
  <c r="K27" i="54"/>
  <c r="K42" i="54" s="1"/>
  <c r="L21" i="54"/>
  <c r="D160" i="46"/>
  <c r="F136" i="20"/>
  <c r="F112" i="19" s="1"/>
  <c r="F137" i="20"/>
  <c r="F113" i="19" s="1"/>
  <c r="F138" i="20"/>
  <c r="F114" i="19" s="1"/>
  <c r="F135" i="20"/>
  <c r="F111" i="19" s="1"/>
  <c r="F134" i="20"/>
  <c r="F110" i="19" s="1"/>
  <c r="F109" i="19"/>
  <c r="G126" i="14" s="1"/>
  <c r="AJ83" i="45"/>
  <c r="D84" i="45"/>
  <c r="I44" i="38"/>
  <c r="I288" i="38" s="1"/>
  <c r="D163" i="19"/>
  <c r="AK68" i="45"/>
  <c r="D81" i="45"/>
  <c r="D80" i="45"/>
  <c r="D79" i="45"/>
  <c r="AJ79" i="45"/>
  <c r="AJ80" i="45"/>
  <c r="AJ81" i="45"/>
  <c r="G30" i="45"/>
  <c r="F131" i="20"/>
  <c r="F107" i="19" s="1"/>
  <c r="F132" i="20"/>
  <c r="F108" i="19" s="1"/>
  <c r="F129" i="20"/>
  <c r="F105" i="19" s="1"/>
  <c r="F128" i="20"/>
  <c r="F104" i="19" s="1"/>
  <c r="F103" i="19"/>
  <c r="G103" i="14" s="1"/>
  <c r="F130" i="20"/>
  <c r="G103" i="12"/>
  <c r="J121" i="16"/>
  <c r="J42" i="16"/>
  <c r="E112" i="36"/>
  <c r="E111" i="36"/>
  <c r="E113" i="36"/>
  <c r="F184" i="42"/>
  <c r="F196" i="42"/>
  <c r="F204" i="42"/>
  <c r="F188" i="42"/>
  <c r="E140" i="16"/>
  <c r="F135" i="14"/>
  <c r="D83" i="20"/>
  <c r="D75" i="19" s="1"/>
  <c r="D79" i="20"/>
  <c r="D80" i="20"/>
  <c r="E243" i="38"/>
  <c r="E246" i="38"/>
  <c r="G76" i="53"/>
  <c r="H67" i="51"/>
  <c r="H71" i="51" s="1"/>
  <c r="F157" i="28"/>
  <c r="F160" i="28"/>
  <c r="D133" i="12"/>
  <c r="L13" i="15"/>
  <c r="AK78" i="36"/>
  <c r="E80" i="36"/>
  <c r="E83" i="36" s="1"/>
  <c r="E115" i="36"/>
  <c r="E116" i="36" s="1"/>
  <c r="G209" i="20"/>
  <c r="G211" i="20" s="1"/>
  <c r="H208" i="20"/>
  <c r="AL96" i="45"/>
  <c r="I135" i="53"/>
  <c r="J56" i="51"/>
  <c r="I306" i="46"/>
  <c r="I31" i="46"/>
  <c r="F112" i="36"/>
  <c r="F111" i="36"/>
  <c r="F113" i="36"/>
  <c r="F303" i="42"/>
  <c r="F315" i="42" s="1"/>
  <c r="F304" i="42"/>
  <c r="C47" i="19"/>
  <c r="C60" i="19"/>
  <c r="C61" i="19"/>
  <c r="C59" i="19"/>
  <c r="C62" i="19"/>
  <c r="C34" i="20"/>
  <c r="C33" i="20"/>
  <c r="G134" i="20"/>
  <c r="G110" i="19" s="1"/>
  <c r="G137" i="20"/>
  <c r="G113" i="19" s="1"/>
  <c r="G136" i="20"/>
  <c r="G112" i="19" s="1"/>
  <c r="G135" i="20"/>
  <c r="G111" i="19" s="1"/>
  <c r="G138" i="20"/>
  <c r="G114" i="19" s="1"/>
  <c r="G109" i="19"/>
  <c r="H126" i="14" s="1"/>
  <c r="D263" i="46"/>
  <c r="D262" i="46"/>
  <c r="D264" i="46"/>
  <c r="D261" i="46"/>
  <c r="D260" i="48"/>
  <c r="AN54" i="51"/>
  <c r="D237" i="53"/>
  <c r="F103" i="42"/>
  <c r="F107" i="42" s="1"/>
  <c r="F102" i="42"/>
  <c r="F106" i="42" s="1"/>
  <c r="F105" i="42"/>
  <c r="F104" i="42"/>
  <c r="F108" i="42" s="1"/>
  <c r="D29" i="19"/>
  <c r="D42" i="19"/>
  <c r="D54" i="19" s="1"/>
  <c r="AK70" i="51"/>
  <c r="E73" i="51"/>
  <c r="C264" i="20"/>
  <c r="C314" i="20"/>
  <c r="C263" i="20"/>
  <c r="C315" i="20"/>
  <c r="C267" i="20"/>
  <c r="E88" i="29"/>
  <c r="E100" i="29"/>
  <c r="F133" i="19"/>
  <c r="G157" i="53"/>
  <c r="H66" i="51" s="1"/>
  <c r="F114" i="36"/>
  <c r="AL79" i="36"/>
  <c r="AL114" i="36" s="1"/>
  <c r="I110" i="53"/>
  <c r="I111" i="53" s="1"/>
  <c r="I104" i="53"/>
  <c r="I105" i="53" s="1"/>
  <c r="J53" i="51" s="1"/>
  <c r="I106" i="53"/>
  <c r="I107" i="53" s="1"/>
  <c r="J62" i="51" s="1"/>
  <c r="I108" i="53"/>
  <c r="I109" i="53" s="1"/>
  <c r="G217" i="42"/>
  <c r="G219" i="42" s="1"/>
  <c r="H216" i="42"/>
  <c r="F157" i="19"/>
  <c r="G123" i="12"/>
  <c r="F198" i="20"/>
  <c r="C225" i="53"/>
  <c r="C222" i="53"/>
  <c r="C226" i="53"/>
  <c r="C224" i="53"/>
  <c r="C223" i="53"/>
  <c r="C227" i="53"/>
  <c r="AJ101" i="45"/>
  <c r="D105" i="12"/>
  <c r="E138" i="19"/>
  <c r="G49" i="15"/>
  <c r="G89" i="29"/>
  <c r="J25" i="48"/>
  <c r="J40" i="48" s="1"/>
  <c r="K19" i="48"/>
  <c r="E29" i="20"/>
  <c r="E42" i="20"/>
  <c r="I129" i="16"/>
  <c r="I131" i="16"/>
  <c r="K39" i="16"/>
  <c r="K13" i="16"/>
  <c r="I68" i="51"/>
  <c r="I50" i="51"/>
  <c r="H292" i="42"/>
  <c r="D84" i="20"/>
  <c r="F200" i="38"/>
  <c r="G101" i="36" s="1"/>
  <c r="AM101" i="36" s="1"/>
  <c r="F199" i="38"/>
  <c r="F203" i="38" s="1"/>
  <c r="F198" i="38"/>
  <c r="F202" i="38" s="1"/>
  <c r="F197" i="38"/>
  <c r="F201" i="38" s="1"/>
  <c r="AJ58" i="51"/>
  <c r="E60" i="45"/>
  <c r="E73" i="45" s="1"/>
  <c r="E59" i="45"/>
  <c r="D37" i="46"/>
  <c r="I43" i="46" s="1"/>
  <c r="E104" i="45"/>
  <c r="E58" i="45"/>
  <c r="E71" i="45" s="1"/>
  <c r="J128" i="16"/>
  <c r="I40" i="29"/>
  <c r="J60" i="16"/>
  <c r="AJ107" i="45"/>
  <c r="J28" i="42"/>
  <c r="J43" i="42" s="1"/>
  <c r="K22" i="42"/>
  <c r="D90" i="20"/>
  <c r="H127" i="38"/>
  <c r="H183" i="38"/>
  <c r="H128" i="38"/>
  <c r="H182" i="38"/>
  <c r="I126" i="38"/>
  <c r="I85" i="29"/>
  <c r="J61" i="15"/>
  <c r="F63" i="38"/>
  <c r="F69" i="38"/>
  <c r="G157" i="54"/>
  <c r="O7" i="16"/>
  <c r="O8" i="16" s="1"/>
  <c r="P6" i="16"/>
  <c r="F86" i="36"/>
  <c r="F89" i="36" s="1"/>
  <c r="AL85" i="36"/>
  <c r="AL86" i="36" s="1"/>
  <c r="AL89" i="36" s="1"/>
  <c r="J136" i="54"/>
  <c r="J137" i="54" s="1"/>
  <c r="J134" i="54"/>
  <c r="J135" i="54" s="1"/>
  <c r="J138" i="54"/>
  <c r="J139" i="54" s="1"/>
  <c r="J25" i="42"/>
  <c r="J40" i="42" s="1"/>
  <c r="K19" i="42"/>
  <c r="F93" i="48"/>
  <c r="F98" i="48" s="1"/>
  <c r="F90" i="48"/>
  <c r="F95" i="48" s="1"/>
  <c r="F91" i="48"/>
  <c r="F94" i="48"/>
  <c r="F92" i="48"/>
  <c r="F97" i="48" s="1"/>
  <c r="M10" i="16"/>
  <c r="C151" i="28"/>
  <c r="C154" i="28"/>
  <c r="C153" i="28"/>
  <c r="C152" i="28"/>
  <c r="C155" i="28"/>
  <c r="C150" i="28"/>
  <c r="H65" i="48"/>
  <c r="H67" i="48"/>
  <c r="H64" i="48"/>
  <c r="H62" i="48"/>
  <c r="H61" i="48"/>
  <c r="H66" i="48"/>
  <c r="I60" i="48"/>
  <c r="E199" i="42"/>
  <c r="E203" i="42" s="1"/>
  <c r="E200" i="42"/>
  <c r="E197" i="42"/>
  <c r="E201" i="42" s="1"/>
  <c r="E198" i="42"/>
  <c r="E202" i="42" s="1"/>
  <c r="AK73" i="51"/>
  <c r="G63" i="48"/>
  <c r="F70" i="20"/>
  <c r="F68" i="20"/>
  <c r="F67" i="20"/>
  <c r="F69" i="20"/>
  <c r="C232" i="54"/>
  <c r="C233" i="54" s="1"/>
  <c r="C236" i="54" s="1"/>
  <c r="E84" i="45"/>
  <c r="F135" i="15"/>
  <c r="AM64" i="51"/>
  <c r="K40" i="15"/>
  <c r="C73" i="48"/>
  <c r="C78" i="48" s="1"/>
  <c r="C71" i="48"/>
  <c r="C76" i="48" s="1"/>
  <c r="C72" i="48"/>
  <c r="C77" i="48" s="1"/>
  <c r="C70" i="48"/>
  <c r="C75" i="48" s="1"/>
  <c r="C74" i="48"/>
  <c r="H31" i="45"/>
  <c r="H37" i="45" s="1"/>
  <c r="H32" i="45"/>
  <c r="H28" i="45"/>
  <c r="H29" i="45"/>
  <c r="AN27" i="45"/>
  <c r="I27" i="45"/>
  <c r="H54" i="45"/>
  <c r="G37" i="45"/>
  <c r="H194" i="53"/>
  <c r="H205" i="53" s="1"/>
  <c r="H31" i="53"/>
  <c r="I69" i="45"/>
  <c r="F186" i="42"/>
  <c r="F185" i="42"/>
  <c r="C74" i="19"/>
  <c r="D121" i="14" s="1"/>
  <c r="D121" i="12"/>
  <c r="E173" i="19"/>
  <c r="E216" i="53"/>
  <c r="E215" i="53"/>
  <c r="J25" i="54"/>
  <c r="J40" i="54" s="1"/>
  <c r="K19" i="54"/>
  <c r="I44" i="54"/>
  <c r="I204" i="54" s="1"/>
  <c r="K24" i="29"/>
  <c r="L18" i="29"/>
  <c r="H132" i="29"/>
  <c r="H31" i="29"/>
  <c r="AJ70" i="51"/>
  <c r="E245" i="48"/>
  <c r="E250" i="48" s="1"/>
  <c r="E247" i="48"/>
  <c r="E252" i="48" s="1"/>
  <c r="E246" i="48"/>
  <c r="E251" i="48" s="1"/>
  <c r="E248" i="48"/>
  <c r="E244" i="48"/>
  <c r="E249" i="48" s="1"/>
  <c r="AP69" i="51"/>
  <c r="E162" i="28"/>
  <c r="E164" i="28"/>
  <c r="E161" i="28"/>
  <c r="E163" i="28"/>
  <c r="D165" i="28"/>
  <c r="D166" i="28"/>
  <c r="F219" i="53"/>
  <c r="F231" i="53" s="1"/>
  <c r="F220" i="53"/>
  <c r="C31" i="19"/>
  <c r="C211" i="19"/>
  <c r="G63" i="46"/>
  <c r="C260" i="46"/>
  <c r="E265" i="46" s="1"/>
  <c r="F105" i="45" s="1"/>
  <c r="C44" i="46"/>
  <c r="C316" i="46" s="1"/>
  <c r="C170" i="29"/>
  <c r="C171" i="29" s="1"/>
  <c r="C174" i="29" s="1"/>
  <c r="G241" i="46"/>
  <c r="G243" i="46" s="1"/>
  <c r="H240" i="46"/>
  <c r="F162" i="53"/>
  <c r="L17" i="15"/>
  <c r="F94" i="42"/>
  <c r="F98" i="42" s="1"/>
  <c r="F96" i="42"/>
  <c r="F100" i="42" s="1"/>
  <c r="F95" i="42"/>
  <c r="F99" i="42" s="1"/>
  <c r="F97" i="42"/>
  <c r="I36" i="28"/>
  <c r="I42" i="28" s="1"/>
  <c r="J123" i="15"/>
  <c r="J43" i="15"/>
  <c r="C265" i="20"/>
  <c r="C222" i="20"/>
  <c r="C288" i="20"/>
  <c r="C289" i="20" s="1"/>
  <c r="C50" i="19"/>
  <c r="AN50" i="51"/>
  <c r="F132" i="19"/>
  <c r="D233" i="54"/>
  <c r="D232" i="54"/>
  <c r="H137" i="48"/>
  <c r="H138" i="48"/>
  <c r="H201" i="48"/>
  <c r="H200" i="48"/>
  <c r="I136" i="48"/>
  <c r="F219" i="54"/>
  <c r="F231" i="54" s="1"/>
  <c r="F220" i="54"/>
  <c r="AK67" i="45"/>
  <c r="AK23" i="45"/>
  <c r="J25" i="53"/>
  <c r="J40" i="53" s="1"/>
  <c r="K19" i="53"/>
  <c r="F220" i="42"/>
  <c r="F224" i="42" s="1"/>
  <c r="F222" i="42"/>
  <c r="F226" i="42" s="1"/>
  <c r="F223" i="42"/>
  <c r="F221" i="42"/>
  <c r="F225" i="42" s="1"/>
  <c r="E216" i="54"/>
  <c r="E215" i="54"/>
  <c r="C196" i="53"/>
  <c r="C197" i="53" s="1"/>
  <c r="D163" i="53"/>
  <c r="AK108" i="45"/>
  <c r="AJ103" i="45"/>
  <c r="G49" i="16"/>
  <c r="D144" i="12"/>
  <c r="C91" i="19"/>
  <c r="D144" i="14" s="1"/>
  <c r="G18" i="20"/>
  <c r="F24" i="20"/>
  <c r="H61" i="28"/>
  <c r="H57" i="29" s="1"/>
  <c r="H63" i="28"/>
  <c r="H64" i="28"/>
  <c r="H60" i="28"/>
  <c r="I59" i="28"/>
  <c r="J25" i="46"/>
  <c r="J40" i="46" s="1"/>
  <c r="K19" i="46"/>
  <c r="I360" i="46"/>
  <c r="F206" i="38"/>
  <c r="F210" i="38" s="1"/>
  <c r="F205" i="38"/>
  <c r="F209" i="38" s="1"/>
  <c r="F207" i="38"/>
  <c r="F211" i="38" s="1"/>
  <c r="F208" i="38"/>
  <c r="F99" i="19"/>
  <c r="AL70" i="51"/>
  <c r="E103" i="36"/>
  <c r="E105" i="36"/>
  <c r="C178" i="48"/>
  <c r="C183" i="48" s="1"/>
  <c r="C177" i="48"/>
  <c r="C182" i="48" s="1"/>
  <c r="C176" i="48"/>
  <c r="C181" i="48" s="1"/>
  <c r="C179" i="48"/>
  <c r="C175" i="48"/>
  <c r="C180" i="48" s="1"/>
  <c r="D139" i="14"/>
  <c r="AM58" i="51"/>
  <c r="E124" i="12"/>
  <c r="G184" i="38"/>
  <c r="G188" i="38"/>
  <c r="G204" i="38"/>
  <c r="G196" i="38"/>
  <c r="J26" i="54"/>
  <c r="J41" i="54" s="1"/>
  <c r="J147" i="54" s="1"/>
  <c r="J148" i="54" s="1"/>
  <c r="K20" i="54"/>
  <c r="D144" i="29"/>
  <c r="D145" i="29" s="1"/>
  <c r="D167" i="29"/>
  <c r="D168" i="29" s="1"/>
  <c r="H25" i="20"/>
  <c r="H43" i="20" s="1"/>
  <c r="I19" i="20"/>
  <c r="AJ97" i="45"/>
  <c r="D100" i="45"/>
  <c r="G28" i="19"/>
  <c r="G46" i="19" s="1"/>
  <c r="G167" i="19" s="1"/>
  <c r="G166" i="19" s="1"/>
  <c r="H22" i="19"/>
  <c r="K24" i="28"/>
  <c r="L18" i="28"/>
  <c r="C147" i="48"/>
  <c r="C152" i="48" s="1"/>
  <c r="C148" i="48"/>
  <c r="C153" i="48" s="1"/>
  <c r="C146" i="48"/>
  <c r="C151" i="48" s="1"/>
  <c r="C149" i="48"/>
  <c r="C145" i="48"/>
  <c r="C150" i="48" s="1"/>
  <c r="AN69" i="45"/>
  <c r="D163" i="54"/>
  <c r="C196" i="54"/>
  <c r="C197" i="54" s="1"/>
  <c r="C84" i="19"/>
  <c r="D131" i="14" s="1"/>
  <c r="D131" i="12"/>
  <c r="D178" i="28"/>
  <c r="D177" i="28"/>
  <c r="D176" i="28"/>
  <c r="D174" i="28"/>
  <c r="D175" i="28"/>
  <c r="D179" i="28"/>
  <c r="F136" i="15"/>
  <c r="J26" i="28"/>
  <c r="J44" i="28" s="1"/>
  <c r="K20" i="28"/>
  <c r="H47" i="28"/>
  <c r="H50" i="29"/>
  <c r="H51" i="29"/>
  <c r="H53" i="29"/>
  <c r="H52" i="29"/>
  <c r="H49" i="29" s="1"/>
  <c r="H89" i="29" s="1"/>
  <c r="H54" i="29"/>
  <c r="E300" i="38"/>
  <c r="E299" i="38"/>
  <c r="D146" i="12"/>
  <c r="D115" i="12"/>
  <c r="AO56" i="51"/>
  <c r="H66" i="53"/>
  <c r="H73" i="53" s="1"/>
  <c r="H74" i="53" s="1"/>
  <c r="H65" i="53"/>
  <c r="H75" i="53" s="1"/>
  <c r="H62" i="53"/>
  <c r="H67" i="53"/>
  <c r="H77" i="53" s="1"/>
  <c r="H78" i="53" s="1"/>
  <c r="I61" i="51" s="1"/>
  <c r="H64" i="53"/>
  <c r="H71" i="53" s="1"/>
  <c r="H72" i="53" s="1"/>
  <c r="I57" i="51" s="1"/>
  <c r="I58" i="51" s="1"/>
  <c r="H61" i="53"/>
  <c r="I60" i="53"/>
  <c r="I108" i="54"/>
  <c r="I109" i="54" s="1"/>
  <c r="I106" i="54"/>
  <c r="I107" i="54" s="1"/>
  <c r="I110" i="54"/>
  <c r="I111" i="54" s="1"/>
  <c r="I104" i="54"/>
  <c r="I105" i="54" s="1"/>
  <c r="I29" i="54"/>
  <c r="J37" i="28"/>
  <c r="K47" i="15"/>
  <c r="K125" i="15"/>
  <c r="K40" i="16"/>
  <c r="H208" i="53"/>
  <c r="AL51" i="51"/>
  <c r="AL72" i="51"/>
  <c r="E145" i="46"/>
  <c r="E150" i="46" s="1"/>
  <c r="E148" i="46"/>
  <c r="E153" i="46" s="1"/>
  <c r="E147" i="46"/>
  <c r="E152" i="46" s="1"/>
  <c r="E146" i="46"/>
  <c r="E151" i="46" s="1"/>
  <c r="E144" i="48"/>
  <c r="E149" i="46"/>
  <c r="F83" i="45" s="1"/>
  <c r="AP63" i="51"/>
  <c r="C170" i="28"/>
  <c r="C169" i="28"/>
  <c r="C173" i="28" s="1"/>
  <c r="H47" i="29"/>
  <c r="H142" i="29" s="1"/>
  <c r="F263" i="46"/>
  <c r="F264" i="46"/>
  <c r="F262" i="46"/>
  <c r="F261" i="46"/>
  <c r="F260" i="48"/>
  <c r="F265" i="46"/>
  <c r="G105" i="45" s="1"/>
  <c r="AK83" i="45"/>
  <c r="F139" i="16"/>
  <c r="C134" i="29"/>
  <c r="C135" i="29" s="1"/>
  <c r="D101" i="29"/>
  <c r="F245" i="46"/>
  <c r="F250" i="46" s="1"/>
  <c r="F244" i="46"/>
  <c r="F249" i="46" s="1"/>
  <c r="F247" i="46"/>
  <c r="F252" i="46" s="1"/>
  <c r="F246" i="46"/>
  <c r="F251" i="46" s="1"/>
  <c r="F243" i="48"/>
  <c r="F248" i="46"/>
  <c r="G96" i="45" s="1"/>
  <c r="AM66" i="51"/>
  <c r="G70" i="51"/>
  <c r="F79" i="42"/>
  <c r="F83" i="42" s="1"/>
  <c r="F80" i="42"/>
  <c r="F84" i="42" s="1"/>
  <c r="F78" i="42"/>
  <c r="F82" i="42" s="1"/>
  <c r="F81" i="42"/>
  <c r="G27" i="19"/>
  <c r="G45" i="19" s="1"/>
  <c r="G130" i="19" s="1"/>
  <c r="H21" i="19"/>
  <c r="L10" i="16"/>
  <c r="C54" i="19"/>
  <c r="AN68" i="51"/>
  <c r="AM21" i="45"/>
  <c r="D222" i="54"/>
  <c r="D224" i="54"/>
  <c r="D223" i="54"/>
  <c r="D227" i="54"/>
  <c r="D225" i="54"/>
  <c r="D226" i="54"/>
  <c r="AJ106" i="45"/>
  <c r="I360" i="48"/>
  <c r="AL56" i="45"/>
  <c r="AL55" i="45"/>
  <c r="AL67" i="45" s="1"/>
  <c r="AM98" i="36"/>
  <c r="J26" i="53"/>
  <c r="J41" i="53" s="1"/>
  <c r="J147" i="53" s="1"/>
  <c r="J148" i="53" s="1"/>
  <c r="K60" i="51" s="1"/>
  <c r="K20" i="53"/>
  <c r="D96" i="36"/>
  <c r="D115" i="36"/>
  <c r="D116" i="36" s="1"/>
  <c r="I29" i="48"/>
  <c r="D101" i="45"/>
  <c r="C79" i="19"/>
  <c r="D110" i="14" s="1"/>
  <c r="D110" i="12"/>
  <c r="F136" i="16"/>
  <c r="H31" i="46"/>
  <c r="H306" i="46"/>
  <c r="E71" i="42"/>
  <c r="E75" i="42" s="1"/>
  <c r="E72" i="42"/>
  <c r="E76" i="42" s="1"/>
  <c r="E73" i="42"/>
  <c r="E70" i="42"/>
  <c r="E74" i="42" s="1"/>
  <c r="H56" i="15"/>
  <c r="G60" i="29"/>
  <c r="H56" i="16" s="1"/>
  <c r="H265" i="19"/>
  <c r="I307" i="20"/>
  <c r="AP38" i="45"/>
  <c r="J39" i="45"/>
  <c r="J40" i="45"/>
  <c r="K38" i="45"/>
  <c r="H21" i="45"/>
  <c r="F202" i="46"/>
  <c r="F206" i="46"/>
  <c r="F216" i="46"/>
  <c r="F226" i="46"/>
  <c r="F191" i="38"/>
  <c r="F195" i="38" s="1"/>
  <c r="F192" i="38"/>
  <c r="G91" i="36" s="1"/>
  <c r="F190" i="38"/>
  <c r="F194" i="38" s="1"/>
  <c r="F189" i="38"/>
  <c r="F193" i="38" s="1"/>
  <c r="AM67" i="51"/>
  <c r="G209" i="53"/>
  <c r="G212" i="53"/>
  <c r="G210" i="53"/>
  <c r="G211" i="53"/>
  <c r="F98" i="19"/>
  <c r="G127" i="42"/>
  <c r="G128" i="42"/>
  <c r="H126" i="42"/>
  <c r="K27" i="46"/>
  <c r="K42" i="46" s="1"/>
  <c r="L21" i="46"/>
  <c r="M54" i="16"/>
  <c r="L38" i="29"/>
  <c r="M124" i="16"/>
  <c r="G130" i="38"/>
  <c r="G142" i="38" s="1"/>
  <c r="G132" i="38"/>
  <c r="G158" i="38" s="1"/>
  <c r="G131" i="38"/>
  <c r="G150" i="38" s="1"/>
  <c r="AK89" i="45"/>
  <c r="H126" i="12"/>
  <c r="G145" i="20"/>
  <c r="N41" i="16"/>
  <c r="C113" i="48"/>
  <c r="C118" i="48" s="1"/>
  <c r="C112" i="48"/>
  <c r="C117" i="48" s="1"/>
  <c r="C111" i="48"/>
  <c r="C116" i="48" s="1"/>
  <c r="C110" i="48"/>
  <c r="C115" i="48" s="1"/>
  <c r="C114" i="48"/>
  <c r="D158" i="48"/>
  <c r="D163" i="48" s="1"/>
  <c r="D156" i="48"/>
  <c r="D157" i="48"/>
  <c r="D159" i="48"/>
  <c r="D155" i="48"/>
  <c r="K27" i="42"/>
  <c r="K42" i="42" s="1"/>
  <c r="L21" i="42"/>
  <c r="J28" i="38"/>
  <c r="J43" i="38" s="1"/>
  <c r="K22" i="38"/>
  <c r="E207" i="42"/>
  <c r="E211" i="42" s="1"/>
  <c r="E205" i="42"/>
  <c r="E209" i="42" s="1"/>
  <c r="E208" i="42"/>
  <c r="E206" i="42"/>
  <c r="E210" i="42" s="1"/>
  <c r="F66" i="20"/>
  <c r="AK103" i="36"/>
  <c r="AK117" i="36" s="1"/>
  <c r="AK123" i="36" s="1"/>
  <c r="AK105" i="36"/>
  <c r="C222" i="54"/>
  <c r="C224" i="54"/>
  <c r="C227" i="54"/>
  <c r="C226" i="54"/>
  <c r="C223" i="54"/>
  <c r="C225" i="54"/>
  <c r="D88" i="19"/>
  <c r="E136" i="14" s="1"/>
  <c r="E139" i="14" s="1"/>
  <c r="E136" i="12"/>
  <c r="D101" i="20"/>
  <c r="D93" i="19" s="1"/>
  <c r="D99" i="20"/>
  <c r="D97" i="20"/>
  <c r="D100" i="20"/>
  <c r="D98" i="20"/>
  <c r="H241" i="48"/>
  <c r="I240" i="48"/>
  <c r="D132" i="12"/>
  <c r="C85" i="19"/>
  <c r="D132" i="14" s="1"/>
  <c r="F298" i="38"/>
  <c r="F297" i="38"/>
  <c r="K19" i="38"/>
  <c r="J25" i="38"/>
  <c r="J40" i="38" s="1"/>
  <c r="E68" i="45"/>
  <c r="J17" i="45"/>
  <c r="J18" i="45" s="1"/>
  <c r="AP16" i="45"/>
  <c r="K16" i="45"/>
  <c r="D116" i="12"/>
  <c r="C71" i="19"/>
  <c r="D116" i="14" s="1"/>
  <c r="F135" i="16"/>
  <c r="K27" i="48"/>
  <c r="K42" i="48" s="1"/>
  <c r="L21" i="48"/>
  <c r="AN57" i="51"/>
  <c r="G67" i="45"/>
  <c r="G23" i="45"/>
  <c r="H83" i="28"/>
  <c r="H70" i="29" s="1"/>
  <c r="H85" i="28"/>
  <c r="H72" i="29" s="1"/>
  <c r="H87" i="28"/>
  <c r="H86" i="28"/>
  <c r="H84" i="28"/>
  <c r="H88" i="28"/>
  <c r="I82" i="28"/>
  <c r="O23" i="16"/>
  <c r="O24" i="16"/>
  <c r="P22" i="16"/>
  <c r="O23" i="15"/>
  <c r="O25" i="15" s="1"/>
  <c r="O24" i="15"/>
  <c r="P22" i="15"/>
  <c r="AL91" i="36"/>
  <c r="AL93" i="36" s="1"/>
  <c r="AL96" i="36" s="1"/>
  <c r="F93" i="36"/>
  <c r="F96" i="36" s="1"/>
  <c r="J26" i="42"/>
  <c r="J41" i="42" s="1"/>
  <c r="K20" i="42"/>
  <c r="K24" i="54"/>
  <c r="L18" i="54"/>
  <c r="J28" i="46"/>
  <c r="J43" i="46" s="1"/>
  <c r="K22" i="46"/>
  <c r="H64" i="46"/>
  <c r="H61" i="46"/>
  <c r="H65" i="46"/>
  <c r="H62" i="46"/>
  <c r="H67" i="46"/>
  <c r="H66" i="46"/>
  <c r="H89" i="46" s="1"/>
  <c r="I60" i="46"/>
  <c r="D150" i="46"/>
  <c r="K24" i="53"/>
  <c r="L18" i="53"/>
  <c r="D290" i="42"/>
  <c r="D291" i="42" s="1"/>
  <c r="D313" i="42"/>
  <c r="D314" i="42" s="1"/>
  <c r="J121" i="15"/>
  <c r="J42" i="15"/>
  <c r="C162" i="29"/>
  <c r="C164" i="29"/>
  <c r="C165" i="29"/>
  <c r="C161" i="29"/>
  <c r="C160" i="29"/>
  <c r="C163" i="29"/>
  <c r="G72" i="51"/>
  <c r="AM49" i="51"/>
  <c r="G51" i="51"/>
  <c r="L20" i="15"/>
  <c r="I76" i="15"/>
  <c r="I75" i="15"/>
  <c r="F34" i="45"/>
  <c r="K27" i="29"/>
  <c r="L21" i="29"/>
  <c r="C74" i="20"/>
  <c r="C66" i="19" s="1"/>
  <c r="C77" i="20"/>
  <c r="C76" i="20"/>
  <c r="C75" i="20"/>
  <c r="C64" i="19"/>
  <c r="C73" i="20"/>
  <c r="C53" i="19"/>
  <c r="J26" i="29"/>
  <c r="J44" i="29" s="1"/>
  <c r="K20" i="29"/>
  <c r="E200" i="20"/>
  <c r="E161" i="19" s="1"/>
  <c r="E199" i="20"/>
  <c r="E160" i="19" s="1"/>
  <c r="E203" i="20"/>
  <c r="E164" i="19" s="1"/>
  <c r="E201" i="20"/>
  <c r="E162" i="19" s="1"/>
  <c r="E202" i="20"/>
  <c r="E159" i="19"/>
  <c r="F123" i="14" s="1"/>
  <c r="F146" i="38"/>
  <c r="G100" i="36" s="1"/>
  <c r="AM100" i="36" s="1"/>
  <c r="F143" i="38"/>
  <c r="F147" i="38" s="1"/>
  <c r="F145" i="38"/>
  <c r="F149" i="38" s="1"/>
  <c r="F144" i="38"/>
  <c r="F148" i="38" s="1"/>
  <c r="G169" i="20"/>
  <c r="G168" i="20"/>
  <c r="G170" i="20"/>
  <c r="G179" i="20" s="1"/>
  <c r="G167" i="20"/>
  <c r="G173" i="20" s="1"/>
  <c r="G171" i="20"/>
  <c r="G185" i="20" s="1"/>
  <c r="H166" i="20"/>
  <c r="G140" i="48"/>
  <c r="G141" i="48"/>
  <c r="G142" i="48"/>
  <c r="D217" i="54"/>
  <c r="D221" i="54" s="1"/>
  <c r="D218" i="54"/>
  <c r="AL35" i="45"/>
  <c r="AP60" i="51"/>
  <c r="C325" i="42"/>
  <c r="C326" i="42" s="1"/>
  <c r="H278" i="42"/>
  <c r="H31" i="42"/>
  <c r="E228" i="46"/>
  <c r="E233" i="46" s="1"/>
  <c r="E227" i="46"/>
  <c r="E232" i="46" s="1"/>
  <c r="E226" i="48"/>
  <c r="E230" i="46"/>
  <c r="E235" i="46" s="1"/>
  <c r="E229" i="46"/>
  <c r="E234" i="46" s="1"/>
  <c r="E231" i="46"/>
  <c r="F108" i="45" s="1"/>
  <c r="H27" i="20"/>
  <c r="H45" i="20" s="1"/>
  <c r="I21" i="20"/>
  <c r="D280" i="38"/>
  <c r="D281" i="38" s="1"/>
  <c r="E247" i="38"/>
  <c r="D230" i="48"/>
  <c r="D235" i="48" s="1"/>
  <c r="D228" i="48"/>
  <c r="D233" i="48" s="1"/>
  <c r="D227" i="48"/>
  <c r="D232" i="48" s="1"/>
  <c r="D231" i="48"/>
  <c r="D229" i="48"/>
  <c r="D234" i="48" s="1"/>
  <c r="D103" i="45"/>
  <c r="D106" i="12"/>
  <c r="C77" i="19"/>
  <c r="D106" i="14" s="1"/>
  <c r="K128" i="15"/>
  <c r="J40" i="28"/>
  <c r="K60" i="15"/>
  <c r="C90" i="19"/>
  <c r="D143" i="14" s="1"/>
  <c r="D143" i="12"/>
  <c r="I332" i="38"/>
  <c r="E246" i="42"/>
  <c r="E243" i="42"/>
  <c r="G62" i="28"/>
  <c r="H44" i="15"/>
  <c r="G56" i="29"/>
  <c r="H44" i="16" s="1"/>
  <c r="AJ77" i="45"/>
  <c r="D113" i="45"/>
  <c r="I41" i="45"/>
  <c r="G137" i="46"/>
  <c r="G138" i="46"/>
  <c r="G201" i="46"/>
  <c r="G200" i="46"/>
  <c r="H136" i="46"/>
  <c r="G205" i="53"/>
  <c r="F97" i="19"/>
  <c r="AK64" i="51"/>
  <c r="F129" i="42"/>
  <c r="F134" i="42"/>
  <c r="H43" i="48"/>
  <c r="G129" i="38"/>
  <c r="G134" i="38"/>
  <c r="I36" i="29"/>
  <c r="I42" i="29" s="1"/>
  <c r="J123" i="16"/>
  <c r="J43" i="16"/>
  <c r="G65" i="38"/>
  <c r="G93" i="38" s="1"/>
  <c r="G62" i="38"/>
  <c r="G64" i="38"/>
  <c r="G77" i="38" s="1"/>
  <c r="G67" i="38"/>
  <c r="G101" i="38" s="1"/>
  <c r="G61" i="38"/>
  <c r="G66" i="38"/>
  <c r="G85" i="38" s="1"/>
  <c r="H60" i="38"/>
  <c r="AL23" i="45"/>
  <c r="E233" i="53"/>
  <c r="E236" i="53" s="1"/>
  <c r="E232" i="53"/>
  <c r="D161" i="46"/>
  <c r="K128" i="16"/>
  <c r="J40" i="29"/>
  <c r="K60" i="16"/>
  <c r="F148" i="29"/>
  <c r="F147" i="29"/>
  <c r="F150" i="29"/>
  <c r="F149" i="29"/>
  <c r="D87" i="45"/>
  <c r="D86" i="45"/>
  <c r="D85" i="45"/>
  <c r="AJ86" i="45"/>
  <c r="AJ85" i="45"/>
  <c r="AJ87" i="45"/>
  <c r="M11" i="15"/>
  <c r="D128" i="12"/>
  <c r="C83" i="19"/>
  <c r="D128" i="14" s="1"/>
  <c r="G66" i="15"/>
  <c r="F303" i="38"/>
  <c r="F315" i="38" s="1"/>
  <c r="F304" i="38"/>
  <c r="AM31" i="45"/>
  <c r="AM35" i="45" s="1"/>
  <c r="AM29" i="45"/>
  <c r="AM28" i="45"/>
  <c r="AM32" i="45"/>
  <c r="AM54" i="45"/>
  <c r="AK107" i="45"/>
  <c r="D290" i="38"/>
  <c r="D291" i="38" s="1"/>
  <c r="D313" i="38"/>
  <c r="D314" i="38" s="1"/>
  <c r="AO17" i="45"/>
  <c r="AO18" i="45" s="1"/>
  <c r="D146" i="14"/>
  <c r="D115" i="14"/>
  <c r="P6" i="15"/>
  <c r="O7" i="15"/>
  <c r="G25" i="19"/>
  <c r="G43" i="19" s="1"/>
  <c r="G100" i="19" s="1"/>
  <c r="H19" i="19"/>
  <c r="AK34" i="45"/>
  <c r="G73" i="29"/>
  <c r="H58" i="16" s="1"/>
  <c r="H58" i="15"/>
  <c r="J122" i="15"/>
  <c r="J132" i="15" s="1"/>
  <c r="K121" i="15"/>
  <c r="K42" i="15"/>
  <c r="AK57" i="45"/>
  <c r="H278" i="38"/>
  <c r="H289" i="38" s="1"/>
  <c r="H31" i="38"/>
  <c r="D171" i="28"/>
  <c r="D183" i="28" s="1"/>
  <c r="D184" i="28" s="1"/>
  <c r="D172" i="28"/>
  <c r="J39" i="54"/>
  <c r="G92" i="46"/>
  <c r="G97" i="46" s="1"/>
  <c r="G89" i="48"/>
  <c r="G93" i="46"/>
  <c r="G98" i="46" s="1"/>
  <c r="G90" i="46"/>
  <c r="G95" i="46" s="1"/>
  <c r="G94" i="46"/>
  <c r="G91" i="46"/>
  <c r="D153" i="46"/>
  <c r="J29" i="53"/>
  <c r="J39" i="53"/>
  <c r="C187" i="28"/>
  <c r="C189" i="28" s="1"/>
  <c r="G34" i="28"/>
  <c r="G33" i="28"/>
  <c r="I332" i="42"/>
  <c r="F137" i="38"/>
  <c r="F141" i="38" s="1"/>
  <c r="F136" i="38"/>
  <c r="F140" i="38" s="1"/>
  <c r="F138" i="38"/>
  <c r="G85" i="36" s="1"/>
  <c r="F135" i="38"/>
  <c r="F139" i="38" s="1"/>
  <c r="L34" i="15"/>
  <c r="L33" i="15"/>
  <c r="G66" i="42"/>
  <c r="G85" i="42" s="1"/>
  <c r="G64" i="42"/>
  <c r="G77" i="42" s="1"/>
  <c r="G65" i="42"/>
  <c r="G93" i="42" s="1"/>
  <c r="G61" i="42"/>
  <c r="G67" i="42"/>
  <c r="G101" i="42" s="1"/>
  <c r="G62" i="42"/>
  <c r="H60" i="42"/>
  <c r="D168" i="48"/>
  <c r="D165" i="48"/>
  <c r="D167" i="48"/>
  <c r="D169" i="48"/>
  <c r="D166" i="48"/>
  <c r="C57" i="19"/>
  <c r="C51" i="19"/>
  <c r="AN41" i="45"/>
  <c r="G59" i="15"/>
  <c r="J122" i="16"/>
  <c r="J132" i="16" s="1"/>
  <c r="F160" i="38"/>
  <c r="F164" i="38" s="1"/>
  <c r="F161" i="38"/>
  <c r="F165" i="38" s="1"/>
  <c r="F162" i="38"/>
  <c r="G109" i="36" s="1"/>
  <c r="AM109" i="36" s="1"/>
  <c r="F159" i="38"/>
  <c r="F163" i="38" s="1"/>
  <c r="F174" i="20"/>
  <c r="F136" i="19" s="1"/>
  <c r="F175" i="20"/>
  <c r="F137" i="19" s="1"/>
  <c r="F178" i="20"/>
  <c r="F140" i="19" s="1"/>
  <c r="F135" i="19"/>
  <c r="G113" i="14" s="1"/>
  <c r="G113" i="12"/>
  <c r="F176" i="20"/>
  <c r="F177" i="20"/>
  <c r="F139" i="19" s="1"/>
  <c r="C103" i="48"/>
  <c r="C108" i="48" s="1"/>
  <c r="C100" i="48"/>
  <c r="C105" i="48" s="1"/>
  <c r="C102" i="48"/>
  <c r="C107" i="48" s="1"/>
  <c r="C104" i="48"/>
  <c r="C101" i="48"/>
  <c r="C106" i="48" s="1"/>
  <c r="G203" i="48"/>
  <c r="G204" i="48"/>
  <c r="E136" i="42"/>
  <c r="E140" i="42" s="1"/>
  <c r="E135" i="42"/>
  <c r="E139" i="42" s="1"/>
  <c r="E138" i="42"/>
  <c r="E137" i="42"/>
  <c r="E141" i="42" s="1"/>
  <c r="AL36" i="45"/>
  <c r="E151" i="29"/>
  <c r="E152" i="29"/>
  <c r="G194" i="29"/>
  <c r="G193" i="29"/>
  <c r="AJ98" i="45"/>
  <c r="C318" i="42"/>
  <c r="C319" i="42" s="1"/>
  <c r="C321" i="42" s="1"/>
  <c r="E218" i="46"/>
  <c r="E223" i="46" s="1"/>
  <c r="E220" i="46"/>
  <c r="E225" i="46" s="1"/>
  <c r="E217" i="46"/>
  <c r="E222" i="46" s="1"/>
  <c r="E221" i="46"/>
  <c r="F99" i="45" s="1"/>
  <c r="E219" i="46"/>
  <c r="E224" i="46" s="1"/>
  <c r="E216" i="48"/>
  <c r="G133" i="19"/>
  <c r="H125" i="12"/>
  <c r="C287" i="38"/>
  <c r="C286" i="38"/>
  <c r="C283" i="38"/>
  <c r="C284" i="38"/>
  <c r="C285" i="38"/>
  <c r="C282" i="38"/>
  <c r="AM107" i="36"/>
  <c r="C81" i="19"/>
  <c r="D109" i="14" s="1"/>
  <c r="D109" i="12"/>
  <c r="AJ90" i="45"/>
  <c r="C92" i="19"/>
  <c r="D145" i="14" s="1"/>
  <c r="D145" i="12"/>
  <c r="D236" i="53"/>
  <c r="G67" i="15"/>
  <c r="G46" i="15"/>
  <c r="H62" i="15"/>
  <c r="G59" i="29"/>
  <c r="H62" i="16" s="1"/>
  <c r="C168" i="48"/>
  <c r="C173" i="48" s="1"/>
  <c r="C166" i="48"/>
  <c r="C171" i="48" s="1"/>
  <c r="C165" i="48"/>
  <c r="C170" i="48" s="1"/>
  <c r="C167" i="48"/>
  <c r="C172" i="48" s="1"/>
  <c r="C169" i="48"/>
  <c r="L34" i="16"/>
  <c r="L33" i="16"/>
  <c r="AO40" i="45"/>
  <c r="AO39" i="45"/>
  <c r="F139" i="46"/>
  <c r="F144" i="46"/>
  <c r="C320" i="38"/>
  <c r="F162" i="54"/>
  <c r="F130" i="42"/>
  <c r="F142" i="42" s="1"/>
  <c r="F132" i="42"/>
  <c r="F158" i="42" s="1"/>
  <c r="F131" i="42"/>
  <c r="F150" i="42" s="1"/>
  <c r="G289" i="38"/>
  <c r="G186" i="38"/>
  <c r="G185" i="38"/>
  <c r="F86" i="38"/>
  <c r="F90" i="38" s="1"/>
  <c r="F88" i="38"/>
  <c r="F92" i="38" s="1"/>
  <c r="F87" i="38"/>
  <c r="F91" i="38" s="1"/>
  <c r="F89" i="38"/>
  <c r="D210" i="48"/>
  <c r="D215" i="48" s="1"/>
  <c r="D208" i="48"/>
  <c r="D213" i="48" s="1"/>
  <c r="D207" i="48"/>
  <c r="D212" i="48" s="1"/>
  <c r="D209" i="48"/>
  <c r="D214" i="48" s="1"/>
  <c r="D211" i="48"/>
  <c r="E227" i="53"/>
  <c r="E222" i="53"/>
  <c r="E226" i="53"/>
  <c r="E225" i="53"/>
  <c r="E224" i="53"/>
  <c r="E223" i="53"/>
  <c r="N8" i="16"/>
  <c r="G63" i="54"/>
  <c r="G159" i="54" s="1"/>
  <c r="G69" i="54"/>
  <c r="G70" i="54" s="1"/>
  <c r="D163" i="46"/>
  <c r="G132" i="19" l="1"/>
  <c r="I29" i="42"/>
  <c r="J29" i="54"/>
  <c r="G131" i="19"/>
  <c r="G129" i="19"/>
  <c r="G128" i="19" s="1"/>
  <c r="D160" i="48"/>
  <c r="AL112" i="36"/>
  <c r="D162" i="48"/>
  <c r="D82" i="20"/>
  <c r="D161" i="48"/>
  <c r="D220" i="20"/>
  <c r="E114" i="12"/>
  <c r="J24" i="42"/>
  <c r="K18" i="42"/>
  <c r="D119" i="36"/>
  <c r="D70" i="19"/>
  <c r="E114" i="14" s="1"/>
  <c r="J24" i="38"/>
  <c r="J39" i="38" s="1"/>
  <c r="K18" i="38"/>
  <c r="H36" i="45"/>
  <c r="AM37" i="45"/>
  <c r="AM36" i="45"/>
  <c r="I278" i="38"/>
  <c r="I289" i="38" s="1"/>
  <c r="AO41" i="45"/>
  <c r="AO95" i="45" s="1"/>
  <c r="H63" i="48"/>
  <c r="G110" i="36"/>
  <c r="C176" i="19"/>
  <c r="AM110" i="36"/>
  <c r="AM112" i="36" s="1"/>
  <c r="D59" i="19"/>
  <c r="H202" i="48"/>
  <c r="D61" i="19"/>
  <c r="D62" i="19"/>
  <c r="E117" i="36"/>
  <c r="E123" i="36" s="1"/>
  <c r="G162" i="53"/>
  <c r="G206" i="53" s="1"/>
  <c r="G207" i="53" s="1"/>
  <c r="E85" i="45"/>
  <c r="L39" i="15"/>
  <c r="L121" i="15" s="1"/>
  <c r="E128" i="36"/>
  <c r="C241" i="54"/>
  <c r="D128" i="36"/>
  <c r="AL105" i="45"/>
  <c r="D141" i="12"/>
  <c r="F138" i="19"/>
  <c r="G103" i="42"/>
  <c r="G107" i="42" s="1"/>
  <c r="G104" i="42"/>
  <c r="G108" i="42" s="1"/>
  <c r="G105" i="42"/>
  <c r="G102" i="42"/>
  <c r="G106" i="42" s="1"/>
  <c r="G86" i="36"/>
  <c r="G89" i="36" s="1"/>
  <c r="AM85" i="36"/>
  <c r="AM86" i="36" s="1"/>
  <c r="AM89" i="36" s="1"/>
  <c r="E231" i="14"/>
  <c r="D229" i="14"/>
  <c r="G58" i="29"/>
  <c r="G213" i="28"/>
  <c r="G114" i="28"/>
  <c r="I125" i="12"/>
  <c r="G184" i="20"/>
  <c r="G146" i="19" s="1"/>
  <c r="G182" i="20"/>
  <c r="G144" i="19" s="1"/>
  <c r="G183" i="20"/>
  <c r="G145" i="19" s="1"/>
  <c r="G180" i="20"/>
  <c r="G142" i="19" s="1"/>
  <c r="G141" i="19"/>
  <c r="H125" i="14" s="1"/>
  <c r="G181" i="20"/>
  <c r="G143" i="19" s="1"/>
  <c r="E163" i="19"/>
  <c r="M21" i="29"/>
  <c r="L27" i="29"/>
  <c r="D306" i="42"/>
  <c r="D308" i="42"/>
  <c r="D311" i="42"/>
  <c r="D309" i="42"/>
  <c r="D310" i="42"/>
  <c r="D307" i="42"/>
  <c r="H92" i="46"/>
  <c r="H97" i="46" s="1"/>
  <c r="H90" i="46"/>
  <c r="H95" i="46" s="1"/>
  <c r="H94" i="46"/>
  <c r="H91" i="46"/>
  <c r="H93" i="46"/>
  <c r="H98" i="46" s="1"/>
  <c r="H89" i="48"/>
  <c r="L24" i="54"/>
  <c r="M18" i="54"/>
  <c r="N38" i="28"/>
  <c r="O124" i="15"/>
  <c r="O54" i="15"/>
  <c r="I48" i="15"/>
  <c r="H71" i="29"/>
  <c r="I48" i="16" s="1"/>
  <c r="J20" i="45"/>
  <c r="J19" i="45"/>
  <c r="D130" i="12"/>
  <c r="E139" i="12"/>
  <c r="G97" i="19"/>
  <c r="F220" i="46"/>
  <c r="F225" i="46" s="1"/>
  <c r="F219" i="46"/>
  <c r="F224" i="46" s="1"/>
  <c r="F217" i="46"/>
  <c r="F222" i="46" s="1"/>
  <c r="F216" i="48"/>
  <c r="F218" i="46"/>
  <c r="F223" i="46" s="1"/>
  <c r="F221" i="46"/>
  <c r="G99" i="45" s="1"/>
  <c r="D108" i="14"/>
  <c r="G102" i="36"/>
  <c r="H143" i="29"/>
  <c r="H146" i="29"/>
  <c r="E145" i="48"/>
  <c r="E150" i="48" s="1"/>
  <c r="E148" i="48"/>
  <c r="E153" i="48" s="1"/>
  <c r="E146" i="48"/>
  <c r="E151" i="48" s="1"/>
  <c r="E149" i="48"/>
  <c r="E147" i="48"/>
  <c r="E152" i="48" s="1"/>
  <c r="I67" i="51"/>
  <c r="I71" i="51" s="1"/>
  <c r="H76" i="53"/>
  <c r="J80" i="29"/>
  <c r="J79" i="29" s="1"/>
  <c r="D196" i="54"/>
  <c r="D197" i="54" s="1"/>
  <c r="E163" i="54"/>
  <c r="L24" i="28"/>
  <c r="M18" i="28"/>
  <c r="AM71" i="51"/>
  <c r="D160" i="29"/>
  <c r="D162" i="29"/>
  <c r="D164" i="29"/>
  <c r="D165" i="29"/>
  <c r="D161" i="29"/>
  <c r="D163" i="29"/>
  <c r="I61" i="28"/>
  <c r="I57" i="29" s="1"/>
  <c r="I60" i="28"/>
  <c r="I64" i="28"/>
  <c r="I63" i="28"/>
  <c r="J59" i="28"/>
  <c r="D142" i="14"/>
  <c r="D234" i="54"/>
  <c r="D235" i="54" s="1"/>
  <c r="D237" i="54" s="1"/>
  <c r="C255" i="20"/>
  <c r="C256" i="20" s="1"/>
  <c r="D222" i="20"/>
  <c r="F206" i="53"/>
  <c r="F207" i="53" s="1"/>
  <c r="F229" i="53"/>
  <c r="F230" i="53" s="1"/>
  <c r="C317" i="46"/>
  <c r="C320" i="46"/>
  <c r="I208" i="54"/>
  <c r="D117" i="14"/>
  <c r="J61" i="16"/>
  <c r="I84" i="29"/>
  <c r="AN58" i="51"/>
  <c r="F200" i="20"/>
  <c r="F161" i="19" s="1"/>
  <c r="F203" i="20"/>
  <c r="F164" i="19" s="1"/>
  <c r="F201" i="20"/>
  <c r="F162" i="19" s="1"/>
  <c r="F199" i="20"/>
  <c r="F160" i="19" s="1"/>
  <c r="F159" i="19"/>
  <c r="G123" i="14" s="1"/>
  <c r="F202" i="20"/>
  <c r="E144" i="29"/>
  <c r="E145" i="29" s="1"/>
  <c r="E167" i="29"/>
  <c r="E168" i="29" s="1"/>
  <c r="E119" i="36"/>
  <c r="D74" i="19"/>
  <c r="E121" i="14" s="1"/>
  <c r="E121" i="12"/>
  <c r="K136" i="54"/>
  <c r="K137" i="54" s="1"/>
  <c r="K134" i="54"/>
  <c r="K135" i="54" s="1"/>
  <c r="K138" i="54"/>
  <c r="K139" i="54" s="1"/>
  <c r="E302" i="42"/>
  <c r="E301" i="42"/>
  <c r="E305" i="42" s="1"/>
  <c r="H33" i="28"/>
  <c r="H34" i="28"/>
  <c r="H295" i="38"/>
  <c r="H294" i="38"/>
  <c r="H293" i="38"/>
  <c r="H296" i="38"/>
  <c r="G106" i="19"/>
  <c r="I232" i="38"/>
  <c r="I234" i="38" s="1"/>
  <c r="J231" i="38"/>
  <c r="F140" i="16"/>
  <c r="E147" i="12"/>
  <c r="E95" i="12"/>
  <c r="D51" i="19"/>
  <c r="E174" i="28"/>
  <c r="E176" i="28"/>
  <c r="E177" i="28"/>
  <c r="E179" i="28"/>
  <c r="E175" i="28"/>
  <c r="E178" i="28"/>
  <c r="AQ63" i="51"/>
  <c r="D183" i="48"/>
  <c r="K123" i="15"/>
  <c r="J36" i="28"/>
  <c r="J42" i="28" s="1"/>
  <c r="K43" i="15"/>
  <c r="K76" i="15" s="1"/>
  <c r="H82" i="29"/>
  <c r="I55" i="16" s="1"/>
  <c r="I55" i="15"/>
  <c r="F70" i="42"/>
  <c r="F74" i="42" s="1"/>
  <c r="F71" i="42"/>
  <c r="F75" i="42" s="1"/>
  <c r="F73" i="42"/>
  <c r="F72" i="42"/>
  <c r="F76" i="42" s="1"/>
  <c r="H127" i="20"/>
  <c r="D152" i="48"/>
  <c r="E235" i="54"/>
  <c r="E237" i="54" s="1"/>
  <c r="E86" i="45"/>
  <c r="D141" i="14"/>
  <c r="E153" i="29"/>
  <c r="E154" i="29"/>
  <c r="D171" i="48"/>
  <c r="G63" i="42"/>
  <c r="G69" i="42"/>
  <c r="D316" i="38"/>
  <c r="D317" i="38"/>
  <c r="D320" i="38" s="1"/>
  <c r="E241" i="53"/>
  <c r="E242" i="53" s="1"/>
  <c r="G94" i="38"/>
  <c r="G98" i="38" s="1"/>
  <c r="G97" i="38"/>
  <c r="H108" i="36" s="1"/>
  <c r="AN108" i="36" s="1"/>
  <c r="G95" i="38"/>
  <c r="G99" i="38" s="1"/>
  <c r="G96" i="38"/>
  <c r="G100" i="38" s="1"/>
  <c r="F137" i="42"/>
  <c r="F141" i="42" s="1"/>
  <c r="F138" i="42"/>
  <c r="F135" i="42"/>
  <c r="F139" i="42" s="1"/>
  <c r="F136" i="42"/>
  <c r="F140" i="42" s="1"/>
  <c r="AL108" i="45"/>
  <c r="K39" i="54"/>
  <c r="I58" i="15"/>
  <c r="H73" i="29"/>
  <c r="I58" i="16" s="1"/>
  <c r="I241" i="48"/>
  <c r="J240" i="48"/>
  <c r="G96" i="19"/>
  <c r="G95" i="19" s="1"/>
  <c r="H128" i="42"/>
  <c r="H127" i="42"/>
  <c r="I126" i="42"/>
  <c r="F208" i="46"/>
  <c r="F213" i="46" s="1"/>
  <c r="F209" i="46"/>
  <c r="F214" i="46" s="1"/>
  <c r="F210" i="46"/>
  <c r="F215" i="46" s="1"/>
  <c r="F207" i="46"/>
  <c r="F212" i="46" s="1"/>
  <c r="F206" i="48"/>
  <c r="F211" i="46"/>
  <c r="G89" i="45" s="1"/>
  <c r="AP39" i="45"/>
  <c r="AP40" i="45"/>
  <c r="AM102" i="36"/>
  <c r="AM105" i="45"/>
  <c r="J29" i="29"/>
  <c r="K26" i="54"/>
  <c r="K41" i="54" s="1"/>
  <c r="K147" i="54" s="1"/>
  <c r="K148" i="54" s="1"/>
  <c r="L20" i="54"/>
  <c r="D231" i="14"/>
  <c r="H62" i="28"/>
  <c r="I44" i="15"/>
  <c r="H56" i="29"/>
  <c r="I44" i="16" s="1"/>
  <c r="D142" i="12"/>
  <c r="I201" i="48"/>
  <c r="I138" i="48"/>
  <c r="I200" i="48"/>
  <c r="I137" i="48"/>
  <c r="J136" i="48"/>
  <c r="H241" i="46"/>
  <c r="H243" i="46" s="1"/>
  <c r="I240" i="46"/>
  <c r="C271" i="46"/>
  <c r="H56" i="45"/>
  <c r="H55" i="45"/>
  <c r="J60" i="48"/>
  <c r="I64" i="48"/>
  <c r="I65" i="48"/>
  <c r="I61" i="48"/>
  <c r="I62" i="48"/>
  <c r="I67" i="48"/>
  <c r="I66" i="48"/>
  <c r="O9" i="16"/>
  <c r="I182" i="38"/>
  <c r="I128" i="38"/>
  <c r="I127" i="38"/>
  <c r="I183" i="38"/>
  <c r="J126" i="38"/>
  <c r="AO50" i="51"/>
  <c r="E221" i="20"/>
  <c r="E47" i="20"/>
  <c r="E218" i="20" s="1"/>
  <c r="E72" i="20"/>
  <c r="F93" i="12"/>
  <c r="D4" i="55"/>
  <c r="AP56" i="51"/>
  <c r="AK115" i="36"/>
  <c r="AK116" i="36" s="1"/>
  <c r="AK80" i="36"/>
  <c r="AK83" i="36" s="1"/>
  <c r="AK119" i="36" s="1"/>
  <c r="AN67" i="51"/>
  <c r="AN71" i="51" s="1"/>
  <c r="E115" i="12"/>
  <c r="F191" i="42"/>
  <c r="F195" i="42" s="1"/>
  <c r="F189" i="42"/>
  <c r="F193" i="42" s="1"/>
  <c r="F190" i="42"/>
  <c r="F194" i="42" s="1"/>
  <c r="F192" i="42"/>
  <c r="E87" i="45"/>
  <c r="K28" i="48"/>
  <c r="L22" i="48"/>
  <c r="I31" i="28"/>
  <c r="I146" i="28"/>
  <c r="AN107" i="36"/>
  <c r="E84" i="20"/>
  <c r="F103" i="36"/>
  <c r="F117" i="36" s="1"/>
  <c r="F123" i="36" s="1"/>
  <c r="F105" i="36"/>
  <c r="E262" i="48"/>
  <c r="E263" i="48"/>
  <c r="E261" i="48"/>
  <c r="E264" i="48"/>
  <c r="G303" i="42"/>
  <c r="G315" i="42" s="1"/>
  <c r="G304" i="42"/>
  <c r="F173" i="19"/>
  <c r="K25" i="29"/>
  <c r="K43" i="29" s="1"/>
  <c r="L19" i="29"/>
  <c r="H66" i="16"/>
  <c r="I33" i="29"/>
  <c r="I34" i="29"/>
  <c r="H237" i="38"/>
  <c r="H241" i="38" s="1"/>
  <c r="H238" i="38"/>
  <c r="I107" i="36" s="1"/>
  <c r="H235" i="38"/>
  <c r="H239" i="38" s="1"/>
  <c r="H236" i="38"/>
  <c r="H240" i="38" s="1"/>
  <c r="F155" i="46"/>
  <c r="F160" i="46" s="1"/>
  <c r="F158" i="46"/>
  <c r="F163" i="46" s="1"/>
  <c r="F156" i="46"/>
  <c r="F161" i="46" s="1"/>
  <c r="F154" i="48"/>
  <c r="F157" i="46"/>
  <c r="F162" i="46" s="1"/>
  <c r="F159" i="46"/>
  <c r="G98" i="45" s="1"/>
  <c r="F158" i="28"/>
  <c r="F159" i="28" s="1"/>
  <c r="F181" i="28"/>
  <c r="F182" i="28" s="1"/>
  <c r="H59" i="15"/>
  <c r="D58" i="19"/>
  <c r="AL107" i="45"/>
  <c r="I258" i="48"/>
  <c r="J257" i="48"/>
  <c r="I258" i="46"/>
  <c r="I260" i="46" s="1"/>
  <c r="J257" i="46"/>
  <c r="M17" i="15"/>
  <c r="G142" i="20"/>
  <c r="G118" i="19" s="1"/>
  <c r="G140" i="20"/>
  <c r="G116" i="19" s="1"/>
  <c r="G144" i="20"/>
  <c r="G120" i="19" s="1"/>
  <c r="G141" i="20"/>
  <c r="G117" i="19" s="1"/>
  <c r="G143" i="20"/>
  <c r="G119" i="19" s="1"/>
  <c r="G115" i="19"/>
  <c r="H94" i="14" s="1"/>
  <c r="D118" i="12"/>
  <c r="D181" i="48"/>
  <c r="K28" i="53"/>
  <c r="K43" i="53" s="1"/>
  <c r="L22" i="53"/>
  <c r="F124" i="12"/>
  <c r="M17" i="16"/>
  <c r="D228" i="14"/>
  <c r="E208" i="48"/>
  <c r="E213" i="48" s="1"/>
  <c r="E209" i="48"/>
  <c r="E214" i="48" s="1"/>
  <c r="E207" i="48"/>
  <c r="E212" i="48" s="1"/>
  <c r="E211" i="48"/>
  <c r="E210" i="48"/>
  <c r="E215" i="48" s="1"/>
  <c r="K123" i="16"/>
  <c r="J36" i="29"/>
  <c r="J42" i="29" s="1"/>
  <c r="K43" i="16"/>
  <c r="AL77" i="45"/>
  <c r="F246" i="42"/>
  <c r="F243" i="42"/>
  <c r="H133" i="20"/>
  <c r="D153" i="48"/>
  <c r="M38" i="28"/>
  <c r="N124" i="15"/>
  <c r="N54" i="15"/>
  <c r="L27" i="38"/>
  <c r="L42" i="38" s="1"/>
  <c r="M21" i="38"/>
  <c r="G94" i="42"/>
  <c r="G98" i="42" s="1"/>
  <c r="G95" i="42"/>
  <c r="G99" i="42" s="1"/>
  <c r="G97" i="42"/>
  <c r="G96" i="42"/>
  <c r="G100" i="42" s="1"/>
  <c r="O41" i="15"/>
  <c r="D309" i="38"/>
  <c r="D306" i="38"/>
  <c r="D310" i="38"/>
  <c r="D308" i="38"/>
  <c r="D307" i="38"/>
  <c r="D311" i="38"/>
  <c r="H138" i="46"/>
  <c r="H137" i="46"/>
  <c r="H201" i="46"/>
  <c r="H200" i="46"/>
  <c r="I136" i="46"/>
  <c r="E290" i="42"/>
  <c r="E291" i="42" s="1"/>
  <c r="E313" i="42"/>
  <c r="E314" i="42" s="1"/>
  <c r="C335" i="42"/>
  <c r="C333" i="42"/>
  <c r="D96" i="12"/>
  <c r="C65" i="19"/>
  <c r="D96" i="14" s="1"/>
  <c r="E33" i="46"/>
  <c r="E39" i="46" s="1"/>
  <c r="F75" i="45"/>
  <c r="AM51" i="51"/>
  <c r="AM72" i="51"/>
  <c r="H74" i="29"/>
  <c r="I45" i="16" s="1"/>
  <c r="I45" i="15"/>
  <c r="L27" i="48"/>
  <c r="L42" i="48" s="1"/>
  <c r="M21" i="48"/>
  <c r="L19" i="38"/>
  <c r="K25" i="38"/>
  <c r="K40" i="38" s="1"/>
  <c r="K28" i="38"/>
  <c r="K43" i="38" s="1"/>
  <c r="L22" i="38"/>
  <c r="G146" i="20"/>
  <c r="G122" i="19" s="1"/>
  <c r="G148" i="20"/>
  <c r="G124" i="19" s="1"/>
  <c r="G149" i="20"/>
  <c r="G125" i="19" s="1"/>
  <c r="G147" i="20"/>
  <c r="G123" i="19" s="1"/>
  <c r="G150" i="20"/>
  <c r="G126" i="19" s="1"/>
  <c r="G121" i="19"/>
  <c r="H138" i="14" s="1"/>
  <c r="H138" i="12"/>
  <c r="G130" i="42"/>
  <c r="G142" i="42" s="1"/>
  <c r="G132" i="42"/>
  <c r="G158" i="42" s="1"/>
  <c r="G131" i="42"/>
  <c r="G150" i="42" s="1"/>
  <c r="I31" i="48"/>
  <c r="I306" i="48"/>
  <c r="AM23" i="45"/>
  <c r="I21" i="19"/>
  <c r="H27" i="19"/>
  <c r="H45" i="19" s="1"/>
  <c r="H129" i="19" s="1"/>
  <c r="H128" i="19" s="1"/>
  <c r="D134" i="29"/>
  <c r="D135" i="29" s="1"/>
  <c r="E101" i="29"/>
  <c r="F263" i="48"/>
  <c r="F264" i="48"/>
  <c r="F262" i="48"/>
  <c r="F261" i="48"/>
  <c r="D229" i="12"/>
  <c r="I56" i="15"/>
  <c r="H60" i="29"/>
  <c r="I56" i="16" s="1"/>
  <c r="G136" i="16"/>
  <c r="D196" i="53"/>
  <c r="D197" i="53" s="1"/>
  <c r="E163" i="53"/>
  <c r="K25" i="53"/>
  <c r="K40" i="53" s="1"/>
  <c r="L19" i="53"/>
  <c r="G246" i="46"/>
  <c r="G251" i="46" s="1"/>
  <c r="G245" i="46"/>
  <c r="G250" i="46" s="1"/>
  <c r="G244" i="46"/>
  <c r="G249" i="46" s="1"/>
  <c r="G243" i="48"/>
  <c r="G248" i="46"/>
  <c r="H96" i="45" s="1"/>
  <c r="G247" i="46"/>
  <c r="G252" i="46" s="1"/>
  <c r="C261" i="46"/>
  <c r="C266" i="46" s="1"/>
  <c r="C262" i="46"/>
  <c r="C267" i="46" s="1"/>
  <c r="C264" i="46"/>
  <c r="C269" i="46" s="1"/>
  <c r="C263" i="46"/>
  <c r="C268" i="46" s="1"/>
  <c r="C265" i="46"/>
  <c r="D105" i="45" s="1"/>
  <c r="C260" i="48"/>
  <c r="F265" i="48" s="1"/>
  <c r="C274" i="46"/>
  <c r="H33" i="29"/>
  <c r="H34" i="29"/>
  <c r="E218" i="53"/>
  <c r="E217" i="53"/>
  <c r="E221" i="53" s="1"/>
  <c r="I29" i="45"/>
  <c r="I32" i="45"/>
  <c r="I28" i="45"/>
  <c r="AO27" i="45"/>
  <c r="I31" i="45"/>
  <c r="I35" i="45" s="1"/>
  <c r="J27" i="45"/>
  <c r="I54" i="45"/>
  <c r="K122" i="15"/>
  <c r="K132" i="15" s="1"/>
  <c r="C234" i="54"/>
  <c r="C235" i="54" s="1"/>
  <c r="C237" i="54" s="1"/>
  <c r="C258" i="54" s="1"/>
  <c r="H184" i="38"/>
  <c r="H204" i="38"/>
  <c r="H188" i="38"/>
  <c r="H196" i="38"/>
  <c r="AO68" i="51"/>
  <c r="BR4" i="55"/>
  <c r="E31" i="20"/>
  <c r="E253" i="20"/>
  <c r="D225" i="12" a="1"/>
  <c r="D225" i="12" s="1"/>
  <c r="D148" i="12"/>
  <c r="D228" i="12"/>
  <c r="K37" i="28"/>
  <c r="L47" i="15"/>
  <c r="L125" i="15"/>
  <c r="E115" i="14"/>
  <c r="F206" i="42"/>
  <c r="F210" i="42" s="1"/>
  <c r="F207" i="42"/>
  <c r="F211" i="42" s="1"/>
  <c r="F208" i="42"/>
  <c r="F205" i="42"/>
  <c r="F209" i="42" s="1"/>
  <c r="J75" i="16"/>
  <c r="J76" i="16"/>
  <c r="D155" i="29"/>
  <c r="D159" i="29" s="1"/>
  <c r="D156" i="29"/>
  <c r="AL34" i="45"/>
  <c r="AL98" i="45"/>
  <c r="C44" i="48"/>
  <c r="C316" i="48" s="1"/>
  <c r="H66" i="15"/>
  <c r="F176" i="46"/>
  <c r="F181" i="46" s="1"/>
  <c r="F177" i="46"/>
  <c r="F182" i="46" s="1"/>
  <c r="F175" i="46"/>
  <c r="F180" i="46" s="1"/>
  <c r="F174" i="48"/>
  <c r="F178" i="46"/>
  <c r="F183" i="46" s="1"/>
  <c r="F179" i="46"/>
  <c r="G107" i="45" s="1"/>
  <c r="F100" i="29"/>
  <c r="F88" i="29"/>
  <c r="D231" i="12"/>
  <c r="H59" i="16"/>
  <c r="D57" i="19"/>
  <c r="D50" i="19"/>
  <c r="E177" i="48"/>
  <c r="E182" i="48" s="1"/>
  <c r="E178" i="48"/>
  <c r="E183" i="48" s="1"/>
  <c r="E176" i="48"/>
  <c r="E181" i="48" s="1"/>
  <c r="E175" i="48"/>
  <c r="E180" i="48" s="1"/>
  <c r="E179" i="48"/>
  <c r="H264" i="46"/>
  <c r="H263" i="46"/>
  <c r="H261" i="46"/>
  <c r="H266" i="46" s="1"/>
  <c r="H262" i="46"/>
  <c r="H265" i="46"/>
  <c r="I105" i="45" s="1"/>
  <c r="H260" i="48"/>
  <c r="M20" i="15"/>
  <c r="H49" i="16"/>
  <c r="D118" i="14"/>
  <c r="H212" i="54"/>
  <c r="H211" i="54"/>
  <c r="H209" i="54"/>
  <c r="H210" i="54"/>
  <c r="J29" i="28"/>
  <c r="L24" i="48"/>
  <c r="M18" i="48"/>
  <c r="AL89" i="45"/>
  <c r="F300" i="42"/>
  <c r="F299" i="42"/>
  <c r="D79" i="46"/>
  <c r="D109" i="46"/>
  <c r="D69" i="46"/>
  <c r="D44" i="46"/>
  <c r="D316" i="46" s="1"/>
  <c r="D99" i="46"/>
  <c r="G73" i="51"/>
  <c r="F145" i="46"/>
  <c r="F150" i="46" s="1"/>
  <c r="F146" i="46"/>
  <c r="F151" i="46" s="1"/>
  <c r="F148" i="46"/>
  <c r="F153" i="46" s="1"/>
  <c r="F144" i="48"/>
  <c r="F149" i="46"/>
  <c r="G83" i="45" s="1"/>
  <c r="F147" i="46"/>
  <c r="F152" i="46" s="1"/>
  <c r="F160" i="42"/>
  <c r="F164" i="42" s="1"/>
  <c r="F161" i="42"/>
  <c r="F165" i="42" s="1"/>
  <c r="F162" i="42"/>
  <c r="F159" i="42"/>
  <c r="F163" i="42" s="1"/>
  <c r="L35" i="16"/>
  <c r="G134" i="15"/>
  <c r="G68" i="15"/>
  <c r="G77" i="15" s="1"/>
  <c r="G133" i="15" a="1"/>
  <c r="G133" i="15" s="1"/>
  <c r="D172" i="48"/>
  <c r="G80" i="42"/>
  <c r="G84" i="42" s="1"/>
  <c r="G78" i="42"/>
  <c r="G82" i="42" s="1"/>
  <c r="G79" i="42"/>
  <c r="G83" i="42" s="1"/>
  <c r="G81" i="42"/>
  <c r="J332" i="42"/>
  <c r="G92" i="48"/>
  <c r="G97" i="48" s="1"/>
  <c r="G93" i="48"/>
  <c r="G98" i="48" s="1"/>
  <c r="G91" i="48"/>
  <c r="G90" i="48"/>
  <c r="G95" i="48" s="1"/>
  <c r="G94" i="48"/>
  <c r="D33" i="48"/>
  <c r="D39" i="48" s="1"/>
  <c r="AK75" i="45"/>
  <c r="AM30" i="45"/>
  <c r="M13" i="15"/>
  <c r="H66" i="38"/>
  <c r="H85" i="38" s="1"/>
  <c r="H65" i="38"/>
  <c r="H93" i="38" s="1"/>
  <c r="H61" i="38"/>
  <c r="H67" i="38"/>
  <c r="H101" i="38" s="1"/>
  <c r="H64" i="38"/>
  <c r="H77" i="38" s="1"/>
  <c r="H62" i="38"/>
  <c r="I60" i="38"/>
  <c r="G202" i="46"/>
  <c r="G226" i="46"/>
  <c r="G216" i="46"/>
  <c r="G206" i="46"/>
  <c r="J332" i="38"/>
  <c r="D93" i="14"/>
  <c r="C179" i="19"/>
  <c r="K26" i="42"/>
  <c r="K41" i="42" s="1"/>
  <c r="L20" i="42"/>
  <c r="E143" i="12"/>
  <c r="D90" i="19"/>
  <c r="E143" i="14" s="1"/>
  <c r="G129" i="42"/>
  <c r="G134" i="42"/>
  <c r="H23" i="45"/>
  <c r="J307" i="20"/>
  <c r="I265" i="19"/>
  <c r="AL57" i="45"/>
  <c r="AM70" i="51"/>
  <c r="C140" i="29"/>
  <c r="C138" i="29"/>
  <c r="C139" i="29"/>
  <c r="C137" i="29"/>
  <c r="C136" i="29"/>
  <c r="C141" i="29"/>
  <c r="I61" i="53"/>
  <c r="I67" i="53"/>
  <c r="I77" i="53" s="1"/>
  <c r="I78" i="53" s="1"/>
  <c r="J61" i="51" s="1"/>
  <c r="I62" i="53"/>
  <c r="I64" i="53"/>
  <c r="I71" i="53" s="1"/>
  <c r="I72" i="53" s="1"/>
  <c r="J57" i="51" s="1"/>
  <c r="I65" i="53"/>
  <c r="I75" i="53" s="1"/>
  <c r="I66" i="53"/>
  <c r="I73" i="53" s="1"/>
  <c r="I74" i="53" s="1"/>
  <c r="J60" i="53"/>
  <c r="AJ100" i="45"/>
  <c r="G199" i="38"/>
  <c r="G203" i="38" s="1"/>
  <c r="G200" i="38"/>
  <c r="H101" i="36" s="1"/>
  <c r="AN101" i="36" s="1"/>
  <c r="G197" i="38"/>
  <c r="G201" i="38" s="1"/>
  <c r="G198" i="38"/>
  <c r="G202" i="38" s="1"/>
  <c r="H59" i="29"/>
  <c r="I62" i="16" s="1"/>
  <c r="I62" i="15"/>
  <c r="C199" i="53"/>
  <c r="C201" i="53"/>
  <c r="C198" i="53"/>
  <c r="C200" i="53"/>
  <c r="C203" i="53"/>
  <c r="C202" i="53"/>
  <c r="J110" i="53"/>
  <c r="J111" i="53" s="1"/>
  <c r="J104" i="53"/>
  <c r="J105" i="53" s="1"/>
  <c r="K53" i="51" s="1"/>
  <c r="J106" i="53"/>
  <c r="J107" i="53" s="1"/>
  <c r="K62" i="51" s="1"/>
  <c r="J108" i="53"/>
  <c r="J109" i="53" s="1"/>
  <c r="H204" i="48"/>
  <c r="H203" i="48"/>
  <c r="C179" i="29"/>
  <c r="C180" i="29" s="1"/>
  <c r="D167" i="28"/>
  <c r="D168" i="28"/>
  <c r="H33" i="45"/>
  <c r="G162" i="54"/>
  <c r="H131" i="38"/>
  <c r="H150" i="38" s="1"/>
  <c r="H132" i="38"/>
  <c r="H158" i="38" s="1"/>
  <c r="H130" i="38"/>
  <c r="H142" i="38" s="1"/>
  <c r="D86" i="20"/>
  <c r="D78" i="19" s="1"/>
  <c r="D89" i="20"/>
  <c r="E104" i="12"/>
  <c r="E146" i="12" s="1"/>
  <c r="D88" i="20"/>
  <c r="D85" i="20"/>
  <c r="D87" i="20"/>
  <c r="D76" i="19"/>
  <c r="E104" i="14" s="1"/>
  <c r="J37" i="29"/>
  <c r="K125" i="16"/>
  <c r="K47" i="16"/>
  <c r="K25" i="48"/>
  <c r="K40" i="48" s="1"/>
  <c r="L19" i="48"/>
  <c r="H217" i="42"/>
  <c r="H219" i="42" s="1"/>
  <c r="I216" i="42"/>
  <c r="H70" i="51"/>
  <c r="AN66" i="51"/>
  <c r="D73" i="19"/>
  <c r="E120" i="14" s="1"/>
  <c r="E120" i="12"/>
  <c r="F198" i="42"/>
  <c r="F202" i="42" s="1"/>
  <c r="F197" i="42"/>
  <c r="F201" i="42" s="1"/>
  <c r="F199" i="42"/>
  <c r="F203" i="42" s="1"/>
  <c r="F200" i="42"/>
  <c r="I292" i="38"/>
  <c r="G150" i="29"/>
  <c r="G148" i="29"/>
  <c r="G147" i="29"/>
  <c r="G149" i="29"/>
  <c r="C241" i="53"/>
  <c r="G267" i="46"/>
  <c r="E266" i="46"/>
  <c r="G135" i="14"/>
  <c r="H64" i="20"/>
  <c r="H65" i="20"/>
  <c r="I63" i="20"/>
  <c r="J29" i="48"/>
  <c r="F166" i="46"/>
  <c r="F171" i="46" s="1"/>
  <c r="F168" i="46"/>
  <c r="F173" i="46" s="1"/>
  <c r="F165" i="46"/>
  <c r="F170" i="46" s="1"/>
  <c r="F167" i="46"/>
  <c r="F172" i="46" s="1"/>
  <c r="F164" i="48"/>
  <c r="F169" i="46"/>
  <c r="G77" i="45" s="1"/>
  <c r="I28" i="20"/>
  <c r="I46" i="20" s="1"/>
  <c r="J22" i="20"/>
  <c r="AL103" i="36"/>
  <c r="AL117" i="36" s="1"/>
  <c r="AL123" i="36" s="1"/>
  <c r="AL105" i="36"/>
  <c r="D74" i="20"/>
  <c r="D66" i="19" s="1"/>
  <c r="D73" i="20"/>
  <c r="D76" i="20"/>
  <c r="D64" i="19"/>
  <c r="E93" i="14" s="1"/>
  <c r="D75" i="20"/>
  <c r="D77" i="20"/>
  <c r="D314" i="20"/>
  <c r="D315" i="20"/>
  <c r="D263" i="20"/>
  <c r="D264" i="20"/>
  <c r="D267" i="20"/>
  <c r="E280" i="42"/>
  <c r="E281" i="42" s="1"/>
  <c r="F247" i="42"/>
  <c r="L24" i="46"/>
  <c r="M18" i="46"/>
  <c r="I26" i="20"/>
  <c r="I44" i="20" s="1"/>
  <c r="J20" i="20"/>
  <c r="H49" i="15"/>
  <c r="K25" i="28"/>
  <c r="K43" i="28" s="1"/>
  <c r="L19" i="28"/>
  <c r="G213" i="54"/>
  <c r="G214" i="54"/>
  <c r="F214" i="28"/>
  <c r="E148" i="28"/>
  <c r="E149" i="28" s="1"/>
  <c r="G297" i="38"/>
  <c r="G298" i="38"/>
  <c r="F141" i="15"/>
  <c r="F142" i="15" s="1"/>
  <c r="M34" i="16"/>
  <c r="M33" i="16"/>
  <c r="L11" i="16"/>
  <c r="N9" i="16"/>
  <c r="F144" i="42"/>
  <c r="F148" i="42" s="1"/>
  <c r="F145" i="42"/>
  <c r="F149" i="42" s="1"/>
  <c r="F143" i="42"/>
  <c r="F147" i="42" s="1"/>
  <c r="F146" i="42"/>
  <c r="G135" i="15"/>
  <c r="D170" i="48"/>
  <c r="G87" i="42"/>
  <c r="G91" i="42" s="1"/>
  <c r="G88" i="42"/>
  <c r="G92" i="42" s="1"/>
  <c r="G89" i="42"/>
  <c r="G86" i="42"/>
  <c r="G90" i="42" s="1"/>
  <c r="L35" i="15"/>
  <c r="J44" i="53"/>
  <c r="J204" i="53" s="1"/>
  <c r="AK59" i="45"/>
  <c r="AK104" i="45"/>
  <c r="D37" i="48"/>
  <c r="I43" i="48" s="1"/>
  <c r="AK58" i="45"/>
  <c r="AK60" i="45"/>
  <c r="K75" i="15"/>
  <c r="P7" i="15"/>
  <c r="P8" i="15" s="1"/>
  <c r="Q6" i="15"/>
  <c r="E34" i="48"/>
  <c r="AL26" i="45"/>
  <c r="AL25" i="45"/>
  <c r="AL24" i="45"/>
  <c r="AL82" i="45"/>
  <c r="G88" i="38"/>
  <c r="G92" i="38" s="1"/>
  <c r="G87" i="38"/>
  <c r="G91" i="38" s="1"/>
  <c r="G86" i="38"/>
  <c r="G90" i="38" s="1"/>
  <c r="G89" i="38"/>
  <c r="I47" i="29"/>
  <c r="I142" i="29" s="1"/>
  <c r="G204" i="46"/>
  <c r="G203" i="46"/>
  <c r="AJ113" i="45"/>
  <c r="E227" i="48"/>
  <c r="E232" i="48" s="1"/>
  <c r="E230" i="48"/>
  <c r="E235" i="48" s="1"/>
  <c r="E228" i="48"/>
  <c r="E233" i="48" s="1"/>
  <c r="E231" i="48"/>
  <c r="E229" i="48"/>
  <c r="E234" i="48" s="1"/>
  <c r="D100" i="12"/>
  <c r="C67" i="19"/>
  <c r="D100" i="14" s="1"/>
  <c r="J75" i="15"/>
  <c r="J76" i="15"/>
  <c r="M18" i="53"/>
  <c r="L24" i="53"/>
  <c r="H63" i="46"/>
  <c r="P23" i="16"/>
  <c r="P24" i="16"/>
  <c r="Q22" i="16"/>
  <c r="I292" i="42"/>
  <c r="J44" i="38"/>
  <c r="J288" i="38" s="1"/>
  <c r="F299" i="38"/>
  <c r="F300" i="38"/>
  <c r="D92" i="19"/>
  <c r="E145" i="14" s="1"/>
  <c r="E145" i="12"/>
  <c r="L27" i="42"/>
  <c r="L42" i="42" s="1"/>
  <c r="M21" i="42"/>
  <c r="G98" i="19"/>
  <c r="AM96" i="45"/>
  <c r="H212" i="53"/>
  <c r="H210" i="53"/>
  <c r="H209" i="53"/>
  <c r="H211" i="53"/>
  <c r="H63" i="53"/>
  <c r="H159" i="53" s="1"/>
  <c r="H69" i="53"/>
  <c r="H70" i="53" s="1"/>
  <c r="I49" i="51" s="1"/>
  <c r="E234" i="53"/>
  <c r="E235" i="53" s="1"/>
  <c r="E237" i="53" s="1"/>
  <c r="E258" i="53" s="1"/>
  <c r="G205" i="38"/>
  <c r="G209" i="38" s="1"/>
  <c r="G207" i="38"/>
  <c r="G211" i="38" s="1"/>
  <c r="G208" i="38"/>
  <c r="G206" i="38"/>
  <c r="G210" i="38" s="1"/>
  <c r="J360" i="46"/>
  <c r="E218" i="54"/>
  <c r="E217" i="54"/>
  <c r="E221" i="54" s="1"/>
  <c r="D34" i="48"/>
  <c r="AK26" i="45"/>
  <c r="AK24" i="45"/>
  <c r="AK25" i="45"/>
  <c r="AK82" i="45"/>
  <c r="H142" i="48"/>
  <c r="H141" i="48"/>
  <c r="H140" i="48"/>
  <c r="C172" i="29"/>
  <c r="C173" i="29" s="1"/>
  <c r="C175" i="29" s="1"/>
  <c r="L24" i="29"/>
  <c r="M18" i="29"/>
  <c r="H35" i="45"/>
  <c r="K25" i="42"/>
  <c r="K40" i="42" s="1"/>
  <c r="L19" i="42"/>
  <c r="H185" i="38"/>
  <c r="H186" i="38"/>
  <c r="H296" i="42"/>
  <c r="H294" i="42"/>
  <c r="H293" i="42"/>
  <c r="H295" i="42"/>
  <c r="G220" i="42"/>
  <c r="G224" i="42" s="1"/>
  <c r="G222" i="42"/>
  <c r="G226" i="42" s="1"/>
  <c r="G221" i="42"/>
  <c r="G225" i="42" s="1"/>
  <c r="G223" i="42"/>
  <c r="C271" i="20"/>
  <c r="C269" i="20"/>
  <c r="C268" i="20"/>
  <c r="C270" i="20"/>
  <c r="D262" i="48"/>
  <c r="D261" i="48"/>
  <c r="D263" i="48"/>
  <c r="D264" i="48"/>
  <c r="D71" i="19"/>
  <c r="E116" i="14" s="1"/>
  <c r="E116" i="12"/>
  <c r="J129" i="16"/>
  <c r="J131" i="16"/>
  <c r="G34" i="45"/>
  <c r="K28" i="28"/>
  <c r="K46" i="28" s="1"/>
  <c r="L22" i="28"/>
  <c r="AO54" i="51"/>
  <c r="G157" i="28"/>
  <c r="G160" i="28"/>
  <c r="C234" i="53"/>
  <c r="C235" i="53" s="1"/>
  <c r="C237" i="53" s="1"/>
  <c r="C258" i="53" s="1"/>
  <c r="K28" i="29"/>
  <c r="K46" i="29" s="1"/>
  <c r="L22" i="29"/>
  <c r="E157" i="48"/>
  <c r="E162" i="48" s="1"/>
  <c r="E158" i="48"/>
  <c r="E163" i="48" s="1"/>
  <c r="E155" i="48"/>
  <c r="E160" i="48" s="1"/>
  <c r="E159" i="48"/>
  <c r="E156" i="48"/>
  <c r="E161" i="48" s="1"/>
  <c r="F24" i="19"/>
  <c r="G18" i="19"/>
  <c r="K28" i="54"/>
  <c r="K43" i="54" s="1"/>
  <c r="L22" i="54"/>
  <c r="N9" i="15"/>
  <c r="G68" i="45"/>
  <c r="AJ78" i="45"/>
  <c r="G68" i="20"/>
  <c r="G70" i="20"/>
  <c r="G67" i="20"/>
  <c r="G69" i="20"/>
  <c r="F25" i="45"/>
  <c r="E34" i="46"/>
  <c r="F24" i="45"/>
  <c r="F26" i="45"/>
  <c r="F82" i="45"/>
  <c r="E96" i="20"/>
  <c r="AN98" i="36"/>
  <c r="G139" i="15"/>
  <c r="D265" i="20"/>
  <c r="D288" i="20"/>
  <c r="D289" i="20" s="1"/>
  <c r="D283" i="42"/>
  <c r="D286" i="42"/>
  <c r="D284" i="42"/>
  <c r="D282" i="42"/>
  <c r="D285" i="42"/>
  <c r="D287" i="42"/>
  <c r="J66" i="29"/>
  <c r="J64" i="29"/>
  <c r="J63" i="29"/>
  <c r="J62" i="29" s="1"/>
  <c r="J67" i="29"/>
  <c r="J68" i="29"/>
  <c r="J65" i="29"/>
  <c r="G220" i="54"/>
  <c r="G219" i="54"/>
  <c r="G231" i="54" s="1"/>
  <c r="D152" i="28"/>
  <c r="D153" i="28"/>
  <c r="D155" i="28"/>
  <c r="D151" i="28"/>
  <c r="D154" i="28"/>
  <c r="D150" i="28"/>
  <c r="F77" i="15"/>
  <c r="M74" i="16"/>
  <c r="I217" i="38"/>
  <c r="I219" i="38" s="1"/>
  <c r="J216" i="38"/>
  <c r="AM79" i="36"/>
  <c r="AM114" i="36" s="1"/>
  <c r="G114" i="36"/>
  <c r="C194" i="28"/>
  <c r="C201" i="28" s="1"/>
  <c r="I205" i="53"/>
  <c r="I208" i="53"/>
  <c r="AN64" i="51"/>
  <c r="F153" i="42"/>
  <c r="F157" i="42" s="1"/>
  <c r="F152" i="42"/>
  <c r="F156" i="42" s="1"/>
  <c r="F151" i="42"/>
  <c r="F155" i="42" s="1"/>
  <c r="F154" i="42"/>
  <c r="H65" i="15"/>
  <c r="F206" i="54"/>
  <c r="F207" i="54" s="1"/>
  <c r="F229" i="54"/>
  <c r="F230" i="54" s="1"/>
  <c r="E220" i="48"/>
  <c r="E225" i="48" s="1"/>
  <c r="E219" i="48"/>
  <c r="E224" i="48" s="1"/>
  <c r="E217" i="48"/>
  <c r="E222" i="48" s="1"/>
  <c r="E221" i="48"/>
  <c r="E218" i="48"/>
  <c r="E223" i="48" s="1"/>
  <c r="D173" i="48"/>
  <c r="J31" i="53"/>
  <c r="J194" i="53"/>
  <c r="H25" i="19"/>
  <c r="H43" i="19" s="1"/>
  <c r="H99" i="19" s="1"/>
  <c r="I19" i="19"/>
  <c r="O8" i="15"/>
  <c r="AM55" i="45"/>
  <c r="AM56" i="45"/>
  <c r="AM33" i="45"/>
  <c r="F151" i="29"/>
  <c r="F152" i="29"/>
  <c r="G63" i="38"/>
  <c r="G69" i="38"/>
  <c r="G141" i="46"/>
  <c r="G164" i="46" s="1"/>
  <c r="G142" i="46"/>
  <c r="G174" i="46" s="1"/>
  <c r="G140" i="46"/>
  <c r="G154" i="46" s="1"/>
  <c r="E280" i="38"/>
  <c r="E281" i="38" s="1"/>
  <c r="F247" i="38"/>
  <c r="H168" i="20"/>
  <c r="H169" i="20"/>
  <c r="H171" i="20"/>
  <c r="H185" i="20" s="1"/>
  <c r="H170" i="20"/>
  <c r="H179" i="20" s="1"/>
  <c r="H167" i="20"/>
  <c r="H173" i="20" s="1"/>
  <c r="I166" i="20"/>
  <c r="K26" i="29"/>
  <c r="K44" i="29" s="1"/>
  <c r="L20" i="29"/>
  <c r="D101" i="12"/>
  <c r="C68" i="19"/>
  <c r="D101" i="14" s="1"/>
  <c r="K39" i="53"/>
  <c r="G24" i="45"/>
  <c r="F34" i="46"/>
  <c r="G26" i="45"/>
  <c r="G25" i="45"/>
  <c r="G82" i="45"/>
  <c r="J29" i="38"/>
  <c r="K17" i="45"/>
  <c r="K18" i="45" s="1"/>
  <c r="AQ16" i="45"/>
  <c r="L16" i="45"/>
  <c r="E140" i="12"/>
  <c r="D89" i="19"/>
  <c r="E140" i="14" s="1"/>
  <c r="G101" i="19"/>
  <c r="G153" i="38"/>
  <c r="G157" i="38" s="1"/>
  <c r="G152" i="38"/>
  <c r="G156" i="38" s="1"/>
  <c r="G151" i="38"/>
  <c r="G155" i="38" s="1"/>
  <c r="G154" i="38"/>
  <c r="H79" i="36" s="1"/>
  <c r="G213" i="53"/>
  <c r="G214" i="53"/>
  <c r="AM91" i="36"/>
  <c r="AM93" i="36" s="1"/>
  <c r="AM96" i="36" s="1"/>
  <c r="G93" i="36"/>
  <c r="G96" i="36" s="1"/>
  <c r="K40" i="45"/>
  <c r="K39" i="45"/>
  <c r="AQ38" i="45"/>
  <c r="L38" i="45"/>
  <c r="F244" i="48"/>
  <c r="F249" i="48" s="1"/>
  <c r="F246" i="48"/>
  <c r="F251" i="48" s="1"/>
  <c r="F245" i="48"/>
  <c r="F250" i="48" s="1"/>
  <c r="F248" i="48"/>
  <c r="F247" i="48"/>
  <c r="F252" i="48" s="1"/>
  <c r="K122" i="16"/>
  <c r="K132" i="16" s="1"/>
  <c r="AO57" i="51"/>
  <c r="E301" i="38"/>
  <c r="E305" i="38" s="1"/>
  <c r="E302" i="38"/>
  <c r="H208" i="28"/>
  <c r="H207" i="28"/>
  <c r="H156" i="28"/>
  <c r="I25" i="20"/>
  <c r="I43" i="20" s="1"/>
  <c r="J19" i="20"/>
  <c r="G189" i="38"/>
  <c r="G193" i="38" s="1"/>
  <c r="G192" i="38"/>
  <c r="H91" i="36" s="1"/>
  <c r="G190" i="38"/>
  <c r="G194" i="38" s="1"/>
  <c r="G191" i="38"/>
  <c r="G195" i="38" s="1"/>
  <c r="H139" i="48"/>
  <c r="E165" i="28"/>
  <c r="E166" i="28"/>
  <c r="AN32" i="45"/>
  <c r="AN28" i="45"/>
  <c r="AN31" i="45"/>
  <c r="AN36" i="45" s="1"/>
  <c r="AN29" i="45"/>
  <c r="AN54" i="45"/>
  <c r="F72" i="38"/>
  <c r="F76" i="38" s="1"/>
  <c r="F70" i="38"/>
  <c r="F74" i="38" s="1"/>
  <c r="F73" i="38"/>
  <c r="G78" i="36" s="1"/>
  <c r="F71" i="38"/>
  <c r="F75" i="38" s="1"/>
  <c r="H129" i="38"/>
  <c r="H134" i="38"/>
  <c r="K121" i="16"/>
  <c r="K42" i="16"/>
  <c r="J68" i="51"/>
  <c r="J50" i="51"/>
  <c r="D47" i="19"/>
  <c r="D176" i="19" s="1"/>
  <c r="D60" i="19"/>
  <c r="D265" i="46"/>
  <c r="E105" i="45" s="1"/>
  <c r="I208" i="20"/>
  <c r="H209" i="20"/>
  <c r="H211" i="20" s="1"/>
  <c r="D129" i="12"/>
  <c r="E290" i="38"/>
  <c r="E291" i="38" s="1"/>
  <c r="E313" i="38"/>
  <c r="E314" i="38" s="1"/>
  <c r="AJ84" i="45"/>
  <c r="M11" i="16"/>
  <c r="J85" i="29"/>
  <c r="K61" i="15"/>
  <c r="H196" i="20"/>
  <c r="I195" i="20"/>
  <c r="G263" i="48"/>
  <c r="G261" i="48"/>
  <c r="G264" i="48"/>
  <c r="G262" i="48"/>
  <c r="G265" i="48"/>
  <c r="E29" i="19"/>
  <c r="E42" i="19"/>
  <c r="E52" i="19" s="1"/>
  <c r="E49" i="19" s="1"/>
  <c r="E177" i="19" s="1"/>
  <c r="AN49" i="51"/>
  <c r="H51" i="51"/>
  <c r="H72" i="51"/>
  <c r="H183" i="42"/>
  <c r="H182" i="42"/>
  <c r="I181" i="42"/>
  <c r="G66" i="20"/>
  <c r="F70" i="45"/>
  <c r="H63" i="54"/>
  <c r="H159" i="54" s="1"/>
  <c r="H69" i="54"/>
  <c r="H70" i="54" s="1"/>
  <c r="D53" i="19"/>
  <c r="H232" i="42"/>
  <c r="H234" i="42" s="1"/>
  <c r="I231" i="42"/>
  <c r="H65" i="16"/>
  <c r="D182" i="48"/>
  <c r="H223" i="38"/>
  <c r="I98" i="36" s="1"/>
  <c r="H221" i="38"/>
  <c r="H225" i="38" s="1"/>
  <c r="H222" i="38"/>
  <c r="H226" i="38" s="1"/>
  <c r="H220" i="38"/>
  <c r="H224" i="38" s="1"/>
  <c r="E166" i="48"/>
  <c r="E171" i="48" s="1"/>
  <c r="E165" i="48"/>
  <c r="E170" i="48" s="1"/>
  <c r="E167" i="48"/>
  <c r="E172" i="48" s="1"/>
  <c r="E168" i="48"/>
  <c r="E173" i="48" s="1"/>
  <c r="E169" i="48"/>
  <c r="AL73" i="51"/>
  <c r="C325" i="38"/>
  <c r="C326" i="38" s="1"/>
  <c r="AO42" i="45"/>
  <c r="D258" i="53"/>
  <c r="D241" i="53"/>
  <c r="AN44" i="45"/>
  <c r="AN95" i="45"/>
  <c r="AN43" i="45"/>
  <c r="G35" i="48"/>
  <c r="AN42" i="45"/>
  <c r="H61" i="42"/>
  <c r="H62" i="42"/>
  <c r="H67" i="42"/>
  <c r="H101" i="42" s="1"/>
  <c r="H64" i="42"/>
  <c r="H77" i="42" s="1"/>
  <c r="H65" i="42"/>
  <c r="H93" i="42" s="1"/>
  <c r="H66" i="42"/>
  <c r="H85" i="42" s="1"/>
  <c r="I60" i="42"/>
  <c r="J44" i="54"/>
  <c r="J204" i="54" s="1"/>
  <c r="K131" i="15"/>
  <c r="AO20" i="45"/>
  <c r="AO19" i="45"/>
  <c r="F158" i="29"/>
  <c r="F157" i="29"/>
  <c r="F169" i="29" s="1"/>
  <c r="G105" i="38"/>
  <c r="H99" i="36" s="1"/>
  <c r="AN99" i="36" s="1"/>
  <c r="G103" i="38"/>
  <c r="G107" i="38" s="1"/>
  <c r="G102" i="38"/>
  <c r="G106" i="38" s="1"/>
  <c r="G104" i="38"/>
  <c r="G108" i="38" s="1"/>
  <c r="G138" i="38"/>
  <c r="H85" i="36" s="1"/>
  <c r="G136" i="38"/>
  <c r="G140" i="38" s="1"/>
  <c r="G137" i="38"/>
  <c r="G141" i="38" s="1"/>
  <c r="G135" i="38"/>
  <c r="G139" i="38" s="1"/>
  <c r="G139" i="46"/>
  <c r="G144" i="46"/>
  <c r="H67" i="16"/>
  <c r="H46" i="16"/>
  <c r="D283" i="38"/>
  <c r="D284" i="38"/>
  <c r="D285" i="38"/>
  <c r="D282" i="38"/>
  <c r="D286" i="38"/>
  <c r="D287" i="38"/>
  <c r="G188" i="20"/>
  <c r="G150" i="19" s="1"/>
  <c r="G187" i="20"/>
  <c r="G149" i="19" s="1"/>
  <c r="G189" i="20"/>
  <c r="G151" i="19" s="1"/>
  <c r="G190" i="20"/>
  <c r="G152" i="19" s="1"/>
  <c r="G186" i="20"/>
  <c r="G148" i="19" s="1"/>
  <c r="G147" i="19"/>
  <c r="H137" i="14" s="1"/>
  <c r="H137" i="12"/>
  <c r="C69" i="19"/>
  <c r="D99" i="14" s="1"/>
  <c r="D99" i="12"/>
  <c r="J131" i="15"/>
  <c r="J129" i="15"/>
  <c r="K28" i="46"/>
  <c r="L22" i="46"/>
  <c r="I83" i="28"/>
  <c r="I70" i="29" s="1"/>
  <c r="I85" i="28"/>
  <c r="I72" i="29" s="1"/>
  <c r="I84" i="28"/>
  <c r="I87" i="28"/>
  <c r="I86" i="28"/>
  <c r="I88" i="28"/>
  <c r="J82" i="28"/>
  <c r="G70" i="45"/>
  <c r="AP17" i="45"/>
  <c r="E144" i="12"/>
  <c r="D91" i="19"/>
  <c r="E144" i="14" s="1"/>
  <c r="G99" i="19"/>
  <c r="G160" i="38"/>
  <c r="G164" i="38" s="1"/>
  <c r="G162" i="38"/>
  <c r="H109" i="36" s="1"/>
  <c r="AN109" i="36" s="1"/>
  <c r="G159" i="38"/>
  <c r="G163" i="38" s="1"/>
  <c r="G161" i="38"/>
  <c r="G165" i="38" s="1"/>
  <c r="J41" i="45"/>
  <c r="K26" i="53"/>
  <c r="K41" i="53" s="1"/>
  <c r="K147" i="53" s="1"/>
  <c r="K148" i="53" s="1"/>
  <c r="L60" i="51" s="1"/>
  <c r="L20" i="53"/>
  <c r="J360" i="48"/>
  <c r="I194" i="54"/>
  <c r="I31" i="54"/>
  <c r="AO61" i="51"/>
  <c r="I64" i="51"/>
  <c r="H28" i="19"/>
  <c r="H46" i="19" s="1"/>
  <c r="H167" i="19" s="1"/>
  <c r="H166" i="19" s="1"/>
  <c r="I22" i="19"/>
  <c r="H145" i="20"/>
  <c r="I126" i="12"/>
  <c r="K25" i="46"/>
  <c r="K40" i="46" s="1"/>
  <c r="L19" i="46"/>
  <c r="F29" i="20"/>
  <c r="F42" i="20"/>
  <c r="F96" i="20" s="1"/>
  <c r="AK70" i="45"/>
  <c r="D236" i="54"/>
  <c r="D169" i="14"/>
  <c r="C33" i="19"/>
  <c r="C34" i="19"/>
  <c r="K25" i="54"/>
  <c r="K40" i="54" s="1"/>
  <c r="L19" i="54"/>
  <c r="D185" i="28"/>
  <c r="P7" i="16"/>
  <c r="P8" i="16" s="1"/>
  <c r="Q6" i="16"/>
  <c r="F243" i="38"/>
  <c r="F246" i="38"/>
  <c r="D95" i="20"/>
  <c r="D87" i="19" s="1"/>
  <c r="D92" i="20"/>
  <c r="D82" i="19"/>
  <c r="D94" i="20"/>
  <c r="D91" i="20"/>
  <c r="D93" i="20"/>
  <c r="H289" i="42"/>
  <c r="G136" i="15"/>
  <c r="AP62" i="51"/>
  <c r="C266" i="20"/>
  <c r="D31" i="19"/>
  <c r="D211" i="19"/>
  <c r="G212" i="20"/>
  <c r="G170" i="19" s="1"/>
  <c r="G213" i="20"/>
  <c r="G171" i="19" s="1"/>
  <c r="G214" i="20"/>
  <c r="G172" i="19" s="1"/>
  <c r="G216" i="20"/>
  <c r="G174" i="19" s="1"/>
  <c r="G169" i="19"/>
  <c r="G215" i="20"/>
  <c r="H135" i="12"/>
  <c r="F164" i="28"/>
  <c r="F161" i="28"/>
  <c r="F162" i="28"/>
  <c r="F163" i="28"/>
  <c r="F106" i="19"/>
  <c r="I154" i="54"/>
  <c r="I156" i="54" s="1"/>
  <c r="J153" i="54"/>
  <c r="AJ128" i="36"/>
  <c r="L21" i="16"/>
  <c r="D107" i="14"/>
  <c r="G157" i="19"/>
  <c r="H123" i="12"/>
  <c r="G198" i="20"/>
  <c r="D33" i="20"/>
  <c r="D34" i="20"/>
  <c r="H157" i="53"/>
  <c r="I66" i="51" s="1"/>
  <c r="H162" i="53"/>
  <c r="G265" i="46"/>
  <c r="H105" i="45" s="1"/>
  <c r="G297" i="42"/>
  <c r="G298" i="42"/>
  <c r="G184" i="42"/>
  <c r="G196" i="42"/>
  <c r="G188" i="42"/>
  <c r="G204" i="42"/>
  <c r="G57" i="45"/>
  <c r="K26" i="46"/>
  <c r="K41" i="46" s="1"/>
  <c r="L20" i="46"/>
  <c r="F141" i="16"/>
  <c r="F142" i="16" s="1"/>
  <c r="D55" i="19"/>
  <c r="G235" i="42"/>
  <c r="G239" i="42" s="1"/>
  <c r="G237" i="42"/>
  <c r="G241" i="42" s="1"/>
  <c r="G236" i="42"/>
  <c r="G240" i="42" s="1"/>
  <c r="G238" i="42"/>
  <c r="M34" i="15"/>
  <c r="M33" i="15"/>
  <c r="AQ69" i="51"/>
  <c r="F215" i="53"/>
  <c r="F216" i="53"/>
  <c r="G303" i="38"/>
  <c r="G315" i="38" s="1"/>
  <c r="G304" i="38"/>
  <c r="H26" i="19"/>
  <c r="H44" i="19" s="1"/>
  <c r="H155" i="19" s="1"/>
  <c r="H154" i="19" s="1"/>
  <c r="I20" i="19"/>
  <c r="F140" i="15"/>
  <c r="N19" i="16"/>
  <c r="N15" i="16"/>
  <c r="N16" i="16"/>
  <c r="N18" i="16"/>
  <c r="O14" i="16"/>
  <c r="N32" i="16"/>
  <c r="N74" i="16"/>
  <c r="G134" i="16"/>
  <c r="G68" i="16"/>
  <c r="G133" i="16" a="1"/>
  <c r="G133" i="16" s="1"/>
  <c r="G77" i="16"/>
  <c r="D73" i="51"/>
  <c r="K138" i="53"/>
  <c r="K139" i="53" s="1"/>
  <c r="L69" i="51" s="1"/>
  <c r="K134" i="53"/>
  <c r="K136" i="53"/>
  <c r="K137" i="53" s="1"/>
  <c r="L63" i="51" s="1"/>
  <c r="I125" i="20"/>
  <c r="I122" i="20"/>
  <c r="I121" i="20"/>
  <c r="I124" i="20"/>
  <c r="I120" i="20"/>
  <c r="I123" i="20"/>
  <c r="J119" i="20"/>
  <c r="D151" i="48"/>
  <c r="E236" i="54"/>
  <c r="I21" i="45"/>
  <c r="AN21" i="45"/>
  <c r="G112" i="36"/>
  <c r="G111" i="36"/>
  <c r="G113" i="36"/>
  <c r="AL99" i="45"/>
  <c r="J31" i="54"/>
  <c r="J194" i="54"/>
  <c r="AO69" i="45"/>
  <c r="G81" i="38"/>
  <c r="H92" i="36" s="1"/>
  <c r="AN92" i="36" s="1"/>
  <c r="G80" i="38"/>
  <c r="G84" i="38" s="1"/>
  <c r="G79" i="38"/>
  <c r="G83" i="38" s="1"/>
  <c r="G78" i="38"/>
  <c r="G82" i="38" s="1"/>
  <c r="I43" i="45"/>
  <c r="I44" i="45"/>
  <c r="H35" i="46"/>
  <c r="I95" i="45"/>
  <c r="I42" i="45"/>
  <c r="H67" i="15"/>
  <c r="H46" i="15"/>
  <c r="I27" i="20"/>
  <c r="I45" i="20" s="1"/>
  <c r="J21" i="20"/>
  <c r="G178" i="20"/>
  <c r="G140" i="19" s="1"/>
  <c r="G175" i="20"/>
  <c r="G137" i="19" s="1"/>
  <c r="G174" i="20"/>
  <c r="G136" i="19" s="1"/>
  <c r="G135" i="19"/>
  <c r="H113" i="14" s="1"/>
  <c r="G177" i="20"/>
  <c r="G139" i="19" s="1"/>
  <c r="H113" i="12"/>
  <c r="G176" i="20"/>
  <c r="L40" i="15"/>
  <c r="L42" i="15" s="1"/>
  <c r="D316" i="42"/>
  <c r="D317" i="42"/>
  <c r="I62" i="46"/>
  <c r="I65" i="46"/>
  <c r="I61" i="46"/>
  <c r="I67" i="46"/>
  <c r="I64" i="46"/>
  <c r="I66" i="46"/>
  <c r="I89" i="46" s="1"/>
  <c r="J60" i="46"/>
  <c r="P23" i="15"/>
  <c r="P24" i="15"/>
  <c r="Q22" i="15"/>
  <c r="O25" i="16"/>
  <c r="H75" i="29"/>
  <c r="I64" i="16" s="1"/>
  <c r="I64" i="15"/>
  <c r="J69" i="45"/>
  <c r="D130" i="14"/>
  <c r="G146" i="38"/>
  <c r="H100" i="36" s="1"/>
  <c r="AN100" i="36" s="1"/>
  <c r="G144" i="38"/>
  <c r="G148" i="38" s="1"/>
  <c r="G143" i="38"/>
  <c r="G147" i="38" s="1"/>
  <c r="G145" i="38"/>
  <c r="G149" i="38" s="1"/>
  <c r="L27" i="46"/>
  <c r="L42" i="46" s="1"/>
  <c r="M21" i="46"/>
  <c r="G219" i="53"/>
  <c r="G231" i="53" s="1"/>
  <c r="G220" i="53"/>
  <c r="F227" i="46"/>
  <c r="F232" i="46" s="1"/>
  <c r="F229" i="46"/>
  <c r="F234" i="46" s="1"/>
  <c r="F230" i="46"/>
  <c r="F235" i="46" s="1"/>
  <c r="F228" i="46"/>
  <c r="F233" i="46" s="1"/>
  <c r="F226" i="48"/>
  <c r="F231" i="46"/>
  <c r="G108" i="45" s="1"/>
  <c r="D108" i="12"/>
  <c r="AQ60" i="51"/>
  <c r="AL83" i="45"/>
  <c r="K26" i="28"/>
  <c r="K44" i="28" s="1"/>
  <c r="L20" i="28"/>
  <c r="C199" i="54"/>
  <c r="C201" i="54"/>
  <c r="C202" i="54"/>
  <c r="C203" i="54"/>
  <c r="C200" i="54"/>
  <c r="C198" i="54"/>
  <c r="D171" i="29"/>
  <c r="D174" i="29" s="1"/>
  <c r="D170" i="29"/>
  <c r="E127" i="12"/>
  <c r="H18" i="20"/>
  <c r="G24" i="20"/>
  <c r="I47" i="28"/>
  <c r="I50" i="29"/>
  <c r="I54" i="29"/>
  <c r="I53" i="29"/>
  <c r="I51" i="29"/>
  <c r="I52" i="29"/>
  <c r="I49" i="29" s="1"/>
  <c r="I89" i="29" s="1"/>
  <c r="L21" i="15"/>
  <c r="D127" i="14"/>
  <c r="E172" i="28"/>
  <c r="E171" i="28"/>
  <c r="E183" i="28" s="1"/>
  <c r="E184" i="28" s="1"/>
  <c r="J106" i="54"/>
  <c r="J107" i="54" s="1"/>
  <c r="J104" i="54"/>
  <c r="J105" i="54" s="1"/>
  <c r="J108" i="54"/>
  <c r="J109" i="54" s="1"/>
  <c r="J110" i="54"/>
  <c r="J111" i="54" s="1"/>
  <c r="D117" i="12"/>
  <c r="H30" i="45"/>
  <c r="O41" i="16"/>
  <c r="K28" i="42"/>
  <c r="K43" i="42" s="1"/>
  <c r="L22" i="42"/>
  <c r="AJ72" i="51"/>
  <c r="E78" i="20"/>
  <c r="AP53" i="51"/>
  <c r="J54" i="51"/>
  <c r="D266" i="46"/>
  <c r="C225" i="19"/>
  <c r="C273" i="19"/>
  <c r="C221" i="19"/>
  <c r="C272" i="19"/>
  <c r="C222" i="19"/>
  <c r="D72" i="19"/>
  <c r="E119" i="14" s="1"/>
  <c r="E119" i="12"/>
  <c r="L27" i="54"/>
  <c r="L42" i="54" s="1"/>
  <c r="M21" i="54"/>
  <c r="H157" i="54"/>
  <c r="E70" i="45"/>
  <c r="G139" i="16"/>
  <c r="D107" i="12"/>
  <c r="I154" i="53"/>
  <c r="I156" i="53" s="1"/>
  <c r="J153" i="53"/>
  <c r="J29" i="46"/>
  <c r="F80" i="36"/>
  <c r="F83" i="36" s="1"/>
  <c r="F119" i="36" s="1"/>
  <c r="F115" i="36"/>
  <c r="F116" i="36" s="1"/>
  <c r="AL78" i="36"/>
  <c r="G186" i="42"/>
  <c r="G185" i="42"/>
  <c r="I66" i="54"/>
  <c r="I73" i="54" s="1"/>
  <c r="I74" i="54" s="1"/>
  <c r="I64" i="54"/>
  <c r="I71" i="54" s="1"/>
  <c r="I72" i="54" s="1"/>
  <c r="I67" i="54"/>
  <c r="I77" i="54" s="1"/>
  <c r="I78" i="54" s="1"/>
  <c r="I61" i="54"/>
  <c r="I62" i="54"/>
  <c r="I65" i="54"/>
  <c r="I75" i="54" s="1"/>
  <c r="I76" i="54" s="1"/>
  <c r="J60" i="54"/>
  <c r="L40" i="16"/>
  <c r="AL68" i="45"/>
  <c r="D52" i="19"/>
  <c r="D49" i="19" s="1"/>
  <c r="D177" i="19" s="1"/>
  <c r="F216" i="54"/>
  <c r="F215" i="54"/>
  <c r="K26" i="48"/>
  <c r="K41" i="48" s="1"/>
  <c r="L20" i="48"/>
  <c r="AJ91" i="45"/>
  <c r="N16" i="15"/>
  <c r="N19" i="15"/>
  <c r="N15" i="15"/>
  <c r="N18" i="15"/>
  <c r="O14" i="15"/>
  <c r="N32" i="15"/>
  <c r="J135" i="53"/>
  <c r="K56" i="51"/>
  <c r="K26" i="38"/>
  <c r="K41" i="38" s="1"/>
  <c r="L20" i="38"/>
  <c r="D180" i="48"/>
  <c r="L27" i="28"/>
  <c r="M21" i="28"/>
  <c r="E90" i="20"/>
  <c r="M20" i="16"/>
  <c r="I108" i="28"/>
  <c r="J107" i="28"/>
  <c r="G135" i="16"/>
  <c r="L27" i="53"/>
  <c r="L42" i="53" s="1"/>
  <c r="M21" i="53"/>
  <c r="H139" i="20"/>
  <c r="I94" i="12"/>
  <c r="D150" i="48"/>
  <c r="E72" i="45"/>
  <c r="G266" i="46" l="1"/>
  <c r="F266" i="46"/>
  <c r="E268" i="46"/>
  <c r="AO44" i="45"/>
  <c r="H35" i="48"/>
  <c r="N169" i="14"/>
  <c r="AO43" i="45"/>
  <c r="I278" i="42"/>
  <c r="I289" i="42" s="1"/>
  <c r="I31" i="42"/>
  <c r="J29" i="42"/>
  <c r="J39" i="42"/>
  <c r="J44" i="42" s="1"/>
  <c r="J288" i="42" s="1"/>
  <c r="K80" i="29"/>
  <c r="K79" i="29" s="1"/>
  <c r="H97" i="19"/>
  <c r="E267" i="46"/>
  <c r="AM111" i="36"/>
  <c r="AJ4" i="55"/>
  <c r="G229" i="53"/>
  <c r="G230" i="53" s="1"/>
  <c r="G233" i="53" s="1"/>
  <c r="G236" i="53" s="1"/>
  <c r="F267" i="46"/>
  <c r="L18" i="42"/>
  <c r="K24" i="42"/>
  <c r="K39" i="42" s="1"/>
  <c r="K24" i="38"/>
  <c r="K39" i="38" s="1"/>
  <c r="L18" i="38"/>
  <c r="E4" i="55"/>
  <c r="H269" i="46"/>
  <c r="F269" i="46"/>
  <c r="E269" i="46"/>
  <c r="H267" i="46"/>
  <c r="I133" i="20"/>
  <c r="I127" i="20"/>
  <c r="K29" i="29"/>
  <c r="K132" i="29" s="1"/>
  <c r="D265" i="48"/>
  <c r="H162" i="54"/>
  <c r="H229" i="54" s="1"/>
  <c r="H230" i="54" s="1"/>
  <c r="E185" i="28"/>
  <c r="E188" i="28" s="1"/>
  <c r="AM113" i="36"/>
  <c r="H96" i="19"/>
  <c r="H95" i="19" s="1"/>
  <c r="F268" i="46"/>
  <c r="K129" i="15"/>
  <c r="F90" i="20"/>
  <c r="F95" i="20" s="1"/>
  <c r="F87" i="19" s="1"/>
  <c r="C271" i="48"/>
  <c r="G124" i="12"/>
  <c r="G127" i="12" s="1"/>
  <c r="H101" i="19"/>
  <c r="D268" i="46"/>
  <c r="I37" i="45"/>
  <c r="H98" i="19"/>
  <c r="H100" i="19"/>
  <c r="I63" i="48"/>
  <c r="H268" i="46"/>
  <c r="N168" i="14"/>
  <c r="I139" i="48"/>
  <c r="I202" i="48"/>
  <c r="D69" i="15"/>
  <c r="D179" i="29"/>
  <c r="K19" i="45"/>
  <c r="K20" i="45"/>
  <c r="E259" i="53"/>
  <c r="F78" i="51" s="1"/>
  <c r="F77" i="51"/>
  <c r="F128" i="36"/>
  <c r="L75" i="15"/>
  <c r="F101" i="20"/>
  <c r="F93" i="19" s="1"/>
  <c r="F100" i="20"/>
  <c r="F88" i="19"/>
  <c r="F98" i="20"/>
  <c r="F97" i="20"/>
  <c r="G136" i="12"/>
  <c r="F99" i="20"/>
  <c r="C259" i="54"/>
  <c r="AJ78" i="51" s="1"/>
  <c r="AJ77" i="51"/>
  <c r="D77" i="51"/>
  <c r="C259" i="53"/>
  <c r="D78" i="51" s="1"/>
  <c r="AQ56" i="51"/>
  <c r="M27" i="54"/>
  <c r="M42" i="54" s="1"/>
  <c r="N21" i="54"/>
  <c r="L123" i="15"/>
  <c r="K36" i="28"/>
  <c r="K42" i="28" s="1"/>
  <c r="L43" i="15"/>
  <c r="AM108" i="45"/>
  <c r="M27" i="46"/>
  <c r="M42" i="46" s="1"/>
  <c r="N21" i="46"/>
  <c r="D152" i="14"/>
  <c r="J121" i="20"/>
  <c r="J125" i="20"/>
  <c r="J122" i="20"/>
  <c r="J124" i="20"/>
  <c r="J123" i="20"/>
  <c r="J120" i="20"/>
  <c r="K119" i="20"/>
  <c r="K135" i="53"/>
  <c r="L56" i="51"/>
  <c r="N17" i="16"/>
  <c r="G189" i="42"/>
  <c r="G193" i="42" s="1"/>
  <c r="G190" i="42"/>
  <c r="G194" i="42" s="1"/>
  <c r="G192" i="42"/>
  <c r="G191" i="42"/>
  <c r="G195" i="42" s="1"/>
  <c r="H206" i="53"/>
  <c r="H207" i="53" s="1"/>
  <c r="H229" i="53"/>
  <c r="H230" i="53" s="1"/>
  <c r="G173" i="19"/>
  <c r="D33" i="19"/>
  <c r="D34" i="19"/>
  <c r="K29" i="38"/>
  <c r="K360" i="48"/>
  <c r="J45" i="15"/>
  <c r="I74" i="29"/>
  <c r="J45" i="16" s="1"/>
  <c r="D152" i="12"/>
  <c r="AN85" i="36"/>
  <c r="AN86" i="36" s="1"/>
  <c r="AN89" i="36" s="1"/>
  <c r="H86" i="36"/>
  <c r="H89" i="36" s="1"/>
  <c r="H80" i="42"/>
  <c r="H84" i="42" s="1"/>
  <c r="H78" i="42"/>
  <c r="H82" i="42" s="1"/>
  <c r="H81" i="42"/>
  <c r="H79" i="42"/>
  <c r="H83" i="42" s="1"/>
  <c r="AO98" i="36"/>
  <c r="E308" i="38"/>
  <c r="E307" i="38"/>
  <c r="E309" i="38"/>
  <c r="E311" i="38"/>
  <c r="E306" i="38"/>
  <c r="E310" i="38"/>
  <c r="F84" i="20"/>
  <c r="AN37" i="45"/>
  <c r="J126" i="12"/>
  <c r="I145" i="20"/>
  <c r="G87" i="45"/>
  <c r="K29" i="53"/>
  <c r="H189" i="20"/>
  <c r="H151" i="19" s="1"/>
  <c r="H187" i="20"/>
  <c r="H149" i="19" s="1"/>
  <c r="H186" i="20"/>
  <c r="H148" i="19" s="1"/>
  <c r="H190" i="20"/>
  <c r="H152" i="19" s="1"/>
  <c r="H188" i="20"/>
  <c r="H150" i="19" s="1"/>
  <c r="I137" i="12"/>
  <c r="H147" i="19"/>
  <c r="I137" i="14" s="1"/>
  <c r="G71" i="38"/>
  <c r="G75" i="38" s="1"/>
  <c r="G70" i="38"/>
  <c r="G74" i="38" s="1"/>
  <c r="G72" i="38"/>
  <c r="G76" i="38" s="1"/>
  <c r="G73" i="38"/>
  <c r="H78" i="36" s="1"/>
  <c r="AM57" i="45"/>
  <c r="G24" i="19"/>
  <c r="H18" i="19"/>
  <c r="L28" i="28"/>
  <c r="L46" i="28" s="1"/>
  <c r="M22" i="28"/>
  <c r="C273" i="20"/>
  <c r="C272" i="20"/>
  <c r="M19" i="42"/>
  <c r="L25" i="42"/>
  <c r="L40" i="42" s="1"/>
  <c r="I72" i="51"/>
  <c r="I73" i="51" s="1"/>
  <c r="AO49" i="51"/>
  <c r="I51" i="51"/>
  <c r="P25" i="16"/>
  <c r="I143" i="29"/>
  <c r="I146" i="29"/>
  <c r="AL86" i="45"/>
  <c r="J208" i="53"/>
  <c r="J205" i="53"/>
  <c r="G300" i="38"/>
  <c r="G299" i="38"/>
  <c r="H136" i="15"/>
  <c r="AN70" i="51"/>
  <c r="E109" i="12"/>
  <c r="D81" i="19"/>
  <c r="E109" i="14" s="1"/>
  <c r="H152" i="38"/>
  <c r="H156" i="38" s="1"/>
  <c r="H151" i="38"/>
  <c r="H155" i="38" s="1"/>
  <c r="H154" i="38"/>
  <c r="I79" i="36" s="1"/>
  <c r="H153" i="38"/>
  <c r="H157" i="38" s="1"/>
  <c r="C189" i="29"/>
  <c r="D70" i="16" s="1"/>
  <c r="C187" i="29"/>
  <c r="I65" i="16"/>
  <c r="J66" i="53"/>
  <c r="J73" i="53" s="1"/>
  <c r="J74" i="53" s="1"/>
  <c r="J61" i="53"/>
  <c r="J67" i="53"/>
  <c r="J77" i="53" s="1"/>
  <c r="J78" i="53" s="1"/>
  <c r="K61" i="51" s="1"/>
  <c r="J62" i="53"/>
  <c r="J64" i="53"/>
  <c r="J71" i="53" s="1"/>
  <c r="J72" i="53" s="1"/>
  <c r="K57" i="51" s="1"/>
  <c r="J65" i="53"/>
  <c r="J75" i="53" s="1"/>
  <c r="K60" i="53"/>
  <c r="AL60" i="45"/>
  <c r="AL59" i="45"/>
  <c r="E37" i="48"/>
  <c r="J43" i="48" s="1"/>
  <c r="AL104" i="45"/>
  <c r="AL58" i="45"/>
  <c r="AL71" i="45" s="1"/>
  <c r="K44" i="42"/>
  <c r="K288" i="42" s="1"/>
  <c r="G209" i="46"/>
  <c r="G214" i="46" s="1"/>
  <c r="G208" i="46"/>
  <c r="G213" i="46" s="1"/>
  <c r="G210" i="46"/>
  <c r="G215" i="46" s="1"/>
  <c r="G211" i="46"/>
  <c r="H89" i="45" s="1"/>
  <c r="G206" i="48"/>
  <c r="G207" i="46"/>
  <c r="G212" i="46" s="1"/>
  <c r="H63" i="38"/>
  <c r="H69" i="38"/>
  <c r="AM34" i="45"/>
  <c r="L60" i="16"/>
  <c r="K40" i="29"/>
  <c r="L128" i="16"/>
  <c r="F148" i="48"/>
  <c r="F153" i="48" s="1"/>
  <c r="F146" i="48"/>
  <c r="F151" i="48" s="1"/>
  <c r="F145" i="48"/>
  <c r="F150" i="48" s="1"/>
  <c r="F149" i="48"/>
  <c r="F147" i="48"/>
  <c r="F152" i="48" s="1"/>
  <c r="D113" i="46"/>
  <c r="D118" i="46" s="1"/>
  <c r="D110" i="46"/>
  <c r="D115" i="46" s="1"/>
  <c r="D112" i="46"/>
  <c r="D117" i="46" s="1"/>
  <c r="D109" i="48"/>
  <c r="D111" i="46"/>
  <c r="D116" i="46" s="1"/>
  <c r="D114" i="46"/>
  <c r="E97" i="45" s="1"/>
  <c r="D274" i="46"/>
  <c r="AM67" i="45"/>
  <c r="L25" i="38"/>
  <c r="L40" i="38" s="1"/>
  <c r="M19" i="38"/>
  <c r="H203" i="46"/>
  <c r="H204" i="46"/>
  <c r="F290" i="42"/>
  <c r="F291" i="42" s="1"/>
  <c r="F313" i="42"/>
  <c r="F314" i="42" s="1"/>
  <c r="J258" i="46"/>
  <c r="J260" i="46" s="1"/>
  <c r="K257" i="46"/>
  <c r="I204" i="48"/>
  <c r="I203" i="48"/>
  <c r="L26" i="54"/>
  <c r="L41" i="54" s="1"/>
  <c r="L147" i="54" s="1"/>
  <c r="L148" i="54" s="1"/>
  <c r="M20" i="54"/>
  <c r="J31" i="29"/>
  <c r="J132" i="29"/>
  <c r="H129" i="42"/>
  <c r="H134" i="42"/>
  <c r="K29" i="54"/>
  <c r="E156" i="29"/>
  <c r="E155" i="29"/>
  <c r="E159" i="29" s="1"/>
  <c r="J47" i="28"/>
  <c r="J54" i="29"/>
  <c r="J51" i="29"/>
  <c r="J53" i="29"/>
  <c r="J52" i="29"/>
  <c r="J49" i="29" s="1"/>
  <c r="J50" i="29"/>
  <c r="E226" i="12"/>
  <c r="J21" i="45"/>
  <c r="M27" i="29"/>
  <c r="N21" i="29"/>
  <c r="J66" i="54"/>
  <c r="J73" i="54" s="1"/>
  <c r="J74" i="54" s="1"/>
  <c r="J62" i="54"/>
  <c r="J65" i="54"/>
  <c r="J75" i="54" s="1"/>
  <c r="J76" i="54" s="1"/>
  <c r="J64" i="54"/>
  <c r="J71" i="54" s="1"/>
  <c r="J72" i="54" s="1"/>
  <c r="J61" i="54"/>
  <c r="J67" i="54"/>
  <c r="J77" i="54" s="1"/>
  <c r="J78" i="54" s="1"/>
  <c r="K60" i="54"/>
  <c r="F217" i="54"/>
  <c r="F221" i="54" s="1"/>
  <c r="F218" i="54"/>
  <c r="I157" i="53"/>
  <c r="J66" i="51" s="1"/>
  <c r="L136" i="54"/>
  <c r="L137" i="54" s="1"/>
  <c r="L134" i="54"/>
  <c r="L135" i="54" s="1"/>
  <c r="L138" i="54"/>
  <c r="L139" i="54" s="1"/>
  <c r="L28" i="42"/>
  <c r="L43" i="42" s="1"/>
  <c r="M22" i="42"/>
  <c r="I207" i="28"/>
  <c r="I208" i="28"/>
  <c r="I156" i="28"/>
  <c r="F229" i="48"/>
  <c r="F234" i="48" s="1"/>
  <c r="F227" i="48"/>
  <c r="F232" i="48" s="1"/>
  <c r="F228" i="48"/>
  <c r="F233" i="48" s="1"/>
  <c r="F231" i="48"/>
  <c r="F230" i="48"/>
  <c r="F235" i="48" s="1"/>
  <c r="I134" i="20"/>
  <c r="I110" i="19" s="1"/>
  <c r="I137" i="20"/>
  <c r="I113" i="19" s="1"/>
  <c r="I136" i="20"/>
  <c r="I112" i="19" s="1"/>
  <c r="I138" i="20"/>
  <c r="I114" i="19" s="1"/>
  <c r="I135" i="20"/>
  <c r="I111" i="19" s="1"/>
  <c r="I109" i="19"/>
  <c r="J126" i="14" s="1"/>
  <c r="AR69" i="51"/>
  <c r="G140" i="16"/>
  <c r="G198" i="42"/>
  <c r="G202" i="42" s="1"/>
  <c r="G197" i="42"/>
  <c r="G201" i="42" s="1"/>
  <c r="G199" i="42"/>
  <c r="G203" i="42" s="1"/>
  <c r="G200" i="42"/>
  <c r="I70" i="51"/>
  <c r="AO66" i="51"/>
  <c r="L123" i="16"/>
  <c r="K36" i="29"/>
  <c r="K42" i="29" s="1"/>
  <c r="L43" i="16"/>
  <c r="H135" i="14"/>
  <c r="C282" i="20"/>
  <c r="C283" i="20"/>
  <c r="C281" i="20"/>
  <c r="C285" i="20"/>
  <c r="C286" i="20"/>
  <c r="C284" i="20"/>
  <c r="D85" i="19"/>
  <c r="E132" i="14" s="1"/>
  <c r="E132" i="12"/>
  <c r="Q7" i="16"/>
  <c r="Q8" i="16" s="1"/>
  <c r="R6" i="16"/>
  <c r="I28" i="19"/>
  <c r="I46" i="19" s="1"/>
  <c r="I167" i="19" s="1"/>
  <c r="I166" i="19" s="1"/>
  <c r="J22" i="19"/>
  <c r="L26" i="53"/>
  <c r="L41" i="53" s="1"/>
  <c r="L147" i="53" s="1"/>
  <c r="L148" i="53" s="1"/>
  <c r="M60" i="51" s="1"/>
  <c r="M20" i="53"/>
  <c r="AP69" i="45"/>
  <c r="I71" i="29"/>
  <c r="J48" i="16" s="1"/>
  <c r="J48" i="15"/>
  <c r="J205" i="54"/>
  <c r="J208" i="54"/>
  <c r="H104" i="42"/>
  <c r="H108" i="42" s="1"/>
  <c r="H103" i="42"/>
  <c r="H107" i="42" s="1"/>
  <c r="H105" i="42"/>
  <c r="H102" i="42"/>
  <c r="H106" i="42" s="1"/>
  <c r="I183" i="42"/>
  <c r="I182" i="42"/>
  <c r="J181" i="42"/>
  <c r="K61" i="16"/>
  <c r="J84" i="29"/>
  <c r="AP50" i="51"/>
  <c r="G80" i="36"/>
  <c r="G83" i="36" s="1"/>
  <c r="G115" i="36"/>
  <c r="G116" i="36" s="1"/>
  <c r="AM78" i="36"/>
  <c r="AN30" i="45"/>
  <c r="AQ17" i="45"/>
  <c r="AQ18" i="45" s="1"/>
  <c r="D97" i="14"/>
  <c r="D154" i="14"/>
  <c r="G243" i="38"/>
  <c r="G246" i="38"/>
  <c r="H102" i="36"/>
  <c r="F86" i="45"/>
  <c r="F72" i="45"/>
  <c r="F29" i="19"/>
  <c r="F42" i="19"/>
  <c r="F58" i="19" s="1"/>
  <c r="L61" i="15"/>
  <c r="K85" i="29"/>
  <c r="K360" i="46"/>
  <c r="F302" i="38"/>
  <c r="F301" i="38"/>
  <c r="F305" i="38" s="1"/>
  <c r="J292" i="38"/>
  <c r="AL87" i="45"/>
  <c r="AL73" i="45"/>
  <c r="K40" i="28"/>
  <c r="L128" i="15"/>
  <c r="L60" i="15"/>
  <c r="F280" i="42"/>
  <c r="F281" i="42" s="1"/>
  <c r="G247" i="42"/>
  <c r="D69" i="19"/>
  <c r="E99" i="14" s="1"/>
  <c r="E99" i="12"/>
  <c r="J28" i="20"/>
  <c r="J46" i="20" s="1"/>
  <c r="K22" i="20"/>
  <c r="J31" i="48"/>
  <c r="J306" i="48"/>
  <c r="G206" i="54"/>
  <c r="G207" i="54" s="1"/>
  <c r="G229" i="54"/>
  <c r="G230" i="54" s="1"/>
  <c r="K29" i="42"/>
  <c r="G217" i="46"/>
  <c r="G222" i="46" s="1"/>
  <c r="G218" i="46"/>
  <c r="G223" i="46" s="1"/>
  <c r="G216" i="48"/>
  <c r="G220" i="46"/>
  <c r="G225" i="46" s="1"/>
  <c r="G219" i="46"/>
  <c r="G224" i="46" s="1"/>
  <c r="G221" i="46"/>
  <c r="H99" i="45" s="1"/>
  <c r="H94" i="38"/>
  <c r="H98" i="38" s="1"/>
  <c r="H96" i="38"/>
  <c r="H100" i="38" s="1"/>
  <c r="H95" i="38"/>
  <c r="H99" i="38" s="1"/>
  <c r="H97" i="38"/>
  <c r="I108" i="36" s="1"/>
  <c r="AO108" i="36" s="1"/>
  <c r="D80" i="46"/>
  <c r="D85" i="46" s="1"/>
  <c r="D83" i="46"/>
  <c r="D88" i="46" s="1"/>
  <c r="D81" i="46"/>
  <c r="D86" i="46" s="1"/>
  <c r="D82" i="46"/>
  <c r="D87" i="46" s="1"/>
  <c r="D79" i="48"/>
  <c r="D84" i="46"/>
  <c r="E90" i="45" s="1"/>
  <c r="H213" i="54"/>
  <c r="H214" i="54"/>
  <c r="F144" i="29"/>
  <c r="F145" i="29" s="1"/>
  <c r="F167" i="29"/>
  <c r="F168" i="29" s="1"/>
  <c r="D232" i="12"/>
  <c r="M27" i="48"/>
  <c r="M42" i="48" s="1"/>
  <c r="N21" i="48"/>
  <c r="E317" i="42"/>
  <c r="E320" i="42" s="1"/>
  <c r="E316" i="42"/>
  <c r="H139" i="46"/>
  <c r="H144" i="46"/>
  <c r="F127" i="12"/>
  <c r="I264" i="46"/>
  <c r="I269" i="46" s="1"/>
  <c r="I263" i="46"/>
  <c r="I268" i="46" s="1"/>
  <c r="I262" i="46"/>
  <c r="I267" i="46" s="1"/>
  <c r="I261" i="46"/>
  <c r="I266" i="46" s="1"/>
  <c r="I265" i="46"/>
  <c r="J105" i="45" s="1"/>
  <c r="I260" i="48"/>
  <c r="L25" i="29"/>
  <c r="L43" i="29" s="1"/>
  <c r="M19" i="29"/>
  <c r="E265" i="48"/>
  <c r="I33" i="28"/>
  <c r="I34" i="28"/>
  <c r="AK128" i="36"/>
  <c r="E55" i="19"/>
  <c r="J65" i="48"/>
  <c r="J67" i="48"/>
  <c r="J66" i="48"/>
  <c r="J61" i="48"/>
  <c r="J62" i="48"/>
  <c r="J64" i="48"/>
  <c r="K60" i="48"/>
  <c r="AM89" i="45"/>
  <c r="H132" i="42"/>
  <c r="H158" i="42" s="1"/>
  <c r="H131" i="42"/>
  <c r="H150" i="42" s="1"/>
  <c r="H130" i="42"/>
  <c r="H142" i="42" s="1"/>
  <c r="D269" i="46"/>
  <c r="E196" i="54"/>
  <c r="E197" i="54" s="1"/>
  <c r="F163" i="54"/>
  <c r="G105" i="36"/>
  <c r="G103" i="36"/>
  <c r="G117" i="36" s="1"/>
  <c r="G123" i="36" s="1"/>
  <c r="M24" i="54"/>
  <c r="N18" i="54"/>
  <c r="G158" i="28"/>
  <c r="G159" i="28" s="1"/>
  <c r="G181" i="28"/>
  <c r="G182" i="28" s="1"/>
  <c r="L131" i="15"/>
  <c r="N34" i="15"/>
  <c r="N33" i="15"/>
  <c r="AP54" i="51"/>
  <c r="E227" i="12"/>
  <c r="D318" i="42"/>
  <c r="D319" i="42" s="1"/>
  <c r="D321" i="42" s="1"/>
  <c r="AN23" i="45"/>
  <c r="I131" i="20"/>
  <c r="I107" i="19" s="1"/>
  <c r="I129" i="20"/>
  <c r="I105" i="19" s="1"/>
  <c r="I132" i="20"/>
  <c r="I108" i="19" s="1"/>
  <c r="J103" i="12"/>
  <c r="I128" i="20"/>
  <c r="I104" i="19" s="1"/>
  <c r="I130" i="20"/>
  <c r="I103" i="19"/>
  <c r="J103" i="14" s="1"/>
  <c r="M35" i="15"/>
  <c r="E128" i="12"/>
  <c r="D83" i="19"/>
  <c r="E128" i="14" s="1"/>
  <c r="D188" i="28"/>
  <c r="D258" i="54"/>
  <c r="D241" i="54"/>
  <c r="D242" i="54" s="1"/>
  <c r="AR60" i="51"/>
  <c r="G145" i="46"/>
  <c r="G150" i="46" s="1"/>
  <c r="G147" i="46"/>
  <c r="G152" i="46" s="1"/>
  <c r="G148" i="46"/>
  <c r="G153" i="46" s="1"/>
  <c r="G146" i="46"/>
  <c r="G151" i="46" s="1"/>
  <c r="G149" i="46"/>
  <c r="H83" i="45" s="1"/>
  <c r="G144" i="48"/>
  <c r="AO21" i="45"/>
  <c r="H139" i="16"/>
  <c r="H196" i="42"/>
  <c r="H184" i="42"/>
  <c r="H188" i="42"/>
  <c r="H204" i="42"/>
  <c r="M39" i="16"/>
  <c r="M13" i="16"/>
  <c r="AP68" i="51"/>
  <c r="AN55" i="45"/>
  <c r="AN56" i="45"/>
  <c r="H157" i="28"/>
  <c r="H160" i="28"/>
  <c r="G85" i="45"/>
  <c r="D154" i="12"/>
  <c r="D97" i="12"/>
  <c r="AL70" i="45"/>
  <c r="F233" i="54"/>
  <c r="F236" i="54" s="1"/>
  <c r="F232" i="54"/>
  <c r="K29" i="46"/>
  <c r="AN102" i="36"/>
  <c r="H298" i="42"/>
  <c r="H297" i="42"/>
  <c r="F78" i="20"/>
  <c r="AK84" i="45"/>
  <c r="D98" i="14"/>
  <c r="D153" i="14"/>
  <c r="M35" i="16"/>
  <c r="E152" i="28"/>
  <c r="E150" i="28"/>
  <c r="E154" i="28"/>
  <c r="E155" i="28"/>
  <c r="E153" i="28"/>
  <c r="E151" i="28"/>
  <c r="J26" i="20"/>
  <c r="J44" i="20" s="1"/>
  <c r="K20" i="20"/>
  <c r="E285" i="42"/>
  <c r="E287" i="42"/>
  <c r="E282" i="42"/>
  <c r="E286" i="42"/>
  <c r="E284" i="42"/>
  <c r="E283" i="42"/>
  <c r="D67" i="19"/>
  <c r="E100" i="14" s="1"/>
  <c r="E100" i="12"/>
  <c r="I64" i="20"/>
  <c r="I65" i="20"/>
  <c r="J63" i="20"/>
  <c r="G157" i="29"/>
  <c r="G169" i="29" s="1"/>
  <c r="G158" i="29"/>
  <c r="I76" i="53"/>
  <c r="J67" i="51"/>
  <c r="C180" i="19"/>
  <c r="C223" i="19"/>
  <c r="C224" i="19" s="1"/>
  <c r="C246" i="19"/>
  <c r="C247" i="19" s="1"/>
  <c r="G227" i="46"/>
  <c r="G232" i="46" s="1"/>
  <c r="G229" i="46"/>
  <c r="G234" i="46" s="1"/>
  <c r="G231" i="46"/>
  <c r="H108" i="45" s="1"/>
  <c r="G230" i="46"/>
  <c r="G235" i="46" s="1"/>
  <c r="G228" i="46"/>
  <c r="G233" i="46" s="1"/>
  <c r="G226" i="48"/>
  <c r="H88" i="38"/>
  <c r="H92" i="38" s="1"/>
  <c r="H86" i="38"/>
  <c r="H90" i="38" s="1"/>
  <c r="H89" i="38"/>
  <c r="H87" i="38"/>
  <c r="H91" i="38" s="1"/>
  <c r="K332" i="42"/>
  <c r="D271" i="46"/>
  <c r="H220" i="54"/>
  <c r="H219" i="54"/>
  <c r="H231" i="54" s="1"/>
  <c r="AM107" i="45"/>
  <c r="I33" i="45"/>
  <c r="E134" i="29"/>
  <c r="E135" i="29" s="1"/>
  <c r="F101" i="29"/>
  <c r="E311" i="42"/>
  <c r="E308" i="42"/>
  <c r="E310" i="42"/>
  <c r="E309" i="42"/>
  <c r="E307" i="42"/>
  <c r="E306" i="42"/>
  <c r="H141" i="46"/>
  <c r="H164" i="46" s="1"/>
  <c r="H142" i="46"/>
  <c r="H174" i="46" s="1"/>
  <c r="H140" i="46"/>
  <c r="H154" i="46" s="1"/>
  <c r="L28" i="53"/>
  <c r="L43" i="53" s="1"/>
  <c r="M22" i="53"/>
  <c r="J258" i="48"/>
  <c r="K257" i="48"/>
  <c r="F174" i="28"/>
  <c r="F178" i="28"/>
  <c r="F177" i="28"/>
  <c r="F179" i="28"/>
  <c r="F176" i="28"/>
  <c r="F175" i="28"/>
  <c r="L28" i="48"/>
  <c r="M22" i="48"/>
  <c r="F95" i="12"/>
  <c r="F147" i="12"/>
  <c r="E54" i="19"/>
  <c r="J128" i="38"/>
  <c r="J183" i="38"/>
  <c r="J127" i="38"/>
  <c r="K126" i="38"/>
  <c r="J182" i="38"/>
  <c r="I241" i="46"/>
  <c r="I243" i="46" s="1"/>
  <c r="J240" i="46"/>
  <c r="F207" i="48"/>
  <c r="F212" i="48" s="1"/>
  <c r="F210" i="48"/>
  <c r="F215" i="48" s="1"/>
  <c r="F208" i="48"/>
  <c r="F213" i="48" s="1"/>
  <c r="F209" i="48"/>
  <c r="F214" i="48" s="1"/>
  <c r="F211" i="48"/>
  <c r="G70" i="42"/>
  <c r="G74" i="42" s="1"/>
  <c r="G71" i="42"/>
  <c r="G75" i="42" s="1"/>
  <c r="G72" i="42"/>
  <c r="G76" i="42" s="1"/>
  <c r="G73" i="42"/>
  <c r="E171" i="29"/>
  <c r="E174" i="29" s="1"/>
  <c r="E170" i="29"/>
  <c r="F233" i="53"/>
  <c r="F236" i="53" s="1"/>
  <c r="F232" i="53"/>
  <c r="D202" i="54"/>
  <c r="D200" i="54"/>
  <c r="D198" i="54"/>
  <c r="D199" i="54"/>
  <c r="D201" i="54"/>
  <c r="D203" i="54"/>
  <c r="L39" i="54"/>
  <c r="H130" i="19"/>
  <c r="G88" i="29"/>
  <c r="G100" i="29"/>
  <c r="M27" i="28"/>
  <c r="N21" i="28"/>
  <c r="I63" i="54"/>
  <c r="I159" i="54" s="1"/>
  <c r="I69" i="54"/>
  <c r="I70" i="54" s="1"/>
  <c r="J66" i="46"/>
  <c r="J89" i="46" s="1"/>
  <c r="J67" i="46"/>
  <c r="J62" i="46"/>
  <c r="J64" i="46"/>
  <c r="J65" i="46"/>
  <c r="J61" i="46"/>
  <c r="K60" i="46"/>
  <c r="G138" i="19"/>
  <c r="J94" i="12"/>
  <c r="I139" i="20"/>
  <c r="N34" i="16"/>
  <c r="N33" i="16"/>
  <c r="G299" i="42"/>
  <c r="G300" i="42"/>
  <c r="F165" i="28"/>
  <c r="F166" i="28"/>
  <c r="D86" i="19"/>
  <c r="E133" i="14" s="1"/>
  <c r="E133" i="12"/>
  <c r="AO64" i="51"/>
  <c r="H63" i="42"/>
  <c r="H69" i="42"/>
  <c r="D242" i="53"/>
  <c r="D251" i="53" s="1"/>
  <c r="E75" i="51" s="1"/>
  <c r="H185" i="42"/>
  <c r="H186" i="42"/>
  <c r="H212" i="20"/>
  <c r="H170" i="19" s="1"/>
  <c r="H214" i="20"/>
  <c r="H172" i="19" s="1"/>
  <c r="H213" i="20"/>
  <c r="H171" i="19" s="1"/>
  <c r="H216" i="20"/>
  <c r="H174" i="19" s="1"/>
  <c r="I135" i="12"/>
  <c r="H169" i="19"/>
  <c r="H215" i="20"/>
  <c r="K75" i="16"/>
  <c r="K76" i="16"/>
  <c r="K69" i="45"/>
  <c r="L26" i="29"/>
  <c r="L44" i="29" s="1"/>
  <c r="M20" i="29"/>
  <c r="F280" i="38"/>
  <c r="F281" i="38" s="1"/>
  <c r="G247" i="38"/>
  <c r="F222" i="54"/>
  <c r="F227" i="54"/>
  <c r="F224" i="54"/>
  <c r="F223" i="54"/>
  <c r="F226" i="54"/>
  <c r="F225" i="54"/>
  <c r="F136" i="12"/>
  <c r="E97" i="20"/>
  <c r="E101" i="20"/>
  <c r="E93" i="19" s="1"/>
  <c r="E100" i="20"/>
  <c r="E99" i="20"/>
  <c r="E88" i="19"/>
  <c r="E98" i="20"/>
  <c r="E220" i="20"/>
  <c r="G164" i="28"/>
  <c r="G161" i="28"/>
  <c r="G162" i="28"/>
  <c r="G163" i="28"/>
  <c r="C278" i="20"/>
  <c r="C290" i="20" s="1"/>
  <c r="C291" i="20" s="1"/>
  <c r="C292" i="20" s="1"/>
  <c r="C279" i="20"/>
  <c r="AK86" i="45"/>
  <c r="AK72" i="45"/>
  <c r="H213" i="53"/>
  <c r="H214" i="53"/>
  <c r="D98" i="12"/>
  <c r="D153" i="12"/>
  <c r="C203" i="28"/>
  <c r="D70" i="15" s="1"/>
  <c r="F148" i="28"/>
  <c r="F149" i="28" s="1"/>
  <c r="G214" i="28"/>
  <c r="D271" i="20"/>
  <c r="D269" i="20"/>
  <c r="D268" i="20"/>
  <c r="D270" i="20"/>
  <c r="E147" i="14"/>
  <c r="E95" i="14"/>
  <c r="AM77" i="45"/>
  <c r="H67" i="20"/>
  <c r="H70" i="20"/>
  <c r="H68" i="20"/>
  <c r="H69" i="20"/>
  <c r="I217" i="42"/>
  <c r="I219" i="42" s="1"/>
  <c r="J216" i="42"/>
  <c r="E105" i="14"/>
  <c r="AP57" i="51"/>
  <c r="J265" i="19"/>
  <c r="K307" i="20"/>
  <c r="D147" i="14"/>
  <c r="D95" i="14"/>
  <c r="D44" i="48"/>
  <c r="D316" i="48" s="1"/>
  <c r="G141" i="15"/>
  <c r="G142" i="15" s="1"/>
  <c r="F301" i="42"/>
  <c r="F305" i="42" s="1"/>
  <c r="F302" i="42"/>
  <c r="H135" i="16"/>
  <c r="C320" i="48"/>
  <c r="C317" i="48"/>
  <c r="E61" i="19"/>
  <c r="AJ111" i="45"/>
  <c r="AJ112" i="45"/>
  <c r="D111" i="45"/>
  <c r="AJ110" i="45"/>
  <c r="D110" i="45"/>
  <c r="D112" i="45"/>
  <c r="D136" i="29"/>
  <c r="D138" i="29"/>
  <c r="D137" i="29"/>
  <c r="D139" i="29"/>
  <c r="D141" i="29"/>
  <c r="D140" i="29"/>
  <c r="G153" i="42"/>
  <c r="G157" i="42" s="1"/>
  <c r="G151" i="42"/>
  <c r="G155" i="42" s="1"/>
  <c r="G152" i="42"/>
  <c r="G156" i="42" s="1"/>
  <c r="G154" i="42"/>
  <c r="I66" i="15"/>
  <c r="E79" i="46"/>
  <c r="E44" i="46"/>
  <c r="E316" i="46" s="1"/>
  <c r="E69" i="46"/>
  <c r="E99" i="46"/>
  <c r="E109" i="46"/>
  <c r="H134" i="20"/>
  <c r="H110" i="19" s="1"/>
  <c r="H135" i="20"/>
  <c r="H111" i="19" s="1"/>
  <c r="H137" i="20"/>
  <c r="H113" i="19" s="1"/>
  <c r="H138" i="20"/>
  <c r="H114" i="19" s="1"/>
  <c r="H136" i="20"/>
  <c r="H112" i="19" s="1"/>
  <c r="H109" i="19"/>
  <c r="I126" i="14" s="1"/>
  <c r="AM98" i="45"/>
  <c r="AO107" i="36"/>
  <c r="AJ73" i="51"/>
  <c r="E229" i="12"/>
  <c r="J58" i="51"/>
  <c r="E57" i="19"/>
  <c r="I185" i="38"/>
  <c r="I186" i="38"/>
  <c r="H246" i="46"/>
  <c r="H251" i="46" s="1"/>
  <c r="H244" i="46"/>
  <c r="H249" i="46" s="1"/>
  <c r="H245" i="46"/>
  <c r="H250" i="46" s="1"/>
  <c r="H247" i="46"/>
  <c r="H252" i="46" s="1"/>
  <c r="H243" i="48"/>
  <c r="H248" i="46"/>
  <c r="I96" i="45" s="1"/>
  <c r="I67" i="16"/>
  <c r="I46" i="16"/>
  <c r="K29" i="28"/>
  <c r="AM105" i="36"/>
  <c r="AM103" i="36"/>
  <c r="E251" i="53"/>
  <c r="F75" i="51" s="1"/>
  <c r="E249" i="53"/>
  <c r="G243" i="42"/>
  <c r="G246" i="42"/>
  <c r="H129" i="20"/>
  <c r="H105" i="19" s="1"/>
  <c r="H131" i="20"/>
  <c r="H107" i="19" s="1"/>
  <c r="H132" i="20"/>
  <c r="H108" i="19" s="1"/>
  <c r="H128" i="20"/>
  <c r="H104" i="19" s="1"/>
  <c r="H103" i="19"/>
  <c r="I103" i="14" s="1"/>
  <c r="H130" i="20"/>
  <c r="I103" i="12"/>
  <c r="H303" i="38"/>
  <c r="H315" i="38" s="1"/>
  <c r="H304" i="38"/>
  <c r="E160" i="29"/>
  <c r="E165" i="29"/>
  <c r="E161" i="29"/>
  <c r="E164" i="29"/>
  <c r="E163" i="29"/>
  <c r="E162" i="29"/>
  <c r="F222" i="53"/>
  <c r="F227" i="53"/>
  <c r="F223" i="53"/>
  <c r="F226" i="53"/>
  <c r="F225" i="53"/>
  <c r="F224" i="53"/>
  <c r="J61" i="28"/>
  <c r="J57" i="29" s="1"/>
  <c r="J63" i="28"/>
  <c r="J60" i="28"/>
  <c r="J64" i="28"/>
  <c r="K59" i="28"/>
  <c r="H150" i="29"/>
  <c r="H147" i="29"/>
  <c r="H148" i="29"/>
  <c r="H149" i="29"/>
  <c r="E231" i="12"/>
  <c r="I49" i="16"/>
  <c r="H92" i="48"/>
  <c r="H97" i="48" s="1"/>
  <c r="H93" i="48"/>
  <c r="H98" i="48" s="1"/>
  <c r="H90" i="48"/>
  <c r="H95" i="48" s="1"/>
  <c r="H91" i="48"/>
  <c r="H94" i="48"/>
  <c r="H132" i="19"/>
  <c r="N74" i="15"/>
  <c r="O16" i="15"/>
  <c r="O19" i="15"/>
  <c r="O18" i="15"/>
  <c r="O15" i="15"/>
  <c r="P14" i="15"/>
  <c r="O32" i="15"/>
  <c r="L26" i="48"/>
  <c r="L41" i="48" s="1"/>
  <c r="M20" i="48"/>
  <c r="E83" i="20"/>
  <c r="E75" i="19" s="1"/>
  <c r="E82" i="20"/>
  <c r="F114" i="12"/>
  <c r="E70" i="19"/>
  <c r="F114" i="14" s="1"/>
  <c r="E79" i="20"/>
  <c r="E80" i="20"/>
  <c r="E81" i="20"/>
  <c r="G29" i="20"/>
  <c r="G42" i="20"/>
  <c r="G96" i="20" s="1"/>
  <c r="I92" i="46"/>
  <c r="I97" i="46" s="1"/>
  <c r="I90" i="46"/>
  <c r="I95" i="46" s="1"/>
  <c r="I91" i="46"/>
  <c r="I94" i="46"/>
  <c r="I93" i="46"/>
  <c r="I98" i="46" s="1"/>
  <c r="I89" i="48"/>
  <c r="D320" i="42"/>
  <c r="J27" i="20"/>
  <c r="J45" i="20" s="1"/>
  <c r="K21" i="20"/>
  <c r="I23" i="45"/>
  <c r="O16" i="16"/>
  <c r="O15" i="16"/>
  <c r="O19" i="16"/>
  <c r="O18" i="16"/>
  <c r="P14" i="16"/>
  <c r="O32" i="16"/>
  <c r="O74" i="16"/>
  <c r="I26" i="19"/>
  <c r="I44" i="19" s="1"/>
  <c r="I155" i="19" s="1"/>
  <c r="I154" i="19" s="1"/>
  <c r="J20" i="19"/>
  <c r="L26" i="46"/>
  <c r="L41" i="46" s="1"/>
  <c r="M20" i="46"/>
  <c r="G201" i="20"/>
  <c r="G162" i="19" s="1"/>
  <c r="G200" i="20"/>
  <c r="G161" i="19" s="1"/>
  <c r="G199" i="20"/>
  <c r="G160" i="19" s="1"/>
  <c r="G203" i="20"/>
  <c r="G164" i="19" s="1"/>
  <c r="G159" i="19"/>
  <c r="H123" i="14" s="1"/>
  <c r="G202" i="20"/>
  <c r="E124" i="14"/>
  <c r="D179" i="19"/>
  <c r="P41" i="16"/>
  <c r="L25" i="54"/>
  <c r="L40" i="54" s="1"/>
  <c r="M19" i="54"/>
  <c r="I35" i="46"/>
  <c r="J43" i="45"/>
  <c r="J42" i="45"/>
  <c r="J44" i="45"/>
  <c r="J95" i="45"/>
  <c r="E142" i="14"/>
  <c r="L28" i="46"/>
  <c r="M22" i="46"/>
  <c r="D259" i="53"/>
  <c r="E78" i="51" s="1"/>
  <c r="E77" i="51"/>
  <c r="I232" i="42"/>
  <c r="I234" i="42" s="1"/>
  <c r="J231" i="42"/>
  <c r="E47" i="19"/>
  <c r="E60" i="19"/>
  <c r="I209" i="20"/>
  <c r="I211" i="20" s="1"/>
  <c r="J208" i="20"/>
  <c r="K129" i="16"/>
  <c r="K131" i="16"/>
  <c r="F59" i="19"/>
  <c r="E287" i="38"/>
  <c r="E283" i="38"/>
  <c r="E285" i="38"/>
  <c r="E284" i="38"/>
  <c r="E286" i="38"/>
  <c r="E282" i="38"/>
  <c r="F153" i="29"/>
  <c r="F154" i="29"/>
  <c r="O9" i="15"/>
  <c r="O10" i="15" s="1"/>
  <c r="H139" i="15"/>
  <c r="E59" i="19"/>
  <c r="F33" i="46"/>
  <c r="F39" i="46" s="1"/>
  <c r="G75" i="45"/>
  <c r="AK71" i="45"/>
  <c r="AK85" i="45"/>
  <c r="M27" i="42"/>
  <c r="M42" i="42" s="1"/>
  <c r="N21" i="42"/>
  <c r="I296" i="42"/>
  <c r="I294" i="42"/>
  <c r="I293" i="42"/>
  <c r="I295" i="42"/>
  <c r="Q7" i="15"/>
  <c r="R6" i="15"/>
  <c r="G215" i="54"/>
  <c r="G216" i="54"/>
  <c r="E101" i="12"/>
  <c r="D68" i="19"/>
  <c r="E101" i="14" s="1"/>
  <c r="F165" i="48"/>
  <c r="F170" i="48" s="1"/>
  <c r="F167" i="48"/>
  <c r="F172" i="48" s="1"/>
  <c r="F168" i="48"/>
  <c r="F173" i="48" s="1"/>
  <c r="F169" i="48"/>
  <c r="F166" i="48"/>
  <c r="F171" i="48" s="1"/>
  <c r="H66" i="20"/>
  <c r="E118" i="12"/>
  <c r="H222" i="42"/>
  <c r="H226" i="42" s="1"/>
  <c r="H220" i="42"/>
  <c r="H224" i="42" s="1"/>
  <c r="H223" i="42"/>
  <c r="H221" i="42"/>
  <c r="H225" i="42" s="1"/>
  <c r="D79" i="19"/>
  <c r="E110" i="14" s="1"/>
  <c r="E110" i="12"/>
  <c r="H24" i="45"/>
  <c r="H82" i="45"/>
  <c r="H26" i="45"/>
  <c r="G34" i="46"/>
  <c r="H25" i="45"/>
  <c r="K332" i="38"/>
  <c r="I62" i="38"/>
  <c r="I67" i="38"/>
  <c r="I101" i="38" s="1"/>
  <c r="I65" i="38"/>
  <c r="I93" i="38" s="1"/>
  <c r="I61" i="38"/>
  <c r="I64" i="38"/>
  <c r="I77" i="38" s="1"/>
  <c r="I66" i="38"/>
  <c r="I85" i="38" s="1"/>
  <c r="J60" i="38"/>
  <c r="L37" i="28"/>
  <c r="M125" i="15"/>
  <c r="M47" i="15"/>
  <c r="M24" i="48"/>
  <c r="N18" i="48"/>
  <c r="M40" i="15"/>
  <c r="F176" i="48"/>
  <c r="F181" i="48" s="1"/>
  <c r="F175" i="48"/>
  <c r="F180" i="48" s="1"/>
  <c r="F178" i="48"/>
  <c r="F183" i="48" s="1"/>
  <c r="F179" i="48"/>
  <c r="F177" i="48"/>
  <c r="F182" i="48" s="1"/>
  <c r="D169" i="12"/>
  <c r="AO28" i="45"/>
  <c r="AO32" i="45"/>
  <c r="AO31" i="45"/>
  <c r="AO37" i="45" s="1"/>
  <c r="AO29" i="45"/>
  <c r="AO54" i="45"/>
  <c r="H193" i="29"/>
  <c r="H194" i="29"/>
  <c r="L25" i="53"/>
  <c r="L40" i="53" s="1"/>
  <c r="M19" i="53"/>
  <c r="G160" i="42"/>
  <c r="G164" i="42" s="1"/>
  <c r="G161" i="42"/>
  <c r="G165" i="42" s="1"/>
  <c r="G162" i="42"/>
  <c r="G159" i="42"/>
  <c r="G163" i="42" s="1"/>
  <c r="I66" i="16"/>
  <c r="M27" i="38"/>
  <c r="M42" i="38" s="1"/>
  <c r="N21" i="38"/>
  <c r="E58" i="19"/>
  <c r="E51" i="19"/>
  <c r="I129" i="38"/>
  <c r="I134" i="38"/>
  <c r="J200" i="48"/>
  <c r="J138" i="48"/>
  <c r="J201" i="48"/>
  <c r="J137" i="48"/>
  <c r="K136" i="48"/>
  <c r="I67" i="15"/>
  <c r="I46" i="15"/>
  <c r="AO58" i="51"/>
  <c r="J292" i="42"/>
  <c r="J232" i="38"/>
  <c r="J234" i="38" s="1"/>
  <c r="K231" i="38"/>
  <c r="F163" i="19"/>
  <c r="I210" i="54"/>
  <c r="I209" i="54"/>
  <c r="I212" i="54"/>
  <c r="I211" i="54"/>
  <c r="D255" i="20"/>
  <c r="D256" i="20" s="1"/>
  <c r="E222" i="20"/>
  <c r="J62" i="15"/>
  <c r="I59" i="29"/>
  <c r="J62" i="16" s="1"/>
  <c r="AM99" i="45"/>
  <c r="I49" i="15"/>
  <c r="H140" i="20"/>
  <c r="H116" i="19" s="1"/>
  <c r="H144" i="20"/>
  <c r="H120" i="19" s="1"/>
  <c r="H141" i="20"/>
  <c r="H117" i="19" s="1"/>
  <c r="H142" i="20"/>
  <c r="H118" i="19" s="1"/>
  <c r="H143" i="20"/>
  <c r="H119" i="19" s="1"/>
  <c r="H115" i="19"/>
  <c r="I94" i="14" s="1"/>
  <c r="J108" i="28"/>
  <c r="K107" i="28"/>
  <c r="C229" i="19"/>
  <c r="C227" i="19"/>
  <c r="C226" i="19"/>
  <c r="C228" i="19"/>
  <c r="H34" i="45"/>
  <c r="H24" i="20"/>
  <c r="I18" i="20"/>
  <c r="L26" i="28"/>
  <c r="L44" i="28" s="1"/>
  <c r="M20" i="28"/>
  <c r="O124" i="16"/>
  <c r="N38" i="29"/>
  <c r="O54" i="16"/>
  <c r="J125" i="12"/>
  <c r="F217" i="53"/>
  <c r="F221" i="53" s="1"/>
  <c r="F218" i="53"/>
  <c r="J154" i="54"/>
  <c r="J156" i="54" s="1"/>
  <c r="K153" i="54"/>
  <c r="D84" i="19"/>
  <c r="E131" i="14" s="1"/>
  <c r="E131" i="12"/>
  <c r="P9" i="16"/>
  <c r="K106" i="54"/>
  <c r="K107" i="54" s="1"/>
  <c r="K110" i="54"/>
  <c r="K111" i="54" s="1"/>
  <c r="K104" i="54"/>
  <c r="K105" i="54" s="1"/>
  <c r="K108" i="54"/>
  <c r="K109" i="54" s="1"/>
  <c r="F47" i="20"/>
  <c r="F218" i="20" s="1"/>
  <c r="F221" i="20"/>
  <c r="F72" i="20"/>
  <c r="G93" i="12"/>
  <c r="E142" i="12"/>
  <c r="J83" i="28"/>
  <c r="J70" i="29" s="1"/>
  <c r="J85" i="28"/>
  <c r="J72" i="29" s="1"/>
  <c r="J88" i="28"/>
  <c r="J86" i="28"/>
  <c r="J87" i="28"/>
  <c r="J84" i="28"/>
  <c r="K82" i="28"/>
  <c r="I61" i="42"/>
  <c r="I64" i="42"/>
  <c r="I77" i="42" s="1"/>
  <c r="I67" i="42"/>
  <c r="I101" i="42" s="1"/>
  <c r="I62" i="42"/>
  <c r="I65" i="42"/>
  <c r="I93" i="42" s="1"/>
  <c r="I66" i="42"/>
  <c r="I85" i="42" s="1"/>
  <c r="J60" i="42"/>
  <c r="C335" i="38"/>
  <c r="D121" i="36" s="1"/>
  <c r="AJ121" i="36" s="1"/>
  <c r="C333" i="38"/>
  <c r="H235" i="42"/>
  <c r="H239" i="42" s="1"/>
  <c r="H237" i="42"/>
  <c r="H241" i="42" s="1"/>
  <c r="H236" i="42"/>
  <c r="H240" i="42" s="1"/>
  <c r="H238" i="42"/>
  <c r="E211" i="19"/>
  <c r="E31" i="19"/>
  <c r="I196" i="20"/>
  <c r="J195" i="20"/>
  <c r="AK105" i="45"/>
  <c r="H93" i="36"/>
  <c r="H96" i="36" s="1"/>
  <c r="AN91" i="36"/>
  <c r="AN93" i="36" s="1"/>
  <c r="AN96" i="36" s="1"/>
  <c r="L40" i="45"/>
  <c r="L39" i="45"/>
  <c r="AR38" i="45"/>
  <c r="M38" i="45"/>
  <c r="G216" i="53"/>
  <c r="G215" i="53"/>
  <c r="J31" i="38"/>
  <c r="J278" i="38"/>
  <c r="I169" i="20"/>
  <c r="I168" i="20"/>
  <c r="I171" i="20"/>
  <c r="I185" i="20" s="1"/>
  <c r="I170" i="20"/>
  <c r="I179" i="20" s="1"/>
  <c r="J166" i="20"/>
  <c r="I167" i="20"/>
  <c r="I173" i="20" s="1"/>
  <c r="G155" i="46"/>
  <c r="G160" i="46" s="1"/>
  <c r="G156" i="46"/>
  <c r="G161" i="46" s="1"/>
  <c r="G154" i="48"/>
  <c r="G157" i="46"/>
  <c r="G162" i="46" s="1"/>
  <c r="G158" i="46"/>
  <c r="G163" i="46" s="1"/>
  <c r="G159" i="46"/>
  <c r="H98" i="45" s="1"/>
  <c r="I25" i="19"/>
  <c r="I43" i="19" s="1"/>
  <c r="I98" i="19" s="1"/>
  <c r="J19" i="19"/>
  <c r="F84" i="45"/>
  <c r="L28" i="54"/>
  <c r="L43" i="54" s="1"/>
  <c r="M22" i="54"/>
  <c r="G225" i="53"/>
  <c r="G222" i="53"/>
  <c r="G227" i="53"/>
  <c r="G223" i="53"/>
  <c r="G226" i="53"/>
  <c r="G224" i="53"/>
  <c r="H303" i="42"/>
  <c r="H315" i="42" s="1"/>
  <c r="H304" i="42"/>
  <c r="M24" i="29"/>
  <c r="N18" i="29"/>
  <c r="H73" i="51"/>
  <c r="AK73" i="45"/>
  <c r="AK87" i="45"/>
  <c r="L39" i="53"/>
  <c r="E96" i="12"/>
  <c r="D65" i="19"/>
  <c r="E96" i="14" s="1"/>
  <c r="I295" i="38"/>
  <c r="I296" i="38"/>
  <c r="I293" i="38"/>
  <c r="I294" i="38"/>
  <c r="E118" i="14"/>
  <c r="L25" i="48"/>
  <c r="L40" i="48" s="1"/>
  <c r="M19" i="48"/>
  <c r="E106" i="12"/>
  <c r="D77" i="19"/>
  <c r="E106" i="14" s="1"/>
  <c r="K50" i="51"/>
  <c r="K68" i="51"/>
  <c r="AP61" i="51"/>
  <c r="J64" i="51"/>
  <c r="H67" i="45"/>
  <c r="M39" i="15"/>
  <c r="D100" i="46"/>
  <c r="D105" i="46" s="1"/>
  <c r="D101" i="46"/>
  <c r="D106" i="46" s="1"/>
  <c r="D103" i="46"/>
  <c r="D108" i="46" s="1"/>
  <c r="D102" i="46"/>
  <c r="D107" i="46" s="1"/>
  <c r="D99" i="48"/>
  <c r="D104" i="46"/>
  <c r="E106" i="45" s="1"/>
  <c r="H136" i="16"/>
  <c r="D233" i="12"/>
  <c r="D234" i="12" s="1"/>
  <c r="H198" i="38"/>
  <c r="H202" i="38" s="1"/>
  <c r="H200" i="38"/>
  <c r="I101" i="36" s="1"/>
  <c r="AO101" i="36" s="1"/>
  <c r="H197" i="38"/>
  <c r="H201" i="38" s="1"/>
  <c r="H199" i="38"/>
  <c r="H203" i="38" s="1"/>
  <c r="I55" i="45"/>
  <c r="I56" i="45"/>
  <c r="I30" i="45"/>
  <c r="C275" i="46"/>
  <c r="C318" i="46"/>
  <c r="C319" i="46" s="1"/>
  <c r="C341" i="46"/>
  <c r="C342" i="46" s="1"/>
  <c r="D9" i="55"/>
  <c r="AN96" i="45"/>
  <c r="K110" i="53"/>
  <c r="K111" i="53" s="1"/>
  <c r="K106" i="53"/>
  <c r="K107" i="53" s="1"/>
  <c r="L62" i="51" s="1"/>
  <c r="K104" i="53"/>
  <c r="K105" i="53" s="1"/>
  <c r="L53" i="51" s="1"/>
  <c r="K108" i="53"/>
  <c r="K109" i="53" s="1"/>
  <c r="I27" i="19"/>
  <c r="I45" i="19" s="1"/>
  <c r="I129" i="19" s="1"/>
  <c r="I128" i="19" s="1"/>
  <c r="J21" i="19"/>
  <c r="G145" i="42"/>
  <c r="G149" i="42" s="1"/>
  <c r="G144" i="42"/>
  <c r="G148" i="42" s="1"/>
  <c r="G146" i="42"/>
  <c r="G143" i="42"/>
  <c r="G147" i="42" s="1"/>
  <c r="L28" i="38"/>
  <c r="L43" i="38" s="1"/>
  <c r="M22" i="38"/>
  <c r="D149" i="14"/>
  <c r="J47" i="29"/>
  <c r="J142" i="29" s="1"/>
  <c r="M21" i="15"/>
  <c r="F158" i="48"/>
  <c r="F163" i="48" s="1"/>
  <c r="F155" i="48"/>
  <c r="F160" i="48" s="1"/>
  <c r="F157" i="48"/>
  <c r="F162" i="48" s="1"/>
  <c r="F159" i="48"/>
  <c r="F156" i="48"/>
  <c r="F161" i="48" s="1"/>
  <c r="F104" i="12"/>
  <c r="E86" i="20"/>
  <c r="E78" i="19" s="1"/>
  <c r="E89" i="20"/>
  <c r="E76" i="19"/>
  <c r="F104" i="14" s="1"/>
  <c r="E87" i="20"/>
  <c r="E85" i="20"/>
  <c r="E88" i="20"/>
  <c r="D267" i="46"/>
  <c r="E77" i="20"/>
  <c r="E74" i="20"/>
  <c r="E66" i="19" s="1"/>
  <c r="E75" i="20"/>
  <c r="E64" i="19"/>
  <c r="F93" i="14" s="1"/>
  <c r="E76" i="20"/>
  <c r="E73" i="20"/>
  <c r="E263" i="20"/>
  <c r="E315" i="20"/>
  <c r="E264" i="20"/>
  <c r="E314" i="20"/>
  <c r="E267" i="20"/>
  <c r="I131" i="38"/>
  <c r="I150" i="38" s="1"/>
  <c r="I130" i="38"/>
  <c r="I142" i="38" s="1"/>
  <c r="I132" i="38"/>
  <c r="I158" i="38" s="1"/>
  <c r="H57" i="45"/>
  <c r="H58" i="29"/>
  <c r="H213" i="28"/>
  <c r="H114" i="28"/>
  <c r="AP41" i="45"/>
  <c r="K240" i="48"/>
  <c r="J241" i="48"/>
  <c r="I59" i="15"/>
  <c r="I235" i="38"/>
  <c r="I239" i="38" s="1"/>
  <c r="I237" i="38"/>
  <c r="I241" i="38" s="1"/>
  <c r="I238" i="38"/>
  <c r="J107" i="36" s="1"/>
  <c r="I236" i="38"/>
  <c r="I240" i="38" s="1"/>
  <c r="E117" i="12"/>
  <c r="I205" i="54"/>
  <c r="C262" i="20"/>
  <c r="C258" i="20"/>
  <c r="C260" i="20"/>
  <c r="C257" i="20"/>
  <c r="C261" i="20"/>
  <c r="C259" i="20"/>
  <c r="I60" i="29"/>
  <c r="J56" i="16" s="1"/>
  <c r="J56" i="15"/>
  <c r="AO67" i="51"/>
  <c r="AO71" i="51" s="1"/>
  <c r="H133" i="19"/>
  <c r="E62" i="19"/>
  <c r="M27" i="53"/>
  <c r="M42" i="53" s="1"/>
  <c r="N21" i="53"/>
  <c r="AL80" i="36"/>
  <c r="AL83" i="36" s="1"/>
  <c r="AL119" i="36" s="1"/>
  <c r="AL115" i="36"/>
  <c r="AL116" i="36" s="1"/>
  <c r="N20" i="15"/>
  <c r="L122" i="15"/>
  <c r="L132" i="15" s="1"/>
  <c r="H134" i="15"/>
  <c r="H133" i="15" a="1"/>
  <c r="H133" i="15" s="1"/>
  <c r="H68" i="15"/>
  <c r="E258" i="54"/>
  <c r="E241" i="54"/>
  <c r="G141" i="16"/>
  <c r="G142" i="16" s="1"/>
  <c r="N20" i="16"/>
  <c r="G60" i="45"/>
  <c r="G73" i="45" s="1"/>
  <c r="F37" i="46"/>
  <c r="K43" i="46" s="1"/>
  <c r="G58" i="45"/>
  <c r="G71" i="45" s="1"/>
  <c r="G59" i="45"/>
  <c r="G72" i="45" s="1"/>
  <c r="G104" i="45"/>
  <c r="I157" i="54"/>
  <c r="F171" i="28"/>
  <c r="F183" i="28" s="1"/>
  <c r="F184" i="28" s="1"/>
  <c r="F172" i="28"/>
  <c r="F31" i="20"/>
  <c r="F253" i="20"/>
  <c r="BS4" i="55"/>
  <c r="J64" i="15"/>
  <c r="I75" i="29"/>
  <c r="J64" i="16" s="1"/>
  <c r="H87" i="42"/>
  <c r="H91" i="42" s="1"/>
  <c r="H88" i="42"/>
  <c r="H92" i="42" s="1"/>
  <c r="H89" i="42"/>
  <c r="H86" i="42"/>
  <c r="H90" i="42" s="1"/>
  <c r="H157" i="19"/>
  <c r="H198" i="20"/>
  <c r="I123" i="12"/>
  <c r="H136" i="38"/>
  <c r="H140" i="38" s="1"/>
  <c r="H135" i="38"/>
  <c r="H139" i="38" s="1"/>
  <c r="H137" i="38"/>
  <c r="H141" i="38" s="1"/>
  <c r="H138" i="38"/>
  <c r="I85" i="36" s="1"/>
  <c r="AN33" i="45"/>
  <c r="E167" i="28"/>
  <c r="E168" i="28"/>
  <c r="K41" i="45"/>
  <c r="G84" i="45"/>
  <c r="H174" i="20"/>
  <c r="H136" i="19" s="1"/>
  <c r="H178" i="20"/>
  <c r="H140" i="19" s="1"/>
  <c r="H175" i="20"/>
  <c r="H137" i="19" s="1"/>
  <c r="I113" i="12"/>
  <c r="H176" i="20"/>
  <c r="H135" i="19"/>
  <c r="I113" i="14" s="1"/>
  <c r="H177" i="20"/>
  <c r="H139" i="19" s="1"/>
  <c r="G177" i="46"/>
  <c r="G182" i="46" s="1"/>
  <c r="G176" i="46"/>
  <c r="G181" i="46" s="1"/>
  <c r="G178" i="46"/>
  <c r="G183" i="46" s="1"/>
  <c r="G174" i="48"/>
  <c r="G175" i="46"/>
  <c r="G180" i="46" s="1"/>
  <c r="G179" i="46"/>
  <c r="H107" i="45" s="1"/>
  <c r="J217" i="38"/>
  <c r="J219" i="38" s="1"/>
  <c r="K216" i="38"/>
  <c r="F73" i="45"/>
  <c r="F87" i="45"/>
  <c r="N10" i="15"/>
  <c r="H219" i="53"/>
  <c r="H231" i="53" s="1"/>
  <c r="H220" i="53"/>
  <c r="E141" i="12"/>
  <c r="M24" i="53"/>
  <c r="N18" i="53"/>
  <c r="AL84" i="45"/>
  <c r="P9" i="15"/>
  <c r="P10" i="15" s="1"/>
  <c r="L25" i="28"/>
  <c r="L43" i="28" s="1"/>
  <c r="M19" i="28"/>
  <c r="D266" i="20"/>
  <c r="C242" i="53"/>
  <c r="C251" i="53" s="1"/>
  <c r="D75" i="51" s="1"/>
  <c r="E111" i="12"/>
  <c r="D80" i="19"/>
  <c r="E111" i="14" s="1"/>
  <c r="H145" i="38"/>
  <c r="H149" i="38" s="1"/>
  <c r="H143" i="38"/>
  <c r="H147" i="38" s="1"/>
  <c r="H144" i="38"/>
  <c r="H148" i="38" s="1"/>
  <c r="H146" i="38"/>
  <c r="I100" i="36" s="1"/>
  <c r="AO100" i="36" s="1"/>
  <c r="H68" i="45"/>
  <c r="AQ62" i="51"/>
  <c r="I63" i="53"/>
  <c r="I159" i="53" s="1"/>
  <c r="I69" i="53"/>
  <c r="I70" i="53" s="1"/>
  <c r="J49" i="51" s="1"/>
  <c r="L26" i="42"/>
  <c r="L41" i="42" s="1"/>
  <c r="M20" i="42"/>
  <c r="H81" i="38"/>
  <c r="I92" i="36" s="1"/>
  <c r="AO92" i="36" s="1"/>
  <c r="H79" i="38"/>
  <c r="H83" i="38" s="1"/>
  <c r="H80" i="38"/>
  <c r="H84" i="38" s="1"/>
  <c r="H78" i="38"/>
  <c r="H82" i="38" s="1"/>
  <c r="D317" i="46"/>
  <c r="D320" i="46"/>
  <c r="J31" i="28"/>
  <c r="J146" i="28"/>
  <c r="H261" i="48"/>
  <c r="H262" i="48"/>
  <c r="H263" i="48"/>
  <c r="H265" i="48"/>
  <c r="H264" i="48"/>
  <c r="E229" i="14"/>
  <c r="H190" i="38"/>
  <c r="H194" i="38" s="1"/>
  <c r="H191" i="38"/>
  <c r="H195" i="38" s="1"/>
  <c r="H192" i="38"/>
  <c r="I91" i="36" s="1"/>
  <c r="H189" i="38"/>
  <c r="H193" i="38" s="1"/>
  <c r="I36" i="45"/>
  <c r="C261" i="48"/>
  <c r="C266" i="48" s="1"/>
  <c r="C263" i="48"/>
  <c r="C268" i="48" s="1"/>
  <c r="C264" i="48"/>
  <c r="C269" i="48" s="1"/>
  <c r="C274" i="48"/>
  <c r="C262" i="48"/>
  <c r="C267" i="48" s="1"/>
  <c r="C265" i="48"/>
  <c r="G246" i="48"/>
  <c r="G251" i="48" s="1"/>
  <c r="G247" i="48"/>
  <c r="G252" i="48" s="1"/>
  <c r="G245" i="48"/>
  <c r="G250" i="48" s="1"/>
  <c r="G248" i="48"/>
  <c r="G244" i="48"/>
  <c r="G249" i="48" s="1"/>
  <c r="E196" i="53"/>
  <c r="E197" i="53" s="1"/>
  <c r="F163" i="53"/>
  <c r="F34" i="48"/>
  <c r="AM82" i="45"/>
  <c r="AM24" i="45"/>
  <c r="AM25" i="45"/>
  <c r="AM26" i="45"/>
  <c r="D149" i="12"/>
  <c r="I201" i="46"/>
  <c r="I138" i="46"/>
  <c r="I137" i="46"/>
  <c r="J136" i="46"/>
  <c r="I200" i="46"/>
  <c r="I193" i="29"/>
  <c r="I194" i="29"/>
  <c r="G269" i="46"/>
  <c r="AN110" i="36"/>
  <c r="E50" i="19"/>
  <c r="E265" i="20"/>
  <c r="E288" i="20"/>
  <c r="E289" i="20" s="1"/>
  <c r="I184" i="38"/>
  <c r="I204" i="38"/>
  <c r="I196" i="38"/>
  <c r="I188" i="38"/>
  <c r="D325" i="38"/>
  <c r="D326" i="38" s="1"/>
  <c r="I59" i="16"/>
  <c r="H297" i="38"/>
  <c r="H298" i="38"/>
  <c r="E117" i="14"/>
  <c r="I62" i="28"/>
  <c r="I56" i="29"/>
  <c r="J44" i="16" s="1"/>
  <c r="J44" i="15"/>
  <c r="AM73" i="51"/>
  <c r="F219" i="48"/>
  <c r="F224" i="48" s="1"/>
  <c r="F220" i="48"/>
  <c r="F225" i="48" s="1"/>
  <c r="F218" i="48"/>
  <c r="F223" i="48" s="1"/>
  <c r="F221" i="48"/>
  <c r="F217" i="48"/>
  <c r="F222" i="48" s="1"/>
  <c r="H131" i="19"/>
  <c r="J154" i="53"/>
  <c r="J156" i="53" s="1"/>
  <c r="K153" i="53"/>
  <c r="E95" i="20"/>
  <c r="E87" i="19" s="1"/>
  <c r="E82" i="19"/>
  <c r="F124" i="14" s="1"/>
  <c r="E92" i="20"/>
  <c r="E94" i="20"/>
  <c r="E91" i="20"/>
  <c r="E93" i="20"/>
  <c r="L138" i="53"/>
  <c r="L139" i="53" s="1"/>
  <c r="M69" i="51" s="1"/>
  <c r="L136" i="53"/>
  <c r="L137" i="53" s="1"/>
  <c r="M63" i="51" s="1"/>
  <c r="L134" i="53"/>
  <c r="J55" i="15"/>
  <c r="I82" i="29"/>
  <c r="J55" i="16" s="1"/>
  <c r="L26" i="38"/>
  <c r="L41" i="38" s="1"/>
  <c r="M20" i="38"/>
  <c r="L122" i="16"/>
  <c r="L132" i="16" s="1"/>
  <c r="J306" i="46"/>
  <c r="J31" i="46"/>
  <c r="D172" i="29"/>
  <c r="D173" i="29" s="1"/>
  <c r="D175" i="29" s="1"/>
  <c r="Q23" i="15"/>
  <c r="Q25" i="15" s="1"/>
  <c r="Q24" i="15"/>
  <c r="R22" i="15"/>
  <c r="M40" i="16"/>
  <c r="N17" i="15"/>
  <c r="D227" i="14"/>
  <c r="P25" i="15"/>
  <c r="I63" i="46"/>
  <c r="AR63" i="51"/>
  <c r="G205" i="42"/>
  <c r="G209" i="42" s="1"/>
  <c r="G206" i="42"/>
  <c r="G210" i="42" s="1"/>
  <c r="G208" i="42"/>
  <c r="G207" i="42"/>
  <c r="G211" i="42" s="1"/>
  <c r="AN105" i="45"/>
  <c r="F290" i="38"/>
  <c r="F291" i="38" s="1"/>
  <c r="F313" i="38"/>
  <c r="F314" i="38" s="1"/>
  <c r="L25" i="46"/>
  <c r="L40" i="46" s="1"/>
  <c r="M19" i="46"/>
  <c r="H148" i="20"/>
  <c r="H124" i="19" s="1"/>
  <c r="H147" i="20"/>
  <c r="H123" i="19" s="1"/>
  <c r="H149" i="20"/>
  <c r="H125" i="19" s="1"/>
  <c r="H150" i="20"/>
  <c r="H126" i="19" s="1"/>
  <c r="H146" i="20"/>
  <c r="H122" i="19" s="1"/>
  <c r="H121" i="19"/>
  <c r="I138" i="14" s="1"/>
  <c r="I138" i="12"/>
  <c r="K44" i="38"/>
  <c r="K288" i="38" s="1"/>
  <c r="AP18" i="45"/>
  <c r="I73" i="29"/>
  <c r="J58" i="16" s="1"/>
  <c r="J58" i="15"/>
  <c r="H134" i="16"/>
  <c r="H68" i="16"/>
  <c r="H77" i="16"/>
  <c r="H133" i="16" a="1"/>
  <c r="H133" i="16" s="1"/>
  <c r="H96" i="42"/>
  <c r="H100" i="42" s="1"/>
  <c r="H94" i="42"/>
  <c r="H98" i="42" s="1"/>
  <c r="H95" i="42"/>
  <c r="H99" i="42" s="1"/>
  <c r="H97" i="42"/>
  <c r="AN72" i="51"/>
  <c r="AN51" i="51"/>
  <c r="E316" i="38"/>
  <c r="E317" i="38"/>
  <c r="D273" i="19"/>
  <c r="D221" i="19"/>
  <c r="D272" i="19"/>
  <c r="D222" i="19"/>
  <c r="AK4" i="55"/>
  <c r="D225" i="19"/>
  <c r="AN35" i="45"/>
  <c r="J25" i="20"/>
  <c r="J43" i="20" s="1"/>
  <c r="K19" i="20"/>
  <c r="AQ40" i="45"/>
  <c r="AQ39" i="45"/>
  <c r="H114" i="36"/>
  <c r="AN79" i="36"/>
  <c r="AN114" i="36" s="1"/>
  <c r="L17" i="45"/>
  <c r="L18" i="45" s="1"/>
  <c r="M16" i="45"/>
  <c r="AR16" i="45"/>
  <c r="G86" i="45"/>
  <c r="K44" i="53"/>
  <c r="K204" i="53" s="1"/>
  <c r="H184" i="20"/>
  <c r="H146" i="19" s="1"/>
  <c r="H180" i="20"/>
  <c r="H142" i="19" s="1"/>
  <c r="H182" i="20"/>
  <c r="H144" i="19" s="1"/>
  <c r="H181" i="20"/>
  <c r="H143" i="19" s="1"/>
  <c r="H183" i="20"/>
  <c r="H145" i="19" s="1"/>
  <c r="H141" i="19"/>
  <c r="I125" i="14" s="1"/>
  <c r="G168" i="46"/>
  <c r="G173" i="46" s="1"/>
  <c r="G165" i="46"/>
  <c r="G170" i="46" s="1"/>
  <c r="G164" i="48"/>
  <c r="G167" i="46"/>
  <c r="G172" i="46" s="1"/>
  <c r="G166" i="46"/>
  <c r="G171" i="46" s="1"/>
  <c r="G169" i="46"/>
  <c r="H77" i="45" s="1"/>
  <c r="AM68" i="45"/>
  <c r="I212" i="53"/>
  <c r="I210" i="53"/>
  <c r="I209" i="53"/>
  <c r="I211" i="53"/>
  <c r="I221" i="38"/>
  <c r="I225" i="38" s="1"/>
  <c r="I222" i="38"/>
  <c r="I226" i="38" s="1"/>
  <c r="I220" i="38"/>
  <c r="I224" i="38" s="1"/>
  <c r="I223" i="38"/>
  <c r="J98" i="36" s="1"/>
  <c r="F85" i="45"/>
  <c r="F71" i="45"/>
  <c r="L28" i="29"/>
  <c r="L46" i="29" s="1"/>
  <c r="M22" i="29"/>
  <c r="D186" i="28"/>
  <c r="D187" i="28" s="1"/>
  <c r="D189" i="28" s="1"/>
  <c r="E141" i="14"/>
  <c r="Q23" i="16"/>
  <c r="Q25" i="16" s="1"/>
  <c r="Q24" i="16"/>
  <c r="R22" i="16"/>
  <c r="AL85" i="45"/>
  <c r="P41" i="15"/>
  <c r="N10" i="16"/>
  <c r="L39" i="16"/>
  <c r="L13" i="16"/>
  <c r="K29" i="48"/>
  <c r="K66" i="29"/>
  <c r="K64" i="29"/>
  <c r="K67" i="29"/>
  <c r="K65" i="29"/>
  <c r="K68" i="29"/>
  <c r="K63" i="29"/>
  <c r="K62" i="29" s="1"/>
  <c r="M24" i="46"/>
  <c r="N18" i="46"/>
  <c r="G151" i="29"/>
  <c r="G152" i="29"/>
  <c r="E105" i="12"/>
  <c r="E148" i="12" s="1"/>
  <c r="H160" i="38"/>
  <c r="H164" i="38" s="1"/>
  <c r="H162" i="38"/>
  <c r="I109" i="36" s="1"/>
  <c r="AO109" i="36" s="1"/>
  <c r="H161" i="38"/>
  <c r="H165" i="38" s="1"/>
  <c r="H159" i="38"/>
  <c r="H163" i="38" s="1"/>
  <c r="D169" i="28"/>
  <c r="D173" i="28" s="1"/>
  <c r="D170" i="28"/>
  <c r="K54" i="51"/>
  <c r="AQ53" i="51"/>
  <c r="I65" i="15"/>
  <c r="G135" i="42"/>
  <c r="G139" i="42" s="1"/>
  <c r="G137" i="42"/>
  <c r="G141" i="42" s="1"/>
  <c r="G138" i="42"/>
  <c r="G136" i="42"/>
  <c r="G140" i="42" s="1"/>
  <c r="H105" i="38"/>
  <c r="I99" i="36" s="1"/>
  <c r="AO99" i="36" s="1"/>
  <c r="H104" i="38"/>
  <c r="H108" i="38" s="1"/>
  <c r="H103" i="38"/>
  <c r="H107" i="38" s="1"/>
  <c r="H102" i="38"/>
  <c r="H106" i="38" s="1"/>
  <c r="G140" i="15"/>
  <c r="AM83" i="45"/>
  <c r="D72" i="46"/>
  <c r="D77" i="46" s="1"/>
  <c r="D70" i="46"/>
  <c r="D75" i="46" s="1"/>
  <c r="D73" i="46"/>
  <c r="D78" i="46" s="1"/>
  <c r="D71" i="46"/>
  <c r="D76" i="46" s="1"/>
  <c r="D69" i="48"/>
  <c r="D74" i="46"/>
  <c r="E76" i="45" s="1"/>
  <c r="AO105" i="45"/>
  <c r="E33" i="48"/>
  <c r="E39" i="48" s="1"/>
  <c r="AL75" i="45"/>
  <c r="E33" i="20"/>
  <c r="E34" i="20"/>
  <c r="H207" i="38"/>
  <c r="H211" i="38" s="1"/>
  <c r="H205" i="38"/>
  <c r="H209" i="38" s="1"/>
  <c r="H208" i="38"/>
  <c r="H206" i="38"/>
  <c r="H210" i="38" s="1"/>
  <c r="J29" i="45"/>
  <c r="J32" i="45"/>
  <c r="J31" i="45"/>
  <c r="J37" i="45" s="1"/>
  <c r="J28" i="45"/>
  <c r="AP27" i="45"/>
  <c r="K27" i="45"/>
  <c r="J54" i="45"/>
  <c r="AJ105" i="45"/>
  <c r="D109" i="45"/>
  <c r="D114" i="45"/>
  <c r="D203" i="53"/>
  <c r="D202" i="53"/>
  <c r="D200" i="53"/>
  <c r="D201" i="53"/>
  <c r="D199" i="53"/>
  <c r="D198" i="53"/>
  <c r="C337" i="42"/>
  <c r="C342" i="42"/>
  <c r="H202" i="46"/>
  <c r="H226" i="46"/>
  <c r="H216" i="46"/>
  <c r="H206" i="46"/>
  <c r="M21" i="16"/>
  <c r="H135" i="15"/>
  <c r="H110" i="36"/>
  <c r="E53" i="19"/>
  <c r="O10" i="16"/>
  <c r="I142" i="48"/>
  <c r="I140" i="48"/>
  <c r="I141" i="48"/>
  <c r="I127" i="42"/>
  <c r="I128" i="42"/>
  <c r="J126" i="42"/>
  <c r="K44" i="54"/>
  <c r="K204" i="54" s="1"/>
  <c r="D318" i="38"/>
  <c r="D319" i="38" s="1"/>
  <c r="D321" i="38" s="1"/>
  <c r="G268" i="46"/>
  <c r="C324" i="46"/>
  <c r="C322" i="46"/>
  <c r="C321" i="46"/>
  <c r="C323" i="46"/>
  <c r="M24" i="28"/>
  <c r="N18" i="28"/>
  <c r="C242" i="54"/>
  <c r="C249" i="54" s="1"/>
  <c r="H206" i="54" l="1"/>
  <c r="H207" i="54" s="1"/>
  <c r="G78" i="20"/>
  <c r="AM117" i="36"/>
  <c r="AM123" i="36" s="1"/>
  <c r="E271" i="46"/>
  <c r="I67" i="45"/>
  <c r="G90" i="20"/>
  <c r="G232" i="53"/>
  <c r="L24" i="38"/>
  <c r="L39" i="38" s="1"/>
  <c r="L44" i="38" s="1"/>
  <c r="L288" i="38" s="1"/>
  <c r="M18" i="38"/>
  <c r="G84" i="20"/>
  <c r="G88" i="20" s="1"/>
  <c r="H124" i="12"/>
  <c r="H127" i="12" s="1"/>
  <c r="L80" i="29"/>
  <c r="L79" i="29" s="1"/>
  <c r="F4" i="55"/>
  <c r="L24" i="42"/>
  <c r="L39" i="42" s="1"/>
  <c r="M18" i="42"/>
  <c r="E186" i="28"/>
  <c r="E187" i="28" s="1"/>
  <c r="E189" i="28" s="1"/>
  <c r="J278" i="42"/>
  <c r="J289" i="42" s="1"/>
  <c r="J31" i="42"/>
  <c r="AK110" i="45"/>
  <c r="K31" i="29"/>
  <c r="E176" i="19"/>
  <c r="L41" i="45"/>
  <c r="F54" i="19"/>
  <c r="F55" i="19"/>
  <c r="F61" i="19"/>
  <c r="F53" i="19"/>
  <c r="F52" i="19"/>
  <c r="F49" i="19" s="1"/>
  <c r="F177" i="19" s="1"/>
  <c r="F60" i="19"/>
  <c r="F93" i="20"/>
  <c r="G132" i="12" s="1"/>
  <c r="F62" i="19"/>
  <c r="F50" i="19"/>
  <c r="F57" i="19"/>
  <c r="F51" i="19"/>
  <c r="H141" i="16"/>
  <c r="H142" i="16" s="1"/>
  <c r="H140" i="16"/>
  <c r="G234" i="53"/>
  <c r="I162" i="54"/>
  <c r="I206" i="54" s="1"/>
  <c r="I207" i="54" s="1"/>
  <c r="F92" i="20"/>
  <c r="F84" i="19" s="1"/>
  <c r="G131" i="14" s="1"/>
  <c r="F91" i="20"/>
  <c r="F83" i="19" s="1"/>
  <c r="G128" i="14" s="1"/>
  <c r="N35" i="16"/>
  <c r="F94" i="20"/>
  <c r="F86" i="19" s="1"/>
  <c r="F82" i="19"/>
  <c r="G124" i="14" s="1"/>
  <c r="F267" i="48"/>
  <c r="D267" i="48"/>
  <c r="H268" i="48"/>
  <c r="J35" i="45"/>
  <c r="AK111" i="45"/>
  <c r="J63" i="48"/>
  <c r="H269" i="48"/>
  <c r="AO35" i="45"/>
  <c r="F220" i="20"/>
  <c r="G133" i="12"/>
  <c r="G129" i="12" s="1"/>
  <c r="L29" i="53"/>
  <c r="L31" i="53" s="1"/>
  <c r="J36" i="45"/>
  <c r="F266" i="48"/>
  <c r="AK112" i="45"/>
  <c r="AJ74" i="51"/>
  <c r="G241" i="53"/>
  <c r="G101" i="20"/>
  <c r="G93" i="19" s="1"/>
  <c r="G88" i="19"/>
  <c r="H136" i="14" s="1"/>
  <c r="H136" i="12"/>
  <c r="G100" i="20"/>
  <c r="G99" i="20"/>
  <c r="G97" i="20"/>
  <c r="G98" i="20"/>
  <c r="F241" i="53"/>
  <c r="N24" i="46"/>
  <c r="O18" i="46"/>
  <c r="I132" i="42"/>
  <c r="I158" i="42" s="1"/>
  <c r="I130" i="42"/>
  <c r="I142" i="42" s="1"/>
  <c r="I131" i="42"/>
  <c r="I150" i="42" s="1"/>
  <c r="H209" i="46"/>
  <c r="H214" i="46" s="1"/>
  <c r="H210" i="46"/>
  <c r="H215" i="46" s="1"/>
  <c r="H208" i="46"/>
  <c r="H213" i="46" s="1"/>
  <c r="H206" i="48"/>
  <c r="H207" i="46"/>
  <c r="H212" i="46" s="1"/>
  <c r="H211" i="46"/>
  <c r="I89" i="45" s="1"/>
  <c r="E44" i="48"/>
  <c r="E316" i="48" s="1"/>
  <c r="AQ54" i="51"/>
  <c r="L125" i="16"/>
  <c r="K37" i="29"/>
  <c r="L47" i="16"/>
  <c r="AP98" i="36"/>
  <c r="L20" i="45"/>
  <c r="L19" i="45"/>
  <c r="E318" i="38"/>
  <c r="E319" i="38" s="1"/>
  <c r="E321" i="38" s="1"/>
  <c r="P124" i="15"/>
  <c r="O38" i="28"/>
  <c r="P54" i="15"/>
  <c r="H233" i="54"/>
  <c r="H236" i="54" s="1"/>
  <c r="H232" i="54"/>
  <c r="E86" i="19"/>
  <c r="F133" i="14" s="1"/>
  <c r="F133" i="12"/>
  <c r="H299" i="38"/>
  <c r="H300" i="38"/>
  <c r="J33" i="28"/>
  <c r="J34" i="28"/>
  <c r="E107" i="12"/>
  <c r="N24" i="53"/>
  <c r="O18" i="53"/>
  <c r="L29" i="29"/>
  <c r="I86" i="36"/>
  <c r="I89" i="36" s="1"/>
  <c r="AO85" i="36"/>
  <c r="AO86" i="36" s="1"/>
  <c r="AO89" i="36" s="1"/>
  <c r="N40" i="16"/>
  <c r="F100" i="12"/>
  <c r="E67" i="19"/>
  <c r="F100" i="14" s="1"/>
  <c r="E81" i="19"/>
  <c r="F109" i="12"/>
  <c r="J27" i="19"/>
  <c r="J45" i="19" s="1"/>
  <c r="J132" i="19" s="1"/>
  <c r="K21" i="19"/>
  <c r="I57" i="45"/>
  <c r="AQ50" i="51"/>
  <c r="AR39" i="45"/>
  <c r="AR40" i="45"/>
  <c r="I96" i="42"/>
  <c r="I100" i="42" s="1"/>
  <c r="I95" i="42"/>
  <c r="I99" i="42" s="1"/>
  <c r="I97" i="42"/>
  <c r="I94" i="42"/>
  <c r="I98" i="42" s="1"/>
  <c r="K48" i="15"/>
  <c r="J71" i="29"/>
  <c r="K48" i="16" s="1"/>
  <c r="K154" i="54"/>
  <c r="K156" i="54" s="1"/>
  <c r="L153" i="54"/>
  <c r="I131" i="19"/>
  <c r="K55" i="15"/>
  <c r="J82" i="29"/>
  <c r="K55" i="16" s="1"/>
  <c r="I136" i="15"/>
  <c r="D262" i="20"/>
  <c r="D259" i="20"/>
  <c r="D260" i="20"/>
  <c r="D258" i="20"/>
  <c r="D257" i="20"/>
  <c r="D261" i="20"/>
  <c r="J142" i="48"/>
  <c r="J141" i="48"/>
  <c r="J140" i="48"/>
  <c r="I63" i="38"/>
  <c r="I69" i="38"/>
  <c r="H87" i="45"/>
  <c r="R7" i="15"/>
  <c r="R8" i="15" s="1"/>
  <c r="S6" i="15"/>
  <c r="I297" i="42"/>
  <c r="I298" i="42"/>
  <c r="J209" i="20"/>
  <c r="J211" i="20" s="1"/>
  <c r="K208" i="20"/>
  <c r="K27" i="20"/>
  <c r="K45" i="20" s="1"/>
  <c r="L21" i="20"/>
  <c r="F119" i="12"/>
  <c r="E72" i="19"/>
  <c r="F119" i="14" s="1"/>
  <c r="M26" i="48"/>
  <c r="M41" i="48" s="1"/>
  <c r="N20" i="48"/>
  <c r="O20" i="15"/>
  <c r="K62" i="15"/>
  <c r="J59" i="29"/>
  <c r="K62" i="16" s="1"/>
  <c r="H246" i="48"/>
  <c r="H251" i="48" s="1"/>
  <c r="H247" i="48"/>
  <c r="H252" i="48" s="1"/>
  <c r="H244" i="48"/>
  <c r="H249" i="48" s="1"/>
  <c r="H245" i="48"/>
  <c r="H250" i="48" s="1"/>
  <c r="H248" i="48"/>
  <c r="E73" i="46"/>
  <c r="E78" i="46" s="1"/>
  <c r="E71" i="46"/>
  <c r="E76" i="46" s="1"/>
  <c r="E72" i="46"/>
  <c r="E77" i="46" s="1"/>
  <c r="E70" i="46"/>
  <c r="E75" i="46" s="1"/>
  <c r="E69" i="48"/>
  <c r="E74" i="46"/>
  <c r="F76" i="45" s="1"/>
  <c r="D118" i="45"/>
  <c r="E111" i="45"/>
  <c r="D271" i="48"/>
  <c r="D272" i="20"/>
  <c r="D273" i="20"/>
  <c r="G165" i="28"/>
  <c r="G166" i="28"/>
  <c r="E91" i="19"/>
  <c r="F144" i="14" s="1"/>
  <c r="F144" i="12"/>
  <c r="I135" i="14"/>
  <c r="F167" i="28"/>
  <c r="F168" i="28"/>
  <c r="I141" i="20"/>
  <c r="I117" i="19" s="1"/>
  <c r="I142" i="20"/>
  <c r="I118" i="19" s="1"/>
  <c r="I143" i="20"/>
  <c r="I119" i="19" s="1"/>
  <c r="I144" i="20"/>
  <c r="I120" i="19" s="1"/>
  <c r="I140" i="20"/>
  <c r="I116" i="19" s="1"/>
  <c r="I115" i="19"/>
  <c r="J94" i="14" s="1"/>
  <c r="N27" i="28"/>
  <c r="O21" i="28"/>
  <c r="E179" i="29"/>
  <c r="G227" i="48"/>
  <c r="G232" i="48" s="1"/>
  <c r="G229" i="48"/>
  <c r="G234" i="48" s="1"/>
  <c r="G228" i="48"/>
  <c r="G233" i="48" s="1"/>
  <c r="G230" i="48"/>
  <c r="G235" i="48" s="1"/>
  <c r="G231" i="48"/>
  <c r="C213" i="19"/>
  <c r="C214" i="19" s="1"/>
  <c r="D180" i="19"/>
  <c r="I68" i="20"/>
  <c r="I67" i="20"/>
  <c r="I70" i="20"/>
  <c r="I69" i="20"/>
  <c r="D151" i="14"/>
  <c r="K31" i="46"/>
  <c r="K306" i="46"/>
  <c r="H206" i="42"/>
  <c r="H210" i="42" s="1"/>
  <c r="H207" i="42"/>
  <c r="H211" i="42" s="1"/>
  <c r="H205" i="42"/>
  <c r="H209" i="42" s="1"/>
  <c r="H208" i="42"/>
  <c r="D249" i="53"/>
  <c r="D193" i="28"/>
  <c r="D194" i="28" s="1"/>
  <c r="I106" i="19"/>
  <c r="E200" i="54"/>
  <c r="E203" i="54"/>
  <c r="E201" i="54"/>
  <c r="E199" i="54"/>
  <c r="E202" i="54"/>
  <c r="E198" i="54"/>
  <c r="E325" i="42"/>
  <c r="E326" i="42" s="1"/>
  <c r="K278" i="42"/>
  <c r="K289" i="42" s="1"/>
  <c r="K31" i="42"/>
  <c r="L360" i="46"/>
  <c r="H103" i="36"/>
  <c r="H105" i="36"/>
  <c r="Q9" i="16"/>
  <c r="Q10" i="16" s="1"/>
  <c r="I162" i="53"/>
  <c r="K31" i="54"/>
  <c r="K194" i="54"/>
  <c r="K205" i="54" s="1"/>
  <c r="AK97" i="45"/>
  <c r="E100" i="45"/>
  <c r="E113" i="45"/>
  <c r="AQ57" i="51"/>
  <c r="M136" i="54"/>
  <c r="M137" i="54" s="1"/>
  <c r="M138" i="54"/>
  <c r="M139" i="54" s="1"/>
  <c r="M134" i="54"/>
  <c r="M135" i="54" s="1"/>
  <c r="F92" i="19"/>
  <c r="G145" i="14" s="1"/>
  <c r="G145" i="12"/>
  <c r="K208" i="54"/>
  <c r="I129" i="42"/>
  <c r="I134" i="42"/>
  <c r="H113" i="36"/>
  <c r="H112" i="36"/>
  <c r="H111" i="36"/>
  <c r="H220" i="46"/>
  <c r="H225" i="46" s="1"/>
  <c r="H217" i="46"/>
  <c r="H222" i="46" s="1"/>
  <c r="H218" i="46"/>
  <c r="H223" i="46" s="1"/>
  <c r="H219" i="46"/>
  <c r="H224" i="46" s="1"/>
  <c r="H216" i="48"/>
  <c r="H221" i="46"/>
  <c r="I99" i="45" s="1"/>
  <c r="AP29" i="45"/>
  <c r="AP32" i="45"/>
  <c r="AP31" i="45"/>
  <c r="AP36" i="45" s="1"/>
  <c r="AP28" i="45"/>
  <c r="AP54" i="45"/>
  <c r="E80" i="45"/>
  <c r="AK80" i="45"/>
  <c r="E81" i="45"/>
  <c r="E79" i="45"/>
  <c r="AK81" i="45"/>
  <c r="AK79" i="45"/>
  <c r="E228" i="12"/>
  <c r="R23" i="16"/>
  <c r="R24" i="16"/>
  <c r="S22" i="16"/>
  <c r="AR17" i="45"/>
  <c r="AQ41" i="45"/>
  <c r="F317" i="38"/>
  <c r="F320" i="38" s="1"/>
  <c r="F316" i="38"/>
  <c r="R23" i="15"/>
  <c r="R24" i="15"/>
  <c r="S22" i="15"/>
  <c r="H223" i="54"/>
  <c r="H225" i="54"/>
  <c r="H224" i="54"/>
  <c r="H222" i="54"/>
  <c r="H226" i="54"/>
  <c r="H227" i="54"/>
  <c r="J59" i="16"/>
  <c r="F131" i="12"/>
  <c r="E84" i="19"/>
  <c r="F131" i="14" s="1"/>
  <c r="I189" i="38"/>
  <c r="I193" i="38" s="1"/>
  <c r="I192" i="38"/>
  <c r="J91" i="36" s="1"/>
  <c r="I190" i="38"/>
  <c r="I194" i="38" s="1"/>
  <c r="I191" i="38"/>
  <c r="I195" i="38" s="1"/>
  <c r="L44" i="42"/>
  <c r="L288" i="42" s="1"/>
  <c r="D324" i="46"/>
  <c r="D322" i="46"/>
  <c r="D321" i="46"/>
  <c r="D323" i="46"/>
  <c r="M39" i="53"/>
  <c r="D266" i="48"/>
  <c r="K217" i="38"/>
  <c r="K219" i="38" s="1"/>
  <c r="L216" i="38"/>
  <c r="H77" i="15"/>
  <c r="AL128" i="36"/>
  <c r="H158" i="28"/>
  <c r="H159" i="28" s="1"/>
  <c r="H181" i="28"/>
  <c r="H182" i="28" s="1"/>
  <c r="F109" i="14"/>
  <c r="M43" i="15"/>
  <c r="M123" i="15"/>
  <c r="L36" i="28"/>
  <c r="L42" i="28" s="1"/>
  <c r="AJ9" i="55"/>
  <c r="I303" i="38"/>
  <c r="I315" i="38" s="1"/>
  <c r="I304" i="38"/>
  <c r="G95" i="20"/>
  <c r="G87" i="19" s="1"/>
  <c r="G93" i="20"/>
  <c r="G92" i="20"/>
  <c r="G94" i="20"/>
  <c r="G86" i="19" s="1"/>
  <c r="G82" i="19"/>
  <c r="H124" i="14" s="1"/>
  <c r="G91" i="20"/>
  <c r="G157" i="48"/>
  <c r="G162" i="48" s="1"/>
  <c r="G155" i="48"/>
  <c r="G160" i="48" s="1"/>
  <c r="G158" i="48"/>
  <c r="G163" i="48" s="1"/>
  <c r="G159" i="48"/>
  <c r="G156" i="48"/>
  <c r="G161" i="48" s="1"/>
  <c r="J74" i="29"/>
  <c r="K45" i="16" s="1"/>
  <c r="K45" i="15"/>
  <c r="G147" i="12"/>
  <c r="G95" i="12"/>
  <c r="J157" i="54"/>
  <c r="C231" i="19"/>
  <c r="C230" i="19"/>
  <c r="I214" i="54"/>
  <c r="I213" i="54"/>
  <c r="K232" i="38"/>
  <c r="K234" i="38" s="1"/>
  <c r="L231" i="38"/>
  <c r="J202" i="48"/>
  <c r="N27" i="38"/>
  <c r="N42" i="38" s="1"/>
  <c r="O21" i="38"/>
  <c r="AO33" i="45"/>
  <c r="I96" i="38"/>
  <c r="I100" i="38" s="1"/>
  <c r="I94" i="38"/>
  <c r="I98" i="38" s="1"/>
  <c r="I97" i="38"/>
  <c r="J108" i="36" s="1"/>
  <c r="AP108" i="36" s="1"/>
  <c r="I95" i="38"/>
  <c r="I99" i="38" s="1"/>
  <c r="H84" i="45"/>
  <c r="G83" i="20"/>
  <c r="G75" i="19" s="1"/>
  <c r="G80" i="20"/>
  <c r="H114" i="12"/>
  <c r="G79" i="20"/>
  <c r="G70" i="19"/>
  <c r="H114" i="14" s="1"/>
  <c r="G81" i="20"/>
  <c r="G82" i="20"/>
  <c r="I213" i="20"/>
  <c r="I171" i="19" s="1"/>
  <c r="I216" i="20"/>
  <c r="I174" i="19" s="1"/>
  <c r="I212" i="20"/>
  <c r="I170" i="19" s="1"/>
  <c r="I214" i="20"/>
  <c r="I172" i="19" s="1"/>
  <c r="J135" i="12"/>
  <c r="I169" i="19"/>
  <c r="I215" i="20"/>
  <c r="O34" i="16"/>
  <c r="O33" i="16"/>
  <c r="J130" i="19"/>
  <c r="J131" i="19"/>
  <c r="K125" i="12"/>
  <c r="F116" i="12"/>
  <c r="E71" i="19"/>
  <c r="F116" i="14" s="1"/>
  <c r="H151" i="29"/>
  <c r="H152" i="29"/>
  <c r="G290" i="42"/>
  <c r="G291" i="42" s="1"/>
  <c r="G313" i="42"/>
  <c r="G314" i="42" s="1"/>
  <c r="E317" i="46"/>
  <c r="E320" i="46"/>
  <c r="D116" i="45"/>
  <c r="C324" i="48"/>
  <c r="C322" i="48"/>
  <c r="C321" i="48"/>
  <c r="C323" i="48"/>
  <c r="D226" i="14"/>
  <c r="D232" i="14" s="1"/>
  <c r="D225" i="14" a="1"/>
  <c r="D225" i="14" s="1"/>
  <c r="D148" i="14"/>
  <c r="E228" i="14"/>
  <c r="D151" i="12"/>
  <c r="E92" i="19"/>
  <c r="F145" i="14" s="1"/>
  <c r="F145" i="12"/>
  <c r="J184" i="38"/>
  <c r="J204" i="38"/>
  <c r="J188" i="38"/>
  <c r="J196" i="38"/>
  <c r="F226" i="12"/>
  <c r="I68" i="45"/>
  <c r="AP67" i="51"/>
  <c r="I66" i="20"/>
  <c r="F241" i="54"/>
  <c r="H190" i="42"/>
  <c r="H194" i="42" s="1"/>
  <c r="H189" i="42"/>
  <c r="H193" i="42" s="1"/>
  <c r="H192" i="42"/>
  <c r="H191" i="42"/>
  <c r="H195" i="42" s="1"/>
  <c r="N35" i="15"/>
  <c r="K61" i="48"/>
  <c r="K66" i="48"/>
  <c r="K67" i="48"/>
  <c r="K64" i="48"/>
  <c r="K65" i="48"/>
  <c r="K62" i="48"/>
  <c r="L60" i="48"/>
  <c r="E152" i="12"/>
  <c r="F47" i="19"/>
  <c r="AM80" i="36"/>
  <c r="AM83" i="36" s="1"/>
  <c r="AM119" i="36" s="1"/>
  <c r="AM115" i="36"/>
  <c r="AM116" i="36" s="1"/>
  <c r="G269" i="48"/>
  <c r="H135" i="42"/>
  <c r="H139" i="42" s="1"/>
  <c r="H136" i="42"/>
  <c r="H140" i="42" s="1"/>
  <c r="H137" i="42"/>
  <c r="H141" i="42" s="1"/>
  <c r="H138" i="42"/>
  <c r="K258" i="46"/>
  <c r="K260" i="46" s="1"/>
  <c r="L257" i="46"/>
  <c r="M25" i="38"/>
  <c r="M40" i="38" s="1"/>
  <c r="N19" i="38"/>
  <c r="H72" i="38"/>
  <c r="H76" i="38" s="1"/>
  <c r="H71" i="38"/>
  <c r="H75" i="38" s="1"/>
  <c r="H70" i="38"/>
  <c r="H74" i="38" s="1"/>
  <c r="H73" i="38"/>
  <c r="I78" i="36" s="1"/>
  <c r="M25" i="42"/>
  <c r="M40" i="42" s="1"/>
  <c r="N19" i="42"/>
  <c r="I97" i="19"/>
  <c r="AR56" i="51"/>
  <c r="AQ58" i="51"/>
  <c r="E110" i="45"/>
  <c r="J30" i="45"/>
  <c r="L121" i="16"/>
  <c r="L42" i="16"/>
  <c r="AS16" i="45"/>
  <c r="N16" i="45"/>
  <c r="M17" i="45"/>
  <c r="M18" i="45" s="1"/>
  <c r="D229" i="19"/>
  <c r="D226" i="19"/>
  <c r="D227" i="19"/>
  <c r="D228" i="19"/>
  <c r="E320" i="38"/>
  <c r="F310" i="38"/>
  <c r="F309" i="38"/>
  <c r="F306" i="38"/>
  <c r="F308" i="38"/>
  <c r="F307" i="38"/>
  <c r="F311" i="38"/>
  <c r="Q124" i="15"/>
  <c r="P38" i="28"/>
  <c r="Q54" i="15"/>
  <c r="J59" i="15"/>
  <c r="F127" i="14"/>
  <c r="I135" i="16"/>
  <c r="I200" i="38"/>
  <c r="J101" i="36" s="1"/>
  <c r="AP101" i="36" s="1"/>
  <c r="I198" i="38"/>
  <c r="I202" i="38" s="1"/>
  <c r="I197" i="38"/>
  <c r="I201" i="38" s="1"/>
  <c r="I199" i="38"/>
  <c r="I203" i="38" s="1"/>
  <c r="I202" i="46"/>
  <c r="I226" i="46"/>
  <c r="I206" i="46"/>
  <c r="I216" i="46"/>
  <c r="F196" i="53"/>
  <c r="F197" i="53" s="1"/>
  <c r="G163" i="53"/>
  <c r="M26" i="42"/>
  <c r="M41" i="42" s="1"/>
  <c r="N20" i="42"/>
  <c r="E152" i="14"/>
  <c r="J221" i="38"/>
  <c r="J225" i="38" s="1"/>
  <c r="J220" i="38"/>
  <c r="J224" i="38" s="1"/>
  <c r="J223" i="38"/>
  <c r="K98" i="36" s="1"/>
  <c r="J222" i="38"/>
  <c r="J226" i="38" s="1"/>
  <c r="H141" i="15"/>
  <c r="H142" i="15" s="1"/>
  <c r="H100" i="29"/>
  <c r="H88" i="29"/>
  <c r="E69" i="19"/>
  <c r="F99" i="14" s="1"/>
  <c r="F99" i="12"/>
  <c r="F105" i="12"/>
  <c r="M28" i="38"/>
  <c r="M43" i="38" s="1"/>
  <c r="N22" i="38"/>
  <c r="L68" i="51"/>
  <c r="L50" i="51"/>
  <c r="M121" i="15"/>
  <c r="M42" i="15"/>
  <c r="I297" i="38"/>
  <c r="I298" i="38"/>
  <c r="N11" i="16"/>
  <c r="J196" i="20"/>
  <c r="K195" i="20"/>
  <c r="D120" i="36"/>
  <c r="C337" i="38"/>
  <c r="C342" i="38"/>
  <c r="I103" i="42"/>
  <c r="I107" i="42" s="1"/>
  <c r="I104" i="42"/>
  <c r="I108" i="42" s="1"/>
  <c r="I102" i="42"/>
  <c r="I106" i="42" s="1"/>
  <c r="I105" i="42"/>
  <c r="J73" i="29"/>
  <c r="K58" i="16" s="1"/>
  <c r="K58" i="15"/>
  <c r="F74" i="20"/>
  <c r="F66" i="19" s="1"/>
  <c r="F76" i="20"/>
  <c r="F64" i="19"/>
  <c r="G93" i="14" s="1"/>
  <c r="F73" i="20"/>
  <c r="F75" i="20"/>
  <c r="F77" i="20"/>
  <c r="I132" i="19"/>
  <c r="I219" i="54"/>
  <c r="I231" i="54" s="1"/>
  <c r="I220" i="54"/>
  <c r="J237" i="38"/>
  <c r="J241" i="38" s="1"/>
  <c r="J235" i="38"/>
  <c r="J239" i="38" s="1"/>
  <c r="J236" i="38"/>
  <c r="J240" i="38" s="1"/>
  <c r="J238" i="38"/>
  <c r="K107" i="36" s="1"/>
  <c r="I134" i="15"/>
  <c r="I133" i="15" a="1"/>
  <c r="I133" i="15" s="1"/>
  <c r="I68" i="15"/>
  <c r="I135" i="38"/>
  <c r="I139" i="38" s="1"/>
  <c r="I137" i="38"/>
  <c r="I141" i="38" s="1"/>
  <c r="I136" i="38"/>
  <c r="I140" i="38" s="1"/>
  <c r="I138" i="38"/>
  <c r="J85" i="36" s="1"/>
  <c r="M25" i="53"/>
  <c r="M40" i="53" s="1"/>
  <c r="N19" i="53"/>
  <c r="M122" i="15"/>
  <c r="M132" i="15" s="1"/>
  <c r="I105" i="38"/>
  <c r="J99" i="36" s="1"/>
  <c r="AP99" i="36" s="1"/>
  <c r="I102" i="38"/>
  <c r="I106" i="38" s="1"/>
  <c r="I104" i="38"/>
  <c r="I108" i="38" s="1"/>
  <c r="I103" i="38"/>
  <c r="I107" i="38" s="1"/>
  <c r="H85" i="45"/>
  <c r="Q41" i="15"/>
  <c r="D223" i="19"/>
  <c r="D224" i="19" s="1"/>
  <c r="D246" i="19"/>
  <c r="D247" i="19" s="1"/>
  <c r="P19" i="16"/>
  <c r="P18" i="16"/>
  <c r="P15" i="16"/>
  <c r="Q14" i="16"/>
  <c r="P16" i="16"/>
  <c r="P74" i="16"/>
  <c r="P32" i="16"/>
  <c r="F115" i="14"/>
  <c r="O34" i="15"/>
  <c r="O33" i="15"/>
  <c r="E82" i="46"/>
  <c r="E87" i="46" s="1"/>
  <c r="E80" i="46"/>
  <c r="E85" i="46" s="1"/>
  <c r="E81" i="46"/>
  <c r="E86" i="46" s="1"/>
  <c r="E79" i="48"/>
  <c r="E84" i="46"/>
  <c r="F90" i="45" s="1"/>
  <c r="E83" i="46"/>
  <c r="E88" i="46" s="1"/>
  <c r="AJ116" i="45"/>
  <c r="J92" i="46"/>
  <c r="J97" i="46" s="1"/>
  <c r="J93" i="46"/>
  <c r="J98" i="46" s="1"/>
  <c r="J91" i="46"/>
  <c r="J94" i="46"/>
  <c r="J90" i="46"/>
  <c r="J95" i="46" s="1"/>
  <c r="J89" i="48"/>
  <c r="G144" i="29"/>
  <c r="G145" i="29" s="1"/>
  <c r="G167" i="29"/>
  <c r="G168" i="29" s="1"/>
  <c r="E172" i="29"/>
  <c r="E173" i="29" s="1"/>
  <c r="E175" i="29" s="1"/>
  <c r="K127" i="38"/>
  <c r="K128" i="38"/>
  <c r="K183" i="38"/>
  <c r="K182" i="38"/>
  <c r="L126" i="38"/>
  <c r="AP58" i="51"/>
  <c r="H156" i="46"/>
  <c r="H161" i="46" s="1"/>
  <c r="H155" i="46"/>
  <c r="H160" i="46" s="1"/>
  <c r="H158" i="46"/>
  <c r="H163" i="46" s="1"/>
  <c r="H157" i="46"/>
  <c r="H162" i="46" s="1"/>
  <c r="H159" i="46"/>
  <c r="I98" i="45" s="1"/>
  <c r="H154" i="48"/>
  <c r="L332" i="42"/>
  <c r="AO23" i="45"/>
  <c r="G174" i="28"/>
  <c r="G176" i="28"/>
  <c r="G175" i="28"/>
  <c r="G178" i="28"/>
  <c r="G179" i="28"/>
  <c r="G177" i="28"/>
  <c r="F185" i="28"/>
  <c r="F227" i="12"/>
  <c r="E318" i="42"/>
  <c r="E319" i="42" s="1"/>
  <c r="E321" i="42" s="1"/>
  <c r="F171" i="29"/>
  <c r="F174" i="29" s="1"/>
  <c r="F170" i="29"/>
  <c r="AN99" i="45"/>
  <c r="G233" i="54"/>
  <c r="G236" i="54" s="1"/>
  <c r="G232" i="54"/>
  <c r="F211" i="19"/>
  <c r="F31" i="19"/>
  <c r="J183" i="42"/>
  <c r="J182" i="42"/>
  <c r="K181" i="42"/>
  <c r="M26" i="53"/>
  <c r="M41" i="53" s="1"/>
  <c r="M147" i="53" s="1"/>
  <c r="M148" i="53" s="1"/>
  <c r="N60" i="51" s="1"/>
  <c r="N20" i="53"/>
  <c r="AO70" i="51"/>
  <c r="M28" i="42"/>
  <c r="M43" i="42" s="1"/>
  <c r="N22" i="42"/>
  <c r="N27" i="29"/>
  <c r="O21" i="29"/>
  <c r="E169" i="12"/>
  <c r="J264" i="46"/>
  <c r="J269" i="46" s="1"/>
  <c r="J262" i="46"/>
  <c r="J267" i="46" s="1"/>
  <c r="J261" i="46"/>
  <c r="J266" i="46" s="1"/>
  <c r="J265" i="46"/>
  <c r="K105" i="45" s="1"/>
  <c r="J263" i="46"/>
  <c r="J268" i="46" s="1"/>
  <c r="J260" i="48"/>
  <c r="D111" i="48"/>
  <c r="D116" i="48" s="1"/>
  <c r="D110" i="48"/>
  <c r="D115" i="48" s="1"/>
  <c r="D112" i="48"/>
  <c r="D117" i="48" s="1"/>
  <c r="D113" i="48"/>
  <c r="D118" i="48" s="1"/>
  <c r="D114" i="48"/>
  <c r="D274" i="48"/>
  <c r="H243" i="38"/>
  <c r="H246" i="38"/>
  <c r="AQ61" i="51"/>
  <c r="K64" i="51"/>
  <c r="AO79" i="36"/>
  <c r="AO114" i="36" s="1"/>
  <c r="I114" i="36"/>
  <c r="P124" i="16"/>
  <c r="O38" i="29"/>
  <c r="P54" i="16"/>
  <c r="C293" i="20"/>
  <c r="C294" i="20" s="1"/>
  <c r="I99" i="19"/>
  <c r="J66" i="16"/>
  <c r="K58" i="51"/>
  <c r="C331" i="46"/>
  <c r="C343" i="46" s="1"/>
  <c r="C344" i="46" s="1"/>
  <c r="C345" i="46" s="1"/>
  <c r="C332" i="46"/>
  <c r="H228" i="46"/>
  <c r="H233" i="46" s="1"/>
  <c r="H229" i="46"/>
  <c r="H234" i="46" s="1"/>
  <c r="H230" i="46"/>
  <c r="H235" i="46" s="1"/>
  <c r="H231" i="46"/>
  <c r="I108" i="45" s="1"/>
  <c r="H227" i="46"/>
  <c r="H232" i="46" s="1"/>
  <c r="H226" i="48"/>
  <c r="J33" i="45"/>
  <c r="M28" i="29"/>
  <c r="M46" i="29" s="1"/>
  <c r="N22" i="29"/>
  <c r="AN77" i="45"/>
  <c r="L69" i="45"/>
  <c r="G267" i="48"/>
  <c r="N21" i="15"/>
  <c r="L135" i="53"/>
  <c r="M56" i="51"/>
  <c r="J67" i="15"/>
  <c r="J46" i="15"/>
  <c r="I207" i="38"/>
  <c r="I211" i="38" s="1"/>
  <c r="I208" i="38"/>
  <c r="I206" i="38"/>
  <c r="I210" i="38" s="1"/>
  <c r="I205" i="38"/>
  <c r="I209" i="38" s="1"/>
  <c r="J137" i="46"/>
  <c r="J201" i="46"/>
  <c r="J138" i="46"/>
  <c r="J200" i="46"/>
  <c r="K136" i="46"/>
  <c r="AM87" i="45"/>
  <c r="E202" i="53"/>
  <c r="E201" i="53"/>
  <c r="E200" i="53"/>
  <c r="E198" i="53"/>
  <c r="E203" i="53"/>
  <c r="E199" i="53"/>
  <c r="C275" i="48"/>
  <c r="C318" i="48"/>
  <c r="C319" i="48" s="1"/>
  <c r="C341" i="48"/>
  <c r="C342" i="48" s="1"/>
  <c r="AO91" i="36"/>
  <c r="AO93" i="36" s="1"/>
  <c r="AO96" i="36" s="1"/>
  <c r="I93" i="36"/>
  <c r="I96" i="36" s="1"/>
  <c r="D281" i="20"/>
  <c r="D282" i="20"/>
  <c r="D283" i="20"/>
  <c r="D285" i="20"/>
  <c r="D284" i="20"/>
  <c r="D286" i="20"/>
  <c r="AN107" i="45"/>
  <c r="H138" i="19"/>
  <c r="K44" i="45"/>
  <c r="K95" i="45"/>
  <c r="J35" i="46"/>
  <c r="K43" i="45"/>
  <c r="K42" i="45"/>
  <c r="N27" i="53"/>
  <c r="N42" i="53" s="1"/>
  <c r="O21" i="53"/>
  <c r="I135" i="15"/>
  <c r="H60" i="45"/>
  <c r="H73" i="45" s="1"/>
  <c r="H104" i="45"/>
  <c r="H58" i="45"/>
  <c r="H71" i="45" s="1"/>
  <c r="H59" i="45"/>
  <c r="H72" i="45" s="1"/>
  <c r="G37" i="46"/>
  <c r="L43" i="46" s="1"/>
  <c r="E267" i="48"/>
  <c r="AR53" i="51"/>
  <c r="L54" i="51"/>
  <c r="C338" i="46"/>
  <c r="C337" i="46"/>
  <c r="C336" i="46"/>
  <c r="C334" i="46"/>
  <c r="C335" i="46"/>
  <c r="C339" i="46"/>
  <c r="L29" i="48"/>
  <c r="H70" i="45"/>
  <c r="M25" i="48"/>
  <c r="M40" i="48" s="1"/>
  <c r="N19" i="48"/>
  <c r="C249" i="53"/>
  <c r="J25" i="19"/>
  <c r="J43" i="19" s="1"/>
  <c r="J101" i="19" s="1"/>
  <c r="K19" i="19"/>
  <c r="I157" i="19"/>
  <c r="J123" i="12"/>
  <c r="I198" i="20"/>
  <c r="I80" i="42"/>
  <c r="I84" i="42" s="1"/>
  <c r="I79" i="42"/>
  <c r="I83" i="42" s="1"/>
  <c r="I81" i="42"/>
  <c r="I78" i="42"/>
  <c r="I82" i="42" s="1"/>
  <c r="K64" i="15"/>
  <c r="J75" i="29"/>
  <c r="K64" i="16" s="1"/>
  <c r="I133" i="19"/>
  <c r="M26" i="28"/>
  <c r="M44" i="28" s="1"/>
  <c r="N20" i="28"/>
  <c r="L106" i="53"/>
  <c r="L107" i="53" s="1"/>
  <c r="M62" i="51" s="1"/>
  <c r="L110" i="53"/>
  <c r="L111" i="53" s="1"/>
  <c r="L104" i="53"/>
  <c r="L105" i="53" s="1"/>
  <c r="M53" i="51" s="1"/>
  <c r="L108" i="53"/>
  <c r="L109" i="53" s="1"/>
  <c r="AO36" i="45"/>
  <c r="Q8" i="15"/>
  <c r="I303" i="42"/>
  <c r="I315" i="42" s="1"/>
  <c r="I304" i="42"/>
  <c r="O11" i="15"/>
  <c r="E272" i="19"/>
  <c r="E273" i="19"/>
  <c r="E222" i="19"/>
  <c r="E221" i="19"/>
  <c r="E225" i="19"/>
  <c r="M28" i="46"/>
  <c r="N22" i="46"/>
  <c r="E127" i="14"/>
  <c r="E146" i="14"/>
  <c r="M26" i="46"/>
  <c r="M41" i="46" s="1"/>
  <c r="N20" i="46"/>
  <c r="O20" i="16"/>
  <c r="I24" i="45"/>
  <c r="I26" i="45"/>
  <c r="I25" i="45"/>
  <c r="I82" i="45"/>
  <c r="H34" i="46"/>
  <c r="F146" i="12"/>
  <c r="F115" i="12"/>
  <c r="O74" i="15"/>
  <c r="H106" i="19"/>
  <c r="F74" i="51"/>
  <c r="E253" i="53"/>
  <c r="K146" i="28"/>
  <c r="K31" i="28"/>
  <c r="J217" i="42"/>
  <c r="J219" i="42" s="1"/>
  <c r="K216" i="42"/>
  <c r="D278" i="20"/>
  <c r="D279" i="20"/>
  <c r="G171" i="28"/>
  <c r="G183" i="28" s="1"/>
  <c r="G184" i="28" s="1"/>
  <c r="G172" i="28"/>
  <c r="F140" i="12"/>
  <c r="E89" i="19"/>
  <c r="F140" i="14" s="1"/>
  <c r="G301" i="42"/>
  <c r="G305" i="42" s="1"/>
  <c r="G302" i="42"/>
  <c r="J129" i="38"/>
  <c r="J134" i="38"/>
  <c r="H178" i="46"/>
  <c r="H183" i="46" s="1"/>
  <c r="H175" i="46"/>
  <c r="H180" i="46" s="1"/>
  <c r="H176" i="46"/>
  <c r="H181" i="46" s="1"/>
  <c r="H174" i="48"/>
  <c r="H177" i="46"/>
  <c r="H182" i="46" s="1"/>
  <c r="H179" i="46"/>
  <c r="I107" i="45" s="1"/>
  <c r="AN108" i="45"/>
  <c r="E112" i="45"/>
  <c r="E98" i="12"/>
  <c r="E153" i="12"/>
  <c r="K26" i="20"/>
  <c r="K44" i="20" s="1"/>
  <c r="L20" i="20"/>
  <c r="M128" i="16"/>
  <c r="L40" i="29"/>
  <c r="M60" i="16"/>
  <c r="F234" i="54"/>
  <c r="F235" i="54" s="1"/>
  <c r="F237" i="54" s="1"/>
  <c r="F258" i="54" s="1"/>
  <c r="H164" i="28"/>
  <c r="H162" i="28"/>
  <c r="H161" i="28"/>
  <c r="H163" i="28"/>
  <c r="H199" i="42"/>
  <c r="H203" i="42" s="1"/>
  <c r="H197" i="42"/>
  <c r="H201" i="42" s="1"/>
  <c r="H200" i="42"/>
  <c r="H198" i="42"/>
  <c r="H202" i="42" s="1"/>
  <c r="N24" i="54"/>
  <c r="O18" i="54"/>
  <c r="H145" i="42"/>
  <c r="H149" i="42" s="1"/>
  <c r="H143" i="42"/>
  <c r="H147" i="42" s="1"/>
  <c r="H144" i="42"/>
  <c r="H148" i="42" s="1"/>
  <c r="H146" i="42"/>
  <c r="I261" i="48"/>
  <c r="I266" i="48" s="1"/>
  <c r="I263" i="48"/>
  <c r="I268" i="48" s="1"/>
  <c r="I262" i="48"/>
  <c r="I267" i="48" s="1"/>
  <c r="I265" i="48"/>
  <c r="I264" i="48"/>
  <c r="I269" i="48" s="1"/>
  <c r="N27" i="48"/>
  <c r="N42" i="48" s="1"/>
  <c r="O21" i="48"/>
  <c r="F160" i="29"/>
  <c r="F164" i="29"/>
  <c r="F162" i="29"/>
  <c r="F163" i="29"/>
  <c r="F161" i="29"/>
  <c r="F165" i="29"/>
  <c r="AK93" i="45"/>
  <c r="AK94" i="45"/>
  <c r="E94" i="45"/>
  <c r="E93" i="45"/>
  <c r="G222" i="54"/>
  <c r="G224" i="54"/>
  <c r="G227" i="54"/>
  <c r="G225" i="54"/>
  <c r="G226" i="54"/>
  <c r="G223" i="54"/>
  <c r="G280" i="42"/>
  <c r="G281" i="42" s="1"/>
  <c r="H247" i="42"/>
  <c r="J296" i="38"/>
  <c r="J294" i="38"/>
  <c r="J293" i="38"/>
  <c r="J295" i="38"/>
  <c r="AQ19" i="45"/>
  <c r="AQ20" i="45"/>
  <c r="G119" i="36"/>
  <c r="I184" i="42"/>
  <c r="I204" i="42"/>
  <c r="I196" i="42"/>
  <c r="I188" i="42"/>
  <c r="J212" i="54"/>
  <c r="J210" i="54"/>
  <c r="J209" i="54"/>
  <c r="J211" i="54"/>
  <c r="AS60" i="51"/>
  <c r="K61" i="54"/>
  <c r="K66" i="54"/>
  <c r="K73" i="54" s="1"/>
  <c r="K74" i="54" s="1"/>
  <c r="K65" i="54"/>
  <c r="K75" i="54" s="1"/>
  <c r="K76" i="54" s="1"/>
  <c r="K64" i="54"/>
  <c r="K71" i="54" s="1"/>
  <c r="K72" i="54" s="1"/>
  <c r="K67" i="54"/>
  <c r="K77" i="54" s="1"/>
  <c r="K78" i="54" s="1"/>
  <c r="K62" i="54"/>
  <c r="L60" i="54"/>
  <c r="E225" i="12" a="1"/>
  <c r="E225" i="12" s="1"/>
  <c r="G227" i="12"/>
  <c r="F316" i="42"/>
  <c r="F317" i="42"/>
  <c r="AM70" i="45"/>
  <c r="J63" i="53"/>
  <c r="J159" i="53" s="1"/>
  <c r="J69" i="53"/>
  <c r="J70" i="53" s="1"/>
  <c r="K49" i="51" s="1"/>
  <c r="J209" i="53"/>
  <c r="J210" i="53"/>
  <c r="J212" i="53"/>
  <c r="J211" i="53"/>
  <c r="C274" i="20"/>
  <c r="C275" i="20"/>
  <c r="AM58" i="45"/>
  <c r="AM71" i="45" s="1"/>
  <c r="AM60" i="45"/>
  <c r="AM59" i="45"/>
  <c r="AM72" i="45" s="1"/>
  <c r="F37" i="48"/>
  <c r="K43" i="48" s="1"/>
  <c r="AM104" i="45"/>
  <c r="I101" i="19"/>
  <c r="J66" i="15"/>
  <c r="G131" i="12"/>
  <c r="K125" i="20"/>
  <c r="K122" i="20"/>
  <c r="K121" i="20"/>
  <c r="K123" i="20"/>
  <c r="K120" i="20"/>
  <c r="K124" i="20"/>
  <c r="L119" i="20"/>
  <c r="F91" i="19"/>
  <c r="G144" i="14" s="1"/>
  <c r="G144" i="12"/>
  <c r="L76" i="15"/>
  <c r="C205" i="28"/>
  <c r="N24" i="28"/>
  <c r="O18" i="28"/>
  <c r="Q124" i="16"/>
  <c r="P38" i="29"/>
  <c r="Q54" i="16"/>
  <c r="I213" i="53"/>
  <c r="I214" i="53"/>
  <c r="K208" i="53"/>
  <c r="AS63" i="51"/>
  <c r="L153" i="53"/>
  <c r="K154" i="53"/>
  <c r="K156" i="53" s="1"/>
  <c r="J67" i="16"/>
  <c r="J46" i="16"/>
  <c r="I139" i="46"/>
  <c r="I144" i="46"/>
  <c r="AM86" i="45"/>
  <c r="AP49" i="51"/>
  <c r="J51" i="51"/>
  <c r="J72" i="51"/>
  <c r="M25" i="28"/>
  <c r="M43" i="28" s="1"/>
  <c r="N19" i="28"/>
  <c r="G87" i="20"/>
  <c r="H104" i="12"/>
  <c r="E259" i="54"/>
  <c r="AL78" i="51" s="1"/>
  <c r="AL77" i="51"/>
  <c r="H140" i="15"/>
  <c r="M138" i="53"/>
  <c r="M139" i="53" s="1"/>
  <c r="N69" i="51" s="1"/>
  <c r="M136" i="53"/>
  <c r="M137" i="53" s="1"/>
  <c r="N63" i="51" s="1"/>
  <c r="M134" i="53"/>
  <c r="I159" i="38"/>
  <c r="I163" i="38" s="1"/>
  <c r="I160" i="38"/>
  <c r="I164" i="38" s="1"/>
  <c r="I161" i="38"/>
  <c r="I165" i="38" s="1"/>
  <c r="I162" i="38"/>
  <c r="J109" i="36" s="1"/>
  <c r="AP109" i="36" s="1"/>
  <c r="E266" i="20"/>
  <c r="F111" i="12"/>
  <c r="E80" i="19"/>
  <c r="F111" i="14" s="1"/>
  <c r="J143" i="29"/>
  <c r="J146" i="29"/>
  <c r="AR62" i="51"/>
  <c r="C308" i="46"/>
  <c r="C309" i="46" s="1"/>
  <c r="D275" i="46"/>
  <c r="AK106" i="45"/>
  <c r="AK109" i="45" s="1"/>
  <c r="N24" i="29"/>
  <c r="O18" i="29"/>
  <c r="I178" i="20"/>
  <c r="I140" i="19" s="1"/>
  <c r="I174" i="20"/>
  <c r="I136" i="19" s="1"/>
  <c r="I175" i="20"/>
  <c r="I137" i="19" s="1"/>
  <c r="I135" i="19"/>
  <c r="J113" i="14" s="1"/>
  <c r="J113" i="12"/>
  <c r="I177" i="20"/>
  <c r="I139" i="19" s="1"/>
  <c r="I176" i="20"/>
  <c r="G217" i="53"/>
  <c r="G221" i="53" s="1"/>
  <c r="G218" i="53"/>
  <c r="E33" i="19"/>
  <c r="E34" i="19"/>
  <c r="I63" i="42"/>
  <c r="I69" i="42"/>
  <c r="I130" i="19"/>
  <c r="C236" i="19"/>
  <c r="C248" i="19" s="1"/>
  <c r="C249" i="19" s="1"/>
  <c r="C250" i="19" s="1"/>
  <c r="C237" i="19"/>
  <c r="J65" i="16"/>
  <c r="N24" i="48"/>
  <c r="O18" i="48"/>
  <c r="L332" i="38"/>
  <c r="E108" i="12"/>
  <c r="N27" i="42"/>
  <c r="N42" i="42" s="1"/>
  <c r="O21" i="42"/>
  <c r="G128" i="36"/>
  <c r="G163" i="19"/>
  <c r="H133" i="12"/>
  <c r="D325" i="42"/>
  <c r="E74" i="19"/>
  <c r="F121" i="14" s="1"/>
  <c r="F121" i="12"/>
  <c r="P15" i="15"/>
  <c r="P19" i="15"/>
  <c r="P18" i="15"/>
  <c r="P16" i="15"/>
  <c r="Q14" i="15"/>
  <c r="P32" i="15"/>
  <c r="P74" i="15" s="1"/>
  <c r="H157" i="29"/>
  <c r="H169" i="29" s="1"/>
  <c r="H158" i="29"/>
  <c r="I134" i="16"/>
  <c r="I77" i="16"/>
  <c r="I133" i="16" a="1"/>
  <c r="I133" i="16" s="1"/>
  <c r="I68" i="16"/>
  <c r="AJ118" i="45"/>
  <c r="K265" i="19"/>
  <c r="L307" i="20"/>
  <c r="I221" i="42"/>
  <c r="I225" i="42" s="1"/>
  <c r="I222" i="42"/>
  <c r="I226" i="42" s="1"/>
  <c r="I223" i="42"/>
  <c r="I220" i="42"/>
  <c r="I224" i="42" s="1"/>
  <c r="H215" i="53"/>
  <c r="H216" i="53"/>
  <c r="F139" i="12"/>
  <c r="G280" i="38"/>
  <c r="G281" i="38" s="1"/>
  <c r="H247" i="38"/>
  <c r="M40" i="29"/>
  <c r="N128" i="16"/>
  <c r="N60" i="16"/>
  <c r="K64" i="46"/>
  <c r="K61" i="46"/>
  <c r="K62" i="46"/>
  <c r="K67" i="46"/>
  <c r="K65" i="46"/>
  <c r="K66" i="46"/>
  <c r="K89" i="46" s="1"/>
  <c r="L60" i="46"/>
  <c r="J186" i="38"/>
  <c r="J185" i="38"/>
  <c r="M28" i="48"/>
  <c r="M29" i="48" s="1"/>
  <c r="N22" i="48"/>
  <c r="H166" i="46"/>
  <c r="H171" i="46" s="1"/>
  <c r="H168" i="46"/>
  <c r="H173" i="46" s="1"/>
  <c r="H169" i="46"/>
  <c r="I77" i="45" s="1"/>
  <c r="H167" i="46"/>
  <c r="H172" i="46" s="1"/>
  <c r="H164" i="48"/>
  <c r="H165" i="46"/>
  <c r="H170" i="46" s="1"/>
  <c r="E153" i="14"/>
  <c r="E98" i="14"/>
  <c r="F83" i="20"/>
  <c r="F75" i="19" s="1"/>
  <c r="F79" i="20"/>
  <c r="G114" i="12"/>
  <c r="F80" i="20"/>
  <c r="F70" i="19"/>
  <c r="G114" i="14" s="1"/>
  <c r="F82" i="20"/>
  <c r="F81" i="20"/>
  <c r="L37" i="29"/>
  <c r="M125" i="16"/>
  <c r="M47" i="16"/>
  <c r="G145" i="48"/>
  <c r="G150" i="48" s="1"/>
  <c r="G147" i="48"/>
  <c r="G152" i="48" s="1"/>
  <c r="G148" i="48"/>
  <c r="G153" i="48" s="1"/>
  <c r="G149" i="48"/>
  <c r="G146" i="48"/>
  <c r="G151" i="48" s="1"/>
  <c r="L40" i="28"/>
  <c r="M128" i="15"/>
  <c r="M60" i="15"/>
  <c r="M39" i="54"/>
  <c r="H153" i="42"/>
  <c r="H157" i="42" s="1"/>
  <c r="H151" i="42"/>
  <c r="H155" i="42" s="1"/>
  <c r="H152" i="42"/>
  <c r="H156" i="42" s="1"/>
  <c r="H154" i="42"/>
  <c r="H215" i="54"/>
  <c r="H216" i="54"/>
  <c r="F287" i="42"/>
  <c r="F285" i="42"/>
  <c r="F284" i="42"/>
  <c r="F282" i="42"/>
  <c r="F283" i="42"/>
  <c r="F286" i="42"/>
  <c r="N11" i="15"/>
  <c r="G290" i="38"/>
  <c r="G291" i="38" s="1"/>
  <c r="G313" i="38"/>
  <c r="G314" i="38" s="1"/>
  <c r="AQ69" i="45"/>
  <c r="AP71" i="51"/>
  <c r="I185" i="42"/>
  <c r="I186" i="42"/>
  <c r="J28" i="19"/>
  <c r="J46" i="19" s="1"/>
  <c r="J167" i="19" s="1"/>
  <c r="J166" i="19" s="1"/>
  <c r="K22" i="19"/>
  <c r="E130" i="12"/>
  <c r="J23" i="45"/>
  <c r="E232" i="12"/>
  <c r="J208" i="28"/>
  <c r="J207" i="28"/>
  <c r="J156" i="28"/>
  <c r="J34" i="29"/>
  <c r="J33" i="29"/>
  <c r="F306" i="42"/>
  <c r="F307" i="42"/>
  <c r="F310" i="42"/>
  <c r="F308" i="42"/>
  <c r="F311" i="42"/>
  <c r="F309" i="42"/>
  <c r="F269" i="48"/>
  <c r="AK101" i="45"/>
  <c r="E103" i="45"/>
  <c r="E101" i="45"/>
  <c r="AK102" i="45"/>
  <c r="E102" i="45"/>
  <c r="AK103" i="45"/>
  <c r="G208" i="48"/>
  <c r="G213" i="48" s="1"/>
  <c r="G209" i="48"/>
  <c r="G214" i="48" s="1"/>
  <c r="G210" i="48"/>
  <c r="G215" i="48" s="1"/>
  <c r="G211" i="48"/>
  <c r="G207" i="48"/>
  <c r="G212" i="48" s="1"/>
  <c r="L29" i="46"/>
  <c r="M28" i="28"/>
  <c r="M46" i="28" s="1"/>
  <c r="N22" i="28"/>
  <c r="H80" i="36"/>
  <c r="H83" i="36" s="1"/>
  <c r="H119" i="36" s="1"/>
  <c r="H115" i="36"/>
  <c r="H116" i="36" s="1"/>
  <c r="AN78" i="36"/>
  <c r="I96" i="19"/>
  <c r="I95" i="19" s="1"/>
  <c r="L360" i="48"/>
  <c r="J127" i="20"/>
  <c r="K47" i="28"/>
  <c r="K51" i="29"/>
  <c r="K52" i="29"/>
  <c r="K49" i="29" s="1"/>
  <c r="K54" i="29"/>
  <c r="K53" i="29"/>
  <c r="K50" i="29"/>
  <c r="G139" i="12"/>
  <c r="K21" i="45"/>
  <c r="C210" i="28"/>
  <c r="K306" i="48"/>
  <c r="K31" i="48"/>
  <c r="AJ126" i="36"/>
  <c r="C343" i="42"/>
  <c r="AJ127" i="36" s="1"/>
  <c r="AJ109" i="45"/>
  <c r="AJ114" i="45"/>
  <c r="J55" i="45"/>
  <c r="J56" i="45"/>
  <c r="AK76" i="45"/>
  <c r="E78" i="45"/>
  <c r="G153" i="29"/>
  <c r="G154" i="29"/>
  <c r="K292" i="38"/>
  <c r="M122" i="16"/>
  <c r="M132" i="16" s="1"/>
  <c r="AS69" i="51"/>
  <c r="J157" i="53"/>
  <c r="K66" i="51" s="1"/>
  <c r="J162" i="53"/>
  <c r="I58" i="29"/>
  <c r="I114" i="28"/>
  <c r="I213" i="28"/>
  <c r="D335" i="38"/>
  <c r="E121" i="36" s="1"/>
  <c r="AK121" i="36" s="1"/>
  <c r="D333" i="38"/>
  <c r="I141" i="46"/>
  <c r="I164" i="46" s="1"/>
  <c r="I140" i="46"/>
  <c r="I154" i="46" s="1"/>
  <c r="I142" i="46"/>
  <c r="I174" i="46" s="1"/>
  <c r="AM85" i="45"/>
  <c r="H267" i="48"/>
  <c r="L68" i="29"/>
  <c r="L65" i="29"/>
  <c r="L66" i="29"/>
  <c r="L67" i="29"/>
  <c r="L63" i="29"/>
  <c r="L62" i="29" s="1"/>
  <c r="L64" i="29"/>
  <c r="P11" i="15"/>
  <c r="G178" i="48"/>
  <c r="G183" i="48" s="1"/>
  <c r="G176" i="48"/>
  <c r="G181" i="48" s="1"/>
  <c r="G175" i="48"/>
  <c r="G180" i="48" s="1"/>
  <c r="G179" i="48"/>
  <c r="G177" i="48"/>
  <c r="G182" i="48" s="1"/>
  <c r="E170" i="28"/>
  <c r="E169" i="28"/>
  <c r="E173" i="28" s="1"/>
  <c r="H201" i="20"/>
  <c r="H162" i="19" s="1"/>
  <c r="H203" i="20"/>
  <c r="H164" i="19" s="1"/>
  <c r="H199" i="20"/>
  <c r="H160" i="19" s="1"/>
  <c r="H200" i="20"/>
  <c r="H161" i="19" s="1"/>
  <c r="H159" i="19"/>
  <c r="I123" i="14" s="1"/>
  <c r="H202" i="20"/>
  <c r="F33" i="20"/>
  <c r="F34" i="20"/>
  <c r="E242" i="54"/>
  <c r="E251" i="54" s="1"/>
  <c r="AL75" i="51" s="1"/>
  <c r="I145" i="38"/>
  <c r="I149" i="38" s="1"/>
  <c r="I143" i="38"/>
  <c r="I147" i="38" s="1"/>
  <c r="I146" i="38"/>
  <c r="J100" i="36" s="1"/>
  <c r="AP100" i="36" s="1"/>
  <c r="I144" i="38"/>
  <c r="I148" i="38" s="1"/>
  <c r="E65" i="19"/>
  <c r="F96" i="14" s="1"/>
  <c r="F96" i="12"/>
  <c r="E77" i="19"/>
  <c r="F106" i="14" s="1"/>
  <c r="F106" i="12"/>
  <c r="I34" i="45"/>
  <c r="D100" i="48"/>
  <c r="D105" i="48" s="1"/>
  <c r="D103" i="48"/>
  <c r="D108" i="48" s="1"/>
  <c r="D101" i="48"/>
  <c r="D106" i="48" s="1"/>
  <c r="D102" i="48"/>
  <c r="D107" i="48" s="1"/>
  <c r="D104" i="48"/>
  <c r="AP64" i="51"/>
  <c r="E149" i="14"/>
  <c r="J169" i="20"/>
  <c r="J168" i="20"/>
  <c r="J170" i="20"/>
  <c r="J179" i="20" s="1"/>
  <c r="J171" i="20"/>
  <c r="J185" i="20" s="1"/>
  <c r="K166" i="20"/>
  <c r="J167" i="20"/>
  <c r="J173" i="20" s="1"/>
  <c r="F265" i="20"/>
  <c r="F288" i="20"/>
  <c r="F289" i="20" s="1"/>
  <c r="F314" i="20"/>
  <c r="F264" i="20"/>
  <c r="F315" i="20"/>
  <c r="F263" i="20"/>
  <c r="F267" i="20"/>
  <c r="P10" i="16"/>
  <c r="I24" i="20"/>
  <c r="J18" i="20"/>
  <c r="J65" i="15"/>
  <c r="J296" i="42"/>
  <c r="J294" i="42"/>
  <c r="J293" i="42"/>
  <c r="J295" i="42"/>
  <c r="K200" i="48"/>
  <c r="K137" i="48"/>
  <c r="K138" i="48"/>
  <c r="K201" i="48"/>
  <c r="L136" i="48"/>
  <c r="J66" i="38"/>
  <c r="J85" i="38" s="1"/>
  <c r="J62" i="38"/>
  <c r="J64" i="38"/>
  <c r="J77" i="38" s="1"/>
  <c r="J61" i="38"/>
  <c r="J67" i="38"/>
  <c r="J101" i="38" s="1"/>
  <c r="J65" i="38"/>
  <c r="J93" i="38" s="1"/>
  <c r="K60" i="38"/>
  <c r="E108" i="14"/>
  <c r="E97" i="14"/>
  <c r="E154" i="14"/>
  <c r="G235" i="53"/>
  <c r="G237" i="53" s="1"/>
  <c r="G258" i="53" s="1"/>
  <c r="J232" i="42"/>
  <c r="J234" i="42" s="1"/>
  <c r="K231" i="42"/>
  <c r="I93" i="48"/>
  <c r="I98" i="48" s="1"/>
  <c r="I92" i="48"/>
  <c r="I97" i="48" s="1"/>
  <c r="I90" i="48"/>
  <c r="I95" i="48" s="1"/>
  <c r="I94" i="48"/>
  <c r="I91" i="48"/>
  <c r="G47" i="20"/>
  <c r="G221" i="20"/>
  <c r="H93" i="12"/>
  <c r="G72" i="20"/>
  <c r="O17" i="15"/>
  <c r="I136" i="16"/>
  <c r="K61" i="28"/>
  <c r="K57" i="29" s="1"/>
  <c r="K63" i="28"/>
  <c r="K64" i="28"/>
  <c r="K60" i="28"/>
  <c r="L59" i="28"/>
  <c r="E266" i="48"/>
  <c r="E226" i="14"/>
  <c r="E225" i="14" a="1"/>
  <c r="E225" i="14" s="1"/>
  <c r="E148" i="14"/>
  <c r="G148" i="28"/>
  <c r="G149" i="28" s="1"/>
  <c r="H214" i="28"/>
  <c r="F283" i="38"/>
  <c r="F282" i="38"/>
  <c r="F286" i="38"/>
  <c r="F285" i="38"/>
  <c r="F284" i="38"/>
  <c r="F287" i="38"/>
  <c r="H72" i="42"/>
  <c r="H76" i="42" s="1"/>
  <c r="H70" i="42"/>
  <c r="H74" i="42" s="1"/>
  <c r="H71" i="42"/>
  <c r="H75" i="42" s="1"/>
  <c r="H73" i="42"/>
  <c r="J63" i="46"/>
  <c r="C242" i="19"/>
  <c r="C244" i="19"/>
  <c r="C241" i="19"/>
  <c r="C239" i="19"/>
  <c r="C240" i="19"/>
  <c r="C243" i="19"/>
  <c r="L44" i="54"/>
  <c r="L204" i="54" s="1"/>
  <c r="J241" i="46"/>
  <c r="J243" i="46" s="1"/>
  <c r="K240" i="46"/>
  <c r="J130" i="38"/>
  <c r="J142" i="38" s="1"/>
  <c r="J132" i="38"/>
  <c r="J158" i="38" s="1"/>
  <c r="J131" i="38"/>
  <c r="J150" i="38" s="1"/>
  <c r="K258" i="48"/>
  <c r="L257" i="48"/>
  <c r="F134" i="29"/>
  <c r="F135" i="29" s="1"/>
  <c r="G101" i="29"/>
  <c r="D150" i="12"/>
  <c r="AN83" i="45"/>
  <c r="D249" i="54"/>
  <c r="D251" i="54"/>
  <c r="AK75" i="51" s="1"/>
  <c r="L129" i="15"/>
  <c r="H160" i="42"/>
  <c r="H164" i="42" s="1"/>
  <c r="H161" i="42"/>
  <c r="H165" i="42" s="1"/>
  <c r="H162" i="42"/>
  <c r="H159" i="42"/>
  <c r="H163" i="42" s="1"/>
  <c r="AP105" i="45"/>
  <c r="H234" i="54"/>
  <c r="G219" i="48"/>
  <c r="G224" i="48" s="1"/>
  <c r="G218" i="48"/>
  <c r="G223" i="48" s="1"/>
  <c r="G217" i="48"/>
  <c r="G222" i="48" s="1"/>
  <c r="G221" i="48"/>
  <c r="G220" i="48"/>
  <c r="G225" i="48" s="1"/>
  <c r="J289" i="38"/>
  <c r="J71" i="51"/>
  <c r="E130" i="14"/>
  <c r="H139" i="14"/>
  <c r="J63" i="54"/>
  <c r="J159" i="54" s="1"/>
  <c r="J69" i="54"/>
  <c r="J70" i="54" s="1"/>
  <c r="M26" i="54"/>
  <c r="M41" i="54" s="1"/>
  <c r="M147" i="54" s="1"/>
  <c r="M148" i="54" s="1"/>
  <c r="N20" i="54"/>
  <c r="AN89" i="45"/>
  <c r="K292" i="42"/>
  <c r="I139" i="16"/>
  <c r="AO72" i="51"/>
  <c r="AO73" i="51" s="1"/>
  <c r="AO51" i="51"/>
  <c r="L85" i="29"/>
  <c r="M61" i="15"/>
  <c r="I100" i="19"/>
  <c r="H233" i="53"/>
  <c r="H234" i="53" s="1"/>
  <c r="H232" i="53"/>
  <c r="N21" i="16"/>
  <c r="J133" i="20"/>
  <c r="G140" i="12"/>
  <c r="F89" i="19"/>
  <c r="G140" i="14" s="1"/>
  <c r="D71" i="15"/>
  <c r="C325" i="46"/>
  <c r="C326" i="46"/>
  <c r="L36" i="29"/>
  <c r="L42" i="29" s="1"/>
  <c r="M123" i="16"/>
  <c r="M43" i="16"/>
  <c r="K32" i="45"/>
  <c r="K29" i="45"/>
  <c r="K28" i="45"/>
  <c r="K31" i="45"/>
  <c r="K37" i="45" s="1"/>
  <c r="AQ27" i="45"/>
  <c r="L27" i="45"/>
  <c r="K54" i="45"/>
  <c r="D73" i="48"/>
  <c r="D78" i="48" s="1"/>
  <c r="D70" i="48"/>
  <c r="D75" i="48" s="1"/>
  <c r="D72" i="48"/>
  <c r="D77" i="48" s="1"/>
  <c r="D74" i="48"/>
  <c r="D71" i="48"/>
  <c r="D76" i="48" s="1"/>
  <c r="I139" i="15"/>
  <c r="G167" i="48"/>
  <c r="G172" i="48" s="1"/>
  <c r="G166" i="48"/>
  <c r="G171" i="48" s="1"/>
  <c r="G165" i="48"/>
  <c r="G170" i="48" s="1"/>
  <c r="G169" i="48"/>
  <c r="G168" i="48"/>
  <c r="G173" i="48" s="1"/>
  <c r="K25" i="20"/>
  <c r="K43" i="20" s="1"/>
  <c r="L19" i="20"/>
  <c r="M25" i="46"/>
  <c r="M40" i="46" s="1"/>
  <c r="N19" i="46"/>
  <c r="E193" i="28"/>
  <c r="E194" i="28" s="1"/>
  <c r="F132" i="12"/>
  <c r="E85" i="19"/>
  <c r="F132" i="14" s="1"/>
  <c r="C251" i="54"/>
  <c r="AJ75" i="51" s="1"/>
  <c r="I203" i="46"/>
  <c r="I204" i="46"/>
  <c r="H266" i="48"/>
  <c r="AN68" i="45"/>
  <c r="K241" i="48"/>
  <c r="L240" i="48"/>
  <c r="I153" i="38"/>
  <c r="I157" i="38" s="1"/>
  <c r="I154" i="38"/>
  <c r="J79" i="36" s="1"/>
  <c r="I152" i="38"/>
  <c r="I156" i="38" s="1"/>
  <c r="I151" i="38"/>
  <c r="I155" i="38" s="1"/>
  <c r="E68" i="19"/>
  <c r="F101" i="14" s="1"/>
  <c r="F101" i="12"/>
  <c r="E79" i="19"/>
  <c r="F110" i="14" s="1"/>
  <c r="F110" i="12"/>
  <c r="E149" i="12"/>
  <c r="L44" i="53"/>
  <c r="L204" i="53" s="1"/>
  <c r="D268" i="48"/>
  <c r="AN98" i="45"/>
  <c r="I181" i="20"/>
  <c r="I143" i="19" s="1"/>
  <c r="I180" i="20"/>
  <c r="I142" i="19" s="1"/>
  <c r="I182" i="20"/>
  <c r="I144" i="19" s="1"/>
  <c r="I183" i="20"/>
  <c r="I145" i="19" s="1"/>
  <c r="I184" i="20"/>
  <c r="I146" i="19" s="1"/>
  <c r="I141" i="19"/>
  <c r="J125" i="14" s="1"/>
  <c r="M39" i="45"/>
  <c r="M40" i="45"/>
  <c r="AS38" i="45"/>
  <c r="N38" i="45"/>
  <c r="K33" i="29"/>
  <c r="K34" i="29"/>
  <c r="J66" i="42"/>
  <c r="J85" i="42" s="1"/>
  <c r="J64" i="42"/>
  <c r="J77" i="42" s="1"/>
  <c r="J65" i="42"/>
  <c r="J93" i="42" s="1"/>
  <c r="J61" i="42"/>
  <c r="J62" i="42"/>
  <c r="J67" i="42"/>
  <c r="J101" i="42" s="1"/>
  <c r="K60" i="42"/>
  <c r="H29" i="20"/>
  <c r="H42" i="20"/>
  <c r="I124" i="12" s="1"/>
  <c r="E255" i="20"/>
  <c r="E256" i="20" s="1"/>
  <c r="F222" i="20"/>
  <c r="J139" i="48"/>
  <c r="E268" i="48"/>
  <c r="AO56" i="45"/>
  <c r="AO55" i="45"/>
  <c r="AO30" i="45"/>
  <c r="I87" i="38"/>
  <c r="I91" i="38" s="1"/>
  <c r="I86" i="38"/>
  <c r="I90" i="38" s="1"/>
  <c r="I88" i="38"/>
  <c r="I92" i="38" s="1"/>
  <c r="I89" i="38"/>
  <c r="H86" i="45"/>
  <c r="E154" i="12"/>
  <c r="E97" i="12"/>
  <c r="F155" i="29"/>
  <c r="F159" i="29" s="1"/>
  <c r="F156" i="29"/>
  <c r="I237" i="42"/>
  <c r="I241" i="42" s="1"/>
  <c r="I236" i="42"/>
  <c r="I240" i="42" s="1"/>
  <c r="I238" i="42"/>
  <c r="I235" i="42"/>
  <c r="I239" i="42" s="1"/>
  <c r="M25" i="54"/>
  <c r="M40" i="54" s="1"/>
  <c r="N19" i="54"/>
  <c r="J26" i="19"/>
  <c r="J44" i="19" s="1"/>
  <c r="J155" i="19" s="1"/>
  <c r="J154" i="19" s="1"/>
  <c r="K20" i="19"/>
  <c r="BT4" i="55"/>
  <c r="G31" i="20"/>
  <c r="G253" i="20"/>
  <c r="J60" i="29"/>
  <c r="K56" i="16" s="1"/>
  <c r="K56" i="15"/>
  <c r="I110" i="36"/>
  <c r="E113" i="46"/>
  <c r="E118" i="46" s="1"/>
  <c r="E111" i="46"/>
  <c r="E116" i="46" s="1"/>
  <c r="E110" i="46"/>
  <c r="E115" i="46" s="1"/>
  <c r="E109" i="48"/>
  <c r="E114" i="46"/>
  <c r="F97" i="45" s="1"/>
  <c r="E112" i="46"/>
  <c r="E117" i="46" s="1"/>
  <c r="E274" i="46"/>
  <c r="F153" i="28"/>
  <c r="F154" i="28"/>
  <c r="F155" i="28"/>
  <c r="F150" i="28"/>
  <c r="F152" i="28"/>
  <c r="F151" i="28"/>
  <c r="C295" i="20"/>
  <c r="F143" i="12"/>
  <c r="E90" i="19"/>
  <c r="F143" i="14" s="1"/>
  <c r="N20" i="29"/>
  <c r="M26" i="29"/>
  <c r="M44" i="29" s="1"/>
  <c r="H246" i="42"/>
  <c r="H243" i="42"/>
  <c r="E129" i="12"/>
  <c r="L29" i="54"/>
  <c r="I247" i="46"/>
  <c r="I252" i="46" s="1"/>
  <c r="I246" i="46"/>
  <c r="I251" i="46" s="1"/>
  <c r="I244" i="46"/>
  <c r="I249" i="46" s="1"/>
  <c r="I243" i="48"/>
  <c r="I245" i="46"/>
  <c r="I250" i="46" s="1"/>
  <c r="I248" i="46"/>
  <c r="J96" i="45" s="1"/>
  <c r="E269" i="48"/>
  <c r="E138" i="29"/>
  <c r="E136" i="29"/>
  <c r="E137" i="29"/>
  <c r="E140" i="29"/>
  <c r="E139" i="29"/>
  <c r="E141" i="29"/>
  <c r="H300" i="42"/>
  <c r="H299" i="42"/>
  <c r="AN57" i="45"/>
  <c r="M121" i="16"/>
  <c r="M42" i="16"/>
  <c r="D259" i="54"/>
  <c r="AK78" i="51" s="1"/>
  <c r="AK77" i="51"/>
  <c r="AN82" i="45"/>
  <c r="AN24" i="45"/>
  <c r="AN26" i="45"/>
  <c r="G34" i="48"/>
  <c r="AN25" i="45"/>
  <c r="M25" i="29"/>
  <c r="M43" i="29" s="1"/>
  <c r="N19" i="29"/>
  <c r="H146" i="46"/>
  <c r="H151" i="46" s="1"/>
  <c r="H145" i="46"/>
  <c r="H150" i="46" s="1"/>
  <c r="H147" i="46"/>
  <c r="H152" i="46" s="1"/>
  <c r="H148" i="46"/>
  <c r="H153" i="46" s="1"/>
  <c r="H149" i="46"/>
  <c r="I83" i="45" s="1"/>
  <c r="H144" i="48"/>
  <c r="F268" i="48"/>
  <c r="AK90" i="45"/>
  <c r="E91" i="45"/>
  <c r="AN34" i="45"/>
  <c r="J49" i="15"/>
  <c r="R7" i="16"/>
  <c r="R8" i="16" s="1"/>
  <c r="S6" i="16"/>
  <c r="J89" i="29"/>
  <c r="K61" i="53"/>
  <c r="K64" i="53"/>
  <c r="K71" i="53" s="1"/>
  <c r="K72" i="53" s="1"/>
  <c r="L57" i="51" s="1"/>
  <c r="K65" i="53"/>
  <c r="K75" i="53" s="1"/>
  <c r="K62" i="53"/>
  <c r="K67" i="53"/>
  <c r="K77" i="53" s="1"/>
  <c r="K78" i="53" s="1"/>
  <c r="L61" i="51" s="1"/>
  <c r="K66" i="53"/>
  <c r="K73" i="53" s="1"/>
  <c r="K74" i="53" s="1"/>
  <c r="L60" i="53"/>
  <c r="AL72" i="45"/>
  <c r="H24" i="19"/>
  <c r="I18" i="19"/>
  <c r="I150" i="20"/>
  <c r="I126" i="19" s="1"/>
  <c r="I147" i="20"/>
  <c r="I123" i="19" s="1"/>
  <c r="I146" i="20"/>
  <c r="I122" i="19" s="1"/>
  <c r="I149" i="20"/>
  <c r="I125" i="19" s="1"/>
  <c r="J138" i="12"/>
  <c r="I148" i="20"/>
  <c r="I124" i="19" s="1"/>
  <c r="I121" i="19"/>
  <c r="J138" i="14" s="1"/>
  <c r="F86" i="20"/>
  <c r="F78" i="19" s="1"/>
  <c r="G104" i="12"/>
  <c r="F85" i="20"/>
  <c r="F89" i="20"/>
  <c r="F76" i="19"/>
  <c r="G104" i="14" s="1"/>
  <c r="F87" i="20"/>
  <c r="F88" i="20"/>
  <c r="AO102" i="36"/>
  <c r="K278" i="38"/>
  <c r="K31" i="38"/>
  <c r="G133" i="14"/>
  <c r="H222" i="53"/>
  <c r="H225" i="53"/>
  <c r="H227" i="53"/>
  <c r="H223" i="53"/>
  <c r="H224" i="53"/>
  <c r="H226" i="53"/>
  <c r="J139" i="20"/>
  <c r="K94" i="12"/>
  <c r="E109" i="45"/>
  <c r="F90" i="19"/>
  <c r="G143" i="14" s="1"/>
  <c r="G143" i="12"/>
  <c r="J127" i="42"/>
  <c r="J128" i="42"/>
  <c r="K126" i="42"/>
  <c r="I219" i="53"/>
  <c r="I231" i="53" s="1"/>
  <c r="I220" i="53"/>
  <c r="K126" i="12"/>
  <c r="J145" i="20"/>
  <c r="AP20" i="45"/>
  <c r="AP19" i="45"/>
  <c r="M26" i="38"/>
  <c r="M41" i="38" s="1"/>
  <c r="N20" i="38"/>
  <c r="F128" i="12"/>
  <c r="E83" i="19"/>
  <c r="F128" i="14" s="1"/>
  <c r="AN112" i="36"/>
  <c r="AN111" i="36"/>
  <c r="AN113" i="36"/>
  <c r="AM84" i="45"/>
  <c r="E107" i="14"/>
  <c r="N40" i="15"/>
  <c r="AP107" i="36"/>
  <c r="AP110" i="36" s="1"/>
  <c r="J110" i="36"/>
  <c r="AP95" i="45"/>
  <c r="AP43" i="45"/>
  <c r="AP44" i="45"/>
  <c r="AP42" i="45"/>
  <c r="I35" i="48"/>
  <c r="E269" i="20"/>
  <c r="E268" i="20"/>
  <c r="E271" i="20"/>
  <c r="E270" i="20"/>
  <c r="F95" i="14"/>
  <c r="F147" i="14"/>
  <c r="F105" i="14"/>
  <c r="AQ68" i="51"/>
  <c r="M28" i="54"/>
  <c r="M43" i="54" s="1"/>
  <c r="N22" i="54"/>
  <c r="I190" i="20"/>
  <c r="I152" i="19" s="1"/>
  <c r="I186" i="20"/>
  <c r="I148" i="19" s="1"/>
  <c r="I188" i="20"/>
  <c r="I150" i="19" s="1"/>
  <c r="I189" i="20"/>
  <c r="I151" i="19" s="1"/>
  <c r="J137" i="12"/>
  <c r="I187" i="20"/>
  <c r="I149" i="19" s="1"/>
  <c r="I147" i="19"/>
  <c r="J137" i="14" s="1"/>
  <c r="L42" i="45"/>
  <c r="K35" i="46"/>
  <c r="L44" i="45"/>
  <c r="L43" i="45"/>
  <c r="L95" i="45"/>
  <c r="I88" i="42"/>
  <c r="I92" i="42" s="1"/>
  <c r="I86" i="42"/>
  <c r="I90" i="42" s="1"/>
  <c r="I89" i="42"/>
  <c r="I87" i="42"/>
  <c r="I91" i="42" s="1"/>
  <c r="K85" i="28"/>
  <c r="K72" i="29" s="1"/>
  <c r="K83" i="28"/>
  <c r="K70" i="29" s="1"/>
  <c r="K87" i="28"/>
  <c r="K84" i="28"/>
  <c r="K86" i="28"/>
  <c r="K88" i="28"/>
  <c r="L82" i="28"/>
  <c r="G33" i="46"/>
  <c r="G39" i="46" s="1"/>
  <c r="H75" i="45"/>
  <c r="K108" i="28"/>
  <c r="L107" i="28"/>
  <c r="J203" i="48"/>
  <c r="J204" i="48"/>
  <c r="I81" i="38"/>
  <c r="J92" i="36" s="1"/>
  <c r="AP92" i="36" s="1"/>
  <c r="I80" i="38"/>
  <c r="I84" i="38" s="1"/>
  <c r="I79" i="38"/>
  <c r="I83" i="38" s="1"/>
  <c r="I78" i="38"/>
  <c r="I82" i="38" s="1"/>
  <c r="G217" i="54"/>
  <c r="G221" i="54" s="1"/>
  <c r="G218" i="54"/>
  <c r="F44" i="46"/>
  <c r="F316" i="46" s="1"/>
  <c r="F109" i="46"/>
  <c r="F99" i="46"/>
  <c r="F69" i="46"/>
  <c r="F79" i="46"/>
  <c r="L104" i="54"/>
  <c r="L105" i="54" s="1"/>
  <c r="L108" i="54"/>
  <c r="L109" i="54" s="1"/>
  <c r="L106" i="54"/>
  <c r="L107" i="54" s="1"/>
  <c r="L110" i="54"/>
  <c r="L111" i="54" s="1"/>
  <c r="O17" i="16"/>
  <c r="E73" i="19"/>
  <c r="F120" i="14" s="1"/>
  <c r="F120" i="12"/>
  <c r="J62" i="28"/>
  <c r="J56" i="29"/>
  <c r="K44" i="16" s="1"/>
  <c r="K44" i="15"/>
  <c r="AO96" i="45"/>
  <c r="AO110" i="36"/>
  <c r="E103" i="46"/>
  <c r="E108" i="46" s="1"/>
  <c r="E102" i="46"/>
  <c r="E107" i="46" s="1"/>
  <c r="E101" i="46"/>
  <c r="E106" i="46" s="1"/>
  <c r="E100" i="46"/>
  <c r="E105" i="46" s="1"/>
  <c r="E104" i="46"/>
  <c r="F106" i="45" s="1"/>
  <c r="E99" i="48"/>
  <c r="D317" i="48"/>
  <c r="D320" i="48"/>
  <c r="D269" i="48"/>
  <c r="F136" i="14"/>
  <c r="E179" i="19"/>
  <c r="H173" i="19"/>
  <c r="G268" i="48"/>
  <c r="E129" i="14"/>
  <c r="F234" i="53"/>
  <c r="F235" i="53" s="1"/>
  <c r="F237" i="53" s="1"/>
  <c r="F258" i="53" s="1"/>
  <c r="O11" i="16"/>
  <c r="M28" i="53"/>
  <c r="M43" i="53" s="1"/>
  <c r="N22" i="53"/>
  <c r="AN73" i="51"/>
  <c r="J64" i="20"/>
  <c r="K63" i="20"/>
  <c r="J65" i="20"/>
  <c r="AN103" i="36"/>
  <c r="AN105" i="36"/>
  <c r="G266" i="48"/>
  <c r="AN67" i="45"/>
  <c r="F196" i="54"/>
  <c r="F197" i="54" s="1"/>
  <c r="G163" i="54"/>
  <c r="D80" i="48"/>
  <c r="D85" i="48" s="1"/>
  <c r="D81" i="48"/>
  <c r="D86" i="48" s="1"/>
  <c r="D83" i="48"/>
  <c r="D88" i="48" s="1"/>
  <c r="D84" i="48"/>
  <c r="D82" i="48"/>
  <c r="D87" i="48" s="1"/>
  <c r="K28" i="20"/>
  <c r="K46" i="20" s="1"/>
  <c r="L22" i="20"/>
  <c r="L61" i="16"/>
  <c r="K84" i="29"/>
  <c r="D150" i="14"/>
  <c r="J49" i="16"/>
  <c r="Q41" i="16"/>
  <c r="K47" i="29"/>
  <c r="K142" i="29" s="1"/>
  <c r="I157" i="28"/>
  <c r="I160" i="28"/>
  <c r="J70" i="51"/>
  <c r="AP66" i="51"/>
  <c r="L29" i="28"/>
  <c r="D318" i="46"/>
  <c r="D319" i="46" s="1"/>
  <c r="D341" i="46"/>
  <c r="D342" i="46" s="1"/>
  <c r="E9" i="55"/>
  <c r="F33" i="48"/>
  <c r="F39" i="48" s="1"/>
  <c r="AM75" i="45"/>
  <c r="J76" i="53"/>
  <c r="K67" i="51"/>
  <c r="D69" i="16"/>
  <c r="C191" i="29"/>
  <c r="C196" i="29"/>
  <c r="G301" i="38"/>
  <c r="G305" i="38" s="1"/>
  <c r="G302" i="38"/>
  <c r="I148" i="29"/>
  <c r="I147" i="29"/>
  <c r="I150" i="29"/>
  <c r="I149" i="29"/>
  <c r="G29" i="19"/>
  <c r="G42" i="19"/>
  <c r="G52" i="19" s="1"/>
  <c r="G49" i="19" s="1"/>
  <c r="G177" i="19" s="1"/>
  <c r="K194" i="53"/>
  <c r="K31" i="53"/>
  <c r="I102" i="36"/>
  <c r="N27" i="46"/>
  <c r="N42" i="46" s="1"/>
  <c r="O21" i="46"/>
  <c r="N27" i="54"/>
  <c r="N42" i="54" s="1"/>
  <c r="O21" i="54"/>
  <c r="G136" i="14"/>
  <c r="D180" i="29"/>
  <c r="D189" i="29" s="1"/>
  <c r="E70" i="16" s="1"/>
  <c r="L29" i="42" l="1"/>
  <c r="L278" i="42" s="1"/>
  <c r="J129" i="19"/>
  <c r="J128" i="19" s="1"/>
  <c r="G128" i="12"/>
  <c r="E271" i="48"/>
  <c r="AL4" i="55"/>
  <c r="J133" i="19"/>
  <c r="L29" i="38"/>
  <c r="C253" i="19"/>
  <c r="C258" i="19" s="1"/>
  <c r="C259" i="19" s="1"/>
  <c r="G89" i="20"/>
  <c r="G81" i="19" s="1"/>
  <c r="M24" i="38"/>
  <c r="M39" i="38" s="1"/>
  <c r="N18" i="38"/>
  <c r="G86" i="20"/>
  <c r="G78" i="19" s="1"/>
  <c r="F179" i="19"/>
  <c r="F223" i="19" s="1"/>
  <c r="G85" i="20"/>
  <c r="H106" i="12" s="1"/>
  <c r="L31" i="42"/>
  <c r="N18" i="42"/>
  <c r="M24" i="42"/>
  <c r="M39" i="42" s="1"/>
  <c r="M44" i="42" s="1"/>
  <c r="M288" i="42" s="1"/>
  <c r="J98" i="19"/>
  <c r="G76" i="19"/>
  <c r="H104" i="14" s="1"/>
  <c r="J99" i="19"/>
  <c r="AP35" i="45"/>
  <c r="L194" i="53"/>
  <c r="L205" i="53" s="1"/>
  <c r="F85" i="19"/>
  <c r="G132" i="14" s="1"/>
  <c r="G130" i="14" s="1"/>
  <c r="J97" i="19"/>
  <c r="K63" i="46"/>
  <c r="J100" i="19"/>
  <c r="E233" i="12"/>
  <c r="E234" i="12" s="1"/>
  <c r="J96" i="19"/>
  <c r="J95" i="19" s="1"/>
  <c r="I229" i="54"/>
  <c r="I230" i="54" s="1"/>
  <c r="I233" i="54" s="1"/>
  <c r="I236" i="54" s="1"/>
  <c r="AL112" i="45"/>
  <c r="AP37" i="45"/>
  <c r="H236" i="53"/>
  <c r="H241" i="53" s="1"/>
  <c r="H242" i="53" s="1"/>
  <c r="O35" i="15"/>
  <c r="AO57" i="45"/>
  <c r="H84" i="20"/>
  <c r="K35" i="45"/>
  <c r="M29" i="28"/>
  <c r="M146" i="28" s="1"/>
  <c r="AN117" i="36"/>
  <c r="AN123" i="36" s="1"/>
  <c r="H90" i="20"/>
  <c r="H94" i="20" s="1"/>
  <c r="H86" i="19" s="1"/>
  <c r="F271" i="46"/>
  <c r="F266" i="20"/>
  <c r="F286" i="20" s="1"/>
  <c r="D233" i="14"/>
  <c r="D234" i="14" s="1"/>
  <c r="K36" i="45"/>
  <c r="C348" i="46"/>
  <c r="R9" i="15"/>
  <c r="R10" i="15" s="1"/>
  <c r="F152" i="14"/>
  <c r="M19" i="45"/>
  <c r="M20" i="45"/>
  <c r="G77" i="51"/>
  <c r="F259" i="53"/>
  <c r="G78" i="51" s="1"/>
  <c r="H77" i="51"/>
  <c r="G259" i="53"/>
  <c r="H78" i="51" s="1"/>
  <c r="F259" i="54"/>
  <c r="AM78" i="51" s="1"/>
  <c r="AM77" i="51"/>
  <c r="H241" i="54"/>
  <c r="H242" i="54" s="1"/>
  <c r="G31" i="19"/>
  <c r="G211" i="19"/>
  <c r="O39" i="16"/>
  <c r="O13" i="16"/>
  <c r="K82" i="29"/>
  <c r="L55" i="16" s="1"/>
  <c r="L55" i="15"/>
  <c r="F246" i="19"/>
  <c r="F247" i="19" s="1"/>
  <c r="L28" i="20"/>
  <c r="L46" i="20" s="1"/>
  <c r="M22" i="20"/>
  <c r="N28" i="53"/>
  <c r="N43" i="53" s="1"/>
  <c r="O22" i="53"/>
  <c r="D324" i="48"/>
  <c r="D322" i="48"/>
  <c r="D321" i="48"/>
  <c r="D323" i="48"/>
  <c r="J58" i="29"/>
  <c r="J213" i="28"/>
  <c r="J114" i="28"/>
  <c r="F111" i="46"/>
  <c r="F116" i="46" s="1"/>
  <c r="F110" i="46"/>
  <c r="F115" i="46" s="1"/>
  <c r="F112" i="46"/>
  <c r="F117" i="46" s="1"/>
  <c r="F113" i="46"/>
  <c r="F118" i="46" s="1"/>
  <c r="F114" i="46"/>
  <c r="G97" i="45" s="1"/>
  <c r="F109" i="48"/>
  <c r="F274" i="46"/>
  <c r="L85" i="28"/>
  <c r="L72" i="29" s="1"/>
  <c r="L83" i="28"/>
  <c r="L70" i="29" s="1"/>
  <c r="L86" i="28"/>
  <c r="L84" i="28"/>
  <c r="L88" i="28"/>
  <c r="L87" i="28"/>
  <c r="M82" i="28"/>
  <c r="N122" i="15"/>
  <c r="N132" i="15" s="1"/>
  <c r="G129" i="14"/>
  <c r="F77" i="19"/>
  <c r="G106" i="14" s="1"/>
  <c r="G106" i="12"/>
  <c r="AN86" i="45"/>
  <c r="N26" i="29"/>
  <c r="N44" i="29" s="1"/>
  <c r="O20" i="29"/>
  <c r="AL97" i="45"/>
  <c r="F100" i="45"/>
  <c r="F113" i="45"/>
  <c r="H253" i="20"/>
  <c r="BU4" i="55"/>
  <c r="H31" i="20"/>
  <c r="F130" i="12"/>
  <c r="L126" i="12"/>
  <c r="K145" i="20"/>
  <c r="L29" i="45"/>
  <c r="L28" i="45"/>
  <c r="L31" i="45"/>
  <c r="L35" i="45" s="1"/>
  <c r="L32" i="45"/>
  <c r="AR27" i="45"/>
  <c r="M27" i="45"/>
  <c r="L54" i="45"/>
  <c r="N123" i="16"/>
  <c r="M36" i="29"/>
  <c r="M42" i="29" s="1"/>
  <c r="N43" i="16"/>
  <c r="N26" i="54"/>
  <c r="N41" i="54" s="1"/>
  <c r="N147" i="54" s="1"/>
  <c r="N148" i="54" s="1"/>
  <c r="O20" i="54"/>
  <c r="J73" i="51"/>
  <c r="L258" i="48"/>
  <c r="M257" i="48"/>
  <c r="H96" i="20"/>
  <c r="K60" i="29"/>
  <c r="L56" i="16" s="1"/>
  <c r="L56" i="15"/>
  <c r="H147" i="12"/>
  <c r="H95" i="12"/>
  <c r="M306" i="48"/>
  <c r="M31" i="48"/>
  <c r="I29" i="20"/>
  <c r="I42" i="20"/>
  <c r="I90" i="20" s="1"/>
  <c r="J184" i="20"/>
  <c r="J146" i="19" s="1"/>
  <c r="J181" i="20"/>
  <c r="J143" i="19" s="1"/>
  <c r="J182" i="20"/>
  <c r="J144" i="19" s="1"/>
  <c r="J180" i="20"/>
  <c r="J142" i="19" s="1"/>
  <c r="J183" i="20"/>
  <c r="J145" i="19" s="1"/>
  <c r="J141" i="19"/>
  <c r="K125" i="14" s="1"/>
  <c r="K70" i="51"/>
  <c r="AQ66" i="51"/>
  <c r="M44" i="38"/>
  <c r="M288" i="38" s="1"/>
  <c r="AJ115" i="45"/>
  <c r="J82" i="45"/>
  <c r="J26" i="45"/>
  <c r="J25" i="45"/>
  <c r="J24" i="45"/>
  <c r="I34" i="46"/>
  <c r="N39" i="15"/>
  <c r="N13" i="15"/>
  <c r="H217" i="54"/>
  <c r="H221" i="54" s="1"/>
  <c r="H218" i="54"/>
  <c r="F74" i="19"/>
  <c r="G121" i="14" s="1"/>
  <c r="G121" i="12"/>
  <c r="H280" i="38"/>
  <c r="H281" i="38" s="1"/>
  <c r="I247" i="38"/>
  <c r="J139" i="16"/>
  <c r="C311" i="46"/>
  <c r="C314" i="46"/>
  <c r="C313" i="46"/>
  <c r="C315" i="46"/>
  <c r="C312" i="46"/>
  <c r="C310" i="46"/>
  <c r="E281" i="20"/>
  <c r="E286" i="20"/>
  <c r="E282" i="20"/>
  <c r="E284" i="20"/>
  <c r="E283" i="20"/>
  <c r="E285" i="20"/>
  <c r="M135" i="53"/>
  <c r="N56" i="51"/>
  <c r="G79" i="19"/>
  <c r="H110" i="14" s="1"/>
  <c r="H110" i="12"/>
  <c r="J134" i="16"/>
  <c r="J133" i="16" a="1"/>
  <c r="J133" i="16" s="1"/>
  <c r="J77" i="16"/>
  <c r="J68" i="16"/>
  <c r="O24" i="28"/>
  <c r="P18" i="28"/>
  <c r="J219" i="54"/>
  <c r="J231" i="54" s="1"/>
  <c r="J220" i="54"/>
  <c r="AQ21" i="45"/>
  <c r="O27" i="48"/>
  <c r="O42" i="48" s="1"/>
  <c r="P21" i="48"/>
  <c r="D290" i="20"/>
  <c r="D291" i="20" s="1"/>
  <c r="D292" i="20"/>
  <c r="D293" i="20" s="1"/>
  <c r="N26" i="46"/>
  <c r="N41" i="46" s="1"/>
  <c r="O20" i="46"/>
  <c r="M80" i="29"/>
  <c r="M79" i="29" s="1"/>
  <c r="I200" i="20"/>
  <c r="I161" i="19" s="1"/>
  <c r="I201" i="20"/>
  <c r="I162" i="19" s="1"/>
  <c r="I203" i="20"/>
  <c r="I164" i="19" s="1"/>
  <c r="I199" i="20"/>
  <c r="I160" i="19" s="1"/>
  <c r="I159" i="19"/>
  <c r="J123" i="14" s="1"/>
  <c r="I202" i="20"/>
  <c r="N25" i="48"/>
  <c r="N40" i="48" s="1"/>
  <c r="O19" i="48"/>
  <c r="N136" i="53"/>
  <c r="N137" i="53" s="1"/>
  <c r="O63" i="51" s="1"/>
  <c r="N134" i="53"/>
  <c r="N138" i="53"/>
  <c r="N139" i="53" s="1"/>
  <c r="O69" i="51" s="1"/>
  <c r="AS56" i="51"/>
  <c r="H230" i="48"/>
  <c r="H235" i="48" s="1"/>
  <c r="H227" i="48"/>
  <c r="H232" i="48" s="1"/>
  <c r="H228" i="48"/>
  <c r="H233" i="48" s="1"/>
  <c r="H229" i="48"/>
  <c r="H234" i="48" s="1"/>
  <c r="H231" i="48"/>
  <c r="AQ64" i="51"/>
  <c r="AQ105" i="45"/>
  <c r="J188" i="42"/>
  <c r="J184" i="42"/>
  <c r="J204" i="42"/>
  <c r="J196" i="42"/>
  <c r="F188" i="28"/>
  <c r="H157" i="48"/>
  <c r="H162" i="48" s="1"/>
  <c r="H158" i="48"/>
  <c r="H163" i="48" s="1"/>
  <c r="H155" i="48"/>
  <c r="H160" i="48" s="1"/>
  <c r="H156" i="48"/>
  <c r="H161" i="48" s="1"/>
  <c r="H159" i="48"/>
  <c r="K184" i="38"/>
  <c r="K196" i="38"/>
  <c r="K188" i="38"/>
  <c r="K204" i="38"/>
  <c r="J92" i="48"/>
  <c r="J97" i="48" s="1"/>
  <c r="J90" i="48"/>
  <c r="J95" i="48" s="1"/>
  <c r="J93" i="48"/>
  <c r="J98" i="48" s="1"/>
  <c r="J94" i="48"/>
  <c r="J91" i="48"/>
  <c r="O128" i="15"/>
  <c r="N40" i="28"/>
  <c r="O60" i="15"/>
  <c r="M110" i="53"/>
  <c r="M111" i="53" s="1"/>
  <c r="M104" i="53"/>
  <c r="M105" i="53" s="1"/>
  <c r="N53" i="51" s="1"/>
  <c r="M106" i="53"/>
  <c r="M107" i="53" s="1"/>
  <c r="N62" i="51" s="1"/>
  <c r="M108" i="53"/>
  <c r="M109" i="53" s="1"/>
  <c r="I141" i="15"/>
  <c r="I142" i="15" s="1"/>
  <c r="F68" i="19"/>
  <c r="G101" i="14" s="1"/>
  <c r="G101" i="12"/>
  <c r="D126" i="36"/>
  <c r="C343" i="38"/>
  <c r="D127" i="36" s="1"/>
  <c r="N28" i="38"/>
  <c r="N43" i="38" s="1"/>
  <c r="O22" i="38"/>
  <c r="D237" i="19"/>
  <c r="D236" i="19"/>
  <c r="D248" i="19" s="1"/>
  <c r="D249" i="19" s="1"/>
  <c r="I80" i="36"/>
  <c r="I83" i="36" s="1"/>
  <c r="I115" i="36"/>
  <c r="I116" i="36" s="1"/>
  <c r="AO78" i="36"/>
  <c r="L62" i="48"/>
  <c r="L61" i="48"/>
  <c r="L66" i="48"/>
  <c r="L65" i="48"/>
  <c r="M60" i="48"/>
  <c r="L64" i="48"/>
  <c r="L67" i="48"/>
  <c r="J199" i="38"/>
  <c r="J203" i="38" s="1"/>
  <c r="J200" i="38"/>
  <c r="K101" i="36" s="1"/>
  <c r="AQ101" i="36" s="1"/>
  <c r="J198" i="38"/>
  <c r="J202" i="38" s="1"/>
  <c r="J197" i="38"/>
  <c r="J201" i="38" s="1"/>
  <c r="K237" i="38"/>
  <c r="K241" i="38" s="1"/>
  <c r="K236" i="38"/>
  <c r="K240" i="38" s="1"/>
  <c r="K235" i="38"/>
  <c r="K239" i="38" s="1"/>
  <c r="K238" i="38"/>
  <c r="L107" i="36" s="1"/>
  <c r="L47" i="28"/>
  <c r="L53" i="29"/>
  <c r="L54" i="29"/>
  <c r="L50" i="29"/>
  <c r="L52" i="29"/>
  <c r="L49" i="29" s="1"/>
  <c r="L51" i="29"/>
  <c r="M44" i="53"/>
  <c r="M204" i="53" s="1"/>
  <c r="L289" i="42"/>
  <c r="L292" i="42"/>
  <c r="E116" i="45"/>
  <c r="AO99" i="45"/>
  <c r="G141" i="12"/>
  <c r="L154" i="54"/>
  <c r="L156" i="54" s="1"/>
  <c r="M153" i="54"/>
  <c r="AR41" i="45"/>
  <c r="K27" i="19"/>
  <c r="K45" i="19" s="1"/>
  <c r="K132" i="19" s="1"/>
  <c r="L21" i="19"/>
  <c r="N122" i="16"/>
  <c r="N132" i="16" s="1"/>
  <c r="I143" i="42"/>
  <c r="I147" i="42" s="1"/>
  <c r="I145" i="42"/>
  <c r="I149" i="42" s="1"/>
  <c r="I146" i="42"/>
  <c r="I144" i="42"/>
  <c r="I148" i="42" s="1"/>
  <c r="H143" i="12"/>
  <c r="G90" i="19"/>
  <c r="H143" i="14" s="1"/>
  <c r="I103" i="36"/>
  <c r="I105" i="36"/>
  <c r="G139" i="14"/>
  <c r="G47" i="19"/>
  <c r="G61" i="19"/>
  <c r="G62" i="19"/>
  <c r="G60" i="19"/>
  <c r="D72" i="16"/>
  <c r="C197" i="29"/>
  <c r="D73" i="16" s="1"/>
  <c r="AK9" i="55"/>
  <c r="I164" i="28"/>
  <c r="I162" i="28"/>
  <c r="I161" i="28"/>
  <c r="I163" i="28"/>
  <c r="J136" i="16"/>
  <c r="F118" i="12"/>
  <c r="F317" i="46"/>
  <c r="F320" i="46"/>
  <c r="L108" i="28"/>
  <c r="M107" i="28"/>
  <c r="L64" i="15"/>
  <c r="K75" i="29"/>
  <c r="L64" i="16" s="1"/>
  <c r="O22" i="54"/>
  <c r="N28" i="54"/>
  <c r="N43" i="54" s="1"/>
  <c r="J141" i="20"/>
  <c r="J117" i="19" s="1"/>
  <c r="J143" i="20"/>
  <c r="J119" i="19" s="1"/>
  <c r="J140" i="20"/>
  <c r="J116" i="19" s="1"/>
  <c r="J142" i="20"/>
  <c r="J118" i="19" s="1"/>
  <c r="J115" i="19"/>
  <c r="K94" i="14" s="1"/>
  <c r="J144" i="20"/>
  <c r="J120" i="19" s="1"/>
  <c r="G105" i="12"/>
  <c r="AR61" i="51"/>
  <c r="L64" i="51"/>
  <c r="H302" i="42"/>
  <c r="H301" i="42"/>
  <c r="H305" i="42" s="1"/>
  <c r="E111" i="48"/>
  <c r="E116" i="48" s="1"/>
  <c r="E112" i="48"/>
  <c r="E117" i="48" s="1"/>
  <c r="E110" i="48"/>
  <c r="E115" i="48" s="1"/>
  <c r="E113" i="48"/>
  <c r="E118" i="48" s="1"/>
  <c r="E114" i="48"/>
  <c r="E274" i="48"/>
  <c r="G33" i="20"/>
  <c r="G34" i="20"/>
  <c r="E150" i="12"/>
  <c r="K61" i="42"/>
  <c r="K64" i="42"/>
  <c r="K77" i="42" s="1"/>
  <c r="K67" i="42"/>
  <c r="K101" i="42" s="1"/>
  <c r="K65" i="42"/>
  <c r="K93" i="42" s="1"/>
  <c r="K62" i="42"/>
  <c r="K66" i="42"/>
  <c r="K85" i="42" s="1"/>
  <c r="L60" i="42"/>
  <c r="K194" i="29"/>
  <c r="K193" i="29"/>
  <c r="J114" i="36"/>
  <c r="AP79" i="36"/>
  <c r="AP114" i="36" s="1"/>
  <c r="E201" i="28"/>
  <c r="E203" i="28"/>
  <c r="F70" i="15" s="1"/>
  <c r="AQ29" i="45"/>
  <c r="AQ28" i="45"/>
  <c r="AQ31" i="45"/>
  <c r="AQ32" i="45"/>
  <c r="AQ54" i="45"/>
  <c r="C327" i="46"/>
  <c r="C328" i="46"/>
  <c r="K59" i="29"/>
  <c r="L62" i="16" s="1"/>
  <c r="L62" i="15"/>
  <c r="G57" i="19"/>
  <c r="G51" i="19"/>
  <c r="K67" i="38"/>
  <c r="K101" i="38" s="1"/>
  <c r="K62" i="38"/>
  <c r="K64" i="38"/>
  <c r="K77" i="38" s="1"/>
  <c r="K65" i="38"/>
  <c r="K93" i="38" s="1"/>
  <c r="K61" i="38"/>
  <c r="K66" i="38"/>
  <c r="K85" i="38" s="1"/>
  <c r="L60" i="38"/>
  <c r="P13" i="15"/>
  <c r="M29" i="38"/>
  <c r="J67" i="45"/>
  <c r="G146" i="14"/>
  <c r="G115" i="14"/>
  <c r="O22" i="48"/>
  <c r="N28" i="48"/>
  <c r="G286" i="38"/>
  <c r="G284" i="38"/>
  <c r="G287" i="38"/>
  <c r="G282" i="38"/>
  <c r="G285" i="38"/>
  <c r="G283" i="38"/>
  <c r="P20" i="15"/>
  <c r="AT63" i="51"/>
  <c r="I127" i="12"/>
  <c r="K63" i="54"/>
  <c r="K159" i="54" s="1"/>
  <c r="K69" i="54"/>
  <c r="K70" i="54" s="1"/>
  <c r="I189" i="42"/>
  <c r="I193" i="42" s="1"/>
  <c r="I191" i="42"/>
  <c r="I195" i="42" s="1"/>
  <c r="I192" i="42"/>
  <c r="I190" i="42"/>
  <c r="I194" i="42" s="1"/>
  <c r="E151" i="12"/>
  <c r="H175" i="48"/>
  <c r="H180" i="48" s="1"/>
  <c r="H176" i="48"/>
  <c r="H181" i="48" s="1"/>
  <c r="H177" i="48"/>
  <c r="H182" i="48" s="1"/>
  <c r="H178" i="48"/>
  <c r="H183" i="48" s="1"/>
  <c r="H179" i="48"/>
  <c r="K217" i="42"/>
  <c r="K219" i="42" s="1"/>
  <c r="L216" i="42"/>
  <c r="F76" i="51"/>
  <c r="I84" i="45"/>
  <c r="Q9" i="15"/>
  <c r="Q10" i="15" s="1"/>
  <c r="E249" i="54"/>
  <c r="K137" i="46"/>
  <c r="K138" i="46"/>
  <c r="K201" i="46"/>
  <c r="K200" i="46"/>
  <c r="L136" i="46"/>
  <c r="H290" i="38"/>
  <c r="H291" i="38" s="1"/>
  <c r="H313" i="38"/>
  <c r="H314" i="38" s="1"/>
  <c r="N28" i="42"/>
  <c r="N43" i="42" s="1"/>
  <c r="O22" i="42"/>
  <c r="J186" i="42"/>
  <c r="J185" i="42"/>
  <c r="F179" i="29"/>
  <c r="F180" i="29" s="1"/>
  <c r="AO98" i="45"/>
  <c r="K186" i="38"/>
  <c r="K185" i="38"/>
  <c r="AL90" i="45"/>
  <c r="F91" i="45"/>
  <c r="F114" i="45" s="1"/>
  <c r="AP85" i="36"/>
  <c r="AP86" i="36" s="1"/>
  <c r="AP89" i="36" s="1"/>
  <c r="J86" i="36"/>
  <c r="J89" i="36" s="1"/>
  <c r="I140" i="15"/>
  <c r="H227" i="12"/>
  <c r="M76" i="15"/>
  <c r="M75" i="15"/>
  <c r="L75" i="16"/>
  <c r="L76" i="16"/>
  <c r="G185" i="28"/>
  <c r="F242" i="54"/>
  <c r="F249" i="54" s="1"/>
  <c r="J189" i="38"/>
  <c r="J193" i="38" s="1"/>
  <c r="J191" i="38"/>
  <c r="J195" i="38" s="1"/>
  <c r="J192" i="38"/>
  <c r="K91" i="36" s="1"/>
  <c r="J190" i="38"/>
  <c r="J194" i="38" s="1"/>
  <c r="F141" i="12"/>
  <c r="E321" i="46"/>
  <c r="E323" i="46"/>
  <c r="E324" i="46"/>
  <c r="E322" i="46"/>
  <c r="I173" i="19"/>
  <c r="G74" i="19"/>
  <c r="H121" i="14" s="1"/>
  <c r="H121" i="12"/>
  <c r="G226" i="12"/>
  <c r="M29" i="53"/>
  <c r="E118" i="45"/>
  <c r="AP33" i="45"/>
  <c r="H219" i="48"/>
  <c r="H224" i="48" s="1"/>
  <c r="H220" i="48"/>
  <c r="H225" i="48" s="1"/>
  <c r="H217" i="48"/>
  <c r="H222" i="48" s="1"/>
  <c r="H221" i="48"/>
  <c r="H218" i="48"/>
  <c r="H223" i="48" s="1"/>
  <c r="I135" i="42"/>
  <c r="I139" i="42" s="1"/>
  <c r="I136" i="42"/>
  <c r="I140" i="42" s="1"/>
  <c r="I137" i="42"/>
  <c r="I141" i="42" s="1"/>
  <c r="I138" i="42"/>
  <c r="G141" i="14"/>
  <c r="AK100" i="45"/>
  <c r="AK113" i="45"/>
  <c r="H117" i="36"/>
  <c r="H123" i="36" s="1"/>
  <c r="E335" i="42"/>
  <c r="E333" i="42"/>
  <c r="O27" i="28"/>
  <c r="P21" i="28"/>
  <c r="O40" i="15"/>
  <c r="I300" i="42"/>
  <c r="I299" i="42"/>
  <c r="K157" i="54"/>
  <c r="AO89" i="45"/>
  <c r="I160" i="42"/>
  <c r="I164" i="42" s="1"/>
  <c r="I161" i="42"/>
  <c r="I165" i="42" s="1"/>
  <c r="I159" i="42"/>
  <c r="I163" i="42" s="1"/>
  <c r="I162" i="42"/>
  <c r="H140" i="12"/>
  <c r="G89" i="19"/>
  <c r="H140" i="14" s="1"/>
  <c r="AO112" i="36"/>
  <c r="AO113" i="36"/>
  <c r="AO111" i="36"/>
  <c r="K73" i="29"/>
  <c r="L58" i="16" s="1"/>
  <c r="L58" i="15"/>
  <c r="J146" i="20"/>
  <c r="J122" i="19" s="1"/>
  <c r="J147" i="20"/>
  <c r="J123" i="19" s="1"/>
  <c r="K138" i="12"/>
  <c r="J148" i="20"/>
  <c r="J124" i="19" s="1"/>
  <c r="J150" i="20"/>
  <c r="J126" i="19" s="1"/>
  <c r="J149" i="20"/>
  <c r="J125" i="19" s="1"/>
  <c r="J121" i="19"/>
  <c r="K138" i="14" s="1"/>
  <c r="K127" i="42"/>
  <c r="K128" i="42"/>
  <c r="L126" i="42"/>
  <c r="I24" i="19"/>
  <c r="J18" i="19"/>
  <c r="J136" i="15"/>
  <c r="AK91" i="45"/>
  <c r="AK114" i="45" s="1"/>
  <c r="L194" i="54"/>
  <c r="L205" i="54" s="1"/>
  <c r="L31" i="54"/>
  <c r="F103" i="45"/>
  <c r="AL102" i="45"/>
  <c r="F102" i="45"/>
  <c r="F101" i="45"/>
  <c r="AL103" i="45"/>
  <c r="AL101" i="45"/>
  <c r="J102" i="42"/>
  <c r="J106" i="42" s="1"/>
  <c r="J103" i="42"/>
  <c r="J107" i="42" s="1"/>
  <c r="J104" i="42"/>
  <c r="J108" i="42" s="1"/>
  <c r="J105" i="42"/>
  <c r="N39" i="45"/>
  <c r="N40" i="45"/>
  <c r="AT38" i="45"/>
  <c r="O38" i="45"/>
  <c r="C346" i="46"/>
  <c r="C347" i="46" s="1"/>
  <c r="K296" i="42"/>
  <c r="K293" i="42"/>
  <c r="K294" i="42"/>
  <c r="K295" i="42"/>
  <c r="H148" i="28"/>
  <c r="H149" i="28" s="1"/>
  <c r="I214" i="28"/>
  <c r="G58" i="19"/>
  <c r="G54" i="19"/>
  <c r="J97" i="38"/>
  <c r="K108" i="36" s="1"/>
  <c r="AQ108" i="36" s="1"/>
  <c r="J96" i="38"/>
  <c r="J100" i="38" s="1"/>
  <c r="J94" i="38"/>
  <c r="J98" i="38" s="1"/>
  <c r="J95" i="38"/>
  <c r="J99" i="38" s="1"/>
  <c r="L137" i="48"/>
  <c r="L201" i="48"/>
  <c r="L138" i="48"/>
  <c r="L200" i="48"/>
  <c r="M136" i="48"/>
  <c r="J303" i="42"/>
  <c r="J315" i="42" s="1"/>
  <c r="J304" i="42"/>
  <c r="F268" i="20"/>
  <c r="F271" i="20"/>
  <c r="F269" i="20"/>
  <c r="F270" i="20"/>
  <c r="F149" i="12"/>
  <c r="E120" i="36"/>
  <c r="D342" i="38"/>
  <c r="D337" i="38"/>
  <c r="D72" i="15"/>
  <c r="C211" i="28"/>
  <c r="D73" i="15" s="1"/>
  <c r="K89" i="29"/>
  <c r="N28" i="28"/>
  <c r="N46" i="28" s="1"/>
  <c r="O22" i="28"/>
  <c r="J193" i="29"/>
  <c r="J194" i="29"/>
  <c r="F72" i="19"/>
  <c r="G119" i="14" s="1"/>
  <c r="G119" i="12"/>
  <c r="F231" i="12"/>
  <c r="L265" i="19"/>
  <c r="M307" i="20"/>
  <c r="AJ76" i="51"/>
  <c r="H129" i="12"/>
  <c r="AT69" i="51"/>
  <c r="AP51" i="51"/>
  <c r="AP72" i="51"/>
  <c r="L121" i="20"/>
  <c r="L125" i="20"/>
  <c r="L122" i="20"/>
  <c r="L123" i="20"/>
  <c r="L120" i="20"/>
  <c r="L124" i="20"/>
  <c r="M119" i="20"/>
  <c r="G127" i="14"/>
  <c r="AQ49" i="51"/>
  <c r="K51" i="51"/>
  <c r="K72" i="51"/>
  <c r="I197" i="42"/>
  <c r="I201" i="42" s="1"/>
  <c r="I199" i="42"/>
  <c r="I203" i="42" s="1"/>
  <c r="I200" i="42"/>
  <c r="I198" i="42"/>
  <c r="I202" i="42" s="1"/>
  <c r="J297" i="38"/>
  <c r="J298" i="38"/>
  <c r="J222" i="42"/>
  <c r="J226" i="42" s="1"/>
  <c r="J220" i="42"/>
  <c r="J224" i="42" s="1"/>
  <c r="J221" i="42"/>
  <c r="J225" i="42" s="1"/>
  <c r="J223" i="42"/>
  <c r="I86" i="45"/>
  <c r="J202" i="46"/>
  <c r="J216" i="46"/>
  <c r="J206" i="46"/>
  <c r="J226" i="46"/>
  <c r="AO108" i="45"/>
  <c r="F34" i="19"/>
  <c r="F33" i="19"/>
  <c r="K130" i="38"/>
  <c r="K142" i="38" s="1"/>
  <c r="K131" i="38"/>
  <c r="K150" i="38" s="1"/>
  <c r="K132" i="38"/>
  <c r="K158" i="38" s="1"/>
  <c r="E80" i="48"/>
  <c r="E85" i="48" s="1"/>
  <c r="E83" i="48"/>
  <c r="E88" i="48" s="1"/>
  <c r="E82" i="48"/>
  <c r="E87" i="48" s="1"/>
  <c r="E84" i="48"/>
  <c r="E81" i="48"/>
  <c r="E86" i="48" s="1"/>
  <c r="AQ107" i="36"/>
  <c r="P11" i="16"/>
  <c r="AJ120" i="36"/>
  <c r="D122" i="36"/>
  <c r="D125" i="36"/>
  <c r="F228" i="12"/>
  <c r="I219" i="46"/>
  <c r="I224" i="46" s="1"/>
  <c r="I220" i="46"/>
  <c r="I225" i="46" s="1"/>
  <c r="I221" i="46"/>
  <c r="J99" i="45" s="1"/>
  <c r="I218" i="46"/>
  <c r="I223" i="46" s="1"/>
  <c r="I217" i="46"/>
  <c r="I222" i="46" s="1"/>
  <c r="I216" i="48"/>
  <c r="M69" i="45"/>
  <c r="L129" i="16"/>
  <c r="L131" i="16"/>
  <c r="AM128" i="36"/>
  <c r="N128" i="15"/>
  <c r="M40" i="28"/>
  <c r="N60" i="15"/>
  <c r="J206" i="38"/>
  <c r="J210" i="38" s="1"/>
  <c r="J207" i="38"/>
  <c r="J211" i="38" s="1"/>
  <c r="J208" i="38"/>
  <c r="J205" i="38"/>
  <c r="J209" i="38" s="1"/>
  <c r="F141" i="14"/>
  <c r="G73" i="19"/>
  <c r="H120" i="14" s="1"/>
  <c r="H120" i="12"/>
  <c r="AO68" i="45"/>
  <c r="I216" i="54"/>
  <c r="I215" i="54"/>
  <c r="D325" i="46"/>
  <c r="D326" i="46"/>
  <c r="J35" i="48"/>
  <c r="AQ42" i="45"/>
  <c r="AQ95" i="45"/>
  <c r="AQ44" i="45"/>
  <c r="AQ43" i="45"/>
  <c r="R25" i="16"/>
  <c r="Q11" i="16"/>
  <c r="M360" i="46"/>
  <c r="F169" i="28"/>
  <c r="F173" i="28" s="1"/>
  <c r="F170" i="28"/>
  <c r="N26" i="48"/>
  <c r="N41" i="48" s="1"/>
  <c r="O20" i="48"/>
  <c r="K49" i="16"/>
  <c r="H235" i="54"/>
  <c r="H237" i="54" s="1"/>
  <c r="H258" i="54" s="1"/>
  <c r="L21" i="45"/>
  <c r="O24" i="46"/>
  <c r="P18" i="46"/>
  <c r="H144" i="12"/>
  <c r="G91" i="19"/>
  <c r="H144" i="14" s="1"/>
  <c r="G242" i="53"/>
  <c r="G251" i="53" s="1"/>
  <c r="H75" i="51" s="1"/>
  <c r="O27" i="54"/>
  <c r="O42" i="54" s="1"/>
  <c r="P21" i="54"/>
  <c r="N134" i="54"/>
  <c r="N135" i="54" s="1"/>
  <c r="N138" i="54"/>
  <c r="N139" i="54" s="1"/>
  <c r="N136" i="54"/>
  <c r="N137" i="54" s="1"/>
  <c r="I151" i="29"/>
  <c r="I152" i="29"/>
  <c r="D71" i="16"/>
  <c r="D334" i="46"/>
  <c r="D337" i="46"/>
  <c r="D339" i="46"/>
  <c r="D338" i="46"/>
  <c r="D336" i="46"/>
  <c r="D335" i="46"/>
  <c r="F202" i="54"/>
  <c r="F199" i="54"/>
  <c r="F203" i="54"/>
  <c r="F200" i="54"/>
  <c r="F201" i="54"/>
  <c r="F198" i="54"/>
  <c r="F139" i="14"/>
  <c r="F225" i="14" s="1" a="1"/>
  <c r="F225" i="14" s="1"/>
  <c r="O21" i="16"/>
  <c r="L48" i="15"/>
  <c r="K71" i="29"/>
  <c r="L48" i="16" s="1"/>
  <c r="L49" i="16" s="1"/>
  <c r="J130" i="42"/>
  <c r="J142" i="42" s="1"/>
  <c r="J131" i="42"/>
  <c r="J150" i="42" s="1"/>
  <c r="J132" i="42"/>
  <c r="J158" i="42" s="1"/>
  <c r="AO103" i="36"/>
  <c r="AO105" i="36"/>
  <c r="H29" i="19"/>
  <c r="H42" i="19"/>
  <c r="H60" i="19" s="1"/>
  <c r="K76" i="53"/>
  <c r="L67" i="51"/>
  <c r="L71" i="51" s="1"/>
  <c r="N25" i="29"/>
  <c r="N43" i="29" s="1"/>
  <c r="O19" i="29"/>
  <c r="AN87" i="45"/>
  <c r="M76" i="16"/>
  <c r="M75" i="16"/>
  <c r="C300" i="20"/>
  <c r="C301" i="20" s="1"/>
  <c r="H86" i="20"/>
  <c r="H78" i="19" s="1"/>
  <c r="H87" i="20"/>
  <c r="H76" i="19"/>
  <c r="I104" i="14" s="1"/>
  <c r="H89" i="20"/>
  <c r="I104" i="12"/>
  <c r="H88" i="20"/>
  <c r="H85" i="20"/>
  <c r="K26" i="19"/>
  <c r="K44" i="19" s="1"/>
  <c r="L20" i="19"/>
  <c r="AS40" i="45"/>
  <c r="AS39" i="45"/>
  <c r="F108" i="12"/>
  <c r="L241" i="48"/>
  <c r="M240" i="48"/>
  <c r="K33" i="45"/>
  <c r="J151" i="38"/>
  <c r="J155" i="38" s="1"/>
  <c r="J152" i="38"/>
  <c r="J156" i="38" s="1"/>
  <c r="J154" i="38"/>
  <c r="K79" i="36" s="1"/>
  <c r="J153" i="38"/>
  <c r="J157" i="38" s="1"/>
  <c r="L208" i="54"/>
  <c r="G151" i="28"/>
  <c r="G155" i="28"/>
  <c r="G152" i="28"/>
  <c r="G153" i="28"/>
  <c r="G150" i="28"/>
  <c r="G154" i="28"/>
  <c r="G265" i="20"/>
  <c r="G288" i="20"/>
  <c r="G289" i="20" s="1"/>
  <c r="G315" i="20"/>
  <c r="G264" i="20"/>
  <c r="G314" i="20"/>
  <c r="G263" i="20"/>
  <c r="G267" i="20"/>
  <c r="J102" i="38"/>
  <c r="J106" i="38" s="1"/>
  <c r="J105" i="38"/>
  <c r="K99" i="36" s="1"/>
  <c r="AQ99" i="36" s="1"/>
  <c r="J103" i="38"/>
  <c r="J107" i="38" s="1"/>
  <c r="J104" i="38"/>
  <c r="J108" i="38" s="1"/>
  <c r="K204" i="48"/>
  <c r="K203" i="48"/>
  <c r="G4" i="55"/>
  <c r="F149" i="14"/>
  <c r="H163" i="19"/>
  <c r="G155" i="29"/>
  <c r="G159" i="29" s="1"/>
  <c r="G156" i="29"/>
  <c r="J57" i="45"/>
  <c r="M360" i="48"/>
  <c r="N61" i="15"/>
  <c r="M85" i="29"/>
  <c r="G146" i="12"/>
  <c r="G115" i="12"/>
  <c r="H167" i="48"/>
  <c r="H172" i="48" s="1"/>
  <c r="H168" i="48"/>
  <c r="H173" i="48" s="1"/>
  <c r="H166" i="48"/>
  <c r="H171" i="48" s="1"/>
  <c r="H169" i="48"/>
  <c r="H165" i="48"/>
  <c r="H170" i="48" s="1"/>
  <c r="P17" i="15"/>
  <c r="M332" i="38"/>
  <c r="I138" i="19"/>
  <c r="O24" i="29"/>
  <c r="P18" i="29"/>
  <c r="J150" i="29"/>
  <c r="J148" i="29"/>
  <c r="J147" i="29"/>
  <c r="J149" i="29"/>
  <c r="K157" i="53"/>
  <c r="L66" i="51" s="1"/>
  <c r="K205" i="53"/>
  <c r="K139" i="20"/>
  <c r="L94" i="12"/>
  <c r="L292" i="38"/>
  <c r="L61" i="54"/>
  <c r="L64" i="54"/>
  <c r="L71" i="54" s="1"/>
  <c r="L72" i="54" s="1"/>
  <c r="L65" i="54"/>
  <c r="L75" i="54" s="1"/>
  <c r="L76" i="54" s="1"/>
  <c r="L67" i="54"/>
  <c r="L77" i="54" s="1"/>
  <c r="L78" i="54" s="1"/>
  <c r="L62" i="54"/>
  <c r="L66" i="54"/>
  <c r="L73" i="54" s="1"/>
  <c r="L74" i="54" s="1"/>
  <c r="M60" i="54"/>
  <c r="I205" i="42"/>
  <c r="I209" i="42" s="1"/>
  <c r="I207" i="42"/>
  <c r="I211" i="42" s="1"/>
  <c r="I206" i="42"/>
  <c r="I210" i="42" s="1"/>
  <c r="I208" i="42"/>
  <c r="I87" i="45"/>
  <c r="E227" i="14"/>
  <c r="E233" i="14" s="1"/>
  <c r="E234" i="14" s="1"/>
  <c r="M68" i="51"/>
  <c r="M50" i="51"/>
  <c r="K25" i="19"/>
  <c r="K43" i="19" s="1"/>
  <c r="K96" i="19" s="1"/>
  <c r="K95" i="19" s="1"/>
  <c r="L19" i="19"/>
  <c r="J140" i="46"/>
  <c r="J154" i="46" s="1"/>
  <c r="J141" i="46"/>
  <c r="J164" i="46" s="1"/>
  <c r="J142" i="46"/>
  <c r="J174" i="46" s="1"/>
  <c r="N28" i="29"/>
  <c r="N46" i="29" s="1"/>
  <c r="O22" i="29"/>
  <c r="D318" i="48"/>
  <c r="D319" i="48" s="1"/>
  <c r="D341" i="48"/>
  <c r="D342" i="48" s="1"/>
  <c r="F172" i="29"/>
  <c r="F173" i="29" s="1"/>
  <c r="F175" i="29" s="1"/>
  <c r="H34" i="48"/>
  <c r="AO25" i="45"/>
  <c r="AO82" i="45"/>
  <c r="AO26" i="45"/>
  <c r="AO24" i="45"/>
  <c r="K129" i="38"/>
  <c r="K134" i="38"/>
  <c r="Q19" i="16"/>
  <c r="Q18" i="16"/>
  <c r="Q16" i="16"/>
  <c r="Q15" i="16"/>
  <c r="R14" i="16"/>
  <c r="Q32" i="16"/>
  <c r="K196" i="20"/>
  <c r="L195" i="20"/>
  <c r="M129" i="15"/>
  <c r="M131" i="15"/>
  <c r="I210" i="46"/>
  <c r="I215" i="46" s="1"/>
  <c r="I208" i="46"/>
  <c r="I213" i="46" s="1"/>
  <c r="I209" i="46"/>
  <c r="I214" i="46" s="1"/>
  <c r="I206" i="48"/>
  <c r="I211" i="46"/>
  <c r="J89" i="45" s="1"/>
  <c r="I207" i="46"/>
  <c r="I212" i="46" s="1"/>
  <c r="N17" i="45"/>
  <c r="N18" i="45" s="1"/>
  <c r="AT16" i="45"/>
  <c r="O16" i="45"/>
  <c r="F148" i="12"/>
  <c r="F169" i="12" s="1"/>
  <c r="C326" i="48"/>
  <c r="C325" i="48"/>
  <c r="J135" i="14"/>
  <c r="H115" i="14"/>
  <c r="H146" i="14"/>
  <c r="H128" i="12"/>
  <c r="G83" i="19"/>
  <c r="H128" i="14" s="1"/>
  <c r="I222" i="54"/>
  <c r="I224" i="54"/>
  <c r="I225" i="54"/>
  <c r="I223" i="54"/>
  <c r="I226" i="54"/>
  <c r="I227" i="54"/>
  <c r="K212" i="54"/>
  <c r="K209" i="54"/>
  <c r="K210" i="54"/>
  <c r="K211" i="54"/>
  <c r="D274" i="20"/>
  <c r="D275" i="20"/>
  <c r="AL76" i="45"/>
  <c r="F78" i="45"/>
  <c r="S7" i="15"/>
  <c r="S8" i="15" s="1"/>
  <c r="T6" i="15"/>
  <c r="K49" i="15"/>
  <c r="H209" i="48"/>
  <c r="H214" i="48" s="1"/>
  <c r="H208" i="48"/>
  <c r="H213" i="48" s="1"/>
  <c r="H207" i="48"/>
  <c r="H212" i="48" s="1"/>
  <c r="H210" i="48"/>
  <c r="H215" i="48" s="1"/>
  <c r="H211" i="48"/>
  <c r="G92" i="19"/>
  <c r="H145" i="14" s="1"/>
  <c r="H145" i="12"/>
  <c r="I70" i="45"/>
  <c r="G196" i="54"/>
  <c r="G197" i="54" s="1"/>
  <c r="H163" i="54"/>
  <c r="F226" i="14"/>
  <c r="O27" i="46"/>
  <c r="O42" i="46" s="1"/>
  <c r="P21" i="46"/>
  <c r="I157" i="29"/>
  <c r="I169" i="29" s="1"/>
  <c r="I158" i="29"/>
  <c r="AQ67" i="51"/>
  <c r="AQ71" i="51" s="1"/>
  <c r="K146" i="29"/>
  <c r="K143" i="29"/>
  <c r="AN70" i="45"/>
  <c r="J67" i="20"/>
  <c r="J69" i="20"/>
  <c r="J70" i="20"/>
  <c r="J68" i="20"/>
  <c r="E101" i="48"/>
  <c r="E106" i="48" s="1"/>
  <c r="E100" i="48"/>
  <c r="E105" i="48" s="1"/>
  <c r="E102" i="48"/>
  <c r="E107" i="48" s="1"/>
  <c r="E104" i="48"/>
  <c r="E103" i="48"/>
  <c r="E108" i="48" s="1"/>
  <c r="L45" i="15"/>
  <c r="K74" i="29"/>
  <c r="L45" i="16" s="1"/>
  <c r="E272" i="20"/>
  <c r="E273" i="20"/>
  <c r="O20" i="38"/>
  <c r="N26" i="38"/>
  <c r="N41" i="38" s="1"/>
  <c r="AP21" i="45"/>
  <c r="J129" i="42"/>
  <c r="J134" i="42"/>
  <c r="F80" i="19"/>
  <c r="G111" i="14" s="1"/>
  <c r="G111" i="12"/>
  <c r="AR57" i="51"/>
  <c r="S7" i="16"/>
  <c r="S8" i="16" s="1"/>
  <c r="T6" i="16"/>
  <c r="G33" i="48"/>
  <c r="G39" i="48" s="1"/>
  <c r="AN75" i="45"/>
  <c r="AN85" i="45"/>
  <c r="M131" i="16"/>
  <c r="M129" i="16"/>
  <c r="AP96" i="45"/>
  <c r="AO34" i="45"/>
  <c r="F255" i="20"/>
  <c r="F256" i="20" s="1"/>
  <c r="G222" i="20"/>
  <c r="J63" i="42"/>
  <c r="J69" i="42"/>
  <c r="M41" i="45"/>
  <c r="F108" i="14"/>
  <c r="O19" i="46"/>
  <c r="N25" i="46"/>
  <c r="N40" i="46" s="1"/>
  <c r="H235" i="53"/>
  <c r="H237" i="53" s="1"/>
  <c r="H258" i="53" s="1"/>
  <c r="M61" i="16"/>
  <c r="L84" i="29"/>
  <c r="J161" i="38"/>
  <c r="J165" i="38" s="1"/>
  <c r="J162" i="38"/>
  <c r="K109" i="36" s="1"/>
  <c r="AQ109" i="36" s="1"/>
  <c r="J160" i="38"/>
  <c r="J164" i="38" s="1"/>
  <c r="J159" i="38"/>
  <c r="J163" i="38" s="1"/>
  <c r="G53" i="19"/>
  <c r="J63" i="38"/>
  <c r="J69" i="38"/>
  <c r="K140" i="48"/>
  <c r="K141" i="48"/>
  <c r="K142" i="48"/>
  <c r="M29" i="29"/>
  <c r="I175" i="46"/>
  <c r="I180" i="46" s="1"/>
  <c r="I177" i="46"/>
  <c r="I182" i="46" s="1"/>
  <c r="I176" i="46"/>
  <c r="I181" i="46" s="1"/>
  <c r="I174" i="48"/>
  <c r="I178" i="46"/>
  <c r="I183" i="46" s="1"/>
  <c r="I179" i="46"/>
  <c r="J107" i="45" s="1"/>
  <c r="I158" i="28"/>
  <c r="I159" i="28" s="1"/>
  <c r="I181" i="28"/>
  <c r="I182" i="28" s="1"/>
  <c r="K23" i="45"/>
  <c r="L306" i="46"/>
  <c r="L31" i="46"/>
  <c r="J157" i="28"/>
  <c r="J160" i="28"/>
  <c r="F71" i="19"/>
  <c r="G116" i="14" s="1"/>
  <c r="G116" i="12"/>
  <c r="I141" i="16"/>
  <c r="I142" i="16" s="1"/>
  <c r="H105" i="14"/>
  <c r="L154" i="53"/>
  <c r="L156" i="53" s="1"/>
  <c r="M153" i="53"/>
  <c r="K127" i="20"/>
  <c r="C296" i="20"/>
  <c r="AL111" i="45"/>
  <c r="F318" i="42"/>
  <c r="F319" i="42" s="1"/>
  <c r="F321" i="42" s="1"/>
  <c r="O24" i="54"/>
  <c r="P18" i="54"/>
  <c r="H165" i="28"/>
  <c r="H166" i="28"/>
  <c r="I85" i="45"/>
  <c r="AS53" i="51"/>
  <c r="M54" i="51"/>
  <c r="L306" i="48"/>
  <c r="L31" i="48"/>
  <c r="AR54" i="51"/>
  <c r="J203" i="46"/>
  <c r="J204" i="46"/>
  <c r="G241" i="54"/>
  <c r="G242" i="54" s="1"/>
  <c r="AO67" i="45"/>
  <c r="AL93" i="45"/>
  <c r="F93" i="45"/>
  <c r="F94" i="45"/>
  <c r="AL94" i="45"/>
  <c r="F146" i="14"/>
  <c r="P17" i="16"/>
  <c r="F69" i="19"/>
  <c r="G99" i="14" s="1"/>
  <c r="G99" i="12"/>
  <c r="J157" i="19"/>
  <c r="K123" i="12"/>
  <c r="J198" i="20"/>
  <c r="F152" i="12"/>
  <c r="N26" i="42"/>
  <c r="N41" i="42" s="1"/>
  <c r="O20" i="42"/>
  <c r="I227" i="46"/>
  <c r="I232" i="46" s="1"/>
  <c r="I229" i="46"/>
  <c r="I234" i="46" s="1"/>
  <c r="I226" i="48"/>
  <c r="I230" i="46"/>
  <c r="I235" i="46" s="1"/>
  <c r="I228" i="46"/>
  <c r="I233" i="46" s="1"/>
  <c r="I231" i="46"/>
  <c r="J108" i="45" s="1"/>
  <c r="F227" i="14"/>
  <c r="E325" i="38"/>
  <c r="E326" i="38" s="1"/>
  <c r="AS17" i="45"/>
  <c r="J34" i="45"/>
  <c r="N25" i="42"/>
  <c r="N40" i="42" s="1"/>
  <c r="O19" i="42"/>
  <c r="N25" i="38"/>
  <c r="N40" i="38" s="1"/>
  <c r="O19" i="38"/>
  <c r="F273" i="19"/>
  <c r="F222" i="19"/>
  <c r="F272" i="19"/>
  <c r="F221" i="19"/>
  <c r="F225" i="19"/>
  <c r="G317" i="42"/>
  <c r="G320" i="42" s="1"/>
  <c r="G316" i="42"/>
  <c r="G71" i="19"/>
  <c r="H116" i="14" s="1"/>
  <c r="H116" i="12"/>
  <c r="O27" i="38"/>
  <c r="O42" i="38" s="1"/>
  <c r="P21" i="38"/>
  <c r="K66" i="15"/>
  <c r="AR69" i="45"/>
  <c r="AP55" i="45"/>
  <c r="AP56" i="45"/>
  <c r="E72" i="48"/>
  <c r="E77" i="48" s="1"/>
  <c r="E70" i="48"/>
  <c r="E75" i="48" s="1"/>
  <c r="E71" i="48"/>
  <c r="E76" i="48" s="1"/>
  <c r="E73" i="48"/>
  <c r="E78" i="48" s="1"/>
  <c r="E74" i="48"/>
  <c r="I71" i="38"/>
  <c r="I75" i="38" s="1"/>
  <c r="I72" i="38"/>
  <c r="I76" i="38" s="1"/>
  <c r="I70" i="38"/>
  <c r="I74" i="38" s="1"/>
  <c r="I73" i="38"/>
  <c r="J78" i="36" s="1"/>
  <c r="L132" i="29"/>
  <c r="L31" i="29"/>
  <c r="M29" i="46"/>
  <c r="H139" i="12"/>
  <c r="C253" i="54"/>
  <c r="F118" i="14"/>
  <c r="L31" i="28"/>
  <c r="L146" i="28"/>
  <c r="L63" i="20"/>
  <c r="K64" i="20"/>
  <c r="K65" i="20"/>
  <c r="AL106" i="45"/>
  <c r="F109" i="45"/>
  <c r="F80" i="46"/>
  <c r="F85" i="46" s="1"/>
  <c r="F82" i="46"/>
  <c r="F87" i="46" s="1"/>
  <c r="F83" i="46"/>
  <c r="F88" i="46" s="1"/>
  <c r="F79" i="48"/>
  <c r="F81" i="46"/>
  <c r="F86" i="46" s="1"/>
  <c r="F84" i="46"/>
  <c r="G90" i="45" s="1"/>
  <c r="G44" i="46"/>
  <c r="G316" i="46" s="1"/>
  <c r="G99" i="46"/>
  <c r="G79" i="46"/>
  <c r="G69" i="46"/>
  <c r="G109" i="46"/>
  <c r="E279" i="20"/>
  <c r="E278" i="20"/>
  <c r="F79" i="19"/>
  <c r="G110" i="14" s="1"/>
  <c r="G110" i="12"/>
  <c r="K63" i="53"/>
  <c r="K159" i="53" s="1"/>
  <c r="K69" i="53"/>
  <c r="K70" i="53" s="1"/>
  <c r="L49" i="51" s="1"/>
  <c r="R41" i="16"/>
  <c r="H146" i="48"/>
  <c r="H151" i="48" s="1"/>
  <c r="H148" i="48"/>
  <c r="H153" i="48" s="1"/>
  <c r="H147" i="48"/>
  <c r="H152" i="48" s="1"/>
  <c r="H145" i="48"/>
  <c r="H150" i="48" s="1"/>
  <c r="H149" i="48"/>
  <c r="AN84" i="45"/>
  <c r="I111" i="36"/>
  <c r="I113" i="36"/>
  <c r="I112" i="36"/>
  <c r="N25" i="54"/>
  <c r="N40" i="54" s="1"/>
  <c r="O19" i="54"/>
  <c r="J96" i="42"/>
  <c r="J100" i="42" s="1"/>
  <c r="J95" i="42"/>
  <c r="J99" i="42" s="1"/>
  <c r="J94" i="42"/>
  <c r="J98" i="42" s="1"/>
  <c r="J97" i="42"/>
  <c r="F97" i="12"/>
  <c r="F154" i="12"/>
  <c r="H231" i="14"/>
  <c r="AK74" i="51"/>
  <c r="D253" i="54"/>
  <c r="G134" i="29"/>
  <c r="G135" i="29" s="1"/>
  <c r="H101" i="29"/>
  <c r="J144" i="38"/>
  <c r="J148" i="38" s="1"/>
  <c r="J146" i="38"/>
  <c r="K100" i="36" s="1"/>
  <c r="AQ100" i="36" s="1"/>
  <c r="J145" i="38"/>
  <c r="J149" i="38" s="1"/>
  <c r="J143" i="38"/>
  <c r="J147" i="38" s="1"/>
  <c r="G55" i="19"/>
  <c r="J81" i="38"/>
  <c r="K92" i="36" s="1"/>
  <c r="AQ92" i="36" s="1"/>
  <c r="J78" i="38"/>
  <c r="J82" i="38" s="1"/>
  <c r="J79" i="38"/>
  <c r="J83" i="38" s="1"/>
  <c r="J80" i="38"/>
  <c r="J84" i="38" s="1"/>
  <c r="K139" i="48"/>
  <c r="J139" i="15"/>
  <c r="J178" i="20"/>
  <c r="J140" i="19" s="1"/>
  <c r="J175" i="20"/>
  <c r="J137" i="19" s="1"/>
  <c r="J174" i="20"/>
  <c r="J136" i="19" s="1"/>
  <c r="J135" i="19"/>
  <c r="K113" i="14" s="1"/>
  <c r="J176" i="20"/>
  <c r="J177" i="20"/>
  <c r="J139" i="19" s="1"/>
  <c r="K113" i="12"/>
  <c r="I157" i="46"/>
  <c r="I162" i="46" s="1"/>
  <c r="I155" i="46"/>
  <c r="I160" i="46" s="1"/>
  <c r="I154" i="48"/>
  <c r="I156" i="46"/>
  <c r="I161" i="46" s="1"/>
  <c r="I158" i="46"/>
  <c r="I163" i="46" s="1"/>
  <c r="I159" i="46"/>
  <c r="J98" i="45" s="1"/>
  <c r="AK78" i="45"/>
  <c r="G231" i="12"/>
  <c r="M44" i="54"/>
  <c r="M204" i="54" s="1"/>
  <c r="AO77" i="45"/>
  <c r="L66" i="46"/>
  <c r="L89" i="46" s="1"/>
  <c r="L61" i="46"/>
  <c r="L65" i="46"/>
  <c r="L62" i="46"/>
  <c r="L64" i="46"/>
  <c r="L67" i="46"/>
  <c r="M60" i="46"/>
  <c r="H217" i="53"/>
  <c r="H221" i="53" s="1"/>
  <c r="H218" i="53"/>
  <c r="P33" i="15"/>
  <c r="P34" i="15"/>
  <c r="F117" i="12"/>
  <c r="I71" i="42"/>
  <c r="I75" i="42" s="1"/>
  <c r="I70" i="42"/>
  <c r="I74" i="42" s="1"/>
  <c r="I73" i="42"/>
  <c r="I72" i="42"/>
  <c r="I76" i="42" s="1"/>
  <c r="N25" i="28"/>
  <c r="N43" i="28" s="1"/>
  <c r="O19" i="28"/>
  <c r="K212" i="53"/>
  <c r="K210" i="53"/>
  <c r="K209" i="53"/>
  <c r="K211" i="53"/>
  <c r="K133" i="20"/>
  <c r="C277" i="20"/>
  <c r="C276" i="20"/>
  <c r="C280" i="20" s="1"/>
  <c r="J214" i="54"/>
  <c r="J213" i="54"/>
  <c r="J304" i="38"/>
  <c r="J303" i="38"/>
  <c r="J315" i="38" s="1"/>
  <c r="N39" i="54"/>
  <c r="J138" i="38"/>
  <c r="K85" i="36" s="1"/>
  <c r="J137" i="38"/>
  <c r="J141" i="38" s="1"/>
  <c r="J136" i="38"/>
  <c r="J140" i="38" s="1"/>
  <c r="J135" i="38"/>
  <c r="J139" i="38" s="1"/>
  <c r="F229" i="12"/>
  <c r="N28" i="46"/>
  <c r="O22" i="46"/>
  <c r="O39" i="15"/>
  <c r="O13" i="15"/>
  <c r="J139" i="46"/>
  <c r="J144" i="46"/>
  <c r="J134" i="15"/>
  <c r="J133" i="15" a="1"/>
  <c r="J133" i="15" s="1"/>
  <c r="J68" i="15"/>
  <c r="J77" i="15" s="1"/>
  <c r="M36" i="28"/>
  <c r="M42" i="28" s="1"/>
  <c r="N123" i="15"/>
  <c r="N43" i="15"/>
  <c r="J68" i="45"/>
  <c r="J263" i="48"/>
  <c r="J268" i="48" s="1"/>
  <c r="J261" i="48"/>
  <c r="J266" i="48" s="1"/>
  <c r="J262" i="48"/>
  <c r="J267" i="48" s="1"/>
  <c r="J265" i="48"/>
  <c r="J264" i="48"/>
  <c r="J269" i="48" s="1"/>
  <c r="N26" i="53"/>
  <c r="N41" i="53" s="1"/>
  <c r="N147" i="53" s="1"/>
  <c r="N148" i="53" s="1"/>
  <c r="O60" i="51" s="1"/>
  <c r="O20" i="53"/>
  <c r="F229" i="14"/>
  <c r="P20" i="16"/>
  <c r="G100" i="12"/>
  <c r="F67" i="19"/>
  <c r="G100" i="14" s="1"/>
  <c r="D230" i="19"/>
  <c r="D231" i="19"/>
  <c r="F176" i="19"/>
  <c r="G308" i="42"/>
  <c r="G309" i="42"/>
  <c r="G307" i="42"/>
  <c r="G310" i="42"/>
  <c r="G306" i="42"/>
  <c r="G311" i="42"/>
  <c r="O35" i="16"/>
  <c r="H146" i="12"/>
  <c r="H115" i="12"/>
  <c r="C251" i="19"/>
  <c r="C252" i="19" s="1"/>
  <c r="K66" i="16"/>
  <c r="H133" i="14"/>
  <c r="L217" i="38"/>
  <c r="L219" i="38" s="1"/>
  <c r="M216" i="38"/>
  <c r="D331" i="46"/>
  <c r="D343" i="46" s="1"/>
  <c r="D332" i="46"/>
  <c r="F325" i="38"/>
  <c r="F326" i="38" s="1"/>
  <c r="AR18" i="45"/>
  <c r="D213" i="19"/>
  <c r="D214" i="19" s="1"/>
  <c r="E180" i="19"/>
  <c r="F142" i="12"/>
  <c r="H78" i="20"/>
  <c r="F79" i="45"/>
  <c r="F81" i="45"/>
  <c r="F80" i="45"/>
  <c r="AL81" i="45"/>
  <c r="AL79" i="45"/>
  <c r="AL80" i="45"/>
  <c r="I243" i="38"/>
  <c r="I246" i="38"/>
  <c r="K59" i="16"/>
  <c r="O24" i="53"/>
  <c r="P18" i="53"/>
  <c r="H301" i="38"/>
  <c r="H305" i="38" s="1"/>
  <c r="H302" i="38"/>
  <c r="J102" i="36"/>
  <c r="J66" i="20"/>
  <c r="F111" i="45"/>
  <c r="F110" i="45"/>
  <c r="F112" i="45"/>
  <c r="K67" i="15"/>
  <c r="K46" i="15"/>
  <c r="F70" i="46"/>
  <c r="F75" i="46" s="1"/>
  <c r="F73" i="46"/>
  <c r="F78" i="46" s="1"/>
  <c r="F72" i="46"/>
  <c r="F77" i="46" s="1"/>
  <c r="F71" i="46"/>
  <c r="F76" i="46" s="1"/>
  <c r="F69" i="48"/>
  <c r="F74" i="46"/>
  <c r="G76" i="45" s="1"/>
  <c r="J112" i="36"/>
  <c r="J113" i="36"/>
  <c r="J111" i="36"/>
  <c r="G105" i="14"/>
  <c r="R9" i="16"/>
  <c r="R10" i="16"/>
  <c r="AO83" i="45"/>
  <c r="AN59" i="45"/>
  <c r="AN72" i="45" s="1"/>
  <c r="AN60" i="45"/>
  <c r="AN58" i="45"/>
  <c r="AN71" i="45" s="1"/>
  <c r="AN104" i="45"/>
  <c r="G37" i="48"/>
  <c r="L43" i="48" s="1"/>
  <c r="I246" i="48"/>
  <c r="I251" i="48" s="1"/>
  <c r="I247" i="48"/>
  <c r="I252" i="48" s="1"/>
  <c r="I245" i="48"/>
  <c r="I250" i="48" s="1"/>
  <c r="I248" i="48"/>
  <c r="I244" i="48"/>
  <c r="I249" i="48" s="1"/>
  <c r="H290" i="42"/>
  <c r="H291" i="42" s="1"/>
  <c r="H313" i="42"/>
  <c r="H314" i="42" s="1"/>
  <c r="E318" i="46"/>
  <c r="E319" i="46" s="1"/>
  <c r="E341" i="46"/>
  <c r="E342" i="46" s="1"/>
  <c r="F9" i="55"/>
  <c r="M104" i="54"/>
  <c r="M105" i="54" s="1"/>
  <c r="M108" i="54"/>
  <c r="M109" i="54" s="1"/>
  <c r="M110" i="54"/>
  <c r="M111" i="54" s="1"/>
  <c r="M106" i="54"/>
  <c r="M107" i="54" s="1"/>
  <c r="AO58" i="45"/>
  <c r="H37" i="48"/>
  <c r="M43" i="48" s="1"/>
  <c r="AO60" i="45"/>
  <c r="AO59" i="45"/>
  <c r="AO104" i="45"/>
  <c r="E262" i="20"/>
  <c r="E257" i="20"/>
  <c r="E258" i="20"/>
  <c r="E260" i="20"/>
  <c r="E259" i="20"/>
  <c r="E261" i="20"/>
  <c r="J80" i="42"/>
  <c r="J84" i="42" s="1"/>
  <c r="J79" i="42"/>
  <c r="J83" i="42" s="1"/>
  <c r="J78" i="42"/>
  <c r="J82" i="42" s="1"/>
  <c r="J81" i="42"/>
  <c r="L208" i="53"/>
  <c r="F97" i="14"/>
  <c r="F154" i="14"/>
  <c r="D239" i="19"/>
  <c r="D241" i="19"/>
  <c r="D240" i="19"/>
  <c r="D243" i="19"/>
  <c r="D244" i="19"/>
  <c r="D242" i="19"/>
  <c r="K30" i="45"/>
  <c r="L47" i="29"/>
  <c r="L142" i="29" s="1"/>
  <c r="G130" i="12"/>
  <c r="F136" i="29"/>
  <c r="F137" i="29"/>
  <c r="F140" i="29"/>
  <c r="F141" i="29"/>
  <c r="F139" i="29"/>
  <c r="F138" i="29"/>
  <c r="K241" i="46"/>
  <c r="K243" i="46" s="1"/>
  <c r="L240" i="46"/>
  <c r="L61" i="28"/>
  <c r="L57" i="29" s="1"/>
  <c r="L63" i="28"/>
  <c r="L64" i="28"/>
  <c r="L60" i="28"/>
  <c r="M59" i="28"/>
  <c r="O21" i="15"/>
  <c r="G50" i="19"/>
  <c r="K232" i="42"/>
  <c r="K234" i="42" s="1"/>
  <c r="L231" i="42"/>
  <c r="E150" i="14"/>
  <c r="K202" i="48"/>
  <c r="K168" i="20"/>
  <c r="K169" i="20"/>
  <c r="K171" i="20"/>
  <c r="K185" i="20" s="1"/>
  <c r="K170" i="20"/>
  <c r="K179" i="20" s="1"/>
  <c r="K167" i="20"/>
  <c r="K173" i="20" s="1"/>
  <c r="L166" i="20"/>
  <c r="H33" i="46"/>
  <c r="H39" i="46" s="1"/>
  <c r="I75" i="45"/>
  <c r="I168" i="46"/>
  <c r="I173" i="46" s="1"/>
  <c r="I165" i="46"/>
  <c r="I170" i="46" s="1"/>
  <c r="I166" i="46"/>
  <c r="I171" i="46" s="1"/>
  <c r="I164" i="48"/>
  <c r="I167" i="46"/>
  <c r="I172" i="46" s="1"/>
  <c r="I169" i="46"/>
  <c r="J77" i="45" s="1"/>
  <c r="I100" i="29"/>
  <c r="I88" i="29"/>
  <c r="K289" i="38"/>
  <c r="E114" i="45"/>
  <c r="E115" i="45" s="1"/>
  <c r="K207" i="28"/>
  <c r="K208" i="28"/>
  <c r="K156" i="28"/>
  <c r="L31" i="38"/>
  <c r="L278" i="38"/>
  <c r="K28" i="19"/>
  <c r="K46" i="19" s="1"/>
  <c r="K167" i="19" s="1"/>
  <c r="K166" i="19" s="1"/>
  <c r="L22" i="19"/>
  <c r="G317" i="38"/>
  <c r="G320" i="38" s="1"/>
  <c r="G316" i="38"/>
  <c r="M29" i="54"/>
  <c r="K93" i="46"/>
  <c r="K98" i="46" s="1"/>
  <c r="K90" i="46"/>
  <c r="K95" i="46" s="1"/>
  <c r="K89" i="48"/>
  <c r="K91" i="46"/>
  <c r="K92" i="46"/>
  <c r="K97" i="46" s="1"/>
  <c r="K94" i="46"/>
  <c r="Q15" i="15"/>
  <c r="Q19" i="15"/>
  <c r="Q18" i="15"/>
  <c r="Q16" i="15"/>
  <c r="R14" i="15"/>
  <c r="Q32" i="15"/>
  <c r="Q74" i="15" s="1"/>
  <c r="F117" i="14"/>
  <c r="O24" i="48"/>
  <c r="P18" i="48"/>
  <c r="I243" i="42"/>
  <c r="I246" i="42"/>
  <c r="F107" i="14"/>
  <c r="G80" i="19"/>
  <c r="H111" i="14" s="1"/>
  <c r="H111" i="12"/>
  <c r="M66" i="29"/>
  <c r="M65" i="29"/>
  <c r="M64" i="29"/>
  <c r="M63" i="29"/>
  <c r="M62" i="29" s="1"/>
  <c r="M67" i="29"/>
  <c r="M68" i="29"/>
  <c r="I147" i="46"/>
  <c r="I152" i="46" s="1"/>
  <c r="I145" i="46"/>
  <c r="I150" i="46" s="1"/>
  <c r="I148" i="46"/>
  <c r="I153" i="46" s="1"/>
  <c r="I146" i="46"/>
  <c r="I151" i="46" s="1"/>
  <c r="I144" i="48"/>
  <c r="I149" i="46"/>
  <c r="J83" i="45" s="1"/>
  <c r="I216" i="53"/>
  <c r="I215" i="53"/>
  <c r="G142" i="12"/>
  <c r="J213" i="53"/>
  <c r="J214" i="53"/>
  <c r="F320" i="42"/>
  <c r="H280" i="42"/>
  <c r="H281" i="42" s="1"/>
  <c r="I247" i="42"/>
  <c r="L26" i="20"/>
  <c r="L44" i="20" s="1"/>
  <c r="M20" i="20"/>
  <c r="K33" i="28"/>
  <c r="K34" i="28"/>
  <c r="AS62" i="51"/>
  <c r="C339" i="48"/>
  <c r="C338" i="48"/>
  <c r="C335" i="48"/>
  <c r="C337" i="48"/>
  <c r="C336" i="48"/>
  <c r="C334" i="48"/>
  <c r="AM73" i="45"/>
  <c r="AT60" i="51"/>
  <c r="G234" i="54"/>
  <c r="G235" i="54" s="1"/>
  <c r="G237" i="54" s="1"/>
  <c r="G258" i="54" s="1"/>
  <c r="M332" i="42"/>
  <c r="G171" i="29"/>
  <c r="G174" i="29" s="1"/>
  <c r="G170" i="29"/>
  <c r="I77" i="15"/>
  <c r="G96" i="12"/>
  <c r="F65" i="19"/>
  <c r="G96" i="14" s="1"/>
  <c r="N39" i="16"/>
  <c r="N13" i="16"/>
  <c r="AR50" i="51"/>
  <c r="G196" i="53"/>
  <c r="G197" i="53" s="1"/>
  <c r="H163" i="53"/>
  <c r="J135" i="15"/>
  <c r="L58" i="51"/>
  <c r="L258" i="46"/>
  <c r="L260" i="46" s="1"/>
  <c r="M257" i="46"/>
  <c r="K63" i="48"/>
  <c r="F186" i="28"/>
  <c r="F187" i="28" s="1"/>
  <c r="F189" i="28" s="1"/>
  <c r="C331" i="48"/>
  <c r="C343" i="48" s="1"/>
  <c r="C344" i="48" s="1"/>
  <c r="C345" i="48" s="1"/>
  <c r="C332" i="48"/>
  <c r="H154" i="29"/>
  <c r="H153" i="29"/>
  <c r="G72" i="19"/>
  <c r="H119" i="14" s="1"/>
  <c r="H119" i="12"/>
  <c r="C232" i="19"/>
  <c r="C233" i="19"/>
  <c r="G84" i="19"/>
  <c r="H131" i="14" s="1"/>
  <c r="H131" i="12"/>
  <c r="H174" i="28"/>
  <c r="H177" i="28"/>
  <c r="H176" i="28"/>
  <c r="H179" i="28"/>
  <c r="H175" i="28"/>
  <c r="H178" i="28"/>
  <c r="K223" i="38"/>
  <c r="L98" i="36" s="1"/>
  <c r="K222" i="38"/>
  <c r="K226" i="38" s="1"/>
  <c r="K220" i="38"/>
  <c r="K224" i="38" s="1"/>
  <c r="K221" i="38"/>
  <c r="K225" i="38" s="1"/>
  <c r="J135" i="16"/>
  <c r="S24" i="15"/>
  <c r="S23" i="15"/>
  <c r="T22" i="15"/>
  <c r="AK116" i="45"/>
  <c r="AP30" i="45"/>
  <c r="D187" i="29"/>
  <c r="AL110" i="45"/>
  <c r="K65" i="16"/>
  <c r="D201" i="28"/>
  <c r="D203" i="28"/>
  <c r="E70" i="15" s="1"/>
  <c r="F142" i="14"/>
  <c r="L27" i="20"/>
  <c r="L45" i="20" s="1"/>
  <c r="M21" i="20"/>
  <c r="K209" i="20"/>
  <c r="K211" i="20" s="1"/>
  <c r="L208" i="20"/>
  <c r="K59" i="15"/>
  <c r="K71" i="51"/>
  <c r="F98" i="14"/>
  <c r="F153" i="14"/>
  <c r="N39" i="53"/>
  <c r="F129" i="12"/>
  <c r="AP102" i="36"/>
  <c r="F242" i="53"/>
  <c r="F249" i="53" s="1"/>
  <c r="D345" i="46"/>
  <c r="D344" i="46"/>
  <c r="E223" i="19"/>
  <c r="E224" i="19" s="1"/>
  <c r="E246" i="19"/>
  <c r="E247" i="19" s="1"/>
  <c r="F44" i="48"/>
  <c r="F316" i="48" s="1"/>
  <c r="AP70" i="51"/>
  <c r="K67" i="16"/>
  <c r="K46" i="16"/>
  <c r="F101" i="46"/>
  <c r="F106" i="46" s="1"/>
  <c r="F103" i="46"/>
  <c r="F108" i="46" s="1"/>
  <c r="F102" i="46"/>
  <c r="F107" i="46" s="1"/>
  <c r="F100" i="46"/>
  <c r="F105" i="46" s="1"/>
  <c r="F104" i="46"/>
  <c r="G106" i="45" s="1"/>
  <c r="F99" i="48"/>
  <c r="F228" i="14"/>
  <c r="AP112" i="36"/>
  <c r="AP113" i="36"/>
  <c r="AP111" i="36"/>
  <c r="H128" i="36"/>
  <c r="G109" i="12"/>
  <c r="F81" i="19"/>
  <c r="G109" i="14" s="1"/>
  <c r="L61" i="53"/>
  <c r="L64" i="53"/>
  <c r="L71" i="53" s="1"/>
  <c r="L72" i="53" s="1"/>
  <c r="M57" i="51" s="1"/>
  <c r="L67" i="53"/>
  <c r="L77" i="53" s="1"/>
  <c r="L78" i="53" s="1"/>
  <c r="M61" i="51" s="1"/>
  <c r="L65" i="53"/>
  <c r="L75" i="53" s="1"/>
  <c r="L62" i="53"/>
  <c r="L66" i="53"/>
  <c r="L73" i="53" s="1"/>
  <c r="L74" i="53" s="1"/>
  <c r="M60" i="53"/>
  <c r="H47" i="20"/>
  <c r="H221" i="20"/>
  <c r="H50" i="19"/>
  <c r="H53" i="19"/>
  <c r="H52" i="19"/>
  <c r="H49" i="19" s="1"/>
  <c r="H177" i="19" s="1"/>
  <c r="H54" i="19"/>
  <c r="H55" i="19"/>
  <c r="H51" i="19"/>
  <c r="H57" i="19"/>
  <c r="H72" i="20"/>
  <c r="I93" i="12"/>
  <c r="H58" i="19"/>
  <c r="J86" i="42"/>
  <c r="J90" i="42" s="1"/>
  <c r="J87" i="42"/>
  <c r="J91" i="42" s="1"/>
  <c r="J88" i="42"/>
  <c r="J92" i="42" s="1"/>
  <c r="J89" i="42"/>
  <c r="F130" i="14"/>
  <c r="M19" i="20"/>
  <c r="L25" i="20"/>
  <c r="L43" i="20" s="1"/>
  <c r="K55" i="45"/>
  <c r="K56" i="45"/>
  <c r="J137" i="20"/>
  <c r="J113" i="19" s="1"/>
  <c r="J138" i="20"/>
  <c r="J114" i="19" s="1"/>
  <c r="J136" i="20"/>
  <c r="J112" i="19" s="1"/>
  <c r="J135" i="20"/>
  <c r="J111" i="19" s="1"/>
  <c r="J134" i="20"/>
  <c r="J110" i="19" s="1"/>
  <c r="J109" i="19"/>
  <c r="K126" i="14" s="1"/>
  <c r="G59" i="19"/>
  <c r="J245" i="46"/>
  <c r="J250" i="46" s="1"/>
  <c r="J247" i="46"/>
  <c r="J252" i="46" s="1"/>
  <c r="J244" i="46"/>
  <c r="J249" i="46" s="1"/>
  <c r="J248" i="46"/>
  <c r="K96" i="45" s="1"/>
  <c r="J246" i="46"/>
  <c r="J251" i="46" s="1"/>
  <c r="J243" i="48"/>
  <c r="K62" i="28"/>
  <c r="L44" i="15"/>
  <c r="K56" i="29"/>
  <c r="L44" i="16" s="1"/>
  <c r="G74" i="20"/>
  <c r="G66" i="19" s="1"/>
  <c r="G73" i="20"/>
  <c r="G75" i="20"/>
  <c r="G76" i="20"/>
  <c r="G64" i="19"/>
  <c r="G77" i="20"/>
  <c r="G218" i="20"/>
  <c r="J236" i="42"/>
  <c r="J240" i="42" s="1"/>
  <c r="J237" i="42"/>
  <c r="J241" i="42" s="1"/>
  <c r="J238" i="42"/>
  <c r="J235" i="42"/>
  <c r="J239" i="42" s="1"/>
  <c r="J88" i="38"/>
  <c r="J92" i="38" s="1"/>
  <c r="J87" i="38"/>
  <c r="J91" i="38" s="1"/>
  <c r="J89" i="38"/>
  <c r="J86" i="38"/>
  <c r="J90" i="38" s="1"/>
  <c r="J297" i="42"/>
  <c r="J298" i="42"/>
  <c r="K18" i="20"/>
  <c r="J24" i="20"/>
  <c r="J187" i="20"/>
  <c r="J149" i="19" s="1"/>
  <c r="J188" i="20"/>
  <c r="J150" i="19" s="1"/>
  <c r="J186" i="20"/>
  <c r="J148" i="19" s="1"/>
  <c r="J190" i="20"/>
  <c r="J152" i="19" s="1"/>
  <c r="J189" i="20"/>
  <c r="J151" i="19" s="1"/>
  <c r="K137" i="12"/>
  <c r="J147" i="19"/>
  <c r="K137" i="14" s="1"/>
  <c r="J206" i="53"/>
  <c r="J207" i="53" s="1"/>
  <c r="J229" i="53"/>
  <c r="J230" i="53" s="1"/>
  <c r="K296" i="38"/>
  <c r="K294" i="38"/>
  <c r="K293" i="38"/>
  <c r="K295" i="38"/>
  <c r="J129" i="20"/>
  <c r="J105" i="19" s="1"/>
  <c r="J131" i="20"/>
  <c r="J107" i="19" s="1"/>
  <c r="J132" i="20"/>
  <c r="J108" i="19" s="1"/>
  <c r="J128" i="20"/>
  <c r="J104" i="19" s="1"/>
  <c r="J103" i="19"/>
  <c r="K103" i="14" s="1"/>
  <c r="K103" i="12"/>
  <c r="J130" i="20"/>
  <c r="AN115" i="36"/>
  <c r="AN116" i="36" s="1"/>
  <c r="AN80" i="36"/>
  <c r="AN83" i="36" s="1"/>
  <c r="AN119" i="36" s="1"/>
  <c r="G306" i="38"/>
  <c r="G307" i="38"/>
  <c r="G309" i="38"/>
  <c r="G311" i="38"/>
  <c r="G310" i="38"/>
  <c r="G308" i="38"/>
  <c r="F73" i="19"/>
  <c r="G120" i="14" s="1"/>
  <c r="G120" i="12"/>
  <c r="E151" i="14"/>
  <c r="I140" i="16"/>
  <c r="D326" i="42"/>
  <c r="D335" i="42" s="1"/>
  <c r="O27" i="42"/>
  <c r="O42" i="42" s="1"/>
  <c r="P21" i="42"/>
  <c r="D308" i="46"/>
  <c r="D309" i="46" s="1"/>
  <c r="E275" i="46"/>
  <c r="F107" i="12"/>
  <c r="H105" i="12"/>
  <c r="G142" i="14"/>
  <c r="J220" i="53"/>
  <c r="J219" i="53"/>
  <c r="J231" i="53" s="1"/>
  <c r="G283" i="42"/>
  <c r="G287" i="42"/>
  <c r="G284" i="42"/>
  <c r="G282" i="42"/>
  <c r="G285" i="42"/>
  <c r="G286" i="42"/>
  <c r="H171" i="28"/>
  <c r="H183" i="28" s="1"/>
  <c r="H184" i="28" s="1"/>
  <c r="H172" i="28"/>
  <c r="K155" i="19"/>
  <c r="K154" i="19" s="1"/>
  <c r="AO107" i="45"/>
  <c r="O40" i="16"/>
  <c r="E227" i="19"/>
  <c r="E229" i="19"/>
  <c r="E226" i="19"/>
  <c r="E228" i="19"/>
  <c r="O20" i="28"/>
  <c r="N26" i="28"/>
  <c r="N44" i="28" s="1"/>
  <c r="D74" i="51"/>
  <c r="C253" i="53"/>
  <c r="O27" i="53"/>
  <c r="O42" i="53" s="1"/>
  <c r="P21" i="53"/>
  <c r="C308" i="48"/>
  <c r="C309" i="48" s="1"/>
  <c r="D275" i="48"/>
  <c r="BP9" i="55"/>
  <c r="O27" i="29"/>
  <c r="P21" i="29"/>
  <c r="K183" i="42"/>
  <c r="K182" i="42"/>
  <c r="L181" i="42"/>
  <c r="L127" i="38"/>
  <c r="L128" i="38"/>
  <c r="L183" i="38"/>
  <c r="L182" i="38"/>
  <c r="M126" i="38"/>
  <c r="G160" i="29"/>
  <c r="G165" i="29"/>
  <c r="G163" i="29"/>
  <c r="G164" i="29"/>
  <c r="G162" i="29"/>
  <c r="G161" i="29"/>
  <c r="P33" i="16"/>
  <c r="P34" i="16"/>
  <c r="N25" i="53"/>
  <c r="N40" i="53" s="1"/>
  <c r="O19" i="53"/>
  <c r="G147" i="14"/>
  <c r="G95" i="14"/>
  <c r="I300" i="38"/>
  <c r="I299" i="38"/>
  <c r="AR68" i="51"/>
  <c r="H144" i="29"/>
  <c r="H145" i="29" s="1"/>
  <c r="H167" i="29"/>
  <c r="H168" i="29" s="1"/>
  <c r="AQ98" i="36"/>
  <c r="F200" i="53"/>
  <c r="F201" i="53"/>
  <c r="F198" i="53"/>
  <c r="F202" i="53"/>
  <c r="F203" i="53"/>
  <c r="F199" i="53"/>
  <c r="AR58" i="51"/>
  <c r="K263" i="46"/>
  <c r="K268" i="46" s="1"/>
  <c r="K264" i="46"/>
  <c r="K269" i="46" s="1"/>
  <c r="K262" i="46"/>
  <c r="K267" i="46" s="1"/>
  <c r="K261" i="46"/>
  <c r="K266" i="46" s="1"/>
  <c r="K265" i="46"/>
  <c r="L105" i="45" s="1"/>
  <c r="K260" i="48"/>
  <c r="F225" i="12" a="1"/>
  <c r="F225" i="12" s="1"/>
  <c r="L232" i="38"/>
  <c r="L234" i="38" s="1"/>
  <c r="M231" i="38"/>
  <c r="J162" i="54"/>
  <c r="H132" i="12"/>
  <c r="G85" i="19"/>
  <c r="H132" i="14" s="1"/>
  <c r="J93" i="36"/>
  <c r="J96" i="36" s="1"/>
  <c r="AP91" i="36"/>
  <c r="AP93" i="36" s="1"/>
  <c r="AP96" i="36" s="1"/>
  <c r="R25" i="15"/>
  <c r="F318" i="38"/>
  <c r="F319" i="38" s="1"/>
  <c r="F321" i="38" s="1"/>
  <c r="S23" i="16"/>
  <c r="S24" i="16"/>
  <c r="T22" i="16"/>
  <c r="AK118" i="45"/>
  <c r="I206" i="53"/>
  <c r="I207" i="53" s="1"/>
  <c r="I229" i="53"/>
  <c r="I230" i="53" s="1"/>
  <c r="E74" i="51"/>
  <c r="D253" i="53"/>
  <c r="C220" i="19"/>
  <c r="C218" i="19"/>
  <c r="C215" i="19"/>
  <c r="C217" i="19"/>
  <c r="C216" i="19"/>
  <c r="C219" i="19"/>
  <c r="E180" i="29"/>
  <c r="E189" i="29" s="1"/>
  <c r="F70" i="16" s="1"/>
  <c r="G167" i="28"/>
  <c r="G168" i="28"/>
  <c r="K65" i="15"/>
  <c r="K130" i="19"/>
  <c r="K133" i="19"/>
  <c r="L125" i="12"/>
  <c r="J212" i="20"/>
  <c r="J170" i="19" s="1"/>
  <c r="J216" i="20"/>
  <c r="J174" i="19" s="1"/>
  <c r="J214" i="20"/>
  <c r="J172" i="19" s="1"/>
  <c r="J213" i="20"/>
  <c r="J171" i="19" s="1"/>
  <c r="K135" i="12"/>
  <c r="J215" i="20"/>
  <c r="J169" i="19"/>
  <c r="R41" i="15"/>
  <c r="I104" i="45"/>
  <c r="I58" i="45"/>
  <c r="I71" i="45" s="1"/>
  <c r="H37" i="46"/>
  <c r="M43" i="46" s="1"/>
  <c r="I60" i="45"/>
  <c r="I59" i="45"/>
  <c r="F153" i="12"/>
  <c r="F98" i="12"/>
  <c r="F129" i="14"/>
  <c r="E317" i="48"/>
  <c r="E320" i="48"/>
  <c r="I151" i="42"/>
  <c r="I155" i="42" s="1"/>
  <c r="I152" i="42"/>
  <c r="I156" i="42" s="1"/>
  <c r="I154" i="42"/>
  <c r="I153" i="42"/>
  <c r="I157" i="42" s="1"/>
  <c r="G220" i="20"/>
  <c r="K129" i="19" l="1"/>
  <c r="K128" i="19" s="1"/>
  <c r="K131" i="19"/>
  <c r="I78" i="20"/>
  <c r="H109" i="14"/>
  <c r="L65" i="16"/>
  <c r="L139" i="16" s="1"/>
  <c r="N41" i="45"/>
  <c r="I84" i="20"/>
  <c r="E232" i="14"/>
  <c r="F285" i="20"/>
  <c r="H109" i="12"/>
  <c r="F283" i="20"/>
  <c r="I96" i="20"/>
  <c r="I98" i="20" s="1"/>
  <c r="J124" i="12"/>
  <c r="G225" i="12" a="1"/>
  <c r="G225" i="12" s="1"/>
  <c r="M29" i="42"/>
  <c r="AO117" i="36"/>
  <c r="AO123" i="36" s="1"/>
  <c r="N80" i="29"/>
  <c r="N79" i="29" s="1"/>
  <c r="H91" i="20"/>
  <c r="I128" i="12" s="1"/>
  <c r="N29" i="54"/>
  <c r="H82" i="19"/>
  <c r="I124" i="14" s="1"/>
  <c r="F148" i="14"/>
  <c r="G77" i="19"/>
  <c r="H106" i="14" s="1"/>
  <c r="N24" i="38"/>
  <c r="N39" i="38" s="1"/>
  <c r="N44" i="38" s="1"/>
  <c r="N288" i="38" s="1"/>
  <c r="O18" i="38"/>
  <c r="D348" i="46"/>
  <c r="H92" i="20"/>
  <c r="AQ102" i="36"/>
  <c r="AQ105" i="36" s="1"/>
  <c r="H95" i="20"/>
  <c r="H87" i="19" s="1"/>
  <c r="H93" i="20"/>
  <c r="K102" i="36"/>
  <c r="K105" i="36" s="1"/>
  <c r="N24" i="42"/>
  <c r="N39" i="42" s="1"/>
  <c r="N44" i="42" s="1"/>
  <c r="N288" i="42" s="1"/>
  <c r="O18" i="42"/>
  <c r="F271" i="48"/>
  <c r="I133" i="14"/>
  <c r="G266" i="20"/>
  <c r="I232" i="54"/>
  <c r="L202" i="48"/>
  <c r="M31" i="28"/>
  <c r="M34" i="28" s="1"/>
  <c r="P35" i="15"/>
  <c r="L36" i="45"/>
  <c r="F232" i="12"/>
  <c r="S25" i="15"/>
  <c r="K162" i="54"/>
  <c r="K206" i="54" s="1"/>
  <c r="K207" i="54" s="1"/>
  <c r="F233" i="12"/>
  <c r="F234" i="12" s="1"/>
  <c r="K67" i="45"/>
  <c r="F282" i="20"/>
  <c r="N29" i="48"/>
  <c r="N306" i="48" s="1"/>
  <c r="G271" i="46"/>
  <c r="F284" i="20"/>
  <c r="L63" i="48"/>
  <c r="AM112" i="45"/>
  <c r="N29" i="29"/>
  <c r="N132" i="29" s="1"/>
  <c r="F281" i="20"/>
  <c r="N29" i="53"/>
  <c r="N194" i="53" s="1"/>
  <c r="G176" i="19"/>
  <c r="AO77" i="51"/>
  <c r="H259" i="54"/>
  <c r="AO78" i="51" s="1"/>
  <c r="I77" i="51"/>
  <c r="H259" i="53"/>
  <c r="I78" i="51" s="1"/>
  <c r="N19" i="45"/>
  <c r="N20" i="45"/>
  <c r="AM74" i="51"/>
  <c r="G74" i="51"/>
  <c r="S9" i="16"/>
  <c r="S124" i="15"/>
  <c r="R38" i="28"/>
  <c r="S54" i="15"/>
  <c r="C348" i="48"/>
  <c r="E240" i="19"/>
  <c r="E244" i="19"/>
  <c r="E242" i="19"/>
  <c r="E241" i="19"/>
  <c r="E243" i="19"/>
  <c r="E239" i="19"/>
  <c r="AN77" i="51"/>
  <c r="G259" i="54"/>
  <c r="AN78" i="51" s="1"/>
  <c r="G152" i="14"/>
  <c r="I241" i="54"/>
  <c r="F151" i="12"/>
  <c r="S25" i="16"/>
  <c r="P27" i="42"/>
  <c r="P42" i="42" s="1"/>
  <c r="Q21" i="42"/>
  <c r="AN128" i="36"/>
  <c r="J233" i="53"/>
  <c r="J236" i="53" s="1"/>
  <c r="J232" i="53"/>
  <c r="H101" i="12"/>
  <c r="G68" i="19"/>
  <c r="H101" i="14" s="1"/>
  <c r="J244" i="48"/>
  <c r="J249" i="48" s="1"/>
  <c r="J247" i="48"/>
  <c r="J252" i="48" s="1"/>
  <c r="J246" i="48"/>
  <c r="J251" i="48" s="1"/>
  <c r="J245" i="48"/>
  <c r="J250" i="48" s="1"/>
  <c r="J248" i="48"/>
  <c r="K57" i="45"/>
  <c r="H265" i="20"/>
  <c r="H288" i="20"/>
  <c r="H289" i="20" s="1"/>
  <c r="AS57" i="51"/>
  <c r="AS58" i="51" s="1"/>
  <c r="M27" i="20"/>
  <c r="M45" i="20" s="1"/>
  <c r="N21" i="20"/>
  <c r="H127" i="14"/>
  <c r="M37" i="29"/>
  <c r="N125" i="16"/>
  <c r="N47" i="16"/>
  <c r="G179" i="29"/>
  <c r="H107" i="12"/>
  <c r="L28" i="19"/>
  <c r="L46" i="19" s="1"/>
  <c r="M22" i="19"/>
  <c r="K175" i="20"/>
  <c r="K137" i="19" s="1"/>
  <c r="K174" i="20"/>
  <c r="K136" i="19" s="1"/>
  <c r="K135" i="19"/>
  <c r="L113" i="14" s="1"/>
  <c r="K178" i="20"/>
  <c r="K140" i="19" s="1"/>
  <c r="K177" i="20"/>
  <c r="K139" i="19" s="1"/>
  <c r="L113" i="12"/>
  <c r="K176" i="20"/>
  <c r="L62" i="28"/>
  <c r="M44" i="15"/>
  <c r="L56" i="29"/>
  <c r="M44" i="16" s="1"/>
  <c r="L210" i="53"/>
  <c r="L209" i="53"/>
  <c r="L212" i="53"/>
  <c r="L211" i="53"/>
  <c r="AL116" i="45"/>
  <c r="E213" i="19"/>
  <c r="E214" i="19" s="1"/>
  <c r="F180" i="19"/>
  <c r="F335" i="38"/>
  <c r="G121" i="36" s="1"/>
  <c r="AM121" i="36" s="1"/>
  <c r="F333" i="38"/>
  <c r="H185" i="28"/>
  <c r="H186" i="28" s="1"/>
  <c r="H129" i="14"/>
  <c r="J140" i="15"/>
  <c r="O121" i="15"/>
  <c r="O42" i="15"/>
  <c r="AQ85" i="36"/>
  <c r="AQ86" i="36" s="1"/>
  <c r="AQ89" i="36" s="1"/>
  <c r="K86" i="36"/>
  <c r="K89" i="36" s="1"/>
  <c r="J215" i="54"/>
  <c r="J216" i="54"/>
  <c r="O25" i="28"/>
  <c r="O43" i="28" s="1"/>
  <c r="P19" i="28"/>
  <c r="L63" i="46"/>
  <c r="AP98" i="45"/>
  <c r="J138" i="19"/>
  <c r="AM90" i="45"/>
  <c r="G91" i="45"/>
  <c r="G114" i="45" s="1"/>
  <c r="AL109" i="45"/>
  <c r="K66" i="20"/>
  <c r="I33" i="46"/>
  <c r="I39" i="46" s="1"/>
  <c r="J75" i="45"/>
  <c r="E335" i="38"/>
  <c r="F121" i="36" s="1"/>
  <c r="AL121" i="36" s="1"/>
  <c r="E333" i="38"/>
  <c r="G152" i="12"/>
  <c r="J243" i="38"/>
  <c r="J246" i="38"/>
  <c r="O25" i="46"/>
  <c r="O40" i="46" s="1"/>
  <c r="P19" i="46"/>
  <c r="J137" i="42"/>
  <c r="J141" i="42" s="1"/>
  <c r="J136" i="42"/>
  <c r="J140" i="42" s="1"/>
  <c r="J135" i="42"/>
  <c r="J139" i="42" s="1"/>
  <c r="J138" i="42"/>
  <c r="E274" i="20"/>
  <c r="E275" i="20"/>
  <c r="G201" i="54"/>
  <c r="G203" i="54"/>
  <c r="G199" i="54"/>
  <c r="G200" i="54"/>
  <c r="G202" i="54"/>
  <c r="G198" i="54"/>
  <c r="J175" i="46"/>
  <c r="J180" i="46" s="1"/>
  <c r="J177" i="46"/>
  <c r="J182" i="46" s="1"/>
  <c r="J178" i="46"/>
  <c r="J183" i="46" s="1"/>
  <c r="J174" i="48"/>
  <c r="J176" i="46"/>
  <c r="J181" i="46" s="1"/>
  <c r="J179" i="46"/>
  <c r="K107" i="45" s="1"/>
  <c r="J151" i="29"/>
  <c r="J152" i="29"/>
  <c r="N332" i="38"/>
  <c r="N61" i="16"/>
  <c r="M84" i="29"/>
  <c r="I133" i="12"/>
  <c r="I106" i="12"/>
  <c r="H77" i="19"/>
  <c r="I106" i="14" s="1"/>
  <c r="O25" i="29"/>
  <c r="O43" i="29" s="1"/>
  <c r="P19" i="29"/>
  <c r="H211" i="19"/>
  <c r="H31" i="19"/>
  <c r="O138" i="54"/>
  <c r="O139" i="54" s="1"/>
  <c r="O134" i="54"/>
  <c r="O135" i="54" s="1"/>
  <c r="O136" i="54"/>
  <c r="O137" i="54" s="1"/>
  <c r="N360" i="46"/>
  <c r="R124" i="16"/>
  <c r="Q38" i="29"/>
  <c r="R54" i="16"/>
  <c r="D327" i="46"/>
  <c r="D328" i="46"/>
  <c r="I217" i="48"/>
  <c r="I222" i="48" s="1"/>
  <c r="I220" i="48"/>
  <c r="I225" i="48" s="1"/>
  <c r="I218" i="48"/>
  <c r="I223" i="48" s="1"/>
  <c r="I219" i="48"/>
  <c r="I224" i="48" s="1"/>
  <c r="I221" i="48"/>
  <c r="L133" i="20"/>
  <c r="AT39" i="45"/>
  <c r="AT40" i="45"/>
  <c r="E332" i="46"/>
  <c r="E331" i="46"/>
  <c r="E343" i="46" s="1"/>
  <c r="E344" i="46" s="1"/>
  <c r="H317" i="38"/>
  <c r="H320" i="38" s="1"/>
  <c r="H316" i="38"/>
  <c r="K139" i="46"/>
  <c r="K144" i="46"/>
  <c r="N29" i="28"/>
  <c r="O37" i="28"/>
  <c r="P47" i="15"/>
  <c r="P125" i="15"/>
  <c r="AQ33" i="45"/>
  <c r="K103" i="42"/>
  <c r="K107" i="42" s="1"/>
  <c r="K102" i="42"/>
  <c r="K106" i="42" s="1"/>
  <c r="K104" i="42"/>
  <c r="K108" i="42" s="1"/>
  <c r="K105" i="42"/>
  <c r="AR42" i="45"/>
  <c r="AR44" i="45"/>
  <c r="AR43" i="45"/>
  <c r="AR95" i="45"/>
  <c r="K35" i="48"/>
  <c r="E187" i="29"/>
  <c r="AR107" i="36"/>
  <c r="G97" i="12"/>
  <c r="G154" i="12"/>
  <c r="D250" i="19"/>
  <c r="D251" i="19" s="1"/>
  <c r="AU63" i="51"/>
  <c r="D294" i="20"/>
  <c r="D296" i="20" s="1"/>
  <c r="D295" i="20"/>
  <c r="H108" i="12"/>
  <c r="G117" i="14"/>
  <c r="H226" i="12"/>
  <c r="H225" i="12" a="1"/>
  <c r="H225" i="12" s="1"/>
  <c r="H148" i="12"/>
  <c r="K101" i="19"/>
  <c r="L75" i="29"/>
  <c r="M64" i="16" s="1"/>
  <c r="M64" i="15"/>
  <c r="G33" i="19"/>
  <c r="G34" i="19"/>
  <c r="H130" i="14"/>
  <c r="AQ103" i="36"/>
  <c r="G225" i="14" a="1"/>
  <c r="G225" i="14" s="1"/>
  <c r="G226" i="14"/>
  <c r="G148" i="14"/>
  <c r="L183" i="42"/>
  <c r="L182" i="42"/>
  <c r="M181" i="42"/>
  <c r="BP11" i="55"/>
  <c r="BP19" i="55" s="1"/>
  <c r="BP13" i="55"/>
  <c r="BP12" i="55"/>
  <c r="BP15" i="55"/>
  <c r="BP16" i="55"/>
  <c r="BP14" i="55"/>
  <c r="O122" i="16"/>
  <c r="O132" i="16" s="1"/>
  <c r="J106" i="19"/>
  <c r="J224" i="53"/>
  <c r="J225" i="53"/>
  <c r="J227" i="53"/>
  <c r="J222" i="53"/>
  <c r="J226" i="53"/>
  <c r="J223" i="53"/>
  <c r="J29" i="20"/>
  <c r="J42" i="20"/>
  <c r="J78" i="20" s="1"/>
  <c r="H100" i="12"/>
  <c r="G67" i="19"/>
  <c r="H100" i="14" s="1"/>
  <c r="H263" i="20"/>
  <c r="H314" i="20"/>
  <c r="H315" i="20"/>
  <c r="H264" i="20"/>
  <c r="H267" i="20"/>
  <c r="L63" i="53"/>
  <c r="L159" i="53" s="1"/>
  <c r="L69" i="53"/>
  <c r="L70" i="53" s="1"/>
  <c r="M49" i="51" s="1"/>
  <c r="M125" i="12"/>
  <c r="AP34" i="45"/>
  <c r="C254" i="19"/>
  <c r="N121" i="16"/>
  <c r="N42" i="16"/>
  <c r="I280" i="42"/>
  <c r="I281" i="42" s="1"/>
  <c r="J247" i="42"/>
  <c r="H107" i="14"/>
  <c r="P24" i="48"/>
  <c r="Q18" i="48"/>
  <c r="K90" i="48"/>
  <c r="K95" i="48" s="1"/>
  <c r="K92" i="48"/>
  <c r="K97" i="48" s="1"/>
  <c r="K93" i="48"/>
  <c r="K98" i="48" s="1"/>
  <c r="K94" i="48"/>
  <c r="K91" i="48"/>
  <c r="K181" i="20"/>
  <c r="K143" i="19" s="1"/>
  <c r="K183" i="20"/>
  <c r="K145" i="19" s="1"/>
  <c r="K180" i="20"/>
  <c r="K142" i="19" s="1"/>
  <c r="K182" i="20"/>
  <c r="K144" i="19" s="1"/>
  <c r="K184" i="20"/>
  <c r="K146" i="19" s="1"/>
  <c r="K141" i="19"/>
  <c r="L125" i="14" s="1"/>
  <c r="M56" i="15"/>
  <c r="L60" i="29"/>
  <c r="M56" i="16" s="1"/>
  <c r="E335" i="46"/>
  <c r="E339" i="46"/>
  <c r="E337" i="46"/>
  <c r="E338" i="46"/>
  <c r="E336" i="46"/>
  <c r="E334" i="46"/>
  <c r="P24" i="53"/>
  <c r="Q18" i="53"/>
  <c r="AL118" i="45"/>
  <c r="D217" i="19"/>
  <c r="D216" i="19"/>
  <c r="D220" i="19"/>
  <c r="D215" i="19"/>
  <c r="D218" i="19"/>
  <c r="D219" i="19"/>
  <c r="M292" i="42"/>
  <c r="O28" i="46"/>
  <c r="P22" i="46"/>
  <c r="N44" i="54"/>
  <c r="N204" i="54" s="1"/>
  <c r="N63" i="29"/>
  <c r="N62" i="29" s="1"/>
  <c r="N65" i="29"/>
  <c r="N68" i="29"/>
  <c r="N67" i="29"/>
  <c r="N64" i="29"/>
  <c r="N66" i="29"/>
  <c r="L92" i="46"/>
  <c r="L97" i="46" s="1"/>
  <c r="L93" i="46"/>
  <c r="L98" i="46" s="1"/>
  <c r="L94" i="46"/>
  <c r="L90" i="46"/>
  <c r="L95" i="46" s="1"/>
  <c r="L91" i="46"/>
  <c r="L89" i="48"/>
  <c r="O25" i="54"/>
  <c r="O40" i="54" s="1"/>
  <c r="P19" i="54"/>
  <c r="G108" i="12"/>
  <c r="G110" i="46"/>
  <c r="G115" i="46" s="1"/>
  <c r="G111" i="46"/>
  <c r="G116" i="46" s="1"/>
  <c r="G112" i="46"/>
  <c r="G117" i="46" s="1"/>
  <c r="G113" i="46"/>
  <c r="G118" i="46" s="1"/>
  <c r="G114" i="46"/>
  <c r="H97" i="45" s="1"/>
  <c r="G109" i="48"/>
  <c r="G274" i="46"/>
  <c r="H83" i="19"/>
  <c r="I128" i="14" s="1"/>
  <c r="M63" i="20"/>
  <c r="L65" i="20"/>
  <c r="L64" i="20"/>
  <c r="F251" i="53"/>
  <c r="G75" i="51" s="1"/>
  <c r="AP78" i="36"/>
  <c r="J115" i="36"/>
  <c r="J116" i="36" s="1"/>
  <c r="J80" i="36"/>
  <c r="J83" i="36" s="1"/>
  <c r="G325" i="42"/>
  <c r="G326" i="42" s="1"/>
  <c r="O26" i="42"/>
  <c r="O41" i="42" s="1"/>
  <c r="P20" i="42"/>
  <c r="P24" i="54"/>
  <c r="Q18" i="54"/>
  <c r="K132" i="20"/>
  <c r="K108" i="19" s="1"/>
  <c r="K131" i="20"/>
  <c r="K107" i="19" s="1"/>
  <c r="K129" i="20"/>
  <c r="K105" i="19" s="1"/>
  <c r="K128" i="20"/>
  <c r="K104" i="19" s="1"/>
  <c r="L103" i="12"/>
  <c r="K103" i="19"/>
  <c r="L103" i="14" s="1"/>
  <c r="K130" i="20"/>
  <c r="J164" i="28"/>
  <c r="J162" i="28"/>
  <c r="J161" i="28"/>
  <c r="J163" i="28"/>
  <c r="H33" i="48"/>
  <c r="H39" i="48" s="1"/>
  <c r="AO75" i="45"/>
  <c r="S41" i="16"/>
  <c r="P27" i="46"/>
  <c r="P42" i="46" s="1"/>
  <c r="Q21" i="46"/>
  <c r="T7" i="15"/>
  <c r="U6" i="15"/>
  <c r="AL78" i="45"/>
  <c r="I87" i="20"/>
  <c r="J104" i="12"/>
  <c r="I85" i="20"/>
  <c r="I89" i="20"/>
  <c r="I86" i="20"/>
  <c r="I78" i="19" s="1"/>
  <c r="I88" i="20"/>
  <c r="I76" i="19"/>
  <c r="J104" i="14" s="1"/>
  <c r="C346" i="48"/>
  <c r="C347" i="48" s="1"/>
  <c r="Q17" i="16"/>
  <c r="AO85" i="45"/>
  <c r="AO71" i="45"/>
  <c r="J165" i="46"/>
  <c r="J170" i="46" s="1"/>
  <c r="J167" i="46"/>
  <c r="J172" i="46" s="1"/>
  <c r="J166" i="46"/>
  <c r="J171" i="46" s="1"/>
  <c r="J168" i="46"/>
  <c r="J173" i="46" s="1"/>
  <c r="J164" i="48"/>
  <c r="J169" i="46"/>
  <c r="K77" i="45" s="1"/>
  <c r="AS50" i="51"/>
  <c r="K142" i="20"/>
  <c r="K118" i="19" s="1"/>
  <c r="K141" i="20"/>
  <c r="K117" i="19" s="1"/>
  <c r="K144" i="20"/>
  <c r="K120" i="19" s="1"/>
  <c r="K143" i="20"/>
  <c r="K119" i="19" s="1"/>
  <c r="K140" i="20"/>
  <c r="K116" i="19" s="1"/>
  <c r="K115" i="19"/>
  <c r="L94" i="14" s="1"/>
  <c r="H4" i="55"/>
  <c r="H80" i="19"/>
  <c r="I111" i="14" s="1"/>
  <c r="I111" i="12"/>
  <c r="D346" i="46"/>
  <c r="D347" i="46" s="1"/>
  <c r="AM110" i="45"/>
  <c r="F272" i="20"/>
  <c r="F273" i="20"/>
  <c r="L141" i="48"/>
  <c r="L140" i="48"/>
  <c r="L142" i="48"/>
  <c r="H251" i="53"/>
  <c r="I75" i="51" s="1"/>
  <c r="H249" i="53"/>
  <c r="L127" i="42"/>
  <c r="L128" i="42"/>
  <c r="M126" i="42"/>
  <c r="P27" i="28"/>
  <c r="Q21" i="28"/>
  <c r="AK115" i="45"/>
  <c r="I234" i="54"/>
  <c r="I235" i="54" s="1"/>
  <c r="I237" i="54" s="1"/>
  <c r="I258" i="54" s="1"/>
  <c r="E325" i="46"/>
  <c r="E326" i="46"/>
  <c r="F189" i="29"/>
  <c r="G70" i="16" s="1"/>
  <c r="F187" i="29"/>
  <c r="H306" i="38"/>
  <c r="H307" i="38"/>
  <c r="H311" i="38"/>
  <c r="H309" i="38"/>
  <c r="H310" i="38"/>
  <c r="H308" i="38"/>
  <c r="AL74" i="51"/>
  <c r="E253" i="54"/>
  <c r="K103" i="38"/>
  <c r="K107" i="38" s="1"/>
  <c r="K105" i="38"/>
  <c r="L99" i="36" s="1"/>
  <c r="AR99" i="36" s="1"/>
  <c r="K102" i="38"/>
  <c r="K106" i="38" s="1"/>
  <c r="K104" i="38"/>
  <c r="K108" i="38" s="1"/>
  <c r="K78" i="42"/>
  <c r="K82" i="42" s="1"/>
  <c r="K80" i="42"/>
  <c r="K84" i="42" s="1"/>
  <c r="K81" i="42"/>
  <c r="K79" i="42"/>
  <c r="K83" i="42" s="1"/>
  <c r="M108" i="28"/>
  <c r="N107" i="28"/>
  <c r="M154" i="54"/>
  <c r="M156" i="54" s="1"/>
  <c r="N153" i="54"/>
  <c r="I101" i="20"/>
  <c r="I93" i="19" s="1"/>
  <c r="I88" i="19"/>
  <c r="J136" i="12"/>
  <c r="I97" i="20"/>
  <c r="I99" i="20"/>
  <c r="I100" i="20"/>
  <c r="L89" i="29"/>
  <c r="G97" i="14"/>
  <c r="G154" i="14"/>
  <c r="J199" i="42"/>
  <c r="J203" i="42" s="1"/>
  <c r="J197" i="42"/>
  <c r="J201" i="42" s="1"/>
  <c r="J198" i="42"/>
  <c r="J202" i="42" s="1"/>
  <c r="J200" i="42"/>
  <c r="H108" i="14"/>
  <c r="J85" i="45"/>
  <c r="L56" i="45"/>
  <c r="L55" i="45"/>
  <c r="L33" i="45"/>
  <c r="K97" i="19"/>
  <c r="H34" i="20"/>
  <c r="H33" i="20"/>
  <c r="O26" i="29"/>
  <c r="O44" i="29" s="1"/>
  <c r="P20" i="29"/>
  <c r="L71" i="29"/>
  <c r="M48" i="16" s="1"/>
  <c r="M48" i="15"/>
  <c r="E324" i="48"/>
  <c r="E321" i="48"/>
  <c r="E322" i="48"/>
  <c r="E323" i="48"/>
  <c r="H130" i="12"/>
  <c r="K204" i="42"/>
  <c r="K188" i="42"/>
  <c r="K184" i="42"/>
  <c r="K196" i="42"/>
  <c r="D308" i="48"/>
  <c r="D309" i="48" s="1"/>
  <c r="E275" i="48"/>
  <c r="BQ9" i="55"/>
  <c r="D76" i="51"/>
  <c r="L18" i="20"/>
  <c r="K24" i="20"/>
  <c r="H96" i="12"/>
  <c r="G65" i="19"/>
  <c r="H96" i="14" s="1"/>
  <c r="AQ96" i="45"/>
  <c r="K134" i="16"/>
  <c r="K77" i="16"/>
  <c r="K68" i="16"/>
  <c r="K133" i="16" a="1"/>
  <c r="K133" i="16" s="1"/>
  <c r="F151" i="14"/>
  <c r="C235" i="19"/>
  <c r="C234" i="19"/>
  <c r="C238" i="19" s="1"/>
  <c r="G172" i="29"/>
  <c r="G173" i="29" s="1"/>
  <c r="G175" i="29" s="1"/>
  <c r="H286" i="42"/>
  <c r="H285" i="42"/>
  <c r="H282" i="42"/>
  <c r="H284" i="42"/>
  <c r="H283" i="42"/>
  <c r="H287" i="42"/>
  <c r="I217" i="53"/>
  <c r="I221" i="53" s="1"/>
  <c r="I218" i="53"/>
  <c r="Q20" i="15"/>
  <c r="K189" i="20"/>
  <c r="K151" i="19" s="1"/>
  <c r="K187" i="20"/>
  <c r="K149" i="19" s="1"/>
  <c r="K190" i="20"/>
  <c r="K152" i="19" s="1"/>
  <c r="K147" i="19"/>
  <c r="L137" i="14" s="1"/>
  <c r="K186" i="20"/>
  <c r="K148" i="19" s="1"/>
  <c r="K188" i="20"/>
  <c r="K150" i="19" s="1"/>
  <c r="L137" i="12"/>
  <c r="L232" i="42"/>
  <c r="L234" i="42" s="1"/>
  <c r="M231" i="42"/>
  <c r="L59" i="29"/>
  <c r="M62" i="16" s="1"/>
  <c r="M65" i="16" s="1"/>
  <c r="M62" i="15"/>
  <c r="H317" i="42"/>
  <c r="H320" i="42" s="1"/>
  <c r="H316" i="42"/>
  <c r="O39" i="53"/>
  <c r="D232" i="19"/>
  <c r="D233" i="19"/>
  <c r="P40" i="16"/>
  <c r="J145" i="46"/>
  <c r="J150" i="46" s="1"/>
  <c r="J147" i="46"/>
  <c r="J152" i="46" s="1"/>
  <c r="J148" i="46"/>
  <c r="J153" i="46" s="1"/>
  <c r="J146" i="46"/>
  <c r="J151" i="46" s="1"/>
  <c r="J149" i="46"/>
  <c r="K83" i="45" s="1"/>
  <c r="J144" i="48"/>
  <c r="N194" i="54"/>
  <c r="N31" i="54"/>
  <c r="N108" i="54"/>
  <c r="N109" i="54" s="1"/>
  <c r="N104" i="54"/>
  <c r="N105" i="54" s="1"/>
  <c r="N106" i="54"/>
  <c r="N107" i="54" s="1"/>
  <c r="N110" i="54"/>
  <c r="N111" i="54" s="1"/>
  <c r="G108" i="14"/>
  <c r="G73" i="46"/>
  <c r="G78" i="46" s="1"/>
  <c r="G71" i="46"/>
  <c r="G76" i="46" s="1"/>
  <c r="G72" i="46"/>
  <c r="G77" i="46" s="1"/>
  <c r="G70" i="46"/>
  <c r="G75" i="46" s="1"/>
  <c r="G69" i="48"/>
  <c r="G74" i="46"/>
  <c r="H76" i="45" s="1"/>
  <c r="F83" i="48"/>
  <c r="F88" i="48" s="1"/>
  <c r="F81" i="48"/>
  <c r="F86" i="48" s="1"/>
  <c r="F80" i="48"/>
  <c r="F85" i="48" s="1"/>
  <c r="F82" i="48"/>
  <c r="F87" i="48" s="1"/>
  <c r="F84" i="48"/>
  <c r="I132" i="12"/>
  <c r="H85" i="19"/>
  <c r="I132" i="14" s="1"/>
  <c r="AS69" i="45"/>
  <c r="O39" i="54"/>
  <c r="M154" i="53"/>
  <c r="M156" i="53" s="1"/>
  <c r="N153" i="53"/>
  <c r="AP67" i="45"/>
  <c r="AP23" i="45"/>
  <c r="H141" i="12"/>
  <c r="C327" i="48"/>
  <c r="C328" i="48"/>
  <c r="AO73" i="45"/>
  <c r="AO87" i="45"/>
  <c r="J158" i="46"/>
  <c r="J163" i="46" s="1"/>
  <c r="J157" i="46"/>
  <c r="J162" i="46" s="1"/>
  <c r="J155" i="46"/>
  <c r="J160" i="46" s="1"/>
  <c r="J156" i="46"/>
  <c r="J161" i="46" s="1"/>
  <c r="J154" i="48"/>
  <c r="J159" i="46"/>
  <c r="K98" i="45" s="1"/>
  <c r="AS68" i="51"/>
  <c r="P21" i="15"/>
  <c r="N360" i="48"/>
  <c r="I105" i="12"/>
  <c r="F231" i="14"/>
  <c r="F232" i="14" s="1"/>
  <c r="I153" i="29"/>
  <c r="I154" i="29"/>
  <c r="H142" i="14"/>
  <c r="L23" i="45"/>
  <c r="O26" i="48"/>
  <c r="O41" i="48" s="1"/>
  <c r="P20" i="48"/>
  <c r="Q13" i="16"/>
  <c r="AJ125" i="36"/>
  <c r="AJ122" i="36"/>
  <c r="M265" i="19"/>
  <c r="N307" i="20"/>
  <c r="AP73" i="51"/>
  <c r="L204" i="48"/>
  <c r="L203" i="48"/>
  <c r="I148" i="28"/>
  <c r="I149" i="28" s="1"/>
  <c r="J214" i="28"/>
  <c r="K130" i="42"/>
  <c r="K142" i="42" s="1"/>
  <c r="K131" i="42"/>
  <c r="K150" i="42" s="1"/>
  <c r="K132" i="42"/>
  <c r="K158" i="42" s="1"/>
  <c r="G249" i="53"/>
  <c r="G188" i="28"/>
  <c r="D333" i="42"/>
  <c r="P39" i="15"/>
  <c r="C349" i="46"/>
  <c r="AQ30" i="45"/>
  <c r="K63" i="42"/>
  <c r="K69" i="42"/>
  <c r="AR64" i="51"/>
  <c r="L82" i="29"/>
  <c r="M55" i="16" s="1"/>
  <c r="M55" i="15"/>
  <c r="L157" i="54"/>
  <c r="J206" i="42"/>
  <c r="J210" i="42" s="1"/>
  <c r="J207" i="42"/>
  <c r="J211" i="42" s="1"/>
  <c r="J208" i="42"/>
  <c r="J205" i="42"/>
  <c r="J209" i="42" s="1"/>
  <c r="M58" i="51"/>
  <c r="AM111" i="45"/>
  <c r="AT56" i="51"/>
  <c r="J86" i="45"/>
  <c r="K99" i="19"/>
  <c r="L73" i="29"/>
  <c r="M58" i="16" s="1"/>
  <c r="M58" i="15"/>
  <c r="AM102" i="45"/>
  <c r="AM101" i="45"/>
  <c r="G101" i="45"/>
  <c r="G102" i="45"/>
  <c r="G103" i="45"/>
  <c r="AM103" i="45"/>
  <c r="D331" i="48"/>
  <c r="D343" i="48" s="1"/>
  <c r="D344" i="48" s="1"/>
  <c r="D332" i="48"/>
  <c r="L59" i="15"/>
  <c r="I227" i="53"/>
  <c r="I225" i="53"/>
  <c r="I222" i="53"/>
  <c r="I224" i="53"/>
  <c r="I226" i="53"/>
  <c r="I223" i="53"/>
  <c r="K139" i="15"/>
  <c r="K135" i="14"/>
  <c r="R124" i="15"/>
  <c r="Q38" i="28"/>
  <c r="R54" i="15"/>
  <c r="J206" i="54"/>
  <c r="J207" i="54" s="1"/>
  <c r="J229" i="54"/>
  <c r="J230" i="54" s="1"/>
  <c r="H171" i="29"/>
  <c r="H174" i="29" s="1"/>
  <c r="H170" i="29"/>
  <c r="P35" i="16"/>
  <c r="M127" i="38"/>
  <c r="M182" i="38"/>
  <c r="M183" i="38"/>
  <c r="M128" i="38"/>
  <c r="N126" i="38"/>
  <c r="K186" i="42"/>
  <c r="K185" i="42"/>
  <c r="C315" i="48"/>
  <c r="C310" i="48"/>
  <c r="C313" i="48"/>
  <c r="C314" i="48"/>
  <c r="C312" i="48"/>
  <c r="C311" i="48"/>
  <c r="J300" i="42"/>
  <c r="J299" i="42"/>
  <c r="M126" i="12"/>
  <c r="L145" i="20"/>
  <c r="M61" i="53"/>
  <c r="M62" i="53"/>
  <c r="M67" i="53"/>
  <c r="M77" i="53" s="1"/>
  <c r="M78" i="53" s="1"/>
  <c r="N61" i="51" s="1"/>
  <c r="M65" i="53"/>
  <c r="M75" i="53" s="1"/>
  <c r="M64" i="53"/>
  <c r="M71" i="53" s="1"/>
  <c r="M72" i="53" s="1"/>
  <c r="N57" i="51" s="1"/>
  <c r="N58" i="51" s="1"/>
  <c r="M66" i="53"/>
  <c r="M73" i="53" s="1"/>
  <c r="M74" i="53" s="1"/>
  <c r="N60" i="53"/>
  <c r="F317" i="48"/>
  <c r="F320" i="48"/>
  <c r="AP103" i="36"/>
  <c r="AP117" i="36" s="1"/>
  <c r="AP123" i="36" s="1"/>
  <c r="AP105" i="36"/>
  <c r="K73" i="51"/>
  <c r="E69" i="15"/>
  <c r="D205" i="28"/>
  <c r="D210" i="28"/>
  <c r="I163" i="53"/>
  <c r="H196" i="53"/>
  <c r="H197" i="53" s="1"/>
  <c r="G149" i="14"/>
  <c r="N332" i="42"/>
  <c r="F325" i="42"/>
  <c r="F326" i="42" s="1"/>
  <c r="I144" i="29"/>
  <c r="I145" i="29" s="1"/>
  <c r="I167" i="29"/>
  <c r="I168" i="29" s="1"/>
  <c r="H79" i="46"/>
  <c r="H99" i="46"/>
  <c r="H44" i="46"/>
  <c r="H316" i="46" s="1"/>
  <c r="H69" i="46"/>
  <c r="H109" i="46"/>
  <c r="K237" i="42"/>
  <c r="K241" i="42" s="1"/>
  <c r="K235" i="42"/>
  <c r="K239" i="42" s="1"/>
  <c r="K236" i="42"/>
  <c r="K240" i="42" s="1"/>
  <c r="K238" i="42"/>
  <c r="L143" i="29"/>
  <c r="L146" i="29"/>
  <c r="H306" i="42"/>
  <c r="H307" i="42"/>
  <c r="H310" i="42"/>
  <c r="H308" i="42"/>
  <c r="H311" i="42"/>
  <c r="H309" i="42"/>
  <c r="R11" i="16"/>
  <c r="G80" i="45"/>
  <c r="G79" i="45"/>
  <c r="AM80" i="45"/>
  <c r="AM79" i="45"/>
  <c r="G81" i="45"/>
  <c r="AM81" i="45"/>
  <c r="K135" i="16"/>
  <c r="F118" i="45"/>
  <c r="M47" i="28"/>
  <c r="M54" i="29"/>
  <c r="M50" i="29"/>
  <c r="M53" i="29"/>
  <c r="M52" i="29"/>
  <c r="M49" i="29" s="1"/>
  <c r="M51" i="29"/>
  <c r="K137" i="20"/>
  <c r="K113" i="19" s="1"/>
  <c r="K138" i="20"/>
  <c r="K114" i="19" s="1"/>
  <c r="K136" i="20"/>
  <c r="K112" i="19" s="1"/>
  <c r="K134" i="20"/>
  <c r="K110" i="19" s="1"/>
  <c r="K109" i="19"/>
  <c r="L126" i="14" s="1"/>
  <c r="K135" i="20"/>
  <c r="K111" i="19" s="1"/>
  <c r="M61" i="46"/>
  <c r="M65" i="46"/>
  <c r="M67" i="46"/>
  <c r="M64" i="46"/>
  <c r="M62" i="46"/>
  <c r="M66" i="46"/>
  <c r="M89" i="46" s="1"/>
  <c r="N60" i="46"/>
  <c r="I155" i="48"/>
  <c r="I160" i="48" s="1"/>
  <c r="I156" i="48"/>
  <c r="I161" i="48" s="1"/>
  <c r="I157" i="48"/>
  <c r="I162" i="48" s="1"/>
  <c r="I159" i="48"/>
  <c r="I158" i="48"/>
  <c r="I163" i="48" s="1"/>
  <c r="G80" i="46"/>
  <c r="G85" i="46" s="1"/>
  <c r="G83" i="46"/>
  <c r="G88" i="46" s="1"/>
  <c r="G82" i="46"/>
  <c r="G87" i="46" s="1"/>
  <c r="G79" i="48"/>
  <c r="G84" i="46"/>
  <c r="H90" i="45" s="1"/>
  <c r="G81" i="46"/>
  <c r="G86" i="46" s="1"/>
  <c r="L33" i="28"/>
  <c r="L34" i="28"/>
  <c r="M31" i="46"/>
  <c r="M306" i="46"/>
  <c r="P27" i="38"/>
  <c r="P42" i="38" s="1"/>
  <c r="Q21" i="38"/>
  <c r="G318" i="42"/>
  <c r="G319" i="42" s="1"/>
  <c r="G321" i="42" s="1"/>
  <c r="AM4" i="55"/>
  <c r="AP108" i="45"/>
  <c r="AO70" i="45"/>
  <c r="L157" i="53"/>
  <c r="M66" i="51" s="1"/>
  <c r="M44" i="45"/>
  <c r="M95" i="45"/>
  <c r="M43" i="45"/>
  <c r="L35" i="46"/>
  <c r="M42" i="45"/>
  <c r="J84" i="20"/>
  <c r="H141" i="14"/>
  <c r="S41" i="15"/>
  <c r="H229" i="14"/>
  <c r="M195" i="20"/>
  <c r="L196" i="20"/>
  <c r="Q20" i="16"/>
  <c r="AO84" i="45"/>
  <c r="D338" i="48"/>
  <c r="D335" i="48"/>
  <c r="D334" i="48"/>
  <c r="D336" i="48"/>
  <c r="D339" i="48"/>
  <c r="D337" i="48"/>
  <c r="K162" i="53"/>
  <c r="J158" i="29"/>
  <c r="J157" i="29"/>
  <c r="J169" i="29" s="1"/>
  <c r="L212" i="54"/>
  <c r="L210" i="54"/>
  <c r="L209" i="54"/>
  <c r="L211" i="54"/>
  <c r="AS41" i="45"/>
  <c r="H81" i="19"/>
  <c r="I109" i="12"/>
  <c r="J159" i="42"/>
  <c r="J163" i="42" s="1"/>
  <c r="J160" i="42"/>
  <c r="J164" i="42" s="1"/>
  <c r="J162" i="42"/>
  <c r="J161" i="42"/>
  <c r="J165" i="42" s="1"/>
  <c r="L49" i="15"/>
  <c r="H142" i="12"/>
  <c r="H118" i="12"/>
  <c r="AP99" i="45"/>
  <c r="P39" i="16"/>
  <c r="P13" i="16"/>
  <c r="K160" i="38"/>
  <c r="K164" i="38" s="1"/>
  <c r="K162" i="38"/>
  <c r="L109" i="36" s="1"/>
  <c r="AR109" i="36" s="1"/>
  <c r="K161" i="38"/>
  <c r="K165" i="38" s="1"/>
  <c r="K159" i="38"/>
  <c r="K163" i="38" s="1"/>
  <c r="J229" i="46"/>
  <c r="J234" i="46" s="1"/>
  <c r="J230" i="46"/>
  <c r="J235" i="46" s="1"/>
  <c r="J226" i="48"/>
  <c r="J227" i="46"/>
  <c r="J232" i="46" s="1"/>
  <c r="J228" i="46"/>
  <c r="J233" i="46" s="1"/>
  <c r="J231" i="46"/>
  <c r="K108" i="45" s="1"/>
  <c r="G227" i="14"/>
  <c r="F278" i="20"/>
  <c r="F279" i="20"/>
  <c r="L139" i="48"/>
  <c r="H155" i="28"/>
  <c r="H150" i="28"/>
  <c r="H153" i="28"/>
  <c r="H151" i="28"/>
  <c r="H154" i="28"/>
  <c r="H152" i="28"/>
  <c r="K129" i="42"/>
  <c r="K134" i="42"/>
  <c r="M194" i="53"/>
  <c r="M205" i="53" s="1"/>
  <c r="M31" i="53"/>
  <c r="H117" i="12"/>
  <c r="AL91" i="45"/>
  <c r="J70" i="45"/>
  <c r="L66" i="38"/>
  <c r="L85" i="38" s="1"/>
  <c r="L62" i="38"/>
  <c r="L61" i="38"/>
  <c r="L64" i="38"/>
  <c r="L77" i="38" s="1"/>
  <c r="L67" i="38"/>
  <c r="L101" i="38" s="1"/>
  <c r="L65" i="38"/>
  <c r="L93" i="38" s="1"/>
  <c r="M60" i="38"/>
  <c r="C329" i="46"/>
  <c r="C333" i="46" s="1"/>
  <c r="C330" i="46"/>
  <c r="AQ35" i="45"/>
  <c r="G228" i="12"/>
  <c r="F322" i="46"/>
  <c r="F321" i="46"/>
  <c r="F324" i="46"/>
  <c r="F323" i="46"/>
  <c r="I165" i="28"/>
  <c r="I166" i="28"/>
  <c r="I117" i="36"/>
  <c r="I123" i="36" s="1"/>
  <c r="F251" i="54"/>
  <c r="AM75" i="51" s="1"/>
  <c r="O28" i="38"/>
  <c r="O43" i="38" s="1"/>
  <c r="P22" i="38"/>
  <c r="N68" i="51"/>
  <c r="N50" i="51"/>
  <c r="O25" i="48"/>
  <c r="O40" i="48" s="1"/>
  <c r="P19" i="48"/>
  <c r="I280" i="38"/>
  <c r="I281" i="38" s="1"/>
  <c r="J247" i="38"/>
  <c r="J87" i="45"/>
  <c r="I221" i="20"/>
  <c r="I47" i="20"/>
  <c r="I218" i="20" s="1"/>
  <c r="I72" i="20"/>
  <c r="I220" i="20" s="1"/>
  <c r="J93" i="12"/>
  <c r="O26" i="54"/>
  <c r="O41" i="54" s="1"/>
  <c r="O147" i="54" s="1"/>
  <c r="O148" i="54" s="1"/>
  <c r="P20" i="54"/>
  <c r="M29" i="45"/>
  <c r="M31" i="45"/>
  <c r="M36" i="45" s="1"/>
  <c r="M28" i="45"/>
  <c r="M32" i="45"/>
  <c r="N27" i="45"/>
  <c r="AS27" i="45"/>
  <c r="M54" i="45"/>
  <c r="L30" i="45"/>
  <c r="K100" i="19"/>
  <c r="O28" i="53"/>
  <c r="O43" i="53" s="1"/>
  <c r="P22" i="53"/>
  <c r="L59" i="16"/>
  <c r="M21" i="45"/>
  <c r="J173" i="19"/>
  <c r="G169" i="28"/>
  <c r="G173" i="28" s="1"/>
  <c r="G170" i="28"/>
  <c r="O25" i="53"/>
  <c r="O40" i="53" s="1"/>
  <c r="P19" i="53"/>
  <c r="L184" i="38"/>
  <c r="L204" i="38"/>
  <c r="L196" i="38"/>
  <c r="L188" i="38"/>
  <c r="P27" i="29"/>
  <c r="Q21" i="29"/>
  <c r="O26" i="28"/>
  <c r="O44" i="28" s="1"/>
  <c r="O80" i="29" s="1"/>
  <c r="O79" i="29" s="1"/>
  <c r="P20" i="28"/>
  <c r="K297" i="38"/>
  <c r="K298" i="38"/>
  <c r="L67" i="16"/>
  <c r="L46" i="16"/>
  <c r="N19" i="20"/>
  <c r="M25" i="20"/>
  <c r="M43" i="20" s="1"/>
  <c r="F101" i="48"/>
  <c r="F106" i="48" s="1"/>
  <c r="F102" i="48"/>
  <c r="F107" i="48" s="1"/>
  <c r="F100" i="48"/>
  <c r="F105" i="48" s="1"/>
  <c r="F104" i="48"/>
  <c r="F103" i="48"/>
  <c r="F108" i="48" s="1"/>
  <c r="K135" i="15"/>
  <c r="K139" i="16"/>
  <c r="G202" i="53"/>
  <c r="G201" i="53"/>
  <c r="G198" i="53"/>
  <c r="G199" i="53"/>
  <c r="G203" i="53"/>
  <c r="G200" i="53"/>
  <c r="G149" i="12"/>
  <c r="J215" i="53"/>
  <c r="J216" i="53"/>
  <c r="AP83" i="45"/>
  <c r="Q17" i="15"/>
  <c r="M194" i="54"/>
  <c r="M205" i="54" s="1"/>
  <c r="M31" i="54"/>
  <c r="K160" i="28"/>
  <c r="K157" i="28"/>
  <c r="AP77" i="45"/>
  <c r="K134" i="15"/>
  <c r="K133" i="15" a="1"/>
  <c r="K133" i="15" s="1"/>
  <c r="K68" i="15"/>
  <c r="F116" i="45"/>
  <c r="M217" i="38"/>
  <c r="M219" i="38" s="1"/>
  <c r="N216" i="38"/>
  <c r="H229" i="12"/>
  <c r="G153" i="14"/>
  <c r="G98" i="14"/>
  <c r="K213" i="53"/>
  <c r="K214" i="53"/>
  <c r="H134" i="29"/>
  <c r="H135" i="29" s="1"/>
  <c r="I101" i="29"/>
  <c r="F150" i="12"/>
  <c r="G101" i="46"/>
  <c r="G106" i="46" s="1"/>
  <c r="G102" i="46"/>
  <c r="G107" i="46" s="1"/>
  <c r="G99" i="48"/>
  <c r="G103" i="46"/>
  <c r="G108" i="46" s="1"/>
  <c r="G100" i="46"/>
  <c r="G105" i="46" s="1"/>
  <c r="G104" i="46"/>
  <c r="H106" i="45" s="1"/>
  <c r="H84" i="19"/>
  <c r="AP57" i="45"/>
  <c r="O25" i="38"/>
  <c r="O40" i="38" s="1"/>
  <c r="P19" i="38"/>
  <c r="AS18" i="45"/>
  <c r="H228" i="14"/>
  <c r="I174" i="28"/>
  <c r="I179" i="28"/>
  <c r="I175" i="28"/>
  <c r="I177" i="28"/>
  <c r="I176" i="28"/>
  <c r="I178" i="28"/>
  <c r="J71" i="42"/>
  <c r="J75" i="42" s="1"/>
  <c r="J72" i="42"/>
  <c r="J76" i="42" s="1"/>
  <c r="J70" i="42"/>
  <c r="J74" i="42" s="1"/>
  <c r="J73" i="42"/>
  <c r="G44" i="48"/>
  <c r="G316" i="48" s="1"/>
  <c r="L66" i="16"/>
  <c r="K150" i="29"/>
  <c r="K148" i="29"/>
  <c r="K147" i="29"/>
  <c r="K149" i="29"/>
  <c r="S9" i="15"/>
  <c r="S10" i="15" s="1"/>
  <c r="D277" i="20"/>
  <c r="D276" i="20"/>
  <c r="D280" i="20" s="1"/>
  <c r="K213" i="54"/>
  <c r="K214" i="54"/>
  <c r="AP89" i="45"/>
  <c r="K157" i="19"/>
  <c r="L123" i="12"/>
  <c r="K198" i="20"/>
  <c r="AO72" i="45"/>
  <c r="AO86" i="45"/>
  <c r="O28" i="29"/>
  <c r="O46" i="29" s="1"/>
  <c r="P22" i="29"/>
  <c r="L63" i="54"/>
  <c r="L159" i="54" s="1"/>
  <c r="L69" i="54"/>
  <c r="L70" i="54" s="1"/>
  <c r="AR66" i="51"/>
  <c r="L70" i="51"/>
  <c r="P24" i="29"/>
  <c r="Q18" i="29"/>
  <c r="G229" i="12"/>
  <c r="I37" i="46"/>
  <c r="N43" i="46" s="1"/>
  <c r="J59" i="45"/>
  <c r="J58" i="45"/>
  <c r="J60" i="45"/>
  <c r="J104" i="45"/>
  <c r="G269" i="20"/>
  <c r="G268" i="20"/>
  <c r="G271" i="20"/>
  <c r="G270" i="20"/>
  <c r="K68" i="45"/>
  <c r="I105" i="14"/>
  <c r="J152" i="42"/>
  <c r="J156" i="42" s="1"/>
  <c r="J151" i="42"/>
  <c r="J155" i="42" s="1"/>
  <c r="J153" i="42"/>
  <c r="J157" i="42" s="1"/>
  <c r="J154" i="42"/>
  <c r="P24" i="46"/>
  <c r="Q18" i="46"/>
  <c r="H118" i="14"/>
  <c r="AQ110" i="36"/>
  <c r="K151" i="38"/>
  <c r="K155" i="38" s="1"/>
  <c r="K154" i="38"/>
  <c r="L79" i="36" s="1"/>
  <c r="K153" i="38"/>
  <c r="K157" i="38" s="1"/>
  <c r="K152" i="38"/>
  <c r="K156" i="38" s="1"/>
  <c r="J210" i="46"/>
  <c r="J215" i="46" s="1"/>
  <c r="J208" i="46"/>
  <c r="J213" i="46" s="1"/>
  <c r="J209" i="46"/>
  <c r="J214" i="46" s="1"/>
  <c r="J206" i="48"/>
  <c r="J207" i="46"/>
  <c r="J212" i="46" s="1"/>
  <c r="J211" i="46"/>
  <c r="K89" i="45" s="1"/>
  <c r="K298" i="42"/>
  <c r="K297" i="42"/>
  <c r="O122" i="15"/>
  <c r="O132" i="15" s="1"/>
  <c r="H117" i="14"/>
  <c r="L137" i="46"/>
  <c r="L201" i="46"/>
  <c r="L138" i="46"/>
  <c r="L200" i="46"/>
  <c r="M136" i="46"/>
  <c r="J127" i="12"/>
  <c r="P40" i="15"/>
  <c r="K87" i="38"/>
  <c r="K91" i="38" s="1"/>
  <c r="K86" i="38"/>
  <c r="K90" i="38" s="1"/>
  <c r="K89" i="38"/>
  <c r="K88" i="38"/>
  <c r="K92" i="38" s="1"/>
  <c r="L65" i="15"/>
  <c r="AQ55" i="45"/>
  <c r="AQ56" i="45"/>
  <c r="L61" i="42"/>
  <c r="L64" i="42"/>
  <c r="L77" i="42" s="1"/>
  <c r="L65" i="42"/>
  <c r="L93" i="42" s="1"/>
  <c r="L67" i="42"/>
  <c r="L101" i="42" s="1"/>
  <c r="L62" i="42"/>
  <c r="L66" i="42"/>
  <c r="L85" i="42" s="1"/>
  <c r="M60" i="42"/>
  <c r="O28" i="54"/>
  <c r="O43" i="54" s="1"/>
  <c r="P22" i="54"/>
  <c r="G221" i="19"/>
  <c r="G222" i="19"/>
  <c r="G273" i="19"/>
  <c r="G272" i="19"/>
  <c r="G225" i="19"/>
  <c r="M208" i="53"/>
  <c r="AO80" i="36"/>
  <c r="AO83" i="36" s="1"/>
  <c r="AO119" i="36" s="1"/>
  <c r="AO115" i="36"/>
  <c r="AO116" i="36" s="1"/>
  <c r="AT62" i="51"/>
  <c r="J190" i="42"/>
  <c r="J194" i="42" s="1"/>
  <c r="J189" i="42"/>
  <c r="J193" i="42" s="1"/>
  <c r="J192" i="42"/>
  <c r="J191" i="42"/>
  <c r="J195" i="42" s="1"/>
  <c r="P27" i="48"/>
  <c r="P42" i="48" s="1"/>
  <c r="Q21" i="48"/>
  <c r="H287" i="38"/>
  <c r="H286" i="38"/>
  <c r="H284" i="38"/>
  <c r="H282" i="38"/>
  <c r="H285" i="38"/>
  <c r="H283" i="38"/>
  <c r="J84" i="45"/>
  <c r="I31" i="20"/>
  <c r="BV4" i="55"/>
  <c r="I253" i="20"/>
  <c r="H101" i="20"/>
  <c r="H93" i="19" s="1"/>
  <c r="H88" i="19"/>
  <c r="I136" i="12"/>
  <c r="H100" i="20"/>
  <c r="H98" i="20"/>
  <c r="H97" i="20"/>
  <c r="H99" i="20"/>
  <c r="H220" i="20"/>
  <c r="AR29" i="45"/>
  <c r="AR32" i="45"/>
  <c r="AR31" i="45"/>
  <c r="AR36" i="45" s="1"/>
  <c r="AR28" i="45"/>
  <c r="AR54" i="45"/>
  <c r="K98" i="19"/>
  <c r="N37" i="29"/>
  <c r="O125" i="16"/>
  <c r="O47" i="16"/>
  <c r="H251" i="54"/>
  <c r="AO75" i="51" s="1"/>
  <c r="H249" i="54"/>
  <c r="C268" i="19"/>
  <c r="D156" i="14" s="1"/>
  <c r="C266" i="19"/>
  <c r="C353" i="46"/>
  <c r="T23" i="16"/>
  <c r="U22" i="16"/>
  <c r="T24" i="16"/>
  <c r="M232" i="38"/>
  <c r="M234" i="38" s="1"/>
  <c r="N231" i="38"/>
  <c r="H162" i="29"/>
  <c r="H160" i="29"/>
  <c r="H165" i="29"/>
  <c r="H163" i="29"/>
  <c r="H161" i="29"/>
  <c r="H164" i="29"/>
  <c r="E308" i="46"/>
  <c r="E309" i="46" s="1"/>
  <c r="F275" i="46"/>
  <c r="L136" i="16"/>
  <c r="E76" i="51"/>
  <c r="L236" i="38"/>
  <c r="L240" i="38" s="1"/>
  <c r="L235" i="38"/>
  <c r="L239" i="38" s="1"/>
  <c r="L238" i="38"/>
  <c r="M107" i="36" s="1"/>
  <c r="L237" i="38"/>
  <c r="L241" i="38" s="1"/>
  <c r="N110" i="53"/>
  <c r="N111" i="53" s="1"/>
  <c r="N106" i="53"/>
  <c r="N107" i="53" s="1"/>
  <c r="O62" i="51" s="1"/>
  <c r="N108" i="53"/>
  <c r="N109" i="53" s="1"/>
  <c r="N104" i="53"/>
  <c r="N105" i="53" s="1"/>
  <c r="O53" i="51" s="1"/>
  <c r="L185" i="38"/>
  <c r="L186" i="38"/>
  <c r="E230" i="19"/>
  <c r="E231" i="19"/>
  <c r="D310" i="46"/>
  <c r="D314" i="46"/>
  <c r="D312" i="46"/>
  <c r="D311" i="46"/>
  <c r="D313" i="46"/>
  <c r="D315" i="46"/>
  <c r="L67" i="15"/>
  <c r="L46" i="15"/>
  <c r="AM106" i="45"/>
  <c r="G109" i="45"/>
  <c r="T24" i="15"/>
  <c r="T23" i="15"/>
  <c r="U22" i="15"/>
  <c r="H155" i="29"/>
  <c r="H159" i="29" s="1"/>
  <c r="H156" i="29"/>
  <c r="J234" i="53"/>
  <c r="I148" i="48"/>
  <c r="I153" i="48" s="1"/>
  <c r="I147" i="48"/>
  <c r="I152" i="48" s="1"/>
  <c r="I145" i="48"/>
  <c r="I150" i="48" s="1"/>
  <c r="I146" i="48"/>
  <c r="I151" i="48" s="1"/>
  <c r="I149" i="48"/>
  <c r="Q34" i="15"/>
  <c r="Q33" i="15"/>
  <c r="N36" i="28"/>
  <c r="N42" i="28" s="1"/>
  <c r="O123" i="15"/>
  <c r="O43" i="15"/>
  <c r="G228" i="14"/>
  <c r="I290" i="38"/>
  <c r="I291" i="38" s="1"/>
  <c r="I313" i="38"/>
  <c r="I314" i="38" s="1"/>
  <c r="H83" i="20"/>
  <c r="H75" i="19" s="1"/>
  <c r="H82" i="20"/>
  <c r="H79" i="20"/>
  <c r="H80" i="20"/>
  <c r="H70" i="19"/>
  <c r="I114" i="14" s="1"/>
  <c r="I114" i="12"/>
  <c r="H81" i="20"/>
  <c r="L220" i="38"/>
  <c r="L224" i="38" s="1"/>
  <c r="L222" i="38"/>
  <c r="L226" i="38" s="1"/>
  <c r="L223" i="38"/>
  <c r="M98" i="36" s="1"/>
  <c r="L221" i="38"/>
  <c r="L225" i="38" s="1"/>
  <c r="G98" i="12"/>
  <c r="G153" i="12"/>
  <c r="G138" i="29"/>
  <c r="G136" i="29"/>
  <c r="G140" i="29"/>
  <c r="G137" i="29"/>
  <c r="G141" i="29"/>
  <c r="G139" i="29"/>
  <c r="E290" i="20"/>
  <c r="E291" i="20" s="1"/>
  <c r="E292" i="20"/>
  <c r="G317" i="46"/>
  <c r="G320" i="46"/>
  <c r="G94" i="45"/>
  <c r="G93" i="45"/>
  <c r="AM94" i="45"/>
  <c r="AM93" i="45"/>
  <c r="L34" i="29"/>
  <c r="L33" i="29"/>
  <c r="J203" i="20"/>
  <c r="J164" i="19" s="1"/>
  <c r="J199" i="20"/>
  <c r="J160" i="19" s="1"/>
  <c r="J201" i="20"/>
  <c r="J162" i="19" s="1"/>
  <c r="J200" i="20"/>
  <c r="J161" i="19" s="1"/>
  <c r="J202" i="20"/>
  <c r="J159" i="19"/>
  <c r="K123" i="14" s="1"/>
  <c r="P21" i="16"/>
  <c r="AS54" i="51"/>
  <c r="AP107" i="45"/>
  <c r="M31" i="29"/>
  <c r="M132" i="29"/>
  <c r="J246" i="42"/>
  <c r="J243" i="42"/>
  <c r="O26" i="38"/>
  <c r="O41" i="38" s="1"/>
  <c r="P20" i="38"/>
  <c r="L66" i="15"/>
  <c r="J96" i="20"/>
  <c r="F233" i="14"/>
  <c r="F234" i="14" s="1"/>
  <c r="N29" i="46"/>
  <c r="O17" i="45"/>
  <c r="O18" i="45" s="1"/>
  <c r="P16" i="45"/>
  <c r="AU16" i="45"/>
  <c r="I210" i="48"/>
  <c r="I215" i="48" s="1"/>
  <c r="I207" i="48"/>
  <c r="I212" i="48" s="1"/>
  <c r="I208" i="48"/>
  <c r="I213" i="48" s="1"/>
  <c r="I211" i="48"/>
  <c r="I209" i="48"/>
  <c r="I214" i="48" s="1"/>
  <c r="Q34" i="16"/>
  <c r="Q33" i="16"/>
  <c r="L294" i="38"/>
  <c r="L293" i="38"/>
  <c r="L296" i="38"/>
  <c r="L295" i="38"/>
  <c r="G285" i="20"/>
  <c r="G286" i="20"/>
  <c r="G283" i="20"/>
  <c r="G282" i="20"/>
  <c r="G281" i="20"/>
  <c r="G284" i="20"/>
  <c r="H79" i="19"/>
  <c r="I110" i="14" s="1"/>
  <c r="I110" i="12"/>
  <c r="AN73" i="45"/>
  <c r="AR67" i="51"/>
  <c r="J144" i="42"/>
  <c r="J148" i="42" s="1"/>
  <c r="J145" i="42"/>
  <c r="J149" i="42" s="1"/>
  <c r="J143" i="42"/>
  <c r="J147" i="42" s="1"/>
  <c r="J146" i="42"/>
  <c r="K110" i="36"/>
  <c r="K143" i="38"/>
  <c r="K147" i="38" s="1"/>
  <c r="K146" i="38"/>
  <c r="L100" i="36" s="1"/>
  <c r="AR100" i="36" s="1"/>
  <c r="K145" i="38"/>
  <c r="K149" i="38" s="1"/>
  <c r="K144" i="38"/>
  <c r="K148" i="38" s="1"/>
  <c r="J220" i="46"/>
  <c r="J225" i="46" s="1"/>
  <c r="J219" i="46"/>
  <c r="J224" i="46" s="1"/>
  <c r="J216" i="48"/>
  <c r="J217" i="46"/>
  <c r="J222" i="46" s="1"/>
  <c r="J218" i="46"/>
  <c r="J223" i="46" s="1"/>
  <c r="J221" i="46"/>
  <c r="K99" i="45" s="1"/>
  <c r="I72" i="45"/>
  <c r="J300" i="38"/>
  <c r="J299" i="38"/>
  <c r="M125" i="20"/>
  <c r="M122" i="20"/>
  <c r="M121" i="20"/>
  <c r="M124" i="20"/>
  <c r="M120" i="20"/>
  <c r="N119" i="20"/>
  <c r="M123" i="20"/>
  <c r="N29" i="38"/>
  <c r="E126" i="36"/>
  <c r="D343" i="38"/>
  <c r="E127" i="36" s="1"/>
  <c r="J24" i="19"/>
  <c r="K18" i="19"/>
  <c r="K229" i="54"/>
  <c r="K230" i="54" s="1"/>
  <c r="I95" i="20"/>
  <c r="I87" i="19" s="1"/>
  <c r="I92" i="20"/>
  <c r="I82" i="19"/>
  <c r="J124" i="14" s="1"/>
  <c r="I94" i="20"/>
  <c r="I86" i="19" s="1"/>
  <c r="I93" i="20"/>
  <c r="I91" i="20"/>
  <c r="G148" i="12"/>
  <c r="G169" i="12" s="1"/>
  <c r="K202" i="46"/>
  <c r="K226" i="46"/>
  <c r="K216" i="46"/>
  <c r="K206" i="46"/>
  <c r="I227" i="12"/>
  <c r="O28" i="48"/>
  <c r="P22" i="48"/>
  <c r="K63" i="38"/>
  <c r="K69" i="38"/>
  <c r="AQ37" i="45"/>
  <c r="K87" i="42"/>
  <c r="K91" i="42" s="1"/>
  <c r="K88" i="42"/>
  <c r="K92" i="42" s="1"/>
  <c r="K86" i="42"/>
  <c r="K90" i="42" s="1"/>
  <c r="K89" i="42"/>
  <c r="N54" i="51"/>
  <c r="AT53" i="51"/>
  <c r="K206" i="38"/>
  <c r="K210" i="38" s="1"/>
  <c r="K207" i="38"/>
  <c r="K211" i="38" s="1"/>
  <c r="K208" i="38"/>
  <c r="K205" i="38"/>
  <c r="K209" i="38" s="1"/>
  <c r="I163" i="19"/>
  <c r="P20" i="46"/>
  <c r="O26" i="46"/>
  <c r="O41" i="46" s="1"/>
  <c r="J141" i="16"/>
  <c r="J142" i="16" s="1"/>
  <c r="M37" i="28"/>
  <c r="N125" i="15"/>
  <c r="N47" i="15"/>
  <c r="M292" i="38"/>
  <c r="L37" i="45"/>
  <c r="F115" i="45"/>
  <c r="F318" i="46"/>
  <c r="F319" i="46" s="1"/>
  <c r="F341" i="46"/>
  <c r="F342" i="46" s="1"/>
  <c r="G9" i="55"/>
  <c r="J158" i="28"/>
  <c r="J159" i="28" s="1"/>
  <c r="J181" i="28"/>
  <c r="J182" i="28" s="1"/>
  <c r="M28" i="20"/>
  <c r="M46" i="20" s="1"/>
  <c r="N22" i="20"/>
  <c r="O121" i="16"/>
  <c r="O42" i="16"/>
  <c r="I233" i="53"/>
  <c r="I236" i="53" s="1"/>
  <c r="I232" i="53"/>
  <c r="K261" i="48"/>
  <c r="K266" i="48" s="1"/>
  <c r="K262" i="48"/>
  <c r="K267" i="48" s="1"/>
  <c r="K264" i="48"/>
  <c r="K269" i="48" s="1"/>
  <c r="K265" i="48"/>
  <c r="K263" i="48"/>
  <c r="K268" i="48" s="1"/>
  <c r="L132" i="38"/>
  <c r="L158" i="38" s="1"/>
  <c r="L130" i="38"/>
  <c r="L142" i="38" s="1"/>
  <c r="L131" i="38"/>
  <c r="L150" i="38" s="1"/>
  <c r="P27" i="53"/>
  <c r="P42" i="53" s="1"/>
  <c r="Q21" i="53"/>
  <c r="H228" i="12"/>
  <c r="G118" i="12"/>
  <c r="G69" i="19"/>
  <c r="H99" i="14" s="1"/>
  <c r="H99" i="12"/>
  <c r="K58" i="29"/>
  <c r="K114" i="28"/>
  <c r="K213" i="28"/>
  <c r="I147" i="12"/>
  <c r="I95" i="12"/>
  <c r="H218" i="20"/>
  <c r="L76" i="53"/>
  <c r="M67" i="51"/>
  <c r="M71" i="51" s="1"/>
  <c r="G112" i="45"/>
  <c r="G110" i="45"/>
  <c r="G111" i="45"/>
  <c r="N44" i="53"/>
  <c r="N204" i="53" s="1"/>
  <c r="M208" i="20"/>
  <c r="L209" i="20"/>
  <c r="L211" i="20" s="1"/>
  <c r="E69" i="16"/>
  <c r="D196" i="29"/>
  <c r="D191" i="29"/>
  <c r="M278" i="42"/>
  <c r="M289" i="42" s="1"/>
  <c r="M31" i="42"/>
  <c r="M258" i="46"/>
  <c r="M260" i="46" s="1"/>
  <c r="N257" i="46"/>
  <c r="G318" i="38"/>
  <c r="G319" i="38" s="1"/>
  <c r="G321" i="38" s="1"/>
  <c r="I167" i="48"/>
  <c r="I172" i="48" s="1"/>
  <c r="I168" i="48"/>
  <c r="I173" i="48" s="1"/>
  <c r="I165" i="48"/>
  <c r="I170" i="48" s="1"/>
  <c r="I169" i="48"/>
  <c r="I166" i="48"/>
  <c r="I171" i="48" s="1"/>
  <c r="L241" i="46"/>
  <c r="L243" i="46" s="1"/>
  <c r="M240" i="46"/>
  <c r="K34" i="45"/>
  <c r="F150" i="14"/>
  <c r="AM76" i="45"/>
  <c r="G78" i="45"/>
  <c r="J105" i="36"/>
  <c r="J103" i="36"/>
  <c r="J117" i="36" s="1"/>
  <c r="J123" i="36" s="1"/>
  <c r="AR19" i="45"/>
  <c r="AR20" i="45"/>
  <c r="O26" i="53"/>
  <c r="O41" i="53" s="1"/>
  <c r="O147" i="53" s="1"/>
  <c r="O148" i="53" s="1"/>
  <c r="P60" i="51" s="1"/>
  <c r="P20" i="53"/>
  <c r="N37" i="28"/>
  <c r="O125" i="15"/>
  <c r="O47" i="15"/>
  <c r="O40" i="28"/>
  <c r="P128" i="15"/>
  <c r="P60" i="15"/>
  <c r="I129" i="14"/>
  <c r="F229" i="19"/>
  <c r="F226" i="19"/>
  <c r="F227" i="19"/>
  <c r="F228" i="19"/>
  <c r="O25" i="42"/>
  <c r="O40" i="42" s="1"/>
  <c r="P19" i="42"/>
  <c r="I229" i="48"/>
  <c r="I234" i="48" s="1"/>
  <c r="I230" i="48"/>
  <c r="I235" i="48" s="1"/>
  <c r="I231" i="48"/>
  <c r="I228" i="48"/>
  <c r="I233" i="48" s="1"/>
  <c r="I227" i="48"/>
  <c r="I232" i="48" s="1"/>
  <c r="G249" i="54"/>
  <c r="G251" i="54"/>
  <c r="AN75" i="51" s="1"/>
  <c r="K25" i="45"/>
  <c r="K82" i="45"/>
  <c r="K24" i="45"/>
  <c r="J34" i="46"/>
  <c r="K26" i="45"/>
  <c r="G255" i="20"/>
  <c r="G256" i="20" s="1"/>
  <c r="H222" i="20"/>
  <c r="T7" i="16"/>
  <c r="T8" i="16" s="1"/>
  <c r="U6" i="16"/>
  <c r="G107" i="12"/>
  <c r="AT17" i="45"/>
  <c r="Q74" i="16"/>
  <c r="M66" i="54"/>
  <c r="M73" i="54" s="1"/>
  <c r="M74" i="54" s="1"/>
  <c r="N60" i="54"/>
  <c r="M62" i="54"/>
  <c r="M64" i="54"/>
  <c r="M71" i="54" s="1"/>
  <c r="M72" i="54" s="1"/>
  <c r="M65" i="54"/>
  <c r="M75" i="54" s="1"/>
  <c r="M76" i="54" s="1"/>
  <c r="M67" i="54"/>
  <c r="M77" i="54" s="1"/>
  <c r="M78" i="54" s="1"/>
  <c r="M61" i="54"/>
  <c r="L289" i="38"/>
  <c r="M241" i="48"/>
  <c r="N240" i="48"/>
  <c r="L26" i="19"/>
  <c r="L44" i="19" s="1"/>
  <c r="L155" i="19" s="1"/>
  <c r="L154" i="19" s="1"/>
  <c r="M20" i="19"/>
  <c r="I109" i="14"/>
  <c r="N36" i="29"/>
  <c r="N42" i="29" s="1"/>
  <c r="O123" i="16"/>
  <c r="O43" i="16"/>
  <c r="I83" i="20"/>
  <c r="I75" i="19" s="1"/>
  <c r="I70" i="19"/>
  <c r="J114" i="14" s="1"/>
  <c r="I80" i="20"/>
  <c r="I79" i="20"/>
  <c r="J114" i="12"/>
  <c r="I81" i="20"/>
  <c r="I82" i="20"/>
  <c r="M94" i="12"/>
  <c r="L139" i="20"/>
  <c r="O28" i="28"/>
  <c r="O46" i="28" s="1"/>
  <c r="P22" i="28"/>
  <c r="AK120" i="36"/>
  <c r="E122" i="36"/>
  <c r="E125" i="36"/>
  <c r="O40" i="45"/>
  <c r="O39" i="45"/>
  <c r="AU38" i="45"/>
  <c r="P38" i="45"/>
  <c r="I29" i="19"/>
  <c r="I42" i="19"/>
  <c r="I52" i="19" s="1"/>
  <c r="I49" i="19" s="1"/>
  <c r="I177" i="19" s="1"/>
  <c r="E337" i="42"/>
  <c r="E342" i="42"/>
  <c r="AQ91" i="36"/>
  <c r="AQ93" i="36" s="1"/>
  <c r="AQ96" i="36" s="1"/>
  <c r="K93" i="36"/>
  <c r="K96" i="36" s="1"/>
  <c r="O28" i="42"/>
  <c r="O43" i="42" s="1"/>
  <c r="P22" i="42"/>
  <c r="K203" i="46"/>
  <c r="K204" i="46"/>
  <c r="Q11" i="15"/>
  <c r="L217" i="42"/>
  <c r="L219" i="42" s="1"/>
  <c r="M216" i="42"/>
  <c r="G229" i="14"/>
  <c r="K97" i="38"/>
  <c r="L108" i="36" s="1"/>
  <c r="AR108" i="36" s="1"/>
  <c r="K95" i="38"/>
  <c r="K99" i="38" s="1"/>
  <c r="K96" i="38"/>
  <c r="K100" i="38" s="1"/>
  <c r="K94" i="38"/>
  <c r="K98" i="38" s="1"/>
  <c r="AQ36" i="45"/>
  <c r="I171" i="28"/>
  <c r="I183" i="28" s="1"/>
  <c r="I184" i="28" s="1"/>
  <c r="I172" i="28"/>
  <c r="G231" i="14"/>
  <c r="L27" i="19"/>
  <c r="L45" i="19" s="1"/>
  <c r="L129" i="19" s="1"/>
  <c r="L128" i="19" s="1"/>
  <c r="M21" i="19"/>
  <c r="G186" i="28"/>
  <c r="G187" i="28" s="1"/>
  <c r="G189" i="28" s="1"/>
  <c r="I119" i="36"/>
  <c r="K190" i="38"/>
  <c r="K194" i="38" s="1"/>
  <c r="K189" i="38"/>
  <c r="K193" i="38" s="1"/>
  <c r="K192" i="38"/>
  <c r="L91" i="36" s="1"/>
  <c r="K191" i="38"/>
  <c r="K195" i="38" s="1"/>
  <c r="AU69" i="51"/>
  <c r="AQ23" i="45"/>
  <c r="M258" i="48"/>
  <c r="N257" i="48"/>
  <c r="M83" i="28"/>
  <c r="M70" i="29" s="1"/>
  <c r="M88" i="28"/>
  <c r="M85" i="28"/>
  <c r="M72" i="29" s="1"/>
  <c r="M84" i="28"/>
  <c r="M87" i="28"/>
  <c r="M86" i="28"/>
  <c r="N82" i="28"/>
  <c r="F110" i="48"/>
  <c r="F115" i="48" s="1"/>
  <c r="F111" i="48"/>
  <c r="F116" i="48" s="1"/>
  <c r="F113" i="48"/>
  <c r="F118" i="48" s="1"/>
  <c r="F112" i="48"/>
  <c r="F117" i="48" s="1"/>
  <c r="F114" i="48"/>
  <c r="F274" i="48"/>
  <c r="J88" i="29"/>
  <c r="J100" i="29"/>
  <c r="L167" i="19"/>
  <c r="L166" i="19" s="1"/>
  <c r="AR105" i="45"/>
  <c r="I301" i="38"/>
  <c r="I305" i="38" s="1"/>
  <c r="I302" i="38"/>
  <c r="L129" i="38"/>
  <c r="L134" i="38"/>
  <c r="O138" i="53"/>
  <c r="O139" i="53" s="1"/>
  <c r="P69" i="51" s="1"/>
  <c r="O134" i="53"/>
  <c r="O136" i="53"/>
  <c r="O137" i="53" s="1"/>
  <c r="P63" i="51" s="1"/>
  <c r="E237" i="19"/>
  <c r="E236" i="19"/>
  <c r="E248" i="19" s="1"/>
  <c r="E249" i="19" s="1"/>
  <c r="N31" i="48"/>
  <c r="G118" i="14"/>
  <c r="K303" i="38"/>
  <c r="K315" i="38" s="1"/>
  <c r="K304" i="38"/>
  <c r="H93" i="14"/>
  <c r="G179" i="19"/>
  <c r="H73" i="20"/>
  <c r="H64" i="19"/>
  <c r="I93" i="14" s="1"/>
  <c r="H75" i="20"/>
  <c r="H76" i="20"/>
  <c r="H77" i="20"/>
  <c r="H74" i="20"/>
  <c r="H66" i="19" s="1"/>
  <c r="AS61" i="51"/>
  <c r="M64" i="51"/>
  <c r="D353" i="46"/>
  <c r="D354" i="46" s="1"/>
  <c r="K214" i="20"/>
  <c r="K172" i="19" s="1"/>
  <c r="K216" i="20"/>
  <c r="K174" i="19" s="1"/>
  <c r="K213" i="20"/>
  <c r="K171" i="19" s="1"/>
  <c r="K212" i="20"/>
  <c r="K170" i="19" s="1"/>
  <c r="K169" i="19"/>
  <c r="L135" i="12"/>
  <c r="K215" i="20"/>
  <c r="AR98" i="36"/>
  <c r="L264" i="46"/>
  <c r="L269" i="46" s="1"/>
  <c r="L262" i="46"/>
  <c r="L267" i="46" s="1"/>
  <c r="L261" i="46"/>
  <c r="L266" i="46" s="1"/>
  <c r="L263" i="46"/>
  <c r="L268" i="46" s="1"/>
  <c r="L260" i="48"/>
  <c r="L265" i="46"/>
  <c r="M105" i="45" s="1"/>
  <c r="M26" i="20"/>
  <c r="M44" i="20" s="1"/>
  <c r="N20" i="20"/>
  <c r="I290" i="42"/>
  <c r="I291" i="42" s="1"/>
  <c r="I313" i="42"/>
  <c r="I314" i="42" s="1"/>
  <c r="R19" i="15"/>
  <c r="R15" i="15"/>
  <c r="R18" i="15"/>
  <c r="R16" i="15"/>
  <c r="S14" i="15"/>
  <c r="R32" i="15"/>
  <c r="R74" i="15" s="1"/>
  <c r="G325" i="38"/>
  <c r="G326" i="38" s="1"/>
  <c r="L168" i="20"/>
  <c r="L169" i="20"/>
  <c r="L170" i="20"/>
  <c r="L179" i="20" s="1"/>
  <c r="L167" i="20"/>
  <c r="L173" i="20" s="1"/>
  <c r="L171" i="20"/>
  <c r="L185" i="20" s="1"/>
  <c r="M166" i="20"/>
  <c r="M61" i="28"/>
  <c r="M57" i="29" s="1"/>
  <c r="M64" i="28"/>
  <c r="M60" i="28"/>
  <c r="M63" i="28"/>
  <c r="N59" i="28"/>
  <c r="K245" i="46"/>
  <c r="K250" i="46" s="1"/>
  <c r="K246" i="46"/>
  <c r="K251" i="46" s="1"/>
  <c r="K247" i="46"/>
  <c r="K252" i="46" s="1"/>
  <c r="K243" i="48"/>
  <c r="K244" i="46"/>
  <c r="K249" i="46" s="1"/>
  <c r="K248" i="46"/>
  <c r="L96" i="45" s="1"/>
  <c r="AL9" i="55"/>
  <c r="F72" i="48"/>
  <c r="F77" i="48" s="1"/>
  <c r="F70" i="48"/>
  <c r="F75" i="48" s="1"/>
  <c r="F71" i="48"/>
  <c r="F76" i="48" s="1"/>
  <c r="F74" i="48"/>
  <c r="F73" i="48"/>
  <c r="F78" i="48" s="1"/>
  <c r="O128" i="16"/>
  <c r="N40" i="29"/>
  <c r="O60" i="16"/>
  <c r="AU60" i="51"/>
  <c r="J141" i="15"/>
  <c r="J142" i="15" s="1"/>
  <c r="K220" i="53"/>
  <c r="K219" i="53"/>
  <c r="K231" i="53" s="1"/>
  <c r="M208" i="54"/>
  <c r="AK76" i="51"/>
  <c r="AR49" i="51"/>
  <c r="L72" i="51"/>
  <c r="L51" i="51"/>
  <c r="K68" i="20"/>
  <c r="K67" i="20"/>
  <c r="K70" i="20"/>
  <c r="K69" i="20"/>
  <c r="H231" i="12"/>
  <c r="F224" i="19"/>
  <c r="I128" i="36"/>
  <c r="H167" i="28"/>
  <c r="H168" i="28"/>
  <c r="N31" i="29"/>
  <c r="I177" i="48"/>
  <c r="I182" i="48" s="1"/>
  <c r="I175" i="48"/>
  <c r="I180" i="48" s="1"/>
  <c r="I178" i="48"/>
  <c r="I183" i="48" s="1"/>
  <c r="I179" i="48"/>
  <c r="I176" i="48"/>
  <c r="I181" i="48" s="1"/>
  <c r="J70" i="38"/>
  <c r="J74" i="38" s="1"/>
  <c r="J71" i="38"/>
  <c r="J75" i="38" s="1"/>
  <c r="J72" i="38"/>
  <c r="J76" i="38" s="1"/>
  <c r="J73" i="38"/>
  <c r="K78" i="36" s="1"/>
  <c r="F257" i="20"/>
  <c r="F259" i="20"/>
  <c r="F260" i="20"/>
  <c r="F258" i="20"/>
  <c r="F261" i="20"/>
  <c r="F262" i="20"/>
  <c r="G107" i="14"/>
  <c r="H196" i="54"/>
  <c r="H197" i="54" s="1"/>
  <c r="I163" i="54"/>
  <c r="K136" i="15"/>
  <c r="K219" i="54"/>
  <c r="K231" i="54" s="1"/>
  <c r="K220" i="54"/>
  <c r="N69" i="45"/>
  <c r="R16" i="16"/>
  <c r="R19" i="16"/>
  <c r="R15" i="16"/>
  <c r="R18" i="16"/>
  <c r="S14" i="16"/>
  <c r="R32" i="16"/>
  <c r="K136" i="38"/>
  <c r="K140" i="38" s="1"/>
  <c r="K135" i="38"/>
  <c r="K139" i="38" s="1"/>
  <c r="K138" i="38"/>
  <c r="L85" i="36" s="1"/>
  <c r="K137" i="38"/>
  <c r="K141" i="38" s="1"/>
  <c r="L25" i="19"/>
  <c r="L43" i="19" s="1"/>
  <c r="L96" i="19" s="1"/>
  <c r="L95" i="19" s="1"/>
  <c r="M19" i="19"/>
  <c r="I73" i="45"/>
  <c r="AQ79" i="36"/>
  <c r="AQ114" i="36" s="1"/>
  <c r="K114" i="36"/>
  <c r="C310" i="20"/>
  <c r="D156" i="12" s="1"/>
  <c r="C308" i="20"/>
  <c r="H47" i="19"/>
  <c r="H62" i="19"/>
  <c r="H59" i="19"/>
  <c r="H61" i="19"/>
  <c r="P27" i="54"/>
  <c r="P42" i="54" s="1"/>
  <c r="Q21" i="54"/>
  <c r="K136" i="16"/>
  <c r="I218" i="54"/>
  <c r="I217" i="54"/>
  <c r="I221" i="54" s="1"/>
  <c r="AQ51" i="51"/>
  <c r="AQ72" i="51"/>
  <c r="L127" i="20"/>
  <c r="O61" i="15"/>
  <c r="N85" i="29"/>
  <c r="M137" i="48"/>
  <c r="M200" i="48"/>
  <c r="M201" i="48"/>
  <c r="M138" i="48"/>
  <c r="N136" i="48"/>
  <c r="K303" i="42"/>
  <c r="K315" i="42" s="1"/>
  <c r="K304" i="42"/>
  <c r="N42" i="45"/>
  <c r="M35" i="46"/>
  <c r="N95" i="45"/>
  <c r="N43" i="45"/>
  <c r="N44" i="45"/>
  <c r="I301" i="42"/>
  <c r="I305" i="42" s="1"/>
  <c r="I302" i="42"/>
  <c r="AP68" i="45"/>
  <c r="K140" i="46"/>
  <c r="K154" i="46" s="1"/>
  <c r="K141" i="46"/>
  <c r="K164" i="46" s="1"/>
  <c r="K142" i="46"/>
  <c r="K174" i="46" s="1"/>
  <c r="K221" i="42"/>
  <c r="K225" i="42" s="1"/>
  <c r="K222" i="42"/>
  <c r="K226" i="42" s="1"/>
  <c r="K223" i="42"/>
  <c r="K220" i="42"/>
  <c r="K224" i="42" s="1"/>
  <c r="M31" i="38"/>
  <c r="M278" i="38"/>
  <c r="M289" i="38" s="1"/>
  <c r="K78" i="38"/>
  <c r="K82" i="38" s="1"/>
  <c r="K80" i="38"/>
  <c r="K84" i="38" s="1"/>
  <c r="K79" i="38"/>
  <c r="K83" i="38" s="1"/>
  <c r="K81" i="38"/>
  <c r="L92" i="36" s="1"/>
  <c r="AR92" i="36" s="1"/>
  <c r="F69" i="15"/>
  <c r="E205" i="28"/>
  <c r="E210" i="28"/>
  <c r="K96" i="42"/>
  <c r="K100" i="42" s="1"/>
  <c r="K95" i="42"/>
  <c r="K99" i="42" s="1"/>
  <c r="K97" i="42"/>
  <c r="K94" i="42"/>
  <c r="K98" i="42" s="1"/>
  <c r="E318" i="48"/>
  <c r="E319" i="48" s="1"/>
  <c r="E341" i="48"/>
  <c r="E342" i="48" s="1"/>
  <c r="L296" i="42"/>
  <c r="L294" i="42"/>
  <c r="L293" i="42"/>
  <c r="L295" i="42"/>
  <c r="L207" i="28"/>
  <c r="L208" i="28"/>
  <c r="L156" i="28"/>
  <c r="M67" i="48"/>
  <c r="M66" i="48"/>
  <c r="M65" i="48"/>
  <c r="M61" i="48"/>
  <c r="M62" i="48"/>
  <c r="N60" i="48"/>
  <c r="M64" i="48"/>
  <c r="K200" i="38"/>
  <c r="L101" i="36" s="1"/>
  <c r="AR101" i="36" s="1"/>
  <c r="K199" i="38"/>
  <c r="K203" i="38" s="1"/>
  <c r="K198" i="38"/>
  <c r="K202" i="38" s="1"/>
  <c r="K197" i="38"/>
  <c r="K201" i="38" s="1"/>
  <c r="F193" i="28"/>
  <c r="F194" i="28" s="1"/>
  <c r="N135" i="53"/>
  <c r="O56" i="51"/>
  <c r="P24" i="28"/>
  <c r="Q18" i="28"/>
  <c r="J140" i="16"/>
  <c r="G117" i="12"/>
  <c r="N121" i="15"/>
  <c r="N42" i="15"/>
  <c r="AQ70" i="51"/>
  <c r="M47" i="29"/>
  <c r="M142" i="29" s="1"/>
  <c r="K148" i="20"/>
  <c r="K124" i="19" s="1"/>
  <c r="K147" i="20"/>
  <c r="K123" i="19" s="1"/>
  <c r="K149" i="20"/>
  <c r="K125" i="19" s="1"/>
  <c r="L138" i="12"/>
  <c r="K121" i="19"/>
  <c r="L138" i="14" s="1"/>
  <c r="K150" i="20"/>
  <c r="K126" i="19" s="1"/>
  <c r="K146" i="20"/>
  <c r="K122" i="19" s="1"/>
  <c r="AL100" i="45"/>
  <c r="AL113" i="45"/>
  <c r="M45" i="15"/>
  <c r="L74" i="29"/>
  <c r="M45" i="16" s="1"/>
  <c r="AM97" i="45"/>
  <c r="G100" i="45"/>
  <c r="G113" i="45"/>
  <c r="D325" i="48"/>
  <c r="D326" i="48"/>
  <c r="R11" i="15"/>
  <c r="M89" i="29" l="1"/>
  <c r="L162" i="53"/>
  <c r="K103" i="36"/>
  <c r="N31" i="53"/>
  <c r="L67" i="45"/>
  <c r="G232" i="12"/>
  <c r="AQ67" i="45"/>
  <c r="J90" i="20"/>
  <c r="J92" i="20" s="1"/>
  <c r="AN4" i="55"/>
  <c r="K124" i="12"/>
  <c r="K127" i="12" s="1"/>
  <c r="K227" i="12" s="1"/>
  <c r="N29" i="42"/>
  <c r="I131" i="14"/>
  <c r="I131" i="12"/>
  <c r="H266" i="20"/>
  <c r="H281" i="20" s="1"/>
  <c r="M33" i="28"/>
  <c r="AN112" i="45"/>
  <c r="O24" i="42"/>
  <c r="O39" i="42" s="1"/>
  <c r="P18" i="42"/>
  <c r="O24" i="38"/>
  <c r="O39" i="38" s="1"/>
  <c r="P18" i="38"/>
  <c r="AN111" i="45"/>
  <c r="O29" i="29"/>
  <c r="O132" i="29" s="1"/>
  <c r="T25" i="15"/>
  <c r="Q35" i="16"/>
  <c r="AN110" i="45"/>
  <c r="H176" i="19"/>
  <c r="M133" i="20"/>
  <c r="M35" i="45"/>
  <c r="O29" i="42"/>
  <c r="O278" i="42" s="1"/>
  <c r="M127" i="20"/>
  <c r="M132" i="20" s="1"/>
  <c r="M108" i="19" s="1"/>
  <c r="M37" i="45"/>
  <c r="G233" i="12"/>
  <c r="G234" i="12" s="1"/>
  <c r="J133" i="12"/>
  <c r="M139" i="48"/>
  <c r="I259" i="54"/>
  <c r="AP78" i="51" s="1"/>
  <c r="AP77" i="51"/>
  <c r="H325" i="38"/>
  <c r="H326" i="38" s="1"/>
  <c r="J241" i="53"/>
  <c r="J242" i="53" s="1"/>
  <c r="H152" i="14"/>
  <c r="H179" i="29"/>
  <c r="H180" i="29" s="1"/>
  <c r="H325" i="42"/>
  <c r="H326" i="42" s="1"/>
  <c r="N131" i="15"/>
  <c r="N129" i="15"/>
  <c r="N84" i="29"/>
  <c r="O61" i="16"/>
  <c r="J163" i="54"/>
  <c r="I196" i="54"/>
  <c r="I197" i="54" s="1"/>
  <c r="F72" i="15"/>
  <c r="E211" i="28"/>
  <c r="F73" i="15" s="1"/>
  <c r="M203" i="48"/>
  <c r="M204" i="48"/>
  <c r="F239" i="19"/>
  <c r="F240" i="19"/>
  <c r="F241" i="19"/>
  <c r="F242" i="19"/>
  <c r="F244" i="19"/>
  <c r="F243" i="19"/>
  <c r="AR96" i="45"/>
  <c r="M62" i="28"/>
  <c r="N44" i="15"/>
  <c r="M56" i="29"/>
  <c r="N44" i="16" s="1"/>
  <c r="AR102" i="36"/>
  <c r="H67" i="19"/>
  <c r="I100" i="14" s="1"/>
  <c r="I100" i="12"/>
  <c r="AV69" i="51"/>
  <c r="J144" i="29"/>
  <c r="J145" i="29" s="1"/>
  <c r="J167" i="29"/>
  <c r="J168" i="29" s="1"/>
  <c r="N85" i="28"/>
  <c r="N72" i="29" s="1"/>
  <c r="N83" i="28"/>
  <c r="N70" i="29" s="1"/>
  <c r="N87" i="28"/>
  <c r="N84" i="28"/>
  <c r="N88" i="28"/>
  <c r="N86" i="28"/>
  <c r="O82" i="28"/>
  <c r="Q22" i="42"/>
  <c r="P28" i="42"/>
  <c r="P43" i="42" s="1"/>
  <c r="I31" i="19"/>
  <c r="I211" i="19"/>
  <c r="I71" i="19"/>
  <c r="J116" i="14" s="1"/>
  <c r="J116" i="12"/>
  <c r="M63" i="54"/>
  <c r="M159" i="54" s="1"/>
  <c r="M69" i="54"/>
  <c r="M70" i="54" s="1"/>
  <c r="AT69" i="45"/>
  <c r="F230" i="19"/>
  <c r="F231" i="19"/>
  <c r="L244" i="46"/>
  <c r="L249" i="46" s="1"/>
  <c r="L243" i="48"/>
  <c r="L246" i="46"/>
  <c r="L251" i="46" s="1"/>
  <c r="L245" i="46"/>
  <c r="L250" i="46" s="1"/>
  <c r="L247" i="46"/>
  <c r="L252" i="46" s="1"/>
  <c r="L248" i="46"/>
  <c r="M96" i="45" s="1"/>
  <c r="L73" i="51"/>
  <c r="E72" i="16"/>
  <c r="D197" i="29"/>
  <c r="E73" i="16" s="1"/>
  <c r="N205" i="53"/>
  <c r="N208" i="53"/>
  <c r="L151" i="38"/>
  <c r="L155" i="38" s="1"/>
  <c r="L153" i="38"/>
  <c r="L157" i="38" s="1"/>
  <c r="L152" i="38"/>
  <c r="L156" i="38" s="1"/>
  <c r="L154" i="38"/>
  <c r="M79" i="36" s="1"/>
  <c r="K243" i="38"/>
  <c r="K246" i="38"/>
  <c r="K233" i="54"/>
  <c r="K236" i="54" s="1"/>
  <c r="K232" i="54"/>
  <c r="N125" i="20"/>
  <c r="N121" i="20"/>
  <c r="N123" i="20"/>
  <c r="N122" i="20"/>
  <c r="N124" i="20"/>
  <c r="N120" i="20"/>
  <c r="O119" i="20"/>
  <c r="Q128" i="16"/>
  <c r="P40" i="29"/>
  <c r="Q60" i="16"/>
  <c r="P17" i="45"/>
  <c r="AV16" i="45"/>
  <c r="Q16" i="45"/>
  <c r="J101" i="20"/>
  <c r="J93" i="19" s="1"/>
  <c r="K136" i="12"/>
  <c r="J100" i="20"/>
  <c r="J99" i="20"/>
  <c r="J98" i="20"/>
  <c r="J88" i="19"/>
  <c r="K136" i="14" s="1"/>
  <c r="J97" i="20"/>
  <c r="U23" i="15"/>
  <c r="U24" i="15"/>
  <c r="V22" i="15"/>
  <c r="AS107" i="36"/>
  <c r="F308" i="46"/>
  <c r="F309" i="46" s="1"/>
  <c r="G275" i="46"/>
  <c r="N232" i="38"/>
  <c r="N234" i="38" s="1"/>
  <c r="O231" i="38"/>
  <c r="AR30" i="45"/>
  <c r="M209" i="53"/>
  <c r="M210" i="53"/>
  <c r="M212" i="53"/>
  <c r="M211" i="53"/>
  <c r="L102" i="42"/>
  <c r="L106" i="42" s="1"/>
  <c r="L103" i="42"/>
  <c r="L107" i="42" s="1"/>
  <c r="L105" i="42"/>
  <c r="L104" i="42"/>
  <c r="L108" i="42" s="1"/>
  <c r="L139" i="15"/>
  <c r="Q24" i="46"/>
  <c r="R18" i="46"/>
  <c r="P28" i="29"/>
  <c r="P46" i="29" s="1"/>
  <c r="Q22" i="29"/>
  <c r="G317" i="48"/>
  <c r="G320" i="48"/>
  <c r="K164" i="28"/>
  <c r="K161" i="28"/>
  <c r="K162" i="28"/>
  <c r="K163" i="28"/>
  <c r="J217" i="53"/>
  <c r="J221" i="53" s="1"/>
  <c r="J218" i="53"/>
  <c r="L192" i="38"/>
  <c r="M91" i="36" s="1"/>
  <c r="L191" i="38"/>
  <c r="L195" i="38" s="1"/>
  <c r="L189" i="38"/>
  <c r="L193" i="38" s="1"/>
  <c r="L190" i="38"/>
  <c r="L194" i="38" s="1"/>
  <c r="AS28" i="45"/>
  <c r="AS32" i="45"/>
  <c r="AS29" i="45"/>
  <c r="AS31" i="45"/>
  <c r="AS35" i="45" s="1"/>
  <c r="AS54" i="45"/>
  <c r="I57" i="19"/>
  <c r="I263" i="20"/>
  <c r="I315" i="20"/>
  <c r="I314" i="20"/>
  <c r="I264" i="20"/>
  <c r="I267" i="20"/>
  <c r="AT50" i="51"/>
  <c r="F326" i="46"/>
  <c r="F325" i="46"/>
  <c r="AQ108" i="45"/>
  <c r="L35" i="48"/>
  <c r="AS43" i="45"/>
  <c r="AS95" i="45"/>
  <c r="AS42" i="45"/>
  <c r="AS44" i="45"/>
  <c r="K206" i="53"/>
  <c r="K207" i="53" s="1"/>
  <c r="K229" i="53"/>
  <c r="K230" i="53" s="1"/>
  <c r="M92" i="46"/>
  <c r="M97" i="46" s="1"/>
  <c r="M93" i="46"/>
  <c r="M98" i="46" s="1"/>
  <c r="M91" i="46"/>
  <c r="M94" i="46"/>
  <c r="M90" i="46"/>
  <c r="M95" i="46" s="1"/>
  <c r="M89" i="48"/>
  <c r="R13" i="16"/>
  <c r="H110" i="46"/>
  <c r="H115" i="46" s="1"/>
  <c r="H112" i="46"/>
  <c r="H117" i="46" s="1"/>
  <c r="H113" i="46"/>
  <c r="H118" i="46" s="1"/>
  <c r="H109" i="48"/>
  <c r="H111" i="46"/>
  <c r="H116" i="46" s="1"/>
  <c r="H114" i="46"/>
  <c r="I97" i="45" s="1"/>
  <c r="H274" i="46"/>
  <c r="L148" i="20"/>
  <c r="L124" i="19" s="1"/>
  <c r="L146" i="20"/>
  <c r="L122" i="19" s="1"/>
  <c r="L150" i="20"/>
  <c r="L126" i="19" s="1"/>
  <c r="M138" i="12"/>
  <c r="L147" i="20"/>
  <c r="L123" i="19" s="1"/>
  <c r="L121" i="19"/>
  <c r="M138" i="14" s="1"/>
  <c r="L149" i="20"/>
  <c r="L125" i="19" s="1"/>
  <c r="M186" i="38"/>
  <c r="M185" i="38"/>
  <c r="J222" i="54"/>
  <c r="J224" i="54"/>
  <c r="J227" i="54"/>
  <c r="J226" i="54"/>
  <c r="J223" i="54"/>
  <c r="J225" i="54"/>
  <c r="O44" i="38"/>
  <c r="O288" i="38" s="1"/>
  <c r="K153" i="42"/>
  <c r="K157" i="42" s="1"/>
  <c r="K151" i="42"/>
  <c r="K155" i="42" s="1"/>
  <c r="K154" i="42"/>
  <c r="K152" i="42"/>
  <c r="K156" i="42" s="1"/>
  <c r="Q39" i="16"/>
  <c r="C329" i="48"/>
  <c r="C333" i="48" s="1"/>
  <c r="C330" i="48"/>
  <c r="M157" i="53"/>
  <c r="N66" i="51" s="1"/>
  <c r="I130" i="12"/>
  <c r="H80" i="45"/>
  <c r="H81" i="45"/>
  <c r="AN80" i="45"/>
  <c r="H79" i="45"/>
  <c r="AN79" i="45"/>
  <c r="AN81" i="45"/>
  <c r="AQ83" i="45"/>
  <c r="D234" i="19"/>
  <c r="D238" i="19" s="1"/>
  <c r="D235" i="19"/>
  <c r="M65" i="15"/>
  <c r="K197" i="42"/>
  <c r="K201" i="42" s="1"/>
  <c r="K198" i="42"/>
  <c r="K202" i="42" s="1"/>
  <c r="K199" i="42"/>
  <c r="K203" i="42" s="1"/>
  <c r="K200" i="42"/>
  <c r="J139" i="12"/>
  <c r="L129" i="42"/>
  <c r="L134" i="42"/>
  <c r="I107" i="12"/>
  <c r="J105" i="12"/>
  <c r="T41" i="15"/>
  <c r="J171" i="28"/>
  <c r="J183" i="28" s="1"/>
  <c r="J184" i="28" s="1"/>
  <c r="J172" i="28"/>
  <c r="Q24" i="54"/>
  <c r="R18" i="54"/>
  <c r="G335" i="42"/>
  <c r="G333" i="42"/>
  <c r="AN102" i="45"/>
  <c r="AN103" i="45"/>
  <c r="H103" i="45"/>
  <c r="H101" i="45"/>
  <c r="H102" i="45"/>
  <c r="AN101" i="45"/>
  <c r="M296" i="42"/>
  <c r="M294" i="42"/>
  <c r="M293" i="42"/>
  <c r="M295" i="42"/>
  <c r="L132" i="19"/>
  <c r="H98" i="12"/>
  <c r="H153" i="12"/>
  <c r="O29" i="28"/>
  <c r="O360" i="46"/>
  <c r="J153" i="29"/>
  <c r="J154" i="29"/>
  <c r="F213" i="19"/>
  <c r="F214" i="19" s="1"/>
  <c r="G180" i="19"/>
  <c r="L220" i="53"/>
  <c r="L219" i="53"/>
  <c r="L231" i="53" s="1"/>
  <c r="AR51" i="51"/>
  <c r="AR72" i="51"/>
  <c r="AL126" i="36"/>
  <c r="E343" i="42"/>
  <c r="AL127" i="36" s="1"/>
  <c r="O31" i="42"/>
  <c r="K75" i="45"/>
  <c r="J33" i="46"/>
  <c r="J39" i="46" s="1"/>
  <c r="AM100" i="45"/>
  <c r="AM113" i="45"/>
  <c r="Q24" i="28"/>
  <c r="R18" i="28"/>
  <c r="L303" i="42"/>
  <c r="L315" i="42" s="1"/>
  <c r="L304" i="42"/>
  <c r="M202" i="48"/>
  <c r="L129" i="20"/>
  <c r="L105" i="19" s="1"/>
  <c r="L132" i="20"/>
  <c r="L108" i="19" s="1"/>
  <c r="L131" i="20"/>
  <c r="L107" i="19" s="1"/>
  <c r="L103" i="19"/>
  <c r="M103" i="14" s="1"/>
  <c r="M103" i="12"/>
  <c r="L128" i="20"/>
  <c r="L104" i="19" s="1"/>
  <c r="L130" i="20"/>
  <c r="Q27" i="54"/>
  <c r="Q42" i="54" s="1"/>
  <c r="R21" i="54"/>
  <c r="D155" i="12"/>
  <c r="C312" i="20"/>
  <c r="C317" i="20"/>
  <c r="L86" i="36"/>
  <c r="L89" i="36" s="1"/>
  <c r="AR85" i="36"/>
  <c r="AR86" i="36" s="1"/>
  <c r="AR89" i="36" s="1"/>
  <c r="R20" i="16"/>
  <c r="H170" i="28"/>
  <c r="H169" i="28"/>
  <c r="H173" i="28" s="1"/>
  <c r="M212" i="54"/>
  <c r="M209" i="54"/>
  <c r="M210" i="54"/>
  <c r="M211" i="54"/>
  <c r="M60" i="29"/>
  <c r="N56" i="16" s="1"/>
  <c r="N56" i="15"/>
  <c r="R20" i="15"/>
  <c r="AS105" i="45"/>
  <c r="L102" i="36"/>
  <c r="I147" i="14"/>
  <c r="I95" i="14"/>
  <c r="L136" i="38"/>
  <c r="L140" i="38" s="1"/>
  <c r="L138" i="38"/>
  <c r="M85" i="36" s="1"/>
  <c r="L135" i="38"/>
  <c r="L139" i="38" s="1"/>
  <c r="L137" i="38"/>
  <c r="L141" i="38" s="1"/>
  <c r="N58" i="15"/>
  <c r="M73" i="29"/>
  <c r="N58" i="16" s="1"/>
  <c r="N258" i="48"/>
  <c r="O257" i="48"/>
  <c r="P40" i="45"/>
  <c r="P39" i="45"/>
  <c r="AV38" i="45"/>
  <c r="Q38" i="45"/>
  <c r="AK125" i="36"/>
  <c r="AK122" i="36"/>
  <c r="J119" i="12"/>
  <c r="I72" i="19"/>
  <c r="J119" i="14" s="1"/>
  <c r="N47" i="29"/>
  <c r="N142" i="29" s="1"/>
  <c r="AT18" i="45"/>
  <c r="K85" i="45"/>
  <c r="E71" i="16"/>
  <c r="I226" i="12"/>
  <c r="L144" i="38"/>
  <c r="L148" i="38" s="1"/>
  <c r="L143" i="38"/>
  <c r="L147" i="38" s="1"/>
  <c r="L146" i="38"/>
  <c r="M100" i="36" s="1"/>
  <c r="AS100" i="36" s="1"/>
  <c r="L145" i="38"/>
  <c r="L149" i="38" s="1"/>
  <c r="P28" i="48"/>
  <c r="Q22" i="48"/>
  <c r="K222" i="54"/>
  <c r="K224" i="54"/>
  <c r="K223" i="54"/>
  <c r="K227" i="54"/>
  <c r="K226" i="54"/>
  <c r="K225" i="54"/>
  <c r="AQ99" i="45"/>
  <c r="O20" i="45"/>
  <c r="O19" i="45"/>
  <c r="M33" i="29"/>
  <c r="M34" i="29"/>
  <c r="I317" i="38"/>
  <c r="I320" i="38" s="1"/>
  <c r="I316" i="38"/>
  <c r="T54" i="15"/>
  <c r="T124" i="15"/>
  <c r="S38" i="28"/>
  <c r="E310" i="46"/>
  <c r="E312" i="46"/>
  <c r="E315" i="46"/>
  <c r="E314" i="46"/>
  <c r="E311" i="46"/>
  <c r="E313" i="46"/>
  <c r="M236" i="38"/>
  <c r="M240" i="38" s="1"/>
  <c r="M235" i="38"/>
  <c r="M239" i="38" s="1"/>
  <c r="M238" i="38"/>
  <c r="N107" i="36" s="1"/>
  <c r="M237" i="38"/>
  <c r="M241" i="38" s="1"/>
  <c r="L95" i="42"/>
  <c r="L99" i="42" s="1"/>
  <c r="L94" i="42"/>
  <c r="L98" i="42" s="1"/>
  <c r="L96" i="42"/>
  <c r="L100" i="42" s="1"/>
  <c r="L97" i="42"/>
  <c r="J207" i="48"/>
  <c r="J212" i="48" s="1"/>
  <c r="J208" i="48"/>
  <c r="J213" i="48" s="1"/>
  <c r="J210" i="48"/>
  <c r="J215" i="48" s="1"/>
  <c r="J209" i="48"/>
  <c r="J214" i="48" s="1"/>
  <c r="J211" i="48"/>
  <c r="AQ113" i="36"/>
  <c r="AQ112" i="36"/>
  <c r="AQ111" i="36"/>
  <c r="G271" i="48"/>
  <c r="AS19" i="45"/>
  <c r="AS20" i="45"/>
  <c r="AN106" i="45"/>
  <c r="H109" i="45"/>
  <c r="I134" i="29"/>
  <c r="I135" i="29" s="1"/>
  <c r="J101" i="29"/>
  <c r="K299" i="38"/>
  <c r="K300" i="38"/>
  <c r="L199" i="38"/>
  <c r="L203" i="38" s="1"/>
  <c r="L200" i="38"/>
  <c r="M101" i="36" s="1"/>
  <c r="AS101" i="36" s="1"/>
  <c r="L197" i="38"/>
  <c r="L201" i="38" s="1"/>
  <c r="L198" i="38"/>
  <c r="L202" i="38" s="1"/>
  <c r="P28" i="53"/>
  <c r="P43" i="53" s="1"/>
  <c r="Q22" i="53"/>
  <c r="N32" i="45"/>
  <c r="N28" i="45"/>
  <c r="N31" i="45"/>
  <c r="N37" i="45" s="1"/>
  <c r="AT27" i="45"/>
  <c r="N29" i="45"/>
  <c r="O27" i="45"/>
  <c r="N54" i="45"/>
  <c r="I265" i="20"/>
  <c r="I288" i="20"/>
  <c r="I289" i="20" s="1"/>
  <c r="P25" i="48"/>
  <c r="P40" i="48" s="1"/>
  <c r="Q19" i="48"/>
  <c r="AT68" i="51"/>
  <c r="F332" i="46"/>
  <c r="F331" i="46"/>
  <c r="F343" i="46" s="1"/>
  <c r="M62" i="38"/>
  <c r="M65" i="38"/>
  <c r="M93" i="38" s="1"/>
  <c r="M61" i="38"/>
  <c r="M64" i="38"/>
  <c r="M77" i="38" s="1"/>
  <c r="M67" i="38"/>
  <c r="M101" i="38" s="1"/>
  <c r="M66" i="38"/>
  <c r="M85" i="38" s="1"/>
  <c r="N60" i="38"/>
  <c r="K136" i="42"/>
  <c r="K140" i="42" s="1"/>
  <c r="K137" i="42"/>
  <c r="K141" i="42" s="1"/>
  <c r="K135" i="42"/>
  <c r="K139" i="42" s="1"/>
  <c r="K138" i="42"/>
  <c r="Q40" i="16"/>
  <c r="AM118" i="45"/>
  <c r="L150" i="29"/>
  <c r="L148" i="29"/>
  <c r="L147" i="29"/>
  <c r="L149" i="29"/>
  <c r="H71" i="46"/>
  <c r="H76" i="46" s="1"/>
  <c r="H72" i="46"/>
  <c r="H77" i="46" s="1"/>
  <c r="H69" i="48"/>
  <c r="H70" i="46"/>
  <c r="H75" i="46" s="1"/>
  <c r="H73" i="46"/>
  <c r="H78" i="46" s="1"/>
  <c r="H74" i="46"/>
  <c r="I76" i="45" s="1"/>
  <c r="E71" i="15"/>
  <c r="N61" i="53"/>
  <c r="N65" i="53"/>
  <c r="N75" i="53" s="1"/>
  <c r="N62" i="53"/>
  <c r="N66" i="53"/>
  <c r="N73" i="53" s="1"/>
  <c r="N74" i="53" s="1"/>
  <c r="N64" i="53"/>
  <c r="N71" i="53" s="1"/>
  <c r="N72" i="53" s="1"/>
  <c r="O57" i="51" s="1"/>
  <c r="O58" i="51" s="1"/>
  <c r="N67" i="53"/>
  <c r="N77" i="53" s="1"/>
  <c r="N78" i="53" s="1"/>
  <c r="O61" i="51" s="1"/>
  <c r="O60" i="53"/>
  <c r="L100" i="19"/>
  <c r="J301" i="42"/>
  <c r="J305" i="42" s="1"/>
  <c r="J302" i="42"/>
  <c r="M184" i="38"/>
  <c r="M196" i="38"/>
  <c r="M188" i="38"/>
  <c r="M204" i="38"/>
  <c r="L135" i="15"/>
  <c r="K72" i="42"/>
  <c r="K76" i="42" s="1"/>
  <c r="K70" i="42"/>
  <c r="K74" i="42" s="1"/>
  <c r="K73" i="42"/>
  <c r="K71" i="42"/>
  <c r="K75" i="42" s="1"/>
  <c r="O29" i="38"/>
  <c r="K143" i="42"/>
  <c r="K147" i="42" s="1"/>
  <c r="K144" i="42"/>
  <c r="K148" i="42" s="1"/>
  <c r="K146" i="42"/>
  <c r="K145" i="42"/>
  <c r="K149" i="42" s="1"/>
  <c r="P26" i="48"/>
  <c r="P41" i="48" s="1"/>
  <c r="Q20" i="48"/>
  <c r="I155" i="29"/>
  <c r="I159" i="29" s="1"/>
  <c r="I156" i="29"/>
  <c r="O44" i="54"/>
  <c r="O204" i="54" s="1"/>
  <c r="O29" i="48"/>
  <c r="K141" i="16"/>
  <c r="K142" i="16" s="1"/>
  <c r="E326" i="48"/>
  <c r="E325" i="48"/>
  <c r="J136" i="14"/>
  <c r="J146" i="14" s="1"/>
  <c r="I74" i="51"/>
  <c r="H253" i="53"/>
  <c r="I107" i="14"/>
  <c r="I79" i="19"/>
  <c r="J110" i="14" s="1"/>
  <c r="J110" i="12"/>
  <c r="K106" i="19"/>
  <c r="P39" i="54"/>
  <c r="J119" i="36"/>
  <c r="L92" i="48"/>
  <c r="L97" i="48" s="1"/>
  <c r="L93" i="48"/>
  <c r="L98" i="48" s="1"/>
  <c r="L90" i="48"/>
  <c r="L95" i="48" s="1"/>
  <c r="L94" i="48"/>
  <c r="L91" i="48"/>
  <c r="H271" i="20"/>
  <c r="H268" i="20"/>
  <c r="H269" i="20"/>
  <c r="H270" i="20"/>
  <c r="J47" i="20"/>
  <c r="J218" i="20" s="1"/>
  <c r="J221" i="20"/>
  <c r="J72" i="20"/>
  <c r="K93" i="12"/>
  <c r="D300" i="20"/>
  <c r="D301" i="20" s="1"/>
  <c r="AR110" i="36"/>
  <c r="P25" i="46"/>
  <c r="P40" i="46" s="1"/>
  <c r="Q19" i="46"/>
  <c r="F120" i="36"/>
  <c r="E337" i="38"/>
  <c r="E342" i="38"/>
  <c r="J218" i="54"/>
  <c r="J217" i="54"/>
  <c r="J221" i="54" s="1"/>
  <c r="E217" i="19"/>
  <c r="E216" i="19"/>
  <c r="E218" i="19"/>
  <c r="E219" i="19"/>
  <c r="E215" i="19"/>
  <c r="E220" i="19"/>
  <c r="H227" i="14"/>
  <c r="Q27" i="42"/>
  <c r="Q42" i="42" s="1"/>
  <c r="R21" i="42"/>
  <c r="K70" i="45"/>
  <c r="L174" i="20"/>
  <c r="L136" i="19" s="1"/>
  <c r="L178" i="20"/>
  <c r="L140" i="19" s="1"/>
  <c r="L175" i="20"/>
  <c r="L137" i="19" s="1"/>
  <c r="M113" i="12"/>
  <c r="L177" i="20"/>
  <c r="L139" i="19" s="1"/>
  <c r="L176" i="20"/>
  <c r="L135" i="19"/>
  <c r="M113" i="14" s="1"/>
  <c r="R13" i="15"/>
  <c r="F71" i="15"/>
  <c r="P134" i="54"/>
  <c r="P135" i="54" s="1"/>
  <c r="P136" i="54"/>
  <c r="P137" i="54" s="1"/>
  <c r="P138" i="54"/>
  <c r="P139" i="54" s="1"/>
  <c r="D158" i="12"/>
  <c r="D162" i="12"/>
  <c r="R17" i="16"/>
  <c r="AQ73" i="51"/>
  <c r="K246" i="48"/>
  <c r="K251" i="48" s="1"/>
  <c r="K247" i="48"/>
  <c r="K252" i="48" s="1"/>
  <c r="K245" i="48"/>
  <c r="K250" i="48" s="1"/>
  <c r="K248" i="48"/>
  <c r="K244" i="48"/>
  <c r="K249" i="48" s="1"/>
  <c r="R17" i="15"/>
  <c r="I96" i="12"/>
  <c r="H65" i="19"/>
  <c r="I96" i="14" s="1"/>
  <c r="F318" i="48"/>
  <c r="F319" i="48" s="1"/>
  <c r="F341" i="48"/>
  <c r="F342" i="48" s="1"/>
  <c r="M74" i="29"/>
  <c r="N45" i="16" s="1"/>
  <c r="N45" i="15"/>
  <c r="M217" i="42"/>
  <c r="M219" i="42" s="1"/>
  <c r="N216" i="42"/>
  <c r="O41" i="45"/>
  <c r="P28" i="28"/>
  <c r="P46" i="28" s="1"/>
  <c r="Q22" i="28"/>
  <c r="J115" i="14"/>
  <c r="H255" i="20"/>
  <c r="H256" i="20" s="1"/>
  <c r="I222" i="20"/>
  <c r="K84" i="45"/>
  <c r="N258" i="46"/>
  <c r="N260" i="46" s="1"/>
  <c r="O257" i="46"/>
  <c r="L159" i="38"/>
  <c r="L163" i="38" s="1"/>
  <c r="L161" i="38"/>
  <c r="L165" i="38" s="1"/>
  <c r="L162" i="38"/>
  <c r="M109" i="36" s="1"/>
  <c r="AS109" i="36" s="1"/>
  <c r="L160" i="38"/>
  <c r="L164" i="38" s="1"/>
  <c r="J179" i="28"/>
  <c r="J177" i="28"/>
  <c r="J175" i="28"/>
  <c r="J174" i="28"/>
  <c r="J176" i="28"/>
  <c r="J178" i="28"/>
  <c r="I83" i="19"/>
  <c r="J128" i="14" s="1"/>
  <c r="J128" i="12"/>
  <c r="K24" i="19"/>
  <c r="L18" i="19"/>
  <c r="M139" i="20"/>
  <c r="N94" i="12"/>
  <c r="O69" i="45"/>
  <c r="N292" i="42"/>
  <c r="J163" i="19"/>
  <c r="H73" i="19"/>
  <c r="I120" i="14" s="1"/>
  <c r="I120" i="12"/>
  <c r="I311" i="38"/>
  <c r="I307" i="38"/>
  <c r="I306" i="38"/>
  <c r="I310" i="38"/>
  <c r="I308" i="38"/>
  <c r="I309" i="38"/>
  <c r="E250" i="19"/>
  <c r="C354" i="46"/>
  <c r="C363" i="46" s="1"/>
  <c r="D120" i="45" s="1"/>
  <c r="AR33" i="45"/>
  <c r="I144" i="12"/>
  <c r="H91" i="19"/>
  <c r="I144" i="14" s="1"/>
  <c r="L80" i="42"/>
  <c r="L84" i="42" s="1"/>
  <c r="L79" i="42"/>
  <c r="L83" i="42" s="1"/>
  <c r="L81" i="42"/>
  <c r="L78" i="42"/>
  <c r="L82" i="42" s="1"/>
  <c r="J227" i="12"/>
  <c r="AR70" i="51"/>
  <c r="K157" i="29"/>
  <c r="K169" i="29" s="1"/>
  <c r="K158" i="29"/>
  <c r="P25" i="38"/>
  <c r="P40" i="38" s="1"/>
  <c r="Q19" i="38"/>
  <c r="H112" i="45"/>
  <c r="H110" i="45"/>
  <c r="H111" i="45"/>
  <c r="H139" i="29"/>
  <c r="H138" i="29"/>
  <c r="H141" i="29"/>
  <c r="H137" i="29"/>
  <c r="H136" i="29"/>
  <c r="H140" i="29"/>
  <c r="L205" i="38"/>
  <c r="L209" i="38" s="1"/>
  <c r="L207" i="38"/>
  <c r="L211" i="38" s="1"/>
  <c r="L208" i="38"/>
  <c r="L206" i="38"/>
  <c r="L210" i="38" s="1"/>
  <c r="I50" i="19"/>
  <c r="J73" i="45"/>
  <c r="P28" i="38"/>
  <c r="P43" i="38" s="1"/>
  <c r="Q22" i="38"/>
  <c r="L94" i="38"/>
  <c r="L98" i="38" s="1"/>
  <c r="L96" i="38"/>
  <c r="L100" i="38" s="1"/>
  <c r="L95" i="38"/>
  <c r="L99" i="38" s="1"/>
  <c r="L97" i="38"/>
  <c r="M108" i="36" s="1"/>
  <c r="AS108" i="36" s="1"/>
  <c r="O37" i="29"/>
  <c r="P125" i="16"/>
  <c r="P47" i="16"/>
  <c r="I185" i="28"/>
  <c r="I186" i="28" s="1"/>
  <c r="G118" i="45"/>
  <c r="H317" i="46"/>
  <c r="H320" i="46"/>
  <c r="L99" i="19"/>
  <c r="M129" i="38"/>
  <c r="M134" i="38"/>
  <c r="K243" i="42"/>
  <c r="K246" i="42"/>
  <c r="G193" i="28"/>
  <c r="J148" i="28"/>
  <c r="J149" i="28" s="1"/>
  <c r="K214" i="28"/>
  <c r="AQ98" i="45"/>
  <c r="D345" i="48"/>
  <c r="D346" i="48" s="1"/>
  <c r="O29" i="54"/>
  <c r="M232" i="42"/>
  <c r="M234" i="42" s="1"/>
  <c r="N231" i="42"/>
  <c r="K189" i="42"/>
  <c r="K193" i="42" s="1"/>
  <c r="K191" i="42"/>
  <c r="K195" i="42" s="1"/>
  <c r="K192" i="42"/>
  <c r="K190" i="42"/>
  <c r="K194" i="42" s="1"/>
  <c r="G69" i="16"/>
  <c r="F196" i="29"/>
  <c r="F191" i="29"/>
  <c r="P26" i="42"/>
  <c r="P41" i="42" s="1"/>
  <c r="Q20" i="42"/>
  <c r="G318" i="46"/>
  <c r="G319" i="46" s="1"/>
  <c r="G341" i="46"/>
  <c r="G342" i="46" s="1"/>
  <c r="H9" i="55"/>
  <c r="Q24" i="48"/>
  <c r="R18" i="48"/>
  <c r="N75" i="16"/>
  <c r="N76" i="16"/>
  <c r="L131" i="19"/>
  <c r="BW4" i="55"/>
  <c r="J31" i="20"/>
  <c r="J253" i="20"/>
  <c r="BP7" i="55"/>
  <c r="G232" i="14"/>
  <c r="L110" i="36"/>
  <c r="H318" i="38"/>
  <c r="H319" i="38" s="1"/>
  <c r="H321" i="38" s="1"/>
  <c r="D349" i="46"/>
  <c r="H154" i="14"/>
  <c r="H97" i="14"/>
  <c r="N21" i="45"/>
  <c r="D327" i="48"/>
  <c r="D328" i="48"/>
  <c r="R34" i="16"/>
  <c r="R33" i="16"/>
  <c r="M66" i="16"/>
  <c r="M66" i="15"/>
  <c r="N75" i="15"/>
  <c r="N76" i="15"/>
  <c r="AU56" i="51"/>
  <c r="L157" i="28"/>
  <c r="L160" i="28"/>
  <c r="E335" i="48"/>
  <c r="E334" i="48"/>
  <c r="E337" i="48"/>
  <c r="E336" i="48"/>
  <c r="E338" i="48"/>
  <c r="E339" i="48"/>
  <c r="M169" i="20"/>
  <c r="M168" i="20"/>
  <c r="M170" i="20"/>
  <c r="M179" i="20" s="1"/>
  <c r="M171" i="20"/>
  <c r="M185" i="20" s="1"/>
  <c r="M167" i="20"/>
  <c r="M173" i="20" s="1"/>
  <c r="N166" i="20"/>
  <c r="G335" i="38"/>
  <c r="H121" i="36" s="1"/>
  <c r="AN121" i="36" s="1"/>
  <c r="G333" i="38"/>
  <c r="L264" i="48"/>
  <c r="L269" i="48" s="1"/>
  <c r="L261" i="48"/>
  <c r="L266" i="48" s="1"/>
  <c r="L263" i="48"/>
  <c r="L268" i="48" s="1"/>
  <c r="L265" i="48"/>
  <c r="L262" i="48"/>
  <c r="L267" i="48" s="1"/>
  <c r="G223" i="19"/>
  <c r="G224" i="19" s="1"/>
  <c r="G246" i="19"/>
  <c r="G247" i="19" s="1"/>
  <c r="N48" i="15"/>
  <c r="M71" i="29"/>
  <c r="N48" i="16" s="1"/>
  <c r="L222" i="42"/>
  <c r="L226" i="42" s="1"/>
  <c r="L221" i="42"/>
  <c r="L225" i="42" s="1"/>
  <c r="L223" i="42"/>
  <c r="L220" i="42"/>
  <c r="L224" i="42" s="1"/>
  <c r="AU39" i="45"/>
  <c r="AU40" i="45"/>
  <c r="P61" i="15"/>
  <c r="O85" i="29"/>
  <c r="M26" i="19"/>
  <c r="M44" i="19" s="1"/>
  <c r="M155" i="19" s="1"/>
  <c r="M154" i="19" s="1"/>
  <c r="N20" i="19"/>
  <c r="U7" i="16"/>
  <c r="V6" i="16"/>
  <c r="G261" i="20"/>
  <c r="G258" i="20"/>
  <c r="G260" i="20"/>
  <c r="G262" i="20"/>
  <c r="G257" i="20"/>
  <c r="G259" i="20"/>
  <c r="K86" i="45"/>
  <c r="F236" i="19"/>
  <c r="F237" i="19"/>
  <c r="P26" i="53"/>
  <c r="P41" i="53" s="1"/>
  <c r="P147" i="53" s="1"/>
  <c r="P148" i="53" s="1"/>
  <c r="Q60" i="51" s="1"/>
  <c r="Q20" i="53"/>
  <c r="M262" i="46"/>
  <c r="M267" i="46" s="1"/>
  <c r="M264" i="46"/>
  <c r="M269" i="46" s="1"/>
  <c r="M263" i="46"/>
  <c r="M268" i="46" s="1"/>
  <c r="M261" i="46"/>
  <c r="M266" i="46" s="1"/>
  <c r="M260" i="48"/>
  <c r="M265" i="46"/>
  <c r="N105" i="45" s="1"/>
  <c r="L214" i="20"/>
  <c r="L172" i="19" s="1"/>
  <c r="L216" i="20"/>
  <c r="L174" i="19" s="1"/>
  <c r="L213" i="20"/>
  <c r="L171" i="19" s="1"/>
  <c r="L212" i="20"/>
  <c r="L170" i="19" s="1"/>
  <c r="L169" i="19"/>
  <c r="M135" i="12"/>
  <c r="L215" i="20"/>
  <c r="AM9" i="55"/>
  <c r="I85" i="19"/>
  <c r="J132" i="14" s="1"/>
  <c r="J132" i="12"/>
  <c r="J29" i="19"/>
  <c r="J42" i="19"/>
  <c r="J51" i="19" s="1"/>
  <c r="K112" i="36"/>
  <c r="K111" i="36"/>
  <c r="K117" i="36" s="1"/>
  <c r="K123" i="36" s="1"/>
  <c r="K113" i="36"/>
  <c r="P26" i="38"/>
  <c r="P41" i="38" s="1"/>
  <c r="Q20" i="38"/>
  <c r="G323" i="46"/>
  <c r="G321" i="46"/>
  <c r="G322" i="46"/>
  <c r="G324" i="46"/>
  <c r="I146" i="12"/>
  <c r="I115" i="12"/>
  <c r="Q35" i="15"/>
  <c r="AR71" i="51"/>
  <c r="AU53" i="51"/>
  <c r="O54" i="51"/>
  <c r="U24" i="16"/>
  <c r="U23" i="16"/>
  <c r="V22" i="16"/>
  <c r="H89" i="19"/>
  <c r="I140" i="14" s="1"/>
  <c r="I140" i="12"/>
  <c r="I33" i="20"/>
  <c r="I34" i="20"/>
  <c r="Q22" i="54"/>
  <c r="P28" i="54"/>
  <c r="P43" i="54" s="1"/>
  <c r="L63" i="42"/>
  <c r="L69" i="42"/>
  <c r="M137" i="46"/>
  <c r="M201" i="46"/>
  <c r="M138" i="46"/>
  <c r="M200" i="46"/>
  <c r="N136" i="46"/>
  <c r="N292" i="38"/>
  <c r="G272" i="20"/>
  <c r="G273" i="20"/>
  <c r="K216" i="54"/>
  <c r="K215" i="54"/>
  <c r="K215" i="53"/>
  <c r="K216" i="53"/>
  <c r="Q21" i="15"/>
  <c r="N126" i="12"/>
  <c r="M145" i="20"/>
  <c r="P26" i="54"/>
  <c r="P41" i="54" s="1"/>
  <c r="P147" i="54" s="1"/>
  <c r="P148" i="54" s="1"/>
  <c r="Q20" i="54"/>
  <c r="I54" i="19"/>
  <c r="L105" i="38"/>
  <c r="M99" i="36" s="1"/>
  <c r="AS99" i="36" s="1"/>
  <c r="L103" i="38"/>
  <c r="L107" i="38" s="1"/>
  <c r="L102" i="38"/>
  <c r="L106" i="38" s="1"/>
  <c r="L104" i="38"/>
  <c r="L108" i="38" s="1"/>
  <c r="F290" i="20"/>
  <c r="F291" i="20" s="1"/>
  <c r="F292" i="20"/>
  <c r="J227" i="48"/>
  <c r="J232" i="48" s="1"/>
  <c r="J229" i="48"/>
  <c r="J234" i="48" s="1"/>
  <c r="J230" i="48"/>
  <c r="J235" i="48" s="1"/>
  <c r="J231" i="48"/>
  <c r="J228" i="48"/>
  <c r="J233" i="48" s="1"/>
  <c r="P121" i="16"/>
  <c r="P42" i="16"/>
  <c r="L157" i="19"/>
  <c r="L198" i="20"/>
  <c r="M123" i="12"/>
  <c r="M70" i="51"/>
  <c r="AS66" i="51"/>
  <c r="AN90" i="45"/>
  <c r="H91" i="45"/>
  <c r="M208" i="28"/>
  <c r="M207" i="28"/>
  <c r="M156" i="28"/>
  <c r="AM116" i="45"/>
  <c r="H103" i="46"/>
  <c r="H108" i="46" s="1"/>
  <c r="H102" i="46"/>
  <c r="H107" i="46" s="1"/>
  <c r="H99" i="48"/>
  <c r="H101" i="46"/>
  <c r="H106" i="46" s="1"/>
  <c r="H100" i="46"/>
  <c r="H105" i="46" s="1"/>
  <c r="H104" i="46"/>
  <c r="I106" i="45" s="1"/>
  <c r="H200" i="53"/>
  <c r="H198" i="53"/>
  <c r="H202" i="53"/>
  <c r="H203" i="53"/>
  <c r="H199" i="53"/>
  <c r="H201" i="53"/>
  <c r="AT57" i="51"/>
  <c r="AT58" i="51" s="1"/>
  <c r="L98" i="19"/>
  <c r="P128" i="16"/>
  <c r="P60" i="16"/>
  <c r="O40" i="29"/>
  <c r="L162" i="54"/>
  <c r="I154" i="28"/>
  <c r="I153" i="28"/>
  <c r="I151" i="28"/>
  <c r="I152" i="28"/>
  <c r="I155" i="28"/>
  <c r="I150" i="28"/>
  <c r="L82" i="45"/>
  <c r="L25" i="45"/>
  <c r="L24" i="45"/>
  <c r="K34" i="46"/>
  <c r="L26" i="45"/>
  <c r="J156" i="48"/>
  <c r="J161" i="48" s="1"/>
  <c r="J158" i="48"/>
  <c r="J163" i="48" s="1"/>
  <c r="J155" i="48"/>
  <c r="J160" i="48" s="1"/>
  <c r="J159" i="48"/>
  <c r="J157" i="48"/>
  <c r="J162" i="48" s="1"/>
  <c r="I34" i="48"/>
  <c r="AP25" i="45"/>
  <c r="AP26" i="45"/>
  <c r="AP24" i="45"/>
  <c r="AP82" i="45"/>
  <c r="O44" i="53"/>
  <c r="O204" i="53" s="1"/>
  <c r="L237" i="42"/>
  <c r="L241" i="42" s="1"/>
  <c r="L236" i="42"/>
  <c r="L240" i="42" s="1"/>
  <c r="L235" i="42"/>
  <c r="L239" i="42" s="1"/>
  <c r="L238" i="42"/>
  <c r="H149" i="14"/>
  <c r="K206" i="42"/>
  <c r="K210" i="42" s="1"/>
  <c r="K207" i="42"/>
  <c r="K211" i="42" s="1"/>
  <c r="K208" i="42"/>
  <c r="K205" i="42"/>
  <c r="K209" i="42" s="1"/>
  <c r="N154" i="54"/>
  <c r="N156" i="54" s="1"/>
  <c r="O153" i="54"/>
  <c r="J128" i="36"/>
  <c r="AL76" i="51"/>
  <c r="J105" i="14"/>
  <c r="AL114" i="45"/>
  <c r="AL115" i="45" s="1"/>
  <c r="H44" i="48"/>
  <c r="H316" i="48" s="1"/>
  <c r="AP80" i="36"/>
  <c r="AP83" i="36" s="1"/>
  <c r="AP119" i="36" s="1"/>
  <c r="AP115" i="36"/>
  <c r="AP116" i="36" s="1"/>
  <c r="G113" i="48"/>
  <c r="G118" i="48" s="1"/>
  <c r="G111" i="48"/>
  <c r="G116" i="48" s="1"/>
  <c r="G112" i="48"/>
  <c r="G117" i="48" s="1"/>
  <c r="G110" i="48"/>
  <c r="G115" i="48" s="1"/>
  <c r="G114" i="48"/>
  <c r="G274" i="48"/>
  <c r="P25" i="54"/>
  <c r="P40" i="54" s="1"/>
  <c r="Q19" i="54"/>
  <c r="P28" i="46"/>
  <c r="Q22" i="46"/>
  <c r="Q24" i="53"/>
  <c r="R18" i="53"/>
  <c r="N131" i="16"/>
  <c r="N129" i="16"/>
  <c r="L133" i="19"/>
  <c r="I4" i="55"/>
  <c r="G233" i="14"/>
  <c r="G234" i="14" s="1"/>
  <c r="F69" i="16"/>
  <c r="E196" i="29"/>
  <c r="E191" i="29"/>
  <c r="L135" i="20"/>
  <c r="L111" i="19" s="1"/>
  <c r="L134" i="20"/>
  <c r="L110" i="19" s="1"/>
  <c r="L138" i="20"/>
  <c r="L114" i="19" s="1"/>
  <c r="L136" i="20"/>
  <c r="L112" i="19" s="1"/>
  <c r="L137" i="20"/>
  <c r="L113" i="19" s="1"/>
  <c r="L109" i="19"/>
  <c r="M126" i="14" s="1"/>
  <c r="D329" i="46"/>
  <c r="D333" i="46" s="1"/>
  <c r="D330" i="46"/>
  <c r="I129" i="12"/>
  <c r="J290" i="38"/>
  <c r="J291" i="38" s="1"/>
  <c r="J313" i="38"/>
  <c r="J314" i="38" s="1"/>
  <c r="M67" i="16"/>
  <c r="M46" i="16"/>
  <c r="N27" i="20"/>
  <c r="N45" i="20" s="1"/>
  <c r="O21" i="20"/>
  <c r="H97" i="12"/>
  <c r="H154" i="12"/>
  <c r="R74" i="16"/>
  <c r="L186" i="20"/>
  <c r="L148" i="19" s="1"/>
  <c r="L187" i="20"/>
  <c r="L149" i="19" s="1"/>
  <c r="L189" i="20"/>
  <c r="L151" i="19" s="1"/>
  <c r="L190" i="20"/>
  <c r="L152" i="19" s="1"/>
  <c r="L147" i="19"/>
  <c r="M137" i="14" s="1"/>
  <c r="M137" i="12"/>
  <c r="L188" i="20"/>
  <c r="L150" i="19" s="1"/>
  <c r="R33" i="15"/>
  <c r="R34" i="15"/>
  <c r="AS64" i="51"/>
  <c r="H147" i="14"/>
  <c r="H95" i="14"/>
  <c r="M27" i="19"/>
  <c r="M45" i="19" s="1"/>
  <c r="M133" i="19" s="1"/>
  <c r="N21" i="19"/>
  <c r="Q39" i="15"/>
  <c r="Q13" i="15"/>
  <c r="L142" i="20"/>
  <c r="L118" i="19" s="1"/>
  <c r="L144" i="20"/>
  <c r="L120" i="19" s="1"/>
  <c r="L143" i="20"/>
  <c r="L119" i="19" s="1"/>
  <c r="L141" i="20"/>
  <c r="L117" i="19" s="1"/>
  <c r="L140" i="20"/>
  <c r="L116" i="19" s="1"/>
  <c r="L115" i="19"/>
  <c r="M94" i="14" s="1"/>
  <c r="O44" i="42"/>
  <c r="O288" i="42" s="1"/>
  <c r="N278" i="42"/>
  <c r="N31" i="42"/>
  <c r="AV60" i="51"/>
  <c r="N208" i="20"/>
  <c r="M209" i="20"/>
  <c r="M211" i="20" s="1"/>
  <c r="K158" i="28"/>
  <c r="K159" i="28" s="1"/>
  <c r="K181" i="28"/>
  <c r="K182" i="28" s="1"/>
  <c r="O76" i="16"/>
  <c r="O75" i="16"/>
  <c r="F345" i="46"/>
  <c r="F344" i="46"/>
  <c r="J133" i="14"/>
  <c r="J219" i="48"/>
  <c r="J224" i="48" s="1"/>
  <c r="J218" i="48"/>
  <c r="J223" i="48" s="1"/>
  <c r="J217" i="48"/>
  <c r="J222" i="48" s="1"/>
  <c r="J220" i="48"/>
  <c r="J225" i="48" s="1"/>
  <c r="J221" i="48"/>
  <c r="O29" i="46"/>
  <c r="I108" i="12"/>
  <c r="L193" i="29"/>
  <c r="L194" i="29"/>
  <c r="I115" i="14"/>
  <c r="O68" i="51"/>
  <c r="O50" i="51"/>
  <c r="D155" i="14"/>
  <c r="C275" i="19"/>
  <c r="D164" i="14" s="1"/>
  <c r="C270" i="19"/>
  <c r="AR37" i="45"/>
  <c r="H90" i="19"/>
  <c r="I143" i="14" s="1"/>
  <c r="I143" i="12"/>
  <c r="R21" i="48"/>
  <c r="Q27" i="48"/>
  <c r="Q42" i="48" s="1"/>
  <c r="AQ57" i="45"/>
  <c r="L202" i="46"/>
  <c r="L216" i="46"/>
  <c r="L226" i="46"/>
  <c r="L206" i="46"/>
  <c r="G279" i="20"/>
  <c r="G278" i="20"/>
  <c r="K234" i="54"/>
  <c r="G103" i="48"/>
  <c r="G108" i="48" s="1"/>
  <c r="G102" i="48"/>
  <c r="G107" i="48" s="1"/>
  <c r="G100" i="48"/>
  <c r="G105" i="48" s="1"/>
  <c r="G101" i="48"/>
  <c r="G106" i="48" s="1"/>
  <c r="G104" i="48"/>
  <c r="N217" i="38"/>
  <c r="N219" i="38" s="1"/>
  <c r="O216" i="38"/>
  <c r="K141" i="15"/>
  <c r="K142" i="15" s="1"/>
  <c r="N25" i="20"/>
  <c r="N43" i="20" s="1"/>
  <c r="O19" i="20"/>
  <c r="P26" i="28"/>
  <c r="P44" i="28" s="1"/>
  <c r="Q20" i="28"/>
  <c r="P25" i="53"/>
  <c r="P40" i="53" s="1"/>
  <c r="Q19" i="53"/>
  <c r="I51" i="19"/>
  <c r="L79" i="38"/>
  <c r="L83" i="38" s="1"/>
  <c r="L78" i="38"/>
  <c r="L82" i="38" s="1"/>
  <c r="L80" i="38"/>
  <c r="L84" i="38" s="1"/>
  <c r="L81" i="38"/>
  <c r="M92" i="36" s="1"/>
  <c r="AS92" i="36" s="1"/>
  <c r="L213" i="54"/>
  <c r="L214" i="54"/>
  <c r="M196" i="20"/>
  <c r="N195" i="20"/>
  <c r="J88" i="20"/>
  <c r="J85" i="20"/>
  <c r="K104" i="12"/>
  <c r="J76" i="19"/>
  <c r="K104" i="14" s="1"/>
  <c r="J86" i="20"/>
  <c r="J78" i="19" s="1"/>
  <c r="J89" i="20"/>
  <c r="J87" i="20"/>
  <c r="L206" i="53"/>
  <c r="L207" i="53" s="1"/>
  <c r="L229" i="53"/>
  <c r="L230" i="53" s="1"/>
  <c r="Q27" i="38"/>
  <c r="Q42" i="38" s="1"/>
  <c r="R21" i="38"/>
  <c r="G80" i="48"/>
  <c r="G85" i="48" s="1"/>
  <c r="G81" i="48"/>
  <c r="G86" i="48" s="1"/>
  <c r="G82" i="48"/>
  <c r="G87" i="48" s="1"/>
  <c r="G83" i="48"/>
  <c r="G88" i="48" s="1"/>
  <c r="G84" i="48"/>
  <c r="H82" i="46"/>
  <c r="H87" i="46" s="1"/>
  <c r="H80" i="46"/>
  <c r="H85" i="46" s="1"/>
  <c r="H83" i="46"/>
  <c r="H88" i="46" s="1"/>
  <c r="H79" i="48"/>
  <c r="H84" i="46"/>
  <c r="I90" i="45" s="1"/>
  <c r="H81" i="46"/>
  <c r="H86" i="46" s="1"/>
  <c r="I196" i="53"/>
  <c r="I197" i="53" s="1"/>
  <c r="J163" i="53"/>
  <c r="M76" i="53"/>
  <c r="N67" i="51"/>
  <c r="L97" i="19"/>
  <c r="AQ34" i="45"/>
  <c r="I228" i="12"/>
  <c r="O360" i="48"/>
  <c r="AP70" i="45"/>
  <c r="O29" i="53"/>
  <c r="K140" i="16"/>
  <c r="H149" i="12"/>
  <c r="E332" i="48"/>
  <c r="E331" i="48"/>
  <c r="E343" i="48" s="1"/>
  <c r="E344" i="48" s="1"/>
  <c r="L68" i="45"/>
  <c r="J71" i="45"/>
  <c r="I92" i="19"/>
  <c r="J145" i="14" s="1"/>
  <c r="J145" i="12"/>
  <c r="M157" i="54"/>
  <c r="Q27" i="28"/>
  <c r="R21" i="28"/>
  <c r="AQ77" i="45"/>
  <c r="J111" i="12"/>
  <c r="I80" i="19"/>
  <c r="J111" i="14" s="1"/>
  <c r="AN97" i="45"/>
  <c r="H100" i="45"/>
  <c r="H113" i="45"/>
  <c r="O104" i="54"/>
  <c r="O105" i="54" s="1"/>
  <c r="O108" i="54"/>
  <c r="O109" i="54" s="1"/>
  <c r="O106" i="54"/>
  <c r="O107" i="54" s="1"/>
  <c r="O110" i="54"/>
  <c r="O111" i="54" s="1"/>
  <c r="P39" i="53"/>
  <c r="L130" i="19"/>
  <c r="BP6" i="55"/>
  <c r="H169" i="12"/>
  <c r="AQ107" i="45"/>
  <c r="E277" i="20"/>
  <c r="E276" i="20"/>
  <c r="E280" i="20" s="1"/>
  <c r="O76" i="15"/>
  <c r="O75" i="15"/>
  <c r="H187" i="28"/>
  <c r="H189" i="28" s="1"/>
  <c r="H188" i="28"/>
  <c r="M67" i="15"/>
  <c r="M46" i="15"/>
  <c r="G180" i="29"/>
  <c r="G189" i="29" s="1"/>
  <c r="H70" i="16" s="1"/>
  <c r="N125" i="12"/>
  <c r="J37" i="46"/>
  <c r="O43" i="46" s="1"/>
  <c r="K104" i="45"/>
  <c r="K60" i="45"/>
  <c r="K73" i="45" s="1"/>
  <c r="K58" i="45"/>
  <c r="K71" i="45" s="1"/>
  <c r="K59" i="45"/>
  <c r="F253" i="53"/>
  <c r="I317" i="42"/>
  <c r="I316" i="42"/>
  <c r="N241" i="48"/>
  <c r="O240" i="48"/>
  <c r="N66" i="54"/>
  <c r="N73" i="54" s="1"/>
  <c r="N74" i="54" s="1"/>
  <c r="N64" i="54"/>
  <c r="N71" i="54" s="1"/>
  <c r="N72" i="54" s="1"/>
  <c r="N67" i="54"/>
  <c r="N77" i="54" s="1"/>
  <c r="N78" i="54" s="1"/>
  <c r="N62" i="54"/>
  <c r="N61" i="54"/>
  <c r="N65" i="54"/>
  <c r="N75" i="54" s="1"/>
  <c r="N76" i="54" s="1"/>
  <c r="O60" i="54"/>
  <c r="T9" i="16"/>
  <c r="T10" i="16" s="1"/>
  <c r="AM78" i="45"/>
  <c r="I241" i="53"/>
  <c r="O131" i="16"/>
  <c r="O129" i="16"/>
  <c r="F334" i="46"/>
  <c r="F335" i="46"/>
  <c r="F336" i="46"/>
  <c r="F338" i="46"/>
  <c r="F337" i="46"/>
  <c r="F339" i="46"/>
  <c r="M296" i="38"/>
  <c r="M294" i="38"/>
  <c r="M293" i="38"/>
  <c r="M295" i="38"/>
  <c r="AT54" i="51"/>
  <c r="K210" i="46"/>
  <c r="K215" i="46" s="1"/>
  <c r="K209" i="46"/>
  <c r="K214" i="46" s="1"/>
  <c r="K208" i="46"/>
  <c r="K213" i="46" s="1"/>
  <c r="K211" i="46"/>
  <c r="L89" i="45" s="1"/>
  <c r="K206" i="48"/>
  <c r="K207" i="46"/>
  <c r="K212" i="46" s="1"/>
  <c r="I108" i="14"/>
  <c r="E295" i="20"/>
  <c r="G151" i="12"/>
  <c r="H72" i="19"/>
  <c r="I119" i="14" s="1"/>
  <c r="I119" i="12"/>
  <c r="AM109" i="45"/>
  <c r="AU62" i="51"/>
  <c r="T25" i="16"/>
  <c r="D162" i="14"/>
  <c r="D158" i="14"/>
  <c r="AR35" i="45"/>
  <c r="H92" i="19"/>
  <c r="I145" i="14" s="1"/>
  <c r="I145" i="12"/>
  <c r="G229" i="19"/>
  <c r="G227" i="19"/>
  <c r="G226" i="19"/>
  <c r="G228" i="19"/>
  <c r="M61" i="42"/>
  <c r="M67" i="42"/>
  <c r="M101" i="42" s="1"/>
  <c r="M62" i="42"/>
  <c r="M64" i="42"/>
  <c r="M77" i="42" s="1"/>
  <c r="M65" i="42"/>
  <c r="M93" i="42" s="1"/>
  <c r="M66" i="42"/>
  <c r="M85" i="42" s="1"/>
  <c r="N60" i="42"/>
  <c r="L142" i="46"/>
  <c r="L174" i="46" s="1"/>
  <c r="L140" i="46"/>
  <c r="L154" i="46" s="1"/>
  <c r="L141" i="46"/>
  <c r="L164" i="46" s="1"/>
  <c r="K200" i="20"/>
  <c r="K161" i="19" s="1"/>
  <c r="K199" i="20"/>
  <c r="K160" i="19" s="1"/>
  <c r="K201" i="20"/>
  <c r="K162" i="19" s="1"/>
  <c r="K203" i="20"/>
  <c r="K164" i="19" s="1"/>
  <c r="K159" i="19"/>
  <c r="L123" i="14" s="1"/>
  <c r="K202" i="20"/>
  <c r="M222" i="38"/>
  <c r="M226" i="38" s="1"/>
  <c r="M223" i="38"/>
  <c r="N98" i="36" s="1"/>
  <c r="M221" i="38"/>
  <c r="M225" i="38" s="1"/>
  <c r="M220" i="38"/>
  <c r="M224" i="38" s="1"/>
  <c r="K77" i="15"/>
  <c r="L134" i="16"/>
  <c r="L77" i="16"/>
  <c r="L133" i="16" a="1"/>
  <c r="L133" i="16" s="1"/>
  <c r="L68" i="16"/>
  <c r="O110" i="53"/>
  <c r="O111" i="53" s="1"/>
  <c r="O104" i="53"/>
  <c r="O105" i="53" s="1"/>
  <c r="P53" i="51" s="1"/>
  <c r="O108" i="53"/>
  <c r="O109" i="53" s="1"/>
  <c r="O106" i="53"/>
  <c r="O107" i="53" s="1"/>
  <c r="P62" i="51" s="1"/>
  <c r="M23" i="45"/>
  <c r="L34" i="45"/>
  <c r="J147" i="12"/>
  <c r="J95" i="12"/>
  <c r="I53" i="19"/>
  <c r="J280" i="38"/>
  <c r="J281" i="38" s="1"/>
  <c r="K247" i="38"/>
  <c r="L63" i="38"/>
  <c r="L69" i="38"/>
  <c r="M63" i="46"/>
  <c r="G116" i="45"/>
  <c r="H271" i="46"/>
  <c r="AT61" i="51"/>
  <c r="N64" i="51"/>
  <c r="J72" i="45"/>
  <c r="M59" i="15"/>
  <c r="P122" i="16"/>
  <c r="P132" i="16" s="1"/>
  <c r="K29" i="20"/>
  <c r="K42" i="20"/>
  <c r="L124" i="12" s="1"/>
  <c r="L127" i="12" s="1"/>
  <c r="BQ13" i="55"/>
  <c r="BQ12" i="55"/>
  <c r="BQ16" i="55"/>
  <c r="BQ15" i="55"/>
  <c r="BQ11" i="55"/>
  <c r="BQ19" i="55" s="1"/>
  <c r="BQ14" i="55"/>
  <c r="M49" i="15"/>
  <c r="I91" i="19"/>
  <c r="J144" i="14" s="1"/>
  <c r="J144" i="12"/>
  <c r="N108" i="28"/>
  <c r="O107" i="28"/>
  <c r="E327" i="46"/>
  <c r="E328" i="46"/>
  <c r="J165" i="48"/>
  <c r="J170" i="48" s="1"/>
  <c r="J167" i="48"/>
  <c r="J172" i="48" s="1"/>
  <c r="J168" i="48"/>
  <c r="J173" i="48" s="1"/>
  <c r="J169" i="48"/>
  <c r="J166" i="48"/>
  <c r="J171" i="48" s="1"/>
  <c r="Q21" i="16"/>
  <c r="U7" i="15"/>
  <c r="U8" i="15" s="1"/>
  <c r="V6" i="15"/>
  <c r="Q27" i="46"/>
  <c r="Q42" i="46" s="1"/>
  <c r="R21" i="46"/>
  <c r="J165" i="28"/>
  <c r="J166" i="28"/>
  <c r="L66" i="20"/>
  <c r="N205" i="54"/>
  <c r="N208" i="54"/>
  <c r="M183" i="42"/>
  <c r="M182" i="42"/>
  <c r="N181" i="42"/>
  <c r="AQ117" i="36"/>
  <c r="AQ123" i="36" s="1"/>
  <c r="D252" i="19"/>
  <c r="D254" i="19" s="1"/>
  <c r="D253" i="19"/>
  <c r="N31" i="28"/>
  <c r="N146" i="28"/>
  <c r="H33" i="19"/>
  <c r="H34" i="19"/>
  <c r="I99" i="46"/>
  <c r="I79" i="46"/>
  <c r="I109" i="46"/>
  <c r="I69" i="46"/>
  <c r="I44" i="46"/>
  <c r="I316" i="46" s="1"/>
  <c r="G120" i="36"/>
  <c r="F337" i="38"/>
  <c r="F342" i="38"/>
  <c r="L58" i="29"/>
  <c r="L213" i="28"/>
  <c r="L114" i="28"/>
  <c r="M28" i="19"/>
  <c r="M46" i="19" s="1"/>
  <c r="M167" i="19" s="1"/>
  <c r="M166" i="19" s="1"/>
  <c r="N22" i="19"/>
  <c r="N49" i="16"/>
  <c r="I242" i="54"/>
  <c r="I249" i="54" s="1"/>
  <c r="G76" i="51"/>
  <c r="N61" i="48"/>
  <c r="N67" i="48"/>
  <c r="N65" i="48"/>
  <c r="N66" i="48"/>
  <c r="N62" i="48"/>
  <c r="N64" i="48"/>
  <c r="O60" i="48"/>
  <c r="K173" i="19"/>
  <c r="I74" i="19"/>
  <c r="J121" i="14" s="1"/>
  <c r="J121" i="12"/>
  <c r="L297" i="42"/>
  <c r="L298" i="42"/>
  <c r="N200" i="48"/>
  <c r="N137" i="48"/>
  <c r="N138" i="48"/>
  <c r="N201" i="48"/>
  <c r="O136" i="48"/>
  <c r="M25" i="19"/>
  <c r="M43" i="19" s="1"/>
  <c r="M97" i="19" s="1"/>
  <c r="N19" i="19"/>
  <c r="S15" i="16"/>
  <c r="S18" i="16"/>
  <c r="S19" i="16"/>
  <c r="S16" i="16"/>
  <c r="T14" i="16"/>
  <c r="S32" i="16"/>
  <c r="S74" i="16" s="1"/>
  <c r="H200" i="54"/>
  <c r="H199" i="54"/>
  <c r="H203" i="54"/>
  <c r="H198" i="54"/>
  <c r="H202" i="54"/>
  <c r="H201" i="54"/>
  <c r="N61" i="28"/>
  <c r="N57" i="29" s="1"/>
  <c r="N60" i="28"/>
  <c r="N64" i="28"/>
  <c r="N63" i="28"/>
  <c r="O59" i="28"/>
  <c r="L181" i="20"/>
  <c r="L143" i="19" s="1"/>
  <c r="L182" i="20"/>
  <c r="L144" i="19" s="1"/>
  <c r="L183" i="20"/>
  <c r="L145" i="19" s="1"/>
  <c r="L180" i="20"/>
  <c r="L142" i="19" s="1"/>
  <c r="L141" i="19"/>
  <c r="M125" i="14" s="1"/>
  <c r="L184" i="20"/>
  <c r="L146" i="19" s="1"/>
  <c r="I307" i="42"/>
  <c r="I310" i="42"/>
  <c r="I308" i="42"/>
  <c r="I306" i="42"/>
  <c r="I311" i="42"/>
  <c r="I309" i="42"/>
  <c r="H69" i="19"/>
  <c r="I99" i="14" s="1"/>
  <c r="I99" i="12"/>
  <c r="AV63" i="51"/>
  <c r="I73" i="19"/>
  <c r="J120" i="14" s="1"/>
  <c r="J120" i="12"/>
  <c r="J83" i="20"/>
  <c r="J75" i="19" s="1"/>
  <c r="J70" i="19"/>
  <c r="K114" i="14" s="1"/>
  <c r="J80" i="20"/>
  <c r="J79" i="20"/>
  <c r="J82" i="20"/>
  <c r="K114" i="12"/>
  <c r="J81" i="20"/>
  <c r="T41" i="16"/>
  <c r="AN74" i="51"/>
  <c r="G253" i="54"/>
  <c r="P25" i="42"/>
  <c r="P40" i="42" s="1"/>
  <c r="Q19" i="42"/>
  <c r="AS67" i="51"/>
  <c r="K88" i="29"/>
  <c r="K100" i="29"/>
  <c r="Q27" i="53"/>
  <c r="Q42" i="53" s="1"/>
  <c r="R21" i="53"/>
  <c r="N49" i="15"/>
  <c r="P26" i="46"/>
  <c r="P41" i="46" s="1"/>
  <c r="Q20" i="46"/>
  <c r="K217" i="46"/>
  <c r="K222" i="46" s="1"/>
  <c r="K219" i="46"/>
  <c r="K224" i="46" s="1"/>
  <c r="K221" i="46"/>
  <c r="L99" i="45" s="1"/>
  <c r="K216" i="48"/>
  <c r="K218" i="46"/>
  <c r="K223" i="46" s="1"/>
  <c r="K220" i="46"/>
  <c r="K225" i="46" s="1"/>
  <c r="I84" i="19"/>
  <c r="J131" i="14" s="1"/>
  <c r="J131" i="12"/>
  <c r="N278" i="38"/>
  <c r="N289" i="38" s="1"/>
  <c r="N31" i="38"/>
  <c r="J301" i="38"/>
  <c r="J305" i="38" s="1"/>
  <c r="J302" i="38"/>
  <c r="L297" i="38"/>
  <c r="L298" i="38"/>
  <c r="N306" i="46"/>
  <c r="N31" i="46"/>
  <c r="J290" i="42"/>
  <c r="J291" i="42" s="1"/>
  <c r="J313" i="42"/>
  <c r="J314" i="42" s="1"/>
  <c r="I116" i="12"/>
  <c r="H71" i="19"/>
  <c r="I116" i="14" s="1"/>
  <c r="L134" i="15"/>
  <c r="L133" i="15" a="1"/>
  <c r="L133" i="15" s="1"/>
  <c r="L68" i="15"/>
  <c r="L77" i="15" s="1"/>
  <c r="AO74" i="51"/>
  <c r="H253" i="54"/>
  <c r="I139" i="12"/>
  <c r="AO128" i="36"/>
  <c r="L88" i="42"/>
  <c r="L92" i="42" s="1"/>
  <c r="L87" i="42"/>
  <c r="L91" i="42" s="1"/>
  <c r="L89" i="42"/>
  <c r="L86" i="42"/>
  <c r="L90" i="42" s="1"/>
  <c r="L203" i="46"/>
  <c r="L204" i="46"/>
  <c r="I37" i="48"/>
  <c r="N43" i="48" s="1"/>
  <c r="AP58" i="45"/>
  <c r="AP104" i="45"/>
  <c r="AP60" i="45"/>
  <c r="AP59" i="45"/>
  <c r="K140" i="15"/>
  <c r="Q27" i="29"/>
  <c r="R21" i="29"/>
  <c r="M30" i="45"/>
  <c r="I77" i="20"/>
  <c r="I64" i="19"/>
  <c r="J93" i="14" s="1"/>
  <c r="I73" i="20"/>
  <c r="I75" i="20"/>
  <c r="I76" i="20"/>
  <c r="I74" i="20"/>
  <c r="I66" i="19" s="1"/>
  <c r="I285" i="38"/>
  <c r="I284" i="38"/>
  <c r="I286" i="38"/>
  <c r="I283" i="38"/>
  <c r="I282" i="38"/>
  <c r="I287" i="38"/>
  <c r="I167" i="28"/>
  <c r="I168" i="28"/>
  <c r="L136" i="15"/>
  <c r="I171" i="29"/>
  <c r="I174" i="29" s="1"/>
  <c r="I170" i="29"/>
  <c r="F335" i="42"/>
  <c r="F333" i="42"/>
  <c r="F324" i="48"/>
  <c r="F321" i="48"/>
  <c r="F322" i="48"/>
  <c r="F323" i="48"/>
  <c r="L101" i="19"/>
  <c r="N127" i="38"/>
  <c r="N128" i="38"/>
  <c r="N183" i="38"/>
  <c r="N182" i="38"/>
  <c r="O126" i="38"/>
  <c r="H172" i="29"/>
  <c r="H173" i="29" s="1"/>
  <c r="H175" i="29" s="1"/>
  <c r="M59" i="16"/>
  <c r="P121" i="15"/>
  <c r="P42" i="15"/>
  <c r="H74" i="51"/>
  <c r="G253" i="53"/>
  <c r="P37" i="29"/>
  <c r="Q125" i="16"/>
  <c r="Q47" i="16"/>
  <c r="P123" i="15"/>
  <c r="O36" i="28"/>
  <c r="O42" i="28" s="1"/>
  <c r="P43" i="15"/>
  <c r="H114" i="45"/>
  <c r="AN76" i="45"/>
  <c r="H78" i="45"/>
  <c r="Q40" i="15"/>
  <c r="L24" i="20"/>
  <c r="M18" i="20"/>
  <c r="E308" i="48"/>
  <c r="E309" i="48" s="1"/>
  <c r="F275" i="48"/>
  <c r="BR9" i="55"/>
  <c r="M49" i="16"/>
  <c r="J143" i="12"/>
  <c r="I90" i="19"/>
  <c r="J143" i="14" s="1"/>
  <c r="N55" i="15"/>
  <c r="M82" i="29"/>
  <c r="N55" i="16" s="1"/>
  <c r="M128" i="42"/>
  <c r="M127" i="42"/>
  <c r="N126" i="42"/>
  <c r="F274" i="20"/>
  <c r="F275" i="20"/>
  <c r="J109" i="12"/>
  <c r="I81" i="19"/>
  <c r="J109" i="14" s="1"/>
  <c r="L67" i="20"/>
  <c r="L70" i="20"/>
  <c r="L69" i="20"/>
  <c r="L68" i="20"/>
  <c r="J280" i="42"/>
  <c r="J281" i="42" s="1"/>
  <c r="K247" i="42"/>
  <c r="I33" i="48"/>
  <c r="I39" i="48" s="1"/>
  <c r="AP75" i="45"/>
  <c r="H286" i="20"/>
  <c r="H282" i="20"/>
  <c r="L184" i="42"/>
  <c r="L196" i="42"/>
  <c r="L204" i="42"/>
  <c r="L188" i="42"/>
  <c r="H233" i="12"/>
  <c r="H234" i="12" s="1"/>
  <c r="K145" i="46"/>
  <c r="K150" i="46" s="1"/>
  <c r="K148" i="46"/>
  <c r="K153" i="46" s="1"/>
  <c r="K146" i="46"/>
  <c r="K151" i="46" s="1"/>
  <c r="K147" i="46"/>
  <c r="K152" i="46" s="1"/>
  <c r="K144" i="48"/>
  <c r="K149" i="46"/>
  <c r="L83" i="45" s="1"/>
  <c r="O332" i="38"/>
  <c r="J176" i="48"/>
  <c r="J181" i="48" s="1"/>
  <c r="J178" i="48"/>
  <c r="J183" i="48" s="1"/>
  <c r="J177" i="48"/>
  <c r="J182" i="48" s="1"/>
  <c r="J175" i="48"/>
  <c r="J180" i="48" s="1"/>
  <c r="J179" i="48"/>
  <c r="P25" i="28"/>
  <c r="P43" i="28" s="1"/>
  <c r="Q19" i="28"/>
  <c r="O129" i="15"/>
  <c r="O131" i="15"/>
  <c r="E345" i="46"/>
  <c r="E346" i="46" s="1"/>
  <c r="K138" i="19"/>
  <c r="J235" i="53"/>
  <c r="J237" i="53" s="1"/>
  <c r="J258" i="53" s="1"/>
  <c r="S54" i="16"/>
  <c r="R38" i="29"/>
  <c r="S124" i="16"/>
  <c r="C353" i="48"/>
  <c r="C354" i="48" s="1"/>
  <c r="F253" i="54"/>
  <c r="K176" i="46"/>
  <c r="K181" i="46" s="1"/>
  <c r="K177" i="46"/>
  <c r="K182" i="46" s="1"/>
  <c r="K174" i="48"/>
  <c r="K178" i="46"/>
  <c r="K183" i="46" s="1"/>
  <c r="K175" i="46"/>
  <c r="K180" i="46" s="1"/>
  <c r="K179" i="46"/>
  <c r="L107" i="45" s="1"/>
  <c r="AQ78" i="36"/>
  <c r="K115" i="36"/>
  <c r="K116" i="36" s="1"/>
  <c r="K80" i="36"/>
  <c r="K83" i="36" s="1"/>
  <c r="K119" i="36" s="1"/>
  <c r="M75" i="29"/>
  <c r="N64" i="16" s="1"/>
  <c r="N64" i="15"/>
  <c r="G115" i="45"/>
  <c r="K166" i="46"/>
  <c r="K171" i="46" s="1"/>
  <c r="K168" i="46"/>
  <c r="K173" i="46" s="1"/>
  <c r="K167" i="46"/>
  <c r="K172" i="46" s="1"/>
  <c r="K164" i="48"/>
  <c r="K165" i="46"/>
  <c r="K170" i="46" s="1"/>
  <c r="K169" i="46"/>
  <c r="L77" i="45" s="1"/>
  <c r="M143" i="29"/>
  <c r="M146" i="29"/>
  <c r="F201" i="28"/>
  <c r="F203" i="28"/>
  <c r="G70" i="15" s="1"/>
  <c r="M63" i="48"/>
  <c r="K159" i="46"/>
  <c r="L98" i="45" s="1"/>
  <c r="K158" i="46"/>
  <c r="K163" i="46" s="1"/>
  <c r="K157" i="46"/>
  <c r="K162" i="46" s="1"/>
  <c r="K155" i="46"/>
  <c r="K160" i="46" s="1"/>
  <c r="K156" i="46"/>
  <c r="K161" i="46" s="1"/>
  <c r="K154" i="48"/>
  <c r="M142" i="48"/>
  <c r="M141" i="48"/>
  <c r="M140" i="48"/>
  <c r="H221" i="19"/>
  <c r="H222" i="19"/>
  <c r="H273" i="19"/>
  <c r="H272" i="19"/>
  <c r="H225" i="19"/>
  <c r="N34" i="29"/>
  <c r="N33" i="29"/>
  <c r="M59" i="29"/>
  <c r="N62" i="16" s="1"/>
  <c r="N62" i="15"/>
  <c r="S19" i="15"/>
  <c r="S18" i="15"/>
  <c r="S16" i="15"/>
  <c r="S15" i="15"/>
  <c r="T14" i="15"/>
  <c r="S32" i="15"/>
  <c r="N26" i="20"/>
  <c r="N44" i="20" s="1"/>
  <c r="O20" i="20"/>
  <c r="L135" i="14"/>
  <c r="D363" i="46"/>
  <c r="E120" i="45" s="1"/>
  <c r="D361" i="46"/>
  <c r="I101" i="12"/>
  <c r="H68" i="19"/>
  <c r="I101" i="14" s="1"/>
  <c r="O135" i="53"/>
  <c r="P56" i="51"/>
  <c r="J34" i="48"/>
  <c r="AQ82" i="45"/>
  <c r="AQ25" i="45"/>
  <c r="AQ26" i="45"/>
  <c r="AQ24" i="45"/>
  <c r="AR91" i="36"/>
  <c r="AR93" i="36" s="1"/>
  <c r="AR96" i="36" s="1"/>
  <c r="L93" i="36"/>
  <c r="L96" i="36" s="1"/>
  <c r="I47" i="19"/>
  <c r="I60" i="19"/>
  <c r="I62" i="19"/>
  <c r="I59" i="19"/>
  <c r="I61" i="19"/>
  <c r="J146" i="12"/>
  <c r="J115" i="12"/>
  <c r="K87" i="45"/>
  <c r="AR21" i="45"/>
  <c r="N240" i="46"/>
  <c r="M241" i="46"/>
  <c r="M243" i="46" s="1"/>
  <c r="H152" i="12"/>
  <c r="P136" i="53"/>
  <c r="P137" i="53" s="1"/>
  <c r="Q63" i="51" s="1"/>
  <c r="P138" i="53"/>
  <c r="P139" i="53" s="1"/>
  <c r="Q69" i="51" s="1"/>
  <c r="P134" i="53"/>
  <c r="I234" i="53"/>
  <c r="I235" i="53" s="1"/>
  <c r="I237" i="53" s="1"/>
  <c r="I258" i="53" s="1"/>
  <c r="N28" i="20"/>
  <c r="N46" i="20" s="1"/>
  <c r="O22" i="20"/>
  <c r="J129" i="12"/>
  <c r="K72" i="38"/>
  <c r="K76" i="38" s="1"/>
  <c r="K73" i="38"/>
  <c r="L78" i="36" s="1"/>
  <c r="K70" i="38"/>
  <c r="K74" i="38" s="1"/>
  <c r="K71" i="38"/>
  <c r="K75" i="38" s="1"/>
  <c r="K230" i="46"/>
  <c r="K235" i="46" s="1"/>
  <c r="K227" i="46"/>
  <c r="K232" i="46" s="1"/>
  <c r="K226" i="48"/>
  <c r="K229" i="46"/>
  <c r="K234" i="46" s="1"/>
  <c r="K231" i="46"/>
  <c r="L108" i="45" s="1"/>
  <c r="K228" i="46"/>
  <c r="K233" i="46" s="1"/>
  <c r="M137" i="20"/>
  <c r="M113" i="19" s="1"/>
  <c r="M136" i="20"/>
  <c r="M112" i="19" s="1"/>
  <c r="M135" i="20"/>
  <c r="M111" i="19" s="1"/>
  <c r="M134" i="20"/>
  <c r="M110" i="19" s="1"/>
  <c r="M138" i="20"/>
  <c r="M114" i="19" s="1"/>
  <c r="M109" i="19"/>
  <c r="N126" i="14" s="1"/>
  <c r="L304" i="38"/>
  <c r="L303" i="38"/>
  <c r="L315" i="38" s="1"/>
  <c r="AU17" i="45"/>
  <c r="AU18" i="45" s="1"/>
  <c r="O36" i="29"/>
  <c r="O42" i="29" s="1"/>
  <c r="P123" i="16"/>
  <c r="P43" i="16"/>
  <c r="AS98" i="36"/>
  <c r="I121" i="12"/>
  <c r="H74" i="19"/>
  <c r="I121" i="14" s="1"/>
  <c r="N47" i="28"/>
  <c r="N53" i="29"/>
  <c r="N51" i="29"/>
  <c r="N50" i="29"/>
  <c r="N54" i="29"/>
  <c r="N52" i="29"/>
  <c r="N49" i="29" s="1"/>
  <c r="E232" i="19"/>
  <c r="E233" i="19"/>
  <c r="AR55" i="45"/>
  <c r="AR56" i="45"/>
  <c r="I136" i="14"/>
  <c r="I146" i="14" s="1"/>
  <c r="H179" i="19"/>
  <c r="P122" i="15"/>
  <c r="P132" i="15" s="1"/>
  <c r="L139" i="46"/>
  <c r="L144" i="46"/>
  <c r="K299" i="42"/>
  <c r="K300" i="42"/>
  <c r="AQ89" i="45"/>
  <c r="L114" i="36"/>
  <c r="AR79" i="36"/>
  <c r="AR114" i="36" s="1"/>
  <c r="I228" i="14"/>
  <c r="Q24" i="29"/>
  <c r="R18" i="29"/>
  <c r="S11" i="15"/>
  <c r="K151" i="29"/>
  <c r="K152" i="29"/>
  <c r="G151" i="14"/>
  <c r="L135" i="16"/>
  <c r="M55" i="45"/>
  <c r="M56" i="45"/>
  <c r="M33" i="45"/>
  <c r="I58" i="19"/>
  <c r="I55" i="19"/>
  <c r="L86" i="38"/>
  <c r="L90" i="38" s="1"/>
  <c r="L88" i="38"/>
  <c r="L92" i="38" s="1"/>
  <c r="L87" i="38"/>
  <c r="L91" i="38" s="1"/>
  <c r="L89" i="38"/>
  <c r="M139" i="16"/>
  <c r="L219" i="54"/>
  <c r="L231" i="54" s="1"/>
  <c r="L220" i="54"/>
  <c r="I127" i="14"/>
  <c r="AN93" i="45"/>
  <c r="H93" i="45"/>
  <c r="H94" i="45"/>
  <c r="AN94" i="45"/>
  <c r="N61" i="46"/>
  <c r="N65" i="46"/>
  <c r="N64" i="46"/>
  <c r="N67" i="46"/>
  <c r="N62" i="46"/>
  <c r="N66" i="46"/>
  <c r="N89" i="46" s="1"/>
  <c r="O60" i="46"/>
  <c r="I160" i="29"/>
  <c r="I161" i="29"/>
  <c r="I165" i="29"/>
  <c r="I162" i="29"/>
  <c r="I163" i="29"/>
  <c r="I164" i="29"/>
  <c r="O332" i="42"/>
  <c r="E72" i="15"/>
  <c r="D211" i="28"/>
  <c r="E73" i="15" s="1"/>
  <c r="M63" i="53"/>
  <c r="M159" i="53" s="1"/>
  <c r="M69" i="53"/>
  <c r="M70" i="53" s="1"/>
  <c r="N49" i="51" s="1"/>
  <c r="M132" i="38"/>
  <c r="M158" i="38" s="1"/>
  <c r="M131" i="38"/>
  <c r="M150" i="38" s="1"/>
  <c r="M130" i="38"/>
  <c r="M142" i="38" s="1"/>
  <c r="J232" i="54"/>
  <c r="J233" i="54"/>
  <c r="J236" i="54" s="1"/>
  <c r="D337" i="42"/>
  <c r="D342" i="42"/>
  <c r="K161" i="42"/>
  <c r="K165" i="42" s="1"/>
  <c r="K159" i="42"/>
  <c r="K163" i="42" s="1"/>
  <c r="K162" i="42"/>
  <c r="K160" i="42"/>
  <c r="K164" i="42" s="1"/>
  <c r="N265" i="19"/>
  <c r="O307" i="20"/>
  <c r="C349" i="48"/>
  <c r="N154" i="53"/>
  <c r="N156" i="53" s="1"/>
  <c r="O153" i="53"/>
  <c r="I130" i="14"/>
  <c r="G71" i="48"/>
  <c r="G76" i="48" s="1"/>
  <c r="G73" i="48"/>
  <c r="G78" i="48" s="1"/>
  <c r="G70" i="48"/>
  <c r="G75" i="48" s="1"/>
  <c r="G74" i="48"/>
  <c r="G72" i="48"/>
  <c r="G77" i="48" s="1"/>
  <c r="J148" i="48"/>
  <c r="J153" i="48" s="1"/>
  <c r="J145" i="48"/>
  <c r="J150" i="48" s="1"/>
  <c r="J146" i="48"/>
  <c r="J151" i="48" s="1"/>
  <c r="J149" i="48"/>
  <c r="J147" i="48"/>
  <c r="J152" i="48" s="1"/>
  <c r="H318" i="42"/>
  <c r="H319" i="42" s="1"/>
  <c r="H321" i="42" s="1"/>
  <c r="D315" i="48"/>
  <c r="D310" i="48"/>
  <c r="D314" i="48"/>
  <c r="D312" i="48"/>
  <c r="D313" i="48"/>
  <c r="D311" i="48"/>
  <c r="P26" i="29"/>
  <c r="P44" i="29" s="1"/>
  <c r="Q20" i="29"/>
  <c r="L57" i="45"/>
  <c r="G150" i="14"/>
  <c r="I89" i="19"/>
  <c r="J140" i="14" s="1"/>
  <c r="J140" i="12"/>
  <c r="L130" i="42"/>
  <c r="L142" i="42" s="1"/>
  <c r="L131" i="42"/>
  <c r="L150" i="42" s="1"/>
  <c r="L132" i="42"/>
  <c r="L158" i="42" s="1"/>
  <c r="I77" i="19"/>
  <c r="J106" i="14" s="1"/>
  <c r="J106" i="12"/>
  <c r="T8" i="15"/>
  <c r="E293" i="20"/>
  <c r="E294" i="20" s="1"/>
  <c r="E296" i="20" s="1"/>
  <c r="M65" i="20"/>
  <c r="N63" i="20"/>
  <c r="M64" i="20"/>
  <c r="I283" i="42"/>
  <c r="I285" i="42"/>
  <c r="I282" i="42"/>
  <c r="I286" i="42"/>
  <c r="I284" i="42"/>
  <c r="I287" i="42"/>
  <c r="M72" i="51"/>
  <c r="AS49" i="51"/>
  <c r="M51" i="51"/>
  <c r="H153" i="14"/>
  <c r="H98" i="14"/>
  <c r="L186" i="42"/>
  <c r="L185" i="42"/>
  <c r="H232" i="12"/>
  <c r="G150" i="12"/>
  <c r="AQ68" i="45"/>
  <c r="AT41" i="45"/>
  <c r="P25" i="29"/>
  <c r="P43" i="29" s="1"/>
  <c r="Q19" i="29"/>
  <c r="AM91" i="45"/>
  <c r="O63" i="29"/>
  <c r="O62" i="29" s="1"/>
  <c r="O67" i="29"/>
  <c r="O65" i="29"/>
  <c r="O64" i="29"/>
  <c r="O68" i="29"/>
  <c r="O66" i="29"/>
  <c r="L213" i="53"/>
  <c r="L214" i="53"/>
  <c r="S10" i="16"/>
  <c r="AM76" i="51"/>
  <c r="M132" i="19" l="1"/>
  <c r="J93" i="20"/>
  <c r="J94" i="20"/>
  <c r="J86" i="19" s="1"/>
  <c r="K133" i="14" s="1"/>
  <c r="J91" i="20"/>
  <c r="J82" i="19"/>
  <c r="K124" i="14" s="1"/>
  <c r="J95" i="20"/>
  <c r="J87" i="19" s="1"/>
  <c r="M131" i="19"/>
  <c r="H285" i="20"/>
  <c r="M130" i="19"/>
  <c r="M129" i="19"/>
  <c r="M128" i="19" s="1"/>
  <c r="P24" i="38"/>
  <c r="P39" i="38" s="1"/>
  <c r="Q18" i="38"/>
  <c r="H284" i="20"/>
  <c r="H283" i="20"/>
  <c r="O31" i="29"/>
  <c r="O34" i="29" s="1"/>
  <c r="F348" i="46"/>
  <c r="F353" i="46" s="1"/>
  <c r="F354" i="46" s="1"/>
  <c r="Q18" i="42"/>
  <c r="P24" i="42"/>
  <c r="P39" i="42" s="1"/>
  <c r="I176" i="19"/>
  <c r="P29" i="48"/>
  <c r="P29" i="53"/>
  <c r="P194" i="53" s="1"/>
  <c r="I271" i="46"/>
  <c r="N89" i="29"/>
  <c r="M103" i="19"/>
  <c r="N103" i="14" s="1"/>
  <c r="N103" i="12"/>
  <c r="N35" i="45"/>
  <c r="M130" i="20"/>
  <c r="M106" i="19" s="1"/>
  <c r="M128" i="20"/>
  <c r="M104" i="19" s="1"/>
  <c r="M131" i="20"/>
  <c r="M107" i="19" s="1"/>
  <c r="C276" i="19"/>
  <c r="D165" i="14" s="1"/>
  <c r="M129" i="20"/>
  <c r="M105" i="19" s="1"/>
  <c r="K78" i="20"/>
  <c r="N139" i="48"/>
  <c r="H271" i="48"/>
  <c r="N36" i="45"/>
  <c r="N202" i="48"/>
  <c r="L140" i="16"/>
  <c r="AO4" i="55"/>
  <c r="L141" i="15"/>
  <c r="L142" i="15" s="1"/>
  <c r="K90" i="20"/>
  <c r="K92" i="20" s="1"/>
  <c r="K96" i="20"/>
  <c r="K101" i="20" s="1"/>
  <c r="K93" i="19" s="1"/>
  <c r="M96" i="19"/>
  <c r="M95" i="19" s="1"/>
  <c r="J185" i="28"/>
  <c r="J186" i="28" s="1"/>
  <c r="U9" i="15"/>
  <c r="K128" i="36"/>
  <c r="K77" i="51"/>
  <c r="J259" i="53"/>
  <c r="K78" i="51" s="1"/>
  <c r="AP74" i="51"/>
  <c r="D122" i="45"/>
  <c r="AU19" i="45"/>
  <c r="AU20" i="45"/>
  <c r="J77" i="51"/>
  <c r="I259" i="53"/>
  <c r="J78" i="51" s="1"/>
  <c r="G239" i="19"/>
  <c r="G242" i="19"/>
  <c r="G240" i="19"/>
  <c r="G243" i="19"/>
  <c r="G241" i="19"/>
  <c r="G244" i="19"/>
  <c r="J241" i="54"/>
  <c r="J242" i="54" s="1"/>
  <c r="I152" i="14"/>
  <c r="I325" i="38"/>
  <c r="I326" i="38" s="1"/>
  <c r="E234" i="19"/>
  <c r="E238" i="19" s="1"/>
  <c r="E235" i="19"/>
  <c r="J127" i="14"/>
  <c r="S20" i="16"/>
  <c r="F295" i="20"/>
  <c r="I149" i="12"/>
  <c r="I179" i="19"/>
  <c r="Q25" i="48"/>
  <c r="Q40" i="48" s="1"/>
  <c r="R19" i="48"/>
  <c r="AN109" i="45"/>
  <c r="L216" i="53"/>
  <c r="L215" i="53"/>
  <c r="N72" i="51"/>
  <c r="N51" i="51"/>
  <c r="AT49" i="51"/>
  <c r="M57" i="45"/>
  <c r="H223" i="19"/>
  <c r="H246" i="19"/>
  <c r="H247" i="19" s="1"/>
  <c r="N208" i="28"/>
  <c r="N207" i="28"/>
  <c r="N156" i="28"/>
  <c r="O47" i="29"/>
  <c r="O142" i="29" s="1"/>
  <c r="N241" i="46"/>
  <c r="N243" i="46" s="1"/>
  <c r="O240" i="46"/>
  <c r="N194" i="29"/>
  <c r="N193" i="29"/>
  <c r="C363" i="48"/>
  <c r="AJ120" i="45" s="1"/>
  <c r="C361" i="48"/>
  <c r="K147" i="48"/>
  <c r="K152" i="48" s="1"/>
  <c r="K145" i="48"/>
  <c r="K150" i="48" s="1"/>
  <c r="K146" i="48"/>
  <c r="K151" i="48" s="1"/>
  <c r="K149" i="48"/>
  <c r="K148" i="48"/>
  <c r="K153" i="48" s="1"/>
  <c r="J283" i="42"/>
  <c r="J286" i="42"/>
  <c r="J284" i="42"/>
  <c r="J285" i="42"/>
  <c r="J287" i="42"/>
  <c r="J282" i="42"/>
  <c r="M130" i="42"/>
  <c r="M142" i="42" s="1"/>
  <c r="M132" i="42"/>
  <c r="M158" i="42" s="1"/>
  <c r="M131" i="42"/>
  <c r="M150" i="42" s="1"/>
  <c r="M136" i="16"/>
  <c r="Q122" i="15"/>
  <c r="Q132" i="15" s="1"/>
  <c r="O47" i="28"/>
  <c r="O52" i="29"/>
  <c r="O49" i="29" s="1"/>
  <c r="O54" i="29"/>
  <c r="O50" i="29"/>
  <c r="O53" i="29"/>
  <c r="O51" i="29"/>
  <c r="K139" i="14"/>
  <c r="I69" i="19"/>
  <c r="J99" i="14" s="1"/>
  <c r="J99" i="12"/>
  <c r="L227" i="12"/>
  <c r="L300" i="38"/>
  <c r="L299" i="38"/>
  <c r="N136" i="15"/>
  <c r="I152" i="12"/>
  <c r="S17" i="16"/>
  <c r="N63" i="48"/>
  <c r="N65" i="16"/>
  <c r="J167" i="28"/>
  <c r="J168" i="28"/>
  <c r="M136" i="15"/>
  <c r="BQ7" i="55"/>
  <c r="M135" i="15"/>
  <c r="J225" i="12" a="1"/>
  <c r="J225" i="12" s="1"/>
  <c r="J226" i="12"/>
  <c r="J148" i="12"/>
  <c r="J169" i="12" s="1"/>
  <c r="AV62" i="51"/>
  <c r="N62" i="42"/>
  <c r="N61" i="42"/>
  <c r="N64" i="42"/>
  <c r="N77" i="42" s="1"/>
  <c r="N65" i="42"/>
  <c r="N93" i="42" s="1"/>
  <c r="N67" i="42"/>
  <c r="N101" i="42" s="1"/>
  <c r="N66" i="42"/>
  <c r="N85" i="42" s="1"/>
  <c r="O60" i="42"/>
  <c r="K97" i="20"/>
  <c r="K98" i="20"/>
  <c r="K100" i="20"/>
  <c r="M162" i="54"/>
  <c r="H83" i="48"/>
  <c r="H88" i="48" s="1"/>
  <c r="H80" i="48"/>
  <c r="H85" i="48" s="1"/>
  <c r="H82" i="48"/>
  <c r="H87" i="48" s="1"/>
  <c r="H84" i="48"/>
  <c r="H81" i="48"/>
  <c r="H86" i="48" s="1"/>
  <c r="P110" i="53"/>
  <c r="P111" i="53" s="1"/>
  <c r="P106" i="53"/>
  <c r="P107" i="53" s="1"/>
  <c r="Q62" i="51" s="1"/>
  <c r="P104" i="53"/>
  <c r="P105" i="53" s="1"/>
  <c r="Q53" i="51" s="1"/>
  <c r="P108" i="53"/>
  <c r="P109" i="53" s="1"/>
  <c r="O217" i="38"/>
  <c r="O219" i="38" s="1"/>
  <c r="P216" i="38"/>
  <c r="M214" i="20"/>
  <c r="M172" i="19" s="1"/>
  <c r="M213" i="20"/>
  <c r="M171" i="19" s="1"/>
  <c r="M212" i="20"/>
  <c r="M170" i="19" s="1"/>
  <c r="M216" i="20"/>
  <c r="M174" i="19" s="1"/>
  <c r="M215" i="20"/>
  <c r="M169" i="19"/>
  <c r="N135" i="12"/>
  <c r="H150" i="12"/>
  <c r="Q28" i="46"/>
  <c r="R22" i="46"/>
  <c r="AP85" i="45"/>
  <c r="AP71" i="45"/>
  <c r="M146" i="20"/>
  <c r="M122" i="19" s="1"/>
  <c r="M150" i="20"/>
  <c r="M126" i="19" s="1"/>
  <c r="M147" i="20"/>
  <c r="M123" i="19" s="1"/>
  <c r="M149" i="20"/>
  <c r="M125" i="19" s="1"/>
  <c r="M148" i="20"/>
  <c r="M124" i="19" s="1"/>
  <c r="N138" i="12"/>
  <c r="M121" i="19"/>
  <c r="N138" i="14" s="1"/>
  <c r="P36" i="28"/>
  <c r="P42" i="28" s="1"/>
  <c r="Q123" i="15"/>
  <c r="Q43" i="15"/>
  <c r="M139" i="46"/>
  <c r="M144" i="46"/>
  <c r="I229" i="12"/>
  <c r="G325" i="46"/>
  <c r="G326" i="46"/>
  <c r="L173" i="19"/>
  <c r="AT105" i="45"/>
  <c r="AW60" i="51"/>
  <c r="N169" i="20"/>
  <c r="N168" i="20"/>
  <c r="N170" i="20"/>
  <c r="N179" i="20" s="1"/>
  <c r="N171" i="20"/>
  <c r="N185" i="20" s="1"/>
  <c r="N167" i="20"/>
  <c r="N173" i="20" s="1"/>
  <c r="O166" i="20"/>
  <c r="N23" i="45"/>
  <c r="L112" i="36"/>
  <c r="L113" i="36"/>
  <c r="L111" i="36"/>
  <c r="M237" i="42"/>
  <c r="M241" i="42" s="1"/>
  <c r="M235" i="42"/>
  <c r="M239" i="42" s="1"/>
  <c r="M236" i="42"/>
  <c r="M240" i="42" s="1"/>
  <c r="M238" i="42"/>
  <c r="J154" i="28"/>
  <c r="J150" i="28"/>
  <c r="J153" i="28"/>
  <c r="J152" i="28"/>
  <c r="J151" i="28"/>
  <c r="J155" i="28"/>
  <c r="N289" i="42"/>
  <c r="K29" i="19"/>
  <c r="K42" i="19"/>
  <c r="K50" i="19" s="1"/>
  <c r="H261" i="20"/>
  <c r="H258" i="20"/>
  <c r="H260" i="20"/>
  <c r="H262" i="20"/>
  <c r="H257" i="20"/>
  <c r="H259" i="20"/>
  <c r="M221" i="42"/>
  <c r="M225" i="42" s="1"/>
  <c r="M220" i="42"/>
  <c r="M224" i="42" s="1"/>
  <c r="M223" i="42"/>
  <c r="M222" i="42"/>
  <c r="M226" i="42" s="1"/>
  <c r="R21" i="15"/>
  <c r="R39" i="15"/>
  <c r="J265" i="20"/>
  <c r="J288" i="20"/>
  <c r="J289" i="20" s="1"/>
  <c r="J139" i="14"/>
  <c r="O278" i="38"/>
  <c r="O289" i="38" s="1"/>
  <c r="O31" i="38"/>
  <c r="O61" i="53"/>
  <c r="O66" i="53"/>
  <c r="O73" i="53" s="1"/>
  <c r="O74" i="53" s="1"/>
  <c r="O64" i="53"/>
  <c r="O71" i="53" s="1"/>
  <c r="O72" i="53" s="1"/>
  <c r="P57" i="51" s="1"/>
  <c r="O65" i="53"/>
  <c r="O75" i="53" s="1"/>
  <c r="O62" i="53"/>
  <c r="O67" i="53"/>
  <c r="O77" i="53" s="1"/>
  <c r="O78" i="53" s="1"/>
  <c r="P61" i="51" s="1"/>
  <c r="P60" i="53"/>
  <c r="M63" i="38"/>
  <c r="M69" i="38"/>
  <c r="Q28" i="53"/>
  <c r="Q43" i="53" s="1"/>
  <c r="R22" i="53"/>
  <c r="P29" i="46"/>
  <c r="M193" i="29"/>
  <c r="M194" i="29"/>
  <c r="Q28" i="48"/>
  <c r="R22" i="48"/>
  <c r="D164" i="12"/>
  <c r="C318" i="20"/>
  <c r="D165" i="12" s="1"/>
  <c r="S18" i="28"/>
  <c r="R24" i="28"/>
  <c r="M304" i="42"/>
  <c r="M303" i="42"/>
  <c r="M315" i="42" s="1"/>
  <c r="AN116" i="45"/>
  <c r="M162" i="53"/>
  <c r="H318" i="46"/>
  <c r="H319" i="46" s="1"/>
  <c r="H341" i="46"/>
  <c r="H342" i="46" s="1"/>
  <c r="I9" i="55"/>
  <c r="Q37" i="29"/>
  <c r="R125" i="16"/>
  <c r="R47" i="16"/>
  <c r="F346" i="46"/>
  <c r="AS33" i="45"/>
  <c r="G321" i="48"/>
  <c r="G322" i="48"/>
  <c r="G324" i="48"/>
  <c r="G323" i="48"/>
  <c r="P29" i="29"/>
  <c r="M219" i="53"/>
  <c r="M231" i="53" s="1"/>
  <c r="M220" i="53"/>
  <c r="N237" i="38"/>
  <c r="N241" i="38" s="1"/>
  <c r="N236" i="38"/>
  <c r="N240" i="38" s="1"/>
  <c r="N238" i="38"/>
  <c r="O107" i="36" s="1"/>
  <c r="N235" i="38"/>
  <c r="N239" i="38" s="1"/>
  <c r="K143" i="12"/>
  <c r="J90" i="19"/>
  <c r="K143" i="14" s="1"/>
  <c r="P69" i="45"/>
  <c r="K241" i="54"/>
  <c r="K242" i="54" s="1"/>
  <c r="M114" i="36"/>
  <c r="AS79" i="36"/>
  <c r="AS114" i="36" s="1"/>
  <c r="F232" i="19"/>
  <c r="F233" i="19"/>
  <c r="J171" i="29"/>
  <c r="J174" i="29" s="1"/>
  <c r="J170" i="29"/>
  <c r="N67" i="16"/>
  <c r="N46" i="16"/>
  <c r="K84" i="20"/>
  <c r="J196" i="54"/>
  <c r="J197" i="54" s="1"/>
  <c r="K163" i="54"/>
  <c r="H187" i="29"/>
  <c r="H189" i="29"/>
  <c r="I70" i="16" s="1"/>
  <c r="T9" i="15"/>
  <c r="M161" i="38"/>
  <c r="M165" i="38" s="1"/>
  <c r="M160" i="38"/>
  <c r="M164" i="38" s="1"/>
  <c r="M162" i="38"/>
  <c r="N109" i="36" s="1"/>
  <c r="AT109" i="36" s="1"/>
  <c r="M159" i="38"/>
  <c r="M163" i="38" s="1"/>
  <c r="M68" i="45"/>
  <c r="O26" i="20"/>
  <c r="O44" i="20" s="1"/>
  <c r="P20" i="20"/>
  <c r="AR107" i="45"/>
  <c r="M129" i="42"/>
  <c r="M134" i="42"/>
  <c r="N129" i="38"/>
  <c r="N134" i="38"/>
  <c r="L176" i="46"/>
  <c r="L181" i="46" s="1"/>
  <c r="L178" i="46"/>
  <c r="L183" i="46" s="1"/>
  <c r="L174" i="48"/>
  <c r="L175" i="46"/>
  <c r="L180" i="46" s="1"/>
  <c r="L179" i="46"/>
  <c r="M107" i="45" s="1"/>
  <c r="L177" i="46"/>
  <c r="L182" i="46" s="1"/>
  <c r="I229" i="14"/>
  <c r="I112" i="45"/>
  <c r="AO112" i="45"/>
  <c r="AO110" i="45"/>
  <c r="I110" i="45"/>
  <c r="AO111" i="45"/>
  <c r="I111" i="45"/>
  <c r="K148" i="28"/>
  <c r="K149" i="28" s="1"/>
  <c r="L214" i="28"/>
  <c r="AN118" i="45"/>
  <c r="I139" i="14"/>
  <c r="I225" i="14" s="1" a="1"/>
  <c r="I225" i="14" s="1"/>
  <c r="I117" i="14"/>
  <c r="AR67" i="45"/>
  <c r="AR23" i="45"/>
  <c r="AQ85" i="45"/>
  <c r="I97" i="14"/>
  <c r="I154" i="14"/>
  <c r="S34" i="15"/>
  <c r="S33" i="15"/>
  <c r="H76" i="51"/>
  <c r="F325" i="48"/>
  <c r="F326" i="48"/>
  <c r="I172" i="29"/>
  <c r="I173" i="29" s="1"/>
  <c r="I175" i="29" s="1"/>
  <c r="J73" i="19"/>
  <c r="K120" i="14" s="1"/>
  <c r="K120" i="12"/>
  <c r="O61" i="28"/>
  <c r="O57" i="29" s="1"/>
  <c r="O64" i="28"/>
  <c r="O63" i="28"/>
  <c r="O60" i="28"/>
  <c r="P59" i="28"/>
  <c r="N136" i="16"/>
  <c r="AM120" i="36"/>
  <c r="G122" i="36"/>
  <c r="G125" i="36"/>
  <c r="N212" i="54"/>
  <c r="N209" i="54"/>
  <c r="N210" i="54"/>
  <c r="N211" i="54"/>
  <c r="BQ6" i="55"/>
  <c r="P50" i="51"/>
  <c r="P68" i="51"/>
  <c r="M88" i="42"/>
  <c r="M92" i="42" s="1"/>
  <c r="M87" i="42"/>
  <c r="M91" i="42" s="1"/>
  <c r="M89" i="42"/>
  <c r="M86" i="42"/>
  <c r="M90" i="42" s="1"/>
  <c r="S38" i="29"/>
  <c r="T124" i="16"/>
  <c r="T54" i="16"/>
  <c r="O241" i="48"/>
  <c r="P240" i="48"/>
  <c r="M134" i="15"/>
  <c r="M133" i="15" a="1"/>
  <c r="M133" i="15" s="1"/>
  <c r="M68" i="15"/>
  <c r="M77" i="15" s="1"/>
  <c r="J107" i="14"/>
  <c r="P360" i="48"/>
  <c r="J79" i="19"/>
  <c r="K110" i="14" s="1"/>
  <c r="K110" i="12"/>
  <c r="Q26" i="28"/>
  <c r="Q44" i="28" s="1"/>
  <c r="R20" i="28"/>
  <c r="N221" i="38"/>
  <c r="N225" i="38" s="1"/>
  <c r="N223" i="38"/>
  <c r="O98" i="36" s="1"/>
  <c r="N220" i="38"/>
  <c r="N224" i="38" s="1"/>
  <c r="N222" i="38"/>
  <c r="N226" i="38" s="1"/>
  <c r="G290" i="20"/>
  <c r="G291" i="20" s="1"/>
  <c r="G292" i="20"/>
  <c r="G293" i="20" s="1"/>
  <c r="AQ60" i="45"/>
  <c r="AQ73" i="45" s="1"/>
  <c r="AQ104" i="45"/>
  <c r="AQ59" i="45"/>
  <c r="AQ58" i="45"/>
  <c r="AQ71" i="45" s="1"/>
  <c r="J37" i="48"/>
  <c r="O43" i="48" s="1"/>
  <c r="O208" i="20"/>
  <c r="N209" i="20"/>
  <c r="N211" i="20" s="1"/>
  <c r="N27" i="19"/>
  <c r="N45" i="19" s="1"/>
  <c r="O21" i="19"/>
  <c r="O27" i="20"/>
  <c r="O45" i="20" s="1"/>
  <c r="P21" i="20"/>
  <c r="J228" i="14"/>
  <c r="AP73" i="45"/>
  <c r="AP87" i="45"/>
  <c r="H103" i="48"/>
  <c r="H108" i="48" s="1"/>
  <c r="H101" i="48"/>
  <c r="H106" i="48" s="1"/>
  <c r="H102" i="48"/>
  <c r="H107" i="48" s="1"/>
  <c r="H104" i="48"/>
  <c r="H100" i="48"/>
  <c r="H105" i="48" s="1"/>
  <c r="P129" i="16"/>
  <c r="P131" i="16"/>
  <c r="M100" i="19"/>
  <c r="N294" i="38"/>
  <c r="N293" i="38"/>
  <c r="N295" i="38"/>
  <c r="N296" i="38"/>
  <c r="L70" i="42"/>
  <c r="L74" i="42" s="1"/>
  <c r="L72" i="42"/>
  <c r="L76" i="42" s="1"/>
  <c r="L71" i="42"/>
  <c r="L75" i="42" s="1"/>
  <c r="L73" i="42"/>
  <c r="Q26" i="38"/>
  <c r="Q41" i="38" s="1"/>
  <c r="R20" i="38"/>
  <c r="J47" i="19"/>
  <c r="J60" i="19"/>
  <c r="J61" i="19"/>
  <c r="J62" i="19"/>
  <c r="J59" i="19"/>
  <c r="M262" i="48"/>
  <c r="M267" i="48" s="1"/>
  <c r="M263" i="48"/>
  <c r="M268" i="48" s="1"/>
  <c r="M261" i="48"/>
  <c r="M266" i="48" s="1"/>
  <c r="M264" i="48"/>
  <c r="M269" i="48" s="1"/>
  <c r="M265" i="48"/>
  <c r="M174" i="20"/>
  <c r="M136" i="19" s="1"/>
  <c r="M178" i="20"/>
  <c r="M140" i="19" s="1"/>
  <c r="M135" i="19"/>
  <c r="N113" i="14" s="1"/>
  <c r="M175" i="20"/>
  <c r="M137" i="19" s="1"/>
  <c r="M177" i="20"/>
  <c r="M139" i="19" s="1"/>
  <c r="M176" i="20"/>
  <c r="N113" i="12"/>
  <c r="O31" i="54"/>
  <c r="O194" i="54"/>
  <c r="M137" i="38"/>
  <c r="M141" i="38" s="1"/>
  <c r="M136" i="38"/>
  <c r="M140" i="38" s="1"/>
  <c r="M138" i="38"/>
  <c r="N85" i="36" s="1"/>
  <c r="M135" i="38"/>
  <c r="M139" i="38" s="1"/>
  <c r="Q28" i="38"/>
  <c r="Q43" i="38" s="1"/>
  <c r="R22" i="38"/>
  <c r="E253" i="19"/>
  <c r="P257" i="46"/>
  <c r="O258" i="46"/>
  <c r="O260" i="46" s="1"/>
  <c r="J229" i="14"/>
  <c r="R21" i="16"/>
  <c r="F126" i="36"/>
  <c r="E343" i="38"/>
  <c r="F127" i="36" s="1"/>
  <c r="AR113" i="36"/>
  <c r="AR111" i="36"/>
  <c r="AR112" i="36"/>
  <c r="K147" i="12"/>
  <c r="K95" i="12"/>
  <c r="H278" i="20"/>
  <c r="H279" i="20"/>
  <c r="M207" i="38"/>
  <c r="M211" i="38" s="1"/>
  <c r="M206" i="38"/>
  <c r="M210" i="38" s="1"/>
  <c r="M205" i="38"/>
  <c r="M209" i="38" s="1"/>
  <c r="M208" i="38"/>
  <c r="AU61" i="51"/>
  <c r="O64" i="51"/>
  <c r="L151" i="29"/>
  <c r="L152" i="29"/>
  <c r="M96" i="38"/>
  <c r="M100" i="38" s="1"/>
  <c r="M95" i="38"/>
  <c r="M99" i="38" s="1"/>
  <c r="M97" i="38"/>
  <c r="N108" i="36" s="1"/>
  <c r="AT108" i="36" s="1"/>
  <c r="M94" i="38"/>
  <c r="M98" i="38" s="1"/>
  <c r="AS21" i="45"/>
  <c r="O21" i="45"/>
  <c r="M219" i="54"/>
  <c r="M231" i="54" s="1"/>
  <c r="M220" i="54"/>
  <c r="J155" i="29"/>
  <c r="J159" i="29" s="1"/>
  <c r="J156" i="29"/>
  <c r="R24" i="54"/>
  <c r="S18" i="54"/>
  <c r="J228" i="12"/>
  <c r="J231" i="12"/>
  <c r="M139" i="15"/>
  <c r="H116" i="45"/>
  <c r="AO97" i="45"/>
  <c r="I100" i="45"/>
  <c r="I113" i="45"/>
  <c r="F327" i="46"/>
  <c r="F328" i="46"/>
  <c r="G308" i="46"/>
  <c r="G309" i="46" s="1"/>
  <c r="H275" i="46"/>
  <c r="U25" i="15"/>
  <c r="J91" i="19"/>
  <c r="K144" i="14" s="1"/>
  <c r="K144" i="12"/>
  <c r="O121" i="20"/>
  <c r="O122" i="20"/>
  <c r="O125" i="20"/>
  <c r="O123" i="20"/>
  <c r="O120" i="20"/>
  <c r="O124" i="20"/>
  <c r="P119" i="20"/>
  <c r="O83" i="28"/>
  <c r="O70" i="29" s="1"/>
  <c r="O85" i="28"/>
  <c r="O72" i="29" s="1"/>
  <c r="O87" i="28"/>
  <c r="O84" i="28"/>
  <c r="O86" i="28"/>
  <c r="O88" i="28"/>
  <c r="P82" i="28"/>
  <c r="J160" i="29"/>
  <c r="J162" i="29"/>
  <c r="J161" i="29"/>
  <c r="J163" i="29"/>
  <c r="J164" i="29"/>
  <c r="J165" i="29"/>
  <c r="N67" i="15"/>
  <c r="N46" i="15"/>
  <c r="AR83" i="45"/>
  <c r="J147" i="14"/>
  <c r="J95" i="14"/>
  <c r="D160" i="14"/>
  <c r="L219" i="46"/>
  <c r="L224" i="46" s="1"/>
  <c r="L218" i="46"/>
  <c r="L223" i="46" s="1"/>
  <c r="L217" i="46"/>
  <c r="L222" i="46" s="1"/>
  <c r="L220" i="46"/>
  <c r="L225" i="46" s="1"/>
  <c r="L216" i="48"/>
  <c r="L221" i="46"/>
  <c r="M99" i="45" s="1"/>
  <c r="Q121" i="15"/>
  <c r="Q42" i="15"/>
  <c r="Q128" i="15"/>
  <c r="Q60" i="15"/>
  <c r="P40" i="28"/>
  <c r="U41" i="16"/>
  <c r="L24" i="19"/>
  <c r="M18" i="19"/>
  <c r="K302" i="38"/>
  <c r="K301" i="38"/>
  <c r="K305" i="38" s="1"/>
  <c r="H335" i="38"/>
  <c r="I121" i="36" s="1"/>
  <c r="AO121" i="36" s="1"/>
  <c r="H333" i="38"/>
  <c r="Q25" i="29"/>
  <c r="Q43" i="29" s="1"/>
  <c r="R19" i="29"/>
  <c r="AS72" i="51"/>
  <c r="AS51" i="51"/>
  <c r="F293" i="20"/>
  <c r="F294" i="20" s="1"/>
  <c r="F296" i="20" s="1"/>
  <c r="L59" i="45"/>
  <c r="L72" i="45" s="1"/>
  <c r="K37" i="46"/>
  <c r="P43" i="46" s="1"/>
  <c r="L58" i="45"/>
  <c r="L71" i="45" s="1"/>
  <c r="L60" i="45"/>
  <c r="L104" i="45"/>
  <c r="N63" i="46"/>
  <c r="K153" i="29"/>
  <c r="K154" i="29"/>
  <c r="K302" i="42"/>
  <c r="K301" i="42"/>
  <c r="K305" i="42" s="1"/>
  <c r="AR57" i="45"/>
  <c r="I117" i="12"/>
  <c r="L80" i="36"/>
  <c r="L83" i="36" s="1"/>
  <c r="L115" i="36"/>
  <c r="L116" i="36" s="1"/>
  <c r="AR78" i="36"/>
  <c r="P135" i="53"/>
  <c r="Q56" i="51"/>
  <c r="AQ87" i="45"/>
  <c r="I154" i="12"/>
  <c r="I97" i="12"/>
  <c r="S74" i="15"/>
  <c r="N65" i="15"/>
  <c r="H229" i="19"/>
  <c r="H227" i="19"/>
  <c r="H226" i="19"/>
  <c r="H228" i="19"/>
  <c r="AR98" i="45"/>
  <c r="AR77" i="45"/>
  <c r="K175" i="48"/>
  <c r="K180" i="48" s="1"/>
  <c r="K178" i="48"/>
  <c r="K183" i="48" s="1"/>
  <c r="K177" i="48"/>
  <c r="K182" i="48" s="1"/>
  <c r="K179" i="48"/>
  <c r="K176" i="48"/>
  <c r="K181" i="48" s="1"/>
  <c r="E347" i="46"/>
  <c r="E349" i="46" s="1"/>
  <c r="E348" i="46"/>
  <c r="L190" i="42"/>
  <c r="L194" i="42" s="1"/>
  <c r="L189" i="42"/>
  <c r="L193" i="42" s="1"/>
  <c r="L191" i="42"/>
  <c r="L195" i="42" s="1"/>
  <c r="L192" i="42"/>
  <c r="N59" i="16"/>
  <c r="P76" i="15"/>
  <c r="P75" i="15"/>
  <c r="M34" i="45"/>
  <c r="I231" i="12"/>
  <c r="L140" i="15"/>
  <c r="J317" i="42"/>
  <c r="J316" i="42"/>
  <c r="K218" i="48"/>
  <c r="K223" i="48" s="1"/>
  <c r="K217" i="48"/>
  <c r="K222" i="48" s="1"/>
  <c r="K220" i="48"/>
  <c r="K225" i="48" s="1"/>
  <c r="K221" i="48"/>
  <c r="K219" i="48"/>
  <c r="K224" i="48" s="1"/>
  <c r="K146" i="12"/>
  <c r="K115" i="12"/>
  <c r="J118" i="12"/>
  <c r="N59" i="29"/>
  <c r="O62" i="16" s="1"/>
  <c r="O62" i="15"/>
  <c r="S34" i="16"/>
  <c r="S33" i="16"/>
  <c r="S35" i="16" s="1"/>
  <c r="N25" i="19"/>
  <c r="N43" i="19" s="1"/>
  <c r="N96" i="19" s="1"/>
  <c r="N95" i="19" s="1"/>
  <c r="O19" i="19"/>
  <c r="O61" i="48"/>
  <c r="O65" i="48"/>
  <c r="O67" i="48"/>
  <c r="O64" i="48"/>
  <c r="O62" i="48"/>
  <c r="O66" i="48"/>
  <c r="P60" i="48"/>
  <c r="N28" i="19"/>
  <c r="N46" i="19" s="1"/>
  <c r="N167" i="19" s="1"/>
  <c r="N166" i="19" s="1"/>
  <c r="O22" i="19"/>
  <c r="I317" i="46"/>
  <c r="I320" i="46"/>
  <c r="R27" i="46"/>
  <c r="R42" i="46" s="1"/>
  <c r="S21" i="46"/>
  <c r="K221" i="20"/>
  <c r="K47" i="20"/>
  <c r="K218" i="20" s="1"/>
  <c r="L93" i="12"/>
  <c r="K72" i="20"/>
  <c r="P54" i="51"/>
  <c r="AV53" i="51"/>
  <c r="M95" i="42"/>
  <c r="M99" i="42" s="1"/>
  <c r="M94" i="42"/>
  <c r="M98" i="42" s="1"/>
  <c r="M97" i="42"/>
  <c r="M96" i="42"/>
  <c r="M100" i="42" s="1"/>
  <c r="G236" i="19"/>
  <c r="G248" i="19" s="1"/>
  <c r="G237" i="19"/>
  <c r="I242" i="53"/>
  <c r="I251" i="53" s="1"/>
  <c r="J75" i="51" s="1"/>
  <c r="O61" i="54"/>
  <c r="O66" i="54"/>
  <c r="O73" i="54" s="1"/>
  <c r="O74" i="54" s="1"/>
  <c r="O64" i="54"/>
  <c r="O71" i="54" s="1"/>
  <c r="O72" i="54" s="1"/>
  <c r="O65" i="54"/>
  <c r="O75" i="54" s="1"/>
  <c r="O76" i="54" s="1"/>
  <c r="O62" i="54"/>
  <c r="O67" i="54"/>
  <c r="O77" i="54" s="1"/>
  <c r="O78" i="54" s="1"/>
  <c r="P60" i="54"/>
  <c r="I251" i="54"/>
  <c r="AP75" i="51" s="1"/>
  <c r="J107" i="12"/>
  <c r="J141" i="12"/>
  <c r="AT67" i="51"/>
  <c r="AT71" i="51" s="1"/>
  <c r="AO94" i="45"/>
  <c r="I94" i="45"/>
  <c r="I93" i="45"/>
  <c r="AO93" i="45"/>
  <c r="K109" i="12"/>
  <c r="J81" i="19"/>
  <c r="N196" i="20"/>
  <c r="O195" i="20"/>
  <c r="P80" i="29"/>
  <c r="P79" i="29" s="1"/>
  <c r="D163" i="14"/>
  <c r="D157" i="14"/>
  <c r="F347" i="46"/>
  <c r="O289" i="42"/>
  <c r="O292" i="42"/>
  <c r="R35" i="15"/>
  <c r="N129" i="19"/>
  <c r="N128" i="19" s="1"/>
  <c r="N133" i="19"/>
  <c r="O125" i="12"/>
  <c r="N132" i="19"/>
  <c r="N130" i="19"/>
  <c r="N131" i="19"/>
  <c r="Q25" i="54"/>
  <c r="Q40" i="54" s="1"/>
  <c r="R19" i="54"/>
  <c r="AP128" i="36"/>
  <c r="AP86" i="45"/>
  <c r="AP72" i="45"/>
  <c r="L87" i="45"/>
  <c r="M98" i="19"/>
  <c r="K132" i="12"/>
  <c r="J85" i="19"/>
  <c r="K132" i="14" s="1"/>
  <c r="L246" i="42"/>
  <c r="L243" i="42"/>
  <c r="AU54" i="51"/>
  <c r="J31" i="19"/>
  <c r="J211" i="19"/>
  <c r="F248" i="19"/>
  <c r="F249" i="19" s="1"/>
  <c r="F250" i="19"/>
  <c r="F251" i="19" s="1"/>
  <c r="N26" i="19"/>
  <c r="N44" i="19" s="1"/>
  <c r="N155" i="19" s="1"/>
  <c r="N154" i="19" s="1"/>
  <c r="O20" i="19"/>
  <c r="M190" i="20"/>
  <c r="M152" i="19" s="1"/>
  <c r="M188" i="20"/>
  <c r="M150" i="19" s="1"/>
  <c r="M189" i="20"/>
  <c r="M151" i="19" s="1"/>
  <c r="M186" i="20"/>
  <c r="M148" i="19" s="1"/>
  <c r="N137" i="12"/>
  <c r="M147" i="19"/>
  <c r="N137" i="14" s="1"/>
  <c r="M187" i="20"/>
  <c r="M149" i="19" s="1"/>
  <c r="R35" i="16"/>
  <c r="H150" i="14"/>
  <c r="R24" i="48"/>
  <c r="S18" i="48"/>
  <c r="D347" i="48"/>
  <c r="D349" i="48" s="1"/>
  <c r="D348" i="48"/>
  <c r="G194" i="28"/>
  <c r="G201" i="28" s="1"/>
  <c r="I142" i="14"/>
  <c r="I118" i="12"/>
  <c r="N263" i="46"/>
  <c r="N268" i="46" s="1"/>
  <c r="N261" i="46"/>
  <c r="N266" i="46" s="1"/>
  <c r="N262" i="46"/>
  <c r="N267" i="46" s="1"/>
  <c r="N264" i="46"/>
  <c r="N269" i="46" s="1"/>
  <c r="N265" i="46"/>
  <c r="O105" i="45" s="1"/>
  <c r="N260" i="48"/>
  <c r="N66" i="15"/>
  <c r="D160" i="12"/>
  <c r="R27" i="42"/>
  <c r="R42" i="42" s="1"/>
  <c r="S21" i="42"/>
  <c r="J77" i="20"/>
  <c r="J64" i="19"/>
  <c r="K93" i="14" s="1"/>
  <c r="J76" i="20"/>
  <c r="J74" i="20"/>
  <c r="J66" i="19" s="1"/>
  <c r="J75" i="20"/>
  <c r="J73" i="20"/>
  <c r="J53" i="19"/>
  <c r="P44" i="54"/>
  <c r="P204" i="54" s="1"/>
  <c r="E328" i="48"/>
  <c r="E327" i="48"/>
  <c r="Q26" i="48"/>
  <c r="Q41" i="48" s="1"/>
  <c r="R20" i="48"/>
  <c r="M190" i="38"/>
  <c r="M194" i="38" s="1"/>
  <c r="M189" i="38"/>
  <c r="M193" i="38" s="1"/>
  <c r="M192" i="38"/>
  <c r="N91" i="36" s="1"/>
  <c r="M191" i="38"/>
  <c r="M195" i="38" s="1"/>
  <c r="AU57" i="51"/>
  <c r="AT29" i="45"/>
  <c r="AT31" i="45"/>
  <c r="AT37" i="45" s="1"/>
  <c r="AT32" i="45"/>
  <c r="AT28" i="45"/>
  <c r="AT54" i="45"/>
  <c r="C361" i="46"/>
  <c r="I148" i="12"/>
  <c r="I169" i="12" s="1"/>
  <c r="AQ70" i="45"/>
  <c r="AS85" i="36"/>
  <c r="AS86" i="36" s="1"/>
  <c r="AS89" i="36" s="1"/>
  <c r="M86" i="36"/>
  <c r="M89" i="36" s="1"/>
  <c r="D157" i="12"/>
  <c r="D163" i="12"/>
  <c r="P360" i="46"/>
  <c r="H151" i="12"/>
  <c r="Q39" i="54"/>
  <c r="O292" i="38"/>
  <c r="R39" i="16"/>
  <c r="N71" i="51"/>
  <c r="I266" i="20"/>
  <c r="AS36" i="45"/>
  <c r="K165" i="28"/>
  <c r="K166" i="28"/>
  <c r="F311" i="46"/>
  <c r="F310" i="46"/>
  <c r="F314" i="46"/>
  <c r="F315" i="46"/>
  <c r="F313" i="46"/>
  <c r="F312" i="46"/>
  <c r="J92" i="19"/>
  <c r="K145" i="14" s="1"/>
  <c r="K145" i="12"/>
  <c r="N127" i="20"/>
  <c r="K235" i="54"/>
  <c r="AS96" i="45"/>
  <c r="N73" i="29"/>
  <c r="O58" i="16" s="1"/>
  <c r="O58" i="15"/>
  <c r="M58" i="29"/>
  <c r="M213" i="28"/>
  <c r="M114" i="28"/>
  <c r="S20" i="15"/>
  <c r="I179" i="29"/>
  <c r="I180" i="29" s="1"/>
  <c r="J142" i="14"/>
  <c r="K163" i="19"/>
  <c r="R19" i="53"/>
  <c r="Q25" i="53"/>
  <c r="Q40" i="53" s="1"/>
  <c r="Q26" i="53"/>
  <c r="Q41" i="53" s="1"/>
  <c r="Q147" i="53" s="1"/>
  <c r="Q148" i="53" s="1"/>
  <c r="R60" i="51" s="1"/>
  <c r="R20" i="53"/>
  <c r="G71" i="16"/>
  <c r="H324" i="46"/>
  <c r="H321" i="46"/>
  <c r="H322" i="46"/>
  <c r="H323" i="46"/>
  <c r="N217" i="42"/>
  <c r="N219" i="42" s="1"/>
  <c r="O216" i="42"/>
  <c r="M81" i="38"/>
  <c r="N92" i="36" s="1"/>
  <c r="AT92" i="36" s="1"/>
  <c r="M78" i="38"/>
  <c r="M82" i="38" s="1"/>
  <c r="M79" i="38"/>
  <c r="M83" i="38" s="1"/>
  <c r="M80" i="38"/>
  <c r="M84" i="38" s="1"/>
  <c r="M213" i="53"/>
  <c r="M214" i="53"/>
  <c r="L161" i="42"/>
  <c r="L165" i="42" s="1"/>
  <c r="L159" i="42"/>
  <c r="L163" i="42" s="1"/>
  <c r="L162" i="42"/>
  <c r="L160" i="42"/>
  <c r="L164" i="42" s="1"/>
  <c r="O154" i="53"/>
  <c r="O156" i="53" s="1"/>
  <c r="P153" i="53"/>
  <c r="L148" i="46"/>
  <c r="L153" i="46" s="1"/>
  <c r="L145" i="46"/>
  <c r="L150" i="46" s="1"/>
  <c r="L146" i="46"/>
  <c r="L151" i="46" s="1"/>
  <c r="L147" i="46"/>
  <c r="L152" i="46" s="1"/>
  <c r="L149" i="46"/>
  <c r="M83" i="45" s="1"/>
  <c r="L144" i="48"/>
  <c r="M102" i="36"/>
  <c r="AU69" i="45"/>
  <c r="AR108" i="45"/>
  <c r="AW69" i="51"/>
  <c r="E119" i="45"/>
  <c r="D365" i="46"/>
  <c r="D370" i="46"/>
  <c r="E125" i="45" s="1"/>
  <c r="T18" i="15"/>
  <c r="T16" i="15"/>
  <c r="T19" i="15"/>
  <c r="T15" i="15"/>
  <c r="U14" i="15"/>
  <c r="T32" i="15"/>
  <c r="T74" i="15" s="1"/>
  <c r="L207" i="42"/>
  <c r="L211" i="42" s="1"/>
  <c r="L205" i="42"/>
  <c r="L209" i="42" s="1"/>
  <c r="L208" i="42"/>
  <c r="L206" i="42"/>
  <c r="L210" i="42" s="1"/>
  <c r="N59" i="15"/>
  <c r="BR16" i="55"/>
  <c r="BR15" i="55"/>
  <c r="BR11" i="55"/>
  <c r="BR19" i="55" s="1"/>
  <c r="BR13" i="55"/>
  <c r="BR12" i="55"/>
  <c r="BR14" i="55"/>
  <c r="AN78" i="45"/>
  <c r="P129" i="15"/>
  <c r="P131" i="15"/>
  <c r="O127" i="38"/>
  <c r="O183" i="38"/>
  <c r="O128" i="38"/>
  <c r="O182" i="38"/>
  <c r="P126" i="38"/>
  <c r="R27" i="29"/>
  <c r="S21" i="29"/>
  <c r="J309" i="42"/>
  <c r="J308" i="42"/>
  <c r="J307" i="42"/>
  <c r="J311" i="42"/>
  <c r="J306" i="42"/>
  <c r="J310" i="42"/>
  <c r="AR99" i="45"/>
  <c r="Q25" i="42"/>
  <c r="Q40" i="42" s="1"/>
  <c r="R19" i="42"/>
  <c r="J74" i="19"/>
  <c r="K121" i="14" s="1"/>
  <c r="K121" i="12"/>
  <c r="J118" i="14"/>
  <c r="O56" i="15"/>
  <c r="N60" i="29"/>
  <c r="O56" i="16" s="1"/>
  <c r="T19" i="16"/>
  <c r="T15" i="16"/>
  <c r="T18" i="16"/>
  <c r="U14" i="16"/>
  <c r="T16" i="16"/>
  <c r="T32" i="16"/>
  <c r="T74" i="16" s="1"/>
  <c r="L300" i="42"/>
  <c r="L299" i="42"/>
  <c r="I72" i="46"/>
  <c r="I77" i="46" s="1"/>
  <c r="I71" i="46"/>
  <c r="I76" i="46" s="1"/>
  <c r="I70" i="46"/>
  <c r="I75" i="46" s="1"/>
  <c r="I73" i="46"/>
  <c r="I78" i="46" s="1"/>
  <c r="I69" i="48"/>
  <c r="I74" i="46"/>
  <c r="J76" i="45" s="1"/>
  <c r="N183" i="42"/>
  <c r="N182" i="42"/>
  <c r="O181" i="42"/>
  <c r="P36" i="29"/>
  <c r="P42" i="29" s="1"/>
  <c r="Q123" i="16"/>
  <c r="Q43" i="16"/>
  <c r="E329" i="46"/>
  <c r="E333" i="46" s="1"/>
  <c r="E330" i="46"/>
  <c r="K253" i="20"/>
  <c r="K31" i="20"/>
  <c r="BX4" i="55"/>
  <c r="L72" i="38"/>
  <c r="L76" i="38" s="1"/>
  <c r="L71" i="38"/>
  <c r="L75" i="38" s="1"/>
  <c r="L73" i="38"/>
  <c r="M78" i="36" s="1"/>
  <c r="L70" i="38"/>
  <c r="L74" i="38" s="1"/>
  <c r="K33" i="46"/>
  <c r="K39" i="46" s="1"/>
  <c r="L75" i="45"/>
  <c r="M79" i="42"/>
  <c r="M83" i="42" s="1"/>
  <c r="M78" i="42"/>
  <c r="M82" i="42" s="1"/>
  <c r="M81" i="42"/>
  <c r="M80" i="42"/>
  <c r="M84" i="42" s="1"/>
  <c r="I141" i="12"/>
  <c r="J141" i="14"/>
  <c r="R27" i="38"/>
  <c r="R42" i="38" s="1"/>
  <c r="S21" i="38"/>
  <c r="K109" i="14"/>
  <c r="M157" i="19"/>
  <c r="N123" i="12"/>
  <c r="M198" i="20"/>
  <c r="O25" i="20"/>
  <c r="O43" i="20" s="1"/>
  <c r="P19" i="20"/>
  <c r="S21" i="48"/>
  <c r="R27" i="48"/>
  <c r="R42" i="48" s="1"/>
  <c r="H226" i="14"/>
  <c r="H232" i="14" s="1"/>
  <c r="H225" i="14" a="1"/>
  <c r="H225" i="14" s="1"/>
  <c r="H148" i="14"/>
  <c r="G187" i="29"/>
  <c r="J317" i="38"/>
  <c r="J320" i="38" s="1"/>
  <c r="J316" i="38"/>
  <c r="F72" i="16"/>
  <c r="E197" i="29"/>
  <c r="F73" i="16" s="1"/>
  <c r="P104" i="54"/>
  <c r="P105" i="54" s="1"/>
  <c r="P108" i="54"/>
  <c r="P109" i="54" s="1"/>
  <c r="P110" i="54"/>
  <c r="P111" i="54" s="1"/>
  <c r="P106" i="54"/>
  <c r="P107" i="54" s="1"/>
  <c r="AS71" i="51"/>
  <c r="O154" i="54"/>
  <c r="O156" i="54" s="1"/>
  <c r="P153" i="54"/>
  <c r="AN91" i="45"/>
  <c r="AN114" i="45" s="1"/>
  <c r="L201" i="20"/>
  <c r="L162" i="19" s="1"/>
  <c r="L200" i="20"/>
  <c r="L161" i="19" s="1"/>
  <c r="L199" i="20"/>
  <c r="L160" i="19" s="1"/>
  <c r="L159" i="19"/>
  <c r="M123" i="14" s="1"/>
  <c r="L203" i="20"/>
  <c r="L164" i="19" s="1"/>
  <c r="L202" i="20"/>
  <c r="M101" i="19"/>
  <c r="J84" i="19"/>
  <c r="K131" i="14" s="1"/>
  <c r="K127" i="14" s="1"/>
  <c r="K131" i="12"/>
  <c r="K218" i="54"/>
  <c r="K217" i="54"/>
  <c r="K221" i="54" s="1"/>
  <c r="J130" i="12"/>
  <c r="M135" i="14"/>
  <c r="G249" i="19"/>
  <c r="M182" i="20"/>
  <c r="M144" i="19" s="1"/>
  <c r="M184" i="20"/>
  <c r="M146" i="19" s="1"/>
  <c r="M181" i="20"/>
  <c r="M143" i="19" s="1"/>
  <c r="M180" i="20"/>
  <c r="M142" i="19" s="1"/>
  <c r="M183" i="20"/>
  <c r="M145" i="19" s="1"/>
  <c r="M141" i="19"/>
  <c r="N125" i="14" s="1"/>
  <c r="I142" i="12"/>
  <c r="I118" i="14"/>
  <c r="P44" i="42"/>
  <c r="P288" i="42" s="1"/>
  <c r="N66" i="16"/>
  <c r="L138" i="19"/>
  <c r="AL120" i="36"/>
  <c r="F122" i="36"/>
  <c r="F125" i="36"/>
  <c r="D310" i="20"/>
  <c r="E156" i="12" s="1"/>
  <c r="D308" i="20"/>
  <c r="J57" i="19"/>
  <c r="J52" i="19"/>
  <c r="J49" i="19" s="1"/>
  <c r="J177" i="19" s="1"/>
  <c r="P29" i="54"/>
  <c r="I76" i="51"/>
  <c r="M197" i="38"/>
  <c r="M201" i="38" s="1"/>
  <c r="M198" i="38"/>
  <c r="M202" i="38" s="1"/>
  <c r="M200" i="38"/>
  <c r="N101" i="36" s="1"/>
  <c r="AT101" i="36" s="1"/>
  <c r="M199" i="38"/>
  <c r="M203" i="38" s="1"/>
  <c r="AO76" i="45"/>
  <c r="I78" i="45"/>
  <c r="J134" i="29"/>
  <c r="J135" i="29" s="1"/>
  <c r="K101" i="29"/>
  <c r="R40" i="15"/>
  <c r="H118" i="45"/>
  <c r="H112" i="48"/>
  <c r="H117" i="48" s="1"/>
  <c r="H110" i="48"/>
  <c r="H115" i="48" s="1"/>
  <c r="H113" i="48"/>
  <c r="H118" i="48" s="1"/>
  <c r="H111" i="48"/>
  <c r="H116" i="48" s="1"/>
  <c r="H114" i="48"/>
  <c r="H274" i="48"/>
  <c r="M93" i="48"/>
  <c r="M98" i="48" s="1"/>
  <c r="M92" i="48"/>
  <c r="M97" i="48" s="1"/>
  <c r="M94" i="48"/>
  <c r="M91" i="48"/>
  <c r="M90" i="48"/>
  <c r="M95" i="48" s="1"/>
  <c r="K233" i="53"/>
  <c r="K236" i="53" s="1"/>
  <c r="K232" i="53"/>
  <c r="AS37" i="45"/>
  <c r="R24" i="46"/>
  <c r="S18" i="46"/>
  <c r="AR34" i="45"/>
  <c r="AS110" i="36"/>
  <c r="K139" i="12"/>
  <c r="N139" i="20"/>
  <c r="O94" i="12"/>
  <c r="K290" i="38"/>
  <c r="K291" i="38" s="1"/>
  <c r="K313" i="38"/>
  <c r="K314" i="38" s="1"/>
  <c r="O64" i="15"/>
  <c r="N75" i="29"/>
  <c r="O64" i="16" s="1"/>
  <c r="H224" i="19"/>
  <c r="G126" i="36"/>
  <c r="F343" i="38"/>
  <c r="G127" i="36" s="1"/>
  <c r="J80" i="19"/>
  <c r="K111" i="14" s="1"/>
  <c r="K111" i="12"/>
  <c r="Q26" i="42"/>
  <c r="Q41" i="42" s="1"/>
  <c r="R20" i="42"/>
  <c r="L103" i="36"/>
  <c r="L105" i="36"/>
  <c r="G337" i="42"/>
  <c r="G342" i="42"/>
  <c r="N70" i="51"/>
  <c r="AT66" i="51"/>
  <c r="O232" i="38"/>
  <c r="O234" i="38" s="1"/>
  <c r="P231" i="38"/>
  <c r="M35" i="48"/>
  <c r="AT95" i="45"/>
  <c r="AT42" i="45"/>
  <c r="AT44" i="45"/>
  <c r="AT43" i="45"/>
  <c r="N65" i="20"/>
  <c r="N64" i="20"/>
  <c r="O63" i="20"/>
  <c r="S13" i="15"/>
  <c r="AS102" i="36"/>
  <c r="AW63" i="51"/>
  <c r="AQ86" i="45"/>
  <c r="E122" i="45"/>
  <c r="K165" i="48"/>
  <c r="K170" i="48" s="1"/>
  <c r="K167" i="48"/>
  <c r="K172" i="48" s="1"/>
  <c r="K168" i="48"/>
  <c r="K173" i="48" s="1"/>
  <c r="K169" i="48"/>
  <c r="K166" i="48"/>
  <c r="K171" i="48" s="1"/>
  <c r="P332" i="38"/>
  <c r="L199" i="42"/>
  <c r="L203" i="42" s="1"/>
  <c r="L198" i="42"/>
  <c r="L202" i="42" s="1"/>
  <c r="L197" i="42"/>
  <c r="L201" i="42" s="1"/>
  <c r="L200" i="42"/>
  <c r="F308" i="48"/>
  <c r="F309" i="48" s="1"/>
  <c r="G275" i="48"/>
  <c r="BS9" i="55"/>
  <c r="N184" i="38"/>
  <c r="N188" i="38"/>
  <c r="N204" i="38"/>
  <c r="N196" i="38"/>
  <c r="F331" i="48"/>
  <c r="F343" i="48" s="1"/>
  <c r="F344" i="48" s="1"/>
  <c r="F332" i="48"/>
  <c r="I169" i="28"/>
  <c r="I173" i="28" s="1"/>
  <c r="I170" i="28"/>
  <c r="I68" i="19"/>
  <c r="J101" i="14" s="1"/>
  <c r="J101" i="12"/>
  <c r="R27" i="53"/>
  <c r="R42" i="53" s="1"/>
  <c r="S21" i="53"/>
  <c r="J71" i="19"/>
  <c r="K116" i="14" s="1"/>
  <c r="K116" i="12"/>
  <c r="N62" i="28"/>
  <c r="N56" i="29"/>
  <c r="O44" i="16" s="1"/>
  <c r="O44" i="15"/>
  <c r="O201" i="48"/>
  <c r="O138" i="48"/>
  <c r="P136" i="48"/>
  <c r="O200" i="48"/>
  <c r="O137" i="48"/>
  <c r="I113" i="46"/>
  <c r="I118" i="46" s="1"/>
  <c r="I111" i="46"/>
  <c r="I116" i="46" s="1"/>
  <c r="I114" i="46"/>
  <c r="J97" i="45" s="1"/>
  <c r="I110" i="46"/>
  <c r="I115" i="46" s="1"/>
  <c r="I112" i="46"/>
  <c r="I117" i="46" s="1"/>
  <c r="I109" i="48"/>
  <c r="I274" i="46"/>
  <c r="M184" i="42"/>
  <c r="M188" i="42"/>
  <c r="M196" i="42"/>
  <c r="M204" i="42"/>
  <c r="W6" i="15"/>
  <c r="V7" i="15"/>
  <c r="P107" i="28"/>
  <c r="O108" i="28"/>
  <c r="L246" i="38"/>
  <c r="L243" i="38"/>
  <c r="AT98" i="36"/>
  <c r="I141" i="14"/>
  <c r="E300" i="20"/>
  <c r="E301" i="20" s="1"/>
  <c r="M297" i="38"/>
  <c r="M298" i="38"/>
  <c r="N63" i="54"/>
  <c r="N159" i="54" s="1"/>
  <c r="N69" i="54"/>
  <c r="N70" i="54" s="1"/>
  <c r="H193" i="28"/>
  <c r="H115" i="45"/>
  <c r="O31" i="53"/>
  <c r="O194" i="53"/>
  <c r="J196" i="53"/>
  <c r="J197" i="53" s="1"/>
  <c r="K163" i="53"/>
  <c r="K105" i="14"/>
  <c r="N145" i="20"/>
  <c r="O126" i="12"/>
  <c r="J129" i="14"/>
  <c r="J306" i="38"/>
  <c r="J309" i="38"/>
  <c r="J311" i="38"/>
  <c r="J310" i="38"/>
  <c r="J307" i="38"/>
  <c r="J308" i="38"/>
  <c r="F71" i="16"/>
  <c r="G318" i="48"/>
  <c r="G319" i="48" s="1"/>
  <c r="G341" i="48"/>
  <c r="G342" i="48" s="1"/>
  <c r="N157" i="54"/>
  <c r="L85" i="45"/>
  <c r="K129" i="14"/>
  <c r="K237" i="54"/>
  <c r="K258" i="54" s="1"/>
  <c r="N201" i="46"/>
  <c r="N138" i="46"/>
  <c r="N137" i="46"/>
  <c r="N200" i="46"/>
  <c r="O136" i="46"/>
  <c r="Q28" i="54"/>
  <c r="Q43" i="54" s="1"/>
  <c r="R22" i="54"/>
  <c r="V23" i="16"/>
  <c r="V24" i="16"/>
  <c r="W22" i="16"/>
  <c r="J130" i="14"/>
  <c r="K72" i="45"/>
  <c r="V7" i="16"/>
  <c r="W6" i="16"/>
  <c r="P61" i="16"/>
  <c r="O84" i="29"/>
  <c r="L164" i="28"/>
  <c r="L162" i="28"/>
  <c r="L161" i="28"/>
  <c r="L163" i="28"/>
  <c r="J33" i="20"/>
  <c r="J34" i="20"/>
  <c r="AN9" i="55"/>
  <c r="K290" i="42"/>
  <c r="K291" i="42" s="1"/>
  <c r="K313" i="42"/>
  <c r="K314" i="42" s="1"/>
  <c r="I187" i="28"/>
  <c r="I189" i="28" s="1"/>
  <c r="I188" i="28"/>
  <c r="Q25" i="38"/>
  <c r="Q40" i="38" s="1"/>
  <c r="R19" i="38"/>
  <c r="AR68" i="45"/>
  <c r="K133" i="12"/>
  <c r="P29" i="42"/>
  <c r="Q28" i="28"/>
  <c r="Q46" i="28" s="1"/>
  <c r="R22" i="28"/>
  <c r="E345" i="48"/>
  <c r="Q25" i="46"/>
  <c r="Q40" i="46" s="1"/>
  <c r="R19" i="46"/>
  <c r="J58" i="19"/>
  <c r="J55" i="19"/>
  <c r="O205" i="54"/>
  <c r="O208" i="54"/>
  <c r="L157" i="29"/>
  <c r="L169" i="29" s="1"/>
  <c r="L158" i="29"/>
  <c r="N66" i="38"/>
  <c r="N85" i="38" s="1"/>
  <c r="N61" i="38"/>
  <c r="N64" i="38"/>
  <c r="N77" i="38" s="1"/>
  <c r="N62" i="38"/>
  <c r="N65" i="38"/>
  <c r="N93" i="38" s="1"/>
  <c r="N67" i="38"/>
  <c r="N101" i="38" s="1"/>
  <c r="O60" i="38"/>
  <c r="N56" i="45"/>
  <c r="N55" i="45"/>
  <c r="N33" i="45"/>
  <c r="I141" i="29"/>
  <c r="I136" i="29"/>
  <c r="I140" i="29"/>
  <c r="I139" i="29"/>
  <c r="I137" i="29"/>
  <c r="I138" i="29"/>
  <c r="I318" i="38"/>
  <c r="I319" i="38" s="1"/>
  <c r="I321" i="38" s="1"/>
  <c r="AT20" i="45"/>
  <c r="AT19" i="45"/>
  <c r="Q39" i="45"/>
  <c r="Q40" i="45"/>
  <c r="R38" i="45"/>
  <c r="AW38" i="45"/>
  <c r="O258" i="48"/>
  <c r="P257" i="48"/>
  <c r="I226" i="14"/>
  <c r="R40" i="16"/>
  <c r="R27" i="54"/>
  <c r="R42" i="54" s="1"/>
  <c r="S21" i="54"/>
  <c r="G213" i="19"/>
  <c r="G214" i="19" s="1"/>
  <c r="H180" i="19"/>
  <c r="Q121" i="16"/>
  <c r="Q42" i="16"/>
  <c r="K226" i="53"/>
  <c r="K224" i="53"/>
  <c r="K222" i="53"/>
  <c r="K225" i="53"/>
  <c r="K227" i="53"/>
  <c r="K223" i="53"/>
  <c r="M110" i="36"/>
  <c r="N211" i="53"/>
  <c r="N209" i="53"/>
  <c r="N210" i="53"/>
  <c r="N212" i="53"/>
  <c r="I34" i="19"/>
  <c r="I33" i="19"/>
  <c r="N71" i="29"/>
  <c r="O48" i="16" s="1"/>
  <c r="O48" i="15"/>
  <c r="I98" i="12"/>
  <c r="I153" i="12"/>
  <c r="M73" i="51"/>
  <c r="AV56" i="51"/>
  <c r="P58" i="51"/>
  <c r="M148" i="29"/>
  <c r="M147" i="29"/>
  <c r="M150" i="29"/>
  <c r="M149" i="29"/>
  <c r="AT64" i="51"/>
  <c r="G230" i="19"/>
  <c r="G231" i="19"/>
  <c r="M303" i="38"/>
  <c r="M315" i="38" s="1"/>
  <c r="M304" i="38"/>
  <c r="I318" i="42"/>
  <c r="I319" i="42" s="1"/>
  <c r="I321" i="42" s="1"/>
  <c r="AN100" i="45"/>
  <c r="AN113" i="45"/>
  <c r="AO90" i="45"/>
  <c r="I91" i="45"/>
  <c r="Q39" i="53"/>
  <c r="AP84" i="45"/>
  <c r="D330" i="48"/>
  <c r="D329" i="48"/>
  <c r="D333" i="48" s="1"/>
  <c r="N232" i="42"/>
  <c r="N234" i="42" s="1"/>
  <c r="O231" i="42"/>
  <c r="Q37" i="28"/>
  <c r="R125" i="15"/>
  <c r="R47" i="15"/>
  <c r="J108" i="14"/>
  <c r="I201" i="54"/>
  <c r="I203" i="54"/>
  <c r="I202" i="54"/>
  <c r="I200" i="54"/>
  <c r="I199" i="54"/>
  <c r="I198" i="54"/>
  <c r="M66" i="20"/>
  <c r="J234" i="54"/>
  <c r="J235" i="54" s="1"/>
  <c r="J237" i="54" s="1"/>
  <c r="J258" i="54" s="1"/>
  <c r="L152" i="42"/>
  <c r="L156" i="42" s="1"/>
  <c r="L153" i="42"/>
  <c r="L157" i="42" s="1"/>
  <c r="L151" i="42"/>
  <c r="L155" i="42" s="1"/>
  <c r="L154" i="42"/>
  <c r="N157" i="53"/>
  <c r="O66" i="51" s="1"/>
  <c r="P332" i="42"/>
  <c r="O66" i="46"/>
  <c r="O89" i="46" s="1"/>
  <c r="O64" i="46"/>
  <c r="O65" i="46"/>
  <c r="O61" i="46"/>
  <c r="O62" i="46"/>
  <c r="O67" i="46"/>
  <c r="P60" i="46"/>
  <c r="M67" i="20"/>
  <c r="M69" i="20"/>
  <c r="M68" i="20"/>
  <c r="M70" i="20"/>
  <c r="L143" i="42"/>
  <c r="L147" i="42" s="1"/>
  <c r="L144" i="42"/>
  <c r="L148" i="42" s="1"/>
  <c r="L146" i="42"/>
  <c r="L145" i="42"/>
  <c r="L149" i="42" s="1"/>
  <c r="AK126" i="36"/>
  <c r="D343" i="42"/>
  <c r="AK127" i="36" s="1"/>
  <c r="M143" i="38"/>
  <c r="M147" i="38" s="1"/>
  <c r="M145" i="38"/>
  <c r="M149" i="38" s="1"/>
  <c r="M146" i="38"/>
  <c r="N100" i="36" s="1"/>
  <c r="AT100" i="36" s="1"/>
  <c r="M144" i="38"/>
  <c r="M148" i="38" s="1"/>
  <c r="N93" i="46"/>
  <c r="N98" i="46" s="1"/>
  <c r="N89" i="48"/>
  <c r="N90" i="46"/>
  <c r="N95" i="46" s="1"/>
  <c r="N94" i="46"/>
  <c r="N92" i="46"/>
  <c r="N97" i="46" s="1"/>
  <c r="N91" i="46"/>
  <c r="K228" i="48"/>
  <c r="K233" i="48" s="1"/>
  <c r="K227" i="48"/>
  <c r="K232" i="48" s="1"/>
  <c r="K230" i="48"/>
  <c r="K235" i="48" s="1"/>
  <c r="K229" i="48"/>
  <c r="K234" i="48" s="1"/>
  <c r="K231" i="48"/>
  <c r="I221" i="19"/>
  <c r="I222" i="19"/>
  <c r="I273" i="19"/>
  <c r="I272" i="19"/>
  <c r="I225" i="19"/>
  <c r="AQ84" i="45"/>
  <c r="S17" i="15"/>
  <c r="K156" i="48"/>
  <c r="K161" i="48" s="1"/>
  <c r="K157" i="48"/>
  <c r="K162" i="48" s="1"/>
  <c r="K155" i="48"/>
  <c r="K160" i="48" s="1"/>
  <c r="K158" i="48"/>
  <c r="K163" i="48" s="1"/>
  <c r="K159" i="48"/>
  <c r="Q25" i="28"/>
  <c r="Q43" i="28" s="1"/>
  <c r="R19" i="28"/>
  <c r="I44" i="48"/>
  <c r="I316" i="48" s="1"/>
  <c r="F277" i="20"/>
  <c r="F276" i="20"/>
  <c r="F280" i="20" s="1"/>
  <c r="E315" i="48"/>
  <c r="E310" i="48"/>
  <c r="E311" i="48"/>
  <c r="E314" i="48"/>
  <c r="E312" i="48"/>
  <c r="E313" i="48"/>
  <c r="M135" i="16"/>
  <c r="N185" i="38"/>
  <c r="N186" i="38"/>
  <c r="F337" i="42"/>
  <c r="F342" i="42"/>
  <c r="I67" i="19"/>
  <c r="J100" i="14" s="1"/>
  <c r="J100" i="12"/>
  <c r="AO76" i="51"/>
  <c r="Q136" i="53"/>
  <c r="Q137" i="53" s="1"/>
  <c r="R63" i="51" s="1"/>
  <c r="Q138" i="53"/>
  <c r="Q139" i="53" s="1"/>
  <c r="R69" i="51" s="1"/>
  <c r="Q134" i="53"/>
  <c r="K119" i="12"/>
  <c r="J72" i="19"/>
  <c r="K119" i="14" s="1"/>
  <c r="N203" i="48"/>
  <c r="N204" i="48"/>
  <c r="J117" i="12"/>
  <c r="S11" i="16"/>
  <c r="L158" i="28"/>
  <c r="L159" i="28" s="1"/>
  <c r="L181" i="28"/>
  <c r="L182" i="28" s="1"/>
  <c r="I81" i="46"/>
  <c r="I86" i="46" s="1"/>
  <c r="I80" i="46"/>
  <c r="I85" i="46" s="1"/>
  <c r="I83" i="46"/>
  <c r="I88" i="46" s="1"/>
  <c r="I82" i="46"/>
  <c r="I87" i="46" s="1"/>
  <c r="I84" i="46"/>
  <c r="J90" i="45" s="1"/>
  <c r="I79" i="48"/>
  <c r="N33" i="28"/>
  <c r="N34" i="28"/>
  <c r="M186" i="42"/>
  <c r="M185" i="42"/>
  <c r="N82" i="29"/>
  <c r="O55" i="16" s="1"/>
  <c r="O55" i="15"/>
  <c r="K280" i="38"/>
  <c r="K281" i="38" s="1"/>
  <c r="L247" i="38"/>
  <c r="M25" i="45"/>
  <c r="M26" i="45"/>
  <c r="M24" i="45"/>
  <c r="M82" i="45"/>
  <c r="L34" i="46"/>
  <c r="L141" i="16"/>
  <c r="L142" i="16" s="1"/>
  <c r="L168" i="46"/>
  <c r="L173" i="46" s="1"/>
  <c r="L167" i="46"/>
  <c r="L172" i="46" s="1"/>
  <c r="L166" i="46"/>
  <c r="L171" i="46" s="1"/>
  <c r="L164" i="48"/>
  <c r="L165" i="46"/>
  <c r="L170" i="46" s="1"/>
  <c r="L169" i="46"/>
  <c r="M77" i="45" s="1"/>
  <c r="M104" i="42"/>
  <c r="M108" i="42" s="1"/>
  <c r="M103" i="42"/>
  <c r="M107" i="42" s="1"/>
  <c r="M102" i="42"/>
  <c r="M106" i="42" s="1"/>
  <c r="M105" i="42"/>
  <c r="K209" i="48"/>
  <c r="K214" i="48" s="1"/>
  <c r="K207" i="48"/>
  <c r="K212" i="48" s="1"/>
  <c r="K210" i="48"/>
  <c r="K215" i="48" s="1"/>
  <c r="K211" i="48"/>
  <c r="K208" i="48"/>
  <c r="K213" i="48" s="1"/>
  <c r="AM114" i="45"/>
  <c r="AM115" i="45" s="1"/>
  <c r="I320" i="42"/>
  <c r="P44" i="53"/>
  <c r="P204" i="53" s="1"/>
  <c r="I203" i="53"/>
  <c r="I200" i="53"/>
  <c r="I201" i="53"/>
  <c r="I202" i="53"/>
  <c r="I198" i="53"/>
  <c r="I199" i="53"/>
  <c r="L233" i="53"/>
  <c r="L234" i="53" s="1"/>
  <c r="L232" i="53"/>
  <c r="K105" i="12"/>
  <c r="L209" i="46"/>
  <c r="L214" i="46" s="1"/>
  <c r="L210" i="46"/>
  <c r="L215" i="46" s="1"/>
  <c r="L208" i="46"/>
  <c r="L213" i="46" s="1"/>
  <c r="L206" i="48"/>
  <c r="L211" i="46"/>
  <c r="M89" i="45" s="1"/>
  <c r="L207" i="46"/>
  <c r="L212" i="46" s="1"/>
  <c r="AU50" i="51"/>
  <c r="M134" i="16"/>
  <c r="M77" i="16"/>
  <c r="M133" i="16" a="1"/>
  <c r="M133" i="16" s="1"/>
  <c r="M68" i="16"/>
  <c r="P31" i="48"/>
  <c r="P306" i="48"/>
  <c r="L86" i="45"/>
  <c r="M99" i="19"/>
  <c r="K217" i="53"/>
  <c r="K221" i="53" s="1"/>
  <c r="K218" i="53"/>
  <c r="K128" i="12"/>
  <c r="J83" i="19"/>
  <c r="K128" i="14" s="1"/>
  <c r="G274" i="20"/>
  <c r="G275" i="20"/>
  <c r="M226" i="46"/>
  <c r="M202" i="46"/>
  <c r="M216" i="46"/>
  <c r="M206" i="46"/>
  <c r="U25" i="16"/>
  <c r="G331" i="46"/>
  <c r="G343" i="46" s="1"/>
  <c r="G344" i="46" s="1"/>
  <c r="G332" i="46"/>
  <c r="U8" i="16"/>
  <c r="Q61" i="15"/>
  <c r="P85" i="29"/>
  <c r="F334" i="48"/>
  <c r="F339" i="48"/>
  <c r="F336" i="48"/>
  <c r="F337" i="48"/>
  <c r="F335" i="48"/>
  <c r="F338" i="48"/>
  <c r="J54" i="19"/>
  <c r="J264" i="20"/>
  <c r="J315" i="20"/>
  <c r="J314" i="20"/>
  <c r="J263" i="20"/>
  <c r="J267" i="20"/>
  <c r="P44" i="38"/>
  <c r="P288" i="38" s="1"/>
  <c r="O306" i="48"/>
  <c r="O31" i="48"/>
  <c r="N76" i="53"/>
  <c r="O67" i="51"/>
  <c r="O71" i="51" s="1"/>
  <c r="I79" i="45"/>
  <c r="I81" i="45"/>
  <c r="AO81" i="45"/>
  <c r="I80" i="45"/>
  <c r="AO79" i="45"/>
  <c r="AO80" i="45"/>
  <c r="Q122" i="16"/>
  <c r="Q132" i="16" s="1"/>
  <c r="M86" i="38"/>
  <c r="M90" i="38" s="1"/>
  <c r="M88" i="38"/>
  <c r="M92" i="38" s="1"/>
  <c r="M89" i="38"/>
  <c r="M87" i="38"/>
  <c r="M91" i="38" s="1"/>
  <c r="O29" i="45"/>
  <c r="O28" i="45"/>
  <c r="O36" i="45"/>
  <c r="O32" i="45"/>
  <c r="O37" i="45"/>
  <c r="O31" i="45"/>
  <c r="AU27" i="45"/>
  <c r="O35" i="45"/>
  <c r="P27" i="45"/>
  <c r="O54" i="45"/>
  <c r="N30" i="45"/>
  <c r="AT107" i="36"/>
  <c r="AV40" i="45"/>
  <c r="AV39" i="45"/>
  <c r="Q138" i="54"/>
  <c r="Q139" i="54" s="1"/>
  <c r="Q136" i="54"/>
  <c r="Q137" i="54" s="1"/>
  <c r="Q134" i="54"/>
  <c r="Q135" i="54" s="1"/>
  <c r="M297" i="42"/>
  <c r="M298" i="42"/>
  <c r="L136" i="42"/>
  <c r="L140" i="42" s="1"/>
  <c r="L137" i="42"/>
  <c r="L141" i="42" s="1"/>
  <c r="L138" i="42"/>
  <c r="L135" i="42"/>
  <c r="L139" i="42" s="1"/>
  <c r="I270" i="20"/>
  <c r="I268" i="20"/>
  <c r="I269" i="20"/>
  <c r="I271" i="20"/>
  <c r="K171" i="28"/>
  <c r="K183" i="28" s="1"/>
  <c r="K184" i="28" s="1"/>
  <c r="K172" i="28"/>
  <c r="Q28" i="29"/>
  <c r="Q46" i="29" s="1"/>
  <c r="R22" i="29"/>
  <c r="E251" i="19"/>
  <c r="E252" i="19" s="1"/>
  <c r="E254" i="19" s="1"/>
  <c r="J220" i="20"/>
  <c r="Q17" i="45"/>
  <c r="Q18" i="45" s="1"/>
  <c r="R16" i="45"/>
  <c r="AW16" i="45"/>
  <c r="N133" i="20"/>
  <c r="N74" i="29"/>
  <c r="O45" i="16" s="1"/>
  <c r="O45" i="15"/>
  <c r="I98" i="14"/>
  <c r="I153" i="14"/>
  <c r="J249" i="53"/>
  <c r="J251" i="53"/>
  <c r="K75" i="51" s="1"/>
  <c r="L70" i="45"/>
  <c r="I227" i="14"/>
  <c r="M244" i="46"/>
  <c r="M249" i="46" s="1"/>
  <c r="M245" i="46"/>
  <c r="M250" i="46" s="1"/>
  <c r="M247" i="46"/>
  <c r="M252" i="46" s="1"/>
  <c r="M243" i="48"/>
  <c r="M248" i="46"/>
  <c r="N96" i="45" s="1"/>
  <c r="M246" i="46"/>
  <c r="M251" i="46" s="1"/>
  <c r="K280" i="42"/>
  <c r="K281" i="42" s="1"/>
  <c r="L247" i="42"/>
  <c r="L29" i="20"/>
  <c r="L42" i="20"/>
  <c r="K178" i="28"/>
  <c r="K175" i="28"/>
  <c r="K177" i="28"/>
  <c r="K174" i="28"/>
  <c r="K176" i="28"/>
  <c r="K179" i="28"/>
  <c r="P75" i="16"/>
  <c r="P76" i="16"/>
  <c r="M203" i="46"/>
  <c r="M204" i="46"/>
  <c r="AS91" i="36"/>
  <c r="AS93" i="36" s="1"/>
  <c r="AS96" i="36" s="1"/>
  <c r="M93" i="36"/>
  <c r="M96" i="36" s="1"/>
  <c r="AV17" i="45"/>
  <c r="AV18" i="45" s="1"/>
  <c r="Q26" i="29"/>
  <c r="Q44" i="29" s="1"/>
  <c r="R20" i="29"/>
  <c r="H151" i="14"/>
  <c r="O265" i="19"/>
  <c r="P307" i="20"/>
  <c r="M152" i="38"/>
  <c r="M156" i="38" s="1"/>
  <c r="M151" i="38"/>
  <c r="M155" i="38" s="1"/>
  <c r="M154" i="38"/>
  <c r="N79" i="36" s="1"/>
  <c r="M153" i="38"/>
  <c r="M157" i="38" s="1"/>
  <c r="R24" i="29"/>
  <c r="S18" i="29"/>
  <c r="O28" i="20"/>
  <c r="O46" i="20" s="1"/>
  <c r="P22" i="20"/>
  <c r="J229" i="12"/>
  <c r="K83" i="20"/>
  <c r="K75" i="19" s="1"/>
  <c r="K70" i="19"/>
  <c r="L114" i="14" s="1"/>
  <c r="K79" i="20"/>
  <c r="K80" i="20"/>
  <c r="L114" i="12"/>
  <c r="K82" i="20"/>
  <c r="K81" i="20"/>
  <c r="G69" i="15"/>
  <c r="F205" i="28"/>
  <c r="F210" i="28"/>
  <c r="AQ80" i="36"/>
  <c r="AQ83" i="36" s="1"/>
  <c r="AQ119" i="36" s="1"/>
  <c r="AQ115" i="36"/>
  <c r="AQ116" i="36" s="1"/>
  <c r="P66" i="29"/>
  <c r="P65" i="29"/>
  <c r="P64" i="29"/>
  <c r="P63" i="29"/>
  <c r="P62" i="29" s="1"/>
  <c r="P68" i="29"/>
  <c r="P67" i="29"/>
  <c r="N127" i="42"/>
  <c r="N128" i="42"/>
  <c r="O126" i="42"/>
  <c r="M24" i="20"/>
  <c r="N18" i="20"/>
  <c r="N131" i="38"/>
  <c r="N150" i="38" s="1"/>
  <c r="N132" i="38"/>
  <c r="N158" i="38" s="1"/>
  <c r="N130" i="38"/>
  <c r="N142" i="38" s="1"/>
  <c r="I65" i="19"/>
  <c r="J96" i="14" s="1"/>
  <c r="J96" i="12"/>
  <c r="Q26" i="46"/>
  <c r="Q41" i="46" s="1"/>
  <c r="R20" i="46"/>
  <c r="K144" i="29"/>
  <c r="K145" i="29" s="1"/>
  <c r="K167" i="29"/>
  <c r="K168" i="29" s="1"/>
  <c r="AN76" i="51"/>
  <c r="K146" i="14"/>
  <c r="K115" i="14"/>
  <c r="N140" i="48"/>
  <c r="N142" i="48"/>
  <c r="N141" i="48"/>
  <c r="J117" i="14"/>
  <c r="L88" i="29"/>
  <c r="L100" i="29"/>
  <c r="I101" i="46"/>
  <c r="I106" i="46" s="1"/>
  <c r="I100" i="46"/>
  <c r="I105" i="46" s="1"/>
  <c r="I103" i="46"/>
  <c r="I108" i="46" s="1"/>
  <c r="I102" i="46"/>
  <c r="I107" i="46" s="1"/>
  <c r="I104" i="46"/>
  <c r="J106" i="45" s="1"/>
  <c r="I99" i="48"/>
  <c r="D258" i="19"/>
  <c r="D259" i="19" s="1"/>
  <c r="U41" i="15"/>
  <c r="J142" i="12"/>
  <c r="J284" i="38"/>
  <c r="J283" i="38"/>
  <c r="J282" i="38"/>
  <c r="J286" i="38"/>
  <c r="J287" i="38"/>
  <c r="J285" i="38"/>
  <c r="M67" i="45"/>
  <c r="L155" i="46"/>
  <c r="L160" i="46" s="1"/>
  <c r="L156" i="46"/>
  <c r="L161" i="46" s="1"/>
  <c r="L157" i="46"/>
  <c r="L162" i="46" s="1"/>
  <c r="L154" i="48"/>
  <c r="L158" i="46"/>
  <c r="L163" i="46" s="1"/>
  <c r="L159" i="46"/>
  <c r="M98" i="45" s="1"/>
  <c r="M63" i="42"/>
  <c r="M69" i="42"/>
  <c r="AR89" i="45"/>
  <c r="T11" i="16"/>
  <c r="R27" i="28"/>
  <c r="S21" i="28"/>
  <c r="J33" i="48"/>
  <c r="J39" i="48" s="1"/>
  <c r="AQ75" i="45"/>
  <c r="L226" i="53"/>
  <c r="L224" i="53"/>
  <c r="L225" i="53"/>
  <c r="L227" i="53"/>
  <c r="L222" i="53"/>
  <c r="L223" i="53"/>
  <c r="K106" i="12"/>
  <c r="J77" i="19"/>
  <c r="K106" i="14" s="1"/>
  <c r="L215" i="54"/>
  <c r="L216" i="54"/>
  <c r="L227" i="46"/>
  <c r="L232" i="46" s="1"/>
  <c r="L229" i="46"/>
  <c r="L234" i="46" s="1"/>
  <c r="L228" i="46"/>
  <c r="L233" i="46" s="1"/>
  <c r="L231" i="46"/>
  <c r="M108" i="45" s="1"/>
  <c r="L230" i="46"/>
  <c r="L235" i="46" s="1"/>
  <c r="L226" i="48"/>
  <c r="AU68" i="51"/>
  <c r="O31" i="46"/>
  <c r="O306" i="46"/>
  <c r="Q125" i="15"/>
  <c r="P37" i="28"/>
  <c r="Q47" i="15"/>
  <c r="R24" i="53"/>
  <c r="S18" i="53"/>
  <c r="H317" i="48"/>
  <c r="H320" i="48"/>
  <c r="O205" i="53"/>
  <c r="O208" i="53"/>
  <c r="L84" i="45"/>
  <c r="L206" i="54"/>
  <c r="L207" i="54" s="1"/>
  <c r="L229" i="54"/>
  <c r="L230" i="54" s="1"/>
  <c r="AO106" i="45"/>
  <c r="I109" i="45"/>
  <c r="M157" i="28"/>
  <c r="M160" i="28"/>
  <c r="AS70" i="51"/>
  <c r="R20" i="54"/>
  <c r="Q26" i="54"/>
  <c r="Q41" i="54" s="1"/>
  <c r="Q147" i="54" s="1"/>
  <c r="Q148" i="54" s="1"/>
  <c r="M140" i="46"/>
  <c r="M154" i="46" s="1"/>
  <c r="M141" i="46"/>
  <c r="M164" i="46" s="1"/>
  <c r="M142" i="46"/>
  <c r="M174" i="46" s="1"/>
  <c r="AR73" i="51"/>
  <c r="AU41" i="45"/>
  <c r="H120" i="36"/>
  <c r="G337" i="38"/>
  <c r="G342" i="38"/>
  <c r="G338" i="46"/>
  <c r="G336" i="46"/>
  <c r="G335" i="46"/>
  <c r="G339" i="46"/>
  <c r="G337" i="46"/>
  <c r="G334" i="46"/>
  <c r="G72" i="16"/>
  <c r="F197" i="29"/>
  <c r="G73" i="16" s="1"/>
  <c r="N293" i="42"/>
  <c r="N294" i="42"/>
  <c r="N296" i="42"/>
  <c r="N295" i="42"/>
  <c r="M140" i="20"/>
  <c r="M116" i="19" s="1"/>
  <c r="M144" i="20"/>
  <c r="M120" i="19" s="1"/>
  <c r="M141" i="20"/>
  <c r="M117" i="19" s="1"/>
  <c r="M142" i="20"/>
  <c r="M118" i="19" s="1"/>
  <c r="M143" i="20"/>
  <c r="M119" i="19" s="1"/>
  <c r="M115" i="19"/>
  <c r="N94" i="14" s="1"/>
  <c r="I255" i="20"/>
  <c r="I256" i="20" s="1"/>
  <c r="J222" i="20"/>
  <c r="N35" i="46"/>
  <c r="O44" i="45"/>
  <c r="O95" i="45"/>
  <c r="O42" i="45"/>
  <c r="O43" i="45"/>
  <c r="I149" i="14"/>
  <c r="P29" i="28"/>
  <c r="J50" i="19"/>
  <c r="H272" i="20"/>
  <c r="H273" i="20"/>
  <c r="J108" i="12"/>
  <c r="P29" i="38"/>
  <c r="N63" i="53"/>
  <c r="N159" i="53" s="1"/>
  <c r="N69" i="53"/>
  <c r="N70" i="53" s="1"/>
  <c r="O49" i="51" s="1"/>
  <c r="H71" i="48"/>
  <c r="H76" i="48" s="1"/>
  <c r="H73" i="48"/>
  <c r="H78" i="48" s="1"/>
  <c r="H72" i="48"/>
  <c r="H77" i="48" s="1"/>
  <c r="H70" i="48"/>
  <c r="H75" i="48" s="1"/>
  <c r="H74" i="48"/>
  <c r="M104" i="38"/>
  <c r="M108" i="38" s="1"/>
  <c r="M105" i="38"/>
  <c r="N99" i="36" s="1"/>
  <c r="AT99" i="36" s="1"/>
  <c r="M102" i="38"/>
  <c r="M106" i="38" s="1"/>
  <c r="M103" i="38"/>
  <c r="M107" i="38" s="1"/>
  <c r="I225" i="12" a="1"/>
  <c r="I225" i="12" s="1"/>
  <c r="N143" i="29"/>
  <c r="N146" i="29"/>
  <c r="P41" i="45"/>
  <c r="M214" i="54"/>
  <c r="M213" i="54"/>
  <c r="L106" i="19"/>
  <c r="J99" i="46"/>
  <c r="J79" i="46"/>
  <c r="J69" i="46"/>
  <c r="J109" i="46"/>
  <c r="J44" i="46"/>
  <c r="J316" i="46" s="1"/>
  <c r="F218" i="19"/>
  <c r="F217" i="19"/>
  <c r="F216" i="19"/>
  <c r="F219" i="19"/>
  <c r="F220" i="19"/>
  <c r="F215" i="19"/>
  <c r="O31" i="28"/>
  <c r="O146" i="28"/>
  <c r="I102" i="45"/>
  <c r="AO103" i="45"/>
  <c r="AO101" i="45"/>
  <c r="I103" i="45"/>
  <c r="AO102" i="45"/>
  <c r="I101" i="45"/>
  <c r="J4" i="55"/>
  <c r="AS56" i="45"/>
  <c r="AS55" i="45"/>
  <c r="AS30" i="45"/>
  <c r="V23" i="15"/>
  <c r="V24" i="15"/>
  <c r="W22" i="15"/>
  <c r="J89" i="19"/>
  <c r="K140" i="14" s="1"/>
  <c r="K140" i="12"/>
  <c r="P18" i="45"/>
  <c r="L245" i="48"/>
  <c r="L250" i="48" s="1"/>
  <c r="L246" i="48"/>
  <c r="L251" i="48" s="1"/>
  <c r="L244" i="48"/>
  <c r="L249" i="48" s="1"/>
  <c r="L247" i="48"/>
  <c r="L252" i="48" s="1"/>
  <c r="L248" i="48"/>
  <c r="Q28" i="42"/>
  <c r="Q43" i="42" s="1"/>
  <c r="R22" i="42"/>
  <c r="AR103" i="36"/>
  <c r="AR105" i="36"/>
  <c r="H335" i="42"/>
  <c r="H333" i="42"/>
  <c r="K91" i="20" l="1"/>
  <c r="K94" i="20"/>
  <c r="K86" i="19" s="1"/>
  <c r="K82" i="19"/>
  <c r="L124" i="14" s="1"/>
  <c r="K95" i="20"/>
  <c r="K87" i="19" s="1"/>
  <c r="I232" i="12"/>
  <c r="P31" i="53"/>
  <c r="O33" i="29"/>
  <c r="AT110" i="36"/>
  <c r="R18" i="38"/>
  <c r="Q24" i="38"/>
  <c r="Q39" i="38" s="1"/>
  <c r="N110" i="36"/>
  <c r="N112" i="36" s="1"/>
  <c r="Q41" i="45"/>
  <c r="Q95" i="45" s="1"/>
  <c r="J176" i="19"/>
  <c r="Q24" i="42"/>
  <c r="Q39" i="42" s="1"/>
  <c r="Q44" i="42" s="1"/>
  <c r="Q288" i="42" s="1"/>
  <c r="R18" i="42"/>
  <c r="AR117" i="36"/>
  <c r="AR123" i="36" s="1"/>
  <c r="J266" i="20"/>
  <c r="O133" i="20"/>
  <c r="AS57" i="45"/>
  <c r="L37" i="48" s="1"/>
  <c r="Q43" i="48" s="1"/>
  <c r="AV41" i="45"/>
  <c r="AV42" i="45" s="1"/>
  <c r="G250" i="19"/>
  <c r="J187" i="28"/>
  <c r="J189" i="28" s="1"/>
  <c r="J188" i="28"/>
  <c r="G345" i="46"/>
  <c r="G346" i="46" s="1"/>
  <c r="G347" i="46" s="1"/>
  <c r="M140" i="16"/>
  <c r="D371" i="46"/>
  <c r="E126" i="45" s="1"/>
  <c r="K93" i="20"/>
  <c r="K85" i="19" s="1"/>
  <c r="L132" i="14" s="1"/>
  <c r="K99" i="20"/>
  <c r="K91" i="19" s="1"/>
  <c r="L144" i="14" s="1"/>
  <c r="N98" i="19"/>
  <c r="AT36" i="45"/>
  <c r="L136" i="12"/>
  <c r="K185" i="28"/>
  <c r="K188" i="28" s="1"/>
  <c r="O139" i="48"/>
  <c r="K88" i="19"/>
  <c r="L136" i="14" s="1"/>
  <c r="N162" i="54"/>
  <c r="N206" i="54" s="1"/>
  <c r="N207" i="54" s="1"/>
  <c r="L236" i="53"/>
  <c r="L241" i="53" s="1"/>
  <c r="L242" i="53" s="1"/>
  <c r="O63" i="46"/>
  <c r="N99" i="19"/>
  <c r="I148" i="14"/>
  <c r="N100" i="19"/>
  <c r="G203" i="28"/>
  <c r="H70" i="15" s="1"/>
  <c r="K220" i="20"/>
  <c r="AP4" i="55"/>
  <c r="N97" i="19"/>
  <c r="N101" i="19"/>
  <c r="I271" i="48"/>
  <c r="F345" i="48"/>
  <c r="F348" i="48" s="1"/>
  <c r="F353" i="48" s="1"/>
  <c r="Q29" i="48"/>
  <c r="Q306" i="48" s="1"/>
  <c r="L133" i="12"/>
  <c r="L129" i="12" s="1"/>
  <c r="I233" i="12"/>
  <c r="I234" i="12" s="1"/>
  <c r="N67" i="45"/>
  <c r="BR6" i="55"/>
  <c r="O63" i="48"/>
  <c r="J271" i="46"/>
  <c r="N102" i="36"/>
  <c r="J259" i="54"/>
  <c r="AQ78" i="51" s="1"/>
  <c r="AQ77" i="51"/>
  <c r="K259" i="54"/>
  <c r="AR78" i="51" s="1"/>
  <c r="AR77" i="51"/>
  <c r="H69" i="15"/>
  <c r="K193" i="28"/>
  <c r="K194" i="28" s="1"/>
  <c r="J325" i="38"/>
  <c r="J326" i="38" s="1"/>
  <c r="M215" i="54"/>
  <c r="M216" i="54"/>
  <c r="R26" i="54"/>
  <c r="R41" i="54" s="1"/>
  <c r="R147" i="54" s="1"/>
  <c r="R148" i="54" s="1"/>
  <c r="S20" i="54"/>
  <c r="J149" i="14"/>
  <c r="K74" i="19"/>
  <c r="L121" i="14" s="1"/>
  <c r="L121" i="12"/>
  <c r="AS98" i="45"/>
  <c r="J110" i="45"/>
  <c r="J111" i="45"/>
  <c r="J112" i="45"/>
  <c r="N24" i="20"/>
  <c r="O18" i="20"/>
  <c r="L115" i="12"/>
  <c r="AT96" i="45"/>
  <c r="I118" i="45"/>
  <c r="AX69" i="51"/>
  <c r="O203" i="48"/>
  <c r="O204" i="48"/>
  <c r="P154" i="53"/>
  <c r="P156" i="53" s="1"/>
  <c r="Q153" i="53"/>
  <c r="I281" i="20"/>
  <c r="I282" i="20"/>
  <c r="I286" i="20"/>
  <c r="I285" i="20"/>
  <c r="I283" i="20"/>
  <c r="I284" i="20"/>
  <c r="J65" i="19"/>
  <c r="K96" i="14" s="1"/>
  <c r="K96" i="12"/>
  <c r="Q108" i="54"/>
  <c r="Q109" i="54" s="1"/>
  <c r="Q104" i="54"/>
  <c r="Q105" i="54" s="1"/>
  <c r="Q110" i="54"/>
  <c r="Q111" i="54" s="1"/>
  <c r="Q106" i="54"/>
  <c r="Q107" i="54" s="1"/>
  <c r="S27" i="46"/>
  <c r="S42" i="46" s="1"/>
  <c r="T21" i="46"/>
  <c r="R40" i="29"/>
  <c r="S128" i="16"/>
  <c r="S60" i="16"/>
  <c r="K229" i="12"/>
  <c r="L33" i="46"/>
  <c r="L39" i="46" s="1"/>
  <c r="M75" i="45"/>
  <c r="H236" i="19"/>
  <c r="H248" i="19" s="1"/>
  <c r="H249" i="19" s="1"/>
  <c r="H237" i="19"/>
  <c r="O135" i="20"/>
  <c r="O111" i="19" s="1"/>
  <c r="O137" i="20"/>
  <c r="O113" i="19" s="1"/>
  <c r="O138" i="20"/>
  <c r="O114" i="19" s="1"/>
  <c r="O136" i="20"/>
  <c r="O112" i="19" s="1"/>
  <c r="O134" i="20"/>
  <c r="O110" i="19" s="1"/>
  <c r="O109" i="19"/>
  <c r="P126" i="14" s="1"/>
  <c r="R26" i="38"/>
  <c r="R41" i="38" s="1"/>
  <c r="S20" i="38"/>
  <c r="P241" i="48"/>
  <c r="Q240" i="48"/>
  <c r="P63" i="28"/>
  <c r="P61" i="28"/>
  <c r="P57" i="29" s="1"/>
  <c r="P60" i="28"/>
  <c r="P64" i="28"/>
  <c r="Q59" i="28"/>
  <c r="M136" i="42"/>
  <c r="M140" i="42" s="1"/>
  <c r="M135" i="42"/>
  <c r="M139" i="42" s="1"/>
  <c r="M138" i="42"/>
  <c r="M137" i="42"/>
  <c r="M141" i="42" s="1"/>
  <c r="J179" i="29"/>
  <c r="J180" i="29" s="1"/>
  <c r="M243" i="38"/>
  <c r="M246" i="38"/>
  <c r="K47" i="19"/>
  <c r="K60" i="19"/>
  <c r="K62" i="19"/>
  <c r="O168" i="20"/>
  <c r="O169" i="20"/>
  <c r="O170" i="20"/>
  <c r="O179" i="20" s="1"/>
  <c r="O171" i="20"/>
  <c r="O185" i="20" s="1"/>
  <c r="O167" i="20"/>
  <c r="O173" i="20" s="1"/>
  <c r="P166" i="20"/>
  <c r="N86" i="42"/>
  <c r="N90" i="42" s="1"/>
  <c r="N87" i="42"/>
  <c r="N91" i="42" s="1"/>
  <c r="N89" i="42"/>
  <c r="N88" i="42"/>
  <c r="N92" i="42" s="1"/>
  <c r="K231" i="14"/>
  <c r="W23" i="15"/>
  <c r="W24" i="15"/>
  <c r="X22" i="15"/>
  <c r="J83" i="46"/>
  <c r="J88" i="46" s="1"/>
  <c r="J81" i="46"/>
  <c r="J86" i="46" s="1"/>
  <c r="J82" i="46"/>
  <c r="J87" i="46" s="1"/>
  <c r="J80" i="46"/>
  <c r="J85" i="46" s="1"/>
  <c r="J79" i="48"/>
  <c r="J84" i="46"/>
  <c r="K90" i="45" s="1"/>
  <c r="N150" i="29"/>
  <c r="N148" i="29"/>
  <c r="N147" i="29"/>
  <c r="N149" i="29"/>
  <c r="O72" i="51"/>
  <c r="O51" i="51"/>
  <c r="AU49" i="51"/>
  <c r="L222" i="54"/>
  <c r="L225" i="54"/>
  <c r="L227" i="54"/>
  <c r="L224" i="54"/>
  <c r="L223" i="54"/>
  <c r="L226" i="54"/>
  <c r="K171" i="29"/>
  <c r="K174" i="29" s="1"/>
  <c r="K170" i="29"/>
  <c r="N160" i="38"/>
  <c r="N164" i="38" s="1"/>
  <c r="N162" i="38"/>
  <c r="O109" i="36" s="1"/>
  <c r="AU109" i="36" s="1"/>
  <c r="N159" i="38"/>
  <c r="N163" i="38" s="1"/>
  <c r="N161" i="38"/>
  <c r="N165" i="38" s="1"/>
  <c r="M29" i="20"/>
  <c r="M42" i="20"/>
  <c r="M96" i="20" s="1"/>
  <c r="AQ128" i="36"/>
  <c r="K72" i="19"/>
  <c r="L119" i="14" s="1"/>
  <c r="L119" i="12"/>
  <c r="R26" i="29"/>
  <c r="R44" i="29" s="1"/>
  <c r="S20" i="29"/>
  <c r="M244" i="48"/>
  <c r="M249" i="48" s="1"/>
  <c r="M247" i="48"/>
  <c r="M252" i="48" s="1"/>
  <c r="M246" i="48"/>
  <c r="M251" i="48" s="1"/>
  <c r="M245" i="48"/>
  <c r="M250" i="48" s="1"/>
  <c r="M248" i="48"/>
  <c r="K74" i="51"/>
  <c r="J253" i="53"/>
  <c r="N135" i="20"/>
  <c r="N111" i="19" s="1"/>
  <c r="N138" i="20"/>
  <c r="N114" i="19" s="1"/>
  <c r="N136" i="20"/>
  <c r="N112" i="19" s="1"/>
  <c r="N134" i="20"/>
  <c r="N110" i="19" s="1"/>
  <c r="N137" i="20"/>
  <c r="N113" i="19" s="1"/>
  <c r="N109" i="19"/>
  <c r="O126" i="14" s="1"/>
  <c r="I272" i="20"/>
  <c r="I273" i="20"/>
  <c r="P36" i="45"/>
  <c r="P37" i="45"/>
  <c r="P32" i="45"/>
  <c r="P35" i="45"/>
  <c r="AV27" i="45"/>
  <c r="P28" i="45"/>
  <c r="P31" i="45"/>
  <c r="P29" i="45"/>
  <c r="Q27" i="45"/>
  <c r="P54" i="45"/>
  <c r="I116" i="45"/>
  <c r="K4" i="55"/>
  <c r="G276" i="20"/>
  <c r="G280" i="20" s="1"/>
  <c r="G277" i="20"/>
  <c r="K287" i="38"/>
  <c r="K284" i="38"/>
  <c r="K282" i="38"/>
  <c r="K286" i="38"/>
  <c r="K285" i="38"/>
  <c r="K283" i="38"/>
  <c r="AP90" i="45"/>
  <c r="J91" i="45"/>
  <c r="J114" i="45" s="1"/>
  <c r="AX63" i="51"/>
  <c r="J153" i="12"/>
  <c r="J98" i="12"/>
  <c r="I151" i="12"/>
  <c r="H213" i="19"/>
  <c r="H214" i="19" s="1"/>
  <c r="I180" i="19"/>
  <c r="O61" i="38"/>
  <c r="O67" i="38"/>
  <c r="O101" i="38" s="1"/>
  <c r="O62" i="38"/>
  <c r="O64" i="38"/>
  <c r="O77" i="38" s="1"/>
  <c r="O65" i="38"/>
  <c r="O93" i="38" s="1"/>
  <c r="O66" i="38"/>
  <c r="O85" i="38" s="1"/>
  <c r="P60" i="38"/>
  <c r="K129" i="12"/>
  <c r="K317" i="42"/>
  <c r="K316" i="42"/>
  <c r="V25" i="16"/>
  <c r="N204" i="46"/>
  <c r="N203" i="46"/>
  <c r="K228" i="14"/>
  <c r="V41" i="15"/>
  <c r="M189" i="42"/>
  <c r="M193" i="42" s="1"/>
  <c r="M190" i="42"/>
  <c r="M194" i="42" s="1"/>
  <c r="M192" i="42"/>
  <c r="M191" i="42"/>
  <c r="M195" i="42" s="1"/>
  <c r="O67" i="15"/>
  <c r="O46" i="15"/>
  <c r="O65" i="20"/>
  <c r="O64" i="20"/>
  <c r="P63" i="20"/>
  <c r="AO78" i="45"/>
  <c r="AL122" i="36"/>
  <c r="AL125" i="36"/>
  <c r="P47" i="29"/>
  <c r="P142" i="29" s="1"/>
  <c r="U15" i="16"/>
  <c r="U19" i="16"/>
  <c r="U18" i="16"/>
  <c r="U16" i="16"/>
  <c r="V14" i="16"/>
  <c r="U32" i="16"/>
  <c r="U74" i="16" s="1"/>
  <c r="S27" i="29"/>
  <c r="T21" i="29"/>
  <c r="O129" i="38"/>
  <c r="O134" i="38"/>
  <c r="BR7" i="55"/>
  <c r="E121" i="45"/>
  <c r="E123" i="45"/>
  <c r="E124" i="45"/>
  <c r="L147" i="48"/>
  <c r="L152" i="48" s="1"/>
  <c r="L146" i="48"/>
  <c r="L151" i="48" s="1"/>
  <c r="L148" i="48"/>
  <c r="L153" i="48" s="1"/>
  <c r="L149" i="48"/>
  <c r="L145" i="48"/>
  <c r="L150" i="48" s="1"/>
  <c r="O157" i="53"/>
  <c r="P66" i="51" s="1"/>
  <c r="H325" i="46"/>
  <c r="H326" i="46"/>
  <c r="M158" i="28"/>
  <c r="M159" i="28" s="1"/>
  <c r="M181" i="28"/>
  <c r="M182" i="28" s="1"/>
  <c r="K141" i="12"/>
  <c r="N73" i="51"/>
  <c r="P208" i="54"/>
  <c r="K100" i="12"/>
  <c r="J67" i="19"/>
  <c r="K100" i="14" s="1"/>
  <c r="K130" i="12"/>
  <c r="O294" i="42"/>
  <c r="O293" i="42"/>
  <c r="O296" i="42"/>
  <c r="O295" i="42"/>
  <c r="O196" i="20"/>
  <c r="P195" i="20"/>
  <c r="P61" i="54"/>
  <c r="P66" i="54"/>
  <c r="P73" i="54" s="1"/>
  <c r="P74" i="54" s="1"/>
  <c r="P62" i="54"/>
  <c r="P64" i="54"/>
  <c r="P71" i="54" s="1"/>
  <c r="P72" i="54" s="1"/>
  <c r="P65" i="54"/>
  <c r="P75" i="54" s="1"/>
  <c r="P76" i="54" s="1"/>
  <c r="P67" i="54"/>
  <c r="P77" i="54" s="1"/>
  <c r="P78" i="54" s="1"/>
  <c r="Q60" i="54"/>
  <c r="K51" i="19"/>
  <c r="J318" i="42"/>
  <c r="J319" i="42" s="1"/>
  <c r="J321" i="42" s="1"/>
  <c r="N135" i="16"/>
  <c r="E353" i="46"/>
  <c r="E354" i="46" s="1"/>
  <c r="N139" i="15"/>
  <c r="AR59" i="45"/>
  <c r="AR58" i="45"/>
  <c r="K37" i="48"/>
  <c r="P43" i="48" s="1"/>
  <c r="AR60" i="45"/>
  <c r="AR104" i="45"/>
  <c r="R25" i="29"/>
  <c r="R43" i="29" s="1"/>
  <c r="S19" i="29"/>
  <c r="L133" i="14"/>
  <c r="AO100" i="45"/>
  <c r="AO113" i="45"/>
  <c r="AU64" i="51"/>
  <c r="O264" i="46"/>
  <c r="O269" i="46" s="1"/>
  <c r="O261" i="46"/>
  <c r="O266" i="46" s="1"/>
  <c r="O265" i="46"/>
  <c r="P105" i="45" s="1"/>
  <c r="O262" i="46"/>
  <c r="O267" i="46" s="1"/>
  <c r="O263" i="46"/>
  <c r="O268" i="46" s="1"/>
  <c r="O260" i="48"/>
  <c r="F363" i="46"/>
  <c r="G120" i="45" s="1"/>
  <c r="F361" i="46"/>
  <c r="R26" i="28"/>
  <c r="R44" i="28" s="1"/>
  <c r="S20" i="28"/>
  <c r="AM125" i="36"/>
  <c r="AM122" i="36"/>
  <c r="O56" i="29"/>
  <c r="P44" i="16" s="1"/>
  <c r="P44" i="15"/>
  <c r="O62" i="28"/>
  <c r="K118" i="14"/>
  <c r="L178" i="48"/>
  <c r="L183" i="48" s="1"/>
  <c r="L177" i="48"/>
  <c r="L182" i="48" s="1"/>
  <c r="L175" i="48"/>
  <c r="L180" i="48" s="1"/>
  <c r="L179" i="48"/>
  <c r="L176" i="48"/>
  <c r="L181" i="48" s="1"/>
  <c r="I69" i="16"/>
  <c r="H191" i="29"/>
  <c r="H196" i="29"/>
  <c r="Q44" i="38"/>
  <c r="Q288" i="38" s="1"/>
  <c r="K31" i="19"/>
  <c r="K211" i="19"/>
  <c r="N178" i="20"/>
  <c r="N140" i="19" s="1"/>
  <c r="N175" i="20"/>
  <c r="N137" i="19" s="1"/>
  <c r="N135" i="19"/>
  <c r="O113" i="14" s="1"/>
  <c r="O113" i="12"/>
  <c r="N174" i="20"/>
  <c r="N136" i="19" s="1"/>
  <c r="N177" i="20"/>
  <c r="N139" i="19" s="1"/>
  <c r="N176" i="20"/>
  <c r="M145" i="46"/>
  <c r="M150" i="46" s="1"/>
  <c r="M147" i="46"/>
  <c r="M152" i="46" s="1"/>
  <c r="M148" i="46"/>
  <c r="M153" i="46" s="1"/>
  <c r="M146" i="46"/>
  <c r="M151" i="46" s="1"/>
  <c r="M144" i="48"/>
  <c r="M149" i="46"/>
  <c r="N83" i="45" s="1"/>
  <c r="R28" i="46"/>
  <c r="S22" i="46"/>
  <c r="K59" i="19"/>
  <c r="K176" i="19" s="1"/>
  <c r="M173" i="19"/>
  <c r="Q50" i="51"/>
  <c r="Q68" i="51"/>
  <c r="N103" i="42"/>
  <c r="N107" i="42" s="1"/>
  <c r="N104" i="42"/>
  <c r="N108" i="42" s="1"/>
  <c r="N105" i="42"/>
  <c r="N102" i="42"/>
  <c r="N106" i="42" s="1"/>
  <c r="F300" i="20"/>
  <c r="F301" i="20" s="1"/>
  <c r="K61" i="19"/>
  <c r="M243" i="42"/>
  <c r="M246" i="42"/>
  <c r="N145" i="38"/>
  <c r="N149" i="38" s="1"/>
  <c r="N146" i="38"/>
  <c r="O100" i="36" s="1"/>
  <c r="AU100" i="36" s="1"/>
  <c r="N144" i="38"/>
  <c r="N148" i="38" s="1"/>
  <c r="N143" i="38"/>
  <c r="N147" i="38" s="1"/>
  <c r="O55" i="45"/>
  <c r="O56" i="45"/>
  <c r="P292" i="38"/>
  <c r="S39" i="16"/>
  <c r="S13" i="16"/>
  <c r="R40" i="45"/>
  <c r="R39" i="45"/>
  <c r="AX38" i="45"/>
  <c r="S38" i="45"/>
  <c r="AP97" i="45"/>
  <c r="J100" i="45"/>
  <c r="J113" i="45"/>
  <c r="G253" i="19"/>
  <c r="S27" i="38"/>
  <c r="S42" i="38" s="1"/>
  <c r="T21" i="38"/>
  <c r="J80" i="45"/>
  <c r="J81" i="45"/>
  <c r="J79" i="45"/>
  <c r="AP81" i="45"/>
  <c r="AP80" i="45"/>
  <c r="AP79" i="45"/>
  <c r="O185" i="38"/>
  <c r="O186" i="38"/>
  <c r="N220" i="42"/>
  <c r="N224" i="42" s="1"/>
  <c r="N221" i="42"/>
  <c r="N225" i="42" s="1"/>
  <c r="N223" i="42"/>
  <c r="N222" i="42"/>
  <c r="N226" i="42" s="1"/>
  <c r="R128" i="15"/>
  <c r="Q40" i="28"/>
  <c r="R60" i="15"/>
  <c r="AV54" i="51"/>
  <c r="L128" i="12"/>
  <c r="K83" i="19"/>
  <c r="L128" i="14" s="1"/>
  <c r="G311" i="46"/>
  <c r="G315" i="46"/>
  <c r="G314" i="46"/>
  <c r="G310" i="46"/>
  <c r="G313" i="46"/>
  <c r="G312" i="46"/>
  <c r="S22" i="38"/>
  <c r="R28" i="38"/>
  <c r="R43" i="38" s="1"/>
  <c r="K118" i="12"/>
  <c r="I150" i="14"/>
  <c r="AU107" i="36"/>
  <c r="O63" i="53"/>
  <c r="O159" i="53" s="1"/>
  <c r="O69" i="53"/>
  <c r="O70" i="53" s="1"/>
  <c r="P49" i="51" s="1"/>
  <c r="N135" i="14"/>
  <c r="O222" i="38"/>
  <c r="O226" i="38" s="1"/>
  <c r="O220" i="38"/>
  <c r="O224" i="38" s="1"/>
  <c r="O221" i="38"/>
  <c r="O225" i="38" s="1"/>
  <c r="O223" i="38"/>
  <c r="P98" i="36" s="1"/>
  <c r="K89" i="19"/>
  <c r="L140" i="14" s="1"/>
  <c r="L140" i="12"/>
  <c r="N139" i="16"/>
  <c r="L302" i="38"/>
  <c r="L301" i="38"/>
  <c r="L305" i="38" s="1"/>
  <c r="O207" i="28"/>
  <c r="O208" i="28"/>
  <c r="O156" i="28"/>
  <c r="O143" i="29"/>
  <c r="O146" i="29"/>
  <c r="AT51" i="51"/>
  <c r="AT72" i="51"/>
  <c r="J227" i="14"/>
  <c r="V25" i="15"/>
  <c r="J102" i="46"/>
  <c r="J107" i="46" s="1"/>
  <c r="J100" i="46"/>
  <c r="J105" i="46" s="1"/>
  <c r="J99" i="48"/>
  <c r="J103" i="46"/>
  <c r="J108" i="46" s="1"/>
  <c r="J101" i="46"/>
  <c r="J106" i="46" s="1"/>
  <c r="J104" i="46"/>
  <c r="K106" i="45" s="1"/>
  <c r="P146" i="28"/>
  <c r="P31" i="28"/>
  <c r="M175" i="46"/>
  <c r="M180" i="46" s="1"/>
  <c r="M178" i="46"/>
  <c r="M183" i="46" s="1"/>
  <c r="M174" i="48"/>
  <c r="M177" i="46"/>
  <c r="M182" i="46" s="1"/>
  <c r="M176" i="46"/>
  <c r="M181" i="46" s="1"/>
  <c r="M179" i="46"/>
  <c r="N107" i="45" s="1"/>
  <c r="M162" i="28"/>
  <c r="M161" i="28"/>
  <c r="M164" i="28"/>
  <c r="M163" i="28"/>
  <c r="S24" i="53"/>
  <c r="T18" i="53"/>
  <c r="L157" i="48"/>
  <c r="L162" i="48" s="1"/>
  <c r="L158" i="48"/>
  <c r="L163" i="48" s="1"/>
  <c r="L156" i="48"/>
  <c r="L161" i="48" s="1"/>
  <c r="L159" i="48"/>
  <c r="L155" i="48"/>
  <c r="L160" i="48" s="1"/>
  <c r="D268" i="19"/>
  <c r="E156" i="14" s="1"/>
  <c r="D266" i="19"/>
  <c r="L144" i="29"/>
  <c r="L145" i="29" s="1"/>
  <c r="L167" i="29"/>
  <c r="L168" i="29" s="1"/>
  <c r="K164" i="29"/>
  <c r="K165" i="29"/>
  <c r="K161" i="29"/>
  <c r="K163" i="29"/>
  <c r="K162" i="29"/>
  <c r="K160" i="29"/>
  <c r="N153" i="38"/>
  <c r="N157" i="38" s="1"/>
  <c r="N151" i="38"/>
  <c r="N155" i="38" s="1"/>
  <c r="N152" i="38"/>
  <c r="N156" i="38" s="1"/>
  <c r="N154" i="38"/>
  <c r="O79" i="36" s="1"/>
  <c r="O128" i="42"/>
  <c r="O127" i="42"/>
  <c r="P126" i="42"/>
  <c r="L116" i="12"/>
  <c r="K71" i="19"/>
  <c r="L116" i="14" s="1"/>
  <c r="AW17" i="45"/>
  <c r="R28" i="29"/>
  <c r="R46" i="29" s="1"/>
  <c r="S22" i="29"/>
  <c r="O30" i="45"/>
  <c r="AU67" i="51"/>
  <c r="AU71" i="51" s="1"/>
  <c r="K228" i="12"/>
  <c r="O59" i="15"/>
  <c r="J98" i="14"/>
  <c r="J153" i="14"/>
  <c r="L96" i="20"/>
  <c r="I229" i="19"/>
  <c r="I226" i="19"/>
  <c r="I227" i="19"/>
  <c r="I228" i="19"/>
  <c r="L128" i="36"/>
  <c r="O93" i="46"/>
  <c r="O98" i="46" s="1"/>
  <c r="O89" i="48"/>
  <c r="O92" i="46"/>
  <c r="O97" i="46" s="1"/>
  <c r="O91" i="46"/>
  <c r="O94" i="46"/>
  <c r="O90" i="46"/>
  <c r="O95" i="46" s="1"/>
  <c r="N213" i="53"/>
  <c r="N214" i="53"/>
  <c r="G218" i="19"/>
  <c r="G216" i="19"/>
  <c r="G217" i="19"/>
  <c r="G219" i="19"/>
  <c r="G220" i="19"/>
  <c r="G215" i="19"/>
  <c r="N102" i="38"/>
  <c r="N106" i="38" s="1"/>
  <c r="N103" i="38"/>
  <c r="N107" i="38" s="1"/>
  <c r="N104" i="38"/>
  <c r="N108" i="38" s="1"/>
  <c r="N105" i="38"/>
  <c r="O99" i="36" s="1"/>
  <c r="AU99" i="36" s="1"/>
  <c r="O212" i="54"/>
  <c r="O209" i="54"/>
  <c r="O210" i="54"/>
  <c r="O211" i="54"/>
  <c r="E348" i="48"/>
  <c r="K308" i="42"/>
  <c r="K311" i="42"/>
  <c r="K307" i="42"/>
  <c r="K310" i="42"/>
  <c r="K306" i="42"/>
  <c r="K309" i="42"/>
  <c r="L171" i="28"/>
  <c r="L183" i="28" s="1"/>
  <c r="L184" i="28" s="1"/>
  <c r="L172" i="28"/>
  <c r="E310" i="20"/>
  <c r="F156" i="12" s="1"/>
  <c r="E308" i="20"/>
  <c r="W7" i="15"/>
  <c r="W8" i="15" s="1"/>
  <c r="X6" i="15"/>
  <c r="O67" i="16"/>
  <c r="O46" i="16"/>
  <c r="S27" i="53"/>
  <c r="S42" i="53" s="1"/>
  <c r="T21" i="53"/>
  <c r="N200" i="38"/>
  <c r="O101" i="36" s="1"/>
  <c r="AU101" i="36" s="1"/>
  <c r="N197" i="38"/>
  <c r="N201" i="38" s="1"/>
  <c r="N199" i="38"/>
  <c r="N203" i="38" s="1"/>
  <c r="N198" i="38"/>
  <c r="N202" i="38" s="1"/>
  <c r="L84" i="20"/>
  <c r="Q332" i="38"/>
  <c r="N66" i="20"/>
  <c r="AN126" i="36"/>
  <c r="G343" i="42"/>
  <c r="AN127" i="36" s="1"/>
  <c r="R26" i="42"/>
  <c r="R41" i="42" s="1"/>
  <c r="S20" i="42"/>
  <c r="K231" i="12"/>
  <c r="AT73" i="51"/>
  <c r="I114" i="45"/>
  <c r="P194" i="54"/>
  <c r="P205" i="54" s="1"/>
  <c r="P31" i="54"/>
  <c r="P292" i="42"/>
  <c r="P25" i="20"/>
  <c r="P43" i="20" s="1"/>
  <c r="Q19" i="20"/>
  <c r="K33" i="20"/>
  <c r="K34" i="20"/>
  <c r="O183" i="42"/>
  <c r="O182" i="42"/>
  <c r="P181" i="42"/>
  <c r="T17" i="15"/>
  <c r="AS83" i="45"/>
  <c r="M100" i="29"/>
  <c r="M88" i="29"/>
  <c r="K141" i="14"/>
  <c r="R121" i="16"/>
  <c r="R42" i="16"/>
  <c r="Q44" i="54"/>
  <c r="Q204" i="54" s="1"/>
  <c r="D159" i="12"/>
  <c r="AT33" i="45"/>
  <c r="N93" i="36"/>
  <c r="N96" i="36" s="1"/>
  <c r="AT91" i="36"/>
  <c r="AT93" i="36" s="1"/>
  <c r="AT96" i="36" s="1"/>
  <c r="O123" i="12"/>
  <c r="N157" i="19"/>
  <c r="N198" i="20"/>
  <c r="K77" i="20"/>
  <c r="K76" i="20"/>
  <c r="K74" i="20"/>
  <c r="K66" i="19" s="1"/>
  <c r="K73" i="20"/>
  <c r="K64" i="19"/>
  <c r="L93" i="14" s="1"/>
  <c r="K75" i="20"/>
  <c r="I324" i="46"/>
  <c r="I321" i="46"/>
  <c r="I322" i="46"/>
  <c r="I323" i="46"/>
  <c r="J320" i="42"/>
  <c r="AW56" i="51"/>
  <c r="M24" i="19"/>
  <c r="N18" i="19"/>
  <c r="Q76" i="15"/>
  <c r="Q75" i="15"/>
  <c r="N134" i="15"/>
  <c r="N133" i="15" a="1"/>
  <c r="N133" i="15" s="1"/>
  <c r="N68" i="15"/>
  <c r="N77" i="15" s="1"/>
  <c r="F349" i="46"/>
  <c r="S24" i="54"/>
  <c r="T18" i="54"/>
  <c r="Q29" i="28"/>
  <c r="O23" i="45"/>
  <c r="H290" i="20"/>
  <c r="H291" i="20" s="1"/>
  <c r="H292" i="20"/>
  <c r="H293" i="20" s="1"/>
  <c r="P258" i="46"/>
  <c r="P260" i="46" s="1"/>
  <c r="Q257" i="46"/>
  <c r="P27" i="20"/>
  <c r="P45" i="20" s="1"/>
  <c r="Q21" i="20"/>
  <c r="Q80" i="29"/>
  <c r="Q79" i="29" s="1"/>
  <c r="O59" i="29"/>
  <c r="P62" i="16" s="1"/>
  <c r="P62" i="15"/>
  <c r="I231" i="14"/>
  <c r="I232" i="14" s="1"/>
  <c r="L148" i="28"/>
  <c r="L149" i="28" s="1"/>
  <c r="M214" i="28"/>
  <c r="K196" i="54"/>
  <c r="K197" i="54" s="1"/>
  <c r="L163" i="54"/>
  <c r="J172" i="29"/>
  <c r="J173" i="29" s="1"/>
  <c r="J175" i="29" s="1"/>
  <c r="AS68" i="45"/>
  <c r="Q29" i="38"/>
  <c r="P306" i="46"/>
  <c r="P31" i="46"/>
  <c r="P66" i="53"/>
  <c r="P73" i="53" s="1"/>
  <c r="P74" i="53" s="1"/>
  <c r="P61" i="53"/>
  <c r="P64" i="53"/>
  <c r="P71" i="53" s="1"/>
  <c r="P72" i="53" s="1"/>
  <c r="Q57" i="51" s="1"/>
  <c r="P67" i="53"/>
  <c r="P77" i="53" s="1"/>
  <c r="P78" i="53" s="1"/>
  <c r="Q61" i="51" s="1"/>
  <c r="P62" i="53"/>
  <c r="P65" i="53"/>
  <c r="P75" i="53" s="1"/>
  <c r="Q60" i="53"/>
  <c r="N188" i="20"/>
  <c r="N150" i="19" s="1"/>
  <c r="N189" i="20"/>
  <c r="N151" i="19" s="1"/>
  <c r="N190" i="20"/>
  <c r="N152" i="19" s="1"/>
  <c r="N187" i="20"/>
  <c r="N149" i="19" s="1"/>
  <c r="O137" i="12"/>
  <c r="N147" i="19"/>
  <c r="O137" i="14" s="1"/>
  <c r="N186" i="20"/>
  <c r="N148" i="19" s="1"/>
  <c r="Q54" i="51"/>
  <c r="AW53" i="51"/>
  <c r="M206" i="54"/>
  <c r="M207" i="54" s="1"/>
  <c r="M229" i="54"/>
  <c r="M230" i="54" s="1"/>
  <c r="N95" i="42"/>
  <c r="N99" i="42" s="1"/>
  <c r="N96" i="42"/>
  <c r="N100" i="42" s="1"/>
  <c r="N97" i="42"/>
  <c r="N94" i="42"/>
  <c r="N98" i="42" s="1"/>
  <c r="S21" i="16"/>
  <c r="N157" i="28"/>
  <c r="N160" i="28"/>
  <c r="R25" i="48"/>
  <c r="R40" i="48" s="1"/>
  <c r="S19" i="48"/>
  <c r="T38" i="29"/>
  <c r="U124" i="16"/>
  <c r="U54" i="16"/>
  <c r="AS77" i="45"/>
  <c r="M84" i="45"/>
  <c r="O59" i="16"/>
  <c r="AM126" i="36"/>
  <c r="F343" i="42"/>
  <c r="AM127" i="36" s="1"/>
  <c r="I317" i="48"/>
  <c r="I320" i="48"/>
  <c r="Q332" i="42"/>
  <c r="Q44" i="53"/>
  <c r="Q204" i="53" s="1"/>
  <c r="M151" i="29"/>
  <c r="M152" i="29"/>
  <c r="O49" i="15"/>
  <c r="M111" i="36"/>
  <c r="M113" i="36"/>
  <c r="M112" i="36"/>
  <c r="N68" i="45"/>
  <c r="N94" i="38"/>
  <c r="N98" i="38" s="1"/>
  <c r="N97" i="38"/>
  <c r="O108" i="36" s="1"/>
  <c r="AU108" i="36" s="1"/>
  <c r="N95" i="38"/>
  <c r="N99" i="38" s="1"/>
  <c r="N96" i="38"/>
  <c r="N100" i="38" s="1"/>
  <c r="S22" i="54"/>
  <c r="R28" i="54"/>
  <c r="R43" i="54" s="1"/>
  <c r="V8" i="15"/>
  <c r="N58" i="29"/>
  <c r="N213" i="28"/>
  <c r="N114" i="28"/>
  <c r="R138" i="53"/>
  <c r="R139" i="53" s="1"/>
  <c r="S69" i="51" s="1"/>
  <c r="R136" i="53"/>
  <c r="R137" i="53" s="1"/>
  <c r="S63" i="51" s="1"/>
  <c r="R134" i="53"/>
  <c r="N207" i="38"/>
  <c r="N211" i="38" s="1"/>
  <c r="N206" i="38"/>
  <c r="N210" i="38" s="1"/>
  <c r="N208" i="38"/>
  <c r="N205" i="38"/>
  <c r="N209" i="38" s="1"/>
  <c r="N70" i="20"/>
  <c r="N69" i="20"/>
  <c r="N68" i="20"/>
  <c r="N67" i="20"/>
  <c r="K134" i="29"/>
  <c r="K135" i="29" s="1"/>
  <c r="L101" i="29"/>
  <c r="J318" i="38"/>
  <c r="J319" i="38" s="1"/>
  <c r="J321" i="38" s="1"/>
  <c r="H233" i="14"/>
  <c r="H234" i="14" s="1"/>
  <c r="P126" i="12"/>
  <c r="O145" i="20"/>
  <c r="K44" i="46"/>
  <c r="K316" i="46" s="1"/>
  <c r="K79" i="46"/>
  <c r="K69" i="46"/>
  <c r="K109" i="46"/>
  <c r="K99" i="46"/>
  <c r="N184" i="42"/>
  <c r="N188" i="42"/>
  <c r="N204" i="42"/>
  <c r="N196" i="42"/>
  <c r="T20" i="16"/>
  <c r="K117" i="12"/>
  <c r="J152" i="14"/>
  <c r="Q110" i="53"/>
  <c r="Q111" i="53" s="1"/>
  <c r="Q106" i="53"/>
  <c r="Q107" i="53" s="1"/>
  <c r="R62" i="51" s="1"/>
  <c r="Q104" i="53"/>
  <c r="Q105" i="53" s="1"/>
  <c r="R53" i="51" s="1"/>
  <c r="Q108" i="53"/>
  <c r="Q109" i="53" s="1"/>
  <c r="I189" i="29"/>
  <c r="J70" i="16" s="1"/>
  <c r="I187" i="29"/>
  <c r="K167" i="28"/>
  <c r="K168" i="28"/>
  <c r="Q29" i="54"/>
  <c r="D161" i="12"/>
  <c r="D119" i="45"/>
  <c r="C365" i="46"/>
  <c r="C370" i="46"/>
  <c r="D10" i="55"/>
  <c r="AT35" i="45"/>
  <c r="J68" i="19"/>
  <c r="K101" i="14" s="1"/>
  <c r="K101" i="12"/>
  <c r="R128" i="16"/>
  <c r="Q40" i="29"/>
  <c r="R60" i="16"/>
  <c r="J33" i="19"/>
  <c r="J34" i="19"/>
  <c r="K58" i="19"/>
  <c r="K55" i="19"/>
  <c r="L29" i="19"/>
  <c r="L42" i="19"/>
  <c r="L61" i="19" s="1"/>
  <c r="Q131" i="15"/>
  <c r="Q129" i="15"/>
  <c r="P83" i="28"/>
  <c r="P70" i="29" s="1"/>
  <c r="P85" i="28"/>
  <c r="P72" i="29" s="1"/>
  <c r="P88" i="28"/>
  <c r="P84" i="28"/>
  <c r="P87" i="28"/>
  <c r="P86" i="28"/>
  <c r="Q82" i="28"/>
  <c r="F330" i="46"/>
  <c r="F329" i="46"/>
  <c r="F333" i="46" s="1"/>
  <c r="R39" i="54"/>
  <c r="K226" i="12"/>
  <c r="K225" i="12" a="1"/>
  <c r="K225" i="12" s="1"/>
  <c r="K148" i="12"/>
  <c r="P125" i="12"/>
  <c r="G294" i="20"/>
  <c r="G296" i="20" s="1"/>
  <c r="G295" i="20"/>
  <c r="K108" i="12"/>
  <c r="AV68" i="51"/>
  <c r="N213" i="54"/>
  <c r="N214" i="54"/>
  <c r="O60" i="29"/>
  <c r="P56" i="16" s="1"/>
  <c r="P56" i="15"/>
  <c r="S35" i="15"/>
  <c r="K153" i="28"/>
  <c r="K154" i="28"/>
  <c r="K152" i="28"/>
  <c r="K150" i="28"/>
  <c r="K155" i="28"/>
  <c r="K151" i="28"/>
  <c r="J198" i="54"/>
  <c r="J200" i="54"/>
  <c r="J203" i="54"/>
  <c r="J202" i="54"/>
  <c r="J199" i="54"/>
  <c r="J201" i="54"/>
  <c r="AO9" i="55"/>
  <c r="R28" i="53"/>
  <c r="R43" i="53" s="1"/>
  <c r="S22" i="53"/>
  <c r="AV61" i="51"/>
  <c r="P64" i="51"/>
  <c r="J231" i="14"/>
  <c r="R121" i="15"/>
  <c r="R42" i="15"/>
  <c r="N82" i="45"/>
  <c r="N24" i="45"/>
  <c r="N25" i="45"/>
  <c r="M34" i="46"/>
  <c r="N26" i="45"/>
  <c r="N181" i="20"/>
  <c r="N143" i="19" s="1"/>
  <c r="N180" i="20"/>
  <c r="N142" i="19" s="1"/>
  <c r="N182" i="20"/>
  <c r="N144" i="19" s="1"/>
  <c r="N183" i="20"/>
  <c r="N145" i="19" s="1"/>
  <c r="N184" i="20"/>
  <c r="N146" i="19" s="1"/>
  <c r="N141" i="19"/>
  <c r="O125" i="14" s="1"/>
  <c r="AW62" i="51"/>
  <c r="I249" i="53"/>
  <c r="N80" i="42"/>
  <c r="N84" i="42" s="1"/>
  <c r="N78" i="42"/>
  <c r="N82" i="42" s="1"/>
  <c r="N81" i="42"/>
  <c r="N79" i="42"/>
  <c r="N83" i="42" s="1"/>
  <c r="AJ119" i="45"/>
  <c r="C365" i="48"/>
  <c r="AJ10" i="55"/>
  <c r="C370" i="48"/>
  <c r="J251" i="54"/>
  <c r="AQ75" i="51" s="1"/>
  <c r="J249" i="54"/>
  <c r="I253" i="54"/>
  <c r="R28" i="42"/>
  <c r="R43" i="42" s="1"/>
  <c r="S22" i="42"/>
  <c r="J113" i="46"/>
  <c r="J118" i="46" s="1"/>
  <c r="J110" i="46"/>
  <c r="J115" i="46" s="1"/>
  <c r="J112" i="46"/>
  <c r="J117" i="46" s="1"/>
  <c r="J111" i="46"/>
  <c r="J116" i="46" s="1"/>
  <c r="J109" i="48"/>
  <c r="J114" i="46"/>
  <c r="K97" i="45" s="1"/>
  <c r="J274" i="46"/>
  <c r="H323" i="48"/>
  <c r="H321" i="48"/>
  <c r="H324" i="48"/>
  <c r="H322" i="48"/>
  <c r="T21" i="28"/>
  <c r="S27" i="28"/>
  <c r="L233" i="54"/>
  <c r="L236" i="54" s="1"/>
  <c r="L232" i="54"/>
  <c r="AT79" i="36"/>
  <c r="AT114" i="36" s="1"/>
  <c r="N114" i="36"/>
  <c r="U9" i="16"/>
  <c r="U10" i="16" s="1"/>
  <c r="P278" i="42"/>
  <c r="P31" i="42"/>
  <c r="N105" i="36"/>
  <c r="N103" i="36"/>
  <c r="F312" i="48"/>
  <c r="F314" i="48"/>
  <c r="F313" i="48"/>
  <c r="F310" i="48"/>
  <c r="F315" i="48"/>
  <c r="F311" i="48"/>
  <c r="J193" i="28"/>
  <c r="AS73" i="51"/>
  <c r="M105" i="36"/>
  <c r="M103" i="36"/>
  <c r="N131" i="20"/>
  <c r="N107" i="19" s="1"/>
  <c r="N129" i="20"/>
  <c r="N105" i="19" s="1"/>
  <c r="N132" i="20"/>
  <c r="N108" i="19" s="1"/>
  <c r="N103" i="19"/>
  <c r="O103" i="14" s="1"/>
  <c r="N130" i="20"/>
  <c r="O103" i="12"/>
  <c r="N128" i="20"/>
  <c r="N104" i="19" s="1"/>
  <c r="M167" i="46"/>
  <c r="M172" i="46" s="1"/>
  <c r="M166" i="46"/>
  <c r="M171" i="46" s="1"/>
  <c r="M168" i="46"/>
  <c r="M173" i="46" s="1"/>
  <c r="M164" i="48"/>
  <c r="M169" i="46"/>
  <c r="N77" i="45" s="1"/>
  <c r="M165" i="46"/>
  <c r="M170" i="46" s="1"/>
  <c r="R39" i="53"/>
  <c r="L218" i="54"/>
  <c r="L217" i="54"/>
  <c r="L221" i="54" s="1"/>
  <c r="AV20" i="45"/>
  <c r="AV19" i="45"/>
  <c r="L221" i="20"/>
  <c r="L47" i="20"/>
  <c r="L218" i="20" s="1"/>
  <c r="L52" i="19"/>
  <c r="L49" i="19" s="1"/>
  <c r="L177" i="19" s="1"/>
  <c r="M93" i="12"/>
  <c r="L72" i="20"/>
  <c r="AV69" i="45"/>
  <c r="Q19" i="45"/>
  <c r="Q20" i="45"/>
  <c r="N111" i="36"/>
  <c r="O33" i="45"/>
  <c r="M206" i="48"/>
  <c r="M210" i="46"/>
  <c r="M215" i="46" s="1"/>
  <c r="M209" i="46"/>
  <c r="M214" i="46" s="1"/>
  <c r="M208" i="46"/>
  <c r="M213" i="46" s="1"/>
  <c r="M211" i="46"/>
  <c r="N89" i="45" s="1"/>
  <c r="M207" i="46"/>
  <c r="M212" i="46" s="1"/>
  <c r="M85" i="45"/>
  <c r="J94" i="45"/>
  <c r="AP93" i="45"/>
  <c r="J93" i="45"/>
  <c r="AP94" i="45"/>
  <c r="S21" i="15"/>
  <c r="P61" i="46"/>
  <c r="P64" i="46"/>
  <c r="P67" i="46"/>
  <c r="P62" i="46"/>
  <c r="P65" i="46"/>
  <c r="P66" i="46"/>
  <c r="P89" i="46" s="1"/>
  <c r="Q60" i="46"/>
  <c r="Q29" i="53"/>
  <c r="M157" i="29"/>
  <c r="M169" i="29" s="1"/>
  <c r="M158" i="29"/>
  <c r="O49" i="16"/>
  <c r="Q75" i="16"/>
  <c r="Q76" i="16"/>
  <c r="S27" i="54"/>
  <c r="S42" i="54" s="1"/>
  <c r="T21" i="54"/>
  <c r="Q257" i="48"/>
  <c r="P258" i="48"/>
  <c r="R25" i="38"/>
  <c r="R40" i="38" s="1"/>
  <c r="S19" i="38"/>
  <c r="M300" i="38"/>
  <c r="M299" i="38"/>
  <c r="L290" i="38"/>
  <c r="L291" i="38" s="1"/>
  <c r="L313" i="38"/>
  <c r="L314" i="38" s="1"/>
  <c r="I318" i="46"/>
  <c r="I319" i="46" s="1"/>
  <c r="I341" i="46"/>
  <c r="I342" i="46" s="1"/>
  <c r="J9" i="55"/>
  <c r="J97" i="12"/>
  <c r="J154" i="12"/>
  <c r="N191" i="38"/>
  <c r="N195" i="38" s="1"/>
  <c r="N189" i="38"/>
  <c r="N193" i="38" s="1"/>
  <c r="N192" i="38"/>
  <c r="O91" i="36" s="1"/>
  <c r="N190" i="38"/>
  <c r="N194" i="38" s="1"/>
  <c r="AU58" i="51"/>
  <c r="K316" i="38"/>
  <c r="K317" i="38"/>
  <c r="K320" i="38" s="1"/>
  <c r="AS113" i="36"/>
  <c r="AS112" i="36"/>
  <c r="AS111" i="36"/>
  <c r="K241" i="53"/>
  <c r="K242" i="53" s="1"/>
  <c r="H318" i="48"/>
  <c r="H319" i="48" s="1"/>
  <c r="H341" i="48"/>
  <c r="H342" i="48" s="1"/>
  <c r="R122" i="15"/>
  <c r="R132" i="15" s="1"/>
  <c r="J136" i="29"/>
  <c r="J138" i="29"/>
  <c r="J140" i="29"/>
  <c r="J141" i="29"/>
  <c r="J139" i="29"/>
  <c r="J137" i="29"/>
  <c r="L163" i="19"/>
  <c r="H69" i="16"/>
  <c r="G191" i="29"/>
  <c r="G196" i="29"/>
  <c r="M199" i="20"/>
  <c r="M160" i="19" s="1"/>
  <c r="M201" i="20"/>
  <c r="M162" i="19" s="1"/>
  <c r="M200" i="20"/>
  <c r="M161" i="19" s="1"/>
  <c r="M203" i="20"/>
  <c r="M164" i="19" s="1"/>
  <c r="M202" i="20"/>
  <c r="M159" i="19"/>
  <c r="N123" i="14" s="1"/>
  <c r="N185" i="42"/>
  <c r="N186" i="42"/>
  <c r="L302" i="42"/>
  <c r="L301" i="42"/>
  <c r="L305" i="42" s="1"/>
  <c r="T17" i="16"/>
  <c r="K117" i="14"/>
  <c r="H331" i="46"/>
  <c r="H343" i="46" s="1"/>
  <c r="H344" i="46" s="1"/>
  <c r="H332" i="46"/>
  <c r="R25" i="53"/>
  <c r="R40" i="53" s="1"/>
  <c r="S19" i="53"/>
  <c r="L78" i="20"/>
  <c r="K186" i="28"/>
  <c r="K187" i="28" s="1"/>
  <c r="AT55" i="45"/>
  <c r="AT56" i="45"/>
  <c r="K95" i="14"/>
  <c r="K147" i="14"/>
  <c r="O26" i="19"/>
  <c r="O44" i="19" s="1"/>
  <c r="P20" i="19"/>
  <c r="L147" i="12"/>
  <c r="L95" i="12"/>
  <c r="K54" i="19"/>
  <c r="O65" i="15"/>
  <c r="I150" i="12"/>
  <c r="AR115" i="36"/>
  <c r="AR116" i="36" s="1"/>
  <c r="AR80" i="36"/>
  <c r="AR83" i="36" s="1"/>
  <c r="AR119" i="36" s="1"/>
  <c r="J179" i="19"/>
  <c r="J225" i="14" a="1"/>
  <c r="J225" i="14" s="1"/>
  <c r="J226" i="14"/>
  <c r="J148" i="14"/>
  <c r="O75" i="29"/>
  <c r="P64" i="16" s="1"/>
  <c r="P64" i="15"/>
  <c r="K142" i="12"/>
  <c r="AS67" i="45"/>
  <c r="AS23" i="45"/>
  <c r="O27" i="19"/>
  <c r="O45" i="19" s="1"/>
  <c r="O133" i="19" s="1"/>
  <c r="P21" i="19"/>
  <c r="K108" i="14"/>
  <c r="M141" i="15"/>
  <c r="M142" i="15" s="1"/>
  <c r="AV50" i="51"/>
  <c r="AP112" i="45"/>
  <c r="P26" i="20"/>
  <c r="P44" i="20" s="1"/>
  <c r="Q20" i="20"/>
  <c r="K89" i="20"/>
  <c r="K87" i="20"/>
  <c r="K76" i="19"/>
  <c r="L104" i="14" s="1"/>
  <c r="K88" i="20"/>
  <c r="L104" i="12"/>
  <c r="L146" i="12" s="1"/>
  <c r="K85" i="20"/>
  <c r="K86" i="20"/>
  <c r="K78" i="19" s="1"/>
  <c r="F234" i="19"/>
  <c r="F238" i="19" s="1"/>
  <c r="F235" i="19"/>
  <c r="R28" i="48"/>
  <c r="S22" i="48"/>
  <c r="R123" i="15"/>
  <c r="Q36" i="28"/>
  <c r="Q42" i="28" s="1"/>
  <c r="R43" i="15"/>
  <c r="N63" i="42"/>
  <c r="N69" i="42"/>
  <c r="AP111" i="45"/>
  <c r="AJ122" i="45"/>
  <c r="L217" i="53"/>
  <c r="L221" i="53" s="1"/>
  <c r="L218" i="53"/>
  <c r="I223" i="19"/>
  <c r="I246" i="19"/>
  <c r="I247" i="19" s="1"/>
  <c r="AP76" i="51"/>
  <c r="U10" i="15"/>
  <c r="AS60" i="45"/>
  <c r="AS59" i="45"/>
  <c r="O35" i="46"/>
  <c r="P43" i="45"/>
  <c r="P44" i="45"/>
  <c r="P42" i="45"/>
  <c r="P95" i="45"/>
  <c r="Q61" i="16"/>
  <c r="P84" i="29"/>
  <c r="P205" i="53"/>
  <c r="P208" i="53"/>
  <c r="L280" i="38"/>
  <c r="L281" i="38" s="1"/>
  <c r="M247" i="38"/>
  <c r="AN115" i="45"/>
  <c r="N140" i="46"/>
  <c r="N154" i="46" s="1"/>
  <c r="N142" i="46"/>
  <c r="N174" i="46" s="1"/>
  <c r="N141" i="46"/>
  <c r="N164" i="46" s="1"/>
  <c r="Q107" i="28"/>
  <c r="P108" i="28"/>
  <c r="U16" i="15"/>
  <c r="U19" i="15"/>
  <c r="U18" i="15"/>
  <c r="U15" i="15"/>
  <c r="V14" i="15"/>
  <c r="U32" i="15"/>
  <c r="U74" i="15" s="1"/>
  <c r="K130" i="14"/>
  <c r="H337" i="42"/>
  <c r="H342" i="42"/>
  <c r="P31" i="38"/>
  <c r="P278" i="38"/>
  <c r="J255" i="20"/>
  <c r="J256" i="20" s="1"/>
  <c r="K222" i="20"/>
  <c r="H126" i="36"/>
  <c r="G343" i="38"/>
  <c r="H127" i="36" s="1"/>
  <c r="G72" i="15"/>
  <c r="F211" i="28"/>
  <c r="G73" i="15" s="1"/>
  <c r="R17" i="45"/>
  <c r="R18" i="45" s="1"/>
  <c r="AX16" i="45"/>
  <c r="S16" i="45"/>
  <c r="K227" i="14"/>
  <c r="M155" i="46"/>
  <c r="M160" i="46" s="1"/>
  <c r="M158" i="46"/>
  <c r="M163" i="46" s="1"/>
  <c r="M156" i="46"/>
  <c r="M161" i="46" s="1"/>
  <c r="M157" i="46"/>
  <c r="M162" i="46" s="1"/>
  <c r="M154" i="48"/>
  <c r="M159" i="46"/>
  <c r="N98" i="45" s="1"/>
  <c r="O211" i="53"/>
  <c r="O212" i="53"/>
  <c r="O210" i="53"/>
  <c r="O209" i="53"/>
  <c r="L229" i="48"/>
  <c r="L234" i="48" s="1"/>
  <c r="L227" i="48"/>
  <c r="L232" i="48" s="1"/>
  <c r="L230" i="48"/>
  <c r="L235" i="48" s="1"/>
  <c r="L231" i="48"/>
  <c r="L228" i="48"/>
  <c r="L233" i="48" s="1"/>
  <c r="K229" i="14"/>
  <c r="N129" i="42"/>
  <c r="N134" i="42"/>
  <c r="L31" i="20"/>
  <c r="BY4" i="55"/>
  <c r="L253" i="20"/>
  <c r="I258" i="20"/>
  <c r="I261" i="20"/>
  <c r="I260" i="20"/>
  <c r="I262" i="20"/>
  <c r="I257" i="20"/>
  <c r="I259" i="20"/>
  <c r="N298" i="42"/>
  <c r="N297" i="42"/>
  <c r="AN120" i="36"/>
  <c r="H122" i="36"/>
  <c r="H125" i="36"/>
  <c r="J44" i="48"/>
  <c r="J316" i="48" s="1"/>
  <c r="T13" i="16"/>
  <c r="AP106" i="45"/>
  <c r="J109" i="45"/>
  <c r="L90" i="20"/>
  <c r="G71" i="15"/>
  <c r="S24" i="29"/>
  <c r="T18" i="29"/>
  <c r="L280" i="42"/>
  <c r="L281" i="42" s="1"/>
  <c r="M247" i="42"/>
  <c r="O66" i="15"/>
  <c r="AT111" i="36"/>
  <c r="AT112" i="36"/>
  <c r="AT113" i="36"/>
  <c r="AO116" i="45"/>
  <c r="J268" i="20"/>
  <c r="J271" i="20"/>
  <c r="J269" i="20"/>
  <c r="J270" i="20"/>
  <c r="M219" i="46"/>
  <c r="M224" i="46" s="1"/>
  <c r="M217" i="46"/>
  <c r="M222" i="46" s="1"/>
  <c r="M218" i="46"/>
  <c r="M223" i="46" s="1"/>
  <c r="M220" i="46"/>
  <c r="M225" i="46" s="1"/>
  <c r="M216" i="48"/>
  <c r="M221" i="46"/>
  <c r="N99" i="45" s="1"/>
  <c r="M141" i="16"/>
  <c r="M142" i="16" s="1"/>
  <c r="AS89" i="45"/>
  <c r="I325" i="42"/>
  <c r="I326" i="42" s="1"/>
  <c r="L165" i="48"/>
  <c r="L170" i="48" s="1"/>
  <c r="L168" i="48"/>
  <c r="L173" i="48" s="1"/>
  <c r="L167" i="48"/>
  <c r="L172" i="48" s="1"/>
  <c r="L166" i="48"/>
  <c r="L171" i="48" s="1"/>
  <c r="L169" i="48"/>
  <c r="M87" i="45"/>
  <c r="R25" i="28"/>
  <c r="R43" i="28" s="1"/>
  <c r="S19" i="28"/>
  <c r="N162" i="53"/>
  <c r="O232" i="42"/>
  <c r="O234" i="42" s="1"/>
  <c r="P231" i="42"/>
  <c r="Q29" i="46"/>
  <c r="R138" i="54"/>
  <c r="R139" i="54" s="1"/>
  <c r="R136" i="54"/>
  <c r="R137" i="54" s="1"/>
  <c r="R134" i="54"/>
  <c r="R135" i="54" s="1"/>
  <c r="AT21" i="45"/>
  <c r="N57" i="45"/>
  <c r="N81" i="38"/>
  <c r="O92" i="36" s="1"/>
  <c r="AU92" i="36" s="1"/>
  <c r="N80" i="38"/>
  <c r="N84" i="38" s="1"/>
  <c r="N79" i="38"/>
  <c r="N83" i="38" s="1"/>
  <c r="N78" i="38"/>
  <c r="N82" i="38" s="1"/>
  <c r="W7" i="16"/>
  <c r="W8" i="16" s="1"/>
  <c r="X6" i="16"/>
  <c r="O201" i="46"/>
  <c r="O137" i="46"/>
  <c r="O138" i="46"/>
  <c r="O200" i="46"/>
  <c r="P136" i="46"/>
  <c r="K196" i="53"/>
  <c r="K197" i="53" s="1"/>
  <c r="L163" i="53"/>
  <c r="I112" i="48"/>
  <c r="I117" i="48" s="1"/>
  <c r="I111" i="48"/>
  <c r="I116" i="48" s="1"/>
  <c r="I110" i="48"/>
  <c r="I115" i="48" s="1"/>
  <c r="I113" i="48"/>
  <c r="I118" i="48" s="1"/>
  <c r="I114" i="48"/>
  <c r="I274" i="48"/>
  <c r="O202" i="48"/>
  <c r="J154" i="14"/>
  <c r="J97" i="14"/>
  <c r="AS105" i="36"/>
  <c r="AS103" i="36"/>
  <c r="P232" i="38"/>
  <c r="P234" i="38" s="1"/>
  <c r="Q231" i="38"/>
  <c r="H239" i="19"/>
  <c r="H241" i="19"/>
  <c r="H243" i="19"/>
  <c r="H242" i="19"/>
  <c r="H244" i="19"/>
  <c r="H240" i="19"/>
  <c r="K306" i="38"/>
  <c r="K309" i="38"/>
  <c r="K310" i="38"/>
  <c r="K308" i="38"/>
  <c r="K311" i="38"/>
  <c r="K307" i="38"/>
  <c r="K33" i="48"/>
  <c r="K39" i="48" s="1"/>
  <c r="AR75" i="45"/>
  <c r="E10" i="55"/>
  <c r="E155" i="12"/>
  <c r="D312" i="20"/>
  <c r="D317" i="20"/>
  <c r="AP76" i="45"/>
  <c r="J78" i="45"/>
  <c r="S19" i="42"/>
  <c r="R25" i="42"/>
  <c r="R40" i="42" s="1"/>
  <c r="P127" i="38"/>
  <c r="P183" i="38"/>
  <c r="P128" i="38"/>
  <c r="P182" i="38"/>
  <c r="Q126" i="38"/>
  <c r="L60" i="19"/>
  <c r="O296" i="38"/>
  <c r="O293" i="38"/>
  <c r="O294" i="38"/>
  <c r="O295" i="38"/>
  <c r="R26" i="48"/>
  <c r="R41" i="48" s="1"/>
  <c r="S20" i="48"/>
  <c r="K99" i="12"/>
  <c r="J69" i="19"/>
  <c r="K99" i="14" s="1"/>
  <c r="D353" i="48"/>
  <c r="D354" i="48" s="1"/>
  <c r="L73" i="45"/>
  <c r="K57" i="19"/>
  <c r="L4" i="55"/>
  <c r="K263" i="20"/>
  <c r="K315" i="20"/>
  <c r="K264" i="20"/>
  <c r="K314" i="20"/>
  <c r="K267" i="20"/>
  <c r="O28" i="19"/>
  <c r="O46" i="19" s="1"/>
  <c r="O167" i="19" s="1"/>
  <c r="O166" i="19" s="1"/>
  <c r="P22" i="19"/>
  <c r="O65" i="16"/>
  <c r="H230" i="19"/>
  <c r="H231" i="19"/>
  <c r="K155" i="29"/>
  <c r="K159" i="29" s="1"/>
  <c r="K156" i="29"/>
  <c r="AS99" i="45"/>
  <c r="P58" i="15"/>
  <c r="O73" i="29"/>
  <c r="P58" i="16" s="1"/>
  <c r="P121" i="20"/>
  <c r="P125" i="20"/>
  <c r="P122" i="20"/>
  <c r="P120" i="20"/>
  <c r="P124" i="20"/>
  <c r="P123" i="20"/>
  <c r="Q119" i="20"/>
  <c r="K142" i="14"/>
  <c r="R123" i="16"/>
  <c r="Q36" i="29"/>
  <c r="Q42" i="29" s="1"/>
  <c r="R43" i="16"/>
  <c r="N86" i="36"/>
  <c r="N89" i="36" s="1"/>
  <c r="AT85" i="36"/>
  <c r="AT86" i="36" s="1"/>
  <c r="AT89" i="36" s="1"/>
  <c r="Q360" i="48"/>
  <c r="AR82" i="45"/>
  <c r="AR26" i="45"/>
  <c r="K34" i="48"/>
  <c r="AR24" i="45"/>
  <c r="AR25" i="45"/>
  <c r="O155" i="19"/>
  <c r="O154" i="19" s="1"/>
  <c r="N134" i="16"/>
  <c r="N77" i="16"/>
  <c r="N133" i="16" a="1"/>
  <c r="N133" i="16" s="1"/>
  <c r="N68" i="16"/>
  <c r="P31" i="29"/>
  <c r="P132" i="29"/>
  <c r="H337" i="46"/>
  <c r="H336" i="46"/>
  <c r="H334" i="46"/>
  <c r="H338" i="46"/>
  <c r="H339" i="46"/>
  <c r="H335" i="46"/>
  <c r="O76" i="53"/>
  <c r="P67" i="51"/>
  <c r="P71" i="51" s="1"/>
  <c r="G327" i="46"/>
  <c r="G328" i="46"/>
  <c r="P47" i="28"/>
  <c r="P53" i="29"/>
  <c r="P54" i="29"/>
  <c r="P51" i="29"/>
  <c r="P50" i="29"/>
  <c r="P52" i="29"/>
  <c r="P49" i="29" s="1"/>
  <c r="P89" i="29" s="1"/>
  <c r="K92" i="19"/>
  <c r="L145" i="14" s="1"/>
  <c r="L145" i="12"/>
  <c r="O193" i="29"/>
  <c r="O194" i="29"/>
  <c r="J232" i="12"/>
  <c r="J169" i="28"/>
  <c r="J173" i="28" s="1"/>
  <c r="J170" i="28"/>
  <c r="M152" i="42"/>
  <c r="M156" i="42" s="1"/>
  <c r="M153" i="42"/>
  <c r="M157" i="42" s="1"/>
  <c r="M154" i="42"/>
  <c r="M151" i="42"/>
  <c r="M155" i="42" s="1"/>
  <c r="P240" i="46"/>
  <c r="O241" i="46"/>
  <c r="O243" i="46" s="1"/>
  <c r="O34" i="28"/>
  <c r="O33" i="28"/>
  <c r="J73" i="46"/>
  <c r="J78" i="46" s="1"/>
  <c r="J70" i="46"/>
  <c r="J75" i="46" s="1"/>
  <c r="J69" i="48"/>
  <c r="J72" i="46"/>
  <c r="J77" i="46" s="1"/>
  <c r="J71" i="46"/>
  <c r="J76" i="46" s="1"/>
  <c r="J74" i="46"/>
  <c r="K76" i="45" s="1"/>
  <c r="P28" i="20"/>
  <c r="P46" i="20" s="1"/>
  <c r="Q22" i="20"/>
  <c r="I82" i="48"/>
  <c r="I87" i="48" s="1"/>
  <c r="I81" i="48"/>
  <c r="I86" i="48" s="1"/>
  <c r="I84" i="48"/>
  <c r="I83" i="48"/>
  <c r="I88" i="48" s="1"/>
  <c r="I80" i="48"/>
  <c r="I85" i="48" s="1"/>
  <c r="V41" i="16"/>
  <c r="M198" i="42"/>
  <c r="M202" i="42" s="1"/>
  <c r="M199" i="42"/>
  <c r="M203" i="42" s="1"/>
  <c r="M200" i="42"/>
  <c r="M197" i="42"/>
  <c r="M201" i="42" s="1"/>
  <c r="S27" i="48"/>
  <c r="S42" i="48" s="1"/>
  <c r="T21" i="48"/>
  <c r="AX60" i="51"/>
  <c r="R26" i="46"/>
  <c r="R41" i="46" s="1"/>
  <c r="S20" i="46"/>
  <c r="N130" i="42"/>
  <c r="N142" i="42" s="1"/>
  <c r="N132" i="42"/>
  <c r="N158" i="42" s="1"/>
  <c r="N131" i="42"/>
  <c r="N150" i="42" s="1"/>
  <c r="L115" i="14"/>
  <c r="P265" i="19"/>
  <c r="Q307" i="20"/>
  <c r="I151" i="14"/>
  <c r="O35" i="48"/>
  <c r="AU37" i="45"/>
  <c r="AU36" i="45"/>
  <c r="AU32" i="45"/>
  <c r="AU28" i="45"/>
  <c r="AU35" i="45"/>
  <c r="AU29" i="45"/>
  <c r="AU31" i="45"/>
  <c r="AU54" i="45"/>
  <c r="I100" i="48"/>
  <c r="I105" i="48" s="1"/>
  <c r="I101" i="48"/>
  <c r="I106" i="48" s="1"/>
  <c r="I102" i="48"/>
  <c r="I107" i="48" s="1"/>
  <c r="I104" i="48"/>
  <c r="I103" i="48"/>
  <c r="I108" i="48" s="1"/>
  <c r="P19" i="45"/>
  <c r="P20" i="45"/>
  <c r="AS34" i="45"/>
  <c r="J317" i="46"/>
  <c r="J320" i="46"/>
  <c r="H274" i="20"/>
  <c r="H275" i="20"/>
  <c r="N304" i="42"/>
  <c r="N303" i="42"/>
  <c r="N315" i="42" s="1"/>
  <c r="AU44" i="45"/>
  <c r="AU42" i="45"/>
  <c r="N35" i="48"/>
  <c r="AU95" i="45"/>
  <c r="AU43" i="45"/>
  <c r="AO109" i="45"/>
  <c r="AS108" i="45"/>
  <c r="M70" i="42"/>
  <c r="M74" i="42" s="1"/>
  <c r="M72" i="42"/>
  <c r="M76" i="42" s="1"/>
  <c r="M73" i="42"/>
  <c r="M71" i="42"/>
  <c r="M75" i="42" s="1"/>
  <c r="M70" i="45"/>
  <c r="J149" i="12"/>
  <c r="M124" i="12"/>
  <c r="K73" i="19"/>
  <c r="L120" i="14" s="1"/>
  <c r="L120" i="12"/>
  <c r="K287" i="42"/>
  <c r="K283" i="42"/>
  <c r="K282" i="42"/>
  <c r="K285" i="42"/>
  <c r="K286" i="42"/>
  <c r="K284" i="42"/>
  <c r="O66" i="16"/>
  <c r="Q69" i="45"/>
  <c r="I278" i="20"/>
  <c r="I279" i="20"/>
  <c r="M300" i="42"/>
  <c r="M299" i="42"/>
  <c r="N34" i="45"/>
  <c r="J284" i="20"/>
  <c r="J282" i="20"/>
  <c r="J286" i="20"/>
  <c r="J281" i="20"/>
  <c r="J285" i="20"/>
  <c r="J283" i="20"/>
  <c r="L208" i="48"/>
  <c r="L213" i="48" s="1"/>
  <c r="L210" i="48"/>
  <c r="L215" i="48" s="1"/>
  <c r="L209" i="48"/>
  <c r="L214" i="48" s="1"/>
  <c r="L211" i="48"/>
  <c r="L207" i="48"/>
  <c r="L212" i="48" s="1"/>
  <c r="L235" i="53"/>
  <c r="L237" i="53" s="1"/>
  <c r="M86" i="45"/>
  <c r="Q63" i="29"/>
  <c r="Q62" i="29" s="1"/>
  <c r="Q64" i="29"/>
  <c r="Q67" i="29"/>
  <c r="Q66" i="29"/>
  <c r="Q68" i="29"/>
  <c r="Q65" i="29"/>
  <c r="I224" i="19"/>
  <c r="AU66" i="51"/>
  <c r="O70" i="51"/>
  <c r="N237" i="42"/>
  <c r="N241" i="42" s="1"/>
  <c r="N236" i="42"/>
  <c r="N240" i="42" s="1"/>
  <c r="N235" i="42"/>
  <c r="N239" i="42" s="1"/>
  <c r="N238" i="42"/>
  <c r="Q129" i="16"/>
  <c r="Q131" i="16"/>
  <c r="R122" i="16"/>
  <c r="R132" i="16" s="1"/>
  <c r="AW40" i="45"/>
  <c r="AW39" i="45"/>
  <c r="N63" i="38"/>
  <c r="N69" i="38"/>
  <c r="R28" i="28"/>
  <c r="R46" i="28" s="1"/>
  <c r="S22" i="28"/>
  <c r="V8" i="16"/>
  <c r="W23" i="16"/>
  <c r="W24" i="16"/>
  <c r="X22" i="16"/>
  <c r="N202" i="46"/>
  <c r="N216" i="46"/>
  <c r="N206" i="46"/>
  <c r="N226" i="46"/>
  <c r="G337" i="48"/>
  <c r="G335" i="48"/>
  <c r="G334" i="48"/>
  <c r="G339" i="48"/>
  <c r="G336" i="48"/>
  <c r="G338" i="48"/>
  <c r="J203" i="53"/>
  <c r="J202" i="53"/>
  <c r="J201" i="53"/>
  <c r="J198" i="53"/>
  <c r="J199" i="53"/>
  <c r="J200" i="53"/>
  <c r="H194" i="28"/>
  <c r="H203" i="28" s="1"/>
  <c r="I70" i="15" s="1"/>
  <c r="P200" i="48"/>
  <c r="P138" i="48"/>
  <c r="P201" i="48"/>
  <c r="P137" i="48"/>
  <c r="Q136" i="48"/>
  <c r="BS15" i="55"/>
  <c r="BS13" i="55"/>
  <c r="BS14" i="55"/>
  <c r="BS11" i="55"/>
  <c r="BS19" i="55" s="1"/>
  <c r="BS16" i="55"/>
  <c r="BS12" i="55"/>
  <c r="AQ72" i="45"/>
  <c r="R37" i="28"/>
  <c r="S125" i="15"/>
  <c r="S47" i="15"/>
  <c r="O236" i="38"/>
  <c r="O240" i="38" s="1"/>
  <c r="O237" i="38"/>
  <c r="O241" i="38" s="1"/>
  <c r="O238" i="38"/>
  <c r="P107" i="36" s="1"/>
  <c r="O235" i="38"/>
  <c r="O239" i="38" s="1"/>
  <c r="K107" i="12"/>
  <c r="K234" i="53"/>
  <c r="K235" i="53" s="1"/>
  <c r="K237" i="53" s="1"/>
  <c r="K258" i="53" s="1"/>
  <c r="E162" i="12"/>
  <c r="E158" i="12"/>
  <c r="P154" i="54"/>
  <c r="P156" i="54" s="1"/>
  <c r="Q153" i="54"/>
  <c r="M80" i="36"/>
  <c r="M83" i="36" s="1"/>
  <c r="M115" i="36"/>
  <c r="M116" i="36" s="1"/>
  <c r="AS78" i="36"/>
  <c r="I73" i="48"/>
  <c r="I78" i="48" s="1"/>
  <c r="I70" i="48"/>
  <c r="I75" i="48" s="1"/>
  <c r="I74" i="48"/>
  <c r="I71" i="48"/>
  <c r="I76" i="48" s="1"/>
  <c r="I72" i="48"/>
  <c r="I77" i="48" s="1"/>
  <c r="O204" i="38"/>
  <c r="O184" i="38"/>
  <c r="O188" i="38"/>
  <c r="O196" i="38"/>
  <c r="N135" i="15"/>
  <c r="T20" i="15"/>
  <c r="M215" i="53"/>
  <c r="M216" i="53"/>
  <c r="S40" i="15"/>
  <c r="Q360" i="46"/>
  <c r="AT30" i="45"/>
  <c r="S27" i="42"/>
  <c r="S42" i="42" s="1"/>
  <c r="T21" i="42"/>
  <c r="N261" i="48"/>
  <c r="N266" i="48" s="1"/>
  <c r="N263" i="48"/>
  <c r="N268" i="48" s="1"/>
  <c r="N264" i="48"/>
  <c r="N269" i="48" s="1"/>
  <c r="N262" i="48"/>
  <c r="N267" i="48" s="1"/>
  <c r="N265" i="48"/>
  <c r="F252" i="19"/>
  <c r="F254" i="19" s="1"/>
  <c r="F253" i="19"/>
  <c r="D159" i="14"/>
  <c r="K52" i="19"/>
  <c r="K49" i="19" s="1"/>
  <c r="K177" i="19" s="1"/>
  <c r="K265" i="20"/>
  <c r="K288" i="20"/>
  <c r="K289" i="20" s="1"/>
  <c r="O25" i="19"/>
  <c r="O43" i="19" s="1"/>
  <c r="O96" i="19" s="1"/>
  <c r="O95" i="19" s="1"/>
  <c r="P19" i="19"/>
  <c r="L119" i="36"/>
  <c r="I120" i="36"/>
  <c r="H337" i="38"/>
  <c r="H342" i="38"/>
  <c r="L220" i="48"/>
  <c r="L225" i="48" s="1"/>
  <c r="L217" i="48"/>
  <c r="L222" i="48" s="1"/>
  <c r="L219" i="48"/>
  <c r="L224" i="48" s="1"/>
  <c r="L218" i="48"/>
  <c r="L223" i="48" s="1"/>
  <c r="L221" i="48"/>
  <c r="P48" i="15"/>
  <c r="O71" i="29"/>
  <c r="P48" i="16" s="1"/>
  <c r="P94" i="12"/>
  <c r="O139" i="20"/>
  <c r="U54" i="15"/>
  <c r="T38" i="28"/>
  <c r="U124" i="15"/>
  <c r="I115" i="45"/>
  <c r="L153" i="29"/>
  <c r="L154" i="29"/>
  <c r="E258" i="19"/>
  <c r="E259" i="19" s="1"/>
  <c r="M138" i="19"/>
  <c r="AQ4" i="55"/>
  <c r="J272" i="19"/>
  <c r="J273" i="19"/>
  <c r="J222" i="19"/>
  <c r="J221" i="19"/>
  <c r="J225" i="19"/>
  <c r="N303" i="38"/>
  <c r="N315" i="38" s="1"/>
  <c r="N304" i="38"/>
  <c r="N213" i="20"/>
  <c r="N171" i="19" s="1"/>
  <c r="N216" i="20"/>
  <c r="N174" i="19" s="1"/>
  <c r="N214" i="20"/>
  <c r="N172" i="19" s="1"/>
  <c r="N212" i="20"/>
  <c r="N170" i="19" s="1"/>
  <c r="N169" i="19"/>
  <c r="O135" i="12"/>
  <c r="N215" i="20"/>
  <c r="N219" i="54"/>
  <c r="N231" i="54" s="1"/>
  <c r="N220" i="54"/>
  <c r="N135" i="38"/>
  <c r="N139" i="38" s="1"/>
  <c r="N137" i="38"/>
  <c r="N141" i="38" s="1"/>
  <c r="N138" i="38"/>
  <c r="O85" i="36" s="1"/>
  <c r="N136" i="38"/>
  <c r="N140" i="38" s="1"/>
  <c r="G325" i="48"/>
  <c r="G326" i="48"/>
  <c r="M206" i="53"/>
  <c r="M207" i="53" s="1"/>
  <c r="M229" i="53"/>
  <c r="M230" i="53" s="1"/>
  <c r="AV57" i="51"/>
  <c r="L139" i="12"/>
  <c r="J233" i="12"/>
  <c r="J234" i="12" s="1"/>
  <c r="J152" i="12"/>
  <c r="O89" i="29"/>
  <c r="M159" i="42"/>
  <c r="M163" i="42" s="1"/>
  <c r="M160" i="42"/>
  <c r="M164" i="42" s="1"/>
  <c r="M161" i="42"/>
  <c r="M165" i="42" s="1"/>
  <c r="M162" i="42"/>
  <c r="N246" i="46"/>
  <c r="N251" i="46" s="1"/>
  <c r="N244" i="46"/>
  <c r="N249" i="46" s="1"/>
  <c r="N243" i="48"/>
  <c r="N245" i="46"/>
  <c r="N250" i="46" s="1"/>
  <c r="N247" i="46"/>
  <c r="N252" i="46" s="1"/>
  <c r="N248" i="46"/>
  <c r="O96" i="45" s="1"/>
  <c r="I335" i="38"/>
  <c r="J121" i="36" s="1"/>
  <c r="AP121" i="36" s="1"/>
  <c r="I333" i="38"/>
  <c r="AO118" i="45"/>
  <c r="M229" i="46"/>
  <c r="M234" i="46" s="1"/>
  <c r="M228" i="46"/>
  <c r="M233" i="46" s="1"/>
  <c r="M227" i="46"/>
  <c r="M232" i="46" s="1"/>
  <c r="M226" i="48"/>
  <c r="M230" i="46"/>
  <c r="M235" i="46" s="1"/>
  <c r="M231" i="46"/>
  <c r="N108" i="45" s="1"/>
  <c r="L176" i="28"/>
  <c r="L174" i="28"/>
  <c r="L179" i="28"/>
  <c r="L177" i="28"/>
  <c r="L178" i="28"/>
  <c r="L175" i="28"/>
  <c r="Q135" i="53"/>
  <c r="R56" i="51"/>
  <c r="N92" i="48"/>
  <c r="N97" i="48" s="1"/>
  <c r="N93" i="48"/>
  <c r="N98" i="48" s="1"/>
  <c r="N90" i="48"/>
  <c r="N95" i="48" s="1"/>
  <c r="N94" i="48"/>
  <c r="N91" i="48"/>
  <c r="M78" i="20"/>
  <c r="AO91" i="45"/>
  <c r="G232" i="19"/>
  <c r="G233" i="19"/>
  <c r="N219" i="53"/>
  <c r="N231" i="53" s="1"/>
  <c r="N220" i="53"/>
  <c r="Q43" i="45"/>
  <c r="N88" i="38"/>
  <c r="N92" i="38" s="1"/>
  <c r="N86" i="38"/>
  <c r="N90" i="38" s="1"/>
  <c r="N87" i="38"/>
  <c r="N91" i="38" s="1"/>
  <c r="N89" i="38"/>
  <c r="R25" i="46"/>
  <c r="R40" i="46" s="1"/>
  <c r="S19" i="46"/>
  <c r="Q85" i="29"/>
  <c r="R61" i="15"/>
  <c r="I193" i="28"/>
  <c r="I194" i="28" s="1"/>
  <c r="L165" i="28"/>
  <c r="L166" i="28"/>
  <c r="N139" i="46"/>
  <c r="N144" i="46"/>
  <c r="N150" i="20"/>
  <c r="N126" i="19" s="1"/>
  <c r="N146" i="20"/>
  <c r="N122" i="19" s="1"/>
  <c r="N148" i="20"/>
  <c r="N124" i="19" s="1"/>
  <c r="N147" i="20"/>
  <c r="N123" i="19" s="1"/>
  <c r="O138" i="12"/>
  <c r="N149" i="20"/>
  <c r="N125" i="19" s="1"/>
  <c r="N121" i="19"/>
  <c r="O138" i="14" s="1"/>
  <c r="AT102" i="36"/>
  <c r="P55" i="15"/>
  <c r="O82" i="29"/>
  <c r="P55" i="16" s="1"/>
  <c r="M205" i="42"/>
  <c r="M209" i="42" s="1"/>
  <c r="M206" i="42"/>
  <c r="M210" i="42" s="1"/>
  <c r="M207" i="42"/>
  <c r="M211" i="42" s="1"/>
  <c r="M208" i="42"/>
  <c r="J103" i="45"/>
  <c r="AP103" i="45"/>
  <c r="J102" i="45"/>
  <c r="J101" i="45"/>
  <c r="AP101" i="45"/>
  <c r="AP102" i="45"/>
  <c r="O142" i="48"/>
  <c r="O140" i="48"/>
  <c r="O141" i="48"/>
  <c r="G308" i="48"/>
  <c r="G309" i="48" s="1"/>
  <c r="H275" i="48"/>
  <c r="BT9" i="55"/>
  <c r="S39" i="15"/>
  <c r="AT70" i="51"/>
  <c r="L117" i="36"/>
  <c r="L123" i="36" s="1"/>
  <c r="K107" i="14"/>
  <c r="Q29" i="29"/>
  <c r="N142" i="20"/>
  <c r="N118" i="19" s="1"/>
  <c r="N140" i="20"/>
  <c r="N116" i="19" s="1"/>
  <c r="N144" i="20"/>
  <c r="N120" i="19" s="1"/>
  <c r="N141" i="20"/>
  <c r="N117" i="19" s="1"/>
  <c r="N143" i="20"/>
  <c r="N119" i="19" s="1"/>
  <c r="N115" i="19"/>
  <c r="O94" i="14" s="1"/>
  <c r="S24" i="46"/>
  <c r="T18" i="46"/>
  <c r="O157" i="54"/>
  <c r="T34" i="16"/>
  <c r="T33" i="16"/>
  <c r="AP110" i="45"/>
  <c r="O131" i="38"/>
  <c r="O150" i="38" s="1"/>
  <c r="O132" i="38"/>
  <c r="O158" i="38" s="1"/>
  <c r="O130" i="38"/>
  <c r="O142" i="38" s="1"/>
  <c r="T34" i="15"/>
  <c r="T33" i="15"/>
  <c r="O217" i="42"/>
  <c r="O219" i="42" s="1"/>
  <c r="P216" i="42"/>
  <c r="R26" i="53"/>
  <c r="R41" i="53" s="1"/>
  <c r="R147" i="53" s="1"/>
  <c r="R148" i="53" s="1"/>
  <c r="S60" i="51" s="1"/>
  <c r="S20" i="53"/>
  <c r="E329" i="48"/>
  <c r="E333" i="48" s="1"/>
  <c r="E330" i="48"/>
  <c r="AU105" i="45"/>
  <c r="S24" i="48"/>
  <c r="T18" i="48"/>
  <c r="L290" i="42"/>
  <c r="L291" i="42" s="1"/>
  <c r="L313" i="42"/>
  <c r="L314" i="42" s="1"/>
  <c r="R25" i="54"/>
  <c r="R40" i="54" s="1"/>
  <c r="S19" i="54"/>
  <c r="O63" i="54"/>
  <c r="O159" i="54" s="1"/>
  <c r="O69" i="54"/>
  <c r="O70" i="54" s="1"/>
  <c r="K53" i="19"/>
  <c r="P61" i="48"/>
  <c r="P66" i="48"/>
  <c r="P62" i="48"/>
  <c r="P64" i="48"/>
  <c r="P65" i="48"/>
  <c r="P67" i="48"/>
  <c r="Q60" i="48"/>
  <c r="L131" i="12"/>
  <c r="K84" i="19"/>
  <c r="L131" i="14" s="1"/>
  <c r="O74" i="29"/>
  <c r="P45" i="16" s="1"/>
  <c r="P45" i="15"/>
  <c r="O127" i="20"/>
  <c r="I275" i="46"/>
  <c r="H308" i="46"/>
  <c r="H309" i="46" s="1"/>
  <c r="E346" i="48"/>
  <c r="E347" i="48" s="1"/>
  <c r="E349" i="48" s="1"/>
  <c r="N298" i="38"/>
  <c r="N297" i="38"/>
  <c r="O209" i="20"/>
  <c r="O211" i="20" s="1"/>
  <c r="P208" i="20"/>
  <c r="AU98" i="36"/>
  <c r="M140" i="15"/>
  <c r="F327" i="48"/>
  <c r="F328" i="48"/>
  <c r="AR70" i="45"/>
  <c r="AS107" i="45"/>
  <c r="T10" i="15"/>
  <c r="K249" i="54"/>
  <c r="K251" i="54"/>
  <c r="AR75" i="51" s="1"/>
  <c r="G332" i="48"/>
  <c r="G331" i="48"/>
  <c r="G343" i="48" s="1"/>
  <c r="G344" i="48" s="1"/>
  <c r="S24" i="28"/>
  <c r="T18" i="28"/>
  <c r="M70" i="38"/>
  <c r="M74" i="38" s="1"/>
  <c r="M73" i="38"/>
  <c r="N78" i="36" s="1"/>
  <c r="M71" i="38"/>
  <c r="M75" i="38" s="1"/>
  <c r="M72" i="38"/>
  <c r="M76" i="38" s="1"/>
  <c r="P217" i="38"/>
  <c r="P219" i="38" s="1"/>
  <c r="Q216" i="38"/>
  <c r="L143" i="12"/>
  <c r="K90" i="19"/>
  <c r="L143" i="14" s="1"/>
  <c r="O61" i="42"/>
  <c r="O64" i="42"/>
  <c r="O77" i="42" s="1"/>
  <c r="O65" i="42"/>
  <c r="O93" i="42" s="1"/>
  <c r="O62" i="42"/>
  <c r="O67" i="42"/>
  <c r="O101" i="42" s="1"/>
  <c r="O66" i="42"/>
  <c r="O85" i="42" s="1"/>
  <c r="P60" i="42"/>
  <c r="M145" i="42"/>
  <c r="M149" i="42" s="1"/>
  <c r="M143" i="42"/>
  <c r="M147" i="42" s="1"/>
  <c r="M144" i="42"/>
  <c r="M148" i="42" s="1"/>
  <c r="M146" i="42"/>
  <c r="M104" i="45"/>
  <c r="M58" i="45"/>
  <c r="L37" i="46"/>
  <c r="Q43" i="46" s="1"/>
  <c r="M60" i="45"/>
  <c r="M73" i="45" s="1"/>
  <c r="M59" i="45"/>
  <c r="S40" i="16"/>
  <c r="AU21" i="45"/>
  <c r="G348" i="46" l="1"/>
  <c r="G353" i="46" s="1"/>
  <c r="G354" i="46" s="1"/>
  <c r="J194" i="28"/>
  <c r="P35" i="46"/>
  <c r="AV43" i="45"/>
  <c r="AS117" i="36"/>
  <c r="AS123" i="36" s="1"/>
  <c r="L144" i="12"/>
  <c r="Q42" i="45"/>
  <c r="M84" i="20"/>
  <c r="AV95" i="45"/>
  <c r="Q44" i="45"/>
  <c r="AV44" i="45"/>
  <c r="M90" i="20"/>
  <c r="R29" i="28"/>
  <c r="M119" i="36"/>
  <c r="K271" i="46"/>
  <c r="N124" i="12"/>
  <c r="N127" i="12" s="1"/>
  <c r="M117" i="36"/>
  <c r="M123" i="36" s="1"/>
  <c r="G251" i="19"/>
  <c r="G252" i="19" s="1"/>
  <c r="G254" i="19" s="1"/>
  <c r="N113" i="36"/>
  <c r="L258" i="53"/>
  <c r="AS104" i="45"/>
  <c r="R24" i="38"/>
  <c r="R39" i="38" s="1"/>
  <c r="R44" i="38" s="1"/>
  <c r="R288" i="38" s="1"/>
  <c r="S18" i="38"/>
  <c r="AS58" i="45"/>
  <c r="N229" i="54"/>
  <c r="N230" i="54" s="1"/>
  <c r="N233" i="54" s="1"/>
  <c r="N236" i="54" s="1"/>
  <c r="L185" i="28"/>
  <c r="L188" i="28" s="1"/>
  <c r="L193" i="28" s="1"/>
  <c r="L194" i="28" s="1"/>
  <c r="Q29" i="42"/>
  <c r="R24" i="42"/>
  <c r="R39" i="42" s="1"/>
  <c r="R44" i="42" s="1"/>
  <c r="R288" i="42" s="1"/>
  <c r="S18" i="42"/>
  <c r="L146" i="14"/>
  <c r="O67" i="45"/>
  <c r="J232" i="14"/>
  <c r="R80" i="29"/>
  <c r="R79" i="29" s="1"/>
  <c r="H250" i="19"/>
  <c r="H253" i="19" s="1"/>
  <c r="H258" i="19" s="1"/>
  <c r="H259" i="19" s="1"/>
  <c r="K233" i="12"/>
  <c r="K234" i="12" s="1"/>
  <c r="O102" i="36"/>
  <c r="O105" i="36" s="1"/>
  <c r="R29" i="29"/>
  <c r="P133" i="20"/>
  <c r="P134" i="20" s="1"/>
  <c r="P110" i="19" s="1"/>
  <c r="Q31" i="48"/>
  <c r="AU102" i="36"/>
  <c r="L132" i="12"/>
  <c r="L130" i="12" s="1"/>
  <c r="N140" i="16"/>
  <c r="P127" i="20"/>
  <c r="P129" i="20" s="1"/>
  <c r="P105" i="19" s="1"/>
  <c r="K232" i="12"/>
  <c r="P63" i="46"/>
  <c r="AQ112" i="45"/>
  <c r="G210" i="28"/>
  <c r="H72" i="15" s="1"/>
  <c r="G205" i="28"/>
  <c r="P63" i="48"/>
  <c r="T35" i="15"/>
  <c r="L57" i="19"/>
  <c r="P202" i="48"/>
  <c r="L50" i="19"/>
  <c r="N117" i="36"/>
  <c r="N123" i="36" s="1"/>
  <c r="AQ110" i="45"/>
  <c r="BS7" i="55"/>
  <c r="L54" i="19"/>
  <c r="F346" i="48"/>
  <c r="F347" i="48" s="1"/>
  <c r="F349" i="48" s="1"/>
  <c r="AQ111" i="45"/>
  <c r="L53" i="19"/>
  <c r="BS6" i="55"/>
  <c r="F354" i="48"/>
  <c r="F361" i="48" s="1"/>
  <c r="N141" i="16"/>
  <c r="N142" i="16" s="1"/>
  <c r="L58" i="19"/>
  <c r="L51" i="19"/>
  <c r="P139" i="48"/>
  <c r="L55" i="19"/>
  <c r="I233" i="14"/>
  <c r="I234" i="14" s="1"/>
  <c r="W9" i="15"/>
  <c r="W10" i="15" s="1"/>
  <c r="K179" i="29"/>
  <c r="L241" i="54"/>
  <c r="L259" i="53"/>
  <c r="M78" i="51" s="1"/>
  <c r="M77" i="51"/>
  <c r="K259" i="53"/>
  <c r="L78" i="51" s="1"/>
  <c r="L77" i="51"/>
  <c r="K152" i="14"/>
  <c r="W9" i="16"/>
  <c r="R20" i="45"/>
  <c r="R19" i="45"/>
  <c r="K325" i="38"/>
  <c r="K326" i="38" s="1"/>
  <c r="AU23" i="45"/>
  <c r="P222" i="38"/>
  <c r="P226" i="38" s="1"/>
  <c r="P221" i="38"/>
  <c r="P225" i="38" s="1"/>
  <c r="P223" i="38"/>
  <c r="Q98" i="36" s="1"/>
  <c r="P220" i="38"/>
  <c r="P224" i="38" s="1"/>
  <c r="S122" i="16"/>
  <c r="S132" i="16" s="1"/>
  <c r="AY60" i="51"/>
  <c r="O162" i="38"/>
  <c r="P109" i="36" s="1"/>
  <c r="AV109" i="36" s="1"/>
  <c r="O161" i="38"/>
  <c r="O165" i="38" s="1"/>
  <c r="O160" i="38"/>
  <c r="O164" i="38" s="1"/>
  <c r="O159" i="38"/>
  <c r="O163" i="38" s="1"/>
  <c r="O162" i="54"/>
  <c r="G314" i="48"/>
  <c r="G311" i="48"/>
  <c r="G312" i="48"/>
  <c r="G313" i="48"/>
  <c r="G315" i="48"/>
  <c r="G310" i="48"/>
  <c r="AT103" i="36"/>
  <c r="AT117" i="36" s="1"/>
  <c r="AT123" i="36" s="1"/>
  <c r="AT105" i="36"/>
  <c r="M83" i="20"/>
  <c r="M75" i="19" s="1"/>
  <c r="N114" i="12"/>
  <c r="M80" i="20"/>
  <c r="M82" i="20"/>
  <c r="M79" i="20"/>
  <c r="M81" i="20"/>
  <c r="M70" i="19"/>
  <c r="N114" i="14" s="1"/>
  <c r="M229" i="48"/>
  <c r="M234" i="48" s="1"/>
  <c r="M227" i="48"/>
  <c r="M232" i="48" s="1"/>
  <c r="M230" i="48"/>
  <c r="M235" i="48" s="1"/>
  <c r="M228" i="48"/>
  <c r="M233" i="48" s="1"/>
  <c r="M231" i="48"/>
  <c r="G327" i="48"/>
  <c r="G328" i="48"/>
  <c r="L155" i="29"/>
  <c r="L159" i="29" s="1"/>
  <c r="L156" i="29"/>
  <c r="AT34" i="45"/>
  <c r="O200" i="38"/>
  <c r="P101" i="36" s="1"/>
  <c r="AV101" i="36" s="1"/>
  <c r="O197" i="38"/>
  <c r="O201" i="38" s="1"/>
  <c r="O199" i="38"/>
  <c r="O203" i="38" s="1"/>
  <c r="O198" i="38"/>
  <c r="O202" i="38" s="1"/>
  <c r="P157" i="54"/>
  <c r="N243" i="38"/>
  <c r="N246" i="38"/>
  <c r="R31" i="29"/>
  <c r="R132" i="29"/>
  <c r="H276" i="20"/>
  <c r="H280" i="20" s="1"/>
  <c r="H277" i="20"/>
  <c r="AU30" i="45"/>
  <c r="S26" i="46"/>
  <c r="S41" i="46" s="1"/>
  <c r="T20" i="46"/>
  <c r="T27" i="48"/>
  <c r="T42" i="48" s="1"/>
  <c r="U21" i="48"/>
  <c r="Q28" i="20"/>
  <c r="Q46" i="20" s="1"/>
  <c r="R22" i="20"/>
  <c r="G349" i="46"/>
  <c r="P34" i="29"/>
  <c r="P33" i="29"/>
  <c r="AR72" i="45"/>
  <c r="AR86" i="45"/>
  <c r="N227" i="12"/>
  <c r="E12" i="55"/>
  <c r="E14" i="55"/>
  <c r="E13" i="55"/>
  <c r="E15" i="55"/>
  <c r="E11" i="55"/>
  <c r="E16" i="55"/>
  <c r="Q232" i="38"/>
  <c r="Q234" i="38" s="1"/>
  <c r="R231" i="38"/>
  <c r="P201" i="46"/>
  <c r="P137" i="46"/>
  <c r="P138" i="46"/>
  <c r="P200" i="46"/>
  <c r="Q136" i="46"/>
  <c r="S25" i="28"/>
  <c r="S43" i="28" s="1"/>
  <c r="T19" i="28"/>
  <c r="L286" i="42"/>
  <c r="L282" i="42"/>
  <c r="L285" i="42"/>
  <c r="L283" i="42"/>
  <c r="L287" i="42"/>
  <c r="L284" i="42"/>
  <c r="AP109" i="45"/>
  <c r="J271" i="48"/>
  <c r="N167" i="46"/>
  <c r="N172" i="46" s="1"/>
  <c r="N166" i="46"/>
  <c r="N171" i="46" s="1"/>
  <c r="N168" i="46"/>
  <c r="N173" i="46" s="1"/>
  <c r="N164" i="48"/>
  <c r="N169" i="46"/>
  <c r="O77" i="45" s="1"/>
  <c r="N165" i="46"/>
  <c r="N170" i="46" s="1"/>
  <c r="P210" i="53"/>
  <c r="P209" i="53"/>
  <c r="P212" i="53"/>
  <c r="P211" i="53"/>
  <c r="L105" i="14"/>
  <c r="P27" i="19"/>
  <c r="P45" i="19" s="1"/>
  <c r="P131" i="19" s="1"/>
  <c r="Q21" i="19"/>
  <c r="H71" i="16"/>
  <c r="AP9" i="55"/>
  <c r="O136" i="16"/>
  <c r="P93" i="46"/>
  <c r="P98" i="46" s="1"/>
  <c r="P89" i="48"/>
  <c r="P92" i="46"/>
  <c r="P97" i="46" s="1"/>
  <c r="P90" i="46"/>
  <c r="P95" i="46" s="1"/>
  <c r="P91" i="46"/>
  <c r="P94" i="46"/>
  <c r="M209" i="48"/>
  <c r="M214" i="48" s="1"/>
  <c r="M210" i="48"/>
  <c r="M215" i="48" s="1"/>
  <c r="M207" i="48"/>
  <c r="M212" i="48" s="1"/>
  <c r="M211" i="48"/>
  <c r="M208" i="48"/>
  <c r="M213" i="48" s="1"/>
  <c r="R29" i="46"/>
  <c r="J318" i="46"/>
  <c r="J319" i="46" s="1"/>
  <c r="J341" i="46"/>
  <c r="J342" i="46" s="1"/>
  <c r="K9" i="55"/>
  <c r="R75" i="15"/>
  <c r="R76" i="15"/>
  <c r="T22" i="53"/>
  <c r="S28" i="53"/>
  <c r="S43" i="53" s="1"/>
  <c r="N215" i="54"/>
  <c r="N216" i="54"/>
  <c r="O132" i="19"/>
  <c r="R44" i="54"/>
  <c r="R204" i="54" s="1"/>
  <c r="Q64" i="15"/>
  <c r="P75" i="29"/>
  <c r="Q64" i="16" s="1"/>
  <c r="R54" i="51"/>
  <c r="AX53" i="51"/>
  <c r="O147" i="20"/>
  <c r="O123" i="19" s="1"/>
  <c r="O149" i="20"/>
  <c r="O125" i="19" s="1"/>
  <c r="O146" i="20"/>
  <c r="O122" i="19" s="1"/>
  <c r="O150" i="20"/>
  <c r="O126" i="19" s="1"/>
  <c r="O148" i="20"/>
  <c r="O124" i="19" s="1"/>
  <c r="O121" i="19"/>
  <c r="P138" i="14" s="1"/>
  <c r="P138" i="12"/>
  <c r="K136" i="29"/>
  <c r="K141" i="29"/>
  <c r="K140" i="29"/>
  <c r="K138" i="29"/>
  <c r="K137" i="29"/>
  <c r="K139" i="29"/>
  <c r="N158" i="28"/>
  <c r="N159" i="28" s="1"/>
  <c r="N181" i="28"/>
  <c r="N182" i="28" s="1"/>
  <c r="S28" i="54"/>
  <c r="S43" i="54" s="1"/>
  <c r="T22" i="54"/>
  <c r="P76" i="53"/>
  <c r="Q67" i="51"/>
  <c r="Q71" i="51" s="1"/>
  <c r="Q278" i="38"/>
  <c r="Q31" i="38"/>
  <c r="L155" i="28"/>
  <c r="L151" i="28"/>
  <c r="L153" i="28"/>
  <c r="L154" i="28"/>
  <c r="L150" i="28"/>
  <c r="L152" i="28"/>
  <c r="Q27" i="20"/>
  <c r="Q45" i="20" s="1"/>
  <c r="R21" i="20"/>
  <c r="O24" i="45"/>
  <c r="O26" i="45"/>
  <c r="O82" i="45"/>
  <c r="N34" i="46"/>
  <c r="O25" i="45"/>
  <c r="L99" i="12"/>
  <c r="K69" i="19"/>
  <c r="AT68" i="45"/>
  <c r="M144" i="29"/>
  <c r="M145" i="29" s="1"/>
  <c r="M167" i="29"/>
  <c r="M168" i="29" s="1"/>
  <c r="O188" i="42"/>
  <c r="O184" i="42"/>
  <c r="O204" i="42"/>
  <c r="O196" i="42"/>
  <c r="F162" i="12"/>
  <c r="F158" i="12"/>
  <c r="O90" i="48"/>
  <c r="O95" i="48" s="1"/>
  <c r="O92" i="48"/>
  <c r="O97" i="48" s="1"/>
  <c r="O94" i="48"/>
  <c r="O91" i="48"/>
  <c r="O93" i="48"/>
  <c r="O98" i="48" s="1"/>
  <c r="L101" i="20"/>
  <c r="L93" i="19" s="1"/>
  <c r="L99" i="20"/>
  <c r="L97" i="20"/>
  <c r="M136" i="12"/>
  <c r="L88" i="19"/>
  <c r="L100" i="20"/>
  <c r="L98" i="20"/>
  <c r="L220" i="20"/>
  <c r="O114" i="36"/>
  <c r="AU79" i="36"/>
  <c r="AU114" i="36" s="1"/>
  <c r="S39" i="53"/>
  <c r="M177" i="48"/>
  <c r="M182" i="48" s="1"/>
  <c r="M175" i="48"/>
  <c r="M180" i="48" s="1"/>
  <c r="M176" i="48"/>
  <c r="M181" i="48" s="1"/>
  <c r="M178" i="48"/>
  <c r="M183" i="48" s="1"/>
  <c r="M179" i="48"/>
  <c r="AP100" i="45"/>
  <c r="AP113" i="45"/>
  <c r="R37" i="29"/>
  <c r="S47" i="16"/>
  <c r="S125" i="16"/>
  <c r="M290" i="42"/>
  <c r="M291" i="42" s="1"/>
  <c r="M313" i="42"/>
  <c r="M314" i="42" s="1"/>
  <c r="L139" i="14"/>
  <c r="AT83" i="45"/>
  <c r="S26" i="28"/>
  <c r="S44" i="28" s="1"/>
  <c r="T20" i="28"/>
  <c r="O262" i="48"/>
  <c r="O267" i="48" s="1"/>
  <c r="O261" i="48"/>
  <c r="O266" i="48" s="1"/>
  <c r="O264" i="48"/>
  <c r="O269" i="48" s="1"/>
  <c r="O265" i="48"/>
  <c r="O263" i="48"/>
  <c r="O268" i="48" s="1"/>
  <c r="U17" i="16"/>
  <c r="O67" i="20"/>
  <c r="O70" i="20"/>
  <c r="O68" i="20"/>
  <c r="O69" i="20"/>
  <c r="K318" i="42"/>
  <c r="K319" i="42" s="1"/>
  <c r="K321" i="42" s="1"/>
  <c r="I274" i="20"/>
  <c r="I275" i="20"/>
  <c r="S26" i="29"/>
  <c r="S44" i="29" s="1"/>
  <c r="T20" i="29"/>
  <c r="BZ4" i="55"/>
  <c r="M31" i="20"/>
  <c r="M253" i="20"/>
  <c r="AU51" i="51"/>
  <c r="AU72" i="51"/>
  <c r="AU73" i="51" s="1"/>
  <c r="AQ90" i="45"/>
  <c r="K91" i="45"/>
  <c r="Q62" i="15"/>
  <c r="P59" i="29"/>
  <c r="Q62" i="16" s="1"/>
  <c r="T27" i="46"/>
  <c r="T42" i="46" s="1"/>
  <c r="U21" i="46"/>
  <c r="Q154" i="53"/>
  <c r="Q156" i="53" s="1"/>
  <c r="R153" i="53"/>
  <c r="O103" i="42"/>
  <c r="O107" i="42" s="1"/>
  <c r="O104" i="42"/>
  <c r="O108" i="42" s="1"/>
  <c r="O102" i="42"/>
  <c r="O106" i="42" s="1"/>
  <c r="O105" i="42"/>
  <c r="P66" i="16"/>
  <c r="O96" i="42"/>
  <c r="O100" i="42" s="1"/>
  <c r="O95" i="42"/>
  <c r="O99" i="42" s="1"/>
  <c r="O97" i="42"/>
  <c r="O94" i="42"/>
  <c r="O98" i="42" s="1"/>
  <c r="O216" i="20"/>
  <c r="O174" i="19" s="1"/>
  <c r="O212" i="20"/>
  <c r="O170" i="19" s="1"/>
  <c r="O214" i="20"/>
  <c r="O172" i="19" s="1"/>
  <c r="O213" i="20"/>
  <c r="O171" i="19" s="1"/>
  <c r="P135" i="12"/>
  <c r="O215" i="20"/>
  <c r="O169" i="19"/>
  <c r="S25" i="54"/>
  <c r="S40" i="54" s="1"/>
  <c r="T19" i="54"/>
  <c r="P217" i="42"/>
  <c r="P219" i="42" s="1"/>
  <c r="Q216" i="42"/>
  <c r="O151" i="38"/>
  <c r="O155" i="38" s="1"/>
  <c r="O154" i="38"/>
  <c r="P79" i="36" s="1"/>
  <c r="O153" i="38"/>
  <c r="O157" i="38" s="1"/>
  <c r="O152" i="38"/>
  <c r="O156" i="38" s="1"/>
  <c r="N145" i="46"/>
  <c r="N150" i="46" s="1"/>
  <c r="N146" i="46"/>
  <c r="N151" i="46" s="1"/>
  <c r="N147" i="46"/>
  <c r="N152" i="46" s="1"/>
  <c r="N148" i="46"/>
  <c r="N153" i="46" s="1"/>
  <c r="N144" i="48"/>
  <c r="N149" i="46"/>
  <c r="O83" i="45" s="1"/>
  <c r="P49" i="16"/>
  <c r="M217" i="53"/>
  <c r="M221" i="53" s="1"/>
  <c r="M218" i="53"/>
  <c r="O190" i="38"/>
  <c r="O194" i="38" s="1"/>
  <c r="O191" i="38"/>
  <c r="O195" i="38" s="1"/>
  <c r="O189" i="38"/>
  <c r="O193" i="38" s="1"/>
  <c r="O192" i="38"/>
  <c r="P91" i="36" s="1"/>
  <c r="AS80" i="36"/>
  <c r="AS83" i="36" s="1"/>
  <c r="AS119" i="36" s="1"/>
  <c r="AS115" i="36"/>
  <c r="AS116" i="36" s="1"/>
  <c r="P203" i="48"/>
  <c r="P204" i="48"/>
  <c r="AU70" i="51"/>
  <c r="M301" i="42"/>
  <c r="M305" i="42" s="1"/>
  <c r="M302" i="42"/>
  <c r="L118" i="12"/>
  <c r="Q278" i="42"/>
  <c r="Q289" i="42" s="1"/>
  <c r="Q31" i="42"/>
  <c r="G329" i="46"/>
  <c r="G333" i="46" s="1"/>
  <c r="G330" i="46"/>
  <c r="AR85" i="45"/>
  <c r="AR71" i="45"/>
  <c r="H232" i="19"/>
  <c r="H233" i="19"/>
  <c r="Q127" i="38"/>
  <c r="Q128" i="38"/>
  <c r="Q183" i="38"/>
  <c r="Q182" i="38"/>
  <c r="R126" i="38"/>
  <c r="P237" i="38"/>
  <c r="P241" i="38" s="1"/>
  <c r="P236" i="38"/>
  <c r="P240" i="38" s="1"/>
  <c r="P235" i="38"/>
  <c r="P239" i="38" s="1"/>
  <c r="P238" i="38"/>
  <c r="Q107" i="36" s="1"/>
  <c r="H201" i="28"/>
  <c r="O202" i="46"/>
  <c r="O216" i="46"/>
  <c r="O226" i="46"/>
  <c r="O206" i="46"/>
  <c r="R63" i="29"/>
  <c r="R62" i="29" s="1"/>
  <c r="R64" i="29"/>
  <c r="R67" i="29"/>
  <c r="R65" i="29"/>
  <c r="R68" i="29"/>
  <c r="R66" i="29"/>
  <c r="AT99" i="45"/>
  <c r="J278" i="20"/>
  <c r="J279" i="20"/>
  <c r="Q292" i="42"/>
  <c r="L34" i="20"/>
  <c r="L33" i="20"/>
  <c r="O220" i="53"/>
  <c r="O219" i="53"/>
  <c r="O231" i="53" s="1"/>
  <c r="U17" i="15"/>
  <c r="N176" i="46"/>
  <c r="N181" i="46" s="1"/>
  <c r="N175" i="46"/>
  <c r="N180" i="46" s="1"/>
  <c r="N177" i="46"/>
  <c r="N182" i="46" s="1"/>
  <c r="N178" i="46"/>
  <c r="N183" i="46" s="1"/>
  <c r="N174" i="48"/>
  <c r="N179" i="46"/>
  <c r="O107" i="45" s="1"/>
  <c r="H345" i="46"/>
  <c r="H346" i="46" s="1"/>
  <c r="K79" i="19"/>
  <c r="L110" i="14" s="1"/>
  <c r="L110" i="12"/>
  <c r="J233" i="14"/>
  <c r="J234" i="14" s="1"/>
  <c r="P26" i="19"/>
  <c r="P44" i="19" s="1"/>
  <c r="Q20" i="19"/>
  <c r="M163" i="19"/>
  <c r="R36" i="28"/>
  <c r="R42" i="28" s="1"/>
  <c r="S123" i="15"/>
  <c r="S43" i="15"/>
  <c r="L77" i="20"/>
  <c r="L74" i="20"/>
  <c r="L66" i="19" s="1"/>
  <c r="L75" i="20"/>
  <c r="L73" i="20"/>
  <c r="L64" i="19"/>
  <c r="M93" i="14" s="1"/>
  <c r="L76" i="20"/>
  <c r="N106" i="19"/>
  <c r="U11" i="16"/>
  <c r="AQ97" i="45"/>
  <c r="K100" i="45"/>
  <c r="K113" i="45"/>
  <c r="AJ123" i="45"/>
  <c r="AJ124" i="45"/>
  <c r="AJ121" i="45"/>
  <c r="R129" i="15"/>
  <c r="R131" i="15"/>
  <c r="O129" i="19"/>
  <c r="O128" i="19" s="1"/>
  <c r="R29" i="54"/>
  <c r="K97" i="12"/>
  <c r="K154" i="12"/>
  <c r="AX62" i="51"/>
  <c r="O100" i="19"/>
  <c r="N100" i="29"/>
  <c r="N88" i="29"/>
  <c r="S123" i="16"/>
  <c r="R36" i="29"/>
  <c r="R42" i="29" s="1"/>
  <c r="S43" i="16"/>
  <c r="M233" i="54"/>
  <c r="M236" i="54" s="1"/>
  <c r="M232" i="54"/>
  <c r="P129" i="19"/>
  <c r="P128" i="19" s="1"/>
  <c r="Q125" i="12"/>
  <c r="N200" i="20"/>
  <c r="N161" i="19" s="1"/>
  <c r="N201" i="20"/>
  <c r="N162" i="19" s="1"/>
  <c r="N203" i="20"/>
  <c r="N164" i="19" s="1"/>
  <c r="N199" i="20"/>
  <c r="N160" i="19" s="1"/>
  <c r="N159" i="19"/>
  <c r="O123" i="14" s="1"/>
  <c r="N202" i="20"/>
  <c r="O185" i="42"/>
  <c r="O186" i="42"/>
  <c r="X7" i="15"/>
  <c r="Y6" i="15"/>
  <c r="E353" i="48"/>
  <c r="E354" i="48" s="1"/>
  <c r="M165" i="28"/>
  <c r="M166" i="28"/>
  <c r="J102" i="48"/>
  <c r="J107" i="48" s="1"/>
  <c r="J103" i="48"/>
  <c r="J108" i="48" s="1"/>
  <c r="J100" i="48"/>
  <c r="J105" i="48" s="1"/>
  <c r="J101" i="48"/>
  <c r="J106" i="48" s="1"/>
  <c r="J104" i="48"/>
  <c r="T27" i="38"/>
  <c r="T42" i="38" s="1"/>
  <c r="U21" i="38"/>
  <c r="AW68" i="51"/>
  <c r="M145" i="48"/>
  <c r="M150" i="48" s="1"/>
  <c r="M148" i="48"/>
  <c r="M153" i="48" s="1"/>
  <c r="M147" i="48"/>
  <c r="M152" i="48" s="1"/>
  <c r="M146" i="48"/>
  <c r="M151" i="48" s="1"/>
  <c r="M149" i="48"/>
  <c r="I71" i="16"/>
  <c r="P63" i="54"/>
  <c r="P159" i="54" s="1"/>
  <c r="P69" i="54"/>
  <c r="P70" i="54" s="1"/>
  <c r="AV66" i="51"/>
  <c r="P70" i="51"/>
  <c r="O134" i="15"/>
  <c r="O133" i="15" a="1"/>
  <c r="O133" i="15" s="1"/>
  <c r="O68" i="15"/>
  <c r="K320" i="42"/>
  <c r="O102" i="38"/>
  <c r="O106" i="38" s="1"/>
  <c r="O104" i="38"/>
  <c r="O108" i="38" s="1"/>
  <c r="O105" i="38"/>
  <c r="P99" i="36" s="1"/>
  <c r="AV99" i="36" s="1"/>
  <c r="O103" i="38"/>
  <c r="O107" i="38" s="1"/>
  <c r="K76" i="51"/>
  <c r="J81" i="48"/>
  <c r="J86" i="48" s="1"/>
  <c r="J80" i="48"/>
  <c r="J85" i="48" s="1"/>
  <c r="J83" i="48"/>
  <c r="J88" i="48" s="1"/>
  <c r="J82" i="48"/>
  <c r="J87" i="48" s="1"/>
  <c r="J84" i="48"/>
  <c r="P168" i="20"/>
  <c r="P169" i="20"/>
  <c r="P170" i="20"/>
  <c r="P179" i="20" s="1"/>
  <c r="P171" i="20"/>
  <c r="P185" i="20" s="1"/>
  <c r="P167" i="20"/>
  <c r="P173" i="20" s="1"/>
  <c r="Q166" i="20"/>
  <c r="K221" i="19"/>
  <c r="K222" i="19"/>
  <c r="K272" i="19"/>
  <c r="K273" i="19"/>
  <c r="K225" i="19"/>
  <c r="L44" i="46"/>
  <c r="L316" i="46" s="1"/>
  <c r="L109" i="46"/>
  <c r="L69" i="46"/>
  <c r="L99" i="46"/>
  <c r="L79" i="46"/>
  <c r="P157" i="53"/>
  <c r="Q66" i="51" s="1"/>
  <c r="L229" i="12"/>
  <c r="N70" i="45"/>
  <c r="Q217" i="38"/>
  <c r="Q219" i="38" s="1"/>
  <c r="R216" i="38"/>
  <c r="S26" i="53"/>
  <c r="S41" i="53" s="1"/>
  <c r="S147" i="53" s="1"/>
  <c r="S148" i="53" s="1"/>
  <c r="T60" i="51" s="1"/>
  <c r="T20" i="53"/>
  <c r="O146" i="38"/>
  <c r="P100" i="36" s="1"/>
  <c r="AV100" i="36" s="1"/>
  <c r="O144" i="38"/>
  <c r="O148" i="38" s="1"/>
  <c r="O143" i="38"/>
  <c r="O147" i="38" s="1"/>
  <c r="O145" i="38"/>
  <c r="O149" i="38" s="1"/>
  <c r="P59" i="15"/>
  <c r="AU96" i="45"/>
  <c r="N80" i="36"/>
  <c r="N83" i="36" s="1"/>
  <c r="N119" i="36" s="1"/>
  <c r="N115" i="36"/>
  <c r="AT78" i="36"/>
  <c r="P209" i="20"/>
  <c r="P211" i="20" s="1"/>
  <c r="Q208" i="20"/>
  <c r="O80" i="42"/>
  <c r="O84" i="42" s="1"/>
  <c r="O78" i="42"/>
  <c r="O82" i="42" s="1"/>
  <c r="O79" i="42"/>
  <c r="O83" i="42" s="1"/>
  <c r="O81" i="42"/>
  <c r="T24" i="28"/>
  <c r="U18" i="28"/>
  <c r="R108" i="54"/>
  <c r="R109" i="54" s="1"/>
  <c r="R104" i="54"/>
  <c r="R105" i="54" s="1"/>
  <c r="R110" i="54"/>
  <c r="R111" i="54" s="1"/>
  <c r="R106" i="54"/>
  <c r="R107" i="54" s="1"/>
  <c r="O222" i="42"/>
  <c r="O226" i="42" s="1"/>
  <c r="O220" i="42"/>
  <c r="O224" i="42" s="1"/>
  <c r="O223" i="42"/>
  <c r="O221" i="42"/>
  <c r="O225" i="42" s="1"/>
  <c r="N244" i="48"/>
  <c r="N249" i="48" s="1"/>
  <c r="N246" i="48"/>
  <c r="N251" i="48" s="1"/>
  <c r="N247" i="48"/>
  <c r="N252" i="48" s="1"/>
  <c r="N248" i="48"/>
  <c r="N245" i="48"/>
  <c r="N250" i="48" s="1"/>
  <c r="M128" i="36"/>
  <c r="N173" i="19"/>
  <c r="P49" i="15"/>
  <c r="I126" i="36"/>
  <c r="H343" i="38"/>
  <c r="I127" i="36" s="1"/>
  <c r="R360" i="46"/>
  <c r="P142" i="48"/>
  <c r="P140" i="48"/>
  <c r="P141" i="48"/>
  <c r="W25" i="16"/>
  <c r="AW41" i="45"/>
  <c r="M101" i="20"/>
  <c r="M93" i="19" s="1"/>
  <c r="N136" i="12"/>
  <c r="M98" i="20"/>
  <c r="M88" i="19"/>
  <c r="N136" i="14" s="1"/>
  <c r="N139" i="14" s="1"/>
  <c r="M100" i="20"/>
  <c r="M97" i="20"/>
  <c r="M99" i="20"/>
  <c r="L118" i="14"/>
  <c r="K114" i="45"/>
  <c r="AQ76" i="45"/>
  <c r="K78" i="45"/>
  <c r="O244" i="46"/>
  <c r="O249" i="46" s="1"/>
  <c r="O245" i="46"/>
  <c r="O250" i="46" s="1"/>
  <c r="O246" i="46"/>
  <c r="O251" i="46" s="1"/>
  <c r="O247" i="46"/>
  <c r="O252" i="46" s="1"/>
  <c r="O243" i="48"/>
  <c r="O248" i="46"/>
  <c r="P96" i="45" s="1"/>
  <c r="Q121" i="20"/>
  <c r="Q125" i="20"/>
  <c r="Q122" i="20"/>
  <c r="Q124" i="20"/>
  <c r="Q123" i="20"/>
  <c r="Q120" i="20"/>
  <c r="R119" i="20"/>
  <c r="O297" i="38"/>
  <c r="O298" i="38"/>
  <c r="P204" i="38"/>
  <c r="P184" i="38"/>
  <c r="P196" i="38"/>
  <c r="P188" i="38"/>
  <c r="K44" i="48"/>
  <c r="K316" i="48" s="1"/>
  <c r="I318" i="48"/>
  <c r="I319" i="48" s="1"/>
  <c r="I341" i="48"/>
  <c r="I342" i="48" s="1"/>
  <c r="O141" i="46"/>
  <c r="O164" i="46" s="1"/>
  <c r="O142" i="46"/>
  <c r="O174" i="46" s="1"/>
  <c r="O140" i="46"/>
  <c r="O154" i="46" s="1"/>
  <c r="Q306" i="46"/>
  <c r="Q31" i="46"/>
  <c r="M220" i="48"/>
  <c r="M225" i="48" s="1"/>
  <c r="M219" i="48"/>
  <c r="M224" i="48" s="1"/>
  <c r="M217" i="48"/>
  <c r="M222" i="48" s="1"/>
  <c r="M221" i="48"/>
  <c r="M218" i="48"/>
  <c r="M223" i="48" s="1"/>
  <c r="T24" i="29"/>
  <c r="U18" i="29"/>
  <c r="N136" i="42"/>
  <c r="N140" i="42" s="1"/>
  <c r="N137" i="42"/>
  <c r="N141" i="42" s="1"/>
  <c r="N135" i="42"/>
  <c r="N139" i="42" s="1"/>
  <c r="N138" i="42"/>
  <c r="O213" i="53"/>
  <c r="O214" i="53"/>
  <c r="K255" i="20"/>
  <c r="K256" i="20" s="1"/>
  <c r="L222" i="20"/>
  <c r="U20" i="15"/>
  <c r="N156" i="46"/>
  <c r="N161" i="46" s="1"/>
  <c r="N155" i="46"/>
  <c r="N160" i="46" s="1"/>
  <c r="N158" i="46"/>
  <c r="N163" i="46" s="1"/>
  <c r="N157" i="46"/>
  <c r="N162" i="46" s="1"/>
  <c r="N154" i="48"/>
  <c r="N159" i="46"/>
  <c r="O98" i="45" s="1"/>
  <c r="K81" i="19"/>
  <c r="L109" i="14" s="1"/>
  <c r="L109" i="12"/>
  <c r="O93" i="36"/>
  <c r="O96" i="36" s="1"/>
  <c r="AU91" i="36"/>
  <c r="AU93" i="36" s="1"/>
  <c r="AU96" i="36" s="1"/>
  <c r="I339" i="46"/>
  <c r="I335" i="46"/>
  <c r="I334" i="46"/>
  <c r="I337" i="46"/>
  <c r="I336" i="46"/>
  <c r="I338" i="46"/>
  <c r="Q258" i="48"/>
  <c r="R257" i="48"/>
  <c r="L251" i="53"/>
  <c r="M75" i="51" s="1"/>
  <c r="L249" i="53"/>
  <c r="G363" i="46"/>
  <c r="H120" i="45" s="1"/>
  <c r="G361" i="46"/>
  <c r="M147" i="12"/>
  <c r="M95" i="12"/>
  <c r="J112" i="48"/>
  <c r="J117" i="48" s="1"/>
  <c r="J111" i="48"/>
  <c r="J116" i="48" s="1"/>
  <c r="J113" i="48"/>
  <c r="J118" i="48" s="1"/>
  <c r="J110" i="48"/>
  <c r="J115" i="48" s="1"/>
  <c r="J114" i="48"/>
  <c r="J274" i="48"/>
  <c r="AQ74" i="51"/>
  <c r="J253" i="54"/>
  <c r="N87" i="45"/>
  <c r="G300" i="20"/>
  <c r="G301" i="20" s="1"/>
  <c r="K97" i="14"/>
  <c r="K154" i="14"/>
  <c r="Q31" i="54"/>
  <c r="Q194" i="54"/>
  <c r="Q205" i="54" s="1"/>
  <c r="K101" i="46"/>
  <c r="K106" i="46" s="1"/>
  <c r="K100" i="46"/>
  <c r="K105" i="46" s="1"/>
  <c r="K103" i="46"/>
  <c r="K108" i="46" s="1"/>
  <c r="K102" i="46"/>
  <c r="K107" i="46" s="1"/>
  <c r="K99" i="48"/>
  <c r="K104" i="46"/>
  <c r="L106" i="45" s="1"/>
  <c r="O97" i="19"/>
  <c r="V9" i="15"/>
  <c r="V10" i="15" s="1"/>
  <c r="U11" i="15"/>
  <c r="M227" i="54"/>
  <c r="M226" i="54"/>
  <c r="M223" i="54"/>
  <c r="M222" i="54"/>
  <c r="M225" i="54"/>
  <c r="M224" i="54"/>
  <c r="AW61" i="51"/>
  <c r="Q64" i="51"/>
  <c r="P65" i="16"/>
  <c r="N24" i="19"/>
  <c r="O18" i="19"/>
  <c r="I331" i="46"/>
  <c r="I343" i="46" s="1"/>
  <c r="I344" i="46" s="1"/>
  <c r="I332" i="46"/>
  <c r="R75" i="16"/>
  <c r="R76" i="16"/>
  <c r="N215" i="53"/>
  <c r="N216" i="53"/>
  <c r="S28" i="29"/>
  <c r="S46" i="29" s="1"/>
  <c r="T22" i="29"/>
  <c r="M172" i="28"/>
  <c r="M171" i="28"/>
  <c r="M183" i="28" s="1"/>
  <c r="K112" i="45"/>
  <c r="K110" i="45"/>
  <c r="K111" i="45"/>
  <c r="O147" i="29"/>
  <c r="O148" i="29"/>
  <c r="O150" i="29"/>
  <c r="O149" i="29"/>
  <c r="S40" i="45"/>
  <c r="S39" i="45"/>
  <c r="AY38" i="45"/>
  <c r="T38" i="45"/>
  <c r="S121" i="16"/>
  <c r="S42" i="16"/>
  <c r="AW50" i="51"/>
  <c r="O58" i="29"/>
  <c r="O213" i="28"/>
  <c r="O114" i="28"/>
  <c r="E363" i="46"/>
  <c r="F120" i="45" s="1"/>
  <c r="E361" i="46"/>
  <c r="P196" i="20"/>
  <c r="Q195" i="20"/>
  <c r="K98" i="14"/>
  <c r="K153" i="14"/>
  <c r="O162" i="53"/>
  <c r="U33" i="16"/>
  <c r="U35" i="16"/>
  <c r="U34" i="16"/>
  <c r="P143" i="29"/>
  <c r="P146" i="29"/>
  <c r="AO114" i="45"/>
  <c r="O63" i="38"/>
  <c r="O69" i="38"/>
  <c r="P56" i="45"/>
  <c r="P55" i="45"/>
  <c r="AQ93" i="45"/>
  <c r="AQ94" i="45"/>
  <c r="K94" i="45"/>
  <c r="K93" i="45"/>
  <c r="W25" i="15"/>
  <c r="O175" i="20"/>
  <c r="O137" i="19" s="1"/>
  <c r="O178" i="20"/>
  <c r="O140" i="19" s="1"/>
  <c r="O174" i="20"/>
  <c r="O136" i="19" s="1"/>
  <c r="O177" i="20"/>
  <c r="O139" i="19" s="1"/>
  <c r="P113" i="12"/>
  <c r="O176" i="20"/>
  <c r="O135" i="19"/>
  <c r="P113" i="14" s="1"/>
  <c r="O63" i="42"/>
  <c r="O69" i="42"/>
  <c r="AR74" i="51"/>
  <c r="K253" i="54"/>
  <c r="H310" i="46"/>
  <c r="H315" i="46"/>
  <c r="H312" i="46"/>
  <c r="H313" i="46"/>
  <c r="H311" i="46"/>
  <c r="H314" i="46"/>
  <c r="L317" i="42"/>
  <c r="L320" i="42" s="1"/>
  <c r="L316" i="42"/>
  <c r="T128" i="15"/>
  <c r="S40" i="28"/>
  <c r="T60" i="15"/>
  <c r="T35" i="16"/>
  <c r="R61" i="16"/>
  <c r="Q84" i="29"/>
  <c r="J120" i="36"/>
  <c r="I342" i="38"/>
  <c r="I337" i="38"/>
  <c r="T11" i="15"/>
  <c r="O206" i="38"/>
  <c r="O210" i="38" s="1"/>
  <c r="O207" i="38"/>
  <c r="O211" i="38" s="1"/>
  <c r="O208" i="38"/>
  <c r="O205" i="38"/>
  <c r="O209" i="38" s="1"/>
  <c r="N230" i="46"/>
  <c r="N235" i="46" s="1"/>
  <c r="N228" i="46"/>
  <c r="N233" i="46" s="1"/>
  <c r="N229" i="46"/>
  <c r="N234" i="46" s="1"/>
  <c r="N227" i="46"/>
  <c r="N232" i="46" s="1"/>
  <c r="N226" i="48"/>
  <c r="N231" i="46"/>
  <c r="O108" i="45" s="1"/>
  <c r="I239" i="19"/>
  <c r="I240" i="19"/>
  <c r="I243" i="19"/>
  <c r="I244" i="19"/>
  <c r="I241" i="19"/>
  <c r="I242" i="19"/>
  <c r="M127" i="12"/>
  <c r="J323" i="46"/>
  <c r="J324" i="46"/>
  <c r="J322" i="46"/>
  <c r="J321" i="46"/>
  <c r="P21" i="45"/>
  <c r="L229" i="14"/>
  <c r="P241" i="46"/>
  <c r="P243" i="46" s="1"/>
  <c r="Q240" i="46"/>
  <c r="AR87" i="45"/>
  <c r="AR73" i="45"/>
  <c r="O139" i="16"/>
  <c r="K266" i="20"/>
  <c r="D363" i="48"/>
  <c r="AK120" i="45" s="1"/>
  <c r="D361" i="48"/>
  <c r="P131" i="38"/>
  <c r="P150" i="38" s="1"/>
  <c r="P130" i="38"/>
  <c r="P142" i="38" s="1"/>
  <c r="P132" i="38"/>
  <c r="P158" i="38" s="1"/>
  <c r="L196" i="53"/>
  <c r="L197" i="53" s="1"/>
  <c r="M163" i="53"/>
  <c r="O139" i="46"/>
  <c r="O144" i="46"/>
  <c r="P232" i="42"/>
  <c r="P234" i="42" s="1"/>
  <c r="Q231" i="42"/>
  <c r="AT98" i="45"/>
  <c r="J260" i="20"/>
  <c r="J261" i="20"/>
  <c r="J259" i="20"/>
  <c r="J262" i="20"/>
  <c r="J257" i="20"/>
  <c r="J258" i="20"/>
  <c r="Q47" i="28"/>
  <c r="Q54" i="29"/>
  <c r="Q53" i="29"/>
  <c r="Q50" i="29"/>
  <c r="Q52" i="29"/>
  <c r="Q49" i="29" s="1"/>
  <c r="Q51" i="29"/>
  <c r="Q26" i="20"/>
  <c r="Q44" i="20" s="1"/>
  <c r="R20" i="20"/>
  <c r="O139" i="15"/>
  <c r="L83" i="20"/>
  <c r="L75" i="19" s="1"/>
  <c r="L82" i="20"/>
  <c r="L70" i="19"/>
  <c r="M114" i="14" s="1"/>
  <c r="M114" i="12"/>
  <c r="L80" i="20"/>
  <c r="L81" i="20"/>
  <c r="L79" i="20"/>
  <c r="T21" i="16"/>
  <c r="L317" i="38"/>
  <c r="L320" i="38" s="1"/>
  <c r="L316" i="38"/>
  <c r="T27" i="54"/>
  <c r="T42" i="54" s="1"/>
  <c r="U21" i="54"/>
  <c r="M4" i="55"/>
  <c r="L263" i="20"/>
  <c r="L314" i="20"/>
  <c r="L267" i="20"/>
  <c r="L264" i="20"/>
  <c r="L315" i="20"/>
  <c r="R44" i="53"/>
  <c r="R204" i="53" s="1"/>
  <c r="N116" i="36"/>
  <c r="T27" i="28"/>
  <c r="U21" i="28"/>
  <c r="K189" i="28"/>
  <c r="T40" i="16"/>
  <c r="K110" i="46"/>
  <c r="K115" i="46" s="1"/>
  <c r="K112" i="46"/>
  <c r="K117" i="46" s="1"/>
  <c r="K113" i="46"/>
  <c r="K118" i="46" s="1"/>
  <c r="K111" i="46"/>
  <c r="K116" i="46" s="1"/>
  <c r="K109" i="48"/>
  <c r="K114" i="46"/>
  <c r="L97" i="45" s="1"/>
  <c r="K274" i="46"/>
  <c r="O98" i="19"/>
  <c r="O136" i="15"/>
  <c r="AW54" i="51"/>
  <c r="AW57" i="51"/>
  <c r="AW58" i="51" s="1"/>
  <c r="P65" i="15"/>
  <c r="Q31" i="28"/>
  <c r="Q146" i="28"/>
  <c r="M29" i="19"/>
  <c r="M42" i="19"/>
  <c r="K67" i="19"/>
  <c r="L100" i="14" s="1"/>
  <c r="L100" i="12"/>
  <c r="R131" i="16"/>
  <c r="R129" i="16"/>
  <c r="T21" i="15"/>
  <c r="P295" i="42"/>
  <c r="P296" i="42"/>
  <c r="P293" i="42"/>
  <c r="P294" i="42"/>
  <c r="O214" i="54"/>
  <c r="O213" i="54"/>
  <c r="J151" i="14"/>
  <c r="AP116" i="45"/>
  <c r="AX40" i="45"/>
  <c r="AX39" i="45"/>
  <c r="P296" i="38"/>
  <c r="P293" i="38"/>
  <c r="P294" i="38"/>
  <c r="P295" i="38"/>
  <c r="P67" i="15"/>
  <c r="P46" i="15"/>
  <c r="Q61" i="54"/>
  <c r="Q62" i="54"/>
  <c r="Q65" i="54"/>
  <c r="Q75" i="54" s="1"/>
  <c r="Q76" i="54" s="1"/>
  <c r="Q66" i="54"/>
  <c r="Q73" i="54" s="1"/>
  <c r="Q74" i="54" s="1"/>
  <c r="Q67" i="54"/>
  <c r="Q77" i="54" s="1"/>
  <c r="Q78" i="54" s="1"/>
  <c r="Q64" i="54"/>
  <c r="Q71" i="54" s="1"/>
  <c r="Q72" i="54" s="1"/>
  <c r="R60" i="54"/>
  <c r="O157" i="19"/>
  <c r="P123" i="12"/>
  <c r="O198" i="20"/>
  <c r="K98" i="12"/>
  <c r="K153" i="12"/>
  <c r="M184" i="28"/>
  <c r="V19" i="16"/>
  <c r="V18" i="16"/>
  <c r="V15" i="16"/>
  <c r="V16" i="16"/>
  <c r="W14" i="16"/>
  <c r="V32" i="16"/>
  <c r="V74" i="16" s="1"/>
  <c r="AV58" i="51"/>
  <c r="Q37" i="45"/>
  <c r="Q28" i="45"/>
  <c r="Q29" i="45"/>
  <c r="Q35" i="45"/>
  <c r="Q32" i="45"/>
  <c r="Q36" i="45"/>
  <c r="AW27" i="45"/>
  <c r="Q31" i="45"/>
  <c r="R27" i="45"/>
  <c r="Q54" i="45"/>
  <c r="O186" i="20"/>
  <c r="O148" i="19" s="1"/>
  <c r="O190" i="20"/>
  <c r="O152" i="19" s="1"/>
  <c r="O189" i="20"/>
  <c r="O151" i="19" s="1"/>
  <c r="O188" i="20"/>
  <c r="O150" i="19" s="1"/>
  <c r="O187" i="20"/>
  <c r="O149" i="19" s="1"/>
  <c r="P137" i="12"/>
  <c r="O147" i="19"/>
  <c r="P137" i="14" s="1"/>
  <c r="M290" i="38"/>
  <c r="M291" i="38" s="1"/>
  <c r="M313" i="38"/>
  <c r="M314" i="38" s="1"/>
  <c r="Q241" i="48"/>
  <c r="R240" i="48"/>
  <c r="L117" i="12"/>
  <c r="S25" i="46"/>
  <c r="S40" i="46" s="1"/>
  <c r="T19" i="46"/>
  <c r="J226" i="19"/>
  <c r="J227" i="19"/>
  <c r="J229" i="19"/>
  <c r="J228" i="19"/>
  <c r="L130" i="14"/>
  <c r="AO120" i="36"/>
  <c r="I122" i="36"/>
  <c r="I125" i="36"/>
  <c r="T40" i="15"/>
  <c r="E160" i="12"/>
  <c r="N208" i="46"/>
  <c r="N213" i="46" s="1"/>
  <c r="N210" i="46"/>
  <c r="N215" i="46" s="1"/>
  <c r="N209" i="46"/>
  <c r="N214" i="46" s="1"/>
  <c r="N206" i="48"/>
  <c r="N207" i="46"/>
  <c r="N212" i="46" s="1"/>
  <c r="N211" i="46"/>
  <c r="O89" i="45" s="1"/>
  <c r="V9" i="16"/>
  <c r="V10" i="16" s="1"/>
  <c r="I290" i="20"/>
  <c r="I291" i="20" s="1"/>
  <c r="I292" i="20"/>
  <c r="AU55" i="45"/>
  <c r="AU56" i="45"/>
  <c r="AR84" i="45"/>
  <c r="Q94" i="12"/>
  <c r="P139" i="20"/>
  <c r="P185" i="38"/>
  <c r="P186" i="38"/>
  <c r="K200" i="53"/>
  <c r="K198" i="53"/>
  <c r="K202" i="53"/>
  <c r="K203" i="53"/>
  <c r="K201" i="53"/>
  <c r="K199" i="53"/>
  <c r="O204" i="46"/>
  <c r="O203" i="46"/>
  <c r="N60" i="45"/>
  <c r="N59" i="45"/>
  <c r="N72" i="45" s="1"/>
  <c r="N58" i="45"/>
  <c r="N71" i="45" s="1"/>
  <c r="M37" i="46"/>
  <c r="N104" i="45"/>
  <c r="O236" i="42"/>
  <c r="O240" i="42" s="1"/>
  <c r="O235" i="42"/>
  <c r="O239" i="42" s="1"/>
  <c r="O238" i="42"/>
  <c r="O237" i="42"/>
  <c r="O241" i="42" s="1"/>
  <c r="I335" i="42"/>
  <c r="I333" i="42"/>
  <c r="T47" i="16"/>
  <c r="S37" i="29"/>
  <c r="T125" i="16"/>
  <c r="AN122" i="36"/>
  <c r="AN125" i="36"/>
  <c r="M158" i="48"/>
  <c r="M163" i="48" s="1"/>
  <c r="M156" i="48"/>
  <c r="M161" i="48" s="1"/>
  <c r="M157" i="48"/>
  <c r="M162" i="48" s="1"/>
  <c r="M155" i="48"/>
  <c r="M160" i="48" s="1"/>
  <c r="M159" i="48"/>
  <c r="AY16" i="45"/>
  <c r="S17" i="45"/>
  <c r="S18" i="45" s="1"/>
  <c r="T16" i="45"/>
  <c r="N72" i="42"/>
  <c r="N76" i="42" s="1"/>
  <c r="N71" i="42"/>
  <c r="N75" i="42" s="1"/>
  <c r="N73" i="42"/>
  <c r="N70" i="42"/>
  <c r="N74" i="42" s="1"/>
  <c r="P155" i="19"/>
  <c r="P154" i="19" s="1"/>
  <c r="AS82" i="45"/>
  <c r="AS25" i="45"/>
  <c r="AS26" i="45"/>
  <c r="AS24" i="45"/>
  <c r="L34" i="48"/>
  <c r="J223" i="19"/>
  <c r="J246" i="19"/>
  <c r="J247" i="19" s="1"/>
  <c r="K225" i="14" a="1"/>
  <c r="K225" i="14" s="1"/>
  <c r="K226" i="14"/>
  <c r="K232" i="14" s="1"/>
  <c r="K148" i="14"/>
  <c r="S25" i="53"/>
  <c r="S40" i="53" s="1"/>
  <c r="T19" i="53"/>
  <c r="H334" i="48"/>
  <c r="H339" i="48"/>
  <c r="H338" i="48"/>
  <c r="H337" i="48"/>
  <c r="H335" i="48"/>
  <c r="H336" i="48"/>
  <c r="K318" i="38"/>
  <c r="K319" i="38" s="1"/>
  <c r="K321" i="38" s="1"/>
  <c r="L306" i="38"/>
  <c r="L309" i="38"/>
  <c r="L311" i="38"/>
  <c r="L310" i="38"/>
  <c r="L307" i="38"/>
  <c r="L308" i="38"/>
  <c r="S134" i="54"/>
  <c r="S135" i="54" s="1"/>
  <c r="S138" i="54"/>
  <c r="S139" i="54" s="1"/>
  <c r="S136" i="54"/>
  <c r="S137" i="54" s="1"/>
  <c r="AT89" i="45"/>
  <c r="L265" i="20"/>
  <c r="L288" i="20"/>
  <c r="L289" i="20" s="1"/>
  <c r="R29" i="53"/>
  <c r="N86" i="45"/>
  <c r="O131" i="19"/>
  <c r="Q83" i="28"/>
  <c r="Q70" i="29" s="1"/>
  <c r="Q85" i="28"/>
  <c r="Q72" i="29" s="1"/>
  <c r="Q86" i="28"/>
  <c r="Q84" i="28"/>
  <c r="Q88" i="28"/>
  <c r="Q87" i="28"/>
  <c r="R82" i="28"/>
  <c r="D11" i="55"/>
  <c r="D14" i="55"/>
  <c r="D12" i="55"/>
  <c r="D15" i="55"/>
  <c r="D16" i="55"/>
  <c r="D13" i="55"/>
  <c r="K169" i="28"/>
  <c r="K173" i="28" s="1"/>
  <c r="K170" i="28"/>
  <c r="K72" i="46"/>
  <c r="K77" i="46" s="1"/>
  <c r="K71" i="46"/>
  <c r="K76" i="46" s="1"/>
  <c r="K70" i="46"/>
  <c r="K75" i="46" s="1"/>
  <c r="K73" i="46"/>
  <c r="K78" i="46" s="1"/>
  <c r="K74" i="46"/>
  <c r="L76" i="45" s="1"/>
  <c r="K69" i="48"/>
  <c r="O101" i="19"/>
  <c r="R135" i="53"/>
  <c r="S56" i="51"/>
  <c r="Q208" i="53"/>
  <c r="O135" i="16"/>
  <c r="S25" i="48"/>
  <c r="S40" i="48" s="1"/>
  <c r="T19" i="48"/>
  <c r="P63" i="53"/>
  <c r="P159" i="53" s="1"/>
  <c r="P69" i="53"/>
  <c r="P70" i="53" s="1"/>
  <c r="Q49" i="51" s="1"/>
  <c r="Q258" i="46"/>
  <c r="Q260" i="46" s="1"/>
  <c r="R257" i="46"/>
  <c r="T24" i="54"/>
  <c r="U18" i="54"/>
  <c r="Q58" i="51"/>
  <c r="L147" i="14"/>
  <c r="L95" i="14"/>
  <c r="Q208" i="54"/>
  <c r="P289" i="42"/>
  <c r="T27" i="53"/>
  <c r="T42" i="53" s="1"/>
  <c r="U21" i="53"/>
  <c r="W41" i="15"/>
  <c r="I230" i="19"/>
  <c r="I231" i="19"/>
  <c r="O135" i="15"/>
  <c r="O34" i="45"/>
  <c r="AW69" i="45"/>
  <c r="L171" i="29"/>
  <c r="L174" i="29" s="1"/>
  <c r="L170" i="29"/>
  <c r="P33" i="28"/>
  <c r="P34" i="28"/>
  <c r="U38" i="28"/>
  <c r="V124" i="15"/>
  <c r="V54" i="15"/>
  <c r="P51" i="51"/>
  <c r="AV49" i="51"/>
  <c r="P72" i="51"/>
  <c r="G258" i="19"/>
  <c r="G259" i="19" s="1"/>
  <c r="P67" i="16"/>
  <c r="P46" i="16"/>
  <c r="G119" i="45"/>
  <c r="F365" i="46"/>
  <c r="F370" i="46"/>
  <c r="G125" i="45" s="1"/>
  <c r="AV105" i="45"/>
  <c r="L129" i="14"/>
  <c r="O298" i="42"/>
  <c r="O297" i="42"/>
  <c r="P212" i="54"/>
  <c r="P210" i="54"/>
  <c r="P209" i="54"/>
  <c r="P211" i="54"/>
  <c r="M174" i="28"/>
  <c r="M179" i="28"/>
  <c r="M177" i="28"/>
  <c r="M178" i="28"/>
  <c r="M176" i="28"/>
  <c r="M175" i="28"/>
  <c r="P61" i="38"/>
  <c r="P65" i="38"/>
  <c r="P93" i="38" s="1"/>
  <c r="P62" i="38"/>
  <c r="P64" i="38"/>
  <c r="P77" i="38" s="1"/>
  <c r="P67" i="38"/>
  <c r="P101" i="38" s="1"/>
  <c r="P66" i="38"/>
  <c r="P85" i="38" s="1"/>
  <c r="Q60" i="38"/>
  <c r="N151" i="29"/>
  <c r="N152" i="29"/>
  <c r="O183" i="20"/>
  <c r="O145" i="19" s="1"/>
  <c r="O182" i="20"/>
  <c r="O144" i="19" s="1"/>
  <c r="O181" i="20"/>
  <c r="O143" i="19" s="1"/>
  <c r="O180" i="20"/>
  <c r="O142" i="19" s="1"/>
  <c r="O141" i="19"/>
  <c r="P125" i="14" s="1"/>
  <c r="O184" i="20"/>
  <c r="O146" i="19" s="1"/>
  <c r="Q61" i="28"/>
  <c r="Q57" i="29" s="1"/>
  <c r="Q60" i="28"/>
  <c r="Q63" i="28"/>
  <c r="Q64" i="28"/>
  <c r="R59" i="28"/>
  <c r="O24" i="20"/>
  <c r="P18" i="20"/>
  <c r="L117" i="14"/>
  <c r="M217" i="54"/>
  <c r="M221" i="54" s="1"/>
  <c r="M218" i="54"/>
  <c r="O73" i="51"/>
  <c r="F329" i="48"/>
  <c r="F333" i="48" s="1"/>
  <c r="F330" i="48"/>
  <c r="P61" i="42"/>
  <c r="P66" i="42"/>
  <c r="P85" i="42" s="1"/>
  <c r="P64" i="42"/>
  <c r="P77" i="42" s="1"/>
  <c r="P67" i="42"/>
  <c r="P101" i="42" s="1"/>
  <c r="P62" i="42"/>
  <c r="P65" i="42"/>
  <c r="P93" i="42" s="1"/>
  <c r="Q60" i="42"/>
  <c r="AU105" i="36"/>
  <c r="AU103" i="36"/>
  <c r="N300" i="38"/>
  <c r="N299" i="38"/>
  <c r="O132" i="20"/>
  <c r="O108" i="19" s="1"/>
  <c r="O131" i="20"/>
  <c r="O107" i="19" s="1"/>
  <c r="O129" i="20"/>
  <c r="O105" i="19" s="1"/>
  <c r="P103" i="12"/>
  <c r="O103" i="19"/>
  <c r="P103" i="14" s="1"/>
  <c r="O130" i="20"/>
  <c r="O128" i="20"/>
  <c r="O104" i="19" s="1"/>
  <c r="T24" i="48"/>
  <c r="U18" i="48"/>
  <c r="U18" i="46"/>
  <c r="T24" i="46"/>
  <c r="Q132" i="29"/>
  <c r="Q31" i="29"/>
  <c r="S121" i="15"/>
  <c r="S42" i="15"/>
  <c r="L167" i="28"/>
  <c r="L168" i="28"/>
  <c r="G235" i="19"/>
  <c r="G234" i="19"/>
  <c r="G238" i="19" s="1"/>
  <c r="L127" i="14"/>
  <c r="R146" i="28"/>
  <c r="R31" i="28"/>
  <c r="O135" i="14"/>
  <c r="J224" i="19"/>
  <c r="E268" i="19"/>
  <c r="F156" i="14" s="1"/>
  <c r="E266" i="19"/>
  <c r="N218" i="46"/>
  <c r="N223" i="46" s="1"/>
  <c r="N220" i="46"/>
  <c r="N225" i="46" s="1"/>
  <c r="N216" i="48"/>
  <c r="N221" i="46"/>
  <c r="O99" i="45" s="1"/>
  <c r="N217" i="46"/>
  <c r="N222" i="46" s="1"/>
  <c r="N219" i="46"/>
  <c r="N224" i="46" s="1"/>
  <c r="S28" i="28"/>
  <c r="S46" i="28" s="1"/>
  <c r="T22" i="28"/>
  <c r="AU33" i="45"/>
  <c r="N152" i="42"/>
  <c r="N156" i="42" s="1"/>
  <c r="N151" i="42"/>
  <c r="N155" i="42" s="1"/>
  <c r="N153" i="42"/>
  <c r="N157" i="42" s="1"/>
  <c r="N154" i="42"/>
  <c r="J71" i="48"/>
  <c r="J76" i="48" s="1"/>
  <c r="J72" i="48"/>
  <c r="J77" i="48" s="1"/>
  <c r="J73" i="48"/>
  <c r="J78" i="48" s="1"/>
  <c r="J74" i="48"/>
  <c r="J70" i="48"/>
  <c r="J75" i="48" s="1"/>
  <c r="L141" i="12"/>
  <c r="AV67" i="51"/>
  <c r="Q47" i="29"/>
  <c r="Q142" i="29" s="1"/>
  <c r="P131" i="20"/>
  <c r="P107" i="19" s="1"/>
  <c r="P28" i="19"/>
  <c r="P46" i="19" s="1"/>
  <c r="P167" i="19" s="1"/>
  <c r="P166" i="19" s="1"/>
  <c r="Q22" i="19"/>
  <c r="K152" i="12"/>
  <c r="O304" i="38"/>
  <c r="O303" i="38"/>
  <c r="O315" i="38" s="1"/>
  <c r="P129" i="38"/>
  <c r="P134" i="38"/>
  <c r="E164" i="12"/>
  <c r="D318" i="20"/>
  <c r="E165" i="12" s="1"/>
  <c r="X7" i="16"/>
  <c r="Y6" i="16"/>
  <c r="AT67" i="45"/>
  <c r="AT23" i="45"/>
  <c r="N206" i="53"/>
  <c r="N207" i="53" s="1"/>
  <c r="N229" i="53"/>
  <c r="N230" i="53" s="1"/>
  <c r="AX17" i="45"/>
  <c r="AX18" i="45" s="1"/>
  <c r="N243" i="42"/>
  <c r="N246" i="42"/>
  <c r="S28" i="48"/>
  <c r="T22" i="48"/>
  <c r="L106" i="12"/>
  <c r="K77" i="19"/>
  <c r="L106" i="14" s="1"/>
  <c r="AS70" i="45"/>
  <c r="R110" i="53"/>
  <c r="R111" i="53" s="1"/>
  <c r="R108" i="53"/>
  <c r="R109" i="53" s="1"/>
  <c r="R104" i="53"/>
  <c r="R105" i="53" s="1"/>
  <c r="S53" i="51" s="1"/>
  <c r="R106" i="53"/>
  <c r="R107" i="53" s="1"/>
  <c r="S62" i="51" s="1"/>
  <c r="K251" i="53"/>
  <c r="L75" i="51" s="1"/>
  <c r="K249" i="53"/>
  <c r="M302" i="38"/>
  <c r="M301" i="38"/>
  <c r="M305" i="38" s="1"/>
  <c r="Q31" i="53"/>
  <c r="Q194" i="53"/>
  <c r="H331" i="48"/>
  <c r="H343" i="48" s="1"/>
  <c r="H344" i="48" s="1"/>
  <c r="H332" i="48"/>
  <c r="K102" i="45"/>
  <c r="AQ103" i="45"/>
  <c r="K101" i="45"/>
  <c r="AQ102" i="45"/>
  <c r="AQ101" i="45"/>
  <c r="K103" i="45"/>
  <c r="N85" i="45"/>
  <c r="S60" i="15"/>
  <c r="R40" i="28"/>
  <c r="S128" i="15"/>
  <c r="O130" i="19"/>
  <c r="K169" i="12"/>
  <c r="Q58" i="15"/>
  <c r="P73" i="29"/>
  <c r="Q58" i="16" s="1"/>
  <c r="L47" i="19"/>
  <c r="L62" i="19"/>
  <c r="D125" i="45"/>
  <c r="C371" i="46"/>
  <c r="D126" i="45" s="1"/>
  <c r="J69" i="16"/>
  <c r="I196" i="29"/>
  <c r="I191" i="29"/>
  <c r="N198" i="42"/>
  <c r="N202" i="42" s="1"/>
  <c r="N199" i="42"/>
  <c r="N203" i="42" s="1"/>
  <c r="N200" i="42"/>
  <c r="N197" i="42"/>
  <c r="N201" i="42" s="1"/>
  <c r="K82" i="46"/>
  <c r="K87" i="46" s="1"/>
  <c r="K80" i="46"/>
  <c r="K85" i="46" s="1"/>
  <c r="K81" i="46"/>
  <c r="K86" i="46" s="1"/>
  <c r="K83" i="46"/>
  <c r="K88" i="46" s="1"/>
  <c r="K79" i="48"/>
  <c r="K84" i="46"/>
  <c r="L90" i="45" s="1"/>
  <c r="AY63" i="51"/>
  <c r="M153" i="29"/>
  <c r="M154" i="29"/>
  <c r="R332" i="42"/>
  <c r="L196" i="54"/>
  <c r="L197" i="54" s="1"/>
  <c r="M163" i="54"/>
  <c r="P262" i="46"/>
  <c r="P267" i="46" s="1"/>
  <c r="P264" i="46"/>
  <c r="P269" i="46" s="1"/>
  <c r="P261" i="46"/>
  <c r="P266" i="46" s="1"/>
  <c r="P265" i="46"/>
  <c r="Q105" i="45" s="1"/>
  <c r="P260" i="48"/>
  <c r="P263" i="46"/>
  <c r="P268" i="46" s="1"/>
  <c r="S39" i="54"/>
  <c r="N141" i="15"/>
  <c r="N142" i="15" s="1"/>
  <c r="K65" i="19"/>
  <c r="L96" i="14" s="1"/>
  <c r="L96" i="12"/>
  <c r="S26" i="42"/>
  <c r="S41" i="42" s="1"/>
  <c r="T20" i="42"/>
  <c r="R332" i="38"/>
  <c r="S134" i="53"/>
  <c r="S138" i="53"/>
  <c r="S139" i="53" s="1"/>
  <c r="T69" i="51" s="1"/>
  <c r="S136" i="53"/>
  <c r="S137" i="53" s="1"/>
  <c r="T63" i="51" s="1"/>
  <c r="AW18" i="45"/>
  <c r="P127" i="42"/>
  <c r="P128" i="42"/>
  <c r="Q126" i="42"/>
  <c r="L160" i="29"/>
  <c r="L162" i="29"/>
  <c r="L164" i="29"/>
  <c r="L165" i="29"/>
  <c r="L163" i="29"/>
  <c r="L161" i="29"/>
  <c r="AT107" i="45"/>
  <c r="O160" i="28"/>
  <c r="O157" i="28"/>
  <c r="AP118" i="45"/>
  <c r="R41" i="45"/>
  <c r="P289" i="38"/>
  <c r="G122" i="45"/>
  <c r="S25" i="29"/>
  <c r="S43" i="29" s="1"/>
  <c r="T19" i="29"/>
  <c r="O303" i="42"/>
  <c r="O315" i="42" s="1"/>
  <c r="O304" i="42"/>
  <c r="H327" i="46"/>
  <c r="H328" i="46"/>
  <c r="O137" i="38"/>
  <c r="O141" i="38" s="1"/>
  <c r="O135" i="38"/>
  <c r="O139" i="38" s="1"/>
  <c r="O138" i="38"/>
  <c r="P85" i="36" s="1"/>
  <c r="O136" i="38"/>
  <c r="O140" i="38" s="1"/>
  <c r="O87" i="38"/>
  <c r="O91" i="38" s="1"/>
  <c r="O88" i="38"/>
  <c r="O92" i="38" s="1"/>
  <c r="O89" i="38"/>
  <c r="O86" i="38"/>
  <c r="O90" i="38" s="1"/>
  <c r="I213" i="19"/>
  <c r="I214" i="19" s="1"/>
  <c r="J180" i="19"/>
  <c r="AP91" i="45"/>
  <c r="AP114" i="45" s="1"/>
  <c r="P33" i="45"/>
  <c r="Q56" i="15"/>
  <c r="P60" i="29"/>
  <c r="Q56" i="16" s="1"/>
  <c r="S26" i="38"/>
  <c r="S41" i="38" s="1"/>
  <c r="T20" i="38"/>
  <c r="N29" i="20"/>
  <c r="N42" i="20"/>
  <c r="K203" i="28"/>
  <c r="L70" i="15" s="1"/>
  <c r="K201" i="28"/>
  <c r="J275" i="46"/>
  <c r="I308" i="46"/>
  <c r="I309" i="46" s="1"/>
  <c r="O87" i="42"/>
  <c r="O91" i="42" s="1"/>
  <c r="O88" i="42"/>
  <c r="O92" i="42" s="1"/>
  <c r="O89" i="42"/>
  <c r="O86" i="42"/>
  <c r="O90" i="42" s="1"/>
  <c r="P66" i="15"/>
  <c r="Q61" i="48"/>
  <c r="Q67" i="48"/>
  <c r="Q66" i="48"/>
  <c r="Q65" i="48"/>
  <c r="Q62" i="48"/>
  <c r="Q64" i="48"/>
  <c r="R60" i="48"/>
  <c r="BT11" i="55"/>
  <c r="BT19" i="55" s="1"/>
  <c r="BT13" i="55"/>
  <c r="BT12" i="55"/>
  <c r="BT15" i="55"/>
  <c r="BT16" i="55"/>
  <c r="BT14" i="55"/>
  <c r="P59" i="16"/>
  <c r="AX56" i="51"/>
  <c r="AT108" i="45"/>
  <c r="L231" i="12"/>
  <c r="M233" i="53"/>
  <c r="M236" i="53" s="1"/>
  <c r="M232" i="53"/>
  <c r="O86" i="36"/>
  <c r="O89" i="36" s="1"/>
  <c r="AU85" i="36"/>
  <c r="AU86" i="36" s="1"/>
  <c r="AU89" i="36" s="1"/>
  <c r="P25" i="19"/>
  <c r="P43" i="19" s="1"/>
  <c r="P97" i="19" s="1"/>
  <c r="Q19" i="19"/>
  <c r="F258" i="19"/>
  <c r="F259" i="19" s="1"/>
  <c r="T27" i="42"/>
  <c r="T42" i="42" s="1"/>
  <c r="U21" i="42"/>
  <c r="S122" i="15"/>
  <c r="S132" i="15" s="1"/>
  <c r="AV107" i="36"/>
  <c r="R85" i="29"/>
  <c r="S61" i="15"/>
  <c r="M72" i="45"/>
  <c r="N159" i="42"/>
  <c r="N163" i="42" s="1"/>
  <c r="N160" i="42"/>
  <c r="N164" i="42" s="1"/>
  <c r="N162" i="42"/>
  <c r="N161" i="42"/>
  <c r="N165" i="42" s="1"/>
  <c r="K81" i="45"/>
  <c r="K80" i="45"/>
  <c r="K79" i="45"/>
  <c r="AQ80" i="45"/>
  <c r="AQ81" i="45"/>
  <c r="AQ79" i="45"/>
  <c r="L141" i="14"/>
  <c r="P207" i="28"/>
  <c r="P208" i="28"/>
  <c r="P156" i="28"/>
  <c r="R360" i="48"/>
  <c r="D161" i="14"/>
  <c r="S26" i="48"/>
  <c r="S41" i="48" s="1"/>
  <c r="T20" i="48"/>
  <c r="AP78" i="45"/>
  <c r="M76" i="19"/>
  <c r="N104" i="14" s="1"/>
  <c r="M88" i="20"/>
  <c r="M89" i="20"/>
  <c r="N104" i="12"/>
  <c r="M86" i="20"/>
  <c r="M78" i="19" s="1"/>
  <c r="M85" i="20"/>
  <c r="M87" i="20"/>
  <c r="L95" i="20"/>
  <c r="L87" i="19" s="1"/>
  <c r="L92" i="20"/>
  <c r="L91" i="20"/>
  <c r="L93" i="20"/>
  <c r="L82" i="19"/>
  <c r="M124" i="14" s="1"/>
  <c r="L94" i="20"/>
  <c r="T39" i="16"/>
  <c r="N300" i="42"/>
  <c r="N299" i="42"/>
  <c r="U33" i="15"/>
  <c r="U34" i="15"/>
  <c r="Q55" i="15"/>
  <c r="P82" i="29"/>
  <c r="Q55" i="16" s="1"/>
  <c r="M280" i="38"/>
  <c r="M281" i="38" s="1"/>
  <c r="N247" i="38"/>
  <c r="L142" i="12"/>
  <c r="L105" i="12"/>
  <c r="L148" i="12" s="1"/>
  <c r="L169" i="12" s="1"/>
  <c r="L226" i="12"/>
  <c r="AT57" i="45"/>
  <c r="H72" i="16"/>
  <c r="G197" i="29"/>
  <c r="H73" i="16" s="1"/>
  <c r="J150" i="12"/>
  <c r="S25" i="38"/>
  <c r="S40" i="38" s="1"/>
  <c r="T19" i="38"/>
  <c r="M95" i="20"/>
  <c r="M87" i="19" s="1"/>
  <c r="M82" i="19"/>
  <c r="N124" i="14" s="1"/>
  <c r="M92" i="20"/>
  <c r="M93" i="20"/>
  <c r="M91" i="20"/>
  <c r="M94" i="20"/>
  <c r="M86" i="19" s="1"/>
  <c r="O68" i="45"/>
  <c r="Q21" i="45"/>
  <c r="AV21" i="45"/>
  <c r="AT77" i="45"/>
  <c r="R29" i="48"/>
  <c r="J203" i="28"/>
  <c r="K70" i="15" s="1"/>
  <c r="J201" i="28"/>
  <c r="AJ125" i="45"/>
  <c r="C371" i="48"/>
  <c r="AJ126" i="45" s="1"/>
  <c r="J74" i="51"/>
  <c r="I253" i="53"/>
  <c r="N84" i="45"/>
  <c r="Q45" i="15"/>
  <c r="P74" i="29"/>
  <c r="Q45" i="16" s="1"/>
  <c r="L31" i="19"/>
  <c r="L211" i="19"/>
  <c r="N206" i="42"/>
  <c r="N210" i="42" s="1"/>
  <c r="N205" i="42"/>
  <c r="N209" i="42" s="1"/>
  <c r="N207" i="42"/>
  <c r="N211" i="42" s="1"/>
  <c r="N208" i="42"/>
  <c r="K317" i="46"/>
  <c r="K320" i="46"/>
  <c r="O99" i="19"/>
  <c r="AY69" i="51"/>
  <c r="N222" i="54"/>
  <c r="N225" i="54"/>
  <c r="N227" i="54"/>
  <c r="N223" i="54"/>
  <c r="N226" i="54"/>
  <c r="N224" i="54"/>
  <c r="N162" i="28"/>
  <c r="N161" i="28"/>
  <c r="N164" i="28"/>
  <c r="N163" i="28"/>
  <c r="K203" i="54"/>
  <c r="K202" i="54"/>
  <c r="K200" i="54"/>
  <c r="K198" i="54"/>
  <c r="K201" i="54"/>
  <c r="K199" i="54"/>
  <c r="H294" i="20"/>
  <c r="H296" i="20" s="1"/>
  <c r="H295" i="20"/>
  <c r="N140" i="15"/>
  <c r="J325" i="42"/>
  <c r="J326" i="42" s="1"/>
  <c r="L99" i="14"/>
  <c r="Q25" i="20"/>
  <c r="Q43" i="20" s="1"/>
  <c r="R19" i="20"/>
  <c r="O134" i="16"/>
  <c r="O68" i="16"/>
  <c r="O133" i="16" a="1"/>
  <c r="O133" i="16" s="1"/>
  <c r="O77" i="16"/>
  <c r="O220" i="54"/>
  <c r="O219" i="54"/>
  <c r="O231" i="54" s="1"/>
  <c r="O129" i="42"/>
  <c r="O134" i="42"/>
  <c r="E155" i="14"/>
  <c r="D270" i="19"/>
  <c r="D275" i="19"/>
  <c r="AQ106" i="45"/>
  <c r="K109" i="45"/>
  <c r="AV98" i="36"/>
  <c r="AV102" i="36" s="1"/>
  <c r="P102" i="36"/>
  <c r="O110" i="36"/>
  <c r="J116" i="45"/>
  <c r="J115" i="45"/>
  <c r="O57" i="45"/>
  <c r="F310" i="20"/>
  <c r="G156" i="12" s="1"/>
  <c r="F308" i="20"/>
  <c r="S28" i="46"/>
  <c r="T22" i="46"/>
  <c r="N138" i="19"/>
  <c r="K34" i="19"/>
  <c r="K33" i="19"/>
  <c r="U20" i="16"/>
  <c r="P65" i="20"/>
  <c r="P64" i="20"/>
  <c r="Q63" i="20"/>
  <c r="U38" i="29"/>
  <c r="V124" i="16"/>
  <c r="V54" i="16"/>
  <c r="O96" i="38"/>
  <c r="O100" i="38" s="1"/>
  <c r="O94" i="38"/>
  <c r="O98" i="38" s="1"/>
  <c r="O97" i="38"/>
  <c r="P108" i="36" s="1"/>
  <c r="AV108" i="36" s="1"/>
  <c r="O95" i="38"/>
  <c r="O99" i="38" s="1"/>
  <c r="P30" i="45"/>
  <c r="X23" i="15"/>
  <c r="X24" i="15"/>
  <c r="Y22" i="15"/>
  <c r="P62" i="28"/>
  <c r="Q44" i="15"/>
  <c r="P56" i="29"/>
  <c r="Q44" i="16" s="1"/>
  <c r="K149" i="12"/>
  <c r="H71" i="15"/>
  <c r="L308" i="42"/>
  <c r="L311" i="42"/>
  <c r="L306" i="42"/>
  <c r="L310" i="42"/>
  <c r="L309" i="42"/>
  <c r="L307" i="42"/>
  <c r="H308" i="48"/>
  <c r="H309" i="48" s="1"/>
  <c r="I275" i="48"/>
  <c r="BU9" i="55"/>
  <c r="I203" i="28"/>
  <c r="J70" i="15" s="1"/>
  <c r="I201" i="28"/>
  <c r="M222" i="53"/>
  <c r="M225" i="53"/>
  <c r="M223" i="53"/>
  <c r="M227" i="53"/>
  <c r="M224" i="53"/>
  <c r="M226" i="53"/>
  <c r="O141" i="20"/>
  <c r="O117" i="19" s="1"/>
  <c r="O142" i="20"/>
  <c r="O118" i="19" s="1"/>
  <c r="O140" i="20"/>
  <c r="O116" i="19" s="1"/>
  <c r="O143" i="20"/>
  <c r="O119" i="19" s="1"/>
  <c r="O144" i="20"/>
  <c r="O120" i="19" s="1"/>
  <c r="O115" i="19"/>
  <c r="P94" i="14" s="1"/>
  <c r="Q154" i="54"/>
  <c r="Q156" i="54" s="1"/>
  <c r="R153" i="54"/>
  <c r="Q200" i="48"/>
  <c r="Q137" i="48"/>
  <c r="Q201" i="48"/>
  <c r="Q138" i="48"/>
  <c r="R136" i="48"/>
  <c r="X23" i="16"/>
  <c r="X24" i="16"/>
  <c r="Y22" i="16"/>
  <c r="N71" i="38"/>
  <c r="N75" i="38" s="1"/>
  <c r="N73" i="38"/>
  <c r="O78" i="36" s="1"/>
  <c r="N72" i="38"/>
  <c r="N76" i="38" s="1"/>
  <c r="N70" i="38"/>
  <c r="N74" i="38" s="1"/>
  <c r="M33" i="46"/>
  <c r="M39" i="46" s="1"/>
  <c r="N75" i="45"/>
  <c r="L33" i="48"/>
  <c r="L39" i="48" s="1"/>
  <c r="AS75" i="45"/>
  <c r="Q265" i="19"/>
  <c r="R307" i="20"/>
  <c r="N143" i="42"/>
  <c r="N147" i="42" s="1"/>
  <c r="N146" i="42"/>
  <c r="N145" i="42"/>
  <c r="N149" i="42" s="1"/>
  <c r="N144" i="42"/>
  <c r="N148" i="42" s="1"/>
  <c r="K270" i="20"/>
  <c r="K271" i="20"/>
  <c r="K269" i="20"/>
  <c r="K268" i="20"/>
  <c r="S25" i="42"/>
  <c r="S40" i="42" s="1"/>
  <c r="T19" i="42"/>
  <c r="E157" i="12"/>
  <c r="E163" i="12"/>
  <c r="J150" i="14"/>
  <c r="G345" i="48"/>
  <c r="W41" i="16"/>
  <c r="J272" i="20"/>
  <c r="J273" i="20"/>
  <c r="M280" i="42"/>
  <c r="M281" i="42" s="1"/>
  <c r="N247" i="42"/>
  <c r="J317" i="48"/>
  <c r="J320" i="48"/>
  <c r="R69" i="45"/>
  <c r="AO126" i="36"/>
  <c r="H343" i="42"/>
  <c r="AO127" i="36" s="1"/>
  <c r="V19" i="15"/>
  <c r="V16" i="15"/>
  <c r="V18" i="15"/>
  <c r="V15" i="15"/>
  <c r="W14" i="15"/>
  <c r="V32" i="15"/>
  <c r="V74" i="15" s="1"/>
  <c r="Q108" i="28"/>
  <c r="R107" i="28"/>
  <c r="L284" i="38"/>
  <c r="L282" i="38"/>
  <c r="L283" i="38"/>
  <c r="L285" i="38"/>
  <c r="L286" i="38"/>
  <c r="L287" i="38"/>
  <c r="L142" i="14"/>
  <c r="L111" i="12"/>
  <c r="K80" i="19"/>
  <c r="L111" i="14" s="1"/>
  <c r="AR128" i="36"/>
  <c r="Q62" i="46"/>
  <c r="Q67" i="46"/>
  <c r="Q66" i="46"/>
  <c r="Q89" i="46" s="1"/>
  <c r="Q65" i="46"/>
  <c r="Q64" i="46"/>
  <c r="Q61" i="46"/>
  <c r="R60" i="46"/>
  <c r="M71" i="45"/>
  <c r="M165" i="48"/>
  <c r="M170" i="48" s="1"/>
  <c r="M166" i="48"/>
  <c r="M171" i="48" s="1"/>
  <c r="M168" i="48"/>
  <c r="M173" i="48" s="1"/>
  <c r="M169" i="48"/>
  <c r="M167" i="48"/>
  <c r="M172" i="48" s="1"/>
  <c r="L234" i="54"/>
  <c r="L235" i="54" s="1"/>
  <c r="L237" i="54" s="1"/>
  <c r="L258" i="54" s="1"/>
  <c r="H325" i="48"/>
  <c r="H326" i="48"/>
  <c r="T22" i="42"/>
  <c r="S28" i="42"/>
  <c r="S43" i="42" s="1"/>
  <c r="AJ11" i="55"/>
  <c r="AJ16" i="55"/>
  <c r="AJ14" i="55"/>
  <c r="AJ12" i="55"/>
  <c r="AJ15" i="55"/>
  <c r="AJ13" i="55"/>
  <c r="AV64" i="51"/>
  <c r="P71" i="29"/>
  <c r="Q48" i="16" s="1"/>
  <c r="Q48" i="15"/>
  <c r="D121" i="45"/>
  <c r="D124" i="45"/>
  <c r="D123" i="45"/>
  <c r="R68" i="51"/>
  <c r="R50" i="51"/>
  <c r="N189" i="42"/>
  <c r="N193" i="42" s="1"/>
  <c r="N190" i="42"/>
  <c r="N194" i="42" s="1"/>
  <c r="N192" i="42"/>
  <c r="N191" i="42"/>
  <c r="N195" i="42" s="1"/>
  <c r="L134" i="29"/>
  <c r="L135" i="29" s="1"/>
  <c r="M101" i="29"/>
  <c r="I324" i="48"/>
  <c r="I321" i="48"/>
  <c r="I322" i="48"/>
  <c r="I323" i="48"/>
  <c r="Q66" i="53"/>
  <c r="Q73" i="53" s="1"/>
  <c r="Q74" i="53" s="1"/>
  <c r="Q67" i="53"/>
  <c r="Q77" i="53" s="1"/>
  <c r="Q78" i="53" s="1"/>
  <c r="R61" i="51" s="1"/>
  <c r="Q64" i="53"/>
  <c r="Q71" i="53" s="1"/>
  <c r="Q72" i="53" s="1"/>
  <c r="R57" i="51" s="1"/>
  <c r="Q65" i="53"/>
  <c r="Q75" i="53" s="1"/>
  <c r="Q62" i="53"/>
  <c r="Q61" i="53"/>
  <c r="R60" i="53"/>
  <c r="M148" i="28"/>
  <c r="M149" i="28" s="1"/>
  <c r="N214" i="28"/>
  <c r="I325" i="46"/>
  <c r="I326" i="46"/>
  <c r="L101" i="12"/>
  <c r="K68" i="19"/>
  <c r="L101" i="14" s="1"/>
  <c r="P183" i="42"/>
  <c r="P182" i="42"/>
  <c r="Q181" i="42"/>
  <c r="Q126" i="12"/>
  <c r="P145" i="20"/>
  <c r="L85" i="20"/>
  <c r="L89" i="20"/>
  <c r="L87" i="20"/>
  <c r="L88" i="20"/>
  <c r="L76" i="19"/>
  <c r="M104" i="14" s="1"/>
  <c r="M104" i="12"/>
  <c r="L86" i="20"/>
  <c r="L78" i="19" s="1"/>
  <c r="F155" i="12"/>
  <c r="E312" i="20"/>
  <c r="E317" i="20"/>
  <c r="I236" i="19"/>
  <c r="I248" i="19" s="1"/>
  <c r="I249" i="19" s="1"/>
  <c r="I237" i="19"/>
  <c r="O130" i="42"/>
  <c r="O142" i="42" s="1"/>
  <c r="O132" i="42"/>
  <c r="O158" i="42" s="1"/>
  <c r="O131" i="42"/>
  <c r="O150" i="42" s="1"/>
  <c r="E158" i="14"/>
  <c r="E162" i="14"/>
  <c r="T24" i="53"/>
  <c r="U18" i="53"/>
  <c r="AU110" i="36"/>
  <c r="S28" i="38"/>
  <c r="S43" i="38" s="1"/>
  <c r="T22" i="38"/>
  <c r="J118" i="45"/>
  <c r="K179" i="19"/>
  <c r="R43" i="46"/>
  <c r="Q292" i="38"/>
  <c r="Q289" i="38"/>
  <c r="I72" i="16"/>
  <c r="H197" i="29"/>
  <c r="I73" i="16" s="1"/>
  <c r="U21" i="29"/>
  <c r="T27" i="29"/>
  <c r="O66" i="20"/>
  <c r="O79" i="38"/>
  <c r="O83" i="38" s="1"/>
  <c r="O80" i="38"/>
  <c r="O84" i="38" s="1"/>
  <c r="O81" i="38"/>
  <c r="P92" i="36" s="1"/>
  <c r="AV92" i="36" s="1"/>
  <c r="O78" i="38"/>
  <c r="O82" i="38" s="1"/>
  <c r="H218" i="19"/>
  <c r="H217" i="19"/>
  <c r="H215" i="19"/>
  <c r="H216" i="19"/>
  <c r="H220" i="19"/>
  <c r="H219" i="19"/>
  <c r="J151" i="12"/>
  <c r="AV37" i="45"/>
  <c r="AV28" i="45"/>
  <c r="AV35" i="45"/>
  <c r="AV29" i="45"/>
  <c r="AV32" i="45"/>
  <c r="AV31" i="45"/>
  <c r="AV36" i="45"/>
  <c r="AV54" i="45"/>
  <c r="L59" i="19"/>
  <c r="M221" i="20"/>
  <c r="M47" i="20"/>
  <c r="M218" i="20" s="1"/>
  <c r="M52" i="19"/>
  <c r="M49" i="19" s="1"/>
  <c r="M177" i="19" s="1"/>
  <c r="M55" i="19"/>
  <c r="M53" i="19"/>
  <c r="M54" i="19"/>
  <c r="M50" i="19"/>
  <c r="M51" i="19"/>
  <c r="M57" i="19"/>
  <c r="M72" i="20"/>
  <c r="M220" i="20" s="1"/>
  <c r="N93" i="12"/>
  <c r="M58" i="19"/>
  <c r="K172" i="29"/>
  <c r="K173" i="29" s="1"/>
  <c r="K175" i="29" s="1"/>
  <c r="N157" i="29"/>
  <c r="N169" i="29" s="1"/>
  <c r="N158" i="29"/>
  <c r="J187" i="29"/>
  <c r="J189" i="29"/>
  <c r="K70" i="16" s="1"/>
  <c r="K149" i="14"/>
  <c r="S26" i="54"/>
  <c r="S41" i="54" s="1"/>
  <c r="S147" i="54" s="1"/>
  <c r="S148" i="54" s="1"/>
  <c r="T20" i="54"/>
  <c r="J335" i="38"/>
  <c r="K121" i="36" s="1"/>
  <c r="AQ121" i="36" s="1"/>
  <c r="J333" i="38"/>
  <c r="P132" i="19" l="1"/>
  <c r="P133" i="19"/>
  <c r="H251" i="19"/>
  <c r="H252" i="19" s="1"/>
  <c r="P130" i="19"/>
  <c r="N232" i="54"/>
  <c r="N133" i="14"/>
  <c r="L186" i="28"/>
  <c r="L187" i="28" s="1"/>
  <c r="L189" i="28" s="1"/>
  <c r="O103" i="36"/>
  <c r="R29" i="42"/>
  <c r="P130" i="20"/>
  <c r="P128" i="20"/>
  <c r="P104" i="19" s="1"/>
  <c r="T18" i="42"/>
  <c r="S24" i="42"/>
  <c r="S39" i="42" s="1"/>
  <c r="Q103" i="12"/>
  <c r="P103" i="19"/>
  <c r="Q103" i="14" s="1"/>
  <c r="R29" i="38"/>
  <c r="R31" i="38" s="1"/>
  <c r="L225" i="12" a="1"/>
  <c r="L225" i="12" s="1"/>
  <c r="P132" i="20"/>
  <c r="P108" i="19" s="1"/>
  <c r="S24" i="38"/>
  <c r="S39" i="38" s="1"/>
  <c r="T18" i="38"/>
  <c r="P96" i="19"/>
  <c r="P95" i="19" s="1"/>
  <c r="P98" i="19"/>
  <c r="M185" i="28"/>
  <c r="M188" i="28" s="1"/>
  <c r="M193" i="28" s="1"/>
  <c r="M194" i="28" s="1"/>
  <c r="P109" i="19"/>
  <c r="Q126" i="14" s="1"/>
  <c r="F363" i="48"/>
  <c r="AM120" i="45" s="1"/>
  <c r="P99" i="19"/>
  <c r="P137" i="20"/>
  <c r="P113" i="19" s="1"/>
  <c r="P101" i="19"/>
  <c r="G211" i="28"/>
  <c r="H73" i="15" s="1"/>
  <c r="P138" i="20"/>
  <c r="P114" i="19" s="1"/>
  <c r="P100" i="19"/>
  <c r="P135" i="20"/>
  <c r="P111" i="19" s="1"/>
  <c r="D6" i="55"/>
  <c r="P136" i="20"/>
  <c r="P112" i="19" s="1"/>
  <c r="Q89" i="29"/>
  <c r="Q65" i="16"/>
  <c r="Q139" i="16" s="1"/>
  <c r="AR110" i="45"/>
  <c r="F10" i="55"/>
  <c r="F13" i="55" s="1"/>
  <c r="AR112" i="45"/>
  <c r="L176" i="19"/>
  <c r="Q202" i="48"/>
  <c r="AR111" i="45"/>
  <c r="AU67" i="45"/>
  <c r="AK10" i="55"/>
  <c r="AK16" i="55" s="1"/>
  <c r="BT7" i="55"/>
  <c r="O140" i="16"/>
  <c r="D7" i="55"/>
  <c r="O141" i="16"/>
  <c r="O142" i="16" s="1"/>
  <c r="Q63" i="48"/>
  <c r="L259" i="54"/>
  <c r="AS78" i="51" s="1"/>
  <c r="AS77" i="51"/>
  <c r="K223" i="19"/>
  <c r="K246" i="19"/>
  <c r="K247" i="19" s="1"/>
  <c r="Q49" i="16"/>
  <c r="S44" i="38"/>
  <c r="S288" i="38" s="1"/>
  <c r="Q93" i="46"/>
  <c r="Q98" i="46" s="1"/>
  <c r="Q90" i="46"/>
  <c r="Q95" i="46" s="1"/>
  <c r="Q89" i="48"/>
  <c r="Q94" i="46"/>
  <c r="Q91" i="46"/>
  <c r="Q92" i="46"/>
  <c r="Q97" i="46" s="1"/>
  <c r="Q82" i="29"/>
  <c r="R55" i="16" s="1"/>
  <c r="R55" i="15"/>
  <c r="G348" i="48"/>
  <c r="R154" i="54"/>
  <c r="R156" i="54" s="1"/>
  <c r="S153" i="54"/>
  <c r="P58" i="29"/>
  <c r="P213" i="28"/>
  <c r="P114" i="28"/>
  <c r="P66" i="20"/>
  <c r="Q145" i="20"/>
  <c r="R126" i="12"/>
  <c r="K321" i="46"/>
  <c r="K324" i="46"/>
  <c r="K322" i="46"/>
  <c r="K323" i="46"/>
  <c r="L34" i="19"/>
  <c r="L33" i="19"/>
  <c r="M284" i="38"/>
  <c r="M285" i="38"/>
  <c r="M287" i="38"/>
  <c r="M283" i="38"/>
  <c r="M286" i="38"/>
  <c r="M282" i="38"/>
  <c r="M79" i="19"/>
  <c r="N110" i="14" s="1"/>
  <c r="N110" i="12"/>
  <c r="AQ116" i="45"/>
  <c r="S29" i="48"/>
  <c r="J308" i="46"/>
  <c r="J309" i="46" s="1"/>
  <c r="K275" i="46"/>
  <c r="N31" i="20"/>
  <c r="CA4" i="55"/>
  <c r="N253" i="20"/>
  <c r="Q127" i="42"/>
  <c r="Q128" i="42"/>
  <c r="R126" i="42"/>
  <c r="AZ69" i="51"/>
  <c r="AW105" i="45"/>
  <c r="N241" i="54"/>
  <c r="N242" i="54" s="1"/>
  <c r="AT70" i="45"/>
  <c r="Q28" i="19"/>
  <c r="Q46" i="19" s="1"/>
  <c r="R22" i="19"/>
  <c r="S85" i="29"/>
  <c r="T61" i="15"/>
  <c r="F155" i="14"/>
  <c r="E270" i="19"/>
  <c r="E275" i="19"/>
  <c r="L227" i="14"/>
  <c r="L169" i="28"/>
  <c r="L173" i="28" s="1"/>
  <c r="L170" i="28"/>
  <c r="N153" i="29"/>
  <c r="N154" i="29"/>
  <c r="P63" i="38"/>
  <c r="P69" i="38"/>
  <c r="L179" i="29"/>
  <c r="T136" i="53"/>
  <c r="T137" i="53" s="1"/>
  <c r="U63" i="51" s="1"/>
  <c r="T138" i="53"/>
  <c r="T139" i="53" s="1"/>
  <c r="U69" i="51" s="1"/>
  <c r="T134" i="53"/>
  <c r="Q212" i="53"/>
  <c r="Q209" i="53"/>
  <c r="Q210" i="53"/>
  <c r="Q211" i="53"/>
  <c r="K73" i="48"/>
  <c r="K78" i="48" s="1"/>
  <c r="K72" i="48"/>
  <c r="K77" i="48" s="1"/>
  <c r="K71" i="48"/>
  <c r="K76" i="48" s="1"/>
  <c r="K70" i="48"/>
  <c r="K75" i="48" s="1"/>
  <c r="K74" i="48"/>
  <c r="R85" i="28"/>
  <c r="R72" i="29" s="1"/>
  <c r="R83" i="28"/>
  <c r="R70" i="29" s="1"/>
  <c r="R88" i="28"/>
  <c r="R87" i="28"/>
  <c r="R84" i="28"/>
  <c r="R86" i="28"/>
  <c r="S82" i="28"/>
  <c r="R31" i="53"/>
  <c r="R194" i="53"/>
  <c r="K233" i="14"/>
  <c r="K234" i="14" s="1"/>
  <c r="AS72" i="45"/>
  <c r="AS86" i="45"/>
  <c r="I295" i="20"/>
  <c r="V17" i="16"/>
  <c r="P139" i="15"/>
  <c r="AR97" i="45"/>
  <c r="L100" i="45"/>
  <c r="L113" i="45"/>
  <c r="M115" i="14"/>
  <c r="K282" i="20"/>
  <c r="K284" i="20"/>
  <c r="K283" i="20"/>
  <c r="K281" i="20"/>
  <c r="K286" i="20"/>
  <c r="K285" i="20"/>
  <c r="AU108" i="45"/>
  <c r="K151" i="14"/>
  <c r="S76" i="16"/>
  <c r="S75" i="16"/>
  <c r="AU98" i="45"/>
  <c r="L255" i="20"/>
  <c r="L256" i="20" s="1"/>
  <c r="M222" i="20"/>
  <c r="I334" i="48"/>
  <c r="I335" i="48"/>
  <c r="I338" i="48"/>
  <c r="I337" i="48"/>
  <c r="I339" i="48"/>
  <c r="I336" i="48"/>
  <c r="Q209" i="20"/>
  <c r="Q211" i="20" s="1"/>
  <c r="R208" i="20"/>
  <c r="AZ60" i="51"/>
  <c r="AM122" i="45"/>
  <c r="L71" i="46"/>
  <c r="L76" i="46" s="1"/>
  <c r="L72" i="46"/>
  <c r="L77" i="46" s="1"/>
  <c r="L69" i="48"/>
  <c r="L70" i="46"/>
  <c r="L75" i="46" s="1"/>
  <c r="L73" i="46"/>
  <c r="L78" i="46" s="1"/>
  <c r="L74" i="46"/>
  <c r="M76" i="45" s="1"/>
  <c r="I293" i="20"/>
  <c r="I294" i="20" s="1"/>
  <c r="I296" i="20" s="1"/>
  <c r="S29" i="42"/>
  <c r="U39" i="16"/>
  <c r="U13" i="16"/>
  <c r="I345" i="46"/>
  <c r="L108" i="12"/>
  <c r="AU107" i="45"/>
  <c r="J290" i="20"/>
  <c r="J291" i="20" s="1"/>
  <c r="J292" i="20"/>
  <c r="Q196" i="38"/>
  <c r="Q184" i="38"/>
  <c r="Q204" i="38"/>
  <c r="Q188" i="38"/>
  <c r="T25" i="54"/>
  <c r="T40" i="54" s="1"/>
  <c r="U19" i="54"/>
  <c r="U27" i="46"/>
  <c r="U42" i="46" s="1"/>
  <c r="V21" i="46"/>
  <c r="AQ91" i="45"/>
  <c r="L90" i="19"/>
  <c r="M143" i="14" s="1"/>
  <c r="M143" i="12"/>
  <c r="O207" i="42"/>
  <c r="O211" i="42" s="1"/>
  <c r="O206" i="42"/>
  <c r="O210" i="42" s="1"/>
  <c r="O208" i="42"/>
  <c r="O205" i="42"/>
  <c r="O209" i="42" s="1"/>
  <c r="L152" i="12"/>
  <c r="R27" i="20"/>
  <c r="R45" i="20" s="1"/>
  <c r="S21" i="20"/>
  <c r="AX54" i="51"/>
  <c r="AU77" i="45"/>
  <c r="P141" i="46"/>
  <c r="P164" i="46" s="1"/>
  <c r="P142" i="46"/>
  <c r="P174" i="46" s="1"/>
  <c r="P140" i="46"/>
  <c r="P154" i="46" s="1"/>
  <c r="E19" i="55"/>
  <c r="E20" i="55"/>
  <c r="U27" i="48"/>
  <c r="U42" i="48" s="1"/>
  <c r="V21" i="48"/>
  <c r="N290" i="38"/>
  <c r="N291" i="38" s="1"/>
  <c r="N313" i="38"/>
  <c r="N314" i="38" s="1"/>
  <c r="M33" i="48"/>
  <c r="M39" i="48" s="1"/>
  <c r="AT75" i="45"/>
  <c r="N115" i="14"/>
  <c r="N146" i="14"/>
  <c r="T39" i="53"/>
  <c r="L80" i="19"/>
  <c r="M111" i="14" s="1"/>
  <c r="M111" i="12"/>
  <c r="L97" i="14"/>
  <c r="L154" i="14"/>
  <c r="Q63" i="53"/>
  <c r="Q159" i="53" s="1"/>
  <c r="Q69" i="53"/>
  <c r="Q70" i="53" s="1"/>
  <c r="R49" i="51" s="1"/>
  <c r="AX50" i="51"/>
  <c r="AJ20" i="55"/>
  <c r="AJ19" i="55"/>
  <c r="S29" i="38"/>
  <c r="H268" i="19"/>
  <c r="I156" i="14" s="1"/>
  <c r="H266" i="19"/>
  <c r="R265" i="19"/>
  <c r="S307" i="20"/>
  <c r="L44" i="48"/>
  <c r="L316" i="48" s="1"/>
  <c r="Q157" i="54"/>
  <c r="BU14" i="55"/>
  <c r="BU16" i="55"/>
  <c r="BU15" i="55"/>
  <c r="BU11" i="55"/>
  <c r="BU19" i="55" s="1"/>
  <c r="BU13" i="55"/>
  <c r="BU12" i="55"/>
  <c r="Y24" i="15"/>
  <c r="Y23" i="15"/>
  <c r="Z22" i="15"/>
  <c r="P67" i="20"/>
  <c r="P69" i="20"/>
  <c r="P68" i="20"/>
  <c r="P70" i="20"/>
  <c r="AQ109" i="45"/>
  <c r="L152" i="14"/>
  <c r="Q66" i="16"/>
  <c r="N129" i="14"/>
  <c r="L228" i="12"/>
  <c r="Q59" i="16"/>
  <c r="T121" i="16"/>
  <c r="T42" i="16"/>
  <c r="N106" i="12"/>
  <c r="M77" i="19"/>
  <c r="N106" i="14" s="1"/>
  <c r="S360" i="48"/>
  <c r="AQ118" i="45"/>
  <c r="U27" i="42"/>
  <c r="U42" i="42" s="1"/>
  <c r="V21" i="42"/>
  <c r="R61" i="48"/>
  <c r="R66" i="48"/>
  <c r="R67" i="48"/>
  <c r="R65" i="48"/>
  <c r="R64" i="48"/>
  <c r="R62" i="48"/>
  <c r="S60" i="48"/>
  <c r="T26" i="38"/>
  <c r="T41" i="38" s="1"/>
  <c r="U20" i="38"/>
  <c r="J213" i="19"/>
  <c r="J214" i="19" s="1"/>
  <c r="K180" i="19"/>
  <c r="T25" i="29"/>
  <c r="T43" i="29" s="1"/>
  <c r="U19" i="29"/>
  <c r="P132" i="42"/>
  <c r="P158" i="42" s="1"/>
  <c r="P131" i="42"/>
  <c r="P150" i="42" s="1"/>
  <c r="P130" i="42"/>
  <c r="P142" i="42" s="1"/>
  <c r="S135" i="53"/>
  <c r="T56" i="51"/>
  <c r="AY62" i="51"/>
  <c r="T28" i="48"/>
  <c r="U22" i="48"/>
  <c r="Q143" i="29"/>
  <c r="Q146" i="29"/>
  <c r="F162" i="14"/>
  <c r="F158" i="14"/>
  <c r="S76" i="15"/>
  <c r="S75" i="15"/>
  <c r="U24" i="48"/>
  <c r="V18" i="48"/>
  <c r="P104" i="42"/>
  <c r="P108" i="42" s="1"/>
  <c r="P103" i="42"/>
  <c r="P107" i="42" s="1"/>
  <c r="P102" i="42"/>
  <c r="P106" i="42" s="1"/>
  <c r="P105" i="42"/>
  <c r="AR76" i="45"/>
  <c r="L78" i="45"/>
  <c r="R45" i="15"/>
  <c r="Q74" i="29"/>
  <c r="R45" i="16" s="1"/>
  <c r="AS84" i="45"/>
  <c r="S20" i="45"/>
  <c r="S19" i="45"/>
  <c r="N208" i="48"/>
  <c r="N213" i="48" s="1"/>
  <c r="N209" i="48"/>
  <c r="N214" i="48" s="1"/>
  <c r="N207" i="48"/>
  <c r="N212" i="48" s="1"/>
  <c r="N210" i="48"/>
  <c r="N215" i="48" s="1"/>
  <c r="N211" i="48"/>
  <c r="Q55" i="45"/>
  <c r="Q56" i="45"/>
  <c r="Q30" i="45"/>
  <c r="Q67" i="45" s="1"/>
  <c r="V20" i="16"/>
  <c r="K151" i="12"/>
  <c r="K111" i="48"/>
  <c r="K116" i="48" s="1"/>
  <c r="K110" i="48"/>
  <c r="K115" i="48" s="1"/>
  <c r="K112" i="48"/>
  <c r="K117" i="48" s="1"/>
  <c r="K114" i="48"/>
  <c r="K113" i="48"/>
  <c r="K118" i="48" s="1"/>
  <c r="K274" i="48"/>
  <c r="L269" i="20"/>
  <c r="L268" i="20"/>
  <c r="L271" i="20"/>
  <c r="L270" i="20"/>
  <c r="H345" i="48"/>
  <c r="M121" i="12"/>
  <c r="L74" i="19"/>
  <c r="M121" i="14" s="1"/>
  <c r="M196" i="53"/>
  <c r="M197" i="53" s="1"/>
  <c r="N163" i="53"/>
  <c r="N227" i="48"/>
  <c r="N232" i="48" s="1"/>
  <c r="N228" i="48"/>
  <c r="N233" i="48" s="1"/>
  <c r="N229" i="48"/>
  <c r="N234" i="48" s="1"/>
  <c r="N231" i="48"/>
  <c r="N230" i="48"/>
  <c r="N235" i="48" s="1"/>
  <c r="J126" i="36"/>
  <c r="I343" i="38"/>
  <c r="J127" i="36" s="1"/>
  <c r="S29" i="28"/>
  <c r="O138" i="19"/>
  <c r="T40" i="29"/>
  <c r="U128" i="16"/>
  <c r="U60" i="16"/>
  <c r="O158" i="28"/>
  <c r="O159" i="28" s="1"/>
  <c r="O181" i="28"/>
  <c r="O182" i="28" s="1"/>
  <c r="P18" i="19"/>
  <c r="O24" i="19"/>
  <c r="AR106" i="45"/>
  <c r="L109" i="45"/>
  <c r="N155" i="48"/>
  <c r="N160" i="48" s="1"/>
  <c r="N158" i="48"/>
  <c r="N163" i="48" s="1"/>
  <c r="N156" i="48"/>
  <c r="N161" i="48" s="1"/>
  <c r="N157" i="48"/>
  <c r="N162" i="48" s="1"/>
  <c r="N159" i="48"/>
  <c r="K317" i="48"/>
  <c r="K320" i="48"/>
  <c r="N143" i="12"/>
  <c r="M90" i="19"/>
  <c r="N143" i="14" s="1"/>
  <c r="S360" i="46"/>
  <c r="P213" i="20"/>
  <c r="P171" i="19" s="1"/>
  <c r="P212" i="20"/>
  <c r="P170" i="19" s="1"/>
  <c r="P214" i="20"/>
  <c r="P172" i="19" s="1"/>
  <c r="P216" i="20"/>
  <c r="P174" i="19" s="1"/>
  <c r="P215" i="20"/>
  <c r="P169" i="19"/>
  <c r="Q135" i="12"/>
  <c r="L112" i="46"/>
  <c r="L117" i="46" s="1"/>
  <c r="L113" i="46"/>
  <c r="L118" i="46" s="1"/>
  <c r="L111" i="46"/>
  <c r="L116" i="46" s="1"/>
  <c r="L109" i="48"/>
  <c r="L110" i="46"/>
  <c r="L115" i="46" s="1"/>
  <c r="L114" i="46"/>
  <c r="M97" i="45" s="1"/>
  <c r="L274" i="46"/>
  <c r="K325" i="42"/>
  <c r="K326" i="42" s="1"/>
  <c r="AO115" i="45"/>
  <c r="X41" i="15"/>
  <c r="L69" i="19"/>
  <c r="M99" i="14" s="1"/>
  <c r="M99" i="12"/>
  <c r="L108" i="14"/>
  <c r="N176" i="48"/>
  <c r="N181" i="48" s="1"/>
  <c r="N177" i="48"/>
  <c r="N182" i="48" s="1"/>
  <c r="N175" i="48"/>
  <c r="N180" i="48" s="1"/>
  <c r="N179" i="48"/>
  <c r="N178" i="48"/>
  <c r="N183" i="48" s="1"/>
  <c r="O208" i="46"/>
  <c r="O213" i="46" s="1"/>
  <c r="O209" i="46"/>
  <c r="O214" i="46" s="1"/>
  <c r="O206" i="48"/>
  <c r="O210" i="46"/>
  <c r="O215" i="46" s="1"/>
  <c r="O211" i="46"/>
  <c r="P89" i="45" s="1"/>
  <c r="O207" i="46"/>
  <c r="O212" i="46" s="1"/>
  <c r="Q186" i="38"/>
  <c r="Q185" i="38"/>
  <c r="AV91" i="36"/>
  <c r="AV93" i="36" s="1"/>
  <c r="AV96" i="36" s="1"/>
  <c r="P93" i="36"/>
  <c r="P96" i="36" s="1"/>
  <c r="G346" i="48"/>
  <c r="G347" i="48" s="1"/>
  <c r="G349" i="48" s="1"/>
  <c r="S104" i="54"/>
  <c r="S105" i="54" s="1"/>
  <c r="S108" i="54"/>
  <c r="S109" i="54" s="1"/>
  <c r="S110" i="54"/>
  <c r="S111" i="54" s="1"/>
  <c r="S106" i="54"/>
  <c r="S107" i="54" s="1"/>
  <c r="M317" i="42"/>
  <c r="M316" i="42"/>
  <c r="S44" i="53"/>
  <c r="S204" i="53" s="1"/>
  <c r="L92" i="19"/>
  <c r="M145" i="14" s="1"/>
  <c r="M145" i="12"/>
  <c r="F371" i="46"/>
  <c r="G126" i="45" s="1"/>
  <c r="R125" i="12"/>
  <c r="N177" i="28"/>
  <c r="N179" i="28"/>
  <c r="N174" i="28"/>
  <c r="N178" i="28"/>
  <c r="N176" i="28"/>
  <c r="N175" i="28"/>
  <c r="P90" i="48"/>
  <c r="P95" i="48" s="1"/>
  <c r="P92" i="48"/>
  <c r="P97" i="48" s="1"/>
  <c r="P94" i="48"/>
  <c r="P91" i="48"/>
  <c r="P93" i="48"/>
  <c r="P98" i="48" s="1"/>
  <c r="N165" i="48"/>
  <c r="N170" i="48" s="1"/>
  <c r="N167" i="48"/>
  <c r="N172" i="48" s="1"/>
  <c r="N166" i="48"/>
  <c r="N171" i="48" s="1"/>
  <c r="N168" i="48"/>
  <c r="N173" i="48" s="1"/>
  <c r="N169" i="48"/>
  <c r="P139" i="46"/>
  <c r="P144" i="46"/>
  <c r="M73" i="19"/>
  <c r="N120" i="14" s="1"/>
  <c r="N120" i="12"/>
  <c r="K335" i="38"/>
  <c r="L121" i="36" s="1"/>
  <c r="AR121" i="36" s="1"/>
  <c r="K333" i="38"/>
  <c r="U24" i="53"/>
  <c r="V18" i="53"/>
  <c r="AV30" i="45"/>
  <c r="F164" i="12"/>
  <c r="E318" i="20"/>
  <c r="F165" i="12" s="1"/>
  <c r="L154" i="12"/>
  <c r="L97" i="12"/>
  <c r="AX68" i="51"/>
  <c r="N280" i="42"/>
  <c r="N281" i="42" s="1"/>
  <c r="O247" i="42"/>
  <c r="X25" i="16"/>
  <c r="J275" i="48"/>
  <c r="I308" i="48"/>
  <c r="I309" i="48" s="1"/>
  <c r="BV9" i="55"/>
  <c r="U40" i="16"/>
  <c r="E164" i="14"/>
  <c r="D276" i="19"/>
  <c r="E165" i="14" s="1"/>
  <c r="Q66" i="15"/>
  <c r="K69" i="15"/>
  <c r="J205" i="28"/>
  <c r="J210" i="28"/>
  <c r="AV23" i="45"/>
  <c r="M83" i="19"/>
  <c r="N128" i="14" s="1"/>
  <c r="N128" i="12"/>
  <c r="L233" i="12"/>
  <c r="L234" i="12" s="1"/>
  <c r="Q59" i="15"/>
  <c r="L86" i="19"/>
  <c r="M133" i="14" s="1"/>
  <c r="M133" i="12"/>
  <c r="P135" i="16"/>
  <c r="BT6" i="55"/>
  <c r="P86" i="36"/>
  <c r="P89" i="36" s="1"/>
  <c r="AV85" i="36"/>
  <c r="AV86" i="36" s="1"/>
  <c r="AV89" i="36" s="1"/>
  <c r="P129" i="42"/>
  <c r="P134" i="42"/>
  <c r="S332" i="38"/>
  <c r="L93" i="45"/>
  <c r="AR94" i="45"/>
  <c r="L94" i="45"/>
  <c r="AR93" i="45"/>
  <c r="AS4" i="55"/>
  <c r="L222" i="19"/>
  <c r="L272" i="19"/>
  <c r="L273" i="19"/>
  <c r="L221" i="19"/>
  <c r="L225" i="19"/>
  <c r="AY53" i="51"/>
  <c r="S54" i="51"/>
  <c r="P137" i="38"/>
  <c r="P141" i="38" s="1"/>
  <c r="P138" i="38"/>
  <c r="Q85" i="36" s="1"/>
  <c r="P136" i="38"/>
  <c r="P140" i="38" s="1"/>
  <c r="P135" i="38"/>
  <c r="P139" i="38" s="1"/>
  <c r="P106" i="19"/>
  <c r="J239" i="19"/>
  <c r="J244" i="19"/>
  <c r="J243" i="19"/>
  <c r="J241" i="19"/>
  <c r="J242" i="19"/>
  <c r="J240" i="19"/>
  <c r="S129" i="15"/>
  <c r="S131" i="15"/>
  <c r="N302" i="38"/>
  <c r="N301" i="38"/>
  <c r="N305" i="38" s="1"/>
  <c r="P79" i="42"/>
  <c r="P83" i="42" s="1"/>
  <c r="P78" i="42"/>
  <c r="P82" i="42" s="1"/>
  <c r="P81" i="42"/>
  <c r="P80" i="42"/>
  <c r="P84" i="42" s="1"/>
  <c r="Q67" i="38"/>
  <c r="Q101" i="38" s="1"/>
  <c r="Q64" i="38"/>
  <c r="Q77" i="38" s="1"/>
  <c r="Q62" i="38"/>
  <c r="Q65" i="38"/>
  <c r="Q93" i="38" s="1"/>
  <c r="Q61" i="38"/>
  <c r="Q66" i="38"/>
  <c r="Q85" i="38" s="1"/>
  <c r="R60" i="38"/>
  <c r="P219" i="54"/>
  <c r="P231" i="54" s="1"/>
  <c r="P220" i="54"/>
  <c r="L172" i="29"/>
  <c r="L173" i="29" s="1"/>
  <c r="L175" i="29" s="1"/>
  <c r="I232" i="19"/>
  <c r="I233" i="19"/>
  <c r="Q209" i="54"/>
  <c r="Q210" i="54"/>
  <c r="Q212" i="54"/>
  <c r="Q211" i="54"/>
  <c r="AW49" i="51"/>
  <c r="Q51" i="51"/>
  <c r="Q72" i="51"/>
  <c r="Q73" i="51" s="1"/>
  <c r="Q205" i="53"/>
  <c r="R64" i="15"/>
  <c r="Q75" i="29"/>
  <c r="R64" i="16" s="1"/>
  <c r="AZ16" i="45"/>
  <c r="T17" i="45"/>
  <c r="T18" i="45" s="1"/>
  <c r="U16" i="45"/>
  <c r="R32" i="45"/>
  <c r="R28" i="45"/>
  <c r="R36" i="45"/>
  <c r="R29" i="45"/>
  <c r="R35" i="45"/>
  <c r="R37" i="45"/>
  <c r="R31" i="45"/>
  <c r="AX27" i="45"/>
  <c r="S27" i="45"/>
  <c r="R54" i="45"/>
  <c r="O201" i="20"/>
  <c r="O162" i="19" s="1"/>
  <c r="O199" i="20"/>
  <c r="O160" i="19" s="1"/>
  <c r="O203" i="20"/>
  <c r="O164" i="19" s="1"/>
  <c r="O200" i="20"/>
  <c r="O161" i="19" s="1"/>
  <c r="O202" i="20"/>
  <c r="O159" i="19"/>
  <c r="P123" i="14" s="1"/>
  <c r="P303" i="38"/>
  <c r="P315" i="38" s="1"/>
  <c r="P304" i="38"/>
  <c r="P303" i="42"/>
  <c r="P315" i="42" s="1"/>
  <c r="P304" i="42"/>
  <c r="L98" i="12"/>
  <c r="L153" i="12"/>
  <c r="U27" i="54"/>
  <c r="U42" i="54" s="1"/>
  <c r="V21" i="54"/>
  <c r="T123" i="16"/>
  <c r="S36" i="29"/>
  <c r="S42" i="29" s="1"/>
  <c r="T43" i="16"/>
  <c r="L201" i="53"/>
  <c r="L200" i="53"/>
  <c r="L199" i="53"/>
  <c r="L198" i="53"/>
  <c r="L203" i="53"/>
  <c r="L202" i="53"/>
  <c r="P67" i="45"/>
  <c r="P23" i="45"/>
  <c r="AP120" i="36"/>
  <c r="J122" i="36"/>
  <c r="J125" i="36"/>
  <c r="O70" i="42"/>
  <c r="O74" i="42" s="1"/>
  <c r="O72" i="42"/>
  <c r="O76" i="42" s="1"/>
  <c r="O71" i="42"/>
  <c r="O75" i="42" s="1"/>
  <c r="O73" i="42"/>
  <c r="O73" i="38"/>
  <c r="P78" i="36" s="1"/>
  <c r="O70" i="38"/>
  <c r="O74" i="38" s="1"/>
  <c r="O71" i="38"/>
  <c r="O75" i="38" s="1"/>
  <c r="O72" i="38"/>
  <c r="O76" i="38" s="1"/>
  <c r="Q196" i="20"/>
  <c r="R195" i="20"/>
  <c r="O100" i="29"/>
  <c r="O88" i="29"/>
  <c r="S131" i="16"/>
  <c r="S129" i="16"/>
  <c r="N231" i="14"/>
  <c r="N29" i="19"/>
  <c r="N42" i="19"/>
  <c r="N55" i="19" s="1"/>
  <c r="K101" i="48"/>
  <c r="K106" i="48" s="1"/>
  <c r="K103" i="48"/>
  <c r="K108" i="48" s="1"/>
  <c r="K102" i="48"/>
  <c r="K107" i="48" s="1"/>
  <c r="K100" i="48"/>
  <c r="K105" i="48" s="1"/>
  <c r="K104" i="48"/>
  <c r="K259" i="20"/>
  <c r="K258" i="20"/>
  <c r="K260" i="20"/>
  <c r="K262" i="20"/>
  <c r="K257" i="20"/>
  <c r="K261" i="20"/>
  <c r="K271" i="48"/>
  <c r="R121" i="20"/>
  <c r="R122" i="20"/>
  <c r="R125" i="20"/>
  <c r="R123" i="20"/>
  <c r="R120" i="20"/>
  <c r="R124" i="20"/>
  <c r="S119" i="20"/>
  <c r="N139" i="12"/>
  <c r="V18" i="28"/>
  <c r="U24" i="28"/>
  <c r="AT80" i="36"/>
  <c r="AT83" i="36" s="1"/>
  <c r="AT119" i="36" s="1"/>
  <c r="AT115" i="36"/>
  <c r="AT116" i="36" s="1"/>
  <c r="L320" i="46"/>
  <c r="L317" i="46"/>
  <c r="K224" i="19"/>
  <c r="M241" i="54"/>
  <c r="N144" i="29"/>
  <c r="N145" i="29" s="1"/>
  <c r="N167" i="29"/>
  <c r="N168" i="29" s="1"/>
  <c r="K150" i="12"/>
  <c r="H347" i="46"/>
  <c r="H348" i="46"/>
  <c r="O227" i="46"/>
  <c r="O232" i="46" s="1"/>
  <c r="O229" i="46"/>
  <c r="O234" i="46" s="1"/>
  <c r="O228" i="46"/>
  <c r="O233" i="46" s="1"/>
  <c r="O231" i="46"/>
  <c r="P108" i="45" s="1"/>
  <c r="O226" i="48"/>
  <c r="O230" i="46"/>
  <c r="O235" i="46" s="1"/>
  <c r="Q131" i="38"/>
  <c r="Q150" i="38" s="1"/>
  <c r="Q130" i="38"/>
  <c r="Q142" i="38" s="1"/>
  <c r="Q132" i="38"/>
  <c r="Q158" i="38" s="1"/>
  <c r="AU83" i="45"/>
  <c r="P114" i="36"/>
  <c r="AV79" i="36"/>
  <c r="AV114" i="36" s="1"/>
  <c r="P135" i="14"/>
  <c r="I277" i="20"/>
  <c r="I276" i="20"/>
  <c r="I280" i="20" s="1"/>
  <c r="T26" i="28"/>
  <c r="T44" i="28" s="1"/>
  <c r="U20" i="28"/>
  <c r="M307" i="42"/>
  <c r="M310" i="42"/>
  <c r="M306" i="42"/>
  <c r="M308" i="42"/>
  <c r="M309" i="42"/>
  <c r="M311" i="42"/>
  <c r="S29" i="53"/>
  <c r="M136" i="14"/>
  <c r="M146" i="14" s="1"/>
  <c r="L179" i="19"/>
  <c r="O190" i="42"/>
  <c r="O194" i="42" s="1"/>
  <c r="O189" i="42"/>
  <c r="O193" i="42" s="1"/>
  <c r="O191" i="42"/>
  <c r="O195" i="42" s="1"/>
  <c r="O192" i="42"/>
  <c r="O86" i="45"/>
  <c r="AW67" i="51"/>
  <c r="AQ9" i="55"/>
  <c r="P203" i="46"/>
  <c r="P204" i="46"/>
  <c r="E7" i="55"/>
  <c r="T26" i="46"/>
  <c r="T41" i="46" s="1"/>
  <c r="U20" i="46"/>
  <c r="G330" i="48"/>
  <c r="G329" i="48"/>
  <c r="G333" i="48" s="1"/>
  <c r="M71" i="19"/>
  <c r="N116" i="14" s="1"/>
  <c r="N116" i="12"/>
  <c r="AW98" i="36"/>
  <c r="M265" i="20"/>
  <c r="M288" i="20"/>
  <c r="M289" i="20" s="1"/>
  <c r="R61" i="53"/>
  <c r="R67" i="53"/>
  <c r="R77" i="53" s="1"/>
  <c r="R78" i="53" s="1"/>
  <c r="S61" i="51" s="1"/>
  <c r="R62" i="53"/>
  <c r="R66" i="53"/>
  <c r="R73" i="53" s="1"/>
  <c r="R74" i="53" s="1"/>
  <c r="R64" i="53"/>
  <c r="R71" i="53" s="1"/>
  <c r="R72" i="53" s="1"/>
  <c r="S57" i="51" s="1"/>
  <c r="S58" i="51" s="1"/>
  <c r="R65" i="53"/>
  <c r="R75" i="53" s="1"/>
  <c r="S60" i="53"/>
  <c r="R278" i="42"/>
  <c r="R31" i="42"/>
  <c r="E160" i="14"/>
  <c r="L79" i="19"/>
  <c r="M110" i="14" s="1"/>
  <c r="M110" i="12"/>
  <c r="I332" i="48"/>
  <c r="I331" i="48"/>
  <c r="I343" i="48" s="1"/>
  <c r="I344" i="48" s="1"/>
  <c r="V34" i="15"/>
  <c r="V33" i="15"/>
  <c r="AV56" i="45"/>
  <c r="AV55" i="45"/>
  <c r="L81" i="19"/>
  <c r="M109" i="12"/>
  <c r="I327" i="46"/>
  <c r="I328" i="46"/>
  <c r="Q76" i="53"/>
  <c r="R67" i="51"/>
  <c r="R71" i="51" s="1"/>
  <c r="M134" i="29"/>
  <c r="M135" i="29" s="1"/>
  <c r="N101" i="29"/>
  <c r="AJ6" i="55"/>
  <c r="T28" i="42"/>
  <c r="T43" i="42" s="1"/>
  <c r="U22" i="42"/>
  <c r="W19" i="15"/>
  <c r="W15" i="15"/>
  <c r="W16" i="15"/>
  <c r="W18" i="15"/>
  <c r="X14" i="15"/>
  <c r="W32" i="15"/>
  <c r="W74" i="15" s="1"/>
  <c r="M287" i="42"/>
  <c r="M285" i="42"/>
  <c r="M286" i="42"/>
  <c r="M282" i="42"/>
  <c r="M283" i="42"/>
  <c r="M284" i="42"/>
  <c r="R200" i="48"/>
  <c r="R201" i="48"/>
  <c r="R138" i="48"/>
  <c r="R137" i="48"/>
  <c r="S136" i="48"/>
  <c r="H315" i="48"/>
  <c r="H312" i="48"/>
  <c r="H311" i="48"/>
  <c r="H313" i="48"/>
  <c r="H314" i="48"/>
  <c r="H310" i="48"/>
  <c r="T28" i="46"/>
  <c r="U22" i="46"/>
  <c r="J335" i="42"/>
  <c r="J333" i="42"/>
  <c r="N90" i="20"/>
  <c r="N132" i="12"/>
  <c r="M85" i="19"/>
  <c r="N132" i="14" s="1"/>
  <c r="L232" i="12"/>
  <c r="N105" i="12"/>
  <c r="P157" i="28"/>
  <c r="P160" i="28"/>
  <c r="K116" i="45"/>
  <c r="R84" i="29"/>
  <c r="S61" i="16"/>
  <c r="L69" i="15"/>
  <c r="K210" i="28"/>
  <c r="L72" i="15" s="1"/>
  <c r="K205" i="28"/>
  <c r="I215" i="19"/>
  <c r="I218" i="19"/>
  <c r="I217" i="19"/>
  <c r="I219" i="19"/>
  <c r="I220" i="19"/>
  <c r="I216" i="19"/>
  <c r="AW20" i="45"/>
  <c r="AW19" i="45"/>
  <c r="J72" i="16"/>
  <c r="I197" i="29"/>
  <c r="J73" i="16" s="1"/>
  <c r="S50" i="51"/>
  <c r="S68" i="51"/>
  <c r="N290" i="42"/>
  <c r="N291" i="42" s="1"/>
  <c r="N313" i="42"/>
  <c r="N314" i="42" s="1"/>
  <c r="AX69" i="45"/>
  <c r="Y7" i="16"/>
  <c r="Y8" i="16" s="1"/>
  <c r="Z6" i="16"/>
  <c r="AU68" i="45"/>
  <c r="AU99" i="45"/>
  <c r="P88" i="42"/>
  <c r="P92" i="42" s="1"/>
  <c r="P87" i="42"/>
  <c r="P91" i="42" s="1"/>
  <c r="P89" i="42"/>
  <c r="P86" i="42"/>
  <c r="P90" i="42" s="1"/>
  <c r="R61" i="28"/>
  <c r="R57" i="29" s="1"/>
  <c r="R63" i="28"/>
  <c r="R64" i="28"/>
  <c r="R60" i="28"/>
  <c r="S59" i="28"/>
  <c r="P88" i="38"/>
  <c r="P92" i="38" s="1"/>
  <c r="P86" i="38"/>
  <c r="P90" i="38" s="1"/>
  <c r="P89" i="38"/>
  <c r="P87" i="38"/>
  <c r="P91" i="38" s="1"/>
  <c r="G268" i="19"/>
  <c r="H156" i="14" s="1"/>
  <c r="G266" i="19"/>
  <c r="U24" i="54"/>
  <c r="V18" i="54"/>
  <c r="AY56" i="51"/>
  <c r="L79" i="45"/>
  <c r="L80" i="45"/>
  <c r="L81" i="45"/>
  <c r="AR80" i="45"/>
  <c r="AR79" i="45"/>
  <c r="AR81" i="45"/>
  <c r="R48" i="15"/>
  <c r="Q71" i="29"/>
  <c r="R48" i="16" s="1"/>
  <c r="T25" i="53"/>
  <c r="T40" i="53" s="1"/>
  <c r="U19" i="53"/>
  <c r="AV71" i="51"/>
  <c r="AO125" i="36"/>
  <c r="AO122" i="36"/>
  <c r="Q33" i="45"/>
  <c r="Q63" i="54"/>
  <c r="Q159" i="54" s="1"/>
  <c r="Q69" i="54"/>
  <c r="Q70" i="54" s="1"/>
  <c r="AX41" i="45"/>
  <c r="P297" i="42"/>
  <c r="P298" i="42"/>
  <c r="L98" i="14"/>
  <c r="L153" i="14"/>
  <c r="V21" i="28"/>
  <c r="U27" i="28"/>
  <c r="L266" i="20"/>
  <c r="T138" i="54"/>
  <c r="T139" i="54" s="1"/>
  <c r="T136" i="54"/>
  <c r="T137" i="54" s="1"/>
  <c r="T134" i="54"/>
  <c r="T135" i="54" s="1"/>
  <c r="P162" i="38"/>
  <c r="Q109" i="36" s="1"/>
  <c r="AW109" i="36" s="1"/>
  <c r="P161" i="38"/>
  <c r="P165" i="38" s="1"/>
  <c r="P159" i="38"/>
  <c r="P163" i="38" s="1"/>
  <c r="P160" i="38"/>
  <c r="P164" i="38" s="1"/>
  <c r="O243" i="42"/>
  <c r="O246" i="42"/>
  <c r="O243" i="38"/>
  <c r="O246" i="38"/>
  <c r="P157" i="19"/>
  <c r="P198" i="20"/>
  <c r="Q123" i="12"/>
  <c r="T40" i="45"/>
  <c r="T39" i="45"/>
  <c r="AZ38" i="45"/>
  <c r="U38" i="45"/>
  <c r="N218" i="53"/>
  <c r="N217" i="53"/>
  <c r="N221" i="53" s="1"/>
  <c r="U39" i="15"/>
  <c r="U13" i="15"/>
  <c r="K150" i="14"/>
  <c r="AQ76" i="51"/>
  <c r="H119" i="45"/>
  <c r="G370" i="46"/>
  <c r="H125" i="45" s="1"/>
  <c r="G365" i="46"/>
  <c r="U24" i="29"/>
  <c r="V18" i="29"/>
  <c r="P191" i="38"/>
  <c r="P195" i="38" s="1"/>
  <c r="P192" i="38"/>
  <c r="Q91" i="36" s="1"/>
  <c r="P189" i="38"/>
  <c r="P193" i="38" s="1"/>
  <c r="P190" i="38"/>
  <c r="P194" i="38" s="1"/>
  <c r="Q127" i="20"/>
  <c r="AQ114" i="45"/>
  <c r="AQ78" i="45"/>
  <c r="L271" i="46"/>
  <c r="Q169" i="20"/>
  <c r="Q168" i="20"/>
  <c r="Q171" i="20"/>
  <c r="Q185" i="20" s="1"/>
  <c r="Q170" i="20"/>
  <c r="Q179" i="20" s="1"/>
  <c r="R166" i="20"/>
  <c r="Q167" i="20"/>
  <c r="Q173" i="20" s="1"/>
  <c r="O77" i="15"/>
  <c r="AV70" i="51"/>
  <c r="E363" i="48"/>
  <c r="AL120" i="45" s="1"/>
  <c r="E361" i="48"/>
  <c r="R194" i="54"/>
  <c r="R205" i="54" s="1"/>
  <c r="R31" i="54"/>
  <c r="N133" i="12"/>
  <c r="O216" i="48"/>
  <c r="O217" i="46"/>
  <c r="O222" i="46" s="1"/>
  <c r="O219" i="46"/>
  <c r="O224" i="46" s="1"/>
  <c r="O218" i="46"/>
  <c r="O223" i="46" s="1"/>
  <c r="O220" i="46"/>
  <c r="O225" i="46" s="1"/>
  <c r="O221" i="46"/>
  <c r="P99" i="45" s="1"/>
  <c r="Q129" i="38"/>
  <c r="Q134" i="38"/>
  <c r="N147" i="48"/>
  <c r="N152" i="48" s="1"/>
  <c r="N145" i="48"/>
  <c r="N150" i="48" s="1"/>
  <c r="N146" i="48"/>
  <c r="N151" i="48" s="1"/>
  <c r="N149" i="48"/>
  <c r="N148" i="48"/>
  <c r="N153" i="48" s="1"/>
  <c r="O173" i="19"/>
  <c r="S80" i="29"/>
  <c r="S79" i="29" s="1"/>
  <c r="M139" i="12"/>
  <c r="M171" i="29"/>
  <c r="M174" i="29" s="1"/>
  <c r="M170" i="29"/>
  <c r="R21" i="19"/>
  <c r="Q27" i="19"/>
  <c r="Q45" i="19" s="1"/>
  <c r="Q132" i="19" s="1"/>
  <c r="P214" i="53"/>
  <c r="P213" i="53"/>
  <c r="P193" i="29"/>
  <c r="P194" i="29"/>
  <c r="P162" i="54"/>
  <c r="M74" i="19"/>
  <c r="N121" i="14" s="1"/>
  <c r="N121" i="12"/>
  <c r="R21" i="45"/>
  <c r="P186" i="42"/>
  <c r="P185" i="42"/>
  <c r="K69" i="16"/>
  <c r="J196" i="29"/>
  <c r="J191" i="29"/>
  <c r="AX57" i="51"/>
  <c r="AX58" i="51" s="1"/>
  <c r="L141" i="29"/>
  <c r="L138" i="29"/>
  <c r="L136" i="29"/>
  <c r="L137" i="29"/>
  <c r="L140" i="29"/>
  <c r="L139" i="29"/>
  <c r="AJ7" i="55"/>
  <c r="H327" i="48"/>
  <c r="H328" i="48"/>
  <c r="J274" i="20"/>
  <c r="J275" i="20"/>
  <c r="E159" i="12"/>
  <c r="E161" i="12" s="1"/>
  <c r="O80" i="36"/>
  <c r="O83" i="36" s="1"/>
  <c r="O115" i="36"/>
  <c r="O116" i="36" s="1"/>
  <c r="AU78" i="36"/>
  <c r="Q141" i="48"/>
  <c r="Q142" i="48"/>
  <c r="Q140" i="48"/>
  <c r="X25" i="15"/>
  <c r="O113" i="36"/>
  <c r="O112" i="36"/>
  <c r="O111" i="36"/>
  <c r="O117" i="36" s="1"/>
  <c r="O123" i="36" s="1"/>
  <c r="AK14" i="55"/>
  <c r="AK15" i="55"/>
  <c r="M84" i="19"/>
  <c r="N131" i="14" s="1"/>
  <c r="N131" i="12"/>
  <c r="M132" i="12"/>
  <c r="L85" i="19"/>
  <c r="M132" i="14" s="1"/>
  <c r="M81" i="19"/>
  <c r="N109" i="14" s="1"/>
  <c r="N109" i="12"/>
  <c r="F268" i="19"/>
  <c r="G156" i="14" s="1"/>
  <c r="F266" i="19"/>
  <c r="M241" i="53"/>
  <c r="M242" i="53" s="1"/>
  <c r="S29" i="46"/>
  <c r="O161" i="28"/>
  <c r="O162" i="28"/>
  <c r="O164" i="28"/>
  <c r="O163" i="28"/>
  <c r="T26" i="42"/>
  <c r="T41" i="42" s="1"/>
  <c r="U20" i="42"/>
  <c r="S44" i="54"/>
  <c r="S204" i="54" s="1"/>
  <c r="S332" i="42"/>
  <c r="J71" i="16"/>
  <c r="AX20" i="45"/>
  <c r="AX19" i="45"/>
  <c r="X41" i="16"/>
  <c r="N218" i="48"/>
  <c r="N223" i="48" s="1"/>
  <c r="N220" i="48"/>
  <c r="N225" i="48" s="1"/>
  <c r="N219" i="48"/>
  <c r="N224" i="48" s="1"/>
  <c r="N217" i="48"/>
  <c r="N222" i="48" s="1"/>
  <c r="N221" i="48"/>
  <c r="Q33" i="29"/>
  <c r="Q34" i="29"/>
  <c r="O106" i="19"/>
  <c r="P63" i="42"/>
  <c r="P69" i="42"/>
  <c r="Q60" i="29"/>
  <c r="R56" i="16" s="1"/>
  <c r="R56" i="15"/>
  <c r="P102" i="38"/>
  <c r="P106" i="38" s="1"/>
  <c r="P104" i="38"/>
  <c r="P108" i="38" s="1"/>
  <c r="P105" i="38"/>
  <c r="Q99" i="36" s="1"/>
  <c r="AW99" i="36" s="1"/>
  <c r="P103" i="38"/>
  <c r="P107" i="38" s="1"/>
  <c r="O300" i="42"/>
  <c r="O299" i="42"/>
  <c r="T39" i="54"/>
  <c r="T25" i="48"/>
  <c r="T40" i="48" s="1"/>
  <c r="U19" i="48"/>
  <c r="Q73" i="29"/>
  <c r="R58" i="16" s="1"/>
  <c r="R58" i="15"/>
  <c r="S110" i="53"/>
  <c r="S111" i="53" s="1"/>
  <c r="S106" i="53"/>
  <c r="S107" i="53" s="1"/>
  <c r="T62" i="51" s="1"/>
  <c r="S104" i="53"/>
  <c r="S105" i="53" s="1"/>
  <c r="T53" i="51" s="1"/>
  <c r="S108" i="53"/>
  <c r="S109" i="53" s="1"/>
  <c r="S69" i="45"/>
  <c r="P144" i="20"/>
  <c r="P120" i="19" s="1"/>
  <c r="P140" i="20"/>
  <c r="P116" i="19" s="1"/>
  <c r="P143" i="20"/>
  <c r="P119" i="19" s="1"/>
  <c r="P141" i="20"/>
  <c r="P117" i="19" s="1"/>
  <c r="P142" i="20"/>
  <c r="P118" i="19" s="1"/>
  <c r="P115" i="19"/>
  <c r="Q94" i="14" s="1"/>
  <c r="AU57" i="45"/>
  <c r="R241" i="48"/>
  <c r="S240" i="48"/>
  <c r="AW36" i="45"/>
  <c r="AW35" i="45"/>
  <c r="AW32" i="45"/>
  <c r="AW28" i="45"/>
  <c r="AW37" i="45"/>
  <c r="AW29" i="45"/>
  <c r="AW31" i="45"/>
  <c r="AW54" i="45"/>
  <c r="V34" i="16"/>
  <c r="V33" i="16"/>
  <c r="P134" i="15"/>
  <c r="P133" i="15" a="1"/>
  <c r="P133" i="15" s="1"/>
  <c r="P68" i="15"/>
  <c r="P77" i="15" s="1"/>
  <c r="S36" i="28"/>
  <c r="S42" i="28" s="1"/>
  <c r="T123" i="15"/>
  <c r="T43" i="15"/>
  <c r="M47" i="19"/>
  <c r="M62" i="19"/>
  <c r="M61" i="19"/>
  <c r="M59" i="19"/>
  <c r="M60" i="19"/>
  <c r="N78" i="20"/>
  <c r="R205" i="53"/>
  <c r="R208" i="53"/>
  <c r="L71" i="19"/>
  <c r="M116" i="14" s="1"/>
  <c r="M116" i="12"/>
  <c r="S29" i="29"/>
  <c r="P145" i="38"/>
  <c r="P149" i="38" s="1"/>
  <c r="P143" i="38"/>
  <c r="P147" i="38" s="1"/>
  <c r="P146" i="38"/>
  <c r="Q100" i="36" s="1"/>
  <c r="AW100" i="36" s="1"/>
  <c r="P144" i="38"/>
  <c r="P148" i="38" s="1"/>
  <c r="F119" i="45"/>
  <c r="E365" i="46"/>
  <c r="E370" i="46"/>
  <c r="S41" i="45"/>
  <c r="AW64" i="51"/>
  <c r="J318" i="48"/>
  <c r="J319" i="48" s="1"/>
  <c r="J341" i="48"/>
  <c r="J342" i="48" s="1"/>
  <c r="H122" i="45"/>
  <c r="O155" i="46"/>
  <c r="O160" i="46" s="1"/>
  <c r="O158" i="46"/>
  <c r="O163" i="46" s="1"/>
  <c r="O154" i="48"/>
  <c r="O156" i="46"/>
  <c r="O161" i="46" s="1"/>
  <c r="O157" i="46"/>
  <c r="O162" i="46" s="1"/>
  <c r="O159" i="46"/>
  <c r="P98" i="45" s="1"/>
  <c r="P200" i="38"/>
  <c r="Q101" i="36" s="1"/>
  <c r="AW101" i="36" s="1"/>
  <c r="P199" i="38"/>
  <c r="P203" i="38" s="1"/>
  <c r="P198" i="38"/>
  <c r="P202" i="38" s="1"/>
  <c r="P197" i="38"/>
  <c r="P201" i="38" s="1"/>
  <c r="Q133" i="20"/>
  <c r="AV96" i="45"/>
  <c r="P35" i="48"/>
  <c r="AW42" i="45"/>
  <c r="AW95" i="45"/>
  <c r="AW43" i="45"/>
  <c r="AW44" i="45"/>
  <c r="AW66" i="51"/>
  <c r="Q70" i="51"/>
  <c r="P178" i="20"/>
  <c r="P140" i="19" s="1"/>
  <c r="P175" i="20"/>
  <c r="P137" i="19" s="1"/>
  <c r="P174" i="20"/>
  <c r="P136" i="19" s="1"/>
  <c r="Q113" i="12"/>
  <c r="P177" i="20"/>
  <c r="P139" i="19" s="1"/>
  <c r="P135" i="19"/>
  <c r="Q113" i="14" s="1"/>
  <c r="P176" i="20"/>
  <c r="Y7" i="15"/>
  <c r="Y8" i="15" s="1"/>
  <c r="Z6" i="15"/>
  <c r="M234" i="54"/>
  <c r="M235" i="54" s="1"/>
  <c r="M237" i="54" s="1"/>
  <c r="M258" i="54" s="1"/>
  <c r="K115" i="45"/>
  <c r="M101" i="12"/>
  <c r="L68" i="19"/>
  <c r="M101" i="14" s="1"/>
  <c r="R47" i="28"/>
  <c r="R53" i="29"/>
  <c r="R50" i="29"/>
  <c r="R51" i="29"/>
  <c r="R54" i="29"/>
  <c r="R52" i="29"/>
  <c r="R49" i="29" s="1"/>
  <c r="R89" i="29" s="1"/>
  <c r="Q293" i="42"/>
  <c r="Q294" i="42"/>
  <c r="Q296" i="42"/>
  <c r="Q295" i="42"/>
  <c r="H254" i="19"/>
  <c r="AS128" i="36"/>
  <c r="L89" i="19"/>
  <c r="M140" i="14" s="1"/>
  <c r="M140" i="12"/>
  <c r="M160" i="29"/>
  <c r="M164" i="29"/>
  <c r="M165" i="29"/>
  <c r="M161" i="29"/>
  <c r="M163" i="29"/>
  <c r="M162" i="29"/>
  <c r="O84" i="45"/>
  <c r="N217" i="54"/>
  <c r="N221" i="54" s="1"/>
  <c r="N218" i="54"/>
  <c r="J334" i="46"/>
  <c r="J336" i="46"/>
  <c r="J339" i="46"/>
  <c r="J338" i="46"/>
  <c r="J337" i="46"/>
  <c r="J335" i="46"/>
  <c r="P219" i="53"/>
  <c r="P231" i="53" s="1"/>
  <c r="P220" i="53"/>
  <c r="T25" i="28"/>
  <c r="T43" i="28" s="1"/>
  <c r="U19" i="28"/>
  <c r="E6" i="55"/>
  <c r="M72" i="19"/>
  <c r="N119" i="14" s="1"/>
  <c r="N119" i="12"/>
  <c r="F12" i="55"/>
  <c r="L77" i="19"/>
  <c r="M106" i="14" s="1"/>
  <c r="M106" i="12"/>
  <c r="I346" i="46"/>
  <c r="R61" i="46"/>
  <c r="R65" i="46"/>
  <c r="R62" i="46"/>
  <c r="R67" i="46"/>
  <c r="R64" i="46"/>
  <c r="R66" i="46"/>
  <c r="R89" i="46" s="1"/>
  <c r="S60" i="46"/>
  <c r="N95" i="12"/>
  <c r="N147" i="12"/>
  <c r="AV33" i="45"/>
  <c r="Q293" i="38"/>
  <c r="Q294" i="38"/>
  <c r="Q296" i="38"/>
  <c r="Q295" i="38"/>
  <c r="T28" i="38"/>
  <c r="T43" i="38" s="1"/>
  <c r="U22" i="38"/>
  <c r="O151" i="42"/>
  <c r="O155" i="42" s="1"/>
  <c r="O153" i="42"/>
  <c r="O157" i="42" s="1"/>
  <c r="O152" i="42"/>
  <c r="O156" i="42" s="1"/>
  <c r="O154" i="42"/>
  <c r="F163" i="12"/>
  <c r="F157" i="12"/>
  <c r="N148" i="28"/>
  <c r="N149" i="28" s="1"/>
  <c r="O214" i="28"/>
  <c r="AX61" i="51"/>
  <c r="R64" i="51"/>
  <c r="H346" i="48"/>
  <c r="Q63" i="46"/>
  <c r="L107" i="14"/>
  <c r="V17" i="15"/>
  <c r="J293" i="20"/>
  <c r="K279" i="20"/>
  <c r="K278" i="20"/>
  <c r="Q204" i="48"/>
  <c r="Q203" i="48"/>
  <c r="P34" i="45"/>
  <c r="G155" i="12"/>
  <c r="G10" i="55"/>
  <c r="F312" i="20"/>
  <c r="F317" i="20"/>
  <c r="P103" i="36"/>
  <c r="P105" i="36"/>
  <c r="E157" i="14"/>
  <c r="E163" i="14"/>
  <c r="O124" i="12"/>
  <c r="Q23" i="45"/>
  <c r="U35" i="15"/>
  <c r="M128" i="12"/>
  <c r="L83" i="19"/>
  <c r="M128" i="14" s="1"/>
  <c r="M80" i="19"/>
  <c r="N111" i="14" s="1"/>
  <c r="N111" i="12"/>
  <c r="K118" i="45"/>
  <c r="P110" i="36"/>
  <c r="H349" i="46"/>
  <c r="S29" i="54"/>
  <c r="M196" i="54"/>
  <c r="M197" i="54" s="1"/>
  <c r="N163" i="54"/>
  <c r="N96" i="20"/>
  <c r="N233" i="53"/>
  <c r="N236" i="53" s="1"/>
  <c r="N232" i="53"/>
  <c r="X8" i="16"/>
  <c r="P24" i="20"/>
  <c r="Q18" i="20"/>
  <c r="Q59" i="29"/>
  <c r="R62" i="16" s="1"/>
  <c r="R62" i="15"/>
  <c r="P78" i="38"/>
  <c r="P82" i="38" s="1"/>
  <c r="P79" i="38"/>
  <c r="P83" i="38" s="1"/>
  <c r="P80" i="38"/>
  <c r="P84" i="38" s="1"/>
  <c r="P81" i="38"/>
  <c r="Q92" i="36" s="1"/>
  <c r="AW92" i="36" s="1"/>
  <c r="G121" i="45"/>
  <c r="G123" i="45"/>
  <c r="G124" i="45"/>
  <c r="L225" i="14" a="1"/>
  <c r="L225" i="14" s="1"/>
  <c r="L226" i="14"/>
  <c r="L148" i="14"/>
  <c r="R258" i="46"/>
  <c r="R260" i="46" s="1"/>
  <c r="S257" i="46"/>
  <c r="N84" i="20"/>
  <c r="AY17" i="45"/>
  <c r="AY18" i="45" s="1"/>
  <c r="V11" i="16"/>
  <c r="W19" i="16"/>
  <c r="W16" i="16"/>
  <c r="W18" i="16"/>
  <c r="W15" i="16"/>
  <c r="X14" i="16"/>
  <c r="W32" i="16"/>
  <c r="W74" i="16" s="1"/>
  <c r="R66" i="54"/>
  <c r="R73" i="54" s="1"/>
  <c r="R74" i="54" s="1"/>
  <c r="R61" i="54"/>
  <c r="R67" i="54"/>
  <c r="R77" i="54" s="1"/>
  <c r="R78" i="54" s="1"/>
  <c r="R62" i="54"/>
  <c r="R64" i="54"/>
  <c r="R71" i="54" s="1"/>
  <c r="R72" i="54" s="1"/>
  <c r="R65" i="54"/>
  <c r="R75" i="54" s="1"/>
  <c r="R76" i="54" s="1"/>
  <c r="S60" i="54"/>
  <c r="M211" i="19"/>
  <c r="M31" i="19"/>
  <c r="N60" i="19"/>
  <c r="AR102" i="45"/>
  <c r="AR101" i="45"/>
  <c r="L102" i="45"/>
  <c r="L101" i="45"/>
  <c r="AR103" i="45"/>
  <c r="L103" i="45"/>
  <c r="N128" i="36"/>
  <c r="L318" i="38"/>
  <c r="L319" i="38" s="1"/>
  <c r="L321" i="38" s="1"/>
  <c r="L73" i="19"/>
  <c r="M120" i="14" s="1"/>
  <c r="M120" i="12"/>
  <c r="Q232" i="42"/>
  <c r="Q234" i="42" s="1"/>
  <c r="R231" i="42"/>
  <c r="P151" i="38"/>
  <c r="P155" i="38" s="1"/>
  <c r="P153" i="38"/>
  <c r="P157" i="38" s="1"/>
  <c r="P154" i="38"/>
  <c r="Q79" i="36" s="1"/>
  <c r="P152" i="38"/>
  <c r="P156" i="38" s="1"/>
  <c r="R240" i="46"/>
  <c r="Q241" i="46"/>
  <c r="Q243" i="46" s="1"/>
  <c r="J332" i="46"/>
  <c r="J331" i="46"/>
  <c r="J343" i="46" s="1"/>
  <c r="J344" i="46" s="1"/>
  <c r="L318" i="42"/>
  <c r="L319" i="42" s="1"/>
  <c r="L321" i="42" s="1"/>
  <c r="P149" i="29"/>
  <c r="P148" i="29"/>
  <c r="P147" i="29"/>
  <c r="P150" i="29"/>
  <c r="F122" i="45"/>
  <c r="AY40" i="45"/>
  <c r="AY39" i="45"/>
  <c r="O151" i="29"/>
  <c r="O152" i="29"/>
  <c r="O70" i="45"/>
  <c r="L110" i="45"/>
  <c r="L111" i="45"/>
  <c r="L112" i="45"/>
  <c r="G310" i="20"/>
  <c r="H156" i="12" s="1"/>
  <c r="G308" i="20"/>
  <c r="M74" i="51"/>
  <c r="L253" i="53"/>
  <c r="I250" i="19"/>
  <c r="I251" i="19" s="1"/>
  <c r="O216" i="53"/>
  <c r="O215" i="53"/>
  <c r="O177" i="46"/>
  <c r="O182" i="46" s="1"/>
  <c r="O176" i="46"/>
  <c r="O181" i="46" s="1"/>
  <c r="O178" i="46"/>
  <c r="O183" i="46" s="1"/>
  <c r="O175" i="46"/>
  <c r="O180" i="46" s="1"/>
  <c r="O179" i="46"/>
  <c r="P107" i="45" s="1"/>
  <c r="O174" i="48"/>
  <c r="Q139" i="20"/>
  <c r="R94" i="12"/>
  <c r="O245" i="48"/>
  <c r="O250" i="48" s="1"/>
  <c r="O246" i="48"/>
  <c r="O251" i="48" s="1"/>
  <c r="O247" i="48"/>
  <c r="O252" i="48" s="1"/>
  <c r="O244" i="48"/>
  <c r="O249" i="48" s="1"/>
  <c r="O248" i="48"/>
  <c r="M91" i="19"/>
  <c r="N144" i="14" s="1"/>
  <c r="N144" i="12"/>
  <c r="W124" i="16"/>
  <c r="V38" i="29"/>
  <c r="W54" i="16"/>
  <c r="P136" i="15"/>
  <c r="R217" i="38"/>
  <c r="R219" i="38" s="1"/>
  <c r="S216" i="38"/>
  <c r="P162" i="53"/>
  <c r="K229" i="19"/>
  <c r="K226" i="19"/>
  <c r="K227" i="19"/>
  <c r="K228" i="19"/>
  <c r="P190" i="20"/>
  <c r="P152" i="19" s="1"/>
  <c r="P187" i="20"/>
  <c r="P149" i="19" s="1"/>
  <c r="P189" i="20"/>
  <c r="P151" i="19" s="1"/>
  <c r="P188" i="20"/>
  <c r="P150" i="19" s="1"/>
  <c r="P186" i="20"/>
  <c r="P148" i="19" s="1"/>
  <c r="Q137" i="12"/>
  <c r="P147" i="19"/>
  <c r="Q137" i="14" s="1"/>
  <c r="O141" i="15"/>
  <c r="O142" i="15" s="1"/>
  <c r="M167" i="28"/>
  <c r="M168" i="28"/>
  <c r="X8" i="15"/>
  <c r="N234" i="54"/>
  <c r="N235" i="54" s="1"/>
  <c r="N237" i="54" s="1"/>
  <c r="N258" i="54" s="1"/>
  <c r="M95" i="14"/>
  <c r="M147" i="14"/>
  <c r="Q26" i="19"/>
  <c r="Q44" i="19" s="1"/>
  <c r="R20" i="19"/>
  <c r="I69" i="15"/>
  <c r="H205" i="28"/>
  <c r="H210" i="28"/>
  <c r="H234" i="19"/>
  <c r="H238" i="19" s="1"/>
  <c r="H235" i="19"/>
  <c r="Q65" i="15"/>
  <c r="M33" i="20"/>
  <c r="M34" i="20"/>
  <c r="M144" i="12"/>
  <c r="L91" i="19"/>
  <c r="M144" i="14" s="1"/>
  <c r="F160" i="12"/>
  <c r="O87" i="45"/>
  <c r="R306" i="46"/>
  <c r="R31" i="46"/>
  <c r="S63" i="29"/>
  <c r="S62" i="29" s="1"/>
  <c r="S68" i="29"/>
  <c r="S66" i="29"/>
  <c r="S64" i="29"/>
  <c r="S65" i="29"/>
  <c r="S67" i="29"/>
  <c r="R232" i="38"/>
  <c r="R234" i="38" s="1"/>
  <c r="S231" i="38"/>
  <c r="N146" i="12"/>
  <c r="N115" i="12"/>
  <c r="AU82" i="45"/>
  <c r="AU24" i="45"/>
  <c r="N34" i="48"/>
  <c r="AU25" i="45"/>
  <c r="AU26" i="45"/>
  <c r="W10" i="16"/>
  <c r="L201" i="28"/>
  <c r="L203" i="28"/>
  <c r="M70" i="15" s="1"/>
  <c r="M105" i="14"/>
  <c r="K120" i="36"/>
  <c r="J337" i="38"/>
  <c r="J342" i="38"/>
  <c r="T26" i="54"/>
  <c r="T41" i="54" s="1"/>
  <c r="T147" i="54" s="1"/>
  <c r="T148" i="54" s="1"/>
  <c r="U20" i="54"/>
  <c r="M74" i="20"/>
  <c r="M66" i="19" s="1"/>
  <c r="M64" i="19"/>
  <c r="N93" i="14" s="1"/>
  <c r="M76" i="20"/>
  <c r="M75" i="20"/>
  <c r="M73" i="20"/>
  <c r="M77" i="20"/>
  <c r="O161" i="42"/>
  <c r="O165" i="42" s="1"/>
  <c r="O160" i="42"/>
  <c r="O164" i="42" s="1"/>
  <c r="O162" i="42"/>
  <c r="O159" i="42"/>
  <c r="O163" i="42" s="1"/>
  <c r="M109" i="14"/>
  <c r="P148" i="20"/>
  <c r="P124" i="19" s="1"/>
  <c r="P147" i="20"/>
  <c r="P123" i="19" s="1"/>
  <c r="P146" i="20"/>
  <c r="P122" i="19" s="1"/>
  <c r="P150" i="20"/>
  <c r="P126" i="19" s="1"/>
  <c r="P149" i="20"/>
  <c r="P125" i="19" s="1"/>
  <c r="P121" i="19"/>
  <c r="Q138" i="14" s="1"/>
  <c r="Q138" i="12"/>
  <c r="Q183" i="42"/>
  <c r="Q182" i="42"/>
  <c r="R181" i="42"/>
  <c r="M154" i="28"/>
  <c r="M152" i="28"/>
  <c r="M155" i="28"/>
  <c r="M153" i="28"/>
  <c r="M150" i="28"/>
  <c r="M151" i="28"/>
  <c r="L107" i="12"/>
  <c r="V20" i="15"/>
  <c r="K272" i="20"/>
  <c r="K273" i="20"/>
  <c r="Y24" i="16"/>
  <c r="Y23" i="16"/>
  <c r="Z22" i="16"/>
  <c r="Q139" i="48"/>
  <c r="Q67" i="16"/>
  <c r="Q46" i="16"/>
  <c r="R289" i="42"/>
  <c r="R292" i="42"/>
  <c r="G158" i="12"/>
  <c r="G162" i="12"/>
  <c r="AV103" i="36"/>
  <c r="AV105" i="36"/>
  <c r="O135" i="42"/>
  <c r="O139" i="42" s="1"/>
  <c r="O137" i="42"/>
  <c r="O141" i="42" s="1"/>
  <c r="O136" i="42"/>
  <c r="O140" i="42" s="1"/>
  <c r="O138" i="42"/>
  <c r="H300" i="20"/>
  <c r="H301" i="20" s="1"/>
  <c r="N165" i="28"/>
  <c r="N166" i="28"/>
  <c r="J76" i="51"/>
  <c r="R306" i="48"/>
  <c r="R31" i="48"/>
  <c r="AT58" i="45"/>
  <c r="AT59" i="45"/>
  <c r="M37" i="48"/>
  <c r="R43" i="48" s="1"/>
  <c r="AT104" i="45"/>
  <c r="AT60" i="45"/>
  <c r="M131" i="12"/>
  <c r="L84" i="19"/>
  <c r="M131" i="14" s="1"/>
  <c r="N105" i="14"/>
  <c r="T26" i="48"/>
  <c r="T41" i="48" s="1"/>
  <c r="U20" i="48"/>
  <c r="AV110" i="36"/>
  <c r="Q25" i="19"/>
  <c r="Q43" i="19" s="1"/>
  <c r="Q99" i="19" s="1"/>
  <c r="R19" i="19"/>
  <c r="M234" i="53"/>
  <c r="M235" i="53" s="1"/>
  <c r="M237" i="53" s="1"/>
  <c r="M258" i="53" s="1"/>
  <c r="R58" i="51"/>
  <c r="P68" i="45"/>
  <c r="H330" i="46"/>
  <c r="H329" i="46"/>
  <c r="H333" i="46" s="1"/>
  <c r="L149" i="12"/>
  <c r="L203" i="54"/>
  <c r="L200" i="54"/>
  <c r="L199" i="54"/>
  <c r="L201" i="54"/>
  <c r="L198" i="54"/>
  <c r="L202" i="54"/>
  <c r="AR90" i="45"/>
  <c r="L91" i="45"/>
  <c r="N222" i="53"/>
  <c r="N226" i="53"/>
  <c r="N223" i="53"/>
  <c r="N227" i="53"/>
  <c r="N225" i="53"/>
  <c r="N224" i="53"/>
  <c r="R33" i="28"/>
  <c r="R34" i="28"/>
  <c r="Q61" i="42"/>
  <c r="Q62" i="42"/>
  <c r="Q65" i="42"/>
  <c r="Q93" i="42" s="1"/>
  <c r="Q64" i="42"/>
  <c r="Q77" i="42" s="1"/>
  <c r="Q67" i="42"/>
  <c r="Q101" i="42" s="1"/>
  <c r="Q66" i="42"/>
  <c r="Q85" i="42" s="1"/>
  <c r="R60" i="42"/>
  <c r="O29" i="20"/>
  <c r="O42" i="20"/>
  <c r="Q62" i="28"/>
  <c r="Q56" i="29"/>
  <c r="R44" i="16" s="1"/>
  <c r="R44" i="15"/>
  <c r="P134" i="16"/>
  <c r="P77" i="16"/>
  <c r="P68" i="16"/>
  <c r="P133" i="16" a="1"/>
  <c r="P133" i="16" s="1"/>
  <c r="N33" i="46"/>
  <c r="N39" i="46" s="1"/>
  <c r="O75" i="45"/>
  <c r="Q264" i="46"/>
  <c r="Q269" i="46" s="1"/>
  <c r="Q261" i="46"/>
  <c r="Q266" i="46" s="1"/>
  <c r="Q262" i="46"/>
  <c r="Q267" i="46" s="1"/>
  <c r="Q263" i="46"/>
  <c r="Q268" i="46" s="1"/>
  <c r="Q265" i="46"/>
  <c r="R105" i="45" s="1"/>
  <c r="Q260" i="48"/>
  <c r="D19" i="55"/>
  <c r="D20" i="55"/>
  <c r="AS85" i="45"/>
  <c r="AS71" i="45"/>
  <c r="I337" i="42"/>
  <c r="I342" i="42"/>
  <c r="J230" i="19"/>
  <c r="J231" i="19"/>
  <c r="T25" i="46"/>
  <c r="T40" i="46" s="1"/>
  <c r="U19" i="46"/>
  <c r="M317" i="38"/>
  <c r="M320" i="38" s="1"/>
  <c r="M316" i="38"/>
  <c r="O216" i="54"/>
  <c r="O215" i="54"/>
  <c r="T122" i="16"/>
  <c r="T132" i="16" s="1"/>
  <c r="L325" i="38"/>
  <c r="L326" i="38" s="1"/>
  <c r="L72" i="19"/>
  <c r="M119" i="14" s="1"/>
  <c r="M119" i="12"/>
  <c r="S20" i="20"/>
  <c r="R26" i="20"/>
  <c r="R44" i="20" s="1"/>
  <c r="P236" i="42"/>
  <c r="P240" i="42" s="1"/>
  <c r="P235" i="42"/>
  <c r="P239" i="42" s="1"/>
  <c r="P238" i="42"/>
  <c r="P237" i="42"/>
  <c r="P241" i="42" s="1"/>
  <c r="AK119" i="45"/>
  <c r="D365" i="48"/>
  <c r="D370" i="48"/>
  <c r="P245" i="46"/>
  <c r="P250" i="46" s="1"/>
  <c r="P246" i="46"/>
  <c r="P251" i="46" s="1"/>
  <c r="P244" i="46"/>
  <c r="P249" i="46" s="1"/>
  <c r="P247" i="46"/>
  <c r="P252" i="46" s="1"/>
  <c r="P243" i="48"/>
  <c r="P248" i="46"/>
  <c r="Q96" i="45" s="1"/>
  <c r="J325" i="46"/>
  <c r="J326" i="46"/>
  <c r="L325" i="42"/>
  <c r="L326" i="42" s="1"/>
  <c r="P57" i="45"/>
  <c r="O206" i="53"/>
  <c r="O207" i="53" s="1"/>
  <c r="O229" i="53"/>
  <c r="O230" i="53" s="1"/>
  <c r="AW71" i="51"/>
  <c r="O158" i="29"/>
  <c r="O157" i="29"/>
  <c r="O169" i="29" s="1"/>
  <c r="U22" i="29"/>
  <c r="T28" i="29"/>
  <c r="T46" i="29" s="1"/>
  <c r="V11" i="15"/>
  <c r="U40" i="15"/>
  <c r="O168" i="46"/>
  <c r="O173" i="46" s="1"/>
  <c r="O166" i="46"/>
  <c r="O171" i="46" s="1"/>
  <c r="O165" i="46"/>
  <c r="O170" i="46" s="1"/>
  <c r="O167" i="46"/>
  <c r="O172" i="46" s="1"/>
  <c r="O164" i="48"/>
  <c r="O169" i="46"/>
  <c r="P77" i="45" s="1"/>
  <c r="P205" i="38"/>
  <c r="P209" i="38" s="1"/>
  <c r="P206" i="38"/>
  <c r="P210" i="38" s="1"/>
  <c r="P207" i="38"/>
  <c r="P211" i="38" s="1"/>
  <c r="P208" i="38"/>
  <c r="N140" i="12"/>
  <c r="M89" i="19"/>
  <c r="N140" i="14" s="1"/>
  <c r="Q222" i="38"/>
  <c r="Q226" i="38" s="1"/>
  <c r="Q221" i="38"/>
  <c r="Q225" i="38" s="1"/>
  <c r="Q220" i="38"/>
  <c r="Q224" i="38" s="1"/>
  <c r="Q223" i="38"/>
  <c r="R98" i="36" s="1"/>
  <c r="L81" i="46"/>
  <c r="L86" i="46" s="1"/>
  <c r="L82" i="46"/>
  <c r="L87" i="46" s="1"/>
  <c r="L80" i="46"/>
  <c r="L85" i="46" s="1"/>
  <c r="L83" i="46"/>
  <c r="L88" i="46" s="1"/>
  <c r="L79" i="48"/>
  <c r="L84" i="46"/>
  <c r="M90" i="45" s="1"/>
  <c r="AR4" i="55"/>
  <c r="P182" i="20"/>
  <c r="P144" i="19" s="1"/>
  <c r="P180" i="20"/>
  <c r="P142" i="19" s="1"/>
  <c r="P181" i="20"/>
  <c r="P143" i="19" s="1"/>
  <c r="P183" i="20"/>
  <c r="P145" i="19" s="1"/>
  <c r="P141" i="19"/>
  <c r="Q125" i="14" s="1"/>
  <c r="P184" i="20"/>
  <c r="P146" i="19" s="1"/>
  <c r="O140" i="15"/>
  <c r="U27" i="38"/>
  <c r="U42" i="38" s="1"/>
  <c r="V21" i="38"/>
  <c r="N163" i="19"/>
  <c r="AQ100" i="45"/>
  <c r="AQ113" i="45"/>
  <c r="L65" i="19"/>
  <c r="M96" i="14" s="1"/>
  <c r="M96" i="12"/>
  <c r="U21" i="15"/>
  <c r="AW107" i="36"/>
  <c r="Q217" i="42"/>
  <c r="Q219" i="42" s="1"/>
  <c r="R216" i="42"/>
  <c r="S153" i="53"/>
  <c r="R154" i="53"/>
  <c r="R156" i="53" s="1"/>
  <c r="U21" i="16"/>
  <c r="L231" i="14"/>
  <c r="O85" i="45"/>
  <c r="T28" i="54"/>
  <c r="T43" i="54" s="1"/>
  <c r="U22" i="54"/>
  <c r="R208" i="54"/>
  <c r="T28" i="53"/>
  <c r="T43" i="53" s="1"/>
  <c r="U22" i="53"/>
  <c r="L228" i="14"/>
  <c r="Q201" i="46"/>
  <c r="Q138" i="46"/>
  <c r="Q137" i="46"/>
  <c r="Q200" i="46"/>
  <c r="R136" i="46"/>
  <c r="Q236" i="38"/>
  <c r="Q240" i="38" s="1"/>
  <c r="Q237" i="38"/>
  <c r="Q241" i="38" s="1"/>
  <c r="Q235" i="38"/>
  <c r="Q239" i="38" s="1"/>
  <c r="Q238" i="38"/>
  <c r="R107" i="36" s="1"/>
  <c r="R28" i="20"/>
  <c r="R46" i="20" s="1"/>
  <c r="S22" i="20"/>
  <c r="R34" i="29"/>
  <c r="R33" i="29"/>
  <c r="L242" i="54"/>
  <c r="L249" i="54" s="1"/>
  <c r="R292" i="38"/>
  <c r="M263" i="20"/>
  <c r="M264" i="20"/>
  <c r="M315" i="20"/>
  <c r="M314" i="20"/>
  <c r="M267" i="20"/>
  <c r="U27" i="29"/>
  <c r="V21" i="29"/>
  <c r="AU113" i="36"/>
  <c r="AU111" i="36"/>
  <c r="AU117" i="36" s="1"/>
  <c r="AU123" i="36" s="1"/>
  <c r="AU112" i="36"/>
  <c r="O145" i="42"/>
  <c r="O149" i="42" s="1"/>
  <c r="O143" i="42"/>
  <c r="O147" i="42" s="1"/>
  <c r="O144" i="42"/>
  <c r="O148" i="42" s="1"/>
  <c r="O146" i="42"/>
  <c r="M105" i="12"/>
  <c r="P184" i="42"/>
  <c r="P188" i="42"/>
  <c r="P196" i="42"/>
  <c r="P204" i="42"/>
  <c r="I325" i="48"/>
  <c r="I326" i="48"/>
  <c r="Q49" i="15"/>
  <c r="R108" i="28"/>
  <c r="S107" i="28"/>
  <c r="J322" i="48"/>
  <c r="J324" i="48"/>
  <c r="J321" i="48"/>
  <c r="J323" i="48"/>
  <c r="T25" i="42"/>
  <c r="T40" i="42" s="1"/>
  <c r="U19" i="42"/>
  <c r="M109" i="46"/>
  <c r="M44" i="46"/>
  <c r="M316" i="46" s="1"/>
  <c r="M79" i="46"/>
  <c r="M99" i="46"/>
  <c r="M69" i="46"/>
  <c r="J69" i="15"/>
  <c r="I205" i="28"/>
  <c r="I210" i="28"/>
  <c r="Q67" i="15"/>
  <c r="Q46" i="15"/>
  <c r="Q65" i="20"/>
  <c r="Q64" i="20"/>
  <c r="R63" i="20"/>
  <c r="N37" i="46"/>
  <c r="S43" i="46" s="1"/>
  <c r="O58" i="45"/>
  <c r="O104" i="45"/>
  <c r="O59" i="45"/>
  <c r="O72" i="45" s="1"/>
  <c r="O60" i="45"/>
  <c r="R25" i="20"/>
  <c r="R43" i="20" s="1"/>
  <c r="S19" i="20"/>
  <c r="N172" i="28"/>
  <c r="N171" i="28"/>
  <c r="N183" i="28" s="1"/>
  <c r="N184" i="28" s="1"/>
  <c r="T25" i="38"/>
  <c r="T40" i="38" s="1"/>
  <c r="U19" i="38"/>
  <c r="N280" i="38"/>
  <c r="N281" i="38" s="1"/>
  <c r="O247" i="38"/>
  <c r="N301" i="42"/>
  <c r="N305" i="42" s="1"/>
  <c r="N302" i="42"/>
  <c r="I315" i="46"/>
  <c r="I314" i="46"/>
  <c r="I311" i="46"/>
  <c r="I313" i="46"/>
  <c r="I312" i="46"/>
  <c r="I310" i="46"/>
  <c r="N52" i="19"/>
  <c r="N49" i="19" s="1"/>
  <c r="N177" i="19" s="1"/>
  <c r="N50" i="19"/>
  <c r="N47" i="20"/>
  <c r="N218" i="20" s="1"/>
  <c r="N221" i="20"/>
  <c r="N72" i="20"/>
  <c r="O93" i="12"/>
  <c r="R95" i="45"/>
  <c r="R43" i="45"/>
  <c r="Q35" i="46"/>
  <c r="R42" i="45"/>
  <c r="R44" i="45"/>
  <c r="AZ63" i="51"/>
  <c r="L149" i="14"/>
  <c r="P263" i="48"/>
  <c r="P268" i="48" s="1"/>
  <c r="P264" i="48"/>
  <c r="P269" i="48" s="1"/>
  <c r="P262" i="48"/>
  <c r="P267" i="48" s="1"/>
  <c r="P265" i="48"/>
  <c r="P261" i="48"/>
  <c r="P266" i="48" s="1"/>
  <c r="M156" i="29"/>
  <c r="M155" i="29"/>
  <c r="M159" i="29" s="1"/>
  <c r="K83" i="48"/>
  <c r="K88" i="48" s="1"/>
  <c r="K81" i="48"/>
  <c r="K86" i="48" s="1"/>
  <c r="K82" i="48"/>
  <c r="K87" i="48" s="1"/>
  <c r="K80" i="48"/>
  <c r="K85" i="48" s="1"/>
  <c r="K84" i="48"/>
  <c r="L74" i="51"/>
  <c r="K253" i="53"/>
  <c r="M34" i="48"/>
  <c r="AT26" i="45"/>
  <c r="AT24" i="45"/>
  <c r="AT82" i="45"/>
  <c r="AT25" i="45"/>
  <c r="T28" i="28"/>
  <c r="T46" i="28" s="1"/>
  <c r="U22" i="28"/>
  <c r="U24" i="46"/>
  <c r="V18" i="46"/>
  <c r="P96" i="42"/>
  <c r="P100" i="42" s="1"/>
  <c r="P94" i="42"/>
  <c r="P98" i="42" s="1"/>
  <c r="P97" i="42"/>
  <c r="P95" i="42"/>
  <c r="P99" i="42" s="1"/>
  <c r="P94" i="38"/>
  <c r="P98" i="38" s="1"/>
  <c r="P97" i="38"/>
  <c r="Q108" i="36" s="1"/>
  <c r="AW108" i="36" s="1"/>
  <c r="P96" i="38"/>
  <c r="P100" i="38" s="1"/>
  <c r="P95" i="38"/>
  <c r="P99" i="38" s="1"/>
  <c r="P214" i="54"/>
  <c r="P213" i="54"/>
  <c r="AV51" i="51"/>
  <c r="AV72" i="51"/>
  <c r="U27" i="53"/>
  <c r="U42" i="53" s="1"/>
  <c r="V21" i="53"/>
  <c r="AS73" i="45"/>
  <c r="AS87" i="45"/>
  <c r="AU89" i="45"/>
  <c r="T122" i="15"/>
  <c r="T132" i="15" s="1"/>
  <c r="J237" i="19"/>
  <c r="J236" i="19"/>
  <c r="J248" i="19" s="1"/>
  <c r="J249" i="19" s="1"/>
  <c r="M311" i="38"/>
  <c r="M310" i="38"/>
  <c r="M307" i="38"/>
  <c r="M309" i="38"/>
  <c r="M306" i="38"/>
  <c r="M308" i="38"/>
  <c r="P297" i="38"/>
  <c r="P298" i="38"/>
  <c r="Q33" i="28"/>
  <c r="Q34" i="28"/>
  <c r="K318" i="46"/>
  <c r="K319" i="46" s="1"/>
  <c r="K341" i="46"/>
  <c r="K342" i="46" s="1"/>
  <c r="L9" i="55"/>
  <c r="M146" i="12"/>
  <c r="M115" i="12"/>
  <c r="Q155" i="19"/>
  <c r="Q154" i="19" s="1"/>
  <c r="Q208" i="28"/>
  <c r="Q207" i="28"/>
  <c r="Q156" i="28"/>
  <c r="O146" i="46"/>
  <c r="O151" i="46" s="1"/>
  <c r="O148" i="46"/>
  <c r="O153" i="46" s="1"/>
  <c r="O145" i="46"/>
  <c r="O150" i="46" s="1"/>
  <c r="O144" i="48"/>
  <c r="O147" i="46"/>
  <c r="O152" i="46" s="1"/>
  <c r="O149" i="46"/>
  <c r="P83" i="45" s="1"/>
  <c r="AK122" i="45"/>
  <c r="M227" i="12"/>
  <c r="T39" i="15"/>
  <c r="T13" i="15"/>
  <c r="S40" i="29"/>
  <c r="T128" i="16"/>
  <c r="T60" i="16"/>
  <c r="AR76" i="51"/>
  <c r="W124" i="15"/>
  <c r="V38" i="28"/>
  <c r="W54" i="15"/>
  <c r="P139" i="16"/>
  <c r="N73" i="45"/>
  <c r="M226" i="12"/>
  <c r="R258" i="48"/>
  <c r="S257" i="48"/>
  <c r="O299" i="38"/>
  <c r="O300" i="38"/>
  <c r="M92" i="19"/>
  <c r="N145" i="14" s="1"/>
  <c r="N145" i="12"/>
  <c r="P135" i="15"/>
  <c r="T26" i="53"/>
  <c r="T41" i="53" s="1"/>
  <c r="T147" i="53" s="1"/>
  <c r="T148" i="53" s="1"/>
  <c r="U60" i="51" s="1"/>
  <c r="U20" i="53"/>
  <c r="AM119" i="45"/>
  <c r="F370" i="48"/>
  <c r="F365" i="48"/>
  <c r="L100" i="46"/>
  <c r="L105" i="46" s="1"/>
  <c r="L102" i="46"/>
  <c r="L107" i="46" s="1"/>
  <c r="L99" i="48"/>
  <c r="L101" i="46"/>
  <c r="L106" i="46" s="1"/>
  <c r="L103" i="46"/>
  <c r="L108" i="46" s="1"/>
  <c r="L104" i="46"/>
  <c r="M106" i="45" s="1"/>
  <c r="S44" i="42"/>
  <c r="S288" i="42" s="1"/>
  <c r="R47" i="29"/>
  <c r="R142" i="29" s="1"/>
  <c r="L67" i="19"/>
  <c r="M100" i="14" s="1"/>
  <c r="M100" i="12"/>
  <c r="R183" i="38"/>
  <c r="R127" i="38"/>
  <c r="R182" i="38"/>
  <c r="R128" i="38"/>
  <c r="S126" i="38"/>
  <c r="P136" i="16"/>
  <c r="P220" i="42"/>
  <c r="P224" i="42" s="1"/>
  <c r="P222" i="42"/>
  <c r="P226" i="42" s="1"/>
  <c r="P223" i="42"/>
  <c r="P221" i="42"/>
  <c r="P225" i="42" s="1"/>
  <c r="Q157" i="53"/>
  <c r="R66" i="51" s="1"/>
  <c r="T26" i="29"/>
  <c r="T44" i="29" s="1"/>
  <c r="U20" i="29"/>
  <c r="AP115" i="45"/>
  <c r="O197" i="42"/>
  <c r="O201" i="42" s="1"/>
  <c r="O198" i="42"/>
  <c r="O202" i="42" s="1"/>
  <c r="O200" i="42"/>
  <c r="O199" i="42"/>
  <c r="O203" i="42" s="1"/>
  <c r="P202" i="46"/>
  <c r="P206" i="46"/>
  <c r="P226" i="46"/>
  <c r="P216" i="46"/>
  <c r="Q167" i="19"/>
  <c r="Q166" i="19" s="1"/>
  <c r="AU34" i="45"/>
  <c r="O206" i="54"/>
  <c r="O207" i="54" s="1"/>
  <c r="O229" i="54"/>
  <c r="O230" i="54" s="1"/>
  <c r="P73" i="51"/>
  <c r="K180" i="29"/>
  <c r="K189" i="29" s="1"/>
  <c r="L70" i="16" s="1"/>
  <c r="W11" i="15"/>
  <c r="F14" i="55" l="1"/>
  <c r="R278" i="38"/>
  <c r="R289" i="38" s="1"/>
  <c r="M148" i="12"/>
  <c r="M169" i="12" s="1"/>
  <c r="N54" i="19"/>
  <c r="F15" i="55"/>
  <c r="N58" i="19"/>
  <c r="N51" i="19"/>
  <c r="U18" i="38"/>
  <c r="T24" i="38"/>
  <c r="T39" i="38" s="1"/>
  <c r="U18" i="42"/>
  <c r="T24" i="42"/>
  <c r="T39" i="42" s="1"/>
  <c r="T44" i="42" s="1"/>
  <c r="T288" i="42" s="1"/>
  <c r="N53" i="19"/>
  <c r="M186" i="28"/>
  <c r="M187" i="28" s="1"/>
  <c r="F16" i="55"/>
  <c r="F7" i="55" s="1"/>
  <c r="G371" i="46"/>
  <c r="H126" i="45" s="1"/>
  <c r="N57" i="19"/>
  <c r="N59" i="19"/>
  <c r="F11" i="55"/>
  <c r="O119" i="36"/>
  <c r="T41" i="45"/>
  <c r="M176" i="19"/>
  <c r="M266" i="20"/>
  <c r="AK12" i="55"/>
  <c r="I345" i="48"/>
  <c r="I346" i="48" s="1"/>
  <c r="I347" i="48" s="1"/>
  <c r="AK13" i="55"/>
  <c r="AK7" i="55" s="1"/>
  <c r="AK11" i="55"/>
  <c r="AK19" i="55" s="1"/>
  <c r="T29" i="42"/>
  <c r="Y25" i="15"/>
  <c r="Q162" i="53"/>
  <c r="L271" i="48"/>
  <c r="N259" i="54"/>
  <c r="AU78" i="51" s="1"/>
  <c r="AU77" i="51"/>
  <c r="Y9" i="16"/>
  <c r="Y10" i="16" s="1"/>
  <c r="M259" i="54"/>
  <c r="AT78" i="51" s="1"/>
  <c r="AT77" i="51"/>
  <c r="N77" i="51"/>
  <c r="M259" i="53"/>
  <c r="N78" i="51" s="1"/>
  <c r="AS74" i="51"/>
  <c r="Y9" i="15"/>
  <c r="Y10" i="15" s="1"/>
  <c r="M152" i="14"/>
  <c r="Y54" i="15"/>
  <c r="X38" i="28"/>
  <c r="Y124" i="15"/>
  <c r="P209" i="46"/>
  <c r="P214" i="46" s="1"/>
  <c r="P208" i="46"/>
  <c r="P213" i="46" s="1"/>
  <c r="P210" i="46"/>
  <c r="P215" i="46" s="1"/>
  <c r="P206" i="48"/>
  <c r="P207" i="46"/>
  <c r="P212" i="46" s="1"/>
  <c r="P211" i="46"/>
  <c r="Q89" i="45" s="1"/>
  <c r="O222" i="54"/>
  <c r="O225" i="54"/>
  <c r="O224" i="54"/>
  <c r="O226" i="54"/>
  <c r="O223" i="54"/>
  <c r="O227" i="54"/>
  <c r="AX66" i="51"/>
  <c r="R70" i="51"/>
  <c r="BA60" i="51"/>
  <c r="U138" i="53"/>
  <c r="U139" i="53" s="1"/>
  <c r="V69" i="51" s="1"/>
  <c r="U134" i="53"/>
  <c r="U136" i="53"/>
  <c r="U137" i="53" s="1"/>
  <c r="V63" i="51" s="1"/>
  <c r="AT87" i="45"/>
  <c r="AT73" i="45"/>
  <c r="N74" i="20"/>
  <c r="N66" i="19" s="1"/>
  <c r="N77" i="20"/>
  <c r="N73" i="20"/>
  <c r="N64" i="19"/>
  <c r="O93" i="14" s="1"/>
  <c r="N76" i="20"/>
  <c r="N75" i="20"/>
  <c r="O280" i="38"/>
  <c r="O281" i="38" s="1"/>
  <c r="P247" i="38"/>
  <c r="Q67" i="20"/>
  <c r="Q70" i="20"/>
  <c r="Q69" i="20"/>
  <c r="Q68" i="20"/>
  <c r="U25" i="42"/>
  <c r="U40" i="42" s="1"/>
  <c r="V19" i="42"/>
  <c r="Q136" i="15"/>
  <c r="M228" i="12"/>
  <c r="M284" i="20"/>
  <c r="M283" i="20"/>
  <c r="M286" i="20"/>
  <c r="M282" i="20"/>
  <c r="M281" i="20"/>
  <c r="M285" i="20"/>
  <c r="R217" i="42"/>
  <c r="R219" i="42" s="1"/>
  <c r="S216" i="42"/>
  <c r="M149" i="14"/>
  <c r="V27" i="38"/>
  <c r="V42" i="38" s="1"/>
  <c r="W21" i="38"/>
  <c r="L335" i="42"/>
  <c r="L333" i="42"/>
  <c r="P141" i="16"/>
  <c r="P142" i="16" s="1"/>
  <c r="O221" i="20"/>
  <c r="O47" i="20"/>
  <c r="O72" i="20"/>
  <c r="P93" i="12"/>
  <c r="Q63" i="42"/>
  <c r="Q69" i="42"/>
  <c r="R25" i="19"/>
  <c r="R43" i="19" s="1"/>
  <c r="R101" i="19" s="1"/>
  <c r="S19" i="19"/>
  <c r="Q184" i="42"/>
  <c r="Q188" i="42"/>
  <c r="Q196" i="42"/>
  <c r="Q204" i="42"/>
  <c r="N100" i="12"/>
  <c r="M67" i="19"/>
  <c r="N100" i="14" s="1"/>
  <c r="AQ120" i="36"/>
  <c r="K125" i="36"/>
  <c r="K122" i="36"/>
  <c r="AU86" i="45"/>
  <c r="M226" i="14"/>
  <c r="K230" i="19"/>
  <c r="K231" i="19"/>
  <c r="M76" i="51"/>
  <c r="Q235" i="42"/>
  <c r="Q239" i="42" s="1"/>
  <c r="Q236" i="42"/>
  <c r="Q240" i="42" s="1"/>
  <c r="Q237" i="42"/>
  <c r="Q241" i="42" s="1"/>
  <c r="Q238" i="42"/>
  <c r="AY20" i="45"/>
  <c r="AY19" i="45"/>
  <c r="N89" i="20"/>
  <c r="N76" i="19"/>
  <c r="O104" i="14" s="1"/>
  <c r="N87" i="20"/>
  <c r="N86" i="20"/>
  <c r="N78" i="19" s="1"/>
  <c r="N85" i="20"/>
  <c r="O104" i="12"/>
  <c r="N88" i="20"/>
  <c r="U128" i="15"/>
  <c r="T40" i="28"/>
  <c r="U60" i="15"/>
  <c r="O33" i="46"/>
  <c r="O39" i="46" s="1"/>
  <c r="P75" i="45"/>
  <c r="Q303" i="38"/>
  <c r="Q315" i="38" s="1"/>
  <c r="Q304" i="38"/>
  <c r="S64" i="46"/>
  <c r="S67" i="46"/>
  <c r="S62" i="46"/>
  <c r="S61" i="46"/>
  <c r="S65" i="46"/>
  <c r="S66" i="46"/>
  <c r="S89" i="46" s="1"/>
  <c r="T60" i="46"/>
  <c r="O78" i="20"/>
  <c r="R208" i="28"/>
  <c r="R207" i="28"/>
  <c r="R156" i="28"/>
  <c r="Q135" i="20"/>
  <c r="Q111" i="19" s="1"/>
  <c r="Q136" i="20"/>
  <c r="Q112" i="19" s="1"/>
  <c r="Q134" i="20"/>
  <c r="Q110" i="19" s="1"/>
  <c r="Q138" i="20"/>
  <c r="Q114" i="19" s="1"/>
  <c r="Q137" i="20"/>
  <c r="Q113" i="19" s="1"/>
  <c r="Q109" i="19"/>
  <c r="R126" i="14" s="1"/>
  <c r="O157" i="48"/>
  <c r="O162" i="48" s="1"/>
  <c r="O155" i="48"/>
  <c r="O160" i="48" s="1"/>
  <c r="O156" i="48"/>
  <c r="O161" i="48" s="1"/>
  <c r="O159" i="48"/>
  <c r="O158" i="48"/>
  <c r="O163" i="48" s="1"/>
  <c r="S31" i="29"/>
  <c r="S132" i="29"/>
  <c r="P141" i="15"/>
  <c r="P142" i="15" s="1"/>
  <c r="AW56" i="45"/>
  <c r="AW55" i="45"/>
  <c r="AZ53" i="51"/>
  <c r="T54" i="51"/>
  <c r="T44" i="54"/>
  <c r="T204" i="54" s="1"/>
  <c r="O165" i="28"/>
  <c r="O166" i="28"/>
  <c r="AM10" i="55"/>
  <c r="G155" i="14"/>
  <c r="F270" i="19"/>
  <c r="F275" i="19"/>
  <c r="P206" i="54"/>
  <c r="P207" i="54" s="1"/>
  <c r="P229" i="54"/>
  <c r="P230" i="54" s="1"/>
  <c r="AL119" i="45"/>
  <c r="E365" i="48"/>
  <c r="E370" i="48"/>
  <c r="Q189" i="20"/>
  <c r="Q151" i="19" s="1"/>
  <c r="Q188" i="20"/>
  <c r="Q150" i="19" s="1"/>
  <c r="Q190" i="20"/>
  <c r="Q152" i="19" s="1"/>
  <c r="Q186" i="20"/>
  <c r="Q148" i="19" s="1"/>
  <c r="Q187" i="20"/>
  <c r="Q149" i="19" s="1"/>
  <c r="R137" i="12"/>
  <c r="Q147" i="19"/>
  <c r="R137" i="14" s="1"/>
  <c r="T37" i="28"/>
  <c r="U47" i="15"/>
  <c r="U125" i="15"/>
  <c r="L151" i="14"/>
  <c r="R49" i="15"/>
  <c r="S61" i="28"/>
  <c r="S57" i="29" s="1"/>
  <c r="S63" i="28"/>
  <c r="S60" i="28"/>
  <c r="T59" i="28"/>
  <c r="S64" i="28"/>
  <c r="Z7" i="16"/>
  <c r="AA6" i="16"/>
  <c r="N317" i="42"/>
  <c r="N320" i="42" s="1"/>
  <c r="N316" i="42"/>
  <c r="N95" i="20"/>
  <c r="N87" i="19" s="1"/>
  <c r="N94" i="20"/>
  <c r="N91" i="20"/>
  <c r="N93" i="20"/>
  <c r="N82" i="19"/>
  <c r="O124" i="14" s="1"/>
  <c r="N92" i="20"/>
  <c r="R203" i="48"/>
  <c r="R204" i="48"/>
  <c r="AW102" i="36"/>
  <c r="U26" i="28"/>
  <c r="U44" i="28" s="1"/>
  <c r="V20" i="28"/>
  <c r="O230" i="48"/>
  <c r="O235" i="48" s="1"/>
  <c r="O227" i="48"/>
  <c r="O232" i="48" s="1"/>
  <c r="O228" i="48"/>
  <c r="O233" i="48" s="1"/>
  <c r="O229" i="48"/>
  <c r="O234" i="48" s="1"/>
  <c r="O231" i="48"/>
  <c r="S47" i="29"/>
  <c r="S142" i="29" s="1"/>
  <c r="AX35" i="45"/>
  <c r="AX29" i="45"/>
  <c r="AX36" i="45"/>
  <c r="AX32" i="45"/>
  <c r="AX37" i="45"/>
  <c r="AX28" i="45"/>
  <c r="AX31" i="45"/>
  <c r="AX54" i="45"/>
  <c r="Q63" i="38"/>
  <c r="Q69" i="38"/>
  <c r="AY54" i="51"/>
  <c r="P136" i="42"/>
  <c r="P140" i="42" s="1"/>
  <c r="P135" i="42"/>
  <c r="P139" i="42" s="1"/>
  <c r="P137" i="42"/>
  <c r="P141" i="42" s="1"/>
  <c r="P138" i="42"/>
  <c r="N286" i="42"/>
  <c r="N282" i="42"/>
  <c r="N285" i="42"/>
  <c r="N287" i="42"/>
  <c r="N284" i="42"/>
  <c r="N283" i="42"/>
  <c r="AV34" i="45"/>
  <c r="N127" i="14"/>
  <c r="Q133" i="19"/>
  <c r="M152" i="12"/>
  <c r="L318" i="46"/>
  <c r="L319" i="46" s="1"/>
  <c r="L341" i="46"/>
  <c r="L342" i="46" s="1"/>
  <c r="M9" i="55"/>
  <c r="O29" i="19"/>
  <c r="O42" i="19"/>
  <c r="O54" i="19" s="1"/>
  <c r="L278" i="20"/>
  <c r="L279" i="20"/>
  <c r="V40" i="16"/>
  <c r="S21" i="45"/>
  <c r="R66" i="16"/>
  <c r="U28" i="48"/>
  <c r="V22" i="48"/>
  <c r="P153" i="42"/>
  <c r="P157" i="42" s="1"/>
  <c r="P152" i="42"/>
  <c r="P156" i="42" s="1"/>
  <c r="P154" i="42"/>
  <c r="P151" i="42"/>
  <c r="P155" i="42" s="1"/>
  <c r="Q192" i="38"/>
  <c r="R91" i="36" s="1"/>
  <c r="Q191" i="38"/>
  <c r="Q195" i="38" s="1"/>
  <c r="Q190" i="38"/>
  <c r="Q194" i="38" s="1"/>
  <c r="Q189" i="38"/>
  <c r="Q193" i="38" s="1"/>
  <c r="AS76" i="45"/>
  <c r="M78" i="45"/>
  <c r="I300" i="20"/>
  <c r="I301" i="20" s="1"/>
  <c r="N108" i="14"/>
  <c r="K331" i="46"/>
  <c r="K343" i="46" s="1"/>
  <c r="K344" i="46" s="1"/>
  <c r="K332" i="46"/>
  <c r="Q100" i="19"/>
  <c r="S292" i="38"/>
  <c r="R184" i="38"/>
  <c r="R188" i="38"/>
  <c r="R196" i="38"/>
  <c r="R204" i="38"/>
  <c r="L101" i="48"/>
  <c r="L106" i="48" s="1"/>
  <c r="L103" i="48"/>
  <c r="L108" i="48" s="1"/>
  <c r="L102" i="48"/>
  <c r="L107" i="48" s="1"/>
  <c r="L104" i="48"/>
  <c r="L100" i="48"/>
  <c r="L105" i="48" s="1"/>
  <c r="AR9" i="55"/>
  <c r="R129" i="38"/>
  <c r="R134" i="38"/>
  <c r="T257" i="48"/>
  <c r="S258" i="48"/>
  <c r="S37" i="28"/>
  <c r="T125" i="15"/>
  <c r="T47" i="15"/>
  <c r="Q157" i="28"/>
  <c r="Q160" i="28"/>
  <c r="P299" i="38"/>
  <c r="P300" i="38"/>
  <c r="N286" i="38"/>
  <c r="N284" i="38"/>
  <c r="N285" i="38"/>
  <c r="N283" i="38"/>
  <c r="N282" i="38"/>
  <c r="N287" i="38"/>
  <c r="Q134" i="15"/>
  <c r="Q68" i="15"/>
  <c r="Q77" i="15" s="1"/>
  <c r="Q133" i="15" a="1"/>
  <c r="Q133" i="15" s="1"/>
  <c r="V27" i="29"/>
  <c r="W21" i="29"/>
  <c r="R296" i="38"/>
  <c r="R293" i="38"/>
  <c r="R294" i="38"/>
  <c r="R295" i="38"/>
  <c r="R193" i="29"/>
  <c r="R194" i="29"/>
  <c r="R137" i="46"/>
  <c r="R201" i="46"/>
  <c r="R138" i="46"/>
  <c r="R200" i="46"/>
  <c r="S136" i="46"/>
  <c r="R212" i="54"/>
  <c r="R210" i="54"/>
  <c r="R209" i="54"/>
  <c r="R211" i="54"/>
  <c r="Q221" i="42"/>
  <c r="Q225" i="42" s="1"/>
  <c r="Q222" i="42"/>
  <c r="Q226" i="42" s="1"/>
  <c r="Q220" i="42"/>
  <c r="Q224" i="42" s="1"/>
  <c r="Q223" i="42"/>
  <c r="AQ115" i="45"/>
  <c r="AX98" i="36"/>
  <c r="M318" i="38"/>
  <c r="M319" i="38" s="1"/>
  <c r="M321" i="38" s="1"/>
  <c r="CB4" i="55"/>
  <c r="O31" i="20"/>
  <c r="O253" i="20"/>
  <c r="K274" i="20"/>
  <c r="K275" i="20"/>
  <c r="Q186" i="42"/>
  <c r="Q185" i="42"/>
  <c r="M68" i="19"/>
  <c r="N101" i="14" s="1"/>
  <c r="N101" i="12"/>
  <c r="M228" i="14"/>
  <c r="M142" i="14"/>
  <c r="Q139" i="15"/>
  <c r="H155" i="12"/>
  <c r="H10" i="55"/>
  <c r="G312" i="20"/>
  <c r="G317" i="20"/>
  <c r="P157" i="29"/>
  <c r="P169" i="29" s="1"/>
  <c r="P158" i="29"/>
  <c r="Q247" i="46"/>
  <c r="Q252" i="46" s="1"/>
  <c r="Q244" i="46"/>
  <c r="Q249" i="46" s="1"/>
  <c r="Q246" i="46"/>
  <c r="Q251" i="46" s="1"/>
  <c r="Q243" i="48"/>
  <c r="Q245" i="46"/>
  <c r="Q250" i="46" s="1"/>
  <c r="Q248" i="46"/>
  <c r="R96" i="45" s="1"/>
  <c r="M118" i="12"/>
  <c r="S66" i="54"/>
  <c r="S73" i="54" s="1"/>
  <c r="S74" i="54" s="1"/>
  <c r="S67" i="54"/>
  <c r="S77" i="54" s="1"/>
  <c r="S78" i="54" s="1"/>
  <c r="S65" i="54"/>
  <c r="S75" i="54" s="1"/>
  <c r="S76" i="54" s="1"/>
  <c r="S62" i="54"/>
  <c r="S64" i="54"/>
  <c r="S71" i="54" s="1"/>
  <c r="S72" i="54" s="1"/>
  <c r="S61" i="54"/>
  <c r="T60" i="54"/>
  <c r="W33" i="16"/>
  <c r="W34" i="16"/>
  <c r="AY69" i="45"/>
  <c r="S258" i="46"/>
  <c r="S260" i="46" s="1"/>
  <c r="T257" i="46"/>
  <c r="R65" i="15"/>
  <c r="P111" i="36"/>
  <c r="P112" i="36"/>
  <c r="P113" i="36"/>
  <c r="Q82" i="45"/>
  <c r="Q26" i="45"/>
  <c r="Q25" i="45"/>
  <c r="Q24" i="45"/>
  <c r="P34" i="46"/>
  <c r="V21" i="15"/>
  <c r="R90" i="46"/>
  <c r="R95" i="46" s="1"/>
  <c r="R89" i="48"/>
  <c r="R92" i="46"/>
  <c r="R97" i="46" s="1"/>
  <c r="R93" i="46"/>
  <c r="R98" i="46" s="1"/>
  <c r="R94" i="46"/>
  <c r="R91" i="46"/>
  <c r="U25" i="28"/>
  <c r="U43" i="28" s="1"/>
  <c r="V19" i="28"/>
  <c r="O60" i="19"/>
  <c r="M154" i="14"/>
  <c r="M97" i="14"/>
  <c r="Z7" i="15"/>
  <c r="Z8" i="15" s="1"/>
  <c r="AA6" i="15"/>
  <c r="J338" i="48"/>
  <c r="J336" i="48"/>
  <c r="J337" i="48"/>
  <c r="J334" i="48"/>
  <c r="J335" i="48"/>
  <c r="J339" i="48"/>
  <c r="R212" i="53"/>
  <c r="R210" i="53"/>
  <c r="R209" i="53"/>
  <c r="R211" i="53"/>
  <c r="M222" i="19"/>
  <c r="M273" i="19"/>
  <c r="M272" i="19"/>
  <c r="M221" i="19"/>
  <c r="M225" i="19"/>
  <c r="AZ62" i="51"/>
  <c r="T29" i="54"/>
  <c r="O172" i="28"/>
  <c r="O171" i="28"/>
  <c r="O183" i="28" s="1"/>
  <c r="O184" i="28" s="1"/>
  <c r="G162" i="14"/>
  <c r="G158" i="14"/>
  <c r="AU80" i="36"/>
  <c r="AU83" i="36" s="1"/>
  <c r="AU119" i="36" s="1"/>
  <c r="AU115" i="36"/>
  <c r="AU116" i="36" s="1"/>
  <c r="J345" i="46"/>
  <c r="J346" i="46" s="1"/>
  <c r="AL122" i="45"/>
  <c r="Q132" i="20"/>
  <c r="Q108" i="19" s="1"/>
  <c r="Q131" i="20"/>
  <c r="Q107" i="19" s="1"/>
  <c r="Q129" i="20"/>
  <c r="Q105" i="19" s="1"/>
  <c r="Q103" i="19"/>
  <c r="R103" i="14" s="1"/>
  <c r="Q128" i="20"/>
  <c r="Q104" i="19" s="1"/>
  <c r="Q130" i="20"/>
  <c r="R103" i="12"/>
  <c r="O290" i="42"/>
  <c r="O291" i="42" s="1"/>
  <c r="O313" i="42"/>
  <c r="O314" i="42" s="1"/>
  <c r="AV73" i="51"/>
  <c r="AR118" i="45"/>
  <c r="R62" i="28"/>
  <c r="R56" i="29"/>
  <c r="S44" i="16" s="1"/>
  <c r="S44" i="15"/>
  <c r="N306" i="42"/>
  <c r="N309" i="42"/>
  <c r="N308" i="42"/>
  <c r="N311" i="42"/>
  <c r="N310" i="42"/>
  <c r="N307" i="42"/>
  <c r="N228" i="12"/>
  <c r="J337" i="42"/>
  <c r="J342" i="42"/>
  <c r="R202" i="48"/>
  <c r="W34" i="15"/>
  <c r="W33" i="15"/>
  <c r="AV57" i="45"/>
  <c r="AY61" i="51"/>
  <c r="S64" i="51"/>
  <c r="T80" i="29"/>
  <c r="T79" i="29" s="1"/>
  <c r="AV108" i="45"/>
  <c r="V24" i="28"/>
  <c r="W18" i="28"/>
  <c r="N47" i="19"/>
  <c r="N176" i="19" s="1"/>
  <c r="N62" i="19"/>
  <c r="O144" i="29"/>
  <c r="O145" i="29" s="1"/>
  <c r="O167" i="29"/>
  <c r="O168" i="29" s="1"/>
  <c r="P115" i="36"/>
  <c r="P116" i="36" s="1"/>
  <c r="P80" i="36"/>
  <c r="P83" i="36" s="1"/>
  <c r="P119" i="36" s="1"/>
  <c r="AV78" i="36"/>
  <c r="R33" i="45"/>
  <c r="AW72" i="51"/>
  <c r="AW73" i="51" s="1"/>
  <c r="AW51" i="51"/>
  <c r="Q96" i="38"/>
  <c r="Q100" i="38" s="1"/>
  <c r="Q94" i="38"/>
  <c r="Q98" i="38" s="1"/>
  <c r="Q97" i="38"/>
  <c r="R108" i="36" s="1"/>
  <c r="AX108" i="36" s="1"/>
  <c r="Q95" i="38"/>
  <c r="Q99" i="38" s="1"/>
  <c r="O34" i="48"/>
  <c r="AV24" i="45"/>
  <c r="AV25" i="45"/>
  <c r="AV82" i="45"/>
  <c r="AV26" i="45"/>
  <c r="BV12" i="55"/>
  <c r="BV14" i="55"/>
  <c r="BV15" i="55"/>
  <c r="BV16" i="55"/>
  <c r="BV11" i="55"/>
  <c r="BV19" i="55" s="1"/>
  <c r="BV13" i="55"/>
  <c r="P145" i="46"/>
  <c r="P150" i="46" s="1"/>
  <c r="P146" i="46"/>
  <c r="P151" i="46" s="1"/>
  <c r="P148" i="46"/>
  <c r="P153" i="46" s="1"/>
  <c r="P144" i="48"/>
  <c r="P147" i="46"/>
  <c r="P152" i="46" s="1"/>
  <c r="P149" i="46"/>
  <c r="Q83" i="45" s="1"/>
  <c r="Q131" i="19"/>
  <c r="AS97" i="45"/>
  <c r="M100" i="45"/>
  <c r="M113" i="45"/>
  <c r="T360" i="46"/>
  <c r="P24" i="19"/>
  <c r="Q18" i="19"/>
  <c r="R66" i="15"/>
  <c r="F160" i="14"/>
  <c r="P159" i="42"/>
  <c r="P163" i="42" s="1"/>
  <c r="P161" i="42"/>
  <c r="P165" i="42" s="1"/>
  <c r="P160" i="42"/>
  <c r="P164" i="42" s="1"/>
  <c r="P162" i="42"/>
  <c r="U26" i="38"/>
  <c r="U41" i="38" s="1"/>
  <c r="V20" i="38"/>
  <c r="Z23" i="15"/>
  <c r="Z24" i="15"/>
  <c r="AA22" i="15"/>
  <c r="S265" i="19"/>
  <c r="T307" i="20"/>
  <c r="S31" i="38"/>
  <c r="S278" i="38"/>
  <c r="Q205" i="38"/>
  <c r="Q209" i="38" s="1"/>
  <c r="Q207" i="38"/>
  <c r="Q211" i="38" s="1"/>
  <c r="Q208" i="38"/>
  <c r="Q206" i="38"/>
  <c r="Q210" i="38" s="1"/>
  <c r="L258" i="20"/>
  <c r="L261" i="20"/>
  <c r="L259" i="20"/>
  <c r="L262" i="20"/>
  <c r="L260" i="20"/>
  <c r="L257" i="20"/>
  <c r="P73" i="38"/>
  <c r="Q78" i="36" s="1"/>
  <c r="P70" i="38"/>
  <c r="P74" i="38" s="1"/>
  <c r="P72" i="38"/>
  <c r="P76" i="38" s="1"/>
  <c r="P71" i="38"/>
  <c r="P75" i="38" s="1"/>
  <c r="R28" i="19"/>
  <c r="R46" i="19" s="1"/>
  <c r="S22" i="19"/>
  <c r="N34" i="20"/>
  <c r="N33" i="20"/>
  <c r="Q150" i="20"/>
  <c r="Q126" i="19" s="1"/>
  <c r="Q149" i="20"/>
  <c r="Q125" i="19" s="1"/>
  <c r="Q146" i="20"/>
  <c r="Q122" i="19" s="1"/>
  <c r="Q147" i="20"/>
  <c r="Q123" i="19" s="1"/>
  <c r="Q148" i="20"/>
  <c r="Q124" i="19" s="1"/>
  <c r="R138" i="12"/>
  <c r="Q121" i="19"/>
  <c r="R138" i="14" s="1"/>
  <c r="N61" i="19"/>
  <c r="O232" i="54"/>
  <c r="O233" i="54"/>
  <c r="O236" i="54" s="1"/>
  <c r="N33" i="48"/>
  <c r="N39" i="48" s="1"/>
  <c r="AU75" i="45"/>
  <c r="P219" i="46"/>
  <c r="P224" i="46" s="1"/>
  <c r="P220" i="46"/>
  <c r="P225" i="46" s="1"/>
  <c r="P217" i="46"/>
  <c r="P222" i="46" s="1"/>
  <c r="P221" i="46"/>
  <c r="Q99" i="45" s="1"/>
  <c r="P218" i="46"/>
  <c r="P223" i="46" s="1"/>
  <c r="P216" i="48"/>
  <c r="R186" i="38"/>
  <c r="R185" i="38"/>
  <c r="AS110" i="45"/>
  <c r="M110" i="45"/>
  <c r="M111" i="45"/>
  <c r="AS112" i="45"/>
  <c r="M112" i="45"/>
  <c r="AS111" i="45"/>
  <c r="N141" i="12"/>
  <c r="AV83" i="45"/>
  <c r="K338" i="46"/>
  <c r="K334" i="46"/>
  <c r="K337" i="46"/>
  <c r="K339" i="46"/>
  <c r="K335" i="46"/>
  <c r="K336" i="46"/>
  <c r="M72" i="46"/>
  <c r="M77" i="46" s="1"/>
  <c r="M71" i="46"/>
  <c r="M76" i="46" s="1"/>
  <c r="M73" i="46"/>
  <c r="M78" i="46" s="1"/>
  <c r="M69" i="48"/>
  <c r="M74" i="46"/>
  <c r="N76" i="45" s="1"/>
  <c r="M70" i="46"/>
  <c r="M75" i="46" s="1"/>
  <c r="J326" i="48"/>
  <c r="J325" i="48"/>
  <c r="I327" i="48"/>
  <c r="I328" i="48"/>
  <c r="Q226" i="46"/>
  <c r="Q202" i="46"/>
  <c r="Q216" i="46"/>
  <c r="Q206" i="46"/>
  <c r="T31" i="42"/>
  <c r="T278" i="42"/>
  <c r="U122" i="15"/>
  <c r="U132" i="15" s="1"/>
  <c r="M325" i="38"/>
  <c r="M326" i="38" s="1"/>
  <c r="R66" i="42"/>
  <c r="R85" i="42" s="1"/>
  <c r="R64" i="42"/>
  <c r="R77" i="42" s="1"/>
  <c r="R61" i="42"/>
  <c r="R62" i="42"/>
  <c r="R67" i="42"/>
  <c r="R101" i="42" s="1"/>
  <c r="R65" i="42"/>
  <c r="R93" i="42" s="1"/>
  <c r="S60" i="42"/>
  <c r="AV111" i="36"/>
  <c r="AV113" i="36"/>
  <c r="AV112" i="36"/>
  <c r="R293" i="42"/>
  <c r="R294" i="42"/>
  <c r="R296" i="42"/>
  <c r="R295" i="42"/>
  <c r="Z23" i="16"/>
  <c r="AA22" i="16"/>
  <c r="Z24" i="16"/>
  <c r="N147" i="14"/>
  <c r="N95" i="14"/>
  <c r="AU85" i="45"/>
  <c r="S232" i="38"/>
  <c r="S234" i="38" s="1"/>
  <c r="T231" i="38"/>
  <c r="M142" i="12"/>
  <c r="I72" i="15"/>
  <c r="H211" i="28"/>
  <c r="I73" i="15" s="1"/>
  <c r="H158" i="12"/>
  <c r="H162" i="12"/>
  <c r="AY41" i="45"/>
  <c r="R241" i="46"/>
  <c r="R243" i="46" s="1"/>
  <c r="S240" i="46"/>
  <c r="M118" i="14"/>
  <c r="X19" i="16"/>
  <c r="X16" i="16"/>
  <c r="X18" i="16"/>
  <c r="Y14" i="16"/>
  <c r="X15" i="16"/>
  <c r="X32" i="16"/>
  <c r="R262" i="46"/>
  <c r="R267" i="46" s="1"/>
  <c r="R261" i="46"/>
  <c r="R266" i="46" s="1"/>
  <c r="R264" i="46"/>
  <c r="R269" i="46" s="1"/>
  <c r="R260" i="48"/>
  <c r="R263" i="46"/>
  <c r="R268" i="46" s="1"/>
  <c r="R265" i="46"/>
  <c r="S105" i="45" s="1"/>
  <c r="R65" i="16"/>
  <c r="O136" i="12"/>
  <c r="N97" i="20"/>
  <c r="N99" i="20"/>
  <c r="N100" i="20"/>
  <c r="N88" i="19"/>
  <c r="N98" i="20"/>
  <c r="N101" i="20"/>
  <c r="N93" i="19" s="1"/>
  <c r="N220" i="20"/>
  <c r="T63" i="29"/>
  <c r="T62" i="29" s="1"/>
  <c r="T67" i="29"/>
  <c r="T68" i="29"/>
  <c r="T66" i="29"/>
  <c r="T65" i="29"/>
  <c r="T64" i="29"/>
  <c r="Q297" i="42"/>
  <c r="Q298" i="42"/>
  <c r="M97" i="12"/>
  <c r="M154" i="12"/>
  <c r="AW33" i="45"/>
  <c r="S241" i="48"/>
  <c r="T240" i="48"/>
  <c r="AX21" i="45"/>
  <c r="W11" i="16"/>
  <c r="U121" i="15"/>
  <c r="U42" i="15"/>
  <c r="P299" i="42"/>
  <c r="P300" i="42"/>
  <c r="AR116" i="45"/>
  <c r="V24" i="54"/>
  <c r="W18" i="54"/>
  <c r="R60" i="29"/>
  <c r="S56" i="16" s="1"/>
  <c r="S56" i="15"/>
  <c r="Y41" i="16"/>
  <c r="AY68" i="51"/>
  <c r="U28" i="42"/>
  <c r="U43" i="42" s="1"/>
  <c r="V22" i="42"/>
  <c r="I329" i="46"/>
  <c r="I333" i="46" s="1"/>
  <c r="I330" i="46"/>
  <c r="R63" i="53"/>
  <c r="R159" i="53" s="1"/>
  <c r="R69" i="53"/>
  <c r="R70" i="53" s="1"/>
  <c r="S49" i="51" s="1"/>
  <c r="O84" i="20"/>
  <c r="K239" i="19"/>
  <c r="K242" i="19"/>
  <c r="K243" i="19"/>
  <c r="K244" i="19"/>
  <c r="K241" i="19"/>
  <c r="K240" i="19"/>
  <c r="N231" i="12"/>
  <c r="N31" i="19"/>
  <c r="N211" i="19"/>
  <c r="R196" i="20"/>
  <c r="S195" i="20"/>
  <c r="AP122" i="36"/>
  <c r="AP125" i="36"/>
  <c r="W21" i="54"/>
  <c r="V27" i="54"/>
  <c r="V42" i="54" s="1"/>
  <c r="Q213" i="54"/>
  <c r="Q214" i="54"/>
  <c r="L229" i="19"/>
  <c r="L227" i="19"/>
  <c r="L226" i="19"/>
  <c r="L228" i="19"/>
  <c r="M129" i="12"/>
  <c r="I312" i="48"/>
  <c r="I314" i="48"/>
  <c r="I310" i="48"/>
  <c r="I311" i="48"/>
  <c r="I315" i="48"/>
  <c r="I313" i="48"/>
  <c r="V24" i="53"/>
  <c r="W18" i="53"/>
  <c r="Q129" i="19"/>
  <c r="Q128" i="19" s="1"/>
  <c r="AS103" i="45"/>
  <c r="M102" i="45"/>
  <c r="AS101" i="45"/>
  <c r="M101" i="45"/>
  <c r="AS102" i="45"/>
  <c r="M103" i="45"/>
  <c r="Q135" i="14"/>
  <c r="S31" i="28"/>
  <c r="S146" i="28"/>
  <c r="N196" i="53"/>
  <c r="N197" i="53" s="1"/>
  <c r="O163" i="53"/>
  <c r="Q34" i="45"/>
  <c r="R63" i="48"/>
  <c r="L150" i="14"/>
  <c r="I347" i="46"/>
  <c r="I349" i="46" s="1"/>
  <c r="I348" i="46"/>
  <c r="M81" i="45"/>
  <c r="M80" i="45"/>
  <c r="M79" i="45"/>
  <c r="AS79" i="45"/>
  <c r="AS80" i="45"/>
  <c r="AS81" i="45"/>
  <c r="V21" i="16"/>
  <c r="Q219" i="53"/>
  <c r="Q231" i="53" s="1"/>
  <c r="Q220" i="53"/>
  <c r="P246" i="38"/>
  <c r="P243" i="38"/>
  <c r="F164" i="14"/>
  <c r="E276" i="19"/>
  <c r="F165" i="14" s="1"/>
  <c r="K308" i="46"/>
  <c r="K309" i="46" s="1"/>
  <c r="L275" i="46"/>
  <c r="Q96" i="19"/>
  <c r="Q95" i="19" s="1"/>
  <c r="P158" i="28"/>
  <c r="P159" i="28" s="1"/>
  <c r="P181" i="28"/>
  <c r="P182" i="28" s="1"/>
  <c r="M98" i="12"/>
  <c r="M153" i="12"/>
  <c r="N141" i="14"/>
  <c r="T121" i="15"/>
  <c r="T42" i="15"/>
  <c r="U28" i="28"/>
  <c r="U46" i="28" s="1"/>
  <c r="V22" i="28"/>
  <c r="N265" i="20"/>
  <c r="N288" i="20"/>
  <c r="N289" i="20" s="1"/>
  <c r="M102" i="46"/>
  <c r="M107" i="46" s="1"/>
  <c r="M100" i="46"/>
  <c r="M105" i="46" s="1"/>
  <c r="M99" i="48"/>
  <c r="M101" i="46"/>
  <c r="M106" i="46" s="1"/>
  <c r="M103" i="46"/>
  <c r="M108" i="46" s="1"/>
  <c r="M104" i="46"/>
  <c r="N106" i="45" s="1"/>
  <c r="M268" i="20"/>
  <c r="M271" i="20"/>
  <c r="M269" i="20"/>
  <c r="M270" i="20"/>
  <c r="S28" i="20"/>
  <c r="S46" i="20" s="1"/>
  <c r="T22" i="20"/>
  <c r="Q139" i="46"/>
  <c r="Q144" i="46"/>
  <c r="AW110" i="36"/>
  <c r="AS90" i="45"/>
  <c r="M91" i="45"/>
  <c r="AV77" i="45"/>
  <c r="J327" i="46"/>
  <c r="J328" i="46"/>
  <c r="AK125" i="45"/>
  <c r="D371" i="48"/>
  <c r="AK126" i="45" s="1"/>
  <c r="S26" i="20"/>
  <c r="S44" i="20" s="1"/>
  <c r="T20" i="20"/>
  <c r="U25" i="46"/>
  <c r="U40" i="46" s="1"/>
  <c r="V19" i="46"/>
  <c r="P140" i="16"/>
  <c r="Q86" i="42"/>
  <c r="Q90" i="42" s="1"/>
  <c r="Q87" i="42"/>
  <c r="Q91" i="42" s="1"/>
  <c r="Q89" i="42"/>
  <c r="Q88" i="42"/>
  <c r="Q92" i="42" s="1"/>
  <c r="AR91" i="45"/>
  <c r="AR114" i="45" s="1"/>
  <c r="U26" i="48"/>
  <c r="U41" i="48" s="1"/>
  <c r="V20" i="48"/>
  <c r="AU84" i="45"/>
  <c r="R237" i="38"/>
  <c r="R241" i="38" s="1"/>
  <c r="R236" i="38"/>
  <c r="R240" i="38" s="1"/>
  <c r="R238" i="38"/>
  <c r="S107" i="36" s="1"/>
  <c r="R235" i="38"/>
  <c r="R239" i="38" s="1"/>
  <c r="K237" i="19"/>
  <c r="K236" i="19"/>
  <c r="K248" i="19" s="1"/>
  <c r="Q24" i="20"/>
  <c r="R18" i="20"/>
  <c r="N196" i="54"/>
  <c r="N197" i="54" s="1"/>
  <c r="O163" i="54"/>
  <c r="P117" i="36"/>
  <c r="P123" i="36" s="1"/>
  <c r="AX64" i="51"/>
  <c r="AV68" i="45"/>
  <c r="F19" i="55"/>
  <c r="F20" i="55"/>
  <c r="L251" i="54"/>
  <c r="AS75" i="51" s="1"/>
  <c r="Q303" i="42"/>
  <c r="Q315" i="42" s="1"/>
  <c r="Q304" i="42"/>
  <c r="Y41" i="15"/>
  <c r="P140" i="15"/>
  <c r="S208" i="54"/>
  <c r="W38" i="28"/>
  <c r="X124" i="15"/>
  <c r="X54" i="15"/>
  <c r="H330" i="48"/>
  <c r="H329" i="48"/>
  <c r="H333" i="48" s="1"/>
  <c r="O90" i="20"/>
  <c r="H121" i="45"/>
  <c r="H124" i="45"/>
  <c r="H123" i="45"/>
  <c r="Q68" i="45"/>
  <c r="U39" i="54"/>
  <c r="S62" i="15"/>
  <c r="R59" i="29"/>
  <c r="S62" i="16" s="1"/>
  <c r="AY50" i="51"/>
  <c r="AW21" i="45"/>
  <c r="M127" i="14"/>
  <c r="U28" i="46"/>
  <c r="V22" i="46"/>
  <c r="X19" i="15"/>
  <c r="X15" i="15"/>
  <c r="X18" i="15"/>
  <c r="X16" i="15"/>
  <c r="Y14" i="15"/>
  <c r="X32" i="15"/>
  <c r="X74" i="15"/>
  <c r="M108" i="12"/>
  <c r="N171" i="29"/>
  <c r="N170" i="29"/>
  <c r="Q157" i="19"/>
  <c r="R123" i="12"/>
  <c r="Q198" i="20"/>
  <c r="P82" i="45"/>
  <c r="P24" i="45"/>
  <c r="P25" i="45"/>
  <c r="P26" i="45"/>
  <c r="O34" i="46"/>
  <c r="U136" i="54"/>
  <c r="U137" i="54" s="1"/>
  <c r="U138" i="54"/>
  <c r="U139" i="54" s="1"/>
  <c r="U134" i="54"/>
  <c r="U135" i="54" s="1"/>
  <c r="U17" i="45"/>
  <c r="BA16" i="45"/>
  <c r="V16" i="45"/>
  <c r="Q219" i="54"/>
  <c r="Q231" i="54" s="1"/>
  <c r="Q220" i="54"/>
  <c r="Q79" i="38"/>
  <c r="Q83" i="38" s="1"/>
  <c r="Q81" i="38"/>
  <c r="R92" i="36" s="1"/>
  <c r="AX92" i="36" s="1"/>
  <c r="Q80" i="38"/>
  <c r="Q84" i="38" s="1"/>
  <c r="Q78" i="38"/>
  <c r="Q82" i="38" s="1"/>
  <c r="M129" i="14"/>
  <c r="AV67" i="45"/>
  <c r="J308" i="48"/>
  <c r="J309" i="48" s="1"/>
  <c r="K275" i="48"/>
  <c r="BW9" i="55"/>
  <c r="U39" i="53"/>
  <c r="S208" i="53"/>
  <c r="AV89" i="45"/>
  <c r="L110" i="48"/>
  <c r="L115" i="48" s="1"/>
  <c r="L112" i="48"/>
  <c r="L117" i="48" s="1"/>
  <c r="L113" i="48"/>
  <c r="L118" i="48" s="1"/>
  <c r="L114" i="48"/>
  <c r="L111" i="48"/>
  <c r="L116" i="48" s="1"/>
  <c r="L274" i="48"/>
  <c r="P173" i="19"/>
  <c r="O175" i="28"/>
  <c r="O176" i="28"/>
  <c r="O174" i="28"/>
  <c r="O179" i="28"/>
  <c r="O177" i="28"/>
  <c r="O178" i="28"/>
  <c r="M198" i="53"/>
  <c r="M202" i="53"/>
  <c r="M200" i="53"/>
  <c r="M203" i="53"/>
  <c r="M199" i="53"/>
  <c r="M201" i="53"/>
  <c r="V24" i="48"/>
  <c r="W18" i="48"/>
  <c r="Q148" i="29"/>
  <c r="Q147" i="29"/>
  <c r="Q150" i="29"/>
  <c r="Q149" i="29"/>
  <c r="V27" i="42"/>
  <c r="V42" i="42" s="1"/>
  <c r="W21" i="42"/>
  <c r="T76" i="16"/>
  <c r="T75" i="16"/>
  <c r="M44" i="48"/>
  <c r="M316" i="48" s="1"/>
  <c r="P156" i="46"/>
  <c r="P161" i="46" s="1"/>
  <c r="P157" i="46"/>
  <c r="P162" i="46" s="1"/>
  <c r="P155" i="46"/>
  <c r="P160" i="46" s="1"/>
  <c r="P154" i="48"/>
  <c r="P158" i="46"/>
  <c r="P163" i="46" s="1"/>
  <c r="P159" i="46"/>
  <c r="Q98" i="45" s="1"/>
  <c r="Q197" i="38"/>
  <c r="Q201" i="38" s="1"/>
  <c r="Q199" i="38"/>
  <c r="Q203" i="38" s="1"/>
  <c r="Q200" i="38"/>
  <c r="R101" i="36" s="1"/>
  <c r="AX101" i="36" s="1"/>
  <c r="Q198" i="38"/>
  <c r="Q202" i="38" s="1"/>
  <c r="S278" i="42"/>
  <c r="S31" i="42"/>
  <c r="L70" i="48"/>
  <c r="L75" i="48" s="1"/>
  <c r="L71" i="48"/>
  <c r="L76" i="48" s="1"/>
  <c r="L72" i="48"/>
  <c r="L77" i="48" s="1"/>
  <c r="L74" i="48"/>
  <c r="L73" i="48"/>
  <c r="L78" i="48" s="1"/>
  <c r="S83" i="28"/>
  <c r="S70" i="29" s="1"/>
  <c r="S85" i="28"/>
  <c r="S72" i="29" s="1"/>
  <c r="S86" i="28"/>
  <c r="S84" i="28"/>
  <c r="S87" i="28"/>
  <c r="S88" i="28"/>
  <c r="T82" i="28"/>
  <c r="T135" i="53"/>
  <c r="U56" i="51"/>
  <c r="J312" i="46"/>
  <c r="J311" i="46"/>
  <c r="J315" i="46"/>
  <c r="J314" i="46"/>
  <c r="J310" i="46"/>
  <c r="J313" i="46"/>
  <c r="Q97" i="19"/>
  <c r="P88" i="29"/>
  <c r="P100" i="29"/>
  <c r="Q92" i="48"/>
  <c r="Q97" i="48" s="1"/>
  <c r="Q93" i="48"/>
  <c r="Q98" i="48" s="1"/>
  <c r="Q91" i="48"/>
  <c r="Q94" i="48"/>
  <c r="Q90" i="48"/>
  <c r="Q95" i="48" s="1"/>
  <c r="M98" i="14"/>
  <c r="M153" i="14"/>
  <c r="AM125" i="45"/>
  <c r="F371" i="48"/>
  <c r="AM126" i="45" s="1"/>
  <c r="O148" i="48"/>
  <c r="O153" i="48" s="1"/>
  <c r="O145" i="48"/>
  <c r="O150" i="48" s="1"/>
  <c r="O147" i="48"/>
  <c r="O152" i="48" s="1"/>
  <c r="O149" i="48"/>
  <c r="O146" i="48"/>
  <c r="O151" i="48" s="1"/>
  <c r="U61" i="15"/>
  <c r="T85" i="29"/>
  <c r="N314" i="20"/>
  <c r="N264" i="20"/>
  <c r="N315" i="20"/>
  <c r="N263" i="20"/>
  <c r="N267" i="20"/>
  <c r="M81" i="46"/>
  <c r="M86" i="46" s="1"/>
  <c r="M82" i="46"/>
  <c r="M87" i="46" s="1"/>
  <c r="M80" i="46"/>
  <c r="M85" i="46" s="1"/>
  <c r="M83" i="46"/>
  <c r="M88" i="46" s="1"/>
  <c r="M79" i="48"/>
  <c r="M84" i="46"/>
  <c r="N90" i="45" s="1"/>
  <c r="J331" i="48"/>
  <c r="J343" i="48" s="1"/>
  <c r="J344" i="48" s="1"/>
  <c r="J332" i="48"/>
  <c r="P206" i="42"/>
  <c r="P210" i="42" s="1"/>
  <c r="P207" i="42"/>
  <c r="P211" i="42" s="1"/>
  <c r="P208" i="42"/>
  <c r="P205" i="42"/>
  <c r="P209" i="42" s="1"/>
  <c r="R167" i="19"/>
  <c r="R166" i="19" s="1"/>
  <c r="Q140" i="46"/>
  <c r="Q154" i="46" s="1"/>
  <c r="Q142" i="46"/>
  <c r="Q174" i="46" s="1"/>
  <c r="Q141" i="46"/>
  <c r="Q164" i="46" s="1"/>
  <c r="U28" i="54"/>
  <c r="U43" i="54" s="1"/>
  <c r="V22" i="54"/>
  <c r="Q110" i="36"/>
  <c r="L81" i="48"/>
  <c r="L86" i="48" s="1"/>
  <c r="L83" i="48"/>
  <c r="L88" i="48" s="1"/>
  <c r="L82" i="48"/>
  <c r="L87" i="48" s="1"/>
  <c r="L84" i="48"/>
  <c r="L80" i="48"/>
  <c r="L85" i="48" s="1"/>
  <c r="O167" i="48"/>
  <c r="O172" i="48" s="1"/>
  <c r="O165" i="48"/>
  <c r="O170" i="48" s="1"/>
  <c r="O166" i="48"/>
  <c r="O171" i="48" s="1"/>
  <c r="O168" i="48"/>
  <c r="O173" i="48" s="1"/>
  <c r="O169" i="48"/>
  <c r="O233" i="53"/>
  <c r="O236" i="53" s="1"/>
  <c r="O232" i="53"/>
  <c r="AP126" i="36"/>
  <c r="I343" i="42"/>
  <c r="AP127" i="36" s="1"/>
  <c r="Q102" i="42"/>
  <c r="Q106" i="42" s="1"/>
  <c r="Q103" i="42"/>
  <c r="Q107" i="42" s="1"/>
  <c r="Q105" i="42"/>
  <c r="Q104" i="42"/>
  <c r="Q108" i="42" s="1"/>
  <c r="T29" i="46"/>
  <c r="N167" i="28"/>
  <c r="N168" i="28"/>
  <c r="U26" i="54"/>
  <c r="U41" i="54" s="1"/>
  <c r="U147" i="54" s="1"/>
  <c r="U148" i="54" s="1"/>
  <c r="V20" i="54"/>
  <c r="I71" i="15"/>
  <c r="P206" i="53"/>
  <c r="P207" i="53" s="1"/>
  <c r="P229" i="53"/>
  <c r="P230" i="53" s="1"/>
  <c r="O217" i="53"/>
  <c r="O221" i="53" s="1"/>
  <c r="O218" i="53"/>
  <c r="P151" i="29"/>
  <c r="P152" i="29"/>
  <c r="AW79" i="36"/>
  <c r="AW114" i="36" s="1"/>
  <c r="Q114" i="36"/>
  <c r="W17" i="16"/>
  <c r="V39" i="16"/>
  <c r="V13" i="16"/>
  <c r="P29" i="20"/>
  <c r="P42" i="20"/>
  <c r="P96" i="20" s="1"/>
  <c r="X9" i="16"/>
  <c r="X10" i="16" s="1"/>
  <c r="M202" i="54"/>
  <c r="M203" i="54"/>
  <c r="M198" i="54"/>
  <c r="M201" i="54"/>
  <c r="M199" i="54"/>
  <c r="M200" i="54"/>
  <c r="N107" i="12"/>
  <c r="T44" i="38"/>
  <c r="T288" i="38" s="1"/>
  <c r="G164" i="12"/>
  <c r="F318" i="20"/>
  <c r="G165" i="12" s="1"/>
  <c r="K290" i="20"/>
  <c r="K291" i="20" s="1"/>
  <c r="K292" i="20"/>
  <c r="K293" i="20" s="1"/>
  <c r="O148" i="28"/>
  <c r="O149" i="28" s="1"/>
  <c r="P214" i="28"/>
  <c r="T29" i="29"/>
  <c r="S95" i="45"/>
  <c r="R35" i="46"/>
  <c r="S42" i="45"/>
  <c r="S44" i="45"/>
  <c r="S43" i="45"/>
  <c r="N83" i="20"/>
  <c r="N75" i="19" s="1"/>
  <c r="O114" i="12"/>
  <c r="N80" i="20"/>
  <c r="N70" i="19"/>
  <c r="O114" i="14" s="1"/>
  <c r="N81" i="20"/>
  <c r="N79" i="20"/>
  <c r="N82" i="20"/>
  <c r="N37" i="48"/>
  <c r="S43" i="48" s="1"/>
  <c r="AU60" i="45"/>
  <c r="AU73" i="45" s="1"/>
  <c r="AU104" i="45"/>
  <c r="AU59" i="45"/>
  <c r="AU72" i="45" s="1"/>
  <c r="AU58" i="45"/>
  <c r="Q193" i="29"/>
  <c r="Q194" i="29"/>
  <c r="S306" i="46"/>
  <c r="S31" i="46"/>
  <c r="P216" i="53"/>
  <c r="P215" i="53"/>
  <c r="M179" i="29"/>
  <c r="P124" i="12"/>
  <c r="O220" i="48"/>
  <c r="O225" i="48" s="1"/>
  <c r="O219" i="48"/>
  <c r="O224" i="48" s="1"/>
  <c r="O218" i="48"/>
  <c r="O223" i="48" s="1"/>
  <c r="O217" i="48"/>
  <c r="O222" i="48" s="1"/>
  <c r="O221" i="48"/>
  <c r="Q93" i="36"/>
  <c r="Q96" i="36" s="1"/>
  <c r="AW91" i="36"/>
  <c r="AW93" i="36" s="1"/>
  <c r="AW96" i="36" s="1"/>
  <c r="P201" i="20"/>
  <c r="P162" i="19" s="1"/>
  <c r="P199" i="20"/>
  <c r="P160" i="19" s="1"/>
  <c r="P203" i="20"/>
  <c r="P164" i="19" s="1"/>
  <c r="P200" i="20"/>
  <c r="P161" i="19" s="1"/>
  <c r="P159" i="19"/>
  <c r="Q123" i="14" s="1"/>
  <c r="P202" i="20"/>
  <c r="L281" i="20"/>
  <c r="L285" i="20"/>
  <c r="L283" i="20"/>
  <c r="L284" i="20"/>
  <c r="L286" i="20"/>
  <c r="L282" i="20"/>
  <c r="Q35" i="48"/>
  <c r="AX44" i="45"/>
  <c r="AX95" i="45"/>
  <c r="AX42" i="45"/>
  <c r="AX43" i="45"/>
  <c r="J250" i="19"/>
  <c r="J251" i="19" s="1"/>
  <c r="L118" i="45"/>
  <c r="W20" i="15"/>
  <c r="M108" i="14"/>
  <c r="S66" i="53"/>
  <c r="S73" i="53" s="1"/>
  <c r="S74" i="53" s="1"/>
  <c r="S67" i="53"/>
  <c r="S77" i="53" s="1"/>
  <c r="S78" i="53" s="1"/>
  <c r="T61" i="51" s="1"/>
  <c r="S64" i="53"/>
  <c r="S71" i="53" s="1"/>
  <c r="S72" i="53" s="1"/>
  <c r="T57" i="51" s="1"/>
  <c r="T58" i="51" s="1"/>
  <c r="S61" i="53"/>
  <c r="S62" i="53"/>
  <c r="S65" i="53"/>
  <c r="S75" i="53" s="1"/>
  <c r="T60" i="53"/>
  <c r="Q162" i="38"/>
  <c r="R109" i="36" s="1"/>
  <c r="AX109" i="36" s="1"/>
  <c r="Q160" i="38"/>
  <c r="Q164" i="38" s="1"/>
  <c r="Q161" i="38"/>
  <c r="Q165" i="38" s="1"/>
  <c r="Q159" i="38"/>
  <c r="Q163" i="38" s="1"/>
  <c r="N160" i="29"/>
  <c r="N164" i="29"/>
  <c r="N165" i="29"/>
  <c r="N161" i="29"/>
  <c r="N162" i="29"/>
  <c r="N163" i="29"/>
  <c r="L322" i="46"/>
  <c r="L324" i="46"/>
  <c r="L321" i="46"/>
  <c r="L323" i="46"/>
  <c r="S122" i="20"/>
  <c r="S121" i="20"/>
  <c r="S125" i="20"/>
  <c r="S123" i="20"/>
  <c r="S120" i="20"/>
  <c r="T119" i="20"/>
  <c r="S124" i="20"/>
  <c r="P70" i="45"/>
  <c r="T69" i="45"/>
  <c r="Q102" i="38"/>
  <c r="Q106" i="38" s="1"/>
  <c r="Q103" i="38"/>
  <c r="Q107" i="38" s="1"/>
  <c r="Q105" i="38"/>
  <c r="R99" i="36" s="1"/>
  <c r="AX99" i="36" s="1"/>
  <c r="Q104" i="38"/>
  <c r="Q108" i="38" s="1"/>
  <c r="T29" i="48"/>
  <c r="AW85" i="36"/>
  <c r="AW86" i="36" s="1"/>
  <c r="AW89" i="36" s="1"/>
  <c r="Q86" i="36"/>
  <c r="Q89" i="36" s="1"/>
  <c r="Q135" i="15"/>
  <c r="K72" i="15"/>
  <c r="J211" i="28"/>
  <c r="K73" i="15" s="1"/>
  <c r="L150" i="12"/>
  <c r="L120" i="36"/>
  <c r="K342" i="38"/>
  <c r="K337" i="38"/>
  <c r="M141" i="12"/>
  <c r="M117" i="14"/>
  <c r="K211" i="28"/>
  <c r="L73" i="15" s="1"/>
  <c r="Q57" i="45"/>
  <c r="AR78" i="45"/>
  <c r="U25" i="29"/>
  <c r="U43" i="29" s="1"/>
  <c r="V19" i="29"/>
  <c r="S61" i="48"/>
  <c r="S65" i="48"/>
  <c r="S64" i="48"/>
  <c r="S66" i="48"/>
  <c r="S62" i="48"/>
  <c r="S67" i="48"/>
  <c r="T60" i="48"/>
  <c r="BU6" i="55"/>
  <c r="I155" i="14"/>
  <c r="H270" i="19"/>
  <c r="H275" i="19"/>
  <c r="I164" i="14" s="1"/>
  <c r="M107" i="12"/>
  <c r="K187" i="29"/>
  <c r="P178" i="46"/>
  <c r="P183" i="46" s="1"/>
  <c r="P177" i="46"/>
  <c r="P182" i="46" s="1"/>
  <c r="P175" i="46"/>
  <c r="P180" i="46" s="1"/>
  <c r="P174" i="48"/>
  <c r="P176" i="46"/>
  <c r="P181" i="46" s="1"/>
  <c r="P179" i="46"/>
  <c r="Q107" i="45" s="1"/>
  <c r="V27" i="46"/>
  <c r="V42" i="46" s="1"/>
  <c r="W21" i="46"/>
  <c r="J294" i="20"/>
  <c r="J295" i="20"/>
  <c r="T37" i="29"/>
  <c r="U47" i="16"/>
  <c r="U125" i="16"/>
  <c r="AR100" i="45"/>
  <c r="AR113" i="45"/>
  <c r="R73" i="29"/>
  <c r="S58" i="16" s="1"/>
  <c r="S58" i="15"/>
  <c r="BA69" i="51"/>
  <c r="N156" i="29"/>
  <c r="N155" i="29"/>
  <c r="N159" i="29" s="1"/>
  <c r="F157" i="14"/>
  <c r="F163" i="14"/>
  <c r="R127" i="42"/>
  <c r="R128" i="42"/>
  <c r="S126" i="42"/>
  <c r="S306" i="48"/>
  <c r="S31" i="48"/>
  <c r="Q101" i="19"/>
  <c r="S154" i="54"/>
  <c r="S156" i="54" s="1"/>
  <c r="T153" i="54"/>
  <c r="G353" i="48"/>
  <c r="AS106" i="45"/>
  <c r="M109" i="45"/>
  <c r="O302" i="38"/>
  <c r="O301" i="38"/>
  <c r="O305" i="38" s="1"/>
  <c r="M229" i="12"/>
  <c r="AT72" i="45"/>
  <c r="AT86" i="45"/>
  <c r="J72" i="15"/>
  <c r="I211" i="28"/>
  <c r="J73" i="15" s="1"/>
  <c r="M317" i="46"/>
  <c r="M320" i="46"/>
  <c r="P197" i="42"/>
  <c r="P201" i="42" s="1"/>
  <c r="P199" i="42"/>
  <c r="P203" i="42" s="1"/>
  <c r="P200" i="42"/>
  <c r="P198" i="42"/>
  <c r="P202" i="42" s="1"/>
  <c r="AX107" i="36"/>
  <c r="Q204" i="46"/>
  <c r="Q203" i="46"/>
  <c r="U123" i="15"/>
  <c r="T36" i="28"/>
  <c r="T42" i="28" s="1"/>
  <c r="U43" i="15"/>
  <c r="V39" i="15"/>
  <c r="V13" i="15"/>
  <c r="O224" i="53"/>
  <c r="O225" i="53"/>
  <c r="O222" i="53"/>
  <c r="O227" i="53"/>
  <c r="O226" i="53"/>
  <c r="O223" i="53"/>
  <c r="AW96" i="45"/>
  <c r="AK124" i="45"/>
  <c r="AK123" i="45"/>
  <c r="AK121" i="45"/>
  <c r="O217" i="54"/>
  <c r="O221" i="54" s="1"/>
  <c r="O218" i="54"/>
  <c r="J232" i="19"/>
  <c r="J233" i="19"/>
  <c r="Q263" i="48"/>
  <c r="Q268" i="48" s="1"/>
  <c r="Q262" i="48"/>
  <c r="Q267" i="48" s="1"/>
  <c r="Q261" i="48"/>
  <c r="Q266" i="48" s="1"/>
  <c r="Q265" i="48"/>
  <c r="Q264" i="48"/>
  <c r="Q269" i="48" s="1"/>
  <c r="N79" i="46"/>
  <c r="N109" i="46"/>
  <c r="N99" i="46"/>
  <c r="N44" i="46"/>
  <c r="N316" i="46" s="1"/>
  <c r="N69" i="46"/>
  <c r="R67" i="15"/>
  <c r="R46" i="15"/>
  <c r="Q79" i="42"/>
  <c r="Q83" i="42" s="1"/>
  <c r="Q78" i="42"/>
  <c r="Q82" i="42" s="1"/>
  <c r="Q81" i="42"/>
  <c r="Q80" i="42"/>
  <c r="Q84" i="42" s="1"/>
  <c r="N228" i="14"/>
  <c r="Q134" i="16"/>
  <c r="Q68" i="16"/>
  <c r="Q133" i="16" a="1"/>
  <c r="Q133" i="16" s="1"/>
  <c r="Q77" i="16"/>
  <c r="Y25" i="16"/>
  <c r="V40" i="15"/>
  <c r="M69" i="15"/>
  <c r="L210" i="28"/>
  <c r="L205" i="28"/>
  <c r="N229" i="12"/>
  <c r="O73" i="45"/>
  <c r="R26" i="19"/>
  <c r="R44" i="19" s="1"/>
  <c r="R155" i="19" s="1"/>
  <c r="R154" i="19" s="1"/>
  <c r="S20" i="19"/>
  <c r="X9" i="15"/>
  <c r="X10" i="15" s="1"/>
  <c r="S217" i="38"/>
  <c r="S219" i="38" s="1"/>
  <c r="T216" i="38"/>
  <c r="N142" i="12"/>
  <c r="Q144" i="20"/>
  <c r="Q120" i="19" s="1"/>
  <c r="Q141" i="20"/>
  <c r="Q117" i="19" s="1"/>
  <c r="Q140" i="20"/>
  <c r="Q116" i="19" s="1"/>
  <c r="Q143" i="20"/>
  <c r="Q119" i="19" s="1"/>
  <c r="Q142" i="20"/>
  <c r="Q118" i="19" s="1"/>
  <c r="Q115" i="19"/>
  <c r="R94" i="14" s="1"/>
  <c r="W20" i="16"/>
  <c r="L232" i="14"/>
  <c r="N241" i="53"/>
  <c r="N242" i="53" s="1"/>
  <c r="S194" i="54"/>
  <c r="S31" i="54"/>
  <c r="N107" i="14"/>
  <c r="T29" i="38"/>
  <c r="N151" i="28"/>
  <c r="N152" i="28"/>
  <c r="N153" i="28"/>
  <c r="N155" i="28"/>
  <c r="N154" i="28"/>
  <c r="N150" i="28"/>
  <c r="U28" i="38"/>
  <c r="U43" i="38" s="1"/>
  <c r="V22" i="38"/>
  <c r="P138" i="19"/>
  <c r="AV98" i="45"/>
  <c r="F125" i="45"/>
  <c r="E371" i="46"/>
  <c r="F126" i="45" s="1"/>
  <c r="S47" i="28"/>
  <c r="S53" i="29"/>
  <c r="S51" i="29"/>
  <c r="S50" i="29"/>
  <c r="S54" i="29"/>
  <c r="S52" i="29"/>
  <c r="S49" i="29" s="1"/>
  <c r="AW30" i="45"/>
  <c r="R23" i="45"/>
  <c r="Q137" i="38"/>
  <c r="Q141" i="38" s="1"/>
  <c r="Q135" i="38"/>
  <c r="Q139" i="38" s="1"/>
  <c r="Q138" i="38"/>
  <c r="R85" i="36" s="1"/>
  <c r="Q136" i="38"/>
  <c r="Q140" i="38" s="1"/>
  <c r="N129" i="12"/>
  <c r="Q174" i="20"/>
  <c r="Q136" i="19" s="1"/>
  <c r="Q178" i="20"/>
  <c r="Q140" i="19" s="1"/>
  <c r="Q175" i="20"/>
  <c r="Q137" i="19" s="1"/>
  <c r="Q176" i="20"/>
  <c r="Q135" i="19"/>
  <c r="R113" i="14" s="1"/>
  <c r="R113" i="12"/>
  <c r="Q177" i="20"/>
  <c r="Q139" i="19" s="1"/>
  <c r="T29" i="28"/>
  <c r="U39" i="45"/>
  <c r="U40" i="45"/>
  <c r="BA38" i="45"/>
  <c r="V38" i="45"/>
  <c r="V19" i="53"/>
  <c r="U25" i="53"/>
  <c r="U40" i="53" s="1"/>
  <c r="H155" i="14"/>
  <c r="G270" i="19"/>
  <c r="G275" i="19"/>
  <c r="S200" i="48"/>
  <c r="S138" i="48"/>
  <c r="S201" i="48"/>
  <c r="S137" i="48"/>
  <c r="T136" i="48"/>
  <c r="N134" i="29"/>
  <c r="N135" i="29" s="1"/>
  <c r="O101" i="29"/>
  <c r="R76" i="53"/>
  <c r="S67" i="51"/>
  <c r="U26" i="46"/>
  <c r="U41" i="46" s="1"/>
  <c r="V20" i="46"/>
  <c r="L223" i="19"/>
  <c r="L224" i="19" s="1"/>
  <c r="L246" i="19"/>
  <c r="L247" i="19" s="1"/>
  <c r="Q146" i="38"/>
  <c r="R100" i="36" s="1"/>
  <c r="AX100" i="36" s="1"/>
  <c r="Q145" i="38"/>
  <c r="Q149" i="38" s="1"/>
  <c r="Q144" i="38"/>
  <c r="Q148" i="38" s="1"/>
  <c r="Q143" i="38"/>
  <c r="Q147" i="38" s="1"/>
  <c r="H353" i="46"/>
  <c r="R139" i="20"/>
  <c r="S94" i="12"/>
  <c r="T20" i="45"/>
  <c r="T19" i="45"/>
  <c r="U122" i="16"/>
  <c r="U132" i="16" s="1"/>
  <c r="M141" i="14"/>
  <c r="M318" i="42"/>
  <c r="M319" i="42" s="1"/>
  <c r="M321" i="42" s="1"/>
  <c r="O208" i="48"/>
  <c r="O213" i="48" s="1"/>
  <c r="O210" i="48"/>
  <c r="O215" i="48" s="1"/>
  <c r="O209" i="48"/>
  <c r="O214" i="48" s="1"/>
  <c r="O211" i="48"/>
  <c r="O207" i="48"/>
  <c r="O212" i="48" s="1"/>
  <c r="K324" i="48"/>
  <c r="K322" i="48"/>
  <c r="K321" i="48"/>
  <c r="K323" i="48"/>
  <c r="M117" i="12"/>
  <c r="K318" i="48"/>
  <c r="K319" i="48" s="1"/>
  <c r="K341" i="48"/>
  <c r="K342" i="48" s="1"/>
  <c r="M179" i="19"/>
  <c r="L114" i="45"/>
  <c r="AZ56" i="51"/>
  <c r="T131" i="16"/>
  <c r="T129" i="16"/>
  <c r="Q162" i="54"/>
  <c r="I158" i="14"/>
  <c r="I162" i="14"/>
  <c r="M107" i="14"/>
  <c r="N316" i="38"/>
  <c r="N317" i="38"/>
  <c r="P168" i="46"/>
  <c r="P173" i="46" s="1"/>
  <c r="P165" i="46"/>
  <c r="P170" i="46" s="1"/>
  <c r="P167" i="46"/>
  <c r="P172" i="46" s="1"/>
  <c r="P166" i="46"/>
  <c r="P171" i="46" s="1"/>
  <c r="P164" i="48"/>
  <c r="P169" i="46"/>
  <c r="Q77" i="45" s="1"/>
  <c r="N185" i="28"/>
  <c r="N186" i="28" s="1"/>
  <c r="U121" i="16"/>
  <c r="U42" i="16"/>
  <c r="R71" i="29"/>
  <c r="S48" i="16" s="1"/>
  <c r="S48" i="15"/>
  <c r="BA63" i="51"/>
  <c r="AL10" i="55"/>
  <c r="Q132" i="42"/>
  <c r="Q158" i="42" s="1"/>
  <c r="Q131" i="42"/>
  <c r="Q150" i="42" s="1"/>
  <c r="Q130" i="42"/>
  <c r="Q142" i="42" s="1"/>
  <c r="R157" i="54"/>
  <c r="Q136" i="16"/>
  <c r="AU70" i="45"/>
  <c r="S289" i="42"/>
  <c r="S292" i="42"/>
  <c r="AM123" i="45"/>
  <c r="AM124" i="45"/>
  <c r="AM121" i="45"/>
  <c r="P216" i="54"/>
  <c r="P215" i="54"/>
  <c r="W13" i="15"/>
  <c r="Q206" i="53"/>
  <c r="Q207" i="53" s="1"/>
  <c r="Q229" i="53"/>
  <c r="Q230" i="53" s="1"/>
  <c r="S127" i="38"/>
  <c r="S128" i="38"/>
  <c r="S183" i="38"/>
  <c r="S182" i="38"/>
  <c r="T126" i="38"/>
  <c r="R143" i="29"/>
  <c r="R146" i="29"/>
  <c r="U26" i="53"/>
  <c r="U41" i="53" s="1"/>
  <c r="U147" i="53" s="1"/>
  <c r="U148" i="53" s="1"/>
  <c r="V60" i="51" s="1"/>
  <c r="V20" i="53"/>
  <c r="M225" i="12" a="1"/>
  <c r="M225" i="12" s="1"/>
  <c r="AT84" i="45"/>
  <c r="L76" i="51"/>
  <c r="S25" i="20"/>
  <c r="S43" i="20" s="1"/>
  <c r="T19" i="20"/>
  <c r="R65" i="20"/>
  <c r="S63" i="20"/>
  <c r="R64" i="20"/>
  <c r="M112" i="46"/>
  <c r="M117" i="46" s="1"/>
  <c r="M113" i="46"/>
  <c r="M118" i="46" s="1"/>
  <c r="M111" i="46"/>
  <c r="M116" i="46" s="1"/>
  <c r="M110" i="46"/>
  <c r="M115" i="46" s="1"/>
  <c r="M109" i="48"/>
  <c r="M114" i="46"/>
  <c r="N97" i="45" s="1"/>
  <c r="M274" i="46"/>
  <c r="S108" i="28"/>
  <c r="T107" i="28"/>
  <c r="P191" i="42"/>
  <c r="P195" i="42" s="1"/>
  <c r="P190" i="42"/>
  <c r="P194" i="42" s="1"/>
  <c r="P189" i="42"/>
  <c r="P193" i="42" s="1"/>
  <c r="P192" i="42"/>
  <c r="O71" i="45"/>
  <c r="U123" i="16"/>
  <c r="T36" i="29"/>
  <c r="T42" i="29" s="1"/>
  <c r="U43" i="16"/>
  <c r="R157" i="53"/>
  <c r="S66" i="51" s="1"/>
  <c r="AS94" i="45"/>
  <c r="AS93" i="45"/>
  <c r="M93" i="45"/>
  <c r="M94" i="45"/>
  <c r="P60" i="45"/>
  <c r="P59" i="45"/>
  <c r="O37" i="46"/>
  <c r="T43" i="46" s="1"/>
  <c r="P104" i="45"/>
  <c r="P58" i="45"/>
  <c r="P246" i="48"/>
  <c r="P251" i="48" s="1"/>
  <c r="P245" i="48"/>
  <c r="P250" i="48" s="1"/>
  <c r="P248" i="48"/>
  <c r="P244" i="48"/>
  <c r="P249" i="48" s="1"/>
  <c r="P247" i="48"/>
  <c r="P252" i="48" s="1"/>
  <c r="R67" i="16"/>
  <c r="R46" i="16"/>
  <c r="Q95" i="42"/>
  <c r="Q99" i="42" s="1"/>
  <c r="Q94" i="42"/>
  <c r="Q98" i="42" s="1"/>
  <c r="Q97" i="42"/>
  <c r="Q96" i="42"/>
  <c r="Q100" i="42" s="1"/>
  <c r="AV117" i="36"/>
  <c r="AV123" i="36" s="1"/>
  <c r="M69" i="19"/>
  <c r="N99" i="14" s="1"/>
  <c r="N99" i="12"/>
  <c r="K126" i="36"/>
  <c r="J343" i="38"/>
  <c r="K127" i="36" s="1"/>
  <c r="M189" i="28"/>
  <c r="R221" i="38"/>
  <c r="R225" i="38" s="1"/>
  <c r="R223" i="38"/>
  <c r="S98" i="36" s="1"/>
  <c r="R220" i="38"/>
  <c r="R224" i="38" s="1"/>
  <c r="R222" i="38"/>
  <c r="R226" i="38" s="1"/>
  <c r="N142" i="14"/>
  <c r="O177" i="48"/>
  <c r="O182" i="48" s="1"/>
  <c r="O176" i="48"/>
  <c r="O181" i="48" s="1"/>
  <c r="O175" i="48"/>
  <c r="O180" i="48" s="1"/>
  <c r="O179" i="48"/>
  <c r="O178" i="48"/>
  <c r="O183" i="48" s="1"/>
  <c r="I252" i="19"/>
  <c r="I254" i="19" s="1"/>
  <c r="I253" i="19"/>
  <c r="M34" i="19"/>
  <c r="M33" i="19"/>
  <c r="R63" i="54"/>
  <c r="R159" i="54" s="1"/>
  <c r="R69" i="54"/>
  <c r="R70" i="54" s="1"/>
  <c r="L233" i="14"/>
  <c r="L234" i="14" s="1"/>
  <c r="O127" i="12"/>
  <c r="G15" i="55"/>
  <c r="G11" i="55"/>
  <c r="G16" i="55"/>
  <c r="G14" i="55"/>
  <c r="G12" i="55"/>
  <c r="G13" i="55"/>
  <c r="N225" i="12" a="1"/>
  <c r="N225" i="12" s="1"/>
  <c r="N226" i="12"/>
  <c r="N148" i="12"/>
  <c r="N169" i="12" s="1"/>
  <c r="R63" i="46"/>
  <c r="F6" i="55"/>
  <c r="AW70" i="51"/>
  <c r="V35" i="16"/>
  <c r="U25" i="48"/>
  <c r="U40" i="48" s="1"/>
  <c r="V19" i="48"/>
  <c r="O302" i="42"/>
  <c r="O301" i="42"/>
  <c r="O305" i="42" s="1"/>
  <c r="P72" i="42"/>
  <c r="P76" i="42" s="1"/>
  <c r="P70" i="42"/>
  <c r="P74" i="42" s="1"/>
  <c r="P71" i="42"/>
  <c r="P75" i="42" s="1"/>
  <c r="P73" i="42"/>
  <c r="T332" i="42"/>
  <c r="U26" i="42"/>
  <c r="U41" i="42" s="1"/>
  <c r="V20" i="42"/>
  <c r="M130" i="14"/>
  <c r="J296" i="20"/>
  <c r="K72" i="16"/>
  <c r="J197" i="29"/>
  <c r="K73" i="16" s="1"/>
  <c r="N117" i="12"/>
  <c r="R27" i="19"/>
  <c r="R45" i="19" s="1"/>
  <c r="R132" i="19" s="1"/>
  <c r="S21" i="19"/>
  <c r="M172" i="29"/>
  <c r="M173" i="29" s="1"/>
  <c r="M175" i="29" s="1"/>
  <c r="R169" i="20"/>
  <c r="R168" i="20"/>
  <c r="R170" i="20"/>
  <c r="R179" i="20" s="1"/>
  <c r="R171" i="20"/>
  <c r="R185" i="20" s="1"/>
  <c r="R167" i="20"/>
  <c r="R173" i="20" s="1"/>
  <c r="S166" i="20"/>
  <c r="AZ40" i="45"/>
  <c r="AZ39" i="45"/>
  <c r="O290" i="38"/>
  <c r="O291" i="38" s="1"/>
  <c r="O313" i="38"/>
  <c r="O314" i="38" s="1"/>
  <c r="V27" i="28"/>
  <c r="W21" i="28"/>
  <c r="T106" i="53"/>
  <c r="T107" i="53" s="1"/>
  <c r="U62" i="51" s="1"/>
  <c r="T104" i="53"/>
  <c r="T105" i="53" s="1"/>
  <c r="U53" i="51" s="1"/>
  <c r="T110" i="53"/>
  <c r="T111" i="53" s="1"/>
  <c r="T108" i="53"/>
  <c r="T109" i="53" s="1"/>
  <c r="L116" i="45"/>
  <c r="H158" i="14"/>
  <c r="H162" i="14"/>
  <c r="L71" i="15"/>
  <c r="P164" i="28"/>
  <c r="P162" i="28"/>
  <c r="P161" i="28"/>
  <c r="P163" i="28"/>
  <c r="N130" i="14"/>
  <c r="R139" i="48"/>
  <c r="M137" i="29"/>
  <c r="M141" i="29"/>
  <c r="M139" i="29"/>
  <c r="M140" i="29"/>
  <c r="M136" i="29"/>
  <c r="M138" i="29"/>
  <c r="AY57" i="51"/>
  <c r="M139" i="14"/>
  <c r="Q153" i="38"/>
  <c r="Q157" i="38" s="1"/>
  <c r="Q152" i="38"/>
  <c r="Q156" i="38" s="1"/>
  <c r="Q151" i="38"/>
  <c r="Q155" i="38" s="1"/>
  <c r="Q154" i="38"/>
  <c r="R79" i="36" s="1"/>
  <c r="M242" i="54"/>
  <c r="M251" i="54" s="1"/>
  <c r="AT75" i="51" s="1"/>
  <c r="AT128" i="36"/>
  <c r="R127" i="20"/>
  <c r="O163" i="19"/>
  <c r="R56" i="45"/>
  <c r="R55" i="45"/>
  <c r="AZ17" i="45"/>
  <c r="R61" i="38"/>
  <c r="R62" i="38"/>
  <c r="R67" i="38"/>
  <c r="R101" i="38" s="1"/>
  <c r="R65" i="38"/>
  <c r="R93" i="38" s="1"/>
  <c r="R64" i="38"/>
  <c r="R77" i="38" s="1"/>
  <c r="R66" i="38"/>
  <c r="R85" i="38" s="1"/>
  <c r="S60" i="38"/>
  <c r="T332" i="38"/>
  <c r="K71" i="15"/>
  <c r="X54" i="16"/>
  <c r="W38" i="29"/>
  <c r="X124" i="16"/>
  <c r="N118" i="12"/>
  <c r="Q130" i="19"/>
  <c r="M320" i="42"/>
  <c r="AR109" i="45"/>
  <c r="H347" i="48"/>
  <c r="H349" i="48" s="1"/>
  <c r="H348" i="48"/>
  <c r="K213" i="19"/>
  <c r="K214" i="19" s="1"/>
  <c r="L180" i="19"/>
  <c r="Q135" i="16"/>
  <c r="T44" i="53"/>
  <c r="T204" i="53" s="1"/>
  <c r="N308" i="38"/>
  <c r="N311" i="38"/>
  <c r="N306" i="38"/>
  <c r="N307" i="38"/>
  <c r="N310" i="38"/>
  <c r="N309" i="38"/>
  <c r="S27" i="20"/>
  <c r="S45" i="20" s="1"/>
  <c r="T21" i="20"/>
  <c r="U25" i="54"/>
  <c r="U40" i="54" s="1"/>
  <c r="V19" i="54"/>
  <c r="R209" i="20"/>
  <c r="R211" i="20" s="1"/>
  <c r="S208" i="20"/>
  <c r="S45" i="15"/>
  <c r="R74" i="29"/>
  <c r="S45" i="16" s="1"/>
  <c r="N251" i="54"/>
  <c r="AU75" i="51" s="1"/>
  <c r="N249" i="54"/>
  <c r="Q129" i="42"/>
  <c r="Q134" i="42"/>
  <c r="K325" i="46"/>
  <c r="K326" i="46"/>
  <c r="Q98" i="19"/>
  <c r="R59" i="15"/>
  <c r="M203" i="28"/>
  <c r="N70" i="15" s="1"/>
  <c r="M201" i="28"/>
  <c r="P227" i="46"/>
  <c r="P232" i="46" s="1"/>
  <c r="P228" i="46"/>
  <c r="P233" i="46" s="1"/>
  <c r="P230" i="46"/>
  <c r="P235" i="46" s="1"/>
  <c r="P226" i="48"/>
  <c r="P229" i="46"/>
  <c r="P234" i="46" s="1"/>
  <c r="P231" i="46"/>
  <c r="Q108" i="45" s="1"/>
  <c r="U26" i="29"/>
  <c r="U44" i="29" s="1"/>
  <c r="V20" i="29"/>
  <c r="R130" i="38"/>
  <c r="R142" i="38" s="1"/>
  <c r="R132" i="38"/>
  <c r="R158" i="38" s="1"/>
  <c r="R131" i="38"/>
  <c r="R150" i="38" s="1"/>
  <c r="V27" i="53"/>
  <c r="V42" i="53" s="1"/>
  <c r="W21" i="53"/>
  <c r="V24" i="46"/>
  <c r="W18" i="46"/>
  <c r="AT71" i="45"/>
  <c r="AT85" i="45"/>
  <c r="O147" i="12"/>
  <c r="O95" i="12"/>
  <c r="U25" i="38"/>
  <c r="U40" i="38" s="1"/>
  <c r="V19" i="38"/>
  <c r="S126" i="12"/>
  <c r="R99" i="19"/>
  <c r="R145" i="20"/>
  <c r="Q66" i="20"/>
  <c r="J71" i="15"/>
  <c r="M271" i="46"/>
  <c r="S55" i="15"/>
  <c r="R82" i="29"/>
  <c r="S55" i="16" s="1"/>
  <c r="N4" i="55"/>
  <c r="U28" i="53"/>
  <c r="U43" i="53" s="1"/>
  <c r="V22" i="53"/>
  <c r="S154" i="53"/>
  <c r="S156" i="53" s="1"/>
  <c r="T153" i="53"/>
  <c r="M149" i="12"/>
  <c r="U28" i="29"/>
  <c r="U46" i="29" s="1"/>
  <c r="V22" i="29"/>
  <c r="L335" i="38"/>
  <c r="M121" i="36" s="1"/>
  <c r="AS121" i="36" s="1"/>
  <c r="L333" i="38"/>
  <c r="AX105" i="45"/>
  <c r="Q58" i="29"/>
  <c r="Q213" i="28"/>
  <c r="Q114" i="28"/>
  <c r="H310" i="20"/>
  <c r="I156" i="12" s="1"/>
  <c r="H308" i="20"/>
  <c r="G160" i="12"/>
  <c r="R183" i="42"/>
  <c r="R182" i="42"/>
  <c r="S181" i="42"/>
  <c r="N96" i="12"/>
  <c r="M65" i="19"/>
  <c r="N96" i="14" s="1"/>
  <c r="AU87" i="45"/>
  <c r="M170" i="28"/>
  <c r="M169" i="28"/>
  <c r="M173" i="28" s="1"/>
  <c r="AV107" i="45"/>
  <c r="O153" i="29"/>
  <c r="O154" i="29"/>
  <c r="R232" i="42"/>
  <c r="R234" i="42" s="1"/>
  <c r="S231" i="42"/>
  <c r="N234" i="53"/>
  <c r="N235" i="53" s="1"/>
  <c r="N237" i="53" s="1"/>
  <c r="N258" i="53" s="1"/>
  <c r="E159" i="14"/>
  <c r="G157" i="12"/>
  <c r="G163" i="12"/>
  <c r="F159" i="12"/>
  <c r="Q297" i="38"/>
  <c r="Q298" i="38"/>
  <c r="O128" i="36"/>
  <c r="F124" i="45"/>
  <c r="F121" i="45"/>
  <c r="F123" i="45"/>
  <c r="T68" i="51"/>
  <c r="T50" i="51"/>
  <c r="P243" i="42"/>
  <c r="P246" i="42"/>
  <c r="M249" i="53"/>
  <c r="M251" i="53"/>
  <c r="N75" i="51" s="1"/>
  <c r="M130" i="12"/>
  <c r="J277" i="20"/>
  <c r="J276" i="20"/>
  <c r="J280" i="20" s="1"/>
  <c r="K71" i="16"/>
  <c r="N117" i="14"/>
  <c r="M231" i="12"/>
  <c r="M232" i="12" s="1"/>
  <c r="AV99" i="45"/>
  <c r="Q182" i="20"/>
  <c r="Q144" i="19" s="1"/>
  <c r="Q183" i="20"/>
  <c r="Q145" i="19" s="1"/>
  <c r="Q180" i="20"/>
  <c r="Q142" i="19" s="1"/>
  <c r="Q181" i="20"/>
  <c r="Q143" i="19" s="1"/>
  <c r="Q141" i="19"/>
  <c r="R125" i="14" s="1"/>
  <c r="Q184" i="20"/>
  <c r="Q146" i="19" s="1"/>
  <c r="V24" i="29"/>
  <c r="W18" i="29"/>
  <c r="T95" i="45"/>
  <c r="T42" i="45"/>
  <c r="T43" i="45"/>
  <c r="T44" i="45"/>
  <c r="S35" i="46"/>
  <c r="R49" i="16"/>
  <c r="N130" i="12"/>
  <c r="R140" i="48"/>
  <c r="R142" i="48"/>
  <c r="R141" i="48"/>
  <c r="W17" i="15"/>
  <c r="AX67" i="51"/>
  <c r="V35" i="15"/>
  <c r="Q102" i="36"/>
  <c r="S31" i="53"/>
  <c r="S194" i="53"/>
  <c r="S205" i="53" s="1"/>
  <c r="R133" i="20"/>
  <c r="L151" i="12"/>
  <c r="S29" i="45"/>
  <c r="S28" i="45"/>
  <c r="S32" i="45"/>
  <c r="S36" i="45"/>
  <c r="S31" i="45"/>
  <c r="S37" i="45"/>
  <c r="S35" i="45"/>
  <c r="T27" i="45"/>
  <c r="AY27" i="45"/>
  <c r="S54" i="45"/>
  <c r="R30" i="45"/>
  <c r="I234" i="19"/>
  <c r="I238" i="19" s="1"/>
  <c r="I235" i="19"/>
  <c r="Q86" i="38"/>
  <c r="Q90" i="38" s="1"/>
  <c r="Q87" i="38"/>
  <c r="Q91" i="38" s="1"/>
  <c r="Q88" i="38"/>
  <c r="Q92" i="38" s="1"/>
  <c r="Q89" i="38"/>
  <c r="O280" i="42"/>
  <c r="O281" i="42" s="1"/>
  <c r="P247" i="42"/>
  <c r="N118" i="14"/>
  <c r="O96" i="20"/>
  <c r="K335" i="42"/>
  <c r="K333" i="42"/>
  <c r="L272" i="20"/>
  <c r="L273" i="20"/>
  <c r="P145" i="42"/>
  <c r="P149" i="42" s="1"/>
  <c r="P143" i="42"/>
  <c r="P147" i="42" s="1"/>
  <c r="P146" i="42"/>
  <c r="P144" i="42"/>
  <c r="P148" i="42" s="1"/>
  <c r="J215" i="19"/>
  <c r="J220" i="19"/>
  <c r="J219" i="19"/>
  <c r="J218" i="19"/>
  <c r="J216" i="19"/>
  <c r="J217" i="19"/>
  <c r="T360" i="48"/>
  <c r="BU7" i="55"/>
  <c r="L317" i="48"/>
  <c r="L320" i="48"/>
  <c r="AX49" i="51"/>
  <c r="R51" i="51"/>
  <c r="R72" i="51"/>
  <c r="T29" i="53"/>
  <c r="N229" i="14"/>
  <c r="V27" i="48"/>
  <c r="V42" i="48" s="1"/>
  <c r="W21" i="48"/>
  <c r="R129" i="19"/>
  <c r="R128" i="19" s="1"/>
  <c r="R131" i="19"/>
  <c r="S125" i="12"/>
  <c r="T106" i="54"/>
  <c r="T107" i="54" s="1"/>
  <c r="T104" i="54"/>
  <c r="T105" i="54" s="1"/>
  <c r="T110" i="54"/>
  <c r="T111" i="54" s="1"/>
  <c r="T108" i="54"/>
  <c r="T109" i="54" s="1"/>
  <c r="Q214" i="20"/>
  <c r="Q172" i="19" s="1"/>
  <c r="Q213" i="20"/>
  <c r="Q171" i="19" s="1"/>
  <c r="Q216" i="20"/>
  <c r="Q174" i="19" s="1"/>
  <c r="Q212" i="20"/>
  <c r="Q170" i="19" s="1"/>
  <c r="Q215" i="20"/>
  <c r="R135" i="12"/>
  <c r="Q169" i="19"/>
  <c r="M255" i="20"/>
  <c r="M256" i="20" s="1"/>
  <c r="N222" i="20"/>
  <c r="M229" i="14"/>
  <c r="S64" i="15"/>
  <c r="R75" i="29"/>
  <c r="S64" i="16" s="1"/>
  <c r="Q213" i="53"/>
  <c r="Q214" i="53"/>
  <c r="L180" i="29"/>
  <c r="L187" i="29" s="1"/>
  <c r="S84" i="29"/>
  <c r="T61" i="16"/>
  <c r="N108" i="12"/>
  <c r="R59" i="16"/>
  <c r="K250" i="19"/>
  <c r="K249" i="19"/>
  <c r="AK6" i="55" l="1"/>
  <c r="I348" i="48"/>
  <c r="R133" i="19"/>
  <c r="K345" i="46"/>
  <c r="K348" i="46" s="1"/>
  <c r="K353" i="46" s="1"/>
  <c r="K354" i="46" s="1"/>
  <c r="K346" i="46"/>
  <c r="V18" i="42"/>
  <c r="U24" i="42"/>
  <c r="U39" i="42" s="1"/>
  <c r="AT111" i="45"/>
  <c r="U24" i="38"/>
  <c r="U39" i="38" s="1"/>
  <c r="V18" i="38"/>
  <c r="S63" i="46"/>
  <c r="AT110" i="45"/>
  <c r="AK20" i="55"/>
  <c r="O61" i="19"/>
  <c r="O59" i="19"/>
  <c r="R96" i="19"/>
  <c r="R95" i="19" s="1"/>
  <c r="O62" i="19"/>
  <c r="R97" i="19"/>
  <c r="R100" i="19"/>
  <c r="R98" i="19"/>
  <c r="O185" i="28"/>
  <c r="O188" i="28" s="1"/>
  <c r="O193" i="28" s="1"/>
  <c r="O194" i="28" s="1"/>
  <c r="N266" i="20"/>
  <c r="P84" i="20"/>
  <c r="K253" i="19"/>
  <c r="P78" i="20"/>
  <c r="M271" i="48"/>
  <c r="Q124" i="12"/>
  <c r="P90" i="20"/>
  <c r="U41" i="45"/>
  <c r="U43" i="45" s="1"/>
  <c r="AX110" i="36"/>
  <c r="AX113" i="36" s="1"/>
  <c r="R130" i="19"/>
  <c r="R110" i="36"/>
  <c r="AW57" i="45"/>
  <c r="AW104" i="45" s="1"/>
  <c r="G6" i="55"/>
  <c r="S139" i="48"/>
  <c r="R162" i="53"/>
  <c r="N232" i="12"/>
  <c r="N233" i="12"/>
  <c r="N234" i="12" s="1"/>
  <c r="S202" i="48"/>
  <c r="M225" i="14" a="1"/>
  <c r="M225" i="14" s="1"/>
  <c r="O241" i="53"/>
  <c r="M69" i="16"/>
  <c r="L243" i="19"/>
  <c r="L239" i="19"/>
  <c r="L242" i="19"/>
  <c r="L241" i="19"/>
  <c r="L240" i="19"/>
  <c r="L244" i="19"/>
  <c r="N259" i="53"/>
  <c r="O78" i="51" s="1"/>
  <c r="O77" i="51"/>
  <c r="N152" i="14"/>
  <c r="Z9" i="15"/>
  <c r="Z10" i="15" s="1"/>
  <c r="N325" i="42"/>
  <c r="N326" i="42" s="1"/>
  <c r="P128" i="36"/>
  <c r="L322" i="48"/>
  <c r="L324" i="48"/>
  <c r="L321" i="48"/>
  <c r="L323" i="48"/>
  <c r="S30" i="45"/>
  <c r="R186" i="42"/>
  <c r="R185" i="42"/>
  <c r="Q158" i="28"/>
  <c r="Q159" i="28" s="1"/>
  <c r="Q181" i="28"/>
  <c r="Q182" i="28" s="1"/>
  <c r="S59" i="15"/>
  <c r="R149" i="20"/>
  <c r="R125" i="19" s="1"/>
  <c r="R148" i="20"/>
  <c r="R124" i="19" s="1"/>
  <c r="R147" i="20"/>
  <c r="R123" i="19" s="1"/>
  <c r="R146" i="20"/>
  <c r="R122" i="19" s="1"/>
  <c r="R150" i="20"/>
  <c r="R126" i="19" s="1"/>
  <c r="S138" i="12"/>
  <c r="R121" i="19"/>
  <c r="S138" i="14" s="1"/>
  <c r="V25" i="38"/>
  <c r="V40" i="38" s="1"/>
  <c r="W19" i="38"/>
  <c r="W24" i="46"/>
  <c r="X18" i="46"/>
  <c r="AU74" i="51"/>
  <c r="N253" i="54"/>
  <c r="U110" i="54"/>
  <c r="U111" i="54" s="1"/>
  <c r="U106" i="54"/>
  <c r="U107" i="54" s="1"/>
  <c r="U104" i="54"/>
  <c r="U105" i="54" s="1"/>
  <c r="U108" i="54"/>
  <c r="U109" i="54" s="1"/>
  <c r="T208" i="53"/>
  <c r="U332" i="38"/>
  <c r="R114" i="36"/>
  <c r="AX79" i="36"/>
  <c r="AX114" i="36" s="1"/>
  <c r="BA53" i="51"/>
  <c r="U54" i="51"/>
  <c r="V25" i="48"/>
  <c r="V40" i="48" s="1"/>
  <c r="W19" i="48"/>
  <c r="G7" i="55"/>
  <c r="AT101" i="45"/>
  <c r="AT102" i="45"/>
  <c r="AT103" i="45"/>
  <c r="N101" i="45"/>
  <c r="N102" i="45"/>
  <c r="N103" i="45"/>
  <c r="T126" i="12"/>
  <c r="S145" i="20"/>
  <c r="BB60" i="51"/>
  <c r="S129" i="38"/>
  <c r="S134" i="38"/>
  <c r="S293" i="42"/>
  <c r="S296" i="42"/>
  <c r="S294" i="42"/>
  <c r="S295" i="42"/>
  <c r="Q144" i="42"/>
  <c r="Q148" i="42" s="1"/>
  <c r="Q143" i="42"/>
  <c r="Q147" i="42" s="1"/>
  <c r="Q145" i="42"/>
  <c r="Q149" i="42" s="1"/>
  <c r="Q146" i="42"/>
  <c r="P166" i="48"/>
  <c r="P171" i="48" s="1"/>
  <c r="P167" i="48"/>
  <c r="P172" i="48" s="1"/>
  <c r="P169" i="48"/>
  <c r="P165" i="48"/>
  <c r="P170" i="48" s="1"/>
  <c r="P168" i="48"/>
  <c r="P173" i="48" s="1"/>
  <c r="P85" i="20"/>
  <c r="Q104" i="12"/>
  <c r="P76" i="19"/>
  <c r="Q104" i="14" s="1"/>
  <c r="P87" i="20"/>
  <c r="P88" i="20"/>
  <c r="P89" i="20"/>
  <c r="P86" i="20"/>
  <c r="P78" i="19" s="1"/>
  <c r="P101" i="29"/>
  <c r="O134" i="29"/>
  <c r="O135" i="29" s="1"/>
  <c r="AX85" i="36"/>
  <c r="AX86" i="36" s="1"/>
  <c r="AX89" i="36" s="1"/>
  <c r="R86" i="36"/>
  <c r="R89" i="36" s="1"/>
  <c r="U29" i="38"/>
  <c r="S89" i="29"/>
  <c r="M71" i="15"/>
  <c r="N80" i="46"/>
  <c r="N85" i="46" s="1"/>
  <c r="N81" i="46"/>
  <c r="N86" i="46" s="1"/>
  <c r="N84" i="46"/>
  <c r="O90" i="45" s="1"/>
  <c r="N82" i="46"/>
  <c r="N87" i="46" s="1"/>
  <c r="N83" i="46"/>
  <c r="N88" i="46" s="1"/>
  <c r="N79" i="48"/>
  <c r="M322" i="46"/>
  <c r="M321" i="46"/>
  <c r="M323" i="46"/>
  <c r="M324" i="46"/>
  <c r="AS109" i="45"/>
  <c r="W27" i="46"/>
  <c r="W42" i="46" s="1"/>
  <c r="X21" i="46"/>
  <c r="L69" i="16"/>
  <c r="K191" i="29"/>
  <c r="K196" i="29"/>
  <c r="T31" i="48"/>
  <c r="T306" i="48"/>
  <c r="T121" i="20"/>
  <c r="T122" i="20"/>
  <c r="T125" i="20"/>
  <c r="T123" i="20"/>
  <c r="T124" i="20"/>
  <c r="U119" i="20"/>
  <c r="T120" i="20"/>
  <c r="L332" i="46"/>
  <c r="L331" i="46"/>
  <c r="L343" i="46" s="1"/>
  <c r="AZ57" i="51"/>
  <c r="O115" i="14"/>
  <c r="W21" i="16"/>
  <c r="N169" i="28"/>
  <c r="N173" i="28" s="1"/>
  <c r="N170" i="28"/>
  <c r="AT94" i="45"/>
  <c r="AT93" i="45"/>
  <c r="N94" i="45"/>
  <c r="N93" i="45"/>
  <c r="BB16" i="45"/>
  <c r="V17" i="45"/>
  <c r="V18" i="45" s="1"/>
  <c r="W16" i="45"/>
  <c r="P71" i="45"/>
  <c r="P85" i="45"/>
  <c r="N172" i="29"/>
  <c r="N173" i="29" s="1"/>
  <c r="N175" i="29" s="1"/>
  <c r="Y15" i="15"/>
  <c r="Y16" i="15"/>
  <c r="Y18" i="15"/>
  <c r="Y19" i="15"/>
  <c r="Z14" i="15"/>
  <c r="Y32" i="15"/>
  <c r="Y74" i="15" s="1"/>
  <c r="S65" i="15"/>
  <c r="Q127" i="12"/>
  <c r="AS91" i="45"/>
  <c r="AS114" i="45" s="1"/>
  <c r="N112" i="45"/>
  <c r="N111" i="45"/>
  <c r="N110" i="45"/>
  <c r="P290" i="38"/>
  <c r="P291" i="38" s="1"/>
  <c r="P313" i="38"/>
  <c r="P314" i="38" s="1"/>
  <c r="N198" i="53"/>
  <c r="N201" i="53"/>
  <c r="N203" i="53"/>
  <c r="N199" i="53"/>
  <c r="N200" i="53"/>
  <c r="N202" i="53"/>
  <c r="W27" i="54"/>
  <c r="W42" i="54" s="1"/>
  <c r="X21" i="54"/>
  <c r="S51" i="51"/>
  <c r="AY49" i="51"/>
  <c r="S72" i="51"/>
  <c r="N89" i="19"/>
  <c r="O140" i="14" s="1"/>
  <c r="O140" i="12"/>
  <c r="X20" i="16"/>
  <c r="AY44" i="45"/>
  <c r="AY95" i="45"/>
  <c r="AY42" i="45"/>
  <c r="AY43" i="45"/>
  <c r="R35" i="48"/>
  <c r="R297" i="42"/>
  <c r="R298" i="42"/>
  <c r="R88" i="42"/>
  <c r="R92" i="42" s="1"/>
  <c r="R87" i="42"/>
  <c r="R91" i="42" s="1"/>
  <c r="R89" i="42"/>
  <c r="R86" i="42"/>
  <c r="R90" i="42" s="1"/>
  <c r="J327" i="48"/>
  <c r="J328" i="48"/>
  <c r="P217" i="48"/>
  <c r="P222" i="48" s="1"/>
  <c r="P218" i="48"/>
  <c r="P223" i="48" s="1"/>
  <c r="P219" i="48"/>
  <c r="P224" i="48" s="1"/>
  <c r="P221" i="48"/>
  <c r="P220" i="48"/>
  <c r="P225" i="48" s="1"/>
  <c r="N44" i="48"/>
  <c r="N316" i="48" s="1"/>
  <c r="U360" i="46"/>
  <c r="BV7" i="55"/>
  <c r="AV84" i="45"/>
  <c r="AV60" i="45"/>
  <c r="AV73" i="45" s="1"/>
  <c r="O37" i="48"/>
  <c r="T43" i="48" s="1"/>
  <c r="AV59" i="45"/>
  <c r="AV72" i="45" s="1"/>
  <c r="AV104" i="45"/>
  <c r="AV58" i="45"/>
  <c r="AV71" i="45" s="1"/>
  <c r="U63" i="29"/>
  <c r="U62" i="29" s="1"/>
  <c r="U66" i="29"/>
  <c r="U64" i="29"/>
  <c r="U65" i="29"/>
  <c r="U68" i="29"/>
  <c r="U67" i="29"/>
  <c r="H157" i="12"/>
  <c r="H163" i="12"/>
  <c r="T289" i="42"/>
  <c r="T292" i="42"/>
  <c r="R202" i="46"/>
  <c r="R216" i="46"/>
  <c r="R226" i="46"/>
  <c r="R206" i="46"/>
  <c r="R205" i="38"/>
  <c r="R209" i="38" s="1"/>
  <c r="R207" i="38"/>
  <c r="R211" i="38" s="1"/>
  <c r="R208" i="38"/>
  <c r="R206" i="38"/>
  <c r="R210" i="38" s="1"/>
  <c r="N86" i="19"/>
  <c r="O133" i="14" s="1"/>
  <c r="O133" i="12"/>
  <c r="Z41" i="16"/>
  <c r="T62" i="15"/>
  <c r="S59" i="29"/>
  <c r="T62" i="16" s="1"/>
  <c r="P233" i="54"/>
  <c r="P236" i="54" s="1"/>
  <c r="P232" i="54"/>
  <c r="O44" i="46"/>
  <c r="O316" i="46" s="1"/>
  <c r="O99" i="46"/>
  <c r="O69" i="46"/>
  <c r="O109" i="46"/>
  <c r="O79" i="46"/>
  <c r="O111" i="12"/>
  <c r="N80" i="19"/>
  <c r="O111" i="14" s="1"/>
  <c r="N153" i="14"/>
  <c r="N98" i="14"/>
  <c r="Q72" i="42"/>
  <c r="Q76" i="42" s="1"/>
  <c r="Q71" i="42"/>
  <c r="Q75" i="42" s="1"/>
  <c r="Q70" i="42"/>
  <c r="Q74" i="42" s="1"/>
  <c r="Q73" i="42"/>
  <c r="O263" i="20"/>
  <c r="O264" i="20"/>
  <c r="O315" i="20"/>
  <c r="O314" i="20"/>
  <c r="O267" i="20"/>
  <c r="R221" i="42"/>
  <c r="R225" i="42" s="1"/>
  <c r="R220" i="42"/>
  <c r="R224" i="42" s="1"/>
  <c r="R223" i="42"/>
  <c r="R222" i="42"/>
  <c r="R226" i="42" s="1"/>
  <c r="BB69" i="51"/>
  <c r="P210" i="48"/>
  <c r="P215" i="48" s="1"/>
  <c r="P208" i="48"/>
  <c r="P213" i="48" s="1"/>
  <c r="P209" i="48"/>
  <c r="P214" i="48" s="1"/>
  <c r="P211" i="48"/>
  <c r="P207" i="48"/>
  <c r="P212" i="48" s="1"/>
  <c r="R73" i="51"/>
  <c r="AX72" i="51"/>
  <c r="AX51" i="51"/>
  <c r="S56" i="45"/>
  <c r="S55" i="45"/>
  <c r="Q173" i="19"/>
  <c r="T194" i="53"/>
  <c r="T205" i="53" s="1"/>
  <c r="T31" i="53"/>
  <c r="U360" i="48"/>
  <c r="O101" i="20"/>
  <c r="O93" i="19" s="1"/>
  <c r="P136" i="12"/>
  <c r="O100" i="20"/>
  <c r="O88" i="19"/>
  <c r="O98" i="20"/>
  <c r="O97" i="20"/>
  <c r="O99" i="20"/>
  <c r="O220" i="20"/>
  <c r="AY36" i="45"/>
  <c r="AY37" i="45"/>
  <c r="AY35" i="45"/>
  <c r="AY31" i="45"/>
  <c r="AY29" i="45"/>
  <c r="AY32" i="45"/>
  <c r="AY28" i="45"/>
  <c r="AY54" i="45"/>
  <c r="S232" i="42"/>
  <c r="S234" i="42" s="1"/>
  <c r="T231" i="42"/>
  <c r="Q88" i="29"/>
  <c r="Q100" i="29"/>
  <c r="R152" i="38"/>
  <c r="R156" i="38" s="1"/>
  <c r="R153" i="38"/>
  <c r="R157" i="38" s="1"/>
  <c r="R154" i="38"/>
  <c r="S79" i="36" s="1"/>
  <c r="R151" i="38"/>
  <c r="R155" i="38" s="1"/>
  <c r="P227" i="48"/>
  <c r="P232" i="48" s="1"/>
  <c r="P230" i="48"/>
  <c r="P235" i="48" s="1"/>
  <c r="P228" i="48"/>
  <c r="P233" i="48" s="1"/>
  <c r="P229" i="48"/>
  <c r="P234" i="48" s="1"/>
  <c r="P231" i="48"/>
  <c r="T27" i="20"/>
  <c r="T45" i="20" s="1"/>
  <c r="U21" i="20"/>
  <c r="AX71" i="51"/>
  <c r="K220" i="19"/>
  <c r="K217" i="19"/>
  <c r="K215" i="19"/>
  <c r="K219" i="19"/>
  <c r="K216" i="19"/>
  <c r="K218" i="19"/>
  <c r="R63" i="38"/>
  <c r="R69" i="38"/>
  <c r="P165" i="28"/>
  <c r="P166" i="28"/>
  <c r="H160" i="14"/>
  <c r="BA62" i="51"/>
  <c r="I258" i="19"/>
  <c r="N152" i="12"/>
  <c r="T47" i="29"/>
  <c r="T142" i="29" s="1"/>
  <c r="R148" i="29"/>
  <c r="R150" i="29"/>
  <c r="R147" i="29"/>
  <c r="R149" i="29"/>
  <c r="Q233" i="53"/>
  <c r="Q236" i="53" s="1"/>
  <c r="Q232" i="53"/>
  <c r="Q151" i="42"/>
  <c r="Q155" i="42" s="1"/>
  <c r="Q152" i="42"/>
  <c r="Q156" i="42" s="1"/>
  <c r="Q154" i="42"/>
  <c r="Q153" i="42"/>
  <c r="Q157" i="42" s="1"/>
  <c r="H354" i="46"/>
  <c r="H361" i="46" s="1"/>
  <c r="N140" i="29"/>
  <c r="N136" i="29"/>
  <c r="N139" i="29"/>
  <c r="N137" i="29"/>
  <c r="N138" i="29"/>
  <c r="N141" i="29"/>
  <c r="BA40" i="45"/>
  <c r="BA39" i="45"/>
  <c r="Q138" i="19"/>
  <c r="S26" i="19"/>
  <c r="S44" i="19" s="1"/>
  <c r="T20" i="19"/>
  <c r="V122" i="15"/>
  <c r="V132" i="15" s="1"/>
  <c r="R134" i="15"/>
  <c r="R133" i="15" a="1"/>
  <c r="R133" i="15" s="1"/>
  <c r="R68" i="15"/>
  <c r="N271" i="46"/>
  <c r="J234" i="19"/>
  <c r="J238" i="19" s="1"/>
  <c r="J235" i="19"/>
  <c r="U37" i="28"/>
  <c r="V47" i="15"/>
  <c r="V125" i="15"/>
  <c r="S63" i="48"/>
  <c r="Q59" i="45"/>
  <c r="Q72" i="45" s="1"/>
  <c r="P37" i="46"/>
  <c r="U43" i="46" s="1"/>
  <c r="Q58" i="45"/>
  <c r="Q71" i="45" s="1"/>
  <c r="Q104" i="45"/>
  <c r="Q60" i="45"/>
  <c r="S127" i="20"/>
  <c r="AZ61" i="51"/>
  <c r="T64" i="51"/>
  <c r="P163" i="19"/>
  <c r="M180" i="29"/>
  <c r="M189" i="29" s="1"/>
  <c r="N70" i="16" s="1"/>
  <c r="O119" i="12"/>
  <c r="N72" i="19"/>
  <c r="O119" i="14" s="1"/>
  <c r="U44" i="42"/>
  <c r="U288" i="42" s="1"/>
  <c r="V28" i="54"/>
  <c r="V43" i="54" s="1"/>
  <c r="W22" i="54"/>
  <c r="T83" i="28"/>
  <c r="T70" i="29" s="1"/>
  <c r="T85" i="28"/>
  <c r="T72" i="29" s="1"/>
  <c r="T88" i="28"/>
  <c r="T87" i="28"/>
  <c r="T86" i="28"/>
  <c r="T84" i="28"/>
  <c r="U82" i="28"/>
  <c r="M317" i="48"/>
  <c r="M320" i="48"/>
  <c r="Q151" i="29"/>
  <c r="Q152" i="29"/>
  <c r="U44" i="53"/>
  <c r="U204" i="53" s="1"/>
  <c r="BA17" i="45"/>
  <c r="P84" i="45"/>
  <c r="M227" i="14"/>
  <c r="U44" i="54"/>
  <c r="U204" i="54" s="1"/>
  <c r="M279" i="20"/>
  <c r="M278" i="20"/>
  <c r="V28" i="28"/>
  <c r="V46" i="28" s="1"/>
  <c r="W22" i="28"/>
  <c r="P174" i="28"/>
  <c r="P179" i="28"/>
  <c r="P177" i="28"/>
  <c r="P176" i="28"/>
  <c r="P178" i="28"/>
  <c r="P175" i="28"/>
  <c r="AS116" i="45"/>
  <c r="L230" i="19"/>
  <c r="L231" i="19"/>
  <c r="AX23" i="45"/>
  <c r="O139" i="12"/>
  <c r="H160" i="12"/>
  <c r="R303" i="42"/>
  <c r="R315" i="42" s="1"/>
  <c r="R304" i="42"/>
  <c r="Q210" i="46"/>
  <c r="Q215" i="46" s="1"/>
  <c r="Q208" i="46"/>
  <c r="Q213" i="46" s="1"/>
  <c r="Q206" i="48"/>
  <c r="Q207" i="46"/>
  <c r="Q212" i="46" s="1"/>
  <c r="Q209" i="46"/>
  <c r="Q214" i="46" s="1"/>
  <c r="Q211" i="46"/>
  <c r="R89" i="45" s="1"/>
  <c r="N79" i="45"/>
  <c r="N80" i="45"/>
  <c r="N81" i="45"/>
  <c r="AT80" i="45"/>
  <c r="AT81" i="45"/>
  <c r="AT79" i="45"/>
  <c r="AV86" i="45"/>
  <c r="O170" i="29"/>
  <c r="O171" i="29"/>
  <c r="O174" i="29" s="1"/>
  <c r="O316" i="42"/>
  <c r="O317" i="42"/>
  <c r="M229" i="19"/>
  <c r="M226" i="19"/>
  <c r="M227" i="19"/>
  <c r="M228" i="19"/>
  <c r="R142" i="46"/>
  <c r="R174" i="46" s="1"/>
  <c r="R140" i="46"/>
  <c r="R154" i="46" s="1"/>
  <c r="R141" i="46"/>
  <c r="R164" i="46" s="1"/>
  <c r="R303" i="38"/>
  <c r="R315" i="38" s="1"/>
  <c r="R304" i="38"/>
  <c r="Q141" i="15"/>
  <c r="Q142" i="15" s="1"/>
  <c r="P301" i="38"/>
  <c r="P305" i="38" s="1"/>
  <c r="P302" i="38"/>
  <c r="R198" i="38"/>
  <c r="R202" i="38" s="1"/>
  <c r="R199" i="38"/>
  <c r="R203" i="38" s="1"/>
  <c r="R197" i="38"/>
  <c r="R201" i="38" s="1"/>
  <c r="R200" i="38"/>
  <c r="S101" i="36" s="1"/>
  <c r="AY101" i="36" s="1"/>
  <c r="S289" i="38"/>
  <c r="V28" i="48"/>
  <c r="W22" i="48"/>
  <c r="P222" i="54"/>
  <c r="P227" i="54"/>
  <c r="P223" i="54"/>
  <c r="P225" i="54"/>
  <c r="P224" i="54"/>
  <c r="P226" i="54"/>
  <c r="AZ54" i="51"/>
  <c r="O83" i="20"/>
  <c r="O75" i="19" s="1"/>
  <c r="P114" i="12"/>
  <c r="O70" i="19"/>
  <c r="P114" i="14" s="1"/>
  <c r="O80" i="20"/>
  <c r="O81" i="20"/>
  <c r="O79" i="20"/>
  <c r="O82" i="20"/>
  <c r="O105" i="12"/>
  <c r="N153" i="12"/>
  <c r="N98" i="12"/>
  <c r="Q246" i="42"/>
  <c r="Q243" i="42"/>
  <c r="O55" i="19"/>
  <c r="L337" i="42"/>
  <c r="L342" i="42"/>
  <c r="P280" i="38"/>
  <c r="P281" i="38" s="1"/>
  <c r="Q247" i="38"/>
  <c r="K258" i="19"/>
  <c r="T31" i="45"/>
  <c r="T29" i="45"/>
  <c r="T28" i="45"/>
  <c r="T32" i="45"/>
  <c r="T35" i="45"/>
  <c r="T37" i="45"/>
  <c r="T36" i="45"/>
  <c r="AZ27" i="45"/>
  <c r="U27" i="45"/>
  <c r="T54" i="45"/>
  <c r="W21" i="15"/>
  <c r="R136" i="16"/>
  <c r="N74" i="51"/>
  <c r="M253" i="53"/>
  <c r="R235" i="42"/>
  <c r="R239" i="42" s="1"/>
  <c r="R237" i="42"/>
  <c r="R241" i="42" s="1"/>
  <c r="R238" i="42"/>
  <c r="R236" i="42"/>
  <c r="R240" i="42" s="1"/>
  <c r="T154" i="53"/>
  <c r="T156" i="53" s="1"/>
  <c r="U153" i="53"/>
  <c r="O226" i="12"/>
  <c r="W27" i="53"/>
  <c r="W42" i="53" s="1"/>
  <c r="X21" i="53"/>
  <c r="R160" i="38"/>
  <c r="R164" i="38" s="1"/>
  <c r="R162" i="38"/>
  <c r="S109" i="36" s="1"/>
  <c r="AY109" i="36" s="1"/>
  <c r="R161" i="38"/>
  <c r="R165" i="38" s="1"/>
  <c r="R159" i="38"/>
  <c r="R163" i="38" s="1"/>
  <c r="K327" i="46"/>
  <c r="K328" i="46"/>
  <c r="S66" i="16"/>
  <c r="T125" i="12"/>
  <c r="H353" i="48"/>
  <c r="H354" i="48" s="1"/>
  <c r="R57" i="45"/>
  <c r="W27" i="28"/>
  <c r="X21" i="28"/>
  <c r="S168" i="20"/>
  <c r="S169" i="20"/>
  <c r="S170" i="20"/>
  <c r="S179" i="20" s="1"/>
  <c r="S171" i="20"/>
  <c r="S185" i="20" s="1"/>
  <c r="S167" i="20"/>
  <c r="S173" i="20" s="1"/>
  <c r="T166" i="20"/>
  <c r="S27" i="19"/>
  <c r="S45" i="19" s="1"/>
  <c r="S129" i="19" s="1"/>
  <c r="S128" i="19" s="1"/>
  <c r="T21" i="19"/>
  <c r="U40" i="29"/>
  <c r="V128" i="16"/>
  <c r="V60" i="16"/>
  <c r="R134" i="16"/>
  <c r="R77" i="16"/>
  <c r="R133" i="16" a="1"/>
  <c r="R133" i="16" s="1"/>
  <c r="R68" i="16"/>
  <c r="Q222" i="53"/>
  <c r="Q227" i="53"/>
  <c r="Q223" i="53"/>
  <c r="Q225" i="53"/>
  <c r="Q224" i="53"/>
  <c r="Q226" i="53"/>
  <c r="Q160" i="42"/>
  <c r="Q164" i="42" s="1"/>
  <c r="Q161" i="42"/>
  <c r="Q165" i="42" s="1"/>
  <c r="Q162" i="42"/>
  <c r="Q159" i="42"/>
  <c r="Q163" i="42" s="1"/>
  <c r="I160" i="14"/>
  <c r="M223" i="19"/>
  <c r="M224" i="19" s="1"/>
  <c r="M246" i="19"/>
  <c r="M247" i="19" s="1"/>
  <c r="K332" i="48"/>
  <c r="K331" i="48"/>
  <c r="K343" i="48" s="1"/>
  <c r="K344" i="48" s="1"/>
  <c r="V26" i="46"/>
  <c r="V41" i="46" s="1"/>
  <c r="W20" i="46"/>
  <c r="T137" i="48"/>
  <c r="T200" i="48"/>
  <c r="T138" i="48"/>
  <c r="T201" i="48"/>
  <c r="U136" i="48"/>
  <c r="H163" i="14"/>
  <c r="H157" i="14"/>
  <c r="N251" i="53"/>
  <c r="O75" i="51" s="1"/>
  <c r="N249" i="53"/>
  <c r="V121" i="15"/>
  <c r="V42" i="15"/>
  <c r="S127" i="42"/>
  <c r="S128" i="42"/>
  <c r="T126" i="42"/>
  <c r="AW107" i="45"/>
  <c r="P95" i="20"/>
  <c r="P87" i="19" s="1"/>
  <c r="P82" i="19"/>
  <c r="Q124" i="14" s="1"/>
  <c r="P91" i="20"/>
  <c r="P92" i="20"/>
  <c r="P93" i="20"/>
  <c r="P94" i="20"/>
  <c r="P86" i="19" s="1"/>
  <c r="V25" i="29"/>
  <c r="V43" i="29" s="1"/>
  <c r="W19" i="29"/>
  <c r="S133" i="20"/>
  <c r="O146" i="12"/>
  <c r="O115" i="12"/>
  <c r="T31" i="29"/>
  <c r="T132" i="29"/>
  <c r="X11" i="16"/>
  <c r="P233" i="53"/>
  <c r="P236" i="53" s="1"/>
  <c r="P232" i="53"/>
  <c r="U29" i="42"/>
  <c r="T64" i="15"/>
  <c r="S75" i="29"/>
  <c r="T64" i="16" s="1"/>
  <c r="Q157" i="29"/>
  <c r="Q169" i="29" s="1"/>
  <c r="Q158" i="29"/>
  <c r="U29" i="53"/>
  <c r="U69" i="45"/>
  <c r="X20" i="15"/>
  <c r="AW67" i="45"/>
  <c r="AW23" i="45"/>
  <c r="U29" i="54"/>
  <c r="AW113" i="36"/>
  <c r="AW111" i="36"/>
  <c r="AW112" i="36"/>
  <c r="V61" i="15"/>
  <c r="U85" i="29"/>
  <c r="M116" i="45"/>
  <c r="S34" i="28"/>
  <c r="S33" i="28"/>
  <c r="R139" i="16"/>
  <c r="T232" i="38"/>
  <c r="T234" i="38" s="1"/>
  <c r="U231" i="38"/>
  <c r="S66" i="42"/>
  <c r="S85" i="42" s="1"/>
  <c r="S62" i="42"/>
  <c r="S65" i="42"/>
  <c r="S93" i="42" s="1"/>
  <c r="S64" i="42"/>
  <c r="S77" i="42" s="1"/>
  <c r="S61" i="42"/>
  <c r="S67" i="42"/>
  <c r="S101" i="42" s="1"/>
  <c r="T60" i="42"/>
  <c r="Q218" i="46"/>
  <c r="Q223" i="46" s="1"/>
  <c r="Q220" i="46"/>
  <c r="Q225" i="46" s="1"/>
  <c r="Q217" i="46"/>
  <c r="Q222" i="46" s="1"/>
  <c r="Q219" i="46"/>
  <c r="Q224" i="46" s="1"/>
  <c r="Q216" i="48"/>
  <c r="Q221" i="46"/>
  <c r="R99" i="45" s="1"/>
  <c r="AT76" i="45"/>
  <c r="N78" i="45"/>
  <c r="AW99" i="45"/>
  <c r="O234" i="54"/>
  <c r="O235" i="54" s="1"/>
  <c r="O237" i="54" s="1"/>
  <c r="O258" i="54" s="1"/>
  <c r="AW83" i="45"/>
  <c r="AV85" i="45"/>
  <c r="O160" i="29"/>
  <c r="O164" i="29"/>
  <c r="O162" i="29"/>
  <c r="O163" i="29"/>
  <c r="O161" i="29"/>
  <c r="O165" i="29"/>
  <c r="S67" i="15"/>
  <c r="S46" i="15"/>
  <c r="O306" i="42"/>
  <c r="O307" i="42"/>
  <c r="O309" i="42"/>
  <c r="O311" i="42"/>
  <c r="O308" i="42"/>
  <c r="O310" i="42"/>
  <c r="G160" i="14"/>
  <c r="R220" i="53"/>
  <c r="R219" i="53"/>
  <c r="R231" i="53" s="1"/>
  <c r="M150" i="14"/>
  <c r="Q85" i="45"/>
  <c r="R139" i="15"/>
  <c r="W35" i="16"/>
  <c r="N97" i="12"/>
  <c r="N154" i="12"/>
  <c r="O34" i="20"/>
  <c r="O33" i="20"/>
  <c r="R204" i="46"/>
  <c r="R203" i="46"/>
  <c r="W27" i="29"/>
  <c r="X21" i="29"/>
  <c r="R189" i="38"/>
  <c r="R193" i="38" s="1"/>
  <c r="R191" i="38"/>
  <c r="R195" i="38" s="1"/>
  <c r="R190" i="38"/>
  <c r="R194" i="38" s="1"/>
  <c r="R192" i="38"/>
  <c r="S91" i="36" s="1"/>
  <c r="L290" i="20"/>
  <c r="L291" i="20" s="1"/>
  <c r="L292" i="20"/>
  <c r="L293" i="20" s="1"/>
  <c r="Q70" i="38"/>
  <c r="Q74" i="38" s="1"/>
  <c r="Q73" i="38"/>
  <c r="R78" i="36" s="1"/>
  <c r="Q72" i="38"/>
  <c r="Q76" i="38" s="1"/>
  <c r="Q71" i="38"/>
  <c r="Q75" i="38" s="1"/>
  <c r="U29" i="28"/>
  <c r="Z8" i="16"/>
  <c r="AY58" i="51"/>
  <c r="S33" i="29"/>
  <c r="S34" i="29"/>
  <c r="T61" i="46"/>
  <c r="T67" i="46"/>
  <c r="T65" i="46"/>
  <c r="T62" i="46"/>
  <c r="T64" i="46"/>
  <c r="T66" i="46"/>
  <c r="T89" i="46" s="1"/>
  <c r="U60" i="46"/>
  <c r="O106" i="12"/>
  <c r="N77" i="19"/>
  <c r="O106" i="14" s="1"/>
  <c r="Q206" i="42"/>
  <c r="Q210" i="42" s="1"/>
  <c r="Q205" i="42"/>
  <c r="Q209" i="42" s="1"/>
  <c r="Q208" i="42"/>
  <c r="Q207" i="42"/>
  <c r="Q211" i="42" s="1"/>
  <c r="O57" i="19"/>
  <c r="O287" i="38"/>
  <c r="O284" i="38"/>
  <c r="O282" i="38"/>
  <c r="O283" i="38"/>
  <c r="O286" i="38"/>
  <c r="O285" i="38"/>
  <c r="P290" i="42"/>
  <c r="P291" i="42" s="1"/>
  <c r="P313" i="42"/>
  <c r="P314" i="42" s="1"/>
  <c r="I155" i="12"/>
  <c r="H312" i="20"/>
  <c r="H317" i="20"/>
  <c r="S157" i="53"/>
  <c r="T66" i="51" s="1"/>
  <c r="V134" i="53"/>
  <c r="V138" i="53"/>
  <c r="V139" i="53" s="1"/>
  <c r="W69" i="51" s="1"/>
  <c r="V136" i="53"/>
  <c r="V137" i="53" s="1"/>
  <c r="W63" i="51" s="1"/>
  <c r="R146" i="38"/>
  <c r="S100" i="36" s="1"/>
  <c r="AY100" i="36" s="1"/>
  <c r="R144" i="38"/>
  <c r="R148" i="38" s="1"/>
  <c r="R143" i="38"/>
  <c r="R147" i="38" s="1"/>
  <c r="R145" i="38"/>
  <c r="R149" i="38" s="1"/>
  <c r="S66" i="15"/>
  <c r="S66" i="38"/>
  <c r="S85" i="38" s="1"/>
  <c r="T60" i="38"/>
  <c r="S65" i="38"/>
  <c r="S93" i="38" s="1"/>
  <c r="S64" i="38"/>
  <c r="S77" i="38" s="1"/>
  <c r="S62" i="38"/>
  <c r="S67" i="38"/>
  <c r="S101" i="38" s="1"/>
  <c r="S61" i="38"/>
  <c r="AZ69" i="45"/>
  <c r="R175" i="20"/>
  <c r="R137" i="19" s="1"/>
  <c r="R178" i="20"/>
  <c r="R140" i="19" s="1"/>
  <c r="R135" i="19"/>
  <c r="S113" i="14" s="1"/>
  <c r="S113" i="12"/>
  <c r="R174" i="20"/>
  <c r="R136" i="19" s="1"/>
  <c r="R176" i="20"/>
  <c r="R177" i="20"/>
  <c r="R139" i="19" s="1"/>
  <c r="T108" i="28"/>
  <c r="U107" i="28"/>
  <c r="W47" i="15"/>
  <c r="W125" i="15"/>
  <c r="V37" i="28"/>
  <c r="AL12" i="55"/>
  <c r="AL14" i="55"/>
  <c r="AL13" i="55"/>
  <c r="AL15" i="55"/>
  <c r="AL16" i="55"/>
  <c r="AL11" i="55"/>
  <c r="U76" i="16"/>
  <c r="U75" i="16"/>
  <c r="T217" i="38"/>
  <c r="T219" i="38" s="1"/>
  <c r="U216" i="38"/>
  <c r="Y54" i="16"/>
  <c r="X38" i="29"/>
  <c r="Y124" i="16"/>
  <c r="R111" i="36"/>
  <c r="R112" i="36"/>
  <c r="R113" i="36"/>
  <c r="R132" i="42"/>
  <c r="R158" i="42" s="1"/>
  <c r="R131" i="42"/>
  <c r="R150" i="42" s="1"/>
  <c r="R130" i="42"/>
  <c r="R142" i="42" s="1"/>
  <c r="T61" i="48"/>
  <c r="T66" i="48"/>
  <c r="T65" i="48"/>
  <c r="T62" i="48"/>
  <c r="T64" i="48"/>
  <c r="T67" i="48"/>
  <c r="U60" i="48"/>
  <c r="P218" i="53"/>
  <c r="P217" i="53"/>
  <c r="P221" i="53" s="1"/>
  <c r="P225" i="53"/>
  <c r="P222" i="53"/>
  <c r="P226" i="53"/>
  <c r="P224" i="53"/>
  <c r="P223" i="53"/>
  <c r="P227" i="53"/>
  <c r="W20" i="54"/>
  <c r="V26" i="54"/>
  <c r="V41" i="54" s="1"/>
  <c r="V147" i="54" s="1"/>
  <c r="V148" i="54" s="1"/>
  <c r="T306" i="46"/>
  <c r="T31" i="46"/>
  <c r="O234" i="53"/>
  <c r="O235" i="53" s="1"/>
  <c r="O237" i="53" s="1"/>
  <c r="O258" i="53" s="1"/>
  <c r="Q166" i="46"/>
  <c r="Q171" i="46" s="1"/>
  <c r="Q168" i="46"/>
  <c r="Q173" i="46" s="1"/>
  <c r="Q165" i="46"/>
  <c r="Q170" i="46" s="1"/>
  <c r="Q167" i="46"/>
  <c r="Q172" i="46" s="1"/>
  <c r="Q164" i="48"/>
  <c r="Q169" i="46"/>
  <c r="R77" i="45" s="1"/>
  <c r="N271" i="20"/>
  <c r="N268" i="20"/>
  <c r="N269" i="20"/>
  <c r="N270" i="20"/>
  <c r="P144" i="29"/>
  <c r="P145" i="29" s="1"/>
  <c r="P167" i="29"/>
  <c r="P168" i="29" s="1"/>
  <c r="T45" i="15"/>
  <c r="S74" i="29"/>
  <c r="T45" i="16" s="1"/>
  <c r="AW98" i="45"/>
  <c r="BW16" i="55"/>
  <c r="BW12" i="55"/>
  <c r="BW13" i="55"/>
  <c r="BW15" i="55"/>
  <c r="BW11" i="55"/>
  <c r="BW19" i="55" s="1"/>
  <c r="BW14" i="55"/>
  <c r="Q199" i="20"/>
  <c r="Q160" i="19" s="1"/>
  <c r="Q203" i="20"/>
  <c r="Q164" i="19" s="1"/>
  <c r="Q200" i="20"/>
  <c r="Q161" i="19" s="1"/>
  <c r="Q201" i="20"/>
  <c r="Q162" i="19" s="1"/>
  <c r="Q202" i="20"/>
  <c r="Q159" i="19"/>
  <c r="R123" i="14" s="1"/>
  <c r="O196" i="54"/>
  <c r="O197" i="54" s="1"/>
  <c r="P163" i="54"/>
  <c r="AY107" i="36"/>
  <c r="V26" i="48"/>
  <c r="V41" i="48" s="1"/>
  <c r="W20" i="48"/>
  <c r="J330" i="46"/>
  <c r="J329" i="46"/>
  <c r="J333" i="46" s="1"/>
  <c r="Q145" i="46"/>
  <c r="Q150" i="46" s="1"/>
  <c r="Q148" i="46"/>
  <c r="Q153" i="46" s="1"/>
  <c r="Q149" i="46"/>
  <c r="R83" i="45" s="1"/>
  <c r="Q144" i="48"/>
  <c r="Q146" i="46"/>
  <c r="Q151" i="46" s="1"/>
  <c r="Q147" i="46"/>
  <c r="Q152" i="46" s="1"/>
  <c r="M275" i="46"/>
  <c r="L308" i="46"/>
  <c r="L309" i="46" s="1"/>
  <c r="V123" i="16"/>
  <c r="V43" i="16"/>
  <c r="U36" i="29"/>
  <c r="U42" i="29" s="1"/>
  <c r="S196" i="20"/>
  <c r="T195" i="20"/>
  <c r="P302" i="42"/>
  <c r="P301" i="42"/>
  <c r="P305" i="42" s="1"/>
  <c r="W39" i="16"/>
  <c r="W13" i="16"/>
  <c r="T241" i="48"/>
  <c r="U240" i="48"/>
  <c r="X33" i="16"/>
  <c r="X34" i="16"/>
  <c r="S236" i="38"/>
  <c r="S240" i="38" s="1"/>
  <c r="S237" i="38"/>
  <c r="S241" i="38" s="1"/>
  <c r="S235" i="38"/>
  <c r="S239" i="38" s="1"/>
  <c r="S238" i="38"/>
  <c r="T107" i="36" s="1"/>
  <c r="R96" i="42"/>
  <c r="R100" i="42" s="1"/>
  <c r="R97" i="42"/>
  <c r="R95" i="42"/>
  <c r="R99" i="42" s="1"/>
  <c r="R94" i="42"/>
  <c r="R98" i="42" s="1"/>
  <c r="M335" i="38"/>
  <c r="N121" i="36" s="1"/>
  <c r="AT121" i="36" s="1"/>
  <c r="M333" i="38"/>
  <c r="M72" i="48"/>
  <c r="M77" i="48" s="1"/>
  <c r="M73" i="48"/>
  <c r="M78" i="48" s="1"/>
  <c r="M71" i="48"/>
  <c r="M76" i="48" s="1"/>
  <c r="M70" i="48"/>
  <c r="M75" i="48" s="1"/>
  <c r="M74" i="48"/>
  <c r="O241" i="54"/>
  <c r="O242" i="54" s="1"/>
  <c r="T265" i="19"/>
  <c r="U307" i="20"/>
  <c r="V26" i="38"/>
  <c r="V41" i="38" s="1"/>
  <c r="W20" i="38"/>
  <c r="S67" i="16"/>
  <c r="S46" i="16"/>
  <c r="N154" i="14"/>
  <c r="N97" i="14"/>
  <c r="R214" i="54"/>
  <c r="R213" i="54"/>
  <c r="R139" i="46"/>
  <c r="R144" i="46"/>
  <c r="K347" i="46"/>
  <c r="AX91" i="36"/>
  <c r="AX93" i="36" s="1"/>
  <c r="AX96" i="36" s="1"/>
  <c r="R93" i="36"/>
  <c r="R96" i="36" s="1"/>
  <c r="O47" i="19"/>
  <c r="O176" i="19" s="1"/>
  <c r="N227" i="14"/>
  <c r="Q246" i="38"/>
  <c r="Q243" i="38"/>
  <c r="G164" i="14"/>
  <c r="F276" i="19"/>
  <c r="G165" i="14" s="1"/>
  <c r="T208" i="54"/>
  <c r="S89" i="48"/>
  <c r="S90" i="46"/>
  <c r="S95" i="46" s="1"/>
  <c r="S92" i="46"/>
  <c r="S97" i="46" s="1"/>
  <c r="S91" i="46"/>
  <c r="S94" i="46"/>
  <c r="S93" i="46"/>
  <c r="S98" i="46" s="1"/>
  <c r="E161" i="14"/>
  <c r="Q198" i="42"/>
  <c r="Q202" i="42" s="1"/>
  <c r="Q197" i="42"/>
  <c r="Q201" i="42" s="1"/>
  <c r="Q200" i="42"/>
  <c r="Q199" i="42"/>
  <c r="Q203" i="42" s="1"/>
  <c r="P147" i="12"/>
  <c r="P95" i="12"/>
  <c r="O53" i="19"/>
  <c r="W27" i="38"/>
  <c r="W42" i="38" s="1"/>
  <c r="X21" i="38"/>
  <c r="N67" i="19"/>
  <c r="O100" i="14" s="1"/>
  <c r="O100" i="12"/>
  <c r="O222" i="20"/>
  <c r="N255" i="20"/>
  <c r="N256" i="20" s="1"/>
  <c r="P83" i="20"/>
  <c r="P75" i="19" s="1"/>
  <c r="Q114" i="12"/>
  <c r="P82" i="20"/>
  <c r="P79" i="20"/>
  <c r="P70" i="19"/>
  <c r="Q114" i="14" s="1"/>
  <c r="P81" i="20"/>
  <c r="P80" i="20"/>
  <c r="W24" i="29"/>
  <c r="X18" i="29"/>
  <c r="O155" i="29"/>
  <c r="O159" i="29" s="1"/>
  <c r="O156" i="29"/>
  <c r="N149" i="14"/>
  <c r="I158" i="12"/>
  <c r="I162" i="12"/>
  <c r="M120" i="36"/>
  <c r="L337" i="38"/>
  <c r="L342" i="38"/>
  <c r="V28" i="53"/>
  <c r="V43" i="53" s="1"/>
  <c r="W22" i="53"/>
  <c r="V26" i="29"/>
  <c r="V44" i="29" s="1"/>
  <c r="W20" i="29"/>
  <c r="P101" i="20"/>
  <c r="P93" i="19" s="1"/>
  <c r="P88" i="19"/>
  <c r="Q136" i="14" s="1"/>
  <c r="Q139" i="14" s="1"/>
  <c r="P98" i="20"/>
  <c r="Q136" i="12"/>
  <c r="P100" i="20"/>
  <c r="P99" i="20"/>
  <c r="P97" i="20"/>
  <c r="R87" i="38"/>
  <c r="R91" i="38" s="1"/>
  <c r="R86" i="38"/>
  <c r="R90" i="38" s="1"/>
  <c r="R88" i="38"/>
  <c r="R92" i="38" s="1"/>
  <c r="R89" i="38"/>
  <c r="AZ18" i="45"/>
  <c r="R132" i="20"/>
  <c r="R108" i="19" s="1"/>
  <c r="R131" i="20"/>
  <c r="R107" i="19" s="1"/>
  <c r="R129" i="20"/>
  <c r="R105" i="19" s="1"/>
  <c r="R128" i="20"/>
  <c r="R104" i="19" s="1"/>
  <c r="R103" i="19"/>
  <c r="S103" i="14" s="1"/>
  <c r="S103" i="12"/>
  <c r="R130" i="20"/>
  <c r="M231" i="14"/>
  <c r="P171" i="28"/>
  <c r="P183" i="28" s="1"/>
  <c r="P184" i="28" s="1"/>
  <c r="P172" i="28"/>
  <c r="O317" i="38"/>
  <c r="O320" i="38" s="1"/>
  <c r="O316" i="38"/>
  <c r="R187" i="20"/>
  <c r="R149" i="19" s="1"/>
  <c r="R189" i="20"/>
  <c r="R151" i="19" s="1"/>
  <c r="R186" i="20"/>
  <c r="R148" i="19" s="1"/>
  <c r="R190" i="20"/>
  <c r="R152" i="19" s="1"/>
  <c r="R147" i="19"/>
  <c r="S137" i="14" s="1"/>
  <c r="R188" i="20"/>
  <c r="R150" i="19" s="1"/>
  <c r="S137" i="12"/>
  <c r="V26" i="42"/>
  <c r="V41" i="42" s="1"/>
  <c r="W20" i="42"/>
  <c r="AY98" i="36"/>
  <c r="S82" i="29"/>
  <c r="T55" i="16" s="1"/>
  <c r="T55" i="15"/>
  <c r="R66" i="20"/>
  <c r="T183" i="38"/>
  <c r="T127" i="38"/>
  <c r="T128" i="38"/>
  <c r="T182" i="38"/>
  <c r="U126" i="38"/>
  <c r="K334" i="48"/>
  <c r="K335" i="48"/>
  <c r="K339" i="48"/>
  <c r="K337" i="48"/>
  <c r="K338" i="48"/>
  <c r="K336" i="48"/>
  <c r="AY67" i="51"/>
  <c r="AY71" i="51" s="1"/>
  <c r="S203" i="48"/>
  <c r="S204" i="48"/>
  <c r="R82" i="45"/>
  <c r="R24" i="45"/>
  <c r="R25" i="45"/>
  <c r="R26" i="45"/>
  <c r="Q34" i="46"/>
  <c r="S220" i="38"/>
  <c r="S224" i="38" s="1"/>
  <c r="S222" i="38"/>
  <c r="S226" i="38" s="1"/>
  <c r="S223" i="38"/>
  <c r="T98" i="36" s="1"/>
  <c r="S221" i="38"/>
  <c r="S225" i="38" s="1"/>
  <c r="N72" i="46"/>
  <c r="N77" i="46" s="1"/>
  <c r="N70" i="46"/>
  <c r="N75" i="46" s="1"/>
  <c r="N73" i="46"/>
  <c r="N78" i="46" s="1"/>
  <c r="N69" i="48"/>
  <c r="N71" i="46"/>
  <c r="N76" i="46" s="1"/>
  <c r="N74" i="46"/>
  <c r="O76" i="45" s="1"/>
  <c r="G354" i="48"/>
  <c r="G363" i="48" s="1"/>
  <c r="AN120" i="45" s="1"/>
  <c r="R129" i="42"/>
  <c r="R134" i="42"/>
  <c r="P175" i="48"/>
  <c r="P180" i="48" s="1"/>
  <c r="P176" i="48"/>
  <c r="P181" i="48" s="1"/>
  <c r="P178" i="48"/>
  <c r="P183" i="48" s="1"/>
  <c r="P177" i="48"/>
  <c r="P182" i="48" s="1"/>
  <c r="P179" i="48"/>
  <c r="T61" i="53"/>
  <c r="T62" i="53"/>
  <c r="T67" i="53"/>
  <c r="T77" i="53" s="1"/>
  <c r="T78" i="53" s="1"/>
  <c r="U61" i="51" s="1"/>
  <c r="T65" i="53"/>
  <c r="T75" i="53" s="1"/>
  <c r="T66" i="53"/>
  <c r="T73" i="53" s="1"/>
  <c r="T74" i="53" s="1"/>
  <c r="T64" i="53"/>
  <c r="T71" i="53" s="1"/>
  <c r="T72" i="53" s="1"/>
  <c r="U57" i="51" s="1"/>
  <c r="U58" i="51" s="1"/>
  <c r="U60" i="53"/>
  <c r="J252" i="19"/>
  <c r="J254" i="19" s="1"/>
  <c r="J253" i="19"/>
  <c r="P148" i="28"/>
  <c r="P149" i="28" s="1"/>
  <c r="Q214" i="28"/>
  <c r="U37" i="29"/>
  <c r="V125" i="16"/>
  <c r="V47" i="16"/>
  <c r="P153" i="29"/>
  <c r="P154" i="29"/>
  <c r="Q178" i="46"/>
  <c r="Q183" i="46" s="1"/>
  <c r="Q176" i="46"/>
  <c r="Q181" i="46" s="1"/>
  <c r="Q174" i="48"/>
  <c r="Q175" i="46"/>
  <c r="Q180" i="46" s="1"/>
  <c r="Q177" i="46"/>
  <c r="Q182" i="46" s="1"/>
  <c r="Q179" i="46"/>
  <c r="R107" i="45" s="1"/>
  <c r="O4" i="55"/>
  <c r="M151" i="14"/>
  <c r="S71" i="29"/>
  <c r="T48" i="16" s="1"/>
  <c r="T48" i="15"/>
  <c r="K308" i="48"/>
  <c r="K309" i="48" s="1"/>
  <c r="L275" i="48"/>
  <c r="BX9" i="55"/>
  <c r="U18" i="45"/>
  <c r="X17" i="15"/>
  <c r="S71" i="51"/>
  <c r="O95" i="20"/>
  <c r="O87" i="19" s="1"/>
  <c r="O82" i="19"/>
  <c r="P124" i="14" s="1"/>
  <c r="O92" i="20"/>
  <c r="O91" i="20"/>
  <c r="O94" i="20"/>
  <c r="O93" i="20"/>
  <c r="N199" i="54"/>
  <c r="N203" i="54"/>
  <c r="N202" i="54"/>
  <c r="N198" i="54"/>
  <c r="N201" i="54"/>
  <c r="N200" i="54"/>
  <c r="V25" i="46"/>
  <c r="V40" i="46" s="1"/>
  <c r="W19" i="46"/>
  <c r="AT106" i="45"/>
  <c r="N109" i="45"/>
  <c r="K310" i="46"/>
  <c r="K314" i="46"/>
  <c r="K315" i="46"/>
  <c r="K313" i="46"/>
  <c r="K311" i="46"/>
  <c r="K312" i="46"/>
  <c r="M118" i="45"/>
  <c r="L237" i="19"/>
  <c r="L236" i="19"/>
  <c r="L248" i="19" s="1"/>
  <c r="L249" i="19" s="1"/>
  <c r="R157" i="19"/>
  <c r="S123" i="12"/>
  <c r="R198" i="20"/>
  <c r="V28" i="42"/>
  <c r="V43" i="42" s="1"/>
  <c r="W22" i="42"/>
  <c r="U75" i="15"/>
  <c r="U76" i="15"/>
  <c r="M150" i="12"/>
  <c r="N90" i="19"/>
  <c r="O143" i="14" s="1"/>
  <c r="O143" i="12"/>
  <c r="AY105" i="45"/>
  <c r="X74" i="16"/>
  <c r="AA24" i="16"/>
  <c r="AA23" i="16"/>
  <c r="AB22" i="16"/>
  <c r="R103" i="42"/>
  <c r="R107" i="42" s="1"/>
  <c r="R104" i="42"/>
  <c r="R108" i="42" s="1"/>
  <c r="R105" i="42"/>
  <c r="R102" i="42"/>
  <c r="R106" i="42" s="1"/>
  <c r="Q228" i="46"/>
  <c r="Q233" i="46" s="1"/>
  <c r="Q230" i="46"/>
  <c r="Q235" i="46" s="1"/>
  <c r="Q227" i="46"/>
  <c r="Q232" i="46" s="1"/>
  <c r="Q229" i="46"/>
  <c r="Q234" i="46" s="1"/>
  <c r="Q226" i="48"/>
  <c r="Q231" i="46"/>
  <c r="R108" i="45" s="1"/>
  <c r="P145" i="48"/>
  <c r="P150" i="48" s="1"/>
  <c r="P147" i="48"/>
  <c r="P152" i="48" s="1"/>
  <c r="P146" i="48"/>
  <c r="P151" i="48" s="1"/>
  <c r="P149" i="48"/>
  <c r="P148" i="48"/>
  <c r="P153" i="48" s="1"/>
  <c r="N273" i="19"/>
  <c r="N272" i="19"/>
  <c r="N222" i="19"/>
  <c r="N221" i="19"/>
  <c r="N225" i="19"/>
  <c r="W35" i="15"/>
  <c r="R58" i="29"/>
  <c r="R213" i="28"/>
  <c r="R114" i="28"/>
  <c r="Q106" i="19"/>
  <c r="J347" i="46"/>
  <c r="J349" i="46" s="1"/>
  <c r="J348" i="46"/>
  <c r="Q86" i="45"/>
  <c r="T258" i="46"/>
  <c r="T260" i="46" s="1"/>
  <c r="U257" i="46"/>
  <c r="T61" i="54"/>
  <c r="T62" i="54"/>
  <c r="T64" i="54"/>
  <c r="T71" i="54" s="1"/>
  <c r="T72" i="54" s="1"/>
  <c r="T65" i="54"/>
  <c r="T75" i="54" s="1"/>
  <c r="T76" i="54" s="1"/>
  <c r="T67" i="54"/>
  <c r="T77" i="54" s="1"/>
  <c r="T78" i="54" s="1"/>
  <c r="T66" i="54"/>
  <c r="T73" i="54" s="1"/>
  <c r="T74" i="54" s="1"/>
  <c r="U60" i="54"/>
  <c r="R102" i="36"/>
  <c r="Q140" i="15"/>
  <c r="O31" i="19"/>
  <c r="O211" i="19"/>
  <c r="AV75" i="45"/>
  <c r="O33" i="48"/>
  <c r="O39" i="48" s="1"/>
  <c r="AX55" i="45"/>
  <c r="AX56" i="45"/>
  <c r="V26" i="28"/>
  <c r="V44" i="28" s="1"/>
  <c r="W20" i="28"/>
  <c r="N84" i="19"/>
  <c r="O131" i="14" s="1"/>
  <c r="O131" i="12"/>
  <c r="R136" i="15"/>
  <c r="N79" i="19"/>
  <c r="O110" i="14" s="1"/>
  <c r="O110" i="12"/>
  <c r="K232" i="19"/>
  <c r="K233" i="19"/>
  <c r="Q189" i="42"/>
  <c r="Q193" i="42" s="1"/>
  <c r="Q190" i="42"/>
  <c r="Q194" i="42" s="1"/>
  <c r="Q191" i="42"/>
  <c r="Q195" i="42" s="1"/>
  <c r="Q192" i="42"/>
  <c r="O58" i="19"/>
  <c r="O265" i="20"/>
  <c r="O288" i="20"/>
  <c r="O289" i="20" s="1"/>
  <c r="V25" i="42"/>
  <c r="V40" i="42" s="1"/>
  <c r="W19" i="42"/>
  <c r="O101" i="12"/>
  <c r="N68" i="19"/>
  <c r="O101" i="14" s="1"/>
  <c r="Y11" i="15"/>
  <c r="X21" i="48"/>
  <c r="W27" i="48"/>
  <c r="W42" i="48" s="1"/>
  <c r="L274" i="20"/>
  <c r="L275" i="20"/>
  <c r="N149" i="12"/>
  <c r="N69" i="15"/>
  <c r="M210" i="28"/>
  <c r="N72" i="15" s="1"/>
  <c r="M205" i="28"/>
  <c r="T208" i="20"/>
  <c r="S209" i="20"/>
  <c r="S211" i="20" s="1"/>
  <c r="R81" i="38"/>
  <c r="S92" i="36" s="1"/>
  <c r="AY92" i="36" s="1"/>
  <c r="R78" i="38"/>
  <c r="R82" i="38" s="1"/>
  <c r="R79" i="38"/>
  <c r="R83" i="38" s="1"/>
  <c r="R80" i="38"/>
  <c r="R84" i="38" s="1"/>
  <c r="O307" i="38"/>
  <c r="O306" i="38"/>
  <c r="O310" i="38"/>
  <c r="O309" i="38"/>
  <c r="O311" i="38"/>
  <c r="O308" i="38"/>
  <c r="R184" i="20"/>
  <c r="R146" i="19" s="1"/>
  <c r="R183" i="20"/>
  <c r="R145" i="19" s="1"/>
  <c r="R181" i="20"/>
  <c r="R143" i="19" s="1"/>
  <c r="R182" i="20"/>
  <c r="R144" i="19" s="1"/>
  <c r="R180" i="20"/>
  <c r="R142" i="19" s="1"/>
  <c r="R141" i="19"/>
  <c r="S125" i="14" s="1"/>
  <c r="G20" i="55"/>
  <c r="G19" i="55"/>
  <c r="M318" i="46"/>
  <c r="M319" i="46" s="1"/>
  <c r="M341" i="46"/>
  <c r="M342" i="46" s="1"/>
  <c r="N9" i="55"/>
  <c r="T63" i="20"/>
  <c r="S64" i="20"/>
  <c r="S65" i="20"/>
  <c r="M233" i="12"/>
  <c r="M234" i="12" s="1"/>
  <c r="S184" i="38"/>
  <c r="S204" i="38"/>
  <c r="S188" i="38"/>
  <c r="S196" i="38"/>
  <c r="W39" i="15"/>
  <c r="U129" i="16"/>
  <c r="U131" i="16"/>
  <c r="N318" i="38"/>
  <c r="N319" i="38" s="1"/>
  <c r="N321" i="38" s="1"/>
  <c r="Q206" i="54"/>
  <c r="Q207" i="54" s="1"/>
  <c r="Q229" i="54"/>
  <c r="Q230" i="54" s="1"/>
  <c r="T21" i="45"/>
  <c r="R140" i="20"/>
  <c r="R116" i="19" s="1"/>
  <c r="R144" i="20"/>
  <c r="R120" i="19" s="1"/>
  <c r="R141" i="20"/>
  <c r="R117" i="19" s="1"/>
  <c r="R143" i="20"/>
  <c r="R119" i="19" s="1"/>
  <c r="R142" i="20"/>
  <c r="R118" i="19" s="1"/>
  <c r="R115" i="19"/>
  <c r="S94" i="14" s="1"/>
  <c r="S142" i="48"/>
  <c r="S141" i="48"/>
  <c r="S140" i="48"/>
  <c r="U110" i="53"/>
  <c r="U111" i="53" s="1"/>
  <c r="U104" i="53"/>
  <c r="U105" i="53" s="1"/>
  <c r="V53" i="51" s="1"/>
  <c r="U106" i="53"/>
  <c r="U107" i="53" s="1"/>
  <c r="V62" i="51" s="1"/>
  <c r="U108" i="53"/>
  <c r="U109" i="53" s="1"/>
  <c r="T31" i="28"/>
  <c r="T146" i="28"/>
  <c r="AW34" i="45"/>
  <c r="V28" i="38"/>
  <c r="V43" i="38" s="1"/>
  <c r="W22" i="38"/>
  <c r="T278" i="38"/>
  <c r="T289" i="38" s="1"/>
  <c r="T31" i="38"/>
  <c r="Q141" i="16"/>
  <c r="Q142" i="16" s="1"/>
  <c r="N317" i="46"/>
  <c r="N320" i="46"/>
  <c r="T47" i="28"/>
  <c r="T53" i="29"/>
  <c r="T51" i="29"/>
  <c r="T50" i="29"/>
  <c r="T54" i="29"/>
  <c r="T52" i="29"/>
  <c r="T49" i="29" s="1"/>
  <c r="T154" i="54"/>
  <c r="T156" i="54" s="1"/>
  <c r="U153" i="54"/>
  <c r="F159" i="14"/>
  <c r="F161" i="14" s="1"/>
  <c r="I157" i="14"/>
  <c r="I163" i="14"/>
  <c r="U29" i="48"/>
  <c r="L126" i="36"/>
  <c r="K343" i="38"/>
  <c r="L127" i="36" s="1"/>
  <c r="S76" i="53"/>
  <c r="T67" i="51"/>
  <c r="T71" i="51" s="1"/>
  <c r="W40" i="15"/>
  <c r="N74" i="19"/>
  <c r="O121" i="14" s="1"/>
  <c r="O121" i="12"/>
  <c r="O151" i="28"/>
  <c r="O152" i="28"/>
  <c r="O154" i="28"/>
  <c r="O153" i="28"/>
  <c r="O155" i="28"/>
  <c r="O150" i="28"/>
  <c r="P47" i="20"/>
  <c r="P218" i="20" s="1"/>
  <c r="P221" i="20"/>
  <c r="Q93" i="12"/>
  <c r="P72" i="20"/>
  <c r="V121" i="16"/>
  <c r="V42" i="16"/>
  <c r="Q155" i="46"/>
  <c r="Q160" i="46" s="1"/>
  <c r="Q157" i="46"/>
  <c r="Q162" i="46" s="1"/>
  <c r="Q158" i="46"/>
  <c r="Q163" i="46" s="1"/>
  <c r="Q156" i="46"/>
  <c r="Q161" i="46" s="1"/>
  <c r="Q154" i="48"/>
  <c r="Q159" i="46"/>
  <c r="R98" i="45" s="1"/>
  <c r="AT90" i="45"/>
  <c r="N91" i="45"/>
  <c r="N282" i="20"/>
  <c r="N284" i="20"/>
  <c r="N283" i="20"/>
  <c r="N281" i="20"/>
  <c r="N285" i="20"/>
  <c r="N286" i="20"/>
  <c r="T84" i="29"/>
  <c r="U61" i="16"/>
  <c r="S73" i="29"/>
  <c r="T58" i="16" s="1"/>
  <c r="T58" i="15"/>
  <c r="P158" i="48"/>
  <c r="P163" i="48" s="1"/>
  <c r="P157" i="48"/>
  <c r="P162" i="48" s="1"/>
  <c r="P156" i="48"/>
  <c r="P161" i="48" s="1"/>
  <c r="P159" i="48"/>
  <c r="P155" i="48"/>
  <c r="P160" i="48" s="1"/>
  <c r="W24" i="48"/>
  <c r="X18" i="48"/>
  <c r="L318" i="48"/>
  <c r="L319" i="48" s="1"/>
  <c r="L341" i="48"/>
  <c r="L342" i="48" s="1"/>
  <c r="J312" i="48"/>
  <c r="J315" i="48"/>
  <c r="J314" i="48"/>
  <c r="J310" i="48"/>
  <c r="J313" i="48"/>
  <c r="J311" i="48"/>
  <c r="S212" i="54"/>
  <c r="S209" i="54"/>
  <c r="S210" i="54"/>
  <c r="S211" i="54"/>
  <c r="R24" i="20"/>
  <c r="S18" i="20"/>
  <c r="T28" i="20"/>
  <c r="T46" i="20" s="1"/>
  <c r="U22" i="20"/>
  <c r="T76" i="15"/>
  <c r="T75" i="15"/>
  <c r="L115" i="45"/>
  <c r="I353" i="46"/>
  <c r="Q75" i="45"/>
  <c r="P33" i="46"/>
  <c r="P39" i="46" s="1"/>
  <c r="W24" i="53"/>
  <c r="X18" i="53"/>
  <c r="Q215" i="54"/>
  <c r="Q216" i="54"/>
  <c r="AW68" i="45"/>
  <c r="Q299" i="42"/>
  <c r="Q300" i="42"/>
  <c r="O136" i="14"/>
  <c r="O146" i="14" s="1"/>
  <c r="N179" i="19"/>
  <c r="X17" i="16"/>
  <c r="Z25" i="16"/>
  <c r="AT112" i="45"/>
  <c r="I349" i="48"/>
  <c r="R68" i="45"/>
  <c r="AU128" i="36"/>
  <c r="AA7" i="15"/>
  <c r="AB6" i="15"/>
  <c r="AA8" i="15"/>
  <c r="H276" i="19"/>
  <c r="I165" i="14" s="1"/>
  <c r="R90" i="48"/>
  <c r="R95" i="48" s="1"/>
  <c r="R93" i="48"/>
  <c r="R98" i="48" s="1"/>
  <c r="R94" i="48"/>
  <c r="R92" i="48"/>
  <c r="R97" i="48" s="1"/>
  <c r="R91" i="48"/>
  <c r="Q87" i="45"/>
  <c r="Q73" i="45"/>
  <c r="S261" i="46"/>
  <c r="S266" i="46" s="1"/>
  <c r="S264" i="46"/>
  <c r="S269" i="46" s="1"/>
  <c r="S263" i="46"/>
  <c r="S268" i="46" s="1"/>
  <c r="S262" i="46"/>
  <c r="S267" i="46" s="1"/>
  <c r="S260" i="48"/>
  <c r="S265" i="46"/>
  <c r="T105" i="45" s="1"/>
  <c r="S63" i="54"/>
  <c r="S159" i="54" s="1"/>
  <c r="S69" i="54"/>
  <c r="S70" i="54" s="1"/>
  <c r="AX96" i="45"/>
  <c r="H164" i="12"/>
  <c r="G318" i="20"/>
  <c r="H165" i="12" s="1"/>
  <c r="AX102" i="36"/>
  <c r="Q162" i="28"/>
  <c r="Q161" i="28"/>
  <c r="Q164" i="28"/>
  <c r="Q163" i="28"/>
  <c r="U257" i="48"/>
  <c r="T258" i="48"/>
  <c r="L189" i="29"/>
  <c r="M70" i="16" s="1"/>
  <c r="S23" i="45"/>
  <c r="AS9" i="55"/>
  <c r="AX33" i="45"/>
  <c r="U80" i="29"/>
  <c r="U79" i="29" s="1"/>
  <c r="O127" i="14"/>
  <c r="T56" i="15"/>
  <c r="S60" i="29"/>
  <c r="T56" i="16" s="1"/>
  <c r="U29" i="29"/>
  <c r="AL125" i="45"/>
  <c r="E371" i="48"/>
  <c r="AL126" i="45" s="1"/>
  <c r="G163" i="14"/>
  <c r="G157" i="14"/>
  <c r="J345" i="48"/>
  <c r="J346" i="48" s="1"/>
  <c r="R157" i="28"/>
  <c r="R160" i="28"/>
  <c r="O105" i="14"/>
  <c r="K251" i="19"/>
  <c r="K252" i="19" s="1"/>
  <c r="O77" i="20"/>
  <c r="O74" i="20"/>
  <c r="O66" i="19" s="1"/>
  <c r="O73" i="20"/>
  <c r="O76" i="20"/>
  <c r="O64" i="19"/>
  <c r="P93" i="14" s="1"/>
  <c r="O75" i="20"/>
  <c r="O51" i="19"/>
  <c r="O147" i="14"/>
  <c r="O95" i="14"/>
  <c r="U29" i="46"/>
  <c r="Q103" i="36"/>
  <c r="Q105" i="36"/>
  <c r="G159" i="12"/>
  <c r="M260" i="20"/>
  <c r="M262" i="20"/>
  <c r="M258" i="20"/>
  <c r="M257" i="20"/>
  <c r="M261" i="20"/>
  <c r="M259" i="20"/>
  <c r="R34" i="45"/>
  <c r="AZ50" i="51"/>
  <c r="S182" i="42"/>
  <c r="S183" i="42"/>
  <c r="T181" i="42"/>
  <c r="V28" i="29"/>
  <c r="V46" i="29" s="1"/>
  <c r="W22" i="29"/>
  <c r="Q135" i="42"/>
  <c r="Q139" i="42" s="1"/>
  <c r="Q137" i="42"/>
  <c r="Q141" i="42" s="1"/>
  <c r="Q136" i="42"/>
  <c r="Q140" i="42" s="1"/>
  <c r="Q138" i="42"/>
  <c r="R214" i="20"/>
  <c r="R172" i="19" s="1"/>
  <c r="R216" i="20"/>
  <c r="R174" i="19" s="1"/>
  <c r="R213" i="20"/>
  <c r="R171" i="19" s="1"/>
  <c r="R212" i="20"/>
  <c r="R170" i="19" s="1"/>
  <c r="S135" i="12"/>
  <c r="R169" i="19"/>
  <c r="R215" i="20"/>
  <c r="M325" i="42"/>
  <c r="M326" i="42" s="1"/>
  <c r="R97" i="38"/>
  <c r="S108" i="36" s="1"/>
  <c r="AY108" i="36" s="1"/>
  <c r="R96" i="38"/>
  <c r="R100" i="38" s="1"/>
  <c r="R94" i="38"/>
  <c r="R98" i="38" s="1"/>
  <c r="R95" i="38"/>
  <c r="R99" i="38" s="1"/>
  <c r="U68" i="51"/>
  <c r="U50" i="51"/>
  <c r="AZ41" i="45"/>
  <c r="U332" i="42"/>
  <c r="F161" i="12"/>
  <c r="S70" i="51"/>
  <c r="AY66" i="51"/>
  <c r="AT97" i="45"/>
  <c r="N100" i="45"/>
  <c r="N113" i="45"/>
  <c r="R68" i="20"/>
  <c r="R67" i="20"/>
  <c r="R70" i="20"/>
  <c r="R69" i="20"/>
  <c r="I353" i="48"/>
  <c r="I354" i="48" s="1"/>
  <c r="S186" i="38"/>
  <c r="S185" i="38"/>
  <c r="P217" i="54"/>
  <c r="P221" i="54" s="1"/>
  <c r="P218" i="54"/>
  <c r="R162" i="54"/>
  <c r="S49" i="15"/>
  <c r="N187" i="28"/>
  <c r="N189" i="28" s="1"/>
  <c r="N188" i="28"/>
  <c r="M249" i="54"/>
  <c r="V25" i="53"/>
  <c r="V40" i="53" s="1"/>
  <c r="W19" i="53"/>
  <c r="R67" i="45"/>
  <c r="S207" i="28"/>
  <c r="S208" i="28"/>
  <c r="S156" i="28"/>
  <c r="W40" i="16"/>
  <c r="N100" i="46"/>
  <c r="N105" i="46" s="1"/>
  <c r="N101" i="46"/>
  <c r="N106" i="46" s="1"/>
  <c r="N103" i="46"/>
  <c r="N108" i="46" s="1"/>
  <c r="N102" i="46"/>
  <c r="N107" i="46" s="1"/>
  <c r="N104" i="46"/>
  <c r="O106" i="45" s="1"/>
  <c r="N99" i="48"/>
  <c r="S157" i="54"/>
  <c r="AR115" i="45"/>
  <c r="J300" i="20"/>
  <c r="J301" i="20" s="1"/>
  <c r="AR120" i="36"/>
  <c r="L122" i="36"/>
  <c r="L125" i="36"/>
  <c r="L325" i="46"/>
  <c r="L326" i="46"/>
  <c r="N71" i="19"/>
  <c r="O116" i="14" s="1"/>
  <c r="O116" i="12"/>
  <c r="K294" i="20"/>
  <c r="K295" i="20"/>
  <c r="T292" i="38"/>
  <c r="P253" i="20"/>
  <c r="P31" i="20"/>
  <c r="CC4" i="55"/>
  <c r="Q111" i="36"/>
  <c r="Q113" i="36"/>
  <c r="Q112" i="36"/>
  <c r="M80" i="48"/>
  <c r="M85" i="48" s="1"/>
  <c r="M82" i="48"/>
  <c r="M87" i="48" s="1"/>
  <c r="M83" i="48"/>
  <c r="M88" i="48" s="1"/>
  <c r="M81" i="48"/>
  <c r="M86" i="48" s="1"/>
  <c r="M84" i="48"/>
  <c r="S211" i="53"/>
  <c r="S212" i="53"/>
  <c r="S210" i="53"/>
  <c r="S209" i="53"/>
  <c r="AV70" i="45"/>
  <c r="P87" i="45"/>
  <c r="P73" i="45"/>
  <c r="N174" i="29"/>
  <c r="S205" i="54"/>
  <c r="Q29" i="20"/>
  <c r="Q42" i="20"/>
  <c r="Q84" i="20" s="1"/>
  <c r="T26" i="20"/>
  <c r="T44" i="20" s="1"/>
  <c r="U20" i="20"/>
  <c r="M151" i="12"/>
  <c r="V39" i="53"/>
  <c r="N33" i="19"/>
  <c r="N34" i="19"/>
  <c r="S65" i="16"/>
  <c r="X18" i="54"/>
  <c r="W24" i="54"/>
  <c r="U131" i="15"/>
  <c r="U129" i="15"/>
  <c r="Q70" i="45"/>
  <c r="N92" i="19"/>
  <c r="O145" i="14" s="1"/>
  <c r="O145" i="12"/>
  <c r="R263" i="48"/>
  <c r="R268" i="48" s="1"/>
  <c r="R262" i="48"/>
  <c r="R267" i="48" s="1"/>
  <c r="R261" i="48"/>
  <c r="R266" i="48" s="1"/>
  <c r="R265" i="48"/>
  <c r="R264" i="48"/>
  <c r="R269" i="48" s="1"/>
  <c r="Y18" i="16"/>
  <c r="Y19" i="16"/>
  <c r="Y16" i="16"/>
  <c r="Y15" i="16"/>
  <c r="Z14" i="16"/>
  <c r="Y32" i="16"/>
  <c r="S241" i="46"/>
  <c r="S243" i="46" s="1"/>
  <c r="T240" i="46"/>
  <c r="AU71" i="45"/>
  <c r="R63" i="42"/>
  <c r="R69" i="42"/>
  <c r="I329" i="48"/>
  <c r="I333" i="48" s="1"/>
  <c r="I330" i="48"/>
  <c r="Q80" i="36"/>
  <c r="Q83" i="36" s="1"/>
  <c r="AW78" i="36"/>
  <c r="Q115" i="36"/>
  <c r="Q116" i="36" s="1"/>
  <c r="AA24" i="15"/>
  <c r="AA23" i="15"/>
  <c r="AB22" i="15"/>
  <c r="Q24" i="19"/>
  <c r="R18" i="19"/>
  <c r="BV6" i="55"/>
  <c r="AV80" i="36"/>
  <c r="AV83" i="36" s="1"/>
  <c r="AV119" i="36" s="1"/>
  <c r="AV115" i="36"/>
  <c r="AV116" i="36" s="1"/>
  <c r="X18" i="28"/>
  <c r="W24" i="28"/>
  <c r="AY64" i="51"/>
  <c r="T31" i="54"/>
  <c r="T194" i="54"/>
  <c r="AT4" i="55"/>
  <c r="Z41" i="15"/>
  <c r="Q84" i="45"/>
  <c r="K296" i="20"/>
  <c r="R219" i="54"/>
  <c r="R231" i="54" s="1"/>
  <c r="R220" i="54"/>
  <c r="R298" i="38"/>
  <c r="R297" i="38"/>
  <c r="R136" i="38"/>
  <c r="R140" i="38" s="1"/>
  <c r="R138" i="38"/>
  <c r="S85" i="36" s="1"/>
  <c r="R137" i="38"/>
  <c r="R141" i="38" s="1"/>
  <c r="R135" i="38"/>
  <c r="R139" i="38" s="1"/>
  <c r="AS78" i="45"/>
  <c r="L345" i="46"/>
  <c r="L344" i="46"/>
  <c r="AX30" i="45"/>
  <c r="AW105" i="36"/>
  <c r="AW103" i="36"/>
  <c r="AW117" i="36" s="1"/>
  <c r="AW123" i="36" s="1"/>
  <c r="O132" i="12"/>
  <c r="N85" i="19"/>
  <c r="O132" i="14" s="1"/>
  <c r="N318" i="42"/>
  <c r="N319" i="42" s="1"/>
  <c r="N321" i="42" s="1"/>
  <c r="T61" i="28"/>
  <c r="T57" i="29" s="1"/>
  <c r="T60" i="28"/>
  <c r="T64" i="28"/>
  <c r="T63" i="28"/>
  <c r="U59" i="28"/>
  <c r="AM15" i="55"/>
  <c r="AM13" i="55"/>
  <c r="AM12" i="55"/>
  <c r="AM14" i="55"/>
  <c r="AM11" i="55"/>
  <c r="AM16" i="55"/>
  <c r="O109" i="12"/>
  <c r="N81" i="19"/>
  <c r="O109" i="14" s="1"/>
  <c r="S25" i="19"/>
  <c r="S43" i="19" s="1"/>
  <c r="S100" i="19" s="1"/>
  <c r="T19" i="19"/>
  <c r="O50" i="19"/>
  <c r="O218" i="20"/>
  <c r="N65" i="19"/>
  <c r="O96" i="14" s="1"/>
  <c r="O96" i="12"/>
  <c r="BB63" i="51"/>
  <c r="AW89" i="45"/>
  <c r="L253" i="54"/>
  <c r="R135" i="16"/>
  <c r="S33" i="45"/>
  <c r="Q216" i="53"/>
  <c r="Q215" i="53"/>
  <c r="P280" i="42"/>
  <c r="P281" i="42" s="1"/>
  <c r="Q247" i="42"/>
  <c r="Q234" i="53"/>
  <c r="R135" i="14"/>
  <c r="K337" i="42"/>
  <c r="K342" i="42"/>
  <c r="O282" i="42"/>
  <c r="O286" i="42"/>
  <c r="O283" i="42"/>
  <c r="O284" i="42"/>
  <c r="O285" i="42"/>
  <c r="O287" i="42"/>
  <c r="R137" i="20"/>
  <c r="R113" i="19" s="1"/>
  <c r="R136" i="20"/>
  <c r="R112" i="19" s="1"/>
  <c r="R138" i="20"/>
  <c r="R114" i="19" s="1"/>
  <c r="R135" i="20"/>
  <c r="R111" i="19" s="1"/>
  <c r="R134" i="20"/>
  <c r="R110" i="19" s="1"/>
  <c r="R109" i="19"/>
  <c r="S126" i="14" s="1"/>
  <c r="U40" i="28"/>
  <c r="V128" i="15"/>
  <c r="V60" i="15"/>
  <c r="AZ68" i="51"/>
  <c r="Q299" i="38"/>
  <c r="Q300" i="38"/>
  <c r="R184" i="42"/>
  <c r="R204" i="42"/>
  <c r="R188" i="42"/>
  <c r="R196" i="42"/>
  <c r="S59" i="16"/>
  <c r="AW108" i="45"/>
  <c r="R135" i="15"/>
  <c r="V25" i="54"/>
  <c r="V40" i="54" s="1"/>
  <c r="W19" i="54"/>
  <c r="L213" i="19"/>
  <c r="L214" i="19" s="1"/>
  <c r="M180" i="19"/>
  <c r="R104" i="38"/>
  <c r="R108" i="38" s="1"/>
  <c r="R102" i="38"/>
  <c r="R106" i="38" s="1"/>
  <c r="R103" i="38"/>
  <c r="R107" i="38" s="1"/>
  <c r="R105" i="38"/>
  <c r="S99" i="36" s="1"/>
  <c r="AY99" i="36" s="1"/>
  <c r="O227" i="12"/>
  <c r="R206" i="53"/>
  <c r="R207" i="53" s="1"/>
  <c r="R229" i="53"/>
  <c r="R230" i="53" s="1"/>
  <c r="M111" i="48"/>
  <c r="M116" i="48" s="1"/>
  <c r="M112" i="48"/>
  <c r="M117" i="48" s="1"/>
  <c r="M110" i="48"/>
  <c r="M115" i="48" s="1"/>
  <c r="M113" i="48"/>
  <c r="M118" i="48" s="1"/>
  <c r="M114" i="48"/>
  <c r="M274" i="48"/>
  <c r="T25" i="20"/>
  <c r="T43" i="20" s="1"/>
  <c r="U19" i="20"/>
  <c r="V26" i="53"/>
  <c r="V41" i="53" s="1"/>
  <c r="V147" i="53" s="1"/>
  <c r="V148" i="53" s="1"/>
  <c r="W60" i="51" s="1"/>
  <c r="W20" i="53"/>
  <c r="S130" i="38"/>
  <c r="S142" i="38" s="1"/>
  <c r="S132" i="38"/>
  <c r="S158" i="38" s="1"/>
  <c r="S131" i="38"/>
  <c r="S150" i="38" s="1"/>
  <c r="S49" i="16"/>
  <c r="AW77" i="45"/>
  <c r="N320" i="38"/>
  <c r="AZ58" i="51"/>
  <c r="K325" i="48"/>
  <c r="K326" i="48"/>
  <c r="H164" i="14"/>
  <c r="G276" i="19"/>
  <c r="H165" i="14" s="1"/>
  <c r="V40" i="45"/>
  <c r="V39" i="45"/>
  <c r="BB38" i="45"/>
  <c r="W38" i="45"/>
  <c r="U44" i="38"/>
  <c r="U288" i="38" s="1"/>
  <c r="X11" i="15"/>
  <c r="M72" i="15"/>
  <c r="L211" i="28"/>
  <c r="M73" i="15" s="1"/>
  <c r="Q140" i="16"/>
  <c r="N112" i="46"/>
  <c r="N117" i="46" s="1"/>
  <c r="N113" i="46"/>
  <c r="N118" i="46" s="1"/>
  <c r="N110" i="46"/>
  <c r="N115" i="46" s="1"/>
  <c r="N114" i="46"/>
  <c r="O97" i="45" s="1"/>
  <c r="N109" i="48"/>
  <c r="N111" i="46"/>
  <c r="N116" i="46" s="1"/>
  <c r="N274" i="46"/>
  <c r="P220" i="20"/>
  <c r="S139" i="20"/>
  <c r="T94" i="12"/>
  <c r="S63" i="53"/>
  <c r="S159" i="53" s="1"/>
  <c r="S69" i="53"/>
  <c r="S70" i="53" s="1"/>
  <c r="T49" i="51" s="1"/>
  <c r="P127" i="12"/>
  <c r="N73" i="19"/>
  <c r="O120" i="14" s="1"/>
  <c r="O120" i="12"/>
  <c r="BA56" i="51"/>
  <c r="W27" i="42"/>
  <c r="W42" i="42" s="1"/>
  <c r="X21" i="42"/>
  <c r="P72" i="45"/>
  <c r="P86" i="45"/>
  <c r="X33" i="15"/>
  <c r="X34" i="15"/>
  <c r="V28" i="46"/>
  <c r="W22" i="46"/>
  <c r="S155" i="19"/>
  <c r="S154" i="19" s="1"/>
  <c r="M272" i="20"/>
  <c r="M273" i="20"/>
  <c r="M101" i="48"/>
  <c r="M106" i="48" s="1"/>
  <c r="M102" i="48"/>
  <c r="M107" i="48" s="1"/>
  <c r="M103" i="48"/>
  <c r="M108" i="48" s="1"/>
  <c r="M104" i="48"/>
  <c r="M100" i="48"/>
  <c r="M105" i="48" s="1"/>
  <c r="T131" i="15"/>
  <c r="T129" i="15"/>
  <c r="AS118" i="45"/>
  <c r="O196" i="53"/>
  <c r="O197" i="53" s="1"/>
  <c r="P163" i="53"/>
  <c r="V136" i="54"/>
  <c r="V137" i="54" s="1"/>
  <c r="V138" i="54"/>
  <c r="V139" i="54" s="1"/>
  <c r="V134" i="54"/>
  <c r="V135" i="54" s="1"/>
  <c r="O86" i="20"/>
  <c r="O78" i="19" s="1"/>
  <c r="P104" i="12"/>
  <c r="O87" i="20"/>
  <c r="O85" i="20"/>
  <c r="O88" i="20"/>
  <c r="O76" i="19"/>
  <c r="P104" i="14" s="1"/>
  <c r="O89" i="20"/>
  <c r="V39" i="54"/>
  <c r="N91" i="19"/>
  <c r="O144" i="14" s="1"/>
  <c r="O144" i="12"/>
  <c r="R247" i="46"/>
  <c r="R252" i="46" s="1"/>
  <c r="R246" i="46"/>
  <c r="R251" i="46" s="1"/>
  <c r="R244" i="46"/>
  <c r="R249" i="46" s="1"/>
  <c r="R248" i="46"/>
  <c r="S96" i="45" s="1"/>
  <c r="R245" i="46"/>
  <c r="R250" i="46" s="1"/>
  <c r="R243" i="48"/>
  <c r="N226" i="14"/>
  <c r="N225" i="14" a="1"/>
  <c r="N225" i="14" s="1"/>
  <c r="N148" i="14"/>
  <c r="R79" i="42"/>
  <c r="R83" i="42" s="1"/>
  <c r="R78" i="42"/>
  <c r="R82" i="42" s="1"/>
  <c r="R81" i="42"/>
  <c r="R80" i="42"/>
  <c r="R84" i="42" s="1"/>
  <c r="S28" i="19"/>
  <c r="S46" i="19" s="1"/>
  <c r="S167" i="19" s="1"/>
  <c r="S166" i="19" s="1"/>
  <c r="T22" i="19"/>
  <c r="Z25" i="15"/>
  <c r="P29" i="19"/>
  <c r="P42" i="19"/>
  <c r="AS100" i="45"/>
  <c r="AS113" i="45"/>
  <c r="AV87" i="45"/>
  <c r="AQ126" i="36"/>
  <c r="J343" i="42"/>
  <c r="AQ127" i="36" s="1"/>
  <c r="R214" i="53"/>
  <c r="R213" i="53"/>
  <c r="V25" i="28"/>
  <c r="V43" i="28" s="1"/>
  <c r="W19" i="28"/>
  <c r="U36" i="28"/>
  <c r="U42" i="28" s="1"/>
  <c r="V123" i="15"/>
  <c r="V43" i="15"/>
  <c r="Q245" i="48"/>
  <c r="Q250" i="48" s="1"/>
  <c r="Q244" i="48"/>
  <c r="Q249" i="48" s="1"/>
  <c r="Q246" i="48"/>
  <c r="Q251" i="48" s="1"/>
  <c r="Q247" i="48"/>
  <c r="Q252" i="48" s="1"/>
  <c r="Q248" i="48"/>
  <c r="H14" i="55"/>
  <c r="H15" i="55"/>
  <c r="H13" i="55"/>
  <c r="H16" i="55"/>
  <c r="H12" i="55"/>
  <c r="H11" i="55"/>
  <c r="K276" i="20"/>
  <c r="K280" i="20" s="1"/>
  <c r="K277" i="20"/>
  <c r="S201" i="46"/>
  <c r="S138" i="46"/>
  <c r="S137" i="46"/>
  <c r="T136" i="46"/>
  <c r="S200" i="46"/>
  <c r="S296" i="38"/>
  <c r="S294" i="38"/>
  <c r="S293" i="38"/>
  <c r="S295" i="38"/>
  <c r="I310" i="20"/>
  <c r="J156" i="12" s="1"/>
  <c r="I308" i="20"/>
  <c r="M114" i="45"/>
  <c r="V122" i="16"/>
  <c r="V132" i="16" s="1"/>
  <c r="L334" i="46"/>
  <c r="L335" i="46"/>
  <c r="L338" i="46"/>
  <c r="L336" i="46"/>
  <c r="L337" i="46"/>
  <c r="L339" i="46"/>
  <c r="S143" i="29"/>
  <c r="S146" i="29"/>
  <c r="N83" i="19"/>
  <c r="O128" i="14" s="1"/>
  <c r="O128" i="12"/>
  <c r="AA7" i="16"/>
  <c r="AB6" i="16"/>
  <c r="S62" i="28"/>
  <c r="T44" i="15"/>
  <c r="S56" i="29"/>
  <c r="T44" i="16" s="1"/>
  <c r="AL123" i="45"/>
  <c r="AL124" i="45"/>
  <c r="AL121" i="45"/>
  <c r="O167" i="28"/>
  <c r="O168" i="28"/>
  <c r="AY21" i="45"/>
  <c r="M148" i="14"/>
  <c r="AQ122" i="36"/>
  <c r="AQ125" i="36"/>
  <c r="O52" i="19"/>
  <c r="O49" i="19" s="1"/>
  <c r="O177" i="19" s="1"/>
  <c r="S217" i="42"/>
  <c r="S219" i="42" s="1"/>
  <c r="T216" i="42"/>
  <c r="N69" i="19"/>
  <c r="O99" i="14" s="1"/>
  <c r="O99" i="12"/>
  <c r="U135" i="53"/>
  <c r="V56" i="51"/>
  <c r="AX70" i="51"/>
  <c r="AS76" i="51"/>
  <c r="Y11" i="16"/>
  <c r="AW59" i="45" l="1"/>
  <c r="AW58" i="45"/>
  <c r="P37" i="48"/>
  <c r="U43" i="48" s="1"/>
  <c r="AW60" i="45"/>
  <c r="Q133" i="14"/>
  <c r="M211" i="28"/>
  <c r="N73" i="15" s="1"/>
  <c r="V24" i="38"/>
  <c r="W18" i="38"/>
  <c r="L348" i="46"/>
  <c r="V80" i="29"/>
  <c r="V79" i="29" s="1"/>
  <c r="V24" i="42"/>
  <c r="V39" i="42" s="1"/>
  <c r="W18" i="42"/>
  <c r="V41" i="45"/>
  <c r="U35" i="46" s="1"/>
  <c r="T202" i="48"/>
  <c r="S57" i="45"/>
  <c r="N271" i="48"/>
  <c r="Q119" i="36"/>
  <c r="O186" i="28"/>
  <c r="O187" i="28" s="1"/>
  <c r="O189" i="28" s="1"/>
  <c r="AU4" i="55"/>
  <c r="H6" i="55"/>
  <c r="P4" i="55"/>
  <c r="V29" i="48"/>
  <c r="T35" i="46"/>
  <c r="N233" i="14"/>
  <c r="N234" i="14" s="1"/>
  <c r="U44" i="45"/>
  <c r="N232" i="14"/>
  <c r="U42" i="45"/>
  <c r="T63" i="46"/>
  <c r="U95" i="45"/>
  <c r="AU112" i="45"/>
  <c r="S162" i="54"/>
  <c r="S206" i="54" s="1"/>
  <c r="S207" i="54" s="1"/>
  <c r="BW6" i="55"/>
  <c r="M232" i="14"/>
  <c r="AX112" i="36"/>
  <c r="AX111" i="36"/>
  <c r="S130" i="19"/>
  <c r="S67" i="45"/>
  <c r="K345" i="48"/>
  <c r="K346" i="48" s="1"/>
  <c r="K347" i="48" s="1"/>
  <c r="S132" i="19"/>
  <c r="S131" i="19"/>
  <c r="O271" i="46"/>
  <c r="AX67" i="45"/>
  <c r="S133" i="19"/>
  <c r="Q96" i="20"/>
  <c r="Q98" i="20" s="1"/>
  <c r="AU111" i="45"/>
  <c r="M233" i="14"/>
  <c r="M234" i="14" s="1"/>
  <c r="O152" i="14"/>
  <c r="I119" i="45"/>
  <c r="AN122" i="45"/>
  <c r="P77" i="51"/>
  <c r="O259" i="53"/>
  <c r="P78" i="51" s="1"/>
  <c r="Q128" i="36"/>
  <c r="O325" i="38"/>
  <c r="S58" i="29"/>
  <c r="S213" i="28"/>
  <c r="S114" i="28"/>
  <c r="T137" i="46"/>
  <c r="T201" i="46"/>
  <c r="T138" i="46"/>
  <c r="U136" i="46"/>
  <c r="T200" i="46"/>
  <c r="V63" i="29"/>
  <c r="V62" i="29" s="1"/>
  <c r="V64" i="29"/>
  <c r="V65" i="29"/>
  <c r="V67" i="29"/>
  <c r="V68" i="29"/>
  <c r="V66" i="29"/>
  <c r="V29" i="28"/>
  <c r="P47" i="19"/>
  <c r="P59" i="19"/>
  <c r="P60" i="19"/>
  <c r="P61" i="19"/>
  <c r="P62" i="19"/>
  <c r="O77" i="19"/>
  <c r="P106" i="14" s="1"/>
  <c r="P106" i="12"/>
  <c r="Q231" i="14"/>
  <c r="X27" i="42"/>
  <c r="X42" i="42" s="1"/>
  <c r="Y21" i="42"/>
  <c r="O118" i="12"/>
  <c r="AU102" i="45"/>
  <c r="O102" i="45"/>
  <c r="AU101" i="45"/>
  <c r="O101" i="45"/>
  <c r="O103" i="45"/>
  <c r="AU103" i="45"/>
  <c r="U292" i="38"/>
  <c r="W26" i="53"/>
  <c r="W41" i="53" s="1"/>
  <c r="W147" i="53" s="1"/>
  <c r="W148" i="53" s="1"/>
  <c r="X60" i="51" s="1"/>
  <c r="X20" i="53"/>
  <c r="P286" i="42"/>
  <c r="P283" i="42"/>
  <c r="P287" i="42"/>
  <c r="P285" i="42"/>
  <c r="P284" i="42"/>
  <c r="P282" i="42"/>
  <c r="O149" i="12"/>
  <c r="T60" i="29"/>
  <c r="U56" i="16" s="1"/>
  <c r="U56" i="15"/>
  <c r="W39" i="54"/>
  <c r="V29" i="53"/>
  <c r="W28" i="29"/>
  <c r="W46" i="29" s="1"/>
  <c r="X22" i="29"/>
  <c r="U306" i="46"/>
  <c r="U31" i="46"/>
  <c r="O69" i="19"/>
  <c r="P99" i="14" s="1"/>
  <c r="P99" i="12"/>
  <c r="AZ105" i="45"/>
  <c r="Z124" i="16"/>
  <c r="Y38" i="29"/>
  <c r="Z54" i="16"/>
  <c r="S219" i="54"/>
  <c r="S231" i="54" s="1"/>
  <c r="S220" i="54"/>
  <c r="P77" i="20"/>
  <c r="P76" i="20"/>
  <c r="P64" i="19"/>
  <c r="P73" i="20"/>
  <c r="P74" i="20"/>
  <c r="P66" i="19" s="1"/>
  <c r="P75" i="20"/>
  <c r="P55" i="19"/>
  <c r="V68" i="51"/>
  <c r="V50" i="51"/>
  <c r="Q222" i="54"/>
  <c r="Q225" i="54"/>
  <c r="Q226" i="54"/>
  <c r="Q223" i="54"/>
  <c r="Q227" i="54"/>
  <c r="Q224" i="54"/>
  <c r="S206" i="38"/>
  <c r="S210" i="38" s="1"/>
  <c r="S207" i="38"/>
  <c r="S211" i="38" s="1"/>
  <c r="S205" i="38"/>
  <c r="S209" i="38" s="1"/>
  <c r="S208" i="38"/>
  <c r="M334" i="46"/>
  <c r="M337" i="46"/>
  <c r="M338" i="46"/>
  <c r="M335" i="46"/>
  <c r="M336" i="46"/>
  <c r="M339" i="46"/>
  <c r="U208" i="20"/>
  <c r="T209" i="20"/>
  <c r="T211" i="20" s="1"/>
  <c r="W25" i="42"/>
  <c r="W40" i="42" s="1"/>
  <c r="X19" i="42"/>
  <c r="O108" i="14"/>
  <c r="R103" i="36"/>
  <c r="R117" i="36" s="1"/>
  <c r="R123" i="36" s="1"/>
  <c r="R105" i="36"/>
  <c r="V257" i="46"/>
  <c r="U258" i="46"/>
  <c r="U260" i="46" s="1"/>
  <c r="AT109" i="45"/>
  <c r="P131" i="12"/>
  <c r="O84" i="19"/>
  <c r="P131" i="14" s="1"/>
  <c r="P127" i="14" s="1"/>
  <c r="P150" i="28"/>
  <c r="P151" i="28"/>
  <c r="P155" i="28"/>
  <c r="P154" i="28"/>
  <c r="P152" i="28"/>
  <c r="P153" i="28"/>
  <c r="N70" i="48"/>
  <c r="N75" i="48" s="1"/>
  <c r="N72" i="48"/>
  <c r="N77" i="48" s="1"/>
  <c r="N71" i="48"/>
  <c r="N76" i="48" s="1"/>
  <c r="N73" i="48"/>
  <c r="N78" i="48" s="1"/>
  <c r="N74" i="48"/>
  <c r="T185" i="38"/>
  <c r="T186" i="38"/>
  <c r="W26" i="29"/>
  <c r="W44" i="29" s="1"/>
  <c r="X20" i="29"/>
  <c r="Q146" i="12"/>
  <c r="Q115" i="12"/>
  <c r="AX83" i="45"/>
  <c r="AY110" i="36"/>
  <c r="T66" i="15"/>
  <c r="Q168" i="48"/>
  <c r="Q173" i="48" s="1"/>
  <c r="Q167" i="48"/>
  <c r="Q172" i="48" s="1"/>
  <c r="Q165" i="48"/>
  <c r="Q170" i="48" s="1"/>
  <c r="Q169" i="48"/>
  <c r="Q166" i="48"/>
  <c r="Q171" i="48" s="1"/>
  <c r="R145" i="42"/>
  <c r="R149" i="42" s="1"/>
  <c r="R143" i="42"/>
  <c r="R147" i="42" s="1"/>
  <c r="R146" i="42"/>
  <c r="R144" i="42"/>
  <c r="R148" i="42" s="1"/>
  <c r="U55" i="15"/>
  <c r="T82" i="29"/>
  <c r="U55" i="16" s="1"/>
  <c r="S87" i="38"/>
  <c r="S91" i="38" s="1"/>
  <c r="S88" i="38"/>
  <c r="S92" i="38" s="1"/>
  <c r="S89" i="38"/>
  <c r="S86" i="38"/>
  <c r="S90" i="38" s="1"/>
  <c r="BC69" i="51"/>
  <c r="Z9" i="16"/>
  <c r="V40" i="29"/>
  <c r="W128" i="16"/>
  <c r="W60" i="16"/>
  <c r="S87" i="42"/>
  <c r="S91" i="42" s="1"/>
  <c r="S86" i="42"/>
  <c r="S90" i="42" s="1"/>
  <c r="S88" i="42"/>
  <c r="S92" i="42" s="1"/>
  <c r="S89" i="42"/>
  <c r="P85" i="19"/>
  <c r="Q132" i="14" s="1"/>
  <c r="Q132" i="12"/>
  <c r="S132" i="42"/>
  <c r="S158" i="42" s="1"/>
  <c r="S131" i="42"/>
  <c r="S150" i="42" s="1"/>
  <c r="S130" i="42"/>
  <c r="S142" i="42" s="1"/>
  <c r="T203" i="48"/>
  <c r="T204" i="48"/>
  <c r="S178" i="20"/>
  <c r="S140" i="19" s="1"/>
  <c r="S174" i="20"/>
  <c r="S136" i="19" s="1"/>
  <c r="S175" i="20"/>
  <c r="S137" i="19" s="1"/>
  <c r="S135" i="19"/>
  <c r="T113" i="14" s="1"/>
  <c r="S176" i="20"/>
  <c r="T113" i="12"/>
  <c r="S177" i="20"/>
  <c r="S139" i="19" s="1"/>
  <c r="K329" i="46"/>
  <c r="K333" i="46" s="1"/>
  <c r="K330" i="46"/>
  <c r="O148" i="12"/>
  <c r="W43" i="15"/>
  <c r="V36" i="28"/>
  <c r="V42" i="28" s="1"/>
  <c r="W123" i="15"/>
  <c r="O74" i="19"/>
  <c r="P121" i="14" s="1"/>
  <c r="P121" i="12"/>
  <c r="R155" i="46"/>
  <c r="R160" i="46" s="1"/>
  <c r="R158" i="46"/>
  <c r="R163" i="46" s="1"/>
  <c r="R157" i="46"/>
  <c r="R162" i="46" s="1"/>
  <c r="R154" i="48"/>
  <c r="R156" i="46"/>
  <c r="R161" i="46" s="1"/>
  <c r="R159" i="46"/>
  <c r="S98" i="45" s="1"/>
  <c r="N118" i="45"/>
  <c r="T71" i="29"/>
  <c r="U48" i="16" s="1"/>
  <c r="U48" i="15"/>
  <c r="U292" i="42"/>
  <c r="T65" i="16"/>
  <c r="P136" i="14"/>
  <c r="O179" i="19"/>
  <c r="O107" i="12"/>
  <c r="P241" i="54"/>
  <c r="P242" i="54" s="1"/>
  <c r="O129" i="14"/>
  <c r="R208" i="46"/>
  <c r="R213" i="46" s="1"/>
  <c r="R210" i="46"/>
  <c r="R215" i="46" s="1"/>
  <c r="R209" i="46"/>
  <c r="R214" i="46" s="1"/>
  <c r="R206" i="48"/>
  <c r="R211" i="46"/>
  <c r="S89" i="45" s="1"/>
  <c r="R207" i="46"/>
  <c r="R212" i="46" s="1"/>
  <c r="J330" i="48"/>
  <c r="J329" i="48"/>
  <c r="J333" i="48" s="1"/>
  <c r="X27" i="54"/>
  <c r="X42" i="54" s="1"/>
  <c r="Y21" i="54"/>
  <c r="T133" i="20"/>
  <c r="L71" i="16"/>
  <c r="H363" i="46"/>
  <c r="I120" i="45" s="1"/>
  <c r="S98" i="19"/>
  <c r="AU76" i="51"/>
  <c r="M71" i="16"/>
  <c r="BB56" i="51"/>
  <c r="S139" i="46"/>
  <c r="S144" i="46"/>
  <c r="P31" i="19"/>
  <c r="P211" i="19"/>
  <c r="O142" i="12"/>
  <c r="O79" i="19"/>
  <c r="P110" i="14" s="1"/>
  <c r="P110" i="12"/>
  <c r="P196" i="53"/>
  <c r="P197" i="53" s="1"/>
  <c r="Q163" i="53"/>
  <c r="O118" i="14"/>
  <c r="W40" i="45"/>
  <c r="W39" i="45"/>
  <c r="X38" i="45"/>
  <c r="BC38" i="45"/>
  <c r="BC60" i="51"/>
  <c r="W25" i="54"/>
  <c r="W40" i="54" s="1"/>
  <c r="X19" i="54"/>
  <c r="R197" i="42"/>
  <c r="R201" i="42" s="1"/>
  <c r="R198" i="42"/>
  <c r="R202" i="42" s="1"/>
  <c r="R199" i="42"/>
  <c r="R203" i="42" s="1"/>
  <c r="R200" i="42"/>
  <c r="AR126" i="36"/>
  <c r="K343" i="42"/>
  <c r="AR127" i="36" s="1"/>
  <c r="Q217" i="53"/>
  <c r="Q221" i="53" s="1"/>
  <c r="Q218" i="53"/>
  <c r="O149" i="14"/>
  <c r="AM20" i="55"/>
  <c r="AM19" i="55"/>
  <c r="T56" i="29"/>
  <c r="U44" i="16" s="1"/>
  <c r="T62" i="28"/>
  <c r="U44" i="15"/>
  <c r="T241" i="46"/>
  <c r="T243" i="46" s="1"/>
  <c r="U240" i="46"/>
  <c r="X24" i="54"/>
  <c r="Y18" i="54"/>
  <c r="Q221" i="20"/>
  <c r="Q47" i="20"/>
  <c r="Q218" i="20" s="1"/>
  <c r="R93" i="12"/>
  <c r="Q72" i="20"/>
  <c r="K300" i="20"/>
  <c r="K301" i="20" s="1"/>
  <c r="J310" i="20"/>
  <c r="K156" i="12" s="1"/>
  <c r="J308" i="20"/>
  <c r="W25" i="53"/>
  <c r="W40" i="53" s="1"/>
  <c r="X19" i="53"/>
  <c r="S136" i="15"/>
  <c r="V332" i="42"/>
  <c r="O227" i="14"/>
  <c r="AX105" i="36"/>
  <c r="AX103" i="36"/>
  <c r="AX117" i="36" s="1"/>
  <c r="AX123" i="36" s="1"/>
  <c r="AA9" i="15"/>
  <c r="AA10" i="15" s="1"/>
  <c r="S24" i="20"/>
  <c r="T18" i="20"/>
  <c r="AT91" i="45"/>
  <c r="AT114" i="45" s="1"/>
  <c r="Q95" i="12"/>
  <c r="Q147" i="12"/>
  <c r="BB62" i="51"/>
  <c r="L276" i="20"/>
  <c r="L280" i="20" s="1"/>
  <c r="L277" i="20"/>
  <c r="U66" i="54"/>
  <c r="U73" i="54" s="1"/>
  <c r="U74" i="54" s="1"/>
  <c r="U65" i="54"/>
  <c r="U75" i="54" s="1"/>
  <c r="U76" i="54" s="1"/>
  <c r="U64" i="54"/>
  <c r="U71" i="54" s="1"/>
  <c r="U72" i="54" s="1"/>
  <c r="U62" i="54"/>
  <c r="U67" i="54"/>
  <c r="U77" i="54" s="1"/>
  <c r="U78" i="54" s="1"/>
  <c r="U61" i="54"/>
  <c r="V60" i="54"/>
  <c r="T263" i="46"/>
  <c r="T268" i="46" s="1"/>
  <c r="T261" i="46"/>
  <c r="T266" i="46" s="1"/>
  <c r="T265" i="46"/>
  <c r="U105" i="45" s="1"/>
  <c r="T262" i="46"/>
  <c r="T267" i="46" s="1"/>
  <c r="T264" i="46"/>
  <c r="T269" i="46" s="1"/>
  <c r="T260" i="48"/>
  <c r="M115" i="45"/>
  <c r="U61" i="53"/>
  <c r="U64" i="53"/>
  <c r="U71" i="53" s="1"/>
  <c r="U72" i="53" s="1"/>
  <c r="V57" i="51" s="1"/>
  <c r="U62" i="53"/>
  <c r="U67" i="53"/>
  <c r="U77" i="53" s="1"/>
  <c r="U78" i="53" s="1"/>
  <c r="V61" i="51" s="1"/>
  <c r="U65" i="53"/>
  <c r="U75" i="53" s="1"/>
  <c r="U66" i="53"/>
  <c r="U73" i="53" s="1"/>
  <c r="U74" i="53" s="1"/>
  <c r="V60" i="53"/>
  <c r="R87" i="45"/>
  <c r="AY102" i="36"/>
  <c r="Q140" i="12"/>
  <c r="P89" i="19"/>
  <c r="Q140" i="14" s="1"/>
  <c r="N150" i="14"/>
  <c r="W26" i="38"/>
  <c r="W41" i="38" s="1"/>
  <c r="X20" i="38"/>
  <c r="N120" i="36"/>
  <c r="M342" i="38"/>
  <c r="M337" i="38"/>
  <c r="AZ107" i="36"/>
  <c r="P171" i="29"/>
  <c r="P174" i="29" s="1"/>
  <c r="P170" i="29"/>
  <c r="R151" i="42"/>
  <c r="R155" i="42" s="1"/>
  <c r="R153" i="42"/>
  <c r="R157" i="42" s="1"/>
  <c r="R154" i="42"/>
  <c r="R152" i="42"/>
  <c r="R156" i="42" s="1"/>
  <c r="AL20" i="55"/>
  <c r="AL19" i="55"/>
  <c r="V135" i="53"/>
  <c r="W56" i="51"/>
  <c r="P317" i="42"/>
  <c r="P316" i="42"/>
  <c r="AT78" i="45"/>
  <c r="U232" i="38"/>
  <c r="U234" i="38" s="1"/>
  <c r="V231" i="38"/>
  <c r="V61" i="16"/>
  <c r="U84" i="29"/>
  <c r="Q131" i="12"/>
  <c r="P84" i="19"/>
  <c r="Q131" i="14" s="1"/>
  <c r="Q127" i="14" s="1"/>
  <c r="S129" i="42"/>
  <c r="S134" i="42"/>
  <c r="T142" i="48"/>
  <c r="T140" i="48"/>
  <c r="T141" i="48"/>
  <c r="S190" i="20"/>
  <c r="S152" i="19" s="1"/>
  <c r="S189" i="20"/>
  <c r="S151" i="19" s="1"/>
  <c r="T137" i="12"/>
  <c r="S188" i="20"/>
  <c r="S150" i="19" s="1"/>
  <c r="S187" i="20"/>
  <c r="S149" i="19" s="1"/>
  <c r="S186" i="20"/>
  <c r="S148" i="19" s="1"/>
  <c r="S147" i="19"/>
  <c r="T137" i="14" s="1"/>
  <c r="Q280" i="38"/>
  <c r="Q281" i="38" s="1"/>
  <c r="R247" i="38"/>
  <c r="Q290" i="42"/>
  <c r="Q291" i="42" s="1"/>
  <c r="Q313" i="42"/>
  <c r="Q314" i="42" s="1"/>
  <c r="P116" i="12"/>
  <c r="O71" i="19"/>
  <c r="P116" i="14" s="1"/>
  <c r="R177" i="46"/>
  <c r="R182" i="46" s="1"/>
  <c r="R175" i="46"/>
  <c r="R180" i="46" s="1"/>
  <c r="R176" i="46"/>
  <c r="R181" i="46" s="1"/>
  <c r="R179" i="46"/>
  <c r="S107" i="45" s="1"/>
  <c r="R178" i="46"/>
  <c r="R183" i="46" s="1"/>
  <c r="R174" i="48"/>
  <c r="M236" i="19"/>
  <c r="M248" i="19" s="1"/>
  <c r="M249" i="19" s="1"/>
  <c r="M237" i="19"/>
  <c r="BA69" i="45"/>
  <c r="U208" i="53"/>
  <c r="T73" i="29"/>
  <c r="U58" i="16" s="1"/>
  <c r="U58" i="15"/>
  <c r="Q241" i="53"/>
  <c r="Q242" i="53" s="1"/>
  <c r="R71" i="38"/>
  <c r="R75" i="38" s="1"/>
  <c r="R70" i="38"/>
  <c r="R74" i="38" s="1"/>
  <c r="R73" i="38"/>
  <c r="S78" i="36" s="1"/>
  <c r="R72" i="38"/>
  <c r="R76" i="38" s="1"/>
  <c r="AX73" i="51"/>
  <c r="O92" i="19"/>
  <c r="P145" i="14" s="1"/>
  <c r="P145" i="12"/>
  <c r="O80" i="46"/>
  <c r="O85" i="46" s="1"/>
  <c r="O82" i="46"/>
  <c r="O87" i="46" s="1"/>
  <c r="O79" i="48"/>
  <c r="O83" i="46"/>
  <c r="O88" i="46" s="1"/>
  <c r="O81" i="46"/>
  <c r="O86" i="46" s="1"/>
  <c r="O84" i="46"/>
  <c r="P90" i="45" s="1"/>
  <c r="R228" i="46"/>
  <c r="R233" i="46" s="1"/>
  <c r="R227" i="46"/>
  <c r="R232" i="46" s="1"/>
  <c r="R230" i="46"/>
  <c r="R235" i="46" s="1"/>
  <c r="R226" i="48"/>
  <c r="R231" i="46"/>
  <c r="S108" i="45" s="1"/>
  <c r="R229" i="46"/>
  <c r="R234" i="46" s="1"/>
  <c r="H159" i="12"/>
  <c r="H161" i="12" s="1"/>
  <c r="W134" i="54"/>
  <c r="W135" i="54" s="1"/>
  <c r="W138" i="54"/>
  <c r="W139" i="54" s="1"/>
  <c r="W136" i="54"/>
  <c r="W137" i="54" s="1"/>
  <c r="Y17" i="15"/>
  <c r="V20" i="45"/>
  <c r="V19" i="45"/>
  <c r="O229" i="14"/>
  <c r="X27" i="46"/>
  <c r="X42" i="46" s="1"/>
  <c r="Y21" i="46"/>
  <c r="S298" i="42"/>
  <c r="S297" i="42"/>
  <c r="S96" i="19"/>
  <c r="S95" i="19" s="1"/>
  <c r="J155" i="12"/>
  <c r="I312" i="20"/>
  <c r="I317" i="20"/>
  <c r="Y38" i="28"/>
  <c r="Z124" i="15"/>
  <c r="Z54" i="15"/>
  <c r="O142" i="14"/>
  <c r="P105" i="12"/>
  <c r="O202" i="53"/>
  <c r="O199" i="53"/>
  <c r="O203" i="53"/>
  <c r="O200" i="53"/>
  <c r="O201" i="53"/>
  <c r="O198" i="53"/>
  <c r="P227" i="12"/>
  <c r="S142" i="20"/>
  <c r="S118" i="19" s="1"/>
  <c r="S140" i="20"/>
  <c r="S116" i="19" s="1"/>
  <c r="S143" i="20"/>
  <c r="S119" i="19" s="1"/>
  <c r="S144" i="20"/>
  <c r="S120" i="19" s="1"/>
  <c r="S141" i="20"/>
  <c r="S117" i="19" s="1"/>
  <c r="S115" i="19"/>
  <c r="T94" i="14" s="1"/>
  <c r="K327" i="48"/>
  <c r="K328" i="48"/>
  <c r="S136" i="16"/>
  <c r="U25" i="20"/>
  <c r="U43" i="20" s="1"/>
  <c r="V19" i="20"/>
  <c r="R233" i="53"/>
  <c r="R234" i="53" s="1"/>
  <c r="R232" i="53"/>
  <c r="V110" i="54"/>
  <c r="V111" i="54" s="1"/>
  <c r="V106" i="54"/>
  <c r="V107" i="54" s="1"/>
  <c r="V104" i="54"/>
  <c r="V105" i="54" s="1"/>
  <c r="V108" i="54"/>
  <c r="V109" i="54" s="1"/>
  <c r="R190" i="42"/>
  <c r="R194" i="42" s="1"/>
  <c r="R191" i="42"/>
  <c r="R195" i="42" s="1"/>
  <c r="R192" i="42"/>
  <c r="R189" i="42"/>
  <c r="R193" i="42" s="1"/>
  <c r="Q85" i="20"/>
  <c r="R104" i="12"/>
  <c r="Q86" i="20"/>
  <c r="Q78" i="19" s="1"/>
  <c r="Q87" i="20"/>
  <c r="Q89" i="20"/>
  <c r="Q76" i="19"/>
  <c r="R104" i="14" s="1"/>
  <c r="Q88" i="20"/>
  <c r="AX34" i="45"/>
  <c r="S18" i="19"/>
  <c r="R24" i="19"/>
  <c r="AW80" i="36"/>
  <c r="AW83" i="36" s="1"/>
  <c r="AW119" i="36" s="1"/>
  <c r="AW115" i="36"/>
  <c r="AW116" i="36" s="1"/>
  <c r="S245" i="46"/>
  <c r="S250" i="46" s="1"/>
  <c r="S244" i="46"/>
  <c r="S249" i="46" s="1"/>
  <c r="S243" i="48"/>
  <c r="S246" i="46"/>
  <c r="S251" i="46" s="1"/>
  <c r="S248" i="46"/>
  <c r="T96" i="45" s="1"/>
  <c r="S247" i="46"/>
  <c r="S252" i="46" s="1"/>
  <c r="Y20" i="16"/>
  <c r="O141" i="12"/>
  <c r="S139" i="16"/>
  <c r="CD4" i="55"/>
  <c r="Q31" i="20"/>
  <c r="Q253" i="20"/>
  <c r="N103" i="48"/>
  <c r="N108" i="48" s="1"/>
  <c r="N102" i="48"/>
  <c r="N107" i="48" s="1"/>
  <c r="N101" i="48"/>
  <c r="N106" i="48" s="1"/>
  <c r="N104" i="48"/>
  <c r="N100" i="48"/>
  <c r="N105" i="48" s="1"/>
  <c r="W122" i="16"/>
  <c r="W132" i="16" s="1"/>
  <c r="V110" i="53"/>
  <c r="V111" i="53" s="1"/>
  <c r="V108" i="53"/>
  <c r="V109" i="53" s="1"/>
  <c r="V106" i="53"/>
  <c r="V107" i="53" s="1"/>
  <c r="W62" i="51" s="1"/>
  <c r="V104" i="53"/>
  <c r="V105" i="53" s="1"/>
  <c r="W53" i="51" s="1"/>
  <c r="I363" i="48"/>
  <c r="AP120" i="45" s="1"/>
  <c r="I361" i="48"/>
  <c r="AT100" i="45"/>
  <c r="AT113" i="45"/>
  <c r="T183" i="42"/>
  <c r="T182" i="42"/>
  <c r="U181" i="42"/>
  <c r="V29" i="29"/>
  <c r="O226" i="14"/>
  <c r="O228" i="14"/>
  <c r="J347" i="48"/>
  <c r="J349" i="48" s="1"/>
  <c r="J348" i="48"/>
  <c r="G159" i="14"/>
  <c r="S263" i="48"/>
  <c r="S268" i="48" s="1"/>
  <c r="S262" i="48"/>
  <c r="S267" i="48" s="1"/>
  <c r="S261" i="48"/>
  <c r="S266" i="48" s="1"/>
  <c r="S265" i="48"/>
  <c r="S264" i="48"/>
  <c r="S269" i="48" s="1"/>
  <c r="AB7" i="15"/>
  <c r="AB8" i="15" s="1"/>
  <c r="AC6" i="15"/>
  <c r="X21" i="16"/>
  <c r="R29" i="20"/>
  <c r="R42" i="20"/>
  <c r="P265" i="20"/>
  <c r="P288" i="20"/>
  <c r="P289" i="20" s="1"/>
  <c r="P315" i="20"/>
  <c r="P314" i="20"/>
  <c r="P264" i="20"/>
  <c r="P263" i="20"/>
  <c r="P267" i="20"/>
  <c r="U154" i="54"/>
  <c r="U156" i="54" s="1"/>
  <c r="V153" i="54"/>
  <c r="W28" i="38"/>
  <c r="W43" i="38" s="1"/>
  <c r="X22" i="38"/>
  <c r="BB53" i="51"/>
  <c r="V54" i="51"/>
  <c r="K254" i="19"/>
  <c r="O44" i="48"/>
  <c r="O316" i="48" s="1"/>
  <c r="R158" i="28"/>
  <c r="R159" i="28" s="1"/>
  <c r="R181" i="28"/>
  <c r="R182" i="28" s="1"/>
  <c r="U19" i="45"/>
  <c r="U20" i="45"/>
  <c r="P156" i="29"/>
  <c r="P155" i="29"/>
  <c r="P159" i="29" s="1"/>
  <c r="BA57" i="51"/>
  <c r="BA58" i="51" s="1"/>
  <c r="O80" i="45"/>
  <c r="O79" i="45"/>
  <c r="O81" i="45"/>
  <c r="AU79" i="45"/>
  <c r="AU80" i="45"/>
  <c r="AU81" i="45"/>
  <c r="R86" i="45"/>
  <c r="S102" i="36"/>
  <c r="P91" i="19"/>
  <c r="Q144" i="14" s="1"/>
  <c r="Q144" i="12"/>
  <c r="W28" i="53"/>
  <c r="W43" i="53" s="1"/>
  <c r="X22" i="53"/>
  <c r="N262" i="20"/>
  <c r="N259" i="20"/>
  <c r="N257" i="20"/>
  <c r="N261" i="20"/>
  <c r="N260" i="20"/>
  <c r="N258" i="20"/>
  <c r="P226" i="12"/>
  <c r="R215" i="54"/>
  <c r="R216" i="54"/>
  <c r="T196" i="20"/>
  <c r="U195" i="20"/>
  <c r="L314" i="46"/>
  <c r="L310" i="46"/>
  <c r="L315" i="46"/>
  <c r="L313" i="46"/>
  <c r="L312" i="46"/>
  <c r="L311" i="46"/>
  <c r="P196" i="54"/>
  <c r="P197" i="54" s="1"/>
  <c r="Q163" i="54"/>
  <c r="P160" i="29"/>
  <c r="P165" i="29"/>
  <c r="P162" i="29"/>
  <c r="P163" i="29"/>
  <c r="P164" i="29"/>
  <c r="P161" i="29"/>
  <c r="W26" i="54"/>
  <c r="W41" i="54" s="1"/>
  <c r="W147" i="54" s="1"/>
  <c r="W148" i="54" s="1"/>
  <c r="X20" i="54"/>
  <c r="R161" i="42"/>
  <c r="R165" i="42" s="1"/>
  <c r="R160" i="42"/>
  <c r="R164" i="42" s="1"/>
  <c r="R162" i="42"/>
  <c r="R159" i="42"/>
  <c r="R163" i="42" s="1"/>
  <c r="K348" i="48"/>
  <c r="R138" i="19"/>
  <c r="S63" i="38"/>
  <c r="S69" i="38"/>
  <c r="S162" i="53"/>
  <c r="P306" i="42"/>
  <c r="P309" i="42"/>
  <c r="P308" i="42"/>
  <c r="P311" i="42"/>
  <c r="P310" i="42"/>
  <c r="P307" i="42"/>
  <c r="U31" i="28"/>
  <c r="U146" i="28"/>
  <c r="AY91" i="36"/>
  <c r="AY93" i="36" s="1"/>
  <c r="AY96" i="36" s="1"/>
  <c r="S93" i="36"/>
  <c r="S96" i="36" s="1"/>
  <c r="N114" i="45"/>
  <c r="T66" i="42"/>
  <c r="T85" i="42" s="1"/>
  <c r="U60" i="42"/>
  <c r="T65" i="42"/>
  <c r="T93" i="42" s="1"/>
  <c r="T61" i="42"/>
  <c r="T67" i="42"/>
  <c r="T101" i="42" s="1"/>
  <c r="T62" i="42"/>
  <c r="T64" i="42"/>
  <c r="T77" i="42" s="1"/>
  <c r="T235" i="38"/>
  <c r="T239" i="38" s="1"/>
  <c r="T236" i="38"/>
  <c r="T240" i="38" s="1"/>
  <c r="T238" i="38"/>
  <c r="U107" i="36" s="1"/>
  <c r="T237" i="38"/>
  <c r="T241" i="38" s="1"/>
  <c r="U278" i="42"/>
  <c r="U31" i="42"/>
  <c r="T34" i="29"/>
  <c r="T33" i="29"/>
  <c r="S137" i="20"/>
  <c r="S113" i="19" s="1"/>
  <c r="S136" i="20"/>
  <c r="S112" i="19" s="1"/>
  <c r="S134" i="20"/>
  <c r="S110" i="19" s="1"/>
  <c r="S135" i="20"/>
  <c r="S111" i="19" s="1"/>
  <c r="S138" i="20"/>
  <c r="S114" i="19" s="1"/>
  <c r="S109" i="19"/>
  <c r="T126" i="14" s="1"/>
  <c r="Q128" i="12"/>
  <c r="P83" i="19"/>
  <c r="Q128" i="14" s="1"/>
  <c r="O74" i="51"/>
  <c r="N253" i="53"/>
  <c r="S184" i="20"/>
  <c r="S146" i="19" s="1"/>
  <c r="S180" i="20"/>
  <c r="S142" i="19" s="1"/>
  <c r="S181" i="20"/>
  <c r="S143" i="19" s="1"/>
  <c r="S183" i="20"/>
  <c r="S145" i="19" s="1"/>
  <c r="S182" i="20"/>
  <c r="S144" i="19" s="1"/>
  <c r="S141" i="19"/>
  <c r="T125" i="14" s="1"/>
  <c r="R104" i="45"/>
  <c r="R59" i="45"/>
  <c r="R60" i="45"/>
  <c r="Q37" i="46"/>
  <c r="V43" i="46" s="1"/>
  <c r="R58" i="45"/>
  <c r="R71" i="45" s="1"/>
  <c r="T55" i="45"/>
  <c r="T56" i="45"/>
  <c r="T30" i="45"/>
  <c r="P282" i="38"/>
  <c r="P286" i="38"/>
  <c r="P284" i="38"/>
  <c r="P287" i="38"/>
  <c r="P283" i="38"/>
  <c r="P285" i="38"/>
  <c r="N151" i="12"/>
  <c r="O73" i="19"/>
  <c r="P120" i="14" s="1"/>
  <c r="P120" i="12"/>
  <c r="W28" i="48"/>
  <c r="X22" i="48"/>
  <c r="O318" i="42"/>
  <c r="O319" i="42" s="1"/>
  <c r="O321" i="42" s="1"/>
  <c r="N116" i="45"/>
  <c r="L232" i="19"/>
  <c r="L233" i="19"/>
  <c r="Q153" i="29"/>
  <c r="Q154" i="29"/>
  <c r="T74" i="29"/>
  <c r="U45" i="16" s="1"/>
  <c r="U45" i="15"/>
  <c r="AZ64" i="51"/>
  <c r="T26" i="19"/>
  <c r="T44" i="19" s="1"/>
  <c r="T155" i="19" s="1"/>
  <c r="T154" i="19" s="1"/>
  <c r="U20" i="19"/>
  <c r="T143" i="29"/>
  <c r="T146" i="29"/>
  <c r="R243" i="38"/>
  <c r="R246" i="38"/>
  <c r="U27" i="20"/>
  <c r="U45" i="20" s="1"/>
  <c r="V21" i="20"/>
  <c r="AY55" i="45"/>
  <c r="AY56" i="45"/>
  <c r="P139" i="12"/>
  <c r="O268" i="20"/>
  <c r="O269" i="20"/>
  <c r="O271" i="20"/>
  <c r="O270" i="20"/>
  <c r="O111" i="46"/>
  <c r="O116" i="46" s="1"/>
  <c r="O113" i="46"/>
  <c r="O118" i="46" s="1"/>
  <c r="O110" i="46"/>
  <c r="O115" i="46" s="1"/>
  <c r="O112" i="46"/>
  <c r="O117" i="46" s="1"/>
  <c r="O109" i="48"/>
  <c r="O114" i="46"/>
  <c r="P97" i="45" s="1"/>
  <c r="O274" i="46"/>
  <c r="P234" i="54"/>
  <c r="P235" i="54" s="1"/>
  <c r="P237" i="54" s="1"/>
  <c r="P258" i="54" s="1"/>
  <c r="R220" i="46"/>
  <c r="R225" i="46" s="1"/>
  <c r="R219" i="46"/>
  <c r="R224" i="46" s="1"/>
  <c r="R217" i="46"/>
  <c r="R222" i="46" s="1"/>
  <c r="R218" i="46"/>
  <c r="R223" i="46" s="1"/>
  <c r="R216" i="48"/>
  <c r="R221" i="46"/>
  <c r="S99" i="45" s="1"/>
  <c r="P316" i="38"/>
  <c r="P317" i="38"/>
  <c r="P320" i="38" s="1"/>
  <c r="BC16" i="45"/>
  <c r="W17" i="45"/>
  <c r="X16" i="45"/>
  <c r="N80" i="48"/>
  <c r="N85" i="48" s="1"/>
  <c r="N83" i="48"/>
  <c r="N88" i="48" s="1"/>
  <c r="N82" i="48"/>
  <c r="N87" i="48" s="1"/>
  <c r="N81" i="48"/>
  <c r="N86" i="48" s="1"/>
  <c r="N84" i="48"/>
  <c r="O139" i="29"/>
  <c r="O137" i="29"/>
  <c r="O140" i="29"/>
  <c r="O136" i="29"/>
  <c r="O138" i="29"/>
  <c r="O141" i="29"/>
  <c r="P81" i="19"/>
  <c r="Q109" i="14" s="1"/>
  <c r="Q109" i="12"/>
  <c r="S148" i="20"/>
  <c r="S124" i="19" s="1"/>
  <c r="S150" i="20"/>
  <c r="S126" i="19" s="1"/>
  <c r="S149" i="20"/>
  <c r="S125" i="19" s="1"/>
  <c r="S147" i="20"/>
  <c r="S123" i="19" s="1"/>
  <c r="S146" i="20"/>
  <c r="S122" i="19" s="1"/>
  <c r="S121" i="19"/>
  <c r="T138" i="14" s="1"/>
  <c r="T138" i="12"/>
  <c r="BA54" i="51"/>
  <c r="S34" i="45"/>
  <c r="O203" i="28"/>
  <c r="P70" i="15" s="1"/>
  <c r="O201" i="28"/>
  <c r="AB7" i="16"/>
  <c r="AB8" i="16" s="1"/>
  <c r="AC6" i="16"/>
  <c r="S142" i="46"/>
  <c r="S174" i="46" s="1"/>
  <c r="S141" i="46"/>
  <c r="S164" i="46" s="1"/>
  <c r="S140" i="46"/>
  <c r="S154" i="46" s="1"/>
  <c r="O152" i="12"/>
  <c r="H7" i="55"/>
  <c r="R246" i="48"/>
  <c r="R251" i="48" s="1"/>
  <c r="R245" i="48"/>
  <c r="R250" i="48" s="1"/>
  <c r="R247" i="48"/>
  <c r="R252" i="48" s="1"/>
  <c r="R248" i="48"/>
  <c r="R244" i="48"/>
  <c r="R249" i="48" s="1"/>
  <c r="X35" i="15"/>
  <c r="BB39" i="45"/>
  <c r="BB40" i="45"/>
  <c r="U126" i="12"/>
  <c r="T145" i="20"/>
  <c r="R222" i="53"/>
  <c r="R225" i="53"/>
  <c r="R226" i="53"/>
  <c r="R223" i="53"/>
  <c r="R227" i="53"/>
  <c r="R224" i="53"/>
  <c r="R205" i="42"/>
  <c r="R209" i="42" s="1"/>
  <c r="R206" i="42"/>
  <c r="R210" i="42" s="1"/>
  <c r="R208" i="42"/>
  <c r="R207" i="42"/>
  <c r="R211" i="42" s="1"/>
  <c r="L353" i="46"/>
  <c r="L354" i="46" s="1"/>
  <c r="AY85" i="36"/>
  <c r="AY86" i="36" s="1"/>
  <c r="AY89" i="36" s="1"/>
  <c r="S86" i="36"/>
  <c r="S89" i="36" s="1"/>
  <c r="Q29" i="19"/>
  <c r="Q42" i="19"/>
  <c r="Q50" i="19" s="1"/>
  <c r="Y34" i="16"/>
  <c r="Y33" i="16"/>
  <c r="O141" i="14"/>
  <c r="L328" i="46"/>
  <c r="L327" i="46"/>
  <c r="AU106" i="45"/>
  <c r="O109" i="45"/>
  <c r="R206" i="54"/>
  <c r="R207" i="54" s="1"/>
  <c r="R229" i="54"/>
  <c r="R230" i="54" s="1"/>
  <c r="R96" i="20"/>
  <c r="AZ95" i="45"/>
  <c r="S35" i="48"/>
  <c r="AZ43" i="45"/>
  <c r="AZ42" i="45"/>
  <c r="AZ44" i="45"/>
  <c r="M335" i="42"/>
  <c r="M333" i="42"/>
  <c r="S186" i="42"/>
  <c r="S185" i="42"/>
  <c r="O67" i="19"/>
  <c r="P100" i="14" s="1"/>
  <c r="P100" i="12"/>
  <c r="AA41" i="15"/>
  <c r="N223" i="19"/>
  <c r="N246" i="19"/>
  <c r="N247" i="19" s="1"/>
  <c r="Q217" i="54"/>
  <c r="Q221" i="54" s="1"/>
  <c r="Q218" i="54"/>
  <c r="I354" i="46"/>
  <c r="I363" i="46" s="1"/>
  <c r="J120" i="45" s="1"/>
  <c r="U28" i="20"/>
  <c r="U46" i="20" s="1"/>
  <c r="V22" i="20"/>
  <c r="AX98" i="45"/>
  <c r="V76" i="16"/>
  <c r="V75" i="16"/>
  <c r="P51" i="19"/>
  <c r="O117" i="12"/>
  <c r="W122" i="15"/>
  <c r="W132" i="15" s="1"/>
  <c r="U306" i="48"/>
  <c r="U31" i="48"/>
  <c r="T157" i="54"/>
  <c r="T208" i="28"/>
  <c r="T207" i="28"/>
  <c r="T156" i="28"/>
  <c r="S67" i="20"/>
  <c r="S68" i="20"/>
  <c r="S69" i="20"/>
  <c r="S70" i="20"/>
  <c r="N71" i="15"/>
  <c r="X27" i="48"/>
  <c r="X42" i="48" s="1"/>
  <c r="Y21" i="48"/>
  <c r="K235" i="19"/>
  <c r="K234" i="19"/>
  <c r="K238" i="19" s="1"/>
  <c r="R100" i="29"/>
  <c r="R88" i="29"/>
  <c r="BX15" i="55"/>
  <c r="BX14" i="55"/>
  <c r="BX16" i="55"/>
  <c r="BX13" i="55"/>
  <c r="BX12" i="55"/>
  <c r="BX11" i="55"/>
  <c r="BX19" i="55" s="1"/>
  <c r="AX107" i="45"/>
  <c r="R85" i="45"/>
  <c r="W26" i="42"/>
  <c r="W41" i="42" s="1"/>
  <c r="X20" i="42"/>
  <c r="P92" i="19"/>
  <c r="Q145" i="14" s="1"/>
  <c r="Q145" i="12"/>
  <c r="P72" i="19"/>
  <c r="Q119" i="14" s="1"/>
  <c r="Q119" i="12"/>
  <c r="S90" i="48"/>
  <c r="S95" i="48" s="1"/>
  <c r="S92" i="48"/>
  <c r="S97" i="48" s="1"/>
  <c r="S91" i="48"/>
  <c r="S94" i="48"/>
  <c r="S93" i="48"/>
  <c r="S98" i="48" s="1"/>
  <c r="U265" i="19"/>
  <c r="V307" i="20"/>
  <c r="U241" i="48"/>
  <c r="V240" i="48"/>
  <c r="S157" i="19"/>
  <c r="S198" i="20"/>
  <c r="T123" i="12"/>
  <c r="M308" i="46"/>
  <c r="M309" i="46" s="1"/>
  <c r="N275" i="46"/>
  <c r="O202" i="54"/>
  <c r="O200" i="54"/>
  <c r="O198" i="54"/>
  <c r="O201" i="54"/>
  <c r="O203" i="54"/>
  <c r="O199" i="54"/>
  <c r="N272" i="20"/>
  <c r="N273" i="20"/>
  <c r="AU110" i="45"/>
  <c r="G361" i="48"/>
  <c r="AL6" i="55"/>
  <c r="S104" i="38"/>
  <c r="S108" i="38" s="1"/>
  <c r="S105" i="38"/>
  <c r="T99" i="36" s="1"/>
  <c r="AZ99" i="36" s="1"/>
  <c r="S102" i="38"/>
  <c r="S106" i="38" s="1"/>
  <c r="S103" i="38"/>
  <c r="S107" i="38" s="1"/>
  <c r="T70" i="51"/>
  <c r="AZ66" i="51"/>
  <c r="M242" i="19"/>
  <c r="M240" i="19"/>
  <c r="M244" i="19"/>
  <c r="M241" i="19"/>
  <c r="M239" i="19"/>
  <c r="M243" i="19"/>
  <c r="S103" i="42"/>
  <c r="S107" i="42" s="1"/>
  <c r="S104" i="42"/>
  <c r="S108" i="42" s="1"/>
  <c r="S105" i="42"/>
  <c r="S102" i="42"/>
  <c r="S106" i="42" s="1"/>
  <c r="U194" i="54"/>
  <c r="U205" i="54" s="1"/>
  <c r="U31" i="54"/>
  <c r="U194" i="53"/>
  <c r="U31" i="53"/>
  <c r="P241" i="53"/>
  <c r="P242" i="53" s="1"/>
  <c r="O229" i="12"/>
  <c r="T139" i="48"/>
  <c r="O225" i="12" a="1"/>
  <c r="O225" i="12" s="1"/>
  <c r="N76" i="51"/>
  <c r="U32" i="45"/>
  <c r="U29" i="45"/>
  <c r="U37" i="45"/>
  <c r="U31" i="45"/>
  <c r="U36" i="45"/>
  <c r="BA27" i="45"/>
  <c r="U35" i="45"/>
  <c r="U28" i="45"/>
  <c r="V27" i="45"/>
  <c r="U54" i="45"/>
  <c r="Q78" i="20"/>
  <c r="O72" i="19"/>
  <c r="P119" i="14" s="1"/>
  <c r="P119" i="12"/>
  <c r="AX89" i="45"/>
  <c r="BA18" i="45"/>
  <c r="T75" i="29"/>
  <c r="U64" i="16" s="1"/>
  <c r="U64" i="15"/>
  <c r="S131" i="20"/>
  <c r="S107" i="19" s="1"/>
  <c r="S129" i="20"/>
  <c r="S105" i="19" s="1"/>
  <c r="S132" i="20"/>
  <c r="S108" i="19" s="1"/>
  <c r="S128" i="20"/>
  <c r="S104" i="19" s="1"/>
  <c r="T103" i="12"/>
  <c r="S103" i="19"/>
  <c r="T103" i="14" s="1"/>
  <c r="S130" i="20"/>
  <c r="Q235" i="53"/>
  <c r="Q237" i="53" s="1"/>
  <c r="Q258" i="53" s="1"/>
  <c r="U125" i="12"/>
  <c r="AY79" i="36"/>
  <c r="AY114" i="36" s="1"/>
  <c r="S114" i="36"/>
  <c r="AY30" i="45"/>
  <c r="Q90" i="20"/>
  <c r="O73" i="46"/>
  <c r="O78" i="46" s="1"/>
  <c r="O70" i="46"/>
  <c r="O75" i="46" s="1"/>
  <c r="O72" i="46"/>
  <c r="O77" i="46" s="1"/>
  <c r="O71" i="46"/>
  <c r="O76" i="46" s="1"/>
  <c r="O69" i="48"/>
  <c r="O74" i="46"/>
  <c r="P76" i="45" s="1"/>
  <c r="V360" i="46"/>
  <c r="P306" i="38"/>
  <c r="P308" i="38"/>
  <c r="P311" i="38"/>
  <c r="P310" i="38"/>
  <c r="P307" i="38"/>
  <c r="P309" i="38"/>
  <c r="Y33" i="15"/>
  <c r="Y34" i="15"/>
  <c r="Y35" i="15" s="1"/>
  <c r="V69" i="45"/>
  <c r="P134" i="29"/>
  <c r="P135" i="29" s="1"/>
  <c r="Q101" i="29"/>
  <c r="Q111" i="12"/>
  <c r="P80" i="19"/>
  <c r="Q111" i="14" s="1"/>
  <c r="S304" i="42"/>
  <c r="S303" i="42"/>
  <c r="S315" i="42" s="1"/>
  <c r="O169" i="28"/>
  <c r="O173" i="28" s="1"/>
  <c r="O170" i="28"/>
  <c r="AA41" i="16"/>
  <c r="J158" i="12"/>
  <c r="J162" i="12"/>
  <c r="R215" i="53"/>
  <c r="R216" i="53"/>
  <c r="S150" i="29"/>
  <c r="S148" i="29"/>
  <c r="S147" i="29"/>
  <c r="S149" i="29"/>
  <c r="S297" i="38"/>
  <c r="S298" i="38"/>
  <c r="S203" i="46"/>
  <c r="S204" i="46"/>
  <c r="T28" i="19"/>
  <c r="T46" i="19" s="1"/>
  <c r="T167" i="19" s="1"/>
  <c r="T166" i="19" s="1"/>
  <c r="U22" i="19"/>
  <c r="V44" i="54"/>
  <c r="V204" i="54" s="1"/>
  <c r="AY23" i="45"/>
  <c r="AA8" i="16"/>
  <c r="V29" i="54"/>
  <c r="M274" i="20"/>
  <c r="M275" i="20"/>
  <c r="N318" i="46"/>
  <c r="N319" i="46" s="1"/>
  <c r="N341" i="46"/>
  <c r="N342" i="46" s="1"/>
  <c r="O9" i="55"/>
  <c r="M318" i="48"/>
  <c r="M319" i="48" s="1"/>
  <c r="M341" i="48"/>
  <c r="M342" i="48" s="1"/>
  <c r="AM7" i="55"/>
  <c r="AB24" i="15"/>
  <c r="AC22" i="15"/>
  <c r="AB23" i="15"/>
  <c r="Y74" i="16"/>
  <c r="N179" i="29"/>
  <c r="N180" i="29" s="1"/>
  <c r="S219" i="53"/>
  <c r="S231" i="53" s="1"/>
  <c r="S220" i="53"/>
  <c r="P34" i="20"/>
  <c r="P33" i="20"/>
  <c r="L346" i="46"/>
  <c r="S157" i="28"/>
  <c r="S160" i="28"/>
  <c r="AT74" i="51"/>
  <c r="M253" i="54"/>
  <c r="S124" i="12"/>
  <c r="R90" i="20"/>
  <c r="AY70" i="51"/>
  <c r="BA50" i="51"/>
  <c r="S184" i="42"/>
  <c r="S196" i="42"/>
  <c r="S188" i="42"/>
  <c r="S204" i="42"/>
  <c r="R75" i="45"/>
  <c r="Q33" i="46"/>
  <c r="Q39" i="46" s="1"/>
  <c r="Q117" i="36"/>
  <c r="Q123" i="36" s="1"/>
  <c r="P95" i="14"/>
  <c r="P147" i="14"/>
  <c r="U258" i="48"/>
  <c r="V257" i="48"/>
  <c r="O139" i="14"/>
  <c r="O225" i="14" s="1" a="1"/>
  <c r="O225" i="14" s="1"/>
  <c r="Y18" i="53"/>
  <c r="X24" i="53"/>
  <c r="Q157" i="48"/>
  <c r="Q162" i="48" s="1"/>
  <c r="Q155" i="48"/>
  <c r="Q160" i="48" s="1"/>
  <c r="Q156" i="48"/>
  <c r="Q161" i="48" s="1"/>
  <c r="Q158" i="48"/>
  <c r="Q163" i="48" s="1"/>
  <c r="Q159" i="48"/>
  <c r="V131" i="16"/>
  <c r="V129" i="16"/>
  <c r="P50" i="19"/>
  <c r="O117" i="14"/>
  <c r="I159" i="14"/>
  <c r="N324" i="46"/>
  <c r="N322" i="46"/>
  <c r="N321" i="46"/>
  <c r="N323" i="46"/>
  <c r="P33" i="48"/>
  <c r="P39" i="48" s="1"/>
  <c r="AW75" i="45"/>
  <c r="S66" i="20"/>
  <c r="Y39" i="15"/>
  <c r="Y13" i="15"/>
  <c r="W128" i="15"/>
  <c r="V40" i="28"/>
  <c r="W60" i="15"/>
  <c r="AX108" i="45"/>
  <c r="W25" i="46"/>
  <c r="W40" i="46" s="1"/>
  <c r="X19" i="46"/>
  <c r="L308" i="48"/>
  <c r="L309" i="48" s="1"/>
  <c r="M275" i="48"/>
  <c r="BY9" i="55"/>
  <c r="U67" i="51"/>
  <c r="T76" i="53"/>
  <c r="R84" i="45"/>
  <c r="U183" i="38"/>
  <c r="U127" i="38"/>
  <c r="U128" i="38"/>
  <c r="U182" i="38"/>
  <c r="V126" i="38"/>
  <c r="AZ20" i="45"/>
  <c r="AZ19" i="45"/>
  <c r="Q139" i="12"/>
  <c r="M126" i="36"/>
  <c r="L343" i="38"/>
  <c r="M127" i="36" s="1"/>
  <c r="P73" i="19"/>
  <c r="Q120" i="14" s="1"/>
  <c r="Q120" i="12"/>
  <c r="O255" i="20"/>
  <c r="O256" i="20" s="1"/>
  <c r="P222" i="20"/>
  <c r="O98" i="12"/>
  <c r="O153" i="12"/>
  <c r="T209" i="54"/>
  <c r="T212" i="54"/>
  <c r="T210" i="54"/>
  <c r="T211" i="54"/>
  <c r="Q290" i="38"/>
  <c r="Q291" i="38" s="1"/>
  <c r="Q313" i="38"/>
  <c r="Q314" i="38" s="1"/>
  <c r="U217" i="38"/>
  <c r="U219" i="38" s="1"/>
  <c r="V216" i="38"/>
  <c r="I164" i="12"/>
  <c r="H318" i="20"/>
  <c r="I165" i="12" s="1"/>
  <c r="U61" i="46"/>
  <c r="U62" i="46"/>
  <c r="U65" i="46"/>
  <c r="U64" i="46"/>
  <c r="U67" i="46"/>
  <c r="U66" i="46"/>
  <c r="U89" i="46" s="1"/>
  <c r="V60" i="46"/>
  <c r="S193" i="29"/>
  <c r="S194" i="29"/>
  <c r="S68" i="15"/>
  <c r="S77" i="15" s="1"/>
  <c r="S133" i="15" a="1"/>
  <c r="S133" i="15" s="1"/>
  <c r="S134" i="15"/>
  <c r="AX99" i="45"/>
  <c r="S63" i="42"/>
  <c r="S69" i="42"/>
  <c r="P34" i="48"/>
  <c r="AW24" i="45"/>
  <c r="AW26" i="45"/>
  <c r="AW82" i="45"/>
  <c r="AW25" i="45"/>
  <c r="W26" i="46"/>
  <c r="W41" i="46" s="1"/>
  <c r="X20" i="46"/>
  <c r="R141" i="16"/>
  <c r="R142" i="16" s="1"/>
  <c r="U154" i="53"/>
  <c r="U156" i="53" s="1"/>
  <c r="V153" i="53"/>
  <c r="AZ29" i="45"/>
  <c r="AZ32" i="45"/>
  <c r="AZ37" i="45"/>
  <c r="AZ28" i="45"/>
  <c r="AZ31" i="45"/>
  <c r="AZ35" i="45"/>
  <c r="AZ36" i="45"/>
  <c r="AZ54" i="45"/>
  <c r="T33" i="45"/>
  <c r="P146" i="14"/>
  <c r="P115" i="14"/>
  <c r="O320" i="42"/>
  <c r="M324" i="48"/>
  <c r="M321" i="48"/>
  <c r="M322" i="48"/>
  <c r="M323" i="48"/>
  <c r="R77" i="15"/>
  <c r="R151" i="29"/>
  <c r="R152" i="29"/>
  <c r="Q144" i="29"/>
  <c r="Q145" i="29" s="1"/>
  <c r="Q167" i="29"/>
  <c r="Q168" i="29" s="1"/>
  <c r="V360" i="48"/>
  <c r="O102" i="46"/>
  <c r="O107" i="46" s="1"/>
  <c r="O100" i="46"/>
  <c r="O105" i="46" s="1"/>
  <c r="O103" i="46"/>
  <c r="O108" i="46" s="1"/>
  <c r="O101" i="46"/>
  <c r="O106" i="46" s="1"/>
  <c r="O104" i="46"/>
  <c r="P106" i="45" s="1"/>
  <c r="O99" i="48"/>
  <c r="T65" i="15"/>
  <c r="T296" i="42"/>
  <c r="T294" i="42"/>
  <c r="T293" i="42"/>
  <c r="T295" i="42"/>
  <c r="V44" i="42"/>
  <c r="V288" i="42" s="1"/>
  <c r="Z18" i="15"/>
  <c r="Z19" i="15"/>
  <c r="Z15" i="15"/>
  <c r="Z16" i="15"/>
  <c r="AA14" i="15"/>
  <c r="Z32" i="15"/>
  <c r="Z74" i="15"/>
  <c r="BB17" i="45"/>
  <c r="M187" i="29"/>
  <c r="P79" i="19"/>
  <c r="Q110" i="14" s="1"/>
  <c r="Q110" i="12"/>
  <c r="S97" i="19"/>
  <c r="X24" i="46"/>
  <c r="Y18" i="46"/>
  <c r="Q174" i="28"/>
  <c r="Q175" i="28"/>
  <c r="Q176" i="28"/>
  <c r="Q178" i="28"/>
  <c r="Q177" i="28"/>
  <c r="Q179" i="28"/>
  <c r="L325" i="48"/>
  <c r="L326" i="48"/>
  <c r="Y13" i="16"/>
  <c r="Q101" i="20"/>
  <c r="Q93" i="19" s="1"/>
  <c r="U47" i="28"/>
  <c r="U50" i="29"/>
  <c r="U52" i="29"/>
  <c r="U49" i="29" s="1"/>
  <c r="U89" i="29" s="1"/>
  <c r="U54" i="29"/>
  <c r="U51" i="29"/>
  <c r="U53" i="29"/>
  <c r="AS115" i="45"/>
  <c r="AY96" i="45"/>
  <c r="P109" i="12"/>
  <c r="O81" i="19"/>
  <c r="P109" i="14" s="1"/>
  <c r="S151" i="38"/>
  <c r="S155" i="38" s="1"/>
  <c r="S153" i="38"/>
  <c r="S157" i="38" s="1"/>
  <c r="S152" i="38"/>
  <c r="S156" i="38" s="1"/>
  <c r="S154" i="38"/>
  <c r="T79" i="36" s="1"/>
  <c r="O130" i="14"/>
  <c r="L347" i="46"/>
  <c r="AA25" i="15"/>
  <c r="Z19" i="16"/>
  <c r="Z16" i="16"/>
  <c r="Z18" i="16"/>
  <c r="Z15" i="16"/>
  <c r="AA14" i="16"/>
  <c r="Z32" i="16"/>
  <c r="S214" i="53"/>
  <c r="S213" i="53"/>
  <c r="R78" i="20"/>
  <c r="BA68" i="51"/>
  <c r="R173" i="19"/>
  <c r="G161" i="12"/>
  <c r="P101" i="12"/>
  <c r="O68" i="19"/>
  <c r="P101" i="14" s="1"/>
  <c r="AX68" i="45"/>
  <c r="Q165" i="28"/>
  <c r="Q166" i="28"/>
  <c r="W39" i="53"/>
  <c r="S214" i="54"/>
  <c r="S213" i="54"/>
  <c r="P52" i="19"/>
  <c r="P49" i="19" s="1"/>
  <c r="P177" i="19" s="1"/>
  <c r="AZ67" i="51"/>
  <c r="I161" i="14"/>
  <c r="T89" i="29"/>
  <c r="T23" i="45"/>
  <c r="W121" i="15"/>
  <c r="W42" i="15"/>
  <c r="T65" i="20"/>
  <c r="T64" i="20"/>
  <c r="U63" i="20"/>
  <c r="AX57" i="45"/>
  <c r="O33" i="19"/>
  <c r="O34" i="19"/>
  <c r="J353" i="46"/>
  <c r="J354" i="46" s="1"/>
  <c r="N226" i="19"/>
  <c r="N227" i="19"/>
  <c r="N229" i="19"/>
  <c r="N228" i="19"/>
  <c r="Q230" i="48"/>
  <c r="Q235" i="48" s="1"/>
  <c r="Q228" i="48"/>
  <c r="Q233" i="48" s="1"/>
  <c r="Q229" i="48"/>
  <c r="Q234" i="48" s="1"/>
  <c r="Q231" i="48"/>
  <c r="Q227" i="48"/>
  <c r="Q232" i="48" s="1"/>
  <c r="W28" i="42"/>
  <c r="W43" i="42" s="1"/>
  <c r="X22" i="42"/>
  <c r="P132" i="12"/>
  <c r="O85" i="19"/>
  <c r="P132" i="14" s="1"/>
  <c r="S73" i="51"/>
  <c r="K311" i="48"/>
  <c r="K313" i="48"/>
  <c r="K312" i="48"/>
  <c r="K315" i="48"/>
  <c r="K314" i="48"/>
  <c r="K310" i="48"/>
  <c r="BA61" i="51"/>
  <c r="U64" i="51"/>
  <c r="AZ98" i="36"/>
  <c r="T184" i="38"/>
  <c r="T204" i="38"/>
  <c r="T196" i="38"/>
  <c r="T188" i="38"/>
  <c r="T59" i="15"/>
  <c r="R106" i="19"/>
  <c r="P90" i="19"/>
  <c r="Q143" i="14" s="1"/>
  <c r="Q143" i="12"/>
  <c r="Q115" i="14"/>
  <c r="Q146" i="14"/>
  <c r="O153" i="14"/>
  <c r="O98" i="14"/>
  <c r="T205" i="54"/>
  <c r="X35" i="16"/>
  <c r="W47" i="16"/>
  <c r="V37" i="29"/>
  <c r="W125" i="16"/>
  <c r="X20" i="48"/>
  <c r="W26" i="48"/>
  <c r="W41" i="48" s="1"/>
  <c r="T63" i="48"/>
  <c r="T223" i="38"/>
  <c r="U98" i="36" s="1"/>
  <c r="T222" i="38"/>
  <c r="T226" i="38" s="1"/>
  <c r="T221" i="38"/>
  <c r="T225" i="38" s="1"/>
  <c r="T220" i="38"/>
  <c r="T224" i="38" s="1"/>
  <c r="AL7" i="55"/>
  <c r="S78" i="38"/>
  <c r="S82" i="38" s="1"/>
  <c r="S81" i="38"/>
  <c r="T92" i="36" s="1"/>
  <c r="AZ92" i="36" s="1"/>
  <c r="S79" i="38"/>
  <c r="S83" i="38" s="1"/>
  <c r="S80" i="38"/>
  <c r="S84" i="38" s="1"/>
  <c r="T93" i="46"/>
  <c r="T98" i="46" s="1"/>
  <c r="T92" i="46"/>
  <c r="T97" i="46" s="1"/>
  <c r="T94" i="46"/>
  <c r="T90" i="46"/>
  <c r="T95" i="46" s="1"/>
  <c r="T91" i="46"/>
  <c r="T89" i="48"/>
  <c r="R80" i="36"/>
  <c r="R83" i="36" s="1"/>
  <c r="R119" i="36" s="1"/>
  <c r="R115" i="36"/>
  <c r="R116" i="36" s="1"/>
  <c r="AX78" i="36"/>
  <c r="Q219" i="48"/>
  <c r="Q224" i="48" s="1"/>
  <c r="Q220" i="48"/>
  <c r="Q225" i="48" s="1"/>
  <c r="Q217" i="48"/>
  <c r="Q222" i="48" s="1"/>
  <c r="Q221" i="48"/>
  <c r="Q218" i="48"/>
  <c r="Q223" i="48" s="1"/>
  <c r="S78" i="42"/>
  <c r="S82" i="42" s="1"/>
  <c r="S79" i="42"/>
  <c r="S83" i="42" s="1"/>
  <c r="S81" i="42"/>
  <c r="S80" i="42"/>
  <c r="S84" i="42" s="1"/>
  <c r="P234" i="53"/>
  <c r="P235" i="53" s="1"/>
  <c r="P237" i="53" s="1"/>
  <c r="P258" i="53" s="1"/>
  <c r="W25" i="29"/>
  <c r="W43" i="29" s="1"/>
  <c r="X19" i="29"/>
  <c r="V76" i="15"/>
  <c r="V75" i="15"/>
  <c r="H159" i="14"/>
  <c r="T27" i="19"/>
  <c r="T45" i="19" s="1"/>
  <c r="T129" i="19" s="1"/>
  <c r="T128" i="19" s="1"/>
  <c r="U21" i="19"/>
  <c r="X27" i="28"/>
  <c r="Y21" i="28"/>
  <c r="X27" i="53"/>
  <c r="X42" i="53" s="1"/>
  <c r="Y21" i="53"/>
  <c r="T157" i="53"/>
  <c r="U66" i="51" s="1"/>
  <c r="AS126" i="36"/>
  <c r="L343" i="42"/>
  <c r="AS127" i="36" s="1"/>
  <c r="P146" i="12"/>
  <c r="P115" i="12"/>
  <c r="AT116" i="45"/>
  <c r="O231" i="12"/>
  <c r="X22" i="28"/>
  <c r="W28" i="28"/>
  <c r="W46" i="28" s="1"/>
  <c r="R141" i="15"/>
  <c r="R142" i="15" s="1"/>
  <c r="P144" i="12"/>
  <c r="O91" i="19"/>
  <c r="P144" i="14" s="1"/>
  <c r="R124" i="12"/>
  <c r="N151" i="14"/>
  <c r="O317" i="46"/>
  <c r="O320" i="46"/>
  <c r="R300" i="42"/>
  <c r="R299" i="42"/>
  <c r="AY72" i="51"/>
  <c r="AY51" i="51"/>
  <c r="V29" i="42"/>
  <c r="T127" i="20"/>
  <c r="M331" i="46"/>
  <c r="M343" i="46" s="1"/>
  <c r="M344" i="46" s="1"/>
  <c r="M332" i="46"/>
  <c r="AU90" i="45"/>
  <c r="O91" i="45"/>
  <c r="O114" i="45" s="1"/>
  <c r="L250" i="19"/>
  <c r="Q105" i="14"/>
  <c r="S135" i="38"/>
  <c r="S139" i="38" s="1"/>
  <c r="S137" i="38"/>
  <c r="S141" i="38" s="1"/>
  <c r="S136" i="38"/>
  <c r="S140" i="38" s="1"/>
  <c r="S138" i="38"/>
  <c r="T85" i="36" s="1"/>
  <c r="S101" i="19"/>
  <c r="W25" i="48"/>
  <c r="W40" i="48" s="1"/>
  <c r="X19" i="48"/>
  <c r="V332" i="38"/>
  <c r="N335" i="42"/>
  <c r="N333" i="42"/>
  <c r="O242" i="53"/>
  <c r="O249" i="53" s="1"/>
  <c r="S303" i="38"/>
  <c r="S315" i="38" s="1"/>
  <c r="S304" i="38"/>
  <c r="T72" i="51"/>
  <c r="AZ49" i="51"/>
  <c r="T51" i="51"/>
  <c r="N113" i="48"/>
  <c r="N118" i="48" s="1"/>
  <c r="N111" i="48"/>
  <c r="N116" i="48" s="1"/>
  <c r="N112" i="48"/>
  <c r="N117" i="48" s="1"/>
  <c r="N114" i="48"/>
  <c r="N110" i="48"/>
  <c r="N115" i="48" s="1"/>
  <c r="N274" i="48"/>
  <c r="X39" i="15"/>
  <c r="X13" i="15"/>
  <c r="N325" i="38"/>
  <c r="N326" i="38" s="1"/>
  <c r="S160" i="38"/>
  <c r="S164" i="38" s="1"/>
  <c r="S162" i="38"/>
  <c r="T109" i="36" s="1"/>
  <c r="AZ109" i="36" s="1"/>
  <c r="S161" i="38"/>
  <c r="S165" i="38" s="1"/>
  <c r="S159" i="38"/>
  <c r="S163" i="38" s="1"/>
  <c r="M213" i="19"/>
  <c r="M214" i="19" s="1"/>
  <c r="N180" i="19"/>
  <c r="Q302" i="38"/>
  <c r="Q301" i="38"/>
  <c r="Q305" i="38" s="1"/>
  <c r="S68" i="45"/>
  <c r="T25" i="19"/>
  <c r="T43" i="19" s="1"/>
  <c r="T99" i="19" s="1"/>
  <c r="U19" i="19"/>
  <c r="U61" i="28"/>
  <c r="U57" i="29" s="1"/>
  <c r="U60" i="28"/>
  <c r="U63" i="28"/>
  <c r="U64" i="28"/>
  <c r="V59" i="28"/>
  <c r="O130" i="12"/>
  <c r="R300" i="38"/>
  <c r="R299" i="38"/>
  <c r="X24" i="28"/>
  <c r="Y18" i="28"/>
  <c r="R72" i="42"/>
  <c r="R76" i="42" s="1"/>
  <c r="R71" i="42"/>
  <c r="R75" i="42" s="1"/>
  <c r="R73" i="42"/>
  <c r="R70" i="42"/>
  <c r="R74" i="42" s="1"/>
  <c r="T295" i="38"/>
  <c r="T293" i="38"/>
  <c r="T294" i="38"/>
  <c r="T296" i="38"/>
  <c r="R84" i="20"/>
  <c r="S135" i="14"/>
  <c r="P96" i="12"/>
  <c r="O65" i="19"/>
  <c r="P96" i="14" s="1"/>
  <c r="U132" i="29"/>
  <c r="U31" i="29"/>
  <c r="Q172" i="28"/>
  <c r="Q171" i="28"/>
  <c r="Q183" i="28" s="1"/>
  <c r="Q184" i="28" s="1"/>
  <c r="Q301" i="42"/>
  <c r="Q305" i="42" s="1"/>
  <c r="Q302" i="42"/>
  <c r="L334" i="48"/>
  <c r="L337" i="48"/>
  <c r="L338" i="48"/>
  <c r="L339" i="48"/>
  <c r="L335" i="48"/>
  <c r="L336" i="48"/>
  <c r="P58" i="19"/>
  <c r="P54" i="19"/>
  <c r="S199" i="38"/>
  <c r="S203" i="38" s="1"/>
  <c r="S200" i="38"/>
  <c r="T101" i="36" s="1"/>
  <c r="AZ101" i="36" s="1"/>
  <c r="S197" i="38"/>
  <c r="S201" i="38" s="1"/>
  <c r="S198" i="38"/>
  <c r="S202" i="38" s="1"/>
  <c r="AT9" i="55"/>
  <c r="O97" i="14"/>
  <c r="O154" i="14"/>
  <c r="N224" i="19"/>
  <c r="AB24" i="16"/>
  <c r="AB23" i="16"/>
  <c r="AC22" i="16"/>
  <c r="O86" i="19"/>
  <c r="P133" i="14" s="1"/>
  <c r="P133" i="12"/>
  <c r="X21" i="15"/>
  <c r="Q175" i="48"/>
  <c r="Q180" i="48" s="1"/>
  <c r="Q178" i="48"/>
  <c r="Q183" i="48" s="1"/>
  <c r="Q177" i="48"/>
  <c r="Q182" i="48" s="1"/>
  <c r="Q176" i="48"/>
  <c r="Q181" i="48" s="1"/>
  <c r="Q179" i="48"/>
  <c r="AU76" i="45"/>
  <c r="O78" i="45"/>
  <c r="T131" i="38"/>
  <c r="T150" i="38" s="1"/>
  <c r="T132" i="38"/>
  <c r="T158" i="38" s="1"/>
  <c r="T130" i="38"/>
  <c r="T142" i="38" s="1"/>
  <c r="T59" i="16"/>
  <c r="O318" i="38"/>
  <c r="O319" i="38" s="1"/>
  <c r="O321" i="38" s="1"/>
  <c r="AS120" i="36"/>
  <c r="M122" i="36"/>
  <c r="M125" i="36"/>
  <c r="P71" i="19"/>
  <c r="Q116" i="14" s="1"/>
  <c r="Q116" i="12"/>
  <c r="S134" i="16"/>
  <c r="S133" i="16" a="1"/>
  <c r="S133" i="16" s="1"/>
  <c r="S77" i="16"/>
  <c r="S68" i="16"/>
  <c r="AV77" i="51"/>
  <c r="O259" i="54"/>
  <c r="AV78" i="51" s="1"/>
  <c r="U47" i="29"/>
  <c r="U142" i="29" s="1"/>
  <c r="N278" i="20"/>
  <c r="N279" i="20"/>
  <c r="S94" i="38"/>
  <c r="S98" i="38" s="1"/>
  <c r="S96" i="38"/>
  <c r="S100" i="38" s="1"/>
  <c r="S95" i="38"/>
  <c r="S99" i="38" s="1"/>
  <c r="S97" i="38"/>
  <c r="T108" i="36" s="1"/>
  <c r="AZ108" i="36" s="1"/>
  <c r="I163" i="12"/>
  <c r="I157" i="12"/>
  <c r="Y21" i="29"/>
  <c r="X27" i="29"/>
  <c r="S96" i="42"/>
  <c r="S100" i="42" s="1"/>
  <c r="S95" i="42"/>
  <c r="S99" i="42" s="1"/>
  <c r="S97" i="42"/>
  <c r="S94" i="42"/>
  <c r="S98" i="42" s="1"/>
  <c r="AW70" i="45"/>
  <c r="R140" i="16"/>
  <c r="H363" i="48"/>
  <c r="AO120" i="45" s="1"/>
  <c r="H361" i="48"/>
  <c r="W136" i="53"/>
  <c r="W137" i="53" s="1"/>
  <c r="X63" i="51" s="1"/>
  <c r="W138" i="53"/>
  <c r="W139" i="53" s="1"/>
  <c r="X69" i="51" s="1"/>
  <c r="W134" i="53"/>
  <c r="O228" i="12"/>
  <c r="M230" i="19"/>
  <c r="M231" i="19"/>
  <c r="O179" i="29"/>
  <c r="AT118" i="45"/>
  <c r="Q209" i="48"/>
  <c r="Q214" i="48" s="1"/>
  <c r="Q208" i="48"/>
  <c r="Q213" i="48" s="1"/>
  <c r="Q207" i="48"/>
  <c r="Q212" i="48" s="1"/>
  <c r="Q210" i="48"/>
  <c r="Q215" i="48" s="1"/>
  <c r="Q211" i="48"/>
  <c r="W61" i="15"/>
  <c r="V85" i="29"/>
  <c r="U208" i="54"/>
  <c r="W28" i="54"/>
  <c r="W43" i="54" s="1"/>
  <c r="X22" i="54"/>
  <c r="Q133" i="12"/>
  <c r="R158" i="29"/>
  <c r="R157" i="29"/>
  <c r="R169" i="29" s="1"/>
  <c r="T232" i="42"/>
  <c r="T234" i="42" s="1"/>
  <c r="U231" i="42"/>
  <c r="AY33" i="45"/>
  <c r="O89" i="19"/>
  <c r="P140" i="14" s="1"/>
  <c r="P140" i="12"/>
  <c r="O266" i="20"/>
  <c r="T49" i="15"/>
  <c r="X40" i="16"/>
  <c r="P185" i="28"/>
  <c r="Q227" i="12"/>
  <c r="W123" i="16"/>
  <c r="V36" i="29"/>
  <c r="V42" i="29" s="1"/>
  <c r="W43" i="16"/>
  <c r="U121" i="20"/>
  <c r="U122" i="20"/>
  <c r="U125" i="20"/>
  <c r="U123" i="20"/>
  <c r="U124" i="20"/>
  <c r="U120" i="20"/>
  <c r="V119" i="20"/>
  <c r="L72" i="16"/>
  <c r="K197" i="29"/>
  <c r="L73" i="16" s="1"/>
  <c r="M325" i="46"/>
  <c r="M326" i="46"/>
  <c r="Q105" i="12"/>
  <c r="S99" i="19"/>
  <c r="W25" i="38"/>
  <c r="W40" i="38" s="1"/>
  <c r="X19" i="38"/>
  <c r="L331" i="48"/>
  <c r="L343" i="48" s="1"/>
  <c r="L344" i="48" s="1"/>
  <c r="L332" i="48"/>
  <c r="L191" i="29"/>
  <c r="T217" i="42"/>
  <c r="T219" i="42" s="1"/>
  <c r="U216" i="42"/>
  <c r="T67" i="16"/>
  <c r="T46" i="16"/>
  <c r="P105" i="14"/>
  <c r="S220" i="42"/>
  <c r="S224" i="42" s="1"/>
  <c r="S222" i="42"/>
  <c r="S226" i="42" s="1"/>
  <c r="S223" i="42"/>
  <c r="S221" i="42"/>
  <c r="S225" i="42" s="1"/>
  <c r="T67" i="15"/>
  <c r="T46" i="15"/>
  <c r="S202" i="46"/>
  <c r="S216" i="46"/>
  <c r="S206" i="46"/>
  <c r="S226" i="46"/>
  <c r="H20" i="55"/>
  <c r="H19" i="55"/>
  <c r="W25" i="28"/>
  <c r="W43" i="28" s="1"/>
  <c r="X19" i="28"/>
  <c r="O80" i="19"/>
  <c r="P111" i="14" s="1"/>
  <c r="P111" i="12"/>
  <c r="W28" i="46"/>
  <c r="X22" i="46"/>
  <c r="AU97" i="45"/>
  <c r="O100" i="45"/>
  <c r="O113" i="45"/>
  <c r="S146" i="38"/>
  <c r="T100" i="36" s="1"/>
  <c r="AZ100" i="36" s="1"/>
  <c r="S145" i="38"/>
  <c r="S149" i="38" s="1"/>
  <c r="S143" i="38"/>
  <c r="S147" i="38" s="1"/>
  <c r="S144" i="38"/>
  <c r="S148" i="38" s="1"/>
  <c r="L219" i="19"/>
  <c r="L217" i="19"/>
  <c r="L215" i="19"/>
  <c r="L218" i="19"/>
  <c r="L216" i="19"/>
  <c r="L220" i="19"/>
  <c r="S135" i="16"/>
  <c r="Q280" i="42"/>
  <c r="Q281" i="42" s="1"/>
  <c r="R247" i="42"/>
  <c r="AM6" i="55"/>
  <c r="U62" i="15"/>
  <c r="T59" i="29"/>
  <c r="U62" i="16" s="1"/>
  <c r="AV128" i="36"/>
  <c r="R243" i="42"/>
  <c r="R246" i="42"/>
  <c r="Y17" i="16"/>
  <c r="V44" i="53"/>
  <c r="V204" i="53" s="1"/>
  <c r="U26" i="20"/>
  <c r="U44" i="20" s="1"/>
  <c r="V20" i="20"/>
  <c r="V306" i="48"/>
  <c r="V31" i="48"/>
  <c r="AR125" i="36"/>
  <c r="AR122" i="36"/>
  <c r="O111" i="45"/>
  <c r="O112" i="45"/>
  <c r="O110" i="45"/>
  <c r="R70" i="45"/>
  <c r="N193" i="28"/>
  <c r="AZ71" i="51"/>
  <c r="R164" i="28"/>
  <c r="R161" i="28"/>
  <c r="R162" i="28"/>
  <c r="R163" i="28"/>
  <c r="S82" i="45"/>
  <c r="S25" i="45"/>
  <c r="R34" i="46"/>
  <c r="S24" i="45"/>
  <c r="S26" i="45"/>
  <c r="P99" i="46"/>
  <c r="P44" i="46"/>
  <c r="P316" i="46" s="1"/>
  <c r="P79" i="46"/>
  <c r="P109" i="46"/>
  <c r="P69" i="46"/>
  <c r="X24" i="48"/>
  <c r="Y18" i="48"/>
  <c r="P57" i="19"/>
  <c r="P53" i="19"/>
  <c r="T33" i="28"/>
  <c r="T34" i="28"/>
  <c r="Q232" i="54"/>
  <c r="Q233" i="54"/>
  <c r="Q236" i="54" s="1"/>
  <c r="S192" i="38"/>
  <c r="T91" i="36" s="1"/>
  <c r="S189" i="38"/>
  <c r="S193" i="38" s="1"/>
  <c r="S190" i="38"/>
  <c r="S194" i="38" s="1"/>
  <c r="S191" i="38"/>
  <c r="S195" i="38" s="1"/>
  <c r="S212" i="20"/>
  <c r="S170" i="19" s="1"/>
  <c r="S213" i="20"/>
  <c r="S171" i="19" s="1"/>
  <c r="S214" i="20"/>
  <c r="S172" i="19" s="1"/>
  <c r="S216" i="20"/>
  <c r="S174" i="19" s="1"/>
  <c r="S215" i="20"/>
  <c r="S169" i="19"/>
  <c r="T135" i="12"/>
  <c r="O154" i="12"/>
  <c r="O97" i="12"/>
  <c r="O108" i="12"/>
  <c r="W26" i="28"/>
  <c r="W44" i="28" s="1"/>
  <c r="W80" i="29" s="1"/>
  <c r="W79" i="29" s="1"/>
  <c r="X20" i="28"/>
  <c r="T63" i="54"/>
  <c r="T159" i="54" s="1"/>
  <c r="T69" i="54"/>
  <c r="T70" i="54" s="1"/>
  <c r="AA25" i="16"/>
  <c r="R199" i="20"/>
  <c r="R160" i="19" s="1"/>
  <c r="R203" i="20"/>
  <c r="R164" i="19" s="1"/>
  <c r="R201" i="20"/>
  <c r="R162" i="19" s="1"/>
  <c r="R200" i="20"/>
  <c r="R161" i="19" s="1"/>
  <c r="R159" i="19"/>
  <c r="S123" i="14" s="1"/>
  <c r="R202" i="20"/>
  <c r="P128" i="12"/>
  <c r="O83" i="19"/>
  <c r="P128" i="14" s="1"/>
  <c r="T49" i="16"/>
  <c r="Q148" i="28"/>
  <c r="Q149" i="28" s="1"/>
  <c r="R214" i="28"/>
  <c r="J258" i="19"/>
  <c r="T63" i="53"/>
  <c r="T159" i="53" s="1"/>
  <c r="T69" i="53"/>
  <c r="T70" i="53" s="1"/>
  <c r="U49" i="51" s="1"/>
  <c r="R136" i="42"/>
  <c r="R140" i="42" s="1"/>
  <c r="R135" i="42"/>
  <c r="R139" i="42" s="1"/>
  <c r="R137" i="42"/>
  <c r="R141" i="42" s="1"/>
  <c r="R138" i="42"/>
  <c r="T129" i="38"/>
  <c r="T134" i="38"/>
  <c r="I160" i="12"/>
  <c r="X24" i="29"/>
  <c r="Y18" i="29"/>
  <c r="Q121" i="12"/>
  <c r="P74" i="19"/>
  <c r="Q121" i="14" s="1"/>
  <c r="X27" i="38"/>
  <c r="X42" i="38" s="1"/>
  <c r="Y21" i="38"/>
  <c r="O273" i="19"/>
  <c r="O272" i="19"/>
  <c r="O222" i="19"/>
  <c r="O221" i="19"/>
  <c r="O225" i="19"/>
  <c r="R145" i="46"/>
  <c r="R150" i="46" s="1"/>
  <c r="R146" i="46"/>
  <c r="R151" i="46" s="1"/>
  <c r="R148" i="46"/>
  <c r="R153" i="46" s="1"/>
  <c r="R147" i="46"/>
  <c r="R152" i="46" s="1"/>
  <c r="R144" i="48"/>
  <c r="R149" i="46"/>
  <c r="S83" i="45" s="1"/>
  <c r="O251" i="54"/>
  <c r="AV75" i="51" s="1"/>
  <c r="O249" i="54"/>
  <c r="W121" i="16"/>
  <c r="W42" i="16"/>
  <c r="Q147" i="48"/>
  <c r="Q152" i="48" s="1"/>
  <c r="Q145" i="48"/>
  <c r="Q150" i="48" s="1"/>
  <c r="Q148" i="48"/>
  <c r="Q153" i="48" s="1"/>
  <c r="Q146" i="48"/>
  <c r="Q151" i="48" s="1"/>
  <c r="Q149" i="48"/>
  <c r="S110" i="36"/>
  <c r="Q163" i="19"/>
  <c r="BW7" i="55"/>
  <c r="T66" i="16"/>
  <c r="AX77" i="45"/>
  <c r="U61" i="48"/>
  <c r="U62" i="48"/>
  <c r="U65" i="48"/>
  <c r="U64" i="48"/>
  <c r="U66" i="48"/>
  <c r="U67" i="48"/>
  <c r="V60" i="48"/>
  <c r="U108" i="28"/>
  <c r="V107" i="28"/>
  <c r="T66" i="38"/>
  <c r="T85" i="38" s="1"/>
  <c r="T62" i="38"/>
  <c r="T65" i="38"/>
  <c r="T93" i="38" s="1"/>
  <c r="T61" i="38"/>
  <c r="T67" i="38"/>
  <c r="T101" i="38" s="1"/>
  <c r="T64" i="38"/>
  <c r="T77" i="38" s="1"/>
  <c r="U60" i="38"/>
  <c r="BC63" i="51"/>
  <c r="L294" i="20"/>
  <c r="L296" i="20" s="1"/>
  <c r="L295" i="20"/>
  <c r="N150" i="12"/>
  <c r="X40" i="15"/>
  <c r="X39" i="16"/>
  <c r="X13" i="16"/>
  <c r="Q129" i="14"/>
  <c r="T127" i="42"/>
  <c r="T128" i="42"/>
  <c r="U126" i="42"/>
  <c r="V129" i="15"/>
  <c r="V131" i="15"/>
  <c r="U200" i="48"/>
  <c r="U137" i="48"/>
  <c r="U201" i="48"/>
  <c r="U138" i="48"/>
  <c r="V136" i="48"/>
  <c r="T168" i="20"/>
  <c r="T169" i="20"/>
  <c r="T171" i="20"/>
  <c r="T185" i="20" s="1"/>
  <c r="T170" i="20"/>
  <c r="T179" i="20" s="1"/>
  <c r="T167" i="20"/>
  <c r="T173" i="20" s="1"/>
  <c r="U166" i="20"/>
  <c r="K349" i="46"/>
  <c r="K259" i="19"/>
  <c r="K268" i="19" s="1"/>
  <c r="L156" i="14" s="1"/>
  <c r="R166" i="46"/>
  <c r="R171" i="46" s="1"/>
  <c r="R168" i="46"/>
  <c r="R173" i="46" s="1"/>
  <c r="R165" i="46"/>
  <c r="R170" i="46" s="1"/>
  <c r="R167" i="46"/>
  <c r="R172" i="46" s="1"/>
  <c r="R164" i="48"/>
  <c r="R169" i="46"/>
  <c r="S77" i="45" s="1"/>
  <c r="O172" i="29"/>
  <c r="O173" i="29" s="1"/>
  <c r="O175" i="29" s="1"/>
  <c r="Q34" i="48"/>
  <c r="AX24" i="45"/>
  <c r="AX25" i="45"/>
  <c r="AX82" i="45"/>
  <c r="AX26" i="45"/>
  <c r="M290" i="20"/>
  <c r="M291" i="20" s="1"/>
  <c r="M292" i="20"/>
  <c r="M293" i="20" s="1"/>
  <c r="U83" i="28"/>
  <c r="U70" i="29" s="1"/>
  <c r="U85" i="28"/>
  <c r="U72" i="29" s="1"/>
  <c r="U86" i="28"/>
  <c r="U88" i="28"/>
  <c r="V82" i="28"/>
  <c r="U87" i="28"/>
  <c r="U84" i="28"/>
  <c r="R140" i="15"/>
  <c r="BA41" i="45"/>
  <c r="I259" i="19"/>
  <c r="I266" i="19" s="1"/>
  <c r="P167" i="28"/>
  <c r="P168" i="28"/>
  <c r="V29" i="46"/>
  <c r="S237" i="42"/>
  <c r="S241" i="42" s="1"/>
  <c r="S235" i="42"/>
  <c r="S239" i="42" s="1"/>
  <c r="S236" i="42"/>
  <c r="S240" i="42" s="1"/>
  <c r="S238" i="42"/>
  <c r="O90" i="19"/>
  <c r="P143" i="14" s="1"/>
  <c r="P143" i="12"/>
  <c r="S58" i="45"/>
  <c r="R37" i="46"/>
  <c r="S59" i="45"/>
  <c r="S104" i="45"/>
  <c r="S60" i="45"/>
  <c r="O107" i="14"/>
  <c r="O129" i="12"/>
  <c r="N320" i="48"/>
  <c r="N317" i="48"/>
  <c r="S139" i="15"/>
  <c r="Y20" i="15"/>
  <c r="T139" i="20"/>
  <c r="U94" i="12"/>
  <c r="O93" i="45"/>
  <c r="AU93" i="45"/>
  <c r="AU94" i="45"/>
  <c r="O94" i="45"/>
  <c r="U31" i="38"/>
  <c r="U278" i="38"/>
  <c r="U289" i="38" s="1"/>
  <c r="Q106" i="12"/>
  <c r="P77" i="19"/>
  <c r="Q106" i="14" s="1"/>
  <c r="T210" i="53"/>
  <c r="T209" i="53"/>
  <c r="T212" i="53"/>
  <c r="T211" i="53"/>
  <c r="S135" i="15"/>
  <c r="K363" i="46"/>
  <c r="L120" i="45" s="1"/>
  <c r="K361" i="46"/>
  <c r="Z11" i="15"/>
  <c r="L196" i="29"/>
  <c r="Q62" i="19" l="1"/>
  <c r="Q60" i="19"/>
  <c r="AV4" i="55"/>
  <c r="T67" i="45"/>
  <c r="Q97" i="20"/>
  <c r="O232" i="12"/>
  <c r="Q88" i="19"/>
  <c r="M345" i="46"/>
  <c r="M348" i="46" s="1"/>
  <c r="M353" i="46" s="1"/>
  <c r="M354" i="46" s="1"/>
  <c r="Q99" i="20"/>
  <c r="R136" i="12"/>
  <c r="Q100" i="20"/>
  <c r="AY57" i="45"/>
  <c r="AY58" i="45" s="1"/>
  <c r="V43" i="45"/>
  <c r="W24" i="42"/>
  <c r="W39" i="42" s="1"/>
  <c r="X18" i="42"/>
  <c r="V42" i="45"/>
  <c r="V95" i="45"/>
  <c r="V44" i="45"/>
  <c r="W24" i="38"/>
  <c r="W39" i="38" s="1"/>
  <c r="X18" i="38"/>
  <c r="V39" i="38"/>
  <c r="V44" i="38" s="1"/>
  <c r="V288" i="38" s="1"/>
  <c r="V29" i="38"/>
  <c r="U127" i="20"/>
  <c r="U133" i="20"/>
  <c r="AV112" i="45"/>
  <c r="BX6" i="55"/>
  <c r="S229" i="54"/>
  <c r="S230" i="54" s="1"/>
  <c r="S233" i="54" s="1"/>
  <c r="S234" i="54" s="1"/>
  <c r="O271" i="48"/>
  <c r="W29" i="53"/>
  <c r="AY67" i="45"/>
  <c r="U139" i="48"/>
  <c r="Q220" i="20"/>
  <c r="P176" i="19"/>
  <c r="P271" i="46"/>
  <c r="J155" i="14"/>
  <c r="P74" i="51"/>
  <c r="Q77" i="51"/>
  <c r="P259" i="53"/>
  <c r="Q78" i="51" s="1"/>
  <c r="L158" i="14"/>
  <c r="L162" i="14"/>
  <c r="R128" i="36"/>
  <c r="Q259" i="53"/>
  <c r="R78" i="51" s="1"/>
  <c r="R77" i="51"/>
  <c r="J122" i="45"/>
  <c r="AW77" i="51"/>
  <c r="P259" i="54"/>
  <c r="AW78" i="51" s="1"/>
  <c r="L119" i="45"/>
  <c r="K365" i="46"/>
  <c r="K370" i="46"/>
  <c r="L125" i="45" s="1"/>
  <c r="U71" i="29"/>
  <c r="V48" i="16" s="1"/>
  <c r="V48" i="15"/>
  <c r="U168" i="20"/>
  <c r="U169" i="20"/>
  <c r="U170" i="20"/>
  <c r="U179" i="20" s="1"/>
  <c r="U167" i="20"/>
  <c r="U173" i="20" s="1"/>
  <c r="U171" i="20"/>
  <c r="U185" i="20" s="1"/>
  <c r="V166" i="20"/>
  <c r="U204" i="48"/>
  <c r="U203" i="48"/>
  <c r="L300" i="20"/>
  <c r="T95" i="38"/>
  <c r="T99" i="38" s="1"/>
  <c r="T97" i="38"/>
  <c r="U108" i="36" s="1"/>
  <c r="BA108" i="36" s="1"/>
  <c r="T96" i="38"/>
  <c r="T100" i="38" s="1"/>
  <c r="T94" i="38"/>
  <c r="T98" i="38" s="1"/>
  <c r="Y27" i="38"/>
  <c r="Y42" i="38" s="1"/>
  <c r="Z21" i="38"/>
  <c r="BA49" i="51"/>
  <c r="U51" i="51"/>
  <c r="U72" i="51"/>
  <c r="P71" i="46"/>
  <c r="P76" i="46" s="1"/>
  <c r="P72" i="46"/>
  <c r="P77" i="46" s="1"/>
  <c r="P70" i="46"/>
  <c r="P75" i="46" s="1"/>
  <c r="P73" i="46"/>
  <c r="P78" i="46" s="1"/>
  <c r="P69" i="48"/>
  <c r="P74" i="46"/>
  <c r="Q76" i="45" s="1"/>
  <c r="V26" i="20"/>
  <c r="V44" i="20" s="1"/>
  <c r="W20" i="20"/>
  <c r="X28" i="46"/>
  <c r="Y22" i="46"/>
  <c r="S219" i="46"/>
  <c r="S224" i="46" s="1"/>
  <c r="S218" i="46"/>
  <c r="S223" i="46" s="1"/>
  <c r="S220" i="46"/>
  <c r="S225" i="46" s="1"/>
  <c r="S217" i="46"/>
  <c r="S222" i="46" s="1"/>
  <c r="S216" i="48"/>
  <c r="S221" i="46"/>
  <c r="T99" i="45" s="1"/>
  <c r="O284" i="20"/>
  <c r="O282" i="20"/>
  <c r="O285" i="20"/>
  <c r="O286" i="20"/>
  <c r="O283" i="20"/>
  <c r="O281" i="20"/>
  <c r="I268" i="19"/>
  <c r="J156" i="14" s="1"/>
  <c r="Y22" i="54"/>
  <c r="X28" i="54"/>
  <c r="X43" i="54" s="1"/>
  <c r="BD69" i="51"/>
  <c r="AU78" i="45"/>
  <c r="P149" i="12"/>
  <c r="Y24" i="28"/>
  <c r="Z18" i="28"/>
  <c r="U59" i="29"/>
  <c r="V62" i="16" s="1"/>
  <c r="V62" i="15"/>
  <c r="W332" i="38"/>
  <c r="P142" i="14"/>
  <c r="U70" i="51"/>
  <c r="BA66" i="51"/>
  <c r="T205" i="38"/>
  <c r="T209" i="38" s="1"/>
  <c r="T207" i="38"/>
  <c r="T211" i="38" s="1"/>
  <c r="T208" i="38"/>
  <c r="T206" i="38"/>
  <c r="T210" i="38" s="1"/>
  <c r="P130" i="12"/>
  <c r="T66" i="20"/>
  <c r="L345" i="48"/>
  <c r="Z20" i="16"/>
  <c r="Q92" i="19"/>
  <c r="R145" i="14" s="1"/>
  <c r="R145" i="12"/>
  <c r="BB69" i="45"/>
  <c r="R153" i="29"/>
  <c r="R154" i="29"/>
  <c r="M331" i="48"/>
  <c r="M343" i="48" s="1"/>
  <c r="M344" i="48" s="1"/>
  <c r="M332" i="48"/>
  <c r="AZ33" i="45"/>
  <c r="AW71" i="45"/>
  <c r="AW85" i="45"/>
  <c r="T214" i="54"/>
  <c r="T213" i="54"/>
  <c r="O262" i="20"/>
  <c r="O260" i="20"/>
  <c r="O259" i="20"/>
  <c r="O257" i="20"/>
  <c r="O258" i="20"/>
  <c r="O261" i="20"/>
  <c r="U129" i="38"/>
  <c r="U134" i="38"/>
  <c r="Y125" i="15"/>
  <c r="X37" i="28"/>
  <c r="Y47" i="15"/>
  <c r="N331" i="46"/>
  <c r="N343" i="46" s="1"/>
  <c r="N344" i="46" s="1"/>
  <c r="N332" i="46"/>
  <c r="AC23" i="15"/>
  <c r="AC24" i="15"/>
  <c r="AD22" i="15"/>
  <c r="M276" i="20"/>
  <c r="M280" i="20" s="1"/>
  <c r="M277" i="20"/>
  <c r="V208" i="54"/>
  <c r="P139" i="29"/>
  <c r="P140" i="29"/>
  <c r="P137" i="29"/>
  <c r="P138" i="29"/>
  <c r="P141" i="29"/>
  <c r="P136" i="29"/>
  <c r="U33" i="45"/>
  <c r="O233" i="12"/>
  <c r="O234" i="12" s="1"/>
  <c r="AZ70" i="51"/>
  <c r="Q141" i="14"/>
  <c r="R222" i="54"/>
  <c r="R227" i="54"/>
  <c r="R224" i="54"/>
  <c r="R223" i="54"/>
  <c r="R225" i="54"/>
  <c r="R226" i="54"/>
  <c r="Y35" i="16"/>
  <c r="T150" i="20"/>
  <c r="T126" i="19" s="1"/>
  <c r="T148" i="20"/>
  <c r="T124" i="19" s="1"/>
  <c r="T149" i="20"/>
  <c r="T125" i="19" s="1"/>
  <c r="T146" i="20"/>
  <c r="T122" i="19" s="1"/>
  <c r="T147" i="20"/>
  <c r="T123" i="19" s="1"/>
  <c r="T121" i="19"/>
  <c r="U138" i="14" s="1"/>
  <c r="U138" i="12"/>
  <c r="P325" i="38"/>
  <c r="P326" i="38" s="1"/>
  <c r="R218" i="48"/>
  <c r="R223" i="48" s="1"/>
  <c r="R219" i="48"/>
  <c r="R224" i="48" s="1"/>
  <c r="R217" i="48"/>
  <c r="R222" i="48" s="1"/>
  <c r="R220" i="48"/>
  <c r="R225" i="48" s="1"/>
  <c r="R221" i="48"/>
  <c r="AV97" i="45"/>
  <c r="P100" i="45"/>
  <c r="P113" i="45"/>
  <c r="L235" i="19"/>
  <c r="L234" i="19"/>
  <c r="L238" i="19" s="1"/>
  <c r="P118" i="14"/>
  <c r="R218" i="54"/>
  <c r="R217" i="54"/>
  <c r="R221" i="54" s="1"/>
  <c r="Q142" i="14"/>
  <c r="I361" i="46"/>
  <c r="AB9" i="15"/>
  <c r="Y40" i="16"/>
  <c r="R111" i="12"/>
  <c r="Q80" i="19"/>
  <c r="R111" i="14" s="1"/>
  <c r="R236" i="53"/>
  <c r="K329" i="48"/>
  <c r="K333" i="48" s="1"/>
  <c r="K330" i="48"/>
  <c r="Q309" i="42"/>
  <c r="Q310" i="42"/>
  <c r="Q307" i="42"/>
  <c r="Q311" i="42"/>
  <c r="Q308" i="42"/>
  <c r="Q306" i="42"/>
  <c r="M250" i="19"/>
  <c r="M251" i="19" s="1"/>
  <c r="U236" i="38"/>
  <c r="U240" i="38" s="1"/>
  <c r="U237" i="38"/>
  <c r="U241" i="38" s="1"/>
  <c r="U238" i="38"/>
  <c r="V107" i="36" s="1"/>
  <c r="U235" i="38"/>
  <c r="U239" i="38" s="1"/>
  <c r="P318" i="42"/>
  <c r="P319" i="42" s="1"/>
  <c r="P321" i="42" s="1"/>
  <c r="N126" i="36"/>
  <c r="M343" i="38"/>
  <c r="N127" i="36" s="1"/>
  <c r="U76" i="53"/>
  <c r="V67" i="51"/>
  <c r="S29" i="20"/>
  <c r="S42" i="20"/>
  <c r="S78" i="20" s="1"/>
  <c r="W332" i="42"/>
  <c r="Q53" i="19"/>
  <c r="Y24" i="54"/>
  <c r="Z18" i="54"/>
  <c r="T58" i="29"/>
  <c r="T114" i="28"/>
  <c r="T213" i="28"/>
  <c r="W41" i="45"/>
  <c r="Q196" i="53"/>
  <c r="Q197" i="53" s="1"/>
  <c r="R163" i="53"/>
  <c r="S146" i="46"/>
  <c r="S151" i="46" s="1"/>
  <c r="S147" i="46"/>
  <c r="S152" i="46" s="1"/>
  <c r="S145" i="46"/>
  <c r="S150" i="46" s="1"/>
  <c r="S144" i="48"/>
  <c r="S149" i="46"/>
  <c r="T83" i="45" s="1"/>
  <c r="S148" i="46"/>
  <c r="S153" i="46" s="1"/>
  <c r="R208" i="48"/>
  <c r="R213" i="48" s="1"/>
  <c r="R209" i="48"/>
  <c r="R214" i="48" s="1"/>
  <c r="R207" i="48"/>
  <c r="R212" i="48" s="1"/>
  <c r="R211" i="48"/>
  <c r="R210" i="48"/>
  <c r="R215" i="48" s="1"/>
  <c r="T139" i="16"/>
  <c r="P117" i="12"/>
  <c r="S159" i="42"/>
  <c r="S163" i="42" s="1"/>
  <c r="S160" i="42"/>
  <c r="S164" i="42" s="1"/>
  <c r="S162" i="42"/>
  <c r="S161" i="42"/>
  <c r="S165" i="42" s="1"/>
  <c r="AY111" i="36"/>
  <c r="AY113" i="36"/>
  <c r="AY112" i="36"/>
  <c r="T73" i="51"/>
  <c r="W29" i="42"/>
  <c r="T139" i="46"/>
  <c r="T144" i="46"/>
  <c r="I10" i="55"/>
  <c r="T219" i="53"/>
  <c r="T231" i="53" s="1"/>
  <c r="T220" i="53"/>
  <c r="AX87" i="45"/>
  <c r="AA124" i="16"/>
  <c r="Z38" i="29"/>
  <c r="AA54" i="16"/>
  <c r="O150" i="12"/>
  <c r="P111" i="46"/>
  <c r="P116" i="46" s="1"/>
  <c r="P113" i="46"/>
  <c r="P118" i="46" s="1"/>
  <c r="P112" i="46"/>
  <c r="P117" i="46" s="1"/>
  <c r="P110" i="46"/>
  <c r="P115" i="46" s="1"/>
  <c r="P109" i="48"/>
  <c r="P114" i="46"/>
  <c r="Q97" i="45" s="1"/>
  <c r="P274" i="46"/>
  <c r="S72" i="45"/>
  <c r="S86" i="45"/>
  <c r="R171" i="28"/>
  <c r="R183" i="28" s="1"/>
  <c r="R172" i="28"/>
  <c r="W43" i="46"/>
  <c r="U217" i="42"/>
  <c r="U219" i="42" s="1"/>
  <c r="V216" i="42"/>
  <c r="Q228" i="12"/>
  <c r="V122" i="20"/>
  <c r="V121" i="20"/>
  <c r="V125" i="20"/>
  <c r="V123" i="20"/>
  <c r="V120" i="20"/>
  <c r="V124" i="20"/>
  <c r="W119" i="20"/>
  <c r="V47" i="29"/>
  <c r="V142" i="29" s="1"/>
  <c r="P188" i="28"/>
  <c r="M232" i="19"/>
  <c r="M233" i="19"/>
  <c r="BD63" i="51"/>
  <c r="I159" i="12"/>
  <c r="W36" i="28"/>
  <c r="W42" i="28" s="1"/>
  <c r="X123" i="15"/>
  <c r="X43" i="15"/>
  <c r="AB25" i="16"/>
  <c r="U33" i="29"/>
  <c r="U34" i="29"/>
  <c r="U62" i="28"/>
  <c r="U56" i="29"/>
  <c r="V44" i="16" s="1"/>
  <c r="V44" i="15"/>
  <c r="N213" i="19"/>
  <c r="N214" i="19" s="1"/>
  <c r="O180" i="19"/>
  <c r="N335" i="38"/>
  <c r="O121" i="36" s="1"/>
  <c r="AU121" i="36" s="1"/>
  <c r="N333" i="38"/>
  <c r="Q228" i="14"/>
  <c r="T132" i="20"/>
  <c r="T108" i="19" s="1"/>
  <c r="T129" i="20"/>
  <c r="T105" i="19" s="1"/>
  <c r="T131" i="20"/>
  <c r="T107" i="19" s="1"/>
  <c r="T128" i="20"/>
  <c r="T104" i="19" s="1"/>
  <c r="T103" i="19"/>
  <c r="U103" i="14" s="1"/>
  <c r="T130" i="20"/>
  <c r="U103" i="12"/>
  <c r="P142" i="12"/>
  <c r="P229" i="12"/>
  <c r="T162" i="53"/>
  <c r="T69" i="20"/>
  <c r="T68" i="20"/>
  <c r="T67" i="20"/>
  <c r="T70" i="20"/>
  <c r="Q167" i="28"/>
  <c r="Q168" i="28"/>
  <c r="U207" i="28"/>
  <c r="U208" i="28"/>
  <c r="U156" i="28"/>
  <c r="R143" i="12"/>
  <c r="Q90" i="19"/>
  <c r="R143" i="14" s="1"/>
  <c r="BB18" i="45"/>
  <c r="Z17" i="15"/>
  <c r="P111" i="45"/>
  <c r="P112" i="45"/>
  <c r="P110" i="45"/>
  <c r="AZ30" i="45"/>
  <c r="X26" i="46"/>
  <c r="X41" i="46" s="1"/>
  <c r="Y20" i="46"/>
  <c r="S141" i="15"/>
  <c r="S142" i="15" s="1"/>
  <c r="AZ21" i="45"/>
  <c r="U185" i="38"/>
  <c r="U186" i="38"/>
  <c r="BA67" i="51"/>
  <c r="BA71" i="51" s="1"/>
  <c r="Y121" i="15"/>
  <c r="X39" i="53"/>
  <c r="S207" i="42"/>
  <c r="S211" i="42" s="1"/>
  <c r="S206" i="42"/>
  <c r="S210" i="42" s="1"/>
  <c r="S205" i="42"/>
  <c r="S209" i="42" s="1"/>
  <c r="S208" i="42"/>
  <c r="V31" i="54"/>
  <c r="V194" i="54"/>
  <c r="V205" i="54" s="1"/>
  <c r="P80" i="45"/>
  <c r="P79" i="45"/>
  <c r="P81" i="45"/>
  <c r="AV81" i="45"/>
  <c r="AV79" i="45"/>
  <c r="AV80" i="45"/>
  <c r="Q83" i="20"/>
  <c r="Q75" i="19" s="1"/>
  <c r="Q82" i="20"/>
  <c r="Q79" i="20"/>
  <c r="Q80" i="20"/>
  <c r="R114" i="12"/>
  <c r="Q81" i="20"/>
  <c r="Q70" i="19"/>
  <c r="R114" i="14" s="1"/>
  <c r="V241" i="48"/>
  <c r="W240" i="48"/>
  <c r="BX7" i="55"/>
  <c r="T97" i="19"/>
  <c r="BB41" i="45"/>
  <c r="AB41" i="16"/>
  <c r="X17" i="45"/>
  <c r="X18" i="45" s="1"/>
  <c r="Y16" i="45"/>
  <c r="BD16" i="45"/>
  <c r="O112" i="48"/>
  <c r="O117" i="48" s="1"/>
  <c r="O110" i="48"/>
  <c r="O115" i="48" s="1"/>
  <c r="O111" i="48"/>
  <c r="O116" i="48" s="1"/>
  <c r="O113" i="48"/>
  <c r="O118" i="48" s="1"/>
  <c r="O114" i="48"/>
  <c r="O274" i="48"/>
  <c r="T34" i="45"/>
  <c r="T102" i="42"/>
  <c r="T106" i="42" s="1"/>
  <c r="T103" i="42"/>
  <c r="T107" i="42" s="1"/>
  <c r="T104" i="42"/>
  <c r="T108" i="42" s="1"/>
  <c r="T105" i="42"/>
  <c r="S206" i="53"/>
  <c r="S207" i="53" s="1"/>
  <c r="S229" i="53"/>
  <c r="S230" i="53" s="1"/>
  <c r="S103" i="36"/>
  <c r="S105" i="36"/>
  <c r="AU118" i="45"/>
  <c r="V154" i="54"/>
  <c r="V156" i="54" s="1"/>
  <c r="W153" i="54"/>
  <c r="Q33" i="20"/>
  <c r="Q34" i="20"/>
  <c r="R29" i="19"/>
  <c r="R42" i="19"/>
  <c r="R54" i="19" s="1"/>
  <c r="R105" i="14"/>
  <c r="S300" i="42"/>
  <c r="S299" i="42"/>
  <c r="AY107" i="45"/>
  <c r="R280" i="38"/>
  <c r="R281" i="38" s="1"/>
  <c r="S247" i="38"/>
  <c r="BC56" i="51"/>
  <c r="AT120" i="36"/>
  <c r="N125" i="36"/>
  <c r="N122" i="36"/>
  <c r="AY103" i="36"/>
  <c r="AY105" i="36"/>
  <c r="BB61" i="51"/>
  <c r="V64" i="51"/>
  <c r="S70" i="45"/>
  <c r="X39" i="54"/>
  <c r="U67" i="16"/>
  <c r="U46" i="16"/>
  <c r="X25" i="54"/>
  <c r="X40" i="54" s="1"/>
  <c r="Y19" i="54"/>
  <c r="P201" i="53"/>
  <c r="P199" i="53"/>
  <c r="P203" i="53"/>
  <c r="P200" i="53"/>
  <c r="P202" i="53"/>
  <c r="P198" i="53"/>
  <c r="P117" i="14"/>
  <c r="Q130" i="12"/>
  <c r="W29" i="29"/>
  <c r="U263" i="46"/>
  <c r="U268" i="46" s="1"/>
  <c r="U264" i="46"/>
  <c r="U269" i="46" s="1"/>
  <c r="U262" i="46"/>
  <c r="U267" i="46" s="1"/>
  <c r="U261" i="46"/>
  <c r="U266" i="46" s="1"/>
  <c r="U260" i="48"/>
  <c r="U265" i="46"/>
  <c r="V105" i="45" s="1"/>
  <c r="Q100" i="12"/>
  <c r="P67" i="19"/>
  <c r="Q100" i="14" s="1"/>
  <c r="X28" i="29"/>
  <c r="X46" i="29" s="1"/>
  <c r="Y22" i="29"/>
  <c r="U294" i="38"/>
  <c r="U293" i="38"/>
  <c r="U296" i="38"/>
  <c r="U295" i="38"/>
  <c r="H370" i="46"/>
  <c r="Y40" i="15"/>
  <c r="Y42" i="15" s="1"/>
  <c r="U74" i="29"/>
  <c r="V45" i="16" s="1"/>
  <c r="V45" i="15"/>
  <c r="AX84" i="45"/>
  <c r="U202" i="48"/>
  <c r="Q227" i="14"/>
  <c r="T87" i="38"/>
  <c r="T91" i="38" s="1"/>
  <c r="T86" i="38"/>
  <c r="T90" i="38" s="1"/>
  <c r="T89" i="38"/>
  <c r="T88" i="38"/>
  <c r="T92" i="38" s="1"/>
  <c r="AV74" i="51"/>
  <c r="O253" i="54"/>
  <c r="O229" i="19"/>
  <c r="O226" i="19"/>
  <c r="O227" i="19"/>
  <c r="O228" i="19"/>
  <c r="Q117" i="14"/>
  <c r="T136" i="38"/>
  <c r="T140" i="38" s="1"/>
  <c r="T138" i="38"/>
  <c r="U85" i="36" s="1"/>
  <c r="T135" i="38"/>
  <c r="T139" i="38" s="1"/>
  <c r="T137" i="38"/>
  <c r="T141" i="38" s="1"/>
  <c r="AZ91" i="36"/>
  <c r="AZ93" i="36" s="1"/>
  <c r="AZ96" i="36" s="1"/>
  <c r="T93" i="36"/>
  <c r="T96" i="36" s="1"/>
  <c r="P83" i="46"/>
  <c r="P88" i="46" s="1"/>
  <c r="P79" i="48"/>
  <c r="P81" i="46"/>
  <c r="P86" i="46" s="1"/>
  <c r="P80" i="46"/>
  <c r="P85" i="46" s="1"/>
  <c r="P84" i="46"/>
  <c r="Q90" i="45" s="1"/>
  <c r="P82" i="46"/>
  <c r="P87" i="46" s="1"/>
  <c r="S84" i="45"/>
  <c r="P152" i="14"/>
  <c r="Y21" i="16"/>
  <c r="U65" i="15"/>
  <c r="X25" i="28"/>
  <c r="X43" i="28" s="1"/>
  <c r="Y19" i="28"/>
  <c r="T134" i="15"/>
  <c r="T133" i="15" a="1"/>
  <c r="T133" i="15" s="1"/>
  <c r="T68" i="15"/>
  <c r="T77" i="15" s="1"/>
  <c r="P228" i="14"/>
  <c r="T221" i="42"/>
  <c r="T225" i="42" s="1"/>
  <c r="T220" i="42"/>
  <c r="T224" i="42" s="1"/>
  <c r="T223" i="42"/>
  <c r="T222" i="42"/>
  <c r="T226" i="42" s="1"/>
  <c r="U131" i="20"/>
  <c r="U107" i="19" s="1"/>
  <c r="U132" i="20"/>
  <c r="U108" i="19" s="1"/>
  <c r="U129" i="20"/>
  <c r="U105" i="19" s="1"/>
  <c r="V103" i="12"/>
  <c r="U103" i="19"/>
  <c r="V103" i="14" s="1"/>
  <c r="U128" i="20"/>
  <c r="U104" i="19" s="1"/>
  <c r="U130" i="20"/>
  <c r="X122" i="16"/>
  <c r="X132" i="16" s="1"/>
  <c r="U212" i="54"/>
  <c r="U209" i="54"/>
  <c r="U210" i="54"/>
  <c r="U211" i="54"/>
  <c r="AO119" i="45"/>
  <c r="H365" i="48"/>
  <c r="AO10" i="55"/>
  <c r="H370" i="48"/>
  <c r="N290" i="20"/>
  <c r="N291" i="20" s="1"/>
  <c r="N292" i="20"/>
  <c r="T135" i="16"/>
  <c r="N239" i="19"/>
  <c r="N244" i="19"/>
  <c r="N243" i="19"/>
  <c r="N240" i="19"/>
  <c r="N241" i="19"/>
  <c r="N242" i="19"/>
  <c r="T297" i="38"/>
  <c r="T298" i="38"/>
  <c r="R302" i="38"/>
  <c r="R301" i="38"/>
  <c r="R305" i="38" s="1"/>
  <c r="M216" i="19"/>
  <c r="M220" i="19"/>
  <c r="M218" i="19"/>
  <c r="M215" i="19"/>
  <c r="M219" i="19"/>
  <c r="M217" i="19"/>
  <c r="X25" i="48"/>
  <c r="X40" i="48" s="1"/>
  <c r="Y19" i="48"/>
  <c r="V31" i="42"/>
  <c r="V278" i="42"/>
  <c r="V289" i="42" s="1"/>
  <c r="O324" i="46"/>
  <c r="O322" i="46"/>
  <c r="O323" i="46"/>
  <c r="O321" i="46"/>
  <c r="Y27" i="53"/>
  <c r="Y42" i="53" s="1"/>
  <c r="Z21" i="53"/>
  <c r="X26" i="48"/>
  <c r="X41" i="48" s="1"/>
  <c r="Y20" i="48"/>
  <c r="O151" i="14"/>
  <c r="AZ102" i="36"/>
  <c r="J363" i="46"/>
  <c r="K120" i="45" s="1"/>
  <c r="J361" i="46"/>
  <c r="K10" i="55" s="1"/>
  <c r="W75" i="15"/>
  <c r="W76" i="15"/>
  <c r="S215" i="53"/>
  <c r="S216" i="53"/>
  <c r="T303" i="42"/>
  <c r="T315" i="42" s="1"/>
  <c r="T304" i="42"/>
  <c r="T68" i="45"/>
  <c r="V217" i="38"/>
  <c r="V219" i="38" s="1"/>
  <c r="W216" i="38"/>
  <c r="T219" i="54"/>
  <c r="T231" i="54" s="1"/>
  <c r="T220" i="54"/>
  <c r="Q118" i="12"/>
  <c r="BY14" i="55"/>
  <c r="BY15" i="55"/>
  <c r="BY12" i="55"/>
  <c r="BY11" i="55"/>
  <c r="BY19" i="55" s="1"/>
  <c r="BY13" i="55"/>
  <c r="BY16" i="55"/>
  <c r="Y24" i="53"/>
  <c r="Z18" i="53"/>
  <c r="S189" i="42"/>
  <c r="S193" i="42" s="1"/>
  <c r="S191" i="42"/>
  <c r="S195" i="42" s="1"/>
  <c r="S190" i="42"/>
  <c r="S194" i="42" s="1"/>
  <c r="S192" i="42"/>
  <c r="R95" i="20"/>
  <c r="R87" i="19" s="1"/>
  <c r="R92" i="20"/>
  <c r="R91" i="20"/>
  <c r="R82" i="19"/>
  <c r="S124" i="14" s="1"/>
  <c r="R93" i="20"/>
  <c r="R94" i="20"/>
  <c r="R86" i="19" s="1"/>
  <c r="M339" i="48"/>
  <c r="M336" i="48"/>
  <c r="M338" i="48"/>
  <c r="M335" i="48"/>
  <c r="M337" i="48"/>
  <c r="M334" i="48"/>
  <c r="AA9" i="16"/>
  <c r="AA10" i="16" s="1"/>
  <c r="S300" i="38"/>
  <c r="S299" i="38"/>
  <c r="T130" i="19"/>
  <c r="U56" i="45"/>
  <c r="U55" i="45"/>
  <c r="AN119" i="45"/>
  <c r="G365" i="48"/>
  <c r="G370" i="48"/>
  <c r="AN10" i="55"/>
  <c r="Y27" i="48"/>
  <c r="Y42" i="48" s="1"/>
  <c r="Z21" i="48"/>
  <c r="P153" i="12"/>
  <c r="P98" i="12"/>
  <c r="AU109" i="45"/>
  <c r="L363" i="46"/>
  <c r="M120" i="45" s="1"/>
  <c r="L361" i="46"/>
  <c r="T98" i="19"/>
  <c r="AB9" i="16"/>
  <c r="AB10" i="16" s="1"/>
  <c r="W69" i="45"/>
  <c r="T147" i="29"/>
  <c r="T148" i="29"/>
  <c r="T150" i="29"/>
  <c r="T149" i="29"/>
  <c r="U66" i="15"/>
  <c r="T63" i="42"/>
  <c r="T69" i="42"/>
  <c r="U33" i="28"/>
  <c r="U34" i="28"/>
  <c r="S72" i="38"/>
  <c r="S76" i="38" s="1"/>
  <c r="S70" i="38"/>
  <c r="S74" i="38" s="1"/>
  <c r="S71" i="38"/>
  <c r="S75" i="38" s="1"/>
  <c r="S73" i="38"/>
  <c r="T78" i="36" s="1"/>
  <c r="U157" i="54"/>
  <c r="AP119" i="45"/>
  <c r="I365" i="48"/>
  <c r="I370" i="48"/>
  <c r="AZ96" i="45"/>
  <c r="S24" i="19"/>
  <c r="T18" i="19"/>
  <c r="R109" i="12"/>
  <c r="Q81" i="19"/>
  <c r="R235" i="53"/>
  <c r="R237" i="53" s="1"/>
  <c r="J164" i="12"/>
  <c r="I318" i="20"/>
  <c r="J165" i="12" s="1"/>
  <c r="AY108" i="45"/>
  <c r="O83" i="48"/>
  <c r="O88" i="48" s="1"/>
  <c r="O82" i="48"/>
  <c r="O87" i="48" s="1"/>
  <c r="O80" i="48"/>
  <c r="O85" i="48" s="1"/>
  <c r="O84" i="48"/>
  <c r="O81" i="48"/>
  <c r="O86" i="48" s="1"/>
  <c r="Q283" i="38"/>
  <c r="Q285" i="38"/>
  <c r="Q286" i="38"/>
  <c r="Q284" i="38"/>
  <c r="Q282" i="38"/>
  <c r="Q287" i="38"/>
  <c r="P179" i="29"/>
  <c r="P180" i="29" s="1"/>
  <c r="Y20" i="38"/>
  <c r="X26" i="38"/>
  <c r="X41" i="38" s="1"/>
  <c r="V66" i="54"/>
  <c r="V73" i="54" s="1"/>
  <c r="V74" i="54" s="1"/>
  <c r="V62" i="54"/>
  <c r="V64" i="54"/>
  <c r="V71" i="54" s="1"/>
  <c r="V72" i="54" s="1"/>
  <c r="V65" i="54"/>
  <c r="V75" i="54" s="1"/>
  <c r="V76" i="54" s="1"/>
  <c r="V67" i="54"/>
  <c r="V77" i="54" s="1"/>
  <c r="V78" i="54" s="1"/>
  <c r="V61" i="54"/>
  <c r="W60" i="54"/>
  <c r="K310" i="20"/>
  <c r="L156" i="12" s="1"/>
  <c r="K308" i="20"/>
  <c r="Q52" i="19"/>
  <c r="Q49" i="19" s="1"/>
  <c r="Q177" i="19" s="1"/>
  <c r="W104" i="54"/>
  <c r="W105" i="54" s="1"/>
  <c r="W110" i="54"/>
  <c r="W111" i="54" s="1"/>
  <c r="W106" i="54"/>
  <c r="W107" i="54" s="1"/>
  <c r="W108" i="54"/>
  <c r="W109" i="54" s="1"/>
  <c r="P108" i="12"/>
  <c r="I122" i="45"/>
  <c r="Y27" i="54"/>
  <c r="Y42" i="54" s="1"/>
  <c r="Z21" i="54"/>
  <c r="AY98" i="45"/>
  <c r="Q130" i="14"/>
  <c r="U59" i="16"/>
  <c r="X26" i="29"/>
  <c r="X44" i="29" s="1"/>
  <c r="Y20" i="29"/>
  <c r="V258" i="46"/>
  <c r="V260" i="46" s="1"/>
  <c r="W257" i="46"/>
  <c r="T214" i="20"/>
  <c r="T172" i="19" s="1"/>
  <c r="T216" i="20"/>
  <c r="T174" i="19" s="1"/>
  <c r="T213" i="20"/>
  <c r="T171" i="19" s="1"/>
  <c r="T212" i="20"/>
  <c r="T170" i="19" s="1"/>
  <c r="T169" i="19"/>
  <c r="U135" i="12"/>
  <c r="T215" i="20"/>
  <c r="W29" i="48"/>
  <c r="V194" i="53"/>
  <c r="V31" i="53"/>
  <c r="S158" i="28"/>
  <c r="S159" i="28" s="1"/>
  <c r="S181" i="28"/>
  <c r="S182" i="28" s="1"/>
  <c r="H365" i="46"/>
  <c r="P170" i="28"/>
  <c r="P169" i="28"/>
  <c r="P173" i="28" s="1"/>
  <c r="AX86" i="45"/>
  <c r="T187" i="20"/>
  <c r="T149" i="19" s="1"/>
  <c r="T189" i="20"/>
  <c r="T151" i="19" s="1"/>
  <c r="T190" i="20"/>
  <c r="T152" i="19" s="1"/>
  <c r="T186" i="20"/>
  <c r="T148" i="19" s="1"/>
  <c r="T147" i="19"/>
  <c r="U137" i="14" s="1"/>
  <c r="T188" i="20"/>
  <c r="T150" i="19" s="1"/>
  <c r="U137" i="12"/>
  <c r="X125" i="16"/>
  <c r="W37" i="29"/>
  <c r="X47" i="16"/>
  <c r="W107" i="28"/>
  <c r="V108" i="28"/>
  <c r="U63" i="48"/>
  <c r="Q117" i="12"/>
  <c r="J259" i="19"/>
  <c r="J268" i="19" s="1"/>
  <c r="K156" i="14" s="1"/>
  <c r="R163" i="19"/>
  <c r="Q241" i="54"/>
  <c r="Q242" i="54" s="1"/>
  <c r="P317" i="46"/>
  <c r="P320" i="46"/>
  <c r="R290" i="42"/>
  <c r="R291" i="42" s="1"/>
  <c r="R313" i="42"/>
  <c r="R314" i="42" s="1"/>
  <c r="W63" i="29"/>
  <c r="W62" i="29" s="1"/>
  <c r="W65" i="29"/>
  <c r="W66" i="29"/>
  <c r="W68" i="29"/>
  <c r="W67" i="29"/>
  <c r="W64" i="29"/>
  <c r="V94" i="12"/>
  <c r="U139" i="20"/>
  <c r="AY68" i="45"/>
  <c r="AO122" i="45"/>
  <c r="P129" i="12"/>
  <c r="U25" i="19"/>
  <c r="U43" i="19" s="1"/>
  <c r="V19" i="19"/>
  <c r="X125" i="15"/>
  <c r="W37" i="28"/>
  <c r="X47" i="15"/>
  <c r="L253" i="19"/>
  <c r="X138" i="53"/>
  <c r="X139" i="53" s="1"/>
  <c r="Y69" i="51" s="1"/>
  <c r="X136" i="53"/>
  <c r="X137" i="53" s="1"/>
  <c r="Y63" i="51" s="1"/>
  <c r="X134" i="53"/>
  <c r="T102" i="36"/>
  <c r="S215" i="54"/>
  <c r="S216" i="54"/>
  <c r="R83" i="20"/>
  <c r="R75" i="19" s="1"/>
  <c r="R70" i="19"/>
  <c r="S114" i="14" s="1"/>
  <c r="R82" i="20"/>
  <c r="R79" i="20"/>
  <c r="R80" i="20"/>
  <c r="S114" i="12"/>
  <c r="R81" i="20"/>
  <c r="Z34" i="16"/>
  <c r="Z33" i="16"/>
  <c r="Y47" i="16"/>
  <c r="X37" i="29"/>
  <c r="Y125" i="16"/>
  <c r="Q108" i="12"/>
  <c r="Z20" i="15"/>
  <c r="T139" i="15"/>
  <c r="S70" i="42"/>
  <c r="S74" i="42" s="1"/>
  <c r="S71" i="42"/>
  <c r="S75" i="42" s="1"/>
  <c r="S72" i="42"/>
  <c r="S76" i="42" s="1"/>
  <c r="S73" i="42"/>
  <c r="U223" i="38"/>
  <c r="V98" i="36" s="1"/>
  <c r="U222" i="38"/>
  <c r="U226" i="38" s="1"/>
  <c r="U221" i="38"/>
  <c r="U225" i="38" s="1"/>
  <c r="U220" i="38"/>
  <c r="U224" i="38" s="1"/>
  <c r="Q118" i="14"/>
  <c r="M308" i="48"/>
  <c r="M309" i="48" s="1"/>
  <c r="N275" i="48"/>
  <c r="BZ9" i="55"/>
  <c r="P44" i="48"/>
  <c r="P316" i="48" s="1"/>
  <c r="O231" i="14"/>
  <c r="O233" i="14" s="1"/>
  <c r="O234" i="14" s="1"/>
  <c r="P226" i="14"/>
  <c r="S197" i="42"/>
  <c r="S201" i="42" s="1"/>
  <c r="S199" i="42"/>
  <c r="S203" i="42" s="1"/>
  <c r="S200" i="42"/>
  <c r="S198" i="42"/>
  <c r="S202" i="42" s="1"/>
  <c r="AU9" i="55"/>
  <c r="AY82" i="45"/>
  <c r="R34" i="48"/>
  <c r="AY25" i="45"/>
  <c r="AY24" i="45"/>
  <c r="AY26" i="45"/>
  <c r="R217" i="53"/>
  <c r="R221" i="53" s="1"/>
  <c r="R218" i="53"/>
  <c r="O251" i="53"/>
  <c r="P75" i="51" s="1"/>
  <c r="Q95" i="20"/>
  <c r="Q87" i="19" s="1"/>
  <c r="Q82" i="19"/>
  <c r="R124" i="14" s="1"/>
  <c r="Q93" i="20"/>
  <c r="Q91" i="20"/>
  <c r="Q94" i="20"/>
  <c r="Q92" i="20"/>
  <c r="T133" i="19"/>
  <c r="V28" i="45"/>
  <c r="V31" i="45"/>
  <c r="V29" i="45"/>
  <c r="V36" i="45"/>
  <c r="V32" i="45"/>
  <c r="V37" i="45"/>
  <c r="V35" i="45"/>
  <c r="BB27" i="45"/>
  <c r="W27" i="45"/>
  <c r="V54" i="45"/>
  <c r="V265" i="19"/>
  <c r="W307" i="20"/>
  <c r="X26" i="42"/>
  <c r="X41" i="42" s="1"/>
  <c r="Y20" i="42"/>
  <c r="P98" i="14"/>
  <c r="P153" i="14"/>
  <c r="T96" i="19"/>
  <c r="T95" i="19" s="1"/>
  <c r="S157" i="46"/>
  <c r="S162" i="46" s="1"/>
  <c r="S158" i="46"/>
  <c r="S163" i="46" s="1"/>
  <c r="S156" i="46"/>
  <c r="S161" i="46" s="1"/>
  <c r="S155" i="46"/>
  <c r="S160" i="46" s="1"/>
  <c r="S154" i="48"/>
  <c r="S159" i="46"/>
  <c r="T98" i="45" s="1"/>
  <c r="BC17" i="45"/>
  <c r="BC18" i="45" s="1"/>
  <c r="AV110" i="45"/>
  <c r="AV103" i="45"/>
  <c r="P101" i="45"/>
  <c r="AV102" i="45"/>
  <c r="AV101" i="45"/>
  <c r="P103" i="45"/>
  <c r="P102" i="45"/>
  <c r="U66" i="16"/>
  <c r="T57" i="45"/>
  <c r="T96" i="42"/>
  <c r="T100" i="42" s="1"/>
  <c r="T94" i="42"/>
  <c r="T98" i="42" s="1"/>
  <c r="T97" i="42"/>
  <c r="T95" i="42"/>
  <c r="T99" i="42" s="1"/>
  <c r="S246" i="38"/>
  <c r="S243" i="38"/>
  <c r="X26" i="54"/>
  <c r="X41" i="54" s="1"/>
  <c r="X147" i="54" s="1"/>
  <c r="X148" i="54" s="1"/>
  <c r="Y20" i="54"/>
  <c r="Q196" i="54"/>
  <c r="Q197" i="54" s="1"/>
  <c r="R163" i="54"/>
  <c r="U196" i="20"/>
  <c r="V195" i="20"/>
  <c r="P148" i="12"/>
  <c r="P169" i="12" s="1"/>
  <c r="AU116" i="45"/>
  <c r="U21" i="45"/>
  <c r="R185" i="28"/>
  <c r="R184" i="28"/>
  <c r="P271" i="20"/>
  <c r="P269" i="20"/>
  <c r="P268" i="20"/>
  <c r="P270" i="20"/>
  <c r="W36" i="29"/>
  <c r="W42" i="29" s="1"/>
  <c r="X123" i="16"/>
  <c r="X43" i="16"/>
  <c r="J353" i="48"/>
  <c r="J354" i="48" s="1"/>
  <c r="V31" i="29"/>
  <c r="V132" i="29"/>
  <c r="AP122" i="45"/>
  <c r="Q33" i="48"/>
  <c r="Q39" i="48" s="1"/>
  <c r="AX75" i="45"/>
  <c r="Q79" i="19"/>
  <c r="R110" i="14" s="1"/>
  <c r="R110" i="12"/>
  <c r="V25" i="20"/>
  <c r="V43" i="20" s="1"/>
  <c r="W19" i="20"/>
  <c r="V21" i="45"/>
  <c r="R230" i="48"/>
  <c r="R235" i="48" s="1"/>
  <c r="R229" i="48"/>
  <c r="R234" i="48" s="1"/>
  <c r="R227" i="48"/>
  <c r="R232" i="48" s="1"/>
  <c r="R231" i="48"/>
  <c r="R228" i="48"/>
  <c r="R233" i="48" s="1"/>
  <c r="BB57" i="51"/>
  <c r="U63" i="54"/>
  <c r="U159" i="54" s="1"/>
  <c r="U69" i="54"/>
  <c r="U70" i="54" s="1"/>
  <c r="Q225" i="12" a="1"/>
  <c r="Q225" i="12" s="1"/>
  <c r="Q226" i="12"/>
  <c r="Q148" i="12"/>
  <c r="Q169" i="12" s="1"/>
  <c r="Q58" i="19"/>
  <c r="Q54" i="19"/>
  <c r="P108" i="14"/>
  <c r="V58" i="51"/>
  <c r="X136" i="54"/>
  <c r="X137" i="54" s="1"/>
  <c r="X134" i="54"/>
  <c r="X135" i="54" s="1"/>
  <c r="X138" i="54"/>
  <c r="X139" i="54" s="1"/>
  <c r="U59" i="15"/>
  <c r="U209" i="20"/>
  <c r="U211" i="20" s="1"/>
  <c r="V208" i="20"/>
  <c r="P65" i="19"/>
  <c r="Q96" i="14" s="1"/>
  <c r="Q96" i="12"/>
  <c r="P152" i="12"/>
  <c r="N115" i="45"/>
  <c r="W44" i="54"/>
  <c r="W204" i="54" s="1"/>
  <c r="P272" i="19"/>
  <c r="P222" i="19"/>
  <c r="P221" i="19"/>
  <c r="P273" i="19"/>
  <c r="P225" i="19"/>
  <c r="S100" i="29"/>
  <c r="S88" i="29"/>
  <c r="I124" i="45"/>
  <c r="I123" i="45"/>
  <c r="I121" i="45"/>
  <c r="V31" i="46"/>
  <c r="V306" i="46"/>
  <c r="V85" i="28"/>
  <c r="V72" i="29" s="1"/>
  <c r="V83" i="28"/>
  <c r="V70" i="29" s="1"/>
  <c r="V88" i="28"/>
  <c r="V86" i="28"/>
  <c r="V84" i="28"/>
  <c r="V87" i="28"/>
  <c r="W82" i="28"/>
  <c r="T182" i="20"/>
  <c r="T144" i="19" s="1"/>
  <c r="T180" i="20"/>
  <c r="T142" i="19" s="1"/>
  <c r="T181" i="20"/>
  <c r="T143" i="19" s="1"/>
  <c r="T183" i="20"/>
  <c r="T145" i="19" s="1"/>
  <c r="T184" i="20"/>
  <c r="T146" i="19" s="1"/>
  <c r="T141" i="19"/>
  <c r="U125" i="14" s="1"/>
  <c r="U75" i="29"/>
  <c r="V64" i="16" s="1"/>
  <c r="V64" i="15"/>
  <c r="AY77" i="45"/>
  <c r="V58" i="15"/>
  <c r="U73" i="29"/>
  <c r="V58" i="16" s="1"/>
  <c r="AX85" i="45"/>
  <c r="R165" i="48"/>
  <c r="R170" i="48" s="1"/>
  <c r="R167" i="48"/>
  <c r="R172" i="48" s="1"/>
  <c r="R166" i="48"/>
  <c r="R171" i="48" s="1"/>
  <c r="R168" i="48"/>
  <c r="R173" i="48" s="1"/>
  <c r="R169" i="48"/>
  <c r="X121" i="16"/>
  <c r="X42" i="16"/>
  <c r="U61" i="38"/>
  <c r="U64" i="38"/>
  <c r="U77" i="38" s="1"/>
  <c r="U67" i="38"/>
  <c r="U101" i="38" s="1"/>
  <c r="U65" i="38"/>
  <c r="U93" i="38" s="1"/>
  <c r="U62" i="38"/>
  <c r="U66" i="38"/>
  <c r="U85" i="38" s="1"/>
  <c r="V60" i="38"/>
  <c r="V55" i="15"/>
  <c r="U82" i="29"/>
  <c r="V55" i="16" s="1"/>
  <c r="AY83" i="45"/>
  <c r="Y24" i="29"/>
  <c r="Z18" i="29"/>
  <c r="X26" i="28"/>
  <c r="X44" i="28" s="1"/>
  <c r="X80" i="29" s="1"/>
  <c r="X79" i="29" s="1"/>
  <c r="Y20" i="28"/>
  <c r="T135" i="14"/>
  <c r="Q234" i="54"/>
  <c r="Q235" i="54" s="1"/>
  <c r="Q237" i="54" s="1"/>
  <c r="Q258" i="54" s="1"/>
  <c r="P100" i="46"/>
  <c r="P105" i="46" s="1"/>
  <c r="P103" i="46"/>
  <c r="P108" i="46" s="1"/>
  <c r="P101" i="46"/>
  <c r="P106" i="46" s="1"/>
  <c r="P102" i="46"/>
  <c r="P107" i="46" s="1"/>
  <c r="P99" i="48"/>
  <c r="P104" i="46"/>
  <c r="Q106" i="45" s="1"/>
  <c r="N194" i="28"/>
  <c r="N203" i="28" s="1"/>
  <c r="O70" i="15" s="1"/>
  <c r="S222" i="54"/>
  <c r="S225" i="54"/>
  <c r="S224" i="54"/>
  <c r="S223" i="54"/>
  <c r="S226" i="54"/>
  <c r="S227" i="54"/>
  <c r="R280" i="42"/>
  <c r="R281" i="42" s="1"/>
  <c r="S247" i="42"/>
  <c r="O115" i="45"/>
  <c r="P107" i="12"/>
  <c r="U135" i="20"/>
  <c r="U111" i="19" s="1"/>
  <c r="U137" i="20"/>
  <c r="U113" i="19" s="1"/>
  <c r="U134" i="20"/>
  <c r="U110" i="19" s="1"/>
  <c r="U136" i="20"/>
  <c r="U112" i="19" s="1"/>
  <c r="U109" i="19"/>
  <c r="V126" i="14" s="1"/>
  <c r="U138" i="20"/>
  <c r="U114" i="19" s="1"/>
  <c r="S141" i="16"/>
  <c r="S142" i="16" s="1"/>
  <c r="T145" i="38"/>
  <c r="T149" i="38" s="1"/>
  <c r="T143" i="38"/>
  <c r="T147" i="38" s="1"/>
  <c r="T146" i="38"/>
  <c r="U100" i="36" s="1"/>
  <c r="BA100" i="36" s="1"/>
  <c r="T144" i="38"/>
  <c r="T148" i="38" s="1"/>
  <c r="P129" i="14"/>
  <c r="O150" i="14"/>
  <c r="N337" i="42"/>
  <c r="N342" i="42"/>
  <c r="Y27" i="28"/>
  <c r="Z21" i="28"/>
  <c r="AX80" i="36"/>
  <c r="AX83" i="36" s="1"/>
  <c r="AX119" i="36" s="1"/>
  <c r="AX115" i="36"/>
  <c r="AX116" i="36" s="1"/>
  <c r="T135" i="15"/>
  <c r="W131" i="15"/>
  <c r="W129" i="15"/>
  <c r="P154" i="14"/>
  <c r="P97" i="14"/>
  <c r="Z74" i="16"/>
  <c r="AA54" i="15"/>
  <c r="Z38" i="28"/>
  <c r="AA124" i="15"/>
  <c r="Q89" i="19"/>
  <c r="R140" i="14" s="1"/>
  <c r="R140" i="12"/>
  <c r="Q108" i="14"/>
  <c r="Z34" i="15"/>
  <c r="Z33" i="15"/>
  <c r="W360" i="48"/>
  <c r="O325" i="42"/>
  <c r="O326" i="42" s="1"/>
  <c r="AZ55" i="45"/>
  <c r="AZ56" i="45"/>
  <c r="H161" i="14"/>
  <c r="S243" i="42"/>
  <c r="S246" i="42"/>
  <c r="U63" i="46"/>
  <c r="L314" i="48"/>
  <c r="L310" i="48"/>
  <c r="L311" i="48"/>
  <c r="L315" i="48"/>
  <c r="L313" i="48"/>
  <c r="L312" i="48"/>
  <c r="U28" i="19"/>
  <c r="U46" i="19" s="1"/>
  <c r="U167" i="19" s="1"/>
  <c r="U166" i="19" s="1"/>
  <c r="V22" i="19"/>
  <c r="S151" i="29"/>
  <c r="S152" i="29"/>
  <c r="J160" i="12"/>
  <c r="T132" i="19"/>
  <c r="S106" i="19"/>
  <c r="U30" i="45"/>
  <c r="N274" i="20"/>
  <c r="N275" i="20"/>
  <c r="N308" i="46"/>
  <c r="N309" i="46" s="1"/>
  <c r="O275" i="46"/>
  <c r="T157" i="28"/>
  <c r="T160" i="28"/>
  <c r="T101" i="19"/>
  <c r="S168" i="46"/>
  <c r="S173" i="46" s="1"/>
  <c r="S164" i="48"/>
  <c r="S165" i="46"/>
  <c r="S170" i="46" s="1"/>
  <c r="S167" i="46"/>
  <c r="S172" i="46" s="1"/>
  <c r="S166" i="46"/>
  <c r="S171" i="46" s="1"/>
  <c r="S169" i="46"/>
  <c r="T77" i="45" s="1"/>
  <c r="W18" i="45"/>
  <c r="P231" i="12"/>
  <c r="V27" i="20"/>
  <c r="V45" i="20" s="1"/>
  <c r="W21" i="20"/>
  <c r="BA107" i="36"/>
  <c r="U61" i="42"/>
  <c r="U66" i="42"/>
  <c r="U85" i="42" s="1"/>
  <c r="U62" i="42"/>
  <c r="U65" i="42"/>
  <c r="U93" i="42" s="1"/>
  <c r="U64" i="42"/>
  <c r="U77" i="42" s="1"/>
  <c r="U67" i="42"/>
  <c r="U101" i="42" s="1"/>
  <c r="V60" i="42"/>
  <c r="P202" i="54"/>
  <c r="P198" i="54"/>
  <c r="P200" i="54"/>
  <c r="P203" i="54"/>
  <c r="P201" i="54"/>
  <c r="P199" i="54"/>
  <c r="T157" i="19"/>
  <c r="U123" i="12"/>
  <c r="T198" i="20"/>
  <c r="O118" i="45"/>
  <c r="R174" i="28"/>
  <c r="R179" i="28"/>
  <c r="R177" i="28"/>
  <c r="R175" i="28"/>
  <c r="R178" i="28"/>
  <c r="R176" i="28"/>
  <c r="Q4" i="55"/>
  <c r="AY73" i="51"/>
  <c r="U183" i="42"/>
  <c r="U182" i="42"/>
  <c r="V181" i="42"/>
  <c r="BC53" i="51"/>
  <c r="W54" i="51"/>
  <c r="S247" i="48"/>
  <c r="S252" i="48" s="1"/>
  <c r="S246" i="48"/>
  <c r="S251" i="48" s="1"/>
  <c r="S244" i="48"/>
  <c r="S249" i="48" s="1"/>
  <c r="S245" i="48"/>
  <c r="S250" i="48" s="1"/>
  <c r="S248" i="48"/>
  <c r="R109" i="14"/>
  <c r="U96" i="19"/>
  <c r="U95" i="19" s="1"/>
  <c r="U145" i="20"/>
  <c r="U101" i="19"/>
  <c r="V126" i="12"/>
  <c r="U97" i="19"/>
  <c r="U98" i="19"/>
  <c r="U100" i="19"/>
  <c r="U99" i="19"/>
  <c r="AV93" i="45"/>
  <c r="AV94" i="45"/>
  <c r="P93" i="45"/>
  <c r="P94" i="45"/>
  <c r="AY78" i="36"/>
  <c r="S80" i="36"/>
  <c r="S83" i="36" s="1"/>
  <c r="S115" i="36"/>
  <c r="S116" i="36" s="1"/>
  <c r="S135" i="42"/>
  <c r="S139" i="42" s="1"/>
  <c r="S136" i="42"/>
  <c r="S140" i="42" s="1"/>
  <c r="S137" i="42"/>
  <c r="S141" i="42" s="1"/>
  <c r="S138" i="42"/>
  <c r="P172" i="29"/>
  <c r="P173" i="29" s="1"/>
  <c r="P175" i="29" s="1"/>
  <c r="R73" i="45"/>
  <c r="U63" i="53"/>
  <c r="U159" i="53" s="1"/>
  <c r="U69" i="53"/>
  <c r="U70" i="53" s="1"/>
  <c r="V49" i="51" s="1"/>
  <c r="T263" i="48"/>
  <c r="T268" i="48" s="1"/>
  <c r="T264" i="48"/>
  <c r="T269" i="48" s="1"/>
  <c r="T261" i="48"/>
  <c r="T266" i="48" s="1"/>
  <c r="T262" i="48"/>
  <c r="T267" i="48" s="1"/>
  <c r="T265" i="48"/>
  <c r="X25" i="53"/>
  <c r="X40" i="53" s="1"/>
  <c r="Y19" i="53"/>
  <c r="Q74" i="20"/>
  <c r="Q66" i="19" s="1"/>
  <c r="Q64" i="19"/>
  <c r="R93" i="14" s="1"/>
  <c r="Q73" i="20"/>
  <c r="Q76" i="20"/>
  <c r="Q75" i="20"/>
  <c r="Q77" i="20"/>
  <c r="U289" i="42"/>
  <c r="R158" i="48"/>
  <c r="R163" i="48" s="1"/>
  <c r="R155" i="48"/>
  <c r="R160" i="48" s="1"/>
  <c r="R157" i="48"/>
  <c r="R162" i="48" s="1"/>
  <c r="R159" i="48"/>
  <c r="R156" i="48"/>
  <c r="R161" i="48" s="1"/>
  <c r="BB50" i="51"/>
  <c r="V71" i="51"/>
  <c r="Q93" i="14"/>
  <c r="P179" i="19"/>
  <c r="W29" i="54"/>
  <c r="Y27" i="42"/>
  <c r="Y42" i="42" s="1"/>
  <c r="Z21" i="42"/>
  <c r="T202" i="46"/>
  <c r="T226" i="46"/>
  <c r="T216" i="46"/>
  <c r="T206" i="46"/>
  <c r="L122" i="45"/>
  <c r="T35" i="48"/>
  <c r="BA44" i="45"/>
  <c r="BA95" i="45"/>
  <c r="BA43" i="45"/>
  <c r="BA42" i="45"/>
  <c r="U127" i="42"/>
  <c r="U128" i="42"/>
  <c r="V126" i="42"/>
  <c r="T80" i="38"/>
  <c r="T84" i="38" s="1"/>
  <c r="T79" i="38"/>
  <c r="T83" i="38" s="1"/>
  <c r="T81" i="38"/>
  <c r="U92" i="36" s="1"/>
  <c r="BA92" i="36" s="1"/>
  <c r="T78" i="38"/>
  <c r="T82" i="38" s="1"/>
  <c r="V62" i="48"/>
  <c r="V67" i="48"/>
  <c r="V66" i="48"/>
  <c r="V65" i="48"/>
  <c r="V64" i="48"/>
  <c r="V61" i="48"/>
  <c r="W60" i="48"/>
  <c r="S113" i="36"/>
  <c r="S111" i="36"/>
  <c r="S112" i="36"/>
  <c r="W76" i="16"/>
  <c r="W75" i="16"/>
  <c r="R147" i="48"/>
  <c r="R152" i="48" s="1"/>
  <c r="R146" i="48"/>
  <c r="R151" i="48" s="1"/>
  <c r="R145" i="48"/>
  <c r="R150" i="48" s="1"/>
  <c r="R148" i="48"/>
  <c r="R153" i="48" s="1"/>
  <c r="R149" i="48"/>
  <c r="R148" i="28"/>
  <c r="R149" i="28" s="1"/>
  <c r="S214" i="28"/>
  <c r="S173" i="19"/>
  <c r="V208" i="53"/>
  <c r="V205" i="53"/>
  <c r="Q283" i="42"/>
  <c r="Q286" i="42"/>
  <c r="Q285" i="42"/>
  <c r="Q284" i="42"/>
  <c r="Q287" i="42"/>
  <c r="Q282" i="42"/>
  <c r="P107" i="14"/>
  <c r="M327" i="46"/>
  <c r="M328" i="46"/>
  <c r="T136" i="15"/>
  <c r="U232" i="42"/>
  <c r="U234" i="42" s="1"/>
  <c r="V231" i="42"/>
  <c r="W61" i="16"/>
  <c r="V84" i="29"/>
  <c r="K266" i="19"/>
  <c r="U143" i="29"/>
  <c r="U146" i="29"/>
  <c r="S140" i="16"/>
  <c r="AS122" i="36"/>
  <c r="AS125" i="36"/>
  <c r="T161" i="38"/>
  <c r="T165" i="38" s="1"/>
  <c r="T159" i="38"/>
  <c r="T163" i="38" s="1"/>
  <c r="T160" i="38"/>
  <c r="T164" i="38" s="1"/>
  <c r="T162" i="38"/>
  <c r="U109" i="36" s="1"/>
  <c r="BA109" i="36" s="1"/>
  <c r="AC24" i="16"/>
  <c r="AC23" i="16"/>
  <c r="AD22" i="16"/>
  <c r="R86" i="20"/>
  <c r="R78" i="19" s="1"/>
  <c r="R87" i="20"/>
  <c r="R88" i="20"/>
  <c r="R85" i="20"/>
  <c r="R89" i="20"/>
  <c r="R76" i="19"/>
  <c r="S104" i="14" s="1"/>
  <c r="S104" i="12"/>
  <c r="X121" i="15"/>
  <c r="X42" i="15"/>
  <c r="AZ85" i="36"/>
  <c r="AZ86" i="36" s="1"/>
  <c r="AZ89" i="36" s="1"/>
  <c r="T86" i="36"/>
  <c r="T89" i="36" s="1"/>
  <c r="AU91" i="45"/>
  <c r="W85" i="29"/>
  <c r="X61" i="15"/>
  <c r="X25" i="29"/>
  <c r="X43" i="29" s="1"/>
  <c r="Y19" i="29"/>
  <c r="BA64" i="51"/>
  <c r="X28" i="42"/>
  <c r="X43" i="42" s="1"/>
  <c r="Y22" i="42"/>
  <c r="N230" i="19"/>
  <c r="N231" i="19"/>
  <c r="T82" i="45"/>
  <c r="T25" i="45"/>
  <c r="T24" i="45"/>
  <c r="T26" i="45"/>
  <c r="S34" i="46"/>
  <c r="P97" i="12"/>
  <c r="P154" i="12"/>
  <c r="AA18" i="16"/>
  <c r="AA19" i="16"/>
  <c r="AA15" i="16"/>
  <c r="AA16" i="16"/>
  <c r="AB14" i="16"/>
  <c r="AA32" i="16"/>
  <c r="AZ79" i="36"/>
  <c r="AZ114" i="36" s="1"/>
  <c r="T114" i="36"/>
  <c r="R136" i="14"/>
  <c r="Y39" i="16"/>
  <c r="AA16" i="15"/>
  <c r="AA19" i="15"/>
  <c r="AA15" i="15"/>
  <c r="AB14" i="15"/>
  <c r="AA18" i="15"/>
  <c r="AA74" i="15"/>
  <c r="AA32" i="15"/>
  <c r="O100" i="48"/>
  <c r="O105" i="48" s="1"/>
  <c r="O102" i="48"/>
  <c r="O107" i="48" s="1"/>
  <c r="O103" i="48"/>
  <c r="O108" i="48" s="1"/>
  <c r="O104" i="48"/>
  <c r="O101" i="48"/>
  <c r="O106" i="48" s="1"/>
  <c r="M325" i="48"/>
  <c r="M326" i="48"/>
  <c r="AW72" i="45"/>
  <c r="AW86" i="45"/>
  <c r="O151" i="12"/>
  <c r="V127" i="38"/>
  <c r="V183" i="38"/>
  <c r="V128" i="38"/>
  <c r="V182" i="38"/>
  <c r="W126" i="38"/>
  <c r="X25" i="46"/>
  <c r="X40" i="46" s="1"/>
  <c r="Y19" i="46"/>
  <c r="N325" i="46"/>
  <c r="N326" i="46"/>
  <c r="N334" i="46"/>
  <c r="N337" i="46"/>
  <c r="N338" i="46"/>
  <c r="N335" i="46"/>
  <c r="N336" i="46"/>
  <c r="N339" i="46"/>
  <c r="Q107" i="14"/>
  <c r="AV76" i="45"/>
  <c r="P78" i="45"/>
  <c r="T131" i="19"/>
  <c r="N293" i="20"/>
  <c r="M314" i="46"/>
  <c r="M315" i="46"/>
  <c r="M313" i="46"/>
  <c r="M311" i="46"/>
  <c r="M312" i="46"/>
  <c r="M310" i="46"/>
  <c r="R144" i="29"/>
  <c r="R145" i="29" s="1"/>
  <c r="R167" i="29"/>
  <c r="R168" i="29" s="1"/>
  <c r="V28" i="20"/>
  <c r="V46" i="20" s="1"/>
  <c r="W22" i="20"/>
  <c r="Q47" i="19"/>
  <c r="Q61" i="19"/>
  <c r="T100" i="19"/>
  <c r="S176" i="46"/>
  <c r="S181" i="46" s="1"/>
  <c r="S175" i="46"/>
  <c r="S180" i="46" s="1"/>
  <c r="S177" i="46"/>
  <c r="S182" i="46" s="1"/>
  <c r="S174" i="48"/>
  <c r="S178" i="46"/>
  <c r="S183" i="46" s="1"/>
  <c r="S179" i="46"/>
  <c r="T107" i="45" s="1"/>
  <c r="P69" i="15"/>
  <c r="O205" i="28"/>
  <c r="O210" i="28"/>
  <c r="V125" i="12"/>
  <c r="Q155" i="29"/>
  <c r="Q159" i="29" s="1"/>
  <c r="Q156" i="29"/>
  <c r="X28" i="48"/>
  <c r="Y22" i="48"/>
  <c r="O76" i="51"/>
  <c r="T88" i="42"/>
  <c r="T92" i="42" s="1"/>
  <c r="T86" i="42"/>
  <c r="T90" i="42" s="1"/>
  <c r="T89" i="42"/>
  <c r="T87" i="42"/>
  <c r="T91" i="42" s="1"/>
  <c r="Y22" i="53"/>
  <c r="X28" i="53"/>
  <c r="X43" i="53" s="1"/>
  <c r="O116" i="45"/>
  <c r="O317" i="48"/>
  <c r="O320" i="48"/>
  <c r="P266" i="20"/>
  <c r="AC7" i="15"/>
  <c r="AC8" i="15" s="1"/>
  <c r="AD6" i="15"/>
  <c r="T184" i="42"/>
  <c r="T188" i="42"/>
  <c r="T196" i="42"/>
  <c r="T204" i="42"/>
  <c r="BC62" i="51"/>
  <c r="R105" i="12"/>
  <c r="J157" i="12"/>
  <c r="J163" i="12"/>
  <c r="Y27" i="46"/>
  <c r="Y42" i="46" s="1"/>
  <c r="Z21" i="46"/>
  <c r="Y21" i="15"/>
  <c r="P141" i="12"/>
  <c r="T110" i="36"/>
  <c r="AA11" i="15"/>
  <c r="G161" i="14"/>
  <c r="W110" i="53"/>
  <c r="W111" i="53" s="1"/>
  <c r="W106" i="53"/>
  <c r="W107" i="53" s="1"/>
  <c r="X62" i="51" s="1"/>
  <c r="W108" i="53"/>
  <c r="W109" i="53" s="1"/>
  <c r="W104" i="53"/>
  <c r="W105" i="53" s="1"/>
  <c r="X53" i="51" s="1"/>
  <c r="R147" i="12"/>
  <c r="R95" i="12"/>
  <c r="Q55" i="19"/>
  <c r="U241" i="46"/>
  <c r="U243" i="46" s="1"/>
  <c r="V240" i="46"/>
  <c r="O223" i="19"/>
  <c r="O224" i="19" s="1"/>
  <c r="O246" i="19"/>
  <c r="O247" i="19" s="1"/>
  <c r="U295" i="42"/>
  <c r="U293" i="42"/>
  <c r="U294" i="42"/>
  <c r="U296" i="42"/>
  <c r="Q229" i="12"/>
  <c r="BB68" i="51"/>
  <c r="P68" i="19"/>
  <c r="Q101" i="14" s="1"/>
  <c r="Q101" i="12"/>
  <c r="X26" i="53"/>
  <c r="X41" i="53" s="1"/>
  <c r="X147" i="53" s="1"/>
  <c r="X148" i="53" s="1"/>
  <c r="Y60" i="51" s="1"/>
  <c r="Y20" i="53"/>
  <c r="V31" i="28"/>
  <c r="V146" i="28"/>
  <c r="U137" i="46"/>
  <c r="U138" i="46"/>
  <c r="U201" i="46"/>
  <c r="V136" i="46"/>
  <c r="U200" i="46"/>
  <c r="O169" i="12"/>
  <c r="T213" i="53"/>
  <c r="T214" i="53"/>
  <c r="T174" i="20"/>
  <c r="T136" i="19" s="1"/>
  <c r="T178" i="20"/>
  <c r="T140" i="19" s="1"/>
  <c r="T135" i="19"/>
  <c r="U113" i="14" s="1"/>
  <c r="T175" i="20"/>
  <c r="T137" i="19" s="1"/>
  <c r="T177" i="20"/>
  <c r="T139" i="19" s="1"/>
  <c r="U113" i="12"/>
  <c r="T176" i="20"/>
  <c r="V137" i="48"/>
  <c r="V201" i="48"/>
  <c r="V138" i="48"/>
  <c r="V200" i="48"/>
  <c r="W136" i="48"/>
  <c r="Q150" i="28"/>
  <c r="Q151" i="28"/>
  <c r="Q155" i="28"/>
  <c r="Q154" i="28"/>
  <c r="Q152" i="28"/>
  <c r="Q153" i="28"/>
  <c r="Y24" i="48"/>
  <c r="Z18" i="48"/>
  <c r="S87" i="45"/>
  <c r="S73" i="45"/>
  <c r="R165" i="28"/>
  <c r="R166" i="28"/>
  <c r="AU100" i="45"/>
  <c r="AU113" i="45"/>
  <c r="S229" i="46"/>
  <c r="S234" i="46" s="1"/>
  <c r="S228" i="46"/>
  <c r="S233" i="46" s="1"/>
  <c r="S227" i="46"/>
  <c r="S232" i="46" s="1"/>
  <c r="S230" i="46"/>
  <c r="S235" i="46" s="1"/>
  <c r="S226" i="48"/>
  <c r="S231" i="46"/>
  <c r="T108" i="45" s="1"/>
  <c r="T134" i="16"/>
  <c r="T68" i="16"/>
  <c r="T133" i="16" a="1"/>
  <c r="T133" i="16" s="1"/>
  <c r="T77" i="16"/>
  <c r="X25" i="38"/>
  <c r="X40" i="38" s="1"/>
  <c r="Y19" i="38"/>
  <c r="M346" i="46"/>
  <c r="M347" i="46" s="1"/>
  <c r="T237" i="42"/>
  <c r="T241" i="42" s="1"/>
  <c r="T236" i="42"/>
  <c r="T240" i="42" s="1"/>
  <c r="T235" i="42"/>
  <c r="T239" i="42" s="1"/>
  <c r="T238" i="42"/>
  <c r="O180" i="29"/>
  <c r="O189" i="29" s="1"/>
  <c r="P70" i="16" s="1"/>
  <c r="T153" i="38"/>
  <c r="T157" i="38" s="1"/>
  <c r="T152" i="38"/>
  <c r="T156" i="38" s="1"/>
  <c r="T151" i="38"/>
  <c r="T155" i="38" s="1"/>
  <c r="T154" i="38"/>
  <c r="U79" i="36" s="1"/>
  <c r="V61" i="28"/>
  <c r="V57" i="29" s="1"/>
  <c r="V63" i="28"/>
  <c r="V64" i="28"/>
  <c r="W59" i="28"/>
  <c r="V60" i="28"/>
  <c r="N318" i="48"/>
  <c r="N319" i="48" s="1"/>
  <c r="N341" i="48"/>
  <c r="N342" i="48" s="1"/>
  <c r="AZ51" i="51"/>
  <c r="AZ72" i="51"/>
  <c r="AZ73" i="51" s="1"/>
  <c r="R302" i="42"/>
  <c r="R301" i="42"/>
  <c r="R305" i="42" s="1"/>
  <c r="X28" i="28"/>
  <c r="X46" i="28" s="1"/>
  <c r="Y22" i="28"/>
  <c r="U27" i="19"/>
  <c r="U45" i="19" s="1"/>
  <c r="U129" i="19" s="1"/>
  <c r="U128" i="19" s="1"/>
  <c r="V21" i="19"/>
  <c r="Q229" i="14"/>
  <c r="T191" i="38"/>
  <c r="T195" i="38" s="1"/>
  <c r="T190" i="38"/>
  <c r="T194" i="38" s="1"/>
  <c r="T192" i="38"/>
  <c r="U91" i="36" s="1"/>
  <c r="T189" i="38"/>
  <c r="T193" i="38" s="1"/>
  <c r="N237" i="19"/>
  <c r="N236" i="19"/>
  <c r="N248" i="19" s="1"/>
  <c r="N249" i="19" s="1"/>
  <c r="Q37" i="48"/>
  <c r="V43" i="48" s="1"/>
  <c r="AX60" i="45"/>
  <c r="AX59" i="45"/>
  <c r="AX104" i="45"/>
  <c r="AX58" i="45"/>
  <c r="AX71" i="45" s="1"/>
  <c r="T70" i="45"/>
  <c r="W44" i="53"/>
  <c r="W204" i="53" s="1"/>
  <c r="W29" i="28"/>
  <c r="Q91" i="19"/>
  <c r="R144" i="14" s="1"/>
  <c r="R144" i="12"/>
  <c r="N69" i="16"/>
  <c r="M191" i="29"/>
  <c r="M196" i="29"/>
  <c r="V292" i="42"/>
  <c r="AV111" i="45"/>
  <c r="AV106" i="45"/>
  <c r="P109" i="45"/>
  <c r="Q171" i="29"/>
  <c r="Q174" i="29" s="1"/>
  <c r="Q170" i="29"/>
  <c r="P229" i="14"/>
  <c r="V154" i="53"/>
  <c r="V156" i="53" s="1"/>
  <c r="W153" i="53"/>
  <c r="AW84" i="45"/>
  <c r="V61" i="46"/>
  <c r="V67" i="46"/>
  <c r="V64" i="46"/>
  <c r="V62" i="46"/>
  <c r="V65" i="46"/>
  <c r="V66" i="46"/>
  <c r="V89" i="46" s="1"/>
  <c r="W60" i="46"/>
  <c r="Q316" i="38"/>
  <c r="Q317" i="38"/>
  <c r="Q320" i="38" s="1"/>
  <c r="Q231" i="12"/>
  <c r="U184" i="38"/>
  <c r="U188" i="38"/>
  <c r="U196" i="38"/>
  <c r="U204" i="38"/>
  <c r="V258" i="48"/>
  <c r="W257" i="48"/>
  <c r="U71" i="51"/>
  <c r="AT76" i="51"/>
  <c r="AB25" i="15"/>
  <c r="Q107" i="12"/>
  <c r="Y128" i="15"/>
  <c r="X40" i="28"/>
  <c r="Y60" i="15"/>
  <c r="O71" i="48"/>
  <c r="O76" i="48" s="1"/>
  <c r="O73" i="48"/>
  <c r="O78" i="48" s="1"/>
  <c r="O70" i="48"/>
  <c r="O75" i="48" s="1"/>
  <c r="O72" i="48"/>
  <c r="O77" i="48" s="1"/>
  <c r="O74" i="48"/>
  <c r="AY34" i="45"/>
  <c r="BA20" i="45"/>
  <c r="BA19" i="45"/>
  <c r="BA35" i="45"/>
  <c r="BA29" i="45"/>
  <c r="BA28" i="45"/>
  <c r="BA32" i="45"/>
  <c r="BA36" i="45"/>
  <c r="BA37" i="45"/>
  <c r="BA31" i="45"/>
  <c r="BA54" i="45"/>
  <c r="T124" i="12"/>
  <c r="T127" i="12" s="1"/>
  <c r="S90" i="20"/>
  <c r="M337" i="42"/>
  <c r="M342" i="42"/>
  <c r="R101" i="20"/>
  <c r="R93" i="19" s="1"/>
  <c r="S136" i="12"/>
  <c r="R98" i="20"/>
  <c r="R88" i="19"/>
  <c r="S136" i="14" s="1"/>
  <c r="R97" i="20"/>
  <c r="R100" i="20"/>
  <c r="R99" i="20"/>
  <c r="L329" i="46"/>
  <c r="L333" i="46" s="1"/>
  <c r="L330" i="46"/>
  <c r="Q211" i="19"/>
  <c r="Q31" i="19"/>
  <c r="W40" i="28"/>
  <c r="X128" i="15"/>
  <c r="X60" i="15"/>
  <c r="P318" i="38"/>
  <c r="P319" i="38" s="1"/>
  <c r="P321" i="38" s="1"/>
  <c r="O272" i="20"/>
  <c r="O273" i="20"/>
  <c r="R290" i="38"/>
  <c r="R291" i="38" s="1"/>
  <c r="R313" i="38"/>
  <c r="R314" i="38" s="1"/>
  <c r="U26" i="19"/>
  <c r="U44" i="19" s="1"/>
  <c r="U155" i="19" s="1"/>
  <c r="U154" i="19" s="1"/>
  <c r="V20" i="19"/>
  <c r="T194" i="29"/>
  <c r="T193" i="29"/>
  <c r="K353" i="48"/>
  <c r="P225" i="12" a="1"/>
  <c r="P225" i="12" s="1"/>
  <c r="R72" i="45"/>
  <c r="BB54" i="51"/>
  <c r="R47" i="20"/>
  <c r="R218" i="20" s="1"/>
  <c r="R221" i="20"/>
  <c r="R51" i="19"/>
  <c r="R72" i="20"/>
  <c r="S93" i="12"/>
  <c r="AB41" i="15"/>
  <c r="T186" i="42"/>
  <c r="T185" i="42"/>
  <c r="W68" i="51"/>
  <c r="W50" i="51"/>
  <c r="Q77" i="19"/>
  <c r="R106" i="14" s="1"/>
  <c r="R106" i="12"/>
  <c r="P141" i="14"/>
  <c r="U211" i="53"/>
  <c r="U210" i="53"/>
  <c r="U209" i="53"/>
  <c r="U212" i="53"/>
  <c r="P320" i="42"/>
  <c r="AZ110" i="36"/>
  <c r="V61" i="53"/>
  <c r="V62" i="53"/>
  <c r="V66" i="53"/>
  <c r="V73" i="53" s="1"/>
  <c r="V74" i="53" s="1"/>
  <c r="V65" i="53"/>
  <c r="V75" i="53" s="1"/>
  <c r="V67" i="53"/>
  <c r="V77" i="53" s="1"/>
  <c r="V78" i="53" s="1"/>
  <c r="W61" i="51" s="1"/>
  <c r="V64" i="53"/>
  <c r="V71" i="53" s="1"/>
  <c r="V72" i="53" s="1"/>
  <c r="W57" i="51" s="1"/>
  <c r="W60" i="53"/>
  <c r="P227" i="14"/>
  <c r="K155" i="12"/>
  <c r="J312" i="20"/>
  <c r="J317" i="20"/>
  <c r="Q57" i="19"/>
  <c r="Q264" i="20"/>
  <c r="Q315" i="20"/>
  <c r="Q314" i="20"/>
  <c r="Q263" i="20"/>
  <c r="Q267" i="20"/>
  <c r="T244" i="46"/>
  <c r="T249" i="46" s="1"/>
  <c r="T245" i="46"/>
  <c r="T250" i="46" s="1"/>
  <c r="T246" i="46"/>
  <c r="T251" i="46" s="1"/>
  <c r="T247" i="46"/>
  <c r="T252" i="46" s="1"/>
  <c r="T243" i="48"/>
  <c r="T248" i="46"/>
  <c r="U96" i="45" s="1"/>
  <c r="BC40" i="45"/>
  <c r="BC39" i="45"/>
  <c r="P139" i="14"/>
  <c r="U49" i="15"/>
  <c r="V47" i="28"/>
  <c r="V54" i="29"/>
  <c r="V53" i="29"/>
  <c r="V52" i="29"/>
  <c r="V49" i="29" s="1"/>
  <c r="V89" i="29" s="1"/>
  <c r="V51" i="29"/>
  <c r="V50" i="29"/>
  <c r="S144" i="42"/>
  <c r="S148" i="42" s="1"/>
  <c r="S143" i="42"/>
  <c r="S147" i="42" s="1"/>
  <c r="S146" i="42"/>
  <c r="S145" i="42"/>
  <c r="S149" i="42" s="1"/>
  <c r="Z10" i="16"/>
  <c r="W44" i="38"/>
  <c r="W288" i="38" s="1"/>
  <c r="P69" i="19"/>
  <c r="Q99" i="14" s="1"/>
  <c r="Q99" i="12"/>
  <c r="BD60" i="51"/>
  <c r="T141" i="46"/>
  <c r="T164" i="46" s="1"/>
  <c r="T140" i="46"/>
  <c r="T154" i="46" s="1"/>
  <c r="T142" i="46"/>
  <c r="T174" i="46" s="1"/>
  <c r="O326" i="38"/>
  <c r="O333" i="38" s="1"/>
  <c r="M72" i="16"/>
  <c r="L197" i="29"/>
  <c r="M73" i="16" s="1"/>
  <c r="Z39" i="15"/>
  <c r="Z13" i="15"/>
  <c r="T131" i="42"/>
  <c r="T150" i="42" s="1"/>
  <c r="T132" i="42"/>
  <c r="T158" i="42" s="1"/>
  <c r="T130" i="42"/>
  <c r="T142" i="42" s="1"/>
  <c r="X122" i="15"/>
  <c r="X132" i="15" s="1"/>
  <c r="T103" i="38"/>
  <c r="T107" i="38" s="1"/>
  <c r="T104" i="38"/>
  <c r="T108" i="38" s="1"/>
  <c r="T105" i="38"/>
  <c r="U99" i="36" s="1"/>
  <c r="BA99" i="36" s="1"/>
  <c r="T102" i="38"/>
  <c r="T106" i="38" s="1"/>
  <c r="T142" i="20"/>
  <c r="T118" i="19" s="1"/>
  <c r="T140" i="20"/>
  <c r="T116" i="19" s="1"/>
  <c r="T141" i="20"/>
  <c r="T117" i="19" s="1"/>
  <c r="T143" i="20"/>
  <c r="T119" i="19" s="1"/>
  <c r="T144" i="20"/>
  <c r="T120" i="19" s="1"/>
  <c r="T115" i="19"/>
  <c r="U94" i="14" s="1"/>
  <c r="N324" i="48"/>
  <c r="N322" i="48"/>
  <c r="N321" i="48"/>
  <c r="N323" i="48"/>
  <c r="M294" i="20"/>
  <c r="M296" i="20" s="1"/>
  <c r="M295" i="20"/>
  <c r="U140" i="48"/>
  <c r="U141" i="48"/>
  <c r="U142" i="48"/>
  <c r="T129" i="42"/>
  <c r="T134" i="42"/>
  <c r="T63" i="38"/>
  <c r="T69" i="38"/>
  <c r="W131" i="16"/>
  <c r="W129" i="16"/>
  <c r="T136" i="16"/>
  <c r="S85" i="45"/>
  <c r="S71" i="45"/>
  <c r="V292" i="38"/>
  <c r="S208" i="46"/>
  <c r="S213" i="46" s="1"/>
  <c r="S209" i="46"/>
  <c r="S214" i="46" s="1"/>
  <c r="S210" i="46"/>
  <c r="S215" i="46" s="1"/>
  <c r="S206" i="48"/>
  <c r="S211" i="46"/>
  <c r="T89" i="45" s="1"/>
  <c r="S207" i="46"/>
  <c r="S212" i="46" s="1"/>
  <c r="Q129" i="12"/>
  <c r="W135" i="53"/>
  <c r="X56" i="51"/>
  <c r="Y27" i="29"/>
  <c r="Z21" i="29"/>
  <c r="P149" i="14"/>
  <c r="T304" i="38"/>
  <c r="T303" i="38"/>
  <c r="T315" i="38" s="1"/>
  <c r="U60" i="29"/>
  <c r="V56" i="16" s="1"/>
  <c r="V56" i="15"/>
  <c r="W29" i="46"/>
  <c r="R127" i="12"/>
  <c r="T93" i="48"/>
  <c r="T98" i="48" s="1"/>
  <c r="T90" i="48"/>
  <c r="T95" i="48" s="1"/>
  <c r="T94" i="48"/>
  <c r="T91" i="48"/>
  <c r="T92" i="48"/>
  <c r="T97" i="48" s="1"/>
  <c r="BA98" i="36"/>
  <c r="X128" i="16"/>
  <c r="W40" i="29"/>
  <c r="X60" i="16"/>
  <c r="T199" i="38"/>
  <c r="T203" i="38" s="1"/>
  <c r="T198" i="38"/>
  <c r="T202" i="38" s="1"/>
  <c r="T197" i="38"/>
  <c r="T201" i="38" s="1"/>
  <c r="T200" i="38"/>
  <c r="U101" i="36" s="1"/>
  <c r="BA101" i="36" s="1"/>
  <c r="P130" i="14"/>
  <c r="U65" i="20"/>
  <c r="U64" i="20"/>
  <c r="V63" i="20"/>
  <c r="W31" i="53"/>
  <c r="W194" i="53"/>
  <c r="Z17" i="16"/>
  <c r="R139" i="12"/>
  <c r="L327" i="48"/>
  <c r="L328" i="48"/>
  <c r="Y24" i="46"/>
  <c r="Z18" i="46"/>
  <c r="T297" i="42"/>
  <c r="T298" i="42"/>
  <c r="Q160" i="29"/>
  <c r="Q161" i="29"/>
  <c r="Q164" i="29"/>
  <c r="Q163" i="29"/>
  <c r="Q165" i="29"/>
  <c r="Q162" i="29"/>
  <c r="U162" i="53"/>
  <c r="U157" i="53"/>
  <c r="V66" i="51" s="1"/>
  <c r="AW87" i="45"/>
  <c r="AW73" i="45"/>
  <c r="S140" i="15"/>
  <c r="U93" i="46"/>
  <c r="U98" i="46" s="1"/>
  <c r="U90" i="46"/>
  <c r="U95" i="46" s="1"/>
  <c r="U94" i="46"/>
  <c r="U91" i="46"/>
  <c r="U92" i="46"/>
  <c r="U97" i="46" s="1"/>
  <c r="U89" i="48"/>
  <c r="Q308" i="38"/>
  <c r="Q306" i="38"/>
  <c r="Q310" i="38"/>
  <c r="Q309" i="38"/>
  <c r="Q307" i="38"/>
  <c r="Q311" i="38"/>
  <c r="P255" i="20"/>
  <c r="P256" i="20" s="1"/>
  <c r="Q222" i="20"/>
  <c r="U132" i="38"/>
  <c r="U158" i="38" s="1"/>
  <c r="U131" i="38"/>
  <c r="U150" i="38" s="1"/>
  <c r="U130" i="38"/>
  <c r="U142" i="38" s="1"/>
  <c r="Q79" i="46"/>
  <c r="Q109" i="46"/>
  <c r="Q69" i="46"/>
  <c r="Q44" i="46"/>
  <c r="Q316" i="46" s="1"/>
  <c r="Q99" i="46"/>
  <c r="S164" i="28"/>
  <c r="S162" i="28"/>
  <c r="S161" i="28"/>
  <c r="S163" i="28"/>
  <c r="N189" i="29"/>
  <c r="O70" i="16" s="1"/>
  <c r="N187" i="29"/>
  <c r="S157" i="29"/>
  <c r="S169" i="29" s="1"/>
  <c r="S158" i="29"/>
  <c r="Q185" i="28"/>
  <c r="Q186" i="28" s="1"/>
  <c r="R101" i="29"/>
  <c r="Q134" i="29"/>
  <c r="Q135" i="29" s="1"/>
  <c r="W360" i="46"/>
  <c r="L251" i="19"/>
  <c r="L252" i="19" s="1"/>
  <c r="L254" i="19" s="1"/>
  <c r="P249" i="53"/>
  <c r="P251" i="53"/>
  <c r="Q75" i="51" s="1"/>
  <c r="S199" i="20"/>
  <c r="S160" i="19" s="1"/>
  <c r="S201" i="20"/>
  <c r="S162" i="19" s="1"/>
  <c r="S200" i="20"/>
  <c r="S161" i="19" s="1"/>
  <c r="S203" i="20"/>
  <c r="S164" i="19" s="1"/>
  <c r="S159" i="19"/>
  <c r="T123" i="14" s="1"/>
  <c r="S202" i="20"/>
  <c r="Q141" i="12"/>
  <c r="S96" i="20"/>
  <c r="T162" i="54"/>
  <c r="R233" i="54"/>
  <c r="R232" i="54"/>
  <c r="L349" i="46"/>
  <c r="AC7" i="16"/>
  <c r="AD6" i="16"/>
  <c r="R33" i="46"/>
  <c r="R39" i="46" s="1"/>
  <c r="S75" i="45"/>
  <c r="AY99" i="45"/>
  <c r="O318" i="46"/>
  <c r="O319" i="46" s="1"/>
  <c r="O341" i="46"/>
  <c r="O342" i="46" s="1"/>
  <c r="P9" i="55"/>
  <c r="O278" i="20"/>
  <c r="O279" i="20"/>
  <c r="P118" i="12"/>
  <c r="T80" i="42"/>
  <c r="T84" i="42" s="1"/>
  <c r="T79" i="42"/>
  <c r="T83" i="42" s="1"/>
  <c r="T78" i="42"/>
  <c r="T82" i="42" s="1"/>
  <c r="T81" i="42"/>
  <c r="Q142" i="12"/>
  <c r="Y22" i="38"/>
  <c r="X28" i="38"/>
  <c r="X43" i="38" s="1"/>
  <c r="CE4" i="55"/>
  <c r="R31" i="20"/>
  <c r="R253" i="20"/>
  <c r="O148" i="14"/>
  <c r="AT115" i="45"/>
  <c r="AW128" i="36"/>
  <c r="K349" i="48"/>
  <c r="P228" i="12"/>
  <c r="AV90" i="45"/>
  <c r="P91" i="45"/>
  <c r="Q249" i="53"/>
  <c r="Q251" i="53"/>
  <c r="R75" i="51" s="1"/>
  <c r="U205" i="53"/>
  <c r="R175" i="48"/>
  <c r="R180" i="48" s="1"/>
  <c r="R177" i="48"/>
  <c r="R182" i="48" s="1"/>
  <c r="R176" i="48"/>
  <c r="R181" i="48" s="1"/>
  <c r="R178" i="48"/>
  <c r="R183" i="48" s="1"/>
  <c r="R179" i="48"/>
  <c r="Q317" i="42"/>
  <c r="Q320" i="42" s="1"/>
  <c r="Q316" i="42"/>
  <c r="V232" i="38"/>
  <c r="V234" i="38" s="1"/>
  <c r="W231" i="38"/>
  <c r="BA105" i="45"/>
  <c r="T24" i="20"/>
  <c r="U18" i="20"/>
  <c r="Q59" i="19"/>
  <c r="K158" i="12"/>
  <c r="K162" i="12"/>
  <c r="Q51" i="19"/>
  <c r="Q265" i="20"/>
  <c r="Q288" i="20"/>
  <c r="Q289" i="20" s="1"/>
  <c r="U67" i="15"/>
  <c r="U46" i="15"/>
  <c r="X40" i="45"/>
  <c r="X39" i="45"/>
  <c r="Y38" i="45"/>
  <c r="BD38" i="45"/>
  <c r="P34" i="19"/>
  <c r="P33" i="19"/>
  <c r="T136" i="20"/>
  <c r="T112" i="19" s="1"/>
  <c r="T138" i="20"/>
  <c r="T114" i="19" s="1"/>
  <c r="T135" i="20"/>
  <c r="T111" i="19" s="1"/>
  <c r="T134" i="20"/>
  <c r="T110" i="19" s="1"/>
  <c r="T137" i="20"/>
  <c r="T113" i="19" s="1"/>
  <c r="T109" i="19"/>
  <c r="U126" i="14" s="1"/>
  <c r="AY89" i="45"/>
  <c r="P251" i="54"/>
  <c r="AW75" i="51" s="1"/>
  <c r="P249" i="54"/>
  <c r="P186" i="28"/>
  <c r="P187" i="28" s="1"/>
  <c r="P189" i="28" s="1"/>
  <c r="U49" i="16"/>
  <c r="S138" i="19"/>
  <c r="S153" i="42"/>
  <c r="S157" i="42" s="1"/>
  <c r="S152" i="42"/>
  <c r="S156" i="42" s="1"/>
  <c r="S154" i="42"/>
  <c r="S151" i="42"/>
  <c r="S155" i="42" s="1"/>
  <c r="S127" i="12"/>
  <c r="X25" i="42"/>
  <c r="X40" i="42" s="1"/>
  <c r="Y19" i="42"/>
  <c r="W29" i="38"/>
  <c r="U65" i="16"/>
  <c r="W44" i="42"/>
  <c r="W288" i="42" s="1"/>
  <c r="T204" i="46"/>
  <c r="T203" i="46"/>
  <c r="AX70" i="45"/>
  <c r="R186" i="28" l="1"/>
  <c r="K371" i="46"/>
  <c r="L126" i="45" s="1"/>
  <c r="N345" i="46"/>
  <c r="N346" i="46" s="1"/>
  <c r="N347" i="46" s="1"/>
  <c r="S232" i="54"/>
  <c r="AY59" i="45"/>
  <c r="R37" i="48"/>
  <c r="W43" i="48" s="1"/>
  <c r="AY104" i="45"/>
  <c r="AY60" i="45"/>
  <c r="AY73" i="45" s="1"/>
  <c r="AY117" i="36"/>
  <c r="AY123" i="36" s="1"/>
  <c r="X24" i="38"/>
  <c r="X39" i="38" s="1"/>
  <c r="Y18" i="38"/>
  <c r="Q271" i="46"/>
  <c r="AW4" i="55"/>
  <c r="Y18" i="42"/>
  <c r="X24" i="42"/>
  <c r="X39" i="42" s="1"/>
  <c r="V278" i="38"/>
  <c r="V289" i="38" s="1"/>
  <c r="V31" i="38"/>
  <c r="P271" i="48"/>
  <c r="M345" i="48"/>
  <c r="M346" i="48" s="1"/>
  <c r="M347" i="48" s="1"/>
  <c r="Q176" i="19"/>
  <c r="X29" i="48"/>
  <c r="X306" i="48" s="1"/>
  <c r="R55" i="19"/>
  <c r="R50" i="19"/>
  <c r="R57" i="19"/>
  <c r="R53" i="19"/>
  <c r="R58" i="19"/>
  <c r="R52" i="19"/>
  <c r="R49" i="19" s="1"/>
  <c r="R177" i="19" s="1"/>
  <c r="S133" i="12"/>
  <c r="P232" i="12"/>
  <c r="Q179" i="19"/>
  <c r="S236" i="54"/>
  <c r="V63" i="46"/>
  <c r="V139" i="48"/>
  <c r="U102" i="36"/>
  <c r="BY6" i="55"/>
  <c r="P120" i="36"/>
  <c r="Y75" i="15"/>
  <c r="X20" i="45"/>
  <c r="X19" i="45"/>
  <c r="S128" i="36"/>
  <c r="Q152" i="14"/>
  <c r="O244" i="19"/>
  <c r="O242" i="19"/>
  <c r="O243" i="19"/>
  <c r="O241" i="19"/>
  <c r="O239" i="19"/>
  <c r="O240" i="19"/>
  <c r="Q259" i="54"/>
  <c r="AX78" i="51" s="1"/>
  <c r="AX77" i="51"/>
  <c r="K162" i="14"/>
  <c r="K158" i="14"/>
  <c r="AC41" i="16"/>
  <c r="Q83" i="46"/>
  <c r="Q88" i="46" s="1"/>
  <c r="Q82" i="46"/>
  <c r="Q87" i="46" s="1"/>
  <c r="Q80" i="46"/>
  <c r="Q85" i="46" s="1"/>
  <c r="Q81" i="46"/>
  <c r="Q86" i="46" s="1"/>
  <c r="Q79" i="48"/>
  <c r="Q84" i="46"/>
  <c r="R90" i="45" s="1"/>
  <c r="U90" i="48"/>
  <c r="U95" i="48" s="1"/>
  <c r="U93" i="48"/>
  <c r="U98" i="48" s="1"/>
  <c r="U94" i="48"/>
  <c r="U91" i="48"/>
  <c r="U92" i="48"/>
  <c r="U97" i="48" s="1"/>
  <c r="V64" i="20"/>
  <c r="V65" i="20"/>
  <c r="W63" i="20"/>
  <c r="T70" i="38"/>
  <c r="T74" i="38" s="1"/>
  <c r="T71" i="38"/>
  <c r="T75" i="38" s="1"/>
  <c r="T72" i="38"/>
  <c r="T76" i="38" s="1"/>
  <c r="T73" i="38"/>
  <c r="U78" i="36" s="1"/>
  <c r="M300" i="20"/>
  <c r="M301" i="20" s="1"/>
  <c r="T156" i="46"/>
  <c r="T161" i="46" s="1"/>
  <c r="T158" i="46"/>
  <c r="T163" i="46" s="1"/>
  <c r="T155" i="46"/>
  <c r="T160" i="46" s="1"/>
  <c r="T157" i="46"/>
  <c r="T162" i="46" s="1"/>
  <c r="T154" i="48"/>
  <c r="T159" i="46"/>
  <c r="U98" i="45" s="1"/>
  <c r="P231" i="14"/>
  <c r="BC41" i="45"/>
  <c r="AZ112" i="36"/>
  <c r="AZ113" i="36"/>
  <c r="AZ111" i="36"/>
  <c r="R311" i="38"/>
  <c r="R309" i="38"/>
  <c r="R310" i="38"/>
  <c r="R307" i="38"/>
  <c r="R308" i="38"/>
  <c r="R306" i="38"/>
  <c r="R91" i="19"/>
  <c r="S144" i="14" s="1"/>
  <c r="S144" i="12"/>
  <c r="W61" i="46"/>
  <c r="W62" i="46"/>
  <c r="W64" i="46"/>
  <c r="W67" i="46"/>
  <c r="W65" i="46"/>
  <c r="W66" i="46"/>
  <c r="W89" i="46" s="1"/>
  <c r="X60" i="46"/>
  <c r="R167" i="28"/>
  <c r="R168" i="28"/>
  <c r="U141" i="46"/>
  <c r="U164" i="46" s="1"/>
  <c r="U140" i="46"/>
  <c r="U154" i="46" s="1"/>
  <c r="U142" i="46"/>
  <c r="U174" i="46" s="1"/>
  <c r="U303" i="42"/>
  <c r="U315" i="42" s="1"/>
  <c r="U304" i="42"/>
  <c r="AA13" i="15"/>
  <c r="J159" i="12"/>
  <c r="T206" i="42"/>
  <c r="T210" i="42" s="1"/>
  <c r="T207" i="42"/>
  <c r="T211" i="42" s="1"/>
  <c r="T208" i="42"/>
  <c r="T205" i="42"/>
  <c r="T209" i="42" s="1"/>
  <c r="AB18" i="15"/>
  <c r="AB19" i="15"/>
  <c r="AB15" i="15"/>
  <c r="AB16" i="15"/>
  <c r="AC14" i="15"/>
  <c r="AB32" i="15"/>
  <c r="T85" i="45"/>
  <c r="W84" i="29"/>
  <c r="X61" i="16"/>
  <c r="S105" i="12"/>
  <c r="L155" i="14"/>
  <c r="K270" i="19"/>
  <c r="K275" i="19"/>
  <c r="M329" i="46"/>
  <c r="M333" i="46" s="1"/>
  <c r="M330" i="46"/>
  <c r="Z27" i="42"/>
  <c r="Z42" i="42" s="1"/>
  <c r="AA21" i="42"/>
  <c r="X110" i="53"/>
  <c r="X111" i="53" s="1"/>
  <c r="X108" i="53"/>
  <c r="X109" i="53" s="1"/>
  <c r="X104" i="53"/>
  <c r="X105" i="53" s="1"/>
  <c r="Y53" i="51" s="1"/>
  <c r="X106" i="53"/>
  <c r="X107" i="53" s="1"/>
  <c r="Y62" i="51" s="1"/>
  <c r="U185" i="42"/>
  <c r="U186" i="42"/>
  <c r="V61" i="42"/>
  <c r="V67" i="42"/>
  <c r="V101" i="42" s="1"/>
  <c r="V62" i="42"/>
  <c r="V64" i="42"/>
  <c r="V77" i="42" s="1"/>
  <c r="V65" i="42"/>
  <c r="V93" i="42" s="1"/>
  <c r="V66" i="42"/>
  <c r="V85" i="42" s="1"/>
  <c r="W60" i="42"/>
  <c r="U110" i="36"/>
  <c r="W19" i="45"/>
  <c r="W20" i="45"/>
  <c r="N314" i="46"/>
  <c r="N310" i="46"/>
  <c r="N312" i="46"/>
  <c r="N315" i="46"/>
  <c r="N311" i="46"/>
  <c r="N313" i="46"/>
  <c r="W22" i="19"/>
  <c r="V28" i="19"/>
  <c r="V46" i="19" s="1"/>
  <c r="AU126" i="36"/>
  <c r="N343" i="42"/>
  <c r="AU127" i="36" s="1"/>
  <c r="U105" i="38"/>
  <c r="V99" i="36" s="1"/>
  <c r="BB99" i="36" s="1"/>
  <c r="U103" i="38"/>
  <c r="U107" i="38" s="1"/>
  <c r="U102" i="38"/>
  <c r="U106" i="38" s="1"/>
  <c r="U104" i="38"/>
  <c r="U108" i="38" s="1"/>
  <c r="V74" i="29"/>
  <c r="W45" i="16" s="1"/>
  <c r="W45" i="15"/>
  <c r="Q149" i="12"/>
  <c r="W25" i="20"/>
  <c r="W43" i="20" s="1"/>
  <c r="X19" i="20"/>
  <c r="W47" i="29"/>
  <c r="W142" i="29" s="1"/>
  <c r="R187" i="28"/>
  <c r="U157" i="19"/>
  <c r="U198" i="20"/>
  <c r="V123" i="12"/>
  <c r="V56" i="45"/>
  <c r="V55" i="45"/>
  <c r="Q85" i="19"/>
  <c r="R132" i="14" s="1"/>
  <c r="R132" i="12"/>
  <c r="AY71" i="45"/>
  <c r="AY85" i="45"/>
  <c r="Z40" i="15"/>
  <c r="R74" i="19"/>
  <c r="S121" i="14" s="1"/>
  <c r="S121" i="12"/>
  <c r="X135" i="53"/>
  <c r="Y56" i="51"/>
  <c r="N201" i="28"/>
  <c r="Q251" i="54"/>
  <c r="AX75" i="51" s="1"/>
  <c r="Q249" i="54"/>
  <c r="W31" i="48"/>
  <c r="W306" i="48"/>
  <c r="Y136" i="54"/>
  <c r="Y137" i="54" s="1"/>
  <c r="Y134" i="54"/>
  <c r="Y135" i="54" s="1"/>
  <c r="Y138" i="54"/>
  <c r="Y139" i="54" s="1"/>
  <c r="L162" i="12"/>
  <c r="L158" i="12"/>
  <c r="AP123" i="45"/>
  <c r="AP124" i="45"/>
  <c r="AP121" i="45"/>
  <c r="P151" i="12"/>
  <c r="AN123" i="45"/>
  <c r="AN124" i="45"/>
  <c r="AN121" i="45"/>
  <c r="S301" i="38"/>
  <c r="S305" i="38" s="1"/>
  <c r="S302" i="38"/>
  <c r="S131" i="12"/>
  <c r="R84" i="19"/>
  <c r="S131" i="14" s="1"/>
  <c r="O332" i="46"/>
  <c r="O331" i="46"/>
  <c r="O343" i="46" s="1"/>
  <c r="O344" i="46" s="1"/>
  <c r="V66" i="15"/>
  <c r="AT122" i="36"/>
  <c r="AT125" i="36"/>
  <c r="R228" i="14"/>
  <c r="S233" i="53"/>
  <c r="S236" i="53" s="1"/>
  <c r="S232" i="53"/>
  <c r="S33" i="46"/>
  <c r="S39" i="46" s="1"/>
  <c r="T75" i="45"/>
  <c r="R121" i="12"/>
  <c r="Q74" i="19"/>
  <c r="R121" i="14" s="1"/>
  <c r="U157" i="28"/>
  <c r="U160" i="28"/>
  <c r="V67" i="16"/>
  <c r="V46" i="16"/>
  <c r="M234" i="19"/>
  <c r="M238" i="19" s="1"/>
  <c r="M235" i="19"/>
  <c r="V127" i="20"/>
  <c r="U220" i="42"/>
  <c r="U224" i="42" s="1"/>
  <c r="U221" i="42"/>
  <c r="U225" i="42" s="1"/>
  <c r="U222" i="42"/>
  <c r="U226" i="42" s="1"/>
  <c r="U223" i="42"/>
  <c r="O335" i="38"/>
  <c r="P121" i="36" s="1"/>
  <c r="AV121" i="36" s="1"/>
  <c r="Y39" i="54"/>
  <c r="M252" i="19"/>
  <c r="M253" i="19"/>
  <c r="V212" i="54"/>
  <c r="V211" i="54"/>
  <c r="V209" i="54"/>
  <c r="V210" i="54"/>
  <c r="AZ68" i="45"/>
  <c r="O187" i="29"/>
  <c r="AW76" i="45"/>
  <c r="Q78" i="45"/>
  <c r="U175" i="20"/>
  <c r="U137" i="19" s="1"/>
  <c r="U178" i="20"/>
  <c r="U140" i="19" s="1"/>
  <c r="U174" i="20"/>
  <c r="U136" i="19" s="1"/>
  <c r="U135" i="19"/>
  <c r="V113" i="14" s="1"/>
  <c r="U176" i="20"/>
  <c r="V113" i="12"/>
  <c r="U177" i="20"/>
  <c r="U139" i="19" s="1"/>
  <c r="L160" i="14"/>
  <c r="W292" i="42"/>
  <c r="R234" i="54"/>
  <c r="R235" i="54" s="1"/>
  <c r="R237" i="54" s="1"/>
  <c r="S171" i="28"/>
  <c r="S183" i="28" s="1"/>
  <c r="S172" i="28"/>
  <c r="P257" i="20"/>
  <c r="P261" i="20"/>
  <c r="P260" i="20"/>
  <c r="P259" i="20"/>
  <c r="P258" i="20"/>
  <c r="P262" i="20"/>
  <c r="L330" i="48"/>
  <c r="L329" i="48"/>
  <c r="L333" i="48" s="1"/>
  <c r="U66" i="20"/>
  <c r="W306" i="46"/>
  <c r="W31" i="46"/>
  <c r="T246" i="38"/>
  <c r="T243" i="38"/>
  <c r="Z121" i="15"/>
  <c r="Z42" i="15"/>
  <c r="T168" i="46"/>
  <c r="T173" i="46" s="1"/>
  <c r="T166" i="46"/>
  <c r="T171" i="46" s="1"/>
  <c r="T165" i="46"/>
  <c r="T170" i="46" s="1"/>
  <c r="T164" i="48"/>
  <c r="T167" i="46"/>
  <c r="T172" i="46" s="1"/>
  <c r="T169" i="46"/>
  <c r="U77" i="45" s="1"/>
  <c r="W292" i="38"/>
  <c r="K164" i="12"/>
  <c r="J318" i="20"/>
  <c r="K165" i="12" s="1"/>
  <c r="W66" i="53"/>
  <c r="W73" i="53" s="1"/>
  <c r="W74" i="53" s="1"/>
  <c r="W61" i="53"/>
  <c r="W64" i="53"/>
  <c r="W71" i="53" s="1"/>
  <c r="W72" i="53" s="1"/>
  <c r="X57" i="51" s="1"/>
  <c r="W67" i="53"/>
  <c r="W77" i="53" s="1"/>
  <c r="W78" i="53" s="1"/>
  <c r="X61" i="51" s="1"/>
  <c r="W65" i="53"/>
  <c r="W75" i="53" s="1"/>
  <c r="W62" i="53"/>
  <c r="X60" i="53"/>
  <c r="P325" i="42"/>
  <c r="P326" i="42" s="1"/>
  <c r="O274" i="20"/>
  <c r="O275" i="20"/>
  <c r="R92" i="19"/>
  <c r="S145" i="14" s="1"/>
  <c r="S145" i="12"/>
  <c r="BA55" i="45"/>
  <c r="BA56" i="45"/>
  <c r="R33" i="48"/>
  <c r="R39" i="48" s="1"/>
  <c r="AY75" i="45"/>
  <c r="V92" i="46"/>
  <c r="V97" i="46" s="1"/>
  <c r="V89" i="48"/>
  <c r="V93" i="46"/>
  <c r="V98" i="46" s="1"/>
  <c r="V91" i="46"/>
  <c r="V94" i="46"/>
  <c r="V90" i="46"/>
  <c r="V95" i="46" s="1"/>
  <c r="X153" i="53"/>
  <c r="W154" i="53"/>
  <c r="W156" i="53" s="1"/>
  <c r="N71" i="16"/>
  <c r="U93" i="36"/>
  <c r="U96" i="36" s="1"/>
  <c r="BA91" i="36"/>
  <c r="BA93" i="36" s="1"/>
  <c r="BA96" i="36" s="1"/>
  <c r="V27" i="19"/>
  <c r="V45" i="19" s="1"/>
  <c r="V129" i="19" s="1"/>
  <c r="V128" i="19" s="1"/>
  <c r="W21" i="19"/>
  <c r="U114" i="36"/>
  <c r="BA79" i="36"/>
  <c r="BA114" i="36" s="1"/>
  <c r="T140" i="16"/>
  <c r="M363" i="46"/>
  <c r="N120" i="45" s="1"/>
  <c r="M361" i="46"/>
  <c r="U139" i="46"/>
  <c r="U144" i="46"/>
  <c r="Q97" i="12"/>
  <c r="Q154" i="12"/>
  <c r="T113" i="36"/>
  <c r="T111" i="36"/>
  <c r="T112" i="36"/>
  <c r="J161" i="12"/>
  <c r="T199" i="42"/>
  <c r="T203" i="42" s="1"/>
  <c r="T198" i="42"/>
  <c r="T202" i="42" s="1"/>
  <c r="T197" i="42"/>
  <c r="T201" i="42" s="1"/>
  <c r="T200" i="42"/>
  <c r="P71" i="15"/>
  <c r="W128" i="38"/>
  <c r="W183" i="38"/>
  <c r="W127" i="38"/>
  <c r="W182" i="38"/>
  <c r="X126" i="38"/>
  <c r="AA17" i="15"/>
  <c r="AA20" i="16"/>
  <c r="T86" i="45"/>
  <c r="S105" i="14"/>
  <c r="Q69" i="19"/>
  <c r="R99" i="14" s="1"/>
  <c r="R99" i="12"/>
  <c r="U147" i="20"/>
  <c r="U123" i="19" s="1"/>
  <c r="U146" i="20"/>
  <c r="U122" i="19" s="1"/>
  <c r="U150" i="20"/>
  <c r="U126" i="19" s="1"/>
  <c r="U148" i="20"/>
  <c r="U124" i="19" s="1"/>
  <c r="U149" i="20"/>
  <c r="U125" i="19" s="1"/>
  <c r="V138" i="12"/>
  <c r="U121" i="19"/>
  <c r="V138" i="14" s="1"/>
  <c r="U102" i="42"/>
  <c r="U106" i="42" s="1"/>
  <c r="U104" i="42"/>
  <c r="U108" i="42" s="1"/>
  <c r="U103" i="42"/>
  <c r="U107" i="42" s="1"/>
  <c r="U105" i="42"/>
  <c r="AZ77" i="45"/>
  <c r="O335" i="42"/>
  <c r="O333" i="42"/>
  <c r="Z35" i="15"/>
  <c r="U80" i="38"/>
  <c r="U84" i="38" s="1"/>
  <c r="U81" i="38"/>
  <c r="V92" i="36" s="1"/>
  <c r="BB92" i="36" s="1"/>
  <c r="U79" i="38"/>
  <c r="U83" i="38" s="1"/>
  <c r="U78" i="38"/>
  <c r="U82" i="38" s="1"/>
  <c r="W48" i="15"/>
  <c r="V71" i="29"/>
  <c r="W48" i="16" s="1"/>
  <c r="W208" i="54"/>
  <c r="Q149" i="14"/>
  <c r="V145" i="20"/>
  <c r="W126" i="12"/>
  <c r="U67" i="45"/>
  <c r="U23" i="45"/>
  <c r="R196" i="54"/>
  <c r="R197" i="54" s="1"/>
  <c r="S163" i="54"/>
  <c r="AZ98" i="45"/>
  <c r="W31" i="45"/>
  <c r="W32" i="45"/>
  <c r="W29" i="45"/>
  <c r="W28" i="45"/>
  <c r="W37" i="45"/>
  <c r="W36" i="45"/>
  <c r="W35" i="45"/>
  <c r="BC27" i="45"/>
  <c r="X27" i="45"/>
  <c r="W54" i="45"/>
  <c r="V33" i="45"/>
  <c r="AY86" i="45"/>
  <c r="AY72" i="45"/>
  <c r="P317" i="48"/>
  <c r="P320" i="48"/>
  <c r="Z35" i="16"/>
  <c r="S146" i="14"/>
  <c r="S115" i="14"/>
  <c r="BE63" i="51"/>
  <c r="V25" i="19"/>
  <c r="V43" i="19" s="1"/>
  <c r="V97" i="19" s="1"/>
  <c r="W19" i="19"/>
  <c r="U142" i="20"/>
  <c r="U118" i="19" s="1"/>
  <c r="U141" i="20"/>
  <c r="U117" i="19" s="1"/>
  <c r="U143" i="20"/>
  <c r="U119" i="19" s="1"/>
  <c r="U140" i="20"/>
  <c r="U116" i="19" s="1"/>
  <c r="U144" i="20"/>
  <c r="U120" i="19" s="1"/>
  <c r="U115" i="19"/>
  <c r="V94" i="14" s="1"/>
  <c r="AX72" i="45"/>
  <c r="W66" i="54"/>
  <c r="W73" i="54" s="1"/>
  <c r="W74" i="54" s="1"/>
  <c r="W67" i="54"/>
  <c r="W77" i="54" s="1"/>
  <c r="W78" i="54" s="1"/>
  <c r="W61" i="54"/>
  <c r="W65" i="54"/>
  <c r="W75" i="54" s="1"/>
  <c r="W76" i="54" s="1"/>
  <c r="W64" i="54"/>
  <c r="W71" i="54" s="1"/>
  <c r="W72" i="54" s="1"/>
  <c r="W62" i="54"/>
  <c r="X60" i="54"/>
  <c r="U162" i="54"/>
  <c r="M119" i="45"/>
  <c r="L365" i="46"/>
  <c r="L370" i="46"/>
  <c r="M125" i="45" s="1"/>
  <c r="Y26" i="48"/>
  <c r="Y41" i="48" s="1"/>
  <c r="Z20" i="48"/>
  <c r="U214" i="54"/>
  <c r="U213" i="54"/>
  <c r="Y25" i="28"/>
  <c r="Y43" i="28" s="1"/>
  <c r="Z19" i="28"/>
  <c r="P83" i="48"/>
  <c r="P88" i="48" s="1"/>
  <c r="P82" i="48"/>
  <c r="P87" i="48" s="1"/>
  <c r="P81" i="48"/>
  <c r="P86" i="48" s="1"/>
  <c r="P84" i="48"/>
  <c r="P80" i="48"/>
  <c r="P85" i="48" s="1"/>
  <c r="J266" i="19"/>
  <c r="O230" i="19"/>
  <c r="O231" i="19"/>
  <c r="V66" i="16"/>
  <c r="Y28" i="29"/>
  <c r="Y46" i="29" s="1"/>
  <c r="Z22" i="29"/>
  <c r="Y25" i="54"/>
  <c r="Y40" i="54" s="1"/>
  <c r="Z19" i="54"/>
  <c r="S224" i="53"/>
  <c r="S225" i="53"/>
  <c r="S223" i="53"/>
  <c r="S227" i="53"/>
  <c r="S222" i="53"/>
  <c r="S226" i="53"/>
  <c r="S83" i="20"/>
  <c r="S75" i="19" s="1"/>
  <c r="S70" i="19"/>
  <c r="T114" i="14" s="1"/>
  <c r="S79" i="20"/>
  <c r="S82" i="20"/>
  <c r="S80" i="20"/>
  <c r="S81" i="20"/>
  <c r="T114" i="12"/>
  <c r="U58" i="29"/>
  <c r="U114" i="28"/>
  <c r="U213" i="28"/>
  <c r="P193" i="28"/>
  <c r="P194" i="28" s="1"/>
  <c r="V133" i="20"/>
  <c r="AX73" i="45"/>
  <c r="T148" i="46"/>
  <c r="T153" i="46" s="1"/>
  <c r="T145" i="46"/>
  <c r="T150" i="46" s="1"/>
  <c r="T147" i="46"/>
  <c r="T152" i="46" s="1"/>
  <c r="T144" i="48"/>
  <c r="T146" i="46"/>
  <c r="T151" i="46" s="1"/>
  <c r="T149" i="46"/>
  <c r="U83" i="45" s="1"/>
  <c r="S163" i="53"/>
  <c r="R196" i="53"/>
  <c r="R197" i="53" s="1"/>
  <c r="AV100" i="45"/>
  <c r="AV113" i="45"/>
  <c r="X29" i="46"/>
  <c r="L348" i="48"/>
  <c r="X332" i="38"/>
  <c r="P72" i="48"/>
  <c r="P77" i="48" s="1"/>
  <c r="P70" i="48"/>
  <c r="P75" i="48" s="1"/>
  <c r="P71" i="48"/>
  <c r="P76" i="48" s="1"/>
  <c r="P73" i="48"/>
  <c r="P78" i="48" s="1"/>
  <c r="P74" i="48"/>
  <c r="BA51" i="51"/>
  <c r="BA72" i="51"/>
  <c r="BA73" i="51" s="1"/>
  <c r="U181" i="20"/>
  <c r="U143" i="19" s="1"/>
  <c r="U180" i="20"/>
  <c r="U142" i="19" s="1"/>
  <c r="U183" i="20"/>
  <c r="U145" i="19" s="1"/>
  <c r="U182" i="20"/>
  <c r="U144" i="19" s="1"/>
  <c r="U184" i="20"/>
  <c r="U146" i="19" s="1"/>
  <c r="U141" i="19"/>
  <c r="V125" i="14" s="1"/>
  <c r="O253" i="53"/>
  <c r="S227" i="12"/>
  <c r="R79" i="46"/>
  <c r="R99" i="46"/>
  <c r="R109" i="46"/>
  <c r="R44" i="46"/>
  <c r="R316" i="46" s="1"/>
  <c r="R69" i="46"/>
  <c r="BB66" i="51"/>
  <c r="V70" i="51"/>
  <c r="R231" i="12"/>
  <c r="U70" i="20"/>
  <c r="U69" i="20"/>
  <c r="U68" i="20"/>
  <c r="U67" i="20"/>
  <c r="T137" i="42"/>
  <c r="T141" i="42" s="1"/>
  <c r="T136" i="42"/>
  <c r="T140" i="42" s="1"/>
  <c r="T138" i="42"/>
  <c r="T135" i="42"/>
  <c r="T139" i="42" s="1"/>
  <c r="N325" i="48"/>
  <c r="N326" i="48"/>
  <c r="T144" i="42"/>
  <c r="T148" i="42" s="1"/>
  <c r="T145" i="42"/>
  <c r="T149" i="42" s="1"/>
  <c r="T146" i="42"/>
  <c r="T143" i="42"/>
  <c r="T147" i="42" s="1"/>
  <c r="Q271" i="20"/>
  <c r="Q269" i="20"/>
  <c r="Q268" i="20"/>
  <c r="Q270" i="20"/>
  <c r="BC57" i="51"/>
  <c r="U220" i="53"/>
  <c r="U219" i="53"/>
  <c r="U231" i="53" s="1"/>
  <c r="R89" i="19"/>
  <c r="S140" i="14" s="1"/>
  <c r="S140" i="12"/>
  <c r="S95" i="20"/>
  <c r="S87" i="19" s="1"/>
  <c r="S82" i="19"/>
  <c r="T124" i="14" s="1"/>
  <c r="S94" i="20"/>
  <c r="S86" i="19" s="1"/>
  <c r="S91" i="20"/>
  <c r="S93" i="20"/>
  <c r="S92" i="20"/>
  <c r="BA33" i="45"/>
  <c r="AA38" i="28"/>
  <c r="AB124" i="15"/>
  <c r="AB54" i="15"/>
  <c r="V157" i="53"/>
  <c r="W66" i="51" s="1"/>
  <c r="AV109" i="45"/>
  <c r="AZ108" i="45"/>
  <c r="W201" i="48"/>
  <c r="W138" i="48"/>
  <c r="W137" i="48"/>
  <c r="W200" i="48"/>
  <c r="X136" i="48"/>
  <c r="T216" i="53"/>
  <c r="T215" i="53"/>
  <c r="Q154" i="14"/>
  <c r="Q97" i="14"/>
  <c r="BD53" i="51"/>
  <c r="X54" i="51"/>
  <c r="T191" i="42"/>
  <c r="T195" i="42" s="1"/>
  <c r="T189" i="42"/>
  <c r="T193" i="42" s="1"/>
  <c r="T190" i="42"/>
  <c r="T194" i="42" s="1"/>
  <c r="T192" i="42"/>
  <c r="P281" i="20"/>
  <c r="P286" i="20"/>
  <c r="P284" i="20"/>
  <c r="P282" i="20"/>
  <c r="P285" i="20"/>
  <c r="P283" i="20"/>
  <c r="U132" i="19"/>
  <c r="AZ107" i="45"/>
  <c r="Q222" i="19"/>
  <c r="Q272" i="19"/>
  <c r="Q221" i="19"/>
  <c r="Q273" i="19"/>
  <c r="Q225" i="19"/>
  <c r="V184" i="38"/>
  <c r="V196" i="38"/>
  <c r="V188" i="38"/>
  <c r="V204" i="38"/>
  <c r="AA34" i="16"/>
  <c r="AA33" i="16"/>
  <c r="T84" i="45"/>
  <c r="S109" i="12"/>
  <c r="R81" i="19"/>
  <c r="S109" i="14" s="1"/>
  <c r="AC25" i="16"/>
  <c r="W67" i="48"/>
  <c r="W66" i="48"/>
  <c r="W65" i="48"/>
  <c r="W62" i="48"/>
  <c r="W64" i="48"/>
  <c r="W61" i="48"/>
  <c r="X60" i="48"/>
  <c r="Q67" i="19"/>
  <c r="R100" i="14" s="1"/>
  <c r="R100" i="12"/>
  <c r="S119" i="36"/>
  <c r="U78" i="42"/>
  <c r="U82" i="42" s="1"/>
  <c r="U79" i="42"/>
  <c r="U83" i="42" s="1"/>
  <c r="U81" i="42"/>
  <c r="U80" i="42"/>
  <c r="U84" i="42" s="1"/>
  <c r="N276" i="20"/>
  <c r="N280" i="20" s="1"/>
  <c r="N277" i="20"/>
  <c r="N348" i="46"/>
  <c r="S290" i="42"/>
  <c r="S291" i="42" s="1"/>
  <c r="S313" i="42"/>
  <c r="S314" i="42" s="1"/>
  <c r="Q110" i="45"/>
  <c r="AW112" i="45"/>
  <c r="Q112" i="45"/>
  <c r="Q111" i="45"/>
  <c r="AW110" i="45"/>
  <c r="AW111" i="45"/>
  <c r="V59" i="16"/>
  <c r="U63" i="38"/>
  <c r="U69" i="38"/>
  <c r="W58" i="15"/>
  <c r="V73" i="29"/>
  <c r="W58" i="16" s="1"/>
  <c r="V23" i="45"/>
  <c r="R108" i="12"/>
  <c r="V33" i="29"/>
  <c r="V34" i="29"/>
  <c r="P272" i="20"/>
  <c r="P273" i="20"/>
  <c r="Q201" i="54"/>
  <c r="Q199" i="54"/>
  <c r="Q198" i="54"/>
  <c r="Q203" i="54"/>
  <c r="Q200" i="54"/>
  <c r="Q202" i="54"/>
  <c r="S156" i="48"/>
  <c r="S161" i="48" s="1"/>
  <c r="S157" i="48"/>
  <c r="S162" i="48" s="1"/>
  <c r="S159" i="48"/>
  <c r="S158" i="48"/>
  <c r="S163" i="48" s="1"/>
  <c r="S155" i="48"/>
  <c r="S160" i="48" s="1"/>
  <c r="Y26" i="42"/>
  <c r="Y41" i="42" s="1"/>
  <c r="Z20" i="42"/>
  <c r="BB36" i="45"/>
  <c r="BB35" i="45"/>
  <c r="BB29" i="45"/>
  <c r="BB31" i="45"/>
  <c r="BB32" i="45"/>
  <c r="BB37" i="45"/>
  <c r="BB28" i="45"/>
  <c r="BB54" i="45"/>
  <c r="V30" i="45"/>
  <c r="BE69" i="51"/>
  <c r="P321" i="46"/>
  <c r="P322" i="46"/>
  <c r="P324" i="46"/>
  <c r="P323" i="46"/>
  <c r="S185" i="28"/>
  <c r="S184" i="28"/>
  <c r="T173" i="19"/>
  <c r="W258" i="46"/>
  <c r="W260" i="46" s="1"/>
  <c r="X257" i="46"/>
  <c r="V63" i="54"/>
  <c r="V159" i="54" s="1"/>
  <c r="V69" i="54"/>
  <c r="V70" i="54" s="1"/>
  <c r="M122" i="45"/>
  <c r="U57" i="45"/>
  <c r="N294" i="20"/>
  <c r="N296" i="20" s="1"/>
  <c r="N295" i="20"/>
  <c r="X63" i="29"/>
  <c r="X62" i="29" s="1"/>
  <c r="X66" i="29"/>
  <c r="X67" i="29"/>
  <c r="X65" i="29"/>
  <c r="X64" i="29"/>
  <c r="X68" i="29"/>
  <c r="Y122" i="15"/>
  <c r="Y132" i="15" s="1"/>
  <c r="X104" i="54"/>
  <c r="X105" i="54" s="1"/>
  <c r="X110" i="54"/>
  <c r="X111" i="54" s="1"/>
  <c r="X106" i="54"/>
  <c r="X107" i="54" s="1"/>
  <c r="X108" i="54"/>
  <c r="X109" i="54" s="1"/>
  <c r="W58" i="51"/>
  <c r="R47" i="19"/>
  <c r="R61" i="19"/>
  <c r="R59" i="19"/>
  <c r="R60" i="19"/>
  <c r="R62" i="19"/>
  <c r="W154" i="54"/>
  <c r="W156" i="54" s="1"/>
  <c r="X153" i="54"/>
  <c r="BD17" i="45"/>
  <c r="BD18" i="45" s="1"/>
  <c r="U35" i="48"/>
  <c r="BB44" i="45"/>
  <c r="BB95" i="45"/>
  <c r="BB42" i="45"/>
  <c r="BB43" i="45"/>
  <c r="Y131" i="15"/>
  <c r="T106" i="19"/>
  <c r="O120" i="36"/>
  <c r="N337" i="38"/>
  <c r="N342" i="38"/>
  <c r="W47" i="28"/>
  <c r="W53" i="29"/>
  <c r="W54" i="29"/>
  <c r="W52" i="29"/>
  <c r="W49" i="29" s="1"/>
  <c r="W89" i="29" s="1"/>
  <c r="W51" i="29"/>
  <c r="W50" i="29"/>
  <c r="Q200" i="53"/>
  <c r="Q198" i="53"/>
  <c r="Q199" i="53"/>
  <c r="Q202" i="53"/>
  <c r="Q201" i="53"/>
  <c r="Q203" i="53"/>
  <c r="X332" i="42"/>
  <c r="AB10" i="15"/>
  <c r="P335" i="38"/>
  <c r="Q121" i="36" s="1"/>
  <c r="AW121" i="36" s="1"/>
  <c r="P333" i="38"/>
  <c r="L346" i="48"/>
  <c r="L347" i="48" s="1"/>
  <c r="L349" i="48" s="1"/>
  <c r="AU114" i="45"/>
  <c r="AU115" i="45" s="1"/>
  <c r="AA21" i="38"/>
  <c r="Z27" i="38"/>
  <c r="Z42" i="38" s="1"/>
  <c r="L301" i="20"/>
  <c r="L310" i="20" s="1"/>
  <c r="M156" i="12" s="1"/>
  <c r="L124" i="45"/>
  <c r="L123" i="45"/>
  <c r="L121" i="45"/>
  <c r="P76" i="51"/>
  <c r="U136" i="16"/>
  <c r="Q325" i="42"/>
  <c r="X360" i="46"/>
  <c r="U206" i="53"/>
  <c r="U207" i="53" s="1"/>
  <c r="U229" i="53"/>
  <c r="U230" i="53" s="1"/>
  <c r="Z27" i="29"/>
  <c r="AA21" i="29"/>
  <c r="T159" i="42"/>
  <c r="T163" i="42" s="1"/>
  <c r="T161" i="42"/>
  <c r="T165" i="42" s="1"/>
  <c r="T162" i="42"/>
  <c r="T160" i="42"/>
  <c r="T164" i="42" s="1"/>
  <c r="Q266" i="20"/>
  <c r="K15" i="55"/>
  <c r="K12" i="55"/>
  <c r="K14" i="55"/>
  <c r="K11" i="55"/>
  <c r="K13" i="55"/>
  <c r="K16" i="55"/>
  <c r="BC61" i="51"/>
  <c r="W64" i="51"/>
  <c r="BC50" i="51"/>
  <c r="S147" i="12"/>
  <c r="S95" i="12"/>
  <c r="R265" i="20"/>
  <c r="R288" i="20"/>
  <c r="R289" i="20" s="1"/>
  <c r="Q33" i="19"/>
  <c r="Q34" i="19"/>
  <c r="BA21" i="45"/>
  <c r="Q325" i="38"/>
  <c r="Q326" i="38" s="1"/>
  <c r="R142" i="12"/>
  <c r="W205" i="53"/>
  <c r="W208" i="53"/>
  <c r="Y28" i="28"/>
  <c r="Y46" i="28" s="1"/>
  <c r="Z22" i="28"/>
  <c r="N337" i="48"/>
  <c r="N339" i="48"/>
  <c r="N336" i="48"/>
  <c r="N335" i="48"/>
  <c r="N334" i="48"/>
  <c r="N338" i="48"/>
  <c r="Y25" i="38"/>
  <c r="Y40" i="38" s="1"/>
  <c r="Z19" i="38"/>
  <c r="S230" i="48"/>
  <c r="S235" i="48" s="1"/>
  <c r="S228" i="48"/>
  <c r="S233" i="48" s="1"/>
  <c r="S227" i="48"/>
  <c r="S232" i="48" s="1"/>
  <c r="S229" i="48"/>
  <c r="S234" i="48" s="1"/>
  <c r="S231" i="48"/>
  <c r="V202" i="48"/>
  <c r="T138" i="19"/>
  <c r="V33" i="28"/>
  <c r="V34" i="28"/>
  <c r="U297" i="42"/>
  <c r="U298" i="42"/>
  <c r="X68" i="51"/>
  <c r="X50" i="51"/>
  <c r="R228" i="12"/>
  <c r="O322" i="48"/>
  <c r="O321" i="48"/>
  <c r="O324" i="48"/>
  <c r="O323" i="48"/>
  <c r="Y28" i="53"/>
  <c r="Y43" i="53" s="1"/>
  <c r="Z22" i="53"/>
  <c r="U133" i="19"/>
  <c r="V130" i="38"/>
  <c r="V142" i="38" s="1"/>
  <c r="V131" i="38"/>
  <c r="V150" i="38" s="1"/>
  <c r="V132" i="38"/>
  <c r="V158" i="38" s="1"/>
  <c r="AA74" i="16"/>
  <c r="S106" i="12"/>
  <c r="R77" i="19"/>
  <c r="S106" i="14" s="1"/>
  <c r="U150" i="29"/>
  <c r="U148" i="29"/>
  <c r="U147" i="29"/>
  <c r="U149" i="29"/>
  <c r="V232" i="42"/>
  <c r="V234" i="42" s="1"/>
  <c r="W231" i="42"/>
  <c r="S148" i="28"/>
  <c r="S149" i="28" s="1"/>
  <c r="T214" i="28"/>
  <c r="V63" i="48"/>
  <c r="R101" i="12"/>
  <c r="Q68" i="19"/>
  <c r="R101" i="14" s="1"/>
  <c r="AY80" i="36"/>
  <c r="AY83" i="36" s="1"/>
  <c r="AY119" i="36" s="1"/>
  <c r="AY115" i="36"/>
  <c r="AY116" i="36" s="1"/>
  <c r="U95" i="42"/>
  <c r="U99" i="42" s="1"/>
  <c r="U94" i="42"/>
  <c r="U98" i="42" s="1"/>
  <c r="U96" i="42"/>
  <c r="U100" i="42" s="1"/>
  <c r="U97" i="42"/>
  <c r="S280" i="42"/>
  <c r="S281" i="42" s="1"/>
  <c r="T247" i="42"/>
  <c r="Z24" i="29"/>
  <c r="AA18" i="29"/>
  <c r="V59" i="15"/>
  <c r="X75" i="16"/>
  <c r="X76" i="16"/>
  <c r="V75" i="29"/>
  <c r="W64" i="16" s="1"/>
  <c r="W64" i="15"/>
  <c r="W208" i="20"/>
  <c r="V209" i="20"/>
  <c r="V211" i="20" s="1"/>
  <c r="R108" i="14"/>
  <c r="Y26" i="54"/>
  <c r="Y41" i="54" s="1"/>
  <c r="Y147" i="54" s="1"/>
  <c r="Y148" i="54" s="1"/>
  <c r="Z20" i="54"/>
  <c r="S37" i="46"/>
  <c r="X43" i="46" s="1"/>
  <c r="T104" i="45"/>
  <c r="T59" i="45"/>
  <c r="T60" i="45"/>
  <c r="T73" i="45" s="1"/>
  <c r="T58" i="45"/>
  <c r="T71" i="45" s="1"/>
  <c r="P151" i="14"/>
  <c r="AY84" i="45"/>
  <c r="P148" i="14"/>
  <c r="L258" i="19"/>
  <c r="L259" i="19" s="1"/>
  <c r="R317" i="42"/>
  <c r="R320" i="42" s="1"/>
  <c r="R316" i="42"/>
  <c r="V82" i="29"/>
  <c r="W55" i="16" s="1"/>
  <c r="W55" i="15"/>
  <c r="S174" i="28"/>
  <c r="S177" i="28"/>
  <c r="S176" i="28"/>
  <c r="S178" i="28"/>
  <c r="S175" i="28"/>
  <c r="S179" i="28"/>
  <c r="V261" i="46"/>
  <c r="V266" i="46" s="1"/>
  <c r="V262" i="46"/>
  <c r="V267" i="46" s="1"/>
  <c r="V264" i="46"/>
  <c r="V269" i="46" s="1"/>
  <c r="V263" i="46"/>
  <c r="V268" i="46" s="1"/>
  <c r="V265" i="46"/>
  <c r="W105" i="45" s="1"/>
  <c r="V260" i="48"/>
  <c r="Y26" i="38"/>
  <c r="Y41" i="38" s="1"/>
  <c r="Z20" i="38"/>
  <c r="T24" i="19"/>
  <c r="U18" i="19"/>
  <c r="T151" i="29"/>
  <c r="T152" i="29"/>
  <c r="BY7" i="55"/>
  <c r="Z27" i="53"/>
  <c r="Z42" i="53" s="1"/>
  <c r="AA21" i="53"/>
  <c r="Y25" i="48"/>
  <c r="Y40" i="48" s="1"/>
  <c r="Z19" i="48"/>
  <c r="X44" i="42"/>
  <c r="X288" i="42" s="1"/>
  <c r="Q98" i="14"/>
  <c r="Q153" i="14"/>
  <c r="U134" i="16"/>
  <c r="U68" i="16"/>
  <c r="U133" i="16" a="1"/>
  <c r="U133" i="16" s="1"/>
  <c r="U77" i="16"/>
  <c r="BB64" i="51"/>
  <c r="R211" i="19"/>
  <c r="R31" i="19"/>
  <c r="V157" i="54"/>
  <c r="Y17" i="45"/>
  <c r="BE16" i="45"/>
  <c r="Z16" i="45"/>
  <c r="R146" i="14"/>
  <c r="R115" i="14"/>
  <c r="Y26" i="46"/>
  <c r="Y41" i="46" s="1"/>
  <c r="Z20" i="46"/>
  <c r="Z21" i="15"/>
  <c r="X29" i="28"/>
  <c r="P318" i="46"/>
  <c r="P319" i="46" s="1"/>
  <c r="P341" i="46"/>
  <c r="P342" i="46" s="1"/>
  <c r="Q9" i="55"/>
  <c r="W31" i="42"/>
  <c r="W278" i="42"/>
  <c r="W95" i="45"/>
  <c r="V35" i="46"/>
  <c r="W44" i="45"/>
  <c r="W43" i="45"/>
  <c r="W42" i="45"/>
  <c r="R241" i="53"/>
  <c r="R258" i="53"/>
  <c r="Y128" i="16"/>
  <c r="X40" i="29"/>
  <c r="Y60" i="16"/>
  <c r="U68" i="45"/>
  <c r="U135" i="38"/>
  <c r="U139" i="38" s="1"/>
  <c r="U138" i="38"/>
  <c r="V85" i="36" s="1"/>
  <c r="U136" i="38"/>
  <c r="U140" i="38" s="1"/>
  <c r="U137" i="38"/>
  <c r="U141" i="38" s="1"/>
  <c r="R141" i="12"/>
  <c r="V65" i="15"/>
  <c r="Z22" i="54"/>
  <c r="Y28" i="54"/>
  <c r="Y43" i="54" s="1"/>
  <c r="Y28" i="46"/>
  <c r="Z22" i="46"/>
  <c r="Q79" i="45"/>
  <c r="Q81" i="45"/>
  <c r="Q80" i="45"/>
  <c r="AW80" i="45"/>
  <c r="AW81" i="45"/>
  <c r="AW79" i="45"/>
  <c r="T206" i="54"/>
  <c r="T207" i="54" s="1"/>
  <c r="T229" i="54"/>
  <c r="T230" i="54" s="1"/>
  <c r="R34" i="20"/>
  <c r="R33" i="20"/>
  <c r="O290" i="20"/>
  <c r="O291" i="20" s="1"/>
  <c r="O292" i="20"/>
  <c r="S101" i="20"/>
  <c r="S93" i="19" s="1"/>
  <c r="T136" i="12"/>
  <c r="S97" i="20"/>
  <c r="S100" i="20"/>
  <c r="S98" i="20"/>
  <c r="S99" i="20"/>
  <c r="S88" i="19"/>
  <c r="T136" i="14" s="1"/>
  <c r="BD39" i="45"/>
  <c r="BD40" i="45"/>
  <c r="U24" i="20"/>
  <c r="V18" i="20"/>
  <c r="Q318" i="42"/>
  <c r="Q319" i="42" s="1"/>
  <c r="Q321" i="42" s="1"/>
  <c r="R74" i="51"/>
  <c r="Q253" i="53"/>
  <c r="AV9" i="55"/>
  <c r="AD7" i="16"/>
  <c r="AE6" i="16"/>
  <c r="Q137" i="29"/>
  <c r="Q138" i="29"/>
  <c r="Q141" i="29"/>
  <c r="Q139" i="29"/>
  <c r="Q136" i="29"/>
  <c r="Q140" i="29"/>
  <c r="O69" i="16"/>
  <c r="N191" i="29"/>
  <c r="N196" i="29"/>
  <c r="Q100" i="46"/>
  <c r="Q105" i="46" s="1"/>
  <c r="Q103" i="46"/>
  <c r="Q108" i="46" s="1"/>
  <c r="Q99" i="48"/>
  <c r="Q102" i="46"/>
  <c r="Q107" i="46" s="1"/>
  <c r="Q101" i="46"/>
  <c r="Q106" i="46" s="1"/>
  <c r="Q104" i="46"/>
  <c r="R106" i="45" s="1"/>
  <c r="U143" i="38"/>
  <c r="U147" i="38" s="1"/>
  <c r="U144" i="38"/>
  <c r="U148" i="38" s="1"/>
  <c r="U146" i="38"/>
  <c r="V100" i="36" s="1"/>
  <c r="BB100" i="36" s="1"/>
  <c r="U145" i="38"/>
  <c r="U149" i="38" s="1"/>
  <c r="T299" i="42"/>
  <c r="T300" i="42"/>
  <c r="Z21" i="16"/>
  <c r="V296" i="38"/>
  <c r="V294" i="38"/>
  <c r="V293" i="38"/>
  <c r="V295" i="38"/>
  <c r="T151" i="42"/>
  <c r="T155" i="42" s="1"/>
  <c r="T153" i="42"/>
  <c r="T157" i="42" s="1"/>
  <c r="T154" i="42"/>
  <c r="T152" i="42"/>
  <c r="T156" i="42" s="1"/>
  <c r="BA96" i="45"/>
  <c r="K157" i="12"/>
  <c r="K163" i="12"/>
  <c r="V76" i="53"/>
  <c r="W67" i="51"/>
  <c r="W71" i="51" s="1"/>
  <c r="BC68" i="51"/>
  <c r="R74" i="20"/>
  <c r="R66" i="19" s="1"/>
  <c r="R77" i="20"/>
  <c r="R73" i="20"/>
  <c r="R76" i="20"/>
  <c r="R64" i="19"/>
  <c r="S93" i="14" s="1"/>
  <c r="R75" i="20"/>
  <c r="R90" i="19"/>
  <c r="S143" i="14" s="1"/>
  <c r="S143" i="12"/>
  <c r="Q318" i="38"/>
  <c r="Q319" i="38" s="1"/>
  <c r="Q321" i="38" s="1"/>
  <c r="V295" i="42"/>
  <c r="V296" i="42"/>
  <c r="V294" i="42"/>
  <c r="V293" i="42"/>
  <c r="R142" i="14"/>
  <c r="Y61" i="15"/>
  <c r="X85" i="29"/>
  <c r="W44" i="15"/>
  <c r="V62" i="28"/>
  <c r="V56" i="29"/>
  <c r="W44" i="16" s="1"/>
  <c r="V140" i="48"/>
  <c r="V142" i="48"/>
  <c r="V141" i="48"/>
  <c r="Y26" i="53"/>
  <c r="Y41" i="53" s="1"/>
  <c r="Y147" i="53" s="1"/>
  <c r="Y148" i="53" s="1"/>
  <c r="Z60" i="51" s="1"/>
  <c r="Z20" i="53"/>
  <c r="V241" i="46"/>
  <c r="V243" i="46" s="1"/>
  <c r="W240" i="46"/>
  <c r="BD62" i="51"/>
  <c r="X36" i="28"/>
  <c r="X42" i="28" s="1"/>
  <c r="Y123" i="15"/>
  <c r="Y43" i="15"/>
  <c r="Y76" i="15" s="1"/>
  <c r="AD7" i="15"/>
  <c r="AD8" i="15" s="1"/>
  <c r="AE6" i="15"/>
  <c r="U130" i="19"/>
  <c r="S176" i="48"/>
  <c r="S181" i="48" s="1"/>
  <c r="S178" i="48"/>
  <c r="S183" i="48" s="1"/>
  <c r="S177" i="48"/>
  <c r="S182" i="48" s="1"/>
  <c r="S179" i="48"/>
  <c r="S175" i="48"/>
  <c r="S180" i="48" s="1"/>
  <c r="W28" i="20"/>
  <c r="W46" i="20" s="1"/>
  <c r="X22" i="20"/>
  <c r="V186" i="38"/>
  <c r="V185" i="38"/>
  <c r="AA34" i="15"/>
  <c r="AA33" i="15"/>
  <c r="AB19" i="16"/>
  <c r="AB18" i="16"/>
  <c r="AB16" i="16"/>
  <c r="AB15" i="16"/>
  <c r="AC14" i="16"/>
  <c r="AB32" i="16"/>
  <c r="AB74" i="16" s="1"/>
  <c r="N232" i="19"/>
  <c r="N233" i="19"/>
  <c r="R80" i="19"/>
  <c r="S111" i="14" s="1"/>
  <c r="S111" i="12"/>
  <c r="U237" i="42"/>
  <c r="U241" i="42" s="1"/>
  <c r="U236" i="42"/>
  <c r="U240" i="42" s="1"/>
  <c r="U238" i="42"/>
  <c r="U235" i="42"/>
  <c r="U239" i="42" s="1"/>
  <c r="V211" i="53"/>
  <c r="V209" i="53"/>
  <c r="V210" i="53"/>
  <c r="V212" i="53"/>
  <c r="R154" i="28"/>
  <c r="R151" i="28"/>
  <c r="R153" i="28"/>
  <c r="R152" i="28"/>
  <c r="R150" i="28"/>
  <c r="R155" i="28"/>
  <c r="T210" i="46"/>
  <c r="T215" i="46" s="1"/>
  <c r="T208" i="46"/>
  <c r="T213" i="46" s="1"/>
  <c r="T206" i="48"/>
  <c r="T209" i="46"/>
  <c r="T214" i="46" s="1"/>
  <c r="T207" i="46"/>
  <c r="T212" i="46" s="1"/>
  <c r="T211" i="46"/>
  <c r="U89" i="45" s="1"/>
  <c r="W31" i="54"/>
  <c r="W194" i="54"/>
  <c r="Q65" i="19"/>
  <c r="R96" i="14" s="1"/>
  <c r="R96" i="12"/>
  <c r="W27" i="20"/>
  <c r="W45" i="20" s="1"/>
  <c r="X21" i="20"/>
  <c r="T161" i="28"/>
  <c r="T162" i="28"/>
  <c r="T164" i="28"/>
  <c r="T163" i="28"/>
  <c r="U34" i="45"/>
  <c r="AX128" i="36"/>
  <c r="R284" i="42"/>
  <c r="R283" i="42"/>
  <c r="R287" i="42"/>
  <c r="R285" i="42"/>
  <c r="R286" i="42"/>
  <c r="R282" i="42"/>
  <c r="V61" i="38"/>
  <c r="V64" i="38"/>
  <c r="V77" i="38" s="1"/>
  <c r="V62" i="38"/>
  <c r="V67" i="38"/>
  <c r="V101" i="38" s="1"/>
  <c r="V65" i="38"/>
  <c r="V93" i="38" s="1"/>
  <c r="V66" i="38"/>
  <c r="V85" i="38" s="1"/>
  <c r="W60" i="38"/>
  <c r="U216" i="20"/>
  <c r="U174" i="19" s="1"/>
  <c r="U214" i="20"/>
  <c r="U172" i="19" s="1"/>
  <c r="U212" i="20"/>
  <c r="U170" i="19" s="1"/>
  <c r="U213" i="20"/>
  <c r="U171" i="19" s="1"/>
  <c r="U169" i="19"/>
  <c r="V135" i="12"/>
  <c r="U215" i="20"/>
  <c r="W265" i="19"/>
  <c r="X307" i="20"/>
  <c r="R73" i="19"/>
  <c r="S120" i="14" s="1"/>
  <c r="S120" i="12"/>
  <c r="S217" i="54"/>
  <c r="S221" i="54" s="1"/>
  <c r="S218" i="54"/>
  <c r="R311" i="42"/>
  <c r="R309" i="42"/>
  <c r="R306" i="42"/>
  <c r="R310" i="42"/>
  <c r="R308" i="42"/>
  <c r="R307" i="42"/>
  <c r="S129" i="12"/>
  <c r="W108" i="28"/>
  <c r="X107" i="28"/>
  <c r="Y26" i="29"/>
  <c r="Y44" i="29" s="1"/>
  <c r="Z20" i="29"/>
  <c r="BB58" i="51"/>
  <c r="S29" i="19"/>
  <c r="S42" i="19"/>
  <c r="S52" i="19" s="1"/>
  <c r="S49" i="19" s="1"/>
  <c r="S177" i="19" s="1"/>
  <c r="T157" i="29"/>
  <c r="T169" i="29" s="1"/>
  <c r="T158" i="29"/>
  <c r="S133" i="14"/>
  <c r="S217" i="53"/>
  <c r="S221" i="53" s="1"/>
  <c r="S218" i="53"/>
  <c r="K119" i="45"/>
  <c r="J365" i="46"/>
  <c r="J370" i="46"/>
  <c r="Y136" i="53"/>
  <c r="Y137" i="53" s="1"/>
  <c r="Z63" i="51" s="1"/>
  <c r="Y138" i="53"/>
  <c r="Y139" i="53" s="1"/>
  <c r="Z69" i="51" s="1"/>
  <c r="Y134" i="53"/>
  <c r="AO125" i="45"/>
  <c r="H371" i="48"/>
  <c r="AO126" i="45" s="1"/>
  <c r="U219" i="54"/>
  <c r="U231" i="54" s="1"/>
  <c r="U220" i="54"/>
  <c r="X29" i="42"/>
  <c r="O237" i="19"/>
  <c r="O236" i="19"/>
  <c r="O248" i="19" s="1"/>
  <c r="O249" i="19" s="1"/>
  <c r="I125" i="45"/>
  <c r="H371" i="46"/>
  <c r="I126" i="45" s="1"/>
  <c r="Q98" i="12"/>
  <c r="Q153" i="12"/>
  <c r="S280" i="38"/>
  <c r="S281" i="38" s="1"/>
  <c r="T247" i="38"/>
  <c r="S301" i="42"/>
  <c r="S305" i="42" s="1"/>
  <c r="S302" i="42"/>
  <c r="O318" i="48"/>
  <c r="O319" i="48" s="1"/>
  <c r="O341" i="48"/>
  <c r="O342" i="48" s="1"/>
  <c r="Q73" i="19"/>
  <c r="R120" i="14" s="1"/>
  <c r="R120" i="12"/>
  <c r="AV116" i="45"/>
  <c r="T206" i="53"/>
  <c r="T207" i="53" s="1"/>
  <c r="T229" i="53"/>
  <c r="T230" i="53" s="1"/>
  <c r="O213" i="19"/>
  <c r="O214" i="19" s="1"/>
  <c r="P180" i="19"/>
  <c r="V143" i="29"/>
  <c r="V146" i="29"/>
  <c r="AW97" i="45"/>
  <c r="Q100" i="45"/>
  <c r="Q113" i="45"/>
  <c r="Z11" i="16"/>
  <c r="AZ83" i="45"/>
  <c r="T158" i="28"/>
  <c r="T159" i="28" s="1"/>
  <c r="T181" i="28"/>
  <c r="T182" i="28" s="1"/>
  <c r="S47" i="20"/>
  <c r="S218" i="20" s="1"/>
  <c r="S221" i="20"/>
  <c r="T93" i="12"/>
  <c r="S72" i="20"/>
  <c r="R107" i="14"/>
  <c r="J119" i="45"/>
  <c r="I365" i="46"/>
  <c r="I370" i="46"/>
  <c r="J10" i="55"/>
  <c r="S84" i="20"/>
  <c r="T215" i="54"/>
  <c r="T216" i="54"/>
  <c r="R141" i="14"/>
  <c r="V65" i="16"/>
  <c r="J158" i="14"/>
  <c r="J162" i="14"/>
  <c r="I275" i="19"/>
  <c r="V237" i="38"/>
  <c r="V241" i="38" s="1"/>
  <c r="V236" i="38"/>
  <c r="V240" i="38" s="1"/>
  <c r="V235" i="38"/>
  <c r="V239" i="38" s="1"/>
  <c r="V238" i="38"/>
  <c r="W107" i="36" s="1"/>
  <c r="U139" i="16"/>
  <c r="AW74" i="51"/>
  <c r="P253" i="54"/>
  <c r="Y40" i="45"/>
  <c r="Y39" i="45"/>
  <c r="BE38" i="45"/>
  <c r="Z38" i="45"/>
  <c r="T29" i="20"/>
  <c r="T42" i="20"/>
  <c r="AC8" i="16"/>
  <c r="Q74" i="51"/>
  <c r="P253" i="53"/>
  <c r="R134" i="29"/>
  <c r="R135" i="29" s="1"/>
  <c r="S101" i="29"/>
  <c r="Q317" i="46"/>
  <c r="Q320" i="46"/>
  <c r="U153" i="38"/>
  <c r="U157" i="38" s="1"/>
  <c r="U154" i="38"/>
  <c r="V79" i="36" s="1"/>
  <c r="U151" i="38"/>
  <c r="U155" i="38" s="1"/>
  <c r="U152" i="38"/>
  <c r="U156" i="38" s="1"/>
  <c r="BA102" i="36"/>
  <c r="X58" i="51"/>
  <c r="BD56" i="51"/>
  <c r="N331" i="48"/>
  <c r="N343" i="48" s="1"/>
  <c r="N344" i="48" s="1"/>
  <c r="N332" i="48"/>
  <c r="V208" i="28"/>
  <c r="V207" i="28"/>
  <c r="V156" i="28"/>
  <c r="T246" i="48"/>
  <c r="T251" i="48" s="1"/>
  <c r="T245" i="48"/>
  <c r="T250" i="48" s="1"/>
  <c r="T247" i="48"/>
  <c r="T252" i="48" s="1"/>
  <c r="T248" i="48"/>
  <c r="T244" i="48"/>
  <c r="T249" i="48" s="1"/>
  <c r="U213" i="53"/>
  <c r="U214" i="53"/>
  <c r="V26" i="19"/>
  <c r="V44" i="19" s="1"/>
  <c r="W20" i="19"/>
  <c r="S139" i="12"/>
  <c r="U73" i="51"/>
  <c r="U206" i="38"/>
  <c r="U210" i="38" s="1"/>
  <c r="U207" i="38"/>
  <c r="U211" i="38" s="1"/>
  <c r="U205" i="38"/>
  <c r="U209" i="38" s="1"/>
  <c r="U208" i="38"/>
  <c r="Q179" i="29"/>
  <c r="Q180" i="29" s="1"/>
  <c r="W31" i="28"/>
  <c r="W146" i="28"/>
  <c r="W61" i="28"/>
  <c r="W57" i="29" s="1"/>
  <c r="W64" i="28"/>
  <c r="W63" i="28"/>
  <c r="W60" i="28"/>
  <c r="X59" i="28"/>
  <c r="Z24" i="48"/>
  <c r="AA18" i="48"/>
  <c r="V204" i="48"/>
  <c r="V203" i="48"/>
  <c r="U202" i="46"/>
  <c r="U206" i="46"/>
  <c r="U216" i="46"/>
  <c r="U226" i="46"/>
  <c r="BE60" i="51"/>
  <c r="U247" i="46"/>
  <c r="U252" i="46" s="1"/>
  <c r="U244" i="46"/>
  <c r="U249" i="46" s="1"/>
  <c r="U243" i="48"/>
  <c r="U246" i="46"/>
  <c r="U251" i="46" s="1"/>
  <c r="U245" i="46"/>
  <c r="U250" i="46" s="1"/>
  <c r="U248" i="46"/>
  <c r="V96" i="45" s="1"/>
  <c r="AC41" i="15"/>
  <c r="Y28" i="48"/>
  <c r="Z22" i="48"/>
  <c r="U131" i="19"/>
  <c r="V167" i="19"/>
  <c r="V166" i="19" s="1"/>
  <c r="N327" i="46"/>
  <c r="N328" i="46"/>
  <c r="V129" i="38"/>
  <c r="V134" i="38"/>
  <c r="M327" i="48"/>
  <c r="M328" i="48"/>
  <c r="Y121" i="16"/>
  <c r="Y42" i="16"/>
  <c r="P150" i="12"/>
  <c r="Y25" i="29"/>
  <c r="Y43" i="29" s="1"/>
  <c r="Z19" i="29"/>
  <c r="X76" i="15"/>
  <c r="X75" i="15"/>
  <c r="R79" i="19"/>
  <c r="S110" i="14" s="1"/>
  <c r="S110" i="12"/>
  <c r="V128" i="42"/>
  <c r="V127" i="42"/>
  <c r="W126" i="42"/>
  <c r="T219" i="46"/>
  <c r="T224" i="46" s="1"/>
  <c r="T217" i="46"/>
  <c r="T222" i="46" s="1"/>
  <c r="T221" i="46"/>
  <c r="U99" i="45" s="1"/>
  <c r="T220" i="46"/>
  <c r="T225" i="46" s="1"/>
  <c r="T218" i="46"/>
  <c r="T223" i="46" s="1"/>
  <c r="T216" i="48"/>
  <c r="P223" i="19"/>
  <c r="P224" i="19" s="1"/>
  <c r="P246" i="19"/>
  <c r="P247" i="19" s="1"/>
  <c r="R147" i="14"/>
  <c r="R95" i="14"/>
  <c r="BC54" i="51"/>
  <c r="U86" i="42"/>
  <c r="U90" i="42" s="1"/>
  <c r="U88" i="42"/>
  <c r="U92" i="42" s="1"/>
  <c r="U89" i="42"/>
  <c r="U87" i="42"/>
  <c r="U91" i="42" s="1"/>
  <c r="W125" i="12"/>
  <c r="S165" i="48"/>
  <c r="S170" i="48" s="1"/>
  <c r="S167" i="48"/>
  <c r="S172" i="48" s="1"/>
  <c r="S166" i="48"/>
  <c r="S171" i="48" s="1"/>
  <c r="S169" i="48"/>
  <c r="S168" i="48"/>
  <c r="S173" i="48" s="1"/>
  <c r="AZ57" i="45"/>
  <c r="X360" i="48"/>
  <c r="AW106" i="45"/>
  <c r="Q109" i="45"/>
  <c r="U88" i="38"/>
  <c r="U92" i="38" s="1"/>
  <c r="U86" i="38"/>
  <c r="U90" i="38" s="1"/>
  <c r="U89" i="38"/>
  <c r="U87" i="38"/>
  <c r="U91" i="38" s="1"/>
  <c r="X131" i="16"/>
  <c r="X129" i="16"/>
  <c r="S144" i="29"/>
  <c r="S145" i="29" s="1"/>
  <c r="S167" i="29"/>
  <c r="S168" i="29" s="1"/>
  <c r="U135" i="15"/>
  <c r="Q232" i="12"/>
  <c r="Q44" i="48"/>
  <c r="Q316" i="48" s="1"/>
  <c r="J363" i="48"/>
  <c r="AQ120" i="45" s="1"/>
  <c r="J361" i="48"/>
  <c r="P278" i="20"/>
  <c r="P279" i="20"/>
  <c r="R131" i="12"/>
  <c r="Q84" i="19"/>
  <c r="R131" i="14" s="1"/>
  <c r="P225" i="14" a="1"/>
  <c r="P225" i="14" s="1"/>
  <c r="P233" i="14" s="1"/>
  <c r="P234" i="14" s="1"/>
  <c r="BZ11" i="55"/>
  <c r="BZ19" i="55" s="1"/>
  <c r="BZ15" i="55"/>
  <c r="BZ14" i="55"/>
  <c r="BZ16" i="55"/>
  <c r="BZ12" i="55"/>
  <c r="BZ13" i="55"/>
  <c r="BB98" i="36"/>
  <c r="S146" i="12"/>
  <c r="S115" i="12"/>
  <c r="T103" i="36"/>
  <c r="T117" i="36" s="1"/>
  <c r="T123" i="36" s="1"/>
  <c r="T105" i="36"/>
  <c r="S139" i="14"/>
  <c r="S241" i="54"/>
  <c r="S242" i="54" s="1"/>
  <c r="X44" i="38"/>
  <c r="X288" i="38" s="1"/>
  <c r="U135" i="14"/>
  <c r="T70" i="42"/>
  <c r="T74" i="42" s="1"/>
  <c r="T72" i="42"/>
  <c r="T76" i="42" s="1"/>
  <c r="T73" i="42"/>
  <c r="T71" i="42"/>
  <c r="T75" i="42" s="1"/>
  <c r="N250" i="19"/>
  <c r="AN13" i="55"/>
  <c r="AN14" i="55"/>
  <c r="AN11" i="55"/>
  <c r="AN15" i="55"/>
  <c r="AN12" i="55"/>
  <c r="AN16" i="55"/>
  <c r="AA11" i="16"/>
  <c r="R85" i="19"/>
  <c r="S132" i="14" s="1"/>
  <c r="S132" i="12"/>
  <c r="W217" i="38"/>
  <c r="W219" i="38" s="1"/>
  <c r="X216" i="38"/>
  <c r="K122" i="45"/>
  <c r="T300" i="38"/>
  <c r="T299" i="38"/>
  <c r="AO11" i="55"/>
  <c r="AO13" i="55"/>
  <c r="AO16" i="55"/>
  <c r="AO14" i="55"/>
  <c r="AO15" i="55"/>
  <c r="AO12" i="55"/>
  <c r="T141" i="15"/>
  <c r="T142" i="15" s="1"/>
  <c r="U139" i="15"/>
  <c r="U86" i="36"/>
  <c r="U89" i="36" s="1"/>
  <c r="BA85" i="36"/>
  <c r="BA86" i="36" s="1"/>
  <c r="BA89" i="36" s="1"/>
  <c r="U297" i="38"/>
  <c r="U298" i="38"/>
  <c r="W132" i="29"/>
  <c r="W31" i="29"/>
  <c r="R286" i="38"/>
  <c r="R282" i="38"/>
  <c r="R283" i="38"/>
  <c r="R285" i="38"/>
  <c r="R287" i="38"/>
  <c r="R284" i="38"/>
  <c r="R146" i="12"/>
  <c r="R115" i="12"/>
  <c r="AV118" i="45"/>
  <c r="M348" i="48"/>
  <c r="AZ34" i="45"/>
  <c r="BB20" i="45"/>
  <c r="BB19" i="45"/>
  <c r="Q170" i="28"/>
  <c r="Q169" i="28"/>
  <c r="Q173" i="28" s="1"/>
  <c r="U193" i="29"/>
  <c r="U194" i="29"/>
  <c r="P110" i="48"/>
  <c r="P115" i="48" s="1"/>
  <c r="P113" i="48"/>
  <c r="P118" i="48" s="1"/>
  <c r="P111" i="48"/>
  <c r="P116" i="48" s="1"/>
  <c r="P112" i="48"/>
  <c r="P117" i="48" s="1"/>
  <c r="P114" i="48"/>
  <c r="P274" i="48"/>
  <c r="S145" i="48"/>
  <c r="S150" i="48" s="1"/>
  <c r="S147" i="48"/>
  <c r="S152" i="48" s="1"/>
  <c r="S148" i="48"/>
  <c r="S153" i="48" s="1"/>
  <c r="S146" i="48"/>
  <c r="S151" i="48" s="1"/>
  <c r="S149" i="48"/>
  <c r="S253" i="20"/>
  <c r="S31" i="20"/>
  <c r="CF4" i="55"/>
  <c r="BB107" i="36"/>
  <c r="R107" i="12"/>
  <c r="AD23" i="15"/>
  <c r="AD24" i="15"/>
  <c r="AE22" i="15"/>
  <c r="R156" i="29"/>
  <c r="R155" i="29"/>
  <c r="R159" i="29" s="1"/>
  <c r="BA70" i="51"/>
  <c r="Z24" i="28"/>
  <c r="AA18" i="28"/>
  <c r="I161" i="12"/>
  <c r="AZ99" i="45"/>
  <c r="W26" i="20"/>
  <c r="W44" i="20" s="1"/>
  <c r="X20" i="20"/>
  <c r="AY70" i="45"/>
  <c r="I270" i="19"/>
  <c r="K160" i="12"/>
  <c r="W278" i="38"/>
  <c r="W31" i="38"/>
  <c r="T133" i="12"/>
  <c r="S163" i="19"/>
  <c r="Q187" i="28"/>
  <c r="Q189" i="28" s="1"/>
  <c r="Q188" i="28"/>
  <c r="U161" i="38"/>
  <c r="U165" i="38" s="1"/>
  <c r="U159" i="38"/>
  <c r="U163" i="38" s="1"/>
  <c r="U160" i="38"/>
  <c r="U164" i="38" s="1"/>
  <c r="U162" i="38"/>
  <c r="V109" i="36" s="1"/>
  <c r="BB109" i="36" s="1"/>
  <c r="R227" i="12"/>
  <c r="AZ89" i="45"/>
  <c r="Q152" i="12"/>
  <c r="U136" i="15"/>
  <c r="P233" i="12"/>
  <c r="P234" i="12" s="1"/>
  <c r="T227" i="12"/>
  <c r="X257" i="48"/>
  <c r="W258" i="48"/>
  <c r="U199" i="38"/>
  <c r="U203" i="38" s="1"/>
  <c r="U200" i="38"/>
  <c r="V101" i="36" s="1"/>
  <c r="BB101" i="36" s="1"/>
  <c r="U197" i="38"/>
  <c r="U201" i="38" s="1"/>
  <c r="U198" i="38"/>
  <c r="U202" i="38" s="1"/>
  <c r="W56" i="15"/>
  <c r="V60" i="29"/>
  <c r="W56" i="16" s="1"/>
  <c r="T141" i="16"/>
  <c r="T142" i="16" s="1"/>
  <c r="V137" i="46"/>
  <c r="V138" i="46"/>
  <c r="V201" i="46"/>
  <c r="V200" i="46"/>
  <c r="W136" i="46"/>
  <c r="Z27" i="46"/>
  <c r="Z42" i="46" s="1"/>
  <c r="AA21" i="46"/>
  <c r="AC9" i="15"/>
  <c r="AC10" i="15" s="1"/>
  <c r="R171" i="29"/>
  <c r="R174" i="29" s="1"/>
  <c r="R170" i="29"/>
  <c r="P114" i="45"/>
  <c r="P115" i="45" s="1"/>
  <c r="AA20" i="15"/>
  <c r="Q223" i="19"/>
  <c r="Q246" i="19"/>
  <c r="Q247" i="19" s="1"/>
  <c r="Y28" i="42"/>
  <c r="Y43" i="42" s="1"/>
  <c r="Z22" i="42"/>
  <c r="X129" i="15"/>
  <c r="X131" i="15"/>
  <c r="X29" i="29"/>
  <c r="U130" i="42"/>
  <c r="U142" i="42" s="1"/>
  <c r="U131" i="42"/>
  <c r="U150" i="42" s="1"/>
  <c r="U132" i="42"/>
  <c r="U158" i="42" s="1"/>
  <c r="T227" i="46"/>
  <c r="T232" i="46" s="1"/>
  <c r="T230" i="46"/>
  <c r="T235" i="46" s="1"/>
  <c r="T229" i="46"/>
  <c r="T234" i="46" s="1"/>
  <c r="T226" i="48"/>
  <c r="T228" i="46"/>
  <c r="T233" i="46" s="1"/>
  <c r="T231" i="46"/>
  <c r="U108" i="45" s="1"/>
  <c r="Q147" i="14"/>
  <c r="Q95" i="14"/>
  <c r="V183" i="42"/>
  <c r="V182" i="42"/>
  <c r="W181" i="42"/>
  <c r="U63" i="42"/>
  <c r="U69" i="42"/>
  <c r="S153" i="29"/>
  <c r="S154" i="29"/>
  <c r="P150" i="14"/>
  <c r="Z27" i="28"/>
  <c r="AA21" i="28"/>
  <c r="P102" i="48"/>
  <c r="P107" i="48" s="1"/>
  <c r="P100" i="48"/>
  <c r="P105" i="48" s="1"/>
  <c r="P101" i="48"/>
  <c r="P106" i="48" s="1"/>
  <c r="P104" i="48"/>
  <c r="P103" i="48"/>
  <c r="P108" i="48" s="1"/>
  <c r="T139" i="14"/>
  <c r="P229" i="19"/>
  <c r="P226" i="19"/>
  <c r="P227" i="19"/>
  <c r="P228" i="19"/>
  <c r="Q233" i="12"/>
  <c r="Q234" i="12" s="1"/>
  <c r="R188" i="28"/>
  <c r="S313" i="38"/>
  <c r="S314" i="38" s="1"/>
  <c r="S290" i="38"/>
  <c r="S291" i="38" s="1"/>
  <c r="BC20" i="45"/>
  <c r="BC19" i="45"/>
  <c r="Q86" i="19"/>
  <c r="R133" i="14" s="1"/>
  <c r="R133" i="12"/>
  <c r="P232" i="14"/>
  <c r="N308" i="48"/>
  <c r="N309" i="48" s="1"/>
  <c r="O275" i="48"/>
  <c r="CA9" i="55"/>
  <c r="S119" i="12"/>
  <c r="R72" i="19"/>
  <c r="S119" i="14" s="1"/>
  <c r="X29" i="38"/>
  <c r="U135" i="16"/>
  <c r="P189" i="29"/>
  <c r="Q70" i="16" s="1"/>
  <c r="P187" i="29"/>
  <c r="AP125" i="45"/>
  <c r="I371" i="48"/>
  <c r="AP126" i="45" s="1"/>
  <c r="T243" i="42"/>
  <c r="T246" i="42"/>
  <c r="AB11" i="16"/>
  <c r="AN125" i="45"/>
  <c r="G371" i="48"/>
  <c r="AN126" i="45" s="1"/>
  <c r="Z24" i="53"/>
  <c r="AA18" i="53"/>
  <c r="V220" i="38"/>
  <c r="V224" i="38" s="1"/>
  <c r="V221" i="38"/>
  <c r="V225" i="38" s="1"/>
  <c r="V222" i="38"/>
  <c r="V226" i="38" s="1"/>
  <c r="V223" i="38"/>
  <c r="W98" i="36" s="1"/>
  <c r="AZ103" i="36"/>
  <c r="AZ117" i="36" s="1"/>
  <c r="AZ123" i="36" s="1"/>
  <c r="AZ105" i="36"/>
  <c r="O325" i="46"/>
  <c r="O326" i="46"/>
  <c r="AW90" i="45"/>
  <c r="Q91" i="45"/>
  <c r="AV76" i="51"/>
  <c r="U303" i="38"/>
  <c r="U315" i="38" s="1"/>
  <c r="U304" i="38"/>
  <c r="BB105" i="45"/>
  <c r="X44" i="54"/>
  <c r="X204" i="54" s="1"/>
  <c r="O232" i="14"/>
  <c r="X69" i="45"/>
  <c r="Q72" i="19"/>
  <c r="R119" i="14" s="1"/>
  <c r="R119" i="12"/>
  <c r="P118" i="45"/>
  <c r="X44" i="53"/>
  <c r="X204" i="53" s="1"/>
  <c r="U124" i="12"/>
  <c r="T90" i="20"/>
  <c r="N220" i="19"/>
  <c r="N217" i="19"/>
  <c r="N216" i="19"/>
  <c r="N215" i="19"/>
  <c r="N219" i="19"/>
  <c r="N218" i="19"/>
  <c r="AB54" i="16"/>
  <c r="AA38" i="29"/>
  <c r="AB124" i="16"/>
  <c r="W122" i="20"/>
  <c r="W125" i="20"/>
  <c r="W121" i="20"/>
  <c r="W123" i="20"/>
  <c r="W120" i="20"/>
  <c r="W124" i="20"/>
  <c r="X119" i="20"/>
  <c r="AW101" i="45"/>
  <c r="Q102" i="45"/>
  <c r="Q103" i="45"/>
  <c r="AW103" i="45"/>
  <c r="Q101" i="45"/>
  <c r="AW102" i="45"/>
  <c r="I13" i="55"/>
  <c r="I16" i="55"/>
  <c r="I15" i="55"/>
  <c r="I14" i="55"/>
  <c r="I11" i="55"/>
  <c r="I12" i="55"/>
  <c r="T88" i="29"/>
  <c r="T100" i="29"/>
  <c r="BB67" i="51"/>
  <c r="AC25" i="15"/>
  <c r="S219" i="48"/>
  <c r="S224" i="48" s="1"/>
  <c r="S220" i="48"/>
  <c r="S225" i="48" s="1"/>
  <c r="S221" i="48"/>
  <c r="S218" i="48"/>
  <c r="S223" i="48" s="1"/>
  <c r="S217" i="48"/>
  <c r="S222" i="48" s="1"/>
  <c r="V155" i="19"/>
  <c r="V154" i="19" s="1"/>
  <c r="V168" i="20"/>
  <c r="V169" i="20"/>
  <c r="V170" i="20"/>
  <c r="V179" i="20" s="1"/>
  <c r="V171" i="20"/>
  <c r="V185" i="20" s="1"/>
  <c r="V167" i="20"/>
  <c r="V173" i="20" s="1"/>
  <c r="W166" i="20"/>
  <c r="V49" i="15"/>
  <c r="J163" i="14"/>
  <c r="J157" i="14"/>
  <c r="W232" i="38"/>
  <c r="W234" i="38" s="1"/>
  <c r="X231" i="38"/>
  <c r="U133" i="15" a="1"/>
  <c r="U133" i="15" s="1"/>
  <c r="U134" i="15"/>
  <c r="U68" i="15"/>
  <c r="U77" i="15" s="1"/>
  <c r="Y28" i="38"/>
  <c r="Y43" i="38" s="1"/>
  <c r="Z22" i="38"/>
  <c r="O339" i="46"/>
  <c r="O338" i="46"/>
  <c r="O337" i="46"/>
  <c r="O335" i="46"/>
  <c r="O334" i="46"/>
  <c r="O336" i="46"/>
  <c r="S165" i="28"/>
  <c r="S186" i="28" s="1"/>
  <c r="S166" i="28"/>
  <c r="Q73" i="46"/>
  <c r="Q78" i="46" s="1"/>
  <c r="Q72" i="46"/>
  <c r="Q77" i="46" s="1"/>
  <c r="Q71" i="46"/>
  <c r="Q76" i="46" s="1"/>
  <c r="Q70" i="46"/>
  <c r="Q75" i="46" s="1"/>
  <c r="Q69" i="48"/>
  <c r="Q74" i="46"/>
  <c r="R76" i="45" s="1"/>
  <c r="Z24" i="46"/>
  <c r="AA18" i="46"/>
  <c r="U105" i="36"/>
  <c r="U103" i="36"/>
  <c r="Y25" i="42"/>
  <c r="Y40" i="42" s="1"/>
  <c r="Z19" i="42"/>
  <c r="X41" i="45"/>
  <c r="AV91" i="45"/>
  <c r="AV114" i="45" s="1"/>
  <c r="R236" i="54"/>
  <c r="Q111" i="46"/>
  <c r="Q116" i="46" s="1"/>
  <c r="Q110" i="46"/>
  <c r="Q115" i="46" s="1"/>
  <c r="Q112" i="46"/>
  <c r="Q117" i="46" s="1"/>
  <c r="Q113" i="46"/>
  <c r="Q118" i="46" s="1"/>
  <c r="Q114" i="46"/>
  <c r="R97" i="45" s="1"/>
  <c r="Q109" i="48"/>
  <c r="Q274" i="46"/>
  <c r="Q255" i="20"/>
  <c r="Q256" i="20" s="1"/>
  <c r="R222" i="20"/>
  <c r="S209" i="48"/>
  <c r="S214" i="48" s="1"/>
  <c r="S210" i="48"/>
  <c r="S215" i="48" s="1"/>
  <c r="S207" i="48"/>
  <c r="S212" i="48" s="1"/>
  <c r="S211" i="48"/>
  <c r="S208" i="48"/>
  <c r="S213" i="48" s="1"/>
  <c r="Y37" i="28"/>
  <c r="Z125" i="15"/>
  <c r="Z47" i="15"/>
  <c r="T177" i="46"/>
  <c r="T182" i="46" s="1"/>
  <c r="T178" i="46"/>
  <c r="T183" i="46" s="1"/>
  <c r="T175" i="46"/>
  <c r="T180" i="46" s="1"/>
  <c r="T174" i="48"/>
  <c r="T176" i="46"/>
  <c r="T181" i="46" s="1"/>
  <c r="T179" i="46"/>
  <c r="U107" i="45" s="1"/>
  <c r="R4" i="55"/>
  <c r="V63" i="53"/>
  <c r="V159" i="53" s="1"/>
  <c r="V69" i="53"/>
  <c r="V70" i="53" s="1"/>
  <c r="W49" i="51" s="1"/>
  <c r="S4" i="55"/>
  <c r="R264" i="20"/>
  <c r="R314" i="20"/>
  <c r="R315" i="20"/>
  <c r="R263" i="20"/>
  <c r="R266" i="20" s="1"/>
  <c r="R267" i="20"/>
  <c r="K354" i="48"/>
  <c r="K363" i="48" s="1"/>
  <c r="AR120" i="45" s="1"/>
  <c r="R317" i="38"/>
  <c r="R316" i="38"/>
  <c r="R220" i="20"/>
  <c r="AT126" i="36"/>
  <c r="M343" i="42"/>
  <c r="AT127" i="36" s="1"/>
  <c r="BA30" i="45"/>
  <c r="U189" i="38"/>
  <c r="U193" i="38" s="1"/>
  <c r="U190" i="38"/>
  <c r="U194" i="38" s="1"/>
  <c r="U192" i="38"/>
  <c r="V91" i="36" s="1"/>
  <c r="U191" i="38"/>
  <c r="U195" i="38" s="1"/>
  <c r="Q172" i="29"/>
  <c r="Q173" i="29" s="1"/>
  <c r="Q175" i="29" s="1"/>
  <c r="N72" i="16"/>
  <c r="M197" i="29"/>
  <c r="N73" i="16" s="1"/>
  <c r="V59" i="29"/>
  <c r="W62" i="16" s="1"/>
  <c r="W62" i="15"/>
  <c r="U203" i="46"/>
  <c r="U204" i="46"/>
  <c r="R225" i="12" a="1"/>
  <c r="R225" i="12" s="1"/>
  <c r="R226" i="12"/>
  <c r="R148" i="12"/>
  <c r="P72" i="15"/>
  <c r="O211" i="28"/>
  <c r="P73" i="15" s="1"/>
  <c r="R165" i="29"/>
  <c r="R163" i="29"/>
  <c r="R164" i="29"/>
  <c r="R160" i="29"/>
  <c r="R162" i="29"/>
  <c r="R161" i="29"/>
  <c r="AV78" i="45"/>
  <c r="Y25" i="46"/>
  <c r="Y40" i="46" s="1"/>
  <c r="Z19" i="46"/>
  <c r="R139" i="14"/>
  <c r="AA17" i="16"/>
  <c r="T87" i="45"/>
  <c r="AD24" i="16"/>
  <c r="AD23" i="16"/>
  <c r="AE22" i="16"/>
  <c r="M349" i="46"/>
  <c r="U129" i="42"/>
  <c r="U134" i="42"/>
  <c r="Z19" i="53"/>
  <c r="Y25" i="53"/>
  <c r="Y40" i="53" s="1"/>
  <c r="V51" i="51"/>
  <c r="BB49" i="51"/>
  <c r="V72" i="51"/>
  <c r="V73" i="51" s="1"/>
  <c r="U188" i="42"/>
  <c r="U184" i="42"/>
  <c r="U196" i="42"/>
  <c r="U204" i="42"/>
  <c r="T203" i="20"/>
  <c r="T164" i="19" s="1"/>
  <c r="T200" i="20"/>
  <c r="T161" i="19" s="1"/>
  <c r="T201" i="20"/>
  <c r="T162" i="19" s="1"/>
  <c r="T199" i="20"/>
  <c r="T160" i="19" s="1"/>
  <c r="T202" i="20"/>
  <c r="T159" i="19"/>
  <c r="U123" i="14" s="1"/>
  <c r="BA110" i="36"/>
  <c r="O308" i="46"/>
  <c r="O309" i="46" s="1"/>
  <c r="P275" i="46"/>
  <c r="Y26" i="28"/>
  <c r="Y44" i="28" s="1"/>
  <c r="Y80" i="29" s="1"/>
  <c r="Y79" i="29" s="1"/>
  <c r="Z20" i="28"/>
  <c r="U97" i="38"/>
  <c r="V108" i="36" s="1"/>
  <c r="BB108" i="36" s="1"/>
  <c r="U95" i="38"/>
  <c r="U99" i="38" s="1"/>
  <c r="U96" i="38"/>
  <c r="U100" i="38" s="1"/>
  <c r="U94" i="38"/>
  <c r="U98" i="38" s="1"/>
  <c r="W85" i="28"/>
  <c r="W72" i="29" s="1"/>
  <c r="W83" i="28"/>
  <c r="W70" i="29" s="1"/>
  <c r="W87" i="28"/>
  <c r="W86" i="28"/>
  <c r="W84" i="28"/>
  <c r="W88" i="28"/>
  <c r="X82" i="28"/>
  <c r="W195" i="20"/>
  <c r="V196" i="20"/>
  <c r="BC69" i="45"/>
  <c r="Q83" i="19"/>
  <c r="R128" i="14" s="1"/>
  <c r="R128" i="12"/>
  <c r="AY87" i="45"/>
  <c r="M310" i="48"/>
  <c r="M315" i="48"/>
  <c r="M312" i="48"/>
  <c r="M314" i="48"/>
  <c r="M311" i="48"/>
  <c r="M313" i="48"/>
  <c r="S116" i="12"/>
  <c r="R71" i="19"/>
  <c r="S116" i="14" s="1"/>
  <c r="S235" i="54"/>
  <c r="S237" i="54" s="1"/>
  <c r="S258" i="54" s="1"/>
  <c r="Z27" i="54"/>
  <c r="Z42" i="54" s="1"/>
  <c r="AA21" i="54"/>
  <c r="L155" i="12"/>
  <c r="L10" i="55"/>
  <c r="K312" i="20"/>
  <c r="K317" i="20"/>
  <c r="T80" i="36"/>
  <c r="T83" i="36" s="1"/>
  <c r="T115" i="36"/>
  <c r="T116" i="36" s="1"/>
  <c r="AZ78" i="36"/>
  <c r="Z27" i="48"/>
  <c r="Z42" i="48" s="1"/>
  <c r="AA21" i="48"/>
  <c r="S128" i="12"/>
  <c r="R83" i="19"/>
  <c r="S128" i="14" s="1"/>
  <c r="Y39" i="53"/>
  <c r="AO123" i="45"/>
  <c r="AO124" i="45"/>
  <c r="AO121" i="45"/>
  <c r="U106" i="19"/>
  <c r="T140" i="15"/>
  <c r="Y123" i="16"/>
  <c r="X36" i="29"/>
  <c r="X42" i="29" s="1"/>
  <c r="Y43" i="16"/>
  <c r="Q93" i="45"/>
  <c r="AW94" i="45"/>
  <c r="Q94" i="45"/>
  <c r="AW93" i="45"/>
  <c r="U262" i="48"/>
  <c r="U267" i="48" s="1"/>
  <c r="U263" i="48"/>
  <c r="U268" i="48" s="1"/>
  <c r="U261" i="48"/>
  <c r="U266" i="48" s="1"/>
  <c r="U264" i="48"/>
  <c r="U269" i="48" s="1"/>
  <c r="U265" i="48"/>
  <c r="X29" i="54"/>
  <c r="S117" i="36"/>
  <c r="S123" i="36" s="1"/>
  <c r="X240" i="48"/>
  <c r="W241" i="48"/>
  <c r="R116" i="12"/>
  <c r="Q71" i="19"/>
  <c r="R116" i="14" s="1"/>
  <c r="P116" i="45"/>
  <c r="X29" i="53"/>
  <c r="AZ67" i="45"/>
  <c r="AZ23" i="45"/>
  <c r="T78" i="20"/>
  <c r="V67" i="15"/>
  <c r="V46" i="15"/>
  <c r="M254" i="19"/>
  <c r="W94" i="12"/>
  <c r="V139" i="20"/>
  <c r="V217" i="42"/>
  <c r="V219" i="42" s="1"/>
  <c r="W216" i="42"/>
  <c r="Z24" i="54"/>
  <c r="AA18" i="54"/>
  <c r="Y122" i="16"/>
  <c r="Y132" i="16" s="1"/>
  <c r="Z40" i="16"/>
  <c r="U190" i="20"/>
  <c r="U152" i="19" s="1"/>
  <c r="U187" i="20"/>
  <c r="U149" i="19" s="1"/>
  <c r="U186" i="20"/>
  <c r="U148" i="19" s="1"/>
  <c r="U189" i="20"/>
  <c r="U151" i="19" s="1"/>
  <c r="U188" i="20"/>
  <c r="U150" i="19" s="1"/>
  <c r="V137" i="12"/>
  <c r="U147" i="19"/>
  <c r="V137" i="14" s="1"/>
  <c r="V49" i="16"/>
  <c r="AP10" i="55"/>
  <c r="BD41" i="45" l="1"/>
  <c r="N349" i="46"/>
  <c r="O345" i="46"/>
  <c r="X31" i="48"/>
  <c r="Y29" i="48"/>
  <c r="U140" i="15"/>
  <c r="Y29" i="53"/>
  <c r="V162" i="54"/>
  <c r="V206" i="54" s="1"/>
  <c r="V207" i="54" s="1"/>
  <c r="Z18" i="42"/>
  <c r="Y24" i="42"/>
  <c r="Y39" i="42" s="1"/>
  <c r="Z18" i="38"/>
  <c r="Y24" i="38"/>
  <c r="Y39" i="38" s="1"/>
  <c r="W63" i="46"/>
  <c r="L371" i="46"/>
  <c r="M126" i="45" s="1"/>
  <c r="AX110" i="45"/>
  <c r="T119" i="36"/>
  <c r="Q271" i="48"/>
  <c r="W127" i="20"/>
  <c r="U141" i="15"/>
  <c r="U142" i="15" s="1"/>
  <c r="W133" i="20"/>
  <c r="S59" i="19"/>
  <c r="V131" i="19"/>
  <c r="O346" i="46"/>
  <c r="O347" i="46" s="1"/>
  <c r="V130" i="19"/>
  <c r="S61" i="19"/>
  <c r="K6" i="55"/>
  <c r="V133" i="19"/>
  <c r="V132" i="19"/>
  <c r="BB102" i="36"/>
  <c r="BB105" i="36" s="1"/>
  <c r="I6" i="55"/>
  <c r="S220" i="20"/>
  <c r="S57" i="19"/>
  <c r="AD25" i="15"/>
  <c r="S54" i="19"/>
  <c r="AO6" i="55"/>
  <c r="S50" i="19"/>
  <c r="I7" i="55"/>
  <c r="S55" i="19"/>
  <c r="W139" i="48"/>
  <c r="R271" i="46"/>
  <c r="AD54" i="15"/>
  <c r="AC38" i="28"/>
  <c r="AD124" i="15"/>
  <c r="M162" i="12"/>
  <c r="M158" i="12"/>
  <c r="S259" i="54"/>
  <c r="AZ78" i="51" s="1"/>
  <c r="AZ77" i="51"/>
  <c r="T128" i="36"/>
  <c r="P243" i="19"/>
  <c r="P239" i="19"/>
  <c r="P242" i="19"/>
  <c r="P240" i="19"/>
  <c r="P244" i="19"/>
  <c r="P241" i="19"/>
  <c r="R179" i="29"/>
  <c r="AR122" i="45"/>
  <c r="AD9" i="15"/>
  <c r="AZ70" i="45"/>
  <c r="X241" i="48"/>
  <c r="Y240" i="48"/>
  <c r="Y44" i="53"/>
  <c r="Y204" i="53" s="1"/>
  <c r="X58" i="15"/>
  <c r="W73" i="29"/>
  <c r="X58" i="16" s="1"/>
  <c r="Z26" i="28"/>
  <c r="Z44" i="28" s="1"/>
  <c r="AA20" i="28"/>
  <c r="R284" i="20"/>
  <c r="R282" i="20"/>
  <c r="R285" i="20"/>
  <c r="R281" i="20"/>
  <c r="R286" i="20"/>
  <c r="R283" i="20"/>
  <c r="Q112" i="48"/>
  <c r="Q117" i="48" s="1"/>
  <c r="Q113" i="48"/>
  <c r="Q118" i="48" s="1"/>
  <c r="Q111" i="48"/>
  <c r="Q116" i="48" s="1"/>
  <c r="Q114" i="48"/>
  <c r="Q110" i="48"/>
  <c r="Q115" i="48" s="1"/>
  <c r="Q274" i="48"/>
  <c r="R258" i="54"/>
  <c r="R241" i="54"/>
  <c r="Z25" i="42"/>
  <c r="Z40" i="42" s="1"/>
  <c r="AA19" i="42"/>
  <c r="S167" i="28"/>
  <c r="S168" i="28"/>
  <c r="Y231" i="38"/>
  <c r="X232" i="38"/>
  <c r="X234" i="38" s="1"/>
  <c r="V174" i="20"/>
  <c r="V136" i="19" s="1"/>
  <c r="V178" i="20"/>
  <c r="V140" i="19" s="1"/>
  <c r="V175" i="20"/>
  <c r="V137" i="19" s="1"/>
  <c r="W113" i="12"/>
  <c r="V135" i="19"/>
  <c r="W113" i="14" s="1"/>
  <c r="V177" i="20"/>
  <c r="V139" i="19" s="1"/>
  <c r="V176" i="20"/>
  <c r="AC124" i="15"/>
  <c r="AB38" i="28"/>
  <c r="AC54" i="15"/>
  <c r="O327" i="46"/>
  <c r="O328" i="46"/>
  <c r="AB13" i="16"/>
  <c r="O308" i="48"/>
  <c r="O309" i="48" s="1"/>
  <c r="P275" i="48"/>
  <c r="CB9" i="55"/>
  <c r="R193" i="28"/>
  <c r="R194" i="28"/>
  <c r="V186" i="42"/>
  <c r="V185" i="42"/>
  <c r="T230" i="48"/>
  <c r="T235" i="48" s="1"/>
  <c r="T229" i="48"/>
  <c r="T234" i="48" s="1"/>
  <c r="T228" i="48"/>
  <c r="T233" i="48" s="1"/>
  <c r="T231" i="48"/>
  <c r="T227" i="48"/>
  <c r="T232" i="48" s="1"/>
  <c r="AA40" i="15"/>
  <c r="V142" i="46"/>
  <c r="V174" i="46" s="1"/>
  <c r="V141" i="46"/>
  <c r="V164" i="46" s="1"/>
  <c r="V140" i="46"/>
  <c r="V154" i="46" s="1"/>
  <c r="R229" i="12"/>
  <c r="R232" i="12" s="1"/>
  <c r="N253" i="19"/>
  <c r="S108" i="14"/>
  <c r="BB96" i="45"/>
  <c r="AA24" i="48"/>
  <c r="AB18" i="48"/>
  <c r="S231" i="12"/>
  <c r="V139" i="16"/>
  <c r="P213" i="19"/>
  <c r="P214" i="19" s="1"/>
  <c r="Q180" i="19"/>
  <c r="K125" i="45"/>
  <c r="J371" i="46"/>
  <c r="K126" i="45" s="1"/>
  <c r="S47" i="19"/>
  <c r="S62" i="19"/>
  <c r="S60" i="19"/>
  <c r="W82" i="29"/>
  <c r="X55" i="16" s="1"/>
  <c r="X55" i="15"/>
  <c r="V135" i="14"/>
  <c r="W66" i="38"/>
  <c r="W85" i="38" s="1"/>
  <c r="X60" i="38"/>
  <c r="W64" i="38"/>
  <c r="W77" i="38" s="1"/>
  <c r="W67" i="38"/>
  <c r="W101" i="38" s="1"/>
  <c r="W65" i="38"/>
  <c r="W93" i="38" s="1"/>
  <c r="W62" i="38"/>
  <c r="W61" i="38"/>
  <c r="Y29" i="29"/>
  <c r="V213" i="53"/>
  <c r="V214" i="53"/>
  <c r="AA20" i="53"/>
  <c r="Z26" i="53"/>
  <c r="Z41" i="53" s="1"/>
  <c r="Z147" i="53" s="1"/>
  <c r="Z148" i="53" s="1"/>
  <c r="AA60" i="51" s="1"/>
  <c r="S147" i="14"/>
  <c r="S95" i="14"/>
  <c r="AD41" i="16"/>
  <c r="T140" i="12"/>
  <c r="S89" i="19"/>
  <c r="T140" i="14" s="1"/>
  <c r="Y69" i="45"/>
  <c r="Y44" i="38"/>
  <c r="Y288" i="38" s="1"/>
  <c r="AY128" i="36"/>
  <c r="T148" i="28"/>
  <c r="T149" i="28" s="1"/>
  <c r="U214" i="28"/>
  <c r="BA67" i="45"/>
  <c r="BA23" i="45"/>
  <c r="AB21" i="29"/>
  <c r="AA27" i="29"/>
  <c r="R222" i="19"/>
  <c r="R273" i="19"/>
  <c r="R272" i="19"/>
  <c r="R221" i="19"/>
  <c r="R225" i="19"/>
  <c r="S187" i="28"/>
  <c r="Z26" i="42"/>
  <c r="Z41" i="42" s="1"/>
  <c r="AA20" i="42"/>
  <c r="N353" i="46"/>
  <c r="N354" i="46" s="1"/>
  <c r="V206" i="38"/>
  <c r="V210" i="38" s="1"/>
  <c r="V207" i="38"/>
  <c r="V211" i="38" s="1"/>
  <c r="V205" i="38"/>
  <c r="V209" i="38" s="1"/>
  <c r="V208" i="38"/>
  <c r="X200" i="48"/>
  <c r="X138" i="48"/>
  <c r="X201" i="48"/>
  <c r="X137" i="48"/>
  <c r="Y136" i="48"/>
  <c r="R101" i="46"/>
  <c r="R106" i="46" s="1"/>
  <c r="R102" i="46"/>
  <c r="R107" i="46" s="1"/>
  <c r="R103" i="46"/>
  <c r="R108" i="46" s="1"/>
  <c r="R100" i="46"/>
  <c r="R105" i="46" s="1"/>
  <c r="R104" i="46"/>
  <c r="S106" i="45" s="1"/>
  <c r="R99" i="48"/>
  <c r="L353" i="48"/>
  <c r="L354" i="48" s="1"/>
  <c r="U158" i="28"/>
  <c r="U159" i="28" s="1"/>
  <c r="U181" i="28"/>
  <c r="U182" i="28" s="1"/>
  <c r="S72" i="19"/>
  <c r="T119" i="14" s="1"/>
  <c r="T119" i="12"/>
  <c r="U215" i="54"/>
  <c r="U216" i="54"/>
  <c r="W63" i="54"/>
  <c r="W159" i="54" s="1"/>
  <c r="W69" i="54"/>
  <c r="W70" i="54" s="1"/>
  <c r="S229" i="14"/>
  <c r="BC31" i="45"/>
  <c r="BC32" i="45"/>
  <c r="BC28" i="45"/>
  <c r="BC37" i="45"/>
  <c r="BC36" i="45"/>
  <c r="BC29" i="45"/>
  <c r="BC35" i="45"/>
  <c r="BC54" i="45"/>
  <c r="W33" i="45"/>
  <c r="V101" i="19"/>
  <c r="W49" i="16"/>
  <c r="W130" i="38"/>
  <c r="W142" i="38" s="1"/>
  <c r="W131" i="38"/>
  <c r="W150" i="38" s="1"/>
  <c r="W132" i="38"/>
  <c r="W158" i="38" s="1"/>
  <c r="V92" i="48"/>
  <c r="V97" i="48" s="1"/>
  <c r="V90" i="48"/>
  <c r="V95" i="48" s="1"/>
  <c r="V91" i="48"/>
  <c r="V94" i="48"/>
  <c r="V93" i="48"/>
  <c r="V98" i="48" s="1"/>
  <c r="BD57" i="51"/>
  <c r="BA77" i="45"/>
  <c r="Y44" i="54"/>
  <c r="Y204" i="54" s="1"/>
  <c r="W66" i="16"/>
  <c r="V63" i="42"/>
  <c r="V69" i="42"/>
  <c r="Y68" i="51"/>
  <c r="Y50" i="51"/>
  <c r="L164" i="14"/>
  <c r="K276" i="19"/>
  <c r="L165" i="14" s="1"/>
  <c r="AB34" i="15"/>
  <c r="AB33" i="15"/>
  <c r="U155" i="46"/>
  <c r="U160" i="46" s="1"/>
  <c r="U157" i="46"/>
  <c r="U162" i="46" s="1"/>
  <c r="U158" i="46"/>
  <c r="U163" i="46" s="1"/>
  <c r="U159" i="46"/>
  <c r="V98" i="45" s="1"/>
  <c r="U154" i="48"/>
  <c r="U156" i="46"/>
  <c r="U161" i="46" s="1"/>
  <c r="S142" i="12"/>
  <c r="K361" i="48"/>
  <c r="BA98" i="45"/>
  <c r="Y31" i="53"/>
  <c r="Y194" i="53"/>
  <c r="L164" i="12"/>
  <c r="K318" i="20"/>
  <c r="L165" i="12" s="1"/>
  <c r="X45" i="15"/>
  <c r="W74" i="29"/>
  <c r="X45" i="16" s="1"/>
  <c r="T163" i="19"/>
  <c r="U191" i="42"/>
  <c r="U195" i="42" s="1"/>
  <c r="U189" i="42"/>
  <c r="U193" i="42" s="1"/>
  <c r="U192" i="42"/>
  <c r="U190" i="42"/>
  <c r="U194" i="42" s="1"/>
  <c r="R231" i="14"/>
  <c r="AX97" i="45"/>
  <c r="R100" i="45"/>
  <c r="R113" i="45"/>
  <c r="Z28" i="38"/>
  <c r="Z43" i="38" s="1"/>
  <c r="AA22" i="38"/>
  <c r="W236" i="38"/>
  <c r="W240" i="38" s="1"/>
  <c r="W237" i="38"/>
  <c r="W241" i="38" s="1"/>
  <c r="W235" i="38"/>
  <c r="W239" i="38" s="1"/>
  <c r="W238" i="38"/>
  <c r="X107" i="36" s="1"/>
  <c r="V186" i="20"/>
  <c r="V148" i="19" s="1"/>
  <c r="V188" i="20"/>
  <c r="V150" i="19" s="1"/>
  <c r="V190" i="20"/>
  <c r="V152" i="19" s="1"/>
  <c r="V189" i="20"/>
  <c r="V151" i="19" s="1"/>
  <c r="V187" i="20"/>
  <c r="V149" i="19" s="1"/>
  <c r="W137" i="12"/>
  <c r="V147" i="19"/>
  <c r="W137" i="14" s="1"/>
  <c r="N312" i="48"/>
  <c r="N310" i="48"/>
  <c r="N311" i="48"/>
  <c r="N313" i="48"/>
  <c r="N315" i="48"/>
  <c r="N314" i="48"/>
  <c r="BC21" i="45"/>
  <c r="R152" i="14"/>
  <c r="V139" i="46"/>
  <c r="V144" i="46"/>
  <c r="Y76" i="16"/>
  <c r="Y75" i="16"/>
  <c r="N329" i="46"/>
  <c r="N333" i="46" s="1"/>
  <c r="N330" i="46"/>
  <c r="U230" i="46"/>
  <c r="U235" i="46" s="1"/>
  <c r="U229" i="46"/>
  <c r="U234" i="46" s="1"/>
  <c r="U226" i="48"/>
  <c r="U227" i="46"/>
  <c r="U232" i="46" s="1"/>
  <c r="U228" i="46"/>
  <c r="U233" i="46" s="1"/>
  <c r="U231" i="46"/>
  <c r="V108" i="45" s="1"/>
  <c r="BA105" i="36"/>
  <c r="BA103" i="36"/>
  <c r="T178" i="28"/>
  <c r="T177" i="28"/>
  <c r="T176" i="28"/>
  <c r="T179" i="28"/>
  <c r="T174" i="28"/>
  <c r="T175" i="28"/>
  <c r="O217" i="19"/>
  <c r="O218" i="19"/>
  <c r="O216" i="19"/>
  <c r="O219" i="19"/>
  <c r="O215" i="19"/>
  <c r="O220" i="19"/>
  <c r="R118" i="12"/>
  <c r="T280" i="38"/>
  <c r="T281" i="38" s="1"/>
  <c r="U247" i="38"/>
  <c r="S31" i="19"/>
  <c r="S211" i="19"/>
  <c r="V87" i="38"/>
  <c r="V91" i="38" s="1"/>
  <c r="V88" i="38"/>
  <c r="V92" i="38" s="1"/>
  <c r="V89" i="38"/>
  <c r="V86" i="38"/>
  <c r="V90" i="38" s="1"/>
  <c r="X27" i="20"/>
  <c r="X45" i="20" s="1"/>
  <c r="Y21" i="20"/>
  <c r="AB17" i="16"/>
  <c r="BF60" i="51"/>
  <c r="R68" i="19"/>
  <c r="S101" i="14" s="1"/>
  <c r="S101" i="12"/>
  <c r="K159" i="12"/>
  <c r="K161" i="12" s="1"/>
  <c r="V24" i="20"/>
  <c r="W18" i="20"/>
  <c r="T139" i="12"/>
  <c r="Q118" i="45"/>
  <c r="S77" i="51"/>
  <c r="R259" i="53"/>
  <c r="S78" i="51" s="1"/>
  <c r="R229" i="14"/>
  <c r="U141" i="16"/>
  <c r="U142" i="16" s="1"/>
  <c r="Y29" i="38"/>
  <c r="T153" i="29"/>
  <c r="T154" i="29"/>
  <c r="V263" i="48"/>
  <c r="V268" i="48" s="1"/>
  <c r="V262" i="48"/>
  <c r="V267" i="48" s="1"/>
  <c r="V261" i="48"/>
  <c r="V266" i="48" s="1"/>
  <c r="V264" i="48"/>
  <c r="V269" i="48" s="1"/>
  <c r="V265" i="48"/>
  <c r="R325" i="42"/>
  <c r="S152" i="28"/>
  <c r="S151" i="28"/>
  <c r="S154" i="28"/>
  <c r="S150" i="28"/>
  <c r="S153" i="28"/>
  <c r="S155" i="28"/>
  <c r="Q120" i="36"/>
  <c r="P342" i="38"/>
  <c r="P337" i="38"/>
  <c r="O126" i="36"/>
  <c r="N343" i="38"/>
  <c r="O127" i="36" s="1"/>
  <c r="R176" i="19"/>
  <c r="N300" i="20"/>
  <c r="P325" i="46"/>
  <c r="P326" i="46"/>
  <c r="R153" i="12"/>
  <c r="R98" i="12"/>
  <c r="V191" i="38"/>
  <c r="V195" i="38" s="1"/>
  <c r="V190" i="38"/>
  <c r="V194" i="38" s="1"/>
  <c r="V192" i="38"/>
  <c r="W91" i="36" s="1"/>
  <c r="V189" i="38"/>
  <c r="V193" i="38" s="1"/>
  <c r="AX4" i="55"/>
  <c r="BD54" i="51"/>
  <c r="W202" i="48"/>
  <c r="N345" i="48"/>
  <c r="N346" i="48" s="1"/>
  <c r="Q272" i="20"/>
  <c r="Q273" i="20"/>
  <c r="BB70" i="51"/>
  <c r="R81" i="46"/>
  <c r="R86" i="46" s="1"/>
  <c r="R82" i="46"/>
  <c r="R87" i="46" s="1"/>
  <c r="R80" i="46"/>
  <c r="R85" i="46" s="1"/>
  <c r="R79" i="48"/>
  <c r="R83" i="46"/>
  <c r="R88" i="46" s="1"/>
  <c r="R84" i="46"/>
  <c r="S90" i="45" s="1"/>
  <c r="S74" i="19"/>
  <c r="T121" i="14" s="1"/>
  <c r="T121" i="12"/>
  <c r="V96" i="19"/>
  <c r="V95" i="19" s="1"/>
  <c r="W49" i="15"/>
  <c r="W63" i="53"/>
  <c r="W159" i="53" s="1"/>
  <c r="W69" i="53"/>
  <c r="W70" i="53" s="1"/>
  <c r="X49" i="51" s="1"/>
  <c r="W294" i="42"/>
  <c r="W293" i="42"/>
  <c r="W296" i="42"/>
  <c r="W295" i="42"/>
  <c r="Y29" i="54"/>
  <c r="U164" i="28"/>
  <c r="U161" i="28"/>
  <c r="U162" i="28"/>
  <c r="U163" i="28"/>
  <c r="W65" i="16"/>
  <c r="S117" i="12"/>
  <c r="X25" i="20"/>
  <c r="X43" i="20" s="1"/>
  <c r="Y19" i="20"/>
  <c r="U111" i="36"/>
  <c r="U113" i="36"/>
  <c r="U112" i="36"/>
  <c r="U127" i="12"/>
  <c r="U168" i="46"/>
  <c r="U173" i="46" s="1"/>
  <c r="U167" i="46"/>
  <c r="U172" i="46" s="1"/>
  <c r="U165" i="46"/>
  <c r="U170" i="46" s="1"/>
  <c r="U164" i="48"/>
  <c r="U169" i="46"/>
  <c r="V77" i="45" s="1"/>
  <c r="U166" i="46"/>
  <c r="U171" i="46" s="1"/>
  <c r="S142" i="14"/>
  <c r="T158" i="48"/>
  <c r="T163" i="48" s="1"/>
  <c r="T157" i="48"/>
  <c r="T162" i="48" s="1"/>
  <c r="T156" i="48"/>
  <c r="T161" i="48" s="1"/>
  <c r="T159" i="48"/>
  <c r="T155" i="48"/>
  <c r="T160" i="48" s="1"/>
  <c r="M310" i="20"/>
  <c r="N156" i="12" s="1"/>
  <c r="M308" i="20"/>
  <c r="W64" i="20"/>
  <c r="W65" i="20"/>
  <c r="X63" i="20"/>
  <c r="AP13" i="55"/>
  <c r="AP11" i="55"/>
  <c r="AP16" i="55"/>
  <c r="AP15" i="55"/>
  <c r="AP12" i="55"/>
  <c r="AP14" i="55"/>
  <c r="Z136" i="54"/>
  <c r="Z137" i="54" s="1"/>
  <c r="Z134" i="54"/>
  <c r="Z135" i="54" s="1"/>
  <c r="Z138" i="54"/>
  <c r="Z139" i="54" s="1"/>
  <c r="X194" i="54"/>
  <c r="X205" i="54" s="1"/>
  <c r="X31" i="54"/>
  <c r="AD25" i="16"/>
  <c r="BA107" i="45"/>
  <c r="AX76" i="45"/>
  <c r="R78" i="45"/>
  <c r="V180" i="20"/>
  <c r="V142" i="19" s="1"/>
  <c r="V183" i="20"/>
  <c r="V145" i="19" s="1"/>
  <c r="V182" i="20"/>
  <c r="V144" i="19" s="1"/>
  <c r="V181" i="20"/>
  <c r="V143" i="19" s="1"/>
  <c r="V141" i="19"/>
  <c r="W125" i="14" s="1"/>
  <c r="V184" i="20"/>
  <c r="V146" i="19" s="1"/>
  <c r="AA24" i="53"/>
  <c r="AB18" i="53"/>
  <c r="T290" i="42"/>
  <c r="T291" i="42" s="1"/>
  <c r="T313" i="42"/>
  <c r="T314" i="42" s="1"/>
  <c r="X31" i="38"/>
  <c r="X278" i="38"/>
  <c r="R129" i="12"/>
  <c r="P236" i="19"/>
  <c r="P248" i="19" s="1"/>
  <c r="P249" i="19" s="1"/>
  <c r="P237" i="19"/>
  <c r="S156" i="29"/>
  <c r="S155" i="29"/>
  <c r="S159" i="29" s="1"/>
  <c r="Q225" i="14" a="1"/>
  <c r="Q225" i="14" s="1"/>
  <c r="Q226" i="14"/>
  <c r="Q232" i="14" s="1"/>
  <c r="Q148" i="14"/>
  <c r="S229" i="12"/>
  <c r="P290" i="20"/>
  <c r="P291" i="20" s="1"/>
  <c r="P292" i="20"/>
  <c r="Y360" i="48"/>
  <c r="U219" i="46"/>
  <c r="U224" i="46" s="1"/>
  <c r="U220" i="46"/>
  <c r="U225" i="46" s="1"/>
  <c r="U217" i="46"/>
  <c r="U222" i="46" s="1"/>
  <c r="U218" i="46"/>
  <c r="U223" i="46" s="1"/>
  <c r="U216" i="48"/>
  <c r="U221" i="46"/>
  <c r="V99" i="45" s="1"/>
  <c r="X61" i="28"/>
  <c r="X57" i="29" s="1"/>
  <c r="X64" i="28"/>
  <c r="X60" i="28"/>
  <c r="X63" i="28"/>
  <c r="Y59" i="28"/>
  <c r="W34" i="28"/>
  <c r="W33" i="28"/>
  <c r="W26" i="19"/>
  <c r="W44" i="19" s="1"/>
  <c r="W155" i="19" s="1"/>
  <c r="W154" i="19" s="1"/>
  <c r="X20" i="19"/>
  <c r="S134" i="29"/>
  <c r="S135" i="29" s="1"/>
  <c r="T101" i="29"/>
  <c r="J16" i="55"/>
  <c r="J12" i="55"/>
  <c r="J14" i="55"/>
  <c r="J11" i="55"/>
  <c r="J15" i="55"/>
  <c r="J13" i="55"/>
  <c r="R118" i="14"/>
  <c r="S282" i="38"/>
  <c r="S286" i="38"/>
  <c r="S284" i="38"/>
  <c r="S287" i="38"/>
  <c r="S283" i="38"/>
  <c r="S285" i="38"/>
  <c r="K123" i="45"/>
  <c r="K121" i="45"/>
  <c r="K124" i="45"/>
  <c r="V94" i="38"/>
  <c r="V98" i="38" s="1"/>
  <c r="V97" i="38"/>
  <c r="W108" i="36" s="1"/>
  <c r="BC108" i="36" s="1"/>
  <c r="V96" i="38"/>
  <c r="V100" i="38" s="1"/>
  <c r="V95" i="38"/>
  <c r="V99" i="38" s="1"/>
  <c r="X125" i="12"/>
  <c r="T210" i="48"/>
  <c r="T215" i="48" s="1"/>
  <c r="T207" i="48"/>
  <c r="T212" i="48" s="1"/>
  <c r="T208" i="48"/>
  <c r="T213" i="48" s="1"/>
  <c r="T211" i="48"/>
  <c r="T209" i="48"/>
  <c r="T214" i="48" s="1"/>
  <c r="N234" i="19"/>
  <c r="N238" i="19" s="1"/>
  <c r="N235" i="19"/>
  <c r="AD41" i="15"/>
  <c r="R65" i="19"/>
  <c r="S96" i="14" s="1"/>
  <c r="S96" i="12"/>
  <c r="T301" i="42"/>
  <c r="T305" i="42" s="1"/>
  <c r="T302" i="42"/>
  <c r="Q100" i="48"/>
  <c r="Q105" i="48" s="1"/>
  <c r="Q101" i="48"/>
  <c r="Q106" i="48" s="1"/>
  <c r="Q103" i="48"/>
  <c r="Q108" i="48" s="1"/>
  <c r="Q104" i="48"/>
  <c r="Q102" i="48"/>
  <c r="Q107" i="48" s="1"/>
  <c r="AD8" i="16"/>
  <c r="U29" i="20"/>
  <c r="U42" i="20"/>
  <c r="U96" i="20" s="1"/>
  <c r="T233" i="54"/>
  <c r="T236" i="54" s="1"/>
  <c r="T232" i="54"/>
  <c r="Q116" i="45"/>
  <c r="Z123" i="15"/>
  <c r="Z129" i="15" s="1"/>
  <c r="Y36" i="28"/>
  <c r="Y42" i="28" s="1"/>
  <c r="Z43" i="15"/>
  <c r="R318" i="42"/>
  <c r="R319" i="42" s="1"/>
  <c r="R321" i="42" s="1"/>
  <c r="V135" i="15"/>
  <c r="R97" i="14"/>
  <c r="R154" i="14"/>
  <c r="W232" i="42"/>
  <c r="W234" i="42" s="1"/>
  <c r="X231" i="42"/>
  <c r="U233" i="53"/>
  <c r="U236" i="53" s="1"/>
  <c r="U232" i="53"/>
  <c r="X154" i="54"/>
  <c r="X156" i="54" s="1"/>
  <c r="Y153" i="54"/>
  <c r="X258" i="46"/>
  <c r="X260" i="46" s="1"/>
  <c r="Y257" i="46"/>
  <c r="P331" i="46"/>
  <c r="P343" i="46" s="1"/>
  <c r="P344" i="46" s="1"/>
  <c r="P332" i="46"/>
  <c r="V194" i="29"/>
  <c r="V193" i="29"/>
  <c r="U72" i="38"/>
  <c r="U76" i="38" s="1"/>
  <c r="U73" i="38"/>
  <c r="V78" i="36" s="1"/>
  <c r="U70" i="38"/>
  <c r="U74" i="38" s="1"/>
  <c r="U71" i="38"/>
  <c r="U75" i="38" s="1"/>
  <c r="R153" i="14"/>
  <c r="R98" i="14"/>
  <c r="V198" i="38"/>
  <c r="V202" i="38" s="1"/>
  <c r="V199" i="38"/>
  <c r="V203" i="38" s="1"/>
  <c r="V197" i="38"/>
  <c r="V201" i="38" s="1"/>
  <c r="V200" i="38"/>
  <c r="W101" i="36" s="1"/>
  <c r="BC101" i="36" s="1"/>
  <c r="Q150" i="14"/>
  <c r="BA68" i="45"/>
  <c r="X31" i="46"/>
  <c r="X306" i="46"/>
  <c r="R201" i="53"/>
  <c r="R199" i="53"/>
  <c r="R203" i="53"/>
  <c r="R202" i="53"/>
  <c r="R198" i="53"/>
  <c r="R200" i="53"/>
  <c r="U88" i="29"/>
  <c r="U100" i="29"/>
  <c r="S71" i="19"/>
  <c r="T116" i="14" s="1"/>
  <c r="T116" i="12"/>
  <c r="Z26" i="48"/>
  <c r="Z41" i="48" s="1"/>
  <c r="AA20" i="48"/>
  <c r="M124" i="45"/>
  <c r="M123" i="45"/>
  <c r="M121" i="45"/>
  <c r="R127" i="14"/>
  <c r="R148" i="14" s="1"/>
  <c r="V100" i="19"/>
  <c r="Y40" i="28"/>
  <c r="Z128" i="15"/>
  <c r="Z60" i="15"/>
  <c r="Z76" i="15" s="1"/>
  <c r="S228" i="14"/>
  <c r="Q150" i="12"/>
  <c r="W27" i="19"/>
  <c r="W45" i="19" s="1"/>
  <c r="W130" i="19" s="1"/>
  <c r="X21" i="19"/>
  <c r="W157" i="53"/>
  <c r="X66" i="51" s="1"/>
  <c r="T167" i="48"/>
  <c r="T172" i="48" s="1"/>
  <c r="T165" i="48"/>
  <c r="T170" i="48" s="1"/>
  <c r="T169" i="48"/>
  <c r="T168" i="48"/>
  <c r="T173" i="48" s="1"/>
  <c r="T166" i="48"/>
  <c r="T171" i="48" s="1"/>
  <c r="T290" i="38"/>
  <c r="T291" i="38" s="1"/>
  <c r="T313" i="38"/>
  <c r="T314" i="38" s="1"/>
  <c r="W289" i="42"/>
  <c r="AW78" i="45"/>
  <c r="V214" i="54"/>
  <c r="V213" i="54"/>
  <c r="V134" i="16"/>
  <c r="V133" i="16" a="1"/>
  <c r="V133" i="16" s="1"/>
  <c r="V77" i="16"/>
  <c r="V68" i="16"/>
  <c r="S117" i="14"/>
  <c r="X126" i="12"/>
  <c r="W145" i="20"/>
  <c r="W67" i="42"/>
  <c r="W101" i="42" s="1"/>
  <c r="W62" i="42"/>
  <c r="W64" i="42"/>
  <c r="W77" i="42" s="1"/>
  <c r="W65" i="42"/>
  <c r="W93" i="42" s="1"/>
  <c r="W61" i="42"/>
  <c r="W66" i="42"/>
  <c r="W85" i="42" s="1"/>
  <c r="X60" i="42"/>
  <c r="BB71" i="51"/>
  <c r="L163" i="14"/>
  <c r="L157" i="14"/>
  <c r="AC19" i="15"/>
  <c r="AC15" i="15"/>
  <c r="AC16" i="15"/>
  <c r="AC18" i="15"/>
  <c r="AD14" i="15"/>
  <c r="AC32" i="15"/>
  <c r="AC74" i="15" s="1"/>
  <c r="AA47" i="15"/>
  <c r="Z37" i="28"/>
  <c r="AA125" i="15"/>
  <c r="R189" i="28"/>
  <c r="V68" i="20"/>
  <c r="V67" i="20"/>
  <c r="V69" i="20"/>
  <c r="V70" i="20"/>
  <c r="AX90" i="45"/>
  <c r="R91" i="45"/>
  <c r="AZ26" i="45"/>
  <c r="AZ82" i="45"/>
  <c r="S34" i="48"/>
  <c r="AZ25" i="45"/>
  <c r="AZ24" i="45"/>
  <c r="AZ80" i="36"/>
  <c r="AZ83" i="36" s="1"/>
  <c r="AZ119" i="36" s="1"/>
  <c r="AZ115" i="36"/>
  <c r="AZ116" i="36" s="1"/>
  <c r="AA24" i="54"/>
  <c r="AB18" i="54"/>
  <c r="V134" i="15"/>
  <c r="V133" i="15" a="1"/>
  <c r="V133" i="15" s="1"/>
  <c r="V68" i="15"/>
  <c r="W217" i="42"/>
  <c r="W219" i="42" s="1"/>
  <c r="X216" i="42"/>
  <c r="U135" i="42"/>
  <c r="U139" i="42" s="1"/>
  <c r="U137" i="42"/>
  <c r="U141" i="42" s="1"/>
  <c r="U136" i="42"/>
  <c r="U140" i="42" s="1"/>
  <c r="U138" i="42"/>
  <c r="V222" i="42"/>
  <c r="V226" i="42" s="1"/>
  <c r="V221" i="42"/>
  <c r="V225" i="42" s="1"/>
  <c r="V223" i="42"/>
  <c r="V220" i="42"/>
  <c r="V224" i="42" s="1"/>
  <c r="L14" i="55"/>
  <c r="L15" i="55"/>
  <c r="L12" i="55"/>
  <c r="L16" i="55"/>
  <c r="L13" i="55"/>
  <c r="L11" i="55"/>
  <c r="Z25" i="46"/>
  <c r="Z40" i="46" s="1"/>
  <c r="AA19" i="46"/>
  <c r="R169" i="12"/>
  <c r="Y29" i="46"/>
  <c r="Q72" i="48"/>
  <c r="Q77" i="48" s="1"/>
  <c r="Q70" i="48"/>
  <c r="Q75" i="48" s="1"/>
  <c r="Q73" i="48"/>
  <c r="Q78" i="48" s="1"/>
  <c r="Q74" i="48"/>
  <c r="Q71" i="48"/>
  <c r="Q76" i="48" s="1"/>
  <c r="J159" i="14"/>
  <c r="X122" i="20"/>
  <c r="X125" i="20"/>
  <c r="X121" i="20"/>
  <c r="X124" i="20"/>
  <c r="X123" i="20"/>
  <c r="Y119" i="20"/>
  <c r="X120" i="20"/>
  <c r="Z39" i="53"/>
  <c r="R129" i="14"/>
  <c r="AA27" i="28"/>
  <c r="AB21" i="28"/>
  <c r="U71" i="42"/>
  <c r="U75" i="42" s="1"/>
  <c r="U70" i="42"/>
  <c r="U74" i="42" s="1"/>
  <c r="U73" i="42"/>
  <c r="U72" i="42"/>
  <c r="U76" i="42" s="1"/>
  <c r="Z28" i="42"/>
  <c r="Z43" i="42" s="1"/>
  <c r="AA22" i="42"/>
  <c r="AA27" i="46"/>
  <c r="AA42" i="46" s="1"/>
  <c r="AB21" i="46"/>
  <c r="Y31" i="48"/>
  <c r="Y306" i="48"/>
  <c r="Q193" i="28"/>
  <c r="Q194" i="28" s="1"/>
  <c r="AA24" i="28"/>
  <c r="AB18" i="28"/>
  <c r="AE23" i="15"/>
  <c r="AE24" i="15"/>
  <c r="AF22" i="15"/>
  <c r="V110" i="36"/>
  <c r="AZ75" i="45"/>
  <c r="S33" i="48"/>
  <c r="S39" i="48" s="1"/>
  <c r="W34" i="29"/>
  <c r="W33" i="29"/>
  <c r="AO7" i="55"/>
  <c r="X217" i="38"/>
  <c r="X219" i="38" s="1"/>
  <c r="Y216" i="38"/>
  <c r="AQ119" i="45"/>
  <c r="J365" i="48"/>
  <c r="J370" i="48"/>
  <c r="AZ59" i="45"/>
  <c r="AZ60" i="45"/>
  <c r="AZ104" i="45"/>
  <c r="AZ58" i="45"/>
  <c r="S37" i="48"/>
  <c r="X43" i="48" s="1"/>
  <c r="Y131" i="16"/>
  <c r="Y129" i="16"/>
  <c r="U246" i="48"/>
  <c r="U251" i="48" s="1"/>
  <c r="U245" i="48"/>
  <c r="U250" i="48" s="1"/>
  <c r="U244" i="48"/>
  <c r="U249" i="48" s="1"/>
  <c r="U248" i="48"/>
  <c r="U247" i="48"/>
  <c r="U252" i="48" s="1"/>
  <c r="U209" i="46"/>
  <c r="U214" i="46" s="1"/>
  <c r="U206" i="48"/>
  <c r="U208" i="46"/>
  <c r="U213" i="46" s="1"/>
  <c r="U211" i="46"/>
  <c r="V89" i="45" s="1"/>
  <c r="U210" i="46"/>
  <c r="U215" i="46" s="1"/>
  <c r="U207" i="46"/>
  <c r="U212" i="46" s="1"/>
  <c r="W62" i="28"/>
  <c r="X44" i="15"/>
  <c r="W56" i="29"/>
  <c r="X44" i="16" s="1"/>
  <c r="V157" i="28"/>
  <c r="V160" i="28"/>
  <c r="R138" i="29"/>
  <c r="R140" i="29"/>
  <c r="R141" i="29"/>
  <c r="R139" i="29"/>
  <c r="R137" i="29"/>
  <c r="R136" i="29"/>
  <c r="T221" i="20"/>
  <c r="T47" i="20"/>
  <c r="T218" i="20" s="1"/>
  <c r="T72" i="20"/>
  <c r="U93" i="12"/>
  <c r="J160" i="14"/>
  <c r="J125" i="45"/>
  <c r="I371" i="46"/>
  <c r="J126" i="45" s="1"/>
  <c r="S58" i="19"/>
  <c r="AW100" i="45"/>
  <c r="AW113" i="45"/>
  <c r="Z26" i="29"/>
  <c r="Z44" i="29" s="1"/>
  <c r="AA20" i="29"/>
  <c r="V104" i="38"/>
  <c r="V108" i="38" s="1"/>
  <c r="V102" i="38"/>
  <c r="V106" i="38" s="1"/>
  <c r="V103" i="38"/>
  <c r="V107" i="38" s="1"/>
  <c r="V105" i="38"/>
  <c r="W99" i="36" s="1"/>
  <c r="BC99" i="36" s="1"/>
  <c r="U75" i="45"/>
  <c r="T33" i="46"/>
  <c r="T39" i="46" s="1"/>
  <c r="R149" i="12"/>
  <c r="AB20" i="16"/>
  <c r="W241" i="46"/>
  <c r="W243" i="46" s="1"/>
  <c r="X240" i="46"/>
  <c r="W67" i="16"/>
  <c r="W46" i="16"/>
  <c r="R69" i="19"/>
  <c r="S99" i="12"/>
  <c r="V297" i="38"/>
  <c r="V298" i="38"/>
  <c r="O295" i="20"/>
  <c r="T222" i="54"/>
  <c r="T224" i="54"/>
  <c r="T226" i="54"/>
  <c r="T225" i="54"/>
  <c r="T227" i="54"/>
  <c r="T223" i="54"/>
  <c r="Z28" i="46"/>
  <c r="AA22" i="46"/>
  <c r="R242" i="53"/>
  <c r="R249" i="53" s="1"/>
  <c r="U140" i="16"/>
  <c r="X292" i="42"/>
  <c r="Z25" i="48"/>
  <c r="Z40" i="48" s="1"/>
  <c r="AA19" i="48"/>
  <c r="BC105" i="45"/>
  <c r="V212" i="20"/>
  <c r="V170" i="19" s="1"/>
  <c r="V213" i="20"/>
  <c r="V171" i="19" s="1"/>
  <c r="V216" i="20"/>
  <c r="V174" i="19" s="1"/>
  <c r="V214" i="20"/>
  <c r="V172" i="19" s="1"/>
  <c r="V215" i="20"/>
  <c r="W135" i="12"/>
  <c r="V169" i="19"/>
  <c r="R97" i="12"/>
  <c r="R154" i="12"/>
  <c r="V235" i="42"/>
  <c r="V239" i="42" s="1"/>
  <c r="V237" i="42"/>
  <c r="V241" i="42" s="1"/>
  <c r="V238" i="42"/>
  <c r="V236" i="42"/>
  <c r="V240" i="42" s="1"/>
  <c r="Z28" i="53"/>
  <c r="Z43" i="53" s="1"/>
  <c r="AA22" i="53"/>
  <c r="BD50" i="51"/>
  <c r="S226" i="12"/>
  <c r="S225" i="12" a="1"/>
  <c r="S225" i="12" s="1"/>
  <c r="S148" i="12"/>
  <c r="BC64" i="51"/>
  <c r="Q281" i="20"/>
  <c r="Q284" i="20"/>
  <c r="Q286" i="20"/>
  <c r="Q285" i="20"/>
  <c r="Q282" i="20"/>
  <c r="Q283" i="20"/>
  <c r="U222" i="53"/>
  <c r="U223" i="53"/>
  <c r="U225" i="53"/>
  <c r="U227" i="53"/>
  <c r="U224" i="53"/>
  <c r="U226" i="53"/>
  <c r="AU120" i="36"/>
  <c r="O122" i="36"/>
  <c r="O125" i="36"/>
  <c r="W157" i="54"/>
  <c r="U60" i="45"/>
  <c r="U58" i="45"/>
  <c r="T37" i="46"/>
  <c r="Y43" i="46" s="1"/>
  <c r="U104" i="45"/>
  <c r="U59" i="45"/>
  <c r="W261" i="46"/>
  <c r="W266" i="46" s="1"/>
  <c r="W262" i="46"/>
  <c r="W267" i="46" s="1"/>
  <c r="W263" i="46"/>
  <c r="W268" i="46" s="1"/>
  <c r="W265" i="46"/>
  <c r="X105" i="45" s="1"/>
  <c r="W264" i="46"/>
  <c r="W269" i="46" s="1"/>
  <c r="W260" i="48"/>
  <c r="U243" i="38"/>
  <c r="U246" i="38"/>
  <c r="AA35" i="16"/>
  <c r="W141" i="48"/>
  <c r="W140" i="48"/>
  <c r="W142" i="48"/>
  <c r="N328" i="48"/>
  <c r="N327" i="48"/>
  <c r="S196" i="53"/>
  <c r="S197" i="53" s="1"/>
  <c r="T163" i="53"/>
  <c r="T115" i="14"/>
  <c r="BC58" i="51"/>
  <c r="O232" i="19"/>
  <c r="O233" i="19"/>
  <c r="Z25" i="28"/>
  <c r="Z43" i="28" s="1"/>
  <c r="AA19" i="28"/>
  <c r="U206" i="54"/>
  <c r="U207" i="54" s="1"/>
  <c r="U229" i="54"/>
  <c r="U230" i="54" s="1"/>
  <c r="Z128" i="16"/>
  <c r="Y40" i="29"/>
  <c r="Z60" i="16"/>
  <c r="V98" i="19"/>
  <c r="O337" i="42"/>
  <c r="O342" i="42"/>
  <c r="AA21" i="15"/>
  <c r="U145" i="46"/>
  <c r="U150" i="46" s="1"/>
  <c r="U146" i="46"/>
  <c r="U151" i="46" s="1"/>
  <c r="U144" i="48"/>
  <c r="U148" i="46"/>
  <c r="U153" i="46" s="1"/>
  <c r="U149" i="46"/>
  <c r="V83" i="45" s="1"/>
  <c r="U147" i="46"/>
  <c r="U152" i="46" s="1"/>
  <c r="Y153" i="53"/>
  <c r="X154" i="53"/>
  <c r="X156" i="53" s="1"/>
  <c r="R44" i="48"/>
  <c r="R316" i="48" s="1"/>
  <c r="S141" i="12"/>
  <c r="P335" i="42"/>
  <c r="P333" i="42"/>
  <c r="Q114" i="45"/>
  <c r="V219" i="54"/>
  <c r="V231" i="54" s="1"/>
  <c r="V220" i="54"/>
  <c r="S109" i="46"/>
  <c r="S99" i="46"/>
  <c r="S79" i="46"/>
  <c r="S44" i="46"/>
  <c r="S316" i="46" s="1"/>
  <c r="S69" i="46"/>
  <c r="U200" i="20"/>
  <c r="U161" i="19" s="1"/>
  <c r="U203" i="20"/>
  <c r="U164" i="19" s="1"/>
  <c r="U199" i="20"/>
  <c r="U160" i="19" s="1"/>
  <c r="U201" i="20"/>
  <c r="U162" i="19" s="1"/>
  <c r="U159" i="19"/>
  <c r="V123" i="14" s="1"/>
  <c r="U202" i="20"/>
  <c r="V87" i="42"/>
  <c r="V91" i="42" s="1"/>
  <c r="V86" i="42"/>
  <c r="V90" i="42" s="1"/>
  <c r="V88" i="42"/>
  <c r="V92" i="42" s="1"/>
  <c r="V89" i="42"/>
  <c r="R169" i="28"/>
  <c r="R173" i="28" s="1"/>
  <c r="R170" i="28"/>
  <c r="U80" i="36"/>
  <c r="U83" i="36" s="1"/>
  <c r="BA78" i="36"/>
  <c r="U115" i="36"/>
  <c r="U116" i="36" s="1"/>
  <c r="V66" i="20"/>
  <c r="Q80" i="48"/>
  <c r="Q85" i="48" s="1"/>
  <c r="Q83" i="48"/>
  <c r="Q88" i="48" s="1"/>
  <c r="Q82" i="48"/>
  <c r="Q87" i="48" s="1"/>
  <c r="Q81" i="48"/>
  <c r="Q86" i="48" s="1"/>
  <c r="Q84" i="48"/>
  <c r="X47" i="29"/>
  <c r="X142" i="29" s="1"/>
  <c r="X194" i="53"/>
  <c r="X31" i="53"/>
  <c r="T83" i="20"/>
  <c r="T75" i="19" s="1"/>
  <c r="T79" i="20"/>
  <c r="T81" i="20"/>
  <c r="U114" i="12"/>
  <c r="T70" i="19"/>
  <c r="U114" i="14" s="1"/>
  <c r="T82" i="20"/>
  <c r="T80" i="20"/>
  <c r="AA27" i="48"/>
  <c r="AA42" i="48" s="1"/>
  <c r="AB21" i="48"/>
  <c r="L157" i="12"/>
  <c r="L163" i="12"/>
  <c r="BA34" i="45"/>
  <c r="R318" i="38"/>
  <c r="R319" i="38" s="1"/>
  <c r="R321" i="38" s="1"/>
  <c r="R255" i="20"/>
  <c r="R256" i="20" s="1"/>
  <c r="S222" i="20"/>
  <c r="AX101" i="45"/>
  <c r="AX102" i="45"/>
  <c r="R103" i="45"/>
  <c r="R102" i="45"/>
  <c r="R101" i="45"/>
  <c r="AX103" i="45"/>
  <c r="U117" i="36"/>
  <c r="U123" i="36" s="1"/>
  <c r="R79" i="45"/>
  <c r="R81" i="45"/>
  <c r="R80" i="45"/>
  <c r="AX81" i="45"/>
  <c r="AX79" i="45"/>
  <c r="AX80" i="45"/>
  <c r="Y29" i="28"/>
  <c r="T144" i="29"/>
  <c r="T145" i="29" s="1"/>
  <c r="T167" i="29"/>
  <c r="T168" i="29" s="1"/>
  <c r="W139" i="20"/>
  <c r="X94" i="12"/>
  <c r="T95" i="20"/>
  <c r="T87" i="19" s="1"/>
  <c r="T92" i="20"/>
  <c r="T94" i="20"/>
  <c r="T86" i="19" s="1"/>
  <c r="T82" i="19"/>
  <c r="U124" i="14" s="1"/>
  <c r="T91" i="20"/>
  <c r="T93" i="20"/>
  <c r="X208" i="53"/>
  <c r="AW91" i="45"/>
  <c r="S306" i="38"/>
  <c r="S311" i="38"/>
  <c r="S307" i="38"/>
  <c r="S308" i="38"/>
  <c r="S310" i="38"/>
  <c r="S309" i="38"/>
  <c r="U243" i="42"/>
  <c r="U246" i="42"/>
  <c r="U161" i="42"/>
  <c r="U165" i="42" s="1"/>
  <c r="U160" i="42"/>
  <c r="U164" i="42" s="1"/>
  <c r="U159" i="42"/>
  <c r="U163" i="42" s="1"/>
  <c r="U162" i="42"/>
  <c r="BB110" i="36"/>
  <c r="AO20" i="55"/>
  <c r="AO19" i="55"/>
  <c r="W221" i="38"/>
  <c r="W225" i="38" s="1"/>
  <c r="W222" i="38"/>
  <c r="W226" i="38" s="1"/>
  <c r="W223" i="38"/>
  <c r="X98" i="36" s="1"/>
  <c r="W220" i="38"/>
  <c r="W224" i="38" s="1"/>
  <c r="AN20" i="55"/>
  <c r="AN19" i="55"/>
  <c r="X289" i="38"/>
  <c r="X292" i="38"/>
  <c r="S251" i="54"/>
  <c r="AZ75" i="51" s="1"/>
  <c r="S249" i="54"/>
  <c r="AQ122" i="45"/>
  <c r="S171" i="29"/>
  <c r="S174" i="29" s="1"/>
  <c r="S170" i="29"/>
  <c r="T217" i="48"/>
  <c r="T222" i="48" s="1"/>
  <c r="T218" i="48"/>
  <c r="T223" i="48" s="1"/>
  <c r="T220" i="48"/>
  <c r="T225" i="48" s="1"/>
  <c r="T221" i="48"/>
  <c r="T219" i="48"/>
  <c r="T224" i="48" s="1"/>
  <c r="W127" i="42"/>
  <c r="W128" i="42"/>
  <c r="X126" i="42"/>
  <c r="Z25" i="29"/>
  <c r="Z43" i="29" s="1"/>
  <c r="AA19" i="29"/>
  <c r="M349" i="48"/>
  <c r="Z28" i="48"/>
  <c r="AA22" i="48"/>
  <c r="W59" i="29"/>
  <c r="X62" i="16" s="1"/>
  <c r="X62" i="15"/>
  <c r="U215" i="53"/>
  <c r="U216" i="53"/>
  <c r="T31" i="20"/>
  <c r="T253" i="20"/>
  <c r="CG4" i="55"/>
  <c r="AW76" i="51"/>
  <c r="S76" i="20"/>
  <c r="S74" i="20"/>
  <c r="S66" i="19" s="1"/>
  <c r="S64" i="19"/>
  <c r="T93" i="14" s="1"/>
  <c r="S75" i="20"/>
  <c r="S73" i="20"/>
  <c r="S77" i="20"/>
  <c r="Z39" i="16"/>
  <c r="Z13" i="16"/>
  <c r="T233" i="53"/>
  <c r="T236" i="53" s="1"/>
  <c r="T232" i="53"/>
  <c r="O334" i="48"/>
  <c r="O337" i="48"/>
  <c r="O336" i="48"/>
  <c r="O338" i="48"/>
  <c r="O339" i="48"/>
  <c r="O335" i="48"/>
  <c r="Q151" i="12"/>
  <c r="R149" i="14"/>
  <c r="V244" i="46"/>
  <c r="V249" i="46" s="1"/>
  <c r="V245" i="46"/>
  <c r="V250" i="46" s="1"/>
  <c r="V243" i="48"/>
  <c r="V247" i="46"/>
  <c r="V252" i="46" s="1"/>
  <c r="V246" i="46"/>
  <c r="V251" i="46" s="1"/>
  <c r="V248" i="46"/>
  <c r="W96" i="45" s="1"/>
  <c r="V58" i="29"/>
  <c r="V114" i="28"/>
  <c r="V213" i="28"/>
  <c r="S99" i="14"/>
  <c r="R112" i="45"/>
  <c r="R110" i="45"/>
  <c r="R111" i="45"/>
  <c r="AW9" i="55"/>
  <c r="Z26" i="46"/>
  <c r="Z41" i="46" s="1"/>
  <c r="AA20" i="46"/>
  <c r="AA16" i="45"/>
  <c r="BF16" i="45"/>
  <c r="Z17" i="45"/>
  <c r="Z18" i="45" s="1"/>
  <c r="R34" i="19"/>
  <c r="R33" i="19"/>
  <c r="X208" i="20"/>
  <c r="W209" i="20"/>
  <c r="W211" i="20" s="1"/>
  <c r="AA24" i="29"/>
  <c r="AB18" i="29"/>
  <c r="U151" i="29"/>
  <c r="U152" i="29"/>
  <c r="V162" i="38"/>
  <c r="W109" i="36" s="1"/>
  <c r="BC109" i="36" s="1"/>
  <c r="V161" i="38"/>
  <c r="V165" i="38" s="1"/>
  <c r="V159" i="38"/>
  <c r="V163" i="38" s="1"/>
  <c r="V160" i="38"/>
  <c r="V164" i="38" s="1"/>
  <c r="BD68" i="51"/>
  <c r="Y360" i="46"/>
  <c r="V34" i="45"/>
  <c r="BB33" i="45"/>
  <c r="V135" i="16"/>
  <c r="AB38" i="29"/>
  <c r="AC124" i="16"/>
  <c r="AC54" i="16"/>
  <c r="Q229" i="19"/>
  <c r="Q227" i="19"/>
  <c r="Q226" i="19"/>
  <c r="Q228" i="19"/>
  <c r="W203" i="48"/>
  <c r="W204" i="48"/>
  <c r="V162" i="53"/>
  <c r="T131" i="12"/>
  <c r="S84" i="19"/>
  <c r="T131" i="14" s="1"/>
  <c r="O293" i="20"/>
  <c r="O294" i="20" s="1"/>
  <c r="O296" i="20" s="1"/>
  <c r="Q278" i="20"/>
  <c r="Q279" i="20"/>
  <c r="L308" i="20"/>
  <c r="AV115" i="45"/>
  <c r="V134" i="20"/>
  <c r="V110" i="19" s="1"/>
  <c r="V135" i="20"/>
  <c r="V111" i="19" s="1"/>
  <c r="V137" i="20"/>
  <c r="V113" i="19" s="1"/>
  <c r="V136" i="20"/>
  <c r="V112" i="19" s="1"/>
  <c r="V109" i="19"/>
  <c r="W126" i="14" s="1"/>
  <c r="V138" i="20"/>
  <c r="V114" i="19" s="1"/>
  <c r="Y63" i="29"/>
  <c r="Y62" i="29" s="1"/>
  <c r="Y65" i="29"/>
  <c r="Y67" i="29"/>
  <c r="Y64" i="29"/>
  <c r="Y66" i="29"/>
  <c r="Y68" i="29"/>
  <c r="X61" i="54"/>
  <c r="X62" i="54"/>
  <c r="X64" i="54"/>
  <c r="X71" i="54" s="1"/>
  <c r="X72" i="54" s="1"/>
  <c r="X67" i="54"/>
  <c r="X77" i="54" s="1"/>
  <c r="X78" i="54" s="1"/>
  <c r="X65" i="54"/>
  <c r="X75" i="54" s="1"/>
  <c r="X76" i="54" s="1"/>
  <c r="X66" i="54"/>
  <c r="X73" i="54" s="1"/>
  <c r="X74" i="54" s="1"/>
  <c r="Y60" i="54"/>
  <c r="W25" i="19"/>
  <c r="W43" i="19" s="1"/>
  <c r="W96" i="19" s="1"/>
  <c r="W95" i="19" s="1"/>
  <c r="X19" i="19"/>
  <c r="P324" i="48"/>
  <c r="P322" i="48"/>
  <c r="P321" i="48"/>
  <c r="P323" i="48"/>
  <c r="V68" i="45"/>
  <c r="W30" i="45"/>
  <c r="T163" i="54"/>
  <c r="S196" i="54"/>
  <c r="S197" i="54" s="1"/>
  <c r="W212" i="54"/>
  <c r="W209" i="54"/>
  <c r="W210" i="54"/>
  <c r="W211" i="54"/>
  <c r="X128" i="38"/>
  <c r="X183" i="38"/>
  <c r="X127" i="38"/>
  <c r="Y126" i="38"/>
  <c r="X182" i="38"/>
  <c r="S141" i="14"/>
  <c r="X66" i="53"/>
  <c r="X73" i="53" s="1"/>
  <c r="X74" i="53" s="1"/>
  <c r="X65" i="53"/>
  <c r="X75" i="53" s="1"/>
  <c r="X61" i="53"/>
  <c r="X67" i="53"/>
  <c r="X77" i="53" s="1"/>
  <c r="X78" i="53" s="1"/>
  <c r="Y61" i="51" s="1"/>
  <c r="X64" i="53"/>
  <c r="X71" i="53" s="1"/>
  <c r="X72" i="53" s="1"/>
  <c r="Y57" i="51" s="1"/>
  <c r="X62" i="53"/>
  <c r="Y60" i="53"/>
  <c r="U138" i="19"/>
  <c r="L160" i="12"/>
  <c r="AX74" i="51"/>
  <c r="Q253" i="54"/>
  <c r="R130" i="12"/>
  <c r="V94" i="42"/>
  <c r="V98" i="42" s="1"/>
  <c r="V96" i="42"/>
  <c r="V100" i="42" s="1"/>
  <c r="V97" i="42"/>
  <c r="V95" i="42"/>
  <c r="V99" i="42" s="1"/>
  <c r="AA27" i="42"/>
  <c r="AA42" i="42" s="1"/>
  <c r="AB21" i="42"/>
  <c r="S228" i="12"/>
  <c r="AA39" i="15"/>
  <c r="AX111" i="45"/>
  <c r="O337" i="38"/>
  <c r="V136" i="16"/>
  <c r="Z39" i="54"/>
  <c r="V143" i="20"/>
  <c r="V119" i="19" s="1"/>
  <c r="V142" i="20"/>
  <c r="V118" i="19" s="1"/>
  <c r="V144" i="20"/>
  <c r="V120" i="19" s="1"/>
  <c r="V140" i="20"/>
  <c r="V116" i="19" s="1"/>
  <c r="V141" i="20"/>
  <c r="V117" i="19" s="1"/>
  <c r="V115" i="19"/>
  <c r="W94" i="14" s="1"/>
  <c r="BB51" i="51"/>
  <c r="BB72" i="51"/>
  <c r="T175" i="48"/>
  <c r="T180" i="48" s="1"/>
  <c r="T177" i="48"/>
  <c r="T182" i="48" s="1"/>
  <c r="T176" i="48"/>
  <c r="T181" i="48" s="1"/>
  <c r="T178" i="48"/>
  <c r="T183" i="48" s="1"/>
  <c r="T179" i="48"/>
  <c r="Z122" i="16"/>
  <c r="Z132" i="16" s="1"/>
  <c r="AA27" i="54"/>
  <c r="AA42" i="54" s="1"/>
  <c r="AB21" i="54"/>
  <c r="V157" i="19"/>
  <c r="W123" i="12"/>
  <c r="V198" i="20"/>
  <c r="X85" i="28"/>
  <c r="X72" i="29" s="1"/>
  <c r="X83" i="28"/>
  <c r="X70" i="29" s="1"/>
  <c r="X88" i="28"/>
  <c r="X84" i="28"/>
  <c r="X86" i="28"/>
  <c r="X87" i="28"/>
  <c r="Y82" i="28"/>
  <c r="P308" i="46"/>
  <c r="P309" i="46" s="1"/>
  <c r="Q275" i="46"/>
  <c r="R320" i="38"/>
  <c r="BC49" i="51"/>
  <c r="W72" i="51"/>
  <c r="W51" i="51"/>
  <c r="W35" i="46"/>
  <c r="X42" i="45"/>
  <c r="X43" i="45"/>
  <c r="X95" i="45"/>
  <c r="X44" i="45"/>
  <c r="V136" i="15"/>
  <c r="W132" i="20"/>
  <c r="W108" i="19" s="1"/>
  <c r="W129" i="20"/>
  <c r="W105" i="19" s="1"/>
  <c r="W131" i="20"/>
  <c r="W107" i="19" s="1"/>
  <c r="W128" i="20"/>
  <c r="W104" i="19" s="1"/>
  <c r="W103" i="19"/>
  <c r="X103" i="14" s="1"/>
  <c r="X103" i="12"/>
  <c r="W130" i="20"/>
  <c r="S317" i="38"/>
  <c r="S320" i="38" s="1"/>
  <c r="S316" i="38"/>
  <c r="T231" i="14"/>
  <c r="U152" i="42"/>
  <c r="U156" i="42" s="1"/>
  <c r="U153" i="42"/>
  <c r="U157" i="42" s="1"/>
  <c r="U151" i="42"/>
  <c r="U155" i="42" s="1"/>
  <c r="U154" i="42"/>
  <c r="R172" i="29"/>
  <c r="R173" i="29" s="1"/>
  <c r="R175" i="29" s="1"/>
  <c r="W201" i="46"/>
  <c r="W138" i="46"/>
  <c r="W137" i="46"/>
  <c r="W200" i="46"/>
  <c r="X136" i="46"/>
  <c r="X26" i="20"/>
  <c r="X44" i="20" s="1"/>
  <c r="Y20" i="20"/>
  <c r="P318" i="48"/>
  <c r="P319" i="48" s="1"/>
  <c r="P341" i="48"/>
  <c r="P342" i="48" s="1"/>
  <c r="M353" i="48"/>
  <c r="U300" i="38"/>
  <c r="U299" i="38"/>
  <c r="S130" i="12"/>
  <c r="S231" i="14"/>
  <c r="V102" i="36"/>
  <c r="BZ6" i="55"/>
  <c r="Q317" i="48"/>
  <c r="Q320" i="48"/>
  <c r="S160" i="29"/>
  <c r="S162" i="29"/>
  <c r="S164" i="29"/>
  <c r="S163" i="29"/>
  <c r="S165" i="29"/>
  <c r="S161" i="29"/>
  <c r="V129" i="42"/>
  <c r="V134" i="42"/>
  <c r="M329" i="48"/>
  <c r="M333" i="48" s="1"/>
  <c r="M330" i="48"/>
  <c r="X56" i="15"/>
  <c r="W60" i="29"/>
  <c r="X56" i="16" s="1"/>
  <c r="Q187" i="29"/>
  <c r="Q189" i="29"/>
  <c r="R70" i="16" s="1"/>
  <c r="BB79" i="36"/>
  <c r="BB114" i="36" s="1"/>
  <c r="V114" i="36"/>
  <c r="Q76" i="51"/>
  <c r="Y41" i="45"/>
  <c r="J121" i="45"/>
  <c r="J124" i="45"/>
  <c r="J123" i="45"/>
  <c r="T147" i="12"/>
  <c r="T95" i="12"/>
  <c r="S53" i="19"/>
  <c r="V150" i="29"/>
  <c r="V147" i="29"/>
  <c r="V148" i="29"/>
  <c r="V149" i="29"/>
  <c r="T222" i="53"/>
  <c r="T226" i="53"/>
  <c r="T223" i="53"/>
  <c r="T227" i="53"/>
  <c r="T224" i="53"/>
  <c r="T225" i="53"/>
  <c r="Y135" i="53"/>
  <c r="Z56" i="51"/>
  <c r="S129" i="14"/>
  <c r="S118" i="12"/>
  <c r="X265" i="19"/>
  <c r="Y307" i="20"/>
  <c r="V81" i="38"/>
  <c r="W92" i="36" s="1"/>
  <c r="BC92" i="36" s="1"/>
  <c r="V78" i="38"/>
  <c r="V82" i="38" s="1"/>
  <c r="V80" i="38"/>
  <c r="V84" i="38" s="1"/>
  <c r="V79" i="38"/>
  <c r="V83" i="38" s="1"/>
  <c r="T165" i="28"/>
  <c r="T166" i="28"/>
  <c r="V219" i="53"/>
  <c r="V231" i="53" s="1"/>
  <c r="V220" i="53"/>
  <c r="S107" i="12"/>
  <c r="AB34" i="16"/>
  <c r="AB33" i="16"/>
  <c r="W67" i="15"/>
  <c r="W46" i="15"/>
  <c r="O72" i="16"/>
  <c r="N197" i="29"/>
  <c r="O73" i="16" s="1"/>
  <c r="S91" i="19"/>
  <c r="T144" i="14" s="1"/>
  <c r="T144" i="12"/>
  <c r="AW116" i="45"/>
  <c r="Y18" i="45"/>
  <c r="AA27" i="53"/>
  <c r="AA42" i="53" s="1"/>
  <c r="AB21" i="53"/>
  <c r="U24" i="19"/>
  <c r="V18" i="19"/>
  <c r="L268" i="19"/>
  <c r="M156" i="14" s="1"/>
  <c r="L266" i="19"/>
  <c r="AA20" i="54"/>
  <c r="Z26" i="54"/>
  <c r="Z41" i="54" s="1"/>
  <c r="Z147" i="54" s="1"/>
  <c r="Z148" i="54" s="1"/>
  <c r="V153" i="38"/>
  <c r="V157" i="38" s="1"/>
  <c r="V152" i="38"/>
  <c r="V156" i="38" s="1"/>
  <c r="V154" i="38"/>
  <c r="W79" i="36" s="1"/>
  <c r="V151" i="38"/>
  <c r="V155" i="38" s="1"/>
  <c r="O325" i="48"/>
  <c r="O326" i="48"/>
  <c r="U300" i="42"/>
  <c r="U299" i="42"/>
  <c r="Z25" i="38"/>
  <c r="Z40" i="38" s="1"/>
  <c r="AA19" i="38"/>
  <c r="Z28" i="28"/>
  <c r="Z46" i="28" s="1"/>
  <c r="AA22" i="28"/>
  <c r="AA27" i="38"/>
  <c r="AA42" i="38" s="1"/>
  <c r="AB21" i="38"/>
  <c r="Y44" i="42"/>
  <c r="Y288" i="42" s="1"/>
  <c r="V24" i="45"/>
  <c r="V26" i="45"/>
  <c r="V25" i="45"/>
  <c r="U34" i="46"/>
  <c r="V82" i="45"/>
  <c r="R179" i="19"/>
  <c r="X65" i="48"/>
  <c r="X64" i="48"/>
  <c r="X67" i="48"/>
  <c r="X61" i="48"/>
  <c r="X62" i="48"/>
  <c r="X66" i="48"/>
  <c r="Y60" i="48"/>
  <c r="W70" i="51"/>
  <c r="BC66" i="51"/>
  <c r="S85" i="19"/>
  <c r="T132" i="14" s="1"/>
  <c r="T132" i="12"/>
  <c r="R72" i="46"/>
  <c r="R77" i="46" s="1"/>
  <c r="R71" i="46"/>
  <c r="R76" i="46" s="1"/>
  <c r="R73" i="46"/>
  <c r="R78" i="46" s="1"/>
  <c r="R70" i="46"/>
  <c r="R75" i="46" s="1"/>
  <c r="R69" i="48"/>
  <c r="R74" i="46"/>
  <c r="S76" i="45" s="1"/>
  <c r="BA83" i="45"/>
  <c r="P203" i="28"/>
  <c r="Q70" i="15" s="1"/>
  <c r="P201" i="28"/>
  <c r="T96" i="20"/>
  <c r="Z25" i="54"/>
  <c r="Z40" i="54" s="1"/>
  <c r="AA19" i="54"/>
  <c r="K155" i="14"/>
  <c r="AQ10" i="55"/>
  <c r="J270" i="19"/>
  <c r="J275" i="19"/>
  <c r="R199" i="54"/>
  <c r="R198" i="54"/>
  <c r="R203" i="54"/>
  <c r="R201" i="54"/>
  <c r="R202" i="54"/>
  <c r="R200" i="54"/>
  <c r="V146" i="20"/>
  <c r="V122" i="19" s="1"/>
  <c r="V150" i="20"/>
  <c r="V126" i="19" s="1"/>
  <c r="V147" i="20"/>
  <c r="V123" i="19" s="1"/>
  <c r="V148" i="20"/>
  <c r="V124" i="19" s="1"/>
  <c r="V149" i="20"/>
  <c r="V125" i="19" s="1"/>
  <c r="V121" i="19"/>
  <c r="W138" i="14" s="1"/>
  <c r="W138" i="12"/>
  <c r="T72" i="45"/>
  <c r="W184" i="38"/>
  <c r="W188" i="38"/>
  <c r="W196" i="38"/>
  <c r="W204" i="38"/>
  <c r="N119" i="45"/>
  <c r="M370" i="46"/>
  <c r="N125" i="45" s="1"/>
  <c r="M365" i="46"/>
  <c r="W294" i="38"/>
  <c r="W293" i="38"/>
  <c r="W296" i="38"/>
  <c r="W295" i="38"/>
  <c r="P69" i="16"/>
  <c r="O196" i="29"/>
  <c r="O191" i="29"/>
  <c r="AB11" i="15"/>
  <c r="S241" i="53"/>
  <c r="S242" i="53" s="1"/>
  <c r="S127" i="14"/>
  <c r="Z122" i="15"/>
  <c r="Z132" i="15" s="1"/>
  <c r="R130" i="14"/>
  <c r="V80" i="42"/>
  <c r="V84" i="42" s="1"/>
  <c r="V78" i="42"/>
  <c r="V82" i="42" s="1"/>
  <c r="V81" i="42"/>
  <c r="V79" i="42"/>
  <c r="V83" i="42" s="1"/>
  <c r="AB17" i="15"/>
  <c r="V35" i="48"/>
  <c r="BC44" i="45"/>
  <c r="BC42" i="45"/>
  <c r="BC43" i="45"/>
  <c r="BC95" i="45"/>
  <c r="R93" i="45"/>
  <c r="AX94" i="45"/>
  <c r="AX93" i="45"/>
  <c r="R94" i="45"/>
  <c r="X21" i="45"/>
  <c r="O342" i="38"/>
  <c r="W196" i="20"/>
  <c r="X195" i="20"/>
  <c r="X64" i="15"/>
  <c r="W75" i="29"/>
  <c r="X64" i="16" s="1"/>
  <c r="O312" i="46"/>
  <c r="O314" i="46"/>
  <c r="O313" i="46"/>
  <c r="O315" i="46"/>
  <c r="O311" i="46"/>
  <c r="O310" i="46"/>
  <c r="U206" i="42"/>
  <c r="U210" i="42" s="1"/>
  <c r="U207" i="42"/>
  <c r="U211" i="42" s="1"/>
  <c r="U208" i="42"/>
  <c r="U205" i="42"/>
  <c r="U209" i="42" s="1"/>
  <c r="Y110" i="53"/>
  <c r="Y111" i="53" s="1"/>
  <c r="Y104" i="53"/>
  <c r="Y105" i="53" s="1"/>
  <c r="Z53" i="51" s="1"/>
  <c r="Y106" i="53"/>
  <c r="Y107" i="53" s="1"/>
  <c r="Z62" i="51" s="1"/>
  <c r="Y108" i="53"/>
  <c r="Y109" i="53" s="1"/>
  <c r="R233" i="12"/>
  <c r="R234" i="12" s="1"/>
  <c r="W65" i="15"/>
  <c r="Q260" i="20"/>
  <c r="Q262" i="20"/>
  <c r="Q259" i="20"/>
  <c r="Q258" i="20"/>
  <c r="Q261" i="20"/>
  <c r="Q257" i="20"/>
  <c r="W137" i="20"/>
  <c r="W113" i="19" s="1"/>
  <c r="W136" i="20"/>
  <c r="W112" i="19" s="1"/>
  <c r="W135" i="20"/>
  <c r="W111" i="19" s="1"/>
  <c r="W134" i="20"/>
  <c r="W110" i="19" s="1"/>
  <c r="W138" i="20"/>
  <c r="W114" i="19" s="1"/>
  <c r="W109" i="19"/>
  <c r="X126" i="14" s="1"/>
  <c r="X208" i="54"/>
  <c r="BC98" i="36"/>
  <c r="Q69" i="16"/>
  <c r="P191" i="29"/>
  <c r="P196" i="29"/>
  <c r="W183" i="42"/>
  <c r="W182" i="42"/>
  <c r="X181" i="42"/>
  <c r="BA108" i="45"/>
  <c r="U143" i="42"/>
  <c r="U147" i="42" s="1"/>
  <c r="U144" i="42"/>
  <c r="U148" i="42" s="1"/>
  <c r="U146" i="42"/>
  <c r="U145" i="42"/>
  <c r="U149" i="42" s="1"/>
  <c r="V202" i="46"/>
  <c r="V216" i="46"/>
  <c r="V226" i="46"/>
  <c r="V206" i="46"/>
  <c r="Y257" i="48"/>
  <c r="X258" i="48"/>
  <c r="T129" i="12"/>
  <c r="S33" i="20"/>
  <c r="S34" i="20"/>
  <c r="T301" i="38"/>
  <c r="T305" i="38" s="1"/>
  <c r="T302" i="38"/>
  <c r="S130" i="14"/>
  <c r="AN6" i="55"/>
  <c r="BB103" i="36"/>
  <c r="AW109" i="45"/>
  <c r="V130" i="42"/>
  <c r="V142" i="42" s="1"/>
  <c r="V131" i="42"/>
  <c r="V150" i="42" s="1"/>
  <c r="V132" i="42"/>
  <c r="V158" i="42" s="1"/>
  <c r="N251" i="19"/>
  <c r="N252" i="19" s="1"/>
  <c r="N254" i="19" s="1"/>
  <c r="V135" i="38"/>
  <c r="V139" i="38" s="1"/>
  <c r="V136" i="38"/>
  <c r="V140" i="38" s="1"/>
  <c r="V138" i="38"/>
  <c r="W85" i="36" s="1"/>
  <c r="V137" i="38"/>
  <c r="V141" i="38" s="1"/>
  <c r="BD58" i="51"/>
  <c r="AC9" i="16"/>
  <c r="Z40" i="45"/>
  <c r="Z39" i="45"/>
  <c r="AA38" i="45"/>
  <c r="BF38" i="45"/>
  <c r="J164" i="14"/>
  <c r="I276" i="19"/>
  <c r="J165" i="14" s="1"/>
  <c r="T218" i="54"/>
  <c r="T217" i="54"/>
  <c r="T221" i="54" s="1"/>
  <c r="S265" i="20"/>
  <c r="S288" i="20"/>
  <c r="S289" i="20" s="1"/>
  <c r="X31" i="42"/>
  <c r="X278" i="42"/>
  <c r="X289" i="42" s="1"/>
  <c r="BF69" i="51"/>
  <c r="S118" i="14"/>
  <c r="U173" i="19"/>
  <c r="V63" i="38"/>
  <c r="V69" i="38"/>
  <c r="T171" i="28"/>
  <c r="T183" i="28" s="1"/>
  <c r="T184" i="28" s="1"/>
  <c r="T172" i="28"/>
  <c r="S107" i="14"/>
  <c r="AA35" i="15"/>
  <c r="Y61" i="16"/>
  <c r="X84" i="29"/>
  <c r="V303" i="42"/>
  <c r="V315" i="42" s="1"/>
  <c r="V304" i="42"/>
  <c r="V304" i="38"/>
  <c r="V303" i="38"/>
  <c r="V315" i="38" s="1"/>
  <c r="AE7" i="16"/>
  <c r="AF6" i="16"/>
  <c r="R76" i="51"/>
  <c r="BD43" i="45"/>
  <c r="BD42" i="45"/>
  <c r="W35" i="48"/>
  <c r="BD44" i="45"/>
  <c r="BD95" i="45"/>
  <c r="S90" i="19"/>
  <c r="T143" i="14" s="1"/>
  <c r="T143" i="12"/>
  <c r="AW118" i="45"/>
  <c r="Z28" i="54"/>
  <c r="Z43" i="54" s="1"/>
  <c r="AA22" i="54"/>
  <c r="V86" i="36"/>
  <c r="V89" i="36" s="1"/>
  <c r="BB85" i="36"/>
  <c r="BB86" i="36" s="1"/>
  <c r="BB89" i="36" s="1"/>
  <c r="P337" i="46"/>
  <c r="P336" i="46"/>
  <c r="P334" i="46"/>
  <c r="P339" i="46"/>
  <c r="P335" i="46"/>
  <c r="P338" i="46"/>
  <c r="Z138" i="53"/>
  <c r="Z139" i="53" s="1"/>
  <c r="AA69" i="51" s="1"/>
  <c r="Z136" i="53"/>
  <c r="Z137" i="53" s="1"/>
  <c r="AA63" i="51" s="1"/>
  <c r="Z134" i="53"/>
  <c r="T29" i="19"/>
  <c r="T42" i="19"/>
  <c r="T54" i="19" s="1"/>
  <c r="W59" i="15"/>
  <c r="T280" i="42"/>
  <c r="T281" i="42" s="1"/>
  <c r="U247" i="42"/>
  <c r="V146" i="38"/>
  <c r="W100" i="36" s="1"/>
  <c r="BC100" i="36" s="1"/>
  <c r="V143" i="38"/>
  <c r="V147" i="38" s="1"/>
  <c r="V145" i="38"/>
  <c r="V149" i="38" s="1"/>
  <c r="V144" i="38"/>
  <c r="V148" i="38" s="1"/>
  <c r="O331" i="48"/>
  <c r="O343" i="48" s="1"/>
  <c r="O344" i="48" s="1"/>
  <c r="O332" i="48"/>
  <c r="Y85" i="29"/>
  <c r="Z61" i="15"/>
  <c r="Q335" i="38"/>
  <c r="R121" i="36" s="1"/>
  <c r="AX121" i="36" s="1"/>
  <c r="Q333" i="38"/>
  <c r="K7" i="55"/>
  <c r="Y332" i="42"/>
  <c r="BD20" i="45"/>
  <c r="BD19" i="45"/>
  <c r="S188" i="28"/>
  <c r="Y29" i="42"/>
  <c r="BB55" i="45"/>
  <c r="BB56" i="45"/>
  <c r="V67" i="45"/>
  <c r="S317" i="42"/>
  <c r="S316" i="42"/>
  <c r="W63" i="48"/>
  <c r="Q224" i="19"/>
  <c r="T218" i="53"/>
  <c r="T217" i="53"/>
  <c r="T221" i="53" s="1"/>
  <c r="T128" i="12"/>
  <c r="S83" i="19"/>
  <c r="T128" i="14" s="1"/>
  <c r="R317" i="46"/>
  <c r="R320" i="46"/>
  <c r="Y332" i="38"/>
  <c r="T115" i="12"/>
  <c r="Y106" i="54"/>
  <c r="Y107" i="54" s="1"/>
  <c r="Y110" i="54"/>
  <c r="Y111" i="54" s="1"/>
  <c r="Y108" i="54"/>
  <c r="Y109" i="54" s="1"/>
  <c r="Y104" i="54"/>
  <c r="Y105" i="54" s="1"/>
  <c r="W55" i="45"/>
  <c r="W56" i="45"/>
  <c r="U82" i="45"/>
  <c r="U25" i="45"/>
  <c r="U24" i="45"/>
  <c r="T34" i="46"/>
  <c r="U26" i="45"/>
  <c r="V99" i="19"/>
  <c r="W205" i="54"/>
  <c r="R152" i="12"/>
  <c r="W129" i="38"/>
  <c r="W134" i="38"/>
  <c r="N122" i="45"/>
  <c r="AX112" i="45"/>
  <c r="O277" i="20"/>
  <c r="O276" i="20"/>
  <c r="O280" i="20" s="1"/>
  <c r="W76" i="53"/>
  <c r="X67" i="51"/>
  <c r="X71" i="51" s="1"/>
  <c r="W289" i="38"/>
  <c r="Z75" i="15"/>
  <c r="M258" i="19"/>
  <c r="M259" i="19" s="1"/>
  <c r="R117" i="14"/>
  <c r="O69" i="15"/>
  <c r="N205" i="28"/>
  <c r="N210" i="28"/>
  <c r="V57" i="45"/>
  <c r="W28" i="19"/>
  <c r="W46" i="19" s="1"/>
  <c r="W167" i="19" s="1"/>
  <c r="W166" i="19" s="1"/>
  <c r="X22" i="19"/>
  <c r="BE62" i="51"/>
  <c r="X65" i="46"/>
  <c r="X61" i="46"/>
  <c r="X62" i="46"/>
  <c r="X67" i="46"/>
  <c r="X64" i="46"/>
  <c r="X66" i="46"/>
  <c r="X89" i="46" s="1"/>
  <c r="Y60" i="46"/>
  <c r="AV120" i="36"/>
  <c r="P125" i="36"/>
  <c r="P122" i="36"/>
  <c r="W71" i="29"/>
  <c r="X48" i="16" s="1"/>
  <c r="X48" i="15"/>
  <c r="BA111" i="36"/>
  <c r="BA112" i="36"/>
  <c r="BA113" i="36"/>
  <c r="U198" i="42"/>
  <c r="U202" i="42" s="1"/>
  <c r="U197" i="42"/>
  <c r="U201" i="42" s="1"/>
  <c r="U199" i="42"/>
  <c r="U203" i="42" s="1"/>
  <c r="U200" i="42"/>
  <c r="Z25" i="53"/>
  <c r="Z40" i="53" s="1"/>
  <c r="AA19" i="53"/>
  <c r="AE25" i="16"/>
  <c r="AE24" i="16"/>
  <c r="AE23" i="16"/>
  <c r="AF22" i="16"/>
  <c r="AA21" i="16"/>
  <c r="V93" i="36"/>
  <c r="V96" i="36" s="1"/>
  <c r="BB91" i="36"/>
  <c r="BB93" i="36" s="1"/>
  <c r="BB96" i="36" s="1"/>
  <c r="R268" i="20"/>
  <c r="R269" i="20"/>
  <c r="R271" i="20"/>
  <c r="R270" i="20"/>
  <c r="Q318" i="46"/>
  <c r="Q319" i="46" s="1"/>
  <c r="Q341" i="46"/>
  <c r="Q342" i="46" s="1"/>
  <c r="R9" i="55"/>
  <c r="AA24" i="46"/>
  <c r="AB18" i="46"/>
  <c r="W168" i="20"/>
  <c r="W169" i="20"/>
  <c r="W170" i="20"/>
  <c r="W179" i="20" s="1"/>
  <c r="W171" i="20"/>
  <c r="W185" i="20" s="1"/>
  <c r="W167" i="20"/>
  <c r="W173" i="20" s="1"/>
  <c r="X166" i="20"/>
  <c r="I19" i="55"/>
  <c r="I20" i="55"/>
  <c r="CA15" i="55"/>
  <c r="CA11" i="55"/>
  <c r="CA19" i="55" s="1"/>
  <c r="CA16" i="55"/>
  <c r="CA14" i="55"/>
  <c r="CA13" i="55"/>
  <c r="CA12" i="55"/>
  <c r="P230" i="19"/>
  <c r="P231" i="19"/>
  <c r="V184" i="42"/>
  <c r="V196" i="42"/>
  <c r="V188" i="42"/>
  <c r="V204" i="42"/>
  <c r="X31" i="29"/>
  <c r="X132" i="29"/>
  <c r="AC11" i="15"/>
  <c r="V204" i="46"/>
  <c r="V203" i="46"/>
  <c r="BB21" i="45"/>
  <c r="AA39" i="16"/>
  <c r="AA13" i="16"/>
  <c r="AN7" i="55"/>
  <c r="BZ7" i="55"/>
  <c r="R226" i="14"/>
  <c r="BA99" i="45"/>
  <c r="S108" i="12"/>
  <c r="Q321" i="46"/>
  <c r="Q322" i="46"/>
  <c r="Q324" i="46"/>
  <c r="Q323" i="46"/>
  <c r="O348" i="46"/>
  <c r="BE39" i="45"/>
  <c r="BE40" i="45"/>
  <c r="BC107" i="36"/>
  <c r="S89" i="20"/>
  <c r="S85" i="20"/>
  <c r="S86" i="20"/>
  <c r="S78" i="19" s="1"/>
  <c r="S76" i="19"/>
  <c r="T104" i="12"/>
  <c r="S87" i="20"/>
  <c r="S88" i="20"/>
  <c r="S51" i="19"/>
  <c r="S263" i="20"/>
  <c r="S264" i="20"/>
  <c r="S314" i="20"/>
  <c r="S315" i="20"/>
  <c r="S267" i="20"/>
  <c r="BF63" i="51"/>
  <c r="X108" i="28"/>
  <c r="Y107" i="28"/>
  <c r="BA89" i="45"/>
  <c r="AC19" i="16"/>
  <c r="AC16" i="16"/>
  <c r="AC15" i="16"/>
  <c r="AC18" i="16"/>
  <c r="AD14" i="16"/>
  <c r="AC32" i="16"/>
  <c r="AC74" i="16" s="1"/>
  <c r="X28" i="20"/>
  <c r="X46" i="20" s="1"/>
  <c r="Y22" i="20"/>
  <c r="AE7" i="15"/>
  <c r="AE8" i="15" s="1"/>
  <c r="AF6" i="15"/>
  <c r="X51" i="29"/>
  <c r="X47" i="28"/>
  <c r="X53" i="29"/>
  <c r="X52" i="29"/>
  <c r="X49" i="29" s="1"/>
  <c r="X54" i="29"/>
  <c r="X50" i="29"/>
  <c r="O250" i="19"/>
  <c r="V297" i="42"/>
  <c r="V298" i="42"/>
  <c r="S100" i="12"/>
  <c r="R67" i="19"/>
  <c r="S100" i="14" s="1"/>
  <c r="BC67" i="51"/>
  <c r="Y36" i="29"/>
  <c r="Y42" i="29" s="1"/>
  <c r="Z123" i="16"/>
  <c r="Z43" i="16"/>
  <c r="AX106" i="45"/>
  <c r="R109" i="45"/>
  <c r="O71" i="16"/>
  <c r="S92" i="19"/>
  <c r="T145" i="14" s="1"/>
  <c r="T145" i="12"/>
  <c r="V139" i="15"/>
  <c r="X31" i="28"/>
  <c r="X146" i="28"/>
  <c r="BE17" i="45"/>
  <c r="BE18" i="45" s="1"/>
  <c r="Q151" i="14"/>
  <c r="AA20" i="38"/>
  <c r="Z26" i="38"/>
  <c r="Z41" i="38" s="1"/>
  <c r="W59" i="16"/>
  <c r="S286" i="42"/>
  <c r="S287" i="42"/>
  <c r="S282" i="42"/>
  <c r="S285" i="42"/>
  <c r="S284" i="42"/>
  <c r="S283" i="42"/>
  <c r="U157" i="29"/>
  <c r="U169" i="29" s="1"/>
  <c r="U158" i="29"/>
  <c r="W212" i="53"/>
  <c r="W210" i="53"/>
  <c r="W209" i="53"/>
  <c r="W211" i="53"/>
  <c r="K20" i="55"/>
  <c r="K19" i="55"/>
  <c r="Q326" i="42"/>
  <c r="Q335" i="42" s="1"/>
  <c r="W207" i="28"/>
  <c r="W208" i="28"/>
  <c r="W156" i="28"/>
  <c r="Y129" i="15"/>
  <c r="BD69" i="45"/>
  <c r="BB30" i="45"/>
  <c r="P274" i="20"/>
  <c r="P275" i="20"/>
  <c r="S306" i="42"/>
  <c r="S311" i="42"/>
  <c r="S308" i="42"/>
  <c r="S309" i="42"/>
  <c r="S310" i="42"/>
  <c r="S307" i="42"/>
  <c r="T133" i="14"/>
  <c r="R110" i="46"/>
  <c r="R115" i="46" s="1"/>
  <c r="R112" i="46"/>
  <c r="R117" i="46" s="1"/>
  <c r="R111" i="46"/>
  <c r="R116" i="46" s="1"/>
  <c r="R114" i="46"/>
  <c r="S97" i="45" s="1"/>
  <c r="R113" i="46"/>
  <c r="R118" i="46" s="1"/>
  <c r="R109" i="48"/>
  <c r="R274" i="46"/>
  <c r="T146" i="48"/>
  <c r="T151" i="48" s="1"/>
  <c r="T145" i="48"/>
  <c r="T150" i="48" s="1"/>
  <c r="T147" i="48"/>
  <c r="T152" i="48" s="1"/>
  <c r="T149" i="48"/>
  <c r="T148" i="48"/>
  <c r="T153" i="48" s="1"/>
  <c r="S73" i="19"/>
  <c r="T120" i="14" s="1"/>
  <c r="T120" i="12"/>
  <c r="Z28" i="29"/>
  <c r="Z46" i="29" s="1"/>
  <c r="AA22" i="29"/>
  <c r="X29" i="45"/>
  <c r="X32" i="45"/>
  <c r="X28" i="45"/>
  <c r="X35" i="45"/>
  <c r="X37" i="45"/>
  <c r="X31" i="45"/>
  <c r="X36" i="45"/>
  <c r="BD27" i="45"/>
  <c r="Y27" i="45"/>
  <c r="X54" i="45"/>
  <c r="U70" i="45"/>
  <c r="AA40" i="16"/>
  <c r="W185" i="38"/>
  <c r="W186" i="38"/>
  <c r="BA57" i="45"/>
  <c r="BD61" i="51"/>
  <c r="X64" i="51"/>
  <c r="Z131" i="15"/>
  <c r="V132" i="20"/>
  <c r="V108" i="19" s="1"/>
  <c r="V129" i="20"/>
  <c r="V105" i="19" s="1"/>
  <c r="V131" i="20"/>
  <c r="V107" i="19" s="1"/>
  <c r="V128" i="20"/>
  <c r="V104" i="19" s="1"/>
  <c r="W103" i="12"/>
  <c r="V130" i="20"/>
  <c r="V103" i="19"/>
  <c r="W103" i="14" s="1"/>
  <c r="T84" i="20"/>
  <c r="R117" i="12"/>
  <c r="S234" i="53"/>
  <c r="S235" i="53" s="1"/>
  <c r="S237" i="53" s="1"/>
  <c r="S258" i="53" s="1"/>
  <c r="BE56" i="51"/>
  <c r="Y58" i="51"/>
  <c r="W143" i="29"/>
  <c r="W146" i="29"/>
  <c r="W66" i="15"/>
  <c r="W21" i="45"/>
  <c r="V104" i="42"/>
  <c r="V108" i="42" s="1"/>
  <c r="V103" i="42"/>
  <c r="V107" i="42" s="1"/>
  <c r="V105" i="42"/>
  <c r="V102" i="42"/>
  <c r="V106" i="42" s="1"/>
  <c r="BE53" i="51"/>
  <c r="Y54" i="51"/>
  <c r="AB74" i="15"/>
  <c r="AB20" i="15"/>
  <c r="U174" i="48"/>
  <c r="U175" i="46"/>
  <c r="U180" i="46" s="1"/>
  <c r="U178" i="46"/>
  <c r="U183" i="46" s="1"/>
  <c r="U176" i="46"/>
  <c r="U181" i="46" s="1"/>
  <c r="U177" i="46"/>
  <c r="U182" i="46" s="1"/>
  <c r="U179" i="46"/>
  <c r="V107" i="45" s="1"/>
  <c r="W93" i="46"/>
  <c r="W98" i="46" s="1"/>
  <c r="W92" i="46"/>
  <c r="W97" i="46" s="1"/>
  <c r="W89" i="48"/>
  <c r="W90" i="46"/>
  <c r="W95" i="46" s="1"/>
  <c r="W91" i="46"/>
  <c r="W94" i="46"/>
  <c r="K160" i="14"/>
  <c r="S266" i="20" l="1"/>
  <c r="R225" i="14" a="1"/>
  <c r="R225" i="14" s="1"/>
  <c r="U119" i="36"/>
  <c r="V229" i="54"/>
  <c r="V230" i="54" s="1"/>
  <c r="P345" i="46"/>
  <c r="P348" i="46" s="1"/>
  <c r="U234" i="53"/>
  <c r="U235" i="53" s="1"/>
  <c r="U237" i="53" s="1"/>
  <c r="U258" i="53" s="1"/>
  <c r="X133" i="20"/>
  <c r="AA18" i="38"/>
  <c r="Z24" i="38"/>
  <c r="Z39" i="38" s="1"/>
  <c r="Z24" i="42"/>
  <c r="AA18" i="42"/>
  <c r="W110" i="36"/>
  <c r="S176" i="19"/>
  <c r="BC110" i="36"/>
  <c r="BC113" i="36" s="1"/>
  <c r="X139" i="48"/>
  <c r="R271" i="48"/>
  <c r="BB57" i="45"/>
  <c r="BB60" i="45" s="1"/>
  <c r="Z41" i="45"/>
  <c r="U90" i="20"/>
  <c r="U84" i="20"/>
  <c r="V124" i="12"/>
  <c r="V127" i="12" s="1"/>
  <c r="S271" i="46"/>
  <c r="T4" i="55"/>
  <c r="X127" i="20"/>
  <c r="X129" i="20" s="1"/>
  <c r="X105" i="19" s="1"/>
  <c r="W57" i="45"/>
  <c r="W60" i="45" s="1"/>
  <c r="X89" i="29"/>
  <c r="AE25" i="15"/>
  <c r="CA7" i="55"/>
  <c r="X63" i="46"/>
  <c r="U133" i="14"/>
  <c r="U129" i="14" s="1"/>
  <c r="W162" i="54"/>
  <c r="W206" i="54" s="1"/>
  <c r="W207" i="54" s="1"/>
  <c r="L6" i="55"/>
  <c r="W162" i="53"/>
  <c r="W206" i="53" s="1"/>
  <c r="W207" i="53" s="1"/>
  <c r="J7" i="55"/>
  <c r="P250" i="19"/>
  <c r="P251" i="19" s="1"/>
  <c r="P252" i="19" s="1"/>
  <c r="U128" i="36"/>
  <c r="S74" i="51"/>
  <c r="S259" i="53"/>
  <c r="T78" i="51" s="1"/>
  <c r="T77" i="51"/>
  <c r="BB107" i="45"/>
  <c r="T85" i="20"/>
  <c r="T76" i="19"/>
  <c r="U104" i="14" s="1"/>
  <c r="T86" i="20"/>
  <c r="T78" i="19" s="1"/>
  <c r="T88" i="20"/>
  <c r="U104" i="12"/>
  <c r="T89" i="20"/>
  <c r="T87" i="20"/>
  <c r="BB34" i="45"/>
  <c r="V299" i="42"/>
  <c r="V300" i="42"/>
  <c r="S79" i="19"/>
  <c r="T110" i="14" s="1"/>
  <c r="T110" i="12"/>
  <c r="Z37" i="29"/>
  <c r="AA125" i="16"/>
  <c r="AA47" i="16"/>
  <c r="R279" i="20"/>
  <c r="R278" i="20"/>
  <c r="X49" i="16"/>
  <c r="U86" i="45"/>
  <c r="U72" i="45"/>
  <c r="Z332" i="38"/>
  <c r="S318" i="42"/>
  <c r="S319" i="42" s="1"/>
  <c r="S321" i="42" s="1"/>
  <c r="Y31" i="42"/>
  <c r="Y278" i="42"/>
  <c r="Y289" i="42" s="1"/>
  <c r="BG63" i="51"/>
  <c r="Q71" i="16"/>
  <c r="BF53" i="51"/>
  <c r="Z54" i="51"/>
  <c r="P126" i="36"/>
  <c r="O343" i="38"/>
  <c r="P127" i="36" s="1"/>
  <c r="AB39" i="15"/>
  <c r="AB13" i="15"/>
  <c r="W190" i="38"/>
  <c r="W194" i="38" s="1"/>
  <c r="W191" i="38"/>
  <c r="W195" i="38" s="1"/>
  <c r="W189" i="38"/>
  <c r="W193" i="38" s="1"/>
  <c r="W192" i="38"/>
  <c r="X91" i="36" s="1"/>
  <c r="T101" i="20"/>
  <c r="T93" i="19" s="1"/>
  <c r="T100" i="20"/>
  <c r="U136" i="12"/>
  <c r="T97" i="20"/>
  <c r="T88" i="19"/>
  <c r="T99" i="20"/>
  <c r="T98" i="20"/>
  <c r="T220" i="20"/>
  <c r="V86" i="45"/>
  <c r="AA25" i="38"/>
  <c r="AA40" i="38" s="1"/>
  <c r="AB19" i="38"/>
  <c r="AA26" i="54"/>
  <c r="AA41" i="54" s="1"/>
  <c r="AA147" i="54" s="1"/>
  <c r="AA148" i="54" s="1"/>
  <c r="AB20" i="54"/>
  <c r="W106" i="19"/>
  <c r="X74" i="29"/>
  <c r="Y45" i="16" s="1"/>
  <c r="Y45" i="15"/>
  <c r="Z29" i="54"/>
  <c r="Y61" i="53"/>
  <c r="Y65" i="53"/>
  <c r="Y75" i="53" s="1"/>
  <c r="Y62" i="53"/>
  <c r="Y67" i="53"/>
  <c r="Y77" i="53" s="1"/>
  <c r="Y78" i="53" s="1"/>
  <c r="Z61" i="51" s="1"/>
  <c r="Y64" i="53"/>
  <c r="Y71" i="53" s="1"/>
  <c r="Y72" i="53" s="1"/>
  <c r="Z57" i="51" s="1"/>
  <c r="Y66" i="53"/>
  <c r="Y73" i="53" s="1"/>
  <c r="Y74" i="53" s="1"/>
  <c r="Z60" i="53"/>
  <c r="W213" i="54"/>
  <c r="W214" i="54"/>
  <c r="X63" i="54"/>
  <c r="X159" i="54" s="1"/>
  <c r="X69" i="54"/>
  <c r="X70" i="54" s="1"/>
  <c r="M10" i="55"/>
  <c r="M155" i="12"/>
  <c r="L312" i="20"/>
  <c r="L317" i="20"/>
  <c r="T127" i="14"/>
  <c r="Q236" i="19"/>
  <c r="Q237" i="19"/>
  <c r="BB68" i="45"/>
  <c r="W216" i="20"/>
  <c r="W174" i="19" s="1"/>
  <c r="W214" i="20"/>
  <c r="W172" i="19" s="1"/>
  <c r="W212" i="20"/>
  <c r="W170" i="19" s="1"/>
  <c r="W213" i="20"/>
  <c r="W171" i="19" s="1"/>
  <c r="X135" i="12"/>
  <c r="W169" i="19"/>
  <c r="W215" i="20"/>
  <c r="T147" i="14"/>
  <c r="T95" i="14"/>
  <c r="T34" i="20"/>
  <c r="T33" i="20"/>
  <c r="AA25" i="29"/>
  <c r="AA43" i="29" s="1"/>
  <c r="AB19" i="29"/>
  <c r="U313" i="42"/>
  <c r="U314" i="42" s="1"/>
  <c r="U290" i="42"/>
  <c r="U291" i="42" s="1"/>
  <c r="BA80" i="36"/>
  <c r="BA83" i="36" s="1"/>
  <c r="BA119" i="36" s="1"/>
  <c r="BA115" i="36"/>
  <c r="BA116" i="36" s="1"/>
  <c r="S110" i="46"/>
  <c r="S115" i="46" s="1"/>
  <c r="S112" i="46"/>
  <c r="S117" i="46" s="1"/>
  <c r="S111" i="46"/>
  <c r="S116" i="46" s="1"/>
  <c r="S113" i="46"/>
  <c r="S118" i="46" s="1"/>
  <c r="S109" i="48"/>
  <c r="S114" i="46"/>
  <c r="T97" i="45" s="1"/>
  <c r="S274" i="46"/>
  <c r="BB83" i="45"/>
  <c r="U232" i="54"/>
  <c r="U233" i="54"/>
  <c r="U236" i="54" s="1"/>
  <c r="U290" i="38"/>
  <c r="U291" i="38" s="1"/>
  <c r="U313" i="38"/>
  <c r="U314" i="38" s="1"/>
  <c r="S232" i="12"/>
  <c r="T58" i="19"/>
  <c r="T53" i="19"/>
  <c r="W58" i="29"/>
  <c r="W114" i="28"/>
  <c r="W213" i="28"/>
  <c r="X220" i="38"/>
  <c r="X224" i="38" s="1"/>
  <c r="X222" i="38"/>
  <c r="X226" i="38" s="1"/>
  <c r="X221" i="38"/>
  <c r="X225" i="38" s="1"/>
  <c r="X223" i="38"/>
  <c r="Y98" i="36" s="1"/>
  <c r="AF23" i="15"/>
  <c r="AG22" i="15"/>
  <c r="AF24" i="15"/>
  <c r="Z44" i="53"/>
  <c r="Z204" i="53" s="1"/>
  <c r="V141" i="15"/>
  <c r="V142" i="15" s="1"/>
  <c r="AZ72" i="45"/>
  <c r="AZ86" i="45"/>
  <c r="X61" i="42"/>
  <c r="X65" i="42"/>
  <c r="X93" i="42" s="1"/>
  <c r="X67" i="42"/>
  <c r="X101" i="42" s="1"/>
  <c r="X64" i="42"/>
  <c r="X77" i="42" s="1"/>
  <c r="X62" i="42"/>
  <c r="X66" i="42"/>
  <c r="X85" i="42" s="1"/>
  <c r="Y60" i="42"/>
  <c r="W98" i="19"/>
  <c r="V141" i="16"/>
  <c r="V142" i="16" s="1"/>
  <c r="U86" i="20"/>
  <c r="U78" i="19" s="1"/>
  <c r="V104" i="12"/>
  <c r="U85" i="20"/>
  <c r="U76" i="19"/>
  <c r="V104" i="14" s="1"/>
  <c r="U88" i="20"/>
  <c r="U87" i="20"/>
  <c r="U89" i="20"/>
  <c r="X261" i="46"/>
  <c r="X266" i="46" s="1"/>
  <c r="X263" i="46"/>
  <c r="X268" i="46" s="1"/>
  <c r="X264" i="46"/>
  <c r="X269" i="46" s="1"/>
  <c r="X262" i="46"/>
  <c r="X267" i="46" s="1"/>
  <c r="X265" i="46"/>
  <c r="Y105" i="45" s="1"/>
  <c r="X260" i="48"/>
  <c r="X232" i="42"/>
  <c r="X234" i="42" s="1"/>
  <c r="Y231" i="42"/>
  <c r="V233" i="54"/>
  <c r="V236" i="54" s="1"/>
  <c r="V232" i="54"/>
  <c r="R251" i="53"/>
  <c r="S75" i="51" s="1"/>
  <c r="U221" i="20"/>
  <c r="U47" i="20"/>
  <c r="U218" i="20" s="1"/>
  <c r="V93" i="12"/>
  <c r="U72" i="20"/>
  <c r="W131" i="19"/>
  <c r="Y63" i="20"/>
  <c r="X64" i="20"/>
  <c r="X65" i="20"/>
  <c r="U171" i="28"/>
  <c r="U183" i="28" s="1"/>
  <c r="U184" i="28" s="1"/>
  <c r="U172" i="28"/>
  <c r="T117" i="12"/>
  <c r="S154" i="12"/>
  <c r="S97" i="12"/>
  <c r="Y27" i="20"/>
  <c r="Y45" i="20" s="1"/>
  <c r="Z21" i="20"/>
  <c r="Q115" i="45"/>
  <c r="Z29" i="48"/>
  <c r="V70" i="42"/>
  <c r="V74" i="42" s="1"/>
  <c r="V72" i="42"/>
  <c r="V76" i="42" s="1"/>
  <c r="V71" i="42"/>
  <c r="V75" i="42" s="1"/>
  <c r="V73" i="42"/>
  <c r="W153" i="38"/>
  <c r="W157" i="38" s="1"/>
  <c r="W151" i="38"/>
  <c r="W155" i="38" s="1"/>
  <c r="W154" i="38"/>
  <c r="X79" i="36" s="1"/>
  <c r="W152" i="38"/>
  <c r="W156" i="38" s="1"/>
  <c r="Y137" i="48"/>
  <c r="Y200" i="48"/>
  <c r="Y138" i="48"/>
  <c r="Y201" i="48"/>
  <c r="Z136" i="48"/>
  <c r="T34" i="48"/>
  <c r="BA26" i="45"/>
  <c r="BA82" i="45"/>
  <c r="BA24" i="45"/>
  <c r="BA25" i="45"/>
  <c r="W78" i="38"/>
  <c r="W82" i="38" s="1"/>
  <c r="W81" i="38"/>
  <c r="X92" i="36" s="1"/>
  <c r="BD92" i="36" s="1"/>
  <c r="W79" i="38"/>
  <c r="W83" i="38" s="1"/>
  <c r="W80" i="38"/>
  <c r="W84" i="38" s="1"/>
  <c r="AC18" i="48"/>
  <c r="AB24" i="48"/>
  <c r="CB12" i="55"/>
  <c r="CB14" i="55"/>
  <c r="CB15" i="55"/>
  <c r="CB11" i="55"/>
  <c r="CB19" i="55" s="1"/>
  <c r="CB16" i="55"/>
  <c r="CB13" i="55"/>
  <c r="AA122" i="16"/>
  <c r="AA132" i="16" s="1"/>
  <c r="W67" i="45"/>
  <c r="W23" i="45"/>
  <c r="BD29" i="45"/>
  <c r="BD32" i="45"/>
  <c r="BD31" i="45"/>
  <c r="BD28" i="45"/>
  <c r="BD37" i="45"/>
  <c r="BD36" i="45"/>
  <c r="BD35" i="45"/>
  <c r="BD54" i="45"/>
  <c r="W213" i="53"/>
  <c r="W214" i="53"/>
  <c r="T141" i="12"/>
  <c r="X208" i="28"/>
  <c r="X207" i="28"/>
  <c r="X156" i="28"/>
  <c r="Y28" i="20"/>
  <c r="Y46" i="20" s="1"/>
  <c r="Z22" i="20"/>
  <c r="AC20" i="16"/>
  <c r="T105" i="12"/>
  <c r="P232" i="19"/>
  <c r="P233" i="19"/>
  <c r="CA6" i="55"/>
  <c r="AF24" i="16"/>
  <c r="AF23" i="16"/>
  <c r="AG22" i="16"/>
  <c r="M268" i="19"/>
  <c r="N156" i="14" s="1"/>
  <c r="M266" i="19"/>
  <c r="U84" i="45"/>
  <c r="V70" i="45"/>
  <c r="S193" i="28"/>
  <c r="S194" i="28" s="1"/>
  <c r="U280" i="42"/>
  <c r="U281" i="42" s="1"/>
  <c r="V247" i="42"/>
  <c r="BG69" i="51"/>
  <c r="BC85" i="36"/>
  <c r="BC86" i="36" s="1"/>
  <c r="BC89" i="36" s="1"/>
  <c r="W86" i="36"/>
  <c r="W89" i="36" s="1"/>
  <c r="X182" i="42"/>
  <c r="X183" i="42"/>
  <c r="Y181" i="42"/>
  <c r="BC102" i="36"/>
  <c r="X23" i="45"/>
  <c r="Q69" i="15"/>
  <c r="P205" i="28"/>
  <c r="P210" i="28"/>
  <c r="V87" i="45"/>
  <c r="W114" i="36"/>
  <c r="BC79" i="36"/>
  <c r="BC114" i="36" s="1"/>
  <c r="M155" i="14"/>
  <c r="L270" i="19"/>
  <c r="L275" i="19"/>
  <c r="V157" i="29"/>
  <c r="V169" i="29" s="1"/>
  <c r="V158" i="29"/>
  <c r="Y26" i="20"/>
  <c r="Y44" i="20" s="1"/>
  <c r="Z20" i="20"/>
  <c r="X73" i="29"/>
  <c r="Y58" i="16" s="1"/>
  <c r="Y58" i="15"/>
  <c r="AB27" i="54"/>
  <c r="AB42" i="54" s="1"/>
  <c r="AC21" i="54"/>
  <c r="U95" i="20"/>
  <c r="U87" i="19" s="1"/>
  <c r="U91" i="20"/>
  <c r="U93" i="20"/>
  <c r="U92" i="20"/>
  <c r="U94" i="20"/>
  <c r="U86" i="19" s="1"/>
  <c r="U82" i="19"/>
  <c r="V124" i="14" s="1"/>
  <c r="X209" i="20"/>
  <c r="X211" i="20" s="1"/>
  <c r="Y208" i="20"/>
  <c r="V88" i="29"/>
  <c r="V100" i="29"/>
  <c r="T234" i="53"/>
  <c r="T235" i="53" s="1"/>
  <c r="T237" i="53" s="1"/>
  <c r="T258" i="53" s="1"/>
  <c r="X294" i="38"/>
  <c r="X293" i="38"/>
  <c r="X296" i="38"/>
  <c r="X295" i="38"/>
  <c r="Z29" i="28"/>
  <c r="U131" i="12"/>
  <c r="T84" i="19"/>
  <c r="U131" i="14" s="1"/>
  <c r="BA75" i="45"/>
  <c r="T33" i="48"/>
  <c r="T39" i="48" s="1"/>
  <c r="U226" i="54"/>
  <c r="U225" i="54"/>
  <c r="U227" i="54"/>
  <c r="U224" i="54"/>
  <c r="U223" i="54"/>
  <c r="U222" i="54"/>
  <c r="W134" i="16"/>
  <c r="W68" i="16"/>
  <c r="W77" i="16"/>
  <c r="W133" i="16" a="1"/>
  <c r="W133" i="16" s="1"/>
  <c r="AA26" i="29"/>
  <c r="AA44" i="29" s="1"/>
  <c r="AB20" i="29"/>
  <c r="U147" i="12"/>
  <c r="U95" i="12"/>
  <c r="T263" i="20"/>
  <c r="T315" i="20"/>
  <c r="T264" i="20"/>
  <c r="T314" i="20"/>
  <c r="T267" i="20"/>
  <c r="Z29" i="53"/>
  <c r="V140" i="15"/>
  <c r="AC17" i="15"/>
  <c r="W87" i="42"/>
  <c r="W91" i="42" s="1"/>
  <c r="W86" i="42"/>
  <c r="W90" i="42" s="1"/>
  <c r="W88" i="42"/>
  <c r="W92" i="42" s="1"/>
  <c r="W89" i="42"/>
  <c r="W101" i="19"/>
  <c r="V140" i="16"/>
  <c r="V80" i="36"/>
  <c r="V83" i="36" s="1"/>
  <c r="V115" i="36"/>
  <c r="V116" i="36" s="1"/>
  <c r="BB78" i="36"/>
  <c r="Y154" i="54"/>
  <c r="Y156" i="54" s="1"/>
  <c r="Z153" i="54"/>
  <c r="W236" i="42"/>
  <c r="W240" i="42" s="1"/>
  <c r="W235" i="42"/>
  <c r="W239" i="42" s="1"/>
  <c r="W237" i="42"/>
  <c r="W241" i="42" s="1"/>
  <c r="W238" i="42"/>
  <c r="V222" i="54"/>
  <c r="V227" i="54"/>
  <c r="V226" i="54"/>
  <c r="V223" i="54"/>
  <c r="V225" i="54"/>
  <c r="V224" i="54"/>
  <c r="U31" i="20"/>
  <c r="CH4" i="55"/>
  <c r="U253" i="20"/>
  <c r="AD9" i="16"/>
  <c r="W132" i="19"/>
  <c r="T134" i="29"/>
  <c r="T135" i="29" s="1"/>
  <c r="U101" i="29"/>
  <c r="Y61" i="28"/>
  <c r="Y57" i="29" s="1"/>
  <c r="Y63" i="28"/>
  <c r="Y64" i="28"/>
  <c r="Y60" i="28"/>
  <c r="Z59" i="28"/>
  <c r="P295" i="20"/>
  <c r="R114" i="45"/>
  <c r="AD54" i="16"/>
  <c r="AD124" i="16"/>
  <c r="AC38" i="29"/>
  <c r="W70" i="20"/>
  <c r="W68" i="20"/>
  <c r="W67" i="20"/>
  <c r="W69" i="20"/>
  <c r="Y194" i="54"/>
  <c r="Y31" i="54"/>
  <c r="T117" i="14"/>
  <c r="N301" i="20"/>
  <c r="N310" i="20" s="1"/>
  <c r="O156" i="12" s="1"/>
  <c r="Q126" i="36"/>
  <c r="P343" i="38"/>
  <c r="Q127" i="36" s="1"/>
  <c r="T231" i="12"/>
  <c r="S154" i="14"/>
  <c r="S97" i="14"/>
  <c r="Y125" i="12"/>
  <c r="BB108" i="45"/>
  <c r="AB35" i="15"/>
  <c r="V243" i="42"/>
  <c r="V246" i="42"/>
  <c r="W143" i="38"/>
  <c r="W147" i="38" s="1"/>
  <c r="W145" i="38"/>
  <c r="W149" i="38" s="1"/>
  <c r="W144" i="38"/>
  <c r="W148" i="38" s="1"/>
  <c r="W146" i="38"/>
  <c r="X100" i="36" s="1"/>
  <c r="BD100" i="36" s="1"/>
  <c r="L363" i="48"/>
  <c r="AS120" i="45" s="1"/>
  <c r="L361" i="48"/>
  <c r="R229" i="19"/>
  <c r="R226" i="19"/>
  <c r="R227" i="19"/>
  <c r="R228" i="19"/>
  <c r="Q333" i="42"/>
  <c r="BA70" i="45"/>
  <c r="BG60" i="51"/>
  <c r="X67" i="38"/>
  <c r="X101" i="38" s="1"/>
  <c r="X64" i="38"/>
  <c r="X77" i="38" s="1"/>
  <c r="X65" i="38"/>
  <c r="X93" i="38" s="1"/>
  <c r="X61" i="38"/>
  <c r="X62" i="38"/>
  <c r="X66" i="38"/>
  <c r="X85" i="38" s="1"/>
  <c r="Y60" i="38"/>
  <c r="S221" i="19"/>
  <c r="S273" i="19"/>
  <c r="S272" i="19"/>
  <c r="S222" i="19"/>
  <c r="S225" i="19"/>
  <c r="V158" i="46"/>
  <c r="V163" i="46" s="1"/>
  <c r="V154" i="48"/>
  <c r="V155" i="46"/>
  <c r="V160" i="46" s="1"/>
  <c r="V157" i="46"/>
  <c r="V162" i="46" s="1"/>
  <c r="V156" i="46"/>
  <c r="V161" i="46" s="1"/>
  <c r="V159" i="46"/>
  <c r="W98" i="45" s="1"/>
  <c r="P308" i="48"/>
  <c r="P309" i="48" s="1"/>
  <c r="Q275" i="48"/>
  <c r="CC9" i="55"/>
  <c r="Z29" i="46"/>
  <c r="AA26" i="28"/>
  <c r="AA44" i="28" s="1"/>
  <c r="AB20" i="28"/>
  <c r="M160" i="12"/>
  <c r="AY103" i="45"/>
  <c r="AY101" i="45"/>
  <c r="S103" i="45"/>
  <c r="S101" i="45"/>
  <c r="S102" i="45"/>
  <c r="AY102" i="45"/>
  <c r="AB20" i="38"/>
  <c r="AA26" i="38"/>
  <c r="AA41" i="38" s="1"/>
  <c r="T141" i="14"/>
  <c r="O253" i="19"/>
  <c r="AC17" i="16"/>
  <c r="T104" i="14"/>
  <c r="S179" i="19"/>
  <c r="BE41" i="45"/>
  <c r="AA121" i="16"/>
  <c r="AA42" i="16"/>
  <c r="AC13" i="15"/>
  <c r="AB24" i="46"/>
  <c r="AC18" i="46"/>
  <c r="U37" i="46"/>
  <c r="Z43" i="46" s="1"/>
  <c r="V104" i="45"/>
  <c r="V59" i="45"/>
  <c r="V72" i="45" s="1"/>
  <c r="V60" i="45"/>
  <c r="V73" i="45" s="1"/>
  <c r="V58" i="45"/>
  <c r="V71" i="45" s="1"/>
  <c r="W104" i="45"/>
  <c r="R324" i="46"/>
  <c r="R321" i="46"/>
  <c r="R322" i="46"/>
  <c r="R323" i="46"/>
  <c r="R120" i="36"/>
  <c r="Q342" i="38"/>
  <c r="Q337" i="38"/>
  <c r="T286" i="42"/>
  <c r="T283" i="42"/>
  <c r="T285" i="42"/>
  <c r="T282" i="42"/>
  <c r="T284" i="42"/>
  <c r="T287" i="42"/>
  <c r="AG6" i="16"/>
  <c r="AF7" i="16"/>
  <c r="BF39" i="45"/>
  <c r="BF40" i="45"/>
  <c r="AC10" i="16"/>
  <c r="W184" i="42"/>
  <c r="W204" i="42"/>
  <c r="W188" i="42"/>
  <c r="W196" i="42"/>
  <c r="W102" i="36"/>
  <c r="W139" i="15"/>
  <c r="P72" i="16"/>
  <c r="O197" i="29"/>
  <c r="P73" i="16" s="1"/>
  <c r="K164" i="14"/>
  <c r="J276" i="19"/>
  <c r="K165" i="14" s="1"/>
  <c r="Y64" i="48"/>
  <c r="Y67" i="48"/>
  <c r="Y61" i="48"/>
  <c r="Y65" i="48"/>
  <c r="Y66" i="48"/>
  <c r="Y62" i="48"/>
  <c r="Z60" i="48"/>
  <c r="R246" i="19"/>
  <c r="R247" i="19" s="1"/>
  <c r="R223" i="19"/>
  <c r="R224" i="19" s="1"/>
  <c r="V85" i="45"/>
  <c r="M162" i="14"/>
  <c r="M158" i="14"/>
  <c r="V136" i="42"/>
  <c r="V140" i="42" s="1"/>
  <c r="V135" i="42"/>
  <c r="V139" i="42" s="1"/>
  <c r="V138" i="42"/>
  <c r="V137" i="42"/>
  <c r="V141" i="42" s="1"/>
  <c r="Q324" i="48"/>
  <c r="Q321" i="48"/>
  <c r="Q322" i="48"/>
  <c r="Q323" i="48"/>
  <c r="P335" i="48"/>
  <c r="P338" i="48"/>
  <c r="P339" i="48"/>
  <c r="P334" i="48"/>
  <c r="P337" i="48"/>
  <c r="P336" i="48"/>
  <c r="S325" i="38"/>
  <c r="S326" i="38" s="1"/>
  <c r="BC72" i="51"/>
  <c r="BC51" i="51"/>
  <c r="X71" i="29"/>
  <c r="Y48" i="16" s="1"/>
  <c r="Y48" i="15"/>
  <c r="AA136" i="54"/>
  <c r="AA137" i="54" s="1"/>
  <c r="AA134" i="54"/>
  <c r="AA135" i="54" s="1"/>
  <c r="AA138" i="54"/>
  <c r="AA139" i="54" s="1"/>
  <c r="BE57" i="51"/>
  <c r="P325" i="48"/>
  <c r="P326" i="48"/>
  <c r="Y66" i="54"/>
  <c r="Y73" i="54" s="1"/>
  <c r="Y74" i="54" s="1"/>
  <c r="Y62" i="54"/>
  <c r="Y67" i="54"/>
  <c r="Y77" i="54" s="1"/>
  <c r="Y78" i="54" s="1"/>
  <c r="Z60" i="54"/>
  <c r="Y65" i="54"/>
  <c r="Y75" i="54" s="1"/>
  <c r="Y76" i="54" s="1"/>
  <c r="Y61" i="54"/>
  <c r="Y64" i="54"/>
  <c r="Y71" i="54" s="1"/>
  <c r="Y72" i="54" s="1"/>
  <c r="V206" i="53"/>
  <c r="V207" i="53" s="1"/>
  <c r="V229" i="53"/>
  <c r="V230" i="53" s="1"/>
  <c r="U33" i="46"/>
  <c r="U39" i="46" s="1"/>
  <c r="V75" i="45"/>
  <c r="AA26" i="46"/>
  <c r="AA41" i="46" s="1"/>
  <c r="AB20" i="46"/>
  <c r="BC96" i="45"/>
  <c r="Y37" i="29"/>
  <c r="Z125" i="16"/>
  <c r="Z47" i="16"/>
  <c r="S68" i="19"/>
  <c r="T101" i="14" s="1"/>
  <c r="T101" i="12"/>
  <c r="U218" i="53"/>
  <c r="U217" i="53"/>
  <c r="U221" i="53" s="1"/>
  <c r="X128" i="42"/>
  <c r="X127" i="42"/>
  <c r="Y126" i="42"/>
  <c r="S179" i="29"/>
  <c r="AX116" i="45"/>
  <c r="T72" i="19"/>
  <c r="U119" i="14" s="1"/>
  <c r="U119" i="12"/>
  <c r="U147" i="48"/>
  <c r="U152" i="48" s="1"/>
  <c r="U145" i="48"/>
  <c r="U150" i="48" s="1"/>
  <c r="U146" i="48"/>
  <c r="U151" i="48" s="1"/>
  <c r="U149" i="48"/>
  <c r="U148" i="48"/>
  <c r="U153" i="48" s="1"/>
  <c r="AA25" i="28"/>
  <c r="AA43" i="28" s="1"/>
  <c r="AB19" i="28"/>
  <c r="T196" i="53"/>
  <c r="T197" i="53" s="1"/>
  <c r="U163" i="53"/>
  <c r="W135" i="14"/>
  <c r="T99" i="46"/>
  <c r="T44" i="46"/>
  <c r="T316" i="46" s="1"/>
  <c r="T79" i="46"/>
  <c r="T69" i="46"/>
  <c r="T109" i="46"/>
  <c r="T74" i="20"/>
  <c r="T66" i="19" s="1"/>
  <c r="T77" i="20"/>
  <c r="T64" i="19"/>
  <c r="U93" i="14" s="1"/>
  <c r="T75" i="20"/>
  <c r="T76" i="20"/>
  <c r="T73" i="20"/>
  <c r="T52" i="19"/>
  <c r="T49" i="19" s="1"/>
  <c r="T177" i="19" s="1"/>
  <c r="W193" i="29"/>
  <c r="W194" i="29"/>
  <c r="AE124" i="15"/>
  <c r="AD38" i="28"/>
  <c r="AE54" i="15"/>
  <c r="L19" i="55"/>
  <c r="L20" i="55"/>
  <c r="AZ84" i="45"/>
  <c r="W63" i="42"/>
  <c r="W69" i="42"/>
  <c r="W100" i="19"/>
  <c r="AA26" i="48"/>
  <c r="AA41" i="48" s="1"/>
  <c r="AB20" i="48"/>
  <c r="X157" i="54"/>
  <c r="J19" i="55"/>
  <c r="J20" i="55"/>
  <c r="S139" i="29"/>
  <c r="S138" i="29"/>
  <c r="S141" i="29"/>
  <c r="S136" i="29"/>
  <c r="S140" i="29"/>
  <c r="S137" i="29"/>
  <c r="Y62" i="15"/>
  <c r="X59" i="29"/>
  <c r="Y62" i="16" s="1"/>
  <c r="AX78" i="45"/>
  <c r="W66" i="20"/>
  <c r="U227" i="12"/>
  <c r="W139" i="16"/>
  <c r="W298" i="42"/>
  <c r="W297" i="42"/>
  <c r="AY90" i="45"/>
  <c r="S91" i="45"/>
  <c r="U78" i="20"/>
  <c r="U220" i="20" s="1"/>
  <c r="R151" i="12"/>
  <c r="AW120" i="36"/>
  <c r="Q122" i="36"/>
  <c r="Q125" i="36"/>
  <c r="AA28" i="38"/>
  <c r="AA43" i="38" s="1"/>
  <c r="AB22" i="38"/>
  <c r="AX100" i="45"/>
  <c r="AX113" i="45"/>
  <c r="U133" i="12"/>
  <c r="W136" i="16"/>
  <c r="U217" i="54"/>
  <c r="U221" i="54" s="1"/>
  <c r="U218" i="54"/>
  <c r="R103" i="48"/>
  <c r="R108" i="48" s="1"/>
  <c r="R102" i="48"/>
  <c r="R107" i="48" s="1"/>
  <c r="R100" i="48"/>
  <c r="R105" i="48" s="1"/>
  <c r="R101" i="48"/>
  <c r="R106" i="48" s="1"/>
  <c r="R104" i="48"/>
  <c r="X203" i="48"/>
  <c r="X204" i="48"/>
  <c r="AA26" i="53"/>
  <c r="AA41" i="53" s="1"/>
  <c r="AA147" i="53" s="1"/>
  <c r="AA148" i="53" s="1"/>
  <c r="AB60" i="51" s="1"/>
  <c r="AB20" i="53"/>
  <c r="W88" i="38"/>
  <c r="W92" i="38" s="1"/>
  <c r="W86" i="38"/>
  <c r="W90" i="38" s="1"/>
  <c r="W87" i="38"/>
  <c r="W91" i="38" s="1"/>
  <c r="W89" i="38"/>
  <c r="T185" i="28"/>
  <c r="T186" i="28" s="1"/>
  <c r="V168" i="46"/>
  <c r="V173" i="46" s="1"/>
  <c r="V165" i="46"/>
  <c r="V170" i="46" s="1"/>
  <c r="V167" i="46"/>
  <c r="V172" i="46" s="1"/>
  <c r="V164" i="48"/>
  <c r="V166" i="46"/>
  <c r="V171" i="46" s="1"/>
  <c r="V169" i="46"/>
  <c r="W77" i="45" s="1"/>
  <c r="O314" i="48"/>
  <c r="O310" i="48"/>
  <c r="O312" i="48"/>
  <c r="O313" i="48"/>
  <c r="O315" i="48"/>
  <c r="O311" i="48"/>
  <c r="AA25" i="42"/>
  <c r="AA40" i="42" s="1"/>
  <c r="AB19" i="42"/>
  <c r="Z80" i="29"/>
  <c r="Z79" i="29" s="1"/>
  <c r="Y208" i="53"/>
  <c r="Y205" i="53"/>
  <c r="V106" i="19"/>
  <c r="BE54" i="51"/>
  <c r="X33" i="45"/>
  <c r="AA28" i="29"/>
  <c r="AA46" i="29" s="1"/>
  <c r="AB22" i="29"/>
  <c r="T129" i="14"/>
  <c r="Y47" i="29"/>
  <c r="Y142" i="29" s="1"/>
  <c r="AF7" i="15"/>
  <c r="AF8" i="15" s="1"/>
  <c r="AG6" i="15"/>
  <c r="Y64" i="46"/>
  <c r="Y62" i="46"/>
  <c r="Y67" i="46"/>
  <c r="Y65" i="46"/>
  <c r="Y61" i="46"/>
  <c r="Y66" i="46"/>
  <c r="Y89" i="46" s="1"/>
  <c r="Z60" i="46"/>
  <c r="O72" i="15"/>
  <c r="N211" i="28"/>
  <c r="O73" i="15" s="1"/>
  <c r="Q240" i="19"/>
  <c r="Q241" i="19"/>
  <c r="Q243" i="19"/>
  <c r="Q242" i="19"/>
  <c r="Q244" i="19"/>
  <c r="Q239" i="19"/>
  <c r="BD21" i="45"/>
  <c r="W135" i="15"/>
  <c r="AA40" i="45"/>
  <c r="BG38" i="45"/>
  <c r="AA39" i="45"/>
  <c r="AB38" i="45"/>
  <c r="Y258" i="48"/>
  <c r="Z257" i="48"/>
  <c r="W186" i="42"/>
  <c r="W185" i="42"/>
  <c r="X212" i="54"/>
  <c r="X209" i="54"/>
  <c r="X210" i="54"/>
  <c r="X211" i="54"/>
  <c r="S227" i="14"/>
  <c r="P71" i="16"/>
  <c r="T130" i="12"/>
  <c r="AB27" i="38"/>
  <c r="AB42" i="38" s="1"/>
  <c r="AC21" i="38"/>
  <c r="Y20" i="45"/>
  <c r="Y19" i="45"/>
  <c r="T142" i="12"/>
  <c r="T225" i="12" a="1"/>
  <c r="T225" i="12" s="1"/>
  <c r="T226" i="12"/>
  <c r="T148" i="12"/>
  <c r="T169" i="12" s="1"/>
  <c r="X137" i="46"/>
  <c r="X138" i="46"/>
  <c r="X201" i="46"/>
  <c r="X200" i="46"/>
  <c r="Y136" i="46"/>
  <c r="S318" i="38"/>
  <c r="S319" i="38" s="1"/>
  <c r="S321" i="38" s="1"/>
  <c r="R325" i="38"/>
  <c r="Y64" i="15"/>
  <c r="X75" i="29"/>
  <c r="Y64" i="16" s="1"/>
  <c r="AC21" i="42"/>
  <c r="AB27" i="42"/>
  <c r="AB42" i="42" s="1"/>
  <c r="BE61" i="51"/>
  <c r="Y64" i="51"/>
  <c r="X184" i="38"/>
  <c r="X204" i="38"/>
  <c r="X196" i="38"/>
  <c r="X188" i="38"/>
  <c r="W219" i="54"/>
  <c r="W231" i="54" s="1"/>
  <c r="W220" i="54"/>
  <c r="X65" i="15"/>
  <c r="W130" i="42"/>
  <c r="W142" i="42" s="1"/>
  <c r="W131" i="42"/>
  <c r="W150" i="42" s="1"/>
  <c r="W132" i="42"/>
  <c r="W158" i="42" s="1"/>
  <c r="X205" i="53"/>
  <c r="AX118" i="45"/>
  <c r="L159" i="12"/>
  <c r="L161" i="12" s="1"/>
  <c r="T74" i="19"/>
  <c r="U121" i="14" s="1"/>
  <c r="U121" i="12"/>
  <c r="R317" i="48"/>
  <c r="R320" i="48"/>
  <c r="Z63" i="29"/>
  <c r="Z62" i="29" s="1"/>
  <c r="Z64" i="29"/>
  <c r="Z68" i="29"/>
  <c r="Z67" i="29"/>
  <c r="Z66" i="29"/>
  <c r="Z65" i="29"/>
  <c r="S199" i="53"/>
  <c r="S200" i="53"/>
  <c r="S198" i="53"/>
  <c r="S203" i="53"/>
  <c r="S201" i="53"/>
  <c r="S202" i="53"/>
  <c r="W264" i="48"/>
  <c r="W269" i="48" s="1"/>
  <c r="W261" i="48"/>
  <c r="W266" i="48" s="1"/>
  <c r="W263" i="48"/>
  <c r="W268" i="48" s="1"/>
  <c r="W265" i="48"/>
  <c r="W262" i="48"/>
  <c r="W267" i="48" s="1"/>
  <c r="AA28" i="46"/>
  <c r="AB22" i="46"/>
  <c r="O300" i="20"/>
  <c r="T57" i="19"/>
  <c r="V164" i="28"/>
  <c r="V161" i="28"/>
  <c r="V162" i="28"/>
  <c r="V163" i="28"/>
  <c r="BB89" i="45"/>
  <c r="L7" i="55"/>
  <c r="AC18" i="54"/>
  <c r="AB24" i="54"/>
  <c r="AZ73" i="45"/>
  <c r="AZ87" i="45"/>
  <c r="W96" i="42"/>
  <c r="W100" i="42" s="1"/>
  <c r="W94" i="42"/>
  <c r="W98" i="42" s="1"/>
  <c r="W95" i="42"/>
  <c r="W99" i="42" s="1"/>
  <c r="W97" i="42"/>
  <c r="V234" i="54"/>
  <c r="T316" i="38"/>
  <c r="T317" i="38"/>
  <c r="R151" i="14"/>
  <c r="Y47" i="28"/>
  <c r="Y51" i="29"/>
  <c r="Y52" i="29"/>
  <c r="Y49" i="29" s="1"/>
  <c r="Y53" i="29"/>
  <c r="Y50" i="29"/>
  <c r="Y54" i="29"/>
  <c r="S149" i="12"/>
  <c r="W129" i="19"/>
  <c r="W128" i="19" s="1"/>
  <c r="X26" i="19"/>
  <c r="X44" i="19" s="1"/>
  <c r="X155" i="19" s="1"/>
  <c r="X154" i="19" s="1"/>
  <c r="Y20" i="19"/>
  <c r="X62" i="28"/>
  <c r="Y44" i="15"/>
  <c r="X56" i="29"/>
  <c r="Y44" i="16" s="1"/>
  <c r="Q233" i="14"/>
  <c r="Q234" i="14" s="1"/>
  <c r="AP20" i="55"/>
  <c r="AP19" i="55"/>
  <c r="N155" i="12"/>
  <c r="N10" i="55"/>
  <c r="M312" i="20"/>
  <c r="M317" i="20"/>
  <c r="W304" i="42"/>
  <c r="W303" i="42"/>
  <c r="W315" i="42" s="1"/>
  <c r="W136" i="15"/>
  <c r="X18" i="20"/>
  <c r="W24" i="20"/>
  <c r="BA117" i="36"/>
  <c r="BA123" i="36" s="1"/>
  <c r="U155" i="48"/>
  <c r="U160" i="48" s="1"/>
  <c r="U156" i="48"/>
  <c r="U161" i="48" s="1"/>
  <c r="U157" i="48"/>
  <c r="U162" i="48" s="1"/>
  <c r="U159" i="48"/>
  <c r="U158" i="48"/>
  <c r="U163" i="48" s="1"/>
  <c r="AY106" i="45"/>
  <c r="S109" i="45"/>
  <c r="X140" i="48"/>
  <c r="X141" i="48"/>
  <c r="X142" i="48"/>
  <c r="Y31" i="29"/>
  <c r="Y132" i="29"/>
  <c r="V177" i="46"/>
  <c r="V182" i="46" s="1"/>
  <c r="V175" i="46"/>
  <c r="V180" i="46" s="1"/>
  <c r="V178" i="46"/>
  <c r="V183" i="46" s="1"/>
  <c r="V179" i="46"/>
  <c r="W107" i="45" s="1"/>
  <c r="V176" i="46"/>
  <c r="V181" i="46" s="1"/>
  <c r="V174" i="48"/>
  <c r="AA37" i="29"/>
  <c r="AB125" i="16"/>
  <c r="AB47" i="16"/>
  <c r="W150" i="29"/>
  <c r="W148" i="29"/>
  <c r="W147" i="29"/>
  <c r="W149" i="29"/>
  <c r="BD64" i="51"/>
  <c r="W219" i="53"/>
  <c r="W231" i="53" s="1"/>
  <c r="W220" i="53"/>
  <c r="AE9" i="15"/>
  <c r="AE10" i="15" s="1"/>
  <c r="S281" i="20"/>
  <c r="S282" i="20"/>
  <c r="S284" i="20"/>
  <c r="S283" i="20"/>
  <c r="S285" i="20"/>
  <c r="S286" i="20"/>
  <c r="T106" i="12"/>
  <c r="S77" i="19"/>
  <c r="T106" i="14" s="1"/>
  <c r="O353" i="46"/>
  <c r="O354" i="46" s="1"/>
  <c r="BB67" i="45"/>
  <c r="BB23" i="45"/>
  <c r="X34" i="29"/>
  <c r="X33" i="29"/>
  <c r="X169" i="20"/>
  <c r="X168" i="20"/>
  <c r="X170" i="20"/>
  <c r="X179" i="20" s="1"/>
  <c r="X171" i="20"/>
  <c r="X185" i="20" s="1"/>
  <c r="X167" i="20"/>
  <c r="X173" i="20" s="1"/>
  <c r="Y166" i="20"/>
  <c r="AX9" i="55"/>
  <c r="AE124" i="16"/>
  <c r="AD38" i="29"/>
  <c r="AE54" i="16"/>
  <c r="X93" i="46"/>
  <c r="X98" i="46" s="1"/>
  <c r="X90" i="46"/>
  <c r="X95" i="46" s="1"/>
  <c r="X92" i="46"/>
  <c r="X97" i="46" s="1"/>
  <c r="X94" i="46"/>
  <c r="X91" i="46"/>
  <c r="X89" i="48"/>
  <c r="U73" i="45"/>
  <c r="U87" i="45"/>
  <c r="BB59" i="45"/>
  <c r="AB22" i="54"/>
  <c r="AA28" i="54"/>
  <c r="AA43" i="54" s="1"/>
  <c r="AE41" i="16"/>
  <c r="Z44" i="45"/>
  <c r="Y35" i="46"/>
  <c r="Z95" i="45"/>
  <c r="Z43" i="45"/>
  <c r="Z42" i="45"/>
  <c r="V208" i="46"/>
  <c r="V213" i="46" s="1"/>
  <c r="V210" i="46"/>
  <c r="V215" i="46" s="1"/>
  <c r="V206" i="48"/>
  <c r="V209" i="46"/>
  <c r="V214" i="46" s="1"/>
  <c r="V211" i="46"/>
  <c r="W89" i="45" s="1"/>
  <c r="V207" i="46"/>
  <c r="V212" i="46" s="1"/>
  <c r="AQ11" i="55"/>
  <c r="AQ15" i="55"/>
  <c r="AQ16" i="55"/>
  <c r="AQ12" i="55"/>
  <c r="AQ14" i="55"/>
  <c r="AQ13" i="55"/>
  <c r="T130" i="14"/>
  <c r="U301" i="42"/>
  <c r="U305" i="42" s="1"/>
  <c r="U302" i="42"/>
  <c r="V24" i="19"/>
  <c r="W18" i="19"/>
  <c r="T142" i="14"/>
  <c r="BF56" i="51"/>
  <c r="Z58" i="51"/>
  <c r="R69" i="16"/>
  <c r="Q196" i="29"/>
  <c r="Q191" i="29"/>
  <c r="U302" i="38"/>
  <c r="U301" i="38"/>
  <c r="U305" i="38" s="1"/>
  <c r="W202" i="46"/>
  <c r="W216" i="46"/>
  <c r="W226" i="46"/>
  <c r="W206" i="46"/>
  <c r="X63" i="53"/>
  <c r="X159" i="53" s="1"/>
  <c r="X69" i="53"/>
  <c r="X70" i="53" s="1"/>
  <c r="Y49" i="51" s="1"/>
  <c r="Y182" i="38"/>
  <c r="Y183" i="38"/>
  <c r="Y128" i="38"/>
  <c r="Y127" i="38"/>
  <c r="Z126" i="38"/>
  <c r="S202" i="54"/>
  <c r="S200" i="54"/>
  <c r="S198" i="54"/>
  <c r="S203" i="54"/>
  <c r="S199" i="54"/>
  <c r="S201" i="54"/>
  <c r="Z360" i="46"/>
  <c r="U153" i="29"/>
  <c r="U154" i="29"/>
  <c r="Z20" i="45"/>
  <c r="Z19" i="45"/>
  <c r="Z121" i="16"/>
  <c r="Z42" i="16"/>
  <c r="X65" i="16"/>
  <c r="W129" i="42"/>
  <c r="W134" i="42"/>
  <c r="S172" i="29"/>
  <c r="S173" i="29" s="1"/>
  <c r="S175" i="29" s="1"/>
  <c r="X212" i="53"/>
  <c r="X210" i="53"/>
  <c r="X209" i="53"/>
  <c r="X211" i="53"/>
  <c r="W140" i="20"/>
  <c r="W116" i="19" s="1"/>
  <c r="W143" i="20"/>
  <c r="W119" i="19" s="1"/>
  <c r="W144" i="20"/>
  <c r="W120" i="19" s="1"/>
  <c r="W141" i="20"/>
  <c r="W117" i="19" s="1"/>
  <c r="W142" i="20"/>
  <c r="W118" i="19" s="1"/>
  <c r="W115" i="19"/>
  <c r="X94" i="14" s="1"/>
  <c r="U115" i="14"/>
  <c r="X143" i="29"/>
  <c r="X146" i="29"/>
  <c r="S70" i="46"/>
  <c r="S75" i="46" s="1"/>
  <c r="S72" i="46"/>
  <c r="S77" i="46" s="1"/>
  <c r="S73" i="46"/>
  <c r="S78" i="46" s="1"/>
  <c r="S71" i="46"/>
  <c r="S76" i="46" s="1"/>
  <c r="S69" i="48"/>
  <c r="S74" i="46"/>
  <c r="T76" i="45" s="1"/>
  <c r="AA28" i="53"/>
  <c r="AA43" i="53" s="1"/>
  <c r="AB22" i="53"/>
  <c r="V173" i="19"/>
  <c r="AB19" i="48"/>
  <c r="AA25" i="48"/>
  <c r="AA40" i="48" s="1"/>
  <c r="Y240" i="46"/>
  <c r="X241" i="46"/>
  <c r="X243" i="46" s="1"/>
  <c r="T265" i="20"/>
  <c r="T288" i="20"/>
  <c r="T289" i="20" s="1"/>
  <c r="AQ125" i="45"/>
  <c r="J371" i="48"/>
  <c r="AQ126" i="45" s="1"/>
  <c r="S44" i="48"/>
  <c r="S316" i="48" s="1"/>
  <c r="AB27" i="46"/>
  <c r="AB42" i="46" s="1"/>
  <c r="AC21" i="46"/>
  <c r="AB27" i="28"/>
  <c r="AC21" i="28"/>
  <c r="Y31" i="46"/>
  <c r="Y306" i="46"/>
  <c r="X217" i="42"/>
  <c r="X219" i="42" s="1"/>
  <c r="Y216" i="42"/>
  <c r="AA39" i="54"/>
  <c r="AC34" i="15"/>
  <c r="AC33" i="15"/>
  <c r="W79" i="42"/>
  <c r="W83" i="42" s="1"/>
  <c r="W80" i="42"/>
  <c r="W84" i="42" s="1"/>
  <c r="W78" i="42"/>
  <c r="W82" i="42" s="1"/>
  <c r="W81" i="42"/>
  <c r="W97" i="19"/>
  <c r="V216" i="54"/>
  <c r="V215" i="54"/>
  <c r="T306" i="38"/>
  <c r="T309" i="38"/>
  <c r="T311" i="38"/>
  <c r="T308" i="38"/>
  <c r="T310" i="38"/>
  <c r="T307" i="38"/>
  <c r="W229" i="53"/>
  <c r="W230" i="53" s="1"/>
  <c r="R150" i="14"/>
  <c r="S149" i="14"/>
  <c r="X60" i="29"/>
  <c r="Y56" i="16" s="1"/>
  <c r="Y56" i="15"/>
  <c r="P253" i="19"/>
  <c r="T317" i="42"/>
  <c r="T320" i="42" s="1"/>
  <c r="T316" i="42"/>
  <c r="AP7" i="55"/>
  <c r="N162" i="12"/>
  <c r="N158" i="12"/>
  <c r="R82" i="48"/>
  <c r="R87" i="48" s="1"/>
  <c r="R80" i="48"/>
  <c r="R85" i="48" s="1"/>
  <c r="R81" i="48"/>
  <c r="R86" i="48" s="1"/>
  <c r="R83" i="48"/>
  <c r="R88" i="48" s="1"/>
  <c r="R84" i="48"/>
  <c r="Q274" i="20"/>
  <c r="Q275" i="20"/>
  <c r="BC91" i="36"/>
  <c r="BC93" i="36" s="1"/>
  <c r="BC96" i="36" s="1"/>
  <c r="W93" i="36"/>
  <c r="W96" i="36" s="1"/>
  <c r="V29" i="20"/>
  <c r="V42" i="20"/>
  <c r="W124" i="12" s="1"/>
  <c r="U230" i="48"/>
  <c r="U235" i="48" s="1"/>
  <c r="U229" i="48"/>
  <c r="U234" i="48" s="1"/>
  <c r="U227" i="48"/>
  <c r="U232" i="48" s="1"/>
  <c r="U228" i="48"/>
  <c r="U233" i="48" s="1"/>
  <c r="U231" i="48"/>
  <c r="X66" i="16"/>
  <c r="BB98" i="45"/>
  <c r="BC30" i="45"/>
  <c r="S110" i="45"/>
  <c r="S112" i="45"/>
  <c r="S111" i="45"/>
  <c r="AY110" i="45"/>
  <c r="AY112" i="45"/>
  <c r="AY111" i="45"/>
  <c r="X202" i="48"/>
  <c r="N363" i="46"/>
  <c r="O120" i="45" s="1"/>
  <c r="N361" i="46"/>
  <c r="AB27" i="29"/>
  <c r="AC21" i="29"/>
  <c r="U148" i="28"/>
  <c r="U149" i="28" s="1"/>
  <c r="V214" i="28"/>
  <c r="Y292" i="38"/>
  <c r="W63" i="38"/>
  <c r="W69" i="38"/>
  <c r="N258" i="19"/>
  <c r="N259" i="19" s="1"/>
  <c r="AA122" i="15"/>
  <c r="AA132" i="15" s="1"/>
  <c r="X235" i="38"/>
  <c r="X239" i="38" s="1"/>
  <c r="X237" i="38"/>
  <c r="X241" i="38" s="1"/>
  <c r="X238" i="38"/>
  <c r="Y107" i="36" s="1"/>
  <c r="X236" i="38"/>
  <c r="X240" i="38" s="1"/>
  <c r="W73" i="51"/>
  <c r="AD10" i="15"/>
  <c r="R318" i="46"/>
  <c r="R319" i="46" s="1"/>
  <c r="R341" i="46"/>
  <c r="R342" i="46" s="1"/>
  <c r="S9" i="55"/>
  <c r="X33" i="28"/>
  <c r="X34" i="28"/>
  <c r="W90" i="48"/>
  <c r="W95" i="48" s="1"/>
  <c r="W93" i="48"/>
  <c r="W98" i="48" s="1"/>
  <c r="W92" i="48"/>
  <c r="W97" i="48" s="1"/>
  <c r="W94" i="48"/>
  <c r="W91" i="48"/>
  <c r="U176" i="48"/>
  <c r="U181" i="48" s="1"/>
  <c r="U175" i="48"/>
  <c r="U180" i="48" s="1"/>
  <c r="U177" i="48"/>
  <c r="U182" i="48" s="1"/>
  <c r="U179" i="48"/>
  <c r="U178" i="48"/>
  <c r="U183" i="48" s="1"/>
  <c r="T37" i="48"/>
  <c r="Y43" i="48" s="1"/>
  <c r="BA59" i="45"/>
  <c r="BA104" i="45"/>
  <c r="BA60" i="45"/>
  <c r="BA58" i="45"/>
  <c r="T118" i="12"/>
  <c r="R113" i="48"/>
  <c r="R118" i="48" s="1"/>
  <c r="R112" i="48"/>
  <c r="R117" i="48" s="1"/>
  <c r="R110" i="48"/>
  <c r="R115" i="48" s="1"/>
  <c r="R111" i="48"/>
  <c r="R116" i="48" s="1"/>
  <c r="R114" i="48"/>
  <c r="R274" i="48"/>
  <c r="P276" i="20"/>
  <c r="P280" i="20" s="1"/>
  <c r="P277" i="20"/>
  <c r="Y108" i="28"/>
  <c r="Z107" i="28"/>
  <c r="T109" i="12"/>
  <c r="S81" i="19"/>
  <c r="T109" i="14" s="1"/>
  <c r="Q325" i="46"/>
  <c r="Q326" i="46"/>
  <c r="V206" i="42"/>
  <c r="V210" i="42" s="1"/>
  <c r="V205" i="42"/>
  <c r="V209" i="42" s="1"/>
  <c r="V207" i="42"/>
  <c r="V211" i="42" s="1"/>
  <c r="V208" i="42"/>
  <c r="W175" i="20"/>
  <c r="W137" i="19" s="1"/>
  <c r="W178" i="20"/>
  <c r="W140" i="19" s="1"/>
  <c r="W174" i="20"/>
  <c r="W136" i="19" s="1"/>
  <c r="W135" i="19"/>
  <c r="X113" i="14" s="1"/>
  <c r="W177" i="20"/>
  <c r="W139" i="19" s="1"/>
  <c r="X113" i="12"/>
  <c r="W176" i="20"/>
  <c r="O71" i="15"/>
  <c r="T229" i="12"/>
  <c r="Z61" i="16"/>
  <c r="Y84" i="29"/>
  <c r="T47" i="19"/>
  <c r="T59" i="19"/>
  <c r="T62" i="19"/>
  <c r="T60" i="19"/>
  <c r="AE8" i="16"/>
  <c r="V70" i="38"/>
  <c r="V74" i="38" s="1"/>
  <c r="V73" i="38"/>
  <c r="W78" i="36" s="1"/>
  <c r="V71" i="38"/>
  <c r="V75" i="38" s="1"/>
  <c r="V72" i="38"/>
  <c r="V76" i="38" s="1"/>
  <c r="V159" i="42"/>
  <c r="V163" i="42" s="1"/>
  <c r="V161" i="42"/>
  <c r="V165" i="42" s="1"/>
  <c r="V160" i="42"/>
  <c r="V164" i="42" s="1"/>
  <c r="V162" i="42"/>
  <c r="V227" i="46"/>
  <c r="V232" i="46" s="1"/>
  <c r="V230" i="46"/>
  <c r="V235" i="46" s="1"/>
  <c r="V228" i="46"/>
  <c r="V233" i="46" s="1"/>
  <c r="V231" i="46"/>
  <c r="W108" i="45" s="1"/>
  <c r="V229" i="46"/>
  <c r="V234" i="46" s="1"/>
  <c r="V226" i="48"/>
  <c r="M371" i="46"/>
  <c r="N126" i="45" s="1"/>
  <c r="S251" i="53"/>
  <c r="T75" i="51" s="1"/>
  <c r="S249" i="53"/>
  <c r="N123" i="45"/>
  <c r="N124" i="45"/>
  <c r="N121" i="45"/>
  <c r="K163" i="14"/>
  <c r="K157" i="14"/>
  <c r="S114" i="45"/>
  <c r="AY76" i="45"/>
  <c r="S78" i="45"/>
  <c r="BC70" i="51"/>
  <c r="X63" i="48"/>
  <c r="Y292" i="42"/>
  <c r="U29" i="19"/>
  <c r="U42" i="19"/>
  <c r="Y265" i="19"/>
  <c r="Z307" i="20"/>
  <c r="Y44" i="45"/>
  <c r="X35" i="46"/>
  <c r="Y95" i="45"/>
  <c r="Y43" i="45"/>
  <c r="Y42" i="45"/>
  <c r="W139" i="46"/>
  <c r="W144" i="46"/>
  <c r="Q308" i="46"/>
  <c r="Q309" i="46" s="1"/>
  <c r="R275" i="46"/>
  <c r="X76" i="53"/>
  <c r="Y67" i="51"/>
  <c r="Y71" i="51" s="1"/>
  <c r="X129" i="38"/>
  <c r="X134" i="38"/>
  <c r="T196" i="54"/>
  <c r="T197" i="54" s="1"/>
  <c r="U163" i="54"/>
  <c r="P332" i="48"/>
  <c r="P331" i="48"/>
  <c r="P343" i="48" s="1"/>
  <c r="P344" i="48" s="1"/>
  <c r="Q230" i="19"/>
  <c r="Q231" i="19"/>
  <c r="Z69" i="45"/>
  <c r="V247" i="48"/>
  <c r="V252" i="48" s="1"/>
  <c r="V245" i="48"/>
  <c r="V250" i="48" s="1"/>
  <c r="V244" i="48"/>
  <c r="V249" i="48" s="1"/>
  <c r="V248" i="48"/>
  <c r="V246" i="48"/>
  <c r="V251" i="48" s="1"/>
  <c r="Z44" i="38"/>
  <c r="Z288" i="38" s="1"/>
  <c r="S69" i="19"/>
  <c r="T99" i="14" s="1"/>
  <c r="T99" i="12"/>
  <c r="AA28" i="48"/>
  <c r="AB22" i="48"/>
  <c r="BB113" i="36"/>
  <c r="BB112" i="36"/>
  <c r="BB111" i="36"/>
  <c r="BB117" i="36" s="1"/>
  <c r="BB123" i="36" s="1"/>
  <c r="U132" i="12"/>
  <c r="T85" i="19"/>
  <c r="U132" i="14" s="1"/>
  <c r="T171" i="29"/>
  <c r="T174" i="29" s="1"/>
  <c r="T170" i="29"/>
  <c r="R118" i="45"/>
  <c r="U115" i="12"/>
  <c r="U163" i="19"/>
  <c r="S317" i="46"/>
  <c r="S320" i="46"/>
  <c r="X157" i="53"/>
  <c r="Y66" i="51" s="1"/>
  <c r="X162" i="53"/>
  <c r="Z36" i="28"/>
  <c r="Z42" i="28" s="1"/>
  <c r="AA123" i="15"/>
  <c r="AA43" i="15"/>
  <c r="O234" i="19"/>
  <c r="O238" i="19" s="1"/>
  <c r="O235" i="19"/>
  <c r="BD105" i="45"/>
  <c r="AU122" i="36"/>
  <c r="AU125" i="36"/>
  <c r="V300" i="38"/>
  <c r="V299" i="38"/>
  <c r="W244" i="46"/>
  <c r="W249" i="46" s="1"/>
  <c r="W245" i="46"/>
  <c r="W250" i="46" s="1"/>
  <c r="W246" i="46"/>
  <c r="W251" i="46" s="1"/>
  <c r="W243" i="48"/>
  <c r="W247" i="46"/>
  <c r="W252" i="46" s="1"/>
  <c r="W248" i="46"/>
  <c r="X96" i="45" s="1"/>
  <c r="T55" i="19"/>
  <c r="U208" i="48"/>
  <c r="U213" i="48" s="1"/>
  <c r="U210" i="48"/>
  <c r="U215" i="48" s="1"/>
  <c r="U207" i="48"/>
  <c r="U212" i="48" s="1"/>
  <c r="U209" i="48"/>
  <c r="U214" i="48" s="1"/>
  <c r="U211" i="48"/>
  <c r="AC18" i="28"/>
  <c r="AB24" i="28"/>
  <c r="Y121" i="20"/>
  <c r="Y122" i="20"/>
  <c r="Y125" i="20"/>
  <c r="Y123" i="20"/>
  <c r="Y124" i="20"/>
  <c r="Z119" i="20"/>
  <c r="Y120" i="20"/>
  <c r="W221" i="42"/>
  <c r="W225" i="42" s="1"/>
  <c r="W222" i="42"/>
  <c r="W226" i="42" s="1"/>
  <c r="W220" i="42"/>
  <c r="W224" i="42" s="1"/>
  <c r="W223" i="42"/>
  <c r="AZ128" i="36"/>
  <c r="AD19" i="15"/>
  <c r="AD15" i="15"/>
  <c r="AD16" i="15"/>
  <c r="AD18" i="15"/>
  <c r="AE14" i="15"/>
  <c r="AD32" i="15"/>
  <c r="AD74" i="15" s="1"/>
  <c r="L159" i="14"/>
  <c r="W99" i="19"/>
  <c r="BD66" i="51"/>
  <c r="X70" i="51"/>
  <c r="R227" i="14"/>
  <c r="R232" i="14" s="1"/>
  <c r="U241" i="53"/>
  <c r="T241" i="54"/>
  <c r="T306" i="42"/>
  <c r="T309" i="42"/>
  <c r="T307" i="42"/>
  <c r="T311" i="42"/>
  <c r="T310" i="42"/>
  <c r="T308" i="42"/>
  <c r="AP6" i="55"/>
  <c r="BB77" i="45"/>
  <c r="U165" i="28"/>
  <c r="U166" i="28"/>
  <c r="S93" i="45"/>
  <c r="AY94" i="45"/>
  <c r="S94" i="45"/>
  <c r="AY93" i="45"/>
  <c r="R326" i="42"/>
  <c r="R335" i="42" s="1"/>
  <c r="AB21" i="16"/>
  <c r="S34" i="19"/>
  <c r="S33" i="19"/>
  <c r="X66" i="15"/>
  <c r="W68" i="45"/>
  <c r="P293" i="20"/>
  <c r="P294" i="20" s="1"/>
  <c r="P296" i="20" s="1"/>
  <c r="T151" i="28"/>
  <c r="T155" i="28"/>
  <c r="T152" i="28"/>
  <c r="T150" i="28"/>
  <c r="T153" i="28"/>
  <c r="T154" i="28"/>
  <c r="V215" i="53"/>
  <c r="V216" i="53"/>
  <c r="X59" i="15"/>
  <c r="Q213" i="19"/>
  <c r="Q214" i="19" s="1"/>
  <c r="R180" i="19"/>
  <c r="AB39" i="16"/>
  <c r="V138" i="19"/>
  <c r="Z231" i="38"/>
  <c r="Y232" i="38"/>
  <c r="Y234" i="38" s="1"/>
  <c r="R242" i="54"/>
  <c r="R249" i="54" s="1"/>
  <c r="T61" i="19"/>
  <c r="R180" i="29"/>
  <c r="R187" i="29" s="1"/>
  <c r="AB40" i="15"/>
  <c r="X56" i="45"/>
  <c r="X55" i="45"/>
  <c r="X30" i="45"/>
  <c r="T118" i="14"/>
  <c r="BE69" i="45"/>
  <c r="AX109" i="45"/>
  <c r="S98" i="14"/>
  <c r="S153" i="14"/>
  <c r="AE41" i="15"/>
  <c r="AC33" i="16"/>
  <c r="AC34" i="16"/>
  <c r="Y55" i="15"/>
  <c r="X82" i="29"/>
  <c r="Y55" i="16" s="1"/>
  <c r="W112" i="36"/>
  <c r="W111" i="36"/>
  <c r="W113" i="36"/>
  <c r="Q331" i="46"/>
  <c r="Q343" i="46" s="1"/>
  <c r="Q344" i="46" s="1"/>
  <c r="Q332" i="46"/>
  <c r="V189" i="42"/>
  <c r="V193" i="42" s="1"/>
  <c r="V190" i="42"/>
  <c r="V194" i="42" s="1"/>
  <c r="V192" i="42"/>
  <c r="V191" i="42"/>
  <c r="V195" i="42" s="1"/>
  <c r="W189" i="20"/>
  <c r="W151" i="19" s="1"/>
  <c r="W187" i="20"/>
  <c r="W149" i="19" s="1"/>
  <c r="W186" i="20"/>
  <c r="W148" i="19" s="1"/>
  <c r="W188" i="20"/>
  <c r="W150" i="19" s="1"/>
  <c r="W190" i="20"/>
  <c r="W152" i="19" s="1"/>
  <c r="W147" i="19"/>
  <c r="X137" i="14" s="1"/>
  <c r="X137" i="12"/>
  <c r="Q338" i="46"/>
  <c r="Q337" i="46"/>
  <c r="Q334" i="46"/>
  <c r="Q339" i="46"/>
  <c r="Q335" i="46"/>
  <c r="Q336" i="46"/>
  <c r="AA25" i="53"/>
  <c r="AA40" i="53" s="1"/>
  <c r="AB19" i="53"/>
  <c r="AV122" i="36"/>
  <c r="AV125" i="36"/>
  <c r="W138" i="38"/>
  <c r="X85" i="36" s="1"/>
  <c r="W137" i="38"/>
  <c r="W141" i="38" s="1"/>
  <c r="W135" i="38"/>
  <c r="W139" i="38" s="1"/>
  <c r="W136" i="38"/>
  <c r="W140" i="38" s="1"/>
  <c r="U71" i="45"/>
  <c r="U85" i="45"/>
  <c r="T146" i="12"/>
  <c r="S320" i="42"/>
  <c r="T211" i="19"/>
  <c r="T31" i="19"/>
  <c r="AA128" i="15"/>
  <c r="Z40" i="28"/>
  <c r="AA60" i="15"/>
  <c r="V243" i="38"/>
  <c r="V246" i="38"/>
  <c r="V152" i="42"/>
  <c r="V156" i="42" s="1"/>
  <c r="V151" i="42"/>
  <c r="V155" i="42" s="1"/>
  <c r="V154" i="42"/>
  <c r="V153" i="42"/>
  <c r="V157" i="42" s="1"/>
  <c r="V218" i="46"/>
  <c r="V223" i="46" s="1"/>
  <c r="V217" i="46"/>
  <c r="V222" i="46" s="1"/>
  <c r="V219" i="46"/>
  <c r="V224" i="46" s="1"/>
  <c r="V216" i="48"/>
  <c r="V221" i="46"/>
  <c r="W99" i="45" s="1"/>
  <c r="V220" i="46"/>
  <c r="V225" i="46" s="1"/>
  <c r="Q72" i="16"/>
  <c r="P197" i="29"/>
  <c r="Q73" i="16" s="1"/>
  <c r="Z50" i="51"/>
  <c r="Z68" i="51"/>
  <c r="X196" i="20"/>
  <c r="Y195" i="20"/>
  <c r="AB21" i="15"/>
  <c r="W297" i="38"/>
  <c r="W298" i="38"/>
  <c r="W206" i="38"/>
  <c r="W210" i="38" s="1"/>
  <c r="W205" i="38"/>
  <c r="W209" i="38" s="1"/>
  <c r="W208" i="38"/>
  <c r="W207" i="38"/>
  <c r="W211" i="38" s="1"/>
  <c r="AA25" i="54"/>
  <c r="AA40" i="54" s="1"/>
  <c r="AB19" i="54"/>
  <c r="R70" i="48"/>
  <c r="R75" i="48" s="1"/>
  <c r="R72" i="48"/>
  <c r="R77" i="48" s="1"/>
  <c r="R71" i="48"/>
  <c r="R76" i="48" s="1"/>
  <c r="R73" i="48"/>
  <c r="R78" i="48" s="1"/>
  <c r="R74" i="48"/>
  <c r="V84" i="45"/>
  <c r="AA28" i="28"/>
  <c r="AA46" i="28" s="1"/>
  <c r="AB22" i="28"/>
  <c r="O327" i="48"/>
  <c r="O328" i="48"/>
  <c r="Z29" i="29"/>
  <c r="AB27" i="53"/>
  <c r="AB42" i="53" s="1"/>
  <c r="AC21" i="53"/>
  <c r="P353" i="46"/>
  <c r="P354" i="46" s="1"/>
  <c r="AB35" i="16"/>
  <c r="V151" i="29"/>
  <c r="V152" i="29"/>
  <c r="V103" i="36"/>
  <c r="V105" i="36"/>
  <c r="W140" i="46"/>
  <c r="W154" i="46" s="1"/>
  <c r="W141" i="46"/>
  <c r="W164" i="46" s="1"/>
  <c r="W142" i="46"/>
  <c r="W174" i="46" s="1"/>
  <c r="P314" i="46"/>
  <c r="P312" i="46"/>
  <c r="P313" i="46"/>
  <c r="P310" i="46"/>
  <c r="P315" i="46"/>
  <c r="P311" i="46"/>
  <c r="V203" i="20"/>
  <c r="V164" i="19" s="1"/>
  <c r="V200" i="20"/>
  <c r="V161" i="19" s="1"/>
  <c r="V201" i="20"/>
  <c r="V162" i="19" s="1"/>
  <c r="V199" i="20"/>
  <c r="V160" i="19" s="1"/>
  <c r="V202" i="20"/>
  <c r="V159" i="19"/>
  <c r="W123" i="14" s="1"/>
  <c r="AX76" i="51"/>
  <c r="X186" i="38"/>
  <c r="X185" i="38"/>
  <c r="X25" i="19"/>
  <c r="X43" i="19" s="1"/>
  <c r="X96" i="19" s="1"/>
  <c r="X95" i="19" s="1"/>
  <c r="Y19" i="19"/>
  <c r="Q290" i="20"/>
  <c r="Q291" i="20" s="1"/>
  <c r="Q292" i="20"/>
  <c r="Q293" i="20" s="1"/>
  <c r="AB24" i="29"/>
  <c r="AC18" i="29"/>
  <c r="BF17" i="45"/>
  <c r="BF18" i="45" s="1"/>
  <c r="S152" i="14"/>
  <c r="Z29" i="38"/>
  <c r="S65" i="19"/>
  <c r="T96" i="14" s="1"/>
  <c r="T96" i="12"/>
  <c r="T83" i="19"/>
  <c r="U128" i="14" s="1"/>
  <c r="U128" i="12"/>
  <c r="T163" i="29"/>
  <c r="T160" i="29"/>
  <c r="T164" i="29"/>
  <c r="T165" i="29"/>
  <c r="T161" i="29"/>
  <c r="T162" i="29"/>
  <c r="R116" i="45"/>
  <c r="S255" i="20"/>
  <c r="S256" i="20" s="1"/>
  <c r="T222" i="20"/>
  <c r="AB27" i="48"/>
  <c r="AB42" i="48" s="1"/>
  <c r="AC21" i="48"/>
  <c r="T73" i="19"/>
  <c r="U120" i="14" s="1"/>
  <c r="U120" i="12"/>
  <c r="S81" i="46"/>
  <c r="S86" i="46" s="1"/>
  <c r="S80" i="46"/>
  <c r="S85" i="46" s="1"/>
  <c r="S83" i="46"/>
  <c r="S88" i="46" s="1"/>
  <c r="S79" i="48"/>
  <c r="S82" i="46"/>
  <c r="S87" i="46" s="1"/>
  <c r="S84" i="46"/>
  <c r="T90" i="45" s="1"/>
  <c r="Z153" i="53"/>
  <c r="Y154" i="53"/>
  <c r="Y156" i="53" s="1"/>
  <c r="U101" i="20"/>
  <c r="U93" i="19" s="1"/>
  <c r="V136" i="12"/>
  <c r="U99" i="20"/>
  <c r="U97" i="20"/>
  <c r="U98" i="20"/>
  <c r="U88" i="19"/>
  <c r="V136" i="14" s="1"/>
  <c r="U100" i="20"/>
  <c r="AA128" i="16"/>
  <c r="Z40" i="29"/>
  <c r="AA60" i="16"/>
  <c r="S169" i="12"/>
  <c r="R150" i="12"/>
  <c r="X294" i="42"/>
  <c r="X296" i="42"/>
  <c r="X293" i="42"/>
  <c r="X295" i="42"/>
  <c r="T51" i="19"/>
  <c r="X67" i="16"/>
  <c r="X46" i="16"/>
  <c r="AQ124" i="45"/>
  <c r="AQ123" i="45"/>
  <c r="AQ121" i="45"/>
  <c r="AA28" i="42"/>
  <c r="AA43" i="42" s="1"/>
  <c r="AB22" i="42"/>
  <c r="X135" i="20"/>
  <c r="X111" i="19" s="1"/>
  <c r="X136" i="20"/>
  <c r="X112" i="19" s="1"/>
  <c r="X137" i="20"/>
  <c r="X113" i="19" s="1"/>
  <c r="X134" i="20"/>
  <c r="X110" i="19" s="1"/>
  <c r="X138" i="20"/>
  <c r="X114" i="19" s="1"/>
  <c r="X109" i="19"/>
  <c r="Y126" i="14" s="1"/>
  <c r="W103" i="42"/>
  <c r="W107" i="42" s="1"/>
  <c r="W102" i="42"/>
  <c r="W106" i="42" s="1"/>
  <c r="W104" i="42"/>
  <c r="W108" i="42" s="1"/>
  <c r="W105" i="42"/>
  <c r="X27" i="19"/>
  <c r="X45" i="19" s="1"/>
  <c r="X130" i="19" s="1"/>
  <c r="Y21" i="19"/>
  <c r="U144" i="29"/>
  <c r="U145" i="29" s="1"/>
  <c r="U167" i="29"/>
  <c r="U168" i="29" s="1"/>
  <c r="W133" i="19"/>
  <c r="J6" i="55"/>
  <c r="BB99" i="45"/>
  <c r="AB24" i="53"/>
  <c r="AC18" i="53"/>
  <c r="J161" i="14"/>
  <c r="U167" i="48"/>
  <c r="U172" i="48" s="1"/>
  <c r="U168" i="48"/>
  <c r="U173" i="48" s="1"/>
  <c r="U165" i="48"/>
  <c r="U170" i="48" s="1"/>
  <c r="U169" i="48"/>
  <c r="U166" i="48"/>
  <c r="U171" i="48" s="1"/>
  <c r="Y25" i="20"/>
  <c r="Y43" i="20" s="1"/>
  <c r="Z19" i="20"/>
  <c r="X72" i="51"/>
  <c r="BD49" i="51"/>
  <c r="X51" i="51"/>
  <c r="N347" i="48"/>
  <c r="N349" i="48" s="1"/>
  <c r="N348" i="48"/>
  <c r="P327" i="46"/>
  <c r="P328" i="46"/>
  <c r="T156" i="29"/>
  <c r="T155" i="29"/>
  <c r="T159" i="29" s="1"/>
  <c r="U280" i="38"/>
  <c r="U281" i="38" s="1"/>
  <c r="V247" i="38"/>
  <c r="V148" i="46"/>
  <c r="V153" i="46" s="1"/>
  <c r="V147" i="46"/>
  <c r="V152" i="46" s="1"/>
  <c r="V144" i="48"/>
  <c r="V145" i="46"/>
  <c r="V150" i="46" s="1"/>
  <c r="V149" i="46"/>
  <c r="W83" i="45" s="1"/>
  <c r="V146" i="46"/>
  <c r="V151" i="46" s="1"/>
  <c r="BD107" i="36"/>
  <c r="BE50" i="51"/>
  <c r="Y208" i="54"/>
  <c r="Y205" i="54"/>
  <c r="BC33" i="45"/>
  <c r="U179" i="28"/>
  <c r="U175" i="28"/>
  <c r="U176" i="28"/>
  <c r="U177" i="28"/>
  <c r="U178" i="28"/>
  <c r="U174" i="28"/>
  <c r="AA26" i="42"/>
  <c r="AA41" i="42" s="1"/>
  <c r="AB20" i="42"/>
  <c r="AY4" i="55"/>
  <c r="S226" i="14"/>
  <c r="S232" i="14" s="1"/>
  <c r="S225" i="14" a="1"/>
  <c r="S225" i="14" s="1"/>
  <c r="S148" i="14"/>
  <c r="W94" i="38"/>
  <c r="W98" i="38" s="1"/>
  <c r="W95" i="38"/>
  <c r="W99" i="38" s="1"/>
  <c r="W96" i="38"/>
  <c r="W100" i="38" s="1"/>
  <c r="W97" i="38"/>
  <c r="X108" i="36" s="1"/>
  <c r="BD108" i="36" s="1"/>
  <c r="X59" i="16"/>
  <c r="O349" i="46"/>
  <c r="S189" i="28"/>
  <c r="AY77" i="51"/>
  <c r="R259" i="54"/>
  <c r="AY78" i="51" s="1"/>
  <c r="Y241" i="48"/>
  <c r="Z240" i="48"/>
  <c r="Y35" i="45"/>
  <c r="Y29" i="45"/>
  <c r="Y31" i="45"/>
  <c r="Y28" i="45"/>
  <c r="Y32" i="45"/>
  <c r="Y37" i="45"/>
  <c r="Y36" i="45"/>
  <c r="Z27" i="45"/>
  <c r="BE27" i="45"/>
  <c r="Y54" i="45"/>
  <c r="AY97" i="45"/>
  <c r="S100" i="45"/>
  <c r="S113" i="45"/>
  <c r="W157" i="28"/>
  <c r="W160" i="28"/>
  <c r="BC71" i="51"/>
  <c r="W135" i="16"/>
  <c r="BE19" i="45"/>
  <c r="BE20" i="45"/>
  <c r="S98" i="12"/>
  <c r="S153" i="12"/>
  <c r="AD19" i="16"/>
  <c r="AD16" i="16"/>
  <c r="AD15" i="16"/>
  <c r="AD18" i="16"/>
  <c r="AE14" i="16"/>
  <c r="AD32" i="16"/>
  <c r="S271" i="20"/>
  <c r="S269" i="20"/>
  <c r="S268" i="20"/>
  <c r="S270" i="20"/>
  <c r="S80" i="19"/>
  <c r="T111" i="14" s="1"/>
  <c r="T111" i="12"/>
  <c r="V197" i="42"/>
  <c r="V201" i="42" s="1"/>
  <c r="V198" i="42"/>
  <c r="V202" i="42" s="1"/>
  <c r="V200" i="42"/>
  <c r="V199" i="42"/>
  <c r="V203" i="42" s="1"/>
  <c r="W180" i="20"/>
  <c r="W142" i="19" s="1"/>
  <c r="W182" i="20"/>
  <c r="W144" i="19" s="1"/>
  <c r="W181" i="20"/>
  <c r="W143" i="19" s="1"/>
  <c r="W183" i="20"/>
  <c r="W145" i="19" s="1"/>
  <c r="W184" i="20"/>
  <c r="W146" i="19" s="1"/>
  <c r="W141" i="19"/>
  <c r="X125" i="14" s="1"/>
  <c r="R272" i="20"/>
  <c r="R273" i="20"/>
  <c r="AA123" i="16"/>
  <c r="Z36" i="29"/>
  <c r="Z42" i="29" s="1"/>
  <c r="AA43" i="16"/>
  <c r="Z110" i="53"/>
  <c r="Z111" i="53" s="1"/>
  <c r="Z104" i="53"/>
  <c r="Z105" i="53" s="1"/>
  <c r="AA53" i="51" s="1"/>
  <c r="Z108" i="53"/>
  <c r="Z109" i="53" s="1"/>
  <c r="Z106" i="53"/>
  <c r="Z107" i="53" s="1"/>
  <c r="AA62" i="51" s="1"/>
  <c r="X49" i="15"/>
  <c r="X28" i="19"/>
  <c r="X46" i="19" s="1"/>
  <c r="X167" i="19" s="1"/>
  <c r="X166" i="19" s="1"/>
  <c r="Y22" i="19"/>
  <c r="BD67" i="51"/>
  <c r="Z332" i="42"/>
  <c r="Z135" i="53"/>
  <c r="AA56" i="51"/>
  <c r="V143" i="42"/>
  <c r="V147" i="42" s="1"/>
  <c r="V144" i="42"/>
  <c r="V148" i="42" s="1"/>
  <c r="V145" i="42"/>
  <c r="V149" i="42" s="1"/>
  <c r="V146" i="42"/>
  <c r="BF62" i="51"/>
  <c r="W157" i="19"/>
  <c r="X123" i="12"/>
  <c r="W198" i="20"/>
  <c r="W303" i="38"/>
  <c r="W315" i="38" s="1"/>
  <c r="W304" i="38"/>
  <c r="W200" i="38"/>
  <c r="X101" i="36" s="1"/>
  <c r="BD101" i="36" s="1"/>
  <c r="W198" i="38"/>
  <c r="W202" i="38" s="1"/>
  <c r="W197" i="38"/>
  <c r="W201" i="38" s="1"/>
  <c r="W199" i="38"/>
  <c r="W203" i="38" s="1"/>
  <c r="Z106" i="54"/>
  <c r="Z107" i="54" s="1"/>
  <c r="Z104" i="54"/>
  <c r="Z105" i="54" s="1"/>
  <c r="Z108" i="54"/>
  <c r="Z109" i="54" s="1"/>
  <c r="Z110" i="54"/>
  <c r="Z111" i="54" s="1"/>
  <c r="S80" i="45"/>
  <c r="S81" i="45"/>
  <c r="S79" i="45"/>
  <c r="AY79" i="45"/>
  <c r="AY81" i="45"/>
  <c r="AY80" i="45"/>
  <c r="Z85" i="29"/>
  <c r="AA61" i="15"/>
  <c r="AA138" i="53"/>
  <c r="AA139" i="53" s="1"/>
  <c r="AB69" i="51" s="1"/>
  <c r="AA134" i="53"/>
  <c r="AA136" i="53"/>
  <c r="AA137" i="53" s="1"/>
  <c r="AB63" i="51" s="1"/>
  <c r="W134" i="15"/>
  <c r="W133" i="15" a="1"/>
  <c r="W133" i="15" s="1"/>
  <c r="W68" i="15"/>
  <c r="W77" i="15" s="1"/>
  <c r="T167" i="28"/>
  <c r="T168" i="28"/>
  <c r="M354" i="48"/>
  <c r="M363" i="48" s="1"/>
  <c r="AT120" i="45" s="1"/>
  <c r="W204" i="46"/>
  <c r="W203" i="46"/>
  <c r="Y85" i="28"/>
  <c r="Y72" i="29" s="1"/>
  <c r="Y83" i="28"/>
  <c r="Y70" i="29" s="1"/>
  <c r="Y84" i="28"/>
  <c r="Y87" i="28"/>
  <c r="Y86" i="28"/>
  <c r="Y88" i="28"/>
  <c r="Z82" i="28"/>
  <c r="Z44" i="54"/>
  <c r="Z204" i="54" s="1"/>
  <c r="AA121" i="15"/>
  <c r="AA42" i="15"/>
  <c r="X130" i="38"/>
  <c r="X142" i="38" s="1"/>
  <c r="X131" i="38"/>
  <c r="X150" i="38" s="1"/>
  <c r="X132" i="38"/>
  <c r="X158" i="38" s="1"/>
  <c r="W34" i="45"/>
  <c r="O251" i="19"/>
  <c r="O252" i="19" s="1"/>
  <c r="O254" i="19" s="1"/>
  <c r="AA17" i="45"/>
  <c r="AB16" i="45"/>
  <c r="BG16" i="45"/>
  <c r="V158" i="28"/>
  <c r="V159" i="28" s="1"/>
  <c r="V181" i="28"/>
  <c r="V182" i="28" s="1"/>
  <c r="T241" i="53"/>
  <c r="T100" i="12"/>
  <c r="S67" i="19"/>
  <c r="T100" i="14" s="1"/>
  <c r="AZ74" i="51"/>
  <c r="S253" i="54"/>
  <c r="BD98" i="36"/>
  <c r="Y31" i="28"/>
  <c r="Y146" i="28"/>
  <c r="R259" i="20"/>
  <c r="R257" i="20"/>
  <c r="R261" i="20"/>
  <c r="R262" i="20"/>
  <c r="R260" i="20"/>
  <c r="R258" i="20"/>
  <c r="T71" i="19"/>
  <c r="U116" i="14" s="1"/>
  <c r="U116" i="12"/>
  <c r="S103" i="46"/>
  <c r="S108" i="46" s="1"/>
  <c r="S99" i="48"/>
  <c r="S101" i="46"/>
  <c r="S106" i="46" s="1"/>
  <c r="S100" i="46"/>
  <c r="S105" i="46" s="1"/>
  <c r="S102" i="46"/>
  <c r="S107" i="46" s="1"/>
  <c r="S104" i="46"/>
  <c r="T106" i="45" s="1"/>
  <c r="P337" i="42"/>
  <c r="P342" i="42"/>
  <c r="AV126" i="36"/>
  <c r="O343" i="42"/>
  <c r="AV127" i="36" s="1"/>
  <c r="T229" i="14"/>
  <c r="N329" i="48"/>
  <c r="N333" i="48" s="1"/>
  <c r="N330" i="48"/>
  <c r="S233" i="12"/>
  <c r="S234" i="12" s="1"/>
  <c r="S152" i="12"/>
  <c r="AB40" i="16"/>
  <c r="O345" i="48"/>
  <c r="T50" i="19"/>
  <c r="X67" i="15"/>
  <c r="X46" i="15"/>
  <c r="Y217" i="38"/>
  <c r="Y219" i="38" s="1"/>
  <c r="Z216" i="38"/>
  <c r="V111" i="36"/>
  <c r="V112" i="36"/>
  <c r="V113" i="36"/>
  <c r="Q201" i="28"/>
  <c r="Q203" i="28"/>
  <c r="R70" i="15" s="1"/>
  <c r="X139" i="20"/>
  <c r="Y94" i="12"/>
  <c r="AA25" i="46"/>
  <c r="AA40" i="46" s="1"/>
  <c r="AB19" i="46"/>
  <c r="V77" i="15"/>
  <c r="AZ71" i="45"/>
  <c r="AZ85" i="45"/>
  <c r="AX91" i="45"/>
  <c r="AC20" i="15"/>
  <c r="BB73" i="51"/>
  <c r="W149" i="20"/>
  <c r="W125" i="19" s="1"/>
  <c r="W148" i="20"/>
  <c r="W124" i="19" s="1"/>
  <c r="W146" i="20"/>
  <c r="W122" i="19" s="1"/>
  <c r="W150" i="20"/>
  <c r="W126" i="19" s="1"/>
  <c r="W147" i="20"/>
  <c r="W123" i="19" s="1"/>
  <c r="W121" i="19"/>
  <c r="X138" i="14" s="1"/>
  <c r="X138" i="12"/>
  <c r="AW114" i="45"/>
  <c r="Z257" i="46"/>
  <c r="Y258" i="46"/>
  <c r="Y260" i="46" s="1"/>
  <c r="T234" i="54"/>
  <c r="T235" i="54" s="1"/>
  <c r="T237" i="54" s="1"/>
  <c r="T258" i="54" s="1"/>
  <c r="U217" i="48"/>
  <c r="U222" i="48" s="1"/>
  <c r="U218" i="48"/>
  <c r="U223" i="48" s="1"/>
  <c r="U219" i="48"/>
  <c r="U224" i="48" s="1"/>
  <c r="U221" i="48"/>
  <c r="U220" i="48"/>
  <c r="U225" i="48" s="1"/>
  <c r="Z360" i="48"/>
  <c r="AA39" i="53"/>
  <c r="X101" i="19"/>
  <c r="Y126" i="12"/>
  <c r="X145" i="20"/>
  <c r="P346" i="46"/>
  <c r="P347" i="46" s="1"/>
  <c r="Y31" i="38"/>
  <c r="Y278" i="38"/>
  <c r="Y289" i="38" s="1"/>
  <c r="T286" i="38"/>
  <c r="T284" i="38"/>
  <c r="T282" i="38"/>
  <c r="T285" i="38"/>
  <c r="T287" i="38"/>
  <c r="T283" i="38"/>
  <c r="BC23" i="45"/>
  <c r="AR119" i="45"/>
  <c r="K365" i="48"/>
  <c r="K370" i="48"/>
  <c r="AR10" i="55"/>
  <c r="BE68" i="51"/>
  <c r="W159" i="38"/>
  <c r="W163" i="38" s="1"/>
  <c r="W162" i="38"/>
  <c r="X109" i="36" s="1"/>
  <c r="BD109" i="36" s="1"/>
  <c r="W161" i="38"/>
  <c r="W165" i="38" s="1"/>
  <c r="W160" i="38"/>
  <c r="W164" i="38" s="1"/>
  <c r="BC55" i="45"/>
  <c r="BC56" i="45"/>
  <c r="W105" i="38"/>
  <c r="X99" i="36" s="1"/>
  <c r="BD99" i="36" s="1"/>
  <c r="W104" i="38"/>
  <c r="W108" i="38" s="1"/>
  <c r="W103" i="38"/>
  <c r="W107" i="38" s="1"/>
  <c r="W102" i="38"/>
  <c r="W106" i="38" s="1"/>
  <c r="P217" i="19"/>
  <c r="P216" i="19"/>
  <c r="P215" i="19"/>
  <c r="P219" i="19"/>
  <c r="P218" i="19"/>
  <c r="P220" i="19"/>
  <c r="R201" i="28"/>
  <c r="R203" i="28"/>
  <c r="S70" i="15" s="1"/>
  <c r="O330" i="46"/>
  <c r="O329" i="46"/>
  <c r="O333" i="46" s="1"/>
  <c r="S170" i="28"/>
  <c r="S169" i="28"/>
  <c r="S173" i="28" s="1"/>
  <c r="Q318" i="48"/>
  <c r="Q319" i="48" s="1"/>
  <c r="Q341" i="48"/>
  <c r="Q342" i="48" s="1"/>
  <c r="U127" i="14"/>
  <c r="AA29" i="53" l="1"/>
  <c r="V133" i="12"/>
  <c r="X162" i="54"/>
  <c r="X132" i="20"/>
  <c r="X108" i="19" s="1"/>
  <c r="AA80" i="29"/>
  <c r="AA79" i="29" s="1"/>
  <c r="X57" i="45"/>
  <c r="BB58" i="45"/>
  <c r="U37" i="48"/>
  <c r="Z43" i="48" s="1"/>
  <c r="V37" i="46"/>
  <c r="AA43" i="46" s="1"/>
  <c r="BB104" i="45"/>
  <c r="W59" i="45"/>
  <c r="W58" i="45"/>
  <c r="W140" i="15"/>
  <c r="BC111" i="36"/>
  <c r="AA24" i="42"/>
  <c r="AA39" i="42" s="1"/>
  <c r="AB18" i="42"/>
  <c r="BC112" i="36"/>
  <c r="Z29" i="42"/>
  <c r="Z39" i="42"/>
  <c r="Z44" i="42" s="1"/>
  <c r="Z288" i="42" s="1"/>
  <c r="X97" i="19"/>
  <c r="X99" i="19"/>
  <c r="X98" i="19"/>
  <c r="AA24" i="38"/>
  <c r="AA39" i="38" s="1"/>
  <c r="AB18" i="38"/>
  <c r="X100" i="19"/>
  <c r="W229" i="54"/>
  <c r="W230" i="54" s="1"/>
  <c r="U185" i="28"/>
  <c r="U186" i="28" s="1"/>
  <c r="U187" i="28" s="1"/>
  <c r="U146" i="12"/>
  <c r="X131" i="20"/>
  <c r="X107" i="19" s="1"/>
  <c r="BC67" i="45"/>
  <c r="Y103" i="12"/>
  <c r="X103" i="19"/>
  <c r="Y103" i="14" s="1"/>
  <c r="T176" i="19"/>
  <c r="X130" i="20"/>
  <c r="X128" i="20"/>
  <c r="X104" i="19" s="1"/>
  <c r="S233" i="14"/>
  <c r="S234" i="14" s="1"/>
  <c r="BD102" i="36"/>
  <c r="BD105" i="36" s="1"/>
  <c r="AC35" i="16"/>
  <c r="AA29" i="28"/>
  <c r="Y202" i="48"/>
  <c r="BC57" i="45"/>
  <c r="BC59" i="45" s="1"/>
  <c r="AA29" i="29"/>
  <c r="W141" i="15"/>
  <c r="W142" i="15" s="1"/>
  <c r="BA77" i="51"/>
  <c r="T259" i="54"/>
  <c r="BA78" i="51" s="1"/>
  <c r="U259" i="53"/>
  <c r="V78" i="51" s="1"/>
  <c r="V77" i="51"/>
  <c r="AF9" i="15"/>
  <c r="V241" i="54"/>
  <c r="V242" i="54" s="1"/>
  <c r="V128" i="36"/>
  <c r="AT122" i="45"/>
  <c r="S69" i="16"/>
  <c r="U77" i="51"/>
  <c r="T259" i="53"/>
  <c r="U78" i="51" s="1"/>
  <c r="T152" i="14"/>
  <c r="W127" i="12"/>
  <c r="O158" i="12"/>
  <c r="O162" i="12"/>
  <c r="AY74" i="51"/>
  <c r="T110" i="45"/>
  <c r="T111" i="45"/>
  <c r="T112" i="45"/>
  <c r="BD103" i="36"/>
  <c r="X152" i="38"/>
  <c r="X156" i="38" s="1"/>
  <c r="X151" i="38"/>
  <c r="X155" i="38" s="1"/>
  <c r="X153" i="38"/>
  <c r="X157" i="38" s="1"/>
  <c r="X154" i="38"/>
  <c r="Y79" i="36" s="1"/>
  <c r="Z64" i="15"/>
  <c r="Y75" i="29"/>
  <c r="Z64" i="16" s="1"/>
  <c r="AA54" i="51"/>
  <c r="BG53" i="51"/>
  <c r="AD34" i="16"/>
  <c r="AD33" i="16"/>
  <c r="BD110" i="36"/>
  <c r="Y157" i="53"/>
  <c r="Z66" i="51" s="1"/>
  <c r="W168" i="46"/>
  <c r="W173" i="46" s="1"/>
  <c r="W167" i="46"/>
  <c r="W172" i="46" s="1"/>
  <c r="W166" i="46"/>
  <c r="W171" i="46" s="1"/>
  <c r="W165" i="46"/>
  <c r="W170" i="46" s="1"/>
  <c r="W169" i="46"/>
  <c r="X77" i="45" s="1"/>
  <c r="W164" i="48"/>
  <c r="Z31" i="29"/>
  <c r="Z132" i="29"/>
  <c r="X157" i="19"/>
  <c r="Y123" i="12"/>
  <c r="X198" i="20"/>
  <c r="S151" i="14"/>
  <c r="X34" i="45"/>
  <c r="AD20" i="15"/>
  <c r="BD96" i="45"/>
  <c r="S324" i="46"/>
  <c r="S321" i="46"/>
  <c r="S322" i="46"/>
  <c r="S323" i="46"/>
  <c r="U196" i="54"/>
  <c r="U197" i="54" s="1"/>
  <c r="V163" i="54"/>
  <c r="W148" i="46"/>
  <c r="W153" i="46" s="1"/>
  <c r="W145" i="46"/>
  <c r="W150" i="46" s="1"/>
  <c r="W146" i="46"/>
  <c r="W151" i="46" s="1"/>
  <c r="W147" i="46"/>
  <c r="W152" i="46" s="1"/>
  <c r="W149" i="46"/>
  <c r="X83" i="45" s="1"/>
  <c r="W144" i="48"/>
  <c r="U47" i="19"/>
  <c r="U59" i="19"/>
  <c r="U62" i="19"/>
  <c r="U61" i="19"/>
  <c r="V227" i="48"/>
  <c r="V232" i="48" s="1"/>
  <c r="V228" i="48"/>
  <c r="V233" i="48" s="1"/>
  <c r="V230" i="48"/>
  <c r="V235" i="48" s="1"/>
  <c r="V229" i="48"/>
  <c r="V234" i="48" s="1"/>
  <c r="V231" i="48"/>
  <c r="Q345" i="46"/>
  <c r="Q346" i="46" s="1"/>
  <c r="Z108" i="28"/>
  <c r="AA107" i="28"/>
  <c r="S70" i="48"/>
  <c r="S75" i="48" s="1"/>
  <c r="S71" i="48"/>
  <c r="S76" i="48" s="1"/>
  <c r="S72" i="48"/>
  <c r="S77" i="48" s="1"/>
  <c r="S74" i="48"/>
  <c r="S73" i="48"/>
  <c r="S78" i="48" s="1"/>
  <c r="U229" i="14"/>
  <c r="X219" i="53"/>
  <c r="X231" i="53" s="1"/>
  <c r="X220" i="53"/>
  <c r="Z76" i="16"/>
  <c r="Z75" i="16"/>
  <c r="U156" i="29"/>
  <c r="U155" i="29"/>
  <c r="U159" i="29" s="1"/>
  <c r="BC89" i="45"/>
  <c r="R189" i="29"/>
  <c r="S70" i="16" s="1"/>
  <c r="Y89" i="29"/>
  <c r="AC24" i="54"/>
  <c r="AD18" i="54"/>
  <c r="V172" i="28"/>
  <c r="V171" i="28"/>
  <c r="V183" i="28" s="1"/>
  <c r="X202" i="46"/>
  <c r="X216" i="46"/>
  <c r="X226" i="46"/>
  <c r="X206" i="46"/>
  <c r="AB40" i="45"/>
  <c r="BH38" i="45"/>
  <c r="AB39" i="45"/>
  <c r="AC38" i="45"/>
  <c r="AD11" i="15"/>
  <c r="V168" i="48"/>
  <c r="V173" i="48" s="1"/>
  <c r="V165" i="48"/>
  <c r="V170" i="48" s="1"/>
  <c r="V166" i="48"/>
  <c r="V171" i="48" s="1"/>
  <c r="V169" i="48"/>
  <c r="V167" i="48"/>
  <c r="V172" i="48" s="1"/>
  <c r="W300" i="42"/>
  <c r="W299" i="42"/>
  <c r="V78" i="20"/>
  <c r="U96" i="12"/>
  <c r="T65" i="19"/>
  <c r="U96" i="14" s="1"/>
  <c r="T83" i="46"/>
  <c r="T88" i="46" s="1"/>
  <c r="T80" i="46"/>
  <c r="T85" i="46" s="1"/>
  <c r="T82" i="46"/>
  <c r="T87" i="46" s="1"/>
  <c r="T81" i="46"/>
  <c r="T86" i="46" s="1"/>
  <c r="T84" i="46"/>
  <c r="U90" i="45" s="1"/>
  <c r="T79" i="48"/>
  <c r="T97" i="14"/>
  <c r="T154" i="14"/>
  <c r="W105" i="36"/>
  <c r="W103" i="36"/>
  <c r="W117" i="36" s="1"/>
  <c r="W123" i="36" s="1"/>
  <c r="AC39" i="15"/>
  <c r="T105" i="14"/>
  <c r="T225" i="14" s="1" a="1"/>
  <c r="T225" i="14" s="1"/>
  <c r="T146" i="14"/>
  <c r="AB26" i="28"/>
  <c r="AB44" i="28" s="1"/>
  <c r="AC20" i="28"/>
  <c r="P310" i="48"/>
  <c r="P312" i="48"/>
  <c r="P311" i="48"/>
  <c r="P313" i="48"/>
  <c r="P315" i="48"/>
  <c r="P314" i="48"/>
  <c r="AA29" i="48"/>
  <c r="X88" i="38"/>
  <c r="X92" i="38" s="1"/>
  <c r="X87" i="38"/>
  <c r="X91" i="38" s="1"/>
  <c r="X89" i="38"/>
  <c r="X86" i="38"/>
  <c r="X90" i="38" s="1"/>
  <c r="AS119" i="45"/>
  <c r="L365" i="48"/>
  <c r="L370" i="48"/>
  <c r="X132" i="19"/>
  <c r="P300" i="20"/>
  <c r="P301" i="20" s="1"/>
  <c r="Z62" i="15"/>
  <c r="Y59" i="29"/>
  <c r="Z62" i="16" s="1"/>
  <c r="BB80" i="36"/>
  <c r="BB83" i="36" s="1"/>
  <c r="BB119" i="36" s="1"/>
  <c r="BB115" i="36"/>
  <c r="BB116" i="36" s="1"/>
  <c r="AB26" i="29"/>
  <c r="AB44" i="29" s="1"/>
  <c r="AC20" i="29"/>
  <c r="AA29" i="42"/>
  <c r="M163" i="14"/>
  <c r="M157" i="14"/>
  <c r="BC103" i="36"/>
  <c r="BC117" i="36" s="1"/>
  <c r="BC123" i="36" s="1"/>
  <c r="BC105" i="36"/>
  <c r="CB7" i="55"/>
  <c r="AD18" i="48"/>
  <c r="AC24" i="48"/>
  <c r="BA84" i="45"/>
  <c r="N308" i="20"/>
  <c r="X66" i="20"/>
  <c r="U58" i="19"/>
  <c r="U55" i="19"/>
  <c r="X237" i="42"/>
  <c r="X241" i="42" s="1"/>
  <c r="X235" i="42"/>
  <c r="X239" i="42" s="1"/>
  <c r="X236" i="42"/>
  <c r="X240" i="42" s="1"/>
  <c r="X238" i="42"/>
  <c r="V109" i="12"/>
  <c r="U81" i="19"/>
  <c r="V90" i="20"/>
  <c r="Z208" i="53"/>
  <c r="U307" i="38"/>
  <c r="U309" i="38"/>
  <c r="U308" i="38"/>
  <c r="U311" i="38"/>
  <c r="U310" i="38"/>
  <c r="U306" i="38"/>
  <c r="AZ97" i="45"/>
  <c r="T100" i="45"/>
  <c r="T113" i="45"/>
  <c r="U317" i="42"/>
  <c r="U316" i="42"/>
  <c r="W173" i="19"/>
  <c r="M157" i="12"/>
  <c r="M163" i="12"/>
  <c r="Z66" i="53"/>
  <c r="Z73" i="53" s="1"/>
  <c r="Z74" i="53" s="1"/>
  <c r="Z65" i="53"/>
  <c r="Z75" i="53" s="1"/>
  <c r="Z67" i="53"/>
  <c r="Z77" i="53" s="1"/>
  <c r="Z78" i="53" s="1"/>
  <c r="AA61" i="51" s="1"/>
  <c r="Z62" i="53"/>
  <c r="Z64" i="53"/>
  <c r="Z71" i="53" s="1"/>
  <c r="Z72" i="53" s="1"/>
  <c r="AA57" i="51" s="1"/>
  <c r="Z61" i="53"/>
  <c r="AA60" i="53"/>
  <c r="Y66" i="15"/>
  <c r="U139" i="12"/>
  <c r="U105" i="12"/>
  <c r="AA31" i="53"/>
  <c r="AA194" i="53"/>
  <c r="AC40" i="15"/>
  <c r="AC19" i="46"/>
  <c r="AB25" i="46"/>
  <c r="AB40" i="46" s="1"/>
  <c r="T242" i="53"/>
  <c r="T251" i="53" s="1"/>
  <c r="U75" i="51" s="1"/>
  <c r="X146" i="38"/>
  <c r="Y100" i="36" s="1"/>
  <c r="BE100" i="36" s="1"/>
  <c r="X145" i="38"/>
  <c r="X149" i="38" s="1"/>
  <c r="X143" i="38"/>
  <c r="X147" i="38" s="1"/>
  <c r="X144" i="38"/>
  <c r="X148" i="38" s="1"/>
  <c r="Y73" i="29"/>
  <c r="Z58" i="16" s="1"/>
  <c r="Z58" i="15"/>
  <c r="AA61" i="16"/>
  <c r="Z84" i="29"/>
  <c r="T107" i="12"/>
  <c r="S151" i="12"/>
  <c r="Y30" i="45"/>
  <c r="V280" i="38"/>
  <c r="V281" i="38" s="1"/>
  <c r="W247" i="38"/>
  <c r="Y27" i="19"/>
  <c r="Y45" i="19" s="1"/>
  <c r="Z21" i="19"/>
  <c r="U92" i="19"/>
  <c r="V145" i="14" s="1"/>
  <c r="V145" i="12"/>
  <c r="Z154" i="53"/>
  <c r="Z156" i="53" s="1"/>
  <c r="AA153" i="53"/>
  <c r="S262" i="20"/>
  <c r="S259" i="20"/>
  <c r="S261" i="20"/>
  <c r="S260" i="20"/>
  <c r="S257" i="20"/>
  <c r="S258" i="20"/>
  <c r="BF20" i="45"/>
  <c r="BF19" i="45"/>
  <c r="W158" i="46"/>
  <c r="W163" i="46" s="1"/>
  <c r="W156" i="46"/>
  <c r="W161" i="46" s="1"/>
  <c r="W155" i="46"/>
  <c r="W160" i="46" s="1"/>
  <c r="W159" i="46"/>
  <c r="X98" i="45" s="1"/>
  <c r="W154" i="48"/>
  <c r="W157" i="46"/>
  <c r="W162" i="46" s="1"/>
  <c r="BF68" i="51"/>
  <c r="T34" i="19"/>
  <c r="T33" i="19"/>
  <c r="V218" i="53"/>
  <c r="V217" i="53"/>
  <c r="V221" i="53" s="1"/>
  <c r="U188" i="28"/>
  <c r="T242" i="54"/>
  <c r="T251" i="54" s="1"/>
  <c r="BA75" i="51" s="1"/>
  <c r="BD70" i="51"/>
  <c r="T201" i="54"/>
  <c r="T203" i="54"/>
  <c r="T200" i="54"/>
  <c r="T199" i="54"/>
  <c r="T198" i="54"/>
  <c r="T202" i="54"/>
  <c r="U211" i="19"/>
  <c r="U31" i="19"/>
  <c r="W138" i="19"/>
  <c r="Z55" i="15"/>
  <c r="Y82" i="29"/>
  <c r="Z55" i="16" s="1"/>
  <c r="O119" i="45"/>
  <c r="N365" i="46"/>
  <c r="N370" i="46"/>
  <c r="N160" i="12"/>
  <c r="AD21" i="46"/>
  <c r="AC27" i="46"/>
  <c r="AC42" i="46" s="1"/>
  <c r="AC19" i="48"/>
  <c r="AB25" i="48"/>
  <c r="AB40" i="48" s="1"/>
  <c r="AA360" i="46"/>
  <c r="Z127" i="38"/>
  <c r="Z128" i="38"/>
  <c r="Z183" i="38"/>
  <c r="Z182" i="38"/>
  <c r="AA126" i="38"/>
  <c r="Y169" i="20"/>
  <c r="Y168" i="20"/>
  <c r="Y170" i="20"/>
  <c r="Y179" i="20" s="1"/>
  <c r="Y171" i="20"/>
  <c r="Y185" i="20" s="1"/>
  <c r="Y167" i="20"/>
  <c r="Y173" i="20" s="1"/>
  <c r="Z166" i="20"/>
  <c r="U34" i="48"/>
  <c r="BB82" i="45"/>
  <c r="BB25" i="45"/>
  <c r="BB24" i="45"/>
  <c r="BB26" i="45"/>
  <c r="V139" i="14"/>
  <c r="U117" i="12"/>
  <c r="BE64" i="51"/>
  <c r="X204" i="46"/>
  <c r="X203" i="46"/>
  <c r="AC22" i="29"/>
  <c r="AB28" i="29"/>
  <c r="AB46" i="29" s="1"/>
  <c r="AB26" i="53"/>
  <c r="AB41" i="53" s="1"/>
  <c r="AB147" i="53" s="1"/>
  <c r="AB148" i="53" s="1"/>
  <c r="AC60" i="51" s="1"/>
  <c r="AC20" i="53"/>
  <c r="Y65" i="16"/>
  <c r="W72" i="42"/>
  <c r="W76" i="42" s="1"/>
  <c r="W71" i="42"/>
  <c r="W75" i="42" s="1"/>
  <c r="W70" i="42"/>
  <c r="W74" i="42" s="1"/>
  <c r="W73" i="42"/>
  <c r="U101" i="12"/>
  <c r="T68" i="19"/>
  <c r="U101" i="14" s="1"/>
  <c r="T317" i="46"/>
  <c r="T320" i="46"/>
  <c r="U196" i="53"/>
  <c r="U197" i="53" s="1"/>
  <c r="V163" i="53"/>
  <c r="AB26" i="46"/>
  <c r="AB41" i="46" s="1"/>
  <c r="AC20" i="46"/>
  <c r="Y63" i="54"/>
  <c r="Y159" i="54" s="1"/>
  <c r="Y69" i="54"/>
  <c r="Y70" i="54" s="1"/>
  <c r="S335" i="38"/>
  <c r="T121" i="36" s="1"/>
  <c r="AZ121" i="36" s="1"/>
  <c r="S333" i="38"/>
  <c r="Q325" i="48"/>
  <c r="Q326" i="48"/>
  <c r="Z61" i="48"/>
  <c r="Z64" i="48"/>
  <c r="Z67" i="48"/>
  <c r="Z62" i="48"/>
  <c r="Z65" i="48"/>
  <c r="Z66" i="48"/>
  <c r="AA60" i="48"/>
  <c r="W199" i="42"/>
  <c r="W203" i="42" s="1"/>
  <c r="W197" i="42"/>
  <c r="W201" i="42" s="1"/>
  <c r="W200" i="42"/>
  <c r="W198" i="42"/>
  <c r="W202" i="42" s="1"/>
  <c r="R126" i="36"/>
  <c r="Q343" i="38"/>
  <c r="R127" i="36" s="1"/>
  <c r="AC21" i="16"/>
  <c r="AB26" i="38"/>
  <c r="AB41" i="38" s="1"/>
  <c r="AC20" i="38"/>
  <c r="BC98" i="45"/>
  <c r="S226" i="19"/>
  <c r="S229" i="19"/>
  <c r="S227" i="19"/>
  <c r="S228" i="19"/>
  <c r="AS122" i="45"/>
  <c r="AB128" i="15"/>
  <c r="AA40" i="28"/>
  <c r="AB60" i="15"/>
  <c r="X133" i="19"/>
  <c r="AZ112" i="45"/>
  <c r="AS10" i="55"/>
  <c r="Y182" i="42"/>
  <c r="Y183" i="42"/>
  <c r="Z181" i="42"/>
  <c r="BA87" i="45"/>
  <c r="BA73" i="45"/>
  <c r="Z306" i="48"/>
  <c r="Z31" i="48"/>
  <c r="Z63" i="20"/>
  <c r="Y65" i="20"/>
  <c r="Y64" i="20"/>
  <c r="V147" i="12"/>
  <c r="V95" i="12"/>
  <c r="U51" i="19"/>
  <c r="X261" i="48"/>
  <c r="X266" i="48" s="1"/>
  <c r="X263" i="48"/>
  <c r="X268" i="48" s="1"/>
  <c r="X262" i="48"/>
  <c r="X267" i="48" s="1"/>
  <c r="X265" i="48"/>
  <c r="X264" i="48"/>
  <c r="X269" i="48" s="1"/>
  <c r="U79" i="19"/>
  <c r="V110" i="14" s="1"/>
  <c r="V110" i="12"/>
  <c r="Y62" i="42"/>
  <c r="Y64" i="42"/>
  <c r="Y77" i="42" s="1"/>
  <c r="Y67" i="42"/>
  <c r="Y101" i="42" s="1"/>
  <c r="Y61" i="42"/>
  <c r="Y65" i="42"/>
  <c r="Y93" i="42" s="1"/>
  <c r="Y66" i="42"/>
  <c r="Y85" i="42" s="1"/>
  <c r="Z60" i="42"/>
  <c r="AW115" i="45"/>
  <c r="S111" i="48"/>
  <c r="S116" i="48" s="1"/>
  <c r="S110" i="48"/>
  <c r="S115" i="48" s="1"/>
  <c r="S112" i="48"/>
  <c r="S117" i="48" s="1"/>
  <c r="S113" i="48"/>
  <c r="S118" i="48" s="1"/>
  <c r="S114" i="48"/>
  <c r="S274" i="48"/>
  <c r="AB25" i="29"/>
  <c r="AB43" i="29" s="1"/>
  <c r="AC19" i="29"/>
  <c r="X135" i="14"/>
  <c r="M13" i="55"/>
  <c r="M14" i="55"/>
  <c r="M15" i="55"/>
  <c r="M11" i="55"/>
  <c r="M12" i="55"/>
  <c r="M16" i="55"/>
  <c r="Y66" i="16"/>
  <c r="T92" i="19"/>
  <c r="U145" i="14" s="1"/>
  <c r="U145" i="12"/>
  <c r="Z292" i="42"/>
  <c r="U111" i="12"/>
  <c r="T80" i="19"/>
  <c r="U111" i="14" s="1"/>
  <c r="R253" i="53"/>
  <c r="U227" i="14"/>
  <c r="S69" i="15"/>
  <c r="R205" i="28"/>
  <c r="R210" i="28"/>
  <c r="O348" i="48"/>
  <c r="AZ76" i="51"/>
  <c r="V185" i="28"/>
  <c r="V184" i="28"/>
  <c r="AA75" i="15"/>
  <c r="AA76" i="15"/>
  <c r="Y74" i="29"/>
  <c r="Z45" i="16" s="1"/>
  <c r="Z45" i="15"/>
  <c r="Y28" i="19"/>
  <c r="Y46" i="19" s="1"/>
  <c r="Z22" i="19"/>
  <c r="T107" i="14"/>
  <c r="AE16" i="16"/>
  <c r="AE19" i="16"/>
  <c r="AE18" i="16"/>
  <c r="AE15" i="16"/>
  <c r="AF14" i="16"/>
  <c r="AE74" i="16"/>
  <c r="AE32" i="16"/>
  <c r="AY100" i="45"/>
  <c r="AY113" i="45"/>
  <c r="Y33" i="45"/>
  <c r="Z241" i="48"/>
  <c r="AA240" i="48"/>
  <c r="X135" i="16"/>
  <c r="Y212" i="54"/>
  <c r="Y209" i="54"/>
  <c r="Y210" i="54"/>
  <c r="Y211" i="54"/>
  <c r="U282" i="38"/>
  <c r="U286" i="38"/>
  <c r="U285" i="38"/>
  <c r="U284" i="38"/>
  <c r="U283" i="38"/>
  <c r="U287" i="38"/>
  <c r="X298" i="42"/>
  <c r="X297" i="42"/>
  <c r="AZ90" i="45"/>
  <c r="T91" i="45"/>
  <c r="T114" i="45" s="1"/>
  <c r="AB128" i="16"/>
  <c r="AA40" i="29"/>
  <c r="AB60" i="16"/>
  <c r="O329" i="48"/>
  <c r="O333" i="48" s="1"/>
  <c r="O330" i="48"/>
  <c r="W300" i="38"/>
  <c r="W299" i="38"/>
  <c r="BF50" i="51"/>
  <c r="AC128" i="16"/>
  <c r="AB40" i="29"/>
  <c r="AC60" i="16"/>
  <c r="X59" i="45"/>
  <c r="W37" i="46"/>
  <c r="X58" i="45"/>
  <c r="X60" i="45"/>
  <c r="X104" i="45"/>
  <c r="AB121" i="16"/>
  <c r="AB42" i="16"/>
  <c r="W246" i="48"/>
  <c r="W251" i="48" s="1"/>
  <c r="W245" i="48"/>
  <c r="W250" i="48" s="1"/>
  <c r="W244" i="48"/>
  <c r="W249" i="48" s="1"/>
  <c r="W247" i="48"/>
  <c r="W252" i="48" s="1"/>
  <c r="W248" i="48"/>
  <c r="T179" i="29"/>
  <c r="T180" i="29" s="1"/>
  <c r="AB28" i="48"/>
  <c r="AC22" i="48"/>
  <c r="Z292" i="38"/>
  <c r="X137" i="38"/>
  <c r="X141" i="38" s="1"/>
  <c r="X136" i="38"/>
  <c r="X140" i="38" s="1"/>
  <c r="X138" i="38"/>
  <c r="Y85" i="36" s="1"/>
  <c r="X135" i="38"/>
  <c r="X139" i="38" s="1"/>
  <c r="Z265" i="19"/>
  <c r="AA307" i="20"/>
  <c r="BC108" i="45"/>
  <c r="Y296" i="38"/>
  <c r="Y293" i="38"/>
  <c r="Y294" i="38"/>
  <c r="Y295" i="38"/>
  <c r="O122" i="45"/>
  <c r="BC34" i="45"/>
  <c r="V221" i="20"/>
  <c r="V47" i="20"/>
  <c r="W93" i="12"/>
  <c r="V72" i="20"/>
  <c r="Q276" i="20"/>
  <c r="Q280" i="20" s="1"/>
  <c r="Q277" i="20"/>
  <c r="AA44" i="54"/>
  <c r="AA204" i="54" s="1"/>
  <c r="X106" i="19"/>
  <c r="Z131" i="16"/>
  <c r="Z129" i="16"/>
  <c r="Y129" i="38"/>
  <c r="Y134" i="38"/>
  <c r="AQ20" i="55"/>
  <c r="AQ19" i="55"/>
  <c r="V207" i="48"/>
  <c r="V212" i="48" s="1"/>
  <c r="V208" i="48"/>
  <c r="V213" i="48" s="1"/>
  <c r="V209" i="48"/>
  <c r="V214" i="48" s="1"/>
  <c r="V210" i="48"/>
  <c r="V215" i="48" s="1"/>
  <c r="V211" i="48"/>
  <c r="X175" i="20"/>
  <c r="X137" i="19" s="1"/>
  <c r="X178" i="20"/>
  <c r="X140" i="19" s="1"/>
  <c r="X174" i="20"/>
  <c r="X136" i="19" s="1"/>
  <c r="Y113" i="12"/>
  <c r="X177" i="20"/>
  <c r="X139" i="19" s="1"/>
  <c r="X135" i="19"/>
  <c r="Y113" i="14" s="1"/>
  <c r="X176" i="20"/>
  <c r="BB70" i="45"/>
  <c r="V175" i="48"/>
  <c r="V180" i="48" s="1"/>
  <c r="V176" i="48"/>
  <c r="V181" i="48" s="1"/>
  <c r="V177" i="48"/>
  <c r="V182" i="48" s="1"/>
  <c r="V178" i="48"/>
  <c r="V183" i="48" s="1"/>
  <c r="V179" i="48"/>
  <c r="AY109" i="45"/>
  <c r="T318" i="38"/>
  <c r="T319" i="38" s="1"/>
  <c r="T321" i="38" s="1"/>
  <c r="V84" i="20"/>
  <c r="BD71" i="51"/>
  <c r="U117" i="14"/>
  <c r="W161" i="42"/>
  <c r="W165" i="42" s="1"/>
  <c r="W160" i="42"/>
  <c r="W164" i="42" s="1"/>
  <c r="W162" i="42"/>
  <c r="W159" i="42"/>
  <c r="W163" i="42" s="1"/>
  <c r="X141" i="46"/>
  <c r="X164" i="46" s="1"/>
  <c r="X142" i="46"/>
  <c r="X174" i="46" s="1"/>
  <c r="X140" i="46"/>
  <c r="X154" i="46" s="1"/>
  <c r="AD21" i="38"/>
  <c r="AC27" i="38"/>
  <c r="AC42" i="38" s="1"/>
  <c r="X219" i="54"/>
  <c r="X231" i="54" s="1"/>
  <c r="X220" i="54"/>
  <c r="BG40" i="45"/>
  <c r="BG39" i="45"/>
  <c r="BD23" i="45"/>
  <c r="Y143" i="29"/>
  <c r="Y146" i="29"/>
  <c r="BH60" i="51"/>
  <c r="AW122" i="36"/>
  <c r="AW125" i="36"/>
  <c r="W243" i="42"/>
  <c r="W246" i="42"/>
  <c r="U100" i="12"/>
  <c r="T67" i="19"/>
  <c r="U100" i="14" s="1"/>
  <c r="T103" i="46"/>
  <c r="T108" i="46" s="1"/>
  <c r="T100" i="46"/>
  <c r="T105" i="46" s="1"/>
  <c r="T102" i="46"/>
  <c r="T107" i="46" s="1"/>
  <c r="T101" i="46"/>
  <c r="T106" i="46" s="1"/>
  <c r="T99" i="48"/>
  <c r="T104" i="46"/>
  <c r="U106" i="45" s="1"/>
  <c r="T202" i="53"/>
  <c r="T199" i="53"/>
  <c r="T198" i="53"/>
  <c r="T200" i="53"/>
  <c r="T203" i="53"/>
  <c r="T201" i="53"/>
  <c r="Y127" i="42"/>
  <c r="Y128" i="42"/>
  <c r="Z126" i="42"/>
  <c r="M160" i="14"/>
  <c r="W191" i="42"/>
  <c r="W195" i="42" s="1"/>
  <c r="W190" i="42"/>
  <c r="W194" i="42" s="1"/>
  <c r="W189" i="42"/>
  <c r="W193" i="42" s="1"/>
  <c r="W192" i="42"/>
  <c r="AF41" i="16"/>
  <c r="AX120" i="36"/>
  <c r="R122" i="36"/>
  <c r="R125" i="36"/>
  <c r="AA76" i="16"/>
  <c r="AA75" i="16"/>
  <c r="AZ4" i="55"/>
  <c r="X63" i="38"/>
  <c r="X69" i="38"/>
  <c r="X131" i="19"/>
  <c r="U134" i="29"/>
  <c r="U135" i="29" s="1"/>
  <c r="V101" i="29"/>
  <c r="V119" i="36"/>
  <c r="AC21" i="15"/>
  <c r="U4" i="55"/>
  <c r="W141" i="16"/>
  <c r="W142" i="16" s="1"/>
  <c r="Z31" i="28"/>
  <c r="Z146" i="28"/>
  <c r="V133" i="14"/>
  <c r="X186" i="42"/>
  <c r="X185" i="42"/>
  <c r="AF25" i="16"/>
  <c r="BE58" i="51"/>
  <c r="U53" i="19"/>
  <c r="U265" i="20"/>
  <c r="U288" i="20"/>
  <c r="U289" i="20" s="1"/>
  <c r="BE105" i="45"/>
  <c r="V111" i="12"/>
  <c r="U80" i="19"/>
  <c r="V111" i="14" s="1"/>
  <c r="X88" i="42"/>
  <c r="X92" i="42" s="1"/>
  <c r="X86" i="42"/>
  <c r="X90" i="42" s="1"/>
  <c r="X89" i="42"/>
  <c r="X87" i="42"/>
  <c r="X91" i="42" s="1"/>
  <c r="AG23" i="15"/>
  <c r="AG24" i="15"/>
  <c r="AH22" i="15"/>
  <c r="U241" i="54"/>
  <c r="U242" i="54" s="1"/>
  <c r="BF57" i="51"/>
  <c r="BD91" i="36"/>
  <c r="BD93" i="36" s="1"/>
  <c r="BD96" i="36" s="1"/>
  <c r="X93" i="36"/>
  <c r="X96" i="36" s="1"/>
  <c r="AC11" i="16"/>
  <c r="S76" i="51"/>
  <c r="Q334" i="48"/>
  <c r="Q338" i="48"/>
  <c r="Q337" i="48"/>
  <c r="Q335" i="48"/>
  <c r="Q339" i="48"/>
  <c r="Q336" i="48"/>
  <c r="AR13" i="55"/>
  <c r="AR11" i="55"/>
  <c r="AR16" i="55"/>
  <c r="AR12" i="55"/>
  <c r="AR15" i="55"/>
  <c r="AR14" i="55"/>
  <c r="Y221" i="38"/>
  <c r="Y225" i="38" s="1"/>
  <c r="Y222" i="38"/>
  <c r="Y226" i="38" s="1"/>
  <c r="Y220" i="38"/>
  <c r="Y224" i="38" s="1"/>
  <c r="Y223" i="38"/>
  <c r="Z98" i="36" s="1"/>
  <c r="AB122" i="16"/>
  <c r="AB132" i="16" s="1"/>
  <c r="V174" i="28"/>
  <c r="V175" i="28"/>
  <c r="V179" i="28"/>
  <c r="V178" i="28"/>
  <c r="V177" i="28"/>
  <c r="V176" i="28"/>
  <c r="AA31" i="29"/>
  <c r="AA132" i="29"/>
  <c r="Y71" i="29"/>
  <c r="Z48" i="16" s="1"/>
  <c r="Z48" i="15"/>
  <c r="AA44" i="38"/>
  <c r="AA288" i="38" s="1"/>
  <c r="Z47" i="29"/>
  <c r="Z142" i="29" s="1"/>
  <c r="S273" i="20"/>
  <c r="S272" i="20"/>
  <c r="AD20" i="16"/>
  <c r="BC73" i="51"/>
  <c r="Y56" i="45"/>
  <c r="Y55" i="45"/>
  <c r="BD72" i="51"/>
  <c r="BD51" i="51"/>
  <c r="AB28" i="42"/>
  <c r="AB43" i="42" s="1"/>
  <c r="AC22" i="42"/>
  <c r="V143" i="12"/>
  <c r="U90" i="19"/>
  <c r="V143" i="14" s="1"/>
  <c r="U118" i="12"/>
  <c r="T149" i="12"/>
  <c r="BF69" i="45"/>
  <c r="Y25" i="19"/>
  <c r="Y43" i="19" s="1"/>
  <c r="Y101" i="19" s="1"/>
  <c r="Z19" i="19"/>
  <c r="V117" i="36"/>
  <c r="V123" i="36" s="1"/>
  <c r="AB28" i="28"/>
  <c r="AB46" i="28" s="1"/>
  <c r="AC22" i="28"/>
  <c r="S325" i="42"/>
  <c r="S326" i="42" s="1"/>
  <c r="BD85" i="36"/>
  <c r="BD86" i="36" s="1"/>
  <c r="BD89" i="36" s="1"/>
  <c r="X86" i="36"/>
  <c r="X89" i="36" s="1"/>
  <c r="S180" i="19"/>
  <c r="R213" i="19"/>
  <c r="R214" i="19" s="1"/>
  <c r="AD17" i="15"/>
  <c r="V129" i="12"/>
  <c r="Y296" i="42"/>
  <c r="Y294" i="42"/>
  <c r="Y293" i="42"/>
  <c r="Y295" i="42"/>
  <c r="AY78" i="45"/>
  <c r="CI4" i="55"/>
  <c r="V253" i="20"/>
  <c r="V31" i="20"/>
  <c r="AA29" i="54"/>
  <c r="S317" i="48"/>
  <c r="S320" i="48"/>
  <c r="W135" i="42"/>
  <c r="W139" i="42" s="1"/>
  <c r="W137" i="42"/>
  <c r="W141" i="42" s="1"/>
  <c r="W136" i="42"/>
  <c r="W140" i="42" s="1"/>
  <c r="W138" i="42"/>
  <c r="Y132" i="38"/>
  <c r="Y158" i="38" s="1"/>
  <c r="Y131" i="38"/>
  <c r="Y150" i="38" s="1"/>
  <c r="Y130" i="38"/>
  <c r="Y142" i="38" s="1"/>
  <c r="X189" i="20"/>
  <c r="X151" i="19" s="1"/>
  <c r="X188" i="20"/>
  <c r="X150" i="19" s="1"/>
  <c r="X186" i="20"/>
  <c r="X148" i="19" s="1"/>
  <c r="X187" i="20"/>
  <c r="X149" i="19" s="1"/>
  <c r="X190" i="20"/>
  <c r="X152" i="19" s="1"/>
  <c r="Y137" i="12"/>
  <c r="X147" i="19"/>
  <c r="Y137" i="14" s="1"/>
  <c r="Y33" i="29"/>
  <c r="Y34" i="29"/>
  <c r="U60" i="19"/>
  <c r="Y207" i="28"/>
  <c r="Y208" i="28"/>
  <c r="Y156" i="28"/>
  <c r="O301" i="20"/>
  <c r="O310" i="20" s="1"/>
  <c r="P156" i="12" s="1"/>
  <c r="W151" i="42"/>
  <c r="W155" i="42" s="1"/>
  <c r="W153" i="42"/>
  <c r="W157" i="42" s="1"/>
  <c r="W152" i="42"/>
  <c r="W156" i="42" s="1"/>
  <c r="W154" i="42"/>
  <c r="X189" i="38"/>
  <c r="X193" i="38" s="1"/>
  <c r="X192" i="38"/>
  <c r="Y91" i="36" s="1"/>
  <c r="X190" i="38"/>
  <c r="X194" i="38" s="1"/>
  <c r="X191" i="38"/>
  <c r="X195" i="38" s="1"/>
  <c r="AC27" i="42"/>
  <c r="AC42" i="42" s="1"/>
  <c r="AD21" i="42"/>
  <c r="X139" i="46"/>
  <c r="X144" i="46"/>
  <c r="AH6" i="15"/>
  <c r="AG7" i="15"/>
  <c r="AG8" i="15" s="1"/>
  <c r="X68" i="45"/>
  <c r="AC22" i="38"/>
  <c r="AB28" i="38"/>
  <c r="AB43" i="38" s="1"/>
  <c r="U83" i="20"/>
  <c r="U75" i="19" s="1"/>
  <c r="U82" i="20"/>
  <c r="U70" i="19"/>
  <c r="V114" i="14" s="1"/>
  <c r="U80" i="20"/>
  <c r="U81" i="20"/>
  <c r="V114" i="12"/>
  <c r="U79" i="20"/>
  <c r="AX114" i="45"/>
  <c r="U147" i="14"/>
  <c r="U95" i="14"/>
  <c r="T271" i="46"/>
  <c r="AB25" i="28"/>
  <c r="AB43" i="28" s="1"/>
  <c r="AC19" i="28"/>
  <c r="X129" i="42"/>
  <c r="X134" i="42"/>
  <c r="Z66" i="54"/>
  <c r="Z73" i="54" s="1"/>
  <c r="Z74" i="54" s="1"/>
  <c r="Z67" i="54"/>
  <c r="Z77" i="54" s="1"/>
  <c r="Z78" i="54" s="1"/>
  <c r="Z62" i="54"/>
  <c r="Z64" i="54"/>
  <c r="Z71" i="54" s="1"/>
  <c r="Z72" i="54" s="1"/>
  <c r="Z61" i="54"/>
  <c r="Z65" i="54"/>
  <c r="Z75" i="54" s="1"/>
  <c r="Z76" i="54" s="1"/>
  <c r="AA60" i="54"/>
  <c r="W207" i="42"/>
  <c r="W211" i="42" s="1"/>
  <c r="W206" i="42"/>
  <c r="W210" i="42" s="1"/>
  <c r="W205" i="42"/>
  <c r="W209" i="42" s="1"/>
  <c r="W208" i="42"/>
  <c r="AG7" i="16"/>
  <c r="AG8" i="16" s="1"/>
  <c r="AH6" i="16"/>
  <c r="R325" i="46"/>
  <c r="R326" i="46"/>
  <c r="Z31" i="46"/>
  <c r="Z306" i="46"/>
  <c r="X96" i="38"/>
  <c r="X100" i="38" s="1"/>
  <c r="X97" i="38"/>
  <c r="Y108" i="36" s="1"/>
  <c r="BE108" i="36" s="1"/>
  <c r="X95" i="38"/>
  <c r="X99" i="38" s="1"/>
  <c r="X94" i="38"/>
  <c r="X98" i="38" s="1"/>
  <c r="Q342" i="42"/>
  <c r="Q337" i="42"/>
  <c r="X129" i="19"/>
  <c r="X128" i="19" s="1"/>
  <c r="T141" i="29"/>
  <c r="T137" i="29"/>
  <c r="T140" i="29"/>
  <c r="T136" i="29"/>
  <c r="T138" i="29"/>
  <c r="T139" i="29"/>
  <c r="U34" i="20"/>
  <c r="U33" i="20"/>
  <c r="V96" i="20"/>
  <c r="T44" i="48"/>
  <c r="T316" i="48" s="1"/>
  <c r="X298" i="38"/>
  <c r="X297" i="38"/>
  <c r="V144" i="29"/>
  <c r="V145" i="29" s="1"/>
  <c r="V167" i="29"/>
  <c r="V168" i="29" s="1"/>
  <c r="V131" i="12"/>
  <c r="U84" i="19"/>
  <c r="V131" i="14" s="1"/>
  <c r="AD21" i="54"/>
  <c r="AC27" i="54"/>
  <c r="AC42" i="54" s="1"/>
  <c r="Z26" i="20"/>
  <c r="Z44" i="20" s="1"/>
  <c r="AA20" i="20"/>
  <c r="X184" i="42"/>
  <c r="X188" i="42"/>
  <c r="X204" i="42"/>
  <c r="X196" i="42"/>
  <c r="W247" i="42"/>
  <c r="V280" i="42"/>
  <c r="V281" i="42" s="1"/>
  <c r="BD30" i="45"/>
  <c r="Z200" i="48"/>
  <c r="Z201" i="48"/>
  <c r="Z138" i="48"/>
  <c r="Z137" i="48"/>
  <c r="AA136" i="48"/>
  <c r="X114" i="36"/>
  <c r="BD79" i="36"/>
  <c r="BD114" i="36" s="1"/>
  <c r="Z27" i="20"/>
  <c r="Z45" i="20" s="1"/>
  <c r="AA21" i="20"/>
  <c r="U52" i="19"/>
  <c r="U49" i="19" s="1"/>
  <c r="U177" i="19" s="1"/>
  <c r="V105" i="14"/>
  <c r="U234" i="54"/>
  <c r="U235" i="54" s="1"/>
  <c r="U237" i="54" s="1"/>
  <c r="U258" i="54" s="1"/>
  <c r="Q248" i="19"/>
  <c r="Q249" i="19" s="1"/>
  <c r="Q250" i="19"/>
  <c r="BF61" i="51"/>
  <c r="Z64" i="51"/>
  <c r="X136" i="16"/>
  <c r="U105" i="14"/>
  <c r="AA360" i="48"/>
  <c r="Z217" i="38"/>
  <c r="Z219" i="38" s="1"/>
  <c r="AA216" i="38"/>
  <c r="S102" i="48"/>
  <c r="S107" i="48" s="1"/>
  <c r="S101" i="48"/>
  <c r="S106" i="48" s="1"/>
  <c r="S103" i="48"/>
  <c r="S108" i="48" s="1"/>
  <c r="S100" i="48"/>
  <c r="S105" i="48" s="1"/>
  <c r="S104" i="48"/>
  <c r="AR125" i="45"/>
  <c r="K371" i="48"/>
  <c r="AR126" i="45" s="1"/>
  <c r="Y263" i="46"/>
  <c r="Y268" i="46" s="1"/>
  <c r="Y261" i="46"/>
  <c r="Y266" i="46" s="1"/>
  <c r="Y264" i="46"/>
  <c r="Y269" i="46" s="1"/>
  <c r="Y262" i="46"/>
  <c r="Y267" i="46" s="1"/>
  <c r="Y265" i="46"/>
  <c r="Z105" i="45" s="1"/>
  <c r="Y260" i="48"/>
  <c r="X143" i="20"/>
  <c r="X119" i="19" s="1"/>
  <c r="X142" i="20"/>
  <c r="X118" i="19" s="1"/>
  <c r="X144" i="20"/>
  <c r="X120" i="19" s="1"/>
  <c r="X140" i="20"/>
  <c r="X116" i="19" s="1"/>
  <c r="X141" i="20"/>
  <c r="X117" i="19" s="1"/>
  <c r="X115" i="19"/>
  <c r="Y94" i="14" s="1"/>
  <c r="W233" i="54"/>
  <c r="W236" i="54" s="1"/>
  <c r="W232" i="54"/>
  <c r="AW126" i="36"/>
  <c r="P343" i="42"/>
  <c r="AW127" i="36" s="1"/>
  <c r="BG17" i="45"/>
  <c r="AA131" i="15"/>
  <c r="AA129" i="15"/>
  <c r="BH63" i="51"/>
  <c r="AY118" i="45"/>
  <c r="BG56" i="51"/>
  <c r="AA58" i="51"/>
  <c r="X136" i="15"/>
  <c r="W164" i="28"/>
  <c r="W161" i="28"/>
  <c r="W162" i="28"/>
  <c r="W163" i="28"/>
  <c r="BE29" i="45"/>
  <c r="BE28" i="45"/>
  <c r="BE32" i="45"/>
  <c r="BE36" i="45"/>
  <c r="BE31" i="45"/>
  <c r="BE37" i="45"/>
  <c r="BE35" i="45"/>
  <c r="BE54" i="45"/>
  <c r="BC83" i="45"/>
  <c r="X304" i="42"/>
  <c r="X303" i="42"/>
  <c r="X315" i="42" s="1"/>
  <c r="U89" i="19"/>
  <c r="V140" i="14" s="1"/>
  <c r="V140" i="12"/>
  <c r="S82" i="48"/>
  <c r="S87" i="48" s="1"/>
  <c r="S81" i="48"/>
  <c r="S86" i="48" s="1"/>
  <c r="S80" i="48"/>
  <c r="S85" i="48" s="1"/>
  <c r="S83" i="48"/>
  <c r="S88" i="48" s="1"/>
  <c r="S84" i="48"/>
  <c r="U118" i="14"/>
  <c r="T149" i="14"/>
  <c r="V163" i="19"/>
  <c r="P363" i="46"/>
  <c r="Q120" i="45" s="1"/>
  <c r="P361" i="46"/>
  <c r="AA85" i="29"/>
  <c r="AB61" i="15"/>
  <c r="AB25" i="54"/>
  <c r="AB40" i="54" s="1"/>
  <c r="AC19" i="54"/>
  <c r="U242" i="53"/>
  <c r="U251" i="53" s="1"/>
  <c r="V75" i="51" s="1"/>
  <c r="Y127" i="20"/>
  <c r="AC24" i="28"/>
  <c r="AD18" i="28"/>
  <c r="T172" i="29"/>
  <c r="T173" i="29" s="1"/>
  <c r="T175" i="29" s="1"/>
  <c r="T152" i="12"/>
  <c r="Q232" i="19"/>
  <c r="Q233" i="19"/>
  <c r="BE67" i="51"/>
  <c r="BE71" i="51" s="1"/>
  <c r="BC78" i="36"/>
  <c r="W80" i="36"/>
  <c r="W83" i="36" s="1"/>
  <c r="W119" i="36" s="1"/>
  <c r="W115" i="36"/>
  <c r="W116" i="36" s="1"/>
  <c r="Q327" i="46"/>
  <c r="Q328" i="46"/>
  <c r="AY9" i="55"/>
  <c r="R251" i="54"/>
  <c r="AY75" i="51" s="1"/>
  <c r="R333" i="42"/>
  <c r="Z216" i="42"/>
  <c r="Y217" i="42"/>
  <c r="Y219" i="42" s="1"/>
  <c r="S271" i="48"/>
  <c r="T80" i="45"/>
  <c r="T81" i="45"/>
  <c r="T79" i="45"/>
  <c r="AZ79" i="45"/>
  <c r="AZ81" i="45"/>
  <c r="AZ80" i="45"/>
  <c r="Z21" i="45"/>
  <c r="Y186" i="38"/>
  <c r="Y185" i="38"/>
  <c r="R72" i="16"/>
  <c r="Q197" i="29"/>
  <c r="R73" i="16" s="1"/>
  <c r="W24" i="19"/>
  <c r="X18" i="19"/>
  <c r="AQ6" i="55"/>
  <c r="X181" i="20"/>
  <c r="X143" i="19" s="1"/>
  <c r="X183" i="20"/>
  <c r="X145" i="19" s="1"/>
  <c r="X184" i="20"/>
  <c r="X146" i="19" s="1"/>
  <c r="X182" i="20"/>
  <c r="X144" i="19" s="1"/>
  <c r="X180" i="20"/>
  <c r="X142" i="19" s="1"/>
  <c r="X141" i="19"/>
  <c r="Y125" i="14" s="1"/>
  <c r="O363" i="46"/>
  <c r="P120" i="45" s="1"/>
  <c r="O361" i="46"/>
  <c r="W151" i="29"/>
  <c r="W152" i="29"/>
  <c r="BC107" i="45"/>
  <c r="N164" i="12"/>
  <c r="M318" i="20"/>
  <c r="N165" i="12" s="1"/>
  <c r="Y67" i="16"/>
  <c r="Y46" i="16"/>
  <c r="T320" i="38"/>
  <c r="W143" i="42"/>
  <c r="W147" i="42" s="1"/>
  <c r="W144" i="42"/>
  <c r="W148" i="42" s="1"/>
  <c r="W146" i="42"/>
  <c r="W145" i="42"/>
  <c r="W149" i="42" s="1"/>
  <c r="X197" i="38"/>
  <c r="X201" i="38" s="1"/>
  <c r="X200" i="38"/>
  <c r="Y101" i="36" s="1"/>
  <c r="BE101" i="36" s="1"/>
  <c r="X199" i="38"/>
  <c r="X203" i="38" s="1"/>
  <c r="X198" i="38"/>
  <c r="X202" i="38" s="1"/>
  <c r="AA41" i="45"/>
  <c r="Z67" i="46"/>
  <c r="Z61" i="46"/>
  <c r="Z65" i="46"/>
  <c r="Z62" i="46"/>
  <c r="Z64" i="46"/>
  <c r="Z66" i="46"/>
  <c r="Z89" i="46" s="1"/>
  <c r="AA60" i="46"/>
  <c r="Y212" i="53"/>
  <c r="Y209" i="53"/>
  <c r="Y210" i="53"/>
  <c r="Y211" i="53"/>
  <c r="T187" i="28"/>
  <c r="T188" i="28"/>
  <c r="X206" i="54"/>
  <c r="X207" i="54" s="1"/>
  <c r="X229" i="54"/>
  <c r="X230" i="54" s="1"/>
  <c r="U99" i="12"/>
  <c r="T69" i="19"/>
  <c r="U99" i="14" s="1"/>
  <c r="AA63" i="29"/>
  <c r="AA62" i="29" s="1"/>
  <c r="AA66" i="29"/>
  <c r="AA67" i="29"/>
  <c r="AA68" i="29"/>
  <c r="AA64" i="29"/>
  <c r="AA65" i="29"/>
  <c r="X130" i="42"/>
  <c r="X142" i="42" s="1"/>
  <c r="X131" i="42"/>
  <c r="X150" i="42" s="1"/>
  <c r="X132" i="42"/>
  <c r="X158" i="42" s="1"/>
  <c r="U44" i="46"/>
  <c r="U316" i="46" s="1"/>
  <c r="U99" i="46"/>
  <c r="U79" i="46"/>
  <c r="U69" i="46"/>
  <c r="U109" i="46"/>
  <c r="Q331" i="48"/>
  <c r="Q343" i="48" s="1"/>
  <c r="Q344" i="48" s="1"/>
  <c r="Q332" i="48"/>
  <c r="AA131" i="16"/>
  <c r="AA129" i="16"/>
  <c r="O258" i="19"/>
  <c r="O259" i="19" s="1"/>
  <c r="X79" i="38"/>
  <c r="X83" i="38" s="1"/>
  <c r="X81" i="38"/>
  <c r="Y92" i="36" s="1"/>
  <c r="BE92" i="36" s="1"/>
  <c r="X78" i="38"/>
  <c r="X82" i="38" s="1"/>
  <c r="X80" i="38"/>
  <c r="X84" i="38" s="1"/>
  <c r="R230" i="19"/>
  <c r="R231" i="19"/>
  <c r="T266" i="20"/>
  <c r="X303" i="38"/>
  <c r="X315" i="38" s="1"/>
  <c r="X304" i="38"/>
  <c r="U85" i="19"/>
  <c r="V132" i="14" s="1"/>
  <c r="V132" i="12"/>
  <c r="AB138" i="54"/>
  <c r="AB139" i="54" s="1"/>
  <c r="AB136" i="54"/>
  <c r="AB137" i="54" s="1"/>
  <c r="AB134" i="54"/>
  <c r="AB135" i="54" s="1"/>
  <c r="Q72" i="15"/>
  <c r="P211" i="28"/>
  <c r="Q73" i="15" s="1"/>
  <c r="U282" i="42"/>
  <c r="U287" i="42"/>
  <c r="U285" i="42"/>
  <c r="U284" i="42"/>
  <c r="U286" i="42"/>
  <c r="U283" i="42"/>
  <c r="N155" i="14"/>
  <c r="M270" i="19"/>
  <c r="M275" i="19"/>
  <c r="P254" i="19"/>
  <c r="AC40" i="16"/>
  <c r="BD33" i="45"/>
  <c r="V34" i="46"/>
  <c r="W82" i="45"/>
  <c r="W26" i="45"/>
  <c r="W24" i="45"/>
  <c r="W25" i="45"/>
  <c r="Y204" i="48"/>
  <c r="Y203" i="48"/>
  <c r="Y129" i="19"/>
  <c r="Y128" i="19" s="1"/>
  <c r="Y130" i="19"/>
  <c r="Y133" i="19"/>
  <c r="Y132" i="19"/>
  <c r="Z125" i="12"/>
  <c r="Y131" i="19"/>
  <c r="U54" i="19"/>
  <c r="U77" i="19"/>
  <c r="V106" i="14" s="1"/>
  <c r="V106" i="12"/>
  <c r="X80" i="42"/>
  <c r="X84" i="42" s="1"/>
  <c r="X79" i="42"/>
  <c r="X83" i="42" s="1"/>
  <c r="X81" i="42"/>
  <c r="X78" i="42"/>
  <c r="X82" i="42" s="1"/>
  <c r="W158" i="28"/>
  <c r="W159" i="28" s="1"/>
  <c r="W181" i="28"/>
  <c r="W182" i="28" s="1"/>
  <c r="T227" i="14"/>
  <c r="M361" i="48"/>
  <c r="AT10" i="55" s="1"/>
  <c r="AB26" i="54"/>
  <c r="AB41" i="54" s="1"/>
  <c r="AB147" i="54" s="1"/>
  <c r="AB148" i="54" s="1"/>
  <c r="AC20" i="54"/>
  <c r="T90" i="19"/>
  <c r="U143" i="14" s="1"/>
  <c r="U143" i="12"/>
  <c r="U33" i="48"/>
  <c r="U39" i="48" s="1"/>
  <c r="BB75" i="45"/>
  <c r="U106" i="12"/>
  <c r="T77" i="19"/>
  <c r="U106" i="14" s="1"/>
  <c r="AA44" i="53"/>
  <c r="AA204" i="53" s="1"/>
  <c r="AR123" i="45"/>
  <c r="AR124" i="45"/>
  <c r="AR121" i="45"/>
  <c r="Z258" i="46"/>
  <c r="Z260" i="46" s="1"/>
  <c r="AA257" i="46"/>
  <c r="AZ110" i="45"/>
  <c r="W227" i="54"/>
  <c r="W226" i="54"/>
  <c r="W224" i="54"/>
  <c r="W222" i="54"/>
  <c r="W225" i="54"/>
  <c r="W223" i="54"/>
  <c r="Y33" i="28"/>
  <c r="Y34" i="28"/>
  <c r="T98" i="14"/>
  <c r="T153" i="14"/>
  <c r="AB17" i="45"/>
  <c r="AB18" i="45" s="1"/>
  <c r="BH16" i="45"/>
  <c r="AC16" i="45"/>
  <c r="V33" i="46"/>
  <c r="V39" i="46" s="1"/>
  <c r="W75" i="45"/>
  <c r="Z208" i="54"/>
  <c r="T189" i="28"/>
  <c r="AA135" i="53"/>
  <c r="AB56" i="51"/>
  <c r="AY116" i="45"/>
  <c r="W200" i="20"/>
  <c r="W161" i="19" s="1"/>
  <c r="W203" i="20"/>
  <c r="W164" i="19" s="1"/>
  <c r="W201" i="20"/>
  <c r="W162" i="19" s="1"/>
  <c r="W199" i="20"/>
  <c r="W160" i="19" s="1"/>
  <c r="W202" i="20"/>
  <c r="W159" i="19"/>
  <c r="X123" i="14" s="1"/>
  <c r="AD17" i="16"/>
  <c r="Z35" i="45"/>
  <c r="Z31" i="45"/>
  <c r="Z32" i="45"/>
  <c r="Z37" i="45"/>
  <c r="Z29" i="45"/>
  <c r="BF27" i="45"/>
  <c r="Z36" i="45"/>
  <c r="AA27" i="45"/>
  <c r="Z28" i="45"/>
  <c r="Z54" i="45"/>
  <c r="P349" i="46"/>
  <c r="Z25" i="20"/>
  <c r="Z43" i="20" s="1"/>
  <c r="AA19" i="20"/>
  <c r="AD18" i="53"/>
  <c r="AC24" i="53"/>
  <c r="U171" i="29"/>
  <c r="U174" i="29" s="1"/>
  <c r="U170" i="29"/>
  <c r="X134" i="16"/>
  <c r="X77" i="16"/>
  <c r="X68" i="16"/>
  <c r="X133" i="16" a="1"/>
  <c r="X133" i="16" s="1"/>
  <c r="U91" i="19"/>
  <c r="V144" i="14" s="1"/>
  <c r="V144" i="12"/>
  <c r="AC27" i="48"/>
  <c r="AC42" i="48" s="1"/>
  <c r="AD21" i="48"/>
  <c r="AC24" i="29"/>
  <c r="AD18" i="29"/>
  <c r="V154" i="29"/>
  <c r="V153" i="29"/>
  <c r="AA108" i="54"/>
  <c r="AA109" i="54" s="1"/>
  <c r="AA104" i="54"/>
  <c r="AA105" i="54" s="1"/>
  <c r="AA106" i="54"/>
  <c r="AA107" i="54" s="1"/>
  <c r="AA110" i="54"/>
  <c r="AA111" i="54" s="1"/>
  <c r="AB43" i="15"/>
  <c r="AA36" i="28"/>
  <c r="AA42" i="28" s="1"/>
  <c r="AB123" i="15"/>
  <c r="Q218" i="19"/>
  <c r="Q216" i="19"/>
  <c r="Q217" i="19"/>
  <c r="Q215" i="19"/>
  <c r="Q220" i="19"/>
  <c r="Q219" i="19"/>
  <c r="AD34" i="15"/>
  <c r="AD33" i="15"/>
  <c r="Z121" i="20"/>
  <c r="Z122" i="20"/>
  <c r="Z125" i="20"/>
  <c r="Z124" i="20"/>
  <c r="Z123" i="20"/>
  <c r="Z120" i="20"/>
  <c r="AA119" i="20"/>
  <c r="Z47" i="28"/>
  <c r="Z52" i="29"/>
  <c r="Z49" i="29" s="1"/>
  <c r="Z51" i="29"/>
  <c r="Z50" i="29"/>
  <c r="Z53" i="29"/>
  <c r="Z54" i="29"/>
  <c r="U229" i="12"/>
  <c r="U130" i="14"/>
  <c r="Q251" i="19"/>
  <c r="T74" i="51"/>
  <c r="S253" i="53"/>
  <c r="T272" i="19"/>
  <c r="T222" i="19"/>
  <c r="T273" i="19"/>
  <c r="T221" i="19"/>
  <c r="T225" i="19"/>
  <c r="N268" i="19"/>
  <c r="O156" i="14" s="1"/>
  <c r="N266" i="19"/>
  <c r="V148" i="28"/>
  <c r="V149" i="28" s="1"/>
  <c r="W214" i="28"/>
  <c r="T318" i="42"/>
  <c r="T319" i="42" s="1"/>
  <c r="T321" i="42" s="1"/>
  <c r="W233" i="53"/>
  <c r="W236" i="53" s="1"/>
  <c r="W232" i="53"/>
  <c r="V218" i="54"/>
  <c r="V217" i="54"/>
  <c r="V221" i="54" s="1"/>
  <c r="L161" i="14"/>
  <c r="X221" i="42"/>
  <c r="X225" i="42" s="1"/>
  <c r="X220" i="42"/>
  <c r="X224" i="42" s="1"/>
  <c r="X222" i="42"/>
  <c r="X226" i="42" s="1"/>
  <c r="X223" i="42"/>
  <c r="X245" i="46"/>
  <c r="X250" i="46" s="1"/>
  <c r="X244" i="46"/>
  <c r="X249" i="46" s="1"/>
  <c r="X247" i="46"/>
  <c r="X252" i="46" s="1"/>
  <c r="X246" i="46"/>
  <c r="X251" i="46" s="1"/>
  <c r="X243" i="48"/>
  <c r="X248" i="46"/>
  <c r="Y96" i="45" s="1"/>
  <c r="X150" i="29"/>
  <c r="X148" i="29"/>
  <c r="X147" i="29"/>
  <c r="X149" i="29"/>
  <c r="X213" i="53"/>
  <c r="X214" i="53"/>
  <c r="X139" i="16"/>
  <c r="Y184" i="38"/>
  <c r="Y188" i="38"/>
  <c r="Y204" i="38"/>
  <c r="Y196" i="38"/>
  <c r="W210" i="46"/>
  <c r="W215" i="46" s="1"/>
  <c r="W208" i="46"/>
  <c r="W213" i="46" s="1"/>
  <c r="W209" i="46"/>
  <c r="W214" i="46" s="1"/>
  <c r="W211" i="46"/>
  <c r="X89" i="45" s="1"/>
  <c r="W206" i="48"/>
  <c r="W207" i="46"/>
  <c r="W212" i="46" s="1"/>
  <c r="R71" i="16"/>
  <c r="V29" i="19"/>
  <c r="V42" i="19"/>
  <c r="V50" i="19" s="1"/>
  <c r="AQ7" i="55"/>
  <c r="X93" i="48"/>
  <c r="X98" i="48" s="1"/>
  <c r="X90" i="48"/>
  <c r="X95" i="48" s="1"/>
  <c r="X91" i="48"/>
  <c r="X92" i="48"/>
  <c r="X97" i="48" s="1"/>
  <c r="X94" i="48"/>
  <c r="AE11" i="15"/>
  <c r="Y67" i="15"/>
  <c r="Y46" i="15"/>
  <c r="V165" i="28"/>
  <c r="V166" i="28"/>
  <c r="AB28" i="46"/>
  <c r="AC22" i="46"/>
  <c r="X139" i="15"/>
  <c r="X205" i="38"/>
  <c r="X209" i="38" s="1"/>
  <c r="X206" i="38"/>
  <c r="X210" i="38" s="1"/>
  <c r="X208" i="38"/>
  <c r="X207" i="38"/>
  <c r="X211" i="38" s="1"/>
  <c r="Z258" i="48"/>
  <c r="AA257" i="48"/>
  <c r="Y92" i="46"/>
  <c r="Y97" i="46" s="1"/>
  <c r="Y93" i="46"/>
  <c r="Y98" i="46" s="1"/>
  <c r="Y89" i="48"/>
  <c r="Y91" i="46"/>
  <c r="Y94" i="46"/>
  <c r="Y90" i="46"/>
  <c r="Y95" i="46" s="1"/>
  <c r="R241" i="19"/>
  <c r="R242" i="19"/>
  <c r="R240" i="19"/>
  <c r="R243" i="19"/>
  <c r="R239" i="19"/>
  <c r="R244" i="19"/>
  <c r="U129" i="12"/>
  <c r="AY91" i="45"/>
  <c r="AZ111" i="45"/>
  <c r="Y63" i="48"/>
  <c r="AF8" i="16"/>
  <c r="AC24" i="46"/>
  <c r="AD18" i="46"/>
  <c r="R233" i="14"/>
  <c r="R234" i="14" s="1"/>
  <c r="V158" i="48"/>
  <c r="V163" i="48" s="1"/>
  <c r="V156" i="48"/>
  <c r="V161" i="48" s="1"/>
  <c r="V155" i="48"/>
  <c r="V160" i="48" s="1"/>
  <c r="V157" i="48"/>
  <c r="V162" i="48" s="1"/>
  <c r="V159" i="48"/>
  <c r="X105" i="38"/>
  <c r="Y99" i="36" s="1"/>
  <c r="BE99" i="36" s="1"/>
  <c r="X103" i="38"/>
  <c r="X107" i="38" s="1"/>
  <c r="X102" i="38"/>
  <c r="X106" i="38" s="1"/>
  <c r="X104" i="38"/>
  <c r="X108" i="38" s="1"/>
  <c r="S150" i="14"/>
  <c r="Z61" i="28"/>
  <c r="Z57" i="29" s="1"/>
  <c r="Z60" i="28"/>
  <c r="Z64" i="28"/>
  <c r="AA59" i="28"/>
  <c r="Z63" i="28"/>
  <c r="U226" i="12"/>
  <c r="Z208" i="20"/>
  <c r="Y209" i="20"/>
  <c r="Y211" i="20" s="1"/>
  <c r="V128" i="12"/>
  <c r="U83" i="19"/>
  <c r="V128" i="14" s="1"/>
  <c r="X26" i="45"/>
  <c r="W34" i="46"/>
  <c r="X24" i="45"/>
  <c r="X82" i="45"/>
  <c r="X25" i="45"/>
  <c r="S203" i="28"/>
  <c r="T70" i="15" s="1"/>
  <c r="S201" i="28"/>
  <c r="N162" i="14"/>
  <c r="N158" i="14"/>
  <c r="P234" i="19"/>
  <c r="P238" i="19" s="1"/>
  <c r="P235" i="19"/>
  <c r="Z28" i="20"/>
  <c r="Z46" i="20" s="1"/>
  <c r="AA22" i="20"/>
  <c r="W215" i="53"/>
  <c r="W216" i="53"/>
  <c r="W70" i="45"/>
  <c r="BA86" i="45"/>
  <c r="BA72" i="45"/>
  <c r="Y142" i="48"/>
  <c r="Y141" i="48"/>
  <c r="Y140" i="48"/>
  <c r="S150" i="12"/>
  <c r="V105" i="12"/>
  <c r="X103" i="42"/>
  <c r="X107" i="42" s="1"/>
  <c r="X102" i="42"/>
  <c r="X106" i="42" s="1"/>
  <c r="X105" i="42"/>
  <c r="X104" i="42"/>
  <c r="X108" i="42" s="1"/>
  <c r="AF25" i="15"/>
  <c r="AZ102" i="45"/>
  <c r="AZ101" i="45"/>
  <c r="T103" i="45"/>
  <c r="T101" i="45"/>
  <c r="T102" i="45"/>
  <c r="AZ103" i="45"/>
  <c r="T226" i="14"/>
  <c r="Z67" i="51"/>
  <c r="Z71" i="51" s="1"/>
  <c r="Y76" i="53"/>
  <c r="U144" i="12"/>
  <c r="T91" i="19"/>
  <c r="U144" i="14" s="1"/>
  <c r="R290" i="20"/>
  <c r="R291" i="20" s="1"/>
  <c r="R292" i="20"/>
  <c r="R293" i="20" s="1"/>
  <c r="T108" i="12"/>
  <c r="BC60" i="45"/>
  <c r="X146" i="20"/>
  <c r="X122" i="19" s="1"/>
  <c r="X150" i="20"/>
  <c r="X126" i="19" s="1"/>
  <c r="X148" i="20"/>
  <c r="X124" i="19" s="1"/>
  <c r="X149" i="20"/>
  <c r="X125" i="19" s="1"/>
  <c r="X147" i="20"/>
  <c r="X123" i="19" s="1"/>
  <c r="Y138" i="12"/>
  <c r="X121" i="19"/>
  <c r="Y138" i="14" s="1"/>
  <c r="X134" i="15"/>
  <c r="X68" i="15"/>
  <c r="X77" i="15" s="1"/>
  <c r="X133" i="15" a="1"/>
  <c r="X133" i="15" s="1"/>
  <c r="AZ106" i="45"/>
  <c r="T109" i="45"/>
  <c r="AA69" i="45"/>
  <c r="T170" i="28"/>
  <c r="T169" i="28"/>
  <c r="T173" i="28" s="1"/>
  <c r="S116" i="45"/>
  <c r="AA332" i="42"/>
  <c r="BG62" i="51"/>
  <c r="R274" i="20"/>
  <c r="R275" i="20"/>
  <c r="S278" i="20"/>
  <c r="S279" i="20"/>
  <c r="AB26" i="42"/>
  <c r="AB41" i="42" s="1"/>
  <c r="AC20" i="42"/>
  <c r="BC68" i="45"/>
  <c r="V146" i="48"/>
  <c r="V151" i="48" s="1"/>
  <c r="V145" i="48"/>
  <c r="V150" i="48" s="1"/>
  <c r="V147" i="48"/>
  <c r="V152" i="48" s="1"/>
  <c r="V148" i="48"/>
  <c r="V153" i="48" s="1"/>
  <c r="V149" i="48"/>
  <c r="P329" i="46"/>
  <c r="P333" i="46" s="1"/>
  <c r="P330" i="46"/>
  <c r="Y96" i="19"/>
  <c r="Y95" i="19" s="1"/>
  <c r="Z126" i="12"/>
  <c r="Y145" i="20"/>
  <c r="AB39" i="53"/>
  <c r="U160" i="29"/>
  <c r="U162" i="29"/>
  <c r="U164" i="29"/>
  <c r="U161" i="29"/>
  <c r="U163" i="29"/>
  <c r="U165" i="29"/>
  <c r="AA31" i="28"/>
  <c r="AA146" i="28"/>
  <c r="V139" i="12"/>
  <c r="AZ94" i="45"/>
  <c r="T94" i="45"/>
  <c r="AZ93" i="45"/>
  <c r="T93" i="45"/>
  <c r="Z278" i="38"/>
  <c r="Z289" i="38" s="1"/>
  <c r="Z31" i="38"/>
  <c r="AC27" i="53"/>
  <c r="AC42" i="53" s="1"/>
  <c r="AD21" i="53"/>
  <c r="BC99" i="45"/>
  <c r="AB25" i="53"/>
  <c r="AB40" i="53" s="1"/>
  <c r="AC19" i="53"/>
  <c r="Y59" i="16"/>
  <c r="AB122" i="15"/>
  <c r="AB132" i="15" s="1"/>
  <c r="Y237" i="38"/>
  <c r="Y241" i="38" s="1"/>
  <c r="Y235" i="38"/>
  <c r="Y239" i="38" s="1"/>
  <c r="Y238" i="38"/>
  <c r="Z107" i="36" s="1"/>
  <c r="Y236" i="38"/>
  <c r="Y240" i="38" s="1"/>
  <c r="X135" i="15"/>
  <c r="AB123" i="16"/>
  <c r="AA36" i="29"/>
  <c r="AA42" i="29" s="1"/>
  <c r="AB43" i="16"/>
  <c r="Z94" i="12"/>
  <c r="Y139" i="20"/>
  <c r="V301" i="38"/>
  <c r="V305" i="38" s="1"/>
  <c r="V302" i="38"/>
  <c r="X206" i="53"/>
  <c r="X207" i="53" s="1"/>
  <c r="X229" i="53"/>
  <c r="X230" i="53" s="1"/>
  <c r="U130" i="12"/>
  <c r="R308" i="46"/>
  <c r="R309" i="46" s="1"/>
  <c r="S275" i="46"/>
  <c r="AE9" i="16"/>
  <c r="R318" i="48"/>
  <c r="R319" i="48" s="1"/>
  <c r="R341" i="48"/>
  <c r="R342" i="48" s="1"/>
  <c r="R334" i="46"/>
  <c r="R339" i="46"/>
  <c r="R336" i="46"/>
  <c r="R337" i="46"/>
  <c r="R338" i="46"/>
  <c r="R335" i="46"/>
  <c r="W70" i="38"/>
  <c r="W74" i="38" s="1"/>
  <c r="W72" i="38"/>
  <c r="W76" i="38" s="1"/>
  <c r="W73" i="38"/>
  <c r="X78" i="36" s="1"/>
  <c r="W71" i="38"/>
  <c r="W75" i="38" s="1"/>
  <c r="U151" i="28"/>
  <c r="U152" i="28"/>
  <c r="U155" i="28"/>
  <c r="U154" i="28"/>
  <c r="U150" i="28"/>
  <c r="U153" i="28"/>
  <c r="T325" i="42"/>
  <c r="T326" i="42" s="1"/>
  <c r="W225" i="53"/>
  <c r="W222" i="53"/>
  <c r="W226" i="53"/>
  <c r="W224" i="53"/>
  <c r="W227" i="53"/>
  <c r="W223" i="53"/>
  <c r="Y241" i="46"/>
  <c r="Y243" i="46" s="1"/>
  <c r="Z240" i="46"/>
  <c r="AB28" i="53"/>
  <c r="AB43" i="53" s="1"/>
  <c r="AC22" i="53"/>
  <c r="Y51" i="51"/>
  <c r="Y72" i="51"/>
  <c r="BE49" i="51"/>
  <c r="W227" i="46"/>
  <c r="W232" i="46" s="1"/>
  <c r="W229" i="46"/>
  <c r="W234" i="46" s="1"/>
  <c r="W228" i="46"/>
  <c r="W233" i="46" s="1"/>
  <c r="W231" i="46"/>
  <c r="X108" i="45" s="1"/>
  <c r="W230" i="46"/>
  <c r="W235" i="46" s="1"/>
  <c r="W226" i="48"/>
  <c r="AB28" i="54"/>
  <c r="AB43" i="54" s="1"/>
  <c r="AC22" i="54"/>
  <c r="W29" i="20"/>
  <c r="W42" i="20"/>
  <c r="X124" i="12" s="1"/>
  <c r="N13" i="55"/>
  <c r="N16" i="55"/>
  <c r="N11" i="55"/>
  <c r="N15" i="55"/>
  <c r="N14" i="55"/>
  <c r="N12" i="55"/>
  <c r="X58" i="29"/>
  <c r="X114" i="28"/>
  <c r="X213" i="28"/>
  <c r="R322" i="48"/>
  <c r="R321" i="48"/>
  <c r="R324" i="48"/>
  <c r="R323" i="48"/>
  <c r="Y63" i="46"/>
  <c r="AF41" i="15"/>
  <c r="AB25" i="42"/>
  <c r="AB40" i="42" s="1"/>
  <c r="AC19" i="42"/>
  <c r="BC77" i="45"/>
  <c r="Y65" i="15"/>
  <c r="AB26" i="48"/>
  <c r="AB41" i="48" s="1"/>
  <c r="AC20" i="48"/>
  <c r="T113" i="46"/>
  <c r="T118" i="46" s="1"/>
  <c r="T112" i="46"/>
  <c r="T117" i="46" s="1"/>
  <c r="T110" i="46"/>
  <c r="T115" i="46" s="1"/>
  <c r="T111" i="46"/>
  <c r="T116" i="46" s="1"/>
  <c r="T109" i="48"/>
  <c r="T114" i="46"/>
  <c r="U97" i="45" s="1"/>
  <c r="T274" i="46"/>
  <c r="V232" i="53"/>
  <c r="V233" i="53"/>
  <c r="V236" i="53" s="1"/>
  <c r="Y49" i="15"/>
  <c r="BF41" i="45"/>
  <c r="R332" i="46"/>
  <c r="R331" i="46"/>
  <c r="R343" i="46" s="1"/>
  <c r="R344" i="46" s="1"/>
  <c r="BE95" i="45"/>
  <c r="X35" i="48"/>
  <c r="BE44" i="45"/>
  <c r="BE42" i="45"/>
  <c r="BE43" i="45"/>
  <c r="CC11" i="55"/>
  <c r="CC19" i="55" s="1"/>
  <c r="CC13" i="55"/>
  <c r="CC14" i="55"/>
  <c r="CC12" i="55"/>
  <c r="CC16" i="55"/>
  <c r="CC15" i="55"/>
  <c r="Y62" i="28"/>
  <c r="Z44" i="15"/>
  <c r="Y56" i="29"/>
  <c r="Z44" i="16" s="1"/>
  <c r="Z154" i="54"/>
  <c r="Z156" i="54" s="1"/>
  <c r="AA153" i="54"/>
  <c r="Z194" i="53"/>
  <c r="Z31" i="53"/>
  <c r="W140" i="16"/>
  <c r="X216" i="20"/>
  <c r="X174" i="19" s="1"/>
  <c r="X213" i="20"/>
  <c r="X171" i="19" s="1"/>
  <c r="X212" i="20"/>
  <c r="X170" i="19" s="1"/>
  <c r="X214" i="20"/>
  <c r="X172" i="19" s="1"/>
  <c r="X215" i="20"/>
  <c r="X169" i="19"/>
  <c r="Y135" i="12"/>
  <c r="M164" i="14"/>
  <c r="L276" i="19"/>
  <c r="M165" i="14" s="1"/>
  <c r="Q71" i="15"/>
  <c r="AG24" i="16"/>
  <c r="AG23" i="16"/>
  <c r="AH22" i="16"/>
  <c r="Y167" i="19"/>
  <c r="Y166" i="19" s="1"/>
  <c r="CB6" i="55"/>
  <c r="BA85" i="45"/>
  <c r="BA71" i="45"/>
  <c r="U77" i="20"/>
  <c r="U74" i="20"/>
  <c r="U66" i="19" s="1"/>
  <c r="U75" i="20"/>
  <c r="U64" i="19"/>
  <c r="V93" i="14" s="1"/>
  <c r="U76" i="20"/>
  <c r="U73" i="20"/>
  <c r="U50" i="19"/>
  <c r="V235" i="54"/>
  <c r="V237" i="54" s="1"/>
  <c r="V258" i="54" s="1"/>
  <c r="V109" i="14"/>
  <c r="X96" i="42"/>
  <c r="X100" i="42" s="1"/>
  <c r="X95" i="42"/>
  <c r="X99" i="42" s="1"/>
  <c r="X97" i="42"/>
  <c r="X94" i="42"/>
  <c r="X98" i="42" s="1"/>
  <c r="BE98" i="36"/>
  <c r="W100" i="29"/>
  <c r="W88" i="29"/>
  <c r="BA128" i="36"/>
  <c r="M164" i="12"/>
  <c r="L318" i="20"/>
  <c r="M165" i="12" s="1"/>
  <c r="W215" i="54"/>
  <c r="W216" i="54"/>
  <c r="Y63" i="53"/>
  <c r="Y159" i="53" s="1"/>
  <c r="Y69" i="53"/>
  <c r="Y70" i="53" s="1"/>
  <c r="Z49" i="51" s="1"/>
  <c r="AB25" i="38"/>
  <c r="AB40" i="38" s="1"/>
  <c r="AC19" i="38"/>
  <c r="U136" i="14"/>
  <c r="T179" i="19"/>
  <c r="AB47" i="15"/>
  <c r="AA37" i="28"/>
  <c r="AB125" i="15"/>
  <c r="AA332" i="38"/>
  <c r="T108" i="14"/>
  <c r="V301" i="42"/>
  <c r="V305" i="42" s="1"/>
  <c r="V302" i="42"/>
  <c r="T79" i="19"/>
  <c r="U110" i="14" s="1"/>
  <c r="U110" i="12"/>
  <c r="X73" i="51"/>
  <c r="R69" i="15"/>
  <c r="Q205" i="28"/>
  <c r="Q210" i="28"/>
  <c r="T98" i="12"/>
  <c r="T153" i="12"/>
  <c r="BH69" i="51"/>
  <c r="V34" i="48"/>
  <c r="BC26" i="45"/>
  <c r="BC25" i="45"/>
  <c r="BC24" i="45"/>
  <c r="BC82" i="45"/>
  <c r="V227" i="12"/>
  <c r="X102" i="36"/>
  <c r="AA18" i="45"/>
  <c r="X160" i="38"/>
  <c r="X164" i="38" s="1"/>
  <c r="X162" i="38"/>
  <c r="Y109" i="36" s="1"/>
  <c r="BE109" i="36" s="1"/>
  <c r="X161" i="38"/>
  <c r="X165" i="38" s="1"/>
  <c r="X159" i="38"/>
  <c r="X163" i="38" s="1"/>
  <c r="Z85" i="28"/>
  <c r="Z72" i="29" s="1"/>
  <c r="Z83" i="28"/>
  <c r="Z70" i="29" s="1"/>
  <c r="Z84" i="28"/>
  <c r="Z87" i="28"/>
  <c r="Z88" i="28"/>
  <c r="Z86" i="28"/>
  <c r="AA82" i="28"/>
  <c r="O346" i="48"/>
  <c r="O347" i="48" s="1"/>
  <c r="O349" i="48" s="1"/>
  <c r="S118" i="45"/>
  <c r="AA68" i="51"/>
  <c r="AA50" i="51"/>
  <c r="AD74" i="16"/>
  <c r="BE21" i="45"/>
  <c r="S115" i="45"/>
  <c r="X110" i="36"/>
  <c r="N353" i="48"/>
  <c r="N354" i="48" s="1"/>
  <c r="T255" i="20"/>
  <c r="T256" i="20" s="1"/>
  <c r="U222" i="20"/>
  <c r="Q294" i="20"/>
  <c r="Q296" i="20" s="1"/>
  <c r="Q295" i="20"/>
  <c r="W178" i="46"/>
  <c r="W183" i="46" s="1"/>
  <c r="W176" i="46"/>
  <c r="W181" i="46" s="1"/>
  <c r="W175" i="46"/>
  <c r="W180" i="46" s="1"/>
  <c r="W177" i="46"/>
  <c r="W182" i="46" s="1"/>
  <c r="W174" i="48"/>
  <c r="W179" i="46"/>
  <c r="X107" i="45" s="1"/>
  <c r="AB138" i="53"/>
  <c r="AB139" i="53" s="1"/>
  <c r="AC69" i="51" s="1"/>
  <c r="AB134" i="53"/>
  <c r="AB136" i="53"/>
  <c r="AB137" i="53" s="1"/>
  <c r="AC63" i="51" s="1"/>
  <c r="Z195" i="20"/>
  <c r="Y196" i="20"/>
  <c r="V220" i="48"/>
  <c r="V225" i="48" s="1"/>
  <c r="V218" i="48"/>
  <c r="V223" i="48" s="1"/>
  <c r="V217" i="48"/>
  <c r="V222" i="48" s="1"/>
  <c r="V219" i="48"/>
  <c r="V224" i="48" s="1"/>
  <c r="V221" i="48"/>
  <c r="V290" i="38"/>
  <c r="V291" i="38" s="1"/>
  <c r="V313" i="38"/>
  <c r="V314" i="38" s="1"/>
  <c r="AA110" i="53"/>
  <c r="AA111" i="53" s="1"/>
  <c r="AA106" i="53"/>
  <c r="AA107" i="53" s="1"/>
  <c r="AB62" i="51" s="1"/>
  <c r="AA104" i="53"/>
  <c r="AA105" i="53" s="1"/>
  <c r="AB53" i="51" s="1"/>
  <c r="AA108" i="53"/>
  <c r="AA109" i="53" s="1"/>
  <c r="Y59" i="15"/>
  <c r="Z232" i="38"/>
  <c r="Z234" i="38" s="1"/>
  <c r="AA231" i="38"/>
  <c r="U167" i="28"/>
  <c r="U168" i="28"/>
  <c r="AE16" i="15"/>
  <c r="AE19" i="15"/>
  <c r="AE15" i="15"/>
  <c r="AF14" i="15"/>
  <c r="AE18" i="15"/>
  <c r="AE74" i="15"/>
  <c r="AE32" i="15"/>
  <c r="Y133" i="20"/>
  <c r="BE66" i="51"/>
  <c r="Y70" i="51"/>
  <c r="Q310" i="46"/>
  <c r="Q315" i="46"/>
  <c r="Q313" i="46"/>
  <c r="Q311" i="46"/>
  <c r="Q314" i="46"/>
  <c r="Q312" i="46"/>
  <c r="K159" i="14"/>
  <c r="BE107" i="36"/>
  <c r="W243" i="38"/>
  <c r="W246" i="38"/>
  <c r="AC27" i="29"/>
  <c r="AD21" i="29"/>
  <c r="P258" i="19"/>
  <c r="P259" i="19" s="1"/>
  <c r="AC35" i="15"/>
  <c r="AC27" i="28"/>
  <c r="AD21" i="28"/>
  <c r="AZ76" i="45"/>
  <c r="T78" i="45"/>
  <c r="W220" i="46"/>
  <c r="W225" i="46" s="1"/>
  <c r="W217" i="46"/>
  <c r="W222" i="46" s="1"/>
  <c r="W218" i="46"/>
  <c r="W223" i="46" s="1"/>
  <c r="W216" i="48"/>
  <c r="W219" i="46"/>
  <c r="W224" i="46" s="1"/>
  <c r="W221" i="46"/>
  <c r="X99" i="45" s="1"/>
  <c r="X194" i="29"/>
  <c r="X193" i="29"/>
  <c r="W157" i="29"/>
  <c r="W169" i="29" s="1"/>
  <c r="W158" i="29"/>
  <c r="Y18" i="20"/>
  <c r="X24" i="20"/>
  <c r="N157" i="12"/>
  <c r="N163" i="12"/>
  <c r="Y26" i="19"/>
  <c r="Y44" i="19" s="1"/>
  <c r="Y155" i="19" s="1"/>
  <c r="Y154" i="19" s="1"/>
  <c r="Z20" i="19"/>
  <c r="AB39" i="54"/>
  <c r="R326" i="38"/>
  <c r="R335" i="38" s="1"/>
  <c r="S121" i="36" s="1"/>
  <c r="AY121" i="36" s="1"/>
  <c r="Y137" i="46"/>
  <c r="Y201" i="46"/>
  <c r="Y138" i="46"/>
  <c r="Y200" i="46"/>
  <c r="Z136" i="46"/>
  <c r="Y21" i="45"/>
  <c r="X213" i="54"/>
  <c r="X214" i="54"/>
  <c r="AA29" i="46"/>
  <c r="T73" i="46"/>
  <c r="T78" i="46" s="1"/>
  <c r="T72" i="46"/>
  <c r="T77" i="46" s="1"/>
  <c r="T69" i="48"/>
  <c r="T70" i="46"/>
  <c r="T75" i="46" s="1"/>
  <c r="T71" i="46"/>
  <c r="T76" i="46" s="1"/>
  <c r="T74" i="46"/>
  <c r="U76" i="45" s="1"/>
  <c r="S180" i="29"/>
  <c r="S187" i="29" s="1"/>
  <c r="T97" i="12"/>
  <c r="T154" i="12"/>
  <c r="V223" i="53"/>
  <c r="V227" i="53"/>
  <c r="V224" i="53"/>
  <c r="V226" i="53"/>
  <c r="V222" i="53"/>
  <c r="V225" i="53"/>
  <c r="P327" i="48"/>
  <c r="P328" i="48"/>
  <c r="Y49" i="16"/>
  <c r="AC125" i="15"/>
  <c r="AB37" i="28"/>
  <c r="AC47" i="15"/>
  <c r="S223" i="19"/>
  <c r="S224" i="19" s="1"/>
  <c r="S246" i="19"/>
  <c r="S247" i="19" s="1"/>
  <c r="Q308" i="48"/>
  <c r="Q309" i="48" s="1"/>
  <c r="R275" i="48"/>
  <c r="CD9" i="55"/>
  <c r="Y62" i="38"/>
  <c r="Y61" i="38"/>
  <c r="Y65" i="38"/>
  <c r="Y93" i="38" s="1"/>
  <c r="Y67" i="38"/>
  <c r="Y101" i="38" s="1"/>
  <c r="Y64" i="38"/>
  <c r="Y77" i="38" s="1"/>
  <c r="Y66" i="38"/>
  <c r="Y85" i="38" s="1"/>
  <c r="Z60" i="38"/>
  <c r="R236" i="19"/>
  <c r="R248" i="19" s="1"/>
  <c r="R249" i="19" s="1"/>
  <c r="R237" i="19"/>
  <c r="V290" i="42"/>
  <c r="V291" i="42" s="1"/>
  <c r="V313" i="42"/>
  <c r="V314" i="42" s="1"/>
  <c r="Y60" i="29"/>
  <c r="Z56" i="16" s="1"/>
  <c r="Z56" i="15"/>
  <c r="AD10" i="16"/>
  <c r="Y157" i="54"/>
  <c r="Y162" i="54"/>
  <c r="T271" i="20"/>
  <c r="T268" i="20"/>
  <c r="T269" i="20"/>
  <c r="T270" i="20"/>
  <c r="AA44" i="42"/>
  <c r="AA288" i="42" s="1"/>
  <c r="P345" i="48"/>
  <c r="X67" i="45"/>
  <c r="T228" i="12"/>
  <c r="T232" i="12" s="1"/>
  <c r="X157" i="28"/>
  <c r="X160" i="28"/>
  <c r="BD56" i="45"/>
  <c r="BD55" i="45"/>
  <c r="Y139" i="48"/>
  <c r="R115" i="45"/>
  <c r="X69" i="20"/>
  <c r="X70" i="20"/>
  <c r="X68" i="20"/>
  <c r="X67" i="20"/>
  <c r="U57" i="19"/>
  <c r="U263" i="20"/>
  <c r="U264" i="20"/>
  <c r="U314" i="20"/>
  <c r="U315" i="20"/>
  <c r="U267" i="20"/>
  <c r="Y232" i="42"/>
  <c r="Y234" i="42" s="1"/>
  <c r="Z231" i="42"/>
  <c r="X63" i="42"/>
  <c r="X69" i="42"/>
  <c r="U317" i="38"/>
  <c r="U320" i="38" s="1"/>
  <c r="U316" i="38"/>
  <c r="S318" i="46"/>
  <c r="S319" i="46" s="1"/>
  <c r="S341" i="46"/>
  <c r="S342" i="46" s="1"/>
  <c r="T9" i="55"/>
  <c r="U309" i="42"/>
  <c r="U311" i="42"/>
  <c r="U308" i="42"/>
  <c r="U307" i="42"/>
  <c r="U310" i="42"/>
  <c r="U306" i="42"/>
  <c r="Z31" i="54"/>
  <c r="Z194" i="54"/>
  <c r="T89" i="19"/>
  <c r="U140" i="14" s="1"/>
  <c r="U140" i="12"/>
  <c r="AB121" i="15"/>
  <c r="AB42" i="15"/>
  <c r="BF54" i="51"/>
  <c r="U109" i="12"/>
  <c r="T81" i="19"/>
  <c r="U109" i="14" s="1"/>
  <c r="AA29" i="38" l="1"/>
  <c r="W234" i="53"/>
  <c r="V4" i="55"/>
  <c r="AB41" i="45"/>
  <c r="V37" i="48"/>
  <c r="AA43" i="48" s="1"/>
  <c r="BA4" i="55"/>
  <c r="BC58" i="45"/>
  <c r="AB29" i="29"/>
  <c r="BC104" i="45"/>
  <c r="Z89" i="29"/>
  <c r="Z31" i="42"/>
  <c r="Z278" i="42"/>
  <c r="Z289" i="42" s="1"/>
  <c r="AC18" i="38"/>
  <c r="AB24" i="38"/>
  <c r="AB39" i="38" s="1"/>
  <c r="AB24" i="42"/>
  <c r="AB39" i="42" s="1"/>
  <c r="AC18" i="42"/>
  <c r="BA111" i="45"/>
  <c r="U148" i="12"/>
  <c r="U169" i="12" s="1"/>
  <c r="Y99" i="19"/>
  <c r="Z65" i="16"/>
  <c r="Z139" i="16" s="1"/>
  <c r="Y110" i="36"/>
  <c r="Y57" i="45"/>
  <c r="Y104" i="45" s="1"/>
  <c r="BE110" i="36"/>
  <c r="Y97" i="19"/>
  <c r="Y100" i="19"/>
  <c r="W234" i="54"/>
  <c r="W235" i="54" s="1"/>
  <c r="W237" i="54" s="1"/>
  <c r="W258" i="54" s="1"/>
  <c r="U266" i="20"/>
  <c r="AB29" i="48"/>
  <c r="AB306" i="48" s="1"/>
  <c r="Y98" i="19"/>
  <c r="T148" i="14"/>
  <c r="AB29" i="46"/>
  <c r="AB43" i="46"/>
  <c r="Z133" i="20"/>
  <c r="V186" i="28"/>
  <c r="V187" i="28" s="1"/>
  <c r="X141" i="15"/>
  <c r="X142" i="15" s="1"/>
  <c r="U271" i="46"/>
  <c r="U225" i="12" a="1"/>
  <c r="U225" i="12" s="1"/>
  <c r="Z127" i="20"/>
  <c r="Z129" i="20" s="1"/>
  <c r="Z105" i="19" s="1"/>
  <c r="Z63" i="46"/>
  <c r="Z202" i="48"/>
  <c r="AB29" i="54"/>
  <c r="U189" i="28"/>
  <c r="N6" i="55"/>
  <c r="BD67" i="45"/>
  <c r="AR6" i="55"/>
  <c r="V188" i="28"/>
  <c r="V193" i="28" s="1"/>
  <c r="M6" i="55"/>
  <c r="U176" i="19"/>
  <c r="N7" i="55"/>
  <c r="Z139" i="48"/>
  <c r="M7" i="55"/>
  <c r="BE102" i="36"/>
  <c r="BE103" i="36" s="1"/>
  <c r="Y102" i="36"/>
  <c r="Y105" i="36" s="1"/>
  <c r="BA110" i="45"/>
  <c r="T69" i="16"/>
  <c r="AG9" i="15"/>
  <c r="AG10" i="15" s="1"/>
  <c r="P162" i="12"/>
  <c r="P158" i="12"/>
  <c r="V241" i="53"/>
  <c r="V242" i="53" s="1"/>
  <c r="S239" i="19"/>
  <c r="S241" i="19"/>
  <c r="S242" i="19"/>
  <c r="S244" i="19"/>
  <c r="S240" i="19"/>
  <c r="S243" i="19"/>
  <c r="U179" i="29"/>
  <c r="AT13" i="55"/>
  <c r="AT14" i="55"/>
  <c r="AT11" i="55"/>
  <c r="AT12" i="55"/>
  <c r="AT15" i="55"/>
  <c r="AT16" i="55"/>
  <c r="AG9" i="16"/>
  <c r="AG10" i="16" s="1"/>
  <c r="X127" i="12"/>
  <c r="V259" i="54"/>
  <c r="BC78" i="51" s="1"/>
  <c r="BC77" i="51"/>
  <c r="U259" i="54"/>
  <c r="BB78" i="51" s="1"/>
  <c r="BB77" i="51"/>
  <c r="W241" i="53"/>
  <c r="W242" i="53" s="1"/>
  <c r="W128" i="36"/>
  <c r="X70" i="45"/>
  <c r="Y235" i="42"/>
  <c r="Y239" i="42" s="1"/>
  <c r="Y236" i="42"/>
  <c r="Y240" i="42" s="1"/>
  <c r="Y237" i="42"/>
  <c r="Y241" i="42" s="1"/>
  <c r="Y238" i="42"/>
  <c r="P348" i="48"/>
  <c r="X215" i="54"/>
  <c r="X216" i="54"/>
  <c r="S338" i="46"/>
  <c r="S334" i="46"/>
  <c r="S337" i="46"/>
  <c r="S336" i="46"/>
  <c r="S335" i="46"/>
  <c r="S339" i="46"/>
  <c r="U271" i="20"/>
  <c r="U268" i="20"/>
  <c r="U269" i="20"/>
  <c r="U270" i="20"/>
  <c r="X164" i="28"/>
  <c r="X161" i="28"/>
  <c r="X162" i="28"/>
  <c r="X163" i="28"/>
  <c r="T272" i="20"/>
  <c r="T273" i="20"/>
  <c r="Y104" i="38"/>
  <c r="Y108" i="38" s="1"/>
  <c r="Y105" i="38"/>
  <c r="Z99" i="36" s="1"/>
  <c r="BF99" i="36" s="1"/>
  <c r="Y103" i="38"/>
  <c r="Y107" i="38" s="1"/>
  <c r="Y102" i="38"/>
  <c r="Y106" i="38" s="1"/>
  <c r="Y139" i="46"/>
  <c r="Y144" i="46"/>
  <c r="AE33" i="15"/>
  <c r="AE34" i="15"/>
  <c r="V317" i="38"/>
  <c r="V320" i="38" s="1"/>
  <c r="V316" i="38"/>
  <c r="Z196" i="20"/>
  <c r="AA195" i="20"/>
  <c r="T262" i="20"/>
  <c r="T257" i="20"/>
  <c r="T258" i="20"/>
  <c r="T260" i="20"/>
  <c r="T259" i="20"/>
  <c r="T261" i="20"/>
  <c r="N363" i="48"/>
  <c r="AU120" i="45" s="1"/>
  <c r="N361" i="48"/>
  <c r="AU10" i="55" s="1"/>
  <c r="BE23" i="45"/>
  <c r="Z74" i="29"/>
  <c r="AA45" i="16" s="1"/>
  <c r="AA45" i="15"/>
  <c r="AA20" i="45"/>
  <c r="AA19" i="45"/>
  <c r="BC86" i="45"/>
  <c r="BC72" i="45"/>
  <c r="W217" i="54"/>
  <c r="W221" i="54" s="1"/>
  <c r="W218" i="54"/>
  <c r="Y103" i="36"/>
  <c r="U65" i="19"/>
  <c r="V96" i="14" s="1"/>
  <c r="V96" i="12"/>
  <c r="CC6" i="55"/>
  <c r="AB31" i="46"/>
  <c r="AB306" i="46"/>
  <c r="Y136" i="15"/>
  <c r="T113" i="48"/>
  <c r="T118" i="48" s="1"/>
  <c r="T111" i="48"/>
  <c r="T116" i="48" s="1"/>
  <c r="T110" i="48"/>
  <c r="T115" i="48" s="1"/>
  <c r="T114" i="48"/>
  <c r="T112" i="48"/>
  <c r="T117" i="48" s="1"/>
  <c r="T274" i="48"/>
  <c r="X158" i="28"/>
  <c r="X159" i="28" s="1"/>
  <c r="X181" i="28"/>
  <c r="X182" i="28" s="1"/>
  <c r="BD108" i="45"/>
  <c r="T335" i="42"/>
  <c r="T333" i="42"/>
  <c r="X232" i="53"/>
  <c r="X233" i="53"/>
  <c r="X236" i="53" s="1"/>
  <c r="AE21" i="53"/>
  <c r="AD27" i="53"/>
  <c r="AD42" i="53" s="1"/>
  <c r="AC26" i="42"/>
  <c r="AC41" i="42" s="1"/>
  <c r="AD20" i="42"/>
  <c r="X85" i="45"/>
  <c r="X71" i="45"/>
  <c r="Y191" i="38"/>
  <c r="Y195" i="38" s="1"/>
  <c r="Y189" i="38"/>
  <c r="Y193" i="38" s="1"/>
  <c r="Y190" i="38"/>
  <c r="Y194" i="38" s="1"/>
  <c r="Y192" i="38"/>
  <c r="Z91" i="36" s="1"/>
  <c r="X151" i="29"/>
  <c r="X152" i="29"/>
  <c r="V154" i="28"/>
  <c r="V153" i="28"/>
  <c r="V150" i="28"/>
  <c r="V155" i="28"/>
  <c r="V151" i="28"/>
  <c r="V152" i="28"/>
  <c r="T229" i="19"/>
  <c r="T226" i="19"/>
  <c r="T227" i="19"/>
  <c r="T228" i="19"/>
  <c r="AA121" i="20"/>
  <c r="AA125" i="20"/>
  <c r="AA122" i="20"/>
  <c r="AA120" i="20"/>
  <c r="AA123" i="20"/>
  <c r="AB119" i="20"/>
  <c r="AA124" i="20"/>
  <c r="AA126" i="12"/>
  <c r="Z145" i="20"/>
  <c r="V79" i="46"/>
  <c r="V99" i="46"/>
  <c r="V69" i="46"/>
  <c r="V44" i="46"/>
  <c r="V316" i="46" s="1"/>
  <c r="V109" i="46"/>
  <c r="V130" i="14"/>
  <c r="U317" i="46"/>
  <c r="U320" i="46"/>
  <c r="X24" i="19"/>
  <c r="Y18" i="19"/>
  <c r="Z217" i="42"/>
  <c r="Z219" i="42" s="1"/>
  <c r="AA216" i="42"/>
  <c r="Y73" i="51"/>
  <c r="W171" i="28"/>
  <c r="W183" i="28" s="1"/>
  <c r="W172" i="28"/>
  <c r="BG69" i="45"/>
  <c r="Y261" i="48"/>
  <c r="Y266" i="48" s="1"/>
  <c r="Y262" i="48"/>
  <c r="Y267" i="48" s="1"/>
  <c r="Y263" i="48"/>
  <c r="Y268" i="48" s="1"/>
  <c r="Y264" i="48"/>
  <c r="Y269" i="48" s="1"/>
  <c r="Y265" i="48"/>
  <c r="Z141" i="48"/>
  <c r="Z142" i="48"/>
  <c r="Z140" i="48"/>
  <c r="X207" i="42"/>
  <c r="X211" i="42" s="1"/>
  <c r="X205" i="42"/>
  <c r="X209" i="42" s="1"/>
  <c r="X206" i="42"/>
  <c r="X210" i="42" s="1"/>
  <c r="X208" i="42"/>
  <c r="AD27" i="54"/>
  <c r="AD42" i="54" s="1"/>
  <c r="AE21" i="54"/>
  <c r="T271" i="48"/>
  <c r="AB68" i="29"/>
  <c r="AB65" i="29"/>
  <c r="AB66" i="29"/>
  <c r="AB67" i="29"/>
  <c r="AB64" i="29"/>
  <c r="AB63" i="29"/>
  <c r="AB62" i="29" s="1"/>
  <c r="U74" i="19"/>
  <c r="V121" i="14" s="1"/>
  <c r="V121" i="12"/>
  <c r="AD27" i="42"/>
  <c r="AD42" i="42" s="1"/>
  <c r="AE21" i="42"/>
  <c r="Y304" i="42"/>
  <c r="Y303" i="42"/>
  <c r="Y315" i="42" s="1"/>
  <c r="AB29" i="28"/>
  <c r="Z143" i="29"/>
  <c r="Z146" i="29"/>
  <c r="AA292" i="38"/>
  <c r="AG25" i="15"/>
  <c r="AE38" i="29"/>
  <c r="AF124" i="16"/>
  <c r="AF54" i="16"/>
  <c r="W34" i="48"/>
  <c r="BD26" i="45"/>
  <c r="BD82" i="45"/>
  <c r="BD24" i="45"/>
  <c r="BD25" i="45"/>
  <c r="V89" i="20"/>
  <c r="V86" i="20"/>
  <c r="V78" i="19" s="1"/>
  <c r="V76" i="19"/>
  <c r="W104" i="14" s="1"/>
  <c r="W104" i="12"/>
  <c r="V87" i="20"/>
  <c r="V85" i="20"/>
  <c r="V88" i="20"/>
  <c r="Y136" i="38"/>
  <c r="Y140" i="38" s="1"/>
  <c r="Y137" i="38"/>
  <c r="Y141" i="38" s="1"/>
  <c r="Y138" i="38"/>
  <c r="Z85" i="36" s="1"/>
  <c r="Y135" i="38"/>
  <c r="Y139" i="38" s="1"/>
  <c r="W147" i="12"/>
  <c r="W95" i="12"/>
  <c r="V55" i="19"/>
  <c r="Y297" i="38"/>
  <c r="Y298" i="38"/>
  <c r="Y86" i="36"/>
  <c r="Y89" i="36" s="1"/>
  <c r="BE85" i="36"/>
  <c r="BE86" i="36" s="1"/>
  <c r="BE89" i="36" s="1"/>
  <c r="AE20" i="16"/>
  <c r="U107" i="12"/>
  <c r="S318" i="48"/>
  <c r="S319" i="48" s="1"/>
  <c r="S341" i="48"/>
  <c r="S342" i="48" s="1"/>
  <c r="V108" i="12"/>
  <c r="Z183" i="42"/>
  <c r="Z182" i="42"/>
  <c r="AA181" i="42"/>
  <c r="T322" i="46"/>
  <c r="T321" i="46"/>
  <c r="T324" i="46"/>
  <c r="T323" i="46"/>
  <c r="Z186" i="38"/>
  <c r="Z185" i="38"/>
  <c r="AE21" i="46"/>
  <c r="AD27" i="46"/>
  <c r="AD42" i="46" s="1"/>
  <c r="O121" i="45"/>
  <c r="O123" i="45"/>
  <c r="O124" i="45"/>
  <c r="U193" i="28"/>
  <c r="U194" i="28" s="1"/>
  <c r="V141" i="14"/>
  <c r="AA66" i="53"/>
  <c r="AA73" i="53" s="1"/>
  <c r="AA74" i="53" s="1"/>
  <c r="AA64" i="53"/>
  <c r="AA71" i="53" s="1"/>
  <c r="AA72" i="53" s="1"/>
  <c r="AB57" i="51" s="1"/>
  <c r="AA62" i="53"/>
  <c r="AA61" i="53"/>
  <c r="AA67" i="53"/>
  <c r="AA77" i="53" s="1"/>
  <c r="AA78" i="53" s="1"/>
  <c r="AB61" i="51" s="1"/>
  <c r="AA65" i="53"/>
  <c r="AA75" i="53" s="1"/>
  <c r="AB60" i="53"/>
  <c r="AA31" i="42"/>
  <c r="AA278" i="42"/>
  <c r="AA289" i="42" s="1"/>
  <c r="R250" i="19"/>
  <c r="BA90" i="45"/>
  <c r="U91" i="45"/>
  <c r="W301" i="42"/>
  <c r="W305" i="42" s="1"/>
  <c r="W302" i="42"/>
  <c r="U198" i="54"/>
  <c r="U201" i="54"/>
  <c r="U200" i="54"/>
  <c r="U199" i="54"/>
  <c r="U202" i="54"/>
  <c r="U203" i="54"/>
  <c r="W33" i="46"/>
  <c r="W39" i="46" s="1"/>
  <c r="X75" i="45"/>
  <c r="Z34" i="29"/>
  <c r="Z33" i="29"/>
  <c r="T249" i="53"/>
  <c r="BC70" i="45"/>
  <c r="W227" i="12"/>
  <c r="R196" i="29"/>
  <c r="U325" i="38"/>
  <c r="U326" i="38" s="1"/>
  <c r="Y96" i="38"/>
  <c r="Y100" i="38" s="1"/>
  <c r="Y95" i="38"/>
  <c r="Y99" i="38" s="1"/>
  <c r="Y97" i="38"/>
  <c r="Z108" i="36" s="1"/>
  <c r="BF108" i="36" s="1"/>
  <c r="Y94" i="38"/>
  <c r="Y98" i="38" s="1"/>
  <c r="U80" i="45"/>
  <c r="U81" i="45"/>
  <c r="U79" i="45"/>
  <c r="BA79" i="45"/>
  <c r="BA80" i="45"/>
  <c r="BA81" i="45"/>
  <c r="Y67" i="45"/>
  <c r="Y23" i="45"/>
  <c r="X29" i="20"/>
  <c r="X42" i="20"/>
  <c r="X78" i="20" s="1"/>
  <c r="AC128" i="15"/>
  <c r="AB40" i="28"/>
  <c r="AC60" i="15"/>
  <c r="Y112" i="36"/>
  <c r="Y111" i="36"/>
  <c r="Y113" i="36"/>
  <c r="V306" i="38"/>
  <c r="V307" i="38"/>
  <c r="V309" i="38"/>
  <c r="V308" i="38"/>
  <c r="V311" i="38"/>
  <c r="V310" i="38"/>
  <c r="BI63" i="51"/>
  <c r="X111" i="36"/>
  <c r="X113" i="36"/>
  <c r="X112" i="36"/>
  <c r="Z71" i="29"/>
  <c r="AA48" i="16" s="1"/>
  <c r="AA48" i="15"/>
  <c r="X105" i="36"/>
  <c r="X103" i="36"/>
  <c r="BC87" i="45"/>
  <c r="BC73" i="45"/>
  <c r="R72" i="15"/>
  <c r="Q211" i="28"/>
  <c r="R73" i="15" s="1"/>
  <c r="T223" i="19"/>
  <c r="T246" i="19"/>
  <c r="T247" i="19" s="1"/>
  <c r="U68" i="19"/>
  <c r="V101" i="14" s="1"/>
  <c r="V101" i="12"/>
  <c r="AC28" i="54"/>
  <c r="AC43" i="54" s="1"/>
  <c r="AD22" i="54"/>
  <c r="K161" i="14"/>
  <c r="X222" i="53"/>
  <c r="X227" i="53"/>
  <c r="X224" i="53"/>
  <c r="X226" i="53"/>
  <c r="X225" i="53"/>
  <c r="X223" i="53"/>
  <c r="AC136" i="53"/>
  <c r="AC137" i="53" s="1"/>
  <c r="AD63" i="51" s="1"/>
  <c r="AC134" i="53"/>
  <c r="AC138" i="53"/>
  <c r="AC139" i="53" s="1"/>
  <c r="AD69" i="51" s="1"/>
  <c r="Z59" i="29"/>
  <c r="AA62" i="16" s="1"/>
  <c r="AA62" i="15"/>
  <c r="W207" i="48"/>
  <c r="W212" i="48" s="1"/>
  <c r="W210" i="48"/>
  <c r="W215" i="48" s="1"/>
  <c r="W209" i="48"/>
  <c r="W214" i="48" s="1"/>
  <c r="W208" i="48"/>
  <c r="W213" i="48" s="1"/>
  <c r="W211" i="48"/>
  <c r="U179" i="19"/>
  <c r="T224" i="19"/>
  <c r="AA103" i="12"/>
  <c r="AD35" i="15"/>
  <c r="AD27" i="48"/>
  <c r="AD42" i="48" s="1"/>
  <c r="AE21" i="48"/>
  <c r="X140" i="16"/>
  <c r="AB58" i="51"/>
  <c r="BH56" i="51"/>
  <c r="Y213" i="53"/>
  <c r="Y214" i="53"/>
  <c r="W29" i="19"/>
  <c r="W42" i="19"/>
  <c r="AZ118" i="45"/>
  <c r="Y132" i="20"/>
  <c r="Y108" i="19" s="1"/>
  <c r="Y131" i="20"/>
  <c r="Y107" i="19" s="1"/>
  <c r="Y129" i="20"/>
  <c r="Y105" i="19" s="1"/>
  <c r="Y130" i="20"/>
  <c r="Y103" i="19"/>
  <c r="Z103" i="14" s="1"/>
  <c r="Z103" i="12"/>
  <c r="Y128" i="20"/>
  <c r="Y104" i="19" s="1"/>
  <c r="AB61" i="16"/>
  <c r="AA84" i="29"/>
  <c r="BG18" i="45"/>
  <c r="BF105" i="45"/>
  <c r="AB360" i="48"/>
  <c r="AA27" i="20"/>
  <c r="AA45" i="20" s="1"/>
  <c r="AB21" i="20"/>
  <c r="Z204" i="48"/>
  <c r="Z203" i="48"/>
  <c r="X191" i="42"/>
  <c r="X195" i="42" s="1"/>
  <c r="X190" i="42"/>
  <c r="X194" i="42" s="1"/>
  <c r="X192" i="42"/>
  <c r="X189" i="42"/>
  <c r="X193" i="42" s="1"/>
  <c r="V127" i="14"/>
  <c r="V101" i="20"/>
  <c r="V93" i="19" s="1"/>
  <c r="V88" i="19"/>
  <c r="V97" i="20"/>
  <c r="V100" i="20"/>
  <c r="W136" i="12"/>
  <c r="V98" i="20"/>
  <c r="V99" i="20"/>
  <c r="V220" i="20"/>
  <c r="AD21" i="15"/>
  <c r="R217" i="19"/>
  <c r="R219" i="19"/>
  <c r="R218" i="19"/>
  <c r="R220" i="19"/>
  <c r="R215" i="19"/>
  <c r="R216" i="19"/>
  <c r="V107" i="14"/>
  <c r="X70" i="38"/>
  <c r="X74" i="38" s="1"/>
  <c r="X71" i="38"/>
  <c r="X75" i="38" s="1"/>
  <c r="X73" i="38"/>
  <c r="Y78" i="36" s="1"/>
  <c r="X72" i="38"/>
  <c r="X76" i="38" s="1"/>
  <c r="U112" i="45"/>
  <c r="U111" i="45"/>
  <c r="U110" i="45"/>
  <c r="V58" i="19"/>
  <c r="V51" i="19"/>
  <c r="AZ91" i="45"/>
  <c r="AZ114" i="45" s="1"/>
  <c r="S72" i="15"/>
  <c r="R211" i="28"/>
  <c r="S73" i="15" s="1"/>
  <c r="Z66" i="42"/>
  <c r="Z85" i="42" s="1"/>
  <c r="AA60" i="42"/>
  <c r="Z62" i="42"/>
  <c r="Z67" i="42"/>
  <c r="Z101" i="42" s="1"/>
  <c r="Z65" i="42"/>
  <c r="Z93" i="42" s="1"/>
  <c r="Z61" i="42"/>
  <c r="Z64" i="42"/>
  <c r="Z77" i="42" s="1"/>
  <c r="V108" i="14"/>
  <c r="V226" i="12"/>
  <c r="Y185" i="42"/>
  <c r="Y186" i="42"/>
  <c r="S230" i="19"/>
  <c r="S231" i="19"/>
  <c r="AC123" i="16"/>
  <c r="AB36" i="29"/>
  <c r="AB42" i="29" s="1"/>
  <c r="AC43" i="16"/>
  <c r="AC28" i="29"/>
  <c r="AC46" i="29" s="1"/>
  <c r="AD22" i="29"/>
  <c r="Z132" i="38"/>
  <c r="Z158" i="38" s="1"/>
  <c r="Z131" i="38"/>
  <c r="Z150" i="38" s="1"/>
  <c r="Z130" i="38"/>
  <c r="Z142" i="38" s="1"/>
  <c r="BA112" i="45"/>
  <c r="U33" i="19"/>
  <c r="U34" i="19"/>
  <c r="Z63" i="53"/>
  <c r="Z159" i="53" s="1"/>
  <c r="Z69" i="53"/>
  <c r="Z70" i="53" s="1"/>
  <c r="AA49" i="51" s="1"/>
  <c r="AZ100" i="45"/>
  <c r="AZ113" i="45"/>
  <c r="Z212" i="53"/>
  <c r="Z210" i="53"/>
  <c r="Z209" i="53"/>
  <c r="Z211" i="53"/>
  <c r="O155" i="12"/>
  <c r="O10" i="55"/>
  <c r="N312" i="20"/>
  <c r="N317" i="20"/>
  <c r="P310" i="20"/>
  <c r="Q156" i="12" s="1"/>
  <c r="P308" i="20"/>
  <c r="AC121" i="15"/>
  <c r="AC42" i="15"/>
  <c r="P346" i="48"/>
  <c r="P347" i="48" s="1"/>
  <c r="P349" i="48" s="1"/>
  <c r="T233" i="12"/>
  <c r="T234" i="12" s="1"/>
  <c r="W148" i="48"/>
  <c r="W153" i="48" s="1"/>
  <c r="W145" i="48"/>
  <c r="W150" i="48" s="1"/>
  <c r="W146" i="48"/>
  <c r="W151" i="48" s="1"/>
  <c r="W149" i="48"/>
  <c r="W147" i="48"/>
  <c r="W152" i="48" s="1"/>
  <c r="AB44" i="38"/>
  <c r="AB288" i="38" s="1"/>
  <c r="AD35" i="16"/>
  <c r="S71" i="16"/>
  <c r="V317" i="42"/>
  <c r="V316" i="42"/>
  <c r="Y136" i="16"/>
  <c r="AA292" i="42"/>
  <c r="V306" i="42"/>
  <c r="V307" i="42"/>
  <c r="V308" i="42"/>
  <c r="V309" i="42"/>
  <c r="V310" i="42"/>
  <c r="V311" i="42"/>
  <c r="Y63" i="38"/>
  <c r="Y69" i="38"/>
  <c r="T73" i="48"/>
  <c r="T78" i="48" s="1"/>
  <c r="T72" i="48"/>
  <c r="T77" i="48" s="1"/>
  <c r="T70" i="48"/>
  <c r="T75" i="48" s="1"/>
  <c r="T74" i="48"/>
  <c r="T71" i="48"/>
  <c r="T76" i="48" s="1"/>
  <c r="AB44" i="54"/>
  <c r="AB204" i="54" s="1"/>
  <c r="Y24" i="20"/>
  <c r="Z18" i="20"/>
  <c r="BD99" i="45"/>
  <c r="P268" i="19"/>
  <c r="Q156" i="14" s="1"/>
  <c r="P266" i="19"/>
  <c r="BE113" i="36"/>
  <c r="BE112" i="36"/>
  <c r="BE111" i="36"/>
  <c r="AE20" i="15"/>
  <c r="U169" i="28"/>
  <c r="U173" i="28" s="1"/>
  <c r="U170" i="28"/>
  <c r="Y135" i="15"/>
  <c r="AB135" i="53"/>
  <c r="AC56" i="51"/>
  <c r="U139" i="14"/>
  <c r="U146" i="14"/>
  <c r="V147" i="14"/>
  <c r="V95" i="14"/>
  <c r="AB153" i="54"/>
  <c r="AA154" i="54"/>
  <c r="AA156" i="54" s="1"/>
  <c r="BA103" i="45"/>
  <c r="BA101" i="45"/>
  <c r="BA102" i="45"/>
  <c r="U101" i="45"/>
  <c r="U102" i="45"/>
  <c r="U103" i="45"/>
  <c r="X88" i="29"/>
  <c r="X100" i="29"/>
  <c r="W221" i="20"/>
  <c r="W47" i="20"/>
  <c r="W51" i="19"/>
  <c r="W55" i="19"/>
  <c r="W54" i="19"/>
  <c r="W52" i="19"/>
  <c r="W49" i="19" s="1"/>
  <c r="W177" i="19" s="1"/>
  <c r="W53" i="19"/>
  <c r="W50" i="19"/>
  <c r="W58" i="19"/>
  <c r="X93" i="12"/>
  <c r="W72" i="20"/>
  <c r="W57" i="19"/>
  <c r="AC28" i="53"/>
  <c r="AC43" i="53" s="1"/>
  <c r="AD22" i="53"/>
  <c r="BD78" i="36"/>
  <c r="X115" i="36"/>
  <c r="X116" i="36" s="1"/>
  <c r="X80" i="36"/>
  <c r="X83" i="36" s="1"/>
  <c r="X119" i="36" s="1"/>
  <c r="Y135" i="16"/>
  <c r="AB332" i="42"/>
  <c r="U142" i="14"/>
  <c r="AF124" i="15"/>
  <c r="AE38" i="28"/>
  <c r="AF54" i="15"/>
  <c r="N160" i="14"/>
  <c r="X87" i="45"/>
  <c r="X73" i="45"/>
  <c r="AA61" i="28"/>
  <c r="AA57" i="29" s="1"/>
  <c r="AA63" i="28"/>
  <c r="AA60" i="28"/>
  <c r="AB59" i="28"/>
  <c r="AA64" i="28"/>
  <c r="AF9" i="16"/>
  <c r="U152" i="14"/>
  <c r="AE13" i="15"/>
  <c r="BD89" i="45"/>
  <c r="O155" i="14"/>
  <c r="N270" i="19"/>
  <c r="N275" i="19"/>
  <c r="Z135" i="20"/>
  <c r="Z111" i="19" s="1"/>
  <c r="Z138" i="20"/>
  <c r="Z114" i="19" s="1"/>
  <c r="Z134" i="20"/>
  <c r="Z110" i="19" s="1"/>
  <c r="Z137" i="20"/>
  <c r="Z113" i="19" s="1"/>
  <c r="Z136" i="20"/>
  <c r="Z112" i="19" s="1"/>
  <c r="Z109" i="19"/>
  <c r="AA126" i="14" s="1"/>
  <c r="Z55" i="45"/>
  <c r="Z56" i="45"/>
  <c r="W163" i="19"/>
  <c r="AC17" i="45"/>
  <c r="AC18" i="45" s="1"/>
  <c r="AD16" i="45"/>
  <c r="BI16" i="45"/>
  <c r="T151" i="14"/>
  <c r="W185" i="28"/>
  <c r="W184" i="28"/>
  <c r="BD68" i="45"/>
  <c r="N157" i="14"/>
  <c r="N163" i="14"/>
  <c r="W84" i="20"/>
  <c r="X160" i="42"/>
  <c r="X164" i="42" s="1"/>
  <c r="X159" i="42"/>
  <c r="X163" i="42" s="1"/>
  <c r="X161" i="42"/>
  <c r="X165" i="42" s="1"/>
  <c r="X162" i="42"/>
  <c r="AZ116" i="45"/>
  <c r="Q234" i="19"/>
  <c r="Q238" i="19" s="1"/>
  <c r="Q235" i="19"/>
  <c r="Q119" i="45"/>
  <c r="P370" i="46"/>
  <c r="Q125" i="45" s="1"/>
  <c r="P365" i="46"/>
  <c r="BE30" i="45"/>
  <c r="AA125" i="12"/>
  <c r="W78" i="20"/>
  <c r="U226" i="14"/>
  <c r="U225" i="14" a="1"/>
  <c r="U225" i="14" s="1"/>
  <c r="U148" i="14"/>
  <c r="Y145" i="38"/>
  <c r="Y149" i="38" s="1"/>
  <c r="Y146" i="38"/>
  <c r="Z100" i="36" s="1"/>
  <c r="BF100" i="36" s="1"/>
  <c r="Y143" i="38"/>
  <c r="Y147" i="38" s="1"/>
  <c r="Y144" i="38"/>
  <c r="Y148" i="38" s="1"/>
  <c r="V33" i="20"/>
  <c r="V34" i="20"/>
  <c r="S213" i="19"/>
  <c r="S214" i="19" s="1"/>
  <c r="T180" i="19"/>
  <c r="V107" i="12"/>
  <c r="AC43" i="15"/>
  <c r="AC123" i="15"/>
  <c r="AB36" i="28"/>
  <c r="AB42" i="28" s="1"/>
  <c r="X243" i="38"/>
  <c r="X246" i="38"/>
  <c r="AD27" i="38"/>
  <c r="AD42" i="38" s="1"/>
  <c r="AE21" i="38"/>
  <c r="AA208" i="54"/>
  <c r="V57" i="19"/>
  <c r="V315" i="20"/>
  <c r="V314" i="20"/>
  <c r="V264" i="20"/>
  <c r="V263" i="20"/>
  <c r="V267" i="20"/>
  <c r="T189" i="29"/>
  <c r="U70" i="16" s="1"/>
  <c r="T187" i="29"/>
  <c r="U249" i="53"/>
  <c r="Y88" i="42"/>
  <c r="Y92" i="42" s="1"/>
  <c r="Y87" i="42"/>
  <c r="Y91" i="42" s="1"/>
  <c r="Y89" i="42"/>
  <c r="Y86" i="42"/>
  <c r="Y90" i="42" s="1"/>
  <c r="Y184" i="42"/>
  <c r="Y196" i="42"/>
  <c r="Y188" i="42"/>
  <c r="Y204" i="42"/>
  <c r="AC26" i="46"/>
  <c r="AC41" i="46" s="1"/>
  <c r="AD20" i="46"/>
  <c r="Y139" i="16"/>
  <c r="Z170" i="20"/>
  <c r="Z179" i="20" s="1"/>
  <c r="Z169" i="20"/>
  <c r="Z168" i="20"/>
  <c r="Z171" i="20"/>
  <c r="Z185" i="20" s="1"/>
  <c r="Z167" i="20"/>
  <c r="Z173" i="20" s="1"/>
  <c r="AA166" i="20"/>
  <c r="Z129" i="38"/>
  <c r="Z134" i="38"/>
  <c r="U228" i="12"/>
  <c r="BG57" i="51"/>
  <c r="Z205" i="53"/>
  <c r="AC26" i="29"/>
  <c r="AC44" i="29" s="1"/>
  <c r="AD20" i="29"/>
  <c r="AD39" i="15"/>
  <c r="AD13" i="15"/>
  <c r="X208" i="46"/>
  <c r="X213" i="46" s="1"/>
  <c r="X209" i="46"/>
  <c r="X214" i="46" s="1"/>
  <c r="X206" i="48"/>
  <c r="X210" i="46"/>
  <c r="X215" i="46" s="1"/>
  <c r="X211" i="46"/>
  <c r="Y89" i="45" s="1"/>
  <c r="X207" i="46"/>
  <c r="X212" i="46" s="1"/>
  <c r="AE18" i="54"/>
  <c r="AD24" i="54"/>
  <c r="AA108" i="28"/>
  <c r="AB107" i="28"/>
  <c r="BD83" i="45"/>
  <c r="AB29" i="38"/>
  <c r="Y162" i="53"/>
  <c r="R253" i="54"/>
  <c r="AF10" i="15"/>
  <c r="AB75" i="15"/>
  <c r="AB76" i="15"/>
  <c r="U318" i="38"/>
  <c r="U319" i="38" s="1"/>
  <c r="U321" i="38" s="1"/>
  <c r="T278" i="20"/>
  <c r="T279" i="20"/>
  <c r="AB31" i="54"/>
  <c r="AB194" i="54"/>
  <c r="AF16" i="15"/>
  <c r="AF19" i="15"/>
  <c r="AF15" i="15"/>
  <c r="AF18" i="15"/>
  <c r="AG14" i="15"/>
  <c r="AF32" i="15"/>
  <c r="BI69" i="51"/>
  <c r="R71" i="15"/>
  <c r="AB332" i="38"/>
  <c r="AC25" i="38"/>
  <c r="AC40" i="38" s="1"/>
  <c r="AD19" i="38"/>
  <c r="U67" i="19"/>
  <c r="V100" i="14" s="1"/>
  <c r="V100" i="12"/>
  <c r="Z157" i="54"/>
  <c r="V234" i="53"/>
  <c r="V235" i="53" s="1"/>
  <c r="V237" i="53" s="1"/>
  <c r="V258" i="53" s="1"/>
  <c r="CJ4" i="55"/>
  <c r="W31" i="20"/>
  <c r="W253" i="20"/>
  <c r="V231" i="12"/>
  <c r="X140" i="15"/>
  <c r="U142" i="12"/>
  <c r="AA56" i="15"/>
  <c r="Z60" i="29"/>
  <c r="AA56" i="16" s="1"/>
  <c r="AC28" i="46"/>
  <c r="AD22" i="46"/>
  <c r="X158" i="29"/>
  <c r="X157" i="29"/>
  <c r="X169" i="29" s="1"/>
  <c r="O162" i="14"/>
  <c r="O158" i="14"/>
  <c r="AA94" i="12"/>
  <c r="Z139" i="20"/>
  <c r="V142" i="12"/>
  <c r="Z30" i="45"/>
  <c r="Z67" i="45" s="1"/>
  <c r="Z33" i="45"/>
  <c r="AB20" i="45"/>
  <c r="AB19" i="45"/>
  <c r="AC26" i="54"/>
  <c r="AC41" i="54" s="1"/>
  <c r="AC147" i="54" s="1"/>
  <c r="AC148" i="54" s="1"/>
  <c r="AD20" i="54"/>
  <c r="W174" i="28"/>
  <c r="W178" i="28"/>
  <c r="W175" i="28"/>
  <c r="W179" i="28"/>
  <c r="W176" i="28"/>
  <c r="W177" i="28"/>
  <c r="W61" i="19"/>
  <c r="O268" i="19"/>
  <c r="P156" i="14" s="1"/>
  <c r="O266" i="19"/>
  <c r="X151" i="42"/>
  <c r="X155" i="42" s="1"/>
  <c r="X153" i="42"/>
  <c r="X157" i="42" s="1"/>
  <c r="X152" i="42"/>
  <c r="X156" i="42" s="1"/>
  <c r="X154" i="42"/>
  <c r="T325" i="38"/>
  <c r="T326" i="38" s="1"/>
  <c r="W153" i="29"/>
  <c r="W154" i="29"/>
  <c r="T116" i="45"/>
  <c r="Q122" i="45"/>
  <c r="BE56" i="45"/>
  <c r="BE55" i="45"/>
  <c r="V171" i="29"/>
  <c r="V174" i="29" s="1"/>
  <c r="V170" i="29"/>
  <c r="W60" i="19"/>
  <c r="AH7" i="16"/>
  <c r="V116" i="12"/>
  <c r="U71" i="19"/>
  <c r="V116" i="14" s="1"/>
  <c r="AC28" i="38"/>
  <c r="AC43" i="38" s="1"/>
  <c r="AD22" i="38"/>
  <c r="Y151" i="38"/>
  <c r="Y155" i="38" s="1"/>
  <c r="Y153" i="38"/>
  <c r="Y157" i="38" s="1"/>
  <c r="Y152" i="38"/>
  <c r="Y156" i="38" s="1"/>
  <c r="Y154" i="38"/>
  <c r="Z79" i="36" s="1"/>
  <c r="S324" i="48"/>
  <c r="S321" i="48"/>
  <c r="S322" i="48"/>
  <c r="S323" i="48"/>
  <c r="AY114" i="45"/>
  <c r="S335" i="42"/>
  <c r="S333" i="42"/>
  <c r="Z25" i="19"/>
  <c r="Z43" i="19" s="1"/>
  <c r="Z101" i="19" s="1"/>
  <c r="AA19" i="19"/>
  <c r="AD40" i="16"/>
  <c r="Z49" i="15"/>
  <c r="AC39" i="16"/>
  <c r="AC13" i="16"/>
  <c r="V134" i="29"/>
  <c r="V135" i="29" s="1"/>
  <c r="W101" i="29"/>
  <c r="AX122" i="36"/>
  <c r="AX125" i="36"/>
  <c r="U153" i="14"/>
  <c r="U98" i="14"/>
  <c r="V265" i="20"/>
  <c r="V288" i="20"/>
  <c r="V289" i="20" s="1"/>
  <c r="Y303" i="38"/>
  <c r="Y315" i="38" s="1"/>
  <c r="Y304" i="38"/>
  <c r="Z294" i="38"/>
  <c r="Z296" i="38"/>
  <c r="Z293" i="38"/>
  <c r="Z295" i="38"/>
  <c r="AE34" i="16"/>
  <c r="AE33" i="16"/>
  <c r="Z28" i="19"/>
  <c r="Z46" i="19" s="1"/>
  <c r="AA22" i="19"/>
  <c r="S71" i="15"/>
  <c r="Y96" i="42"/>
  <c r="Y100" i="42" s="1"/>
  <c r="Y95" i="42"/>
  <c r="Y99" i="42" s="1"/>
  <c r="Y94" i="42"/>
  <c r="Y98" i="42" s="1"/>
  <c r="Y97" i="42"/>
  <c r="AS12" i="55"/>
  <c r="AS14" i="55"/>
  <c r="AS15" i="55"/>
  <c r="AS11" i="55"/>
  <c r="AS16" i="55"/>
  <c r="AS13" i="55"/>
  <c r="S236" i="19"/>
  <c r="S248" i="19" s="1"/>
  <c r="S249" i="19" s="1"/>
  <c r="S237" i="19"/>
  <c r="Z63" i="48"/>
  <c r="U97" i="14"/>
  <c r="U154" i="14"/>
  <c r="V231" i="14"/>
  <c r="Y174" i="20"/>
  <c r="Y136" i="19" s="1"/>
  <c r="Y175" i="20"/>
  <c r="Y137" i="19" s="1"/>
  <c r="Y178" i="20"/>
  <c r="Y140" i="19" s="1"/>
  <c r="Y135" i="19"/>
  <c r="Z113" i="14" s="1"/>
  <c r="Y176" i="20"/>
  <c r="Y177" i="20"/>
  <c r="Y139" i="19" s="1"/>
  <c r="Z113" i="12"/>
  <c r="AB360" i="46"/>
  <c r="Z59" i="16"/>
  <c r="BA93" i="45"/>
  <c r="U93" i="45"/>
  <c r="U94" i="45"/>
  <c r="BA94" i="45"/>
  <c r="AX115" i="45"/>
  <c r="AC39" i="45"/>
  <c r="AC40" i="45"/>
  <c r="BI38" i="45"/>
  <c r="AD38" i="45"/>
  <c r="X228" i="46"/>
  <c r="X233" i="46" s="1"/>
  <c r="X229" i="46"/>
  <c r="X234" i="46" s="1"/>
  <c r="X227" i="46"/>
  <c r="X232" i="46" s="1"/>
  <c r="X230" i="46"/>
  <c r="X235" i="46" s="1"/>
  <c r="X231" i="46"/>
  <c r="Y108" i="45" s="1"/>
  <c r="X226" i="48"/>
  <c r="AC39" i="54"/>
  <c r="BF58" i="51"/>
  <c r="AA55" i="15"/>
  <c r="Z82" i="29"/>
  <c r="AA55" i="16" s="1"/>
  <c r="S325" i="46"/>
  <c r="S326" i="46"/>
  <c r="AD40" i="15"/>
  <c r="W168" i="48"/>
  <c r="W173" i="48" s="1"/>
  <c r="W167" i="48"/>
  <c r="W172" i="48" s="1"/>
  <c r="W166" i="48"/>
  <c r="W171" i="48" s="1"/>
  <c r="W165" i="48"/>
  <c r="W170" i="48" s="1"/>
  <c r="W169" i="48"/>
  <c r="BF66" i="51"/>
  <c r="Z70" i="51"/>
  <c r="BE79" i="36"/>
  <c r="BE114" i="36" s="1"/>
  <c r="Y114" i="36"/>
  <c r="AY76" i="51"/>
  <c r="AB129" i="15"/>
  <c r="AB131" i="15"/>
  <c r="X72" i="42"/>
  <c r="X76" i="42" s="1"/>
  <c r="X70" i="42"/>
  <c r="X74" i="42" s="1"/>
  <c r="X73" i="42"/>
  <c r="X71" i="42"/>
  <c r="X75" i="42" s="1"/>
  <c r="Y206" i="54"/>
  <c r="Y207" i="54" s="1"/>
  <c r="Y229" i="54"/>
  <c r="Y230" i="54" s="1"/>
  <c r="CD11" i="55"/>
  <c r="CD19" i="55" s="1"/>
  <c r="CD16" i="55"/>
  <c r="CD12" i="55"/>
  <c r="CD15" i="55"/>
  <c r="CD14" i="55"/>
  <c r="CD13" i="55"/>
  <c r="P329" i="48"/>
  <c r="P333" i="48" s="1"/>
  <c r="P330" i="48"/>
  <c r="T150" i="12"/>
  <c r="Z137" i="46"/>
  <c r="Z138" i="46"/>
  <c r="Z201" i="46"/>
  <c r="AA136" i="46"/>
  <c r="Z200" i="46"/>
  <c r="Z26" i="19"/>
  <c r="Z44" i="19" s="1"/>
  <c r="Z155" i="19" s="1"/>
  <c r="Z154" i="19" s="1"/>
  <c r="AA20" i="19"/>
  <c r="W220" i="48"/>
  <c r="W225" i="48" s="1"/>
  <c r="W219" i="48"/>
  <c r="W224" i="48" s="1"/>
  <c r="W217" i="48"/>
  <c r="W222" i="48" s="1"/>
  <c r="W221" i="48"/>
  <c r="W218" i="48"/>
  <c r="W223" i="48" s="1"/>
  <c r="AZ78" i="45"/>
  <c r="AB68" i="51"/>
  <c r="AB50" i="51"/>
  <c r="AH23" i="16"/>
  <c r="AH24" i="16"/>
  <c r="Z67" i="16"/>
  <c r="Z46" i="16"/>
  <c r="AC25" i="42"/>
  <c r="AC40" i="42" s="1"/>
  <c r="AD19" i="42"/>
  <c r="R325" i="48"/>
  <c r="R326" i="48"/>
  <c r="BE72" i="51"/>
  <c r="BE51" i="51"/>
  <c r="AA240" i="46"/>
  <c r="Z241" i="46"/>
  <c r="Z243" i="46" s="1"/>
  <c r="R339" i="48"/>
  <c r="R336" i="48"/>
  <c r="R338" i="48"/>
  <c r="R337" i="48"/>
  <c r="R335" i="48"/>
  <c r="R334" i="48"/>
  <c r="S308" i="46"/>
  <c r="S309" i="46" s="1"/>
  <c r="T275" i="46"/>
  <c r="Y142" i="20"/>
  <c r="Y118" i="19" s="1"/>
  <c r="Y140" i="20"/>
  <c r="Y116" i="19" s="1"/>
  <c r="Y141" i="20"/>
  <c r="Y117" i="19" s="1"/>
  <c r="Y144" i="20"/>
  <c r="Y120" i="19" s="1"/>
  <c r="Y143" i="20"/>
  <c r="Y119" i="19" s="1"/>
  <c r="Y115" i="19"/>
  <c r="Z94" i="14" s="1"/>
  <c r="AC25" i="53"/>
  <c r="AC40" i="53" s="1"/>
  <c r="AD19" i="53"/>
  <c r="AB31" i="29"/>
  <c r="AB132" i="29"/>
  <c r="W217" i="53"/>
  <c r="W221" i="53" s="1"/>
  <c r="W218" i="53"/>
  <c r="T69" i="15"/>
  <c r="S205" i="28"/>
  <c r="S210" i="28"/>
  <c r="Z62" i="28"/>
  <c r="AA44" i="15"/>
  <c r="Z56" i="29"/>
  <c r="AA44" i="16" s="1"/>
  <c r="Y90" i="48"/>
  <c r="Y95" i="48" s="1"/>
  <c r="Y93" i="48"/>
  <c r="Y98" i="48" s="1"/>
  <c r="Y92" i="48"/>
  <c r="Y97" i="48" s="1"/>
  <c r="Y94" i="48"/>
  <c r="Y91" i="48"/>
  <c r="V47" i="19"/>
  <c r="V59" i="19"/>
  <c r="X215" i="53"/>
  <c r="X216" i="53"/>
  <c r="W235" i="53"/>
  <c r="W237" i="53" s="1"/>
  <c r="W258" i="53" s="1"/>
  <c r="V142" i="14"/>
  <c r="U172" i="29"/>
  <c r="U173" i="29" s="1"/>
  <c r="U175" i="29" s="1"/>
  <c r="AA37" i="45"/>
  <c r="AA31" i="45"/>
  <c r="AA28" i="45"/>
  <c r="AA32" i="45"/>
  <c r="AA35" i="45"/>
  <c r="AA29" i="45"/>
  <c r="BG27" i="45"/>
  <c r="AA36" i="45"/>
  <c r="AB27" i="45"/>
  <c r="AA54" i="45"/>
  <c r="BH17" i="45"/>
  <c r="BH18" i="45" s="1"/>
  <c r="AA258" i="46"/>
  <c r="AA260" i="46" s="1"/>
  <c r="AB257" i="46"/>
  <c r="W86" i="45"/>
  <c r="W72" i="45"/>
  <c r="AC122" i="16"/>
  <c r="AC132" i="16" s="1"/>
  <c r="R232" i="19"/>
  <c r="R233" i="19"/>
  <c r="U112" i="46"/>
  <c r="U117" i="46" s="1"/>
  <c r="U113" i="46"/>
  <c r="U118" i="46" s="1"/>
  <c r="U111" i="46"/>
  <c r="U116" i="46" s="1"/>
  <c r="U110" i="46"/>
  <c r="U115" i="46" s="1"/>
  <c r="U109" i="48"/>
  <c r="U114" i="46"/>
  <c r="V97" i="45" s="1"/>
  <c r="U274" i="46"/>
  <c r="X143" i="42"/>
  <c r="X147" i="42" s="1"/>
  <c r="X145" i="42"/>
  <c r="X149" i="42" s="1"/>
  <c r="X146" i="42"/>
  <c r="X144" i="42"/>
  <c r="X148" i="42" s="1"/>
  <c r="U152" i="12"/>
  <c r="Y219" i="53"/>
  <c r="Y231" i="53" s="1"/>
  <c r="Y220" i="53"/>
  <c r="Y134" i="16"/>
  <c r="Y77" i="16"/>
  <c r="Y133" i="16" a="1"/>
  <c r="Y133" i="16" s="1"/>
  <c r="Y68" i="16"/>
  <c r="T118" i="45"/>
  <c r="R342" i="42"/>
  <c r="R337" i="42"/>
  <c r="BC80" i="36"/>
  <c r="BC83" i="36" s="1"/>
  <c r="BC119" i="36" s="1"/>
  <c r="BC115" i="36"/>
  <c r="BC116" i="36" s="1"/>
  <c r="BD34" i="45"/>
  <c r="V161" i="29"/>
  <c r="V165" i="29"/>
  <c r="V163" i="29"/>
  <c r="V160" i="29"/>
  <c r="V162" i="29"/>
  <c r="V164" i="29"/>
  <c r="AG41" i="16"/>
  <c r="AA61" i="54"/>
  <c r="AA66" i="54"/>
  <c r="AA73" i="54" s="1"/>
  <c r="AA74" i="54" s="1"/>
  <c r="AA62" i="54"/>
  <c r="AA64" i="54"/>
  <c r="AA71" i="54" s="1"/>
  <c r="AA72" i="54" s="1"/>
  <c r="AA67" i="54"/>
  <c r="AA77" i="54" s="1"/>
  <c r="AA78" i="54" s="1"/>
  <c r="AA65" i="54"/>
  <c r="AA75" i="54" s="1"/>
  <c r="AA76" i="54" s="1"/>
  <c r="AB60" i="54"/>
  <c r="V146" i="12"/>
  <c r="V115" i="12"/>
  <c r="V148" i="12" s="1"/>
  <c r="Y93" i="36"/>
  <c r="Y96" i="36" s="1"/>
  <c r="BE91" i="36"/>
  <c r="BE93" i="36" s="1"/>
  <c r="BE96" i="36" s="1"/>
  <c r="Y161" i="38"/>
  <c r="Y165" i="38" s="1"/>
  <c r="Y160" i="38"/>
  <c r="Y164" i="38" s="1"/>
  <c r="Y162" i="38"/>
  <c r="Z109" i="36" s="1"/>
  <c r="BF109" i="36" s="1"/>
  <c r="Y159" i="38"/>
  <c r="Y163" i="38" s="1"/>
  <c r="U251" i="54"/>
  <c r="BB75" i="51" s="1"/>
  <c r="U249" i="54"/>
  <c r="V62" i="19"/>
  <c r="U141" i="29"/>
  <c r="U138" i="29"/>
  <c r="U137" i="29"/>
  <c r="U139" i="29"/>
  <c r="U140" i="29"/>
  <c r="U136" i="29"/>
  <c r="Z127" i="42"/>
  <c r="Z128" i="42"/>
  <c r="AA126" i="42"/>
  <c r="U98" i="12"/>
  <c r="U153" i="12"/>
  <c r="X157" i="46"/>
  <c r="X162" i="46" s="1"/>
  <c r="X156" i="46"/>
  <c r="X161" i="46" s="1"/>
  <c r="X155" i="46"/>
  <c r="X160" i="46" s="1"/>
  <c r="X159" i="46"/>
  <c r="Y98" i="45" s="1"/>
  <c r="X158" i="46"/>
  <c r="X163" i="46" s="1"/>
  <c r="X154" i="48"/>
  <c r="V52" i="19"/>
  <c r="V49" i="19" s="1"/>
  <c r="V177" i="19" s="1"/>
  <c r="V33" i="48"/>
  <c r="V39" i="48" s="1"/>
  <c r="BC75" i="45"/>
  <c r="AA265" i="19"/>
  <c r="AB307" i="20"/>
  <c r="X300" i="42"/>
  <c r="X299" i="42"/>
  <c r="Y213" i="54"/>
  <c r="Y214" i="54"/>
  <c r="AA241" i="48"/>
  <c r="AB240" i="48"/>
  <c r="Z296" i="42"/>
  <c r="Z295" i="42"/>
  <c r="Z293" i="42"/>
  <c r="Z294" i="42"/>
  <c r="Y63" i="42"/>
  <c r="Y69" i="42"/>
  <c r="Y66" i="20"/>
  <c r="Q327" i="48"/>
  <c r="Q328" i="48"/>
  <c r="Z49" i="16"/>
  <c r="U97" i="12"/>
  <c r="U154" i="12"/>
  <c r="BB73" i="45"/>
  <c r="BB87" i="45"/>
  <c r="Y187" i="20"/>
  <c r="Y149" i="19" s="1"/>
  <c r="Y186" i="20"/>
  <c r="Y148" i="19" s="1"/>
  <c r="Y188" i="20"/>
  <c r="Y150" i="19" s="1"/>
  <c r="Y190" i="20"/>
  <c r="Y152" i="19" s="1"/>
  <c r="Y189" i="20"/>
  <c r="Y151" i="19" s="1"/>
  <c r="Z137" i="12"/>
  <c r="Y147" i="19"/>
  <c r="Z137" i="14" s="1"/>
  <c r="Z59" i="15"/>
  <c r="BF21" i="45"/>
  <c r="AA21" i="19"/>
  <c r="Z27" i="19"/>
  <c r="Z45" i="19" s="1"/>
  <c r="Z129" i="19" s="1"/>
  <c r="Z128" i="19" s="1"/>
  <c r="U231" i="12"/>
  <c r="BG61" i="51"/>
  <c r="AA64" i="51"/>
  <c r="V95" i="20"/>
  <c r="V87" i="19" s="1"/>
  <c r="V82" i="19"/>
  <c r="W124" i="14" s="1"/>
  <c r="V94" i="20"/>
  <c r="V92" i="20"/>
  <c r="V91" i="20"/>
  <c r="V93" i="20"/>
  <c r="BB128" i="36"/>
  <c r="AS125" i="45"/>
  <c r="L371" i="48"/>
  <c r="AS126" i="45" s="1"/>
  <c r="AC26" i="28"/>
  <c r="AC44" i="28" s="1"/>
  <c r="AD20" i="28"/>
  <c r="T150" i="14"/>
  <c r="X218" i="46"/>
  <c r="X223" i="46" s="1"/>
  <c r="X217" i="46"/>
  <c r="X222" i="46" s="1"/>
  <c r="X221" i="46"/>
  <c r="Y99" i="45" s="1"/>
  <c r="X219" i="46"/>
  <c r="X224" i="46" s="1"/>
  <c r="X220" i="46"/>
  <c r="X225" i="46" s="1"/>
  <c r="X216" i="48"/>
  <c r="Q347" i="46"/>
  <c r="Q349" i="46" s="1"/>
  <c r="Q348" i="46"/>
  <c r="X201" i="20"/>
  <c r="X162" i="19" s="1"/>
  <c r="X199" i="20"/>
  <c r="X160" i="19" s="1"/>
  <c r="X203" i="20"/>
  <c r="X164" i="19" s="1"/>
  <c r="X200" i="20"/>
  <c r="X161" i="19" s="1"/>
  <c r="X202" i="20"/>
  <c r="X159" i="19"/>
  <c r="Y123" i="14" s="1"/>
  <c r="BD77" i="45"/>
  <c r="BD112" i="36"/>
  <c r="BD113" i="36"/>
  <c r="BD111" i="36"/>
  <c r="BD117" i="36" s="1"/>
  <c r="BD123" i="36" s="1"/>
  <c r="Z61" i="38"/>
  <c r="Z65" i="38"/>
  <c r="Z93" i="38" s="1"/>
  <c r="Z64" i="38"/>
  <c r="Z77" i="38" s="1"/>
  <c r="Z67" i="38"/>
  <c r="Z101" i="38" s="1"/>
  <c r="Z62" i="38"/>
  <c r="Z66" i="38"/>
  <c r="Z85" i="38" s="1"/>
  <c r="AA60" i="38"/>
  <c r="S275" i="48"/>
  <c r="R308" i="48"/>
  <c r="R309" i="48" s="1"/>
  <c r="CE9" i="55"/>
  <c r="Y202" i="46"/>
  <c r="Y206" i="46"/>
  <c r="Y216" i="46"/>
  <c r="Y226" i="46"/>
  <c r="AD27" i="29"/>
  <c r="AE21" i="29"/>
  <c r="BE70" i="51"/>
  <c r="BH53" i="51"/>
  <c r="AB54" i="51"/>
  <c r="Q300" i="20"/>
  <c r="Q301" i="20" s="1"/>
  <c r="AA83" i="28"/>
  <c r="AA70" i="29" s="1"/>
  <c r="AA85" i="28"/>
  <c r="AA72" i="29" s="1"/>
  <c r="AA84" i="28"/>
  <c r="AA86" i="28"/>
  <c r="AA88" i="28"/>
  <c r="AB82" i="28"/>
  <c r="AA87" i="28"/>
  <c r="U108" i="12"/>
  <c r="Z72" i="51"/>
  <c r="Z51" i="51"/>
  <c r="BF49" i="51"/>
  <c r="U69" i="19"/>
  <c r="V99" i="14" s="1"/>
  <c r="V99" i="12"/>
  <c r="Z67" i="15"/>
  <c r="Z46" i="15"/>
  <c r="BF95" i="45"/>
  <c r="Y35" i="48"/>
  <c r="BF44" i="45"/>
  <c r="BF42" i="45"/>
  <c r="BF43" i="45"/>
  <c r="AC26" i="48"/>
  <c r="AC41" i="48" s="1"/>
  <c r="AD20" i="48"/>
  <c r="R332" i="48"/>
  <c r="R331" i="48"/>
  <c r="R343" i="48" s="1"/>
  <c r="R344" i="48" s="1"/>
  <c r="Y246" i="46"/>
  <c r="Y251" i="46" s="1"/>
  <c r="Y247" i="46"/>
  <c r="Y252" i="46" s="1"/>
  <c r="Y244" i="46"/>
  <c r="Y249" i="46" s="1"/>
  <c r="Y248" i="46"/>
  <c r="Z96" i="45" s="1"/>
  <c r="Y243" i="48"/>
  <c r="Y245" i="46"/>
  <c r="Y250" i="46" s="1"/>
  <c r="R311" i="46"/>
  <c r="R313" i="46"/>
  <c r="R314" i="46"/>
  <c r="R315" i="46"/>
  <c r="R310" i="46"/>
  <c r="R312" i="46"/>
  <c r="BF107" i="36"/>
  <c r="AB110" i="53"/>
  <c r="AB111" i="53" s="1"/>
  <c r="AB106" i="53"/>
  <c r="AB107" i="53" s="1"/>
  <c r="AC62" i="51" s="1"/>
  <c r="AB104" i="53"/>
  <c r="AB105" i="53" s="1"/>
  <c r="AC53" i="51" s="1"/>
  <c r="AB108" i="53"/>
  <c r="AB109" i="53" s="1"/>
  <c r="AB44" i="53"/>
  <c r="AB204" i="53" s="1"/>
  <c r="S290" i="20"/>
  <c r="S291" i="20" s="1"/>
  <c r="S292" i="20"/>
  <c r="S293" i="20" s="1"/>
  <c r="AZ109" i="45"/>
  <c r="BF67" i="51"/>
  <c r="AA28" i="20"/>
  <c r="AA46" i="20" s="1"/>
  <c r="AB22" i="20"/>
  <c r="U233" i="12"/>
  <c r="U234" i="12" s="1"/>
  <c r="V167" i="28"/>
  <c r="V168" i="28"/>
  <c r="V211" i="19"/>
  <c r="V31" i="19"/>
  <c r="BE96" i="45"/>
  <c r="V156" i="29"/>
  <c r="V155" i="29"/>
  <c r="V159" i="29" s="1"/>
  <c r="AC39" i="53"/>
  <c r="Z205" i="54"/>
  <c r="Z264" i="46"/>
  <c r="Z269" i="46" s="1"/>
  <c r="Z263" i="46"/>
  <c r="Z268" i="46" s="1"/>
  <c r="Z262" i="46"/>
  <c r="Z267" i="46" s="1"/>
  <c r="Z261" i="46"/>
  <c r="Z266" i="46" s="1"/>
  <c r="Z260" i="48"/>
  <c r="Z265" i="46"/>
  <c r="AA105" i="45" s="1"/>
  <c r="AT119" i="45"/>
  <c r="M365" i="48"/>
  <c r="M370" i="48"/>
  <c r="W85" i="45"/>
  <c r="W71" i="45"/>
  <c r="R251" i="19"/>
  <c r="U70" i="46"/>
  <c r="U75" i="46" s="1"/>
  <c r="U72" i="46"/>
  <c r="U77" i="46" s="1"/>
  <c r="U73" i="46"/>
  <c r="U78" i="46" s="1"/>
  <c r="U69" i="48"/>
  <c r="U71" i="46"/>
  <c r="U76" i="46" s="1"/>
  <c r="U74" i="46"/>
  <c r="V76" i="45" s="1"/>
  <c r="X233" i="54"/>
  <c r="X236" i="54" s="1"/>
  <c r="X232" i="54"/>
  <c r="AA61" i="46"/>
  <c r="AA64" i="46"/>
  <c r="AA62" i="46"/>
  <c r="AA65" i="46"/>
  <c r="AA67" i="46"/>
  <c r="AB60" i="46"/>
  <c r="AA66" i="46"/>
  <c r="AA89" i="46" s="1"/>
  <c r="AA44" i="45"/>
  <c r="AA95" i="45"/>
  <c r="AA43" i="45"/>
  <c r="Z35" i="46"/>
  <c r="AA42" i="45"/>
  <c r="P119" i="45"/>
  <c r="O365" i="46"/>
  <c r="O370" i="46"/>
  <c r="W165" i="28"/>
  <c r="W166" i="28"/>
  <c r="Q345" i="48"/>
  <c r="V283" i="42"/>
  <c r="V282" i="42"/>
  <c r="V285" i="42"/>
  <c r="V286" i="42"/>
  <c r="V284" i="42"/>
  <c r="V287" i="42"/>
  <c r="AB20" i="20"/>
  <c r="AA26" i="20"/>
  <c r="AA44" i="20" s="1"/>
  <c r="X136" i="42"/>
  <c r="X140" i="42" s="1"/>
  <c r="X137" i="42"/>
  <c r="X141" i="42" s="1"/>
  <c r="X135" i="42"/>
  <c r="X139" i="42" s="1"/>
  <c r="X138" i="42"/>
  <c r="U73" i="19"/>
  <c r="V120" i="14" s="1"/>
  <c r="V120" i="12"/>
  <c r="V61" i="19"/>
  <c r="Y298" i="42"/>
  <c r="Y297" i="42"/>
  <c r="AD22" i="42"/>
  <c r="AC28" i="42"/>
  <c r="AC43" i="42" s="1"/>
  <c r="Y60" i="45"/>
  <c r="V129" i="14"/>
  <c r="Y132" i="42"/>
  <c r="Y158" i="42" s="1"/>
  <c r="Y130" i="42"/>
  <c r="Y142" i="42" s="1"/>
  <c r="Y131" i="42"/>
  <c r="Y150" i="42" s="1"/>
  <c r="BA106" i="45"/>
  <c r="U109" i="45"/>
  <c r="W313" i="42"/>
  <c r="W314" i="42" s="1"/>
  <c r="W290" i="42"/>
  <c r="W291" i="42" s="1"/>
  <c r="Y149" i="29"/>
  <c r="Y148" i="29"/>
  <c r="Y147" i="29"/>
  <c r="Y150" i="29"/>
  <c r="BG41" i="45"/>
  <c r="X178" i="46"/>
  <c r="X183" i="46" s="1"/>
  <c r="X176" i="46"/>
  <c r="X181" i="46" s="1"/>
  <c r="X177" i="46"/>
  <c r="X182" i="46" s="1"/>
  <c r="X175" i="46"/>
  <c r="X180" i="46" s="1"/>
  <c r="X174" i="48"/>
  <c r="X179" i="46"/>
  <c r="Y107" i="45" s="1"/>
  <c r="BD73" i="51"/>
  <c r="V54" i="19"/>
  <c r="AB75" i="16"/>
  <c r="AB76" i="16"/>
  <c r="Z66" i="15"/>
  <c r="U141" i="12"/>
  <c r="Y102" i="42"/>
  <c r="Y106" i="42" s="1"/>
  <c r="Y103" i="42"/>
  <c r="Y107" i="42" s="1"/>
  <c r="Y104" i="42"/>
  <c r="Y108" i="42" s="1"/>
  <c r="Y105" i="42"/>
  <c r="Y67" i="20"/>
  <c r="Y68" i="20"/>
  <c r="Y69" i="20"/>
  <c r="Y70" i="20"/>
  <c r="AA62" i="48"/>
  <c r="AA61" i="48"/>
  <c r="AA65" i="48"/>
  <c r="AA67" i="48"/>
  <c r="AA64" i="48"/>
  <c r="AA66" i="48"/>
  <c r="AB60" i="48"/>
  <c r="V60" i="19"/>
  <c r="BB85" i="45"/>
  <c r="BB71" i="45"/>
  <c r="Y181" i="20"/>
  <c r="Y143" i="19" s="1"/>
  <c r="Y184" i="20"/>
  <c r="Y146" i="19" s="1"/>
  <c r="Y182" i="20"/>
  <c r="Y144" i="19" s="1"/>
  <c r="Y180" i="20"/>
  <c r="Y142" i="19" s="1"/>
  <c r="Y183" i="20"/>
  <c r="Y145" i="19" s="1"/>
  <c r="Y141" i="19"/>
  <c r="Z125" i="14" s="1"/>
  <c r="AA154" i="53"/>
  <c r="AA156" i="53" s="1"/>
  <c r="AB153" i="53"/>
  <c r="AD19" i="46"/>
  <c r="AC25" i="46"/>
  <c r="AC40" i="46" s="1"/>
  <c r="Z76" i="53"/>
  <c r="AA67" i="51"/>
  <c r="U318" i="42"/>
  <c r="U319" i="42" s="1"/>
  <c r="U321" i="42" s="1"/>
  <c r="AD24" i="48"/>
  <c r="AE18" i="48"/>
  <c r="AA306" i="48"/>
  <c r="AA31" i="48"/>
  <c r="AB80" i="29"/>
  <c r="AB79" i="29" s="1"/>
  <c r="S189" i="29"/>
  <c r="T70" i="16" s="1"/>
  <c r="U149" i="14"/>
  <c r="AB44" i="45"/>
  <c r="AB43" i="45"/>
  <c r="AB42" i="45"/>
  <c r="AA35" i="46"/>
  <c r="AB95" i="45"/>
  <c r="U222" i="19"/>
  <c r="U272" i="19"/>
  <c r="U273" i="19"/>
  <c r="U221" i="19"/>
  <c r="U225" i="19"/>
  <c r="T249" i="54"/>
  <c r="BG54" i="51"/>
  <c r="O160" i="12"/>
  <c r="U285" i="20"/>
  <c r="U283" i="20"/>
  <c r="U282" i="20"/>
  <c r="U286" i="20"/>
  <c r="U284" i="20"/>
  <c r="U281" i="20"/>
  <c r="AZ9" i="55"/>
  <c r="Z232" i="42"/>
  <c r="Z234" i="42" s="1"/>
  <c r="AA231" i="42"/>
  <c r="BD57" i="45"/>
  <c r="Y86" i="38"/>
  <c r="Y90" i="38" s="1"/>
  <c r="Y87" i="38"/>
  <c r="Y91" i="38" s="1"/>
  <c r="Y88" i="38"/>
  <c r="Y92" i="38" s="1"/>
  <c r="Y89" i="38"/>
  <c r="Q314" i="48"/>
  <c r="Q310" i="48"/>
  <c r="Q315" i="48"/>
  <c r="Q312" i="48"/>
  <c r="Q313" i="48"/>
  <c r="Q311" i="48"/>
  <c r="AA306" i="46"/>
  <c r="AA31" i="46"/>
  <c r="Y140" i="46"/>
  <c r="Y154" i="46" s="1"/>
  <c r="Y141" i="46"/>
  <c r="Y164" i="46" s="1"/>
  <c r="Y142" i="46"/>
  <c r="Y174" i="46" s="1"/>
  <c r="N159" i="12"/>
  <c r="AE17" i="15"/>
  <c r="AE39" i="15" s="1"/>
  <c r="AA232" i="38"/>
  <c r="AA234" i="38" s="1"/>
  <c r="AB231" i="38"/>
  <c r="BH62" i="51"/>
  <c r="BD107" i="45"/>
  <c r="BG50" i="51"/>
  <c r="AA58" i="15"/>
  <c r="Z73" i="29"/>
  <c r="AA58" i="16" s="1"/>
  <c r="BC84" i="45"/>
  <c r="U108" i="14"/>
  <c r="W144" i="29"/>
  <c r="W145" i="29" s="1"/>
  <c r="W167" i="29"/>
  <c r="W168" i="29" s="1"/>
  <c r="Y135" i="14"/>
  <c r="Y58" i="29"/>
  <c r="Y114" i="28"/>
  <c r="Y213" i="28"/>
  <c r="CC7" i="55"/>
  <c r="T318" i="46"/>
  <c r="T319" i="46" s="1"/>
  <c r="T341" i="46"/>
  <c r="T342" i="46" s="1"/>
  <c r="U9" i="55"/>
  <c r="W228" i="48"/>
  <c r="W233" i="48" s="1"/>
  <c r="W230" i="48"/>
  <c r="W235" i="48" s="1"/>
  <c r="W227" i="48"/>
  <c r="W232" i="48" s="1"/>
  <c r="W231" i="48"/>
  <c r="W229" i="48"/>
  <c r="W234" i="48" s="1"/>
  <c r="AE10" i="16"/>
  <c r="AA34" i="28"/>
  <c r="AA33" i="28"/>
  <c r="AB29" i="53"/>
  <c r="AB44" i="42"/>
  <c r="AB288" i="42" s="1"/>
  <c r="Z167" i="19"/>
  <c r="Z166" i="19" s="1"/>
  <c r="X72" i="45"/>
  <c r="X86" i="45"/>
  <c r="Y214" i="20"/>
  <c r="Y172" i="19" s="1"/>
  <c r="Y212" i="20"/>
  <c r="Y170" i="19" s="1"/>
  <c r="Y216" i="20"/>
  <c r="Y174" i="19" s="1"/>
  <c r="Y213" i="20"/>
  <c r="Y171" i="19" s="1"/>
  <c r="Z135" i="12"/>
  <c r="Y169" i="19"/>
  <c r="Y215" i="20"/>
  <c r="U232" i="12"/>
  <c r="W90" i="20"/>
  <c r="AD24" i="46"/>
  <c r="AE18" i="46"/>
  <c r="Y199" i="38"/>
  <c r="Y203" i="38" s="1"/>
  <c r="Y197" i="38"/>
  <c r="Y201" i="38" s="1"/>
  <c r="Y198" i="38"/>
  <c r="Y202" i="38" s="1"/>
  <c r="Y200" i="38"/>
  <c r="Z101" i="36" s="1"/>
  <c r="BF101" i="36" s="1"/>
  <c r="X246" i="48"/>
  <c r="X251" i="48" s="1"/>
  <c r="X247" i="48"/>
  <c r="X252" i="48" s="1"/>
  <c r="X245" i="48"/>
  <c r="X250" i="48" s="1"/>
  <c r="X244" i="48"/>
  <c r="X249" i="48" s="1"/>
  <c r="X248" i="48"/>
  <c r="R345" i="46"/>
  <c r="X141" i="16"/>
  <c r="X142" i="16" s="1"/>
  <c r="AE18" i="53"/>
  <c r="AD24" i="53"/>
  <c r="AD21" i="16"/>
  <c r="Z212" i="54"/>
  <c r="Z209" i="54"/>
  <c r="Z210" i="54"/>
  <c r="Z211" i="54"/>
  <c r="AB69" i="45"/>
  <c r="U44" i="48"/>
  <c r="U316" i="48" s="1"/>
  <c r="W73" i="45"/>
  <c r="W87" i="45"/>
  <c r="T281" i="20"/>
  <c r="T282" i="20"/>
  <c r="T284" i="20"/>
  <c r="T285" i="20"/>
  <c r="T286" i="20"/>
  <c r="T283" i="20"/>
  <c r="U80" i="46"/>
  <c r="U85" i="46" s="1"/>
  <c r="U82" i="46"/>
  <c r="U87" i="46" s="1"/>
  <c r="U81" i="46"/>
  <c r="U86" i="46" s="1"/>
  <c r="U79" i="48"/>
  <c r="U84" i="46"/>
  <c r="V90" i="45" s="1"/>
  <c r="U83" i="46"/>
  <c r="U88" i="46" s="1"/>
  <c r="X222" i="54"/>
  <c r="X224" i="54"/>
  <c r="X225" i="54"/>
  <c r="X223" i="54"/>
  <c r="X226" i="54"/>
  <c r="X227" i="54"/>
  <c r="Z93" i="46"/>
  <c r="Z98" i="46" s="1"/>
  <c r="Z89" i="48"/>
  <c r="Z92" i="46"/>
  <c r="Z97" i="46" s="1"/>
  <c r="Z94" i="46"/>
  <c r="Z91" i="46"/>
  <c r="Z90" i="46"/>
  <c r="Z95" i="46" s="1"/>
  <c r="P122" i="45"/>
  <c r="AC25" i="54"/>
  <c r="AC40" i="54" s="1"/>
  <c r="AD19" i="54"/>
  <c r="BE33" i="45"/>
  <c r="BG58" i="51"/>
  <c r="AA217" i="38"/>
  <c r="AA219" i="38" s="1"/>
  <c r="AB216" i="38"/>
  <c r="U228" i="14"/>
  <c r="BF64" i="51"/>
  <c r="V228" i="14"/>
  <c r="AA137" i="48"/>
  <c r="AA138" i="48"/>
  <c r="AA201" i="48"/>
  <c r="AA200" i="48"/>
  <c r="AB136" i="48"/>
  <c r="W280" i="42"/>
  <c r="W281" i="42" s="1"/>
  <c r="X247" i="42"/>
  <c r="X300" i="38"/>
  <c r="X299" i="38"/>
  <c r="AX126" i="36"/>
  <c r="Q343" i="42"/>
  <c r="AX127" i="36" s="1"/>
  <c r="Z63" i="54"/>
  <c r="Z159" i="54" s="1"/>
  <c r="Z69" i="54"/>
  <c r="Z70" i="54" s="1"/>
  <c r="V119" i="12"/>
  <c r="U72" i="19"/>
  <c r="V119" i="14" s="1"/>
  <c r="AG41" i="15"/>
  <c r="X147" i="46"/>
  <c r="X152" i="46" s="1"/>
  <c r="X146" i="46"/>
  <c r="X151" i="46" s="1"/>
  <c r="X144" i="48"/>
  <c r="X148" i="46"/>
  <c r="X153" i="46" s="1"/>
  <c r="X149" i="46"/>
  <c r="Y83" i="45" s="1"/>
  <c r="X145" i="46"/>
  <c r="X150" i="46" s="1"/>
  <c r="Y157" i="28"/>
  <c r="Y160" i="28"/>
  <c r="Y193" i="29"/>
  <c r="Y194" i="29"/>
  <c r="AD22" i="28"/>
  <c r="AC28" i="28"/>
  <c r="AC46" i="28" s="1"/>
  <c r="S274" i="20"/>
  <c r="S275" i="20"/>
  <c r="AA34" i="29"/>
  <c r="AA33" i="29"/>
  <c r="AR20" i="55"/>
  <c r="AR19" i="55"/>
  <c r="Y129" i="42"/>
  <c r="Y134" i="42"/>
  <c r="T100" i="48"/>
  <c r="T105" i="48" s="1"/>
  <c r="T102" i="48"/>
  <c r="T107" i="48" s="1"/>
  <c r="T104" i="48"/>
  <c r="T103" i="48"/>
  <c r="T108" i="48" s="1"/>
  <c r="T101" i="48"/>
  <c r="T106" i="48" s="1"/>
  <c r="X168" i="46"/>
  <c r="X173" i="46" s="1"/>
  <c r="X167" i="46"/>
  <c r="X172" i="46" s="1"/>
  <c r="X165" i="46"/>
  <c r="X170" i="46" s="1"/>
  <c r="X166" i="46"/>
  <c r="X171" i="46" s="1"/>
  <c r="X164" i="48"/>
  <c r="X169" i="46"/>
  <c r="Y77" i="45" s="1"/>
  <c r="O308" i="20"/>
  <c r="V218" i="20"/>
  <c r="AC28" i="48"/>
  <c r="AD22" i="48"/>
  <c r="AB129" i="16"/>
  <c r="AB131" i="16"/>
  <c r="W302" i="38"/>
  <c r="W301" i="38"/>
  <c r="W305" i="38" s="1"/>
  <c r="Y68" i="45"/>
  <c r="AF18" i="16"/>
  <c r="AF19" i="16"/>
  <c r="AF16" i="16"/>
  <c r="AG14" i="16"/>
  <c r="AF15" i="16"/>
  <c r="AF32" i="16"/>
  <c r="AF74" i="16" s="1"/>
  <c r="Z66" i="16"/>
  <c r="U141" i="14"/>
  <c r="AC25" i="29"/>
  <c r="AC43" i="29" s="1"/>
  <c r="AD19" i="29"/>
  <c r="Y80" i="42"/>
  <c r="Y84" i="42" s="1"/>
  <c r="Y79" i="42"/>
  <c r="Y83" i="42" s="1"/>
  <c r="Y81" i="42"/>
  <c r="Y78" i="42"/>
  <c r="Y82" i="42" s="1"/>
  <c r="Z64" i="20"/>
  <c r="Z65" i="20"/>
  <c r="AA63" i="20"/>
  <c r="T120" i="36"/>
  <c r="S342" i="38"/>
  <c r="S337" i="38"/>
  <c r="V196" i="53"/>
  <c r="V197" i="53" s="1"/>
  <c r="W163" i="53"/>
  <c r="AC26" i="53"/>
  <c r="AC41" i="53" s="1"/>
  <c r="AC147" i="53" s="1"/>
  <c r="AC148" i="53" s="1"/>
  <c r="AD60" i="51" s="1"/>
  <c r="AD20" i="53"/>
  <c r="BB86" i="45"/>
  <c r="BB72" i="45"/>
  <c r="AA127" i="38"/>
  <c r="AA128" i="38"/>
  <c r="AA183" i="38"/>
  <c r="AA182" i="38"/>
  <c r="AB126" i="38"/>
  <c r="AD19" i="48"/>
  <c r="AC25" i="48"/>
  <c r="AC40" i="48" s="1"/>
  <c r="O125" i="45"/>
  <c r="N371" i="46"/>
  <c r="O126" i="45" s="1"/>
  <c r="W157" i="48"/>
  <c r="W162" i="48" s="1"/>
  <c r="W158" i="48"/>
  <c r="W163" i="48" s="1"/>
  <c r="W156" i="48"/>
  <c r="W161" i="48" s="1"/>
  <c r="W155" i="48"/>
  <c r="W160" i="48" s="1"/>
  <c r="W159" i="48"/>
  <c r="Z157" i="53"/>
  <c r="AA66" i="51" s="1"/>
  <c r="W280" i="38"/>
  <c r="W281" i="38" s="1"/>
  <c r="X247" i="38"/>
  <c r="Y34" i="45"/>
  <c r="AC122" i="15"/>
  <c r="AC132" i="15" s="1"/>
  <c r="U320" i="42"/>
  <c r="M159" i="14"/>
  <c r="AS123" i="45"/>
  <c r="AS124" i="45"/>
  <c r="AS121" i="45"/>
  <c r="U149" i="12"/>
  <c r="R333" i="38"/>
  <c r="S331" i="46"/>
  <c r="S343" i="46" s="1"/>
  <c r="S344" i="46" s="1"/>
  <c r="S332" i="46"/>
  <c r="V251" i="54"/>
  <c r="BC75" i="51" s="1"/>
  <c r="V249" i="54"/>
  <c r="X246" i="42"/>
  <c r="X243" i="42"/>
  <c r="Y78" i="38"/>
  <c r="Y82" i="38" s="1"/>
  <c r="Y79" i="38"/>
  <c r="Y83" i="38" s="1"/>
  <c r="Y81" i="38"/>
  <c r="Z92" i="36" s="1"/>
  <c r="BF92" i="36" s="1"/>
  <c r="Y80" i="38"/>
  <c r="Y84" i="38" s="1"/>
  <c r="U114" i="45"/>
  <c r="BA76" i="45"/>
  <c r="U78" i="45"/>
  <c r="Y203" i="46"/>
  <c r="Y204" i="46"/>
  <c r="N161" i="12"/>
  <c r="AE21" i="28"/>
  <c r="AD27" i="28"/>
  <c r="W290" i="38"/>
  <c r="W291" i="38" s="1"/>
  <c r="W313" i="38"/>
  <c r="W314" i="38" s="1"/>
  <c r="Y134" i="20"/>
  <c r="Y110" i="19" s="1"/>
  <c r="Y137" i="20"/>
  <c r="Y113" i="19" s="1"/>
  <c r="Y136" i="20"/>
  <c r="Y112" i="19" s="1"/>
  <c r="Y138" i="20"/>
  <c r="Y114" i="19" s="1"/>
  <c r="Y135" i="20"/>
  <c r="Y111" i="19" s="1"/>
  <c r="Y109" i="19"/>
  <c r="Z126" i="14" s="1"/>
  <c r="Z236" i="38"/>
  <c r="Z240" i="38" s="1"/>
  <c r="Z235" i="38"/>
  <c r="Z239" i="38" s="1"/>
  <c r="Z237" i="38"/>
  <c r="Z241" i="38" s="1"/>
  <c r="Z238" i="38"/>
  <c r="AA107" i="36" s="1"/>
  <c r="Y157" i="19"/>
  <c r="Z123" i="12"/>
  <c r="Y198" i="20"/>
  <c r="W177" i="48"/>
  <c r="W182" i="48" s="1"/>
  <c r="W176" i="48"/>
  <c r="W181" i="48" s="1"/>
  <c r="W178" i="48"/>
  <c r="W183" i="48" s="1"/>
  <c r="W179" i="48"/>
  <c r="W175" i="48"/>
  <c r="W180" i="48" s="1"/>
  <c r="U255" i="20"/>
  <c r="U256" i="20" s="1"/>
  <c r="V222" i="20"/>
  <c r="BG68" i="51"/>
  <c r="AA64" i="15"/>
  <c r="Z75" i="29"/>
  <c r="AA64" i="16" s="1"/>
  <c r="BC85" i="45"/>
  <c r="BC71" i="45"/>
  <c r="T151" i="12"/>
  <c r="AG25" i="16"/>
  <c r="X173" i="19"/>
  <c r="BA97" i="45"/>
  <c r="U100" i="45"/>
  <c r="U113" i="45"/>
  <c r="Y139" i="15"/>
  <c r="N19" i="55"/>
  <c r="N20" i="55"/>
  <c r="AA47" i="29"/>
  <c r="AA142" i="29" s="1"/>
  <c r="Y150" i="20"/>
  <c r="Y126" i="19" s="1"/>
  <c r="Y147" i="20"/>
  <c r="Y123" i="19" s="1"/>
  <c r="Y148" i="20"/>
  <c r="Y124" i="19" s="1"/>
  <c r="Y146" i="20"/>
  <c r="Y122" i="19" s="1"/>
  <c r="Y149" i="20"/>
  <c r="Y125" i="19" s="1"/>
  <c r="Z138" i="12"/>
  <c r="Y121" i="19"/>
  <c r="Z138" i="14" s="1"/>
  <c r="R277" i="20"/>
  <c r="R276" i="20"/>
  <c r="R280" i="20" s="1"/>
  <c r="R294" i="20"/>
  <c r="R296" i="20" s="1"/>
  <c r="R295" i="20"/>
  <c r="AB29" i="42"/>
  <c r="V228" i="12"/>
  <c r="X84" i="45"/>
  <c r="Z209" i="20"/>
  <c r="Z211" i="20" s="1"/>
  <c r="AA208" i="20"/>
  <c r="AD11" i="16"/>
  <c r="W62" i="19"/>
  <c r="AA258" i="48"/>
  <c r="AB257" i="48"/>
  <c r="Y134" i="15"/>
  <c r="Y133" i="15" a="1"/>
  <c r="Y133" i="15" s="1"/>
  <c r="Y68" i="15"/>
  <c r="Y205" i="38"/>
  <c r="Y209" i="38" s="1"/>
  <c r="Y207" i="38"/>
  <c r="Y211" i="38" s="1"/>
  <c r="Y208" i="38"/>
  <c r="Y206" i="38"/>
  <c r="Y210" i="38" s="1"/>
  <c r="X214" i="28"/>
  <c r="W148" i="28"/>
  <c r="W149" i="28" s="1"/>
  <c r="T76" i="51"/>
  <c r="Z207" i="28"/>
  <c r="Z208" i="28"/>
  <c r="Z156" i="28"/>
  <c r="AA47" i="28"/>
  <c r="AA54" i="29"/>
  <c r="AA50" i="29"/>
  <c r="AA52" i="29"/>
  <c r="AA49" i="29" s="1"/>
  <c r="AA53" i="29"/>
  <c r="AA51" i="29"/>
  <c r="AE18" i="29"/>
  <c r="AD24" i="29"/>
  <c r="AA25" i="20"/>
  <c r="AA43" i="20" s="1"/>
  <c r="AB19" i="20"/>
  <c r="BF28" i="45"/>
  <c r="BF36" i="45"/>
  <c r="BF32" i="45"/>
  <c r="BF31" i="45"/>
  <c r="BF37" i="45"/>
  <c r="BF35" i="45"/>
  <c r="BF29" i="45"/>
  <c r="BF54" i="45"/>
  <c r="AA205" i="53"/>
  <c r="AA208" i="53"/>
  <c r="W84" i="45"/>
  <c r="N164" i="14"/>
  <c r="M276" i="19"/>
  <c r="N165" i="14" s="1"/>
  <c r="V130" i="12"/>
  <c r="U100" i="46"/>
  <c r="U105" i="46" s="1"/>
  <c r="U103" i="46"/>
  <c r="U108" i="46" s="1"/>
  <c r="U101" i="46"/>
  <c r="U106" i="46" s="1"/>
  <c r="U99" i="48"/>
  <c r="U104" i="46"/>
  <c r="V106" i="45" s="1"/>
  <c r="U102" i="46"/>
  <c r="U107" i="46" s="1"/>
  <c r="T193" i="28"/>
  <c r="Z23" i="45"/>
  <c r="Y222" i="42"/>
  <c r="Y226" i="42" s="1"/>
  <c r="Y221" i="42"/>
  <c r="Y225" i="42" s="1"/>
  <c r="Y220" i="42"/>
  <c r="Y224" i="42" s="1"/>
  <c r="Y223" i="42"/>
  <c r="Q329" i="46"/>
  <c r="Q333" i="46" s="1"/>
  <c r="Q330" i="46"/>
  <c r="AD24" i="28"/>
  <c r="AE18" i="28"/>
  <c r="AB108" i="54"/>
  <c r="AB109" i="54" s="1"/>
  <c r="AB104" i="54"/>
  <c r="AB105" i="54" s="1"/>
  <c r="AB106" i="54"/>
  <c r="AB107" i="54" s="1"/>
  <c r="AB110" i="54"/>
  <c r="AB111" i="54" s="1"/>
  <c r="W241" i="54"/>
  <c r="W242" i="54" s="1"/>
  <c r="Z221" i="38"/>
  <c r="Z225" i="38" s="1"/>
  <c r="Z220" i="38"/>
  <c r="Z224" i="38" s="1"/>
  <c r="Z222" i="38"/>
  <c r="Z226" i="38" s="1"/>
  <c r="Z223" i="38"/>
  <c r="AA98" i="36" s="1"/>
  <c r="Q252" i="19"/>
  <c r="Q254" i="19" s="1"/>
  <c r="Q253" i="19"/>
  <c r="X197" i="42"/>
  <c r="X201" i="42" s="1"/>
  <c r="X198" i="42"/>
  <c r="X202" i="42" s="1"/>
  <c r="X199" i="42"/>
  <c r="X203" i="42" s="1"/>
  <c r="X200" i="42"/>
  <c r="AC136" i="54"/>
  <c r="AC137" i="54" s="1"/>
  <c r="AC138" i="54"/>
  <c r="AC139" i="54" s="1"/>
  <c r="AC134" i="54"/>
  <c r="AC135" i="54" s="1"/>
  <c r="T320" i="48"/>
  <c r="T317" i="48"/>
  <c r="R328" i="46"/>
  <c r="R327" i="46"/>
  <c r="AD19" i="28"/>
  <c r="AC25" i="28"/>
  <c r="AC43" i="28" s="1"/>
  <c r="V146" i="14"/>
  <c r="V115" i="14"/>
  <c r="AM94" i="15"/>
  <c r="AL94" i="15"/>
  <c r="AL117" i="15"/>
  <c r="AH7" i="15"/>
  <c r="AH8" i="15"/>
  <c r="AA194" i="54"/>
  <c r="AA205" i="54" s="1"/>
  <c r="AA31" i="54"/>
  <c r="AB85" i="29"/>
  <c r="AC61" i="15"/>
  <c r="BF98" i="36"/>
  <c r="AR7" i="55"/>
  <c r="AH24" i="15"/>
  <c r="AL90" i="15"/>
  <c r="AM90" i="15"/>
  <c r="AH23" i="15"/>
  <c r="AL114" i="15"/>
  <c r="Z34" i="28"/>
  <c r="Z33" i="28"/>
  <c r="W96" i="20"/>
  <c r="X138" i="19"/>
  <c r="V77" i="20"/>
  <c r="V73" i="20"/>
  <c r="V64" i="19"/>
  <c r="W93" i="14" s="1"/>
  <c r="V75" i="20"/>
  <c r="V74" i="20"/>
  <c r="V66" i="19" s="1"/>
  <c r="V76" i="20"/>
  <c r="V53" i="19"/>
  <c r="Y220" i="54"/>
  <c r="Y219" i="54"/>
  <c r="Y231" i="54" s="1"/>
  <c r="AE17" i="16"/>
  <c r="O353" i="48"/>
  <c r="O354" i="48" s="1"/>
  <c r="U107" i="14"/>
  <c r="M19" i="55"/>
  <c r="M20" i="55"/>
  <c r="AC26" i="38"/>
  <c r="AC41" i="38" s="1"/>
  <c r="AD20" i="38"/>
  <c r="U201" i="53"/>
  <c r="U203" i="53"/>
  <c r="U202" i="53"/>
  <c r="U200" i="53"/>
  <c r="U198" i="53"/>
  <c r="U199" i="53"/>
  <c r="BI60" i="51"/>
  <c r="BB84" i="45"/>
  <c r="Z184" i="38"/>
  <c r="Z188" i="38"/>
  <c r="Z204" i="38"/>
  <c r="Z196" i="38"/>
  <c r="BD98" i="45"/>
  <c r="V141" i="12"/>
  <c r="V287" i="38"/>
  <c r="V286" i="38"/>
  <c r="V284" i="38"/>
  <c r="V283" i="38"/>
  <c r="V285" i="38"/>
  <c r="V282" i="38"/>
  <c r="M159" i="12"/>
  <c r="T115" i="45"/>
  <c r="Z65" i="15"/>
  <c r="T228" i="14"/>
  <c r="T233" i="14" s="1"/>
  <c r="T234" i="14" s="1"/>
  <c r="T83" i="48"/>
  <c r="T88" i="48" s="1"/>
  <c r="T80" i="48"/>
  <c r="T85" i="48" s="1"/>
  <c r="T82" i="48"/>
  <c r="T87" i="48" s="1"/>
  <c r="T81" i="48"/>
  <c r="T86" i="48" s="1"/>
  <c r="T84" i="48"/>
  <c r="V83" i="20"/>
  <c r="V75" i="19" s="1"/>
  <c r="V79" i="20"/>
  <c r="V81" i="20"/>
  <c r="V70" i="19"/>
  <c r="W114" i="14" s="1"/>
  <c r="V82" i="20"/>
  <c r="W114" i="12"/>
  <c r="V80" i="20"/>
  <c r="BH40" i="45"/>
  <c r="BH39" i="45"/>
  <c r="V196" i="54"/>
  <c r="V197" i="54" s="1"/>
  <c r="W163" i="54"/>
  <c r="R191" i="29"/>
  <c r="AA31" i="38" l="1"/>
  <c r="AA278" i="38"/>
  <c r="AA289" i="38" s="1"/>
  <c r="Y58" i="45"/>
  <c r="Y59" i="45"/>
  <c r="X37" i="46"/>
  <c r="X234" i="53"/>
  <c r="BE105" i="36"/>
  <c r="Z162" i="53"/>
  <c r="AB31" i="48"/>
  <c r="Y140" i="16"/>
  <c r="AC24" i="42"/>
  <c r="AC39" i="42" s="1"/>
  <c r="AD18" i="42"/>
  <c r="AA89" i="29"/>
  <c r="AC24" i="38"/>
  <c r="AC39" i="38" s="1"/>
  <c r="AD18" i="38"/>
  <c r="BH41" i="45"/>
  <c r="Y141" i="16"/>
  <c r="Y142" i="16" s="1"/>
  <c r="BF102" i="36"/>
  <c r="BF105" i="36" s="1"/>
  <c r="BE117" i="36"/>
  <c r="BE123" i="36" s="1"/>
  <c r="V189" i="28"/>
  <c r="Z130" i="20"/>
  <c r="Z128" i="20"/>
  <c r="Z104" i="19" s="1"/>
  <c r="X96" i="20"/>
  <c r="Z132" i="20"/>
  <c r="Z108" i="19" s="1"/>
  <c r="W186" i="28"/>
  <c r="Z103" i="19"/>
  <c r="AA103" i="14" s="1"/>
  <c r="X117" i="36"/>
  <c r="X123" i="36" s="1"/>
  <c r="AC80" i="29"/>
  <c r="AC79" i="29" s="1"/>
  <c r="W4" i="55"/>
  <c r="Z131" i="20"/>
  <c r="Z107" i="19" s="1"/>
  <c r="CD6" i="55"/>
  <c r="BE57" i="45"/>
  <c r="BE58" i="45" s="1"/>
  <c r="AC29" i="46"/>
  <c r="Z102" i="36"/>
  <c r="Z105" i="36" s="1"/>
  <c r="AT6" i="55"/>
  <c r="Z110" i="36"/>
  <c r="Z113" i="36" s="1"/>
  <c r="BF110" i="36"/>
  <c r="BF112" i="36" s="1"/>
  <c r="AS6" i="55"/>
  <c r="Y140" i="15"/>
  <c r="AA63" i="48"/>
  <c r="V176" i="19"/>
  <c r="X90" i="20"/>
  <c r="X82" i="19" s="1"/>
  <c r="Y124" i="14" s="1"/>
  <c r="X83" i="20"/>
  <c r="X75" i="19" s="1"/>
  <c r="X70" i="19"/>
  <c r="Y114" i="14" s="1"/>
  <c r="X80" i="20"/>
  <c r="Y114" i="12"/>
  <c r="X82" i="20"/>
  <c r="X81" i="20"/>
  <c r="X79" i="20"/>
  <c r="W259" i="53"/>
  <c r="X78" i="51" s="1"/>
  <c r="X77" i="51"/>
  <c r="AE121" i="15"/>
  <c r="W77" i="51"/>
  <c r="V259" i="53"/>
  <c r="W78" i="51" s="1"/>
  <c r="X241" i="53"/>
  <c r="X242" i="53" s="1"/>
  <c r="X241" i="54"/>
  <c r="X242" i="54" s="1"/>
  <c r="V152" i="14"/>
  <c r="V325" i="38"/>
  <c r="V326" i="38" s="1"/>
  <c r="AE19" i="28"/>
  <c r="AD25" i="28"/>
  <c r="AD43" i="28" s="1"/>
  <c r="BF33" i="45"/>
  <c r="AC257" i="48"/>
  <c r="AB258" i="48"/>
  <c r="AG124" i="16"/>
  <c r="AF38" i="29"/>
  <c r="AG54" i="16"/>
  <c r="BG107" i="36"/>
  <c r="AF21" i="28"/>
  <c r="AE27" i="28"/>
  <c r="X33" i="46"/>
  <c r="X39" i="46" s="1"/>
  <c r="Y75" i="45"/>
  <c r="AA184" i="38"/>
  <c r="AA196" i="38"/>
  <c r="AA188" i="38"/>
  <c r="AA204" i="38"/>
  <c r="BJ60" i="51"/>
  <c r="Z66" i="20"/>
  <c r="AF17" i="16"/>
  <c r="AD61" i="15"/>
  <c r="AC85" i="29"/>
  <c r="X301" i="38"/>
  <c r="X305" i="38" s="1"/>
  <c r="X302" i="38"/>
  <c r="AA140" i="48"/>
  <c r="AA142" i="48"/>
  <c r="AA141" i="48"/>
  <c r="AB217" i="38"/>
  <c r="AB219" i="38" s="1"/>
  <c r="AC216" i="38"/>
  <c r="AC106" i="54"/>
  <c r="AC107" i="54" s="1"/>
  <c r="AC110" i="54"/>
  <c r="AC111" i="54" s="1"/>
  <c r="AC108" i="54"/>
  <c r="AC109" i="54" s="1"/>
  <c r="AC104" i="54"/>
  <c r="AC105" i="54" s="1"/>
  <c r="Z92" i="48"/>
  <c r="Z97" i="48" s="1"/>
  <c r="Z94" i="48"/>
  <c r="Z93" i="48"/>
  <c r="Z98" i="48" s="1"/>
  <c r="Z91" i="48"/>
  <c r="Z90" i="48"/>
  <c r="Z95" i="48" s="1"/>
  <c r="AE24" i="53"/>
  <c r="AF18" i="53"/>
  <c r="BA9" i="55"/>
  <c r="Y176" i="46"/>
  <c r="Y181" i="46" s="1"/>
  <c r="Y175" i="46"/>
  <c r="Y180" i="46" s="1"/>
  <c r="Y178" i="46"/>
  <c r="Y183" i="46" s="1"/>
  <c r="Y177" i="46"/>
  <c r="Y182" i="46" s="1"/>
  <c r="Y179" i="46"/>
  <c r="Z107" i="45" s="1"/>
  <c r="Y174" i="48"/>
  <c r="BD58" i="45"/>
  <c r="BD71" i="45" s="1"/>
  <c r="BD60" i="45"/>
  <c r="BD73" i="45" s="1"/>
  <c r="BD104" i="45"/>
  <c r="W37" i="48"/>
  <c r="AB43" i="48" s="1"/>
  <c r="BD59" i="45"/>
  <c r="BD72" i="45" s="1"/>
  <c r="AA157" i="53"/>
  <c r="AB66" i="51" s="1"/>
  <c r="Y158" i="29"/>
  <c r="Y157" i="29"/>
  <c r="Y169" i="29" s="1"/>
  <c r="V118" i="12"/>
  <c r="AB26" i="20"/>
  <c r="AB44" i="20" s="1"/>
  <c r="AC20" i="20"/>
  <c r="Q348" i="48"/>
  <c r="P125" i="45"/>
  <c r="O371" i="46"/>
  <c r="P126" i="45" s="1"/>
  <c r="V80" i="45"/>
  <c r="V79" i="45"/>
  <c r="V81" i="45"/>
  <c r="BB80" i="45"/>
  <c r="BB81" i="45"/>
  <c r="BB79" i="45"/>
  <c r="BI53" i="51"/>
  <c r="AC54" i="51"/>
  <c r="Y247" i="48"/>
  <c r="Y252" i="48" s="1"/>
  <c r="Y246" i="48"/>
  <c r="Y251" i="48" s="1"/>
  <c r="Y244" i="48"/>
  <c r="Y249" i="48" s="1"/>
  <c r="Y245" i="48"/>
  <c r="Y250" i="48" s="1"/>
  <c r="Y248" i="48"/>
  <c r="AA66" i="38"/>
  <c r="AA85" i="38" s="1"/>
  <c r="AA65" i="38"/>
  <c r="AA93" i="38" s="1"/>
  <c r="AA61" i="38"/>
  <c r="AA62" i="38"/>
  <c r="AA67" i="38"/>
  <c r="AA101" i="38" s="1"/>
  <c r="AA64" i="38"/>
  <c r="AA77" i="38" s="1"/>
  <c r="AB60" i="38"/>
  <c r="W128" i="12"/>
  <c r="V83" i="19"/>
  <c r="W128" i="14" s="1"/>
  <c r="Y71" i="42"/>
  <c r="Y75" i="42" s="1"/>
  <c r="Y72" i="42"/>
  <c r="Y76" i="42" s="1"/>
  <c r="Y73" i="42"/>
  <c r="Y70" i="42"/>
  <c r="Y74" i="42" s="1"/>
  <c r="X156" i="48"/>
  <c r="X161" i="48" s="1"/>
  <c r="X155" i="48"/>
  <c r="X160" i="48" s="1"/>
  <c r="X157" i="48"/>
  <c r="X162" i="48" s="1"/>
  <c r="X159" i="48"/>
  <c r="X158" i="48"/>
  <c r="X163" i="48" s="1"/>
  <c r="U151" i="12"/>
  <c r="W33" i="48"/>
  <c r="W39" i="48" s="1"/>
  <c r="BD75" i="45"/>
  <c r="AB258" i="46"/>
  <c r="AB260" i="46" s="1"/>
  <c r="AC257" i="46"/>
  <c r="AA55" i="45"/>
  <c r="AA56" i="45"/>
  <c r="AA30" i="45"/>
  <c r="Z58" i="29"/>
  <c r="Z114" i="28"/>
  <c r="Z213" i="28"/>
  <c r="R327" i="48"/>
  <c r="R328" i="48"/>
  <c r="Z203" i="46"/>
  <c r="Z204" i="46"/>
  <c r="AA59" i="15"/>
  <c r="U150" i="14"/>
  <c r="BF71" i="51"/>
  <c r="S331" i="48"/>
  <c r="S343" i="48" s="1"/>
  <c r="S332" i="48"/>
  <c r="AD28" i="46"/>
  <c r="AE22" i="46"/>
  <c r="R345" i="48"/>
  <c r="R346" i="48" s="1"/>
  <c r="Z162" i="54"/>
  <c r="AA82" i="29"/>
  <c r="AB55" i="16" s="1"/>
  <c r="AB55" i="15"/>
  <c r="Z182" i="20"/>
  <c r="Z144" i="19" s="1"/>
  <c r="Z180" i="20"/>
  <c r="Z142" i="19" s="1"/>
  <c r="Z181" i="20"/>
  <c r="Z143" i="19" s="1"/>
  <c r="Z183" i="20"/>
  <c r="Z145" i="19" s="1"/>
  <c r="Z141" i="19"/>
  <c r="AA125" i="14" s="1"/>
  <c r="Z184" i="20"/>
  <c r="Z146" i="19" s="1"/>
  <c r="V271" i="20"/>
  <c r="V268" i="20"/>
  <c r="V269" i="20"/>
  <c r="V270" i="20"/>
  <c r="X290" i="38"/>
  <c r="X291" i="38" s="1"/>
  <c r="X313" i="38"/>
  <c r="X314" i="38" s="1"/>
  <c r="BI17" i="45"/>
  <c r="BI18" i="45" s="1"/>
  <c r="Z57" i="45"/>
  <c r="AA59" i="29"/>
  <c r="AB62" i="16" s="1"/>
  <c r="AB62" i="15"/>
  <c r="AB154" i="54"/>
  <c r="AB156" i="54" s="1"/>
  <c r="AC153" i="54"/>
  <c r="Z24" i="20"/>
  <c r="AA18" i="20"/>
  <c r="X101" i="20"/>
  <c r="X93" i="19" s="1"/>
  <c r="X98" i="20"/>
  <c r="X100" i="20"/>
  <c r="X97" i="20"/>
  <c r="X88" i="19"/>
  <c r="X99" i="20"/>
  <c r="Y136" i="12"/>
  <c r="V318" i="42"/>
  <c r="V319" i="42" s="1"/>
  <c r="V321" i="42" s="1"/>
  <c r="Q155" i="12"/>
  <c r="Q10" i="55"/>
  <c r="P312" i="20"/>
  <c r="P317" i="20"/>
  <c r="Z88" i="42"/>
  <c r="Z92" i="42" s="1"/>
  <c r="Z87" i="42"/>
  <c r="Z91" i="42" s="1"/>
  <c r="Z89" i="42"/>
  <c r="Z86" i="42"/>
  <c r="Z90" i="42" s="1"/>
  <c r="W139" i="12"/>
  <c r="P371" i="46"/>
  <c r="Q126" i="45" s="1"/>
  <c r="AA49" i="16"/>
  <c r="BA118" i="45"/>
  <c r="AF11" i="15"/>
  <c r="M161" i="12"/>
  <c r="Y300" i="38"/>
  <c r="Y299" i="38"/>
  <c r="W105" i="14"/>
  <c r="AA295" i="38"/>
  <c r="AA293" i="38"/>
  <c r="AA294" i="38"/>
  <c r="AA296" i="38"/>
  <c r="V317" i="46"/>
  <c r="V320" i="46"/>
  <c r="AD138" i="53"/>
  <c r="AD139" i="53" s="1"/>
  <c r="AE69" i="51" s="1"/>
  <c r="AD136" i="53"/>
  <c r="AD137" i="53" s="1"/>
  <c r="AE63" i="51" s="1"/>
  <c r="AD134" i="53"/>
  <c r="T318" i="48"/>
  <c r="T319" i="48" s="1"/>
  <c r="T341" i="48"/>
  <c r="T342" i="48" s="1"/>
  <c r="P353" i="48"/>
  <c r="P354" i="48" s="1"/>
  <c r="W249" i="53"/>
  <c r="W251" i="53"/>
  <c r="X75" i="51" s="1"/>
  <c r="X227" i="12"/>
  <c r="AT7" i="55"/>
  <c r="W99" i="12"/>
  <c r="V69" i="19"/>
  <c r="V72" i="19"/>
  <c r="W119" i="14" s="1"/>
  <c r="W119" i="12"/>
  <c r="O363" i="48"/>
  <c r="AV120" i="45" s="1"/>
  <c r="O361" i="48"/>
  <c r="AB84" i="29"/>
  <c r="AC61" i="16"/>
  <c r="R329" i="46"/>
  <c r="R333" i="46" s="1"/>
  <c r="R330" i="46"/>
  <c r="AA186" i="38"/>
  <c r="AA185" i="38"/>
  <c r="W196" i="53"/>
  <c r="W197" i="53" s="1"/>
  <c r="X163" i="53"/>
  <c r="AG16" i="16"/>
  <c r="AG19" i="16"/>
  <c r="AG18" i="16"/>
  <c r="AG15" i="16"/>
  <c r="AH14" i="16"/>
  <c r="AG32" i="16"/>
  <c r="AG74" i="16" s="1"/>
  <c r="AD28" i="28"/>
  <c r="AD46" i="28" s="1"/>
  <c r="AE22" i="28"/>
  <c r="AA139" i="48"/>
  <c r="AA220" i="38"/>
  <c r="AA224" i="38" s="1"/>
  <c r="AA222" i="38"/>
  <c r="AA226" i="38" s="1"/>
  <c r="AA221" i="38"/>
  <c r="AA225" i="38" s="1"/>
  <c r="AA223" i="38"/>
  <c r="AB98" i="36" s="1"/>
  <c r="BB90" i="45"/>
  <c r="V91" i="45"/>
  <c r="V114" i="45" s="1"/>
  <c r="Z213" i="54"/>
  <c r="Z214" i="54"/>
  <c r="Y173" i="19"/>
  <c r="AB31" i="53"/>
  <c r="AB194" i="53"/>
  <c r="Y167" i="46"/>
  <c r="Y172" i="46" s="1"/>
  <c r="Y168" i="46"/>
  <c r="Y173" i="46" s="1"/>
  <c r="Y165" i="46"/>
  <c r="Y170" i="46" s="1"/>
  <c r="Y166" i="46"/>
  <c r="Y171" i="46" s="1"/>
  <c r="Y164" i="48"/>
  <c r="Y169" i="46"/>
  <c r="Z77" i="45" s="1"/>
  <c r="BA74" i="51"/>
  <c r="T253" i="54"/>
  <c r="BE107" i="45"/>
  <c r="Y152" i="42"/>
  <c r="Y156" i="42" s="1"/>
  <c r="Y153" i="42"/>
  <c r="Y157" i="42" s="1"/>
  <c r="Y154" i="42"/>
  <c r="Y151" i="42"/>
  <c r="Y155" i="42" s="1"/>
  <c r="V118" i="14"/>
  <c r="W167" i="28"/>
  <c r="W168" i="28"/>
  <c r="AA93" i="46"/>
  <c r="AA98" i="46" s="1"/>
  <c r="AA92" i="46"/>
  <c r="AA97" i="46" s="1"/>
  <c r="AA90" i="46"/>
  <c r="AA95" i="46" s="1"/>
  <c r="AA91" i="46"/>
  <c r="AA94" i="46"/>
  <c r="AA89" i="48"/>
  <c r="V34" i="19"/>
  <c r="V33" i="19"/>
  <c r="BI62" i="51"/>
  <c r="BF96" i="45"/>
  <c r="BH54" i="51"/>
  <c r="Y230" i="46"/>
  <c r="Y235" i="46" s="1"/>
  <c r="Y229" i="46"/>
  <c r="Y234" i="46" s="1"/>
  <c r="Y226" i="48"/>
  <c r="Y228" i="46"/>
  <c r="Y233" i="46" s="1"/>
  <c r="Y227" i="46"/>
  <c r="Y232" i="46" s="1"/>
  <c r="Y231" i="46"/>
  <c r="Z108" i="45" s="1"/>
  <c r="Z86" i="38"/>
  <c r="Z90" i="38" s="1"/>
  <c r="Z87" i="38"/>
  <c r="Z91" i="38" s="1"/>
  <c r="Z88" i="38"/>
  <c r="Z92" i="38" s="1"/>
  <c r="Z89" i="38"/>
  <c r="W131" i="12"/>
  <c r="V84" i="19"/>
  <c r="W131" i="14" s="1"/>
  <c r="W127" i="14" s="1"/>
  <c r="BF23" i="45"/>
  <c r="Z136" i="16"/>
  <c r="Y246" i="42"/>
  <c r="Y243" i="42"/>
  <c r="AB265" i="19"/>
  <c r="AC307" i="20"/>
  <c r="AA128" i="42"/>
  <c r="AA127" i="42"/>
  <c r="AB126" i="42"/>
  <c r="AB61" i="54"/>
  <c r="AB64" i="54"/>
  <c r="AB71" i="54" s="1"/>
  <c r="AB72" i="54" s="1"/>
  <c r="AB62" i="54"/>
  <c r="AB67" i="54"/>
  <c r="AB77" i="54" s="1"/>
  <c r="AB78" i="54" s="1"/>
  <c r="AB65" i="54"/>
  <c r="AB75" i="54" s="1"/>
  <c r="AB76" i="54" s="1"/>
  <c r="AB66" i="54"/>
  <c r="AB73" i="54" s="1"/>
  <c r="AB74" i="54" s="1"/>
  <c r="AC60" i="54"/>
  <c r="AY126" i="36"/>
  <c r="R343" i="42"/>
  <c r="AY127" i="36" s="1"/>
  <c r="AA264" i="46"/>
  <c r="AA269" i="46" s="1"/>
  <c r="AA263" i="46"/>
  <c r="AA268" i="46" s="1"/>
  <c r="AA261" i="46"/>
  <c r="AA266" i="46" s="1"/>
  <c r="AA262" i="46"/>
  <c r="AA267" i="46" s="1"/>
  <c r="AA265" i="46"/>
  <c r="AB105" i="45" s="1"/>
  <c r="AA260" i="48"/>
  <c r="AB31" i="45"/>
  <c r="AB37" i="45"/>
  <c r="AB35" i="45"/>
  <c r="BH27" i="45"/>
  <c r="AB28" i="45"/>
  <c r="AB29" i="45"/>
  <c r="AB32" i="45"/>
  <c r="AB36" i="45"/>
  <c r="AC27" i="45"/>
  <c r="AB54" i="45"/>
  <c r="AO90" i="15"/>
  <c r="AO91" i="15" s="1"/>
  <c r="AO82" i="16"/>
  <c r="BH50" i="51"/>
  <c r="Z142" i="46"/>
  <c r="Z174" i="46" s="1"/>
  <c r="Z141" i="46"/>
  <c r="Z164" i="46" s="1"/>
  <c r="Z140" i="46"/>
  <c r="Z154" i="46" s="1"/>
  <c r="Z135" i="16"/>
  <c r="AA28" i="19"/>
  <c r="AA46" i="19" s="1"/>
  <c r="AA167" i="19" s="1"/>
  <c r="AA166" i="19" s="1"/>
  <c r="AB22" i="19"/>
  <c r="U151" i="14"/>
  <c r="Z136" i="15"/>
  <c r="S337" i="42"/>
  <c r="S342" i="42"/>
  <c r="BF79" i="36"/>
  <c r="BF114" i="36" s="1"/>
  <c r="Z114" i="36"/>
  <c r="W155" i="29"/>
  <c r="W159" i="29" s="1"/>
  <c r="W156" i="29"/>
  <c r="P155" i="14"/>
  <c r="O270" i="19"/>
  <c r="O275" i="19"/>
  <c r="AC43" i="46"/>
  <c r="T290" i="20"/>
  <c r="T291" i="20" s="1"/>
  <c r="T292" i="20"/>
  <c r="T293" i="20" s="1"/>
  <c r="AD39" i="54"/>
  <c r="AC37" i="28"/>
  <c r="AD125" i="15"/>
  <c r="AD47" i="15"/>
  <c r="Z136" i="38"/>
  <c r="Z140" i="38" s="1"/>
  <c r="Z138" i="38"/>
  <c r="AA85" i="36" s="1"/>
  <c r="Z137" i="38"/>
  <c r="Z141" i="38" s="1"/>
  <c r="Z135" i="38"/>
  <c r="Z139" i="38" s="1"/>
  <c r="Z132" i="19"/>
  <c r="BE34" i="45"/>
  <c r="W64" i="19"/>
  <c r="X93" i="14" s="1"/>
  <c r="W77" i="20"/>
  <c r="W76" i="20"/>
  <c r="W73" i="20"/>
  <c r="W75" i="20"/>
  <c r="W74" i="20"/>
  <c r="W66" i="19" s="1"/>
  <c r="V225" i="14" a="1"/>
  <c r="V225" i="14" s="1"/>
  <c r="V226" i="14"/>
  <c r="V148" i="14"/>
  <c r="BI56" i="51"/>
  <c r="Y29" i="20"/>
  <c r="Y42" i="20"/>
  <c r="Y90" i="20" s="1"/>
  <c r="Q162" i="12"/>
  <c r="Q158" i="12"/>
  <c r="Z220" i="53"/>
  <c r="Z219" i="53"/>
  <c r="Z231" i="53" s="1"/>
  <c r="AC36" i="28"/>
  <c r="AC42" i="28" s="1"/>
  <c r="AD123" i="15"/>
  <c r="AD43" i="15"/>
  <c r="V92" i="19"/>
  <c r="W145" i="14" s="1"/>
  <c r="W145" i="12"/>
  <c r="AC360" i="48"/>
  <c r="Z193" i="29"/>
  <c r="Z194" i="29"/>
  <c r="BA91" i="45"/>
  <c r="AB61" i="53"/>
  <c r="AC60" i="53"/>
  <c r="AB65" i="53"/>
  <c r="AB75" i="53" s="1"/>
  <c r="AB62" i="53"/>
  <c r="AB64" i="53"/>
  <c r="AB71" i="53" s="1"/>
  <c r="AB72" i="53" s="1"/>
  <c r="AC57" i="51" s="1"/>
  <c r="AB67" i="53"/>
  <c r="AB77" i="53" s="1"/>
  <c r="AB78" i="53" s="1"/>
  <c r="AC61" i="51" s="1"/>
  <c r="AB66" i="53"/>
  <c r="AB73" i="53" s="1"/>
  <c r="AB74" i="53" s="1"/>
  <c r="T325" i="46"/>
  <c r="T326" i="46"/>
  <c r="AE40" i="16"/>
  <c r="Z150" i="29"/>
  <c r="Z147" i="29"/>
  <c r="Z148" i="29"/>
  <c r="Z149" i="29"/>
  <c r="AE27" i="42"/>
  <c r="AE42" i="42" s="1"/>
  <c r="AF21" i="42"/>
  <c r="V72" i="46"/>
  <c r="V77" i="46" s="1"/>
  <c r="V71" i="46"/>
  <c r="V76" i="46" s="1"/>
  <c r="V73" i="46"/>
  <c r="V78" i="46" s="1"/>
  <c r="V69" i="48"/>
  <c r="V74" i="46"/>
  <c r="W76" i="45" s="1"/>
  <c r="V70" i="46"/>
  <c r="V75" i="46" s="1"/>
  <c r="Z99" i="19"/>
  <c r="T230" i="19"/>
  <c r="T231" i="19"/>
  <c r="AE27" i="53"/>
  <c r="AE42" i="53" s="1"/>
  <c r="AF21" i="53"/>
  <c r="AU119" i="45"/>
  <c r="N365" i="48"/>
  <c r="N370" i="48"/>
  <c r="AA196" i="20"/>
  <c r="AB195" i="20"/>
  <c r="T274" i="20"/>
  <c r="T275" i="20"/>
  <c r="U272" i="20"/>
  <c r="U273" i="20"/>
  <c r="AD26" i="38"/>
  <c r="AD41" i="38" s="1"/>
  <c r="AE20" i="38"/>
  <c r="AP260" i="12"/>
  <c r="AO82" i="15"/>
  <c r="BB110" i="45"/>
  <c r="BB111" i="45"/>
  <c r="V111" i="45"/>
  <c r="BB112" i="45"/>
  <c r="V112" i="45"/>
  <c r="V110" i="45"/>
  <c r="AC44" i="42"/>
  <c r="AC288" i="42" s="1"/>
  <c r="U115" i="45"/>
  <c r="S120" i="36"/>
  <c r="R337" i="38"/>
  <c r="R342" i="38"/>
  <c r="X280" i="38"/>
  <c r="X281" i="38" s="1"/>
  <c r="Y247" i="38"/>
  <c r="AA131" i="38"/>
  <c r="AA150" i="38" s="1"/>
  <c r="AA132" i="38"/>
  <c r="AA158" i="38" s="1"/>
  <c r="AA130" i="38"/>
  <c r="AA142" i="38" s="1"/>
  <c r="V199" i="53"/>
  <c r="V198" i="53"/>
  <c r="V203" i="53"/>
  <c r="V201" i="53"/>
  <c r="V200" i="53"/>
  <c r="V202" i="53"/>
  <c r="P10" i="55"/>
  <c r="P155" i="12"/>
  <c r="O312" i="20"/>
  <c r="O317" i="20"/>
  <c r="BE83" i="45"/>
  <c r="U82" i="48"/>
  <c r="U87" i="48" s="1"/>
  <c r="U81" i="48"/>
  <c r="U86" i="48" s="1"/>
  <c r="U83" i="48"/>
  <c r="U88" i="48" s="1"/>
  <c r="U80" i="48"/>
  <c r="U85" i="48" s="1"/>
  <c r="U84" i="48"/>
  <c r="Z135" i="14"/>
  <c r="T334" i="46"/>
  <c r="T337" i="46"/>
  <c r="T335" i="46"/>
  <c r="T339" i="46"/>
  <c r="T338" i="46"/>
  <c r="T336" i="46"/>
  <c r="Y155" i="46"/>
  <c r="Y160" i="46" s="1"/>
  <c r="Y156" i="46"/>
  <c r="Y161" i="46" s="1"/>
  <c r="Y157" i="46"/>
  <c r="Y162" i="46" s="1"/>
  <c r="Y158" i="46"/>
  <c r="Y163" i="46" s="1"/>
  <c r="Y154" i="48"/>
  <c r="Y159" i="46"/>
  <c r="Z98" i="45" s="1"/>
  <c r="U227" i="19"/>
  <c r="U226" i="19"/>
  <c r="U229" i="19"/>
  <c r="U228" i="19"/>
  <c r="X175" i="48"/>
  <c r="X180" i="48" s="1"/>
  <c r="X176" i="48"/>
  <c r="X181" i="48" s="1"/>
  <c r="X178" i="48"/>
  <c r="X183" i="48" s="1"/>
  <c r="X179" i="48"/>
  <c r="X177" i="48"/>
  <c r="X182" i="48" s="1"/>
  <c r="Y144" i="42"/>
  <c r="Y148" i="42" s="1"/>
  <c r="Y145" i="42"/>
  <c r="Y149" i="42" s="1"/>
  <c r="Y143" i="42"/>
  <c r="Y147" i="42" s="1"/>
  <c r="Y146" i="42"/>
  <c r="P121" i="45"/>
  <c r="P124" i="45"/>
  <c r="P123" i="45"/>
  <c r="AB61" i="46"/>
  <c r="AB65" i="46"/>
  <c r="AB62" i="46"/>
  <c r="AB67" i="46"/>
  <c r="AB64" i="46"/>
  <c r="AB66" i="46"/>
  <c r="AB89" i="46" s="1"/>
  <c r="AC60" i="46"/>
  <c r="BG105" i="45"/>
  <c r="V152" i="12"/>
  <c r="AA74" i="29"/>
  <c r="AB45" i="16" s="1"/>
  <c r="AB45" i="15"/>
  <c r="Y219" i="46"/>
  <c r="Y224" i="46" s="1"/>
  <c r="Y218" i="46"/>
  <c r="Y223" i="46" s="1"/>
  <c r="Y217" i="46"/>
  <c r="Y222" i="46" s="1"/>
  <c r="Y220" i="46"/>
  <c r="Y225" i="46" s="1"/>
  <c r="Y221" i="46"/>
  <c r="Z99" i="45" s="1"/>
  <c r="Y216" i="48"/>
  <c r="BE99" i="45"/>
  <c r="V86" i="19"/>
  <c r="W133" i="14" s="1"/>
  <c r="W133" i="12"/>
  <c r="Z135" i="15"/>
  <c r="BE98" i="45"/>
  <c r="Z131" i="42"/>
  <c r="Z150" i="42" s="1"/>
  <c r="Z130" i="42"/>
  <c r="Z142" i="42" s="1"/>
  <c r="Z132" i="42"/>
  <c r="Z158" i="42" s="1"/>
  <c r="U318" i="46"/>
  <c r="U319" i="46" s="1"/>
  <c r="U341" i="46"/>
  <c r="U342" i="46" s="1"/>
  <c r="V9" i="55"/>
  <c r="R234" i="19"/>
  <c r="R238" i="19" s="1"/>
  <c r="R235" i="19"/>
  <c r="BH20" i="45"/>
  <c r="BH19" i="45"/>
  <c r="AA33" i="45"/>
  <c r="AB34" i="29"/>
  <c r="AB33" i="29"/>
  <c r="AD25" i="42"/>
  <c r="AD40" i="42" s="1"/>
  <c r="AE19" i="42"/>
  <c r="AN90" i="15"/>
  <c r="AN91" i="15" s="1"/>
  <c r="AO81" i="16"/>
  <c r="BH68" i="51"/>
  <c r="Z139" i="46"/>
  <c r="Z144" i="46"/>
  <c r="AC44" i="54"/>
  <c r="AC204" i="54" s="1"/>
  <c r="AD39" i="45"/>
  <c r="AD40" i="45"/>
  <c r="BJ38" i="45"/>
  <c r="AE38" i="45"/>
  <c r="V179" i="29"/>
  <c r="P162" i="14"/>
  <c r="P158" i="14"/>
  <c r="AD26" i="54"/>
  <c r="AD41" i="54" s="1"/>
  <c r="AD147" i="54" s="1"/>
  <c r="AD148" i="54" s="1"/>
  <c r="AE20" i="54"/>
  <c r="Z68" i="45"/>
  <c r="O160" i="14"/>
  <c r="W33" i="20"/>
  <c r="W34" i="20"/>
  <c r="V153" i="12"/>
  <c r="V98" i="12"/>
  <c r="AF34" i="15"/>
  <c r="AF33" i="15"/>
  <c r="AE24" i="54"/>
  <c r="AF18" i="54"/>
  <c r="AD121" i="15"/>
  <c r="AD42" i="15"/>
  <c r="V266" i="20"/>
  <c r="AB47" i="28"/>
  <c r="AB54" i="29"/>
  <c r="AB53" i="29"/>
  <c r="AB50" i="29"/>
  <c r="AB52" i="29"/>
  <c r="AB49" i="29" s="1"/>
  <c r="AB51" i="29"/>
  <c r="U180" i="19"/>
  <c r="T213" i="19"/>
  <c r="T214" i="19" s="1"/>
  <c r="Z131" i="19"/>
  <c r="AD17" i="45"/>
  <c r="AD18" i="45" s="1"/>
  <c r="BJ16" i="45"/>
  <c r="AE16" i="45"/>
  <c r="X147" i="12"/>
  <c r="X95" i="12"/>
  <c r="O164" i="12"/>
  <c r="N318" i="20"/>
  <c r="O165" i="12" s="1"/>
  <c r="AZ115" i="45"/>
  <c r="Z78" i="42"/>
  <c r="Z82" i="42" s="1"/>
  <c r="Z79" i="42"/>
  <c r="Z83" i="42" s="1"/>
  <c r="Z81" i="42"/>
  <c r="Z80" i="42"/>
  <c r="Z84" i="42" s="1"/>
  <c r="V89" i="19"/>
  <c r="W140" i="14" s="1"/>
  <c r="W140" i="12"/>
  <c r="AE27" i="48"/>
  <c r="AE42" i="48" s="1"/>
  <c r="AF21" i="48"/>
  <c r="BA116" i="45"/>
  <c r="X91" i="20"/>
  <c r="S72" i="16"/>
  <c r="R197" i="29"/>
  <c r="S73" i="16" s="1"/>
  <c r="AA76" i="53"/>
  <c r="AB67" i="51"/>
  <c r="T332" i="46"/>
  <c r="T331" i="46"/>
  <c r="T343" i="46" s="1"/>
  <c r="T344" i="46" s="1"/>
  <c r="AY115" i="45"/>
  <c r="W109" i="12"/>
  <c r="V81" i="19"/>
  <c r="W109" i="14" s="1"/>
  <c r="Y24" i="19"/>
  <c r="Z18" i="19"/>
  <c r="V102" i="46"/>
  <c r="V107" i="46" s="1"/>
  <c r="V103" i="46"/>
  <c r="V108" i="46" s="1"/>
  <c r="V101" i="46"/>
  <c r="V106" i="46" s="1"/>
  <c r="V104" i="46"/>
  <c r="W106" i="45" s="1"/>
  <c r="V99" i="48"/>
  <c r="V100" i="46"/>
  <c r="V105" i="46" s="1"/>
  <c r="Z100" i="19"/>
  <c r="AA139" i="20"/>
  <c r="AB94" i="12"/>
  <c r="AA66" i="15"/>
  <c r="AU122" i="45"/>
  <c r="Z157" i="19"/>
  <c r="AA123" i="12"/>
  <c r="Z198" i="20"/>
  <c r="Y148" i="46"/>
  <c r="Y153" i="46" s="1"/>
  <c r="Y144" i="48"/>
  <c r="Y147" i="46"/>
  <c r="Y152" i="46" s="1"/>
  <c r="Y145" i="46"/>
  <c r="Y150" i="46" s="1"/>
  <c r="Y146" i="46"/>
  <c r="Y151" i="46" s="1"/>
  <c r="Y149" i="46"/>
  <c r="Z83" i="45" s="1"/>
  <c r="U180" i="29"/>
  <c r="U187" i="29" s="1"/>
  <c r="P160" i="12"/>
  <c r="W146" i="12"/>
  <c r="W115" i="12"/>
  <c r="W101" i="12"/>
  <c r="V68" i="19"/>
  <c r="W101" i="14" s="1"/>
  <c r="W101" i="20"/>
  <c r="W93" i="19" s="1"/>
  <c r="X136" i="12"/>
  <c r="W97" i="20"/>
  <c r="W88" i="19"/>
  <c r="W100" i="20"/>
  <c r="W98" i="20"/>
  <c r="W99" i="20"/>
  <c r="W220" i="20"/>
  <c r="AH25" i="15"/>
  <c r="T194" i="28"/>
  <c r="T203" i="28" s="1"/>
  <c r="U70" i="15" s="1"/>
  <c r="AF18" i="29"/>
  <c r="AE24" i="29"/>
  <c r="AA208" i="28"/>
  <c r="AA207" i="28"/>
  <c r="AA156" i="28"/>
  <c r="W155" i="28"/>
  <c r="W151" i="28"/>
  <c r="W154" i="28"/>
  <c r="W150" i="28"/>
  <c r="W153" i="28"/>
  <c r="W152" i="28"/>
  <c r="Y77" i="15"/>
  <c r="AC31" i="46"/>
  <c r="AC306" i="46"/>
  <c r="AA143" i="29"/>
  <c r="AA146" i="29"/>
  <c r="X290" i="42"/>
  <c r="X291" i="42" s="1"/>
  <c r="X313" i="42"/>
  <c r="X314" i="42" s="1"/>
  <c r="W282" i="38"/>
  <c r="W284" i="38"/>
  <c r="W285" i="38"/>
  <c r="W287" i="38"/>
  <c r="W286" i="38"/>
  <c r="W283" i="38"/>
  <c r="AA129" i="38"/>
  <c r="AA134" i="38"/>
  <c r="BE77" i="45"/>
  <c r="X280" i="42"/>
  <c r="X281" i="42" s="1"/>
  <c r="Y247" i="42"/>
  <c r="U317" i="48"/>
  <c r="U320" i="48"/>
  <c r="R348" i="46"/>
  <c r="W171" i="29"/>
  <c r="W174" i="29" s="1"/>
  <c r="W170" i="29"/>
  <c r="AA232" i="42"/>
  <c r="AA234" i="42" s="1"/>
  <c r="AB231" i="42"/>
  <c r="BB4" i="55"/>
  <c r="BG67" i="51"/>
  <c r="BG71" i="51" s="1"/>
  <c r="Y151" i="29"/>
  <c r="Y152" i="29"/>
  <c r="Y161" i="42"/>
  <c r="Y165" i="42" s="1"/>
  <c r="Y160" i="42"/>
  <c r="Y164" i="42" s="1"/>
  <c r="Y162" i="42"/>
  <c r="Y159" i="42"/>
  <c r="Y163" i="42" s="1"/>
  <c r="BB76" i="45"/>
  <c r="V78" i="45"/>
  <c r="Z263" i="48"/>
  <c r="Z268" i="48" s="1"/>
  <c r="Z261" i="48"/>
  <c r="Z266" i="48" s="1"/>
  <c r="Z262" i="48"/>
  <c r="Z267" i="48" s="1"/>
  <c r="Z265" i="48"/>
  <c r="Z264" i="48"/>
  <c r="Z269" i="48" s="1"/>
  <c r="AB205" i="53"/>
  <c r="AB208" i="53"/>
  <c r="Z111" i="36"/>
  <c r="AD26" i="48"/>
  <c r="AD41" i="48" s="1"/>
  <c r="AE20" i="48"/>
  <c r="AB85" i="28"/>
  <c r="AB72" i="29" s="1"/>
  <c r="AB83" i="28"/>
  <c r="AB70" i="29" s="1"/>
  <c r="AB88" i="28"/>
  <c r="AB87" i="28"/>
  <c r="AB86" i="28"/>
  <c r="AB84" i="28"/>
  <c r="AC82" i="28"/>
  <c r="Y210" i="46"/>
  <c r="Y215" i="46" s="1"/>
  <c r="Y206" i="48"/>
  <c r="Y209" i="46"/>
  <c r="Y214" i="46" s="1"/>
  <c r="Y208" i="46"/>
  <c r="Y213" i="46" s="1"/>
  <c r="Y211" i="46"/>
  <c r="Z89" i="45" s="1"/>
  <c r="Y207" i="46"/>
  <c r="Y212" i="46" s="1"/>
  <c r="Z105" i="38"/>
  <c r="AA99" i="36" s="1"/>
  <c r="BG99" i="36" s="1"/>
  <c r="Z102" i="38"/>
  <c r="Z106" i="38" s="1"/>
  <c r="Z103" i="38"/>
  <c r="Z107" i="38" s="1"/>
  <c r="Z104" i="38"/>
  <c r="Z108" i="38" s="1"/>
  <c r="Q353" i="46"/>
  <c r="Q354" i="46" s="1"/>
  <c r="Q329" i="48"/>
  <c r="Q333" i="48" s="1"/>
  <c r="Q330" i="48"/>
  <c r="AB241" i="48"/>
  <c r="AC240" i="48"/>
  <c r="Z129" i="42"/>
  <c r="Z134" i="42"/>
  <c r="BB97" i="45"/>
  <c r="V100" i="45"/>
  <c r="V113" i="45"/>
  <c r="BG28" i="45"/>
  <c r="BG29" i="45"/>
  <c r="BG36" i="45"/>
  <c r="BG31" i="45"/>
  <c r="BG35" i="45"/>
  <c r="BG32" i="45"/>
  <c r="BG37" i="45"/>
  <c r="BG54" i="45"/>
  <c r="T72" i="15"/>
  <c r="S211" i="28"/>
  <c r="T73" i="15" s="1"/>
  <c r="AE19" i="53"/>
  <c r="AD25" i="53"/>
  <c r="AD40" i="53" s="1"/>
  <c r="T308" i="46"/>
  <c r="T309" i="46" s="1"/>
  <c r="U275" i="46"/>
  <c r="Z245" i="46"/>
  <c r="Z250" i="46" s="1"/>
  <c r="Z244" i="46"/>
  <c r="Z249" i="46" s="1"/>
  <c r="Z247" i="46"/>
  <c r="Z252" i="46" s="1"/>
  <c r="Z246" i="46"/>
  <c r="Z251" i="46" s="1"/>
  <c r="Z243" i="48"/>
  <c r="Z248" i="46"/>
  <c r="AA96" i="45" s="1"/>
  <c r="AH25" i="16"/>
  <c r="AD122" i="15"/>
  <c r="AD132" i="15" s="1"/>
  <c r="AC29" i="54"/>
  <c r="BI39" i="45"/>
  <c r="BI40" i="45"/>
  <c r="AC360" i="46"/>
  <c r="AD122" i="16"/>
  <c r="AD132" i="16" s="1"/>
  <c r="T335" i="38"/>
  <c r="U121" i="36" s="1"/>
  <c r="BA121" i="36" s="1"/>
  <c r="T333" i="38"/>
  <c r="V153" i="14"/>
  <c r="V98" i="14"/>
  <c r="AF74" i="15"/>
  <c r="Y206" i="53"/>
  <c r="Y207" i="53" s="1"/>
  <c r="Y229" i="53"/>
  <c r="Y230" i="53" s="1"/>
  <c r="AA169" i="20"/>
  <c r="AA168" i="20"/>
  <c r="AA170" i="20"/>
  <c r="AA179" i="20" s="1"/>
  <c r="AA171" i="20"/>
  <c r="AA185" i="20" s="1"/>
  <c r="AA167" i="20"/>
  <c r="AA173" i="20" s="1"/>
  <c r="AB166" i="20"/>
  <c r="AD26" i="46"/>
  <c r="AD41" i="46" s="1"/>
  <c r="AE20" i="46"/>
  <c r="Z133" i="19"/>
  <c r="W188" i="28"/>
  <c r="AC19" i="45"/>
  <c r="AC20" i="45"/>
  <c r="AD37" i="28"/>
  <c r="AE125" i="15"/>
  <c r="AE47" i="15"/>
  <c r="AF10" i="16"/>
  <c r="W315" i="20"/>
  <c r="W264" i="20"/>
  <c r="W314" i="20"/>
  <c r="W263" i="20"/>
  <c r="W267" i="20"/>
  <c r="AD60" i="16"/>
  <c r="AC40" i="29"/>
  <c r="AD128" i="16"/>
  <c r="Z146" i="38"/>
  <c r="AA100" i="36" s="1"/>
  <c r="BG100" i="36" s="1"/>
  <c r="Z143" i="38"/>
  <c r="Z147" i="38" s="1"/>
  <c r="Z144" i="38"/>
  <c r="Z148" i="38" s="1"/>
  <c r="Z145" i="38"/>
  <c r="Z149" i="38" s="1"/>
  <c r="AB47" i="29"/>
  <c r="AB142" i="29" s="1"/>
  <c r="V169" i="12"/>
  <c r="Z63" i="42"/>
  <c r="Z69" i="42"/>
  <c r="W136" i="14"/>
  <c r="W146" i="14" s="1"/>
  <c r="V179" i="19"/>
  <c r="W47" i="19"/>
  <c r="W59" i="19"/>
  <c r="BJ69" i="51"/>
  <c r="X47" i="20"/>
  <c r="X218" i="20" s="1"/>
  <c r="X221" i="20"/>
  <c r="Y93" i="12"/>
  <c r="X72" i="20"/>
  <c r="U116" i="45"/>
  <c r="Y124" i="12"/>
  <c r="R252" i="19"/>
  <c r="R254" i="19" s="1"/>
  <c r="R253" i="19"/>
  <c r="BH61" i="51"/>
  <c r="AB64" i="51"/>
  <c r="S344" i="48"/>
  <c r="S345" i="48"/>
  <c r="W226" i="12"/>
  <c r="BD86" i="45"/>
  <c r="V117" i="12"/>
  <c r="X29" i="19"/>
  <c r="X42" i="19"/>
  <c r="X61" i="19" s="1"/>
  <c r="V81" i="46"/>
  <c r="V86" i="46" s="1"/>
  <c r="V80" i="46"/>
  <c r="V85" i="46" s="1"/>
  <c r="V83" i="46"/>
  <c r="V88" i="46" s="1"/>
  <c r="V84" i="46"/>
  <c r="W90" i="45" s="1"/>
  <c r="V82" i="46"/>
  <c r="V87" i="46" s="1"/>
  <c r="V79" i="48"/>
  <c r="Z98" i="19"/>
  <c r="AB125" i="20"/>
  <c r="AB122" i="20"/>
  <c r="AB121" i="20"/>
  <c r="AB124" i="20"/>
  <c r="AB123" i="20"/>
  <c r="AB120" i="20"/>
  <c r="AC119" i="20"/>
  <c r="X153" i="29"/>
  <c r="X154" i="29"/>
  <c r="V149" i="12"/>
  <c r="AA66" i="16"/>
  <c r="X165" i="28"/>
  <c r="X166" i="28"/>
  <c r="V74" i="19"/>
  <c r="W121" i="14" s="1"/>
  <c r="W121" i="12"/>
  <c r="Z197" i="38"/>
  <c r="Z201" i="38" s="1"/>
  <c r="Z200" i="38"/>
  <c r="AA101" i="36" s="1"/>
  <c r="BG101" i="36" s="1"/>
  <c r="Z198" i="38"/>
  <c r="Z202" i="38" s="1"/>
  <c r="Z199" i="38"/>
  <c r="Z203" i="38" s="1"/>
  <c r="W115" i="14"/>
  <c r="Z207" i="38"/>
  <c r="Z211" i="38" s="1"/>
  <c r="Z205" i="38"/>
  <c r="Z209" i="38" s="1"/>
  <c r="Z208" i="38"/>
  <c r="Z206" i="38"/>
  <c r="Z210" i="38" s="1"/>
  <c r="AE21" i="16"/>
  <c r="W99" i="14"/>
  <c r="AH9" i="15"/>
  <c r="AH10" i="15" s="1"/>
  <c r="V229" i="14"/>
  <c r="W249" i="54"/>
  <c r="W251" i="54"/>
  <c r="BD75" i="51" s="1"/>
  <c r="AA211" i="53"/>
  <c r="AA212" i="53"/>
  <c r="AA210" i="53"/>
  <c r="AA209" i="53"/>
  <c r="BF56" i="45"/>
  <c r="BF55" i="45"/>
  <c r="BF30" i="45"/>
  <c r="X148" i="28"/>
  <c r="X149" i="28" s="1"/>
  <c r="Y214" i="28"/>
  <c r="Y141" i="15"/>
  <c r="Y142" i="15" s="1"/>
  <c r="AB278" i="42"/>
  <c r="AB31" i="42"/>
  <c r="BA100" i="45"/>
  <c r="BA113" i="45"/>
  <c r="Z206" i="53"/>
  <c r="Z207" i="53" s="1"/>
  <c r="Z229" i="53"/>
  <c r="Z230" i="53" s="1"/>
  <c r="T126" i="36"/>
  <c r="S343" i="38"/>
  <c r="T127" i="36" s="1"/>
  <c r="X165" i="48"/>
  <c r="X170" i="48" s="1"/>
  <c r="X168" i="48"/>
  <c r="X173" i="48" s="1"/>
  <c r="X167" i="48"/>
  <c r="X172" i="48" s="1"/>
  <c r="X169" i="48"/>
  <c r="X166" i="48"/>
  <c r="X171" i="48" s="1"/>
  <c r="AA194" i="29"/>
  <c r="AA193" i="29"/>
  <c r="X146" i="48"/>
  <c r="X151" i="48" s="1"/>
  <c r="X145" i="48"/>
  <c r="X150" i="48" s="1"/>
  <c r="X147" i="48"/>
  <c r="X152" i="48" s="1"/>
  <c r="X149" i="48"/>
  <c r="X148" i="48"/>
  <c r="X153" i="48" s="1"/>
  <c r="W287" i="42"/>
  <c r="W286" i="42"/>
  <c r="W282" i="42"/>
  <c r="W285" i="42"/>
  <c r="W284" i="42"/>
  <c r="W283" i="42"/>
  <c r="U271" i="48"/>
  <c r="Z219" i="54"/>
  <c r="Z231" i="54" s="1"/>
  <c r="Z220" i="54"/>
  <c r="Y158" i="28"/>
  <c r="Y159" i="28" s="1"/>
  <c r="Y181" i="28"/>
  <c r="Y182" i="28" s="1"/>
  <c r="W163" i="29"/>
  <c r="W164" i="29"/>
  <c r="W165" i="29"/>
  <c r="W161" i="29"/>
  <c r="W162" i="29"/>
  <c r="W160" i="29"/>
  <c r="AB232" i="38"/>
  <c r="AB234" i="38" s="1"/>
  <c r="AC231" i="38"/>
  <c r="Z235" i="42"/>
  <c r="Z239" i="42" s="1"/>
  <c r="Z237" i="42"/>
  <c r="Z241" i="42" s="1"/>
  <c r="Z236" i="42"/>
  <c r="Z240" i="42" s="1"/>
  <c r="Z238" i="42"/>
  <c r="Q346" i="48"/>
  <c r="Q347" i="48" s="1"/>
  <c r="Q349" i="48" s="1"/>
  <c r="Z124" i="12"/>
  <c r="Z127" i="12" s="1"/>
  <c r="W306" i="42"/>
  <c r="W308" i="42"/>
  <c r="W307" i="42"/>
  <c r="W311" i="42"/>
  <c r="W309" i="42"/>
  <c r="W310" i="42"/>
  <c r="AC44" i="53"/>
  <c r="AC204" i="53" s="1"/>
  <c r="V170" i="28"/>
  <c r="V169" i="28"/>
  <c r="V173" i="28" s="1"/>
  <c r="BF113" i="36"/>
  <c r="AB64" i="15"/>
  <c r="AA75" i="29"/>
  <c r="AB64" i="16" s="1"/>
  <c r="Q310" i="20"/>
  <c r="R156" i="12" s="1"/>
  <c r="Q308" i="20"/>
  <c r="Z80" i="38"/>
  <c r="Z84" i="38" s="1"/>
  <c r="Z81" i="38"/>
  <c r="AA92" i="36" s="1"/>
  <c r="BG92" i="36" s="1"/>
  <c r="Z78" i="38"/>
  <c r="Z82" i="38" s="1"/>
  <c r="Z79" i="38"/>
  <c r="Z83" i="38" s="1"/>
  <c r="U113" i="48"/>
  <c r="U118" i="48" s="1"/>
  <c r="U110" i="48"/>
  <c r="U115" i="48" s="1"/>
  <c r="U114" i="48"/>
  <c r="U112" i="48"/>
  <c r="U117" i="48" s="1"/>
  <c r="U111" i="48"/>
  <c r="U116" i="48" s="1"/>
  <c r="U274" i="48"/>
  <c r="X218" i="53"/>
  <c r="X217" i="53"/>
  <c r="X221" i="53" s="1"/>
  <c r="AC110" i="53"/>
  <c r="AC111" i="53" s="1"/>
  <c r="AC104" i="53"/>
  <c r="AC105" i="53" s="1"/>
  <c r="AD53" i="51" s="1"/>
  <c r="AC106" i="53"/>
  <c r="AC107" i="53" s="1"/>
  <c r="AD62" i="51" s="1"/>
  <c r="AC108" i="53"/>
  <c r="AC109" i="53" s="1"/>
  <c r="S314" i="46"/>
  <c r="S311" i="46"/>
  <c r="S315" i="46"/>
  <c r="S310" i="46"/>
  <c r="S313" i="46"/>
  <c r="S312" i="46"/>
  <c r="AB240" i="46"/>
  <c r="AA241" i="46"/>
  <c r="AA243" i="46" s="1"/>
  <c r="Z77" i="16"/>
  <c r="Z134" i="16"/>
  <c r="Z133" i="16" a="1"/>
  <c r="Z133" i="16" s="1"/>
  <c r="Z68" i="16"/>
  <c r="AA26" i="19"/>
  <c r="AA44" i="19" s="1"/>
  <c r="AB20" i="19"/>
  <c r="X230" i="48"/>
  <c r="X235" i="48" s="1"/>
  <c r="X229" i="48"/>
  <c r="X234" i="48" s="1"/>
  <c r="X227" i="48"/>
  <c r="X232" i="48" s="1"/>
  <c r="X231" i="48"/>
  <c r="X228" i="48"/>
  <c r="X233" i="48" s="1"/>
  <c r="AC41" i="45"/>
  <c r="AS7" i="55"/>
  <c r="AE35" i="16"/>
  <c r="X101" i="29"/>
  <c r="W134" i="29"/>
  <c r="W135" i="29" s="1"/>
  <c r="V172" i="29"/>
  <c r="V173" i="29" s="1"/>
  <c r="V175" i="29" s="1"/>
  <c r="Z34" i="45"/>
  <c r="AD25" i="38"/>
  <c r="AD40" i="38" s="1"/>
  <c r="AE19" i="38"/>
  <c r="AB278" i="38"/>
  <c r="AB31" i="38"/>
  <c r="BE89" i="45"/>
  <c r="AE20" i="29"/>
  <c r="AD26" i="29"/>
  <c r="AD44" i="29" s="1"/>
  <c r="Z175" i="20"/>
  <c r="Z137" i="19" s="1"/>
  <c r="Z174" i="20"/>
  <c r="Z136" i="19" s="1"/>
  <c r="Z178" i="20"/>
  <c r="Z140" i="19" s="1"/>
  <c r="Z176" i="20"/>
  <c r="Z135" i="19"/>
  <c r="AA113" i="14" s="1"/>
  <c r="Z177" i="20"/>
  <c r="Z139" i="19" s="1"/>
  <c r="AA113" i="12"/>
  <c r="S219" i="19"/>
  <c r="S218" i="19"/>
  <c r="S217" i="19"/>
  <c r="S220" i="19"/>
  <c r="S215" i="19"/>
  <c r="S216" i="19"/>
  <c r="Z130" i="19"/>
  <c r="Q123" i="45"/>
  <c r="Q124" i="45"/>
  <c r="Q121" i="45"/>
  <c r="AC69" i="45"/>
  <c r="BE73" i="51"/>
  <c r="O164" i="14"/>
  <c r="N276" i="19"/>
  <c r="O165" i="14" s="1"/>
  <c r="AC332" i="42"/>
  <c r="W265" i="20"/>
  <c r="W288" i="20"/>
  <c r="W289" i="20" s="1"/>
  <c r="Q155" i="14"/>
  <c r="P270" i="19"/>
  <c r="P275" i="19"/>
  <c r="AB205" i="54"/>
  <c r="AB208" i="54"/>
  <c r="O13" i="55"/>
  <c r="O11" i="55"/>
  <c r="O15" i="55"/>
  <c r="O14" i="55"/>
  <c r="O12" i="55"/>
  <c r="O16" i="55"/>
  <c r="Z151" i="38"/>
  <c r="Z155" i="38" s="1"/>
  <c r="Z153" i="38"/>
  <c r="Z157" i="38" s="1"/>
  <c r="Z154" i="38"/>
  <c r="AA79" i="36" s="1"/>
  <c r="Z152" i="38"/>
  <c r="Z156" i="38" s="1"/>
  <c r="Z95" i="42"/>
  <c r="Z99" i="42" s="1"/>
  <c r="Z96" i="42"/>
  <c r="Z100" i="42" s="1"/>
  <c r="Z94" i="42"/>
  <c r="Z98" i="42" s="1"/>
  <c r="Z97" i="42"/>
  <c r="BE78" i="36"/>
  <c r="Y80" i="36"/>
  <c r="Y83" i="36" s="1"/>
  <c r="Y119" i="36" s="1"/>
  <c r="Y115" i="36"/>
  <c r="Y116" i="36" s="1"/>
  <c r="Y106" i="19"/>
  <c r="W31" i="19"/>
  <c r="W211" i="19"/>
  <c r="AD60" i="15"/>
  <c r="AC40" i="28"/>
  <c r="AD128" i="15"/>
  <c r="T242" i="19"/>
  <c r="T244" i="19"/>
  <c r="T241" i="19"/>
  <c r="T240" i="19"/>
  <c r="T243" i="19"/>
  <c r="T239" i="19"/>
  <c r="AC135" i="53"/>
  <c r="AD56" i="51"/>
  <c r="V154" i="12"/>
  <c r="V97" i="12"/>
  <c r="CK4" i="55"/>
  <c r="X253" i="20"/>
  <c r="X31" i="20"/>
  <c r="U118" i="45"/>
  <c r="X62" i="19"/>
  <c r="W79" i="46"/>
  <c r="W99" i="46"/>
  <c r="W44" i="46"/>
  <c r="W316" i="46" s="1"/>
  <c r="W109" i="46"/>
  <c r="W69" i="46"/>
  <c r="AA63" i="53"/>
  <c r="AA159" i="53" s="1"/>
  <c r="AA69" i="53"/>
  <c r="AA70" i="53" s="1"/>
  <c r="AB49" i="51" s="1"/>
  <c r="S339" i="48"/>
  <c r="S336" i="48"/>
  <c r="S334" i="48"/>
  <c r="S338" i="48"/>
  <c r="S337" i="48"/>
  <c r="S335" i="48"/>
  <c r="V80" i="19"/>
  <c r="W111" i="14" s="1"/>
  <c r="W111" i="12"/>
  <c r="BD85" i="45"/>
  <c r="V117" i="14"/>
  <c r="R346" i="46"/>
  <c r="R347" i="46" s="1"/>
  <c r="R349" i="46" s="1"/>
  <c r="V271" i="46"/>
  <c r="Z97" i="19"/>
  <c r="AA133" i="20"/>
  <c r="T237" i="19"/>
  <c r="T236" i="19"/>
  <c r="T248" i="19" s="1"/>
  <c r="T249" i="19" s="1"/>
  <c r="V149" i="14"/>
  <c r="X234" i="54"/>
  <c r="X235" i="54" s="1"/>
  <c r="X237" i="54" s="1"/>
  <c r="X258" i="54" s="1"/>
  <c r="U279" i="20"/>
  <c r="U278" i="20"/>
  <c r="X217" i="54"/>
  <c r="X221" i="54" s="1"/>
  <c r="X218" i="54"/>
  <c r="V194" i="28"/>
  <c r="V201" i="28" s="1"/>
  <c r="AG11" i="16"/>
  <c r="W196" i="54"/>
  <c r="W197" i="54" s="1"/>
  <c r="X163" i="54"/>
  <c r="BH42" i="45"/>
  <c r="BH44" i="45"/>
  <c r="BH95" i="45"/>
  <c r="BH43" i="45"/>
  <c r="AA35" i="48"/>
  <c r="V67" i="19"/>
  <c r="W100" i="14" s="1"/>
  <c r="W100" i="12"/>
  <c r="T321" i="48"/>
  <c r="T322" i="48"/>
  <c r="T324" i="48"/>
  <c r="T323" i="48"/>
  <c r="BD77" i="51"/>
  <c r="W259" i="54"/>
  <c r="BD78" i="51" s="1"/>
  <c r="AD39" i="16"/>
  <c r="AD13" i="16"/>
  <c r="R300" i="20"/>
  <c r="R301" i="20" s="1"/>
  <c r="V255" i="20"/>
  <c r="V256" i="20" s="1"/>
  <c r="W222" i="20"/>
  <c r="Y200" i="20"/>
  <c r="Y161" i="19" s="1"/>
  <c r="Y201" i="20"/>
  <c r="Y162" i="19" s="1"/>
  <c r="Y203" i="20"/>
  <c r="Y164" i="19" s="1"/>
  <c r="Y159" i="19"/>
  <c r="Z123" i="14" s="1"/>
  <c r="Y199" i="20"/>
  <c r="Y160" i="19" s="1"/>
  <c r="Y202" i="20"/>
  <c r="W316" i="38"/>
  <c r="W317" i="38"/>
  <c r="W320" i="38" s="1"/>
  <c r="BC74" i="51"/>
  <c r="V253" i="54"/>
  <c r="U325" i="42"/>
  <c r="U326" i="42" s="1"/>
  <c r="BG66" i="51"/>
  <c r="AA70" i="51"/>
  <c r="AZ120" i="36"/>
  <c r="T125" i="36"/>
  <c r="T122" i="36"/>
  <c r="AF20" i="16"/>
  <c r="AB138" i="48"/>
  <c r="AB201" i="48"/>
  <c r="AB137" i="48"/>
  <c r="AB200" i="48"/>
  <c r="AC136" i="48"/>
  <c r="BE68" i="45"/>
  <c r="V94" i="45"/>
  <c r="BB94" i="45"/>
  <c r="BB93" i="45"/>
  <c r="V93" i="45"/>
  <c r="AC36" i="29"/>
  <c r="AC42" i="29" s="1"/>
  <c r="AD123" i="16"/>
  <c r="AD43" i="16"/>
  <c r="AE24" i="46"/>
  <c r="AF18" i="46"/>
  <c r="AA237" i="38"/>
  <c r="AA241" i="38" s="1"/>
  <c r="AA236" i="38"/>
  <c r="AA240" i="38" s="1"/>
  <c r="AA235" i="38"/>
  <c r="AA239" i="38" s="1"/>
  <c r="AA238" i="38"/>
  <c r="AB107" i="36" s="1"/>
  <c r="M161" i="14"/>
  <c r="AB61" i="48"/>
  <c r="AB67" i="48"/>
  <c r="AB65" i="48"/>
  <c r="AB62" i="48"/>
  <c r="AB64" i="48"/>
  <c r="AB66" i="48"/>
  <c r="AC60" i="48"/>
  <c r="W316" i="42"/>
  <c r="W317" i="42"/>
  <c r="AD28" i="42"/>
  <c r="AD43" i="42" s="1"/>
  <c r="AE22" i="42"/>
  <c r="Y300" i="42"/>
  <c r="Y299" i="42"/>
  <c r="U70" i="48"/>
  <c r="U75" i="48" s="1"/>
  <c r="U72" i="48"/>
  <c r="U77" i="48" s="1"/>
  <c r="U71" i="48"/>
  <c r="U76" i="48" s="1"/>
  <c r="U74" i="48"/>
  <c r="U73" i="48"/>
  <c r="U78" i="48" s="1"/>
  <c r="AT125" i="45"/>
  <c r="M371" i="48"/>
  <c r="AT126" i="45" s="1"/>
  <c r="AC29" i="53"/>
  <c r="Z133" i="15" a="1"/>
  <c r="Z133" i="15" s="1"/>
  <c r="Z134" i="15"/>
  <c r="Z68" i="15"/>
  <c r="BF51" i="51"/>
  <c r="BF72" i="51"/>
  <c r="AA73" i="29"/>
  <c r="AB58" i="16" s="1"/>
  <c r="AB58" i="15"/>
  <c r="CE14" i="55"/>
  <c r="CE16" i="55"/>
  <c r="CE15" i="55"/>
  <c r="CE12" i="55"/>
  <c r="CE11" i="55"/>
  <c r="CE19" i="55" s="1"/>
  <c r="CE13" i="55"/>
  <c r="Z95" i="38"/>
  <c r="Z99" i="38" s="1"/>
  <c r="Z96" i="38"/>
  <c r="Z100" i="38" s="1"/>
  <c r="Z97" i="38"/>
  <c r="AA108" i="36" s="1"/>
  <c r="BG108" i="36" s="1"/>
  <c r="Z94" i="38"/>
  <c r="Z98" i="38" s="1"/>
  <c r="Y215" i="54"/>
  <c r="Y216" i="54"/>
  <c r="V44" i="48"/>
  <c r="V316" i="48" s="1"/>
  <c r="BB103" i="45"/>
  <c r="BB102" i="45"/>
  <c r="BB101" i="45"/>
  <c r="V102" i="45"/>
  <c r="V101" i="45"/>
  <c r="V103" i="45"/>
  <c r="BH69" i="45"/>
  <c r="T71" i="15"/>
  <c r="BF70" i="51"/>
  <c r="S327" i="46"/>
  <c r="S328" i="46"/>
  <c r="BE108" i="45"/>
  <c r="Z297" i="38"/>
  <c r="Z298" i="38"/>
  <c r="V138" i="29"/>
  <c r="V141" i="29"/>
  <c r="V140" i="29"/>
  <c r="V136" i="29"/>
  <c r="V137" i="29"/>
  <c r="V139" i="29"/>
  <c r="S325" i="48"/>
  <c r="S326" i="48"/>
  <c r="AH41" i="16"/>
  <c r="BE60" i="45"/>
  <c r="AB21" i="45"/>
  <c r="T232" i="14"/>
  <c r="AG15" i="15"/>
  <c r="AG19" i="15"/>
  <c r="AG18" i="15"/>
  <c r="AG16" i="15"/>
  <c r="AH14" i="15"/>
  <c r="AG32" i="15"/>
  <c r="AG74" i="15" s="1"/>
  <c r="Z190" i="20"/>
  <c r="Z152" i="19" s="1"/>
  <c r="Z188" i="20"/>
  <c r="Z150" i="19" s="1"/>
  <c r="Z189" i="20"/>
  <c r="Z151" i="19" s="1"/>
  <c r="Z187" i="20"/>
  <c r="Z149" i="19" s="1"/>
  <c r="Z186" i="20"/>
  <c r="Z148" i="19" s="1"/>
  <c r="Z147" i="19"/>
  <c r="AA137" i="14" s="1"/>
  <c r="AA137" i="12"/>
  <c r="Y206" i="42"/>
  <c r="Y210" i="42" s="1"/>
  <c r="Y205" i="42"/>
  <c r="Y209" i="42" s="1"/>
  <c r="Y208" i="42"/>
  <c r="Y207" i="42"/>
  <c r="Y211" i="42" s="1"/>
  <c r="V74" i="51"/>
  <c r="U253" i="53"/>
  <c r="W76" i="19"/>
  <c r="X104" i="14" s="1"/>
  <c r="W85" i="20"/>
  <c r="W86" i="20"/>
  <c r="W78" i="19" s="1"/>
  <c r="W89" i="20"/>
  <c r="X104" i="12"/>
  <c r="W88" i="20"/>
  <c r="W87" i="20"/>
  <c r="W187" i="28"/>
  <c r="AA60" i="29"/>
  <c r="AB56" i="16" s="1"/>
  <c r="AB56" i="15"/>
  <c r="BD80" i="36"/>
  <c r="BD83" i="36" s="1"/>
  <c r="BD119" i="36" s="1"/>
  <c r="BD115" i="36"/>
  <c r="BD116" i="36" s="1"/>
  <c r="W218" i="20"/>
  <c r="X144" i="29"/>
  <c r="X145" i="29" s="1"/>
  <c r="X167" i="29"/>
  <c r="X168" i="29" s="1"/>
  <c r="Q158" i="14"/>
  <c r="Q162" i="14"/>
  <c r="Y71" i="38"/>
  <c r="Y75" i="38" s="1"/>
  <c r="Y72" i="38"/>
  <c r="Y76" i="38" s="1"/>
  <c r="Y73" i="38"/>
  <c r="Z78" i="36" s="1"/>
  <c r="Y70" i="38"/>
  <c r="Y74" i="38" s="1"/>
  <c r="AA295" i="42"/>
  <c r="AA296" i="42"/>
  <c r="AA294" i="42"/>
  <c r="AA293" i="42"/>
  <c r="AC76" i="15"/>
  <c r="AC75" i="15"/>
  <c r="O157" i="12"/>
  <c r="O163" i="12"/>
  <c r="AA72" i="51"/>
  <c r="AA51" i="51"/>
  <c r="BG49" i="51"/>
  <c r="Z161" i="38"/>
  <c r="Z165" i="38" s="1"/>
  <c r="Z160" i="38"/>
  <c r="Z164" i="38" s="1"/>
  <c r="Z162" i="38"/>
  <c r="AA109" i="36" s="1"/>
  <c r="BG109" i="36" s="1"/>
  <c r="Z159" i="38"/>
  <c r="Z163" i="38" s="1"/>
  <c r="S232" i="19"/>
  <c r="S233" i="19"/>
  <c r="Z104" i="42"/>
  <c r="Z108" i="42" s="1"/>
  <c r="Z102" i="42"/>
  <c r="Z106" i="42" s="1"/>
  <c r="Z105" i="42"/>
  <c r="Z103" i="42"/>
  <c r="Z107" i="42" s="1"/>
  <c r="V227" i="14"/>
  <c r="AB27" i="20"/>
  <c r="AB45" i="20" s="1"/>
  <c r="AC21" i="20"/>
  <c r="Y215" i="53"/>
  <c r="Y216" i="53"/>
  <c r="U223" i="19"/>
  <c r="U224" i="19" s="1"/>
  <c r="U246" i="19"/>
  <c r="U247" i="19" s="1"/>
  <c r="AA65" i="15"/>
  <c r="BJ63" i="51"/>
  <c r="AE22" i="54"/>
  <c r="AD28" i="54"/>
  <c r="AD43" i="54" s="1"/>
  <c r="V97" i="14"/>
  <c r="V154" i="14"/>
  <c r="X34" i="46"/>
  <c r="Y25" i="45"/>
  <c r="Y24" i="45"/>
  <c r="Y82" i="45"/>
  <c r="Y26" i="45"/>
  <c r="AA183" i="42"/>
  <c r="AB181" i="42"/>
  <c r="AA182" i="42"/>
  <c r="W106" i="12"/>
  <c r="V77" i="19"/>
  <c r="W106" i="14" s="1"/>
  <c r="BD84" i="45"/>
  <c r="AG54" i="15"/>
  <c r="AF38" i="28"/>
  <c r="AG124" i="15"/>
  <c r="AC29" i="28"/>
  <c r="Z96" i="19"/>
  <c r="Z95" i="19" s="1"/>
  <c r="AA127" i="20"/>
  <c r="BF91" i="36"/>
  <c r="BF93" i="36" s="1"/>
  <c r="BF96" i="36" s="1"/>
  <c r="Z93" i="36"/>
  <c r="Z96" i="36" s="1"/>
  <c r="X235" i="53"/>
  <c r="X237" i="53" s="1"/>
  <c r="X258" i="53" s="1"/>
  <c r="X174" i="28"/>
  <c r="X178" i="28"/>
  <c r="X175" i="28"/>
  <c r="X177" i="28"/>
  <c r="X176" i="28"/>
  <c r="X179" i="28"/>
  <c r="V318" i="38"/>
  <c r="V319" i="38" s="1"/>
  <c r="V321" i="38" s="1"/>
  <c r="Z73" i="51"/>
  <c r="S191" i="29"/>
  <c r="V198" i="54"/>
  <c r="V199" i="54"/>
  <c r="V201" i="54"/>
  <c r="V200" i="54"/>
  <c r="V202" i="54"/>
  <c r="V203" i="54"/>
  <c r="V73" i="19"/>
  <c r="W120" i="14" s="1"/>
  <c r="W120" i="12"/>
  <c r="Z191" i="38"/>
  <c r="Z195" i="38" s="1"/>
  <c r="Z190" i="38"/>
  <c r="Z194" i="38" s="1"/>
  <c r="Z189" i="38"/>
  <c r="Z193" i="38" s="1"/>
  <c r="Z192" i="38"/>
  <c r="AA91" i="36" s="1"/>
  <c r="Q258" i="19"/>
  <c r="Q259" i="19" s="1"/>
  <c r="V71" i="19"/>
  <c r="W116" i="14" s="1"/>
  <c r="W116" i="12"/>
  <c r="W147" i="14"/>
  <c r="W95" i="14"/>
  <c r="AN94" i="15"/>
  <c r="AH41" i="15"/>
  <c r="BB106" i="45"/>
  <c r="V109" i="45"/>
  <c r="AC19" i="20"/>
  <c r="AB25" i="20"/>
  <c r="AB43" i="20" s="1"/>
  <c r="Z157" i="28"/>
  <c r="Z160" i="28"/>
  <c r="AB208" i="20"/>
  <c r="AA209" i="20"/>
  <c r="AA211" i="20" s="1"/>
  <c r="U262" i="20"/>
  <c r="U261" i="20"/>
  <c r="U260" i="20"/>
  <c r="U258" i="20"/>
  <c r="U257" i="20"/>
  <c r="U259" i="20"/>
  <c r="W306" i="38"/>
  <c r="W307" i="38"/>
  <c r="W309" i="38"/>
  <c r="W311" i="38"/>
  <c r="W310" i="38"/>
  <c r="W308" i="38"/>
  <c r="BA114" i="45"/>
  <c r="BA78" i="45"/>
  <c r="AD25" i="48"/>
  <c r="AD40" i="48" s="1"/>
  <c r="AE19" i="48"/>
  <c r="AA65" i="20"/>
  <c r="AA64" i="20"/>
  <c r="AB63" i="20"/>
  <c r="AF34" i="16"/>
  <c r="AF33" i="16"/>
  <c r="Y137" i="42"/>
  <c r="Y141" i="42" s="1"/>
  <c r="Y135" i="42"/>
  <c r="Y139" i="42" s="1"/>
  <c r="Y138" i="42"/>
  <c r="Y136" i="42"/>
  <c r="Y140" i="42" s="1"/>
  <c r="Y164" i="28"/>
  <c r="Y162" i="28"/>
  <c r="Y161" i="28"/>
  <c r="Y163" i="28"/>
  <c r="AA202" i="48"/>
  <c r="Y88" i="29"/>
  <c r="Y100" i="29"/>
  <c r="AA71" i="51"/>
  <c r="AE21" i="15"/>
  <c r="AD25" i="46"/>
  <c r="AD40" i="46" s="1"/>
  <c r="AE19" i="46"/>
  <c r="Y84" i="20"/>
  <c r="AB28" i="20"/>
  <c r="AB46" i="20" s="1"/>
  <c r="AC22" i="20"/>
  <c r="S294" i="20"/>
  <c r="S296" i="20" s="1"/>
  <c r="S295" i="20"/>
  <c r="AE11" i="16"/>
  <c r="AB48" i="15"/>
  <c r="AA71" i="29"/>
  <c r="AB48" i="16" s="1"/>
  <c r="AC44" i="38"/>
  <c r="AC288" i="38" s="1"/>
  <c r="R311" i="48"/>
  <c r="R310" i="48"/>
  <c r="R313" i="48"/>
  <c r="R312" i="48"/>
  <c r="R314" i="48"/>
  <c r="R315" i="48"/>
  <c r="Z63" i="38"/>
  <c r="Z69" i="38"/>
  <c r="X163" i="19"/>
  <c r="AC29" i="48"/>
  <c r="Z297" i="42"/>
  <c r="Z298" i="42"/>
  <c r="BB74" i="51"/>
  <c r="U253" i="54"/>
  <c r="V229" i="12"/>
  <c r="V232" i="12" s="1"/>
  <c r="BC128" i="36"/>
  <c r="V221" i="19"/>
  <c r="V273" i="19"/>
  <c r="V222" i="19"/>
  <c r="V272" i="19"/>
  <c r="V225" i="19"/>
  <c r="AA67" i="16"/>
  <c r="AA46" i="16"/>
  <c r="Z202" i="46"/>
  <c r="Z216" i="46"/>
  <c r="Z226" i="46"/>
  <c r="Z206" i="46"/>
  <c r="Y233" i="54"/>
  <c r="Y234" i="54" s="1"/>
  <c r="Y232" i="54"/>
  <c r="AC47" i="16"/>
  <c r="AB37" i="29"/>
  <c r="AC125" i="16"/>
  <c r="AH8" i="16"/>
  <c r="AC332" i="38"/>
  <c r="AF20" i="15"/>
  <c r="X209" i="48"/>
  <c r="X214" i="48" s="1"/>
  <c r="X210" i="48"/>
  <c r="X215" i="48" s="1"/>
  <c r="X207" i="48"/>
  <c r="X212" i="48" s="1"/>
  <c r="X211" i="48"/>
  <c r="X208" i="48"/>
  <c r="X213" i="48" s="1"/>
  <c r="Y191" i="42"/>
  <c r="Y195" i="42" s="1"/>
  <c r="Y192" i="42"/>
  <c r="Y190" i="42"/>
  <c r="Y194" i="42" s="1"/>
  <c r="Y189" i="42"/>
  <c r="Y193" i="42" s="1"/>
  <c r="U69" i="16"/>
  <c r="T191" i="29"/>
  <c r="T196" i="29"/>
  <c r="AE27" i="38"/>
  <c r="AE42" i="38" s="1"/>
  <c r="AF21" i="38"/>
  <c r="N159" i="14"/>
  <c r="AU12" i="55"/>
  <c r="AU14" i="55"/>
  <c r="AU13" i="55"/>
  <c r="AU16" i="55"/>
  <c r="AU11" i="55"/>
  <c r="AU15" i="55"/>
  <c r="AB61" i="28"/>
  <c r="AB57" i="29" s="1"/>
  <c r="AB64" i="28"/>
  <c r="AB60" i="28"/>
  <c r="AB63" i="28"/>
  <c r="AC59" i="28"/>
  <c r="AE22" i="53"/>
  <c r="AD28" i="53"/>
  <c r="AD43" i="53" s="1"/>
  <c r="Y243" i="38"/>
  <c r="Y246" i="38"/>
  <c r="V320" i="42"/>
  <c r="Z214" i="53"/>
  <c r="Z213" i="53"/>
  <c r="V225" i="12" a="1"/>
  <c r="V225" i="12" s="1"/>
  <c r="V91" i="19"/>
  <c r="W144" i="14" s="1"/>
  <c r="W144" i="12"/>
  <c r="AB125" i="12"/>
  <c r="BG19" i="45"/>
  <c r="BG20" i="45"/>
  <c r="Z106" i="19"/>
  <c r="AA65" i="16"/>
  <c r="T250" i="19"/>
  <c r="U335" i="38"/>
  <c r="V121" i="36" s="1"/>
  <c r="BB121" i="36" s="1"/>
  <c r="U333" i="38"/>
  <c r="U74" i="51"/>
  <c r="T253" i="53"/>
  <c r="X59" i="19"/>
  <c r="BH57" i="51"/>
  <c r="U201" i="28"/>
  <c r="U203" i="28"/>
  <c r="V70" i="15" s="1"/>
  <c r="AE27" i="46"/>
  <c r="AE42" i="46" s="1"/>
  <c r="AF21" i="46"/>
  <c r="Z204" i="42"/>
  <c r="Z188" i="42"/>
  <c r="Z184" i="42"/>
  <c r="Z196" i="42"/>
  <c r="V79" i="19"/>
  <c r="W110" i="14" s="1"/>
  <c r="W110" i="12"/>
  <c r="BD87" i="45"/>
  <c r="AB31" i="28"/>
  <c r="AB146" i="28"/>
  <c r="AE27" i="54"/>
  <c r="AE42" i="54" s="1"/>
  <c r="AF21" i="54"/>
  <c r="AA217" i="42"/>
  <c r="AA219" i="42" s="1"/>
  <c r="AB216" i="42"/>
  <c r="U324" i="46"/>
  <c r="U322" i="46"/>
  <c r="U321" i="46"/>
  <c r="U323" i="46"/>
  <c r="Z150" i="20"/>
  <c r="Z126" i="19" s="1"/>
  <c r="Z149" i="20"/>
  <c r="Z125" i="19" s="1"/>
  <c r="Z148" i="20"/>
  <c r="Z124" i="19" s="1"/>
  <c r="Z147" i="20"/>
  <c r="Z123" i="19" s="1"/>
  <c r="Z146" i="20"/>
  <c r="Z122" i="19" s="1"/>
  <c r="Z121" i="19"/>
  <c r="AA138" i="14" s="1"/>
  <c r="AA138" i="12"/>
  <c r="AD26" i="42"/>
  <c r="AD41" i="42" s="1"/>
  <c r="AE20" i="42"/>
  <c r="Y117" i="36"/>
  <c r="Y123" i="36" s="1"/>
  <c r="X34" i="48"/>
  <c r="BE26" i="45"/>
  <c r="BE24" i="45"/>
  <c r="BE25" i="45"/>
  <c r="BE82" i="45"/>
  <c r="AE35" i="15"/>
  <c r="X171" i="28"/>
  <c r="X183" i="28" s="1"/>
  <c r="X184" i="28" s="1"/>
  <c r="X172" i="28"/>
  <c r="S250" i="19"/>
  <c r="AT19" i="55"/>
  <c r="AT20" i="55"/>
  <c r="S196" i="29"/>
  <c r="Z139" i="15"/>
  <c r="W96" i="12"/>
  <c r="V65" i="19"/>
  <c r="W96" i="14" s="1"/>
  <c r="AO81" i="15"/>
  <c r="AO260" i="12"/>
  <c r="AC67" i="29"/>
  <c r="AC64" i="29"/>
  <c r="AC65" i="29"/>
  <c r="AC66" i="29"/>
  <c r="AC63" i="29"/>
  <c r="AC62" i="29" s="1"/>
  <c r="AC68" i="29"/>
  <c r="BG98" i="36"/>
  <c r="AF18" i="28"/>
  <c r="AE24" i="28"/>
  <c r="Z24" i="45"/>
  <c r="Z82" i="45"/>
  <c r="Y34" i="46"/>
  <c r="Z25" i="45"/>
  <c r="Z26" i="45"/>
  <c r="U100" i="48"/>
  <c r="U105" i="48" s="1"/>
  <c r="U101" i="48"/>
  <c r="U106" i="48" s="1"/>
  <c r="U103" i="48"/>
  <c r="U108" i="48" s="1"/>
  <c r="U102" i="48"/>
  <c r="U107" i="48" s="1"/>
  <c r="U104" i="48"/>
  <c r="AB126" i="12"/>
  <c r="AA145" i="20"/>
  <c r="Z212" i="20"/>
  <c r="Z170" i="19" s="1"/>
  <c r="Z214" i="20"/>
  <c r="Z172" i="19" s="1"/>
  <c r="Z216" i="20"/>
  <c r="Z174" i="19" s="1"/>
  <c r="Z213" i="20"/>
  <c r="Z171" i="19" s="1"/>
  <c r="Z215" i="20"/>
  <c r="Z169" i="19"/>
  <c r="AA135" i="12"/>
  <c r="S345" i="46"/>
  <c r="AB127" i="38"/>
  <c r="AB183" i="38"/>
  <c r="AB128" i="38"/>
  <c r="AB182" i="38"/>
  <c r="AC126" i="38"/>
  <c r="AE20" i="53"/>
  <c r="AD26" i="53"/>
  <c r="AD41" i="53" s="1"/>
  <c r="AD147" i="53" s="1"/>
  <c r="AD148" i="53" s="1"/>
  <c r="AE60" i="51" s="1"/>
  <c r="Z68" i="20"/>
  <c r="Z70" i="20"/>
  <c r="Z67" i="20"/>
  <c r="Z69" i="20"/>
  <c r="AD25" i="29"/>
  <c r="AD43" i="29" s="1"/>
  <c r="AE19" i="29"/>
  <c r="AD28" i="48"/>
  <c r="AE22" i="48"/>
  <c r="S277" i="20"/>
  <c r="S276" i="20"/>
  <c r="S280" i="20" s="1"/>
  <c r="AA203" i="48"/>
  <c r="AA204" i="48"/>
  <c r="AD25" i="54"/>
  <c r="AD40" i="54" s="1"/>
  <c r="AE19" i="54"/>
  <c r="AD39" i="53"/>
  <c r="W95" i="20"/>
  <c r="W87" i="19" s="1"/>
  <c r="W82" i="19"/>
  <c r="X124" i="14" s="1"/>
  <c r="W92" i="20"/>
  <c r="W91" i="20"/>
  <c r="W94" i="20"/>
  <c r="W93" i="20"/>
  <c r="AB289" i="42"/>
  <c r="AB292" i="42"/>
  <c r="AE24" i="48"/>
  <c r="AF18" i="48"/>
  <c r="AB154" i="53"/>
  <c r="AB156" i="53" s="1"/>
  <c r="AC153" i="53"/>
  <c r="BG44" i="45"/>
  <c r="BG43" i="45"/>
  <c r="BG42" i="45"/>
  <c r="Z35" i="48"/>
  <c r="BG95" i="45"/>
  <c r="BA109" i="45"/>
  <c r="AA155" i="19"/>
  <c r="AA154" i="19" s="1"/>
  <c r="X128" i="36"/>
  <c r="AA63" i="46"/>
  <c r="AT124" i="45"/>
  <c r="AT123" i="45"/>
  <c r="AT121" i="45"/>
  <c r="AC68" i="51"/>
  <c r="AC50" i="51"/>
  <c r="AE27" i="29"/>
  <c r="AF21" i="29"/>
  <c r="S308" i="48"/>
  <c r="S309" i="48" s="1"/>
  <c r="T275" i="48"/>
  <c r="CF9" i="55"/>
  <c r="X217" i="48"/>
  <c r="X222" i="48" s="1"/>
  <c r="X220" i="48"/>
  <c r="X225" i="48" s="1"/>
  <c r="X219" i="48"/>
  <c r="X224" i="48" s="1"/>
  <c r="X221" i="48"/>
  <c r="X218" i="48"/>
  <c r="X223" i="48" s="1"/>
  <c r="AD26" i="28"/>
  <c r="AD44" i="28" s="1"/>
  <c r="AE20" i="28"/>
  <c r="W132" i="12"/>
  <c r="V85" i="19"/>
  <c r="W132" i="14" s="1"/>
  <c r="BG64" i="51"/>
  <c r="AA27" i="19"/>
  <c r="AA45" i="19" s="1"/>
  <c r="AA129" i="19" s="1"/>
  <c r="AA128" i="19" s="1"/>
  <c r="AB21" i="19"/>
  <c r="U150" i="12"/>
  <c r="Z303" i="42"/>
  <c r="Z315" i="42" s="1"/>
  <c r="Z304" i="42"/>
  <c r="X302" i="42"/>
  <c r="X301" i="42"/>
  <c r="X305" i="42" s="1"/>
  <c r="AA63" i="54"/>
  <c r="AA159" i="54" s="1"/>
  <c r="AA69" i="54"/>
  <c r="AA70" i="54" s="1"/>
  <c r="AA67" i="15"/>
  <c r="AA46" i="15"/>
  <c r="AA201" i="46"/>
  <c r="AA138" i="46"/>
  <c r="AA137" i="46"/>
  <c r="AB136" i="46"/>
  <c r="AA200" i="46"/>
  <c r="CD7" i="55"/>
  <c r="Y222" i="54"/>
  <c r="Y223" i="54"/>
  <c r="Y226" i="54"/>
  <c r="Y225" i="54"/>
  <c r="Y227" i="54"/>
  <c r="Y224" i="54"/>
  <c r="AA59" i="16"/>
  <c r="Y138" i="19"/>
  <c r="AS20" i="55"/>
  <c r="AS19" i="55"/>
  <c r="Z304" i="38"/>
  <c r="Z303" i="38"/>
  <c r="Z315" i="38" s="1"/>
  <c r="AC121" i="16"/>
  <c r="AC42" i="16"/>
  <c r="AB19" i="19"/>
  <c r="AA25" i="19"/>
  <c r="AA43" i="19" s="1"/>
  <c r="AA100" i="19" s="1"/>
  <c r="AD28" i="38"/>
  <c r="AD43" i="38" s="1"/>
  <c r="AE22" i="38"/>
  <c r="Z140" i="20"/>
  <c r="Z116" i="19" s="1"/>
  <c r="Z143" i="20"/>
  <c r="Z119" i="19" s="1"/>
  <c r="Z141" i="20"/>
  <c r="Z117" i="19" s="1"/>
  <c r="Z142" i="20"/>
  <c r="Z118" i="19" s="1"/>
  <c r="Z144" i="20"/>
  <c r="Z120" i="19" s="1"/>
  <c r="Z115" i="19"/>
  <c r="AA94" i="14" s="1"/>
  <c r="AF17" i="15"/>
  <c r="AB108" i="28"/>
  <c r="AC107" i="28"/>
  <c r="Y198" i="42"/>
  <c r="Y202" i="42" s="1"/>
  <c r="Y199" i="42"/>
  <c r="Y203" i="42" s="1"/>
  <c r="Y200" i="42"/>
  <c r="Y197" i="42"/>
  <c r="Y201" i="42" s="1"/>
  <c r="AA209" i="54"/>
  <c r="AA210" i="54"/>
  <c r="AA211" i="54"/>
  <c r="AA212" i="54"/>
  <c r="W83" i="20"/>
  <c r="W75" i="19" s="1"/>
  <c r="W81" i="20"/>
  <c r="W70" i="19"/>
  <c r="X114" i="14" s="1"/>
  <c r="X114" i="12"/>
  <c r="W80" i="20"/>
  <c r="W79" i="20"/>
  <c r="W82" i="20"/>
  <c r="N161" i="14"/>
  <c r="O163" i="14"/>
  <c r="O157" i="14"/>
  <c r="AA62" i="28"/>
  <c r="AA56" i="29"/>
  <c r="AB44" i="16" s="1"/>
  <c r="AB44" i="15"/>
  <c r="AA157" i="54"/>
  <c r="U231" i="14"/>
  <c r="U233" i="14" s="1"/>
  <c r="U234" i="14" s="1"/>
  <c r="AE40" i="15"/>
  <c r="AE42" i="15" s="1"/>
  <c r="AB289" i="38"/>
  <c r="AB292" i="38"/>
  <c r="AC129" i="15"/>
  <c r="AC131" i="15"/>
  <c r="AE22" i="29"/>
  <c r="AD28" i="29"/>
  <c r="AD46" i="29" s="1"/>
  <c r="AA67" i="42"/>
  <c r="AA101" i="42" s="1"/>
  <c r="AA61" i="42"/>
  <c r="AA64" i="42"/>
  <c r="AA77" i="42" s="1"/>
  <c r="AA62" i="42"/>
  <c r="AA65" i="42"/>
  <c r="AA93" i="42" s="1"/>
  <c r="AA66" i="42"/>
  <c r="AA85" i="42" s="1"/>
  <c r="AB60" i="42"/>
  <c r="V90" i="19"/>
  <c r="W143" i="14" s="1"/>
  <c r="W143" i="12"/>
  <c r="AA49" i="15"/>
  <c r="Y70" i="45"/>
  <c r="Z185" i="42"/>
  <c r="Z186" i="42"/>
  <c r="Z86" i="36"/>
  <c r="Z89" i="36" s="1"/>
  <c r="BF85" i="36"/>
  <c r="BF86" i="36" s="1"/>
  <c r="BF89" i="36" s="1"/>
  <c r="W105" i="12"/>
  <c r="AD138" i="54"/>
  <c r="AD139" i="54" s="1"/>
  <c r="AD134" i="54"/>
  <c r="AD135" i="54" s="1"/>
  <c r="AD136" i="54"/>
  <c r="AD137" i="54" s="1"/>
  <c r="Z220" i="42"/>
  <c r="Z224" i="42" s="1"/>
  <c r="Z222" i="42"/>
  <c r="Z226" i="42" s="1"/>
  <c r="Z223" i="42"/>
  <c r="Z221" i="42"/>
  <c r="Z225" i="42" s="1"/>
  <c r="V110" i="46"/>
  <c r="V115" i="46" s="1"/>
  <c r="V113" i="46"/>
  <c r="V118" i="46" s="1"/>
  <c r="V111" i="46"/>
  <c r="V116" i="46" s="1"/>
  <c r="V114" i="46"/>
  <c r="W97" i="45" s="1"/>
  <c r="V112" i="46"/>
  <c r="V117" i="46" s="1"/>
  <c r="V109" i="48"/>
  <c r="V274" i="46"/>
  <c r="AC29" i="29"/>
  <c r="T337" i="42"/>
  <c r="T342" i="42"/>
  <c r="AA21" i="45"/>
  <c r="BE67" i="45"/>
  <c r="X84" i="20"/>
  <c r="BD70" i="45"/>
  <c r="V249" i="53"/>
  <c r="V251" i="53"/>
  <c r="W75" i="51" s="1"/>
  <c r="AG11" i="15"/>
  <c r="T71" i="16"/>
  <c r="S346" i="48" l="1"/>
  <c r="Y96" i="20"/>
  <c r="AC29" i="38"/>
  <c r="AD80" i="29"/>
  <c r="AD79" i="29" s="1"/>
  <c r="Y78" i="20"/>
  <c r="AC29" i="42"/>
  <c r="BF103" i="36"/>
  <c r="AE18" i="38"/>
  <c r="AD24" i="38"/>
  <c r="AD39" i="38" s="1"/>
  <c r="AD44" i="38" s="1"/>
  <c r="AD288" i="38" s="1"/>
  <c r="Z103" i="36"/>
  <c r="V233" i="12"/>
  <c r="V234" i="12" s="1"/>
  <c r="AD24" i="42"/>
  <c r="AD39" i="42" s="1"/>
  <c r="AE18" i="42"/>
  <c r="BC4" i="55"/>
  <c r="BF57" i="45"/>
  <c r="Y236" i="54"/>
  <c r="Y241" i="54" s="1"/>
  <c r="Y242" i="54" s="1"/>
  <c r="X52" i="19"/>
  <c r="X49" i="19" s="1"/>
  <c r="X177" i="19" s="1"/>
  <c r="AU6" i="55"/>
  <c r="X37" i="48"/>
  <c r="AC43" i="48" s="1"/>
  <c r="BE59" i="45"/>
  <c r="T253" i="19"/>
  <c r="O6" i="55"/>
  <c r="X58" i="19"/>
  <c r="BE104" i="45"/>
  <c r="Z112" i="36"/>
  <c r="AV10" i="55"/>
  <c r="AD29" i="46"/>
  <c r="AB89" i="29"/>
  <c r="AA57" i="45"/>
  <c r="Z117" i="36"/>
  <c r="Z123" i="36" s="1"/>
  <c r="BF111" i="36"/>
  <c r="BF117" i="36" s="1"/>
  <c r="BF123" i="36" s="1"/>
  <c r="Z140" i="16"/>
  <c r="AA162" i="54"/>
  <c r="AA206" i="54" s="1"/>
  <c r="AA207" i="54" s="1"/>
  <c r="V271" i="48"/>
  <c r="X50" i="19"/>
  <c r="BI41" i="45"/>
  <c r="AD29" i="53"/>
  <c r="X95" i="20"/>
  <c r="X87" i="19" s="1"/>
  <c r="S348" i="48"/>
  <c r="S353" i="48" s="1"/>
  <c r="S354" i="48" s="1"/>
  <c r="W176" i="19"/>
  <c r="X93" i="20"/>
  <c r="Y132" i="12" s="1"/>
  <c r="BG102" i="36"/>
  <c r="X60" i="19"/>
  <c r="X54" i="19"/>
  <c r="X94" i="20"/>
  <c r="W225" i="12" a="1"/>
  <c r="W225" i="12" s="1"/>
  <c r="X55" i="19"/>
  <c r="X92" i="20"/>
  <c r="AA102" i="36"/>
  <c r="AA103" i="36" s="1"/>
  <c r="Z141" i="16"/>
  <c r="Z142" i="16" s="1"/>
  <c r="X51" i="19"/>
  <c r="AE75" i="15"/>
  <c r="Y77" i="51"/>
  <c r="X259" i="53"/>
  <c r="Y78" i="51" s="1"/>
  <c r="W325" i="38"/>
  <c r="W69" i="15"/>
  <c r="T258" i="19"/>
  <c r="Y128" i="36"/>
  <c r="U239" i="19"/>
  <c r="U240" i="19"/>
  <c r="U241" i="19"/>
  <c r="U243" i="19"/>
  <c r="U242" i="19"/>
  <c r="U244" i="19"/>
  <c r="V69" i="16"/>
  <c r="X259" i="54"/>
  <c r="BE78" i="51" s="1"/>
  <c r="BE77" i="51"/>
  <c r="AD20" i="45"/>
  <c r="AD19" i="45"/>
  <c r="X86" i="20"/>
  <c r="X78" i="19" s="1"/>
  <c r="Y104" i="12"/>
  <c r="Y146" i="12" s="1"/>
  <c r="X85" i="20"/>
  <c r="X76" i="19"/>
  <c r="Y104" i="14" s="1"/>
  <c r="X89" i="20"/>
  <c r="X88" i="20"/>
  <c r="X87" i="20"/>
  <c r="AA63" i="42"/>
  <c r="AA69" i="42"/>
  <c r="AA134" i="15"/>
  <c r="AA133" i="15" a="1"/>
  <c r="AA133" i="15" s="1"/>
  <c r="AA77" i="15"/>
  <c r="AA68" i="15"/>
  <c r="AC278" i="38"/>
  <c r="AC289" i="38" s="1"/>
  <c r="AC31" i="38"/>
  <c r="X131" i="12"/>
  <c r="W84" i="19"/>
  <c r="X131" i="14" s="1"/>
  <c r="X127" i="14" s="1"/>
  <c r="AE25" i="54"/>
  <c r="AE40" i="54" s="1"/>
  <c r="AF19" i="54"/>
  <c r="AB184" i="38"/>
  <c r="AB204" i="38"/>
  <c r="AB196" i="38"/>
  <c r="AB188" i="38"/>
  <c r="AA101" i="19"/>
  <c r="T72" i="16"/>
  <c r="S197" i="29"/>
  <c r="T73" i="16" s="1"/>
  <c r="BE72" i="45"/>
  <c r="BE86" i="45"/>
  <c r="AB34" i="28"/>
  <c r="AB33" i="28"/>
  <c r="Z189" i="42"/>
  <c r="Z193" i="42" s="1"/>
  <c r="Z190" i="42"/>
  <c r="Z194" i="42" s="1"/>
  <c r="Z191" i="42"/>
  <c r="Z195" i="42" s="1"/>
  <c r="Z192" i="42"/>
  <c r="AA139" i="16"/>
  <c r="W142" i="14"/>
  <c r="AH9" i="16"/>
  <c r="AH10" i="16" s="1"/>
  <c r="AA134" i="16"/>
  <c r="AA68" i="16"/>
  <c r="AA133" i="16" a="1"/>
  <c r="AA133" i="16" s="1"/>
  <c r="AA77" i="16"/>
  <c r="BB76" i="51"/>
  <c r="AC28" i="20"/>
  <c r="AC46" i="20" s="1"/>
  <c r="AD22" i="20"/>
  <c r="Y76" i="19"/>
  <c r="Z104" i="14" s="1"/>
  <c r="Y86" i="20"/>
  <c r="Y78" i="19" s="1"/>
  <c r="Y87" i="20"/>
  <c r="Y89" i="20"/>
  <c r="Y85" i="20"/>
  <c r="Z104" i="12"/>
  <c r="Y88" i="20"/>
  <c r="AE123" i="15"/>
  <c r="AD36" i="28"/>
  <c r="AD42" i="28" s="1"/>
  <c r="AE43" i="15"/>
  <c r="AC126" i="12"/>
  <c r="AB145" i="20"/>
  <c r="AA139" i="15"/>
  <c r="AD21" i="20"/>
  <c r="AC27" i="20"/>
  <c r="AC45" i="20" s="1"/>
  <c r="Q160" i="14"/>
  <c r="Y217" i="54"/>
  <c r="Y221" i="54" s="1"/>
  <c r="Y218" i="54"/>
  <c r="W318" i="42"/>
  <c r="W319" i="42" s="1"/>
  <c r="W321" i="42" s="1"/>
  <c r="V257" i="20"/>
  <c r="V259" i="20"/>
  <c r="V262" i="20"/>
  <c r="V261" i="20"/>
  <c r="V260" i="20"/>
  <c r="V258" i="20"/>
  <c r="W153" i="14"/>
  <c r="W98" i="14"/>
  <c r="W203" i="54"/>
  <c r="W201" i="54"/>
  <c r="W200" i="54"/>
  <c r="W202" i="54"/>
  <c r="W198" i="54"/>
  <c r="W199" i="54"/>
  <c r="W112" i="46"/>
  <c r="W117" i="46" s="1"/>
  <c r="W113" i="46"/>
  <c r="W118" i="46" s="1"/>
  <c r="W109" i="48"/>
  <c r="W114" i="46"/>
  <c r="X97" i="45" s="1"/>
  <c r="W111" i="46"/>
  <c r="W116" i="46" s="1"/>
  <c r="W110" i="46"/>
  <c r="W115" i="46" s="1"/>
  <c r="W274" i="46"/>
  <c r="X33" i="20"/>
  <c r="X34" i="20"/>
  <c r="Q164" i="14"/>
  <c r="P276" i="19"/>
  <c r="Q165" i="14" s="1"/>
  <c r="AD332" i="42"/>
  <c r="AC43" i="45"/>
  <c r="AC95" i="45"/>
  <c r="AC42" i="45"/>
  <c r="AC44" i="45"/>
  <c r="AB35" i="46"/>
  <c r="AA245" i="46"/>
  <c r="AA250" i="46" s="1"/>
  <c r="AA247" i="46"/>
  <c r="AA252" i="46" s="1"/>
  <c r="AA244" i="46"/>
  <c r="AA249" i="46" s="1"/>
  <c r="AA246" i="46"/>
  <c r="AA251" i="46" s="1"/>
  <c r="AA248" i="46"/>
  <c r="AB96" i="45" s="1"/>
  <c r="AA243" i="48"/>
  <c r="AD68" i="51"/>
  <c r="AD50" i="51"/>
  <c r="U318" i="48"/>
  <c r="U319" i="48" s="1"/>
  <c r="U341" i="48"/>
  <c r="U342" i="48" s="1"/>
  <c r="BA115" i="45"/>
  <c r="AB127" i="20"/>
  <c r="V223" i="19"/>
  <c r="V224" i="19" s="1"/>
  <c r="V246" i="19"/>
  <c r="V247" i="19" s="1"/>
  <c r="X4" i="55"/>
  <c r="AB168" i="20"/>
  <c r="AB169" i="20"/>
  <c r="AB170" i="20"/>
  <c r="AB179" i="20" s="1"/>
  <c r="AB171" i="20"/>
  <c r="AB185" i="20" s="1"/>
  <c r="AC166" i="20"/>
  <c r="AB167" i="20"/>
  <c r="AB173" i="20" s="1"/>
  <c r="T311" i="46"/>
  <c r="T312" i="46"/>
  <c r="T315" i="46"/>
  <c r="T310" i="46"/>
  <c r="T314" i="46"/>
  <c r="T313" i="46"/>
  <c r="BG56" i="45"/>
  <c r="BG55" i="45"/>
  <c r="BG30" i="45"/>
  <c r="W227" i="14"/>
  <c r="Y209" i="48"/>
  <c r="Y214" i="48" s="1"/>
  <c r="Y210" i="48"/>
  <c r="Y215" i="48" s="1"/>
  <c r="Y207" i="48"/>
  <c r="Y212" i="48" s="1"/>
  <c r="Y208" i="48"/>
  <c r="Y213" i="48" s="1"/>
  <c r="Y211" i="48"/>
  <c r="AA147" i="29"/>
  <c r="AA148" i="29"/>
  <c r="AA150" i="29"/>
  <c r="AA149" i="29"/>
  <c r="AG18" i="29"/>
  <c r="AG24" i="29" s="1"/>
  <c r="AF24" i="29"/>
  <c r="D81" i="15"/>
  <c r="AH124" i="15"/>
  <c r="AN114" i="15"/>
  <c r="AG38" i="28"/>
  <c r="AH54" i="15"/>
  <c r="V103" i="48"/>
  <c r="V108" i="48" s="1"/>
  <c r="V102" i="48"/>
  <c r="V107" i="48" s="1"/>
  <c r="V101" i="48"/>
  <c r="V106" i="48" s="1"/>
  <c r="V104" i="48"/>
  <c r="V100" i="48"/>
  <c r="V105" i="48" s="1"/>
  <c r="AG21" i="48"/>
  <c r="AG27" i="48" s="1"/>
  <c r="AG42" i="48" s="1"/>
  <c r="AF27" i="48"/>
  <c r="AF42" i="48" s="1"/>
  <c r="X226" i="12"/>
  <c r="BK16" i="45"/>
  <c r="AF16" i="45"/>
  <c r="AE17" i="45"/>
  <c r="U213" i="19"/>
  <c r="U214" i="19" s="1"/>
  <c r="V180" i="19"/>
  <c r="AF35" i="15"/>
  <c r="AB193" i="29"/>
  <c r="AB194" i="29"/>
  <c r="AB66" i="15"/>
  <c r="AC65" i="46"/>
  <c r="AC64" i="46"/>
  <c r="AC62" i="46"/>
  <c r="AC67" i="46"/>
  <c r="AC61" i="46"/>
  <c r="AC66" i="46"/>
  <c r="AC89" i="46" s="1"/>
  <c r="AD60" i="46"/>
  <c r="U230" i="19"/>
  <c r="U231" i="19"/>
  <c r="Y280" i="38"/>
  <c r="Y281" i="38" s="1"/>
  <c r="Z247" i="38"/>
  <c r="BI61" i="51"/>
  <c r="AC64" i="51"/>
  <c r="W69" i="19"/>
  <c r="X99" i="12"/>
  <c r="AD44" i="54"/>
  <c r="AD204" i="54" s="1"/>
  <c r="P164" i="14"/>
  <c r="O276" i="19"/>
  <c r="P165" i="14" s="1"/>
  <c r="AZ126" i="36"/>
  <c r="S343" i="42"/>
  <c r="AZ127" i="36" s="1"/>
  <c r="AB30" i="45"/>
  <c r="BH105" i="45"/>
  <c r="AC66" i="54"/>
  <c r="AC73" i="54" s="1"/>
  <c r="AC74" i="54" s="1"/>
  <c r="AC61" i="54"/>
  <c r="AC64" i="54"/>
  <c r="AC71" i="54" s="1"/>
  <c r="AC72" i="54" s="1"/>
  <c r="AC67" i="54"/>
  <c r="AC77" i="54" s="1"/>
  <c r="AC78" i="54" s="1"/>
  <c r="AD60" i="54"/>
  <c r="AC65" i="54"/>
  <c r="AC75" i="54" s="1"/>
  <c r="AC76" i="54" s="1"/>
  <c r="AC62" i="54"/>
  <c r="AA129" i="42"/>
  <c r="AA134" i="42"/>
  <c r="Y230" i="48"/>
  <c r="Y235" i="48" s="1"/>
  <c r="Y229" i="48"/>
  <c r="Y234" i="48" s="1"/>
  <c r="Y227" i="48"/>
  <c r="Y232" i="48" s="1"/>
  <c r="Y228" i="48"/>
  <c r="Y233" i="48" s="1"/>
  <c r="Y231" i="48"/>
  <c r="X196" i="53"/>
  <c r="X197" i="53" s="1"/>
  <c r="Y163" i="53"/>
  <c r="X74" i="51"/>
  <c r="W253" i="53"/>
  <c r="V322" i="46"/>
  <c r="V321" i="46"/>
  <c r="V324" i="46"/>
  <c r="V323" i="46"/>
  <c r="AA298" i="38"/>
  <c r="AA297" i="38"/>
  <c r="Y143" i="12"/>
  <c r="X90" i="19"/>
  <c r="Y143" i="14" s="1"/>
  <c r="AB65" i="16"/>
  <c r="X316" i="38"/>
  <c r="X317" i="38"/>
  <c r="AA34" i="45"/>
  <c r="AA94" i="38"/>
  <c r="AA98" i="38" s="1"/>
  <c r="AA97" i="38"/>
  <c r="AB108" i="36" s="1"/>
  <c r="BH108" i="36" s="1"/>
  <c r="AA96" i="38"/>
  <c r="AA100" i="38" s="1"/>
  <c r="AA95" i="38"/>
  <c r="AA99" i="38" s="1"/>
  <c r="BI54" i="51"/>
  <c r="Y178" i="48"/>
  <c r="Y183" i="48" s="1"/>
  <c r="Y176" i="48"/>
  <c r="Y181" i="48" s="1"/>
  <c r="Y177" i="48"/>
  <c r="Y182" i="48" s="1"/>
  <c r="Y175" i="48"/>
  <c r="Y180" i="48" s="1"/>
  <c r="Y179" i="48"/>
  <c r="AG18" i="53"/>
  <c r="AG24" i="53" s="1"/>
  <c r="AF24" i="53"/>
  <c r="AA200" i="38"/>
  <c r="AB101" i="36" s="1"/>
  <c r="BH101" i="36" s="1"/>
  <c r="AA199" i="38"/>
  <c r="AA203" i="38" s="1"/>
  <c r="AA198" i="38"/>
  <c r="AA202" i="38" s="1"/>
  <c r="AA197" i="38"/>
  <c r="AA201" i="38" s="1"/>
  <c r="AA110" i="36"/>
  <c r="AC258" i="48"/>
  <c r="AD257" i="48"/>
  <c r="AF19" i="28"/>
  <c r="AE25" i="28"/>
  <c r="AE43" i="28" s="1"/>
  <c r="Y115" i="14"/>
  <c r="W74" i="51"/>
  <c r="V253" i="53"/>
  <c r="AA104" i="42"/>
  <c r="AA108" i="42" s="1"/>
  <c r="AA103" i="42"/>
  <c r="AA107" i="42" s="1"/>
  <c r="AA102" i="42"/>
  <c r="AA106" i="42" s="1"/>
  <c r="AA105" i="42"/>
  <c r="AB67" i="16"/>
  <c r="AB46" i="16"/>
  <c r="AA220" i="54"/>
  <c r="AA219" i="54"/>
  <c r="AA231" i="54" s="1"/>
  <c r="AA202" i="46"/>
  <c r="AA226" i="46"/>
  <c r="AA216" i="46"/>
  <c r="AA206" i="46"/>
  <c r="AD106" i="54"/>
  <c r="AD107" i="54" s="1"/>
  <c r="AD104" i="54"/>
  <c r="AD105" i="54" s="1"/>
  <c r="AD108" i="54"/>
  <c r="AD109" i="54" s="1"/>
  <c r="AD110" i="54"/>
  <c r="AD111" i="54" s="1"/>
  <c r="AB131" i="38"/>
  <c r="AB150" i="38" s="1"/>
  <c r="AB130" i="38"/>
  <c r="AB142" i="38" s="1"/>
  <c r="AB132" i="38"/>
  <c r="AB158" i="38" s="1"/>
  <c r="AA98" i="19"/>
  <c r="Z84" i="45"/>
  <c r="BE71" i="45"/>
  <c r="BE85" i="45"/>
  <c r="Z206" i="42"/>
  <c r="Z210" i="42" s="1"/>
  <c r="Z207" i="42"/>
  <c r="Z211" i="42" s="1"/>
  <c r="Z208" i="42"/>
  <c r="Z205" i="42"/>
  <c r="Z209" i="42" s="1"/>
  <c r="U232" i="14"/>
  <c r="AF40" i="15"/>
  <c r="AB49" i="16"/>
  <c r="AD306" i="46"/>
  <c r="AD31" i="46"/>
  <c r="AB64" i="20"/>
  <c r="AB65" i="20"/>
  <c r="AC63" i="20"/>
  <c r="AC25" i="20"/>
  <c r="AC43" i="20" s="1"/>
  <c r="AD19" i="20"/>
  <c r="Q268" i="19"/>
  <c r="R156" i="14" s="1"/>
  <c r="Q266" i="19"/>
  <c r="AC31" i="28"/>
  <c r="AC146" i="28"/>
  <c r="AC125" i="12"/>
  <c r="S234" i="19"/>
  <c r="S238" i="19" s="1"/>
  <c r="S235" i="19"/>
  <c r="X106" i="12"/>
  <c r="W77" i="19"/>
  <c r="X106" i="14" s="1"/>
  <c r="AF24" i="46"/>
  <c r="AG18" i="46"/>
  <c r="AG24" i="46" s="1"/>
  <c r="AC137" i="48"/>
  <c r="AC201" i="48"/>
  <c r="AC200" i="48"/>
  <c r="AD136" i="48"/>
  <c r="AC138" i="48"/>
  <c r="U335" i="42"/>
  <c r="U333" i="42"/>
  <c r="Y163" i="19"/>
  <c r="W317" i="46"/>
  <c r="W320" i="46"/>
  <c r="W139" i="29"/>
  <c r="W136" i="29"/>
  <c r="W137" i="29"/>
  <c r="W141" i="29"/>
  <c r="W140" i="29"/>
  <c r="W138" i="29"/>
  <c r="AB241" i="46"/>
  <c r="AB243" i="46" s="1"/>
  <c r="AC240" i="46"/>
  <c r="BJ62" i="51"/>
  <c r="AD231" i="38"/>
  <c r="AC232" i="38"/>
  <c r="AC234" i="38" s="1"/>
  <c r="BF34" i="45"/>
  <c r="AA219" i="53"/>
  <c r="AA231" i="53" s="1"/>
  <c r="AA220" i="53"/>
  <c r="W117" i="12"/>
  <c r="AB133" i="20"/>
  <c r="BC90" i="45"/>
  <c r="W91" i="45"/>
  <c r="W114" i="45" s="1"/>
  <c r="W139" i="14"/>
  <c r="W225" i="14" s="1" a="1"/>
  <c r="W225" i="14" s="1"/>
  <c r="AB143" i="29"/>
  <c r="AB146" i="29"/>
  <c r="AA175" i="20"/>
  <c r="AA137" i="19" s="1"/>
  <c r="AA174" i="20"/>
  <c r="AA136" i="19" s="1"/>
  <c r="AA178" i="20"/>
  <c r="AA140" i="19" s="1"/>
  <c r="AA135" i="19"/>
  <c r="AB113" i="14" s="1"/>
  <c r="AA176" i="20"/>
  <c r="AB113" i="12"/>
  <c r="AA177" i="20"/>
  <c r="AA139" i="19" s="1"/>
  <c r="AC194" i="54"/>
  <c r="AC31" i="54"/>
  <c r="BG96" i="45"/>
  <c r="AD106" i="53"/>
  <c r="AD107" i="53" s="1"/>
  <c r="AE62" i="51" s="1"/>
  <c r="AD110" i="53"/>
  <c r="AD111" i="53" s="1"/>
  <c r="AD104" i="53"/>
  <c r="AD105" i="53" s="1"/>
  <c r="AE53" i="51" s="1"/>
  <c r="AD108" i="53"/>
  <c r="AD109" i="53" s="1"/>
  <c r="AC241" i="48"/>
  <c r="AD240" i="48"/>
  <c r="W172" i="29"/>
  <c r="W173" i="29" s="1"/>
  <c r="W175" i="29" s="1"/>
  <c r="Y280" i="42"/>
  <c r="Y281" i="42" s="1"/>
  <c r="Z247" i="42"/>
  <c r="W154" i="14"/>
  <c r="W97" i="14"/>
  <c r="Y146" i="48"/>
  <c r="Y151" i="48" s="1"/>
  <c r="Y147" i="48"/>
  <c r="Y152" i="48" s="1"/>
  <c r="Y148" i="48"/>
  <c r="Y153" i="48" s="1"/>
  <c r="Y149" i="48"/>
  <c r="Y145" i="48"/>
  <c r="Y150" i="48" s="1"/>
  <c r="BC106" i="45"/>
  <c r="W109" i="45"/>
  <c r="BJ17" i="45"/>
  <c r="BJ18" i="45" s="1"/>
  <c r="V286" i="20"/>
  <c r="V283" i="20"/>
  <c r="V282" i="20"/>
  <c r="V284" i="20"/>
  <c r="V285" i="20"/>
  <c r="V281" i="20"/>
  <c r="Z159" i="42"/>
  <c r="Z163" i="42" s="1"/>
  <c r="Z161" i="42"/>
  <c r="Z165" i="42" s="1"/>
  <c r="Z162" i="42"/>
  <c r="Z160" i="42"/>
  <c r="Z164" i="42" s="1"/>
  <c r="AB66" i="16"/>
  <c r="AB93" i="46"/>
  <c r="AB98" i="46" s="1"/>
  <c r="AB90" i="46"/>
  <c r="AB95" i="46" s="1"/>
  <c r="AB94" i="46"/>
  <c r="AB91" i="46"/>
  <c r="AB92" i="46"/>
  <c r="AB97" i="46" s="1"/>
  <c r="AB89" i="48"/>
  <c r="U237" i="19"/>
  <c r="U236" i="19"/>
  <c r="U248" i="19" s="1"/>
  <c r="X286" i="38"/>
  <c r="X287" i="38"/>
  <c r="X285" i="38"/>
  <c r="X283" i="38"/>
  <c r="X284" i="38"/>
  <c r="X282" i="38"/>
  <c r="AC292" i="42"/>
  <c r="U274" i="20"/>
  <c r="U275" i="20"/>
  <c r="AU124" i="45"/>
  <c r="AU123" i="45"/>
  <c r="AU121" i="45"/>
  <c r="AG21" i="42"/>
  <c r="AG27" i="42" s="1"/>
  <c r="AG42" i="42" s="1"/>
  <c r="AF27" i="42"/>
  <c r="AF42" i="42" s="1"/>
  <c r="BI57" i="51"/>
  <c r="AC47" i="28"/>
  <c r="AC52" i="29"/>
  <c r="AC49" i="29" s="1"/>
  <c r="AC50" i="29"/>
  <c r="AC53" i="29"/>
  <c r="AC54" i="29"/>
  <c r="AC51" i="29"/>
  <c r="Q160" i="12"/>
  <c r="X147" i="14"/>
  <c r="X95" i="14"/>
  <c r="AD29" i="54"/>
  <c r="BH29" i="45"/>
  <c r="BH28" i="45"/>
  <c r="BH37" i="45"/>
  <c r="BH32" i="45"/>
  <c r="BH36" i="45"/>
  <c r="BH31" i="45"/>
  <c r="BH35" i="45"/>
  <c r="BH54" i="45"/>
  <c r="AA130" i="42"/>
  <c r="AA142" i="42" s="1"/>
  <c r="AA132" i="42"/>
  <c r="AA158" i="42" s="1"/>
  <c r="AA131" i="42"/>
  <c r="AA150" i="42" s="1"/>
  <c r="Y290" i="42"/>
  <c r="Y291" i="42" s="1"/>
  <c r="Y313" i="42"/>
  <c r="Y314" i="42" s="1"/>
  <c r="BA76" i="51"/>
  <c r="W200" i="53"/>
  <c r="W202" i="53"/>
  <c r="W203" i="53"/>
  <c r="W201" i="53"/>
  <c r="W198" i="53"/>
  <c r="W199" i="53"/>
  <c r="T336" i="48"/>
  <c r="T337" i="48"/>
  <c r="T338" i="48"/>
  <c r="T335" i="48"/>
  <c r="T334" i="48"/>
  <c r="T339" i="48"/>
  <c r="W228" i="14"/>
  <c r="X306" i="38"/>
  <c r="X311" i="38"/>
  <c r="X310" i="38"/>
  <c r="X307" i="38"/>
  <c r="X308" i="38"/>
  <c r="X309" i="38"/>
  <c r="W44" i="48"/>
  <c r="W316" i="48" s="1"/>
  <c r="AA87" i="38"/>
  <c r="AA91" i="38" s="1"/>
  <c r="AA86" i="38"/>
  <c r="AA90" i="38" s="1"/>
  <c r="AA89" i="38"/>
  <c r="AA88" i="38"/>
  <c r="AA92" i="38" s="1"/>
  <c r="BF107" i="45"/>
  <c r="AE39" i="53"/>
  <c r="BF68" i="45"/>
  <c r="W74" i="19"/>
  <c r="X121" i="14" s="1"/>
  <c r="X121" i="12"/>
  <c r="AC19" i="19"/>
  <c r="AB25" i="19"/>
  <c r="AB43" i="19" s="1"/>
  <c r="AB96" i="19" s="1"/>
  <c r="AB95" i="19" s="1"/>
  <c r="Y83" i="20"/>
  <c r="Y75" i="19" s="1"/>
  <c r="Y82" i="20"/>
  <c r="Y79" i="20"/>
  <c r="Y70" i="19"/>
  <c r="Z114" i="14" s="1"/>
  <c r="Y81" i="20"/>
  <c r="Y80" i="20"/>
  <c r="Z114" i="12"/>
  <c r="AE28" i="48"/>
  <c r="AF22" i="48"/>
  <c r="AB186" i="38"/>
  <c r="AB185" i="38"/>
  <c r="AA99" i="19"/>
  <c r="BE87" i="45"/>
  <c r="BE73" i="45"/>
  <c r="U331" i="46"/>
  <c r="U343" i="46" s="1"/>
  <c r="U332" i="46"/>
  <c r="AG21" i="46"/>
  <c r="AG27" i="46" s="1"/>
  <c r="AG42" i="46" s="1"/>
  <c r="AF27" i="46"/>
  <c r="AF42" i="46" s="1"/>
  <c r="U76" i="51"/>
  <c r="AA130" i="19"/>
  <c r="AE28" i="53"/>
  <c r="AE43" i="53" s="1"/>
  <c r="AF22" i="53"/>
  <c r="AU20" i="55"/>
  <c r="AU19" i="55"/>
  <c r="AG21" i="38"/>
  <c r="AG27" i="38" s="1"/>
  <c r="AG42" i="38" s="1"/>
  <c r="AF27" i="38"/>
  <c r="AF42" i="38" s="1"/>
  <c r="Z300" i="42"/>
  <c r="Z299" i="42"/>
  <c r="Z73" i="38"/>
  <c r="AA78" i="36" s="1"/>
  <c r="Z72" i="38"/>
  <c r="Z76" i="38" s="1"/>
  <c r="Z71" i="38"/>
  <c r="Z75" i="38" s="1"/>
  <c r="Z70" i="38"/>
  <c r="Z74" i="38" s="1"/>
  <c r="AC292" i="38"/>
  <c r="AB49" i="15"/>
  <c r="AE25" i="46"/>
  <c r="AE40" i="46" s="1"/>
  <c r="AF19" i="46"/>
  <c r="AA73" i="51"/>
  <c r="AA66" i="20"/>
  <c r="W118" i="12"/>
  <c r="U249" i="19"/>
  <c r="U250" i="19"/>
  <c r="O159" i="12"/>
  <c r="O161" i="12" s="1"/>
  <c r="AA304" i="42"/>
  <c r="AA303" i="42"/>
  <c r="AA315" i="42" s="1"/>
  <c r="X105" i="14"/>
  <c r="AG20" i="15"/>
  <c r="AC31" i="53"/>
  <c r="AC194" i="53"/>
  <c r="W320" i="42"/>
  <c r="AB63" i="48"/>
  <c r="AB202" i="48"/>
  <c r="AG13" i="16"/>
  <c r="AA137" i="20"/>
  <c r="AA113" i="19" s="1"/>
  <c r="AA138" i="20"/>
  <c r="AA114" i="19" s="1"/>
  <c r="AA134" i="20"/>
  <c r="AA110" i="19" s="1"/>
  <c r="AA136" i="20"/>
  <c r="AA112" i="19" s="1"/>
  <c r="AA109" i="19"/>
  <c r="AB126" i="14" s="1"/>
  <c r="AA135" i="20"/>
  <c r="AA111" i="19" s="1"/>
  <c r="W101" i="46"/>
  <c r="W106" i="46" s="1"/>
  <c r="W103" i="46"/>
  <c r="W108" i="46" s="1"/>
  <c r="W104" i="46"/>
  <c r="X106" i="45" s="1"/>
  <c r="W99" i="48"/>
  <c r="W102" i="46"/>
  <c r="W107" i="46" s="1"/>
  <c r="W100" i="46"/>
  <c r="W105" i="46" s="1"/>
  <c r="BE80" i="36"/>
  <c r="BE83" i="36" s="1"/>
  <c r="BE119" i="36" s="1"/>
  <c r="BE115" i="36"/>
  <c r="BE116" i="36" s="1"/>
  <c r="AA114" i="36"/>
  <c r="BG79" i="36"/>
  <c r="BG114" i="36" s="1"/>
  <c r="O20" i="55"/>
  <c r="O19" i="55"/>
  <c r="AE25" i="38"/>
  <c r="AE40" i="38" s="1"/>
  <c r="AF19" i="38"/>
  <c r="Y101" i="29"/>
  <c r="X134" i="29"/>
  <c r="X135" i="29" s="1"/>
  <c r="BJ53" i="51"/>
  <c r="AD54" i="51"/>
  <c r="AB235" i="38"/>
  <c r="AB239" i="38" s="1"/>
  <c r="AB238" i="38"/>
  <c r="AC107" i="36" s="1"/>
  <c r="AB236" i="38"/>
  <c r="AB240" i="38" s="1"/>
  <c r="AB237" i="38"/>
  <c r="AB241" i="38" s="1"/>
  <c r="Y177" i="28"/>
  <c r="Y175" i="28"/>
  <c r="Y174" i="28"/>
  <c r="Y176" i="28"/>
  <c r="Y178" i="28"/>
  <c r="Y179" i="28"/>
  <c r="AA214" i="53"/>
  <c r="AA213" i="53"/>
  <c r="W117" i="14"/>
  <c r="AB139" i="20"/>
  <c r="AC94" i="12"/>
  <c r="BH64" i="51"/>
  <c r="AC21" i="45"/>
  <c r="AA190" i="20"/>
  <c r="AA152" i="19" s="1"/>
  <c r="AA188" i="20"/>
  <c r="AA150" i="19" s="1"/>
  <c r="AA187" i="20"/>
  <c r="AA149" i="19" s="1"/>
  <c r="AB137" i="12"/>
  <c r="AA186" i="20"/>
  <c r="AA148" i="19" s="1"/>
  <c r="AA189" i="20"/>
  <c r="AA151" i="19" s="1"/>
  <c r="AA147" i="19"/>
  <c r="AB137" i="14" s="1"/>
  <c r="Y233" i="53"/>
  <c r="Y236" i="53" s="1"/>
  <c r="Y232" i="53"/>
  <c r="Z246" i="48"/>
  <c r="Z251" i="48" s="1"/>
  <c r="Z245" i="48"/>
  <c r="Z250" i="48" s="1"/>
  <c r="Z244" i="48"/>
  <c r="Z249" i="48" s="1"/>
  <c r="Z247" i="48"/>
  <c r="Z252" i="48" s="1"/>
  <c r="Z248" i="48"/>
  <c r="AF19" i="53"/>
  <c r="AE25" i="53"/>
  <c r="AE40" i="53" s="1"/>
  <c r="V115" i="45"/>
  <c r="AE26" i="48"/>
  <c r="AE41" i="48" s="1"/>
  <c r="AF20" i="48"/>
  <c r="BB78" i="45"/>
  <c r="R353" i="46"/>
  <c r="X287" i="42"/>
  <c r="X282" i="42"/>
  <c r="X284" i="42"/>
  <c r="X285" i="42"/>
  <c r="X283" i="42"/>
  <c r="X286" i="42"/>
  <c r="X144" i="12"/>
  <c r="W91" i="19"/>
  <c r="X144" i="14" s="1"/>
  <c r="W154" i="12"/>
  <c r="W97" i="12"/>
  <c r="AD76" i="15"/>
  <c r="AD75" i="15"/>
  <c r="AE40" i="45"/>
  <c r="AE39" i="45"/>
  <c r="AF38" i="45"/>
  <c r="BK38" i="45"/>
  <c r="AA68" i="45"/>
  <c r="Z144" i="42"/>
  <c r="Z148" i="42" s="1"/>
  <c r="Z143" i="42"/>
  <c r="Z147" i="42" s="1"/>
  <c r="Z145" i="42"/>
  <c r="Z149" i="42" s="1"/>
  <c r="Z146" i="42"/>
  <c r="Y219" i="48"/>
  <c r="Y224" i="48" s="1"/>
  <c r="Y217" i="48"/>
  <c r="Y222" i="48" s="1"/>
  <c r="Y218" i="48"/>
  <c r="Y223" i="48" s="1"/>
  <c r="Y220" i="48"/>
  <c r="Y225" i="48" s="1"/>
  <c r="Y221" i="48"/>
  <c r="AD44" i="42"/>
  <c r="AD288" i="42" s="1"/>
  <c r="S126" i="36"/>
  <c r="R343" i="38"/>
  <c r="S127" i="36" s="1"/>
  <c r="T201" i="28"/>
  <c r="AE26" i="38"/>
  <c r="AE41" i="38" s="1"/>
  <c r="AF20" i="38"/>
  <c r="AG21" i="53"/>
  <c r="AG27" i="53" s="1"/>
  <c r="AG42" i="53" s="1"/>
  <c r="AF27" i="53"/>
  <c r="AF42" i="53" s="1"/>
  <c r="V232" i="14"/>
  <c r="AA86" i="36"/>
  <c r="AA89" i="36" s="1"/>
  <c r="BG85" i="36"/>
  <c r="BG86" i="36" s="1"/>
  <c r="BG89" i="36" s="1"/>
  <c r="T294" i="20"/>
  <c r="T296" i="20" s="1"/>
  <c r="T295" i="20"/>
  <c r="P163" i="14"/>
  <c r="P157" i="14"/>
  <c r="AB55" i="45"/>
  <c r="AB56" i="45"/>
  <c r="AC265" i="19"/>
  <c r="AD307" i="20"/>
  <c r="BF77" i="45"/>
  <c r="T345" i="46"/>
  <c r="T346" i="46" s="1"/>
  <c r="AH16" i="16"/>
  <c r="AH18" i="16"/>
  <c r="AH15" i="16"/>
  <c r="AH19" i="16"/>
  <c r="AH32" i="16"/>
  <c r="AH74" i="16"/>
  <c r="AV119" i="45"/>
  <c r="O365" i="48"/>
  <c r="O370" i="48"/>
  <c r="W152" i="12"/>
  <c r="AD135" i="53"/>
  <c r="AE56" i="51"/>
  <c r="AA136" i="16"/>
  <c r="X220" i="20"/>
  <c r="AA24" i="20"/>
  <c r="AB18" i="20"/>
  <c r="V272" i="20"/>
  <c r="V273" i="20"/>
  <c r="Z37" i="46"/>
  <c r="AA104" i="45"/>
  <c r="AA60" i="45"/>
  <c r="AA58" i="45"/>
  <c r="AA59" i="45"/>
  <c r="BB116" i="45"/>
  <c r="Q353" i="48"/>
  <c r="AD61" i="16"/>
  <c r="AC84" i="29"/>
  <c r="X249" i="54"/>
  <c r="X251" i="54"/>
  <c r="BE75" i="51" s="1"/>
  <c r="V113" i="48"/>
  <c r="V118" i="48" s="1"/>
  <c r="V111" i="48"/>
  <c r="V116" i="48" s="1"/>
  <c r="V110" i="48"/>
  <c r="V115" i="48" s="1"/>
  <c r="V114" i="48"/>
  <c r="V112" i="48"/>
  <c r="V117" i="48" s="1"/>
  <c r="V274" i="48"/>
  <c r="AB67" i="15"/>
  <c r="AB46" i="15"/>
  <c r="AA58" i="29"/>
  <c r="AA114" i="28"/>
  <c r="AA213" i="28"/>
  <c r="AB201" i="46"/>
  <c r="AB138" i="46"/>
  <c r="AB137" i="46"/>
  <c r="AC136" i="46"/>
  <c r="AB200" i="46"/>
  <c r="W130" i="14"/>
  <c r="AB293" i="42"/>
  <c r="AB296" i="42"/>
  <c r="AB294" i="42"/>
  <c r="AB295" i="42"/>
  <c r="AG13" i="15"/>
  <c r="AA67" i="45"/>
  <c r="AA23" i="45"/>
  <c r="AA136" i="15"/>
  <c r="AB67" i="42"/>
  <c r="AB101" i="42" s="1"/>
  <c r="AB65" i="42"/>
  <c r="AB93" i="42" s="1"/>
  <c r="AB62" i="42"/>
  <c r="AB64" i="42"/>
  <c r="AB77" i="42" s="1"/>
  <c r="AB61" i="42"/>
  <c r="AC60" i="42"/>
  <c r="AB66" i="42"/>
  <c r="AB85" i="42" s="1"/>
  <c r="X116" i="12"/>
  <c r="W71" i="19"/>
  <c r="X116" i="14" s="1"/>
  <c r="AC75" i="16"/>
  <c r="AC76" i="16"/>
  <c r="AA139" i="46"/>
  <c r="AA144" i="46"/>
  <c r="W130" i="12"/>
  <c r="CF13" i="55"/>
  <c r="CF15" i="55"/>
  <c r="CF12" i="55"/>
  <c r="CF16" i="55"/>
  <c r="CF14" i="55"/>
  <c r="CF11" i="55"/>
  <c r="CF19" i="55" s="1"/>
  <c r="BI50" i="51"/>
  <c r="AD44" i="53"/>
  <c r="AD204" i="53" s="1"/>
  <c r="AB129" i="38"/>
  <c r="AB134" i="38"/>
  <c r="Z85" i="45"/>
  <c r="S253" i="19"/>
  <c r="AC216" i="42"/>
  <c r="AB217" i="42"/>
  <c r="AB219" i="42" s="1"/>
  <c r="V120" i="36"/>
  <c r="U342" i="38"/>
  <c r="U337" i="38"/>
  <c r="AA133" i="19"/>
  <c r="S251" i="19"/>
  <c r="S252" i="19" s="1"/>
  <c r="S254" i="19" s="1"/>
  <c r="AC61" i="28"/>
  <c r="AC57" i="29" s="1"/>
  <c r="AC64" i="28"/>
  <c r="AC63" i="28"/>
  <c r="AC60" i="28"/>
  <c r="AD59" i="28"/>
  <c r="AD332" i="38"/>
  <c r="Y235" i="54"/>
  <c r="V227" i="19"/>
  <c r="V226" i="19"/>
  <c r="V229" i="19"/>
  <c r="V228" i="19"/>
  <c r="Z243" i="38"/>
  <c r="Z246" i="38"/>
  <c r="Y144" i="29"/>
  <c r="Y145" i="29" s="1"/>
  <c r="Y167" i="29"/>
  <c r="Y168" i="29" s="1"/>
  <c r="Y165" i="28"/>
  <c r="Y166" i="28"/>
  <c r="AA67" i="20"/>
  <c r="AA70" i="20"/>
  <c r="AA68" i="20"/>
  <c r="AA69" i="20"/>
  <c r="Z227" i="12"/>
  <c r="AA212" i="20"/>
  <c r="AA170" i="19" s="1"/>
  <c r="AA214" i="20"/>
  <c r="AA172" i="19" s="1"/>
  <c r="AA213" i="20"/>
  <c r="AA171" i="19" s="1"/>
  <c r="AA216" i="20"/>
  <c r="AA174" i="19" s="1"/>
  <c r="AA215" i="20"/>
  <c r="AA169" i="19"/>
  <c r="AB135" i="12"/>
  <c r="W118" i="14"/>
  <c r="Y73" i="45"/>
  <c r="Y87" i="45"/>
  <c r="V150" i="14"/>
  <c r="AA297" i="42"/>
  <c r="AA298" i="42"/>
  <c r="Y101" i="20"/>
  <c r="Y93" i="19" s="1"/>
  <c r="Z136" i="12"/>
  <c r="Y100" i="20"/>
  <c r="Y98" i="20"/>
  <c r="Y99" i="20"/>
  <c r="Y88" i="19"/>
  <c r="Z136" i="14" s="1"/>
  <c r="Y97" i="20"/>
  <c r="BH107" i="36"/>
  <c r="AB139" i="48"/>
  <c r="AZ122" i="36"/>
  <c r="AZ125" i="36"/>
  <c r="R310" i="20"/>
  <c r="S156" i="12" s="1"/>
  <c r="R308" i="20"/>
  <c r="T325" i="48"/>
  <c r="T326" i="48"/>
  <c r="W271" i="46"/>
  <c r="V150" i="12"/>
  <c r="W34" i="19"/>
  <c r="W33" i="19"/>
  <c r="O7" i="55"/>
  <c r="Q163" i="14"/>
  <c r="Q157" i="14"/>
  <c r="AC205" i="53"/>
  <c r="AC208" i="53"/>
  <c r="W152" i="14"/>
  <c r="W229" i="14"/>
  <c r="V203" i="28"/>
  <c r="W70" i="15" s="1"/>
  <c r="W93" i="45"/>
  <c r="W94" i="45"/>
  <c r="BC94" i="45"/>
  <c r="BC93" i="45"/>
  <c r="R258" i="19"/>
  <c r="X74" i="20"/>
  <c r="X66" i="19" s="1"/>
  <c r="X77" i="20"/>
  <c r="X64" i="19"/>
  <c r="Y93" i="14" s="1"/>
  <c r="X76" i="20"/>
  <c r="X73" i="20"/>
  <c r="X75" i="20"/>
  <c r="X53" i="19"/>
  <c r="W271" i="20"/>
  <c r="W269" i="20"/>
  <c r="W268" i="20"/>
  <c r="W270" i="20"/>
  <c r="AA183" i="20"/>
  <c r="AA145" i="19" s="1"/>
  <c r="AA180" i="20"/>
  <c r="AA142" i="19" s="1"/>
  <c r="AA182" i="20"/>
  <c r="AA144" i="19" s="1"/>
  <c r="AA184" i="20"/>
  <c r="AA146" i="19" s="1"/>
  <c r="AA181" i="20"/>
  <c r="AA143" i="19" s="1"/>
  <c r="AA141" i="19"/>
  <c r="AB125" i="14" s="1"/>
  <c r="Y227" i="53"/>
  <c r="Y222" i="53"/>
  <c r="Y226" i="53"/>
  <c r="Y223" i="53"/>
  <c r="Y225" i="53"/>
  <c r="Y224" i="53"/>
  <c r="AD360" i="46"/>
  <c r="AC83" i="28"/>
  <c r="AC70" i="29" s="1"/>
  <c r="AC85" i="28"/>
  <c r="AC72" i="29" s="1"/>
  <c r="AC87" i="28"/>
  <c r="AC84" i="28"/>
  <c r="AC88" i="28"/>
  <c r="AC86" i="28"/>
  <c r="AD82" i="28"/>
  <c r="X143" i="12"/>
  <c r="W90" i="19"/>
  <c r="X143" i="14" s="1"/>
  <c r="Z200" i="20"/>
  <c r="Z161" i="19" s="1"/>
  <c r="Z199" i="20"/>
  <c r="Z160" i="19" s="1"/>
  <c r="Z203" i="20"/>
  <c r="Z164" i="19" s="1"/>
  <c r="Z201" i="20"/>
  <c r="Z162" i="19" s="1"/>
  <c r="Z159" i="19"/>
  <c r="AA123" i="14" s="1"/>
  <c r="Z202" i="20"/>
  <c r="V151" i="12"/>
  <c r="V180" i="29"/>
  <c r="V187" i="29" s="1"/>
  <c r="BJ40" i="45"/>
  <c r="BJ39" i="45"/>
  <c r="AC205" i="54"/>
  <c r="AC208" i="54"/>
  <c r="Z152" i="42"/>
  <c r="Z156" i="42" s="1"/>
  <c r="Z151" i="42"/>
  <c r="Z155" i="42" s="1"/>
  <c r="Z153" i="42"/>
  <c r="Z157" i="42" s="1"/>
  <c r="Z154" i="42"/>
  <c r="BF99" i="45"/>
  <c r="AD29" i="42"/>
  <c r="P164" i="12"/>
  <c r="O318" i="20"/>
  <c r="P165" i="12" s="1"/>
  <c r="AE134" i="53"/>
  <c r="AE138" i="53"/>
  <c r="AE139" i="53" s="1"/>
  <c r="AF69" i="51" s="1"/>
  <c r="AE136" i="53"/>
  <c r="AE137" i="53" s="1"/>
  <c r="AF63" i="51" s="1"/>
  <c r="W79" i="45"/>
  <c r="W80" i="45"/>
  <c r="W81" i="45"/>
  <c r="BC81" i="45"/>
  <c r="BC80" i="45"/>
  <c r="BC79" i="45"/>
  <c r="Z152" i="29"/>
  <c r="Z151" i="29"/>
  <c r="AE122" i="16"/>
  <c r="AE132" i="16" s="1"/>
  <c r="AB76" i="53"/>
  <c r="AC67" i="51"/>
  <c r="AD360" i="48"/>
  <c r="Y47" i="20"/>
  <c r="Y218" i="20" s="1"/>
  <c r="Y221" i="20"/>
  <c r="Z93" i="12"/>
  <c r="Y72" i="20"/>
  <c r="Y220" i="20" s="1"/>
  <c r="V233" i="14"/>
  <c r="V234" i="14" s="1"/>
  <c r="AV13" i="55"/>
  <c r="AV11" i="55"/>
  <c r="AV16" i="55"/>
  <c r="AV15" i="55"/>
  <c r="AV14" i="55"/>
  <c r="AV12" i="55"/>
  <c r="AC37" i="45"/>
  <c r="AC36" i="45"/>
  <c r="AC29" i="45"/>
  <c r="AC31" i="45"/>
  <c r="AC35" i="45"/>
  <c r="AC28" i="45"/>
  <c r="BI27" i="45"/>
  <c r="AC32" i="45"/>
  <c r="AD27" i="45"/>
  <c r="AC54" i="45"/>
  <c r="Y168" i="48"/>
  <c r="Y173" i="48" s="1"/>
  <c r="Y165" i="48"/>
  <c r="Y170" i="48" s="1"/>
  <c r="Y167" i="48"/>
  <c r="Y172" i="48" s="1"/>
  <c r="Y166" i="48"/>
  <c r="Y171" i="48" s="1"/>
  <c r="Y169" i="48"/>
  <c r="AV122" i="45"/>
  <c r="P363" i="48"/>
  <c r="AW120" i="45" s="1"/>
  <c r="P361" i="48"/>
  <c r="BK63" i="51"/>
  <c r="Y301" i="38"/>
  <c r="Y305" i="38" s="1"/>
  <c r="Y302" i="38"/>
  <c r="Y139" i="12"/>
  <c r="Z29" i="20"/>
  <c r="Z42" i="20"/>
  <c r="Y37" i="46"/>
  <c r="AD43" i="46" s="1"/>
  <c r="Z58" i="45"/>
  <c r="Z71" i="45" s="1"/>
  <c r="Z60" i="45"/>
  <c r="Z73" i="45" s="1"/>
  <c r="Z59" i="45"/>
  <c r="Z104" i="45"/>
  <c r="AB66" i="38"/>
  <c r="AB85" i="38" s="1"/>
  <c r="AB67" i="38"/>
  <c r="AB101" i="38" s="1"/>
  <c r="AB64" i="38"/>
  <c r="AB77" i="38" s="1"/>
  <c r="AB65" i="38"/>
  <c r="AB93" i="38" s="1"/>
  <c r="AB61" i="38"/>
  <c r="AB62" i="38"/>
  <c r="AC60" i="38"/>
  <c r="BB118" i="45"/>
  <c r="AC217" i="38"/>
  <c r="AC219" i="38" s="1"/>
  <c r="AD216" i="38"/>
  <c r="X44" i="46"/>
  <c r="X316" i="46" s="1"/>
  <c r="X109" i="46"/>
  <c r="X69" i="46"/>
  <c r="X99" i="46"/>
  <c r="X79" i="46"/>
  <c r="Z70" i="45"/>
  <c r="Y116" i="12"/>
  <c r="X71" i="19"/>
  <c r="Y116" i="14" s="1"/>
  <c r="BE70" i="45"/>
  <c r="AE122" i="15"/>
  <c r="AE132" i="15" s="1"/>
  <c r="AC108" i="28"/>
  <c r="AD107" i="28"/>
  <c r="T308" i="48"/>
  <c r="T309" i="48" s="1"/>
  <c r="U275" i="48"/>
  <c r="CG9" i="55"/>
  <c r="BI68" i="51"/>
  <c r="AC154" i="53"/>
  <c r="AC156" i="53" s="1"/>
  <c r="AD153" i="53"/>
  <c r="AD31" i="53"/>
  <c r="AD194" i="53"/>
  <c r="S348" i="46"/>
  <c r="AA96" i="19"/>
  <c r="AA95" i="19" s="1"/>
  <c r="W149" i="14"/>
  <c r="AA222" i="42"/>
  <c r="AA226" i="42" s="1"/>
  <c r="AA220" i="42"/>
  <c r="AA224" i="42" s="1"/>
  <c r="AA223" i="42"/>
  <c r="AA221" i="42"/>
  <c r="AA225" i="42" s="1"/>
  <c r="W108" i="12"/>
  <c r="AA131" i="19"/>
  <c r="AC62" i="15"/>
  <c r="AB59" i="29"/>
  <c r="AC62" i="16" s="1"/>
  <c r="AU7" i="55"/>
  <c r="U72" i="16"/>
  <c r="T197" i="29"/>
  <c r="U73" i="16" s="1"/>
  <c r="Z209" i="46"/>
  <c r="Z214" i="46" s="1"/>
  <c r="Z208" i="46"/>
  <c r="Z213" i="46" s="1"/>
  <c r="Z210" i="46"/>
  <c r="Z215" i="46" s="1"/>
  <c r="Z211" i="46"/>
  <c r="AA89" i="45" s="1"/>
  <c r="Z206" i="48"/>
  <c r="Z207" i="46"/>
  <c r="Z212" i="46" s="1"/>
  <c r="AE25" i="48"/>
  <c r="AE40" i="48" s="1"/>
  <c r="AF19" i="48"/>
  <c r="AC208" i="20"/>
  <c r="AB209" i="20"/>
  <c r="AB211" i="20" s="1"/>
  <c r="W226" i="14"/>
  <c r="AA93" i="36"/>
  <c r="AA96" i="36" s="1"/>
  <c r="BG91" i="36"/>
  <c r="BG93" i="36" s="1"/>
  <c r="BG96" i="36" s="1"/>
  <c r="AA204" i="42"/>
  <c r="AA184" i="42"/>
  <c r="AA188" i="42"/>
  <c r="AA196" i="42"/>
  <c r="Y84" i="45"/>
  <c r="X171" i="29"/>
  <c r="X174" i="29" s="1"/>
  <c r="X170" i="29"/>
  <c r="W79" i="19"/>
  <c r="X110" i="14" s="1"/>
  <c r="X110" i="12"/>
  <c r="AG17" i="15"/>
  <c r="Z140" i="15"/>
  <c r="Y302" i="42"/>
  <c r="Y301" i="42"/>
  <c r="Y305" i="42" s="1"/>
  <c r="AC66" i="48"/>
  <c r="AC64" i="48"/>
  <c r="AC61" i="48"/>
  <c r="AC67" i="48"/>
  <c r="AC65" i="48"/>
  <c r="AC62" i="48"/>
  <c r="AD60" i="48"/>
  <c r="AB204" i="48"/>
  <c r="AB203" i="48"/>
  <c r="T332" i="48"/>
  <c r="T331" i="48"/>
  <c r="T343" i="48" s="1"/>
  <c r="T344" i="48" s="1"/>
  <c r="W107" i="12"/>
  <c r="AB51" i="51"/>
  <c r="AB72" i="51"/>
  <c r="BH49" i="51"/>
  <c r="W82" i="46"/>
  <c r="W87" i="46" s="1"/>
  <c r="W80" i="46"/>
  <c r="W85" i="46" s="1"/>
  <c r="W79" i="48"/>
  <c r="W81" i="46"/>
  <c r="W86" i="46" s="1"/>
  <c r="W83" i="46"/>
  <c r="W88" i="46" s="1"/>
  <c r="W84" i="46"/>
  <c r="X90" i="45" s="1"/>
  <c r="AE26" i="29"/>
  <c r="AE44" i="29" s="1"/>
  <c r="AF20" i="29"/>
  <c r="AD40" i="29"/>
  <c r="AE128" i="16"/>
  <c r="AE60" i="16"/>
  <c r="Y95" i="20"/>
  <c r="Y87" i="19" s="1"/>
  <c r="Y82" i="19"/>
  <c r="Z124" i="14" s="1"/>
  <c r="Y94" i="20"/>
  <c r="Y86" i="19" s="1"/>
  <c r="Y91" i="20"/>
  <c r="Y93" i="20"/>
  <c r="Y92" i="20"/>
  <c r="Z233" i="53"/>
  <c r="Z236" i="53" s="1"/>
  <c r="Z232" i="53"/>
  <c r="Y37" i="48"/>
  <c r="AD43" i="48" s="1"/>
  <c r="BF58" i="45"/>
  <c r="BF60" i="45"/>
  <c r="BF59" i="45"/>
  <c r="BF104" i="45"/>
  <c r="BD74" i="51"/>
  <c r="W253" i="54"/>
  <c r="AE123" i="16"/>
  <c r="AD36" i="29"/>
  <c r="AD42" i="29" s="1"/>
  <c r="AE43" i="16"/>
  <c r="S347" i="48"/>
  <c r="Y147" i="12"/>
  <c r="Y95" i="12"/>
  <c r="W222" i="19"/>
  <c r="W272" i="19"/>
  <c r="W273" i="19"/>
  <c r="W221" i="19"/>
  <c r="W225" i="19"/>
  <c r="W266" i="20"/>
  <c r="W193" i="28"/>
  <c r="W194" i="28" s="1"/>
  <c r="D81" i="16"/>
  <c r="AH54" i="16"/>
  <c r="AH124" i="16"/>
  <c r="AG38" i="29"/>
  <c r="BB100" i="45"/>
  <c r="BB113" i="45"/>
  <c r="AB71" i="29"/>
  <c r="AC48" i="16" s="1"/>
  <c r="AC48" i="15"/>
  <c r="U324" i="48"/>
  <c r="U322" i="48"/>
  <c r="U321" i="48"/>
  <c r="U323" i="48"/>
  <c r="AA157" i="28"/>
  <c r="AA160" i="28"/>
  <c r="W92" i="19"/>
  <c r="X145" i="14" s="1"/>
  <c r="X145" i="12"/>
  <c r="BH67" i="51"/>
  <c r="X83" i="19"/>
  <c r="Y128" i="14" s="1"/>
  <c r="Y128" i="12"/>
  <c r="AD69" i="45"/>
  <c r="AD131" i="15"/>
  <c r="AD129" i="15"/>
  <c r="AE26" i="54"/>
  <c r="AE41" i="54" s="1"/>
  <c r="AE147" i="54" s="1"/>
  <c r="AE148" i="54" s="1"/>
  <c r="AF20" i="54"/>
  <c r="AD41" i="45"/>
  <c r="BB9" i="55"/>
  <c r="W129" i="12"/>
  <c r="BF98" i="45"/>
  <c r="AY120" i="36"/>
  <c r="S122" i="36"/>
  <c r="S125" i="36"/>
  <c r="AD29" i="29"/>
  <c r="U189" i="29"/>
  <c r="V70" i="16" s="1"/>
  <c r="T276" i="20"/>
  <c r="T280" i="20" s="1"/>
  <c r="T277" i="20"/>
  <c r="BC76" i="45"/>
  <c r="W78" i="45"/>
  <c r="AC61" i="53"/>
  <c r="AC64" i="53"/>
  <c r="AC71" i="53" s="1"/>
  <c r="AC72" i="53" s="1"/>
  <c r="AD57" i="51" s="1"/>
  <c r="AD58" i="51" s="1"/>
  <c r="AC65" i="53"/>
  <c r="AC75" i="53" s="1"/>
  <c r="AC67" i="53"/>
  <c r="AC77" i="53" s="1"/>
  <c r="AC78" i="53" s="1"/>
  <c r="AD61" i="51" s="1"/>
  <c r="AC62" i="53"/>
  <c r="AC66" i="53"/>
  <c r="AC73" i="53" s="1"/>
  <c r="AC74" i="53" s="1"/>
  <c r="AD60" i="53"/>
  <c r="CL4" i="55"/>
  <c r="Y31" i="20"/>
  <c r="Y253" i="20"/>
  <c r="X99" i="14"/>
  <c r="Z158" i="46"/>
  <c r="Z163" i="46" s="1"/>
  <c r="Z155" i="46"/>
  <c r="Z160" i="46" s="1"/>
  <c r="Z157" i="46"/>
  <c r="Z162" i="46" s="1"/>
  <c r="Z156" i="46"/>
  <c r="Z161" i="46" s="1"/>
  <c r="Z159" i="46"/>
  <c r="AA98" i="45" s="1"/>
  <c r="Z154" i="48"/>
  <c r="BF82" i="45"/>
  <c r="BF25" i="45"/>
  <c r="BF24" i="45"/>
  <c r="Y34" i="48"/>
  <c r="BF26" i="45"/>
  <c r="W189" i="28"/>
  <c r="BB91" i="45"/>
  <c r="AG17" i="16"/>
  <c r="BK69" i="51"/>
  <c r="Q164" i="12"/>
  <c r="P318" i="20"/>
  <c r="Q165" i="12" s="1"/>
  <c r="X91" i="19"/>
  <c r="Y144" i="14" s="1"/>
  <c r="Y144" i="12"/>
  <c r="AC154" i="54"/>
  <c r="AC156" i="54" s="1"/>
  <c r="AD153" i="54"/>
  <c r="BI69" i="45"/>
  <c r="Z206" i="54"/>
  <c r="Z207" i="54" s="1"/>
  <c r="Z229" i="54"/>
  <c r="Z230" i="54" s="1"/>
  <c r="R329" i="48"/>
  <c r="R333" i="48" s="1"/>
  <c r="R330" i="48"/>
  <c r="AA79" i="38"/>
  <c r="AA83" i="38" s="1"/>
  <c r="AA80" i="38"/>
  <c r="AA84" i="38" s="1"/>
  <c r="AA78" i="38"/>
  <c r="AA82" i="38" s="1"/>
  <c r="AA81" i="38"/>
  <c r="AB92" i="36" s="1"/>
  <c r="BH92" i="36" s="1"/>
  <c r="AC26" i="20"/>
  <c r="AC44" i="20" s="1"/>
  <c r="AD20" i="20"/>
  <c r="AB70" i="51"/>
  <c r="BH66" i="51"/>
  <c r="AB223" i="38"/>
  <c r="AC98" i="36" s="1"/>
  <c r="AB222" i="38"/>
  <c r="AB226" i="38" s="1"/>
  <c r="AB220" i="38"/>
  <c r="AB224" i="38" s="1"/>
  <c r="AB221" i="38"/>
  <c r="AB225" i="38" s="1"/>
  <c r="AE131" i="15"/>
  <c r="X73" i="19"/>
  <c r="Y120" i="14" s="1"/>
  <c r="Y120" i="12"/>
  <c r="V318" i="46"/>
  <c r="V319" i="46" s="1"/>
  <c r="V341" i="46"/>
  <c r="V342" i="46" s="1"/>
  <c r="W9" i="55"/>
  <c r="BC97" i="45"/>
  <c r="W100" i="45"/>
  <c r="W113" i="45"/>
  <c r="AA214" i="54"/>
  <c r="AA213" i="54"/>
  <c r="BA126" i="36"/>
  <c r="T343" i="42"/>
  <c r="BA127" i="36" s="1"/>
  <c r="AA86" i="42"/>
  <c r="AA90" i="42" s="1"/>
  <c r="AA87" i="42"/>
  <c r="AA91" i="42" s="1"/>
  <c r="AA88" i="42"/>
  <c r="AA92" i="42" s="1"/>
  <c r="AA89" i="42"/>
  <c r="AE28" i="29"/>
  <c r="AE46" i="29" s="1"/>
  <c r="AF22" i="29"/>
  <c r="O159" i="14"/>
  <c r="X119" i="12"/>
  <c r="W72" i="19"/>
  <c r="X119" i="14" s="1"/>
  <c r="AC131" i="16"/>
  <c r="AC129" i="16"/>
  <c r="AA140" i="46"/>
  <c r="AA154" i="46" s="1"/>
  <c r="AA141" i="46"/>
  <c r="AA164" i="46" s="1"/>
  <c r="AA142" i="46"/>
  <c r="AA174" i="46" s="1"/>
  <c r="AE26" i="28"/>
  <c r="AE44" i="28" s="1"/>
  <c r="AE80" i="29" s="1"/>
  <c r="AE79" i="29" s="1"/>
  <c r="AF20" i="28"/>
  <c r="W103" i="45"/>
  <c r="BC102" i="45"/>
  <c r="BC101" i="45"/>
  <c r="W101" i="45"/>
  <c r="BC103" i="45"/>
  <c r="W102" i="45"/>
  <c r="AA95" i="42"/>
  <c r="AA99" i="42" s="1"/>
  <c r="AA94" i="42"/>
  <c r="AA98" i="42" s="1"/>
  <c r="AA96" i="42"/>
  <c r="AA100" i="42" s="1"/>
  <c r="AA97" i="42"/>
  <c r="X146" i="12"/>
  <c r="X115" i="12"/>
  <c r="AC55" i="15"/>
  <c r="AB82" i="29"/>
  <c r="AC55" i="16" s="1"/>
  <c r="AA203" i="46"/>
  <c r="AA204" i="46"/>
  <c r="S313" i="48"/>
  <c r="S311" i="48"/>
  <c r="S312" i="48"/>
  <c r="S310" i="48"/>
  <c r="S315" i="48"/>
  <c r="S314" i="48"/>
  <c r="AB157" i="53"/>
  <c r="AC66" i="51" s="1"/>
  <c r="W85" i="19"/>
  <c r="X132" i="14" s="1"/>
  <c r="X132" i="12"/>
  <c r="BK60" i="51"/>
  <c r="AA146" i="20"/>
  <c r="AA122" i="19" s="1"/>
  <c r="AA149" i="20"/>
  <c r="AA125" i="19" s="1"/>
  <c r="AA148" i="20"/>
  <c r="AA124" i="19" s="1"/>
  <c r="AA150" i="20"/>
  <c r="AA126" i="19" s="1"/>
  <c r="AA121" i="19"/>
  <c r="AB138" i="14" s="1"/>
  <c r="AA147" i="20"/>
  <c r="AA123" i="19" s="1"/>
  <c r="AB138" i="12"/>
  <c r="AG18" i="28"/>
  <c r="AG24" i="28" s="1"/>
  <c r="AF24" i="28"/>
  <c r="W149" i="12"/>
  <c r="AF27" i="54"/>
  <c r="AF42" i="54" s="1"/>
  <c r="AG21" i="54"/>
  <c r="AG27" i="54" s="1"/>
  <c r="AG42" i="54" s="1"/>
  <c r="W108" i="14"/>
  <c r="V69" i="15"/>
  <c r="U205" i="28"/>
  <c r="U210" i="28"/>
  <c r="AA132" i="19"/>
  <c r="Z215" i="53"/>
  <c r="Z216" i="53"/>
  <c r="AB62" i="28"/>
  <c r="AB56" i="29"/>
  <c r="AC44" i="16" s="1"/>
  <c r="AC44" i="15"/>
  <c r="Z228" i="46"/>
  <c r="Z233" i="46" s="1"/>
  <c r="Z230" i="46"/>
  <c r="Z235" i="46" s="1"/>
  <c r="Z226" i="48"/>
  <c r="Z227" i="46"/>
  <c r="Z232" i="46" s="1"/>
  <c r="Z231" i="46"/>
  <c r="AA108" i="45" s="1"/>
  <c r="Z229" i="46"/>
  <c r="Z234" i="46" s="1"/>
  <c r="AE39" i="16"/>
  <c r="AE13" i="16"/>
  <c r="Z161" i="28"/>
  <c r="Z164" i="28"/>
  <c r="Z162" i="28"/>
  <c r="Z163" i="28"/>
  <c r="BB109" i="45"/>
  <c r="AB183" i="42"/>
  <c r="AB182" i="42"/>
  <c r="AC181" i="42"/>
  <c r="Y85" i="45"/>
  <c r="Y71" i="45"/>
  <c r="AF22" i="54"/>
  <c r="AE28" i="54"/>
  <c r="AE43" i="54" s="1"/>
  <c r="BF78" i="36"/>
  <c r="Z80" i="36"/>
  <c r="Z83" i="36" s="1"/>
  <c r="Z119" i="36" s="1"/>
  <c r="Z115" i="36"/>
  <c r="Z116" i="36" s="1"/>
  <c r="X160" i="29"/>
  <c r="X161" i="29"/>
  <c r="X164" i="29"/>
  <c r="X162" i="29"/>
  <c r="X163" i="29"/>
  <c r="X165" i="29"/>
  <c r="X111" i="12"/>
  <c r="W80" i="19"/>
  <c r="X111" i="14" s="1"/>
  <c r="AG34" i="15"/>
  <c r="AG33" i="15"/>
  <c r="AB23" i="45"/>
  <c r="AN256" i="14"/>
  <c r="V317" i="48"/>
  <c r="V320" i="48"/>
  <c r="CE6" i="55"/>
  <c r="Z77" i="15"/>
  <c r="AB140" i="48"/>
  <c r="AB141" i="48"/>
  <c r="AB142" i="48"/>
  <c r="BC76" i="51"/>
  <c r="AC37" i="29"/>
  <c r="AD125" i="16"/>
  <c r="AD47" i="16"/>
  <c r="W107" i="14"/>
  <c r="AB211" i="54"/>
  <c r="AB210" i="54"/>
  <c r="AB209" i="54"/>
  <c r="AB212" i="54"/>
  <c r="Y33" i="46"/>
  <c r="Y39" i="46" s="1"/>
  <c r="Z75" i="45"/>
  <c r="Z225" i="53"/>
  <c r="Z227" i="53"/>
  <c r="Z222" i="53"/>
  <c r="Z223" i="53"/>
  <c r="Z226" i="53"/>
  <c r="Z224" i="53"/>
  <c r="X47" i="19"/>
  <c r="X176" i="19" s="1"/>
  <c r="X57" i="19"/>
  <c r="X265" i="20"/>
  <c r="X288" i="20"/>
  <c r="X289" i="20" s="1"/>
  <c r="Z70" i="42"/>
  <c r="Z74" i="42" s="1"/>
  <c r="Z72" i="42"/>
  <c r="Z76" i="42" s="1"/>
  <c r="Z73" i="42"/>
  <c r="Z71" i="42"/>
  <c r="Z75" i="42" s="1"/>
  <c r="BG33" i="45"/>
  <c r="BF89" i="45"/>
  <c r="AC58" i="15"/>
  <c r="AB73" i="29"/>
  <c r="AC58" i="16" s="1"/>
  <c r="Y153" i="29"/>
  <c r="Y154" i="29"/>
  <c r="AB232" i="42"/>
  <c r="AB234" i="42" s="1"/>
  <c r="AC231" i="42"/>
  <c r="X136" i="14"/>
  <c r="X146" i="14" s="1"/>
  <c r="W179" i="19"/>
  <c r="W229" i="12"/>
  <c r="BF83" i="45"/>
  <c r="AA140" i="20"/>
  <c r="AA116" i="19" s="1"/>
  <c r="AA143" i="20"/>
  <c r="AA119" i="19" s="1"/>
  <c r="AA142" i="20"/>
  <c r="AA118" i="19" s="1"/>
  <c r="AA141" i="20"/>
  <c r="AA117" i="19" s="1"/>
  <c r="AA144" i="20"/>
  <c r="AA120" i="19" s="1"/>
  <c r="AA115" i="19"/>
  <c r="AB94" i="14" s="1"/>
  <c r="Z24" i="19"/>
  <c r="AA18" i="19"/>
  <c r="AF11" i="16"/>
  <c r="AG18" i="54"/>
  <c r="AG24" i="54" s="1"/>
  <c r="AF24" i="54"/>
  <c r="U345" i="46"/>
  <c r="U344" i="46"/>
  <c r="W129" i="14"/>
  <c r="Y158" i="48"/>
  <c r="Y163" i="48" s="1"/>
  <c r="Y156" i="48"/>
  <c r="Y161" i="48" s="1"/>
  <c r="Y155" i="48"/>
  <c r="Y160" i="48" s="1"/>
  <c r="Y157" i="48"/>
  <c r="Y162" i="48" s="1"/>
  <c r="Y159" i="48"/>
  <c r="P157" i="12"/>
  <c r="P163" i="12"/>
  <c r="AA146" i="38"/>
  <c r="AB100" i="36" s="1"/>
  <c r="BH100" i="36" s="1"/>
  <c r="AA145" i="38"/>
  <c r="AA149" i="38" s="1"/>
  <c r="AA144" i="38"/>
  <c r="AA148" i="38" s="1"/>
  <c r="AA143" i="38"/>
  <c r="AA147" i="38" s="1"/>
  <c r="AB196" i="20"/>
  <c r="AC195" i="20"/>
  <c r="T232" i="19"/>
  <c r="T233" i="19"/>
  <c r="V72" i="48"/>
  <c r="V77" i="48" s="1"/>
  <c r="V73" i="48"/>
  <c r="V78" i="48" s="1"/>
  <c r="V70" i="48"/>
  <c r="V75" i="48" s="1"/>
  <c r="V74" i="48"/>
  <c r="V71" i="48"/>
  <c r="V76" i="48" s="1"/>
  <c r="T327" i="46"/>
  <c r="T328" i="46"/>
  <c r="AB63" i="53"/>
  <c r="AB159" i="53" s="1"/>
  <c r="AB69" i="53"/>
  <c r="AB70" i="53" s="1"/>
  <c r="AC49" i="51" s="1"/>
  <c r="W141" i="12"/>
  <c r="AC58" i="51"/>
  <c r="W67" i="19"/>
  <c r="X100" i="14" s="1"/>
  <c r="X100" i="12"/>
  <c r="BE75" i="45"/>
  <c r="X33" i="48"/>
  <c r="X39" i="48" s="1"/>
  <c r="Z168" i="46"/>
  <c r="Z173" i="46" s="1"/>
  <c r="Z166" i="46"/>
  <c r="Z171" i="46" s="1"/>
  <c r="Z167" i="46"/>
  <c r="Z172" i="46" s="1"/>
  <c r="Z165" i="46"/>
  <c r="Z170" i="46" s="1"/>
  <c r="Z164" i="48"/>
  <c r="Z169" i="46"/>
  <c r="AA77" i="45" s="1"/>
  <c r="AB33" i="45"/>
  <c r="BF67" i="45"/>
  <c r="BF108" i="45"/>
  <c r="W169" i="28"/>
  <c r="W173" i="28" s="1"/>
  <c r="W170" i="28"/>
  <c r="AE28" i="28"/>
  <c r="AE46" i="28" s="1"/>
  <c r="AF22" i="28"/>
  <c r="AG20" i="16"/>
  <c r="AA304" i="38"/>
  <c r="AA303" i="38"/>
  <c r="AA315" i="38" s="1"/>
  <c r="W231" i="12"/>
  <c r="Y136" i="14"/>
  <c r="AB157" i="54"/>
  <c r="BI20" i="45"/>
  <c r="BI19" i="45"/>
  <c r="V278" i="20"/>
  <c r="V279" i="20"/>
  <c r="AB59" i="15"/>
  <c r="R347" i="48"/>
  <c r="R349" i="48" s="1"/>
  <c r="R348" i="48"/>
  <c r="AA135" i="15"/>
  <c r="Z158" i="28"/>
  <c r="Z159" i="28" s="1"/>
  <c r="Z181" i="28"/>
  <c r="Z182" i="28" s="1"/>
  <c r="AA105" i="38"/>
  <c r="AB99" i="36" s="1"/>
  <c r="BH99" i="36" s="1"/>
  <c r="AA104" i="38"/>
  <c r="AA108" i="38" s="1"/>
  <c r="AA103" i="38"/>
  <c r="AA107" i="38" s="1"/>
  <c r="AA102" i="38"/>
  <c r="AA106" i="38" s="1"/>
  <c r="V118" i="45"/>
  <c r="AA162" i="53"/>
  <c r="AF21" i="16"/>
  <c r="V335" i="38"/>
  <c r="W121" i="36" s="1"/>
  <c r="BC121" i="36" s="1"/>
  <c r="V333" i="38"/>
  <c r="X251" i="53"/>
  <c r="Y75" i="51" s="1"/>
  <c r="X249" i="53"/>
  <c r="X74" i="19"/>
  <c r="Y121" i="14" s="1"/>
  <c r="Y121" i="12"/>
  <c r="AC132" i="29"/>
  <c r="AC31" i="29"/>
  <c r="W228" i="12"/>
  <c r="X115" i="14"/>
  <c r="AF21" i="15"/>
  <c r="AB27" i="19"/>
  <c r="AB45" i="19" s="1"/>
  <c r="AB132" i="19" s="1"/>
  <c r="AC21" i="19"/>
  <c r="AG21" i="29"/>
  <c r="AG27" i="29" s="1"/>
  <c r="AF27" i="29"/>
  <c r="AG18" i="48"/>
  <c r="AG24" i="48" s="1"/>
  <c r="AF24" i="48"/>
  <c r="W86" i="19"/>
  <c r="X133" i="14" s="1"/>
  <c r="X133" i="12"/>
  <c r="AF19" i="29"/>
  <c r="AE25" i="29"/>
  <c r="AE43" i="29" s="1"/>
  <c r="AF20" i="53"/>
  <c r="AE26" i="53"/>
  <c r="AE41" i="53" s="1"/>
  <c r="AE147" i="53" s="1"/>
  <c r="AE148" i="53" s="1"/>
  <c r="AF60" i="51" s="1"/>
  <c r="AA135" i="14"/>
  <c r="AA97" i="19"/>
  <c r="Z87" i="45"/>
  <c r="BG105" i="36"/>
  <c r="BG103" i="36"/>
  <c r="AD40" i="28"/>
  <c r="AE128" i="15"/>
  <c r="AE60" i="15"/>
  <c r="AE26" i="42"/>
  <c r="AE41" i="42" s="1"/>
  <c r="AF20" i="42"/>
  <c r="AE138" i="54"/>
  <c r="AE139" i="54" s="1"/>
  <c r="AE134" i="54"/>
  <c r="AE135" i="54" s="1"/>
  <c r="AE136" i="54"/>
  <c r="AE137" i="54" s="1"/>
  <c r="Z199" i="42"/>
  <c r="Z203" i="42" s="1"/>
  <c r="Z198" i="42"/>
  <c r="Z202" i="42" s="1"/>
  <c r="Z197" i="42"/>
  <c r="Z201" i="42" s="1"/>
  <c r="Z200" i="42"/>
  <c r="V325" i="42"/>
  <c r="AB60" i="29"/>
  <c r="AC56" i="16" s="1"/>
  <c r="AC56" i="15"/>
  <c r="U71" i="16"/>
  <c r="Z217" i="46"/>
  <c r="Z222" i="46" s="1"/>
  <c r="Z219" i="46"/>
  <c r="Z224" i="46" s="1"/>
  <c r="Z216" i="48"/>
  <c r="Z218" i="46"/>
  <c r="Z223" i="46" s="1"/>
  <c r="Z221" i="46"/>
  <c r="AA99" i="45" s="1"/>
  <c r="Z220" i="46"/>
  <c r="Z225" i="46" s="1"/>
  <c r="S300" i="20"/>
  <c r="S301" i="20" s="1"/>
  <c r="Y171" i="28"/>
  <c r="Y183" i="28" s="1"/>
  <c r="Y184" i="28" s="1"/>
  <c r="Y172" i="28"/>
  <c r="AA186" i="42"/>
  <c r="AA185" i="42"/>
  <c r="Y72" i="45"/>
  <c r="Y86" i="45"/>
  <c r="BG51" i="51"/>
  <c r="BG72" i="51"/>
  <c r="BG73" i="51" s="1"/>
  <c r="X105" i="12"/>
  <c r="S329" i="46"/>
  <c r="S333" i="46" s="1"/>
  <c r="S330" i="46"/>
  <c r="Z141" i="15"/>
  <c r="Z142" i="15" s="1"/>
  <c r="AE28" i="42"/>
  <c r="AE43" i="42" s="1"/>
  <c r="AF22" i="42"/>
  <c r="AC47" i="29"/>
  <c r="AC142" i="29" s="1"/>
  <c r="BG70" i="51"/>
  <c r="X185" i="28"/>
  <c r="X186" i="28" s="1"/>
  <c r="BJ56" i="51"/>
  <c r="AB26" i="19"/>
  <c r="AB44" i="19" s="1"/>
  <c r="AB155" i="19" s="1"/>
  <c r="AB154" i="19" s="1"/>
  <c r="AC20" i="19"/>
  <c r="R155" i="12"/>
  <c r="Q312" i="20"/>
  <c r="Q317" i="20"/>
  <c r="Y148" i="28"/>
  <c r="Y149" i="28" s="1"/>
  <c r="Z214" i="28"/>
  <c r="X156" i="29"/>
  <c r="X155" i="29"/>
  <c r="X159" i="29" s="1"/>
  <c r="X31" i="19"/>
  <c r="X211" i="19"/>
  <c r="W148" i="12"/>
  <c r="W169" i="12" s="1"/>
  <c r="X263" i="20"/>
  <c r="X314" i="20"/>
  <c r="X264" i="20"/>
  <c r="X315" i="20"/>
  <c r="X267" i="20"/>
  <c r="Z246" i="42"/>
  <c r="Z243" i="42"/>
  <c r="AE26" i="46"/>
  <c r="AE41" i="46" s="1"/>
  <c r="AF20" i="46"/>
  <c r="V151" i="14"/>
  <c r="Z137" i="42"/>
  <c r="Z141" i="42" s="1"/>
  <c r="Z135" i="42"/>
  <c r="Z139" i="42" s="1"/>
  <c r="Z138" i="42"/>
  <c r="Z136" i="42"/>
  <c r="Z140" i="42" s="1"/>
  <c r="AC45" i="15"/>
  <c r="AB74" i="29"/>
  <c r="AC45" i="16" s="1"/>
  <c r="AA235" i="42"/>
  <c r="AA239" i="42" s="1"/>
  <c r="AA237" i="42"/>
  <c r="AA241" i="42" s="1"/>
  <c r="AA236" i="42"/>
  <c r="AA240" i="42" s="1"/>
  <c r="AA238" i="42"/>
  <c r="AA135" i="38"/>
  <c r="AA139" i="38" s="1"/>
  <c r="AA137" i="38"/>
  <c r="AA141" i="38" s="1"/>
  <c r="AA136" i="38"/>
  <c r="AA140" i="38" s="1"/>
  <c r="AA138" i="38"/>
  <c r="AB85" i="36" s="1"/>
  <c r="X317" i="42"/>
  <c r="X320" i="42" s="1"/>
  <c r="X316" i="42"/>
  <c r="X140" i="12"/>
  <c r="W89" i="19"/>
  <c r="X140" i="14" s="1"/>
  <c r="Y29" i="19"/>
  <c r="Y42" i="19"/>
  <c r="Y52" i="19" s="1"/>
  <c r="Y49" i="19" s="1"/>
  <c r="Y177" i="19" s="1"/>
  <c r="AE39" i="54"/>
  <c r="AE25" i="42"/>
  <c r="AE40" i="42" s="1"/>
  <c r="AF19" i="42"/>
  <c r="BH21" i="45"/>
  <c r="U336" i="46"/>
  <c r="U334" i="46"/>
  <c r="U337" i="46"/>
  <c r="U339" i="46"/>
  <c r="U338" i="46"/>
  <c r="U335" i="46"/>
  <c r="AB63" i="46"/>
  <c r="P16" i="55"/>
  <c r="P12" i="55"/>
  <c r="P14" i="55"/>
  <c r="P13" i="55"/>
  <c r="P15" i="55"/>
  <c r="P11" i="55"/>
  <c r="AA159" i="38"/>
  <c r="AA163" i="38" s="1"/>
  <c r="AA162" i="38"/>
  <c r="AB109" i="36" s="1"/>
  <c r="BH109" i="36" s="1"/>
  <c r="AA161" i="38"/>
  <c r="AA165" i="38" s="1"/>
  <c r="AA160" i="38"/>
  <c r="AA164" i="38" s="1"/>
  <c r="AA157" i="19"/>
  <c r="AB123" i="12"/>
  <c r="AA198" i="20"/>
  <c r="T251" i="19"/>
  <c r="T252" i="19" s="1"/>
  <c r="Z157" i="29"/>
  <c r="Z169" i="29" s="1"/>
  <c r="Z158" i="29"/>
  <c r="BH58" i="51"/>
  <c r="W141" i="14"/>
  <c r="BI58" i="51"/>
  <c r="X96" i="12"/>
  <c r="W65" i="19"/>
  <c r="X96" i="14" s="1"/>
  <c r="Z175" i="46"/>
  <c r="Z180" i="46" s="1"/>
  <c r="Z177" i="46"/>
  <c r="Z182" i="46" s="1"/>
  <c r="Z179" i="46"/>
  <c r="AA107" i="45" s="1"/>
  <c r="Z176" i="46"/>
  <c r="Z181" i="46" s="1"/>
  <c r="Z174" i="48"/>
  <c r="Z178" i="46"/>
  <c r="Z183" i="46" s="1"/>
  <c r="AA262" i="48"/>
  <c r="AA267" i="48" s="1"/>
  <c r="AA261" i="48"/>
  <c r="AA266" i="48" s="1"/>
  <c r="AA263" i="48"/>
  <c r="AA268" i="48" s="1"/>
  <c r="AA264" i="48"/>
  <c r="AA269" i="48" s="1"/>
  <c r="AA265" i="48"/>
  <c r="AB63" i="54"/>
  <c r="AB159" i="54" s="1"/>
  <c r="AB69" i="54"/>
  <c r="AB70" i="54" s="1"/>
  <c r="AA92" i="48"/>
  <c r="AA97" i="48" s="1"/>
  <c r="AA90" i="48"/>
  <c r="AA95" i="48" s="1"/>
  <c r="AA94" i="48"/>
  <c r="AA93" i="48"/>
  <c r="AA98" i="48" s="1"/>
  <c r="AA91" i="48"/>
  <c r="AE61" i="15"/>
  <c r="AD85" i="29"/>
  <c r="Q11" i="55"/>
  <c r="Q16" i="55"/>
  <c r="Q15" i="55"/>
  <c r="Q13" i="55"/>
  <c r="Q14" i="55"/>
  <c r="Q12" i="55"/>
  <c r="X89" i="19"/>
  <c r="Y140" i="14" s="1"/>
  <c r="Y140" i="12"/>
  <c r="AB59" i="16"/>
  <c r="AE28" i="46"/>
  <c r="AE43" i="46" s="1"/>
  <c r="AF22" i="46"/>
  <c r="BF73" i="51"/>
  <c r="AC258" i="46"/>
  <c r="AC260" i="46" s="1"/>
  <c r="AD257" i="46"/>
  <c r="V116" i="45"/>
  <c r="AA207" i="38"/>
  <c r="AA211" i="38" s="1"/>
  <c r="AA205" i="38"/>
  <c r="AA209" i="38" s="1"/>
  <c r="AA208" i="38"/>
  <c r="AA206" i="38"/>
  <c r="AA210" i="38" s="1"/>
  <c r="AG21" i="28"/>
  <c r="AG27" i="28" s="1"/>
  <c r="AF27" i="28"/>
  <c r="AD29" i="28"/>
  <c r="Y115" i="12"/>
  <c r="AA80" i="42"/>
  <c r="AA84" i="42" s="1"/>
  <c r="AA79" i="42"/>
  <c r="AA83" i="42" s="1"/>
  <c r="AA81" i="42"/>
  <c r="AA78" i="42"/>
  <c r="AA82" i="42" s="1"/>
  <c r="AB294" i="38"/>
  <c r="AB293" i="38"/>
  <c r="AB296" i="38"/>
  <c r="AB295" i="38"/>
  <c r="W73" i="19"/>
  <c r="X120" i="14" s="1"/>
  <c r="X120" i="12"/>
  <c r="AE28" i="38"/>
  <c r="AE43" i="38" s="1"/>
  <c r="AF22" i="38"/>
  <c r="AA135" i="16"/>
  <c r="X128" i="12"/>
  <c r="W83" i="19"/>
  <c r="X128" i="14" s="1"/>
  <c r="AC128" i="38"/>
  <c r="AC127" i="38"/>
  <c r="AC183" i="38"/>
  <c r="AD126" i="38"/>
  <c r="AC182" i="38"/>
  <c r="Z173" i="19"/>
  <c r="Z72" i="45"/>
  <c r="Z86" i="45"/>
  <c r="BE84" i="45"/>
  <c r="U325" i="46"/>
  <c r="U326" i="46"/>
  <c r="BG21" i="45"/>
  <c r="W142" i="12"/>
  <c r="Y290" i="38"/>
  <c r="Y291" i="38" s="1"/>
  <c r="Y313" i="38"/>
  <c r="Y314" i="38" s="1"/>
  <c r="S346" i="46"/>
  <c r="S347" i="46" s="1"/>
  <c r="S349" i="46" s="1"/>
  <c r="AC31" i="48"/>
  <c r="AC306" i="48"/>
  <c r="AF35" i="16"/>
  <c r="AN256" i="12"/>
  <c r="AN265" i="12" s="1"/>
  <c r="AN126" i="15"/>
  <c r="AA132" i="20"/>
  <c r="AA108" i="19" s="1"/>
  <c r="AA129" i="20"/>
  <c r="AA105" i="19" s="1"/>
  <c r="AA131" i="20"/>
  <c r="AA107" i="19" s="1"/>
  <c r="AA103" i="19"/>
  <c r="AB103" i="14" s="1"/>
  <c r="AA128" i="20"/>
  <c r="AA104" i="19" s="1"/>
  <c r="AB103" i="12"/>
  <c r="AA130" i="20"/>
  <c r="Y217" i="53"/>
  <c r="Y221" i="53" s="1"/>
  <c r="Y218" i="53"/>
  <c r="BD128" i="36"/>
  <c r="W81" i="19"/>
  <c r="X109" i="14" s="1"/>
  <c r="X109" i="12"/>
  <c r="V76" i="51"/>
  <c r="AM86" i="15"/>
  <c r="AH18" i="15"/>
  <c r="AL110" i="15"/>
  <c r="AH15" i="15"/>
  <c r="AL86" i="15"/>
  <c r="AH16" i="15"/>
  <c r="AH19" i="15"/>
  <c r="AH32" i="15"/>
  <c r="AH74" i="15" s="1"/>
  <c r="S327" i="48"/>
  <c r="S328" i="48"/>
  <c r="Z300" i="38"/>
  <c r="Z299" i="38"/>
  <c r="Y237" i="54"/>
  <c r="CE7" i="55"/>
  <c r="AF40" i="16"/>
  <c r="W318" i="38"/>
  <c r="W319" i="38" s="1"/>
  <c r="W321" i="38" s="1"/>
  <c r="W255" i="20"/>
  <c r="W256" i="20" s="1"/>
  <c r="X222" i="20"/>
  <c r="AD121" i="16"/>
  <c r="AD42" i="16"/>
  <c r="W153" i="12"/>
  <c r="W98" i="12"/>
  <c r="X196" i="54"/>
  <c r="X197" i="54" s="1"/>
  <c r="Y163" i="54"/>
  <c r="U290" i="20"/>
  <c r="U291" i="20" s="1"/>
  <c r="U292" i="20"/>
  <c r="U293" i="20" s="1"/>
  <c r="W70" i="46"/>
  <c r="W75" i="46" s="1"/>
  <c r="W73" i="46"/>
  <c r="W78" i="46" s="1"/>
  <c r="W71" i="46"/>
  <c r="W76" i="46" s="1"/>
  <c r="W72" i="46"/>
  <c r="W77" i="46" s="1"/>
  <c r="W69" i="48"/>
  <c r="W74" i="46"/>
  <c r="X76" i="45" s="1"/>
  <c r="Z138" i="19"/>
  <c r="R158" i="12"/>
  <c r="R162" i="12"/>
  <c r="X150" i="28"/>
  <c r="X155" i="28"/>
  <c r="X151" i="28"/>
  <c r="X153" i="28"/>
  <c r="X152" i="28"/>
  <c r="X154" i="28"/>
  <c r="AH11" i="15"/>
  <c r="X167" i="28"/>
  <c r="X168" i="28"/>
  <c r="AC122" i="20"/>
  <c r="AC125" i="20"/>
  <c r="AC121" i="20"/>
  <c r="AC123" i="20"/>
  <c r="AC120" i="20"/>
  <c r="AC127" i="20" s="1"/>
  <c r="AD119" i="20"/>
  <c r="AC124" i="20"/>
  <c r="V81" i="48"/>
  <c r="V86" i="48" s="1"/>
  <c r="V83" i="48"/>
  <c r="V88" i="48" s="1"/>
  <c r="V82" i="48"/>
  <c r="V87" i="48" s="1"/>
  <c r="V84" i="48"/>
  <c r="V80" i="48"/>
  <c r="V85" i="48" s="1"/>
  <c r="Y127" i="12"/>
  <c r="U120" i="36"/>
  <c r="T337" i="38"/>
  <c r="T342" i="38"/>
  <c r="BI43" i="45"/>
  <c r="BI44" i="45"/>
  <c r="BI42" i="45"/>
  <c r="AB35" i="48"/>
  <c r="BI95" i="45"/>
  <c r="V275" i="46"/>
  <c r="U308" i="46"/>
  <c r="U309" i="46" s="1"/>
  <c r="Q363" i="46"/>
  <c r="R120" i="45" s="1"/>
  <c r="Q361" i="46"/>
  <c r="AB75" i="29"/>
  <c r="AC64" i="16" s="1"/>
  <c r="AC64" i="15"/>
  <c r="AB212" i="53"/>
  <c r="AB210" i="53"/>
  <c r="AB209" i="53"/>
  <c r="AB211" i="53"/>
  <c r="W179" i="29"/>
  <c r="X306" i="42"/>
  <c r="X311" i="42"/>
  <c r="X308" i="42"/>
  <c r="X307" i="42"/>
  <c r="X309" i="42"/>
  <c r="X310" i="42"/>
  <c r="X139" i="12"/>
  <c r="W110" i="45"/>
  <c r="W112" i="45"/>
  <c r="W111" i="45"/>
  <c r="BC111" i="45"/>
  <c r="BC112" i="45"/>
  <c r="BC110" i="45"/>
  <c r="T215" i="19"/>
  <c r="T217" i="19"/>
  <c r="T218" i="19"/>
  <c r="T219" i="19"/>
  <c r="T220" i="19"/>
  <c r="T216" i="19"/>
  <c r="AB208" i="28"/>
  <c r="AB207" i="28"/>
  <c r="AB156" i="28"/>
  <c r="P160" i="14"/>
  <c r="Z145" i="46"/>
  <c r="Z150" i="46" s="1"/>
  <c r="Z147" i="46"/>
  <c r="Z152" i="46" s="1"/>
  <c r="Z148" i="46"/>
  <c r="Z153" i="46" s="1"/>
  <c r="Z146" i="46"/>
  <c r="Z151" i="46" s="1"/>
  <c r="Z144" i="48"/>
  <c r="Z149" i="46"/>
  <c r="AA83" i="45" s="1"/>
  <c r="AA151" i="38"/>
  <c r="AA155" i="38" s="1"/>
  <c r="AA153" i="38"/>
  <c r="AA157" i="38" s="1"/>
  <c r="AA152" i="38"/>
  <c r="AA156" i="38" s="1"/>
  <c r="AA154" i="38"/>
  <c r="AB79" i="36" s="1"/>
  <c r="AU125" i="45"/>
  <c r="N371" i="48"/>
  <c r="AU126" i="45" s="1"/>
  <c r="W68" i="19"/>
  <c r="X101" i="14" s="1"/>
  <c r="X101" i="12"/>
  <c r="AC22" i="19"/>
  <c r="AB28" i="19"/>
  <c r="AB46" i="19" s="1"/>
  <c r="AB167" i="19" s="1"/>
  <c r="AB166" i="19" s="1"/>
  <c r="AB71" i="51"/>
  <c r="AB127" i="42"/>
  <c r="AB128" i="42"/>
  <c r="AC126" i="42"/>
  <c r="Z216" i="54"/>
  <c r="Z215" i="54"/>
  <c r="BH98" i="36"/>
  <c r="AG33" i="16"/>
  <c r="AG34" i="16"/>
  <c r="AF39" i="15"/>
  <c r="AF13" i="15"/>
  <c r="Q157" i="12"/>
  <c r="Q163" i="12"/>
  <c r="X92" i="19"/>
  <c r="Y145" i="14" s="1"/>
  <c r="Y145" i="12"/>
  <c r="AB65" i="15"/>
  <c r="Z100" i="29"/>
  <c r="Z88" i="29"/>
  <c r="AB263" i="46"/>
  <c r="AB268" i="46" s="1"/>
  <c r="AB261" i="46"/>
  <c r="AB266" i="46" s="1"/>
  <c r="AB264" i="46"/>
  <c r="AB269" i="46" s="1"/>
  <c r="AB262" i="46"/>
  <c r="AB267" i="46" s="1"/>
  <c r="AB265" i="46"/>
  <c r="AC105" i="45" s="1"/>
  <c r="AB260" i="48"/>
  <c r="AA63" i="38"/>
  <c r="AA69" i="38"/>
  <c r="AD29" i="48"/>
  <c r="AA190" i="38"/>
  <c r="AA194" i="38" s="1"/>
  <c r="AA189" i="38"/>
  <c r="AA193" i="38" s="1"/>
  <c r="AA191" i="38"/>
  <c r="AA195" i="38" s="1"/>
  <c r="AA192" i="38"/>
  <c r="AB91" i="36" s="1"/>
  <c r="BG110" i="36"/>
  <c r="AD67" i="29"/>
  <c r="AD64" i="29"/>
  <c r="AD63" i="29"/>
  <c r="AD62" i="29" s="1"/>
  <c r="AD65" i="29"/>
  <c r="AD68" i="29"/>
  <c r="AD66" i="29"/>
  <c r="Y119" i="12"/>
  <c r="X72" i="19"/>
  <c r="Y119" i="14" s="1"/>
  <c r="S349" i="48" l="1"/>
  <c r="Y258" i="54"/>
  <c r="Y4" i="55"/>
  <c r="AB67" i="45"/>
  <c r="AC278" i="42"/>
  <c r="AC289" i="42" s="1"/>
  <c r="AC31" i="42"/>
  <c r="Z133" i="14"/>
  <c r="AD29" i="38"/>
  <c r="AA229" i="54"/>
  <c r="AA230" i="54" s="1"/>
  <c r="AA233" i="54" s="1"/>
  <c r="AA234" i="54" s="1"/>
  <c r="AF18" i="42"/>
  <c r="AE24" i="42"/>
  <c r="AE39" i="42" s="1"/>
  <c r="R10" i="55"/>
  <c r="R13" i="55" s="1"/>
  <c r="AE24" i="38"/>
  <c r="AE39" i="38" s="1"/>
  <c r="AF18" i="38"/>
  <c r="Y131" i="12"/>
  <c r="X85" i="19"/>
  <c r="Y132" i="14" s="1"/>
  <c r="BG57" i="45"/>
  <c r="Z37" i="48" s="1"/>
  <c r="AE43" i="48" s="1"/>
  <c r="Q6" i="55"/>
  <c r="U253" i="19"/>
  <c r="AE29" i="48"/>
  <c r="AE306" i="48" s="1"/>
  <c r="AE41" i="45"/>
  <c r="BD4" i="55"/>
  <c r="BH102" i="36"/>
  <c r="BH103" i="36" s="1"/>
  <c r="W233" i="12"/>
  <c r="W234" i="12" s="1"/>
  <c r="X271" i="46"/>
  <c r="W148" i="14"/>
  <c r="AA105" i="36"/>
  <c r="X266" i="20"/>
  <c r="X285" i="20" s="1"/>
  <c r="AE29" i="54"/>
  <c r="AE31" i="54" s="1"/>
  <c r="X84" i="19"/>
  <c r="Y131" i="14" s="1"/>
  <c r="BD110" i="45"/>
  <c r="AC133" i="20"/>
  <c r="AC135" i="20" s="1"/>
  <c r="AC111" i="19" s="1"/>
  <c r="U346" i="46"/>
  <c r="U347" i="46" s="1"/>
  <c r="X179" i="19"/>
  <c r="AC63" i="46"/>
  <c r="BD112" i="45"/>
  <c r="AE29" i="38"/>
  <c r="AE31" i="38" s="1"/>
  <c r="AB162" i="54"/>
  <c r="AB206" i="54" s="1"/>
  <c r="AB207" i="54" s="1"/>
  <c r="AG39" i="16"/>
  <c r="AG121" i="16" s="1"/>
  <c r="AV6" i="55"/>
  <c r="AB102" i="36"/>
  <c r="AB105" i="36" s="1"/>
  <c r="BD111" i="45"/>
  <c r="AE29" i="29"/>
  <c r="AE129" i="15"/>
  <c r="AG39" i="15"/>
  <c r="X225" i="12" a="1"/>
  <c r="X225" i="12" s="1"/>
  <c r="AC202" i="48"/>
  <c r="X86" i="19"/>
  <c r="Y133" i="14" s="1"/>
  <c r="Y129" i="14" s="1"/>
  <c r="Y133" i="12"/>
  <c r="Y129" i="12" s="1"/>
  <c r="Y259" i="54"/>
  <c r="BF78" i="51" s="1"/>
  <c r="BF77" i="51"/>
  <c r="W69" i="16"/>
  <c r="U258" i="19"/>
  <c r="V239" i="19"/>
  <c r="V243" i="19"/>
  <c r="V242" i="19"/>
  <c r="V240" i="19"/>
  <c r="V244" i="19"/>
  <c r="V241" i="19"/>
  <c r="BJ19" i="45"/>
  <c r="BJ20" i="45"/>
  <c r="AG121" i="15"/>
  <c r="BA120" i="36"/>
  <c r="U122" i="36"/>
  <c r="U125" i="36"/>
  <c r="BD76" i="45"/>
  <c r="X78" i="45"/>
  <c r="X255" i="20"/>
  <c r="X256" i="20" s="1"/>
  <c r="Y222" i="20"/>
  <c r="Y317" i="38"/>
  <c r="Y320" i="38" s="1"/>
  <c r="Y316" i="38"/>
  <c r="U327" i="46"/>
  <c r="U328" i="46"/>
  <c r="AG22" i="46"/>
  <c r="AG28" i="46" s="1"/>
  <c r="AF28" i="46"/>
  <c r="X149" i="14"/>
  <c r="X325" i="42"/>
  <c r="AC143" i="29"/>
  <c r="AC146" i="29"/>
  <c r="AF25" i="29"/>
  <c r="AF43" i="29" s="1"/>
  <c r="AG19" i="29"/>
  <c r="AG25" i="29" s="1"/>
  <c r="AG43" i="29" s="1"/>
  <c r="X229" i="14"/>
  <c r="AC34" i="29"/>
  <c r="AC33" i="29"/>
  <c r="AE36" i="29"/>
  <c r="AE42" i="29" s="1"/>
  <c r="AF123" i="16"/>
  <c r="AF43" i="16"/>
  <c r="R353" i="48"/>
  <c r="R354" i="48" s="1"/>
  <c r="BG77" i="45"/>
  <c r="Y155" i="29"/>
  <c r="Y159" i="29" s="1"/>
  <c r="Y156" i="29"/>
  <c r="AB213" i="54"/>
  <c r="AB214" i="54"/>
  <c r="AE125" i="16"/>
  <c r="AD37" i="29"/>
  <c r="AE47" i="16"/>
  <c r="V72" i="15"/>
  <c r="U211" i="28"/>
  <c r="V73" i="15" s="1"/>
  <c r="X229" i="12"/>
  <c r="AA176" i="46"/>
  <c r="AA181" i="46" s="1"/>
  <c r="AA177" i="46"/>
  <c r="AA182" i="46" s="1"/>
  <c r="AA175" i="46"/>
  <c r="AA180" i="46" s="1"/>
  <c r="AA174" i="48"/>
  <c r="AA178" i="46"/>
  <c r="AA183" i="46" s="1"/>
  <c r="AA179" i="46"/>
  <c r="AB107" i="45" s="1"/>
  <c r="Z232" i="54"/>
  <c r="Z233" i="54"/>
  <c r="Z236" i="54" s="1"/>
  <c r="AG20" i="54"/>
  <c r="AG26" i="54" s="1"/>
  <c r="AG41" i="54" s="1"/>
  <c r="AG147" i="54" s="1"/>
  <c r="AG148" i="54" s="1"/>
  <c r="AF26" i="54"/>
  <c r="AF41" i="54" s="1"/>
  <c r="AF147" i="54" s="1"/>
  <c r="AF148" i="54" s="1"/>
  <c r="X141" i="12"/>
  <c r="AC49" i="15"/>
  <c r="BD76" i="51"/>
  <c r="Z241" i="53"/>
  <c r="Z242" i="53" s="1"/>
  <c r="BG89" i="45"/>
  <c r="S353" i="46"/>
  <c r="S354" i="46" s="1"/>
  <c r="AC157" i="53"/>
  <c r="AD66" i="51" s="1"/>
  <c r="AD108" i="28"/>
  <c r="AE107" i="28"/>
  <c r="X110" i="46"/>
  <c r="X115" i="46" s="1"/>
  <c r="X112" i="46"/>
  <c r="X117" i="46" s="1"/>
  <c r="X109" i="48"/>
  <c r="X111" i="46"/>
  <c r="X116" i="46" s="1"/>
  <c r="X113" i="46"/>
  <c r="X118" i="46" s="1"/>
  <c r="X114" i="46"/>
  <c r="Y97" i="45" s="1"/>
  <c r="X274" i="46"/>
  <c r="AB102" i="38"/>
  <c r="AB106" i="38" s="1"/>
  <c r="AB104" i="38"/>
  <c r="AB108" i="38" s="1"/>
  <c r="AB105" i="38"/>
  <c r="AC99" i="36" s="1"/>
  <c r="BI99" i="36" s="1"/>
  <c r="AB103" i="38"/>
  <c r="AB107" i="38" s="1"/>
  <c r="BI28" i="45"/>
  <c r="BI35" i="45"/>
  <c r="BI31" i="45"/>
  <c r="BI32" i="45"/>
  <c r="BI29" i="45"/>
  <c r="BI36" i="45"/>
  <c r="BI37" i="45"/>
  <c r="BI54" i="45"/>
  <c r="Y53" i="19"/>
  <c r="BI67" i="51"/>
  <c r="BI71" i="51" s="1"/>
  <c r="BC118" i="45"/>
  <c r="AD83" i="28"/>
  <c r="AD70" i="29" s="1"/>
  <c r="AD85" i="28"/>
  <c r="AD72" i="29" s="1"/>
  <c r="AD86" i="28"/>
  <c r="AD87" i="28"/>
  <c r="AD84" i="28"/>
  <c r="AE82" i="28"/>
  <c r="AD88" i="28"/>
  <c r="W279" i="20"/>
  <c r="W278" i="20"/>
  <c r="AB110" i="36"/>
  <c r="AA300" i="42"/>
  <c r="AA299" i="42"/>
  <c r="O161" i="14"/>
  <c r="AB104" i="42"/>
  <c r="AB108" i="42" s="1"/>
  <c r="AB103" i="42"/>
  <c r="AB107" i="42" s="1"/>
  <c r="AB105" i="42"/>
  <c r="AB102" i="42"/>
  <c r="AB106" i="42" s="1"/>
  <c r="AC137" i="46"/>
  <c r="AC138" i="46"/>
  <c r="AC201" i="46"/>
  <c r="AD136" i="46"/>
  <c r="AC200" i="46"/>
  <c r="T300" i="20"/>
  <c r="T301" i="20" s="1"/>
  <c r="AG138" i="53"/>
  <c r="AG139" i="53" s="1"/>
  <c r="AH69" i="51" s="1"/>
  <c r="AG136" i="53"/>
  <c r="AG137" i="53" s="1"/>
  <c r="AH63" i="51" s="1"/>
  <c r="AG134" i="53"/>
  <c r="X142" i="12"/>
  <c r="W232" i="12"/>
  <c r="BD106" i="45"/>
  <c r="X109" i="45"/>
  <c r="AG216" i="46"/>
  <c r="AG206" i="46"/>
  <c r="AG226" i="46"/>
  <c r="Y73" i="19"/>
  <c r="Z120" i="14" s="1"/>
  <c r="Z120" i="12"/>
  <c r="X117" i="14"/>
  <c r="AE44" i="42"/>
  <c r="AE288" i="42" s="1"/>
  <c r="AA145" i="42"/>
  <c r="AA149" i="42" s="1"/>
  <c r="AA144" i="42"/>
  <c r="AA148" i="42" s="1"/>
  <c r="AA146" i="42"/>
  <c r="AA143" i="42"/>
  <c r="AA147" i="42" s="1"/>
  <c r="BH30" i="45"/>
  <c r="AG188" i="42"/>
  <c r="AG204" i="42"/>
  <c r="AG196" i="42"/>
  <c r="U277" i="20"/>
  <c r="U276" i="20"/>
  <c r="U280" i="20" s="1"/>
  <c r="BK62" i="51"/>
  <c r="AA138" i="19"/>
  <c r="W231" i="14"/>
  <c r="W232" i="14" s="1"/>
  <c r="AD232" i="38"/>
  <c r="AD234" i="38" s="1"/>
  <c r="AE231" i="38"/>
  <c r="W324" i="46"/>
  <c r="W322" i="46"/>
  <c r="W321" i="46"/>
  <c r="W323" i="46"/>
  <c r="AC141" i="48"/>
  <c r="AC142" i="48"/>
  <c r="AC140" i="48"/>
  <c r="AB66" i="20"/>
  <c r="AB160" i="38"/>
  <c r="AB164" i="38" s="1"/>
  <c r="AB159" i="38"/>
  <c r="AB163" i="38" s="1"/>
  <c r="AB162" i="38"/>
  <c r="AC109" i="36" s="1"/>
  <c r="BI109" i="36" s="1"/>
  <c r="AB161" i="38"/>
  <c r="AB165" i="38" s="1"/>
  <c r="AC63" i="54"/>
  <c r="AC159" i="54" s="1"/>
  <c r="AC69" i="54"/>
  <c r="AC70" i="54" s="1"/>
  <c r="X152" i="12"/>
  <c r="AD61" i="46"/>
  <c r="AD64" i="46"/>
  <c r="AD67" i="46"/>
  <c r="AD65" i="46"/>
  <c r="AD62" i="46"/>
  <c r="AD66" i="46"/>
  <c r="AD89" i="46" s="1"/>
  <c r="AE60" i="46"/>
  <c r="AB141" i="19"/>
  <c r="AC125" i="14" s="1"/>
  <c r="AB180" i="20"/>
  <c r="AB142" i="19" s="1"/>
  <c r="AB183" i="20"/>
  <c r="AB145" i="19" s="1"/>
  <c r="AB184" i="20"/>
  <c r="AB146" i="19" s="1"/>
  <c r="AB182" i="20"/>
  <c r="AB144" i="19" s="1"/>
  <c r="AB181" i="20"/>
  <c r="AB143" i="19" s="1"/>
  <c r="BJ68" i="51"/>
  <c r="AB98" i="19"/>
  <c r="Y79" i="19"/>
  <c r="Z110" i="14" s="1"/>
  <c r="Z110" i="12"/>
  <c r="AP94" i="15"/>
  <c r="AP95" i="15" s="1"/>
  <c r="AG19" i="54"/>
  <c r="AG25" i="54" s="1"/>
  <c r="AG40" i="54" s="1"/>
  <c r="AF25" i="54"/>
  <c r="AF40" i="54" s="1"/>
  <c r="AA70" i="42"/>
  <c r="AA74" i="42" s="1"/>
  <c r="AA72" i="42"/>
  <c r="AA76" i="42" s="1"/>
  <c r="AA73" i="42"/>
  <c r="AA71" i="42"/>
  <c r="AA75" i="42" s="1"/>
  <c r="U196" i="29"/>
  <c r="AB129" i="42"/>
  <c r="AB134" i="42"/>
  <c r="Z146" i="48"/>
  <c r="Z151" i="48" s="1"/>
  <c r="Z148" i="48"/>
  <c r="Z153" i="48" s="1"/>
  <c r="Z145" i="48"/>
  <c r="Z150" i="48" s="1"/>
  <c r="Z149" i="48"/>
  <c r="Z147" i="48"/>
  <c r="Z152" i="48" s="1"/>
  <c r="X231" i="12"/>
  <c r="AB220" i="53"/>
  <c r="AB219" i="53"/>
  <c r="AB231" i="53" s="1"/>
  <c r="Y196" i="54"/>
  <c r="Y197" i="54" s="1"/>
  <c r="Z163" i="54"/>
  <c r="BI105" i="45"/>
  <c r="AB157" i="28"/>
  <c r="AB160" i="28"/>
  <c r="W71" i="48"/>
  <c r="W76" i="48" s="1"/>
  <c r="W72" i="48"/>
  <c r="W77" i="48" s="1"/>
  <c r="W70" i="48"/>
  <c r="W75" i="48" s="1"/>
  <c r="W73" i="48"/>
  <c r="W78" i="48" s="1"/>
  <c r="W74" i="48"/>
  <c r="X203" i="54"/>
  <c r="X201" i="54"/>
  <c r="X198" i="54"/>
  <c r="X202" i="54"/>
  <c r="X199" i="54"/>
  <c r="X200" i="54"/>
  <c r="AH20" i="15"/>
  <c r="Y306" i="38"/>
  <c r="Y311" i="38"/>
  <c r="Y310" i="38"/>
  <c r="Y307" i="38"/>
  <c r="Y308" i="38"/>
  <c r="Y309" i="38"/>
  <c r="AB297" i="38"/>
  <c r="AB298" i="38"/>
  <c r="AD258" i="46"/>
  <c r="AD260" i="46" s="1"/>
  <c r="AE257" i="46"/>
  <c r="Q7" i="55"/>
  <c r="X149" i="12"/>
  <c r="BH23" i="45"/>
  <c r="AB86" i="36"/>
  <c r="AB89" i="36" s="1"/>
  <c r="BH85" i="36"/>
  <c r="BH86" i="36" s="1"/>
  <c r="BH89" i="36" s="1"/>
  <c r="Z290" i="42"/>
  <c r="Z291" i="42" s="1"/>
  <c r="Z313" i="42"/>
  <c r="Z314" i="42" s="1"/>
  <c r="AC26" i="19"/>
  <c r="AC44" i="19" s="1"/>
  <c r="AC155" i="19" s="1"/>
  <c r="AC154" i="19" s="1"/>
  <c r="AD20" i="19"/>
  <c r="X129" i="12"/>
  <c r="AC27" i="19"/>
  <c r="AC45" i="19" s="1"/>
  <c r="AC130" i="19" s="1"/>
  <c r="AD21" i="19"/>
  <c r="Z168" i="48"/>
  <c r="Z173" i="48" s="1"/>
  <c r="Z166" i="48"/>
  <c r="Z171" i="48" s="1"/>
  <c r="Z167" i="48"/>
  <c r="Z172" i="48" s="1"/>
  <c r="Z165" i="48"/>
  <c r="Z170" i="48" s="1"/>
  <c r="Z169" i="48"/>
  <c r="X98" i="12"/>
  <c r="X153" i="12"/>
  <c r="AC51" i="51"/>
  <c r="BI49" i="51"/>
  <c r="AC72" i="51"/>
  <c r="W223" i="19"/>
  <c r="W224" i="19" s="1"/>
  <c r="W246" i="19"/>
  <c r="W247" i="19" s="1"/>
  <c r="X272" i="19"/>
  <c r="X273" i="19"/>
  <c r="X222" i="19"/>
  <c r="X221" i="19"/>
  <c r="X225" i="19"/>
  <c r="AG22" i="54"/>
  <c r="AG28" i="54" s="1"/>
  <c r="AG43" i="54" s="1"/>
  <c r="AG156" i="54" s="1"/>
  <c r="AF28" i="54"/>
  <c r="AF43" i="54" s="1"/>
  <c r="AA167" i="46"/>
  <c r="AA172" i="46" s="1"/>
  <c r="AA168" i="46"/>
  <c r="AA173" i="46" s="1"/>
  <c r="AA165" i="46"/>
  <c r="AA170" i="46" s="1"/>
  <c r="AA164" i="48"/>
  <c r="AA166" i="46"/>
  <c r="AA171" i="46" s="1"/>
  <c r="AA169" i="46"/>
  <c r="AB77" i="45" s="1"/>
  <c r="AG22" i="29"/>
  <c r="AG28" i="29" s="1"/>
  <c r="AG46" i="29" s="1"/>
  <c r="AF28" i="29"/>
  <c r="AF46" i="29" s="1"/>
  <c r="V336" i="46"/>
  <c r="V337" i="46"/>
  <c r="V338" i="46"/>
  <c r="V339" i="46"/>
  <c r="V334" i="46"/>
  <c r="V335" i="46"/>
  <c r="Z223" i="54"/>
  <c r="Z222" i="54"/>
  <c r="Z227" i="54"/>
  <c r="Z226" i="54"/>
  <c r="Z224" i="54"/>
  <c r="Z225" i="54"/>
  <c r="AD66" i="53"/>
  <c r="AD73" i="53" s="1"/>
  <c r="AD74" i="53" s="1"/>
  <c r="AD67" i="53"/>
  <c r="AD77" i="53" s="1"/>
  <c r="AD78" i="53" s="1"/>
  <c r="AE61" i="51" s="1"/>
  <c r="AD65" i="53"/>
  <c r="AD75" i="53" s="1"/>
  <c r="AD61" i="53"/>
  <c r="AD62" i="53"/>
  <c r="AD64" i="53"/>
  <c r="AD71" i="53" s="1"/>
  <c r="AD72" i="53" s="1"/>
  <c r="AE57" i="51" s="1"/>
  <c r="AE60" i="53"/>
  <c r="BC78" i="45"/>
  <c r="X141" i="14"/>
  <c r="U332" i="48"/>
  <c r="U331" i="48"/>
  <c r="U343" i="48" s="1"/>
  <c r="U344" i="48" s="1"/>
  <c r="W201" i="28"/>
  <c r="W203" i="28"/>
  <c r="X70" i="15" s="1"/>
  <c r="BH72" i="51"/>
  <c r="BH51" i="51"/>
  <c r="AC63" i="48"/>
  <c r="AG21" i="15"/>
  <c r="AC82" i="29"/>
  <c r="AD55" i="16" s="1"/>
  <c r="AD55" i="15"/>
  <c r="X317" i="46"/>
  <c r="X320" i="46"/>
  <c r="AB88" i="38"/>
  <c r="AB92" i="38" s="1"/>
  <c r="AB87" i="38"/>
  <c r="AB91" i="38" s="1"/>
  <c r="AB89" i="38"/>
  <c r="AB86" i="38"/>
  <c r="AB90" i="38" s="1"/>
  <c r="Z221" i="20"/>
  <c r="Z47" i="20"/>
  <c r="Z218" i="20" s="1"/>
  <c r="Z72" i="20"/>
  <c r="AA93" i="12"/>
  <c r="AW119" i="45"/>
  <c r="P365" i="48"/>
  <c r="AW10" i="55"/>
  <c r="P370" i="48"/>
  <c r="AC30" i="45"/>
  <c r="Y58" i="19"/>
  <c r="W118" i="45"/>
  <c r="AC209" i="54"/>
  <c r="AC210" i="54"/>
  <c r="AC212" i="54"/>
  <c r="AC211" i="54"/>
  <c r="AC73" i="29"/>
  <c r="AD58" i="16" s="1"/>
  <c r="AD58" i="15"/>
  <c r="R259" i="19"/>
  <c r="R266" i="19" s="1"/>
  <c r="Z140" i="12"/>
  <c r="Y89" i="19"/>
  <c r="Z140" i="14" s="1"/>
  <c r="Y171" i="29"/>
  <c r="Y174" i="29" s="1"/>
  <c r="Y170" i="29"/>
  <c r="AD61" i="28"/>
  <c r="AD57" i="29" s="1"/>
  <c r="AD63" i="28"/>
  <c r="AD64" i="28"/>
  <c r="AD60" i="28"/>
  <c r="AE59" i="28"/>
  <c r="V126" i="36"/>
  <c r="U343" i="38"/>
  <c r="V127" i="36" s="1"/>
  <c r="AA148" i="46"/>
  <c r="AA153" i="46" s="1"/>
  <c r="AA145" i="46"/>
  <c r="AA150" i="46" s="1"/>
  <c r="AA146" i="46"/>
  <c r="AA151" i="46" s="1"/>
  <c r="AA147" i="46"/>
  <c r="AA152" i="46" s="1"/>
  <c r="AA144" i="48"/>
  <c r="AA149" i="46"/>
  <c r="AB83" i="45" s="1"/>
  <c r="AB298" i="42"/>
  <c r="AB297" i="42"/>
  <c r="AB139" i="46"/>
  <c r="AB144" i="46"/>
  <c r="BE74" i="51"/>
  <c r="X253" i="54"/>
  <c r="AD31" i="38"/>
  <c r="AD278" i="38"/>
  <c r="BK56" i="51"/>
  <c r="AE58" i="51"/>
  <c r="AH34" i="16"/>
  <c r="AH33" i="16"/>
  <c r="AH35" i="16" s="1"/>
  <c r="AB57" i="45"/>
  <c r="BK39" i="45"/>
  <c r="BK40" i="45"/>
  <c r="AE110" i="53"/>
  <c r="AE111" i="53" s="1"/>
  <c r="AE106" i="53"/>
  <c r="AE107" i="53" s="1"/>
  <c r="AF62" i="51" s="1"/>
  <c r="AE108" i="53"/>
  <c r="AE109" i="53" s="1"/>
  <c r="AE104" i="53"/>
  <c r="AE105" i="53" s="1"/>
  <c r="AF53" i="51" s="1"/>
  <c r="W325" i="42"/>
  <c r="W326" i="42" s="1"/>
  <c r="AG19" i="46"/>
  <c r="AG25" i="46" s="1"/>
  <c r="AG40" i="46" s="1"/>
  <c r="AF25" i="46"/>
  <c r="AF40" i="46" s="1"/>
  <c r="Z90" i="20"/>
  <c r="Z146" i="14"/>
  <c r="Z115" i="14"/>
  <c r="AE29" i="42"/>
  <c r="BH56" i="45"/>
  <c r="BH55" i="45"/>
  <c r="AD241" i="48"/>
  <c r="AE240" i="48"/>
  <c r="AD200" i="48"/>
  <c r="AD138" i="48"/>
  <c r="AE136" i="48"/>
  <c r="AD201" i="48"/>
  <c r="AD137" i="48"/>
  <c r="AB133" i="19"/>
  <c r="AC34" i="28"/>
  <c r="AC33" i="28"/>
  <c r="AF122" i="15"/>
  <c r="AF132" i="15" s="1"/>
  <c r="AB146" i="38"/>
  <c r="AC100" i="36" s="1"/>
  <c r="BI100" i="36" s="1"/>
  <c r="AB144" i="38"/>
  <c r="AB148" i="38" s="1"/>
  <c r="AB145" i="38"/>
  <c r="AB149" i="38" s="1"/>
  <c r="AB143" i="38"/>
  <c r="AB147" i="38" s="1"/>
  <c r="X227" i="14"/>
  <c r="AE63" i="29"/>
  <c r="AE62" i="29" s="1"/>
  <c r="AE67" i="29"/>
  <c r="AE66" i="29"/>
  <c r="AE64" i="29"/>
  <c r="AE68" i="29"/>
  <c r="AE65" i="29"/>
  <c r="Z33" i="46"/>
  <c r="Z39" i="46" s="1"/>
  <c r="AA75" i="45"/>
  <c r="Y196" i="53"/>
  <c r="Y197" i="53" s="1"/>
  <c r="Z163" i="53"/>
  <c r="AA137" i="42"/>
  <c r="AA141" i="42" s="1"/>
  <c r="AA135" i="42"/>
  <c r="AA139" i="42" s="1"/>
  <c r="AA138" i="42"/>
  <c r="AA136" i="42"/>
  <c r="AA140" i="42" s="1"/>
  <c r="AC93" i="46"/>
  <c r="AC98" i="46" s="1"/>
  <c r="AC92" i="46"/>
  <c r="AC97" i="46" s="1"/>
  <c r="AC94" i="46"/>
  <c r="AC91" i="46"/>
  <c r="AC89" i="48"/>
  <c r="AC90" i="46"/>
  <c r="AC95" i="46" s="1"/>
  <c r="AE69" i="45"/>
  <c r="BG34" i="45"/>
  <c r="AB131" i="20"/>
  <c r="AB107" i="19" s="1"/>
  <c r="AB132" i="20"/>
  <c r="AB108" i="19" s="1"/>
  <c r="AB129" i="20"/>
  <c r="AB105" i="19" s="1"/>
  <c r="AB103" i="19"/>
  <c r="AC103" i="14" s="1"/>
  <c r="AB128" i="20"/>
  <c r="AB104" i="19" s="1"/>
  <c r="AB130" i="20"/>
  <c r="AC103" i="12"/>
  <c r="AA244" i="48"/>
  <c r="AA249" i="48" s="1"/>
  <c r="AA245" i="48"/>
  <c r="AA250" i="48" s="1"/>
  <c r="AA246" i="48"/>
  <c r="AA251" i="48" s="1"/>
  <c r="AA248" i="48"/>
  <c r="AA247" i="48"/>
  <c r="AA252" i="48" s="1"/>
  <c r="BD97" i="45"/>
  <c r="X100" i="45"/>
  <c r="X113" i="45"/>
  <c r="AB99" i="19"/>
  <c r="AE108" i="54"/>
  <c r="AE109" i="54" s="1"/>
  <c r="AE110" i="54"/>
  <c r="AE111" i="54" s="1"/>
  <c r="AE104" i="54"/>
  <c r="AE105" i="54" s="1"/>
  <c r="AE106" i="54"/>
  <c r="AE107" i="54" s="1"/>
  <c r="AA243" i="42"/>
  <c r="AA246" i="42"/>
  <c r="V71" i="16"/>
  <c r="AB73" i="51"/>
  <c r="W151" i="12"/>
  <c r="W262" i="20"/>
  <c r="W259" i="20"/>
  <c r="W257" i="20"/>
  <c r="W260" i="20"/>
  <c r="W258" i="20"/>
  <c r="W261" i="20"/>
  <c r="AM102" i="15"/>
  <c r="AH34" i="15"/>
  <c r="AL123" i="15"/>
  <c r="AL102" i="15"/>
  <c r="AH33" i="15"/>
  <c r="AH35" i="15" s="1"/>
  <c r="AF128" i="16"/>
  <c r="AE40" i="29"/>
  <c r="AF60" i="16"/>
  <c r="AB304" i="38"/>
  <c r="AB303" i="38"/>
  <c r="AB315" i="38" s="1"/>
  <c r="AC263" i="46"/>
  <c r="AC268" i="46" s="1"/>
  <c r="AC262" i="46"/>
  <c r="AC267" i="46" s="1"/>
  <c r="AC264" i="46"/>
  <c r="AC269" i="46" s="1"/>
  <c r="AC265" i="46"/>
  <c r="AD105" i="45" s="1"/>
  <c r="AC260" i="48"/>
  <c r="AC261" i="46"/>
  <c r="AC266" i="46" s="1"/>
  <c r="AB135" i="16"/>
  <c r="AD84" i="29"/>
  <c r="AE61" i="16"/>
  <c r="Z176" i="48"/>
  <c r="Z181" i="48" s="1"/>
  <c r="Z177" i="48"/>
  <c r="Z182" i="48" s="1"/>
  <c r="Z175" i="48"/>
  <c r="Z180" i="48" s="1"/>
  <c r="Z178" i="48"/>
  <c r="Z183" i="48" s="1"/>
  <c r="Z179" i="48"/>
  <c r="P19" i="55"/>
  <c r="P20" i="55"/>
  <c r="AG19" i="42"/>
  <c r="AG25" i="42" s="1"/>
  <c r="AG40" i="42" s="1"/>
  <c r="AF25" i="42"/>
  <c r="AF40" i="42" s="1"/>
  <c r="Y47" i="19"/>
  <c r="Y62" i="19"/>
  <c r="Y59" i="19"/>
  <c r="Y60" i="19"/>
  <c r="Y61" i="19"/>
  <c r="AC66" i="16"/>
  <c r="X271" i="20"/>
  <c r="X269" i="20"/>
  <c r="X268" i="20"/>
  <c r="X270" i="20"/>
  <c r="AG22" i="42"/>
  <c r="AG28" i="42" s="1"/>
  <c r="AG43" i="42" s="1"/>
  <c r="AG234" i="42" s="1"/>
  <c r="AF28" i="42"/>
  <c r="AF43" i="42" s="1"/>
  <c r="BG99" i="45"/>
  <c r="X129" i="14"/>
  <c r="Y117" i="12"/>
  <c r="AB135" i="15"/>
  <c r="X98" i="14"/>
  <c r="X153" i="14"/>
  <c r="T254" i="19"/>
  <c r="P159" i="12"/>
  <c r="P161" i="12" s="1"/>
  <c r="AF39" i="54"/>
  <c r="X139" i="14"/>
  <c r="Z165" i="28"/>
  <c r="Z166" i="28"/>
  <c r="AE121" i="16"/>
  <c r="AE42" i="16"/>
  <c r="AC67" i="15"/>
  <c r="AC46" i="15"/>
  <c r="V71" i="15"/>
  <c r="X130" i="12"/>
  <c r="AA158" i="46"/>
  <c r="AA163" i="46" s="1"/>
  <c r="AA157" i="46"/>
  <c r="AA162" i="46" s="1"/>
  <c r="AA159" i="46"/>
  <c r="AB98" i="45" s="1"/>
  <c r="AA155" i="46"/>
  <c r="AA160" i="46" s="1"/>
  <c r="AA156" i="46"/>
  <c r="AA161" i="46" s="1"/>
  <c r="AA154" i="48"/>
  <c r="AA215" i="54"/>
  <c r="AA216" i="54"/>
  <c r="BI98" i="36"/>
  <c r="BF73" i="45"/>
  <c r="BF87" i="45"/>
  <c r="AY122" i="36"/>
  <c r="AY125" i="36"/>
  <c r="AA199" i="42"/>
  <c r="AA203" i="42" s="1"/>
  <c r="AA198" i="42"/>
  <c r="AA202" i="42" s="1"/>
  <c r="AA200" i="42"/>
  <c r="AA197" i="42"/>
  <c r="AA201" i="42" s="1"/>
  <c r="AC65" i="15"/>
  <c r="Z31" i="20"/>
  <c r="CM4" i="55"/>
  <c r="Z253" i="20"/>
  <c r="AW122" i="45"/>
  <c r="Y77" i="20"/>
  <c r="Y74" i="20"/>
  <c r="Y66" i="19" s="1"/>
  <c r="Y76" i="20"/>
  <c r="Y75" i="20"/>
  <c r="Y73" i="20"/>
  <c r="Y64" i="19"/>
  <c r="Z93" i="14" s="1"/>
  <c r="AD31" i="42"/>
  <c r="AD278" i="42"/>
  <c r="AD289" i="42" s="1"/>
  <c r="AD64" i="15"/>
  <c r="AC75" i="29"/>
  <c r="AD64" i="16" s="1"/>
  <c r="X67" i="19"/>
  <c r="Y100" i="14" s="1"/>
  <c r="Y100" i="12"/>
  <c r="Q159" i="14"/>
  <c r="AB135" i="14"/>
  <c r="Y164" i="29"/>
  <c r="Y161" i="29"/>
  <c r="Y163" i="29"/>
  <c r="Y160" i="29"/>
  <c r="Y162" i="29"/>
  <c r="Y165" i="29"/>
  <c r="V230" i="19"/>
  <c r="V231" i="19"/>
  <c r="AC62" i="28"/>
  <c r="AD44" i="15"/>
  <c r="AC56" i="29"/>
  <c r="AD44" i="16" s="1"/>
  <c r="BB120" i="36"/>
  <c r="V122" i="36"/>
  <c r="V125" i="36"/>
  <c r="AB137" i="38"/>
  <c r="AB141" i="38" s="1"/>
  <c r="AB136" i="38"/>
  <c r="AB140" i="38" s="1"/>
  <c r="AB138" i="38"/>
  <c r="AC85" i="36" s="1"/>
  <c r="AB135" i="38"/>
  <c r="AB139" i="38" s="1"/>
  <c r="AB87" i="42"/>
  <c r="AB91" i="42" s="1"/>
  <c r="AB88" i="42"/>
  <c r="AB92" i="42" s="1"/>
  <c r="AB89" i="42"/>
  <c r="AB86" i="42"/>
  <c r="AB90" i="42" s="1"/>
  <c r="AB141" i="46"/>
  <c r="AB164" i="46" s="1"/>
  <c r="AB140" i="46"/>
  <c r="AB154" i="46" s="1"/>
  <c r="AB142" i="46"/>
  <c r="AB174" i="46" s="1"/>
  <c r="V318" i="48"/>
  <c r="V319" i="48" s="1"/>
  <c r="V341" i="48"/>
  <c r="V342" i="48" s="1"/>
  <c r="V274" i="20"/>
  <c r="V275" i="20"/>
  <c r="T347" i="46"/>
  <c r="T349" i="46" s="1"/>
  <c r="T348" i="46"/>
  <c r="AG20" i="38"/>
  <c r="AG26" i="38" s="1"/>
  <c r="AG41" i="38" s="1"/>
  <c r="AG219" i="38" s="1"/>
  <c r="AF26" i="38"/>
  <c r="AF41" i="38" s="1"/>
  <c r="AE43" i="45"/>
  <c r="AE42" i="45"/>
  <c r="AD35" i="46"/>
  <c r="AE95" i="45"/>
  <c r="AE44" i="45"/>
  <c r="Y127" i="14"/>
  <c r="AG19" i="53"/>
  <c r="AG25" i="53" s="1"/>
  <c r="AG40" i="53" s="1"/>
  <c r="AF25" i="53"/>
  <c r="AF40" i="53" s="1"/>
  <c r="AC23" i="45"/>
  <c r="AB144" i="20"/>
  <c r="AB120" i="19" s="1"/>
  <c r="AB143" i="20"/>
  <c r="AB119" i="19" s="1"/>
  <c r="AB141" i="20"/>
  <c r="AB117" i="19" s="1"/>
  <c r="AB140" i="20"/>
  <c r="AB116" i="19" s="1"/>
  <c r="AB142" i="20"/>
  <c r="AB118" i="19" s="1"/>
  <c r="AB115" i="19"/>
  <c r="AC94" i="14" s="1"/>
  <c r="AG22" i="53"/>
  <c r="AG28" i="53" s="1"/>
  <c r="AG43" i="53" s="1"/>
  <c r="AG156" i="53" s="1"/>
  <c r="AF28" i="53"/>
  <c r="AF43" i="53" s="1"/>
  <c r="Z116" i="12"/>
  <c r="Y71" i="19"/>
  <c r="Z116" i="14" s="1"/>
  <c r="W317" i="48"/>
  <c r="W320" i="48"/>
  <c r="AC89" i="29"/>
  <c r="W150" i="14"/>
  <c r="Y33" i="48"/>
  <c r="Y39" i="48" s="1"/>
  <c r="BF75" i="45"/>
  <c r="AB130" i="19"/>
  <c r="R155" i="14"/>
  <c r="Q270" i="19"/>
  <c r="Q275" i="19"/>
  <c r="AB153" i="38"/>
  <c r="AB157" i="38" s="1"/>
  <c r="AB151" i="38"/>
  <c r="AB155" i="38" s="1"/>
  <c r="AB152" i="38"/>
  <c r="AB156" i="38" s="1"/>
  <c r="AB154" i="38"/>
  <c r="AC79" i="36" s="1"/>
  <c r="AG19" i="28"/>
  <c r="AG25" i="28" s="1"/>
  <c r="AG43" i="28" s="1"/>
  <c r="AF25" i="28"/>
  <c r="AF43" i="28" s="1"/>
  <c r="AF39" i="53"/>
  <c r="X203" i="53"/>
  <c r="X198" i="53"/>
  <c r="X199" i="53"/>
  <c r="X202" i="53"/>
  <c r="X201" i="53"/>
  <c r="X200" i="53"/>
  <c r="AD208" i="54"/>
  <c r="Z280" i="38"/>
  <c r="Z281" i="38" s="1"/>
  <c r="AA247" i="38"/>
  <c r="AF17" i="45"/>
  <c r="BL16" i="45"/>
  <c r="AG16" i="45"/>
  <c r="BH96" i="45"/>
  <c r="W111" i="48"/>
  <c r="W116" i="48" s="1"/>
  <c r="W110" i="48"/>
  <c r="W115" i="48" s="1"/>
  <c r="W112" i="48"/>
  <c r="W117" i="48" s="1"/>
  <c r="W113" i="48"/>
  <c r="W118" i="48" s="1"/>
  <c r="W114" i="48"/>
  <c r="W274" i="48"/>
  <c r="AB100" i="19"/>
  <c r="AD47" i="28"/>
  <c r="AD51" i="29"/>
  <c r="AD50" i="29"/>
  <c r="AD52" i="29"/>
  <c r="AD49" i="29" s="1"/>
  <c r="AD54" i="29"/>
  <c r="AD53" i="29"/>
  <c r="Z105" i="14"/>
  <c r="AA141" i="15"/>
  <c r="AA142" i="15" s="1"/>
  <c r="X79" i="19"/>
  <c r="Y110" i="14" s="1"/>
  <c r="Y110" i="12"/>
  <c r="AD21" i="45"/>
  <c r="V205" i="28"/>
  <c r="S363" i="48"/>
  <c r="AZ120" i="45" s="1"/>
  <c r="S361" i="48"/>
  <c r="AB139" i="15"/>
  <c r="AF121" i="15"/>
  <c r="AF42" i="15"/>
  <c r="AE31" i="29"/>
  <c r="AE132" i="29"/>
  <c r="W180" i="29"/>
  <c r="W187" i="29" s="1"/>
  <c r="R119" i="45"/>
  <c r="Q365" i="46"/>
  <c r="Q370" i="46"/>
  <c r="Y227" i="12"/>
  <c r="Z302" i="38"/>
  <c r="Z301" i="38"/>
  <c r="Z305" i="38" s="1"/>
  <c r="AC184" i="38"/>
  <c r="AC188" i="38"/>
  <c r="AC196" i="38"/>
  <c r="AC204" i="38"/>
  <c r="AE31" i="48"/>
  <c r="AF28" i="38"/>
  <c r="AF43" i="38" s="1"/>
  <c r="AG22" i="38"/>
  <c r="AG28" i="38" s="1"/>
  <c r="AG43" i="38" s="1"/>
  <c r="AG234" i="38" s="1"/>
  <c r="Y229" i="12"/>
  <c r="AA201" i="20"/>
  <c r="AA162" i="19" s="1"/>
  <c r="AA200" i="20"/>
  <c r="AA161" i="19" s="1"/>
  <c r="AA203" i="20"/>
  <c r="AA164" i="19" s="1"/>
  <c r="AA199" i="20"/>
  <c r="AA160" i="19" s="1"/>
  <c r="AA159" i="19"/>
  <c r="AB123" i="14" s="1"/>
  <c r="AA202" i="20"/>
  <c r="Y211" i="19"/>
  <c r="Y31" i="19"/>
  <c r="AC66" i="15"/>
  <c r="Z148" i="28"/>
  <c r="Z149" i="28" s="1"/>
  <c r="AA214" i="28"/>
  <c r="Y117" i="14"/>
  <c r="T234" i="19"/>
  <c r="T238" i="19" s="1"/>
  <c r="T235" i="19"/>
  <c r="AG39" i="54"/>
  <c r="V324" i="48"/>
  <c r="V322" i="48"/>
  <c r="V321" i="48"/>
  <c r="V323" i="48"/>
  <c r="AA34" i="46"/>
  <c r="AB26" i="45"/>
  <c r="AB24" i="45"/>
  <c r="AB25" i="45"/>
  <c r="AB82" i="45"/>
  <c r="AC67" i="16"/>
  <c r="AC46" i="16"/>
  <c r="X130" i="14"/>
  <c r="W115" i="45"/>
  <c r="Y118" i="12"/>
  <c r="BH70" i="51"/>
  <c r="AA164" i="28"/>
  <c r="AA162" i="28"/>
  <c r="AA161" i="28"/>
  <c r="AA163" i="28"/>
  <c r="Z131" i="12"/>
  <c r="Y84" i="19"/>
  <c r="Z131" i="14" s="1"/>
  <c r="BD90" i="45"/>
  <c r="X91" i="45"/>
  <c r="X108" i="12"/>
  <c r="AA190" i="42"/>
  <c r="AA194" i="42" s="1"/>
  <c r="AA189" i="42"/>
  <c r="AA193" i="42" s="1"/>
  <c r="AA191" i="42"/>
  <c r="AA195" i="42" s="1"/>
  <c r="AA192" i="42"/>
  <c r="Z234" i="53"/>
  <c r="Z235" i="53" s="1"/>
  <c r="Z237" i="53" s="1"/>
  <c r="Z258" i="53" s="1"/>
  <c r="AC61" i="38"/>
  <c r="AC65" i="38"/>
  <c r="AC93" i="38" s="1"/>
  <c r="AC64" i="38"/>
  <c r="AC77" i="38" s="1"/>
  <c r="AC62" i="38"/>
  <c r="AC67" i="38"/>
  <c r="AC101" i="38" s="1"/>
  <c r="AD60" i="38"/>
  <c r="AC66" i="38"/>
  <c r="AC85" i="38" s="1"/>
  <c r="Y231" i="12"/>
  <c r="Z147" i="12"/>
  <c r="Z95" i="12"/>
  <c r="Y50" i="19"/>
  <c r="W116" i="45"/>
  <c r="AC71" i="29"/>
  <c r="AD48" i="16" s="1"/>
  <c r="AD49" i="16" s="1"/>
  <c r="AD48" i="15"/>
  <c r="X65" i="19"/>
  <c r="Y96" i="14" s="1"/>
  <c r="Y96" i="12"/>
  <c r="Z144" i="12"/>
  <c r="Y91" i="19"/>
  <c r="Z144" i="14" s="1"/>
  <c r="AA173" i="19"/>
  <c r="V237" i="19"/>
  <c r="V236" i="19"/>
  <c r="V248" i="19" s="1"/>
  <c r="V249" i="19" s="1"/>
  <c r="AD62" i="15"/>
  <c r="AC59" i="29"/>
  <c r="AD62" i="16" s="1"/>
  <c r="AB221" i="42"/>
  <c r="AB225" i="42" s="1"/>
  <c r="AB222" i="42"/>
  <c r="AB226" i="42" s="1"/>
  <c r="AB220" i="42"/>
  <c r="AB224" i="42" s="1"/>
  <c r="AB223" i="42"/>
  <c r="AD208" i="53"/>
  <c r="AD205" i="53"/>
  <c r="AC66" i="42"/>
  <c r="AC85" i="42" s="1"/>
  <c r="AC62" i="42"/>
  <c r="AC65" i="42"/>
  <c r="AC93" i="42" s="1"/>
  <c r="AC61" i="42"/>
  <c r="AC64" i="42"/>
  <c r="AC77" i="42" s="1"/>
  <c r="AC67" i="42"/>
  <c r="AC101" i="42" s="1"/>
  <c r="AD60" i="42"/>
  <c r="Z34" i="46"/>
  <c r="AA26" i="45"/>
  <c r="AA82" i="45"/>
  <c r="AA24" i="45"/>
  <c r="AA25" i="45"/>
  <c r="AB304" i="42"/>
  <c r="AB303" i="42"/>
  <c r="AB315" i="42" s="1"/>
  <c r="AB203" i="46"/>
  <c r="AB204" i="46"/>
  <c r="AR86" i="15"/>
  <c r="AR87" i="15" s="1"/>
  <c r="AF39" i="45"/>
  <c r="AF40" i="45"/>
  <c r="BL38" i="45"/>
  <c r="AG38" i="45"/>
  <c r="BB114" i="45"/>
  <c r="BB115" i="45" s="1"/>
  <c r="BJ54" i="51"/>
  <c r="AF37" i="29"/>
  <c r="AG125" i="16"/>
  <c r="AG47" i="16"/>
  <c r="AB136" i="15"/>
  <c r="BG78" i="36"/>
  <c r="AA115" i="36"/>
  <c r="AA116" i="36" s="1"/>
  <c r="AA80" i="36"/>
  <c r="AA83" i="36" s="1"/>
  <c r="AA124" i="12"/>
  <c r="Z121" i="12"/>
  <c r="Y74" i="19"/>
  <c r="Z121" i="14" s="1"/>
  <c r="W271" i="48"/>
  <c r="BH33" i="45"/>
  <c r="BH71" i="51"/>
  <c r="AC207" i="28"/>
  <c r="AC208" i="28"/>
  <c r="AC156" i="28"/>
  <c r="AC296" i="42"/>
  <c r="AC294" i="42"/>
  <c r="AC293" i="42"/>
  <c r="AC295" i="42"/>
  <c r="V189" i="29"/>
  <c r="W70" i="16" s="1"/>
  <c r="BC109" i="45"/>
  <c r="BC91" i="45"/>
  <c r="AD240" i="46"/>
  <c r="AC241" i="46"/>
  <c r="AC243" i="46" s="1"/>
  <c r="AC204" i="48"/>
  <c r="AC203" i="48"/>
  <c r="AB129" i="19"/>
  <c r="AB128" i="19" s="1"/>
  <c r="R162" i="14"/>
  <c r="R158" i="14"/>
  <c r="Z78" i="20"/>
  <c r="AE257" i="48"/>
  <c r="AD258" i="48"/>
  <c r="AG39" i="53"/>
  <c r="X318" i="38"/>
  <c r="X319" i="38" s="1"/>
  <c r="X321" i="38" s="1"/>
  <c r="Y282" i="38"/>
  <c r="Y286" i="38"/>
  <c r="Y287" i="38"/>
  <c r="Y284" i="38"/>
  <c r="Y283" i="38"/>
  <c r="Y285" i="38"/>
  <c r="AE18" i="45"/>
  <c r="W151" i="14"/>
  <c r="AD125" i="12"/>
  <c r="AB101" i="19"/>
  <c r="AD28" i="20"/>
  <c r="AD46" i="20" s="1"/>
  <c r="AE22" i="20"/>
  <c r="AA141" i="16"/>
  <c r="AA142" i="16" s="1"/>
  <c r="AB189" i="38"/>
  <c r="AB193" i="38" s="1"/>
  <c r="AB191" i="38"/>
  <c r="AB195" i="38" s="1"/>
  <c r="AB192" i="38"/>
  <c r="AC91" i="36" s="1"/>
  <c r="AB190" i="38"/>
  <c r="AB194" i="38" s="1"/>
  <c r="AA140" i="15"/>
  <c r="X80" i="19"/>
  <c r="Y111" i="14" s="1"/>
  <c r="Y111" i="12"/>
  <c r="V210" i="28"/>
  <c r="AF125" i="15"/>
  <c r="AE37" i="28"/>
  <c r="AF47" i="15"/>
  <c r="BG112" i="36"/>
  <c r="BG111" i="36"/>
  <c r="BG117" i="36" s="1"/>
  <c r="BG123" i="36" s="1"/>
  <c r="BG113" i="36"/>
  <c r="Z217" i="54"/>
  <c r="Z221" i="54" s="1"/>
  <c r="Z218" i="54"/>
  <c r="AC28" i="19"/>
  <c r="AC46" i="19" s="1"/>
  <c r="AC167" i="19" s="1"/>
  <c r="AC166" i="19" s="1"/>
  <c r="AD22" i="19"/>
  <c r="R122" i="45"/>
  <c r="AD94" i="12"/>
  <c r="AC139" i="20"/>
  <c r="X170" i="28"/>
  <c r="X169" i="28"/>
  <c r="X173" i="28" s="1"/>
  <c r="BG67" i="45"/>
  <c r="BG23" i="45"/>
  <c r="AD127" i="38"/>
  <c r="AD128" i="38"/>
  <c r="AD183" i="38"/>
  <c r="AD182" i="38"/>
  <c r="AE126" i="38"/>
  <c r="Q20" i="55"/>
  <c r="Q19" i="55"/>
  <c r="BG107" i="45"/>
  <c r="P6" i="55"/>
  <c r="AE44" i="54"/>
  <c r="AE204" i="54" s="1"/>
  <c r="Y154" i="28"/>
  <c r="Y155" i="28"/>
  <c r="Y151" i="28"/>
  <c r="Y153" i="28"/>
  <c r="Y152" i="28"/>
  <c r="Y150" i="28"/>
  <c r="X187" i="28"/>
  <c r="X189" i="28" s="1"/>
  <c r="X188" i="28"/>
  <c r="Z218" i="48"/>
  <c r="Z223" i="48" s="1"/>
  <c r="Z219" i="48"/>
  <c r="Z224" i="48" s="1"/>
  <c r="Z220" i="48"/>
  <c r="Z225" i="48" s="1"/>
  <c r="Z217" i="48"/>
  <c r="Z222" i="48" s="1"/>
  <c r="Z221" i="48"/>
  <c r="V326" i="42"/>
  <c r="V335" i="42" s="1"/>
  <c r="AA222" i="54"/>
  <c r="AA224" i="54"/>
  <c r="AA226" i="54"/>
  <c r="AA223" i="54"/>
  <c r="AA227" i="54"/>
  <c r="AA225" i="54"/>
  <c r="Y74" i="51"/>
  <c r="X253" i="53"/>
  <c r="AA206" i="53"/>
  <c r="AA207" i="53" s="1"/>
  <c r="AA229" i="53"/>
  <c r="AA230" i="53" s="1"/>
  <c r="X223" i="19"/>
  <c r="X246" i="19"/>
  <c r="X247" i="19" s="1"/>
  <c r="BF70" i="45"/>
  <c r="T329" i="46"/>
  <c r="T333" i="46" s="1"/>
  <c r="T330" i="46"/>
  <c r="AC196" i="20"/>
  <c r="AD195" i="20"/>
  <c r="AF39" i="16"/>
  <c r="AF13" i="16"/>
  <c r="Z171" i="28"/>
  <c r="Z183" i="28" s="1"/>
  <c r="Z184" i="28" s="1"/>
  <c r="Z172" i="28"/>
  <c r="AB58" i="29"/>
  <c r="AB114" i="28"/>
  <c r="AB213" i="28"/>
  <c r="AB162" i="53"/>
  <c r="Y118" i="14"/>
  <c r="AD154" i="54"/>
  <c r="AD156" i="54" s="1"/>
  <c r="AE153" i="54"/>
  <c r="BJ61" i="51"/>
  <c r="AD64" i="51"/>
  <c r="AD47" i="29"/>
  <c r="AD142" i="29" s="1"/>
  <c r="Y85" i="19"/>
  <c r="Z132" i="14" s="1"/>
  <c r="Z132" i="12"/>
  <c r="X108" i="14"/>
  <c r="AB212" i="20"/>
  <c r="AB170" i="19" s="1"/>
  <c r="AB213" i="20"/>
  <c r="AB171" i="19" s="1"/>
  <c r="AB216" i="20"/>
  <c r="AB174" i="19" s="1"/>
  <c r="AB214" i="20"/>
  <c r="AB172" i="19" s="1"/>
  <c r="AC135" i="12"/>
  <c r="AB215" i="20"/>
  <c r="AB169" i="19"/>
  <c r="AC33" i="45"/>
  <c r="Y57" i="19"/>
  <c r="Y265" i="20"/>
  <c r="Y288" i="20"/>
  <c r="Y289" i="20" s="1"/>
  <c r="BL63" i="51"/>
  <c r="BJ41" i="45"/>
  <c r="AC74" i="29"/>
  <c r="AD45" i="16" s="1"/>
  <c r="AD45" i="15"/>
  <c r="Y101" i="12"/>
  <c r="X68" i="19"/>
  <c r="Y101" i="14" s="1"/>
  <c r="T327" i="48"/>
  <c r="T328" i="48"/>
  <c r="Y90" i="19"/>
  <c r="Z143" i="14" s="1"/>
  <c r="Z143" i="12"/>
  <c r="AD56" i="15"/>
  <c r="AC60" i="29"/>
  <c r="AD56" i="16" s="1"/>
  <c r="AC217" i="42"/>
  <c r="AC219" i="42" s="1"/>
  <c r="AD216" i="42"/>
  <c r="Z84" i="20"/>
  <c r="AB63" i="42"/>
  <c r="AB69" i="42"/>
  <c r="AA70" i="45"/>
  <c r="AA158" i="28"/>
  <c r="AA159" i="28" s="1"/>
  <c r="AA181" i="28"/>
  <c r="AA182" i="28" s="1"/>
  <c r="AC18" i="20"/>
  <c r="AB24" i="20"/>
  <c r="U69" i="15"/>
  <c r="T205" i="28"/>
  <c r="T210" i="28"/>
  <c r="AD292" i="42"/>
  <c r="W150" i="12"/>
  <c r="X141" i="29"/>
  <c r="X137" i="29"/>
  <c r="X136" i="29"/>
  <c r="X139" i="29"/>
  <c r="X140" i="29"/>
  <c r="X138" i="29"/>
  <c r="BE128" i="36"/>
  <c r="Z302" i="42"/>
  <c r="Z301" i="42"/>
  <c r="Z305" i="42" s="1"/>
  <c r="AF28" i="48"/>
  <c r="AG22" i="48"/>
  <c r="AG28" i="48" s="1"/>
  <c r="Y317" i="42"/>
  <c r="Y320" i="42" s="1"/>
  <c r="Y316" i="42"/>
  <c r="AB245" i="46"/>
  <c r="AB250" i="46" s="1"/>
  <c r="AB246" i="46"/>
  <c r="AB251" i="46" s="1"/>
  <c r="AB247" i="46"/>
  <c r="AB252" i="46" s="1"/>
  <c r="AB244" i="46"/>
  <c r="AB249" i="46" s="1"/>
  <c r="AB248" i="46"/>
  <c r="AC96" i="45" s="1"/>
  <c r="AB243" i="48"/>
  <c r="Z133" i="12"/>
  <c r="AC139" i="48"/>
  <c r="AD25" i="20"/>
  <c r="AD43" i="20" s="1"/>
  <c r="AE19" i="20"/>
  <c r="AB136" i="16"/>
  <c r="T345" i="48"/>
  <c r="T346" i="48" s="1"/>
  <c r="AB34" i="45"/>
  <c r="Z139" i="14"/>
  <c r="BK17" i="45"/>
  <c r="BK18" i="45" s="1"/>
  <c r="AE21" i="20"/>
  <c r="AD27" i="20"/>
  <c r="AD45" i="20" s="1"/>
  <c r="Y80" i="19"/>
  <c r="Z111" i="14" s="1"/>
  <c r="Z111" i="12"/>
  <c r="AB197" i="38"/>
  <c r="AB201" i="38" s="1"/>
  <c r="AB200" i="38"/>
  <c r="AC101" i="36" s="1"/>
  <c r="BI101" i="36" s="1"/>
  <c r="AB199" i="38"/>
  <c r="AB203" i="38" s="1"/>
  <c r="AB198" i="38"/>
  <c r="AB202" i="38" s="1"/>
  <c r="Y109" i="12"/>
  <c r="X81" i="19"/>
  <c r="Y109" i="14" s="1"/>
  <c r="W71" i="15"/>
  <c r="AA71" i="38"/>
  <c r="AA75" i="38" s="1"/>
  <c r="AA73" i="38"/>
  <c r="AB78" i="36" s="1"/>
  <c r="AA72" i="38"/>
  <c r="AA76" i="38" s="1"/>
  <c r="AA70" i="38"/>
  <c r="AA74" i="38" s="1"/>
  <c r="AB213" i="53"/>
  <c r="AB214" i="53"/>
  <c r="AD122" i="20"/>
  <c r="AD121" i="20"/>
  <c r="AD125" i="20"/>
  <c r="AD123" i="20"/>
  <c r="AD124" i="20"/>
  <c r="AD120" i="20"/>
  <c r="AE119" i="20"/>
  <c r="X79" i="45"/>
  <c r="X80" i="45"/>
  <c r="X81" i="45"/>
  <c r="BD81" i="45"/>
  <c r="BD80" i="45"/>
  <c r="BD79" i="45"/>
  <c r="AD75" i="16"/>
  <c r="AD76" i="16"/>
  <c r="AF122" i="16"/>
  <c r="AF132" i="16" s="1"/>
  <c r="AC185" i="38"/>
  <c r="AC186" i="38"/>
  <c r="X118" i="12"/>
  <c r="P7" i="55"/>
  <c r="R164" i="12"/>
  <c r="Q318" i="20"/>
  <c r="R165" i="12" s="1"/>
  <c r="AG20" i="42"/>
  <c r="AG26" i="42" s="1"/>
  <c r="AG41" i="42" s="1"/>
  <c r="AG219" i="42" s="1"/>
  <c r="AF26" i="42"/>
  <c r="AF41" i="42" s="1"/>
  <c r="BL60" i="51"/>
  <c r="AE36" i="28"/>
  <c r="AE42" i="28" s="1"/>
  <c r="AF123" i="15"/>
  <c r="AF43" i="15"/>
  <c r="Z178" i="28"/>
  <c r="Z174" i="28"/>
  <c r="Z176" i="28"/>
  <c r="Z177" i="28"/>
  <c r="Z179" i="28"/>
  <c r="Z175" i="28"/>
  <c r="V290" i="20"/>
  <c r="V291" i="20" s="1"/>
  <c r="V292" i="20"/>
  <c r="Y139" i="14"/>
  <c r="AG40" i="16"/>
  <c r="AB157" i="19"/>
  <c r="AB198" i="20"/>
  <c r="AC123" i="12"/>
  <c r="AA24" i="19"/>
  <c r="AB18" i="19"/>
  <c r="AC232" i="42"/>
  <c r="AC234" i="42" s="1"/>
  <c r="AD231" i="42"/>
  <c r="Y99" i="46"/>
  <c r="Y69" i="46"/>
  <c r="Y109" i="46"/>
  <c r="Y79" i="46"/>
  <c r="Y44" i="46"/>
  <c r="Y316" i="46" s="1"/>
  <c r="AB220" i="54"/>
  <c r="AB219" i="54"/>
  <c r="AB231" i="54" s="1"/>
  <c r="X107" i="14"/>
  <c r="AC183" i="42"/>
  <c r="AC182" i="42"/>
  <c r="AD181" i="42"/>
  <c r="BG108" i="45"/>
  <c r="AG138" i="54"/>
  <c r="AG139" i="54" s="1"/>
  <c r="AG134" i="54"/>
  <c r="AG135" i="54" s="1"/>
  <c r="AG136" i="54"/>
  <c r="AG137" i="54" s="1"/>
  <c r="AC70" i="51"/>
  <c r="BI66" i="51"/>
  <c r="AC157" i="54"/>
  <c r="AG21" i="16"/>
  <c r="BF85" i="45"/>
  <c r="BF71" i="45"/>
  <c r="Z156" i="48"/>
  <c r="Z161" i="48" s="1"/>
  <c r="Z158" i="48"/>
  <c r="Z163" i="48" s="1"/>
  <c r="Z157" i="48"/>
  <c r="Z162" i="48" s="1"/>
  <c r="Z159" i="48"/>
  <c r="Z155" i="48"/>
  <c r="Z160" i="48" s="1"/>
  <c r="X152" i="14"/>
  <c r="AD67" i="51"/>
  <c r="AD71" i="51" s="1"/>
  <c r="AC76" i="53"/>
  <c r="Y226" i="12"/>
  <c r="Y83" i="19"/>
  <c r="Z128" i="14" s="1"/>
  <c r="Z128" i="12"/>
  <c r="AF26" i="29"/>
  <c r="AF44" i="29" s="1"/>
  <c r="AG20" i="29"/>
  <c r="AG26" i="29" s="1"/>
  <c r="AG44" i="29" s="1"/>
  <c r="AD61" i="48"/>
  <c r="AD67" i="48"/>
  <c r="AD65" i="48"/>
  <c r="AD66" i="48"/>
  <c r="AD62" i="48"/>
  <c r="AD64" i="48"/>
  <c r="AE60" i="48"/>
  <c r="X179" i="29"/>
  <c r="X180" i="29" s="1"/>
  <c r="AA205" i="42"/>
  <c r="AA209" i="42" s="1"/>
  <c r="AA208" i="42"/>
  <c r="AA207" i="42"/>
  <c r="AA211" i="42" s="1"/>
  <c r="AA206" i="42"/>
  <c r="AA210" i="42" s="1"/>
  <c r="AC209" i="20"/>
  <c r="AC211" i="20" s="1"/>
  <c r="AD208" i="20"/>
  <c r="AC49" i="16"/>
  <c r="CG16" i="55"/>
  <c r="CG15" i="55"/>
  <c r="CG14" i="55"/>
  <c r="CG11" i="55"/>
  <c r="CG19" i="55" s="1"/>
  <c r="CG13" i="55"/>
  <c r="CG12" i="55"/>
  <c r="X80" i="46"/>
  <c r="X85" i="46" s="1"/>
  <c r="X82" i="46"/>
  <c r="X87" i="46" s="1"/>
  <c r="X81" i="46"/>
  <c r="X86" i="46" s="1"/>
  <c r="X83" i="46"/>
  <c r="X88" i="46" s="1"/>
  <c r="X79" i="48"/>
  <c r="X84" i="46"/>
  <c r="Y90" i="45" s="1"/>
  <c r="AD217" i="38"/>
  <c r="AD219" i="38" s="1"/>
  <c r="AE216" i="38"/>
  <c r="AB63" i="38"/>
  <c r="AB69" i="38"/>
  <c r="AC56" i="45"/>
  <c r="AC55" i="45"/>
  <c r="Y55" i="19"/>
  <c r="Z4" i="55"/>
  <c r="Y314" i="20"/>
  <c r="Y264" i="20"/>
  <c r="Y315" i="20"/>
  <c r="Y263" i="20"/>
  <c r="Y266" i="20" s="1"/>
  <c r="Y267" i="20"/>
  <c r="Z153" i="29"/>
  <c r="Z154" i="29"/>
  <c r="BL69" i="51"/>
  <c r="W272" i="20"/>
  <c r="W273" i="20"/>
  <c r="Y95" i="14"/>
  <c r="Y147" i="14"/>
  <c r="Y92" i="19"/>
  <c r="Z145" i="14" s="1"/>
  <c r="Z145" i="12"/>
  <c r="S258" i="19"/>
  <c r="AC71" i="51"/>
  <c r="CF7" i="55"/>
  <c r="AB79" i="42"/>
  <c r="AB83" i="42" s="1"/>
  <c r="AB80" i="42"/>
  <c r="AB84" i="42" s="1"/>
  <c r="AB81" i="42"/>
  <c r="AB78" i="42"/>
  <c r="AB82" i="42" s="1"/>
  <c r="AA29" i="20"/>
  <c r="AA42" i="20"/>
  <c r="AV125" i="45"/>
  <c r="O371" i="48"/>
  <c r="AV126" i="45" s="1"/>
  <c r="AH17" i="16"/>
  <c r="AN86" i="15"/>
  <c r="AF26" i="48"/>
  <c r="AF41" i="48" s="1"/>
  <c r="AG20" i="48"/>
  <c r="AG26" i="48" s="1"/>
  <c r="AG41" i="48" s="1"/>
  <c r="Y241" i="53"/>
  <c r="Y134" i="29"/>
  <c r="Y135" i="29" s="1"/>
  <c r="Z101" i="29"/>
  <c r="X111" i="45"/>
  <c r="X110" i="45"/>
  <c r="X112" i="45"/>
  <c r="AG40" i="15"/>
  <c r="AC295" i="38"/>
  <c r="AC293" i="38"/>
  <c r="AC294" i="38"/>
  <c r="AC296" i="38"/>
  <c r="AD289" i="38"/>
  <c r="AD292" i="38"/>
  <c r="Y307" i="42"/>
  <c r="Y309" i="42"/>
  <c r="Y308" i="42"/>
  <c r="Y311" i="42"/>
  <c r="Y306" i="42"/>
  <c r="Y310" i="42"/>
  <c r="AD31" i="54"/>
  <c r="AD194" i="54"/>
  <c r="AD205" i="54" s="1"/>
  <c r="BJ69" i="45"/>
  <c r="Z280" i="42"/>
  <c r="Z281" i="42" s="1"/>
  <c r="AA247" i="42"/>
  <c r="AE68" i="51"/>
  <c r="AE50" i="51"/>
  <c r="AB150" i="29"/>
  <c r="AB147" i="29"/>
  <c r="AB148" i="29"/>
  <c r="AB149" i="29"/>
  <c r="AB134" i="20"/>
  <c r="AB110" i="19" s="1"/>
  <c r="AB136" i="20"/>
  <c r="AB112" i="19" s="1"/>
  <c r="AB135" i="20"/>
  <c r="AB111" i="19" s="1"/>
  <c r="AB138" i="20"/>
  <c r="AB114" i="19" s="1"/>
  <c r="AB137" i="20"/>
  <c r="AB113" i="19" s="1"/>
  <c r="AB109" i="19"/>
  <c r="AC126" i="14" s="1"/>
  <c r="AD126" i="12"/>
  <c r="AC145" i="20"/>
  <c r="AA209" i="46"/>
  <c r="AA214" i="46" s="1"/>
  <c r="AA208" i="46"/>
  <c r="AA213" i="46" s="1"/>
  <c r="AA210" i="46"/>
  <c r="AA215" i="46" s="1"/>
  <c r="AA206" i="48"/>
  <c r="AA211" i="46"/>
  <c r="AB89" i="45" s="1"/>
  <c r="AA207" i="46"/>
  <c r="AA212" i="46" s="1"/>
  <c r="AB134" i="16"/>
  <c r="AB68" i="16"/>
  <c r="AB133" i="16" a="1"/>
  <c r="AB133" i="16" s="1"/>
  <c r="AB77" i="16"/>
  <c r="W76" i="51"/>
  <c r="AA113" i="36"/>
  <c r="AA111" i="36"/>
  <c r="AA117" i="36" s="1"/>
  <c r="AA123" i="36" s="1"/>
  <c r="AA112" i="36"/>
  <c r="X320" i="38"/>
  <c r="AA300" i="38"/>
  <c r="AA299" i="38"/>
  <c r="AD66" i="54"/>
  <c r="AD73" i="54" s="1"/>
  <c r="AD74" i="54" s="1"/>
  <c r="AE60" i="54"/>
  <c r="AD67" i="54"/>
  <c r="AD77" i="54" s="1"/>
  <c r="AD78" i="54" s="1"/>
  <c r="AD65" i="54"/>
  <c r="AD75" i="54" s="1"/>
  <c r="AD76" i="54" s="1"/>
  <c r="AD64" i="54"/>
  <c r="AD71" i="54" s="1"/>
  <c r="AD72" i="54" s="1"/>
  <c r="AD61" i="54"/>
  <c r="AD62" i="54"/>
  <c r="AE40" i="28"/>
  <c r="AF128" i="15"/>
  <c r="AF60" i="15"/>
  <c r="AA151" i="29"/>
  <c r="AA152" i="29"/>
  <c r="AB174" i="20"/>
  <c r="AB136" i="19" s="1"/>
  <c r="AB178" i="20"/>
  <c r="AB140" i="19" s="1"/>
  <c r="AB175" i="20"/>
  <c r="AB137" i="19" s="1"/>
  <c r="AC113" i="12"/>
  <c r="AB135" i="19"/>
  <c r="AC113" i="14" s="1"/>
  <c r="AB177" i="20"/>
  <c r="AB139" i="19" s="1"/>
  <c r="AB176" i="20"/>
  <c r="AB97" i="19"/>
  <c r="Z105" i="12"/>
  <c r="AB205" i="38"/>
  <c r="AB209" i="38" s="1"/>
  <c r="AB206" i="38"/>
  <c r="AB210" i="38" s="1"/>
  <c r="AB208" i="38"/>
  <c r="AB207" i="38"/>
  <c r="AB211" i="38" s="1"/>
  <c r="Y105" i="14"/>
  <c r="AB93" i="36"/>
  <c r="AB96" i="36" s="1"/>
  <c r="BH91" i="36"/>
  <c r="BH93" i="36" s="1"/>
  <c r="BH96" i="36" s="1"/>
  <c r="Y141" i="12"/>
  <c r="AA246" i="38"/>
  <c r="AA243" i="38"/>
  <c r="Y141" i="14"/>
  <c r="AC127" i="42"/>
  <c r="AC128" i="42"/>
  <c r="AD126" i="42"/>
  <c r="X154" i="12"/>
  <c r="X97" i="12"/>
  <c r="AB114" i="36"/>
  <c r="BH79" i="36"/>
  <c r="BH114" i="36" s="1"/>
  <c r="U311" i="46"/>
  <c r="U312" i="46"/>
  <c r="U310" i="46"/>
  <c r="U313" i="46"/>
  <c r="U314" i="46"/>
  <c r="U315" i="46"/>
  <c r="U126" i="36"/>
  <c r="T343" i="38"/>
  <c r="U127" i="36" s="1"/>
  <c r="AC132" i="20"/>
  <c r="AC108" i="19" s="1"/>
  <c r="AC131" i="20"/>
  <c r="AC107" i="19" s="1"/>
  <c r="AC129" i="20"/>
  <c r="AC105" i="19" s="1"/>
  <c r="AC128" i="20"/>
  <c r="AC104" i="19" s="1"/>
  <c r="AC103" i="19"/>
  <c r="AD103" i="14" s="1"/>
  <c r="AD103" i="12"/>
  <c r="AC130" i="20"/>
  <c r="R160" i="12"/>
  <c r="U294" i="20"/>
  <c r="U295" i="20"/>
  <c r="S330" i="48"/>
  <c r="S329" i="48"/>
  <c r="S333" i="48" s="1"/>
  <c r="AA106" i="19"/>
  <c r="AC129" i="38"/>
  <c r="AC134" i="38"/>
  <c r="AE44" i="38"/>
  <c r="AE288" i="38" s="1"/>
  <c r="X118" i="14"/>
  <c r="AD31" i="28"/>
  <c r="AD146" i="28"/>
  <c r="AG20" i="46"/>
  <c r="AG26" i="46" s="1"/>
  <c r="AG41" i="46" s="1"/>
  <c r="AG243" i="46" s="1"/>
  <c r="AF26" i="46"/>
  <c r="AF41" i="46" s="1"/>
  <c r="X34" i="19"/>
  <c r="X33" i="19"/>
  <c r="S310" i="20"/>
  <c r="T156" i="12" s="1"/>
  <c r="S308" i="20"/>
  <c r="AF26" i="53"/>
  <c r="AF41" i="53" s="1"/>
  <c r="AF147" i="53" s="1"/>
  <c r="AF148" i="53" s="1"/>
  <c r="AG60" i="51" s="1"/>
  <c r="AG20" i="53"/>
  <c r="AG26" i="53" s="1"/>
  <c r="AG41" i="53" s="1"/>
  <c r="AG147" i="53" s="1"/>
  <c r="AG148" i="53" s="1"/>
  <c r="AH60" i="51" s="1"/>
  <c r="W120" i="36"/>
  <c r="V337" i="38"/>
  <c r="V342" i="38"/>
  <c r="AG22" i="28"/>
  <c r="AG28" i="28" s="1"/>
  <c r="AG46" i="28" s="1"/>
  <c r="AF28" i="28"/>
  <c r="AF46" i="28" s="1"/>
  <c r="AB68" i="45"/>
  <c r="X44" i="48"/>
  <c r="X316" i="48" s="1"/>
  <c r="Z29" i="19"/>
  <c r="Z42" i="19"/>
  <c r="Z55" i="19" s="1"/>
  <c r="AB236" i="42"/>
  <c r="AB240" i="42" s="1"/>
  <c r="AB238" i="42"/>
  <c r="AB237" i="42"/>
  <c r="AB241" i="42" s="1"/>
  <c r="AB235" i="42"/>
  <c r="AB239" i="42" s="1"/>
  <c r="BG68" i="45"/>
  <c r="AG35" i="15"/>
  <c r="X107" i="12"/>
  <c r="AB196" i="42"/>
  <c r="AB184" i="42"/>
  <c r="AB188" i="42"/>
  <c r="AB204" i="42"/>
  <c r="Z218" i="53"/>
  <c r="Z217" i="53"/>
  <c r="Z221" i="53" s="1"/>
  <c r="AF138" i="54"/>
  <c r="AF139" i="54" s="1"/>
  <c r="AF134" i="54"/>
  <c r="AF135" i="54" s="1"/>
  <c r="AF136" i="54"/>
  <c r="AF137" i="54" s="1"/>
  <c r="AC59" i="16"/>
  <c r="AF26" i="28"/>
  <c r="AF44" i="28" s="1"/>
  <c r="AF80" i="29" s="1"/>
  <c r="AF79" i="29" s="1"/>
  <c r="AG20" i="28"/>
  <c r="AG26" i="28" s="1"/>
  <c r="AG44" i="28" s="1"/>
  <c r="BC100" i="45"/>
  <c r="BC113" i="45"/>
  <c r="AE20" i="20"/>
  <c r="AD26" i="20"/>
  <c r="AD44" i="20" s="1"/>
  <c r="Y142" i="12"/>
  <c r="BF72" i="45"/>
  <c r="BF86" i="45"/>
  <c r="BG98" i="45"/>
  <c r="BJ57" i="51"/>
  <c r="U325" i="48"/>
  <c r="U326" i="48"/>
  <c r="W282" i="20"/>
  <c r="W286" i="20"/>
  <c r="W281" i="20"/>
  <c r="W284" i="20"/>
  <c r="W285" i="20"/>
  <c r="W283" i="20"/>
  <c r="Z129" i="14"/>
  <c r="W80" i="48"/>
  <c r="W85" i="48" s="1"/>
  <c r="W82" i="48"/>
  <c r="W87" i="48" s="1"/>
  <c r="W81" i="48"/>
  <c r="W86" i="48" s="1"/>
  <c r="W84" i="48"/>
  <c r="W83" i="48"/>
  <c r="W88" i="48" s="1"/>
  <c r="AF25" i="48"/>
  <c r="AF40" i="48" s="1"/>
  <c r="AG19" i="48"/>
  <c r="AG25" i="48" s="1"/>
  <c r="AG40" i="48" s="1"/>
  <c r="AE29" i="28"/>
  <c r="U308" i="48"/>
  <c r="U309" i="48" s="1"/>
  <c r="V275" i="48"/>
  <c r="CH9" i="55"/>
  <c r="X101" i="46"/>
  <c r="X106" i="46" s="1"/>
  <c r="X100" i="46"/>
  <c r="X105" i="46" s="1"/>
  <c r="X99" i="48"/>
  <c r="X102" i="46"/>
  <c r="X107" i="46" s="1"/>
  <c r="X103" i="46"/>
  <c r="X108" i="46" s="1"/>
  <c r="X104" i="46"/>
  <c r="Y106" i="45" s="1"/>
  <c r="AC220" i="38"/>
  <c r="AC224" i="38" s="1"/>
  <c r="AC223" i="38"/>
  <c r="AD98" i="36" s="1"/>
  <c r="AC222" i="38"/>
  <c r="AC226" i="38" s="1"/>
  <c r="AC221" i="38"/>
  <c r="AC225" i="38" s="1"/>
  <c r="AB97" i="38"/>
  <c r="AC108" i="36" s="1"/>
  <c r="BI108" i="36" s="1"/>
  <c r="AB95" i="38"/>
  <c r="AB99" i="38" s="1"/>
  <c r="AB96" i="38"/>
  <c r="AB100" i="38" s="1"/>
  <c r="AB94" i="38"/>
  <c r="AB98" i="38" s="1"/>
  <c r="AD32" i="45"/>
  <c r="AD36" i="45"/>
  <c r="AD31" i="45"/>
  <c r="AD28" i="45"/>
  <c r="AD29" i="45"/>
  <c r="AD37" i="45"/>
  <c r="AD35" i="45"/>
  <c r="BJ27" i="45"/>
  <c r="AE27" i="45"/>
  <c r="AD54" i="45"/>
  <c r="AV20" i="55"/>
  <c r="AV19" i="55"/>
  <c r="Y51" i="19"/>
  <c r="AE360" i="48"/>
  <c r="BC116" i="45"/>
  <c r="AE135" i="53"/>
  <c r="AF56" i="51"/>
  <c r="Z163" i="19"/>
  <c r="X69" i="19"/>
  <c r="Y99" i="14" s="1"/>
  <c r="Y99" i="12"/>
  <c r="AC211" i="53"/>
  <c r="AC209" i="53"/>
  <c r="AC210" i="53"/>
  <c r="AC212" i="53"/>
  <c r="S155" i="12"/>
  <c r="R312" i="20"/>
  <c r="R317" i="20"/>
  <c r="Z139" i="12"/>
  <c r="CF6" i="55"/>
  <c r="AF37" i="28"/>
  <c r="AG125" i="15"/>
  <c r="AG47" i="15"/>
  <c r="AA88" i="29"/>
  <c r="AA100" i="29"/>
  <c r="AQ86" i="15"/>
  <c r="AQ87" i="15" s="1"/>
  <c r="AH20" i="16"/>
  <c r="AD265" i="19"/>
  <c r="AE307" i="20"/>
  <c r="P159" i="14"/>
  <c r="AA215" i="53"/>
  <c r="AA216" i="53"/>
  <c r="AF25" i="38"/>
  <c r="AF40" i="38" s="1"/>
  <c r="AG19" i="38"/>
  <c r="AG25" i="38" s="1"/>
  <c r="AG40" i="38" s="1"/>
  <c r="X228" i="14"/>
  <c r="Z146" i="12"/>
  <c r="Z115" i="12"/>
  <c r="AC25" i="19"/>
  <c r="AC43" i="19" s="1"/>
  <c r="AC101" i="19" s="1"/>
  <c r="AD19" i="19"/>
  <c r="AE44" i="53"/>
  <c r="AE204" i="53" s="1"/>
  <c r="AA151" i="42"/>
  <c r="AA155" i="42" s="1"/>
  <c r="AA153" i="42"/>
  <c r="AA157" i="42" s="1"/>
  <c r="AA154" i="42"/>
  <c r="AA152" i="42"/>
  <c r="AA156" i="42" s="1"/>
  <c r="X225" i="14" a="1"/>
  <c r="X225" i="14" s="1"/>
  <c r="X226" i="14"/>
  <c r="X148" i="14"/>
  <c r="Y285" i="42"/>
  <c r="Y283" i="42"/>
  <c r="Y284" i="42"/>
  <c r="Y287" i="42"/>
  <c r="Y286" i="42"/>
  <c r="Y282" i="42"/>
  <c r="BK53" i="51"/>
  <c r="AE54" i="51"/>
  <c r="Y185" i="28"/>
  <c r="U337" i="42"/>
  <c r="U342" i="42"/>
  <c r="AB131" i="19"/>
  <c r="AC65" i="20"/>
  <c r="AC64" i="20"/>
  <c r="AD63" i="20"/>
  <c r="Y249" i="54"/>
  <c r="Y251" i="54"/>
  <c r="BF75" i="51" s="1"/>
  <c r="AA218" i="46"/>
  <c r="AA223" i="46" s="1"/>
  <c r="AA220" i="46"/>
  <c r="AA225" i="46" s="1"/>
  <c r="AA219" i="46"/>
  <c r="AA224" i="46" s="1"/>
  <c r="AA217" i="46"/>
  <c r="AA222" i="46" s="1"/>
  <c r="AA216" i="48"/>
  <c r="AA221" i="46"/>
  <c r="AB99" i="45" s="1"/>
  <c r="Y229" i="14"/>
  <c r="AB139" i="16"/>
  <c r="V325" i="46"/>
  <c r="V326" i="46"/>
  <c r="X76" i="51"/>
  <c r="U232" i="19"/>
  <c r="U233" i="19"/>
  <c r="V213" i="19"/>
  <c r="V214" i="19" s="1"/>
  <c r="W180" i="19"/>
  <c r="Y130" i="14"/>
  <c r="AA157" i="29"/>
  <c r="AA169" i="29" s="1"/>
  <c r="AA158" i="29"/>
  <c r="AC169" i="20"/>
  <c r="AC168" i="20"/>
  <c r="AC170" i="20"/>
  <c r="AC179" i="20" s="1"/>
  <c r="AC171" i="20"/>
  <c r="AC185" i="20" s="1"/>
  <c r="AC167" i="20"/>
  <c r="AC173" i="20" s="1"/>
  <c r="AD166" i="20"/>
  <c r="U334" i="48"/>
  <c r="U335" i="48"/>
  <c r="U336" i="48"/>
  <c r="U339" i="48"/>
  <c r="U337" i="48"/>
  <c r="U338" i="48"/>
  <c r="AE332" i="42"/>
  <c r="W318" i="46"/>
  <c r="W319" i="46" s="1"/>
  <c r="W341" i="46"/>
  <c r="W342" i="46" s="1"/>
  <c r="X9" i="55"/>
  <c r="Z106" i="12"/>
  <c r="Y77" i="19"/>
  <c r="Z106" i="14" s="1"/>
  <c r="AA140" i="16"/>
  <c r="X77" i="19"/>
  <c r="Y106" i="14" s="1"/>
  <c r="Y106" i="12"/>
  <c r="T259" i="19"/>
  <c r="T266" i="19" s="1"/>
  <c r="AE76" i="15"/>
  <c r="AD306" i="48"/>
  <c r="AD31" i="48"/>
  <c r="AB263" i="48"/>
  <c r="AB268" i="48" s="1"/>
  <c r="AB264" i="48"/>
  <c r="AB269" i="48" s="1"/>
  <c r="AB261" i="48"/>
  <c r="AB266" i="48" s="1"/>
  <c r="AB265" i="48"/>
  <c r="AB262" i="48"/>
  <c r="AB267" i="48" s="1"/>
  <c r="Z144" i="29"/>
  <c r="Z145" i="29" s="1"/>
  <c r="Z167" i="29"/>
  <c r="Z168" i="29" s="1"/>
  <c r="Q159" i="12"/>
  <c r="AG35" i="16"/>
  <c r="AB132" i="42"/>
  <c r="AB158" i="42" s="1"/>
  <c r="AB131" i="42"/>
  <c r="AB150" i="42" s="1"/>
  <c r="AB130" i="42"/>
  <c r="AB142" i="42" s="1"/>
  <c r="X154" i="14"/>
  <c r="X97" i="14"/>
  <c r="BG83" i="45"/>
  <c r="V308" i="46"/>
  <c r="V309" i="46" s="1"/>
  <c r="W275" i="46"/>
  <c r="AC136" i="20"/>
  <c r="AC112" i="19" s="1"/>
  <c r="AP81" i="15"/>
  <c r="AO261" i="12"/>
  <c r="AH13" i="15"/>
  <c r="AD131" i="16"/>
  <c r="AD129" i="16"/>
  <c r="AN87" i="15"/>
  <c r="AH17" i="15"/>
  <c r="AH39" i="15" s="1"/>
  <c r="AC132" i="38"/>
  <c r="AC158" i="38" s="1"/>
  <c r="AC130" i="38"/>
  <c r="AC142" i="38" s="1"/>
  <c r="AC131" i="38"/>
  <c r="AC150" i="38" s="1"/>
  <c r="Z128" i="36"/>
  <c r="X318" i="42"/>
  <c r="X319" i="42" s="1"/>
  <c r="X321" i="42" s="1"/>
  <c r="X281" i="20"/>
  <c r="R157" i="12"/>
  <c r="R163" i="12"/>
  <c r="X228" i="12"/>
  <c r="BI21" i="45"/>
  <c r="AF61" i="15"/>
  <c r="AE85" i="29"/>
  <c r="U348" i="46"/>
  <c r="BF115" i="36"/>
  <c r="BF116" i="36" s="1"/>
  <c r="BF80" i="36"/>
  <c r="BF83" i="36" s="1"/>
  <c r="BF119" i="36" s="1"/>
  <c r="AB186" i="42"/>
  <c r="AB185" i="42"/>
  <c r="Z227" i="48"/>
  <c r="Z232" i="48" s="1"/>
  <c r="Z230" i="48"/>
  <c r="Z235" i="48" s="1"/>
  <c r="Z228" i="48"/>
  <c r="Z233" i="48" s="1"/>
  <c r="Z229" i="48"/>
  <c r="Z234" i="48" s="1"/>
  <c r="Z231" i="48"/>
  <c r="AC59" i="15"/>
  <c r="BC9" i="55"/>
  <c r="Y142" i="14"/>
  <c r="BF84" i="45"/>
  <c r="Y34" i="20"/>
  <c r="Y33" i="20"/>
  <c r="AC63" i="53"/>
  <c r="AC159" i="53" s="1"/>
  <c r="AC69" i="53"/>
  <c r="AC70" i="53" s="1"/>
  <c r="AD49" i="51" s="1"/>
  <c r="AD31" i="29"/>
  <c r="AD132" i="29"/>
  <c r="AD43" i="45"/>
  <c r="AD44" i="45"/>
  <c r="AC35" i="46"/>
  <c r="AD42" i="45"/>
  <c r="AD95" i="45"/>
  <c r="W227" i="19"/>
  <c r="W226" i="19"/>
  <c r="W229" i="19"/>
  <c r="W228" i="19"/>
  <c r="BD94" i="45"/>
  <c r="BD93" i="45"/>
  <c r="X94" i="45"/>
  <c r="X93" i="45"/>
  <c r="X172" i="29"/>
  <c r="X173" i="29" s="1"/>
  <c r="X175" i="29" s="1"/>
  <c r="Z209" i="48"/>
  <c r="Z214" i="48" s="1"/>
  <c r="Z210" i="48"/>
  <c r="Z215" i="48" s="1"/>
  <c r="Z208" i="48"/>
  <c r="Z213" i="48" s="1"/>
  <c r="Z207" i="48"/>
  <c r="Z212" i="48" s="1"/>
  <c r="Z211" i="48"/>
  <c r="AD154" i="53"/>
  <c r="AD156" i="53" s="1"/>
  <c r="AE153" i="53"/>
  <c r="T313" i="48"/>
  <c r="T315" i="48"/>
  <c r="T314" i="48"/>
  <c r="T311" i="48"/>
  <c r="T310" i="48"/>
  <c r="T312" i="48"/>
  <c r="X70" i="46"/>
  <c r="X75" i="46" s="1"/>
  <c r="X73" i="46"/>
  <c r="X78" i="46" s="1"/>
  <c r="X71" i="46"/>
  <c r="X76" i="46" s="1"/>
  <c r="X72" i="46"/>
  <c r="X77" i="46" s="1"/>
  <c r="X69" i="48"/>
  <c r="X74" i="46"/>
  <c r="Y76" i="45" s="1"/>
  <c r="AB80" i="38"/>
  <c r="AB84" i="38" s="1"/>
  <c r="AB81" i="38"/>
  <c r="AC92" i="36" s="1"/>
  <c r="BI92" i="36" s="1"/>
  <c r="AB79" i="38"/>
  <c r="AB83" i="38" s="1"/>
  <c r="AB78" i="38"/>
  <c r="AB82" i="38" s="1"/>
  <c r="AV7" i="55"/>
  <c r="Y54" i="19"/>
  <c r="AE360" i="46"/>
  <c r="S162" i="12"/>
  <c r="S158" i="12"/>
  <c r="BH110" i="36"/>
  <c r="Y167" i="28"/>
  <c r="Y168" i="28"/>
  <c r="Z290" i="38"/>
  <c r="Z291" i="38" s="1"/>
  <c r="Z313" i="38"/>
  <c r="Z314" i="38" s="1"/>
  <c r="AE332" i="38"/>
  <c r="AB95" i="42"/>
  <c r="AB99" i="42" s="1"/>
  <c r="AB94" i="42"/>
  <c r="AB98" i="42" s="1"/>
  <c r="AB97" i="42"/>
  <c r="AB96" i="42"/>
  <c r="AB100" i="42" s="1"/>
  <c r="AB202" i="46"/>
  <c r="AB206" i="46"/>
  <c r="AB226" i="46"/>
  <c r="AB216" i="46"/>
  <c r="AB134" i="15"/>
  <c r="AB133" i="15" a="1"/>
  <c r="AB133" i="15" s="1"/>
  <c r="AB68" i="15"/>
  <c r="AB77" i="15" s="1"/>
  <c r="Q354" i="48"/>
  <c r="Q363" i="48" s="1"/>
  <c r="AX120" i="45" s="1"/>
  <c r="AV124" i="45"/>
  <c r="AV123" i="45"/>
  <c r="AV121" i="45"/>
  <c r="AO86" i="15"/>
  <c r="AO87" i="15" s="1"/>
  <c r="AF138" i="53"/>
  <c r="AF139" i="53" s="1"/>
  <c r="AG69" i="51" s="1"/>
  <c r="AF134" i="53"/>
  <c r="AF136" i="53"/>
  <c r="AF137" i="53" s="1"/>
  <c r="AG63" i="51" s="1"/>
  <c r="X142" i="14"/>
  <c r="R354" i="46"/>
  <c r="R363" i="46" s="1"/>
  <c r="S120" i="45" s="1"/>
  <c r="Y234" i="53"/>
  <c r="Y235" i="53" s="1"/>
  <c r="Y237" i="53" s="1"/>
  <c r="Y258" i="53" s="1"/>
  <c r="BI107" i="36"/>
  <c r="W100" i="48"/>
  <c r="W105" i="48" s="1"/>
  <c r="W103" i="48"/>
  <c r="W108" i="48" s="1"/>
  <c r="W102" i="48"/>
  <c r="W107" i="48" s="1"/>
  <c r="W101" i="48"/>
  <c r="W106" i="48" s="1"/>
  <c r="W104" i="48"/>
  <c r="AE29" i="46"/>
  <c r="AG188" i="38"/>
  <c r="AG204" i="38"/>
  <c r="AG196" i="38"/>
  <c r="Z119" i="12"/>
  <c r="Y72" i="19"/>
  <c r="Z119" i="14" s="1"/>
  <c r="X117" i="12"/>
  <c r="AE29" i="53"/>
  <c r="AA160" i="42"/>
  <c r="AA164" i="42" s="1"/>
  <c r="AA161" i="42"/>
  <c r="AA165" i="42" s="1"/>
  <c r="AA159" i="42"/>
  <c r="AA163" i="42" s="1"/>
  <c r="AA162" i="42"/>
  <c r="U296" i="20"/>
  <c r="AB92" i="48"/>
  <c r="AB97" i="48" s="1"/>
  <c r="AB93" i="48"/>
  <c r="AB98" i="48" s="1"/>
  <c r="AB94" i="48"/>
  <c r="AB91" i="48"/>
  <c r="AB90" i="48"/>
  <c r="AB95" i="48" s="1"/>
  <c r="AC236" i="38"/>
  <c r="AC240" i="38" s="1"/>
  <c r="AC237" i="38"/>
  <c r="AC241" i="38" s="1"/>
  <c r="AC238" i="38"/>
  <c r="AD107" i="36" s="1"/>
  <c r="AC235" i="38"/>
  <c r="AC239" i="38" s="1"/>
  <c r="AB69" i="20"/>
  <c r="AB70" i="20"/>
  <c r="AB67" i="20"/>
  <c r="AB68" i="20"/>
  <c r="AA230" i="46"/>
  <c r="AA235" i="46" s="1"/>
  <c r="AA229" i="46"/>
  <c r="AA234" i="46" s="1"/>
  <c r="AA226" i="48"/>
  <c r="AA227" i="46"/>
  <c r="AA232" i="46" s="1"/>
  <c r="AA228" i="46"/>
  <c r="AA233" i="46" s="1"/>
  <c r="AA231" i="46"/>
  <c r="AB108" i="45" s="1"/>
  <c r="Y146" i="14"/>
  <c r="V331" i="46"/>
  <c r="V343" i="46" s="1"/>
  <c r="V344" i="46" s="1"/>
  <c r="V332" i="46"/>
  <c r="AC65" i="16"/>
  <c r="BI64" i="51"/>
  <c r="U251" i="19"/>
  <c r="U252" i="19" s="1"/>
  <c r="U216" i="19"/>
  <c r="U219" i="19"/>
  <c r="U215" i="19"/>
  <c r="U217" i="19"/>
  <c r="U218" i="19"/>
  <c r="U220" i="19"/>
  <c r="X148" i="12"/>
  <c r="X169" i="12" s="1"/>
  <c r="Y130" i="12"/>
  <c r="AB187" i="20"/>
  <c r="AB149" i="19" s="1"/>
  <c r="AB190" i="20"/>
  <c r="AB152" i="19" s="1"/>
  <c r="AB186" i="20"/>
  <c r="AB148" i="19" s="1"/>
  <c r="AB188" i="20"/>
  <c r="AB150" i="19" s="1"/>
  <c r="AB189" i="20"/>
  <c r="AB151" i="19" s="1"/>
  <c r="AC137" i="12"/>
  <c r="AB147" i="19"/>
  <c r="AC137" i="14" s="1"/>
  <c r="BJ50" i="51"/>
  <c r="X103" i="45"/>
  <c r="BD103" i="45"/>
  <c r="BD102" i="45"/>
  <c r="X101" i="45"/>
  <c r="X102" i="45"/>
  <c r="BD101" i="45"/>
  <c r="AB150" i="20"/>
  <c r="AB126" i="19" s="1"/>
  <c r="AB149" i="20"/>
  <c r="AB125" i="19" s="1"/>
  <c r="AB148" i="20"/>
  <c r="AB124" i="19" s="1"/>
  <c r="AB146" i="20"/>
  <c r="AB122" i="19" s="1"/>
  <c r="AB147" i="20"/>
  <c r="AB123" i="19" s="1"/>
  <c r="AC138" i="12"/>
  <c r="AB121" i="19"/>
  <c r="AC138" i="14" s="1"/>
  <c r="Z109" i="12"/>
  <c r="Y81" i="19"/>
  <c r="Z109" i="14" s="1"/>
  <c r="AO94" i="15"/>
  <c r="AH11" i="16"/>
  <c r="Z96" i="20"/>
  <c r="Y105" i="12"/>
  <c r="U191" i="29"/>
  <c r="W326" i="38"/>
  <c r="W335" i="38" s="1"/>
  <c r="X121" i="36" s="1"/>
  <c r="BD121" i="36" s="1"/>
  <c r="BG59" i="45" l="1"/>
  <c r="AA232" i="54"/>
  <c r="R16" i="55"/>
  <c r="R12" i="55"/>
  <c r="X286" i="20"/>
  <c r="AF29" i="46"/>
  <c r="R15" i="55"/>
  <c r="X282" i="20"/>
  <c r="X283" i="20"/>
  <c r="R11" i="55"/>
  <c r="X284" i="20"/>
  <c r="R14" i="55"/>
  <c r="W233" i="14"/>
  <c r="W234" i="14" s="1"/>
  <c r="BG60" i="45"/>
  <c r="X232" i="12"/>
  <c r="BG104" i="45"/>
  <c r="AG18" i="38"/>
  <c r="AG24" i="38" s="1"/>
  <c r="AG39" i="38" s="1"/>
  <c r="AF24" i="38"/>
  <c r="AF39" i="38" s="1"/>
  <c r="AF44" i="38" s="1"/>
  <c r="AF288" i="38" s="1"/>
  <c r="AB103" i="36"/>
  <c r="BG58" i="45"/>
  <c r="AG18" i="42"/>
  <c r="AG24" i="42" s="1"/>
  <c r="AG39" i="42" s="1"/>
  <c r="AF24" i="42"/>
  <c r="AF39" i="42" s="1"/>
  <c r="AA236" i="54"/>
  <c r="AA241" i="54" s="1"/>
  <c r="AA242" i="54" s="1"/>
  <c r="BK41" i="45"/>
  <c r="BK43" i="45" s="1"/>
  <c r="AD65" i="16"/>
  <c r="BI110" i="36"/>
  <c r="BI112" i="36" s="1"/>
  <c r="AC133" i="19"/>
  <c r="AB229" i="54"/>
  <c r="AB230" i="54" s="1"/>
  <c r="AC132" i="19"/>
  <c r="AC129" i="19"/>
  <c r="AC128" i="19" s="1"/>
  <c r="BH57" i="45"/>
  <c r="AC131" i="19"/>
  <c r="BH105" i="36"/>
  <c r="AB141" i="15"/>
  <c r="AB142" i="15" s="1"/>
  <c r="U345" i="48"/>
  <c r="AE194" i="54"/>
  <c r="AG29" i="54"/>
  <c r="AE278" i="38"/>
  <c r="Z185" i="28"/>
  <c r="AB140" i="15"/>
  <c r="AC137" i="20"/>
  <c r="AC113" i="19" s="1"/>
  <c r="AC162" i="54"/>
  <c r="AD89" i="29"/>
  <c r="X271" i="48"/>
  <c r="AC109" i="19"/>
  <c r="AD126" i="14" s="1"/>
  <c r="AC134" i="20"/>
  <c r="AC110" i="19" s="1"/>
  <c r="AC138" i="20"/>
  <c r="AC114" i="19" s="1"/>
  <c r="AC110" i="36"/>
  <c r="AC113" i="36" s="1"/>
  <c r="AG29" i="46"/>
  <c r="AG306" i="46" s="1"/>
  <c r="Y271" i="46"/>
  <c r="AG42" i="16"/>
  <c r="AG75" i="16" s="1"/>
  <c r="Y179" i="19"/>
  <c r="AF29" i="54"/>
  <c r="Y176" i="19"/>
  <c r="V250" i="19"/>
  <c r="V253" i="19" s="1"/>
  <c r="U346" i="48"/>
  <c r="U347" i="48" s="1"/>
  <c r="AD139" i="48"/>
  <c r="S122" i="45"/>
  <c r="AA128" i="36"/>
  <c r="AX122" i="45"/>
  <c r="U155" i="14"/>
  <c r="Y325" i="42"/>
  <c r="Y326" i="42" s="1"/>
  <c r="X69" i="16"/>
  <c r="Y259" i="53"/>
  <c r="Z78" i="51" s="1"/>
  <c r="Z77" i="51"/>
  <c r="W242" i="19"/>
  <c r="W243" i="19"/>
  <c r="W244" i="19"/>
  <c r="W241" i="19"/>
  <c r="W240" i="19"/>
  <c r="W239" i="19"/>
  <c r="AP86" i="15"/>
  <c r="S155" i="14"/>
  <c r="Z259" i="53"/>
  <c r="AA78" i="51" s="1"/>
  <c r="AA77" i="51"/>
  <c r="AE306" i="46"/>
  <c r="AE31" i="46"/>
  <c r="Z317" i="38"/>
  <c r="Z320" i="38" s="1"/>
  <c r="Z316" i="38"/>
  <c r="Y152" i="14"/>
  <c r="AC135" i="15"/>
  <c r="D82" i="15"/>
  <c r="AH47" i="15"/>
  <c r="AG37" i="28"/>
  <c r="AN117" i="15"/>
  <c r="AH125" i="15"/>
  <c r="X150" i="14"/>
  <c r="BD9" i="55"/>
  <c r="U254" i="19"/>
  <c r="BB126" i="36"/>
  <c r="U343" i="42"/>
  <c r="BB127" i="36" s="1"/>
  <c r="Z231" i="12"/>
  <c r="BJ98" i="36"/>
  <c r="BC120" i="36"/>
  <c r="W122" i="36"/>
  <c r="W125" i="36"/>
  <c r="AD33" i="28"/>
  <c r="AD34" i="28"/>
  <c r="U300" i="20"/>
  <c r="U301" i="20" s="1"/>
  <c r="X150" i="12"/>
  <c r="AA290" i="38"/>
  <c r="AA291" i="38" s="1"/>
  <c r="AA313" i="38"/>
  <c r="AA314" i="38" s="1"/>
  <c r="T268" i="19"/>
  <c r="U156" i="14" s="1"/>
  <c r="AA207" i="48"/>
  <c r="AA212" i="48" s="1"/>
  <c r="AA210" i="48"/>
  <c r="AA215" i="48" s="1"/>
  <c r="AA208" i="48"/>
  <c r="AA213" i="48" s="1"/>
  <c r="AA209" i="48"/>
  <c r="AA214" i="48" s="1"/>
  <c r="AA211" i="48"/>
  <c r="AC97" i="19"/>
  <c r="AB247" i="42"/>
  <c r="AA280" i="42"/>
  <c r="AA281" i="42" s="1"/>
  <c r="AC297" i="38"/>
  <c r="AC298" i="38"/>
  <c r="Z134" i="29"/>
  <c r="Z135" i="29" s="1"/>
  <c r="AA101" i="29"/>
  <c r="X82" i="48"/>
  <c r="X87" i="48" s="1"/>
  <c r="X80" i="48"/>
  <c r="X85" i="48" s="1"/>
  <c r="X83" i="48"/>
  <c r="X88" i="48" s="1"/>
  <c r="X84" i="48"/>
  <c r="X81" i="48"/>
  <c r="X86" i="48" s="1"/>
  <c r="V295" i="20"/>
  <c r="BK20" i="45"/>
  <c r="BK19" i="45"/>
  <c r="Z60" i="19"/>
  <c r="BI96" i="45"/>
  <c r="U72" i="15"/>
  <c r="T211" i="28"/>
  <c r="U73" i="15" s="1"/>
  <c r="AA174" i="28"/>
  <c r="AA179" i="28"/>
  <c r="AA178" i="28"/>
  <c r="AA176" i="28"/>
  <c r="AA177" i="28"/>
  <c r="AA175" i="28"/>
  <c r="T330" i="48"/>
  <c r="T329" i="48"/>
  <c r="T333" i="48" s="1"/>
  <c r="AB173" i="19"/>
  <c r="AD130" i="38"/>
  <c r="AD142" i="38" s="1"/>
  <c r="AD132" i="38"/>
  <c r="AD158" i="38" s="1"/>
  <c r="AD131" i="38"/>
  <c r="AD150" i="38" s="1"/>
  <c r="AC142" i="20"/>
  <c r="AC118" i="19" s="1"/>
  <c r="AC143" i="20"/>
  <c r="AC119" i="19" s="1"/>
  <c r="AC140" i="20"/>
  <c r="AC116" i="19" s="1"/>
  <c r="AC141" i="20"/>
  <c r="AC117" i="19" s="1"/>
  <c r="AC144" i="20"/>
  <c r="AC120" i="19" s="1"/>
  <c r="AC115" i="19"/>
  <c r="AD94" i="14" s="1"/>
  <c r="AG75" i="53"/>
  <c r="AG77" i="53"/>
  <c r="AG78" i="53" s="1"/>
  <c r="AH61" i="51" s="1"/>
  <c r="AG44" i="53"/>
  <c r="AG204" i="53" s="1"/>
  <c r="AG69" i="53"/>
  <c r="AG70" i="53" s="1"/>
  <c r="AH49" i="51" s="1"/>
  <c r="AG71" i="53"/>
  <c r="AG72" i="53" s="1"/>
  <c r="AH57" i="51" s="1"/>
  <c r="Z117" i="14"/>
  <c r="AD61" i="42"/>
  <c r="AD67" i="42"/>
  <c r="AD101" i="42" s="1"/>
  <c r="AD65" i="42"/>
  <c r="AD93" i="42" s="1"/>
  <c r="AD62" i="42"/>
  <c r="AD64" i="42"/>
  <c r="AD77" i="42" s="1"/>
  <c r="AD66" i="42"/>
  <c r="AD85" i="42" s="1"/>
  <c r="AE60" i="42"/>
  <c r="Y149" i="12"/>
  <c r="AC105" i="38"/>
  <c r="AD99" i="36" s="1"/>
  <c r="BJ99" i="36" s="1"/>
  <c r="AC102" i="38"/>
  <c r="AC106" i="38" s="1"/>
  <c r="AC103" i="38"/>
  <c r="AC107" i="38" s="1"/>
  <c r="AC104" i="38"/>
  <c r="AC108" i="38" s="1"/>
  <c r="AB84" i="45"/>
  <c r="AG235" i="38"/>
  <c r="AG239" i="38" s="1"/>
  <c r="AG237" i="38"/>
  <c r="AG241" i="38" s="1"/>
  <c r="AG236" i="38"/>
  <c r="AG240" i="38" s="1"/>
  <c r="AG238" i="38"/>
  <c r="AH107" i="36" s="1"/>
  <c r="AZ119" i="45"/>
  <c r="S365" i="48"/>
  <c r="S370" i="48"/>
  <c r="Z228" i="14"/>
  <c r="AD207" i="28"/>
  <c r="AD208" i="28"/>
  <c r="AD156" i="28"/>
  <c r="AF69" i="45"/>
  <c r="AD212" i="54"/>
  <c r="AD209" i="54"/>
  <c r="AD210" i="54"/>
  <c r="AD211" i="54"/>
  <c r="Y44" i="48"/>
  <c r="Y316" i="48" s="1"/>
  <c r="AG110" i="53"/>
  <c r="AG111" i="53" s="1"/>
  <c r="AG106" i="53"/>
  <c r="AG107" i="53" s="1"/>
  <c r="AH62" i="51" s="1"/>
  <c r="AG104" i="53"/>
  <c r="AG105" i="53" s="1"/>
  <c r="AH53" i="51" s="1"/>
  <c r="AG108" i="53"/>
  <c r="AG109" i="53" s="1"/>
  <c r="V334" i="48"/>
  <c r="V336" i="48"/>
  <c r="V337" i="48"/>
  <c r="V339" i="48"/>
  <c r="V335" i="48"/>
  <c r="V338" i="48"/>
  <c r="AD67" i="15"/>
  <c r="AD46" i="15"/>
  <c r="Y69" i="19"/>
  <c r="Z99" i="12"/>
  <c r="AC139" i="15"/>
  <c r="BH98" i="45"/>
  <c r="Z186" i="28"/>
  <c r="Z187" i="28" s="1"/>
  <c r="BD100" i="45"/>
  <c r="BD113" i="45"/>
  <c r="AC93" i="48"/>
  <c r="AC98" i="48" s="1"/>
  <c r="AC90" i="48"/>
  <c r="AC95" i="48" s="1"/>
  <c r="AC92" i="48"/>
  <c r="AC97" i="48" s="1"/>
  <c r="AC91" i="48"/>
  <c r="AC94" i="48"/>
  <c r="AE241" i="48"/>
  <c r="AF240" i="48"/>
  <c r="AF241" i="48" s="1"/>
  <c r="AN102" i="15"/>
  <c r="AN103" i="15" s="1"/>
  <c r="AQ81" i="16"/>
  <c r="AB300" i="42"/>
  <c r="AB299" i="42"/>
  <c r="Y179" i="29"/>
  <c r="Y180" i="29" s="1"/>
  <c r="Z53" i="19"/>
  <c r="AD59" i="15"/>
  <c r="AG123" i="15"/>
  <c r="AF36" i="28"/>
  <c r="AF42" i="28" s="1"/>
  <c r="AG43" i="15"/>
  <c r="BK61" i="51"/>
  <c r="AE64" i="51"/>
  <c r="X224" i="19"/>
  <c r="AD26" i="19"/>
  <c r="AD44" i="19" s="1"/>
  <c r="AE20" i="19"/>
  <c r="BH67" i="45"/>
  <c r="AB162" i="28"/>
  <c r="AB161" i="28"/>
  <c r="AB164" i="28"/>
  <c r="AB163" i="28"/>
  <c r="Y202" i="54"/>
  <c r="Y200" i="54"/>
  <c r="Y198" i="54"/>
  <c r="Y201" i="54"/>
  <c r="Y203" i="54"/>
  <c r="Y199" i="54"/>
  <c r="Z108" i="14"/>
  <c r="AD90" i="46"/>
  <c r="AD95" i="46" s="1"/>
  <c r="AD93" i="46"/>
  <c r="AD98" i="46" s="1"/>
  <c r="AD89" i="48"/>
  <c r="AD94" i="46"/>
  <c r="AD91" i="46"/>
  <c r="AD92" i="46"/>
  <c r="AD97" i="46" s="1"/>
  <c r="BH34" i="45"/>
  <c r="Z118" i="12"/>
  <c r="BN69" i="51"/>
  <c r="AC139" i="46"/>
  <c r="AC144" i="46"/>
  <c r="R268" i="19"/>
  <c r="S156" i="14" s="1"/>
  <c r="Z249" i="53"/>
  <c r="Z251" i="53"/>
  <c r="AA75" i="51" s="1"/>
  <c r="AB216" i="54"/>
  <c r="AB215" i="54"/>
  <c r="U349" i="46"/>
  <c r="AC139" i="16"/>
  <c r="Z310" i="38"/>
  <c r="Z307" i="38"/>
  <c r="Z306" i="38"/>
  <c r="Z311" i="38"/>
  <c r="Z309" i="38"/>
  <c r="Z308" i="38"/>
  <c r="AF360" i="46"/>
  <c r="BE76" i="45"/>
  <c r="Y78" i="45"/>
  <c r="AD136" i="16"/>
  <c r="AE84" i="29"/>
  <c r="AF61" i="16"/>
  <c r="R159" i="12"/>
  <c r="AO259" i="12"/>
  <c r="AN81" i="15"/>
  <c r="AH21" i="15"/>
  <c r="Z171" i="29"/>
  <c r="Z174" i="29" s="1"/>
  <c r="Z170" i="29"/>
  <c r="U234" i="19"/>
  <c r="U238" i="19" s="1"/>
  <c r="U235" i="19"/>
  <c r="BF74" i="51"/>
  <c r="Y253" i="54"/>
  <c r="AD25" i="19"/>
  <c r="AD43" i="19" s="1"/>
  <c r="AE19" i="19"/>
  <c r="AG134" i="38"/>
  <c r="AG158" i="38"/>
  <c r="AG150" i="38"/>
  <c r="AG142" i="38"/>
  <c r="AC219" i="53"/>
  <c r="AC231" i="53" s="1"/>
  <c r="AC220" i="53"/>
  <c r="BL56" i="51"/>
  <c r="BN60" i="51"/>
  <c r="Y228" i="14"/>
  <c r="AA153" i="29"/>
  <c r="AA154" i="29"/>
  <c r="AA301" i="38"/>
  <c r="AA305" i="38" s="1"/>
  <c r="AA302" i="38"/>
  <c r="AC98" i="19"/>
  <c r="Z284" i="42"/>
  <c r="Z282" i="42"/>
  <c r="Z283" i="42"/>
  <c r="Z285" i="42"/>
  <c r="Z286" i="42"/>
  <c r="Z287" i="42"/>
  <c r="Z59" i="19"/>
  <c r="Y141" i="29"/>
  <c r="Y136" i="29"/>
  <c r="Y137" i="29"/>
  <c r="Y140" i="29"/>
  <c r="Y138" i="29"/>
  <c r="Y139" i="29"/>
  <c r="AA221" i="20"/>
  <c r="AA47" i="20"/>
  <c r="AA218" i="20" s="1"/>
  <c r="AA72" i="20"/>
  <c r="AB93" i="12"/>
  <c r="Z141" i="12"/>
  <c r="BJ67" i="51"/>
  <c r="BI70" i="51"/>
  <c r="AB199" i="20"/>
  <c r="AB160" i="19" s="1"/>
  <c r="AB201" i="20"/>
  <c r="AB162" i="19" s="1"/>
  <c r="AB203" i="20"/>
  <c r="AB164" i="19" s="1"/>
  <c r="AB200" i="20"/>
  <c r="AB161" i="19" s="1"/>
  <c r="AB159" i="19"/>
  <c r="AC123" i="14" s="1"/>
  <c r="AB202" i="20"/>
  <c r="X116" i="45"/>
  <c r="AB215" i="53"/>
  <c r="AB216" i="53"/>
  <c r="Z107" i="12"/>
  <c r="AD139" i="16"/>
  <c r="Y97" i="14"/>
  <c r="Y154" i="14"/>
  <c r="Z130" i="12"/>
  <c r="BJ64" i="51"/>
  <c r="AA233" i="53"/>
  <c r="AA236" i="53" s="1"/>
  <c r="AA232" i="53"/>
  <c r="AD129" i="38"/>
  <c r="AD134" i="38"/>
  <c r="AG29" i="53"/>
  <c r="AC157" i="28"/>
  <c r="AC160" i="28"/>
  <c r="Z117" i="12"/>
  <c r="AF41" i="45"/>
  <c r="AC104" i="42"/>
  <c r="AC108" i="42" s="1"/>
  <c r="AC102" i="42"/>
  <c r="AC106" i="42" s="1"/>
  <c r="AC105" i="42"/>
  <c r="AC103" i="42"/>
  <c r="AC107" i="42" s="1"/>
  <c r="AD212" i="53"/>
  <c r="AD210" i="53"/>
  <c r="AD209" i="53"/>
  <c r="AD211" i="53"/>
  <c r="Y149" i="14"/>
  <c r="AA171" i="28"/>
  <c r="AA183" i="28" s="1"/>
  <c r="AA184" i="28" s="1"/>
  <c r="AA172" i="28"/>
  <c r="AB86" i="45"/>
  <c r="V331" i="48"/>
  <c r="V343" i="48" s="1"/>
  <c r="V332" i="48"/>
  <c r="R125" i="45"/>
  <c r="Q371" i="46"/>
  <c r="R126" i="45" s="1"/>
  <c r="AF76" i="15"/>
  <c r="AF75" i="15"/>
  <c r="AZ122" i="45"/>
  <c r="AF44" i="53"/>
  <c r="AF204" i="53" s="1"/>
  <c r="Z62" i="19"/>
  <c r="Y227" i="14"/>
  <c r="AB178" i="46"/>
  <c r="AB183" i="46" s="1"/>
  <c r="AB177" i="46"/>
  <c r="AB182" i="46" s="1"/>
  <c r="AB175" i="46"/>
  <c r="AB180" i="46" s="1"/>
  <c r="AB174" i="48"/>
  <c r="AB176" i="46"/>
  <c r="AB181" i="46" s="1"/>
  <c r="AB179" i="46"/>
  <c r="AC107" i="45" s="1"/>
  <c r="BI85" i="36"/>
  <c r="BI86" i="36" s="1"/>
  <c r="BI89" i="36" s="1"/>
  <c r="AC86" i="36"/>
  <c r="AC89" i="36" s="1"/>
  <c r="AC58" i="29"/>
  <c r="AC114" i="28"/>
  <c r="AC213" i="28"/>
  <c r="Y153" i="12"/>
  <c r="Y98" i="12"/>
  <c r="AC102" i="36"/>
  <c r="AC134" i="15"/>
  <c r="AC68" i="15"/>
  <c r="AC133" i="15" a="1"/>
  <c r="AC133" i="15" s="1"/>
  <c r="X231" i="14"/>
  <c r="X232" i="14" s="1"/>
  <c r="BF4" i="55"/>
  <c r="Y221" i="19"/>
  <c r="Y272" i="19"/>
  <c r="Y222" i="19"/>
  <c r="Y273" i="19"/>
  <c r="Y225" i="19"/>
  <c r="D85" i="15"/>
  <c r="D83" i="15"/>
  <c r="AH128" i="15"/>
  <c r="AN123" i="15"/>
  <c r="AG40" i="28"/>
  <c r="AH60" i="15"/>
  <c r="D85" i="16"/>
  <c r="AG40" i="29"/>
  <c r="AH128" i="16"/>
  <c r="D83" i="16"/>
  <c r="AH60" i="16"/>
  <c r="AW124" i="45"/>
  <c r="AW123" i="45"/>
  <c r="AW121" i="45"/>
  <c r="AD59" i="16"/>
  <c r="BI51" i="51"/>
  <c r="BI72" i="51"/>
  <c r="BI73" i="51" s="1"/>
  <c r="AP259" i="12"/>
  <c r="AN82" i="15"/>
  <c r="AH40" i="15"/>
  <c r="W331" i="46"/>
  <c r="W343" i="46" s="1"/>
  <c r="W344" i="46" s="1"/>
  <c r="W332" i="46"/>
  <c r="Z118" i="14"/>
  <c r="AA301" i="42"/>
  <c r="AA305" i="42" s="1"/>
  <c r="AA302" i="42"/>
  <c r="W290" i="20"/>
  <c r="W291" i="20" s="1"/>
  <c r="W292" i="20"/>
  <c r="X112" i="48"/>
  <c r="X117" i="48" s="1"/>
  <c r="X110" i="48"/>
  <c r="X115" i="48" s="1"/>
  <c r="X111" i="48"/>
  <c r="X116" i="48" s="1"/>
  <c r="X114" i="48"/>
  <c r="X113" i="48"/>
  <c r="X118" i="48" s="1"/>
  <c r="X274" i="48"/>
  <c r="V345" i="46"/>
  <c r="V346" i="46" s="1"/>
  <c r="R363" i="48"/>
  <c r="AY120" i="45" s="1"/>
  <c r="R361" i="48"/>
  <c r="U329" i="46"/>
  <c r="U333" i="46" s="1"/>
  <c r="U330" i="46"/>
  <c r="X233" i="12"/>
  <c r="X234" i="12" s="1"/>
  <c r="V196" i="29"/>
  <c r="Y228" i="12"/>
  <c r="Y232" i="12" s="1"/>
  <c r="AA227" i="48"/>
  <c r="AA232" i="48" s="1"/>
  <c r="AA228" i="48"/>
  <c r="AA233" i="48" s="1"/>
  <c r="AA229" i="48"/>
  <c r="AA234" i="48" s="1"/>
  <c r="AA230" i="48"/>
  <c r="AA235" i="48" s="1"/>
  <c r="AA231" i="48"/>
  <c r="X71" i="48"/>
  <c r="X76" i="48" s="1"/>
  <c r="X73" i="48"/>
  <c r="X78" i="48" s="1"/>
  <c r="X72" i="48"/>
  <c r="X77" i="48" s="1"/>
  <c r="X70" i="48"/>
  <c r="X75" i="48" s="1"/>
  <c r="X74" i="48"/>
  <c r="W230" i="19"/>
  <c r="W231" i="19"/>
  <c r="R161" i="12"/>
  <c r="Z163" i="29"/>
  <c r="Z165" i="29"/>
  <c r="Z160" i="29"/>
  <c r="Z164" i="29"/>
  <c r="Z161" i="29"/>
  <c r="Z162" i="29"/>
  <c r="W336" i="46"/>
  <c r="W339" i="46"/>
  <c r="W338" i="46"/>
  <c r="W337" i="46"/>
  <c r="W335" i="46"/>
  <c r="W334" i="46"/>
  <c r="BH99" i="45"/>
  <c r="AE63" i="20"/>
  <c r="AD65" i="20"/>
  <c r="AD64" i="20"/>
  <c r="Y188" i="28"/>
  <c r="AN82" i="16"/>
  <c r="AH40" i="16"/>
  <c r="BE106" i="45"/>
  <c r="Y109" i="45"/>
  <c r="CH13" i="55"/>
  <c r="CH15" i="55"/>
  <c r="CH14" i="55"/>
  <c r="CH11" i="55"/>
  <c r="CH19" i="55" s="1"/>
  <c r="CH12" i="55"/>
  <c r="CH16" i="55"/>
  <c r="AG80" i="29"/>
  <c r="AG79" i="29" s="1"/>
  <c r="AG82" i="29"/>
  <c r="AH55" i="16" s="1"/>
  <c r="AH55" i="15"/>
  <c r="Z47" i="19"/>
  <c r="Z176" i="19" s="1"/>
  <c r="AG61" i="15"/>
  <c r="AF85" i="29"/>
  <c r="BM60" i="51"/>
  <c r="AC136" i="38"/>
  <c r="AC140" i="38" s="1"/>
  <c r="AC135" i="38"/>
  <c r="AC139" i="38" s="1"/>
  <c r="AC138" i="38"/>
  <c r="AD85" i="36" s="1"/>
  <c r="AC137" i="38"/>
  <c r="AC141" i="38" s="1"/>
  <c r="AD128" i="42"/>
  <c r="AE126" i="42"/>
  <c r="AD127" i="42"/>
  <c r="AB138" i="19"/>
  <c r="AB141" i="16"/>
  <c r="AB142" i="16" s="1"/>
  <c r="AC100" i="19"/>
  <c r="AB151" i="29"/>
  <c r="AB152" i="29"/>
  <c r="AG122" i="15"/>
  <c r="AG132" i="15" s="1"/>
  <c r="P161" i="14"/>
  <c r="CN4" i="55"/>
  <c r="AA31" i="20"/>
  <c r="AA253" i="20"/>
  <c r="AC73" i="51"/>
  <c r="Z141" i="14"/>
  <c r="Y148" i="12"/>
  <c r="AD183" i="42"/>
  <c r="AE181" i="42"/>
  <c r="AD182" i="42"/>
  <c r="AE47" i="28"/>
  <c r="AE54" i="29"/>
  <c r="AE52" i="29"/>
  <c r="AE49" i="29" s="1"/>
  <c r="AE51" i="29"/>
  <c r="AE53" i="29"/>
  <c r="AE50" i="29"/>
  <c r="AE122" i="20"/>
  <c r="AE125" i="20"/>
  <c r="AE121" i="20"/>
  <c r="AE123" i="20"/>
  <c r="AE124" i="20"/>
  <c r="AE120" i="20"/>
  <c r="AF119" i="20"/>
  <c r="Z107" i="14"/>
  <c r="Z231" i="14"/>
  <c r="U71" i="15"/>
  <c r="AB124" i="12"/>
  <c r="Y97" i="12"/>
  <c r="Y154" i="12"/>
  <c r="Z130" i="14"/>
  <c r="AF153" i="54"/>
  <c r="AF154" i="54" s="1"/>
  <c r="AF156" i="54" s="1"/>
  <c r="AE154" i="54"/>
  <c r="AE156" i="54" s="1"/>
  <c r="AB158" i="28"/>
  <c r="AB159" i="28" s="1"/>
  <c r="AB181" i="28"/>
  <c r="AB182" i="28" s="1"/>
  <c r="AA222" i="53"/>
  <c r="AA225" i="53"/>
  <c r="AA223" i="53"/>
  <c r="AA227" i="53"/>
  <c r="AA226" i="53"/>
  <c r="AA224" i="53"/>
  <c r="BG24" i="45"/>
  <c r="BG26" i="45"/>
  <c r="Z34" i="48"/>
  <c r="BG82" i="45"/>
  <c r="BG25" i="45"/>
  <c r="BI91" i="36"/>
  <c r="BI93" i="36" s="1"/>
  <c r="BI96" i="36" s="1"/>
  <c r="AC93" i="36"/>
  <c r="AC96" i="36" s="1"/>
  <c r="AA127" i="12"/>
  <c r="AG40" i="45"/>
  <c r="AG39" i="45"/>
  <c r="AH38" i="45"/>
  <c r="BM38" i="45"/>
  <c r="AA72" i="45"/>
  <c r="AA86" i="45"/>
  <c r="AC79" i="42"/>
  <c r="AC83" i="42" s="1"/>
  <c r="AC78" i="42"/>
  <c r="AC82" i="42" s="1"/>
  <c r="AC81" i="42"/>
  <c r="AC80" i="42"/>
  <c r="AC84" i="42" s="1"/>
  <c r="AA84" i="20"/>
  <c r="AD49" i="15"/>
  <c r="AC79" i="38"/>
  <c r="AC83" i="38" s="1"/>
  <c r="AC80" i="38"/>
  <c r="AC84" i="38" s="1"/>
  <c r="AC81" i="38"/>
  <c r="AD92" i="36" s="1"/>
  <c r="BJ92" i="36" s="1"/>
  <c r="AC78" i="38"/>
  <c r="AC82" i="38" s="1"/>
  <c r="AB85" i="45"/>
  <c r="V333" i="42"/>
  <c r="AF29" i="53"/>
  <c r="R164" i="14"/>
  <c r="Q276" i="19"/>
  <c r="R165" i="14" s="1"/>
  <c r="AG223" i="38"/>
  <c r="AH98" i="36" s="1"/>
  <c r="AG220" i="38"/>
  <c r="AG224" i="38" s="1"/>
  <c r="AG221" i="38"/>
  <c r="AG225" i="38" s="1"/>
  <c r="AG222" i="38"/>
  <c r="AG226" i="38" s="1"/>
  <c r="AB155" i="46"/>
  <c r="AB160" i="46" s="1"/>
  <c r="AB158" i="46"/>
  <c r="AB163" i="46" s="1"/>
  <c r="AB154" i="48"/>
  <c r="AB159" i="46"/>
  <c r="AC98" i="45" s="1"/>
  <c r="AB156" i="46"/>
  <c r="AB161" i="46" s="1"/>
  <c r="AB157" i="46"/>
  <c r="AB162" i="46" s="1"/>
  <c r="V232" i="19"/>
  <c r="V233" i="19"/>
  <c r="AA96" i="20"/>
  <c r="Y98" i="14"/>
  <c r="Y153" i="14"/>
  <c r="BI102" i="36"/>
  <c r="X151" i="14"/>
  <c r="X278" i="20"/>
  <c r="X279" i="20"/>
  <c r="AC264" i="48"/>
  <c r="AC269" i="48" s="1"/>
  <c r="AC261" i="48"/>
  <c r="AC266" i="48" s="1"/>
  <c r="AC262" i="48"/>
  <c r="AC267" i="48" s="1"/>
  <c r="AC263" i="48"/>
  <c r="AC268" i="48" s="1"/>
  <c r="AC265" i="48"/>
  <c r="BG75" i="45"/>
  <c r="Z33" i="48"/>
  <c r="Z39" i="48" s="1"/>
  <c r="AD204" i="48"/>
  <c r="AD203" i="48"/>
  <c r="Z95" i="20"/>
  <c r="Z87" i="19" s="1"/>
  <c r="Z94" i="20"/>
  <c r="Z82" i="19"/>
  <c r="AA124" i="14" s="1"/>
  <c r="Z93" i="20"/>
  <c r="Z91" i="20"/>
  <c r="Z92" i="20"/>
  <c r="AO102" i="15"/>
  <c r="AQ82" i="16"/>
  <c r="Y172" i="29"/>
  <c r="Y173" i="29" s="1"/>
  <c r="Y175" i="29" s="1"/>
  <c r="AA147" i="12"/>
  <c r="AA95" i="12"/>
  <c r="Z51" i="19"/>
  <c r="BC114" i="45"/>
  <c r="BC115" i="45" s="1"/>
  <c r="AE232" i="38"/>
  <c r="AE234" i="38" s="1"/>
  <c r="AF231" i="38"/>
  <c r="AF232" i="38" s="1"/>
  <c r="AF234" i="38" s="1"/>
  <c r="AG230" i="46"/>
  <c r="AG235" i="46" s="1"/>
  <c r="AG229" i="46"/>
  <c r="AG234" i="46" s="1"/>
  <c r="AG228" i="46"/>
  <c r="AG233" i="46" s="1"/>
  <c r="AG227" i="46"/>
  <c r="AG232" i="46" s="1"/>
  <c r="AG231" i="46"/>
  <c r="AH108" i="45" s="1"/>
  <c r="AG226" i="48"/>
  <c r="R361" i="46"/>
  <c r="Q361" i="48"/>
  <c r="S363" i="46"/>
  <c r="T120" i="45" s="1"/>
  <c r="S361" i="46"/>
  <c r="Z241" i="54"/>
  <c r="Z242" i="54" s="1"/>
  <c r="BH107" i="45"/>
  <c r="X326" i="42"/>
  <c r="X335" i="42" s="1"/>
  <c r="Y325" i="38"/>
  <c r="Y326" i="38" s="1"/>
  <c r="X114" i="45"/>
  <c r="X115" i="45" s="1"/>
  <c r="V191" i="29"/>
  <c r="R19" i="55"/>
  <c r="BJ71" i="51"/>
  <c r="AF31" i="46"/>
  <c r="AF306" i="46"/>
  <c r="AG199" i="38"/>
  <c r="AG203" i="38" s="1"/>
  <c r="AG198" i="38"/>
  <c r="AG202" i="38" s="1"/>
  <c r="AG197" i="38"/>
  <c r="AG201" i="38" s="1"/>
  <c r="AG200" i="38"/>
  <c r="AH101" i="36" s="1"/>
  <c r="BN101" i="36" s="1"/>
  <c r="Y169" i="28"/>
  <c r="Y173" i="28" s="1"/>
  <c r="Y170" i="28"/>
  <c r="W237" i="19"/>
  <c r="W236" i="19"/>
  <c r="W248" i="19" s="1"/>
  <c r="BI23" i="45"/>
  <c r="X275" i="46"/>
  <c r="W308" i="46"/>
  <c r="W309" i="46" s="1"/>
  <c r="AB144" i="42"/>
  <c r="AB148" i="42" s="1"/>
  <c r="AB143" i="42"/>
  <c r="AB147" i="42" s="1"/>
  <c r="AB146" i="42"/>
  <c r="AB145" i="42"/>
  <c r="AB149" i="42" s="1"/>
  <c r="AD169" i="20"/>
  <c r="AD168" i="20"/>
  <c r="AD170" i="20"/>
  <c r="AD179" i="20" s="1"/>
  <c r="AD171" i="20"/>
  <c r="AD185" i="20" s="1"/>
  <c r="AD167" i="20"/>
  <c r="AD173" i="20" s="1"/>
  <c r="AE166" i="20"/>
  <c r="AA217" i="48"/>
  <c r="AA222" i="48" s="1"/>
  <c r="AA219" i="48"/>
  <c r="AA224" i="48" s="1"/>
  <c r="AA218" i="48"/>
  <c r="AA223" i="48" s="1"/>
  <c r="AA221" i="48"/>
  <c r="AA220" i="48"/>
  <c r="AA225" i="48" s="1"/>
  <c r="AC66" i="20"/>
  <c r="Z229" i="12"/>
  <c r="AD30" i="45"/>
  <c r="W275" i="48"/>
  <c r="V308" i="48"/>
  <c r="V309" i="48" s="1"/>
  <c r="CI9" i="55"/>
  <c r="AF40" i="28"/>
  <c r="AG128" i="15"/>
  <c r="AG60" i="15"/>
  <c r="Z211" i="19"/>
  <c r="Z31" i="19"/>
  <c r="AH61" i="15"/>
  <c r="AG85" i="29"/>
  <c r="AG247" i="46"/>
  <c r="AG252" i="46" s="1"/>
  <c r="AG246" i="46"/>
  <c r="AG251" i="46" s="1"/>
  <c r="AG244" i="46"/>
  <c r="AG249" i="46" s="1"/>
  <c r="AG248" i="46"/>
  <c r="AH96" i="45" s="1"/>
  <c r="AG243" i="48"/>
  <c r="AG245" i="46"/>
  <c r="AG250" i="46" s="1"/>
  <c r="AC130" i="42"/>
  <c r="AC142" i="42" s="1"/>
  <c r="AC131" i="42"/>
  <c r="AC150" i="42" s="1"/>
  <c r="AC132" i="42"/>
  <c r="AC158" i="42" s="1"/>
  <c r="AD63" i="54"/>
  <c r="AD159" i="54" s="1"/>
  <c r="AD69" i="54"/>
  <c r="AD70" i="54" s="1"/>
  <c r="X325" i="38"/>
  <c r="X326" i="38" s="1"/>
  <c r="AC96" i="19"/>
  <c r="AC95" i="19" s="1"/>
  <c r="Z61" i="19"/>
  <c r="AB70" i="38"/>
  <c r="AB74" i="38" s="1"/>
  <c r="AB73" i="38"/>
  <c r="AC78" i="36" s="1"/>
  <c r="AB72" i="38"/>
  <c r="AB76" i="38" s="1"/>
  <c r="AB71" i="38"/>
  <c r="AB75" i="38" s="1"/>
  <c r="CG6" i="55"/>
  <c r="AC204" i="42"/>
  <c r="AC184" i="42"/>
  <c r="AC196" i="42"/>
  <c r="AC188" i="42"/>
  <c r="Y317" i="46"/>
  <c r="Y320" i="46"/>
  <c r="AD127" i="20"/>
  <c r="AE125" i="12"/>
  <c r="AE25" i="20"/>
  <c r="AE43" i="20" s="1"/>
  <c r="AF19" i="20"/>
  <c r="AB29" i="20"/>
  <c r="AB42" i="20"/>
  <c r="AB72" i="42"/>
  <c r="AB76" i="42" s="1"/>
  <c r="AB71" i="42"/>
  <c r="AB75" i="42" s="1"/>
  <c r="AB73" i="42"/>
  <c r="AB70" i="42"/>
  <c r="AB74" i="42" s="1"/>
  <c r="AA90" i="20"/>
  <c r="AD66" i="15"/>
  <c r="AD157" i="54"/>
  <c r="AF47" i="16"/>
  <c r="AE37" i="29"/>
  <c r="AF125" i="16"/>
  <c r="AG29" i="38"/>
  <c r="BG70" i="45"/>
  <c r="AF257" i="48"/>
  <c r="AF258" i="48" s="1"/>
  <c r="AE258" i="48"/>
  <c r="AC298" i="42"/>
  <c r="AC297" i="42"/>
  <c r="AA119" i="36"/>
  <c r="BL40" i="45"/>
  <c r="BL39" i="45"/>
  <c r="V293" i="20"/>
  <c r="V294" i="20" s="1"/>
  <c r="V296" i="20" s="1"/>
  <c r="AA85" i="45"/>
  <c r="AA71" i="45"/>
  <c r="AC63" i="42"/>
  <c r="AC69" i="42"/>
  <c r="AC95" i="38"/>
  <c r="AC99" i="38" s="1"/>
  <c r="AC97" i="38"/>
  <c r="AD108" i="36" s="1"/>
  <c r="BJ108" i="36" s="1"/>
  <c r="AC96" i="38"/>
  <c r="AC100" i="38" s="1"/>
  <c r="AC94" i="38"/>
  <c r="AC98" i="38" s="1"/>
  <c r="AC134" i="16"/>
  <c r="AC68" i="16"/>
  <c r="AC77" i="16"/>
  <c r="AC133" i="16" a="1"/>
  <c r="AC133" i="16" s="1"/>
  <c r="AB87" i="45"/>
  <c r="AA235" i="54"/>
  <c r="AA237" i="54" s="1"/>
  <c r="AA258" i="54" s="1"/>
  <c r="R123" i="45"/>
  <c r="R124" i="45"/>
  <c r="R121" i="45"/>
  <c r="AF129" i="15"/>
  <c r="AF131" i="15"/>
  <c r="AD23" i="45"/>
  <c r="W318" i="48"/>
  <c r="W319" i="48" s="1"/>
  <c r="W341" i="48"/>
  <c r="W342" i="48" s="1"/>
  <c r="AA280" i="38"/>
  <c r="AA281" i="38" s="1"/>
  <c r="AB247" i="38"/>
  <c r="AF63" i="29"/>
  <c r="AF62" i="29" s="1"/>
  <c r="AF66" i="29"/>
  <c r="AF64" i="29"/>
  <c r="AF67" i="29"/>
  <c r="AF65" i="29"/>
  <c r="AF68" i="29"/>
  <c r="AG157" i="53"/>
  <c r="AH66" i="51" s="1"/>
  <c r="T353" i="46"/>
  <c r="T354" i="46" s="1"/>
  <c r="AB165" i="46"/>
  <c r="AB170" i="46" s="1"/>
  <c r="AB168" i="46"/>
  <c r="AB173" i="46" s="1"/>
  <c r="AB167" i="46"/>
  <c r="AB172" i="46" s="1"/>
  <c r="AB164" i="48"/>
  <c r="AB166" i="46"/>
  <c r="AB171" i="46" s="1"/>
  <c r="AB169" i="46"/>
  <c r="AC77" i="45" s="1"/>
  <c r="Z147" i="14"/>
  <c r="Z95" i="14"/>
  <c r="AF44" i="54"/>
  <c r="AF204" i="54" s="1"/>
  <c r="AB233" i="54"/>
  <c r="AB236" i="54" s="1"/>
  <c r="AB232" i="54"/>
  <c r="BJ105" i="45"/>
  <c r="AQ82" i="15"/>
  <c r="AO103" i="15"/>
  <c r="AP263" i="12"/>
  <c r="Z196" i="53"/>
  <c r="Z197" i="53" s="1"/>
  <c r="AA163" i="53"/>
  <c r="AE137" i="48"/>
  <c r="AE200" i="48"/>
  <c r="AE201" i="48"/>
  <c r="AF136" i="48"/>
  <c r="AE138" i="48"/>
  <c r="BH83" i="45"/>
  <c r="AE61" i="28"/>
  <c r="AE57" i="29" s="1"/>
  <c r="AE63" i="28"/>
  <c r="AF59" i="28"/>
  <c r="AE60" i="28"/>
  <c r="AE64" i="28"/>
  <c r="AC213" i="54"/>
  <c r="AC214" i="54"/>
  <c r="Z57" i="19"/>
  <c r="Z54" i="19"/>
  <c r="X69" i="15"/>
  <c r="W205" i="28"/>
  <c r="W210" i="28"/>
  <c r="AE61" i="53"/>
  <c r="AE66" i="53"/>
  <c r="AE73" i="53" s="1"/>
  <c r="AE74" i="53" s="1"/>
  <c r="AE65" i="53"/>
  <c r="AE75" i="53" s="1"/>
  <c r="AE62" i="53"/>
  <c r="AE64" i="53"/>
  <c r="AE71" i="53" s="1"/>
  <c r="AE72" i="53" s="1"/>
  <c r="AF57" i="51" s="1"/>
  <c r="AF58" i="51" s="1"/>
  <c r="AE67" i="53"/>
  <c r="AE77" i="53" s="1"/>
  <c r="AE78" i="53" s="1"/>
  <c r="AF61" i="51" s="1"/>
  <c r="AF60" i="53"/>
  <c r="AF29" i="28"/>
  <c r="Z317" i="42"/>
  <c r="Z316" i="42"/>
  <c r="V72" i="16"/>
  <c r="U197" i="29"/>
  <c r="V73" i="16" s="1"/>
  <c r="AF108" i="54"/>
  <c r="AF109" i="54" s="1"/>
  <c r="AF110" i="54"/>
  <c r="AF111" i="54" s="1"/>
  <c r="AF106" i="54"/>
  <c r="AF107" i="54" s="1"/>
  <c r="AF104" i="54"/>
  <c r="AF105" i="54" s="1"/>
  <c r="AD236" i="38"/>
  <c r="AD240" i="38" s="1"/>
  <c r="AD235" i="38"/>
  <c r="AD239" i="38" s="1"/>
  <c r="AD238" i="38"/>
  <c r="AE107" i="36" s="1"/>
  <c r="AD237" i="38"/>
  <c r="AD241" i="38" s="1"/>
  <c r="AG208" i="46"/>
  <c r="AG213" i="46" s="1"/>
  <c r="AG209" i="46"/>
  <c r="AG214" i="46" s="1"/>
  <c r="AG210" i="46"/>
  <c r="AG215" i="46" s="1"/>
  <c r="AG206" i="48"/>
  <c r="AG211" i="46"/>
  <c r="AH89" i="45" s="1"/>
  <c r="AG207" i="46"/>
  <c r="AG212" i="46" s="1"/>
  <c r="T310" i="20"/>
  <c r="U156" i="12" s="1"/>
  <c r="T308" i="20"/>
  <c r="AB111" i="36"/>
  <c r="AB117" i="36" s="1"/>
  <c r="AB123" i="36" s="1"/>
  <c r="AB112" i="36"/>
  <c r="AB113" i="36"/>
  <c r="AD75" i="29"/>
  <c r="AE64" i="16" s="1"/>
  <c r="AE64" i="15"/>
  <c r="BE103" i="45"/>
  <c r="Y103" i="45"/>
  <c r="Y102" i="45"/>
  <c r="BE101" i="45"/>
  <c r="Y101" i="45"/>
  <c r="BE102" i="45"/>
  <c r="Z234" i="54"/>
  <c r="Z235" i="54" s="1"/>
  <c r="Z237" i="54" s="1"/>
  <c r="Z258" i="54" s="1"/>
  <c r="BD78" i="45"/>
  <c r="AG131" i="16"/>
  <c r="W71" i="16"/>
  <c r="AG207" i="38"/>
  <c r="AG211" i="38" s="1"/>
  <c r="AG206" i="38"/>
  <c r="AG210" i="38" s="1"/>
  <c r="AG208" i="38"/>
  <c r="AG205" i="38"/>
  <c r="AG209" i="38" s="1"/>
  <c r="BM63" i="51"/>
  <c r="AB220" i="46"/>
  <c r="AB225" i="46" s="1"/>
  <c r="AB218" i="46"/>
  <c r="AB223" i="46" s="1"/>
  <c r="AB217" i="46"/>
  <c r="AB222" i="46" s="1"/>
  <c r="AB216" i="48"/>
  <c r="AB219" i="46"/>
  <c r="AB224" i="46" s="1"/>
  <c r="AB221" i="46"/>
  <c r="AC99" i="45" s="1"/>
  <c r="BH113" i="36"/>
  <c r="BH112" i="36"/>
  <c r="BH111" i="36"/>
  <c r="BH117" i="36" s="1"/>
  <c r="BH123" i="36" s="1"/>
  <c r="AC152" i="38"/>
  <c r="AC156" i="38" s="1"/>
  <c r="AC153" i="38"/>
  <c r="AC157" i="38" s="1"/>
  <c r="AC151" i="38"/>
  <c r="AC155" i="38" s="1"/>
  <c r="AC154" i="38"/>
  <c r="AD79" i="36" s="1"/>
  <c r="AO126" i="15"/>
  <c r="AO252" i="12"/>
  <c r="AH121" i="15"/>
  <c r="AH42" i="15"/>
  <c r="V314" i="46"/>
  <c r="V315" i="46"/>
  <c r="V310" i="46"/>
  <c r="V311" i="46"/>
  <c r="V312" i="46"/>
  <c r="V313" i="46"/>
  <c r="AB152" i="42"/>
  <c r="AB156" i="42" s="1"/>
  <c r="AB151" i="42"/>
  <c r="AB155" i="42" s="1"/>
  <c r="AB154" i="42"/>
  <c r="AB153" i="42"/>
  <c r="AB157" i="42" s="1"/>
  <c r="AF332" i="42"/>
  <c r="AC178" i="20"/>
  <c r="AC140" i="19" s="1"/>
  <c r="AC174" i="20"/>
  <c r="AC136" i="19" s="1"/>
  <c r="AC175" i="20"/>
  <c r="AC137" i="19" s="1"/>
  <c r="AC135" i="19"/>
  <c r="AD113" i="14" s="1"/>
  <c r="AD113" i="12"/>
  <c r="AC176" i="20"/>
  <c r="AC177" i="20"/>
  <c r="AC139" i="19" s="1"/>
  <c r="V327" i="46"/>
  <c r="V328" i="46"/>
  <c r="AC67" i="20"/>
  <c r="AC68" i="20"/>
  <c r="AC69" i="20"/>
  <c r="AC70" i="20"/>
  <c r="AA217" i="53"/>
  <c r="AA221" i="53" s="1"/>
  <c r="AA218" i="53"/>
  <c r="AC213" i="53"/>
  <c r="AC214" i="53"/>
  <c r="AD55" i="45"/>
  <c r="AD56" i="45"/>
  <c r="AD33" i="45"/>
  <c r="U315" i="48"/>
  <c r="U312" i="48"/>
  <c r="U311" i="48"/>
  <c r="U313" i="48"/>
  <c r="U310" i="48"/>
  <c r="U314" i="48"/>
  <c r="AC135" i="16"/>
  <c r="AB206" i="42"/>
  <c r="AB210" i="42" s="1"/>
  <c r="AB205" i="42"/>
  <c r="AB209" i="42" s="1"/>
  <c r="AB208" i="42"/>
  <c r="AB207" i="42"/>
  <c r="AB211" i="42" s="1"/>
  <c r="AC106" i="19"/>
  <c r="AC129" i="42"/>
  <c r="AC134" i="42"/>
  <c r="Z228" i="12"/>
  <c r="AC150" i="20"/>
  <c r="AC126" i="19" s="1"/>
  <c r="AC149" i="20"/>
  <c r="AC125" i="19" s="1"/>
  <c r="AC146" i="20"/>
  <c r="AC122" i="19" s="1"/>
  <c r="AC148" i="20"/>
  <c r="AC124" i="19" s="1"/>
  <c r="AC147" i="20"/>
  <c r="AC123" i="19" s="1"/>
  <c r="AC121" i="19"/>
  <c r="AD138" i="14" s="1"/>
  <c r="AD138" i="12"/>
  <c r="AB246" i="38"/>
  <c r="AB243" i="38"/>
  <c r="Y93" i="45"/>
  <c r="Y94" i="45"/>
  <c r="BE94" i="45"/>
  <c r="BE93" i="45"/>
  <c r="Y169" i="12"/>
  <c r="AG123" i="16"/>
  <c r="AF36" i="29"/>
  <c r="AF42" i="29" s="1"/>
  <c r="AG43" i="16"/>
  <c r="AC185" i="42"/>
  <c r="AC186" i="42"/>
  <c r="Y80" i="46"/>
  <c r="Y85" i="46" s="1"/>
  <c r="Y83" i="46"/>
  <c r="Y88" i="46" s="1"/>
  <c r="Y81" i="46"/>
  <c r="Y86" i="46" s="1"/>
  <c r="Y82" i="46"/>
  <c r="Y87" i="46" s="1"/>
  <c r="Y79" i="48"/>
  <c r="Y84" i="46"/>
  <c r="Z90" i="45" s="1"/>
  <c r="AD232" i="42"/>
  <c r="AD234" i="42" s="1"/>
  <c r="AE231" i="42"/>
  <c r="AG122" i="16"/>
  <c r="AG132" i="16" s="1"/>
  <c r="BD116" i="45"/>
  <c r="AE94" i="12"/>
  <c r="AD139" i="20"/>
  <c r="AE27" i="20"/>
  <c r="AE45" i="20" s="1"/>
  <c r="AF21" i="20"/>
  <c r="AB75" i="45"/>
  <c r="AA33" i="46"/>
  <c r="AA39" i="46" s="1"/>
  <c r="AD96" i="19"/>
  <c r="AD95" i="19" s="1"/>
  <c r="AD98" i="19"/>
  <c r="AD97" i="19"/>
  <c r="AD100" i="19"/>
  <c r="AD99" i="19"/>
  <c r="AD101" i="19"/>
  <c r="AD145" i="20"/>
  <c r="AE126" i="12"/>
  <c r="Y318" i="42"/>
  <c r="Y319" i="42" s="1"/>
  <c r="Y321" i="42" s="1"/>
  <c r="AC24" i="20"/>
  <c r="AD18" i="20"/>
  <c r="AB243" i="42"/>
  <c r="AB246" i="42"/>
  <c r="AD66" i="16"/>
  <c r="AB88" i="29"/>
  <c r="AB100" i="29"/>
  <c r="Y76" i="51"/>
  <c r="AG77" i="38"/>
  <c r="AG246" i="38"/>
  <c r="AG69" i="38"/>
  <c r="AG101" i="38"/>
  <c r="AG44" i="38"/>
  <c r="AG288" i="38" s="1"/>
  <c r="AG93" i="38"/>
  <c r="AF29" i="29"/>
  <c r="AC245" i="46"/>
  <c r="AC250" i="46" s="1"/>
  <c r="AC246" i="46"/>
  <c r="AC251" i="46" s="1"/>
  <c r="AC247" i="46"/>
  <c r="AC252" i="46" s="1"/>
  <c r="AC244" i="46"/>
  <c r="AC249" i="46" s="1"/>
  <c r="AC243" i="48"/>
  <c r="AC248" i="46"/>
  <c r="AD96" i="45" s="1"/>
  <c r="BH73" i="51"/>
  <c r="AA84" i="45"/>
  <c r="AC96" i="42"/>
  <c r="AC100" i="42" s="1"/>
  <c r="AC95" i="42"/>
  <c r="AC99" i="42" s="1"/>
  <c r="AC97" i="42"/>
  <c r="AC94" i="42"/>
  <c r="AC98" i="42" s="1"/>
  <c r="AC63" i="38"/>
  <c r="AC69" i="38"/>
  <c r="AA148" i="28"/>
  <c r="AA149" i="28" s="1"/>
  <c r="AB214" i="28"/>
  <c r="AC207" i="38"/>
  <c r="AC211" i="38" s="1"/>
  <c r="AC206" i="38"/>
  <c r="AC210" i="38" s="1"/>
  <c r="AC205" i="38"/>
  <c r="AC209" i="38" s="1"/>
  <c r="AC208" i="38"/>
  <c r="Z284" i="38"/>
  <c r="Z282" i="38"/>
  <c r="Z285" i="38"/>
  <c r="Z283" i="38"/>
  <c r="Z287" i="38"/>
  <c r="Z286" i="38"/>
  <c r="AG63" i="29"/>
  <c r="AG62" i="29" s="1"/>
  <c r="AG66" i="29"/>
  <c r="AG67" i="29"/>
  <c r="AG65" i="29"/>
  <c r="AG68" i="29"/>
  <c r="AG64" i="29"/>
  <c r="AH58" i="15"/>
  <c r="AG70" i="29"/>
  <c r="AG73" i="29"/>
  <c r="AH58" i="16" s="1"/>
  <c r="AH64" i="15"/>
  <c r="AG75" i="29"/>
  <c r="AH64" i="16" s="1"/>
  <c r="AG74" i="29"/>
  <c r="AH45" i="16" s="1"/>
  <c r="AH45" i="15"/>
  <c r="AH48" i="15"/>
  <c r="AG72" i="29"/>
  <c r="AG71" i="29"/>
  <c r="AH48" i="16" s="1"/>
  <c r="Y223" i="19"/>
  <c r="Y246" i="19"/>
  <c r="Y247" i="19" s="1"/>
  <c r="W324" i="48"/>
  <c r="W322" i="48"/>
  <c r="W321" i="48"/>
  <c r="W323" i="48"/>
  <c r="AB34" i="46"/>
  <c r="AC24" i="45"/>
  <c r="AC82" i="45"/>
  <c r="AC26" i="45"/>
  <c r="AC25" i="45"/>
  <c r="Y65" i="19"/>
  <c r="Z96" i="14" s="1"/>
  <c r="Z96" i="12"/>
  <c r="AA217" i="54"/>
  <c r="AA221" i="54" s="1"/>
  <c r="AA218" i="54"/>
  <c r="AE75" i="16"/>
  <c r="AE76" i="16"/>
  <c r="AF194" i="54"/>
  <c r="AF31" i="54"/>
  <c r="AB222" i="54"/>
  <c r="AB224" i="54"/>
  <c r="AB227" i="54"/>
  <c r="AB225" i="54"/>
  <c r="AB226" i="54"/>
  <c r="AB223" i="54"/>
  <c r="AG158" i="42"/>
  <c r="AG142" i="42"/>
  <c r="AG150" i="42"/>
  <c r="AG134" i="42"/>
  <c r="AB106" i="19"/>
  <c r="Y203" i="53"/>
  <c r="Y198" i="53"/>
  <c r="Y202" i="53"/>
  <c r="Y201" i="53"/>
  <c r="Y199" i="53"/>
  <c r="Y200" i="53"/>
  <c r="AD140" i="48"/>
  <c r="AD142" i="48"/>
  <c r="AD141" i="48"/>
  <c r="BH59" i="45"/>
  <c r="AA37" i="48"/>
  <c r="AF43" i="48" s="1"/>
  <c r="BH104" i="45"/>
  <c r="BH58" i="45"/>
  <c r="BH60" i="45"/>
  <c r="AG164" i="46"/>
  <c r="AG154" i="46"/>
  <c r="AG174" i="46"/>
  <c r="AG144" i="46"/>
  <c r="BE76" i="51"/>
  <c r="AA146" i="48"/>
  <c r="AA151" i="48" s="1"/>
  <c r="AA147" i="48"/>
  <c r="AA152" i="48" s="1"/>
  <c r="AA145" i="48"/>
  <c r="AA150" i="48" s="1"/>
  <c r="AA148" i="48"/>
  <c r="AA153" i="48" s="1"/>
  <c r="AA149" i="48"/>
  <c r="AD62" i="28"/>
  <c r="AE44" i="15"/>
  <c r="AD56" i="29"/>
  <c r="AE44" i="16" s="1"/>
  <c r="AC219" i="54"/>
  <c r="AC231" i="54" s="1"/>
  <c r="AC220" i="54"/>
  <c r="Z58" i="19"/>
  <c r="Z52" i="19"/>
  <c r="Z49" i="19" s="1"/>
  <c r="Z177" i="19" s="1"/>
  <c r="BK57" i="51"/>
  <c r="BK58" i="51" s="1"/>
  <c r="BH77" i="45"/>
  <c r="W250" i="19"/>
  <c r="W253" i="19" s="1"/>
  <c r="W249" i="19"/>
  <c r="X151" i="12"/>
  <c r="AD27" i="19"/>
  <c r="AD45" i="19" s="1"/>
  <c r="AD129" i="19" s="1"/>
  <c r="AD128" i="19" s="1"/>
  <c r="AE21" i="19"/>
  <c r="Z306" i="42"/>
  <c r="Z310" i="42"/>
  <c r="Z308" i="42"/>
  <c r="Z307" i="42"/>
  <c r="Z309" i="42"/>
  <c r="Z311" i="42"/>
  <c r="AB135" i="42"/>
  <c r="AB139" i="42" s="1"/>
  <c r="AB137" i="42"/>
  <c r="AB141" i="42" s="1"/>
  <c r="AB136" i="42"/>
  <c r="AB140" i="42" s="1"/>
  <c r="AB138" i="42"/>
  <c r="AG110" i="54"/>
  <c r="AG111" i="54" s="1"/>
  <c r="AG106" i="54"/>
  <c r="AG107" i="54" s="1"/>
  <c r="AG104" i="54"/>
  <c r="AG105" i="54" s="1"/>
  <c r="AG108" i="54"/>
  <c r="AG109" i="54" s="1"/>
  <c r="AG219" i="46"/>
  <c r="AG224" i="46" s="1"/>
  <c r="AG220" i="46"/>
  <c r="AG225" i="46" s="1"/>
  <c r="AG218" i="46"/>
  <c r="AG223" i="46" s="1"/>
  <c r="AG216" i="48"/>
  <c r="AG217" i="46"/>
  <c r="AG222" i="46" s="1"/>
  <c r="AG221" i="46"/>
  <c r="AH99" i="45" s="1"/>
  <c r="AF44" i="42"/>
  <c r="AF288" i="42" s="1"/>
  <c r="AC202" i="46"/>
  <c r="AC206" i="46"/>
  <c r="AC226" i="46"/>
  <c r="AC216" i="46"/>
  <c r="Z127" i="14"/>
  <c r="AE85" i="28"/>
  <c r="AE72" i="29" s="1"/>
  <c r="AF82" i="28"/>
  <c r="AE87" i="28"/>
  <c r="AE88" i="28"/>
  <c r="AE83" i="28"/>
  <c r="AE70" i="29" s="1"/>
  <c r="AE86" i="28"/>
  <c r="AE84" i="28"/>
  <c r="AE108" i="28"/>
  <c r="AF107" i="28"/>
  <c r="AF108" i="28" s="1"/>
  <c r="AA178" i="48"/>
  <c r="AA183" i="48" s="1"/>
  <c r="AA177" i="48"/>
  <c r="AA182" i="48" s="1"/>
  <c r="AA176" i="48"/>
  <c r="AA181" i="48" s="1"/>
  <c r="AA179" i="48"/>
  <c r="AA175" i="48"/>
  <c r="AA180" i="48" s="1"/>
  <c r="AE47" i="29"/>
  <c r="AE142" i="29" s="1"/>
  <c r="AC150" i="29"/>
  <c r="AC148" i="29"/>
  <c r="AC147" i="29"/>
  <c r="AC149" i="29"/>
  <c r="Y318" i="38"/>
  <c r="Y319" i="38" s="1"/>
  <c r="Y321" i="38" s="1"/>
  <c r="Q161" i="12"/>
  <c r="R7" i="55"/>
  <c r="Z101" i="20"/>
  <c r="Z93" i="19" s="1"/>
  <c r="Z97" i="20"/>
  <c r="AA136" i="12"/>
  <c r="Z88" i="19"/>
  <c r="Z98" i="20"/>
  <c r="Z100" i="20"/>
  <c r="Z99" i="20"/>
  <c r="Z220" i="20"/>
  <c r="AB84" i="20"/>
  <c r="BJ107" i="36"/>
  <c r="AG189" i="38"/>
  <c r="AG193" i="38" s="1"/>
  <c r="AG192" i="38"/>
  <c r="AH91" i="36" s="1"/>
  <c r="AG190" i="38"/>
  <c r="AG194" i="38" s="1"/>
  <c r="AG191" i="38"/>
  <c r="AG195" i="38" s="1"/>
  <c r="AF135" i="53"/>
  <c r="AG56" i="51"/>
  <c r="AB230" i="46"/>
  <c r="AB235" i="46" s="1"/>
  <c r="AB228" i="46"/>
  <c r="AB233" i="46" s="1"/>
  <c r="AB229" i="46"/>
  <c r="AB234" i="46" s="1"/>
  <c r="AB227" i="46"/>
  <c r="AB232" i="46" s="1"/>
  <c r="AB226" i="48"/>
  <c r="AB231" i="46"/>
  <c r="AC108" i="45" s="1"/>
  <c r="AE154" i="53"/>
  <c r="AE156" i="53" s="1"/>
  <c r="AF153" i="53"/>
  <c r="AF154" i="53" s="1"/>
  <c r="AF156" i="53" s="1"/>
  <c r="BF128" i="36"/>
  <c r="AC146" i="38"/>
  <c r="AD100" i="36" s="1"/>
  <c r="BJ100" i="36" s="1"/>
  <c r="AC144" i="38"/>
  <c r="AC148" i="38" s="1"/>
  <c r="AC143" i="38"/>
  <c r="AC147" i="38" s="1"/>
  <c r="AC145" i="38"/>
  <c r="AC149" i="38" s="1"/>
  <c r="AB159" i="42"/>
  <c r="AB163" i="42" s="1"/>
  <c r="AB160" i="42"/>
  <c r="AB164" i="42" s="1"/>
  <c r="AB162" i="42"/>
  <c r="AB161" i="42"/>
  <c r="AB165" i="42" s="1"/>
  <c r="AC190" i="20"/>
  <c r="AC152" i="19" s="1"/>
  <c r="AC189" i="20"/>
  <c r="AC151" i="19" s="1"/>
  <c r="AC187" i="20"/>
  <c r="AC149" i="19" s="1"/>
  <c r="AC188" i="20"/>
  <c r="AC150" i="19" s="1"/>
  <c r="AC186" i="20"/>
  <c r="AC148" i="19" s="1"/>
  <c r="AD137" i="12"/>
  <c r="AC147" i="19"/>
  <c r="AD137" i="14" s="1"/>
  <c r="W213" i="19"/>
  <c r="W214" i="19" s="1"/>
  <c r="X180" i="19"/>
  <c r="S164" i="12"/>
  <c r="R318" i="20"/>
  <c r="S165" i="12" s="1"/>
  <c r="Y152" i="12"/>
  <c r="AE31" i="45"/>
  <c r="AE28" i="45"/>
  <c r="AE35" i="45"/>
  <c r="AE32" i="45"/>
  <c r="AE36" i="45"/>
  <c r="BK27" i="45"/>
  <c r="AE29" i="45"/>
  <c r="AE37" i="45"/>
  <c r="AF27" i="45"/>
  <c r="AE54" i="45"/>
  <c r="X101" i="48"/>
  <c r="X106" i="48" s="1"/>
  <c r="X102" i="48"/>
  <c r="X107" i="48" s="1"/>
  <c r="X103" i="48"/>
  <c r="X108" i="48" s="1"/>
  <c r="X100" i="48"/>
  <c r="X105" i="48" s="1"/>
  <c r="X104" i="48"/>
  <c r="AE31" i="28"/>
  <c r="AE146" i="28"/>
  <c r="AD155" i="19"/>
  <c r="AD154" i="19" s="1"/>
  <c r="AB190" i="42"/>
  <c r="AB194" i="42" s="1"/>
  <c r="AB191" i="42"/>
  <c r="AB195" i="42" s="1"/>
  <c r="AB189" i="42"/>
  <c r="AB193" i="42" s="1"/>
  <c r="AB192" i="42"/>
  <c r="AE292" i="38"/>
  <c r="AE289" i="38"/>
  <c r="AB140" i="16"/>
  <c r="AB157" i="29"/>
  <c r="AB169" i="29" s="1"/>
  <c r="AB158" i="29"/>
  <c r="AC303" i="38"/>
  <c r="AC315" i="38" s="1"/>
  <c r="AC304" i="38"/>
  <c r="Y242" i="53"/>
  <c r="Y249" i="53" s="1"/>
  <c r="S259" i="19"/>
  <c r="S268" i="19" s="1"/>
  <c r="T156" i="14" s="1"/>
  <c r="Y225" i="14" a="1"/>
  <c r="Y225" i="14" s="1"/>
  <c r="Y226" i="14"/>
  <c r="Y148" i="14"/>
  <c r="Z156" i="29"/>
  <c r="Z155" i="29"/>
  <c r="Z159" i="29" s="1"/>
  <c r="AC57" i="45"/>
  <c r="AE217" i="38"/>
  <c r="AE219" i="38" s="1"/>
  <c r="AF216" i="38"/>
  <c r="AF217" i="38" s="1"/>
  <c r="AF219" i="38" s="1"/>
  <c r="AC136" i="16"/>
  <c r="AD63" i="48"/>
  <c r="Y225" i="12" a="1"/>
  <c r="Y225" i="12" s="1"/>
  <c r="Y233" i="12" s="1"/>
  <c r="Y234" i="12" s="1"/>
  <c r="Y110" i="46"/>
  <c r="Y115" i="46" s="1"/>
  <c r="Y112" i="46"/>
  <c r="Y117" i="46" s="1"/>
  <c r="Y109" i="48"/>
  <c r="Y113" i="46"/>
  <c r="Y118" i="46" s="1"/>
  <c r="Y114" i="46"/>
  <c r="Z97" i="45" s="1"/>
  <c r="Y111" i="46"/>
  <c r="Y116" i="46" s="1"/>
  <c r="Y274" i="46"/>
  <c r="AC237" i="42"/>
  <c r="AC241" i="42" s="1"/>
  <c r="AC235" i="42"/>
  <c r="AC239" i="42" s="1"/>
  <c r="AC236" i="42"/>
  <c r="AC240" i="42" s="1"/>
  <c r="AC238" i="42"/>
  <c r="AG220" i="42"/>
  <c r="AG224" i="42" s="1"/>
  <c r="AG221" i="42"/>
  <c r="AG225" i="42" s="1"/>
  <c r="AG222" i="42"/>
  <c r="AG226" i="42" s="1"/>
  <c r="AG223" i="42"/>
  <c r="AD133" i="20"/>
  <c r="AG29" i="29"/>
  <c r="Z76" i="19"/>
  <c r="AA104" i="14" s="1"/>
  <c r="AA104" i="12"/>
  <c r="Z86" i="20"/>
  <c r="Z78" i="19" s="1"/>
  <c r="Z89" i="20"/>
  <c r="Z85" i="20"/>
  <c r="Z87" i="20"/>
  <c r="Z88" i="20"/>
  <c r="AC35" i="48"/>
  <c r="BJ95" i="45"/>
  <c r="BJ43" i="45"/>
  <c r="BJ42" i="45"/>
  <c r="BJ44" i="45"/>
  <c r="AC68" i="45"/>
  <c r="AF121" i="16"/>
  <c r="AF42" i="16"/>
  <c r="X193" i="28"/>
  <c r="X194" i="28" s="1"/>
  <c r="AE127" i="38"/>
  <c r="AE128" i="38"/>
  <c r="AE183" i="38"/>
  <c r="AF126" i="38"/>
  <c r="AE182" i="38"/>
  <c r="W72" i="15"/>
  <c r="V211" i="28"/>
  <c r="W73" i="15" s="1"/>
  <c r="AA114" i="12"/>
  <c r="Z83" i="20"/>
  <c r="Z75" i="19" s="1"/>
  <c r="Z82" i="20"/>
  <c r="Z79" i="20"/>
  <c r="Z80" i="20"/>
  <c r="Z81" i="20"/>
  <c r="Z70" i="19"/>
  <c r="AA114" i="14" s="1"/>
  <c r="AE240" i="46"/>
  <c r="AD241" i="46"/>
  <c r="AD243" i="46" s="1"/>
  <c r="BH68" i="45"/>
  <c r="BG115" i="36"/>
  <c r="BG116" i="36" s="1"/>
  <c r="BG80" i="36"/>
  <c r="BG83" i="36" s="1"/>
  <c r="BG119" i="36" s="1"/>
  <c r="AA73" i="45"/>
  <c r="AA87" i="45"/>
  <c r="AG77" i="54"/>
  <c r="AG78" i="54" s="1"/>
  <c r="AG75" i="54"/>
  <c r="AG76" i="54" s="1"/>
  <c r="AG71" i="54"/>
  <c r="AG72" i="54" s="1"/>
  <c r="AG44" i="54"/>
  <c r="AG204" i="54" s="1"/>
  <c r="AG69" i="54"/>
  <c r="AG70" i="54" s="1"/>
  <c r="Z151" i="28"/>
  <c r="Z154" i="28"/>
  <c r="Z152" i="28"/>
  <c r="Z155" i="28"/>
  <c r="Z153" i="28"/>
  <c r="Z150" i="28"/>
  <c r="AA163" i="19"/>
  <c r="AC200" i="38"/>
  <c r="AD101" i="36" s="1"/>
  <c r="BJ101" i="36" s="1"/>
  <c r="AC197" i="38"/>
  <c r="AC201" i="38" s="1"/>
  <c r="AC198" i="38"/>
  <c r="AC202" i="38" s="1"/>
  <c r="AC199" i="38"/>
  <c r="AC203" i="38" s="1"/>
  <c r="Y108" i="12"/>
  <c r="AG17" i="45"/>
  <c r="AG18" i="45" s="1"/>
  <c r="BM16" i="45"/>
  <c r="AH16" i="45"/>
  <c r="AC114" i="36"/>
  <c r="BI79" i="36"/>
  <c r="BI114" i="36" s="1"/>
  <c r="R163" i="14"/>
  <c r="R157" i="14"/>
  <c r="AC67" i="45"/>
  <c r="Y67" i="19"/>
  <c r="Z100" i="14" s="1"/>
  <c r="Z100" i="12"/>
  <c r="AA158" i="48"/>
  <c r="AA163" i="48" s="1"/>
  <c r="AA155" i="48"/>
  <c r="AA160" i="48" s="1"/>
  <c r="AA156" i="48"/>
  <c r="AA161" i="48" s="1"/>
  <c r="AA157" i="48"/>
  <c r="AA162" i="48" s="1"/>
  <c r="AA159" i="48"/>
  <c r="AE129" i="16"/>
  <c r="AE131" i="16"/>
  <c r="W189" i="29"/>
  <c r="X70" i="16" s="1"/>
  <c r="AD202" i="48"/>
  <c r="BL53" i="51"/>
  <c r="AF54" i="51"/>
  <c r="AB59" i="45"/>
  <c r="AB72" i="45" s="1"/>
  <c r="AB104" i="45"/>
  <c r="AB58" i="45"/>
  <c r="AB71" i="45" s="1"/>
  <c r="AB60" i="45"/>
  <c r="AA37" i="46"/>
  <c r="AF43" i="46" s="1"/>
  <c r="AB146" i="46"/>
  <c r="AB151" i="46" s="1"/>
  <c r="AB148" i="46"/>
  <c r="AB153" i="46" s="1"/>
  <c r="AB147" i="46"/>
  <c r="AB152" i="46" s="1"/>
  <c r="AB144" i="48"/>
  <c r="AB149" i="46"/>
  <c r="AC83" i="45" s="1"/>
  <c r="AB145" i="46"/>
  <c r="AB150" i="46" s="1"/>
  <c r="AE56" i="15"/>
  <c r="AD60" i="29"/>
  <c r="AE56" i="16" s="1"/>
  <c r="AC34" i="45"/>
  <c r="Z77" i="20"/>
  <c r="Z74" i="20"/>
  <c r="Z66" i="19" s="1"/>
  <c r="Z73" i="20"/>
  <c r="Z64" i="19"/>
  <c r="AA93" i="14" s="1"/>
  <c r="Z75" i="20"/>
  <c r="Z76" i="20"/>
  <c r="Z263" i="20"/>
  <c r="Z315" i="20"/>
  <c r="Z264" i="20"/>
  <c r="Z314" i="20"/>
  <c r="Z267" i="20"/>
  <c r="X322" i="46"/>
  <c r="X321" i="46"/>
  <c r="X324" i="46"/>
  <c r="X323" i="46"/>
  <c r="AG157" i="54"/>
  <c r="AF257" i="46"/>
  <c r="AF258" i="46" s="1"/>
  <c r="AE258" i="46"/>
  <c r="AE260" i="46" s="1"/>
  <c r="AD63" i="46"/>
  <c r="AG197" i="42"/>
  <c r="AG201" i="42" s="1"/>
  <c r="AG198" i="42"/>
  <c r="AG202" i="42" s="1"/>
  <c r="AG200" i="42"/>
  <c r="AG199" i="42"/>
  <c r="AG203" i="42" s="1"/>
  <c r="AF29" i="42"/>
  <c r="AD137" i="46"/>
  <c r="AD138" i="46"/>
  <c r="AD201" i="46"/>
  <c r="AE136" i="46"/>
  <c r="AD200" i="46"/>
  <c r="AE48" i="15"/>
  <c r="AD71" i="29"/>
  <c r="AE48" i="16" s="1"/>
  <c r="BI33" i="45"/>
  <c r="X318" i="46"/>
  <c r="X319" i="46" s="1"/>
  <c r="X341" i="46"/>
  <c r="X342" i="46" s="1"/>
  <c r="Y9" i="55"/>
  <c r="AE55" i="15"/>
  <c r="AD82" i="29"/>
  <c r="AE55" i="16" s="1"/>
  <c r="AP81" i="16"/>
  <c r="AH39" i="16"/>
  <c r="AH13" i="16"/>
  <c r="AB78" i="20"/>
  <c r="AE194" i="53"/>
  <c r="AE205" i="53" s="1"/>
  <c r="AE31" i="53"/>
  <c r="BM69" i="51"/>
  <c r="AB209" i="46"/>
  <c r="AB214" i="46" s="1"/>
  <c r="AB210" i="46"/>
  <c r="AB215" i="46" s="1"/>
  <c r="AB208" i="46"/>
  <c r="AB213" i="46" s="1"/>
  <c r="AB211" i="46"/>
  <c r="AC89" i="45" s="1"/>
  <c r="AB206" i="48"/>
  <c r="AB207" i="46"/>
  <c r="AB212" i="46" s="1"/>
  <c r="AF332" i="38"/>
  <c r="S160" i="12"/>
  <c r="Y81" i="45"/>
  <c r="Y80" i="45"/>
  <c r="Y79" i="45"/>
  <c r="BE80" i="45"/>
  <c r="BE79" i="45"/>
  <c r="BE81" i="45"/>
  <c r="AD157" i="53"/>
  <c r="AE66" i="51" s="1"/>
  <c r="AD34" i="29"/>
  <c r="AD33" i="29"/>
  <c r="U353" i="46"/>
  <c r="U354" i="46" s="1"/>
  <c r="AC160" i="38"/>
  <c r="AC164" i="38" s="1"/>
  <c r="AC159" i="38"/>
  <c r="AC163" i="38" s="1"/>
  <c r="AC161" i="38"/>
  <c r="AC165" i="38" s="1"/>
  <c r="AC162" i="38"/>
  <c r="AD109" i="36" s="1"/>
  <c r="BJ109" i="36" s="1"/>
  <c r="AF40" i="29"/>
  <c r="AG128" i="16"/>
  <c r="AG60" i="16"/>
  <c r="AC182" i="20"/>
  <c r="AC144" i="19" s="1"/>
  <c r="AC183" i="20"/>
  <c r="AC145" i="19" s="1"/>
  <c r="AC180" i="20"/>
  <c r="AC142" i="19" s="1"/>
  <c r="AC184" i="20"/>
  <c r="AC146" i="19" s="1"/>
  <c r="AC181" i="20"/>
  <c r="AC143" i="19" s="1"/>
  <c r="AC141" i="19"/>
  <c r="AD125" i="14" s="1"/>
  <c r="BK54" i="51"/>
  <c r="AF360" i="48"/>
  <c r="BJ35" i="45"/>
  <c r="BJ32" i="45"/>
  <c r="BJ28" i="45"/>
  <c r="BJ31" i="45"/>
  <c r="BJ37" i="45"/>
  <c r="BJ36" i="45"/>
  <c r="BJ29" i="45"/>
  <c r="BJ54" i="45"/>
  <c r="Y110" i="45"/>
  <c r="Y112" i="45"/>
  <c r="Y111" i="45"/>
  <c r="BE111" i="45"/>
  <c r="BE110" i="45"/>
  <c r="BE112" i="45"/>
  <c r="U327" i="48"/>
  <c r="U328" i="48"/>
  <c r="AE26" i="20"/>
  <c r="AE44" i="20" s="1"/>
  <c r="AF20" i="20"/>
  <c r="X317" i="48"/>
  <c r="X320" i="48"/>
  <c r="W126" i="36"/>
  <c r="V343" i="38"/>
  <c r="W127" i="36" s="1"/>
  <c r="T155" i="12"/>
  <c r="S312" i="20"/>
  <c r="S317" i="20"/>
  <c r="AC99" i="19"/>
  <c r="BK50" i="51"/>
  <c r="AN81" i="16"/>
  <c r="AH21" i="16"/>
  <c r="Y271" i="20"/>
  <c r="Y269" i="20"/>
  <c r="Y268" i="20"/>
  <c r="Y270" i="20"/>
  <c r="AD222" i="38"/>
  <c r="AD226" i="38" s="1"/>
  <c r="AD220" i="38"/>
  <c r="AD224" i="38" s="1"/>
  <c r="AD221" i="38"/>
  <c r="AD225" i="38" s="1"/>
  <c r="AD223" i="38"/>
  <c r="AE98" i="36" s="1"/>
  <c r="CG7" i="55"/>
  <c r="AE208" i="20"/>
  <c r="AD209" i="20"/>
  <c r="AD211" i="20" s="1"/>
  <c r="X187" i="29"/>
  <c r="X189" i="29"/>
  <c r="Y70" i="16" s="1"/>
  <c r="AC206" i="54"/>
  <c r="AC207" i="54" s="1"/>
  <c r="AC229" i="54"/>
  <c r="AC230" i="54" s="1"/>
  <c r="Y72" i="46"/>
  <c r="Y77" i="46" s="1"/>
  <c r="Y73" i="46"/>
  <c r="Y78" i="46" s="1"/>
  <c r="Y69" i="48"/>
  <c r="Y71" i="46"/>
  <c r="Y76" i="46" s="1"/>
  <c r="Y74" i="46"/>
  <c r="Z76" i="45" s="1"/>
  <c r="Y70" i="46"/>
  <c r="Y75" i="46" s="1"/>
  <c r="AB24" i="19"/>
  <c r="AC18" i="19"/>
  <c r="Y231" i="14"/>
  <c r="BD118" i="45"/>
  <c r="AB80" i="36"/>
  <c r="AB83" i="36" s="1"/>
  <c r="AB115" i="36"/>
  <c r="AB116" i="36" s="1"/>
  <c r="BH78" i="36"/>
  <c r="BK69" i="45"/>
  <c r="T347" i="48"/>
  <c r="T349" i="48" s="1"/>
  <c r="T348" i="48"/>
  <c r="Z129" i="12"/>
  <c r="AD217" i="42"/>
  <c r="AD219" i="42" s="1"/>
  <c r="AE216" i="42"/>
  <c r="AD143" i="29"/>
  <c r="AD146" i="29"/>
  <c r="AD196" i="20"/>
  <c r="AE195" i="20"/>
  <c r="Z188" i="28"/>
  <c r="AG29" i="48"/>
  <c r="AD184" i="38"/>
  <c r="AD204" i="38"/>
  <c r="AD188" i="38"/>
  <c r="AD196" i="38"/>
  <c r="AD28" i="19"/>
  <c r="AD46" i="19" s="1"/>
  <c r="AD167" i="19" s="1"/>
  <c r="AD166" i="19" s="1"/>
  <c r="AE22" i="19"/>
  <c r="Y107" i="12"/>
  <c r="AF22" i="20"/>
  <c r="AE28" i="20"/>
  <c r="AE46" i="20" s="1"/>
  <c r="AE20" i="45"/>
  <c r="AE19" i="45"/>
  <c r="AC303" i="42"/>
  <c r="AC315" i="42" s="1"/>
  <c r="AC304" i="42"/>
  <c r="AC87" i="42"/>
  <c r="AC91" i="42" s="1"/>
  <c r="AC89" i="42"/>
  <c r="AC88" i="42"/>
  <c r="AC92" i="42" s="1"/>
  <c r="AC86" i="42"/>
  <c r="AC90" i="42" s="1"/>
  <c r="Z142" i="14"/>
  <c r="AC87" i="38"/>
  <c r="AC91" i="38" s="1"/>
  <c r="AC88" i="38"/>
  <c r="AC92" i="38" s="1"/>
  <c r="AC86" i="38"/>
  <c r="AC90" i="38" s="1"/>
  <c r="AC89" i="38"/>
  <c r="BD91" i="45"/>
  <c r="AA165" i="28"/>
  <c r="AA166" i="28"/>
  <c r="V325" i="48"/>
  <c r="V326" i="48"/>
  <c r="AG194" i="54"/>
  <c r="AG31" i="54"/>
  <c r="AC192" i="38"/>
  <c r="AD91" i="36" s="1"/>
  <c r="AC190" i="38"/>
  <c r="AC194" i="38" s="1"/>
  <c r="AC191" i="38"/>
  <c r="AC195" i="38" s="1"/>
  <c r="AC189" i="38"/>
  <c r="AC193" i="38" s="1"/>
  <c r="AE34" i="29"/>
  <c r="AE33" i="29"/>
  <c r="Y108" i="14"/>
  <c r="AF18" i="45"/>
  <c r="V277" i="20"/>
  <c r="V276" i="20"/>
  <c r="V280" i="20" s="1"/>
  <c r="BB122" i="36"/>
  <c r="BB125" i="36"/>
  <c r="Y68" i="19"/>
  <c r="Z101" i="14" s="1"/>
  <c r="Z101" i="12"/>
  <c r="AG29" i="28"/>
  <c r="AG237" i="42"/>
  <c r="AG241" i="42" s="1"/>
  <c r="AG236" i="42"/>
  <c r="AG240" i="42" s="1"/>
  <c r="AG235" i="42"/>
  <c r="AG239" i="42" s="1"/>
  <c r="AG238" i="42"/>
  <c r="AO263" i="12"/>
  <c r="AQ81" i="15"/>
  <c r="AA290" i="42"/>
  <c r="AA291" i="42" s="1"/>
  <c r="AA313" i="42"/>
  <c r="AA314" i="42" s="1"/>
  <c r="Z99" i="46"/>
  <c r="Z44" i="46"/>
  <c r="Z316" i="46" s="1"/>
  <c r="Z79" i="46"/>
  <c r="Z109" i="46"/>
  <c r="Z69" i="46"/>
  <c r="AE278" i="42"/>
  <c r="AE289" i="42" s="1"/>
  <c r="AE31" i="42"/>
  <c r="W335" i="42"/>
  <c r="W333" i="42"/>
  <c r="AF50" i="51"/>
  <c r="AF68" i="51"/>
  <c r="AG93" i="42"/>
  <c r="AG246" i="42"/>
  <c r="AG77" i="42"/>
  <c r="AG101" i="42"/>
  <c r="AG69" i="42"/>
  <c r="AG44" i="42"/>
  <c r="AG288" i="42" s="1"/>
  <c r="AE62" i="15"/>
  <c r="AD59" i="29"/>
  <c r="AE62" i="16" s="1"/>
  <c r="Q161" i="14"/>
  <c r="AW125" i="45"/>
  <c r="P371" i="48"/>
  <c r="AW126" i="45" s="1"/>
  <c r="Z50" i="19"/>
  <c r="Z265" i="20"/>
  <c r="Z288" i="20"/>
  <c r="Z289" i="20" s="1"/>
  <c r="AD63" i="53"/>
  <c r="AD159" i="53" s="1"/>
  <c r="AD69" i="53"/>
  <c r="AD70" i="53" s="1"/>
  <c r="AE49" i="51" s="1"/>
  <c r="AA168" i="48"/>
  <c r="AA173" i="48" s="1"/>
  <c r="AA166" i="48"/>
  <c r="AA171" i="48" s="1"/>
  <c r="AA165" i="48"/>
  <c r="AA170" i="48" s="1"/>
  <c r="AA169" i="48"/>
  <c r="AA167" i="48"/>
  <c r="AA172" i="48" s="1"/>
  <c r="X229" i="19"/>
  <c r="X227" i="19"/>
  <c r="X226" i="19"/>
  <c r="X228" i="19"/>
  <c r="AD261" i="46"/>
  <c r="AD266" i="46" s="1"/>
  <c r="AD264" i="46"/>
  <c r="AD269" i="46" s="1"/>
  <c r="AD263" i="46"/>
  <c r="AD268" i="46" s="1"/>
  <c r="AD262" i="46"/>
  <c r="AD267" i="46" s="1"/>
  <c r="AD265" i="46"/>
  <c r="AE105" i="45" s="1"/>
  <c r="AD260" i="48"/>
  <c r="W333" i="38"/>
  <c r="W325" i="46"/>
  <c r="W326" i="46"/>
  <c r="AG206" i="42"/>
  <c r="AG210" i="42" s="1"/>
  <c r="AG205" i="42"/>
  <c r="AG209" i="42" s="1"/>
  <c r="AG208" i="42"/>
  <c r="AG207" i="42"/>
  <c r="AG211" i="42" s="1"/>
  <c r="BD109" i="45"/>
  <c r="AG135" i="53"/>
  <c r="AH56" i="51"/>
  <c r="AC203" i="46"/>
  <c r="AC204" i="46"/>
  <c r="Y186" i="28"/>
  <c r="Y187" i="28" s="1"/>
  <c r="Y189" i="28" s="1"/>
  <c r="AD74" i="29"/>
  <c r="AE45" i="16" s="1"/>
  <c r="AE45" i="15"/>
  <c r="BE97" i="45"/>
  <c r="Y100" i="45"/>
  <c r="Y113" i="45"/>
  <c r="AC162" i="53"/>
  <c r="AC136" i="15"/>
  <c r="AC193" i="29"/>
  <c r="AC194" i="29"/>
  <c r="Y255" i="20"/>
  <c r="Y256" i="20" s="1"/>
  <c r="Z222" i="20"/>
  <c r="AG42" i="15"/>
  <c r="BJ21" i="45"/>
  <c r="AO95" i="15"/>
  <c r="AQ94" i="15" s="1"/>
  <c r="BH108" i="45"/>
  <c r="AC124" i="12"/>
  <c r="AB90" i="20"/>
  <c r="AD51" i="51"/>
  <c r="BJ49" i="51"/>
  <c r="AD72" i="51"/>
  <c r="V220" i="19"/>
  <c r="V219" i="19"/>
  <c r="V215" i="19"/>
  <c r="V218" i="19"/>
  <c r="V216" i="19"/>
  <c r="V217" i="19"/>
  <c r="AE208" i="53"/>
  <c r="AE265" i="19"/>
  <c r="AF307" i="20"/>
  <c r="AA144" i="29"/>
  <c r="AA145" i="29" s="1"/>
  <c r="AA167" i="29"/>
  <c r="AA168" i="29" s="1"/>
  <c r="S157" i="12"/>
  <c r="S163" i="12"/>
  <c r="AB199" i="42"/>
  <c r="AB203" i="42" s="1"/>
  <c r="AB197" i="42"/>
  <c r="AB201" i="42" s="1"/>
  <c r="AB200" i="42"/>
  <c r="AB198" i="42"/>
  <c r="AB202" i="42" s="1"/>
  <c r="T162" i="12"/>
  <c r="T158" i="12"/>
  <c r="U348" i="48"/>
  <c r="AE66" i="54"/>
  <c r="AE73" i="54" s="1"/>
  <c r="AE74" i="54" s="1"/>
  <c r="AE65" i="54"/>
  <c r="AE75" i="54" s="1"/>
  <c r="AE76" i="54" s="1"/>
  <c r="AE61" i="54"/>
  <c r="AE64" i="54"/>
  <c r="AE71" i="54" s="1"/>
  <c r="AE72" i="54" s="1"/>
  <c r="AE62" i="54"/>
  <c r="AE67" i="54"/>
  <c r="AE77" i="54" s="1"/>
  <c r="AE78" i="54" s="1"/>
  <c r="AF60" i="54"/>
  <c r="BH89" i="45"/>
  <c r="BK68" i="51"/>
  <c r="AD293" i="38"/>
  <c r="AD294" i="38"/>
  <c r="AD296" i="38"/>
  <c r="AD295" i="38"/>
  <c r="AA78" i="20"/>
  <c r="W274" i="20"/>
  <c r="W275" i="20"/>
  <c r="Y285" i="20"/>
  <c r="Y284" i="20"/>
  <c r="Y281" i="20"/>
  <c r="Y282" i="20"/>
  <c r="Y283" i="20"/>
  <c r="Y286" i="20"/>
  <c r="BE90" i="45"/>
  <c r="Y91" i="45"/>
  <c r="AC216" i="20"/>
  <c r="AC174" i="19" s="1"/>
  <c r="AC212" i="20"/>
  <c r="AC170" i="19" s="1"/>
  <c r="AC213" i="20"/>
  <c r="AC171" i="19" s="1"/>
  <c r="AC214" i="20"/>
  <c r="AC172" i="19" s="1"/>
  <c r="AC215" i="20"/>
  <c r="AC169" i="19"/>
  <c r="AD135" i="12"/>
  <c r="AE61" i="48"/>
  <c r="AE66" i="48"/>
  <c r="AF60" i="48"/>
  <c r="AE64" i="48"/>
  <c r="AE62" i="48"/>
  <c r="AE67" i="48"/>
  <c r="AE65" i="48"/>
  <c r="AB70" i="45"/>
  <c r="Y101" i="46"/>
  <c r="Y106" i="46" s="1"/>
  <c r="Y103" i="46"/>
  <c r="Y108" i="46" s="1"/>
  <c r="Y102" i="46"/>
  <c r="Y107" i="46" s="1"/>
  <c r="Y100" i="46"/>
  <c r="Y105" i="46" s="1"/>
  <c r="Y99" i="48"/>
  <c r="Y104" i="46"/>
  <c r="Z106" i="45" s="1"/>
  <c r="AA29" i="19"/>
  <c r="AA42" i="19"/>
  <c r="AA55" i="19" s="1"/>
  <c r="X118" i="45"/>
  <c r="AB245" i="48"/>
  <c r="AB250" i="48" s="1"/>
  <c r="AB244" i="48"/>
  <c r="AB249" i="48" s="1"/>
  <c r="AB247" i="48"/>
  <c r="AB252" i="48" s="1"/>
  <c r="AB248" i="48"/>
  <c r="AB246" i="48"/>
  <c r="AB251" i="48" s="1"/>
  <c r="AD293" i="42"/>
  <c r="AD294" i="42"/>
  <c r="AD296" i="42"/>
  <c r="AD295" i="42"/>
  <c r="AC221" i="42"/>
  <c r="AC225" i="42" s="1"/>
  <c r="AC220" i="42"/>
  <c r="AC224" i="42" s="1"/>
  <c r="AC223" i="42"/>
  <c r="AC222" i="42"/>
  <c r="AC226" i="42" s="1"/>
  <c r="AC135" i="14"/>
  <c r="AB206" i="53"/>
  <c r="AB207" i="53" s="1"/>
  <c r="AB229" i="53"/>
  <c r="AB230" i="53" s="1"/>
  <c r="AC157" i="19"/>
  <c r="AC198" i="20"/>
  <c r="AD123" i="12"/>
  <c r="AE205" i="54"/>
  <c r="AE208" i="54"/>
  <c r="AD185" i="38"/>
  <c r="AD186" i="38"/>
  <c r="Y107" i="14"/>
  <c r="R160" i="14"/>
  <c r="AD65" i="15"/>
  <c r="Z142" i="12"/>
  <c r="Z225" i="12" a="1"/>
  <c r="Z225" i="12" s="1"/>
  <c r="Z226" i="12"/>
  <c r="Z232" i="12" s="1"/>
  <c r="Z148" i="12"/>
  <c r="Z169" i="12" s="1"/>
  <c r="AD61" i="38"/>
  <c r="AD64" i="38"/>
  <c r="AD77" i="38" s="1"/>
  <c r="AD66" i="38"/>
  <c r="AD85" i="38" s="1"/>
  <c r="AD67" i="38"/>
  <c r="AD101" i="38" s="1"/>
  <c r="AD62" i="38"/>
  <c r="AD65" i="38"/>
  <c r="AD93" i="38" s="1"/>
  <c r="AE60" i="38"/>
  <c r="AF29" i="48"/>
  <c r="Y34" i="19"/>
  <c r="Y33" i="19"/>
  <c r="BL17" i="45"/>
  <c r="BL18" i="45" s="1"/>
  <c r="AF110" i="53"/>
  <c r="AF111" i="53" s="1"/>
  <c r="AF106" i="53"/>
  <c r="AF107" i="53" s="1"/>
  <c r="AG62" i="51" s="1"/>
  <c r="AF108" i="53"/>
  <c r="AF109" i="53" s="1"/>
  <c r="AF104" i="53"/>
  <c r="AF105" i="53" s="1"/>
  <c r="AG53" i="51" s="1"/>
  <c r="V345" i="48"/>
  <c r="V344" i="48"/>
  <c r="AD67" i="16"/>
  <c r="AD46" i="16"/>
  <c r="Z99" i="14"/>
  <c r="Z33" i="20"/>
  <c r="Z34" i="20"/>
  <c r="Z167" i="28"/>
  <c r="Z168" i="28"/>
  <c r="X273" i="20"/>
  <c r="X272" i="20"/>
  <c r="Z229" i="14"/>
  <c r="BL62" i="51"/>
  <c r="AG29" i="42"/>
  <c r="AW12" i="55"/>
  <c r="AW13" i="55"/>
  <c r="AW16" i="55"/>
  <c r="AW14" i="55"/>
  <c r="AW15" i="55"/>
  <c r="AW11" i="55"/>
  <c r="AD76" i="53"/>
  <c r="AE67" i="51"/>
  <c r="BE4" i="55"/>
  <c r="BH25" i="45"/>
  <c r="AA34" i="48"/>
  <c r="BH82" i="45"/>
  <c r="BH26" i="45"/>
  <c r="BH24" i="45"/>
  <c r="AB300" i="38"/>
  <c r="AB299" i="38"/>
  <c r="Z196" i="54"/>
  <c r="Z197" i="54" s="1"/>
  <c r="AA163" i="54"/>
  <c r="Z108" i="12"/>
  <c r="AE62" i="46"/>
  <c r="AE61" i="46"/>
  <c r="AE64" i="46"/>
  <c r="AE65" i="46"/>
  <c r="AE67" i="46"/>
  <c r="AE66" i="46"/>
  <c r="AE89" i="46" s="1"/>
  <c r="AF60" i="46"/>
  <c r="AG190" i="42"/>
  <c r="AG194" i="42" s="1"/>
  <c r="AG189" i="42"/>
  <c r="AG193" i="42" s="1"/>
  <c r="AG191" i="42"/>
  <c r="AG195" i="42" s="1"/>
  <c r="AG192" i="42"/>
  <c r="AE292" i="42"/>
  <c r="BN63" i="51"/>
  <c r="AC141" i="46"/>
  <c r="AC164" i="46" s="1"/>
  <c r="AC142" i="46"/>
  <c r="AC174" i="46" s="1"/>
  <c r="AC140" i="46"/>
  <c r="AC154" i="46" s="1"/>
  <c r="AE58" i="15"/>
  <c r="AD73" i="29"/>
  <c r="AE58" i="16" s="1"/>
  <c r="BI56" i="45"/>
  <c r="BI55" i="45"/>
  <c r="BI30" i="45"/>
  <c r="AD70" i="51"/>
  <c r="BJ66" i="51"/>
  <c r="BJ58" i="51"/>
  <c r="X259" i="20"/>
  <c r="X262" i="20"/>
  <c r="X257" i="20"/>
  <c r="X258" i="20"/>
  <c r="X260" i="20"/>
  <c r="X261" i="20"/>
  <c r="BA122" i="36"/>
  <c r="BA125" i="36"/>
  <c r="AG131" i="15"/>
  <c r="U259" i="19"/>
  <c r="U268" i="19" s="1"/>
  <c r="V156" i="14" s="1"/>
  <c r="BK95" i="45" l="1"/>
  <c r="T10" i="55"/>
  <c r="BK44" i="45"/>
  <c r="AD35" i="48"/>
  <c r="BK42" i="45"/>
  <c r="R6" i="55"/>
  <c r="R20" i="55"/>
  <c r="BI111" i="36"/>
  <c r="AF29" i="38"/>
  <c r="BI113" i="36"/>
  <c r="AH64" i="51"/>
  <c r="AC111" i="36"/>
  <c r="AC112" i="36"/>
  <c r="AB119" i="36"/>
  <c r="AG31" i="46"/>
  <c r="AD162" i="54"/>
  <c r="AD229" i="54" s="1"/>
  <c r="AD230" i="54" s="1"/>
  <c r="U349" i="48"/>
  <c r="V251" i="19"/>
  <c r="V252" i="19" s="1"/>
  <c r="V254" i="19" s="1"/>
  <c r="AE63" i="48"/>
  <c r="AP102" i="15"/>
  <c r="V258" i="19"/>
  <c r="V259" i="19" s="1"/>
  <c r="V348" i="48"/>
  <c r="V353" i="48" s="1"/>
  <c r="CH6" i="55"/>
  <c r="AG159" i="53"/>
  <c r="Z233" i="12"/>
  <c r="Z234" i="12" s="1"/>
  <c r="X233" i="14"/>
  <c r="X234" i="14" s="1"/>
  <c r="AG162" i="53"/>
  <c r="AI162" i="53" s="1"/>
  <c r="AE202" i="48"/>
  <c r="AE89" i="29"/>
  <c r="AE139" i="48"/>
  <c r="AG129" i="15"/>
  <c r="AG243" i="38"/>
  <c r="AA185" i="28"/>
  <c r="AA186" i="28" s="1"/>
  <c r="V158" i="14"/>
  <c r="V162" i="14"/>
  <c r="AB241" i="54"/>
  <c r="T162" i="14"/>
  <c r="T158" i="14"/>
  <c r="BG77" i="51"/>
  <c r="Z259" i="54"/>
  <c r="BG78" i="51" s="1"/>
  <c r="AB128" i="36"/>
  <c r="Z74" i="51"/>
  <c r="AA259" i="54"/>
  <c r="BH78" i="51" s="1"/>
  <c r="BH77" i="51"/>
  <c r="AD96" i="38"/>
  <c r="AD100" i="38" s="1"/>
  <c r="AD95" i="38"/>
  <c r="AD99" i="38" s="1"/>
  <c r="AD97" i="38"/>
  <c r="AE108" i="36" s="1"/>
  <c r="BK108" i="36" s="1"/>
  <c r="AD94" i="38"/>
  <c r="AD98" i="38" s="1"/>
  <c r="AE212" i="54"/>
  <c r="AE210" i="54"/>
  <c r="AE209" i="54"/>
  <c r="AE211" i="54"/>
  <c r="AG307" i="20"/>
  <c r="AF265" i="19"/>
  <c r="AD262" i="48"/>
  <c r="AD267" i="48" s="1"/>
  <c r="AD261" i="48"/>
  <c r="AD266" i="48" s="1"/>
  <c r="AD263" i="48"/>
  <c r="AD268" i="48" s="1"/>
  <c r="AD265" i="48"/>
  <c r="AD264" i="48"/>
  <c r="AD269" i="48" s="1"/>
  <c r="AG102" i="42"/>
  <c r="AG106" i="42" s="1"/>
  <c r="AG103" i="42"/>
  <c r="AG107" i="42" s="1"/>
  <c r="AG104" i="42"/>
  <c r="AG108" i="42" s="1"/>
  <c r="AG105" i="42"/>
  <c r="Z317" i="46"/>
  <c r="Z320" i="46"/>
  <c r="AA308" i="42"/>
  <c r="AA307" i="42"/>
  <c r="AA309" i="42"/>
  <c r="AA310" i="42"/>
  <c r="AA306" i="42"/>
  <c r="AA311" i="42"/>
  <c r="Z97" i="12"/>
  <c r="Z154" i="12"/>
  <c r="AE194" i="29"/>
  <c r="AE193" i="29"/>
  <c r="AG306" i="48"/>
  <c r="AG31" i="48"/>
  <c r="AD220" i="42"/>
  <c r="AD224" i="42" s="1"/>
  <c r="AD221" i="42"/>
  <c r="AD225" i="42" s="1"/>
  <c r="AD222" i="42"/>
  <c r="AD226" i="42" s="1"/>
  <c r="AD223" i="42"/>
  <c r="BH115" i="36"/>
  <c r="BH116" i="36" s="1"/>
  <c r="BH80" i="36"/>
  <c r="BH83" i="36" s="1"/>
  <c r="BH119" i="36" s="1"/>
  <c r="Y73" i="48"/>
  <c r="Y78" i="48" s="1"/>
  <c r="Y70" i="48"/>
  <c r="Y75" i="48" s="1"/>
  <c r="Y72" i="48"/>
  <c r="Y77" i="48" s="1"/>
  <c r="Y71" i="48"/>
  <c r="Y76" i="48" s="1"/>
  <c r="Y74" i="48"/>
  <c r="AD212" i="20"/>
  <c r="AD170" i="19" s="1"/>
  <c r="AD216" i="20"/>
  <c r="AD174" i="19" s="1"/>
  <c r="AD213" i="20"/>
  <c r="AD171" i="19" s="1"/>
  <c r="AD214" i="20"/>
  <c r="AD172" i="19" s="1"/>
  <c r="AE135" i="12"/>
  <c r="AD215" i="20"/>
  <c r="AD169" i="19"/>
  <c r="Y116" i="45"/>
  <c r="AB207" i="48"/>
  <c r="AB212" i="48" s="1"/>
  <c r="AB209" i="48"/>
  <c r="AB214" i="48" s="1"/>
  <c r="AB208" i="48"/>
  <c r="AB213" i="48" s="1"/>
  <c r="AB211" i="48"/>
  <c r="AB210" i="48"/>
  <c r="AB215" i="48" s="1"/>
  <c r="AD203" i="46"/>
  <c r="AD204" i="46"/>
  <c r="Z68" i="19"/>
  <c r="AA101" i="14" s="1"/>
  <c r="AA101" i="12"/>
  <c r="Z98" i="12"/>
  <c r="Z153" i="12"/>
  <c r="BG128" i="36"/>
  <c r="Z71" i="19"/>
  <c r="AA116" i="14" s="1"/>
  <c r="AA116" i="12"/>
  <c r="AE188" i="38"/>
  <c r="AE184" i="38"/>
  <c r="AE204" i="38"/>
  <c r="AE196" i="38"/>
  <c r="AF76" i="16"/>
  <c r="AF75" i="16"/>
  <c r="AA105" i="12"/>
  <c r="AF157" i="53"/>
  <c r="AG66" i="51" s="1"/>
  <c r="AA143" i="12"/>
  <c r="Z90" i="19"/>
  <c r="AA143" i="14" s="1"/>
  <c r="AE143" i="29"/>
  <c r="AE146" i="29"/>
  <c r="AF83" i="28"/>
  <c r="AF70" i="29" s="1"/>
  <c r="AF85" i="28"/>
  <c r="AF72" i="29" s="1"/>
  <c r="AF87" i="28"/>
  <c r="AF88" i="28"/>
  <c r="AF84" i="28"/>
  <c r="AF86" i="28"/>
  <c r="AG218" i="48"/>
  <c r="AG223" i="48" s="1"/>
  <c r="AG219" i="48"/>
  <c r="AG224" i="48" s="1"/>
  <c r="AG217" i="48"/>
  <c r="AG222" i="48" s="1"/>
  <c r="AG221" i="48"/>
  <c r="AG220" i="48"/>
  <c r="AG225" i="48" s="1"/>
  <c r="AQ110" i="15"/>
  <c r="AG79" i="38"/>
  <c r="AG83" i="38" s="1"/>
  <c r="AG78" i="38"/>
  <c r="AG82" i="38" s="1"/>
  <c r="AG80" i="38"/>
  <c r="AG84" i="38" s="1"/>
  <c r="AG81" i="38"/>
  <c r="AH92" i="36" s="1"/>
  <c r="BN92" i="36" s="1"/>
  <c r="BF90" i="45"/>
  <c r="Z91" i="45"/>
  <c r="AB218" i="48"/>
  <c r="AB223" i="48" s="1"/>
  <c r="AB219" i="48"/>
  <c r="AB224" i="48" s="1"/>
  <c r="AB217" i="48"/>
  <c r="AB222" i="48" s="1"/>
  <c r="AB221" i="48"/>
  <c r="AB220" i="48"/>
  <c r="AB225" i="48" s="1"/>
  <c r="Z318" i="42"/>
  <c r="Z319" i="42" s="1"/>
  <c r="Z321" i="42" s="1"/>
  <c r="AF67" i="51"/>
  <c r="AE76" i="53"/>
  <c r="AC216" i="54"/>
  <c r="AC215" i="54"/>
  <c r="BI77" i="45"/>
  <c r="AC300" i="42"/>
  <c r="AC299" i="42"/>
  <c r="Y321" i="46"/>
  <c r="Y322" i="46"/>
  <c r="Y324" i="46"/>
  <c r="Y323" i="46"/>
  <c r="AC144" i="42"/>
  <c r="AC148" i="42" s="1"/>
  <c r="AC145" i="42"/>
  <c r="AC149" i="42" s="1"/>
  <c r="AC146" i="42"/>
  <c r="AC143" i="42"/>
  <c r="AC147" i="42" s="1"/>
  <c r="AE170" i="20"/>
  <c r="AE179" i="20" s="1"/>
  <c r="AE168" i="20"/>
  <c r="AE169" i="20"/>
  <c r="AE171" i="20"/>
  <c r="AE185" i="20" s="1"/>
  <c r="AE167" i="20"/>
  <c r="AE173" i="20" s="1"/>
  <c r="AF166" i="20"/>
  <c r="Z86" i="19"/>
  <c r="AA133" i="14" s="1"/>
  <c r="AA133" i="12"/>
  <c r="V235" i="19"/>
  <c r="V234" i="19"/>
  <c r="V238" i="19" s="1"/>
  <c r="V337" i="42"/>
  <c r="V342" i="42"/>
  <c r="AD136" i="15"/>
  <c r="AD86" i="36"/>
  <c r="AD89" i="36" s="1"/>
  <c r="BJ85" i="36"/>
  <c r="BJ86" i="36" s="1"/>
  <c r="BJ89" i="36" s="1"/>
  <c r="Z222" i="19"/>
  <c r="Z273" i="19"/>
  <c r="Z272" i="19"/>
  <c r="Z221" i="19"/>
  <c r="Z225" i="19"/>
  <c r="AD67" i="20"/>
  <c r="AD68" i="20"/>
  <c r="AD70" i="20"/>
  <c r="AD69" i="20"/>
  <c r="W251" i="19"/>
  <c r="W252" i="19" s="1"/>
  <c r="X333" i="42"/>
  <c r="AC140" i="15"/>
  <c r="AC158" i="28"/>
  <c r="AC159" i="28" s="1"/>
  <c r="AC181" i="28"/>
  <c r="AC182" i="28" s="1"/>
  <c r="AD137" i="38"/>
  <c r="AD141" i="38" s="1"/>
  <c r="AD136" i="38"/>
  <c r="AD140" i="38" s="1"/>
  <c r="AD138" i="38"/>
  <c r="AE85" i="36" s="1"/>
  <c r="AD135" i="38"/>
  <c r="AD139" i="38" s="1"/>
  <c r="D84" i="15"/>
  <c r="D80" i="15"/>
  <c r="AH43" i="15"/>
  <c r="AH76" i="15" s="1"/>
  <c r="AH123" i="15"/>
  <c r="AG36" i="28"/>
  <c r="AG42" i="28" s="1"/>
  <c r="AN110" i="15"/>
  <c r="Y114" i="45"/>
  <c r="Y115" i="45" s="1"/>
  <c r="AC148" i="46"/>
  <c r="AC153" i="46" s="1"/>
  <c r="AC145" i="46"/>
  <c r="AC150" i="46" s="1"/>
  <c r="AC146" i="46"/>
  <c r="AC151" i="46" s="1"/>
  <c r="AC147" i="46"/>
  <c r="AC152" i="46" s="1"/>
  <c r="AC144" i="48"/>
  <c r="AC149" i="46"/>
  <c r="AD83" i="45" s="1"/>
  <c r="BK64" i="51"/>
  <c r="AD104" i="42"/>
  <c r="AD108" i="42" s="1"/>
  <c r="AD102" i="42"/>
  <c r="AD106" i="42" s="1"/>
  <c r="AD103" i="42"/>
  <c r="AD107" i="42" s="1"/>
  <c r="AD105" i="42"/>
  <c r="BN57" i="51"/>
  <c r="AC127" i="12"/>
  <c r="AA134" i="29"/>
  <c r="AA135" i="29" s="1"/>
  <c r="AB101" i="29"/>
  <c r="Y335" i="42"/>
  <c r="Y333" i="42"/>
  <c r="X274" i="20"/>
  <c r="X275" i="20"/>
  <c r="BJ70" i="51"/>
  <c r="AE295" i="42"/>
  <c r="AE296" i="42"/>
  <c r="AE294" i="42"/>
  <c r="AE293" i="42"/>
  <c r="AE92" i="46"/>
  <c r="AE97" i="46" s="1"/>
  <c r="AE93" i="46"/>
  <c r="AE98" i="46" s="1"/>
  <c r="AE94" i="46"/>
  <c r="AE91" i="46"/>
  <c r="AE90" i="46"/>
  <c r="AE95" i="46" s="1"/>
  <c r="AE89" i="48"/>
  <c r="AA196" i="54"/>
  <c r="AA197" i="54" s="1"/>
  <c r="AB163" i="54"/>
  <c r="BH72" i="45"/>
  <c r="BH86" i="45"/>
  <c r="AD134" i="16"/>
  <c r="AD133" i="16" a="1"/>
  <c r="AD133" i="16" s="1"/>
  <c r="AD77" i="16"/>
  <c r="AD68" i="16"/>
  <c r="BM62" i="51"/>
  <c r="AA47" i="19"/>
  <c r="AA59" i="19"/>
  <c r="AA60" i="19"/>
  <c r="AG76" i="15"/>
  <c r="AG75" i="15"/>
  <c r="AE66" i="15"/>
  <c r="AH58" i="51"/>
  <c r="AH72" i="51" s="1"/>
  <c r="BN56" i="51"/>
  <c r="W327" i="46"/>
  <c r="W328" i="46"/>
  <c r="BK105" i="45"/>
  <c r="X236" i="19"/>
  <c r="X237" i="19"/>
  <c r="AE65" i="16"/>
  <c r="AG79" i="42"/>
  <c r="AG83" i="42" s="1"/>
  <c r="AG80" i="42"/>
  <c r="AG84" i="42" s="1"/>
  <c r="AG78" i="42"/>
  <c r="AG82" i="42" s="1"/>
  <c r="AG81" i="42"/>
  <c r="Z103" i="46"/>
  <c r="Z108" i="46" s="1"/>
  <c r="Z101" i="46"/>
  <c r="Z106" i="46" s="1"/>
  <c r="Z102" i="46"/>
  <c r="Z107" i="46" s="1"/>
  <c r="Z104" i="46"/>
  <c r="AA106" i="45" s="1"/>
  <c r="Z100" i="46"/>
  <c r="Z105" i="46" s="1"/>
  <c r="Z99" i="48"/>
  <c r="AG31" i="28"/>
  <c r="AG146" i="28"/>
  <c r="Z154" i="14"/>
  <c r="Z97" i="14"/>
  <c r="Z193" i="28"/>
  <c r="AF208" i="20"/>
  <c r="AF209" i="20" s="1"/>
  <c r="AE209" i="20"/>
  <c r="AE211" i="20" s="1"/>
  <c r="T164" i="12"/>
  <c r="S318" i="20"/>
  <c r="T165" i="12" s="1"/>
  <c r="AD194" i="29"/>
  <c r="AD193" i="29"/>
  <c r="BI89" i="45"/>
  <c r="AB83" i="20"/>
  <c r="AB75" i="19" s="1"/>
  <c r="AB80" i="20"/>
  <c r="AB82" i="20"/>
  <c r="AB81" i="20"/>
  <c r="AB70" i="19"/>
  <c r="AC114" i="14" s="1"/>
  <c r="AB79" i="20"/>
  <c r="AC114" i="12"/>
  <c r="X334" i="46"/>
  <c r="X338" i="46"/>
  <c r="X339" i="46"/>
  <c r="X336" i="46"/>
  <c r="X337" i="46"/>
  <c r="X335" i="46"/>
  <c r="AD141" i="46"/>
  <c r="AD164" i="46" s="1"/>
  <c r="AD142" i="46"/>
  <c r="AD174" i="46" s="1"/>
  <c r="AD140" i="46"/>
  <c r="AD154" i="46" s="1"/>
  <c r="AA100" i="12"/>
  <c r="Z67" i="19"/>
  <c r="AA100" i="14" s="1"/>
  <c r="Z98" i="14"/>
  <c r="Z153" i="14"/>
  <c r="AF31" i="38"/>
  <c r="AF278" i="38"/>
  <c r="Z74" i="19"/>
  <c r="AA121" i="14" s="1"/>
  <c r="AA121" i="12"/>
  <c r="AF128" i="38"/>
  <c r="AF183" i="38"/>
  <c r="AF127" i="38"/>
  <c r="AF182" i="38"/>
  <c r="AF129" i="16"/>
  <c r="AF131" i="16"/>
  <c r="AA105" i="14"/>
  <c r="Y341" i="46"/>
  <c r="Y342" i="46" s="1"/>
  <c r="Y318" i="46"/>
  <c r="Y319" i="46" s="1"/>
  <c r="Z9" i="55"/>
  <c r="AE157" i="53"/>
  <c r="AF66" i="51" s="1"/>
  <c r="BJ110" i="36"/>
  <c r="AA136" i="14"/>
  <c r="Z179" i="19"/>
  <c r="AG55" i="15"/>
  <c r="AF82" i="29"/>
  <c r="AG55" i="16" s="1"/>
  <c r="W258" i="19"/>
  <c r="W259" i="19" s="1"/>
  <c r="AE67" i="16"/>
  <c r="AE46" i="16"/>
  <c r="AC86" i="45"/>
  <c r="Y82" i="48"/>
  <c r="Y87" i="48" s="1"/>
  <c r="Y81" i="48"/>
  <c r="Y86" i="48" s="1"/>
  <c r="Y83" i="48"/>
  <c r="Y88" i="48" s="1"/>
  <c r="Y84" i="48"/>
  <c r="Y80" i="48"/>
  <c r="Y85" i="48" s="1"/>
  <c r="AL271" i="12"/>
  <c r="AM271" i="12" s="1"/>
  <c r="AH75" i="15"/>
  <c r="U155" i="12"/>
  <c r="T312" i="20"/>
  <c r="T317" i="20"/>
  <c r="AD133" i="19"/>
  <c r="X335" i="38"/>
  <c r="Y121" i="36" s="1"/>
  <c r="BE121" i="36" s="1"/>
  <c r="X333" i="38"/>
  <c r="AP123" i="15"/>
  <c r="AD174" i="20"/>
  <c r="AD136" i="19" s="1"/>
  <c r="AD175" i="20"/>
  <c r="AD137" i="19" s="1"/>
  <c r="AD178" i="20"/>
  <c r="AD140" i="19" s="1"/>
  <c r="AD135" i="19"/>
  <c r="AE113" i="14" s="1"/>
  <c r="AD177" i="20"/>
  <c r="AD139" i="19" s="1"/>
  <c r="AD176" i="20"/>
  <c r="AE113" i="12"/>
  <c r="AD73" i="51"/>
  <c r="AX119" i="45"/>
  <c r="Q365" i="48"/>
  <c r="Q370" i="48"/>
  <c r="AX10" i="55"/>
  <c r="AF235" i="38"/>
  <c r="AF239" i="38" s="1"/>
  <c r="AF237" i="38"/>
  <c r="AF241" i="38" s="1"/>
  <c r="AF238" i="38"/>
  <c r="AG107" i="36" s="1"/>
  <c r="AF236" i="38"/>
  <c r="AF240" i="38" s="1"/>
  <c r="BI105" i="36"/>
  <c r="BI103" i="36"/>
  <c r="AG41" i="45"/>
  <c r="AE64" i="20"/>
  <c r="AE65" i="20"/>
  <c r="AF63" i="20"/>
  <c r="Y224" i="19"/>
  <c r="AD213" i="53"/>
  <c r="AD214" i="53"/>
  <c r="AF42" i="45"/>
  <c r="AF43" i="45"/>
  <c r="AF95" i="45"/>
  <c r="AE35" i="46"/>
  <c r="AF44" i="45"/>
  <c r="AG194" i="53"/>
  <c r="AG31" i="53"/>
  <c r="AB147" i="12"/>
  <c r="AB95" i="12"/>
  <c r="AA51" i="19"/>
  <c r="W345" i="46"/>
  <c r="W346" i="46" s="1"/>
  <c r="AB217" i="54"/>
  <c r="AB221" i="54" s="1"/>
  <c r="AB218" i="54"/>
  <c r="AH68" i="51"/>
  <c r="AH50" i="51"/>
  <c r="AH51" i="51" s="1"/>
  <c r="AD63" i="42"/>
  <c r="AD69" i="42"/>
  <c r="AD153" i="38"/>
  <c r="AD157" i="38" s="1"/>
  <c r="AD151" i="38"/>
  <c r="AD155" i="38" s="1"/>
  <c r="AD152" i="38"/>
  <c r="AD156" i="38" s="1"/>
  <c r="AD154" i="38"/>
  <c r="AE79" i="36" s="1"/>
  <c r="Z139" i="29"/>
  <c r="Z138" i="29"/>
  <c r="Z136" i="29"/>
  <c r="Z140" i="29"/>
  <c r="Z137" i="29"/>
  <c r="Z141" i="29"/>
  <c r="BC122" i="36"/>
  <c r="BC125" i="36"/>
  <c r="AG76" i="16"/>
  <c r="AD298" i="42"/>
  <c r="AD297" i="42"/>
  <c r="AA31" i="19"/>
  <c r="AA211" i="19"/>
  <c r="T160" i="12"/>
  <c r="S159" i="12"/>
  <c r="S161" i="12" s="1"/>
  <c r="Z255" i="20"/>
  <c r="Z256" i="20" s="1"/>
  <c r="AA222" i="20"/>
  <c r="AC206" i="53"/>
  <c r="AC207" i="53" s="1"/>
  <c r="AC229" i="53"/>
  <c r="AC230" i="53" s="1"/>
  <c r="AE66" i="16"/>
  <c r="AI246" i="42"/>
  <c r="AG290" i="42"/>
  <c r="AG291" i="42" s="1"/>
  <c r="AG313" i="42"/>
  <c r="AG314" i="42" s="1"/>
  <c r="Z271" i="46"/>
  <c r="AE21" i="45"/>
  <c r="AE28" i="19"/>
  <c r="AE46" i="19" s="1"/>
  <c r="AE167" i="19" s="1"/>
  <c r="AE166" i="19" s="1"/>
  <c r="AF22" i="19"/>
  <c r="AF195" i="20"/>
  <c r="AF196" i="20" s="1"/>
  <c r="AE196" i="20"/>
  <c r="Y279" i="20"/>
  <c r="Y278" i="20"/>
  <c r="AG20" i="20"/>
  <c r="AG26" i="20" s="1"/>
  <c r="AG44" i="20" s="1"/>
  <c r="AF26" i="20"/>
  <c r="AF44" i="20" s="1"/>
  <c r="BJ33" i="45"/>
  <c r="Y118" i="45"/>
  <c r="BI68" i="45"/>
  <c r="AD139" i="46"/>
  <c r="AD144" i="46"/>
  <c r="AE263" i="46"/>
  <c r="AE268" i="46" s="1"/>
  <c r="AE264" i="46"/>
  <c r="AE269" i="46" s="1"/>
  <c r="AE261" i="46"/>
  <c r="AE266" i="46" s="1"/>
  <c r="AE262" i="46"/>
  <c r="AE267" i="46" s="1"/>
  <c r="AE265" i="46"/>
  <c r="AF105" i="45" s="1"/>
  <c r="AE260" i="48"/>
  <c r="Z271" i="20"/>
  <c r="Z269" i="20"/>
  <c r="Z268" i="20"/>
  <c r="Z270" i="20"/>
  <c r="AA147" i="14"/>
  <c r="AA95" i="14"/>
  <c r="AH17" i="45"/>
  <c r="BN16" i="45"/>
  <c r="AE185" i="38"/>
  <c r="AE186" i="38"/>
  <c r="AE33" i="28"/>
  <c r="AE34" i="28"/>
  <c r="AE56" i="45"/>
  <c r="AE55" i="45"/>
  <c r="AD110" i="36"/>
  <c r="AA139" i="12"/>
  <c r="AE82" i="29"/>
  <c r="AF55" i="16" s="1"/>
  <c r="AF55" i="15"/>
  <c r="Z227" i="14"/>
  <c r="AE67" i="15"/>
  <c r="AE46" i="15"/>
  <c r="AC87" i="45"/>
  <c r="W331" i="48"/>
  <c r="W343" i="48" s="1"/>
  <c r="W344" i="48" s="1"/>
  <c r="W332" i="48"/>
  <c r="AF289" i="38"/>
  <c r="AF292" i="38"/>
  <c r="AC70" i="38"/>
  <c r="AC74" i="38" s="1"/>
  <c r="AC73" i="38"/>
  <c r="AD78" i="36" s="1"/>
  <c r="AC71" i="38"/>
  <c r="AC75" i="38" s="1"/>
  <c r="AC72" i="38"/>
  <c r="AC76" i="38" s="1"/>
  <c r="AF31" i="29"/>
  <c r="AF132" i="29"/>
  <c r="AA69" i="46"/>
  <c r="AA109" i="46"/>
  <c r="AA99" i="46"/>
  <c r="AA44" i="46"/>
  <c r="AA316" i="46" s="1"/>
  <c r="AA79" i="46"/>
  <c r="AF47" i="29"/>
  <c r="AF142" i="29" s="1"/>
  <c r="AB290" i="38"/>
  <c r="AB291" i="38" s="1"/>
  <c r="AB313" i="38"/>
  <c r="AB314" i="38" s="1"/>
  <c r="AH131" i="15"/>
  <c r="BD114" i="45"/>
  <c r="U158" i="12"/>
  <c r="U162" i="12"/>
  <c r="BK107" i="36"/>
  <c r="AE63" i="53"/>
  <c r="AE159" i="53" s="1"/>
  <c r="AE69" i="53"/>
  <c r="AE70" i="53" s="1"/>
  <c r="AF49" i="51" s="1"/>
  <c r="AF56" i="15"/>
  <c r="AE60" i="29"/>
  <c r="AF56" i="16" s="1"/>
  <c r="AA196" i="53"/>
  <c r="AA197" i="53" s="1"/>
  <c r="AB163" i="53"/>
  <c r="Z225" i="14" a="1"/>
  <c r="Z225" i="14" s="1"/>
  <c r="Z226" i="14"/>
  <c r="Z148" i="14"/>
  <c r="AB167" i="48"/>
  <c r="AB172" i="48" s="1"/>
  <c r="AB168" i="48"/>
  <c r="AB173" i="48" s="1"/>
  <c r="AB165" i="48"/>
  <c r="AB170" i="48" s="1"/>
  <c r="AB169" i="48"/>
  <c r="AB166" i="48"/>
  <c r="AB171" i="48" s="1"/>
  <c r="W335" i="48"/>
  <c r="W338" i="48"/>
  <c r="W339" i="48"/>
  <c r="W337" i="48"/>
  <c r="W334" i="48"/>
  <c r="W336" i="48"/>
  <c r="AC141" i="16"/>
  <c r="AC142" i="16" s="1"/>
  <c r="AD132" i="19"/>
  <c r="AG247" i="48"/>
  <c r="AG252" i="48" s="1"/>
  <c r="AG244" i="48"/>
  <c r="AG249" i="48" s="1"/>
  <c r="AG248" i="48"/>
  <c r="AG246" i="48"/>
  <c r="AG251" i="48" s="1"/>
  <c r="AG245" i="48"/>
  <c r="AG250" i="48" s="1"/>
  <c r="Z33" i="19"/>
  <c r="Z34" i="19"/>
  <c r="CI13" i="55"/>
  <c r="CI11" i="55"/>
  <c r="CI19" i="55" s="1"/>
  <c r="CI16" i="55"/>
  <c r="CI12" i="55"/>
  <c r="CI15" i="55"/>
  <c r="CI14" i="55"/>
  <c r="AD186" i="20"/>
  <c r="AD148" i="19" s="1"/>
  <c r="AD188" i="20"/>
  <c r="AD150" i="19" s="1"/>
  <c r="AD189" i="20"/>
  <c r="AD151" i="19" s="1"/>
  <c r="AD190" i="20"/>
  <c r="AD152" i="19" s="1"/>
  <c r="AE137" i="12"/>
  <c r="AD187" i="20"/>
  <c r="AD149" i="19" s="1"/>
  <c r="AD147" i="19"/>
  <c r="AE137" i="14" s="1"/>
  <c r="W312" i="46"/>
  <c r="W311" i="46"/>
  <c r="W310" i="46"/>
  <c r="W315" i="46"/>
  <c r="W313" i="46"/>
  <c r="W314" i="46"/>
  <c r="S119" i="45"/>
  <c r="R365" i="46"/>
  <c r="R370" i="46"/>
  <c r="S10" i="55"/>
  <c r="AE237" i="38"/>
  <c r="AE241" i="38" s="1"/>
  <c r="AE236" i="38"/>
  <c r="AE240" i="38" s="1"/>
  <c r="AE238" i="38"/>
  <c r="AF107" i="36" s="1"/>
  <c r="AE235" i="38"/>
  <c r="AE239" i="38" s="1"/>
  <c r="AA226" i="12"/>
  <c r="BN98" i="36"/>
  <c r="AA89" i="20"/>
  <c r="AB104" i="12"/>
  <c r="AA88" i="20"/>
  <c r="AA86" i="20"/>
  <c r="AA78" i="19" s="1"/>
  <c r="AA76" i="19"/>
  <c r="AB104" i="14" s="1"/>
  <c r="AA85" i="20"/>
  <c r="AA87" i="20"/>
  <c r="BG72" i="45"/>
  <c r="BG86" i="45"/>
  <c r="AB174" i="28"/>
  <c r="AB179" i="28"/>
  <c r="AB178" i="28"/>
  <c r="AB177" i="28"/>
  <c r="AB175" i="28"/>
  <c r="AB176" i="28"/>
  <c r="Y150" i="12"/>
  <c r="AE207" i="28"/>
  <c r="AE208" i="28"/>
  <c r="AE156" i="28"/>
  <c r="AP114" i="15"/>
  <c r="BE109" i="45"/>
  <c r="AY119" i="45"/>
  <c r="R365" i="48"/>
  <c r="R370" i="48"/>
  <c r="AH122" i="15"/>
  <c r="AH132" i="15" s="1"/>
  <c r="AP253" i="12"/>
  <c r="AP126" i="15"/>
  <c r="AN106" i="15"/>
  <c r="AO106" i="15" s="1"/>
  <c r="AD135" i="16"/>
  <c r="AC103" i="36"/>
  <c r="AC117" i="36" s="1"/>
  <c r="AC123" i="36" s="1"/>
  <c r="AC105" i="36"/>
  <c r="AC100" i="29"/>
  <c r="AC88" i="29"/>
  <c r="AA241" i="53"/>
  <c r="AA242" i="53" s="1"/>
  <c r="AB218" i="53"/>
  <c r="AB217" i="53"/>
  <c r="AB221" i="53" s="1"/>
  <c r="AA77" i="20"/>
  <c r="AA75" i="20"/>
  <c r="AA74" i="20"/>
  <c r="AA66" i="19" s="1"/>
  <c r="AA76" i="20"/>
  <c r="AA64" i="19"/>
  <c r="AB93" i="14" s="1"/>
  <c r="AA73" i="20"/>
  <c r="AG146" i="38"/>
  <c r="AH100" i="36" s="1"/>
  <c r="BN100" i="36" s="1"/>
  <c r="AG143" i="38"/>
  <c r="AG147" i="38" s="1"/>
  <c r="AG144" i="38"/>
  <c r="AG148" i="38" s="1"/>
  <c r="AG145" i="38"/>
  <c r="AG149" i="38" s="1"/>
  <c r="AG360" i="46"/>
  <c r="BN53" i="51"/>
  <c r="AH54" i="51"/>
  <c r="AD220" i="54"/>
  <c r="AD219" i="54"/>
  <c r="AD231" i="54" s="1"/>
  <c r="AZ125" i="45"/>
  <c r="S371" i="48"/>
  <c r="AZ126" i="45" s="1"/>
  <c r="BN49" i="51"/>
  <c r="AD162" i="38"/>
  <c r="AE109" i="36" s="1"/>
  <c r="BK109" i="36" s="1"/>
  <c r="AD159" i="38"/>
  <c r="AD163" i="38" s="1"/>
  <c r="AD160" i="38"/>
  <c r="AD164" i="38" s="1"/>
  <c r="AD161" i="38"/>
  <c r="AD165" i="38" s="1"/>
  <c r="AC300" i="38"/>
  <c r="AC299" i="38"/>
  <c r="AD102" i="36"/>
  <c r="AD135" i="14"/>
  <c r="Z170" i="28"/>
  <c r="Z169" i="28"/>
  <c r="Z173" i="28" s="1"/>
  <c r="AF31" i="48"/>
  <c r="AF306" i="48"/>
  <c r="AD88" i="38"/>
  <c r="AD92" i="38" s="1"/>
  <c r="AD89" i="38"/>
  <c r="AD87" i="38"/>
  <c r="AD91" i="38" s="1"/>
  <c r="AD86" i="38"/>
  <c r="AD90" i="38" s="1"/>
  <c r="AD303" i="42"/>
  <c r="AD315" i="42" s="1"/>
  <c r="AD304" i="42"/>
  <c r="BF106" i="45"/>
  <c r="Z109" i="45"/>
  <c r="BE91" i="45"/>
  <c r="BE114" i="45" s="1"/>
  <c r="W276" i="20"/>
  <c r="W280" i="20" s="1"/>
  <c r="W277" i="20"/>
  <c r="AE63" i="54"/>
  <c r="AE159" i="54" s="1"/>
  <c r="AE69" i="54"/>
  <c r="AE70" i="54" s="1"/>
  <c r="BJ51" i="51"/>
  <c r="BJ72" i="51"/>
  <c r="AE65" i="15"/>
  <c r="AG94" i="42"/>
  <c r="AG98" i="42" s="1"/>
  <c r="AG95" i="42"/>
  <c r="AG99" i="42" s="1"/>
  <c r="AG96" i="42"/>
  <c r="AG100" i="42" s="1"/>
  <c r="AG97" i="42"/>
  <c r="AF20" i="45"/>
  <c r="AF19" i="45"/>
  <c r="V327" i="48"/>
  <c r="V328" i="48"/>
  <c r="AD157" i="19"/>
  <c r="AE123" i="12"/>
  <c r="AD198" i="20"/>
  <c r="AC24" i="19"/>
  <c r="AD18" i="19"/>
  <c r="AC232" i="54"/>
  <c r="AC233" i="54"/>
  <c r="AC236" i="54" s="1"/>
  <c r="BK98" i="36"/>
  <c r="AG36" i="29"/>
  <c r="AG42" i="29" s="1"/>
  <c r="AH123" i="16"/>
  <c r="D84" i="16"/>
  <c r="D80" i="16"/>
  <c r="AH43" i="16"/>
  <c r="T12" i="55"/>
  <c r="T16" i="55"/>
  <c r="T15" i="55"/>
  <c r="T14" i="55"/>
  <c r="T13" i="55"/>
  <c r="T11" i="55"/>
  <c r="BJ30" i="45"/>
  <c r="AD162" i="53"/>
  <c r="AH47" i="16"/>
  <c r="D82" i="16"/>
  <c r="AH125" i="16"/>
  <c r="AG37" i="29"/>
  <c r="AF278" i="42"/>
  <c r="AF31" i="42"/>
  <c r="AF260" i="46"/>
  <c r="AA4" i="55"/>
  <c r="Z65" i="19"/>
  <c r="AA96" i="14" s="1"/>
  <c r="AA96" i="12"/>
  <c r="BI83" i="45"/>
  <c r="AD247" i="46"/>
  <c r="AD252" i="46" s="1"/>
  <c r="AD246" i="46"/>
  <c r="AD251" i="46" s="1"/>
  <c r="AD245" i="46"/>
  <c r="AD250" i="46" s="1"/>
  <c r="AD243" i="48"/>
  <c r="AD248" i="46"/>
  <c r="AE96" i="45" s="1"/>
  <c r="AD244" i="46"/>
  <c r="AD249" i="46" s="1"/>
  <c r="AA146" i="12"/>
  <c r="AA115" i="12"/>
  <c r="AE131" i="38"/>
  <c r="AE150" i="38" s="1"/>
  <c r="AE132" i="38"/>
  <c r="AE158" i="38" s="1"/>
  <c r="AE130" i="38"/>
  <c r="AE142" i="38" s="1"/>
  <c r="Z80" i="19"/>
  <c r="AA111" i="14" s="1"/>
  <c r="AA111" i="12"/>
  <c r="AG132" i="29"/>
  <c r="AG31" i="29"/>
  <c r="BF97" i="45"/>
  <c r="Z100" i="45"/>
  <c r="Z113" i="45"/>
  <c r="Y232" i="14"/>
  <c r="AF31" i="45"/>
  <c r="AF32" i="45"/>
  <c r="AF28" i="45"/>
  <c r="BL27" i="45"/>
  <c r="AF36" i="45"/>
  <c r="AF29" i="45"/>
  <c r="AF35" i="45"/>
  <c r="AF37" i="45"/>
  <c r="AG27" i="45"/>
  <c r="AF54" i="45"/>
  <c r="AE30" i="45"/>
  <c r="X213" i="19"/>
  <c r="X214" i="19" s="1"/>
  <c r="Y180" i="19"/>
  <c r="BM56" i="51"/>
  <c r="AB76" i="19"/>
  <c r="AC104" i="14" s="1"/>
  <c r="AB86" i="20"/>
  <c r="AB78" i="19" s="1"/>
  <c r="AB89" i="20"/>
  <c r="AB87" i="20"/>
  <c r="AB85" i="20"/>
  <c r="AB88" i="20"/>
  <c r="AC104" i="12"/>
  <c r="Z89" i="19"/>
  <c r="AA140" i="14" s="1"/>
  <c r="AA140" i="12"/>
  <c r="AC151" i="29"/>
  <c r="AC152" i="29"/>
  <c r="AE49" i="16"/>
  <c r="AE71" i="29"/>
  <c r="AF48" i="16" s="1"/>
  <c r="AF48" i="15"/>
  <c r="AC220" i="46"/>
  <c r="AC225" i="46" s="1"/>
  <c r="AC218" i="46"/>
  <c r="AC223" i="46" s="1"/>
  <c r="AC217" i="46"/>
  <c r="AC222" i="46" s="1"/>
  <c r="AC216" i="48"/>
  <c r="AC219" i="46"/>
  <c r="AC224" i="46" s="1"/>
  <c r="AC221" i="46"/>
  <c r="AD99" i="45" s="1"/>
  <c r="AD58" i="29"/>
  <c r="AD114" i="28"/>
  <c r="AD213" i="28"/>
  <c r="AG147" i="46"/>
  <c r="AG152" i="46" s="1"/>
  <c r="AG145" i="46"/>
  <c r="AG150" i="46" s="1"/>
  <c r="AG148" i="46"/>
  <c r="AG153" i="46" s="1"/>
  <c r="AG144" i="48"/>
  <c r="AG146" i="46"/>
  <c r="AG151" i="46" s="1"/>
  <c r="AG149" i="46"/>
  <c r="AH83" i="45" s="1"/>
  <c r="AG137" i="42"/>
  <c r="AG141" i="42" s="1"/>
  <c r="AG135" i="42"/>
  <c r="AG139" i="42" s="1"/>
  <c r="AG136" i="42"/>
  <c r="AG140" i="42" s="1"/>
  <c r="AG138" i="42"/>
  <c r="AC84" i="45"/>
  <c r="AC246" i="38"/>
  <c r="AC243" i="38"/>
  <c r="AG97" i="38"/>
  <c r="AH108" i="36" s="1"/>
  <c r="BN108" i="36" s="1"/>
  <c r="AG94" i="38"/>
  <c r="AG98" i="38" s="1"/>
  <c r="AG95" i="38"/>
  <c r="AG99" i="38" s="1"/>
  <c r="AG96" i="38"/>
  <c r="AG100" i="38" s="1"/>
  <c r="AA62" i="19"/>
  <c r="AD148" i="20"/>
  <c r="AD124" i="19" s="1"/>
  <c r="AD149" i="20"/>
  <c r="AD125" i="19" s="1"/>
  <c r="AD146" i="20"/>
  <c r="AD122" i="19" s="1"/>
  <c r="AD147" i="20"/>
  <c r="AD123" i="19" s="1"/>
  <c r="AE138" i="12"/>
  <c r="AD150" i="20"/>
  <c r="AD126" i="19" s="1"/>
  <c r="AD121" i="19"/>
  <c r="AE138" i="14" s="1"/>
  <c r="AC216" i="53"/>
  <c r="AC215" i="53"/>
  <c r="AF31" i="28"/>
  <c r="AF146" i="28"/>
  <c r="X72" i="15"/>
  <c r="W211" i="28"/>
  <c r="X73" i="15" s="1"/>
  <c r="AE62" i="28"/>
  <c r="AF44" i="15"/>
  <c r="AE56" i="29"/>
  <c r="AF44" i="16" s="1"/>
  <c r="Z202" i="53"/>
  <c r="Z201" i="53"/>
  <c r="Z198" i="53"/>
  <c r="Z203" i="53"/>
  <c r="Z200" i="53"/>
  <c r="Z199" i="53"/>
  <c r="AC34" i="46"/>
  <c r="AD26" i="45"/>
  <c r="AD25" i="45"/>
  <c r="AD82" i="45"/>
  <c r="AD24" i="45"/>
  <c r="AA61" i="19"/>
  <c r="AD131" i="19"/>
  <c r="AC189" i="42"/>
  <c r="AC193" i="42" s="1"/>
  <c r="AC190" i="42"/>
  <c r="AC194" i="42" s="1"/>
  <c r="AC191" i="42"/>
  <c r="AC195" i="42" s="1"/>
  <c r="AC192" i="42"/>
  <c r="BN96" i="45"/>
  <c r="V313" i="48"/>
  <c r="V311" i="48"/>
  <c r="V314" i="48"/>
  <c r="V310" i="48"/>
  <c r="V315" i="48"/>
  <c r="V312" i="48"/>
  <c r="AD180" i="20"/>
  <c r="AD142" i="19" s="1"/>
  <c r="AD182" i="20"/>
  <c r="AD144" i="19" s="1"/>
  <c r="AD181" i="20"/>
  <c r="AD143" i="19" s="1"/>
  <c r="AD183" i="20"/>
  <c r="AD145" i="19" s="1"/>
  <c r="AD184" i="20"/>
  <c r="AD146" i="19" s="1"/>
  <c r="AD141" i="19"/>
  <c r="AE125" i="14" s="1"/>
  <c r="X308" i="46"/>
  <c r="X309" i="46" s="1"/>
  <c r="Y275" i="46"/>
  <c r="Y335" i="38"/>
  <c r="Z121" i="36" s="1"/>
  <c r="BF121" i="36" s="1"/>
  <c r="Y333" i="38"/>
  <c r="Z249" i="54"/>
  <c r="Z251" i="54"/>
  <c r="BG75" i="51" s="1"/>
  <c r="AG227" i="48"/>
  <c r="AG232" i="48" s="1"/>
  <c r="AG228" i="48"/>
  <c r="AG233" i="48" s="1"/>
  <c r="AG229" i="48"/>
  <c r="AG234" i="48" s="1"/>
  <c r="AG230" i="48"/>
  <c r="AG235" i="48" s="1"/>
  <c r="AG231" i="48"/>
  <c r="BI98" i="45"/>
  <c r="BG84" i="45"/>
  <c r="AE157" i="54"/>
  <c r="AY122" i="45"/>
  <c r="AF208" i="53"/>
  <c r="AA57" i="19"/>
  <c r="AA53" i="19"/>
  <c r="AG151" i="38"/>
  <c r="AG155" i="38" s="1"/>
  <c r="AG154" i="38"/>
  <c r="AH79" i="36" s="1"/>
  <c r="AG152" i="38"/>
  <c r="AG156" i="38" s="1"/>
  <c r="AG153" i="38"/>
  <c r="AG157" i="38" s="1"/>
  <c r="Z179" i="29"/>
  <c r="AD90" i="48"/>
  <c r="AD95" i="48" s="1"/>
  <c r="AD93" i="48"/>
  <c r="AD98" i="48" s="1"/>
  <c r="AD91" i="48"/>
  <c r="AD92" i="48"/>
  <c r="AD97" i="48" s="1"/>
  <c r="AD94" i="48"/>
  <c r="BH70" i="45"/>
  <c r="AF47" i="28"/>
  <c r="AF50" i="29"/>
  <c r="AF52" i="29"/>
  <c r="AF49" i="29" s="1"/>
  <c r="AF54" i="29"/>
  <c r="AF51" i="29"/>
  <c r="AF53" i="29"/>
  <c r="Y189" i="29"/>
  <c r="Z70" i="16" s="1"/>
  <c r="Y187" i="29"/>
  <c r="BN62" i="51"/>
  <c r="AE61" i="42"/>
  <c r="AE67" i="42"/>
  <c r="AE101" i="42" s="1"/>
  <c r="AE65" i="42"/>
  <c r="AE93" i="42" s="1"/>
  <c r="AE64" i="42"/>
  <c r="AE77" i="42" s="1"/>
  <c r="AE62" i="42"/>
  <c r="AE66" i="42"/>
  <c r="AE85" i="42" s="1"/>
  <c r="AF60" i="42"/>
  <c r="AG205" i="53"/>
  <c r="AG208" i="53"/>
  <c r="AD145" i="38"/>
  <c r="AD149" i="38" s="1"/>
  <c r="AD146" i="38"/>
  <c r="AE100" i="36" s="1"/>
  <c r="BK100" i="36" s="1"/>
  <c r="AD144" i="38"/>
  <c r="AD148" i="38" s="1"/>
  <c r="AD143" i="38"/>
  <c r="AD147" i="38" s="1"/>
  <c r="U310" i="20"/>
  <c r="V156" i="12" s="1"/>
  <c r="U308" i="20"/>
  <c r="BJ102" i="36"/>
  <c r="T270" i="19"/>
  <c r="AG68" i="51"/>
  <c r="AG50" i="51"/>
  <c r="AG278" i="42"/>
  <c r="AG31" i="42"/>
  <c r="AD103" i="38"/>
  <c r="AD107" i="38" s="1"/>
  <c r="AD105" i="38"/>
  <c r="AE99" i="36" s="1"/>
  <c r="BK99" i="36" s="1"/>
  <c r="AD102" i="38"/>
  <c r="AD106" i="38" s="1"/>
  <c r="AD104" i="38"/>
  <c r="AD108" i="38" s="1"/>
  <c r="AB301" i="38"/>
  <c r="AB305" i="38" s="1"/>
  <c r="AB302" i="38"/>
  <c r="AC155" i="46"/>
  <c r="AC160" i="46" s="1"/>
  <c r="AC158" i="46"/>
  <c r="AC163" i="46" s="1"/>
  <c r="AC159" i="46"/>
  <c r="AD98" i="45" s="1"/>
  <c r="AC156" i="46"/>
  <c r="AC161" i="46" s="1"/>
  <c r="AC154" i="48"/>
  <c r="AC157" i="46"/>
  <c r="AC162" i="46" s="1"/>
  <c r="BK67" i="51"/>
  <c r="AW7" i="55"/>
  <c r="AD80" i="38"/>
  <c r="AD84" i="38" s="1"/>
  <c r="AD78" i="38"/>
  <c r="AD82" i="38" s="1"/>
  <c r="AD81" i="38"/>
  <c r="AE92" i="36" s="1"/>
  <c r="BK92" i="36" s="1"/>
  <c r="AD79" i="38"/>
  <c r="AD83" i="38" s="1"/>
  <c r="AC203" i="20"/>
  <c r="AC164" i="19" s="1"/>
  <c r="AC199" i="20"/>
  <c r="AC160" i="19" s="1"/>
  <c r="AC201" i="20"/>
  <c r="AC162" i="19" s="1"/>
  <c r="AC200" i="20"/>
  <c r="AC161" i="19" s="1"/>
  <c r="AC159" i="19"/>
  <c r="AD123" i="14" s="1"/>
  <c r="AC202" i="20"/>
  <c r="Y101" i="48"/>
  <c r="Y106" i="48" s="1"/>
  <c r="Y102" i="48"/>
  <c r="Y107" i="48" s="1"/>
  <c r="Y100" i="48"/>
  <c r="Y105" i="48" s="1"/>
  <c r="Y103" i="48"/>
  <c r="Y108" i="48" s="1"/>
  <c r="Y104" i="48"/>
  <c r="AC173" i="19"/>
  <c r="AA83" i="20"/>
  <c r="AA75" i="19" s="1"/>
  <c r="AA79" i="20"/>
  <c r="AA82" i="20"/>
  <c r="AA81" i="20"/>
  <c r="AA70" i="19"/>
  <c r="AB114" i="14" s="1"/>
  <c r="AB114" i="12"/>
  <c r="AA80" i="20"/>
  <c r="AB95" i="20"/>
  <c r="AB87" i="19" s="1"/>
  <c r="AB91" i="20"/>
  <c r="AB94" i="20"/>
  <c r="AB86" i="19" s="1"/>
  <c r="AB82" i="19"/>
  <c r="AC124" i="14" s="1"/>
  <c r="AB92" i="20"/>
  <c r="AB93" i="20"/>
  <c r="Y259" i="20"/>
  <c r="Y262" i="20"/>
  <c r="Y260" i="20"/>
  <c r="Y258" i="20"/>
  <c r="Y257" i="20"/>
  <c r="Y261" i="20"/>
  <c r="AG243" i="42"/>
  <c r="V346" i="48"/>
  <c r="V347" i="48" s="1"/>
  <c r="AD200" i="38"/>
  <c r="AE101" i="36" s="1"/>
  <c r="BK101" i="36" s="1"/>
  <c r="AD198" i="38"/>
  <c r="AD202" i="38" s="1"/>
  <c r="AD197" i="38"/>
  <c r="AD201" i="38" s="1"/>
  <c r="AD199" i="38"/>
  <c r="AD203" i="38" s="1"/>
  <c r="AD147" i="29"/>
  <c r="AD148" i="29"/>
  <c r="AD150" i="29"/>
  <c r="AD149" i="29"/>
  <c r="T353" i="48"/>
  <c r="T354" i="48" s="1"/>
  <c r="AB29" i="19"/>
  <c r="AB42" i="19"/>
  <c r="AB55" i="19" s="1"/>
  <c r="AC222" i="54"/>
  <c r="AC223" i="54"/>
  <c r="AC227" i="54"/>
  <c r="AC226" i="54"/>
  <c r="AC224" i="54"/>
  <c r="AC225" i="54"/>
  <c r="T157" i="12"/>
  <c r="T163" i="12"/>
  <c r="AE70" i="51"/>
  <c r="BK66" i="51"/>
  <c r="AH121" i="16"/>
  <c r="AO252" i="14"/>
  <c r="AH42" i="16"/>
  <c r="AG162" i="54"/>
  <c r="AB145" i="48"/>
  <c r="AB150" i="48" s="1"/>
  <c r="AB146" i="48"/>
  <c r="AB151" i="48" s="1"/>
  <c r="AB148" i="48"/>
  <c r="AB153" i="48" s="1"/>
  <c r="AB149" i="48"/>
  <c r="AB147" i="48"/>
  <c r="AB152" i="48" s="1"/>
  <c r="AC70" i="45"/>
  <c r="BM17" i="45"/>
  <c r="BM18" i="45" s="1"/>
  <c r="AE241" i="46"/>
  <c r="AE243" i="46" s="1"/>
  <c r="AF240" i="46"/>
  <c r="AF241" i="46" s="1"/>
  <c r="AF243" i="46" s="1"/>
  <c r="AE129" i="38"/>
  <c r="AE134" i="38"/>
  <c r="Z79" i="19"/>
  <c r="AA110" i="14" s="1"/>
  <c r="AA110" i="12"/>
  <c r="AD138" i="20"/>
  <c r="AD114" i="19" s="1"/>
  <c r="AD136" i="20"/>
  <c r="AD112" i="19" s="1"/>
  <c r="AD137" i="20"/>
  <c r="AD113" i="19" s="1"/>
  <c r="AD134" i="20"/>
  <c r="AD110" i="19" s="1"/>
  <c r="AD135" i="20"/>
  <c r="AD111" i="19" s="1"/>
  <c r="AD109" i="19"/>
  <c r="AE126" i="14" s="1"/>
  <c r="AF223" i="38"/>
  <c r="AG98" i="36" s="1"/>
  <c r="AF220" i="38"/>
  <c r="AF224" i="38" s="1"/>
  <c r="AF221" i="38"/>
  <c r="AF225" i="38" s="1"/>
  <c r="AF222" i="38"/>
  <c r="AF226" i="38" s="1"/>
  <c r="Y233" i="14"/>
  <c r="Y234" i="14" s="1"/>
  <c r="AE33" i="45"/>
  <c r="W217" i="19"/>
  <c r="W218" i="19"/>
  <c r="W219" i="19"/>
  <c r="W215" i="19"/>
  <c r="W220" i="19"/>
  <c r="W216" i="19"/>
  <c r="AE73" i="29"/>
  <c r="AF58" i="16" s="1"/>
  <c r="AF58" i="15"/>
  <c r="AC229" i="46"/>
  <c r="AC234" i="46" s="1"/>
  <c r="AC230" i="46"/>
  <c r="AC235" i="46" s="1"/>
  <c r="AC227" i="46"/>
  <c r="AC232" i="46" s="1"/>
  <c r="AC228" i="46"/>
  <c r="AC233" i="46" s="1"/>
  <c r="AC226" i="48"/>
  <c r="AC231" i="46"/>
  <c r="AD108" i="45" s="1"/>
  <c r="AG175" i="46"/>
  <c r="AG180" i="46" s="1"/>
  <c r="AG177" i="46"/>
  <c r="AG182" i="46" s="1"/>
  <c r="AG176" i="46"/>
  <c r="AG181" i="46" s="1"/>
  <c r="AG178" i="46"/>
  <c r="AG183" i="46" s="1"/>
  <c r="AG179" i="46"/>
  <c r="AH107" i="45" s="1"/>
  <c r="AG174" i="48"/>
  <c r="AG152" i="42"/>
  <c r="AG156" i="42" s="1"/>
  <c r="AG153" i="42"/>
  <c r="AG157" i="42" s="1"/>
  <c r="AG154" i="42"/>
  <c r="AG151" i="42"/>
  <c r="AG155" i="42" s="1"/>
  <c r="Z149" i="12"/>
  <c r="AC85" i="45"/>
  <c r="AR123" i="15"/>
  <c r="BJ96" i="45"/>
  <c r="AG292" i="38"/>
  <c r="AB290" i="42"/>
  <c r="AB291" i="42" s="1"/>
  <c r="AB313" i="42"/>
  <c r="AB314" i="42" s="1"/>
  <c r="S266" i="19"/>
  <c r="BN89" i="45"/>
  <c r="AF61" i="53"/>
  <c r="AF65" i="53"/>
  <c r="AF75" i="53" s="1"/>
  <c r="AF62" i="53"/>
  <c r="AF67" i="53"/>
  <c r="AF77" i="53" s="1"/>
  <c r="AF78" i="53" s="1"/>
  <c r="AG61" i="51" s="1"/>
  <c r="AF64" i="53"/>
  <c r="AF71" i="53" s="1"/>
  <c r="AF72" i="53" s="1"/>
  <c r="AG57" i="51" s="1"/>
  <c r="AG58" i="51" s="1"/>
  <c r="AF66" i="53"/>
  <c r="AF73" i="53" s="1"/>
  <c r="AF74" i="53" s="1"/>
  <c r="AF61" i="28"/>
  <c r="AF57" i="29" s="1"/>
  <c r="AF63" i="28"/>
  <c r="AF64" i="28"/>
  <c r="AF60" i="28"/>
  <c r="AC72" i="42"/>
  <c r="AC76" i="42" s="1"/>
  <c r="AC71" i="42"/>
  <c r="AC75" i="42" s="1"/>
  <c r="AC73" i="42"/>
  <c r="AC70" i="42"/>
  <c r="AC74" i="42" s="1"/>
  <c r="BL41" i="45"/>
  <c r="AB221" i="20"/>
  <c r="AB47" i="20"/>
  <c r="AC93" i="12"/>
  <c r="AB72" i="20"/>
  <c r="AD130" i="19"/>
  <c r="AC198" i="42"/>
  <c r="AC202" i="42" s="1"/>
  <c r="AC197" i="42"/>
  <c r="AC201" i="42" s="1"/>
  <c r="AC199" i="42"/>
  <c r="AC203" i="42" s="1"/>
  <c r="AC200" i="42"/>
  <c r="AC80" i="36"/>
  <c r="AC83" i="36" s="1"/>
  <c r="AC119" i="36" s="1"/>
  <c r="BI78" i="36"/>
  <c r="AC115" i="36"/>
  <c r="AC116" i="36" s="1"/>
  <c r="W308" i="48"/>
  <c r="W309" i="48" s="1"/>
  <c r="X275" i="48"/>
  <c r="CJ9" i="55"/>
  <c r="T119" i="45"/>
  <c r="S365" i="46"/>
  <c r="S370" i="46"/>
  <c r="BN108" i="45"/>
  <c r="AA131" i="12"/>
  <c r="Z84" i="19"/>
  <c r="AA131" i="14" s="1"/>
  <c r="Z44" i="48"/>
  <c r="Z316" i="48" s="1"/>
  <c r="Y151" i="14"/>
  <c r="AB155" i="48"/>
  <c r="AB160" i="48" s="1"/>
  <c r="AB157" i="48"/>
  <c r="AB162" i="48" s="1"/>
  <c r="AB159" i="48"/>
  <c r="AB158" i="48"/>
  <c r="AB163" i="48" s="1"/>
  <c r="AB156" i="48"/>
  <c r="AB161" i="48" s="1"/>
  <c r="AA227" i="12"/>
  <c r="AF157" i="54"/>
  <c r="AB127" i="12"/>
  <c r="AF121" i="20"/>
  <c r="AF122" i="20"/>
  <c r="AF125" i="20"/>
  <c r="AF123" i="20"/>
  <c r="AF124" i="20"/>
  <c r="AF120" i="20"/>
  <c r="AD196" i="42"/>
  <c r="AD184" i="42"/>
  <c r="AD204" i="42"/>
  <c r="AD188" i="42"/>
  <c r="AB153" i="29"/>
  <c r="AB154" i="29"/>
  <c r="AD129" i="42"/>
  <c r="AD134" i="42"/>
  <c r="AH122" i="16"/>
  <c r="AH132" i="16" s="1"/>
  <c r="AP253" i="14"/>
  <c r="AN106" i="16"/>
  <c r="AO106" i="16" s="1"/>
  <c r="W72" i="16"/>
  <c r="V197" i="29"/>
  <c r="W73" i="16" s="1"/>
  <c r="AB234" i="54"/>
  <c r="AB235" i="54" s="1"/>
  <c r="AB237" i="54" s="1"/>
  <c r="AB258" i="54" s="1"/>
  <c r="AD220" i="53"/>
  <c r="AD219" i="53"/>
  <c r="AD231" i="53" s="1"/>
  <c r="AA234" i="53"/>
  <c r="AA235" i="53" s="1"/>
  <c r="AA237" i="53" s="1"/>
  <c r="AA258" i="53" s="1"/>
  <c r="AA58" i="19"/>
  <c r="AA263" i="20"/>
  <c r="AA314" i="20"/>
  <c r="AA264" i="20"/>
  <c r="AA315" i="20"/>
  <c r="AB4" i="55"/>
  <c r="AA267" i="20"/>
  <c r="AG161" i="38"/>
  <c r="AG165" i="38" s="1"/>
  <c r="AG162" i="38"/>
  <c r="AH109" i="36" s="1"/>
  <c r="BN109" i="36" s="1"/>
  <c r="AG159" i="38"/>
  <c r="AG163" i="38" s="1"/>
  <c r="AG160" i="38"/>
  <c r="AG164" i="38" s="1"/>
  <c r="AA74" i="51"/>
  <c r="Z253" i="53"/>
  <c r="AE26" i="19"/>
  <c r="AE44" i="19" s="1"/>
  <c r="AE155" i="19" s="1"/>
  <c r="AE154" i="19" s="1"/>
  <c r="AF20" i="19"/>
  <c r="AB302" i="42"/>
  <c r="AB301" i="42"/>
  <c r="AB305" i="42" s="1"/>
  <c r="Z152" i="12"/>
  <c r="AZ123" i="45"/>
  <c r="AZ124" i="45"/>
  <c r="AZ121" i="45"/>
  <c r="AD88" i="42"/>
  <c r="AD92" i="42" s="1"/>
  <c r="AD87" i="42"/>
  <c r="AD91" i="42" s="1"/>
  <c r="AD86" i="42"/>
  <c r="AD90" i="42" s="1"/>
  <c r="AD89" i="42"/>
  <c r="BN61" i="51"/>
  <c r="R275" i="19"/>
  <c r="W196" i="29"/>
  <c r="T275" i="19"/>
  <c r="AF66" i="46"/>
  <c r="AF89" i="46" s="1"/>
  <c r="AF67" i="46"/>
  <c r="AF62" i="46"/>
  <c r="AF65" i="46"/>
  <c r="AF64" i="46"/>
  <c r="AF61" i="46"/>
  <c r="BI34" i="45"/>
  <c r="AC177" i="46"/>
  <c r="AC182" i="46" s="1"/>
  <c r="AC175" i="46"/>
  <c r="AC180" i="46" s="1"/>
  <c r="AC174" i="48"/>
  <c r="AC178" i="46"/>
  <c r="AC183" i="46" s="1"/>
  <c r="AC179" i="46"/>
  <c r="AD107" i="45" s="1"/>
  <c r="AC176" i="46"/>
  <c r="AC181" i="46" s="1"/>
  <c r="AE63" i="46"/>
  <c r="BH85" i="45"/>
  <c r="BH71" i="45"/>
  <c r="BL69" i="45"/>
  <c r="AD63" i="38"/>
  <c r="AD69" i="38"/>
  <c r="AD139" i="15"/>
  <c r="Z111" i="45"/>
  <c r="BF110" i="45"/>
  <c r="BF112" i="45"/>
  <c r="Z112" i="45"/>
  <c r="BF111" i="45"/>
  <c r="Z110" i="45"/>
  <c r="AD298" i="38"/>
  <c r="AD297" i="38"/>
  <c r="AE212" i="53"/>
  <c r="AE210" i="53"/>
  <c r="AE209" i="53"/>
  <c r="AE211" i="53"/>
  <c r="U266" i="19"/>
  <c r="BE100" i="45"/>
  <c r="BE113" i="45"/>
  <c r="X120" i="36"/>
  <c r="W337" i="38"/>
  <c r="W342" i="38"/>
  <c r="BL68" i="51"/>
  <c r="Z70" i="46"/>
  <c r="Z75" i="46" s="1"/>
  <c r="Z72" i="46"/>
  <c r="Z77" i="46" s="1"/>
  <c r="Z69" i="48"/>
  <c r="Z73" i="46"/>
  <c r="Z78" i="46" s="1"/>
  <c r="Z71" i="46"/>
  <c r="Z76" i="46" s="1"/>
  <c r="Z74" i="46"/>
  <c r="AA76" i="45" s="1"/>
  <c r="BJ91" i="36"/>
  <c r="BJ93" i="36" s="1"/>
  <c r="BJ96" i="36" s="1"/>
  <c r="AD93" i="36"/>
  <c r="AD96" i="36" s="1"/>
  <c r="AD189" i="38"/>
  <c r="AD193" i="38" s="1"/>
  <c r="AD192" i="38"/>
  <c r="AE91" i="36" s="1"/>
  <c r="AD191" i="38"/>
  <c r="AD195" i="38" s="1"/>
  <c r="AD190" i="38"/>
  <c r="AD194" i="38" s="1"/>
  <c r="Z81" i="45"/>
  <c r="Z79" i="45"/>
  <c r="Z80" i="45"/>
  <c r="BF81" i="45"/>
  <c r="BF80" i="45"/>
  <c r="BF79" i="45"/>
  <c r="U330" i="48"/>
  <c r="U329" i="48"/>
  <c r="U333" i="48" s="1"/>
  <c r="BJ55" i="45"/>
  <c r="BJ56" i="45"/>
  <c r="U363" i="46"/>
  <c r="V120" i="45" s="1"/>
  <c r="U361" i="46"/>
  <c r="BE118" i="45"/>
  <c r="AE59" i="16"/>
  <c r="AE49" i="15"/>
  <c r="Z69" i="19"/>
  <c r="AA99" i="14" s="1"/>
  <c r="AA99" i="12"/>
  <c r="AG69" i="45"/>
  <c r="AG159" i="54"/>
  <c r="AA115" i="14"/>
  <c r="AA146" i="14"/>
  <c r="Z77" i="19"/>
  <c r="AA106" i="14" s="1"/>
  <c r="AA106" i="12"/>
  <c r="Y112" i="48"/>
  <c r="Y117" i="48" s="1"/>
  <c r="Y111" i="48"/>
  <c r="Y116" i="48" s="1"/>
  <c r="Y110" i="48"/>
  <c r="Y115" i="48" s="1"/>
  <c r="Y113" i="48"/>
  <c r="Y118" i="48" s="1"/>
  <c r="Y114" i="48"/>
  <c r="Y274" i="48"/>
  <c r="AE221" i="38"/>
  <c r="AE225" i="38" s="1"/>
  <c r="AE223" i="38"/>
  <c r="AF98" i="36" s="1"/>
  <c r="AE222" i="38"/>
  <c r="AE226" i="38" s="1"/>
  <c r="AE220" i="38"/>
  <c r="AE224" i="38" s="1"/>
  <c r="BI108" i="45"/>
  <c r="AC208" i="46"/>
  <c r="AC213" i="46" s="1"/>
  <c r="AC209" i="46"/>
  <c r="AC214" i="46" s="1"/>
  <c r="AC210" i="46"/>
  <c r="AC215" i="46" s="1"/>
  <c r="AC206" i="48"/>
  <c r="AC207" i="46"/>
  <c r="AC212" i="46" s="1"/>
  <c r="AC211" i="46"/>
  <c r="AD89" i="45" s="1"/>
  <c r="AF289" i="42"/>
  <c r="AF292" i="42"/>
  <c r="AF21" i="19"/>
  <c r="AE27" i="19"/>
  <c r="AE45" i="19" s="1"/>
  <c r="AG158" i="46"/>
  <c r="AG163" i="46" s="1"/>
  <c r="AG159" i="46"/>
  <c r="AH98" i="45" s="1"/>
  <c r="AG155" i="46"/>
  <c r="AG160" i="46" s="1"/>
  <c r="AG156" i="46"/>
  <c r="AG161" i="46" s="1"/>
  <c r="AG154" i="48"/>
  <c r="AG157" i="46"/>
  <c r="AG162" i="46" s="1"/>
  <c r="AG145" i="42"/>
  <c r="AG149" i="42" s="1"/>
  <c r="AG143" i="42"/>
  <c r="AG147" i="42" s="1"/>
  <c r="AG144" i="42"/>
  <c r="AG148" i="42" s="1"/>
  <c r="AG146" i="42"/>
  <c r="Z149" i="14"/>
  <c r="AC247" i="48"/>
  <c r="AC252" i="48" s="1"/>
  <c r="AC245" i="48"/>
  <c r="AC250" i="48" s="1"/>
  <c r="AC244" i="48"/>
  <c r="AC249" i="48" s="1"/>
  <c r="AC248" i="48"/>
  <c r="AC246" i="48"/>
  <c r="AC251" i="48" s="1"/>
  <c r="AG104" i="38"/>
  <c r="AG108" i="38" s="1"/>
  <c r="AG105" i="38"/>
  <c r="AH99" i="36" s="1"/>
  <c r="BN99" i="36" s="1"/>
  <c r="AG103" i="38"/>
  <c r="AG107" i="38" s="1"/>
  <c r="AG102" i="38"/>
  <c r="AG106" i="38" s="1"/>
  <c r="AG21" i="20"/>
  <c r="AG27" i="20" s="1"/>
  <c r="AG45" i="20" s="1"/>
  <c r="AF27" i="20"/>
  <c r="AF45" i="20" s="1"/>
  <c r="Z93" i="45"/>
  <c r="Z94" i="45"/>
  <c r="BF94" i="45"/>
  <c r="BF93" i="45"/>
  <c r="AC136" i="42"/>
  <c r="AC140" i="42" s="1"/>
  <c r="AC135" i="42"/>
  <c r="AC139" i="42" s="1"/>
  <c r="AC137" i="42"/>
  <c r="AC141" i="42" s="1"/>
  <c r="AC138" i="42"/>
  <c r="AD68" i="45"/>
  <c r="V330" i="46"/>
  <c r="V329" i="46"/>
  <c r="V333" i="46" s="1"/>
  <c r="AG129" i="16"/>
  <c r="AG207" i="48"/>
  <c r="AG212" i="48" s="1"/>
  <c r="AG208" i="48"/>
  <c r="AG213" i="48" s="1"/>
  <c r="AG210" i="48"/>
  <c r="AG215" i="48" s="1"/>
  <c r="AG209" i="48"/>
  <c r="AG214" i="48" s="1"/>
  <c r="AG211" i="48"/>
  <c r="BL61" i="51"/>
  <c r="AF64" i="51"/>
  <c r="X71" i="15"/>
  <c r="AE59" i="29"/>
  <c r="AF62" i="16" s="1"/>
  <c r="AF62" i="15"/>
  <c r="AE141" i="48"/>
  <c r="AE140" i="48"/>
  <c r="AE142" i="48"/>
  <c r="BN66" i="51"/>
  <c r="AB280" i="38"/>
  <c r="AB281" i="38" s="1"/>
  <c r="AC247" i="38"/>
  <c r="AD67" i="45"/>
  <c r="AC243" i="42"/>
  <c r="AC246" i="42"/>
  <c r="AG31" i="38"/>
  <c r="AG278" i="38"/>
  <c r="CO4" i="55"/>
  <c r="AB31" i="20"/>
  <c r="AB253" i="20"/>
  <c r="AD34" i="45"/>
  <c r="BI82" i="45"/>
  <c r="AB34" i="48"/>
  <c r="BI26" i="45"/>
  <c r="BI25" i="45"/>
  <c r="BI24" i="45"/>
  <c r="T122" i="45"/>
  <c r="Z83" i="19"/>
  <c r="AA128" i="14" s="1"/>
  <c r="AA128" i="12"/>
  <c r="AF31" i="53"/>
  <c r="AF194" i="53"/>
  <c r="AE127" i="20"/>
  <c r="AE182" i="42"/>
  <c r="AE183" i="42"/>
  <c r="AF181" i="42"/>
  <c r="AA34" i="20"/>
  <c r="AA33" i="20"/>
  <c r="AE127" i="42"/>
  <c r="AE128" i="42"/>
  <c r="AF126" i="42"/>
  <c r="Y193" i="28"/>
  <c r="Y194" i="28" s="1"/>
  <c r="V347" i="46"/>
  <c r="V349" i="46" s="1"/>
  <c r="V348" i="46"/>
  <c r="Y229" i="19"/>
  <c r="Y227" i="19"/>
  <c r="Y226" i="19"/>
  <c r="Y228" i="19"/>
  <c r="AC141" i="15"/>
  <c r="AC142" i="15" s="1"/>
  <c r="Y151" i="12"/>
  <c r="BI107" i="45"/>
  <c r="AB163" i="19"/>
  <c r="AA50" i="19"/>
  <c r="AA265" i="20"/>
  <c r="AA288" i="20"/>
  <c r="AA289" i="20" s="1"/>
  <c r="AG135" i="38"/>
  <c r="AG139" i="38" s="1"/>
  <c r="AG138" i="38"/>
  <c r="AH85" i="36" s="1"/>
  <c r="AG137" i="38"/>
  <c r="AG141" i="38" s="1"/>
  <c r="AG136" i="38"/>
  <c r="AG140" i="38" s="1"/>
  <c r="BF76" i="51"/>
  <c r="Z172" i="29"/>
  <c r="Z173" i="29" s="1"/>
  <c r="Z175" i="29" s="1"/>
  <c r="AB96" i="20"/>
  <c r="Y317" i="48"/>
  <c r="Y320" i="48"/>
  <c r="AD157" i="28"/>
  <c r="AD160" i="28"/>
  <c r="AD80" i="42"/>
  <c r="AD84" i="42" s="1"/>
  <c r="AD78" i="42"/>
  <c r="AD82" i="42" s="1"/>
  <c r="AD79" i="42"/>
  <c r="AD83" i="42" s="1"/>
  <c r="AD81" i="42"/>
  <c r="AG76" i="53"/>
  <c r="AH67" i="51"/>
  <c r="AH70" i="51" s="1"/>
  <c r="BK21" i="45"/>
  <c r="AA286" i="42"/>
  <c r="AA284" i="42"/>
  <c r="AA282" i="42"/>
  <c r="AA283" i="42"/>
  <c r="AA287" i="42"/>
  <c r="AA285" i="42"/>
  <c r="U158" i="14"/>
  <c r="U162" i="14"/>
  <c r="AH49" i="15"/>
  <c r="Z325" i="38"/>
  <c r="Z326" i="38" s="1"/>
  <c r="R270" i="19"/>
  <c r="W191" i="29"/>
  <c r="U163" i="14"/>
  <c r="U157" i="14"/>
  <c r="AW20" i="55"/>
  <c r="AW19" i="55"/>
  <c r="Z200" i="54"/>
  <c r="Z202" i="54"/>
  <c r="Z201" i="54"/>
  <c r="Z203" i="54"/>
  <c r="Z199" i="54"/>
  <c r="Z198" i="54"/>
  <c r="AC167" i="46"/>
  <c r="AC172" i="46" s="1"/>
  <c r="AC168" i="46"/>
  <c r="AC173" i="46" s="1"/>
  <c r="AC166" i="46"/>
  <c r="AC171" i="46" s="1"/>
  <c r="AC164" i="48"/>
  <c r="AC169" i="46"/>
  <c r="AD77" i="45" s="1"/>
  <c r="AC165" i="46"/>
  <c r="AC170" i="46" s="1"/>
  <c r="Z152" i="14"/>
  <c r="BL20" i="45"/>
  <c r="BL19" i="45"/>
  <c r="AB233" i="53"/>
  <c r="AB236" i="53" s="1"/>
  <c r="AB232" i="53"/>
  <c r="AF65" i="48"/>
  <c r="AF61" i="48"/>
  <c r="AF67" i="48"/>
  <c r="AF66" i="48"/>
  <c r="AF62" i="48"/>
  <c r="AF64" i="48"/>
  <c r="AD303" i="38"/>
  <c r="AD315" i="38" s="1"/>
  <c r="AD304" i="38"/>
  <c r="U353" i="48"/>
  <c r="AA171" i="29"/>
  <c r="AA174" i="29" s="1"/>
  <c r="AA170" i="29"/>
  <c r="X230" i="19"/>
  <c r="X231" i="19"/>
  <c r="AG289" i="42"/>
  <c r="AG292" i="42"/>
  <c r="BL50" i="51"/>
  <c r="AF71" i="51"/>
  <c r="Z111" i="46"/>
  <c r="Z116" i="46" s="1"/>
  <c r="Z112" i="46"/>
  <c r="Z117" i="46" s="1"/>
  <c r="Z110" i="46"/>
  <c r="Z115" i="46" s="1"/>
  <c r="Z114" i="46"/>
  <c r="AA97" i="45" s="1"/>
  <c r="Z109" i="48"/>
  <c r="Z113" i="46"/>
  <c r="Z118" i="46" s="1"/>
  <c r="Z274" i="46"/>
  <c r="AD207" i="38"/>
  <c r="AD211" i="38" s="1"/>
  <c r="AD205" i="38"/>
  <c r="AD209" i="38" s="1"/>
  <c r="AD208" i="38"/>
  <c r="AD206" i="38"/>
  <c r="AD210" i="38" s="1"/>
  <c r="BF76" i="45"/>
  <c r="Z114" i="45"/>
  <c r="Z78" i="45"/>
  <c r="AE71" i="51"/>
  <c r="BE116" i="45"/>
  <c r="AG332" i="38"/>
  <c r="AE59" i="15"/>
  <c r="AD202" i="46"/>
  <c r="AD216" i="46"/>
  <c r="AD226" i="46"/>
  <c r="AD206" i="46"/>
  <c r="X325" i="46"/>
  <c r="X326" i="46"/>
  <c r="AB33" i="46"/>
  <c r="AB39" i="46" s="1"/>
  <c r="AC75" i="45"/>
  <c r="R159" i="14"/>
  <c r="AG20" i="45"/>
  <c r="AG19" i="45"/>
  <c r="AG205" i="54"/>
  <c r="AG208" i="54"/>
  <c r="Z73" i="19"/>
  <c r="AA120" i="14" s="1"/>
  <c r="AA120" i="12"/>
  <c r="Z81" i="19"/>
  <c r="AA109" i="14" s="1"/>
  <c r="AA109" i="12"/>
  <c r="AC60" i="45"/>
  <c r="AC59" i="45"/>
  <c r="AB37" i="46"/>
  <c r="AG43" i="46" s="1"/>
  <c r="AG260" i="46" s="1"/>
  <c r="AC58" i="45"/>
  <c r="AC71" i="45" s="1"/>
  <c r="AC104" i="45"/>
  <c r="AB230" i="48"/>
  <c r="AB235" i="48" s="1"/>
  <c r="AB228" i="48"/>
  <c r="AB233" i="48" s="1"/>
  <c r="AB227" i="48"/>
  <c r="AB232" i="48" s="1"/>
  <c r="AB229" i="48"/>
  <c r="AB234" i="48" s="1"/>
  <c r="AB231" i="48"/>
  <c r="AA144" i="12"/>
  <c r="Z91" i="19"/>
  <c r="AA144" i="14" s="1"/>
  <c r="AC158" i="29"/>
  <c r="AC157" i="29"/>
  <c r="AC169" i="29" s="1"/>
  <c r="AF64" i="15"/>
  <c r="AE75" i="29"/>
  <c r="AF64" i="16" s="1"/>
  <c r="BN99" i="45"/>
  <c r="AG167" i="46"/>
  <c r="AG172" i="46" s="1"/>
  <c r="AG168" i="46"/>
  <c r="AG173" i="46" s="1"/>
  <c r="AG166" i="46"/>
  <c r="AG171" i="46" s="1"/>
  <c r="AG165" i="46"/>
  <c r="AG170" i="46" s="1"/>
  <c r="AG164" i="48"/>
  <c r="AG169" i="46"/>
  <c r="AH77" i="45" s="1"/>
  <c r="AG159" i="42"/>
  <c r="AG163" i="42" s="1"/>
  <c r="AG160" i="42"/>
  <c r="AG164" i="42" s="1"/>
  <c r="AG162" i="42"/>
  <c r="AG161" i="42"/>
  <c r="AG165" i="42" s="1"/>
  <c r="AB148" i="28"/>
  <c r="AB149" i="28" s="1"/>
  <c r="AC214" i="28"/>
  <c r="AG72" i="38"/>
  <c r="AG76" i="38" s="1"/>
  <c r="AG70" i="38"/>
  <c r="AG74" i="38" s="1"/>
  <c r="AG73" i="38"/>
  <c r="AH78" i="36" s="1"/>
  <c r="AG71" i="38"/>
  <c r="AG75" i="38" s="1"/>
  <c r="AD24" i="20"/>
  <c r="AE18" i="20"/>
  <c r="AE129" i="19"/>
  <c r="AE128" i="19" s="1"/>
  <c r="AE130" i="19"/>
  <c r="AE131" i="19"/>
  <c r="AF125" i="12"/>
  <c r="AE133" i="19"/>
  <c r="AE132" i="19"/>
  <c r="AF231" i="42"/>
  <c r="AF232" i="42" s="1"/>
  <c r="AF234" i="42" s="1"/>
  <c r="AE232" i="42"/>
  <c r="AE234" i="42" s="1"/>
  <c r="Y251" i="53"/>
  <c r="Z75" i="51" s="1"/>
  <c r="AG332" i="42"/>
  <c r="AD114" i="36"/>
  <c r="BJ79" i="36"/>
  <c r="BJ114" i="36" s="1"/>
  <c r="BI99" i="45"/>
  <c r="Z320" i="42"/>
  <c r="BL57" i="51"/>
  <c r="AF137" i="48"/>
  <c r="AF200" i="48"/>
  <c r="AF201" i="48"/>
  <c r="AF138" i="48"/>
  <c r="AF208" i="54"/>
  <c r="AF205" i="54"/>
  <c r="AA284" i="38"/>
  <c r="AA287" i="38"/>
  <c r="AA286" i="38"/>
  <c r="AA283" i="38"/>
  <c r="AA282" i="38"/>
  <c r="AA285" i="38"/>
  <c r="AC140" i="16"/>
  <c r="AG19" i="20"/>
  <c r="AG25" i="20" s="1"/>
  <c r="AG43" i="20" s="1"/>
  <c r="AF25" i="20"/>
  <c r="AF43" i="20" s="1"/>
  <c r="AC205" i="42"/>
  <c r="AC209" i="42" s="1"/>
  <c r="AC207" i="42"/>
  <c r="AC211" i="42" s="1"/>
  <c r="AC208" i="42"/>
  <c r="AC206" i="42"/>
  <c r="AC210" i="42" s="1"/>
  <c r="AC161" i="42"/>
  <c r="AC165" i="42" s="1"/>
  <c r="AC160" i="42"/>
  <c r="AC164" i="42" s="1"/>
  <c r="AC162" i="42"/>
  <c r="AC159" i="42"/>
  <c r="AC163" i="42" s="1"/>
  <c r="BI67" i="45"/>
  <c r="AA132" i="12"/>
  <c r="Z85" i="19"/>
  <c r="AA132" i="14" s="1"/>
  <c r="X290" i="20"/>
  <c r="X291" i="20" s="1"/>
  <c r="X292" i="20"/>
  <c r="X293" i="20" s="1"/>
  <c r="AA101" i="20"/>
  <c r="AA93" i="19" s="1"/>
  <c r="AA100" i="20"/>
  <c r="AA99" i="20"/>
  <c r="AA97" i="20"/>
  <c r="AA98" i="20"/>
  <c r="AA88" i="19"/>
  <c r="AB136" i="12"/>
  <c r="AA220" i="20"/>
  <c r="BM39" i="45"/>
  <c r="BM40" i="45"/>
  <c r="BG87" i="45"/>
  <c r="BG73" i="45"/>
  <c r="AE139" i="20"/>
  <c r="AF94" i="12"/>
  <c r="AD185" i="42"/>
  <c r="AD186" i="42"/>
  <c r="AD132" i="42"/>
  <c r="AD158" i="42" s="1"/>
  <c r="AD131" i="42"/>
  <c r="AD150" i="42" s="1"/>
  <c r="AD130" i="42"/>
  <c r="AD142" i="42" s="1"/>
  <c r="AG61" i="16"/>
  <c r="AF84" i="29"/>
  <c r="X318" i="48"/>
  <c r="X319" i="48" s="1"/>
  <c r="X341" i="48"/>
  <c r="X342" i="48" s="1"/>
  <c r="W295" i="20"/>
  <c r="AA249" i="54"/>
  <c r="AA251" i="54"/>
  <c r="BH75" i="51" s="1"/>
  <c r="AC162" i="28"/>
  <c r="AC161" i="28"/>
  <c r="AC164" i="28"/>
  <c r="AC163" i="28"/>
  <c r="AA54" i="19"/>
  <c r="AF19" i="19"/>
  <c r="AE25" i="19"/>
  <c r="AE43" i="19" s="1"/>
  <c r="AE99" i="19" s="1"/>
  <c r="BH75" i="45"/>
  <c r="AA33" i="48"/>
  <c r="AA39" i="48" s="1"/>
  <c r="AB165" i="28"/>
  <c r="AB166" i="28"/>
  <c r="X242" i="19"/>
  <c r="X241" i="19"/>
  <c r="X240" i="19"/>
  <c r="X239" i="19"/>
  <c r="X244" i="19"/>
  <c r="X243" i="19"/>
  <c r="AD135" i="15"/>
  <c r="AD134" i="15"/>
  <c r="AD133" i="15" a="1"/>
  <c r="AD133" i="15" s="1"/>
  <c r="AD68" i="15"/>
  <c r="AD77" i="15" s="1"/>
  <c r="Y271" i="48"/>
  <c r="BN107" i="36"/>
  <c r="V300" i="20"/>
  <c r="AB280" i="42"/>
  <c r="AB281" i="42" s="1"/>
  <c r="AC247" i="42"/>
  <c r="AA317" i="38"/>
  <c r="AA320" i="38" s="1"/>
  <c r="AA316" i="38"/>
  <c r="AY10" i="55"/>
  <c r="X71" i="16"/>
  <c r="Z189" i="28"/>
  <c r="BI57" i="45"/>
  <c r="BH73" i="45"/>
  <c r="BH87" i="45"/>
  <c r="BH84" i="45"/>
  <c r="AW6" i="55"/>
  <c r="BM53" i="51"/>
  <c r="AG54" i="51"/>
  <c r="AE66" i="38"/>
  <c r="AE85" i="38" s="1"/>
  <c r="AE67" i="38"/>
  <c r="AE101" i="38" s="1"/>
  <c r="AE62" i="38"/>
  <c r="AE64" i="38"/>
  <c r="AE77" i="38" s="1"/>
  <c r="AE65" i="38"/>
  <c r="AE93" i="38" s="1"/>
  <c r="AE61" i="38"/>
  <c r="AF60" i="38"/>
  <c r="AB226" i="53"/>
  <c r="AB224" i="53"/>
  <c r="AB227" i="53"/>
  <c r="AB223" i="53"/>
  <c r="AB222" i="53"/>
  <c r="AB225" i="53"/>
  <c r="AA188" i="28"/>
  <c r="AF61" i="54"/>
  <c r="AF66" i="54"/>
  <c r="AF73" i="54" s="1"/>
  <c r="AF74" i="54" s="1"/>
  <c r="AF64" i="54"/>
  <c r="AF71" i="54" s="1"/>
  <c r="AF72" i="54" s="1"/>
  <c r="AF67" i="54"/>
  <c r="AF77" i="54" s="1"/>
  <c r="AF78" i="54" s="1"/>
  <c r="AF65" i="54"/>
  <c r="AF75" i="54" s="1"/>
  <c r="AF76" i="54" s="1"/>
  <c r="AF62" i="54"/>
  <c r="AA160" i="29"/>
  <c r="AA165" i="29"/>
  <c r="AA162" i="29"/>
  <c r="AA161" i="29"/>
  <c r="AA163" i="29"/>
  <c r="AA164" i="29"/>
  <c r="BJ23" i="45"/>
  <c r="AE51" i="51"/>
  <c r="AE72" i="51"/>
  <c r="BK49" i="51"/>
  <c r="AG72" i="42"/>
  <c r="AG76" i="42" s="1"/>
  <c r="AG70" i="42"/>
  <c r="AG74" i="42" s="1"/>
  <c r="AG73" i="42"/>
  <c r="AG71" i="42"/>
  <c r="AG75" i="42" s="1"/>
  <c r="W337" i="42"/>
  <c r="W342" i="42"/>
  <c r="Z80" i="46"/>
  <c r="Z85" i="46" s="1"/>
  <c r="Z82" i="46"/>
  <c r="Z87" i="46" s="1"/>
  <c r="Z79" i="48"/>
  <c r="Z83" i="46"/>
  <c r="Z88" i="46" s="1"/>
  <c r="Z84" i="46"/>
  <c r="AA90" i="45" s="1"/>
  <c r="Z81" i="46"/>
  <c r="Z86" i="46" s="1"/>
  <c r="AA316" i="42"/>
  <c r="AA317" i="42"/>
  <c r="AA320" i="42" s="1"/>
  <c r="AA167" i="28"/>
  <c r="AA168" i="28"/>
  <c r="AF28" i="20"/>
  <c r="AF46" i="20" s="1"/>
  <c r="AG22" i="20"/>
  <c r="AG28" i="20" s="1"/>
  <c r="AG46" i="20" s="1"/>
  <c r="AE217" i="42"/>
  <c r="AE219" i="42" s="1"/>
  <c r="AF216" i="42"/>
  <c r="AF217" i="42" s="1"/>
  <c r="AF219" i="42" s="1"/>
  <c r="Y69" i="16"/>
  <c r="X191" i="29"/>
  <c r="X196" i="29"/>
  <c r="Y272" i="20"/>
  <c r="Y273" i="20"/>
  <c r="X322" i="48"/>
  <c r="X321" i="48"/>
  <c r="X324" i="48"/>
  <c r="X323" i="48"/>
  <c r="AG360" i="48"/>
  <c r="BE9" i="55"/>
  <c r="AE137" i="46"/>
  <c r="AE201" i="46"/>
  <c r="AE138" i="46"/>
  <c r="AF136" i="46"/>
  <c r="AE200" i="46"/>
  <c r="X331" i="46"/>
  <c r="X343" i="46" s="1"/>
  <c r="X344" i="46" s="1"/>
  <c r="X332" i="46"/>
  <c r="Z266" i="20"/>
  <c r="BL54" i="51"/>
  <c r="AA119" i="12"/>
  <c r="Z72" i="19"/>
  <c r="AA119" i="14" s="1"/>
  <c r="X201" i="28"/>
  <c r="X203" i="28"/>
  <c r="Y70" i="15" s="1"/>
  <c r="BF101" i="45"/>
  <c r="BF103" i="45"/>
  <c r="BF102" i="45"/>
  <c r="Z102" i="45"/>
  <c r="Z103" i="45"/>
  <c r="Z101" i="45"/>
  <c r="AE296" i="38"/>
  <c r="AE294" i="38"/>
  <c r="AE293" i="38"/>
  <c r="AE295" i="38"/>
  <c r="BK36" i="45"/>
  <c r="BK32" i="45"/>
  <c r="BK28" i="45"/>
  <c r="BK29" i="45"/>
  <c r="BK35" i="45"/>
  <c r="BK37" i="45"/>
  <c r="BK31" i="45"/>
  <c r="BK54" i="45"/>
  <c r="BN91" i="36"/>
  <c r="Z92" i="19"/>
  <c r="AA145" i="14" s="1"/>
  <c r="AA145" i="12"/>
  <c r="AF45" i="15"/>
  <c r="AE74" i="29"/>
  <c r="AF45" i="16" s="1"/>
  <c r="W326" i="48"/>
  <c r="W325" i="48"/>
  <c r="AP117" i="15"/>
  <c r="AR114" i="15"/>
  <c r="AA150" i="28"/>
  <c r="AA152" i="28"/>
  <c r="AA155" i="28"/>
  <c r="AA151" i="28"/>
  <c r="AA154" i="28"/>
  <c r="AA153" i="28"/>
  <c r="AJ246" i="38"/>
  <c r="AI246" i="38"/>
  <c r="AG313" i="38"/>
  <c r="AG314" i="38" s="1"/>
  <c r="AG290" i="38"/>
  <c r="AG291" i="38" s="1"/>
  <c r="AB167" i="29"/>
  <c r="AB168" i="29" s="1"/>
  <c r="AB144" i="29"/>
  <c r="AB145" i="29" s="1"/>
  <c r="AC29" i="20"/>
  <c r="AC42" i="20"/>
  <c r="AD144" i="20"/>
  <c r="AD120" i="19" s="1"/>
  <c r="AD140" i="20"/>
  <c r="AD116" i="19" s="1"/>
  <c r="AD142" i="20"/>
  <c r="AD118" i="19" s="1"/>
  <c r="AD143" i="20"/>
  <c r="AD119" i="19" s="1"/>
  <c r="AD141" i="20"/>
  <c r="AD117" i="19" s="1"/>
  <c r="AD115" i="19"/>
  <c r="AE94" i="14" s="1"/>
  <c r="AD236" i="42"/>
  <c r="AD240" i="42" s="1"/>
  <c r="AD237" i="42"/>
  <c r="AD241" i="42" s="1"/>
  <c r="AD235" i="42"/>
  <c r="AD239" i="42" s="1"/>
  <c r="AD238" i="42"/>
  <c r="AD57" i="45"/>
  <c r="AC138" i="19"/>
  <c r="AE203" i="48"/>
  <c r="AE204" i="48"/>
  <c r="T363" i="46"/>
  <c r="U120" i="45" s="1"/>
  <c r="T361" i="46"/>
  <c r="AB73" i="45"/>
  <c r="AA95" i="20"/>
  <c r="AA87" i="19" s="1"/>
  <c r="AA94" i="20"/>
  <c r="AA82" i="19"/>
  <c r="AB124" i="14" s="1"/>
  <c r="AA93" i="20"/>
  <c r="AA91" i="20"/>
  <c r="AA92" i="20"/>
  <c r="AE145" i="20"/>
  <c r="AF126" i="12"/>
  <c r="AD131" i="20"/>
  <c r="AD107" i="19" s="1"/>
  <c r="AD132" i="20"/>
  <c r="AD108" i="19" s="1"/>
  <c r="AD129" i="20"/>
  <c r="AD105" i="19" s="1"/>
  <c r="AD130" i="20"/>
  <c r="AD103" i="19"/>
  <c r="AE103" i="14" s="1"/>
  <c r="AD128" i="20"/>
  <c r="AD104" i="19" s="1"/>
  <c r="AE103" i="12"/>
  <c r="AC151" i="42"/>
  <c r="AC155" i="42" s="1"/>
  <c r="AC153" i="42"/>
  <c r="AC157" i="42" s="1"/>
  <c r="AC154" i="42"/>
  <c r="AC152" i="42"/>
  <c r="AC156" i="42" s="1"/>
  <c r="AH61" i="16"/>
  <c r="AG84" i="29"/>
  <c r="BJ73" i="51"/>
  <c r="AA127" i="14"/>
  <c r="AH39" i="45"/>
  <c r="AH40" i="45"/>
  <c r="BN38" i="45"/>
  <c r="BG71" i="45"/>
  <c r="BG85" i="45"/>
  <c r="AE133" i="20"/>
  <c r="CH7" i="55"/>
  <c r="AD66" i="20"/>
  <c r="W232" i="19"/>
  <c r="W233" i="19"/>
  <c r="AC77" i="15"/>
  <c r="AB175" i="48"/>
  <c r="AB180" i="48" s="1"/>
  <c r="AB178" i="48"/>
  <c r="AB183" i="48" s="1"/>
  <c r="AB176" i="48"/>
  <c r="AB181" i="48" s="1"/>
  <c r="AB177" i="48"/>
  <c r="AB182" i="48" s="1"/>
  <c r="AB179" i="48"/>
  <c r="Y150" i="14"/>
  <c r="AA52" i="19"/>
  <c r="AA49" i="19" s="1"/>
  <c r="AA177" i="19" s="1"/>
  <c r="AA155" i="29"/>
  <c r="AA159" i="29" s="1"/>
  <c r="AA156" i="29"/>
  <c r="BE78" i="45"/>
  <c r="S158" i="14"/>
  <c r="S162" i="14"/>
  <c r="AB171" i="28"/>
  <c r="AB183" i="28" s="1"/>
  <c r="AB184" i="28" s="1"/>
  <c r="AB172" i="28"/>
  <c r="AD213" i="54"/>
  <c r="AD214" i="54"/>
  <c r="AD94" i="42"/>
  <c r="AD98" i="42" s="1"/>
  <c r="AD95" i="42"/>
  <c r="AD99" i="42" s="1"/>
  <c r="AD97" i="42"/>
  <c r="AD96" i="42"/>
  <c r="AD100" i="42" s="1"/>
  <c r="W293" i="20"/>
  <c r="W294" i="20" s="1"/>
  <c r="W296" i="20" s="1"/>
  <c r="AA306" i="38"/>
  <c r="AA307" i="38"/>
  <c r="AA308" i="38"/>
  <c r="AA311" i="38"/>
  <c r="AA310" i="38"/>
  <c r="AA309" i="38"/>
  <c r="Z318" i="38"/>
  <c r="Z319" i="38" s="1"/>
  <c r="Z321" i="38" s="1"/>
  <c r="S163" i="14"/>
  <c r="S157" i="14"/>
  <c r="AE100" i="19" l="1"/>
  <c r="AE97" i="19"/>
  <c r="BI117" i="36"/>
  <c r="BI123" i="36" s="1"/>
  <c r="AD206" i="54"/>
  <c r="AD207" i="54" s="1"/>
  <c r="AA187" i="28"/>
  <c r="W254" i="19"/>
  <c r="BN110" i="36"/>
  <c r="AG229" i="53"/>
  <c r="AG230" i="53" s="1"/>
  <c r="AH110" i="36"/>
  <c r="AJ162" i="53"/>
  <c r="AH93" i="36"/>
  <c r="AH96" i="36" s="1"/>
  <c r="AG206" i="53"/>
  <c r="AG207" i="53" s="1"/>
  <c r="AG227" i="53" s="1"/>
  <c r="BJ67" i="45"/>
  <c r="BN93" i="36"/>
  <c r="BN96" i="36" s="1"/>
  <c r="AA189" i="28"/>
  <c r="AA176" i="19"/>
  <c r="AB53" i="19"/>
  <c r="AB52" i="19"/>
  <c r="AB49" i="19" s="1"/>
  <c r="AB177" i="19" s="1"/>
  <c r="AH41" i="45"/>
  <c r="AH43" i="45" s="1"/>
  <c r="AB50" i="19"/>
  <c r="AE162" i="54"/>
  <c r="AE206" i="54" s="1"/>
  <c r="AE207" i="54" s="1"/>
  <c r="AB54" i="19"/>
  <c r="AB57" i="19"/>
  <c r="AB51" i="19"/>
  <c r="BM41" i="45"/>
  <c r="AB58" i="19"/>
  <c r="V268" i="19"/>
  <c r="W156" i="14" s="1"/>
  <c r="V266" i="19"/>
  <c r="W155" i="14" s="1"/>
  <c r="AE96" i="19"/>
  <c r="AE95" i="19" s="1"/>
  <c r="AA271" i="46"/>
  <c r="AE98" i="19"/>
  <c r="BN64" i="51"/>
  <c r="Z232" i="14"/>
  <c r="AE101" i="19"/>
  <c r="BJ57" i="45"/>
  <c r="BJ60" i="45" s="1"/>
  <c r="V354" i="48"/>
  <c r="V363" i="48" s="1"/>
  <c r="BC120" i="45" s="1"/>
  <c r="T7" i="55"/>
  <c r="AC133" i="12"/>
  <c r="Z233" i="14"/>
  <c r="Z234" i="14" s="1"/>
  <c r="AF202" i="48"/>
  <c r="CI6" i="55"/>
  <c r="BI77" i="51"/>
  <c r="AB259" i="54"/>
  <c r="BI78" i="51" s="1"/>
  <c r="AA179" i="29"/>
  <c r="AG307" i="38"/>
  <c r="AG309" i="38"/>
  <c r="AG310" i="38"/>
  <c r="AG311" i="38"/>
  <c r="AG308" i="38"/>
  <c r="AG306" i="38"/>
  <c r="AA325" i="38"/>
  <c r="AB241" i="53"/>
  <c r="AB242" i="53" s="1"/>
  <c r="AB77" i="51"/>
  <c r="AA259" i="53"/>
  <c r="AB78" i="51" s="1"/>
  <c r="AC128" i="36"/>
  <c r="AA152" i="14"/>
  <c r="BM19" i="45"/>
  <c r="BM20" i="45"/>
  <c r="BK56" i="45"/>
  <c r="BK55" i="45"/>
  <c r="AE141" i="46"/>
  <c r="AE164" i="46" s="1"/>
  <c r="AE142" i="46"/>
  <c r="AE174" i="46" s="1"/>
  <c r="AE140" i="46"/>
  <c r="AE154" i="46" s="1"/>
  <c r="AG211" i="20"/>
  <c r="BG90" i="45"/>
  <c r="AA91" i="45"/>
  <c r="AA114" i="45" s="1"/>
  <c r="AF61" i="38"/>
  <c r="AF62" i="38"/>
  <c r="AF64" i="38"/>
  <c r="AF77" i="38" s="1"/>
  <c r="AF65" i="38"/>
  <c r="AF93" i="38" s="1"/>
  <c r="AF67" i="38"/>
  <c r="AF101" i="38" s="1"/>
  <c r="AF66" i="38"/>
  <c r="AF85" i="38" s="1"/>
  <c r="BM54" i="51"/>
  <c r="AH113" i="36"/>
  <c r="AH111" i="36"/>
  <c r="AH112" i="36"/>
  <c r="AC165" i="28"/>
  <c r="AC166" i="28"/>
  <c r="AB136" i="14"/>
  <c r="AB146" i="14" s="1"/>
  <c r="AA179" i="19"/>
  <c r="AG126" i="12"/>
  <c r="AF145" i="20"/>
  <c r="Z325" i="42"/>
  <c r="Z326" i="42" s="1"/>
  <c r="AC148" i="28"/>
  <c r="AC149" i="28" s="1"/>
  <c r="AD214" i="28"/>
  <c r="AG167" i="48"/>
  <c r="AG172" i="48" s="1"/>
  <c r="AG165" i="48"/>
  <c r="AG170" i="48" s="1"/>
  <c r="AG168" i="48"/>
  <c r="AG173" i="48" s="1"/>
  <c r="AG169" i="48"/>
  <c r="AG166" i="48"/>
  <c r="AG171" i="48" s="1"/>
  <c r="AG261" i="46"/>
  <c r="AG266" i="46" s="1"/>
  <c r="AG264" i="46"/>
  <c r="AG269" i="46" s="1"/>
  <c r="AG262" i="46"/>
  <c r="AG267" i="46" s="1"/>
  <c r="AG265" i="46"/>
  <c r="AH105" i="45" s="1"/>
  <c r="AG260" i="48"/>
  <c r="AG263" i="46"/>
  <c r="AG268" i="46" s="1"/>
  <c r="AA118" i="12"/>
  <c r="AD209" i="46"/>
  <c r="AD214" i="46" s="1"/>
  <c r="AD210" i="46"/>
  <c r="AD215" i="46" s="1"/>
  <c r="AD208" i="46"/>
  <c r="AD213" i="46" s="1"/>
  <c r="AD206" i="48"/>
  <c r="AD207" i="46"/>
  <c r="AD212" i="46" s="1"/>
  <c r="AD211" i="46"/>
  <c r="AE89" i="45" s="1"/>
  <c r="Z110" i="48"/>
  <c r="Z115" i="48" s="1"/>
  <c r="Z111" i="48"/>
  <c r="Z116" i="48" s="1"/>
  <c r="Z112" i="48"/>
  <c r="Z117" i="48" s="1"/>
  <c r="Z114" i="48"/>
  <c r="Z113" i="48"/>
  <c r="Z118" i="48" s="1"/>
  <c r="Z274" i="48"/>
  <c r="AG296" i="42"/>
  <c r="AG293" i="42"/>
  <c r="AG294" i="42"/>
  <c r="AG295" i="42"/>
  <c r="AH136" i="15"/>
  <c r="X82" i="15"/>
  <c r="AR106" i="15"/>
  <c r="AD162" i="28"/>
  <c r="AD161" i="28"/>
  <c r="AD164" i="28"/>
  <c r="AD163" i="28"/>
  <c r="Y230" i="19"/>
  <c r="Y231" i="19"/>
  <c r="AG125" i="12"/>
  <c r="AF27" i="19"/>
  <c r="AF45" i="19" s="1"/>
  <c r="AF129" i="19" s="1"/>
  <c r="AF128" i="19" s="1"/>
  <c r="AG21" i="19"/>
  <c r="AG27" i="19" s="1"/>
  <c r="AG45" i="19" s="1"/>
  <c r="AG133" i="19" s="1"/>
  <c r="Y318" i="48"/>
  <c r="Y319" i="48" s="1"/>
  <c r="Y341" i="48"/>
  <c r="Y342" i="48" s="1"/>
  <c r="AE136" i="15"/>
  <c r="BF116" i="45"/>
  <c r="BK91" i="36"/>
  <c r="BK93" i="36" s="1"/>
  <c r="BK96" i="36" s="1"/>
  <c r="AE93" i="36"/>
  <c r="AE96" i="36" s="1"/>
  <c r="BD120" i="36"/>
  <c r="X122" i="36"/>
  <c r="X125" i="36"/>
  <c r="AE219" i="53"/>
  <c r="AE231" i="53" s="1"/>
  <c r="AE220" i="53"/>
  <c r="AF127" i="20"/>
  <c r="CJ11" i="55"/>
  <c r="CJ19" i="55" s="1"/>
  <c r="CJ15" i="55"/>
  <c r="CJ12" i="55"/>
  <c r="CJ14" i="55"/>
  <c r="CJ16" i="55"/>
  <c r="CJ13" i="55"/>
  <c r="AC95" i="12"/>
  <c r="AC147" i="12"/>
  <c r="AB263" i="20"/>
  <c r="AB315" i="20"/>
  <c r="AB314" i="20"/>
  <c r="AB264" i="20"/>
  <c r="AB267" i="20"/>
  <c r="T155" i="14"/>
  <c r="AZ10" i="55"/>
  <c r="S270" i="19"/>
  <c r="S275" i="19"/>
  <c r="AG289" i="38"/>
  <c r="AG177" i="48"/>
  <c r="AG182" i="48" s="1"/>
  <c r="AG176" i="48"/>
  <c r="AG181" i="48" s="1"/>
  <c r="AG178" i="48"/>
  <c r="AG183" i="48" s="1"/>
  <c r="AG179" i="48"/>
  <c r="AG175" i="48"/>
  <c r="AG180" i="48" s="1"/>
  <c r="BJ108" i="45"/>
  <c r="AC163" i="19"/>
  <c r="AE96" i="42"/>
  <c r="AE100" i="42" s="1"/>
  <c r="AE95" i="42"/>
  <c r="AE99" i="42" s="1"/>
  <c r="AE94" i="42"/>
  <c r="AE98" i="42" s="1"/>
  <c r="AE97" i="42"/>
  <c r="AE58" i="29"/>
  <c r="AE114" i="28"/>
  <c r="AE213" i="28"/>
  <c r="AG146" i="48"/>
  <c r="AG151" i="48" s="1"/>
  <c r="AG148" i="48"/>
  <c r="AG153" i="48" s="1"/>
  <c r="AG145" i="48"/>
  <c r="AG150" i="48" s="1"/>
  <c r="AG149" i="48"/>
  <c r="AG147" i="48"/>
  <c r="AG152" i="48" s="1"/>
  <c r="AB77" i="19"/>
  <c r="AC106" i="14" s="1"/>
  <c r="AC106" i="12"/>
  <c r="Y213" i="19"/>
  <c r="Y214" i="19" s="1"/>
  <c r="Z180" i="19"/>
  <c r="AF33" i="45"/>
  <c r="AA107" i="12"/>
  <c r="AC241" i="54"/>
  <c r="AC301" i="38"/>
  <c r="AC305" i="38" s="1"/>
  <c r="AC302" i="38"/>
  <c r="BN54" i="51"/>
  <c r="AB147" i="14"/>
  <c r="AB95" i="14"/>
  <c r="AH102" i="36"/>
  <c r="BL107" i="36"/>
  <c r="AA200" i="53"/>
  <c r="AA198" i="53"/>
  <c r="AA199" i="53"/>
  <c r="AA202" i="53"/>
  <c r="AA203" i="53"/>
  <c r="AA201" i="53"/>
  <c r="AF143" i="29"/>
  <c r="AF146" i="29"/>
  <c r="AA110" i="46"/>
  <c r="AA115" i="46" s="1"/>
  <c r="AA113" i="46"/>
  <c r="AA118" i="46" s="1"/>
  <c r="AA111" i="46"/>
  <c r="AA116" i="46" s="1"/>
  <c r="AA112" i="46"/>
  <c r="AA117" i="46" s="1"/>
  <c r="AA109" i="48"/>
  <c r="AA114" i="46"/>
  <c r="AB97" i="45" s="1"/>
  <c r="AA274" i="46"/>
  <c r="AH69" i="45"/>
  <c r="Z272" i="20"/>
  <c r="Z273" i="20"/>
  <c r="AE157" i="19"/>
  <c r="AF123" i="12"/>
  <c r="AE198" i="20"/>
  <c r="AD243" i="42"/>
  <c r="AD246" i="42"/>
  <c r="AF70" i="51"/>
  <c r="BL66" i="51"/>
  <c r="BF9" i="55"/>
  <c r="AF129" i="38"/>
  <c r="AF134" i="38"/>
  <c r="AD165" i="46"/>
  <c r="AD170" i="46" s="1"/>
  <c r="AD167" i="46"/>
  <c r="AD172" i="46" s="1"/>
  <c r="AD164" i="48"/>
  <c r="AD166" i="46"/>
  <c r="AD171" i="46" s="1"/>
  <c r="AD168" i="46"/>
  <c r="AD173" i="46" s="1"/>
  <c r="AD169" i="46"/>
  <c r="AE77" i="45" s="1"/>
  <c r="AB71" i="19"/>
  <c r="AC116" i="14" s="1"/>
  <c r="AC116" i="12"/>
  <c r="Z150" i="14"/>
  <c r="AD141" i="16"/>
  <c r="AD142" i="16" s="1"/>
  <c r="AE92" i="48"/>
  <c r="AE97" i="48" s="1"/>
  <c r="AE90" i="48"/>
  <c r="AE95" i="48" s="1"/>
  <c r="AE94" i="48"/>
  <c r="AE93" i="48"/>
  <c r="AE98" i="48" s="1"/>
  <c r="AE91" i="48"/>
  <c r="AE304" i="42"/>
  <c r="AE303" i="42"/>
  <c r="AE315" i="42" s="1"/>
  <c r="AC101" i="29"/>
  <c r="AB134" i="29"/>
  <c r="AB135" i="29" s="1"/>
  <c r="AC148" i="48"/>
  <c r="AC153" i="48" s="1"/>
  <c r="AC146" i="48"/>
  <c r="AC151" i="48" s="1"/>
  <c r="AC145" i="48"/>
  <c r="AC150" i="48" s="1"/>
  <c r="AC149" i="48"/>
  <c r="AC147" i="48"/>
  <c r="AC152" i="48" s="1"/>
  <c r="AC217" i="54"/>
  <c r="AC221" i="54" s="1"/>
  <c r="AC218" i="54"/>
  <c r="BF91" i="45"/>
  <c r="AA97" i="12"/>
  <c r="AA154" i="12"/>
  <c r="AG265" i="19"/>
  <c r="AE220" i="54"/>
  <c r="AE219" i="54"/>
  <c r="AE231" i="54" s="1"/>
  <c r="W327" i="48"/>
  <c r="W328" i="48"/>
  <c r="S159" i="14"/>
  <c r="AA227" i="14"/>
  <c r="S160" i="14"/>
  <c r="AD59" i="45"/>
  <c r="AD72" i="45" s="1"/>
  <c r="AD58" i="45"/>
  <c r="AD104" i="45"/>
  <c r="AC37" i="46"/>
  <c r="AD60" i="45"/>
  <c r="AD73" i="45" s="1"/>
  <c r="AE203" i="46"/>
  <c r="AE204" i="46"/>
  <c r="Y72" i="16"/>
  <c r="X197" i="29"/>
  <c r="Y73" i="16" s="1"/>
  <c r="AE63" i="38"/>
  <c r="AE69" i="38"/>
  <c r="AY15" i="55"/>
  <c r="AY16" i="55"/>
  <c r="AY14" i="55"/>
  <c r="AY11" i="55"/>
  <c r="AY13" i="55"/>
  <c r="AY12" i="55"/>
  <c r="V301" i="20"/>
  <c r="V310" i="20" s="1"/>
  <c r="W156" i="12" s="1"/>
  <c r="AC172" i="28"/>
  <c r="AC171" i="28"/>
  <c r="AC183" i="28" s="1"/>
  <c r="AC184" i="28" s="1"/>
  <c r="AD144" i="42"/>
  <c r="AD148" i="42" s="1"/>
  <c r="AD143" i="42"/>
  <c r="AD147" i="42" s="1"/>
  <c r="AD145" i="42"/>
  <c r="AD149" i="42" s="1"/>
  <c r="AD146" i="42"/>
  <c r="AA90" i="19"/>
  <c r="AB143" i="14" s="1"/>
  <c r="AB143" i="12"/>
  <c r="AH126" i="12"/>
  <c r="AG145" i="20"/>
  <c r="AG139" i="20"/>
  <c r="AG127" i="20"/>
  <c r="AH94" i="12"/>
  <c r="AG133" i="20"/>
  <c r="AF212" i="54"/>
  <c r="AF210" i="54"/>
  <c r="AF209" i="54"/>
  <c r="AF211" i="54"/>
  <c r="AB150" i="28"/>
  <c r="AB151" i="28"/>
  <c r="AB152" i="28"/>
  <c r="AB153" i="28"/>
  <c r="AB155" i="28"/>
  <c r="AB154" i="28"/>
  <c r="AA118" i="14"/>
  <c r="AD228" i="46"/>
  <c r="AD233" i="46" s="1"/>
  <c r="AD230" i="46"/>
  <c r="AD235" i="46" s="1"/>
  <c r="AD229" i="46"/>
  <c r="AD234" i="46" s="1"/>
  <c r="AD231" i="46"/>
  <c r="AE108" i="45" s="1"/>
  <c r="AD226" i="48"/>
  <c r="AD227" i="46"/>
  <c r="AD232" i="46" s="1"/>
  <c r="BG97" i="45"/>
  <c r="AA100" i="45"/>
  <c r="AA113" i="45"/>
  <c r="AG308" i="42"/>
  <c r="AG310" i="42"/>
  <c r="AG307" i="42"/>
  <c r="AG309" i="42"/>
  <c r="AG306" i="42"/>
  <c r="AG311" i="42"/>
  <c r="U354" i="48"/>
  <c r="U363" i="48" s="1"/>
  <c r="BB120" i="45" s="1"/>
  <c r="AF63" i="48"/>
  <c r="U159" i="14"/>
  <c r="U160" i="14"/>
  <c r="AF183" i="42"/>
  <c r="AF182" i="42"/>
  <c r="BI84" i="45"/>
  <c r="AH125" i="12"/>
  <c r="AG129" i="19"/>
  <c r="AG128" i="19" s="1"/>
  <c r="AG173" i="20"/>
  <c r="AG179" i="20"/>
  <c r="AG185" i="20"/>
  <c r="AF295" i="42"/>
  <c r="AF296" i="42"/>
  <c r="AF293" i="42"/>
  <c r="AF294" i="42"/>
  <c r="Z70" i="48"/>
  <c r="Z75" i="48" s="1"/>
  <c r="Z73" i="48"/>
  <c r="Z78" i="48" s="1"/>
  <c r="Z72" i="48"/>
  <c r="Z77" i="48" s="1"/>
  <c r="Z74" i="48"/>
  <c r="Z71" i="48"/>
  <c r="Z76" i="48" s="1"/>
  <c r="BE115" i="45"/>
  <c r="AA76" i="51"/>
  <c r="BL58" i="51"/>
  <c r="AG94" i="12"/>
  <c r="AF139" i="20"/>
  <c r="Y275" i="48"/>
  <c r="X308" i="48"/>
  <c r="X309" i="48" s="1"/>
  <c r="CK9" i="55"/>
  <c r="AB265" i="20"/>
  <c r="AB288" i="20"/>
  <c r="AB289" i="20" s="1"/>
  <c r="AF62" i="28"/>
  <c r="AG44" i="15"/>
  <c r="AF56" i="29"/>
  <c r="AG44" i="16" s="1"/>
  <c r="AF76" i="53"/>
  <c r="AG67" i="51"/>
  <c r="AG70" i="51" s="1"/>
  <c r="AG296" i="38"/>
  <c r="AG294" i="38"/>
  <c r="AG293" i="38"/>
  <c r="AG295" i="38"/>
  <c r="BN107" i="45"/>
  <c r="AC227" i="48"/>
  <c r="AC232" i="48" s="1"/>
  <c r="AC230" i="48"/>
  <c r="AC235" i="48" s="1"/>
  <c r="AC229" i="48"/>
  <c r="AC234" i="48" s="1"/>
  <c r="AC231" i="48"/>
  <c r="AC228" i="48"/>
  <c r="AC233" i="48" s="1"/>
  <c r="AF247" i="46"/>
  <c r="AF252" i="46" s="1"/>
  <c r="AF244" i="46"/>
  <c r="AF249" i="46" s="1"/>
  <c r="AF246" i="46"/>
  <c r="AF251" i="46" s="1"/>
  <c r="AF245" i="46"/>
  <c r="AF250" i="46" s="1"/>
  <c r="AF248" i="46"/>
  <c r="AG96" i="45" s="1"/>
  <c r="AF243" i="48"/>
  <c r="AJ162" i="54"/>
  <c r="AI162" i="54"/>
  <c r="AG206" i="54"/>
  <c r="AG207" i="54" s="1"/>
  <c r="AG229" i="54"/>
  <c r="AG230" i="54" s="1"/>
  <c r="T363" i="48"/>
  <c r="BA120" i="45" s="1"/>
  <c r="T361" i="48"/>
  <c r="BJ98" i="45"/>
  <c r="BJ103" i="36"/>
  <c r="BJ105" i="36"/>
  <c r="AG210" i="53"/>
  <c r="AG209" i="53"/>
  <c r="AG212" i="53"/>
  <c r="AG211" i="53"/>
  <c r="AE104" i="42"/>
  <c r="AE108" i="42" s="1"/>
  <c r="AE102" i="42"/>
  <c r="AE106" i="42" s="1"/>
  <c r="AE105" i="42"/>
  <c r="AE103" i="42"/>
  <c r="AE107" i="42" s="1"/>
  <c r="Y308" i="46"/>
  <c r="Y309" i="46" s="1"/>
  <c r="Z275" i="46"/>
  <c r="AC84" i="20"/>
  <c r="BJ99" i="45"/>
  <c r="AE136" i="16"/>
  <c r="AB79" i="19"/>
  <c r="AC110" i="14" s="1"/>
  <c r="AC110" i="12"/>
  <c r="AA107" i="14"/>
  <c r="BK96" i="45"/>
  <c r="T20" i="55"/>
  <c r="T19" i="55"/>
  <c r="D88" i="16"/>
  <c r="C80" i="16" s="1"/>
  <c r="AA68" i="19"/>
  <c r="AB101" i="14" s="1"/>
  <c r="AB101" i="12"/>
  <c r="AY125" i="45"/>
  <c r="R371" i="48"/>
  <c r="AY126" i="45" s="1"/>
  <c r="AA79" i="19"/>
  <c r="AB110" i="14" s="1"/>
  <c r="AB110" i="12"/>
  <c r="BN102" i="36"/>
  <c r="AA72" i="46"/>
  <c r="AA77" i="46" s="1"/>
  <c r="AA69" i="48"/>
  <c r="AA71" i="46"/>
  <c r="AA76" i="46" s="1"/>
  <c r="AA73" i="46"/>
  <c r="AA78" i="46" s="1"/>
  <c r="AA70" i="46"/>
  <c r="AA75" i="46" s="1"/>
  <c r="AA74" i="46"/>
  <c r="AB76" i="45" s="1"/>
  <c r="AH18" i="45"/>
  <c r="BJ68" i="45"/>
  <c r="AG123" i="12"/>
  <c r="AF198" i="20"/>
  <c r="AC233" i="53"/>
  <c r="AC232" i="53"/>
  <c r="AD215" i="53"/>
  <c r="AD216" i="53"/>
  <c r="BM107" i="36"/>
  <c r="Y338" i="46"/>
  <c r="Y334" i="46"/>
  <c r="Y335" i="46"/>
  <c r="Y339" i="46"/>
  <c r="Y337" i="46"/>
  <c r="Y336" i="46"/>
  <c r="AF186" i="38"/>
  <c r="AF185" i="38"/>
  <c r="AC115" i="14"/>
  <c r="AE214" i="20"/>
  <c r="AE172" i="19" s="1"/>
  <c r="AE212" i="20"/>
  <c r="AE170" i="19" s="1"/>
  <c r="AE216" i="20"/>
  <c r="AE174" i="19" s="1"/>
  <c r="AE213" i="20"/>
  <c r="AE171" i="19" s="1"/>
  <c r="AE215" i="20"/>
  <c r="AE169" i="19"/>
  <c r="AF135" i="12"/>
  <c r="Z103" i="48"/>
  <c r="Z108" i="48" s="1"/>
  <c r="Z102" i="48"/>
  <c r="Z107" i="48" s="1"/>
  <c r="Z101" i="48"/>
  <c r="Z106" i="48" s="1"/>
  <c r="Z104" i="48"/>
  <c r="Z100" i="48"/>
  <c r="Z105" i="48" s="1"/>
  <c r="W329" i="46"/>
  <c r="W333" i="46" s="1"/>
  <c r="W330" i="46"/>
  <c r="AA221" i="19"/>
  <c r="AA222" i="19"/>
  <c r="AA272" i="19"/>
  <c r="AA273" i="19"/>
  <c r="AA225" i="19"/>
  <c r="AD140" i="16"/>
  <c r="AE298" i="42"/>
  <c r="AE297" i="42"/>
  <c r="AA136" i="29"/>
  <c r="AA139" i="29"/>
  <c r="AA140" i="29"/>
  <c r="AA137" i="29"/>
  <c r="AA141" i="29"/>
  <c r="AA138" i="29"/>
  <c r="BK85" i="36"/>
  <c r="BK86" i="36" s="1"/>
  <c r="BK89" i="36" s="1"/>
  <c r="AE86" i="36"/>
  <c r="AE89" i="36" s="1"/>
  <c r="AF168" i="20"/>
  <c r="AF169" i="20"/>
  <c r="AF170" i="20"/>
  <c r="AF179" i="20" s="1"/>
  <c r="AF171" i="20"/>
  <c r="AF185" i="20" s="1"/>
  <c r="AF167" i="20"/>
  <c r="AF173" i="20" s="1"/>
  <c r="AC301" i="42"/>
  <c r="AC305" i="42" s="1"/>
  <c r="AC302" i="42"/>
  <c r="BM66" i="51"/>
  <c r="AA154" i="14"/>
  <c r="AA97" i="14"/>
  <c r="BK71" i="51"/>
  <c r="BH128" i="36"/>
  <c r="Y253" i="53"/>
  <c r="AA84" i="19"/>
  <c r="AB131" i="14" s="1"/>
  <c r="AB127" i="14" s="1"/>
  <c r="AB131" i="12"/>
  <c r="AF66" i="16"/>
  <c r="BK33" i="45"/>
  <c r="Y69" i="15"/>
  <c r="X205" i="28"/>
  <c r="X210" i="28"/>
  <c r="AE139" i="46"/>
  <c r="AE144" i="46"/>
  <c r="Z82" i="48"/>
  <c r="Z87" i="48" s="1"/>
  <c r="Z81" i="48"/>
  <c r="Z86" i="48" s="1"/>
  <c r="Z80" i="48"/>
  <c r="Z85" i="48" s="1"/>
  <c r="Z84" i="48"/>
  <c r="Z83" i="48"/>
  <c r="Z88" i="48" s="1"/>
  <c r="AE94" i="38"/>
  <c r="AE98" i="38" s="1"/>
  <c r="AE97" i="38"/>
  <c r="AF108" i="36" s="1"/>
  <c r="BL108" i="36" s="1"/>
  <c r="AE96" i="38"/>
  <c r="AE100" i="38" s="1"/>
  <c r="AE95" i="38"/>
  <c r="AE99" i="38" s="1"/>
  <c r="W300" i="20"/>
  <c r="AD152" i="42"/>
  <c r="AD156" i="42" s="1"/>
  <c r="AD153" i="42"/>
  <c r="AD157" i="42" s="1"/>
  <c r="AD151" i="42"/>
  <c r="AD155" i="42" s="1"/>
  <c r="AD154" i="42"/>
  <c r="BM95" i="45"/>
  <c r="AF35" i="48"/>
  <c r="BM43" i="45"/>
  <c r="BM42" i="45"/>
  <c r="BM44" i="45"/>
  <c r="AA89" i="19"/>
  <c r="AB140" i="14" s="1"/>
  <c r="AB140" i="12"/>
  <c r="AA130" i="14"/>
  <c r="AF141" i="48"/>
  <c r="AF142" i="48"/>
  <c r="AF140" i="48"/>
  <c r="AE237" i="42"/>
  <c r="AE241" i="42" s="1"/>
  <c r="AE235" i="42"/>
  <c r="AE239" i="42" s="1"/>
  <c r="AE238" i="42"/>
  <c r="AE236" i="42"/>
  <c r="AE240" i="42" s="1"/>
  <c r="AF18" i="20"/>
  <c r="AE24" i="20"/>
  <c r="AG211" i="54"/>
  <c r="AG210" i="54"/>
  <c r="AG209" i="54"/>
  <c r="AG212" i="54"/>
  <c r="AD217" i="46"/>
  <c r="AD222" i="46" s="1"/>
  <c r="AD220" i="46"/>
  <c r="AD225" i="46" s="1"/>
  <c r="AD219" i="46"/>
  <c r="AD224" i="46" s="1"/>
  <c r="AD218" i="46"/>
  <c r="AD223" i="46" s="1"/>
  <c r="AD216" i="48"/>
  <c r="AD221" i="46"/>
  <c r="AE99" i="45" s="1"/>
  <c r="AE73" i="51"/>
  <c r="BG101" i="45"/>
  <c r="BG102" i="45"/>
  <c r="AA101" i="45"/>
  <c r="BG103" i="45"/>
  <c r="AA102" i="45"/>
  <c r="AA103" i="45"/>
  <c r="BJ77" i="45"/>
  <c r="BN67" i="51"/>
  <c r="AE186" i="42"/>
  <c r="AE185" i="42"/>
  <c r="AC290" i="42"/>
  <c r="AC291" i="42" s="1"/>
  <c r="AC313" i="42"/>
  <c r="AC314" i="42" s="1"/>
  <c r="AG157" i="48"/>
  <c r="AG162" i="48" s="1"/>
  <c r="AG156" i="48"/>
  <c r="AG161" i="48" s="1"/>
  <c r="AG155" i="48"/>
  <c r="AG160" i="48" s="1"/>
  <c r="AG159" i="48"/>
  <c r="AG158" i="48"/>
  <c r="AG163" i="48" s="1"/>
  <c r="R161" i="14"/>
  <c r="AE135" i="16"/>
  <c r="BF118" i="45"/>
  <c r="AD300" i="38"/>
  <c r="AD299" i="38"/>
  <c r="BI75" i="45"/>
  <c r="AB33" i="48"/>
  <c r="AB39" i="48" s="1"/>
  <c r="AF93" i="46"/>
  <c r="AF98" i="46" s="1"/>
  <c r="AF89" i="48"/>
  <c r="AF92" i="46"/>
  <c r="AF97" i="46" s="1"/>
  <c r="AF91" i="46"/>
  <c r="AF94" i="46"/>
  <c r="AF90" i="46"/>
  <c r="AF95" i="46" s="1"/>
  <c r="AA271" i="20"/>
  <c r="AA268" i="20"/>
  <c r="AA269" i="20"/>
  <c r="AA270" i="20"/>
  <c r="AB156" i="29"/>
  <c r="AB155" i="29"/>
  <c r="AB159" i="29" s="1"/>
  <c r="AF133" i="20"/>
  <c r="W311" i="48"/>
  <c r="W314" i="48"/>
  <c r="W315" i="48"/>
  <c r="W312" i="48"/>
  <c r="W313" i="48"/>
  <c r="W310" i="48"/>
  <c r="BL44" i="45"/>
  <c r="AE35" i="48"/>
  <c r="BL95" i="45"/>
  <c r="BL42" i="45"/>
  <c r="BL43" i="45"/>
  <c r="AF60" i="29"/>
  <c r="AG56" i="16" s="1"/>
  <c r="AG56" i="15"/>
  <c r="AF63" i="53"/>
  <c r="AF159" i="53" s="1"/>
  <c r="AF69" i="53"/>
  <c r="AF70" i="53" s="1"/>
  <c r="AG49" i="51" s="1"/>
  <c r="AE245" i="46"/>
  <c r="AE250" i="46" s="1"/>
  <c r="AE244" i="46"/>
  <c r="AE249" i="46" s="1"/>
  <c r="AE247" i="46"/>
  <c r="AE252" i="46" s="1"/>
  <c r="AE243" i="48"/>
  <c r="AE248" i="46"/>
  <c r="AF96" i="45" s="1"/>
  <c r="AE246" i="46"/>
  <c r="AE251" i="46" s="1"/>
  <c r="AH75" i="16"/>
  <c r="AH76" i="16"/>
  <c r="AR80" i="16"/>
  <c r="AD151" i="29"/>
  <c r="AD152" i="29"/>
  <c r="AB85" i="19"/>
  <c r="AC132" i="14" s="1"/>
  <c r="AC132" i="12"/>
  <c r="AB119" i="12"/>
  <c r="AA72" i="19"/>
  <c r="AB119" i="14" s="1"/>
  <c r="V155" i="12"/>
  <c r="V10" i="55"/>
  <c r="U312" i="20"/>
  <c r="U317" i="20"/>
  <c r="AE63" i="42"/>
  <c r="AE69" i="42"/>
  <c r="X311" i="46"/>
  <c r="X310" i="46"/>
  <c r="X314" i="46"/>
  <c r="X313" i="46"/>
  <c r="X315" i="46"/>
  <c r="X312" i="46"/>
  <c r="AD71" i="45"/>
  <c r="AD85" i="45"/>
  <c r="AC313" i="38"/>
  <c r="AC314" i="38" s="1"/>
  <c r="AC290" i="38"/>
  <c r="AC291" i="38" s="1"/>
  <c r="AC153" i="29"/>
  <c r="AC154" i="29"/>
  <c r="AC109" i="12"/>
  <c r="AB81" i="19"/>
  <c r="AC109" i="14" s="1"/>
  <c r="X220" i="19"/>
  <c r="X215" i="19"/>
  <c r="X219" i="19"/>
  <c r="X218" i="19"/>
  <c r="X217" i="19"/>
  <c r="X216" i="19"/>
  <c r="Z115" i="45"/>
  <c r="AE146" i="38"/>
  <c r="AF100" i="36" s="1"/>
  <c r="BL100" i="36" s="1"/>
  <c r="AE145" i="38"/>
  <c r="AE149" i="38" s="1"/>
  <c r="AE144" i="38"/>
  <c r="AE148" i="38" s="1"/>
  <c r="AE143" i="38"/>
  <c r="AE147" i="38" s="1"/>
  <c r="AD244" i="48"/>
  <c r="AD249" i="48" s="1"/>
  <c r="AD247" i="48"/>
  <c r="AD252" i="48" s="1"/>
  <c r="AD245" i="48"/>
  <c r="AD250" i="48" s="1"/>
  <c r="AD248" i="48"/>
  <c r="AD246" i="48"/>
  <c r="AD251" i="48" s="1"/>
  <c r="AA149" i="12"/>
  <c r="V349" i="48"/>
  <c r="AA249" i="53"/>
  <c r="AA251" i="53"/>
  <c r="AB75" i="51" s="1"/>
  <c r="AA77" i="19"/>
  <c r="AB106" i="14" s="1"/>
  <c r="AB106" i="12"/>
  <c r="AA148" i="12"/>
  <c r="AA169" i="12" s="1"/>
  <c r="CI7" i="55"/>
  <c r="BJ78" i="36"/>
  <c r="AD115" i="36"/>
  <c r="AD116" i="36" s="1"/>
  <c r="AD80" i="36"/>
  <c r="AD83" i="36" s="1"/>
  <c r="AF28" i="19"/>
  <c r="AF46" i="19" s="1"/>
  <c r="AF167" i="19" s="1"/>
  <c r="AF166" i="19" s="1"/>
  <c r="AG22" i="19"/>
  <c r="AG28" i="19" s="1"/>
  <c r="AG46" i="19" s="1"/>
  <c r="AG167" i="19" s="1"/>
  <c r="AG166" i="19" s="1"/>
  <c r="AC223" i="53"/>
  <c r="AC225" i="53"/>
  <c r="AC222" i="53"/>
  <c r="AC227" i="53"/>
  <c r="AC224" i="53"/>
  <c r="AC226" i="53"/>
  <c r="W347" i="46"/>
  <c r="W349" i="46" s="1"/>
  <c r="W348" i="46"/>
  <c r="AD138" i="19"/>
  <c r="W345" i="48"/>
  <c r="W346" i="48" s="1"/>
  <c r="AF132" i="38"/>
  <c r="AF158" i="38" s="1"/>
  <c r="AF131" i="38"/>
  <c r="AF150" i="38" s="1"/>
  <c r="AF130" i="38"/>
  <c r="AF142" i="38" s="1"/>
  <c r="Z151" i="14"/>
  <c r="AB73" i="19"/>
  <c r="AC120" i="14" s="1"/>
  <c r="AC120" i="12"/>
  <c r="AF211" i="20"/>
  <c r="AA110" i="45"/>
  <c r="AA111" i="45"/>
  <c r="AA112" i="45"/>
  <c r="BG112" i="45"/>
  <c r="BG111" i="45"/>
  <c r="BG110" i="45"/>
  <c r="BN58" i="51"/>
  <c r="BN72" i="51" s="1"/>
  <c r="AC227" i="12"/>
  <c r="BC126" i="36"/>
  <c r="V343" i="42"/>
  <c r="BC127" i="36" s="1"/>
  <c r="AE178" i="20"/>
  <c r="AE140" i="19" s="1"/>
  <c r="AE175" i="20"/>
  <c r="AE137" i="19" s="1"/>
  <c r="AE174" i="20"/>
  <c r="AE136" i="19" s="1"/>
  <c r="AF113" i="12"/>
  <c r="AE135" i="19"/>
  <c r="AF113" i="14" s="1"/>
  <c r="AE176" i="20"/>
  <c r="AE177" i="20"/>
  <c r="AE139" i="19" s="1"/>
  <c r="AE150" i="29"/>
  <c r="AE148" i="29"/>
  <c r="AE147" i="29"/>
  <c r="AE149" i="29"/>
  <c r="Z76" i="51"/>
  <c r="T160" i="14"/>
  <c r="V160" i="14"/>
  <c r="BN40" i="45"/>
  <c r="BN39" i="45"/>
  <c r="AB128" i="12"/>
  <c r="AA83" i="19"/>
  <c r="AB128" i="14" s="1"/>
  <c r="U119" i="45"/>
  <c r="T365" i="46"/>
  <c r="T370" i="46"/>
  <c r="AF66" i="15"/>
  <c r="Z281" i="20"/>
  <c r="Z283" i="20"/>
  <c r="Z282" i="20"/>
  <c r="Z284" i="20"/>
  <c r="Z286" i="20"/>
  <c r="Z285" i="20"/>
  <c r="X325" i="48"/>
  <c r="X326" i="48"/>
  <c r="Y71" i="16"/>
  <c r="AA170" i="28"/>
  <c r="AA169" i="28"/>
  <c r="AA173" i="28" s="1"/>
  <c r="BK51" i="51"/>
  <c r="BK72" i="51"/>
  <c r="AE81" i="38"/>
  <c r="AF92" i="36" s="1"/>
  <c r="BL92" i="36" s="1"/>
  <c r="AE80" i="38"/>
  <c r="AE84" i="38" s="1"/>
  <c r="AE78" i="38"/>
  <c r="AE82" i="38" s="1"/>
  <c r="AE79" i="38"/>
  <c r="AE83" i="38" s="1"/>
  <c r="BI58" i="45"/>
  <c r="BI71" i="45" s="1"/>
  <c r="BI60" i="45"/>
  <c r="BI73" i="45" s="1"/>
  <c r="BI104" i="45"/>
  <c r="BI59" i="45"/>
  <c r="BI72" i="45" s="1"/>
  <c r="AB37" i="48"/>
  <c r="AG43" i="48" s="1"/>
  <c r="AF25" i="19"/>
  <c r="AF43" i="19" s="1"/>
  <c r="AF97" i="19" s="1"/>
  <c r="AG19" i="19"/>
  <c r="AG25" i="19" s="1"/>
  <c r="AG43" i="19" s="1"/>
  <c r="AG101" i="19" s="1"/>
  <c r="AD160" i="42"/>
  <c r="AD164" i="42" s="1"/>
  <c r="AD161" i="42"/>
  <c r="AD165" i="42" s="1"/>
  <c r="AD162" i="42"/>
  <c r="AD159" i="42"/>
  <c r="AD163" i="42" s="1"/>
  <c r="AB144" i="12"/>
  <c r="AA91" i="19"/>
  <c r="AB144" i="14" s="1"/>
  <c r="AA130" i="12"/>
  <c r="AF204" i="48"/>
  <c r="AF203" i="48"/>
  <c r="AF237" i="42"/>
  <c r="AF241" i="42" s="1"/>
  <c r="AF235" i="42"/>
  <c r="AF239" i="42" s="1"/>
  <c r="AF238" i="42"/>
  <c r="AF236" i="42"/>
  <c r="AF240" i="42" s="1"/>
  <c r="AD29" i="20"/>
  <c r="AD42" i="20"/>
  <c r="AD96" i="20" s="1"/>
  <c r="X232" i="19"/>
  <c r="X233" i="19"/>
  <c r="BL21" i="45"/>
  <c r="AC165" i="48"/>
  <c r="AC170" i="48" s="1"/>
  <c r="AC166" i="48"/>
  <c r="AC171" i="48" s="1"/>
  <c r="AC167" i="48"/>
  <c r="AC172" i="48" s="1"/>
  <c r="AC168" i="48"/>
  <c r="AC173" i="48" s="1"/>
  <c r="AC169" i="48"/>
  <c r="Y322" i="48"/>
  <c r="Y321" i="48"/>
  <c r="Y324" i="48"/>
  <c r="Y323" i="48"/>
  <c r="Y237" i="19"/>
  <c r="Y236" i="19"/>
  <c r="AF128" i="42"/>
  <c r="AF127" i="42"/>
  <c r="AE184" i="42"/>
  <c r="AE188" i="42"/>
  <c r="AE196" i="42"/>
  <c r="AE204" i="42"/>
  <c r="AC33" i="46"/>
  <c r="AC39" i="46" s="1"/>
  <c r="AD75" i="45"/>
  <c r="BL64" i="51"/>
  <c r="AA81" i="45"/>
  <c r="AA80" i="45"/>
  <c r="AA79" i="45"/>
  <c r="BG81" i="45"/>
  <c r="BG80" i="45"/>
  <c r="BG79" i="45"/>
  <c r="U164" i="14"/>
  <c r="T276" i="19"/>
  <c r="U165" i="14" s="1"/>
  <c r="AF59" i="29"/>
  <c r="AG62" i="16" s="1"/>
  <c r="AG62" i="15"/>
  <c r="AD157" i="29"/>
  <c r="AD169" i="29" s="1"/>
  <c r="AD158" i="29"/>
  <c r="AB84" i="19"/>
  <c r="AC131" i="14" s="1"/>
  <c r="AC131" i="12"/>
  <c r="AB146" i="12"/>
  <c r="AB115" i="12"/>
  <c r="V162" i="12"/>
  <c r="V158" i="12"/>
  <c r="AF211" i="53"/>
  <c r="AF210" i="53"/>
  <c r="AF209" i="53"/>
  <c r="AF212" i="53"/>
  <c r="AD84" i="45"/>
  <c r="AC217" i="53"/>
  <c r="AC221" i="53" s="1"/>
  <c r="AC218" i="53"/>
  <c r="AC219" i="48"/>
  <c r="AC224" i="48" s="1"/>
  <c r="AC220" i="48"/>
  <c r="AC225" i="48" s="1"/>
  <c r="AC218" i="48"/>
  <c r="AC223" i="48" s="1"/>
  <c r="AC221" i="48"/>
  <c r="AC217" i="48"/>
  <c r="AC222" i="48" s="1"/>
  <c r="AE34" i="45"/>
  <c r="BL28" i="45"/>
  <c r="BL32" i="45"/>
  <c r="BL29" i="45"/>
  <c r="BL37" i="45"/>
  <c r="BL36" i="45"/>
  <c r="BL31" i="45"/>
  <c r="BL35" i="45"/>
  <c r="BL54" i="45"/>
  <c r="AE162" i="38"/>
  <c r="AF109" i="36" s="1"/>
  <c r="BL109" i="36" s="1"/>
  <c r="AE159" i="38"/>
  <c r="AE163" i="38" s="1"/>
  <c r="AE160" i="38"/>
  <c r="AE164" i="38" s="1"/>
  <c r="AE161" i="38"/>
  <c r="AE165" i="38" s="1"/>
  <c r="AA149" i="14"/>
  <c r="AD24" i="19"/>
  <c r="AE18" i="19"/>
  <c r="V330" i="48"/>
  <c r="V329" i="48"/>
  <c r="V333" i="48" s="1"/>
  <c r="AB100" i="12"/>
  <c r="AA67" i="19"/>
  <c r="AB100" i="14" s="1"/>
  <c r="AY124" i="45"/>
  <c r="AY123" i="45"/>
  <c r="AY121" i="45"/>
  <c r="AE157" i="28"/>
  <c r="AE160" i="28"/>
  <c r="AB105" i="14"/>
  <c r="S16" i="55"/>
  <c r="S15" i="55"/>
  <c r="S13" i="55"/>
  <c r="S12" i="55"/>
  <c r="S14" i="55"/>
  <c r="S11" i="55"/>
  <c r="AF51" i="51"/>
  <c r="BL49" i="51"/>
  <c r="AF72" i="51"/>
  <c r="AF73" i="51" s="1"/>
  <c r="AF59" i="15"/>
  <c r="Z279" i="20"/>
  <c r="Z278" i="20"/>
  <c r="AD148" i="46"/>
  <c r="AD153" i="46" s="1"/>
  <c r="AD147" i="46"/>
  <c r="AD152" i="46" s="1"/>
  <c r="AD146" i="46"/>
  <c r="AD151" i="46" s="1"/>
  <c r="AD145" i="46"/>
  <c r="AD150" i="46" s="1"/>
  <c r="AD144" i="48"/>
  <c r="AD149" i="46"/>
  <c r="AE83" i="45" s="1"/>
  <c r="AA255" i="20"/>
  <c r="AA256" i="20" s="1"/>
  <c r="AB222" i="20"/>
  <c r="BK79" i="36"/>
  <c r="BK114" i="36" s="1"/>
  <c r="AE114" i="36"/>
  <c r="Y242" i="19"/>
  <c r="Y239" i="19"/>
  <c r="Y240" i="19"/>
  <c r="Y241" i="19"/>
  <c r="Y244" i="19"/>
  <c r="Y243" i="19"/>
  <c r="Y120" i="36"/>
  <c r="X337" i="38"/>
  <c r="X342" i="38"/>
  <c r="AC234" i="54"/>
  <c r="AC235" i="54" s="1"/>
  <c r="AC237" i="54" s="1"/>
  <c r="AC258" i="54" s="1"/>
  <c r="AA228" i="14"/>
  <c r="AA117" i="12"/>
  <c r="AB74" i="19"/>
  <c r="AC121" i="14" s="1"/>
  <c r="AC121" i="12"/>
  <c r="BG106" i="45"/>
  <c r="AA109" i="45"/>
  <c r="AE139" i="16"/>
  <c r="BD115" i="45"/>
  <c r="D88" i="15"/>
  <c r="C80" i="15" s="1"/>
  <c r="AE190" i="20"/>
  <c r="AE152" i="19" s="1"/>
  <c r="AE187" i="20"/>
  <c r="AE149" i="19" s="1"/>
  <c r="AF137" i="12"/>
  <c r="AE147" i="19"/>
  <c r="AF137" i="14" s="1"/>
  <c r="AE189" i="20"/>
  <c r="AE151" i="19" s="1"/>
  <c r="AE186" i="20"/>
  <c r="AE148" i="19" s="1"/>
  <c r="AE188" i="20"/>
  <c r="AE150" i="19" s="1"/>
  <c r="BL67" i="51"/>
  <c r="BL71" i="51" s="1"/>
  <c r="AE200" i="38"/>
  <c r="AF101" i="36" s="1"/>
  <c r="BL101" i="36" s="1"/>
  <c r="AE199" i="38"/>
  <c r="AE203" i="38" s="1"/>
  <c r="AE197" i="38"/>
  <c r="AE201" i="38" s="1"/>
  <c r="AE198" i="38"/>
  <c r="AE202" i="38" s="1"/>
  <c r="AE135" i="14"/>
  <c r="AE149" i="20"/>
  <c r="AE125" i="19" s="1"/>
  <c r="AE146" i="20"/>
  <c r="AE122" i="19" s="1"/>
  <c r="AE150" i="20"/>
  <c r="AE126" i="19" s="1"/>
  <c r="AE147" i="20"/>
  <c r="AE123" i="19" s="1"/>
  <c r="AF138" i="12"/>
  <c r="AE148" i="20"/>
  <c r="AE124" i="19" s="1"/>
  <c r="AE121" i="19"/>
  <c r="AF138" i="14" s="1"/>
  <c r="AC47" i="20"/>
  <c r="AC218" i="20" s="1"/>
  <c r="AC221" i="20"/>
  <c r="AD93" i="12"/>
  <c r="AC72" i="20"/>
  <c r="AA141" i="12"/>
  <c r="AE297" i="38"/>
  <c r="AE298" i="38"/>
  <c r="X331" i="48"/>
  <c r="X343" i="48" s="1"/>
  <c r="X344" i="48" s="1"/>
  <c r="X332" i="48"/>
  <c r="AA325" i="42"/>
  <c r="AA326" i="42" s="1"/>
  <c r="AA93" i="45"/>
  <c r="BG94" i="45"/>
  <c r="BG93" i="45"/>
  <c r="AA94" i="45"/>
  <c r="AB167" i="28"/>
  <c r="AB168" i="28"/>
  <c r="AA92" i="19"/>
  <c r="AB145" i="14" s="1"/>
  <c r="AB145" i="12"/>
  <c r="AB44" i="46"/>
  <c r="AB316" i="46" s="1"/>
  <c r="AB79" i="46"/>
  <c r="AB99" i="46"/>
  <c r="AB69" i="46"/>
  <c r="AB109" i="46"/>
  <c r="AE135" i="15"/>
  <c r="V353" i="46"/>
  <c r="V354" i="46" s="1"/>
  <c r="AE132" i="42"/>
  <c r="AE158" i="42" s="1"/>
  <c r="AE130" i="42"/>
  <c r="AE142" i="42" s="1"/>
  <c r="AE131" i="42"/>
  <c r="AE150" i="42" s="1"/>
  <c r="AE131" i="20"/>
  <c r="AE107" i="19" s="1"/>
  <c r="AE129" i="20"/>
  <c r="AE105" i="19" s="1"/>
  <c r="AE132" i="20"/>
  <c r="AE108" i="19" s="1"/>
  <c r="AE103" i="19"/>
  <c r="AF103" i="14" s="1"/>
  <c r="AE128" i="20"/>
  <c r="AE104" i="19" s="1"/>
  <c r="AF103" i="12"/>
  <c r="AE130" i="20"/>
  <c r="AD70" i="45"/>
  <c r="AC78" i="20"/>
  <c r="BJ89" i="45"/>
  <c r="Z116" i="45"/>
  <c r="V155" i="14"/>
  <c r="U270" i="19"/>
  <c r="U275" i="19"/>
  <c r="AD70" i="38"/>
  <c r="AD74" i="38" s="1"/>
  <c r="AD71" i="38"/>
  <c r="AD75" i="38" s="1"/>
  <c r="AD72" i="38"/>
  <c r="AD76" i="38" s="1"/>
  <c r="AD73" i="38"/>
  <c r="AE78" i="36" s="1"/>
  <c r="X72" i="16"/>
  <c r="W197" i="29"/>
  <c r="X73" i="16" s="1"/>
  <c r="W158" i="14"/>
  <c r="W162" i="14"/>
  <c r="AD190" i="42"/>
  <c r="AD194" i="42" s="1"/>
  <c r="AD189" i="42"/>
  <c r="AD193" i="42" s="1"/>
  <c r="AD192" i="42"/>
  <c r="AD191" i="42"/>
  <c r="AD195" i="42" s="1"/>
  <c r="AB218" i="20"/>
  <c r="T159" i="12"/>
  <c r="T161" i="12" s="1"/>
  <c r="AB115" i="14"/>
  <c r="AF66" i="42"/>
  <c r="AF85" i="42" s="1"/>
  <c r="AF62" i="42"/>
  <c r="AF65" i="42"/>
  <c r="AF93" i="42" s="1"/>
  <c r="AF61" i="42"/>
  <c r="AF64" i="42"/>
  <c r="AF77" i="42" s="1"/>
  <c r="AF67" i="42"/>
  <c r="AF101" i="42" s="1"/>
  <c r="AF89" i="29"/>
  <c r="Z180" i="29"/>
  <c r="Z187" i="29" s="1"/>
  <c r="AD86" i="45"/>
  <c r="AF33" i="28"/>
  <c r="AF34" i="28"/>
  <c r="AD158" i="28"/>
  <c r="AD159" i="28" s="1"/>
  <c r="AD181" i="28"/>
  <c r="AD182" i="28" s="1"/>
  <c r="AC105" i="14"/>
  <c r="BF100" i="45"/>
  <c r="BF113" i="45"/>
  <c r="AE153" i="38"/>
  <c r="AE157" i="38" s="1"/>
  <c r="AE151" i="38"/>
  <c r="AE155" i="38" s="1"/>
  <c r="AE152" i="38"/>
  <c r="AE156" i="38" s="1"/>
  <c r="AE154" i="38"/>
  <c r="AF79" i="36" s="1"/>
  <c r="AH49" i="16"/>
  <c r="T6" i="55"/>
  <c r="AG47" i="29"/>
  <c r="AG142" i="29" s="1"/>
  <c r="AC29" i="19"/>
  <c r="AC42" i="19"/>
  <c r="AC60" i="19" s="1"/>
  <c r="AE139" i="15"/>
  <c r="AB99" i="12"/>
  <c r="AA69" i="19"/>
  <c r="AB99" i="14" s="1"/>
  <c r="S125" i="45"/>
  <c r="R371" i="46"/>
  <c r="S126" i="45" s="1"/>
  <c r="AD222" i="54"/>
  <c r="AD223" i="54"/>
  <c r="AD227" i="54"/>
  <c r="AD224" i="54"/>
  <c r="AD226" i="54"/>
  <c r="AD225" i="54"/>
  <c r="AH129" i="15"/>
  <c r="AF294" i="38"/>
  <c r="AF293" i="38"/>
  <c r="AF296" i="38"/>
  <c r="AF295" i="38"/>
  <c r="AC73" i="45"/>
  <c r="AF59" i="16"/>
  <c r="AE262" i="48"/>
  <c r="AE267" i="48" s="1"/>
  <c r="AE261" i="48"/>
  <c r="AE266" i="48" s="1"/>
  <c r="AE263" i="48"/>
  <c r="AE268" i="48" s="1"/>
  <c r="AE265" i="48"/>
  <c r="AE264" i="48"/>
  <c r="AE269" i="48" s="1"/>
  <c r="AH123" i="12"/>
  <c r="AG198" i="20"/>
  <c r="AE67" i="45"/>
  <c r="AE23" i="45"/>
  <c r="Z262" i="20"/>
  <c r="Z258" i="20"/>
  <c r="Z259" i="20"/>
  <c r="Z261" i="20"/>
  <c r="Z257" i="20"/>
  <c r="Z260" i="20"/>
  <c r="AA34" i="19"/>
  <c r="AA33" i="19"/>
  <c r="AB185" i="28"/>
  <c r="AB186" i="28" s="1"/>
  <c r="AX11" i="55"/>
  <c r="AX15" i="55"/>
  <c r="AX14" i="55"/>
  <c r="AX13" i="55"/>
  <c r="AX12" i="55"/>
  <c r="AX16" i="55"/>
  <c r="U164" i="12"/>
  <c r="T318" i="20"/>
  <c r="U165" i="12" s="1"/>
  <c r="AC90" i="20"/>
  <c r="AE134" i="16"/>
  <c r="AE77" i="16"/>
  <c r="AE133" i="16" a="1"/>
  <c r="AE133" i="16" s="1"/>
  <c r="AE68" i="16"/>
  <c r="Z223" i="19"/>
  <c r="Z246" i="19"/>
  <c r="Z247" i="19" s="1"/>
  <c r="AA117" i="14"/>
  <c r="AA98" i="14"/>
  <c r="AA153" i="14"/>
  <c r="AB72" i="19"/>
  <c r="AC119" i="14" s="1"/>
  <c r="AC119" i="12"/>
  <c r="AG34" i="28"/>
  <c r="AG33" i="28"/>
  <c r="C84" i="15"/>
  <c r="X337" i="42"/>
  <c r="X342" i="42"/>
  <c r="Z226" i="19"/>
  <c r="Z227" i="19"/>
  <c r="Z229" i="19"/>
  <c r="Z228" i="19"/>
  <c r="AF73" i="29"/>
  <c r="AG58" i="16" s="1"/>
  <c r="AG58" i="15"/>
  <c r="AA228" i="12"/>
  <c r="AE205" i="38"/>
  <c r="AE209" i="38" s="1"/>
  <c r="AE206" i="38"/>
  <c r="AE210" i="38" s="1"/>
  <c r="AE208" i="38"/>
  <c r="AE207" i="38"/>
  <c r="AE211" i="38" s="1"/>
  <c r="AD173" i="19"/>
  <c r="Z150" i="12"/>
  <c r="Z324" i="46"/>
  <c r="Z321" i="46"/>
  <c r="Z322" i="46"/>
  <c r="Z323" i="46"/>
  <c r="AB132" i="12"/>
  <c r="AA85" i="19"/>
  <c r="AB132" i="14" s="1"/>
  <c r="CG8" i="45"/>
  <c r="AC31" i="20"/>
  <c r="CP4" i="55"/>
  <c r="AC253" i="20"/>
  <c r="AA141" i="14"/>
  <c r="AA318" i="42"/>
  <c r="AA319" i="42" s="1"/>
  <c r="AA321" i="42" s="1"/>
  <c r="BD126" i="36"/>
  <c r="W343" i="42"/>
  <c r="BD127" i="36" s="1"/>
  <c r="AF63" i="54"/>
  <c r="AF159" i="54" s="1"/>
  <c r="AF69" i="54"/>
  <c r="AF70" i="54" s="1"/>
  <c r="AE104" i="38"/>
  <c r="AE108" i="38" s="1"/>
  <c r="AE103" i="38"/>
  <c r="AE107" i="38" s="1"/>
  <c r="AE105" i="38"/>
  <c r="AF99" i="36" s="1"/>
  <c r="BL99" i="36" s="1"/>
  <c r="AE102" i="38"/>
  <c r="AE106" i="38" s="1"/>
  <c r="AA318" i="38"/>
  <c r="AA319" i="38" s="1"/>
  <c r="AA321" i="38" s="1"/>
  <c r="AD141" i="15"/>
  <c r="AD142" i="15" s="1"/>
  <c r="BH74" i="51"/>
  <c r="AA253" i="54"/>
  <c r="X339" i="48"/>
  <c r="X338" i="48"/>
  <c r="X334" i="48"/>
  <c r="X336" i="48"/>
  <c r="X337" i="48"/>
  <c r="X335" i="48"/>
  <c r="AE141" i="20"/>
  <c r="AE117" i="19" s="1"/>
  <c r="AE144" i="20"/>
  <c r="AE120" i="19" s="1"/>
  <c r="AE143" i="20"/>
  <c r="AE119" i="19" s="1"/>
  <c r="AE140" i="20"/>
  <c r="AE116" i="19" s="1"/>
  <c r="AE142" i="20"/>
  <c r="AE118" i="19" s="1"/>
  <c r="AE115" i="19"/>
  <c r="AF94" i="14" s="1"/>
  <c r="AF139" i="48"/>
  <c r="BN78" i="36"/>
  <c r="AH80" i="36"/>
  <c r="AH83" i="36" s="1"/>
  <c r="AH115" i="36"/>
  <c r="AA142" i="14"/>
  <c r="AB234" i="53"/>
  <c r="AB235" i="53" s="1"/>
  <c r="AB237" i="53" s="1"/>
  <c r="AB258" i="53" s="1"/>
  <c r="BK23" i="45"/>
  <c r="AE129" i="42"/>
  <c r="AE134" i="42"/>
  <c r="BI85" i="45"/>
  <c r="AC280" i="38"/>
  <c r="AC281" i="38" s="1"/>
  <c r="AD247" i="38"/>
  <c r="AF65" i="15"/>
  <c r="BN98" i="45"/>
  <c r="AA229" i="14"/>
  <c r="Z118" i="45"/>
  <c r="AE213" i="53"/>
  <c r="AE214" i="53"/>
  <c r="AD246" i="38"/>
  <c r="AD243" i="38"/>
  <c r="BJ107" i="45"/>
  <c r="AF63" i="46"/>
  <c r="AD205" i="42"/>
  <c r="AD209" i="42" s="1"/>
  <c r="AD206" i="42"/>
  <c r="AD210" i="42" s="1"/>
  <c r="AD208" i="42"/>
  <c r="AD207" i="42"/>
  <c r="AD211" i="42" s="1"/>
  <c r="Z317" i="48"/>
  <c r="Z320" i="48"/>
  <c r="T125" i="45"/>
  <c r="S371" i="46"/>
  <c r="T126" i="45" s="1"/>
  <c r="AB316" i="42"/>
  <c r="AB317" i="42"/>
  <c r="AA108" i="12"/>
  <c r="BM69" i="45"/>
  <c r="AH129" i="16"/>
  <c r="AH131" i="16"/>
  <c r="AB47" i="19"/>
  <c r="AB62" i="19"/>
  <c r="AB61" i="19"/>
  <c r="AB60" i="19"/>
  <c r="AC133" i="14"/>
  <c r="AA73" i="19"/>
  <c r="AB120" i="14" s="1"/>
  <c r="AB120" i="12"/>
  <c r="AE88" i="42"/>
  <c r="AE92" i="42" s="1"/>
  <c r="AE87" i="42"/>
  <c r="AE91" i="42" s="1"/>
  <c r="AE89" i="42"/>
  <c r="AE86" i="42"/>
  <c r="AE90" i="42" s="1"/>
  <c r="AF205" i="53"/>
  <c r="AD87" i="45"/>
  <c r="AF55" i="45"/>
  <c r="AF56" i="45"/>
  <c r="AF30" i="45"/>
  <c r="AA229" i="12"/>
  <c r="AF263" i="46"/>
  <c r="AF268" i="46" s="1"/>
  <c r="AF261" i="46"/>
  <c r="AF266" i="46" s="1"/>
  <c r="AF265" i="46"/>
  <c r="AG105" i="45" s="1"/>
  <c r="AF264" i="46"/>
  <c r="AF269" i="46" s="1"/>
  <c r="AF260" i="48"/>
  <c r="AF262" i="46"/>
  <c r="AF267" i="46" s="1"/>
  <c r="AD206" i="53"/>
  <c r="AD207" i="53" s="1"/>
  <c r="AD229" i="53"/>
  <c r="AD230" i="53" s="1"/>
  <c r="AF21" i="45"/>
  <c r="AC144" i="29"/>
  <c r="AC145" i="29" s="1"/>
  <c r="AC167" i="29"/>
  <c r="AC168" i="29" s="1"/>
  <c r="AB111" i="12"/>
  <c r="AA80" i="19"/>
  <c r="AB111" i="14" s="1"/>
  <c r="AD233" i="54"/>
  <c r="AD236" i="54" s="1"/>
  <c r="AD232" i="54"/>
  <c r="AE110" i="36"/>
  <c r="AC96" i="20"/>
  <c r="AA80" i="46"/>
  <c r="AA85" i="46" s="1"/>
  <c r="AA81" i="46"/>
  <c r="AA86" i="46" s="1"/>
  <c r="AA83" i="46"/>
  <c r="AA88" i="46" s="1"/>
  <c r="AA79" i="48"/>
  <c r="AA82" i="46"/>
  <c r="AA87" i="46" s="1"/>
  <c r="AA84" i="46"/>
  <c r="AB90" i="45" s="1"/>
  <c r="AF33" i="29"/>
  <c r="AF34" i="29"/>
  <c r="AA231" i="12"/>
  <c r="AE57" i="45"/>
  <c r="AA226" i="14"/>
  <c r="Y290" i="20"/>
  <c r="Y291" i="20" s="1"/>
  <c r="Y292" i="20"/>
  <c r="AH71" i="51"/>
  <c r="BN50" i="51"/>
  <c r="BN51" i="51" s="1"/>
  <c r="AB226" i="12"/>
  <c r="AF65" i="20"/>
  <c r="AF64" i="20"/>
  <c r="AG42" i="45"/>
  <c r="AG44" i="45"/>
  <c r="AG95" i="45"/>
  <c r="AF35" i="46"/>
  <c r="AG43" i="45"/>
  <c r="AX125" i="45"/>
  <c r="Q371" i="48"/>
  <c r="AX126" i="45" s="1"/>
  <c r="AD124" i="12"/>
  <c r="AA139" i="14"/>
  <c r="AA148" i="14" s="1"/>
  <c r="AA153" i="12"/>
  <c r="AA98" i="12"/>
  <c r="X248" i="19"/>
  <c r="X249" i="19" s="1"/>
  <c r="X250" i="19"/>
  <c r="X251" i="19" s="1"/>
  <c r="X276" i="20"/>
  <c r="X280" i="20" s="1"/>
  <c r="X277" i="20"/>
  <c r="AC174" i="28"/>
  <c r="AC177" i="28"/>
  <c r="AC178" i="28"/>
  <c r="AC179" i="28"/>
  <c r="AC176" i="28"/>
  <c r="AC175" i="28"/>
  <c r="BG4" i="55"/>
  <c r="Y325" i="46"/>
  <c r="Y326" i="46"/>
  <c r="AF71" i="29"/>
  <c r="AG48" i="16" s="1"/>
  <c r="AG48" i="15"/>
  <c r="AE213" i="54"/>
  <c r="AE214" i="54"/>
  <c r="AD216" i="54"/>
  <c r="AD215" i="54"/>
  <c r="CG9" i="45"/>
  <c r="U122" i="45"/>
  <c r="W234" i="19"/>
  <c r="W238" i="19" s="1"/>
  <c r="W235" i="19"/>
  <c r="AE135" i="20"/>
  <c r="AE111" i="19" s="1"/>
  <c r="AE134" i="20"/>
  <c r="AE110" i="19" s="1"/>
  <c r="AE136" i="20"/>
  <c r="AE112" i="19" s="1"/>
  <c r="AE137" i="20"/>
  <c r="AE113" i="19" s="1"/>
  <c r="AE109" i="19"/>
  <c r="AF126" i="14" s="1"/>
  <c r="AE138" i="20"/>
  <c r="AE114" i="19" s="1"/>
  <c r="AD106" i="19"/>
  <c r="AA86" i="19"/>
  <c r="AB133" i="14" s="1"/>
  <c r="AB133" i="12"/>
  <c r="AB160" i="29"/>
  <c r="AB162" i="29"/>
  <c r="AB164" i="29"/>
  <c r="AB165" i="29"/>
  <c r="AB163" i="29"/>
  <c r="AB161" i="29"/>
  <c r="AE202" i="46"/>
  <c r="AE206" i="46"/>
  <c r="AE226" i="46"/>
  <c r="AE216" i="46"/>
  <c r="AF220" i="42"/>
  <c r="AF224" i="42" s="1"/>
  <c r="AF222" i="42"/>
  <c r="AF226" i="42" s="1"/>
  <c r="AF223" i="42"/>
  <c r="AF221" i="42"/>
  <c r="AF225" i="42" s="1"/>
  <c r="AE87" i="38"/>
  <c r="AE91" i="38" s="1"/>
  <c r="AE86" i="38"/>
  <c r="AE90" i="38" s="1"/>
  <c r="AE88" i="38"/>
  <c r="AE92" i="38" s="1"/>
  <c r="AE89" i="38"/>
  <c r="AC280" i="42"/>
  <c r="AC281" i="42" s="1"/>
  <c r="AD247" i="42"/>
  <c r="AD140" i="15"/>
  <c r="AA44" i="48"/>
  <c r="AA316" i="48" s="1"/>
  <c r="X294" i="20"/>
  <c r="X296" i="20" s="1"/>
  <c r="X295" i="20"/>
  <c r="AA142" i="12"/>
  <c r="X327" i="46"/>
  <c r="X328" i="46"/>
  <c r="BF114" i="45"/>
  <c r="BF78" i="45"/>
  <c r="Z318" i="46"/>
  <c r="Z319" i="46" s="1"/>
  <c r="Z341" i="46"/>
  <c r="Z342" i="46" s="1"/>
  <c r="AA9" i="55"/>
  <c r="Y201" i="28"/>
  <c r="Y203" i="28"/>
  <c r="Z70" i="15" s="1"/>
  <c r="BI86" i="45"/>
  <c r="AB33" i="20"/>
  <c r="AB34" i="20"/>
  <c r="AB287" i="38"/>
  <c r="AB283" i="38"/>
  <c r="AB285" i="38"/>
  <c r="AB282" i="38"/>
  <c r="AB286" i="38"/>
  <c r="AB284" i="38"/>
  <c r="AF65" i="16"/>
  <c r="AC210" i="48"/>
  <c r="AC215" i="48" s="1"/>
  <c r="AC209" i="48"/>
  <c r="AC214" i="48" s="1"/>
  <c r="AC208" i="48"/>
  <c r="AC213" i="48" s="1"/>
  <c r="AC207" i="48"/>
  <c r="AC212" i="48" s="1"/>
  <c r="AC211" i="48"/>
  <c r="BL98" i="36"/>
  <c r="AA152" i="12"/>
  <c r="V119" i="45"/>
  <c r="U365" i="46"/>
  <c r="U370" i="46"/>
  <c r="BG76" i="45"/>
  <c r="AA78" i="45"/>
  <c r="X126" i="36"/>
  <c r="W343" i="38"/>
  <c r="X127" i="36" s="1"/>
  <c r="S164" i="14"/>
  <c r="R276" i="19"/>
  <c r="S165" i="14" s="1"/>
  <c r="AF26" i="19"/>
  <c r="AF44" i="19" s="1"/>
  <c r="AF155" i="19" s="1"/>
  <c r="AF154" i="19" s="1"/>
  <c r="AG20" i="19"/>
  <c r="AG26" i="19" s="1"/>
  <c r="AG44" i="19" s="1"/>
  <c r="AG157" i="19" s="1"/>
  <c r="AB227" i="12"/>
  <c r="Z271" i="48"/>
  <c r="BI115" i="36"/>
  <c r="BI116" i="36" s="1"/>
  <c r="BI80" i="36"/>
  <c r="BI83" i="36" s="1"/>
  <c r="BI119" i="36" s="1"/>
  <c r="BM57" i="51"/>
  <c r="BM58" i="51" s="1"/>
  <c r="AB306" i="42"/>
  <c r="AB309" i="42"/>
  <c r="AB310" i="42"/>
  <c r="AB311" i="42"/>
  <c r="AB308" i="42"/>
  <c r="AB307" i="42"/>
  <c r="BM98" i="36"/>
  <c r="AA108" i="14"/>
  <c r="BK70" i="51"/>
  <c r="AB211" i="19"/>
  <c r="AB31" i="19"/>
  <c r="AC128" i="12"/>
  <c r="AB83" i="19"/>
  <c r="AC128" i="14" s="1"/>
  <c r="AA74" i="19"/>
  <c r="AB121" i="14" s="1"/>
  <c r="AB121" i="12"/>
  <c r="BM50" i="51"/>
  <c r="BG74" i="51"/>
  <c r="Z253" i="54"/>
  <c r="AF67" i="16"/>
  <c r="AF46" i="16"/>
  <c r="BN83" i="45"/>
  <c r="AD88" i="29"/>
  <c r="AD100" i="29"/>
  <c r="AC105" i="12"/>
  <c r="AG32" i="45"/>
  <c r="AG29" i="45"/>
  <c r="AG28" i="45"/>
  <c r="AG37" i="45"/>
  <c r="AG31" i="45"/>
  <c r="AG35" i="45"/>
  <c r="AG36" i="45"/>
  <c r="BM27" i="45"/>
  <c r="AH27" i="45"/>
  <c r="AG54" i="45"/>
  <c r="AG34" i="29"/>
  <c r="AG33" i="29"/>
  <c r="AE102" i="36"/>
  <c r="AB105" i="12"/>
  <c r="AA225" i="12" a="1"/>
  <c r="AA225" i="12" s="1"/>
  <c r="S124" i="45"/>
  <c r="S121" i="45"/>
  <c r="S123" i="45"/>
  <c r="BK110" i="36"/>
  <c r="AB316" i="38"/>
  <c r="AB317" i="38"/>
  <c r="AB320" i="38" s="1"/>
  <c r="AA317" i="46"/>
  <c r="AA320" i="46"/>
  <c r="AE133" i="15" a="1"/>
  <c r="AE133" i="15" s="1"/>
  <c r="AE134" i="15"/>
  <c r="AE68" i="15"/>
  <c r="AE77" i="15" s="1"/>
  <c r="BN17" i="45"/>
  <c r="BL105" i="45"/>
  <c r="AD300" i="42"/>
  <c r="AD299" i="42"/>
  <c r="BN68" i="51"/>
  <c r="AE68" i="20"/>
  <c r="AE69" i="20"/>
  <c r="AE70" i="20"/>
  <c r="AE67" i="20"/>
  <c r="AF49" i="16"/>
  <c r="U157" i="12"/>
  <c r="U163" i="12"/>
  <c r="AC72" i="45"/>
  <c r="BJ113" i="36"/>
  <c r="BJ112" i="36"/>
  <c r="BJ111" i="36"/>
  <c r="AD158" i="46"/>
  <c r="AD163" i="46" s="1"/>
  <c r="AD155" i="46"/>
  <c r="AD160" i="46" s="1"/>
  <c r="AD156" i="46"/>
  <c r="AD161" i="46" s="1"/>
  <c r="AD154" i="48"/>
  <c r="AD157" i="46"/>
  <c r="AD162" i="46" s="1"/>
  <c r="AD159" i="46"/>
  <c r="AE98" i="45" s="1"/>
  <c r="AB196" i="54"/>
  <c r="AB197" i="54" s="1"/>
  <c r="AC163" i="54"/>
  <c r="Y337" i="42"/>
  <c r="Y342" i="42"/>
  <c r="Z224" i="19"/>
  <c r="AA129" i="12"/>
  <c r="AE182" i="20"/>
  <c r="AE144" i="19" s="1"/>
  <c r="AE181" i="20"/>
  <c r="AE143" i="19" s="1"/>
  <c r="AE183" i="20"/>
  <c r="AE145" i="19" s="1"/>
  <c r="AE184" i="20"/>
  <c r="AE146" i="19" s="1"/>
  <c r="AE180" i="20"/>
  <c r="AE142" i="19" s="1"/>
  <c r="AE141" i="19"/>
  <c r="AF125" i="14" s="1"/>
  <c r="Y332" i="46"/>
  <c r="Y331" i="46"/>
  <c r="Y343" i="46" s="1"/>
  <c r="Y344" i="46" s="1"/>
  <c r="AF75" i="29"/>
  <c r="AG64" i="16" s="1"/>
  <c r="AG64" i="15"/>
  <c r="AE189" i="38"/>
  <c r="AE193" i="38" s="1"/>
  <c r="AE191" i="38"/>
  <c r="AE195" i="38" s="1"/>
  <c r="AE190" i="38"/>
  <c r="AE194" i="38" s="1"/>
  <c r="AE192" i="38"/>
  <c r="AF91" i="36" s="1"/>
  <c r="Z151" i="12"/>
  <c r="X345" i="46"/>
  <c r="X346" i="46" s="1"/>
  <c r="AB59" i="19"/>
  <c r="AB176" i="19" s="1"/>
  <c r="AB171" i="29"/>
  <c r="AB174" i="29" s="1"/>
  <c r="AB170" i="29"/>
  <c r="BK30" i="45"/>
  <c r="AE303" i="38"/>
  <c r="AE315" i="38" s="1"/>
  <c r="AE304" i="38"/>
  <c r="AF137" i="46"/>
  <c r="AF138" i="46"/>
  <c r="AF201" i="46"/>
  <c r="AF200" i="46"/>
  <c r="Y274" i="20"/>
  <c r="Y275" i="20"/>
  <c r="AE221" i="42"/>
  <c r="AE225" i="42" s="1"/>
  <c r="AE220" i="42"/>
  <c r="AE224" i="42" s="1"/>
  <c r="AE223" i="42"/>
  <c r="AE222" i="42"/>
  <c r="AE226" i="42" s="1"/>
  <c r="BJ82" i="45"/>
  <c r="AC34" i="48"/>
  <c r="BJ24" i="45"/>
  <c r="BJ25" i="45"/>
  <c r="BJ26" i="45"/>
  <c r="AA193" i="28"/>
  <c r="AB285" i="42"/>
  <c r="AB284" i="42"/>
  <c r="AB286" i="42"/>
  <c r="AB282" i="42"/>
  <c r="AB283" i="42"/>
  <c r="AB287" i="42"/>
  <c r="BN111" i="36"/>
  <c r="BN112" i="36"/>
  <c r="BN113" i="36"/>
  <c r="AB139" i="12"/>
  <c r="BI70" i="45"/>
  <c r="BN77" i="45"/>
  <c r="AG21" i="45"/>
  <c r="AA172" i="29"/>
  <c r="AA173" i="29" s="1"/>
  <c r="AA175" i="29" s="1"/>
  <c r="Z335" i="38"/>
  <c r="AA121" i="36" s="1"/>
  <c r="BG121" i="36" s="1"/>
  <c r="Z333" i="38"/>
  <c r="AB101" i="20"/>
  <c r="AB93" i="19" s="1"/>
  <c r="AB100" i="20"/>
  <c r="AB88" i="19"/>
  <c r="AB98" i="20"/>
  <c r="AB99" i="20"/>
  <c r="AB97" i="20"/>
  <c r="AC136" i="12"/>
  <c r="AC146" i="12" s="1"/>
  <c r="AB220" i="20"/>
  <c r="AH86" i="36"/>
  <c r="AH89" i="36" s="1"/>
  <c r="BN85" i="36"/>
  <c r="BN86" i="36" s="1"/>
  <c r="BN89" i="36" s="1"/>
  <c r="AC129" i="12"/>
  <c r="BI87" i="45"/>
  <c r="V122" i="45"/>
  <c r="AC176" i="48"/>
  <c r="AC181" i="48" s="1"/>
  <c r="AC177" i="48"/>
  <c r="AC182" i="48" s="1"/>
  <c r="AC175" i="48"/>
  <c r="AC180" i="48" s="1"/>
  <c r="AC178" i="48"/>
  <c r="AC183" i="48" s="1"/>
  <c r="AC179" i="48"/>
  <c r="AA266" i="20"/>
  <c r="AD136" i="42"/>
  <c r="AD140" i="42" s="1"/>
  <c r="AD135" i="42"/>
  <c r="AD139" i="42" s="1"/>
  <c r="AD137" i="42"/>
  <c r="AD141" i="42" s="1"/>
  <c r="AD138" i="42"/>
  <c r="AD197" i="42"/>
  <c r="AD201" i="42" s="1"/>
  <c r="AD198" i="42"/>
  <c r="AD202" i="42" s="1"/>
  <c r="AD199" i="42"/>
  <c r="AD203" i="42" s="1"/>
  <c r="AD200" i="42"/>
  <c r="T124" i="45"/>
  <c r="T121" i="45"/>
  <c r="T123" i="45"/>
  <c r="AB77" i="20"/>
  <c r="AB74" i="20"/>
  <c r="AB66" i="19" s="1"/>
  <c r="AB64" i="19"/>
  <c r="AC93" i="14" s="1"/>
  <c r="AB73" i="20"/>
  <c r="AB75" i="20"/>
  <c r="AB76" i="20"/>
  <c r="BM61" i="51"/>
  <c r="AG64" i="51"/>
  <c r="AE68" i="45"/>
  <c r="AE136" i="38"/>
  <c r="AE140" i="38" s="1"/>
  <c r="AE135" i="38"/>
  <c r="AE139" i="38" s="1"/>
  <c r="AE137" i="38"/>
  <c r="AE141" i="38" s="1"/>
  <c r="AE138" i="38"/>
  <c r="AF85" i="36" s="1"/>
  <c r="AB116" i="12"/>
  <c r="AA71" i="19"/>
  <c r="AB116" i="14" s="1"/>
  <c r="AC157" i="48"/>
  <c r="AC162" i="48" s="1"/>
  <c r="AC155" i="48"/>
  <c r="AC160" i="48" s="1"/>
  <c r="AC158" i="48"/>
  <c r="AC163" i="48" s="1"/>
  <c r="AC156" i="48"/>
  <c r="AC161" i="48" s="1"/>
  <c r="AC159" i="48"/>
  <c r="BM68" i="51"/>
  <c r="AE79" i="42"/>
  <c r="AE83" i="42" s="1"/>
  <c r="AE80" i="42"/>
  <c r="AE84" i="42" s="1"/>
  <c r="AE81" i="42"/>
  <c r="AE78" i="42"/>
  <c r="AE82" i="42" s="1"/>
  <c r="Z69" i="16"/>
  <c r="Y196" i="29"/>
  <c r="Y191" i="29"/>
  <c r="AF208" i="28"/>
  <c r="AF207" i="28"/>
  <c r="AF156" i="28"/>
  <c r="AH114" i="36"/>
  <c r="BN79" i="36"/>
  <c r="BN114" i="36" s="1"/>
  <c r="Z120" i="36"/>
  <c r="Y337" i="38"/>
  <c r="Y342" i="38"/>
  <c r="AF67" i="15"/>
  <c r="AF46" i="15"/>
  <c r="AF49" i="15"/>
  <c r="AB80" i="19"/>
  <c r="AC111" i="14" s="1"/>
  <c r="AC111" i="12"/>
  <c r="BJ34" i="45"/>
  <c r="BK102" i="36"/>
  <c r="AD199" i="20"/>
  <c r="AD160" i="19" s="1"/>
  <c r="AD201" i="20"/>
  <c r="AD162" i="19" s="1"/>
  <c r="AD200" i="20"/>
  <c r="AD161" i="19" s="1"/>
  <c r="AD203" i="20"/>
  <c r="AD164" i="19" s="1"/>
  <c r="AD159" i="19"/>
  <c r="AE123" i="14" s="1"/>
  <c r="AD202" i="20"/>
  <c r="BF109" i="45"/>
  <c r="AD105" i="36"/>
  <c r="AD103" i="36"/>
  <c r="AA65" i="19"/>
  <c r="AB96" i="14" s="1"/>
  <c r="AB96" i="12"/>
  <c r="AA81" i="19"/>
  <c r="AB109" i="14" s="1"/>
  <c r="AB109" i="12"/>
  <c r="AB196" i="53"/>
  <c r="AB197" i="53" s="1"/>
  <c r="AC163" i="53"/>
  <c r="U160" i="12"/>
  <c r="AB306" i="38"/>
  <c r="AB311" i="38"/>
  <c r="AB309" i="38"/>
  <c r="AB308" i="38"/>
  <c r="AB310" i="38"/>
  <c r="AB307" i="38"/>
  <c r="AA102" i="46"/>
  <c r="AA107" i="46" s="1"/>
  <c r="AA101" i="46"/>
  <c r="AA106" i="46" s="1"/>
  <c r="AA99" i="48"/>
  <c r="AA100" i="46"/>
  <c r="AA105" i="46" s="1"/>
  <c r="AA103" i="46"/>
  <c r="AA108" i="46" s="1"/>
  <c r="AA104" i="46"/>
  <c r="AB106" i="45" s="1"/>
  <c r="AD113" i="36"/>
  <c r="AD111" i="36"/>
  <c r="AD112" i="36"/>
  <c r="AD72" i="42"/>
  <c r="AD76" i="42" s="1"/>
  <c r="AD70" i="42"/>
  <c r="AD74" i="42" s="1"/>
  <c r="AD73" i="42"/>
  <c r="AD71" i="42"/>
  <c r="AD75" i="42" s="1"/>
  <c r="AE66" i="20"/>
  <c r="AX123" i="45"/>
  <c r="AX124" i="45"/>
  <c r="AX121" i="45"/>
  <c r="U10" i="55"/>
  <c r="W268" i="19"/>
  <c r="X156" i="14" s="1"/>
  <c r="W266" i="19"/>
  <c r="AE162" i="53"/>
  <c r="AF184" i="38"/>
  <c r="AF196" i="38"/>
  <c r="AF188" i="38"/>
  <c r="AF204" i="38"/>
  <c r="AD175" i="46"/>
  <c r="AD180" i="46" s="1"/>
  <c r="AD176" i="46"/>
  <c r="AD181" i="46" s="1"/>
  <c r="AD179" i="46"/>
  <c r="AE107" i="45" s="1"/>
  <c r="AD177" i="46"/>
  <c r="AD182" i="46" s="1"/>
  <c r="AD178" i="46"/>
  <c r="AD183" i="46" s="1"/>
  <c r="AD174" i="48"/>
  <c r="AC115" i="12"/>
  <c r="Z194" i="28"/>
  <c r="Z203" i="28" s="1"/>
  <c r="AA70" i="15" s="1"/>
  <c r="AA203" i="54"/>
  <c r="AA202" i="54"/>
  <c r="AA200" i="54"/>
  <c r="AA199" i="54"/>
  <c r="AA201" i="54"/>
  <c r="AA198" i="54"/>
  <c r="BJ83" i="45"/>
  <c r="AG47" i="28"/>
  <c r="AG114" i="28" s="1"/>
  <c r="AG54" i="29"/>
  <c r="AG52" i="29"/>
  <c r="AG49" i="29" s="1"/>
  <c r="AG89" i="29" s="1"/>
  <c r="AG53" i="29"/>
  <c r="AG51" i="29"/>
  <c r="AG50" i="29"/>
  <c r="AG213" i="28"/>
  <c r="AH62" i="15"/>
  <c r="AH44" i="15"/>
  <c r="AG57" i="29"/>
  <c r="AG56" i="29"/>
  <c r="AH44" i="16" s="1"/>
  <c r="AH56" i="15"/>
  <c r="AG59" i="29"/>
  <c r="AH62" i="16" s="1"/>
  <c r="AG60" i="29"/>
  <c r="AH56" i="16" s="1"/>
  <c r="AG58" i="29"/>
  <c r="AA129" i="14"/>
  <c r="AG45" i="15"/>
  <c r="AF74" i="29"/>
  <c r="AG45" i="16" s="1"/>
  <c r="AB242" i="54"/>
  <c r="AB249" i="54" s="1"/>
  <c r="BJ104" i="45" l="1"/>
  <c r="BJ58" i="45"/>
  <c r="AC37" i="48"/>
  <c r="BJ59" i="45"/>
  <c r="AG88" i="29"/>
  <c r="V361" i="48"/>
  <c r="AH95" i="45"/>
  <c r="AG223" i="53"/>
  <c r="AH42" i="45"/>
  <c r="BL102" i="36"/>
  <c r="AH44" i="45"/>
  <c r="AG35" i="46"/>
  <c r="AE229" i="54"/>
  <c r="AE230" i="54" s="1"/>
  <c r="AE233" i="54" s="1"/>
  <c r="V270" i="19"/>
  <c r="AG225" i="53"/>
  <c r="AG224" i="53"/>
  <c r="V275" i="19"/>
  <c r="AG226" i="53"/>
  <c r="AA232" i="12"/>
  <c r="AG222" i="53"/>
  <c r="AF57" i="45"/>
  <c r="AF59" i="45" s="1"/>
  <c r="BN41" i="45"/>
  <c r="AA233" i="12"/>
  <c r="AA234" i="12" s="1"/>
  <c r="AC62" i="19"/>
  <c r="AB271" i="46"/>
  <c r="AF130" i="19"/>
  <c r="AE141" i="16"/>
  <c r="AE142" i="16" s="1"/>
  <c r="AG132" i="19"/>
  <c r="AG71" i="51"/>
  <c r="AG130" i="19"/>
  <c r="AA225" i="14" a="1"/>
  <c r="AA225" i="14" s="1"/>
  <c r="AE140" i="16"/>
  <c r="AG131" i="19"/>
  <c r="AY6" i="55"/>
  <c r="AF102" i="36"/>
  <c r="AF105" i="36" s="1"/>
  <c r="X345" i="48"/>
  <c r="X348" i="48" s="1"/>
  <c r="X353" i="48" s="1"/>
  <c r="X354" i="48" s="1"/>
  <c r="AA271" i="48"/>
  <c r="AC185" i="28"/>
  <c r="AC188" i="28" s="1"/>
  <c r="AF131" i="19"/>
  <c r="AE140" i="15"/>
  <c r="AE141" i="15"/>
  <c r="AE142" i="15" s="1"/>
  <c r="AF133" i="19"/>
  <c r="AF132" i="19"/>
  <c r="AX6" i="55"/>
  <c r="C84" i="16"/>
  <c r="AB148" i="12"/>
  <c r="C82" i="16"/>
  <c r="C92" i="16" s="1"/>
  <c r="D105" i="16" s="1"/>
  <c r="AD117" i="36"/>
  <c r="AD123" i="36" s="1"/>
  <c r="S7" i="55"/>
  <c r="BI74" i="51"/>
  <c r="AB179" i="29"/>
  <c r="AB152" i="14"/>
  <c r="AC259" i="54"/>
  <c r="BJ78" i="51" s="1"/>
  <c r="BJ77" i="51"/>
  <c r="AB259" i="53"/>
  <c r="AC78" i="51" s="1"/>
  <c r="AC77" i="51"/>
  <c r="BB122" i="45"/>
  <c r="W162" i="12"/>
  <c r="W158" i="12"/>
  <c r="AA69" i="16"/>
  <c r="C91" i="16"/>
  <c r="AH66" i="16"/>
  <c r="AH59" i="16"/>
  <c r="BH106" i="45"/>
  <c r="AB109" i="45"/>
  <c r="AF157" i="28"/>
  <c r="AF160" i="28"/>
  <c r="AB65" i="19"/>
  <c r="AC96" i="14" s="1"/>
  <c r="AC96" i="12"/>
  <c r="AC140" i="12"/>
  <c r="AB89" i="19"/>
  <c r="AC140" i="14" s="1"/>
  <c r="BJ71" i="45"/>
  <c r="BJ85" i="45"/>
  <c r="AB251" i="54"/>
  <c r="BI75" i="51" s="1"/>
  <c r="U159" i="12"/>
  <c r="U161" i="12" s="1"/>
  <c r="BK113" i="36"/>
  <c r="BK111" i="36"/>
  <c r="BK112" i="36"/>
  <c r="AG194" i="29"/>
  <c r="AG193" i="29"/>
  <c r="AG33" i="45"/>
  <c r="AC228" i="12"/>
  <c r="AE247" i="42"/>
  <c r="AD280" i="42"/>
  <c r="AD281" i="42" s="1"/>
  <c r="AF66" i="20"/>
  <c r="CF13" i="51"/>
  <c r="AH73" i="51"/>
  <c r="AF34" i="45"/>
  <c r="AE137" i="42"/>
  <c r="AE141" i="42" s="1"/>
  <c r="AE136" i="42"/>
  <c r="AE140" i="42" s="1"/>
  <c r="AE138" i="42"/>
  <c r="AE135" i="42"/>
  <c r="AE139" i="42" s="1"/>
  <c r="AB130" i="12"/>
  <c r="BE126" i="36"/>
  <c r="X343" i="42"/>
  <c r="BE127" i="36" s="1"/>
  <c r="AC47" i="19"/>
  <c r="AE80" i="36"/>
  <c r="AE83" i="36" s="1"/>
  <c r="BK78" i="36"/>
  <c r="AE115" i="36"/>
  <c r="AE116" i="36" s="1"/>
  <c r="AB83" i="46"/>
  <c r="AB88" i="46" s="1"/>
  <c r="AB80" i="46"/>
  <c r="AB85" i="46" s="1"/>
  <c r="AB84" i="46"/>
  <c r="AC90" i="45" s="1"/>
  <c r="AB82" i="46"/>
  <c r="AB87" i="46" s="1"/>
  <c r="AB81" i="46"/>
  <c r="AB86" i="46" s="1"/>
  <c r="AB79" i="48"/>
  <c r="AC264" i="20"/>
  <c r="AC263" i="20"/>
  <c r="AC314" i="20"/>
  <c r="AC315" i="20"/>
  <c r="AC267" i="20"/>
  <c r="BK83" i="45"/>
  <c r="AF135" i="15"/>
  <c r="AB228" i="14"/>
  <c r="AD29" i="19"/>
  <c r="AD42" i="19"/>
  <c r="AD60" i="19" s="1"/>
  <c r="BL55" i="45"/>
  <c r="BL56" i="45"/>
  <c r="BL30" i="45"/>
  <c r="AF220" i="53"/>
  <c r="AF219" i="53"/>
  <c r="AF231" i="53" s="1"/>
  <c r="AG65" i="15"/>
  <c r="BG118" i="45"/>
  <c r="AE206" i="42"/>
  <c r="AE210" i="42" s="1"/>
  <c r="AE207" i="42"/>
  <c r="AE211" i="42" s="1"/>
  <c r="AE205" i="42"/>
  <c r="AE209" i="42" s="1"/>
  <c r="AE208" i="42"/>
  <c r="BL23" i="45"/>
  <c r="AE138" i="19"/>
  <c r="AD78" i="20"/>
  <c r="AF146" i="38"/>
  <c r="AG100" i="36" s="1"/>
  <c r="BM100" i="36" s="1"/>
  <c r="AF143" i="38"/>
  <c r="AF147" i="38" s="1"/>
  <c r="AF144" i="38"/>
  <c r="AF148" i="38" s="1"/>
  <c r="AF145" i="38"/>
  <c r="AF149" i="38" s="1"/>
  <c r="W347" i="48"/>
  <c r="W348" i="48"/>
  <c r="AC155" i="29"/>
  <c r="AC159" i="29" s="1"/>
  <c r="AC156" i="29"/>
  <c r="V164" i="12"/>
  <c r="U318" i="20"/>
  <c r="V165" i="12" s="1"/>
  <c r="AD153" i="29"/>
  <c r="AD154" i="29"/>
  <c r="AE245" i="48"/>
  <c r="AE250" i="48" s="1"/>
  <c r="AE247" i="48"/>
  <c r="AE252" i="48" s="1"/>
  <c r="AE244" i="48"/>
  <c r="AE249" i="48" s="1"/>
  <c r="AE246" i="48"/>
  <c r="AE251" i="48" s="1"/>
  <c r="AE248" i="48"/>
  <c r="AD302" i="38"/>
  <c r="AD301" i="38"/>
  <c r="AD305" i="38" s="1"/>
  <c r="AD219" i="48"/>
  <c r="AD224" i="48" s="1"/>
  <c r="AD217" i="48"/>
  <c r="AD222" i="48" s="1"/>
  <c r="AD221" i="48"/>
  <c r="AD220" i="48"/>
  <c r="AD225" i="48" s="1"/>
  <c r="AD218" i="48"/>
  <c r="AD223" i="48" s="1"/>
  <c r="AG213" i="54"/>
  <c r="AG214" i="54"/>
  <c r="AE146" i="46"/>
  <c r="AE151" i="46" s="1"/>
  <c r="AE144" i="48"/>
  <c r="AE147" i="46"/>
  <c r="AE152" i="46" s="1"/>
  <c r="AE145" i="46"/>
  <c r="AE150" i="46" s="1"/>
  <c r="AE148" i="46"/>
  <c r="AE153" i="46" s="1"/>
  <c r="AE149" i="46"/>
  <c r="AF83" i="45" s="1"/>
  <c r="BK73" i="51"/>
  <c r="AD84" i="20"/>
  <c r="AC234" i="53"/>
  <c r="AC235" i="53" s="1"/>
  <c r="AC237" i="53" s="1"/>
  <c r="AA70" i="48"/>
  <c r="AA75" i="48" s="1"/>
  <c r="AA73" i="48"/>
  <c r="AA78" i="48" s="1"/>
  <c r="AA71" i="48"/>
  <c r="AA76" i="48" s="1"/>
  <c r="AA72" i="48"/>
  <c r="AA77" i="48" s="1"/>
  <c r="AA74" i="48"/>
  <c r="AB154" i="14"/>
  <c r="AB97" i="14"/>
  <c r="AC108" i="14"/>
  <c r="AG219" i="53"/>
  <c r="AG220" i="53"/>
  <c r="AF246" i="48"/>
  <c r="AF251" i="48" s="1"/>
  <c r="AF247" i="48"/>
  <c r="AF252" i="48" s="1"/>
  <c r="AF245" i="48"/>
  <c r="AF250" i="48" s="1"/>
  <c r="AF248" i="48"/>
  <c r="AF244" i="48"/>
  <c r="AF249" i="48" s="1"/>
  <c r="AF303" i="42"/>
  <c r="AF315" i="42" s="1"/>
  <c r="AF304" i="42"/>
  <c r="AG134" i="20"/>
  <c r="AG110" i="19" s="1"/>
  <c r="AG138" i="20"/>
  <c r="AG114" i="19" s="1"/>
  <c r="AG135" i="20"/>
  <c r="AG111" i="19" s="1"/>
  <c r="AG137" i="20"/>
  <c r="AG113" i="19" s="1"/>
  <c r="AG136" i="20"/>
  <c r="AG112" i="19" s="1"/>
  <c r="AG109" i="19"/>
  <c r="AH126" i="14" s="1"/>
  <c r="AG99" i="19"/>
  <c r="AF162" i="53"/>
  <c r="T164" i="14"/>
  <c r="S276" i="19"/>
  <c r="T165" i="14" s="1"/>
  <c r="Y232" i="19"/>
  <c r="Y233" i="19"/>
  <c r="AF98" i="19"/>
  <c r="AE158" i="46"/>
  <c r="AE163" i="46" s="1"/>
  <c r="AE157" i="46"/>
  <c r="AE162" i="46" s="1"/>
  <c r="AE156" i="46"/>
  <c r="AE161" i="46" s="1"/>
  <c r="AE154" i="48"/>
  <c r="AE155" i="46"/>
  <c r="AE160" i="46" s="1"/>
  <c r="AE159" i="46"/>
  <c r="AF98" i="45" s="1"/>
  <c r="S161" i="14"/>
  <c r="AP110" i="15"/>
  <c r="AR110" i="15" s="1"/>
  <c r="AH67" i="15"/>
  <c r="BC119" i="45"/>
  <c r="V370" i="48"/>
  <c r="BC125" i="45" s="1"/>
  <c r="V365" i="48"/>
  <c r="BK107" i="45"/>
  <c r="AE206" i="53"/>
  <c r="AE207" i="53" s="1"/>
  <c r="AE229" i="53"/>
  <c r="AE230" i="53" s="1"/>
  <c r="Z126" i="36"/>
  <c r="Y343" i="38"/>
  <c r="Z127" i="36" s="1"/>
  <c r="AC147" i="14"/>
  <c r="AC95" i="14"/>
  <c r="AA283" i="20"/>
  <c r="AA285" i="20"/>
  <c r="AA282" i="20"/>
  <c r="AA281" i="20"/>
  <c r="AA284" i="20"/>
  <c r="AA286" i="20"/>
  <c r="AC144" i="12"/>
  <c r="AB91" i="19"/>
  <c r="AC144" i="14" s="1"/>
  <c r="Y277" i="20"/>
  <c r="Y276" i="20"/>
  <c r="Y280" i="20" s="1"/>
  <c r="BN69" i="45"/>
  <c r="AF139" i="16"/>
  <c r="X300" i="20"/>
  <c r="X301" i="20" s="1"/>
  <c r="AC286" i="42"/>
  <c r="AC283" i="42"/>
  <c r="AC282" i="42"/>
  <c r="AC287" i="42"/>
  <c r="AC284" i="42"/>
  <c r="AC285" i="42"/>
  <c r="AB129" i="12"/>
  <c r="AF69" i="20"/>
  <c r="AF70" i="20"/>
  <c r="AF67" i="20"/>
  <c r="AF68" i="20"/>
  <c r="AA83" i="48"/>
  <c r="AA88" i="48" s="1"/>
  <c r="AA80" i="48"/>
  <c r="AA85" i="48" s="1"/>
  <c r="AA81" i="48"/>
  <c r="AA86" i="48" s="1"/>
  <c r="AA82" i="48"/>
  <c r="AA87" i="48" s="1"/>
  <c r="AA84" i="48"/>
  <c r="AF261" i="48"/>
  <c r="AF266" i="48" s="1"/>
  <c r="AF262" i="48"/>
  <c r="AF267" i="48" s="1"/>
  <c r="AF264" i="48"/>
  <c r="AF269" i="48" s="1"/>
  <c r="AF265" i="48"/>
  <c r="AF263" i="48"/>
  <c r="AF268" i="48" s="1"/>
  <c r="AB118" i="12"/>
  <c r="AB318" i="42"/>
  <c r="AB319" i="42" s="1"/>
  <c r="AB321" i="42" s="1"/>
  <c r="AD290" i="38"/>
  <c r="AD291" i="38" s="1"/>
  <c r="AD313" i="38"/>
  <c r="AD314" i="38" s="1"/>
  <c r="AE247" i="38"/>
  <c r="AD280" i="38"/>
  <c r="AD281" i="38" s="1"/>
  <c r="AX7" i="55"/>
  <c r="AE70" i="45"/>
  <c r="AB152" i="12"/>
  <c r="AC31" i="19"/>
  <c r="AC211" i="19"/>
  <c r="AF87" i="42"/>
  <c r="AF91" i="42" s="1"/>
  <c r="AF88" i="42"/>
  <c r="AF92" i="42" s="1"/>
  <c r="AF86" i="42"/>
  <c r="AF90" i="42" s="1"/>
  <c r="AF89" i="42"/>
  <c r="AC83" i="20"/>
  <c r="AC75" i="19" s="1"/>
  <c r="AC70" i="19"/>
  <c r="AD114" i="14" s="1"/>
  <c r="AD114" i="12"/>
  <c r="AC80" i="20"/>
  <c r="AC82" i="20"/>
  <c r="AC81" i="20"/>
  <c r="AC79" i="20"/>
  <c r="AB317" i="46"/>
  <c r="AB320" i="46"/>
  <c r="AC51" i="19"/>
  <c r="BG109" i="45"/>
  <c r="AG59" i="15"/>
  <c r="AD147" i="48"/>
  <c r="AD152" i="48" s="1"/>
  <c r="AD145" i="48"/>
  <c r="AD150" i="48" s="1"/>
  <c r="AD148" i="48"/>
  <c r="AD153" i="48" s="1"/>
  <c r="AD149" i="48"/>
  <c r="AD146" i="48"/>
  <c r="AD151" i="48" s="1"/>
  <c r="S20" i="55"/>
  <c r="S19" i="55"/>
  <c r="AB98" i="14"/>
  <c r="AB153" i="14"/>
  <c r="AA116" i="45"/>
  <c r="AE199" i="42"/>
  <c r="AE203" i="42" s="1"/>
  <c r="AE198" i="42"/>
  <c r="AE202" i="42" s="1"/>
  <c r="AE197" i="42"/>
  <c r="AE201" i="42" s="1"/>
  <c r="AE200" i="42"/>
  <c r="U123" i="45"/>
  <c r="U121" i="45"/>
  <c r="U124" i="45"/>
  <c r="AF216" i="20"/>
  <c r="AF174" i="19" s="1"/>
  <c r="AF213" i="20"/>
  <c r="AF171" i="19" s="1"/>
  <c r="AF212" i="20"/>
  <c r="AF170" i="19" s="1"/>
  <c r="AF169" i="19"/>
  <c r="AF214" i="20"/>
  <c r="AF172" i="19" s="1"/>
  <c r="AG135" i="12"/>
  <c r="AF215" i="20"/>
  <c r="AF151" i="38"/>
  <c r="AF155" i="38" s="1"/>
  <c r="AF152" i="38"/>
  <c r="AF156" i="38" s="1"/>
  <c r="AF153" i="38"/>
  <c r="AF157" i="38" s="1"/>
  <c r="AF154" i="38"/>
  <c r="AG79" i="36" s="1"/>
  <c r="BJ80" i="36"/>
  <c r="BJ83" i="36" s="1"/>
  <c r="BJ119" i="36" s="1"/>
  <c r="BJ115" i="36"/>
  <c r="BJ116" i="36" s="1"/>
  <c r="AC306" i="38"/>
  <c r="AC309" i="38"/>
  <c r="AC310" i="38"/>
  <c r="AC308" i="38"/>
  <c r="AC307" i="38"/>
  <c r="AC311" i="38"/>
  <c r="AA272" i="20"/>
  <c r="AA273" i="20"/>
  <c r="AF90" i="48"/>
  <c r="AF95" i="48" s="1"/>
  <c r="AF93" i="48"/>
  <c r="AF98" i="48" s="1"/>
  <c r="AF91" i="48"/>
  <c r="AF92" i="48"/>
  <c r="AF97" i="48" s="1"/>
  <c r="AF94" i="48"/>
  <c r="AA150" i="14"/>
  <c r="AH20" i="45"/>
  <c r="AH19" i="45"/>
  <c r="BA119" i="45"/>
  <c r="T365" i="48"/>
  <c r="T370" i="48"/>
  <c r="BA10" i="55"/>
  <c r="BM96" i="45"/>
  <c r="AF297" i="42"/>
  <c r="AF298" i="42"/>
  <c r="AF204" i="42"/>
  <c r="AF184" i="42"/>
  <c r="AF196" i="42"/>
  <c r="AF188" i="42"/>
  <c r="BG100" i="45"/>
  <c r="BG113" i="45"/>
  <c r="AQ202" i="12"/>
  <c r="AG97" i="19"/>
  <c r="AE72" i="38"/>
  <c r="AE76" i="38" s="1"/>
  <c r="AE73" i="38"/>
  <c r="AF78" i="36" s="1"/>
  <c r="AE70" i="38"/>
  <c r="AE74" i="38" s="1"/>
  <c r="AE71" i="38"/>
  <c r="AE75" i="38" s="1"/>
  <c r="AD290" i="42"/>
  <c r="AD291" i="42" s="1"/>
  <c r="AD313" i="42"/>
  <c r="AD314" i="42" s="1"/>
  <c r="AB226" i="14"/>
  <c r="AF68" i="45"/>
  <c r="AE100" i="29"/>
  <c r="AE88" i="29"/>
  <c r="AB266" i="20"/>
  <c r="AG304" i="42"/>
  <c r="AG303" i="42"/>
  <c r="Z335" i="42"/>
  <c r="Z333" i="42"/>
  <c r="AF99" i="19"/>
  <c r="AF88" i="38"/>
  <c r="AF92" i="38" s="1"/>
  <c r="AF86" i="38"/>
  <c r="AF90" i="38" s="1"/>
  <c r="AF89" i="38"/>
  <c r="AF87" i="38"/>
  <c r="AF91" i="38" s="1"/>
  <c r="AE176" i="46"/>
  <c r="AE181" i="46" s="1"/>
  <c r="AE174" i="48"/>
  <c r="AE178" i="46"/>
  <c r="AE183" i="46" s="1"/>
  <c r="AE175" i="46"/>
  <c r="AE180" i="46" s="1"/>
  <c r="AE177" i="46"/>
  <c r="AE182" i="46" s="1"/>
  <c r="AE179" i="46"/>
  <c r="AF107" i="45" s="1"/>
  <c r="AG66" i="15"/>
  <c r="AQ114" i="15"/>
  <c r="AS114" i="15" s="1"/>
  <c r="AH59" i="15"/>
  <c r="AH66" i="15"/>
  <c r="BH110" i="45"/>
  <c r="AB110" i="45"/>
  <c r="AB112" i="45"/>
  <c r="BH111" i="45"/>
  <c r="AB111" i="45"/>
  <c r="BH112" i="45"/>
  <c r="AC143" i="12"/>
  <c r="AB90" i="19"/>
  <c r="AC143" i="14" s="1"/>
  <c r="BJ84" i="45"/>
  <c r="BK34" i="45"/>
  <c r="Z239" i="19"/>
  <c r="Z241" i="19"/>
  <c r="Z242" i="19"/>
  <c r="Z240" i="19"/>
  <c r="Z244" i="19"/>
  <c r="Z243" i="19"/>
  <c r="AA324" i="46"/>
  <c r="AA322" i="46"/>
  <c r="AA321" i="46"/>
  <c r="AA323" i="46"/>
  <c r="AG56" i="45"/>
  <c r="AG55" i="45"/>
  <c r="AG30" i="45"/>
  <c r="AD144" i="29"/>
  <c r="AD145" i="29" s="1"/>
  <c r="AD167" i="29"/>
  <c r="AD168" i="29" s="1"/>
  <c r="BG76" i="51"/>
  <c r="AB33" i="19"/>
  <c r="AB34" i="19"/>
  <c r="BG9" i="55"/>
  <c r="X329" i="46"/>
  <c r="X333" i="46" s="1"/>
  <c r="X330" i="46"/>
  <c r="AB129" i="14"/>
  <c r="AD218" i="54"/>
  <c r="AD217" i="54"/>
  <c r="AD221" i="54" s="1"/>
  <c r="AE59" i="45"/>
  <c r="AE104" i="45"/>
  <c r="AD37" i="46"/>
  <c r="AE60" i="45"/>
  <c r="AE58" i="45"/>
  <c r="AE222" i="54"/>
  <c r="AE223" i="54"/>
  <c r="AE224" i="54"/>
  <c r="AE227" i="54"/>
  <c r="AE226" i="54"/>
  <c r="AE225" i="54"/>
  <c r="AB118" i="14"/>
  <c r="AE215" i="53"/>
  <c r="AE216" i="53"/>
  <c r="AC285" i="38"/>
  <c r="AC286" i="38"/>
  <c r="AC284" i="38"/>
  <c r="AC282" i="38"/>
  <c r="AC283" i="38"/>
  <c r="AC287" i="38"/>
  <c r="AD34" i="48"/>
  <c r="BK82" i="45"/>
  <c r="BK26" i="45"/>
  <c r="BK25" i="45"/>
  <c r="BK24" i="45"/>
  <c r="AC193" i="28"/>
  <c r="AC194" i="28" s="1"/>
  <c r="AC95" i="20"/>
  <c r="AC87" i="19" s="1"/>
  <c r="AC82" i="19"/>
  <c r="AD124" i="14" s="1"/>
  <c r="AC94" i="20"/>
  <c r="AC91" i="20"/>
  <c r="AC93" i="20"/>
  <c r="AC92" i="20"/>
  <c r="AG200" i="20"/>
  <c r="AG161" i="19" s="1"/>
  <c r="AG199" i="20"/>
  <c r="AG160" i="19" s="1"/>
  <c r="AG203" i="20"/>
  <c r="AG164" i="19" s="1"/>
  <c r="AG201" i="20"/>
  <c r="AG162" i="19" s="1"/>
  <c r="AG159" i="19"/>
  <c r="AH123" i="14" s="1"/>
  <c r="AG202" i="20"/>
  <c r="AF135" i="16"/>
  <c r="AG100" i="29"/>
  <c r="BF115" i="45"/>
  <c r="AC52" i="19"/>
  <c r="AC49" i="19" s="1"/>
  <c r="AC177" i="19" s="1"/>
  <c r="C91" i="15"/>
  <c r="AE161" i="28"/>
  <c r="AE164" i="28"/>
  <c r="AE162" i="28"/>
  <c r="AE163" i="28"/>
  <c r="AB98" i="12"/>
  <c r="AB153" i="12"/>
  <c r="BL33" i="45"/>
  <c r="AE75" i="45"/>
  <c r="AD33" i="46"/>
  <c r="AD39" i="46" s="1"/>
  <c r="AE191" i="42"/>
  <c r="AE195" i="42" s="1"/>
  <c r="AE190" i="42"/>
  <c r="AE194" i="42" s="1"/>
  <c r="AE189" i="42"/>
  <c r="AE193" i="42" s="1"/>
  <c r="AE192" i="42"/>
  <c r="X234" i="19"/>
  <c r="X238" i="19" s="1"/>
  <c r="X235" i="19"/>
  <c r="AB142" i="14"/>
  <c r="AE151" i="29"/>
  <c r="AE152" i="29"/>
  <c r="AH65" i="16"/>
  <c r="AF160" i="38"/>
  <c r="AF164" i="38" s="1"/>
  <c r="AF161" i="38"/>
  <c r="AF165" i="38" s="1"/>
  <c r="AF159" i="38"/>
  <c r="AF163" i="38" s="1"/>
  <c r="AF162" i="38"/>
  <c r="AG109" i="36" s="1"/>
  <c r="BM109" i="36" s="1"/>
  <c r="AC317" i="38"/>
  <c r="AC320" i="38" s="1"/>
  <c r="AC316" i="38"/>
  <c r="V13" i="55"/>
  <c r="V14" i="55"/>
  <c r="V16" i="55"/>
  <c r="V15" i="55"/>
  <c r="V12" i="55"/>
  <c r="V11" i="55"/>
  <c r="AC317" i="42"/>
  <c r="AC320" i="42" s="1"/>
  <c r="AC316" i="42"/>
  <c r="Y72" i="15"/>
  <c r="X211" i="28"/>
  <c r="Y73" i="15" s="1"/>
  <c r="BN103" i="36"/>
  <c r="BN117" i="36" s="1"/>
  <c r="BN123" i="36" s="1"/>
  <c r="BN105" i="36"/>
  <c r="BA122" i="45"/>
  <c r="AG303" i="38"/>
  <c r="AG304" i="38"/>
  <c r="AG188" i="20"/>
  <c r="AG150" i="19" s="1"/>
  <c r="AG189" i="20"/>
  <c r="AG151" i="19" s="1"/>
  <c r="AG190" i="20"/>
  <c r="AG152" i="19" s="1"/>
  <c r="AG187" i="20"/>
  <c r="AG149" i="19" s="1"/>
  <c r="AH137" i="12"/>
  <c r="AG186" i="20"/>
  <c r="AG148" i="19" s="1"/>
  <c r="AG147" i="19"/>
  <c r="AH137" i="14" s="1"/>
  <c r="AF186" i="42"/>
  <c r="AF185" i="42"/>
  <c r="AG132" i="20"/>
  <c r="AG129" i="20"/>
  <c r="AG131" i="20"/>
  <c r="AG103" i="19"/>
  <c r="AH103" i="14" s="1"/>
  <c r="AH103" i="12"/>
  <c r="AG128" i="20"/>
  <c r="AG130" i="20"/>
  <c r="AH127" i="20"/>
  <c r="AE243" i="38"/>
  <c r="AE246" i="38"/>
  <c r="AD165" i="48"/>
  <c r="AD170" i="48" s="1"/>
  <c r="AD169" i="48"/>
  <c r="AD168" i="48"/>
  <c r="AD173" i="48" s="1"/>
  <c r="AD167" i="48"/>
  <c r="AD172" i="48" s="1"/>
  <c r="AD166" i="48"/>
  <c r="AD171" i="48" s="1"/>
  <c r="BH102" i="45"/>
  <c r="BH101" i="45"/>
  <c r="AB101" i="45"/>
  <c r="AB103" i="45"/>
  <c r="AB102" i="45"/>
  <c r="BH103" i="45"/>
  <c r="AZ11" i="55"/>
  <c r="AZ12" i="55"/>
  <c r="AZ13" i="55"/>
  <c r="AZ16" i="55"/>
  <c r="AZ15" i="55"/>
  <c r="AZ14" i="55"/>
  <c r="BD125" i="36"/>
  <c r="BD122" i="36"/>
  <c r="AD165" i="28"/>
  <c r="AD166" i="28"/>
  <c r="Z318" i="48"/>
  <c r="Z319" i="48" s="1"/>
  <c r="Z341" i="48"/>
  <c r="Z342" i="48" s="1"/>
  <c r="BK89" i="45"/>
  <c r="AF96" i="19"/>
  <c r="AF95" i="19" s="1"/>
  <c r="AF105" i="38"/>
  <c r="AG99" i="36" s="1"/>
  <c r="AF102" i="38"/>
  <c r="AF106" i="38" s="1"/>
  <c r="AF103" i="38"/>
  <c r="AF107" i="38" s="1"/>
  <c r="AF104" i="38"/>
  <c r="AF108" i="38" s="1"/>
  <c r="BG91" i="45"/>
  <c r="BG114" i="45" s="1"/>
  <c r="AE165" i="46"/>
  <c r="AE170" i="46" s="1"/>
  <c r="AE168" i="46"/>
  <c r="AE173" i="46" s="1"/>
  <c r="AE166" i="46"/>
  <c r="AE171" i="46" s="1"/>
  <c r="AE167" i="46"/>
  <c r="AE172" i="46" s="1"/>
  <c r="AE169" i="46"/>
  <c r="AF77" i="45" s="1"/>
  <c r="AE164" i="48"/>
  <c r="AG158" i="28"/>
  <c r="AI213" i="28"/>
  <c r="AG181" i="28"/>
  <c r="X155" i="14"/>
  <c r="W270" i="19"/>
  <c r="W275" i="19"/>
  <c r="AC107" i="12"/>
  <c r="AL272" i="12"/>
  <c r="AG208" i="28"/>
  <c r="AG207" i="28"/>
  <c r="AG156" i="28"/>
  <c r="AC229" i="12"/>
  <c r="X162" i="14"/>
  <c r="X158" i="14"/>
  <c r="AA100" i="48"/>
  <c r="AA105" i="48" s="1"/>
  <c r="AA103" i="48"/>
  <c r="AA108" i="48" s="1"/>
  <c r="AA102" i="48"/>
  <c r="AA107" i="48" s="1"/>
  <c r="AA104" i="48"/>
  <c r="AA101" i="48"/>
  <c r="AA106" i="48" s="1"/>
  <c r="BK105" i="36"/>
  <c r="BK103" i="36"/>
  <c r="AC107" i="14"/>
  <c r="BF120" i="36"/>
  <c r="Z122" i="36"/>
  <c r="Z125" i="36"/>
  <c r="AB69" i="19"/>
  <c r="AC99" i="14" s="1"/>
  <c r="AC99" i="12"/>
  <c r="AC136" i="14"/>
  <c r="AB179" i="19"/>
  <c r="AA194" i="28"/>
  <c r="AA203" i="28" s="1"/>
  <c r="AB70" i="15" s="1"/>
  <c r="X347" i="46"/>
  <c r="X349" i="46" s="1"/>
  <c r="X348" i="46"/>
  <c r="BK98" i="45"/>
  <c r="AF136" i="16"/>
  <c r="BN18" i="45"/>
  <c r="AH32" i="45"/>
  <c r="AH29" i="45"/>
  <c r="AH37" i="45"/>
  <c r="AH31" i="45"/>
  <c r="AH28" i="45"/>
  <c r="AH36" i="45"/>
  <c r="BN27" i="45"/>
  <c r="AH35" i="45"/>
  <c r="AH54" i="45"/>
  <c r="BI128" i="36"/>
  <c r="BG78" i="45"/>
  <c r="BL103" i="36"/>
  <c r="BL105" i="36"/>
  <c r="AA317" i="48"/>
  <c r="AA320" i="48"/>
  <c r="X252" i="19"/>
  <c r="X254" i="19" s="1"/>
  <c r="X253" i="19"/>
  <c r="AB169" i="12"/>
  <c r="Y295" i="20"/>
  <c r="AB107" i="14"/>
  <c r="AF67" i="45"/>
  <c r="AF23" i="45"/>
  <c r="BM105" i="45"/>
  <c r="AC129" i="14"/>
  <c r="AB320" i="42"/>
  <c r="Z325" i="46"/>
  <c r="Z326" i="46"/>
  <c r="AP206" i="12"/>
  <c r="AG155" i="19"/>
  <c r="AG154" i="19" s="1"/>
  <c r="AG143" i="29"/>
  <c r="AG146" i="29"/>
  <c r="AD174" i="28"/>
  <c r="AD176" i="28"/>
  <c r="AD178" i="28"/>
  <c r="AD175" i="28"/>
  <c r="AD179" i="28"/>
  <c r="AD177" i="28"/>
  <c r="AB229" i="14"/>
  <c r="W160" i="14"/>
  <c r="AE151" i="42"/>
  <c r="AE155" i="42" s="1"/>
  <c r="AE152" i="42"/>
  <c r="AE156" i="42" s="1"/>
  <c r="AE153" i="42"/>
  <c r="AE157" i="42" s="1"/>
  <c r="AE154" i="42"/>
  <c r="AA335" i="42"/>
  <c r="AA333" i="42"/>
  <c r="AC53" i="19"/>
  <c r="C87" i="15"/>
  <c r="C96" i="15" s="1"/>
  <c r="D101" i="15" s="1"/>
  <c r="C86" i="15"/>
  <c r="C81" i="15"/>
  <c r="C93" i="15" s="1"/>
  <c r="D104" i="15" s="1"/>
  <c r="C83" i="15"/>
  <c r="C94" i="15" s="1"/>
  <c r="D103" i="15" s="1"/>
  <c r="C85" i="15"/>
  <c r="C82" i="15"/>
  <c r="C92" i="15" s="1"/>
  <c r="D105" i="15" s="1"/>
  <c r="AC117" i="12"/>
  <c r="AF213" i="53"/>
  <c r="AF214" i="53"/>
  <c r="AC127" i="14"/>
  <c r="AA118" i="45"/>
  <c r="AB142" i="12"/>
  <c r="AD234" i="54"/>
  <c r="AD235" i="54" s="1"/>
  <c r="AD237" i="54" s="1"/>
  <c r="AD258" i="54" s="1"/>
  <c r="AH46" i="15"/>
  <c r="AB74" i="51"/>
  <c r="AA253" i="53"/>
  <c r="V157" i="12"/>
  <c r="V163" i="12"/>
  <c r="AB44" i="48"/>
  <c r="AB316" i="48" s="1"/>
  <c r="AC306" i="42"/>
  <c r="AC311" i="42"/>
  <c r="AC310" i="42"/>
  <c r="AC307" i="42"/>
  <c r="AC309" i="42"/>
  <c r="AC308" i="42"/>
  <c r="AE29" i="20"/>
  <c r="AE42" i="20"/>
  <c r="AE78" i="20" s="1"/>
  <c r="W301" i="20"/>
  <c r="W310" i="20" s="1"/>
  <c r="X156" i="12" s="1"/>
  <c r="AF174" i="20"/>
  <c r="AF136" i="19" s="1"/>
  <c r="AF178" i="20"/>
  <c r="AF140" i="19" s="1"/>
  <c r="AF175" i="20"/>
  <c r="AF137" i="19" s="1"/>
  <c r="AF177" i="20"/>
  <c r="AF139" i="19" s="1"/>
  <c r="AF135" i="19"/>
  <c r="AG113" i="14" s="1"/>
  <c r="AF176" i="20"/>
  <c r="AG113" i="12"/>
  <c r="AE299" i="42"/>
  <c r="AE300" i="42"/>
  <c r="AC229" i="14"/>
  <c r="AB108" i="12"/>
  <c r="AG65" i="16"/>
  <c r="BM67" i="51"/>
  <c r="BM70" i="51" s="1"/>
  <c r="CK16" i="55"/>
  <c r="CK13" i="55"/>
  <c r="CK15" i="55"/>
  <c r="CK11" i="55"/>
  <c r="CK19" i="55" s="1"/>
  <c r="CK14" i="55"/>
  <c r="CK12" i="55"/>
  <c r="AG183" i="20"/>
  <c r="AG145" i="19" s="1"/>
  <c r="AG182" i="20"/>
  <c r="AG144" i="19" s="1"/>
  <c r="AG181" i="20"/>
  <c r="AG143" i="19" s="1"/>
  <c r="AG184" i="20"/>
  <c r="AG146" i="19" s="1"/>
  <c r="AG180" i="20"/>
  <c r="AG142" i="19" s="1"/>
  <c r="AG141" i="19"/>
  <c r="AH125" i="14" s="1"/>
  <c r="AG141" i="20"/>
  <c r="AG117" i="19" s="1"/>
  <c r="AG140" i="20"/>
  <c r="AG116" i="19" s="1"/>
  <c r="AG144" i="20"/>
  <c r="AG120" i="19" s="1"/>
  <c r="AG143" i="20"/>
  <c r="AG119" i="19" s="1"/>
  <c r="AG142" i="20"/>
  <c r="AG118" i="19" s="1"/>
  <c r="AG115" i="19"/>
  <c r="AH94" i="14" s="1"/>
  <c r="AG100" i="19"/>
  <c r="AE199" i="20"/>
  <c r="AE160" i="19" s="1"/>
  <c r="AE203" i="20"/>
  <c r="AE164" i="19" s="1"/>
  <c r="AE200" i="20"/>
  <c r="AE161" i="19" s="1"/>
  <c r="AE159" i="19"/>
  <c r="AF123" i="14" s="1"/>
  <c r="AE201" i="20"/>
  <c r="AE162" i="19" s="1"/>
  <c r="AE202" i="20"/>
  <c r="CC21" i="45"/>
  <c r="AF148" i="29"/>
  <c r="AF150" i="29"/>
  <c r="AF147" i="29"/>
  <c r="AF149" i="29"/>
  <c r="T163" i="14"/>
  <c r="T157" i="14"/>
  <c r="AC226" i="12"/>
  <c r="CJ6" i="55"/>
  <c r="AD171" i="28"/>
  <c r="AD183" i="28" s="1"/>
  <c r="AD184" i="28" s="1"/>
  <c r="AD172" i="28"/>
  <c r="U161" i="14"/>
  <c r="AG263" i="48"/>
  <c r="AG268" i="48" s="1"/>
  <c r="AG262" i="48"/>
  <c r="AG267" i="48" s="1"/>
  <c r="AG264" i="48"/>
  <c r="AG269" i="48" s="1"/>
  <c r="AG261" i="48"/>
  <c r="AG266" i="48" s="1"/>
  <c r="AG265" i="48"/>
  <c r="AF146" i="20"/>
  <c r="AF122" i="19" s="1"/>
  <c r="AF149" i="20"/>
  <c r="AF125" i="19" s="1"/>
  <c r="AF147" i="20"/>
  <c r="AF123" i="19" s="1"/>
  <c r="AF150" i="20"/>
  <c r="AF126" i="19" s="1"/>
  <c r="AF148" i="20"/>
  <c r="AF124" i="19" s="1"/>
  <c r="AG138" i="12"/>
  <c r="AF121" i="19"/>
  <c r="AG138" i="14" s="1"/>
  <c r="AA223" i="19"/>
  <c r="AA224" i="19" s="1"/>
  <c r="AA246" i="19"/>
  <c r="AA247" i="19" s="1"/>
  <c r="AF97" i="38"/>
  <c r="AG108" i="36" s="1"/>
  <c r="AF94" i="38"/>
  <c r="AF98" i="38" s="1"/>
  <c r="AF95" i="38"/>
  <c r="AF99" i="38" s="1"/>
  <c r="AF96" i="38"/>
  <c r="AF100" i="38" s="1"/>
  <c r="AG66" i="16"/>
  <c r="BC122" i="45"/>
  <c r="AD101" i="20"/>
  <c r="AD93" i="19" s="1"/>
  <c r="AE136" i="12"/>
  <c r="AD98" i="20"/>
  <c r="AD88" i="19"/>
  <c r="AE136" i="14" s="1"/>
  <c r="AD100" i="20"/>
  <c r="AD97" i="20"/>
  <c r="AD99" i="20"/>
  <c r="U15" i="55"/>
  <c r="U13" i="55"/>
  <c r="U11" i="55"/>
  <c r="U16" i="55"/>
  <c r="U14" i="55"/>
  <c r="U12" i="55"/>
  <c r="AC33" i="48"/>
  <c r="AC39" i="48" s="1"/>
  <c r="BJ75" i="45"/>
  <c r="AF136" i="15"/>
  <c r="Z72" i="16"/>
  <c r="Y197" i="29"/>
  <c r="Z73" i="16" s="1"/>
  <c r="AB92" i="19"/>
  <c r="AC145" i="14" s="1"/>
  <c r="AC145" i="12"/>
  <c r="AF202" i="46"/>
  <c r="AF226" i="46"/>
  <c r="AF206" i="46"/>
  <c r="AF216" i="46"/>
  <c r="BF126" i="36"/>
  <c r="Y343" i="42"/>
  <c r="BF127" i="36" s="1"/>
  <c r="BM35" i="45"/>
  <c r="BM32" i="45"/>
  <c r="BM28" i="45"/>
  <c r="BM31" i="45"/>
  <c r="BM36" i="45"/>
  <c r="BM37" i="45"/>
  <c r="BM29" i="45"/>
  <c r="BM54" i="45"/>
  <c r="Z339" i="46"/>
  <c r="Z335" i="46"/>
  <c r="Z338" i="46"/>
  <c r="Z337" i="46"/>
  <c r="Z336" i="46"/>
  <c r="Z334" i="46"/>
  <c r="AE220" i="46"/>
  <c r="AE225" i="46" s="1"/>
  <c r="AE217" i="46"/>
  <c r="AE222" i="46" s="1"/>
  <c r="AE218" i="46"/>
  <c r="AE223" i="46" s="1"/>
  <c r="AE219" i="46"/>
  <c r="AE224" i="46" s="1"/>
  <c r="AE216" i="48"/>
  <c r="AE221" i="46"/>
  <c r="AF99" i="45" s="1"/>
  <c r="AB94" i="45"/>
  <c r="AB93" i="45"/>
  <c r="BH94" i="45"/>
  <c r="BH93" i="45"/>
  <c r="AB107" i="12"/>
  <c r="BK67" i="45"/>
  <c r="Z230" i="19"/>
  <c r="Z231" i="19"/>
  <c r="AF103" i="42"/>
  <c r="AF107" i="42" s="1"/>
  <c r="AF104" i="42"/>
  <c r="AF108" i="42" s="1"/>
  <c r="AF105" i="42"/>
  <c r="AF102" i="42"/>
  <c r="AF106" i="42" s="1"/>
  <c r="V164" i="14"/>
  <c r="U276" i="19"/>
  <c r="V165" i="14" s="1"/>
  <c r="AE106" i="19"/>
  <c r="AE145" i="42"/>
  <c r="AE149" i="42" s="1"/>
  <c r="AE143" i="42"/>
  <c r="AE147" i="42" s="1"/>
  <c r="AE146" i="42"/>
  <c r="AE144" i="42"/>
  <c r="AE148" i="42" s="1"/>
  <c r="AB141" i="12"/>
  <c r="AB169" i="28"/>
  <c r="AB173" i="28" s="1"/>
  <c r="AB170" i="28"/>
  <c r="AC77" i="20"/>
  <c r="AC74" i="20"/>
  <c r="AC66" i="19" s="1"/>
  <c r="AC64" i="19"/>
  <c r="AD93" i="14" s="1"/>
  <c r="AC76" i="20"/>
  <c r="AC75" i="20"/>
  <c r="AC73" i="20"/>
  <c r="AC54" i="19"/>
  <c r="AC117" i="14"/>
  <c r="Y126" i="36"/>
  <c r="X343" i="38"/>
  <c r="Y127" i="36" s="1"/>
  <c r="AB255" i="20"/>
  <c r="AB256" i="20" s="1"/>
  <c r="AC222" i="20"/>
  <c r="W157" i="14"/>
  <c r="W163" i="14"/>
  <c r="AF129" i="42"/>
  <c r="AF134" i="42"/>
  <c r="Y326" i="48"/>
  <c r="Y325" i="48"/>
  <c r="AC118" i="12"/>
  <c r="Y345" i="46"/>
  <c r="Z189" i="29"/>
  <c r="AA70" i="16" s="1"/>
  <c r="AA279" i="20"/>
  <c r="AA278" i="20"/>
  <c r="AF24" i="20"/>
  <c r="AG18" i="20"/>
  <c r="AG24" i="20" s="1"/>
  <c r="Y71" i="15"/>
  <c r="AF189" i="20"/>
  <c r="AF151" i="19" s="1"/>
  <c r="AF186" i="20"/>
  <c r="AF148" i="19" s="1"/>
  <c r="AF190" i="20"/>
  <c r="AF152" i="19" s="1"/>
  <c r="AF188" i="20"/>
  <c r="AF150" i="19" s="1"/>
  <c r="AF147" i="19"/>
  <c r="AG137" i="14" s="1"/>
  <c r="AG137" i="12"/>
  <c r="AF187" i="20"/>
  <c r="AF149" i="19" s="1"/>
  <c r="AF135" i="14"/>
  <c r="AF201" i="20"/>
  <c r="AF162" i="19" s="1"/>
  <c r="AF203" i="20"/>
  <c r="AF164" i="19" s="1"/>
  <c r="AF199" i="20"/>
  <c r="AF160" i="19" s="1"/>
  <c r="AF159" i="19"/>
  <c r="AG123" i="14" s="1"/>
  <c r="AF200" i="20"/>
  <c r="AF161" i="19" s="1"/>
  <c r="AF202" i="20"/>
  <c r="BH76" i="45"/>
  <c r="AB78" i="45"/>
  <c r="AB108" i="14"/>
  <c r="BJ117" i="36"/>
  <c r="BJ123" i="36" s="1"/>
  <c r="X315" i="48"/>
  <c r="X314" i="48"/>
  <c r="X312" i="48"/>
  <c r="X311" i="48"/>
  <c r="X310" i="48"/>
  <c r="X313" i="48"/>
  <c r="AG174" i="20"/>
  <c r="AG178" i="20"/>
  <c r="AG175" i="20"/>
  <c r="AH113" i="12"/>
  <c r="AG176" i="20"/>
  <c r="AG135" i="19"/>
  <c r="AH113" i="14" s="1"/>
  <c r="AH173" i="20"/>
  <c r="AG177" i="20"/>
  <c r="AS206" i="12"/>
  <c r="AF213" i="54"/>
  <c r="AF214" i="54"/>
  <c r="AG147" i="20"/>
  <c r="AG123" i="19" s="1"/>
  <c r="AG146" i="20"/>
  <c r="AG122" i="19" s="1"/>
  <c r="AG150" i="20"/>
  <c r="AG126" i="19" s="1"/>
  <c r="AG148" i="20"/>
  <c r="AG124" i="19" s="1"/>
  <c r="AG149" i="20"/>
  <c r="AG125" i="19" s="1"/>
  <c r="AG121" i="19"/>
  <c r="AH138" i="14" s="1"/>
  <c r="AH138" i="12"/>
  <c r="AY7" i="55"/>
  <c r="AC59" i="19"/>
  <c r="AA318" i="46"/>
  <c r="AA319" i="46" s="1"/>
  <c r="AA341" i="46"/>
  <c r="AA342" i="46" s="1"/>
  <c r="AB9" i="55"/>
  <c r="AC242" i="54"/>
  <c r="AC251" i="54" s="1"/>
  <c r="BJ75" i="51" s="1"/>
  <c r="AB271" i="20"/>
  <c r="AB268" i="20"/>
  <c r="AB269" i="20"/>
  <c r="AB270" i="20"/>
  <c r="AF162" i="54"/>
  <c r="Y336" i="48"/>
  <c r="Y337" i="48"/>
  <c r="Y334" i="48"/>
  <c r="Y335" i="48"/>
  <c r="Y339" i="48"/>
  <c r="Y338" i="48"/>
  <c r="U361" i="48"/>
  <c r="AD210" i="48"/>
  <c r="AD215" i="48" s="1"/>
  <c r="AD208" i="48"/>
  <c r="AD213" i="48" s="1"/>
  <c r="AD209" i="48"/>
  <c r="AD214" i="48" s="1"/>
  <c r="AD207" i="48"/>
  <c r="AD212" i="48" s="1"/>
  <c r="AD211" i="48"/>
  <c r="AF101" i="19"/>
  <c r="AB139" i="14"/>
  <c r="AF81" i="38"/>
  <c r="AG92" i="36" s="1"/>
  <c r="BM92" i="36" s="1"/>
  <c r="AF78" i="38"/>
  <c r="AF82" i="38" s="1"/>
  <c r="AF79" i="38"/>
  <c r="AF83" i="38" s="1"/>
  <c r="AF80" i="38"/>
  <c r="AF84" i="38" s="1"/>
  <c r="AG212" i="20"/>
  <c r="AG170" i="19" s="1"/>
  <c r="AG213" i="20"/>
  <c r="AG171" i="19" s="1"/>
  <c r="AG214" i="20"/>
  <c r="AG172" i="19" s="1"/>
  <c r="AG216" i="20"/>
  <c r="AG174" i="19" s="1"/>
  <c r="AG215" i="20"/>
  <c r="AH135" i="12"/>
  <c r="AG169" i="19"/>
  <c r="BK57" i="45"/>
  <c r="BM21" i="45"/>
  <c r="AB251" i="53"/>
  <c r="AC75" i="51" s="1"/>
  <c r="AB249" i="53"/>
  <c r="AQ123" i="15"/>
  <c r="AS123" i="15" s="1"/>
  <c r="AH65" i="15"/>
  <c r="AH67" i="16"/>
  <c r="AF205" i="38"/>
  <c r="AF209" i="38" s="1"/>
  <c r="AF207" i="38"/>
  <c r="AF211" i="38" s="1"/>
  <c r="AF208" i="38"/>
  <c r="AF206" i="38"/>
  <c r="AF210" i="38" s="1"/>
  <c r="AF192" i="38"/>
  <c r="AG91" i="36" s="1"/>
  <c r="AF189" i="38"/>
  <c r="AF193" i="38" s="1"/>
  <c r="AF191" i="38"/>
  <c r="AF195" i="38" s="1"/>
  <c r="AF190" i="38"/>
  <c r="AF194" i="38" s="1"/>
  <c r="AB149" i="12"/>
  <c r="AD163" i="19"/>
  <c r="Z71" i="16"/>
  <c r="AF86" i="36"/>
  <c r="AF89" i="36" s="1"/>
  <c r="BL85" i="36"/>
  <c r="BL86" i="36" s="1"/>
  <c r="BL89" i="36" s="1"/>
  <c r="BM64" i="51"/>
  <c r="AG23" i="45"/>
  <c r="AF204" i="46"/>
  <c r="AF203" i="46"/>
  <c r="AD156" i="48"/>
  <c r="AD161" i="48" s="1"/>
  <c r="AD157" i="48"/>
  <c r="AD162" i="48" s="1"/>
  <c r="AD155" i="48"/>
  <c r="AD160" i="48" s="1"/>
  <c r="AD159" i="48"/>
  <c r="AD158" i="48"/>
  <c r="AD163" i="48" s="1"/>
  <c r="AF124" i="12"/>
  <c r="AE90" i="20"/>
  <c r="AD302" i="42"/>
  <c r="AD301" i="42"/>
  <c r="AD305" i="42" s="1"/>
  <c r="AB318" i="38"/>
  <c r="AB319" i="38" s="1"/>
  <c r="AB321" i="38" s="1"/>
  <c r="V125" i="45"/>
  <c r="U371" i="46"/>
  <c r="V126" i="45" s="1"/>
  <c r="AE228" i="46"/>
  <c r="AE233" i="46" s="1"/>
  <c r="AE230" i="46"/>
  <c r="AE235" i="46" s="1"/>
  <c r="AE227" i="46"/>
  <c r="AE232" i="46" s="1"/>
  <c r="AE226" i="48"/>
  <c r="AE229" i="46"/>
  <c r="AE234" i="46" s="1"/>
  <c r="AE231" i="46"/>
  <c r="AF108" i="45" s="1"/>
  <c r="AE216" i="54"/>
  <c r="AE215" i="54"/>
  <c r="AG49" i="15"/>
  <c r="Z201" i="28"/>
  <c r="AA231" i="14"/>
  <c r="AA232" i="14" s="1"/>
  <c r="AC101" i="20"/>
  <c r="AC93" i="19" s="1"/>
  <c r="AC88" i="19"/>
  <c r="AD136" i="12"/>
  <c r="AC97" i="20"/>
  <c r="AC99" i="20"/>
  <c r="AC98" i="20"/>
  <c r="AC100" i="20"/>
  <c r="AC220" i="20"/>
  <c r="AD233" i="53"/>
  <c r="AD236" i="53" s="1"/>
  <c r="AD232" i="53"/>
  <c r="AC34" i="20"/>
  <c r="AC33" i="20"/>
  <c r="Z236" i="19"/>
  <c r="Z248" i="19" s="1"/>
  <c r="Z249" i="19" s="1"/>
  <c r="Z237" i="19"/>
  <c r="AA151" i="14"/>
  <c r="AX19" i="55"/>
  <c r="AX20" i="55"/>
  <c r="AF298" i="38"/>
  <c r="AF297" i="38"/>
  <c r="AC228" i="14"/>
  <c r="AF80" i="42"/>
  <c r="AF84" i="42" s="1"/>
  <c r="AF78" i="42"/>
  <c r="AF82" i="42" s="1"/>
  <c r="AF81" i="42"/>
  <c r="AF79" i="42"/>
  <c r="AF83" i="42" s="1"/>
  <c r="AE160" i="42"/>
  <c r="AE164" i="42" s="1"/>
  <c r="AE159" i="42"/>
  <c r="AE163" i="42" s="1"/>
  <c r="AE162" i="42"/>
  <c r="AE161" i="42"/>
  <c r="AE165" i="42" s="1"/>
  <c r="AB113" i="46"/>
  <c r="AB118" i="46" s="1"/>
  <c r="AB112" i="46"/>
  <c r="AB117" i="46" s="1"/>
  <c r="AB111" i="46"/>
  <c r="AB116" i="46" s="1"/>
  <c r="AB110" i="46"/>
  <c r="AB115" i="46" s="1"/>
  <c r="AB109" i="48"/>
  <c r="AB114" i="46"/>
  <c r="AC97" i="45" s="1"/>
  <c r="AB274" i="46"/>
  <c r="AB141" i="14"/>
  <c r="AC57" i="19"/>
  <c r="AC50" i="19"/>
  <c r="BL51" i="51"/>
  <c r="BL72" i="51"/>
  <c r="S6" i="55"/>
  <c r="V160" i="12"/>
  <c r="BC10" i="55"/>
  <c r="AF131" i="42"/>
  <c r="AF150" i="42" s="1"/>
  <c r="AF130" i="42"/>
  <c r="AF142" i="42" s="1"/>
  <c r="AF132" i="42"/>
  <c r="AF158" i="42" s="1"/>
  <c r="Y331" i="48"/>
  <c r="Y343" i="48" s="1"/>
  <c r="Y344" i="48" s="1"/>
  <c r="Y332" i="48"/>
  <c r="AD47" i="20"/>
  <c r="AD218" i="20" s="1"/>
  <c r="AD51" i="19"/>
  <c r="AD221" i="20"/>
  <c r="AD72" i="20"/>
  <c r="AE93" i="12"/>
  <c r="X327" i="48"/>
  <c r="X328" i="48"/>
  <c r="AE157" i="29"/>
  <c r="AE169" i="29" s="1"/>
  <c r="AE158" i="29"/>
  <c r="AC118" i="14"/>
  <c r="W353" i="46"/>
  <c r="W354" i="46" s="1"/>
  <c r="AG72" i="51"/>
  <c r="BM49" i="51"/>
  <c r="AG51" i="51"/>
  <c r="AG220" i="54"/>
  <c r="AG219" i="54"/>
  <c r="AG231" i="54" s="1"/>
  <c r="AG232" i="54" s="1"/>
  <c r="BK68" i="45"/>
  <c r="AF181" i="20"/>
  <c r="AF143" i="19" s="1"/>
  <c r="AF183" i="20"/>
  <c r="AF145" i="19" s="1"/>
  <c r="AF184" i="20"/>
  <c r="AF146" i="19" s="1"/>
  <c r="AF180" i="20"/>
  <c r="AF142" i="19" s="1"/>
  <c r="AF182" i="20"/>
  <c r="AF144" i="19" s="1"/>
  <c r="AF141" i="19"/>
  <c r="AG125" i="14" s="1"/>
  <c r="AA229" i="19"/>
  <c r="AA226" i="19"/>
  <c r="AA227" i="19"/>
  <c r="AA228" i="19"/>
  <c r="AE173" i="19"/>
  <c r="AD218" i="53"/>
  <c r="AD217" i="53"/>
  <c r="AD221" i="53" s="1"/>
  <c r="AB79" i="45"/>
  <c r="AB80" i="45"/>
  <c r="AB81" i="45"/>
  <c r="BH79" i="45"/>
  <c r="BH81" i="45"/>
  <c r="BH80" i="45"/>
  <c r="AC89" i="20"/>
  <c r="AD104" i="12"/>
  <c r="AC86" i="20"/>
  <c r="AC78" i="19" s="1"/>
  <c r="AC76" i="19"/>
  <c r="AD104" i="14" s="1"/>
  <c r="AC85" i="20"/>
  <c r="AC87" i="20"/>
  <c r="AC88" i="20"/>
  <c r="AG222" i="54"/>
  <c r="AG223" i="54"/>
  <c r="AG226" i="54"/>
  <c r="AG227" i="54"/>
  <c r="AG224" i="54"/>
  <c r="AG225" i="54"/>
  <c r="AG67" i="16"/>
  <c r="AG46" i="16"/>
  <c r="Y308" i="48"/>
  <c r="Y309" i="48" s="1"/>
  <c r="Z275" i="48"/>
  <c r="CL9" i="55"/>
  <c r="AD230" i="48"/>
  <c r="AD235" i="48" s="1"/>
  <c r="AD227" i="48"/>
  <c r="AD232" i="48" s="1"/>
  <c r="AD229" i="48"/>
  <c r="AD234" i="48" s="1"/>
  <c r="AD228" i="48"/>
  <c r="AD233" i="48" s="1"/>
  <c r="AD231" i="48"/>
  <c r="AR206" i="12"/>
  <c r="AG96" i="19"/>
  <c r="AG95" i="19" s="1"/>
  <c r="AY20" i="55"/>
  <c r="AY19" i="55"/>
  <c r="AD90" i="20"/>
  <c r="AB136" i="29"/>
  <c r="AB139" i="29"/>
  <c r="AB137" i="29"/>
  <c r="AB140" i="29"/>
  <c r="AB138" i="29"/>
  <c r="AB141" i="29"/>
  <c r="AF137" i="38"/>
  <c r="AF141" i="38" s="1"/>
  <c r="AF135" i="38"/>
  <c r="AF139" i="38" s="1"/>
  <c r="AF136" i="38"/>
  <c r="AF140" i="38" s="1"/>
  <c r="AF138" i="38"/>
  <c r="AG85" i="36" s="1"/>
  <c r="BH97" i="45"/>
  <c r="AB100" i="45"/>
  <c r="AB113" i="45"/>
  <c r="BL110" i="36"/>
  <c r="AH46" i="16"/>
  <c r="Z213" i="19"/>
  <c r="Z214" i="19" s="1"/>
  <c r="AA180" i="19"/>
  <c r="AC4" i="55"/>
  <c r="CJ7" i="55"/>
  <c r="AF129" i="20"/>
  <c r="AF105" i="19" s="1"/>
  <c r="AF131" i="20"/>
  <c r="AF107" i="19" s="1"/>
  <c r="AF132" i="20"/>
  <c r="AF108" i="19" s="1"/>
  <c r="AF103" i="19"/>
  <c r="AG103" i="14" s="1"/>
  <c r="AF130" i="20"/>
  <c r="AG103" i="12"/>
  <c r="AF128" i="20"/>
  <c r="AF104" i="19" s="1"/>
  <c r="BN70" i="51"/>
  <c r="BN105" i="45"/>
  <c r="AF100" i="19"/>
  <c r="AC167" i="28"/>
  <c r="AC168" i="28"/>
  <c r="V308" i="20"/>
  <c r="AD175" i="48"/>
  <c r="AD180" i="48" s="1"/>
  <c r="AD177" i="48"/>
  <c r="AD182" i="48" s="1"/>
  <c r="AD176" i="48"/>
  <c r="AD181" i="48" s="1"/>
  <c r="AD179" i="48"/>
  <c r="AD178" i="48"/>
  <c r="AD183" i="48" s="1"/>
  <c r="AF197" i="38"/>
  <c r="AF201" i="38" s="1"/>
  <c r="AF200" i="38"/>
  <c r="AG101" i="36" s="1"/>
  <c r="BM101" i="36" s="1"/>
  <c r="AF198" i="38"/>
  <c r="AF202" i="38" s="1"/>
  <c r="AF199" i="38"/>
  <c r="AF203" i="38" s="1"/>
  <c r="AD163" i="53"/>
  <c r="AC196" i="53"/>
  <c r="AC197" i="53" s="1"/>
  <c r="AB149" i="14"/>
  <c r="AF134" i="15"/>
  <c r="AF133" i="15" a="1"/>
  <c r="AF133" i="15" s="1"/>
  <c r="AF68" i="15"/>
  <c r="AC101" i="12"/>
  <c r="AB68" i="19"/>
  <c r="AC101" i="14" s="1"/>
  <c r="AA120" i="36"/>
  <c r="Z342" i="38"/>
  <c r="Z337" i="38"/>
  <c r="BJ87" i="45"/>
  <c r="BJ73" i="45"/>
  <c r="AF141" i="46"/>
  <c r="AF164" i="46" s="1"/>
  <c r="AF142" i="46"/>
  <c r="AF174" i="46" s="1"/>
  <c r="AF140" i="46"/>
  <c r="AF154" i="46" s="1"/>
  <c r="AB172" i="29"/>
  <c r="AB173" i="29" s="1"/>
  <c r="AB175" i="29" s="1"/>
  <c r="AF93" i="36"/>
  <c r="AF96" i="36" s="1"/>
  <c r="BL91" i="36"/>
  <c r="BL93" i="36" s="1"/>
  <c r="BL96" i="36" s="1"/>
  <c r="AC196" i="54"/>
  <c r="AC197" i="54" s="1"/>
  <c r="AD163" i="54"/>
  <c r="AE96" i="20"/>
  <c r="AB228" i="12"/>
  <c r="AF134" i="16"/>
  <c r="AF77" i="16"/>
  <c r="AF133" i="16" a="1"/>
  <c r="AF133" i="16" s="1"/>
  <c r="AF68" i="16"/>
  <c r="AB117" i="12"/>
  <c r="AE208" i="46"/>
  <c r="AE213" i="46" s="1"/>
  <c r="AE209" i="46"/>
  <c r="AE214" i="46" s="1"/>
  <c r="AE210" i="46"/>
  <c r="AE215" i="46" s="1"/>
  <c r="AE206" i="48"/>
  <c r="AE211" i="46"/>
  <c r="AF89" i="45" s="1"/>
  <c r="AE207" i="46"/>
  <c r="AE212" i="46" s="1"/>
  <c r="AG49" i="16"/>
  <c r="AB225" i="12" a="1"/>
  <c r="AB225" i="12" s="1"/>
  <c r="AF193" i="29"/>
  <c r="AF194" i="29"/>
  <c r="AE112" i="36"/>
  <c r="AE111" i="36"/>
  <c r="AE113" i="36"/>
  <c r="AC170" i="29"/>
  <c r="AC171" i="29"/>
  <c r="AC174" i="29" s="1"/>
  <c r="AD226" i="53"/>
  <c r="AD227" i="53"/>
  <c r="AD225" i="53"/>
  <c r="AD224" i="53"/>
  <c r="AD223" i="53"/>
  <c r="AD222" i="53"/>
  <c r="Z324" i="48"/>
  <c r="Z322" i="48"/>
  <c r="Z321" i="48"/>
  <c r="Z323" i="48"/>
  <c r="BN80" i="36"/>
  <c r="BN83" i="36" s="1"/>
  <c r="BN115" i="36"/>
  <c r="BN116" i="36" s="1"/>
  <c r="AB227" i="14"/>
  <c r="Z331" i="46"/>
  <c r="Z343" i="46" s="1"/>
  <c r="Z344" i="46" s="1"/>
  <c r="Z332" i="46"/>
  <c r="AB187" i="28"/>
  <c r="AB189" i="28" s="1"/>
  <c r="AB188" i="28"/>
  <c r="AF304" i="38"/>
  <c r="AF303" i="38"/>
  <c r="AF315" i="38" s="1"/>
  <c r="BL79" i="36"/>
  <c r="BL114" i="36" s="1"/>
  <c r="AF114" i="36"/>
  <c r="AF63" i="42"/>
  <c r="AF69" i="42"/>
  <c r="V163" i="14"/>
  <c r="V157" i="14"/>
  <c r="V363" i="46"/>
  <c r="W120" i="45" s="1"/>
  <c r="V361" i="46"/>
  <c r="AB72" i="46"/>
  <c r="AB77" i="46" s="1"/>
  <c r="AB73" i="46"/>
  <c r="AB78" i="46" s="1"/>
  <c r="AB70" i="46"/>
  <c r="AB75" i="46" s="1"/>
  <c r="AB69" i="48"/>
  <c r="AB71" i="46"/>
  <c r="AB76" i="46" s="1"/>
  <c r="AB74" i="46"/>
  <c r="AC76" i="45" s="1"/>
  <c r="AE300" i="38"/>
  <c r="AE299" i="38"/>
  <c r="AC58" i="19"/>
  <c r="AC55" i="19"/>
  <c r="BE120" i="36"/>
  <c r="Y122" i="36"/>
  <c r="Y125" i="36"/>
  <c r="AA261" i="20"/>
  <c r="AA259" i="20"/>
  <c r="AA260" i="20"/>
  <c r="AA258" i="20"/>
  <c r="AA257" i="20"/>
  <c r="AA262" i="20"/>
  <c r="Z290" i="20"/>
  <c r="Z291" i="20" s="1"/>
  <c r="Z292" i="20"/>
  <c r="BG116" i="45"/>
  <c r="AC99" i="46"/>
  <c r="AC79" i="46"/>
  <c r="AC109" i="46"/>
  <c r="AC69" i="46"/>
  <c r="AC44" i="46"/>
  <c r="AC316" i="46" s="1"/>
  <c r="Y248" i="19"/>
  <c r="Y249" i="19" s="1"/>
  <c r="Y250" i="19"/>
  <c r="CQ4" i="55"/>
  <c r="AD31" i="20"/>
  <c r="AD253" i="20"/>
  <c r="X346" i="48"/>
  <c r="X347" i="48" s="1"/>
  <c r="AG59" i="16"/>
  <c r="AE72" i="42"/>
  <c r="AE76" i="42" s="1"/>
  <c r="AE71" i="42"/>
  <c r="AE75" i="42" s="1"/>
  <c r="AE70" i="42"/>
  <c r="AE74" i="42" s="1"/>
  <c r="AE73" i="42"/>
  <c r="AC130" i="12"/>
  <c r="AF136" i="20"/>
  <c r="AF112" i="19" s="1"/>
  <c r="AF137" i="20"/>
  <c r="AF113" i="19" s="1"/>
  <c r="AF134" i="20"/>
  <c r="AF110" i="19" s="1"/>
  <c r="AF138" i="20"/>
  <c r="AF114" i="19" s="1"/>
  <c r="AF135" i="20"/>
  <c r="AF111" i="19" s="1"/>
  <c r="AF109" i="19"/>
  <c r="AG126" i="14" s="1"/>
  <c r="BH4" i="55"/>
  <c r="AC236" i="53"/>
  <c r="AF157" i="19"/>
  <c r="Z308" i="46"/>
  <c r="Z309" i="46" s="1"/>
  <c r="AA275" i="46"/>
  <c r="AG67" i="15"/>
  <c r="AG46" i="15"/>
  <c r="AF140" i="20"/>
  <c r="AF116" i="19" s="1"/>
  <c r="AF143" i="20"/>
  <c r="AF119" i="19" s="1"/>
  <c r="AF144" i="20"/>
  <c r="AF120" i="19" s="1"/>
  <c r="AF142" i="20"/>
  <c r="AF118" i="19" s="1"/>
  <c r="AF141" i="20"/>
  <c r="AF117" i="19" s="1"/>
  <c r="AF115" i="19"/>
  <c r="AG94" i="14" s="1"/>
  <c r="BK108" i="45"/>
  <c r="AG98" i="19"/>
  <c r="W349" i="48"/>
  <c r="AA150" i="12"/>
  <c r="AC134" i="29"/>
  <c r="AC135" i="29" s="1"/>
  <c r="AD101" i="29"/>
  <c r="Z274" i="20"/>
  <c r="Z275" i="20"/>
  <c r="AA110" i="48"/>
  <c r="AA115" i="48" s="1"/>
  <c r="AA113" i="48"/>
  <c r="AA118" i="48" s="1"/>
  <c r="AA112" i="48"/>
  <c r="AA117" i="48" s="1"/>
  <c r="AA111" i="48"/>
  <c r="AA116" i="48" s="1"/>
  <c r="AA114" i="48"/>
  <c r="AA274" i="48"/>
  <c r="AF110" i="36"/>
  <c r="Y215" i="19"/>
  <c r="Y218" i="19"/>
  <c r="Y216" i="19"/>
  <c r="Y220" i="19"/>
  <c r="Y219" i="19"/>
  <c r="Y217" i="19"/>
  <c r="AG297" i="42"/>
  <c r="AG298" i="42"/>
  <c r="AD148" i="28"/>
  <c r="AD149" i="28" s="1"/>
  <c r="AE214" i="28"/>
  <c r="AC186" i="28"/>
  <c r="AC187" i="28" s="1"/>
  <c r="AF63" i="38"/>
  <c r="AF69" i="38"/>
  <c r="AA326" i="38"/>
  <c r="AA335" i="38" s="1"/>
  <c r="AB121" i="36" s="1"/>
  <c r="BH121" i="36" s="1"/>
  <c r="AC61" i="19"/>
  <c r="AB199" i="53"/>
  <c r="AB198" i="53"/>
  <c r="AB202" i="53"/>
  <c r="AB201" i="53"/>
  <c r="AB203" i="53"/>
  <c r="AB200" i="53"/>
  <c r="CG21" i="36"/>
  <c r="AH116" i="36"/>
  <c r="AC100" i="12"/>
  <c r="AB67" i="19"/>
  <c r="AC100" i="14" s="1"/>
  <c r="AC139" i="12"/>
  <c r="AC225" i="12" s="1" a="1"/>
  <c r="AC225" i="12" s="1"/>
  <c r="AB231" i="12"/>
  <c r="BJ72" i="45"/>
  <c r="BJ86" i="45"/>
  <c r="AF139" i="46"/>
  <c r="AF144" i="46"/>
  <c r="AB201" i="54"/>
  <c r="AB199" i="54"/>
  <c r="AB198" i="54"/>
  <c r="AB202" i="54"/>
  <c r="AB200" i="54"/>
  <c r="AB203" i="54"/>
  <c r="AE84" i="20"/>
  <c r="AB325" i="38"/>
  <c r="AB326" i="38" s="1"/>
  <c r="AE103" i="36"/>
  <c r="AE105" i="36"/>
  <c r="AB117" i="14"/>
  <c r="V121" i="45"/>
  <c r="V123" i="45"/>
  <c r="V124" i="45"/>
  <c r="Z69" i="15"/>
  <c r="Y205" i="28"/>
  <c r="Y210" i="28"/>
  <c r="Y327" i="46"/>
  <c r="Y328" i="46"/>
  <c r="AA151" i="12"/>
  <c r="AD127" i="12"/>
  <c r="BN71" i="51"/>
  <c r="BH90" i="45"/>
  <c r="AB91" i="45"/>
  <c r="AD241" i="54"/>
  <c r="AC165" i="29"/>
  <c r="AC160" i="29"/>
  <c r="AC161" i="29"/>
  <c r="AC163" i="29"/>
  <c r="AC162" i="29"/>
  <c r="AC164" i="29"/>
  <c r="AB221" i="19"/>
  <c r="AB272" i="19"/>
  <c r="AB222" i="19"/>
  <c r="AB273" i="19"/>
  <c r="AB225" i="19"/>
  <c r="AF139" i="15"/>
  <c r="AD128" i="36"/>
  <c r="BH76" i="51"/>
  <c r="AB130" i="14"/>
  <c r="AD34" i="46"/>
  <c r="AE82" i="45"/>
  <c r="AE26" i="45"/>
  <c r="AE24" i="45"/>
  <c r="AE25" i="45"/>
  <c r="X82" i="16"/>
  <c r="AH136" i="16"/>
  <c r="AR106" i="16"/>
  <c r="AF96" i="42"/>
  <c r="AF100" i="42" s="1"/>
  <c r="AF95" i="42"/>
  <c r="AF99" i="42" s="1"/>
  <c r="AF94" i="42"/>
  <c r="AF98" i="42" s="1"/>
  <c r="AF97" i="42"/>
  <c r="AB101" i="46"/>
  <c r="AB106" i="46" s="1"/>
  <c r="AB102" i="46"/>
  <c r="AB107" i="46" s="1"/>
  <c r="AB104" i="46"/>
  <c r="AC106" i="45" s="1"/>
  <c r="AB103" i="46"/>
  <c r="AB108" i="46" s="1"/>
  <c r="AB100" i="46"/>
  <c r="AB105" i="46" s="1"/>
  <c r="AB99" i="48"/>
  <c r="AD147" i="12"/>
  <c r="AD95" i="12"/>
  <c r="AC265" i="20"/>
  <c r="AC288" i="20"/>
  <c r="AC289" i="20" s="1"/>
  <c r="AE139" i="14"/>
  <c r="AF18" i="19"/>
  <c r="AE24" i="19"/>
  <c r="AB229" i="12"/>
  <c r="U125" i="45"/>
  <c r="T371" i="46"/>
  <c r="U126" i="45" s="1"/>
  <c r="AG35" i="48"/>
  <c r="BN43" i="45"/>
  <c r="BN95" i="45"/>
  <c r="BN42" i="45"/>
  <c r="BN44" i="45"/>
  <c r="AD119" i="36"/>
  <c r="AE246" i="42"/>
  <c r="AE243" i="42"/>
  <c r="AC130" i="14"/>
  <c r="BL96" i="45"/>
  <c r="BK99" i="45"/>
  <c r="AB97" i="12"/>
  <c r="AB154" i="12"/>
  <c r="C87" i="16"/>
  <c r="C96" i="16" s="1"/>
  <c r="D101" i="16" s="1"/>
  <c r="C86" i="16"/>
  <c r="C81" i="16"/>
  <c r="C93" i="16" s="1"/>
  <c r="D104" i="16" s="1"/>
  <c r="C83" i="16"/>
  <c r="C94" i="16" s="1"/>
  <c r="D103" i="16" s="1"/>
  <c r="C85" i="16"/>
  <c r="C95" i="16" s="1"/>
  <c r="D102" i="16" s="1"/>
  <c r="AC108" i="12"/>
  <c r="Y311" i="46"/>
  <c r="Y313" i="46"/>
  <c r="Y312" i="46"/>
  <c r="Y314" i="46"/>
  <c r="Y315" i="46"/>
  <c r="Y310" i="46"/>
  <c r="AG214" i="53"/>
  <c r="AG213" i="53"/>
  <c r="AG298" i="38"/>
  <c r="AG297" i="38"/>
  <c r="AF58" i="29"/>
  <c r="AF114" i="28"/>
  <c r="AF213" i="28"/>
  <c r="AA115" i="45"/>
  <c r="AF219" i="54"/>
  <c r="AF231" i="54" s="1"/>
  <c r="AF220" i="54"/>
  <c r="W329" i="48"/>
  <c r="W333" i="48" s="1"/>
  <c r="W330" i="48"/>
  <c r="AE124" i="12"/>
  <c r="BK77" i="45"/>
  <c r="BL70" i="51"/>
  <c r="Z293" i="20"/>
  <c r="AH103" i="36"/>
  <c r="AH117" i="36" s="1"/>
  <c r="AH123" i="36" s="1"/>
  <c r="AH105" i="36"/>
  <c r="AH119" i="36" s="1"/>
  <c r="AE158" i="28"/>
  <c r="AE159" i="28" s="1"/>
  <c r="AE181" i="28"/>
  <c r="AE182" i="28" s="1"/>
  <c r="AC155" i="28"/>
  <c r="AC151" i="28"/>
  <c r="AC154" i="28"/>
  <c r="AC152" i="28"/>
  <c r="AC150" i="28"/>
  <c r="AC153" i="28"/>
  <c r="BJ70" i="45"/>
  <c r="Y293" i="20"/>
  <c r="Y294" i="20" s="1"/>
  <c r="Y296" i="20" s="1"/>
  <c r="AA180" i="29"/>
  <c r="AA189" i="29" s="1"/>
  <c r="AB70" i="16" s="1"/>
  <c r="BN119" i="36" l="1"/>
  <c r="AC176" i="19"/>
  <c r="BI4" i="55"/>
  <c r="AG67" i="45"/>
  <c r="AE236" i="54"/>
  <c r="AE234" i="54"/>
  <c r="AF60" i="45"/>
  <c r="AE37" i="46"/>
  <c r="AF104" i="45"/>
  <c r="AE232" i="54"/>
  <c r="AF58" i="45"/>
  <c r="V371" i="48"/>
  <c r="BC126" i="45" s="1"/>
  <c r="AD220" i="20"/>
  <c r="AF103" i="36"/>
  <c r="W164" i="14"/>
  <c r="V276" i="19"/>
  <c r="W165" i="14" s="1"/>
  <c r="V6" i="55"/>
  <c r="AF140" i="16"/>
  <c r="BK117" i="36"/>
  <c r="BK123" i="36" s="1"/>
  <c r="BL67" i="45"/>
  <c r="AE117" i="36"/>
  <c r="AE123" i="36" s="1"/>
  <c r="AG57" i="45"/>
  <c r="AD53" i="19"/>
  <c r="AD55" i="19"/>
  <c r="C95" i="15"/>
  <c r="D102" i="15" s="1"/>
  <c r="AD61" i="19"/>
  <c r="AD62" i="19"/>
  <c r="AD57" i="19"/>
  <c r="AD54" i="19"/>
  <c r="U7" i="55"/>
  <c r="AB232" i="12"/>
  <c r="AD58" i="19"/>
  <c r="AD52" i="19"/>
  <c r="AD49" i="19" s="1"/>
  <c r="AD177" i="19" s="1"/>
  <c r="AC271" i="46"/>
  <c r="BI112" i="45"/>
  <c r="AD50" i="19"/>
  <c r="AD259" i="54"/>
  <c r="BK78" i="51" s="1"/>
  <c r="BK77" i="51"/>
  <c r="BN128" i="36"/>
  <c r="AD241" i="53"/>
  <c r="AD242" i="53" s="1"/>
  <c r="AA242" i="19"/>
  <c r="AA243" i="19"/>
  <c r="AA240" i="19"/>
  <c r="AA239" i="19"/>
  <c r="AA244" i="19"/>
  <c r="AA241" i="19"/>
  <c r="X158" i="12"/>
  <c r="X162" i="12"/>
  <c r="AC179" i="29"/>
  <c r="AC152" i="14"/>
  <c r="AF24" i="19"/>
  <c r="AG18" i="19"/>
  <c r="AG24" i="19" s="1"/>
  <c r="BI106" i="45"/>
  <c r="AC109" i="45"/>
  <c r="AE72" i="45"/>
  <c r="AE86" i="45"/>
  <c r="AF88" i="29"/>
  <c r="AF100" i="29"/>
  <c r="AD226" i="12"/>
  <c r="AE71" i="45"/>
  <c r="AE85" i="45"/>
  <c r="BH91" i="45"/>
  <c r="BH114" i="45" s="1"/>
  <c r="AH128" i="36"/>
  <c r="AC112" i="46"/>
  <c r="AC117" i="46" s="1"/>
  <c r="AC109" i="48"/>
  <c r="AC113" i="46"/>
  <c r="AC118" i="46" s="1"/>
  <c r="AC110" i="46"/>
  <c r="AC115" i="46" s="1"/>
  <c r="AC111" i="46"/>
  <c r="AC116" i="46" s="1"/>
  <c r="AC114" i="46"/>
  <c r="AD97" i="45" s="1"/>
  <c r="AC274" i="46"/>
  <c r="BI76" i="45"/>
  <c r="AC78" i="45"/>
  <c r="X84" i="16"/>
  <c r="X80" i="16"/>
  <c r="AH134" i="16"/>
  <c r="AH68" i="16"/>
  <c r="AH133" i="16" a="1"/>
  <c r="AH133" i="16" s="1"/>
  <c r="AH77" i="16"/>
  <c r="AP106" i="16"/>
  <c r="Y311" i="48"/>
  <c r="Y315" i="48"/>
  <c r="Y310" i="48"/>
  <c r="Y313" i="48"/>
  <c r="Y312" i="48"/>
  <c r="Y314" i="48"/>
  <c r="AD109" i="12"/>
  <c r="AC81" i="19"/>
  <c r="BM72" i="51"/>
  <c r="BM51" i="51"/>
  <c r="AB113" i="48"/>
  <c r="AB118" i="48" s="1"/>
  <c r="AB111" i="48"/>
  <c r="AB116" i="48" s="1"/>
  <c r="AB112" i="48"/>
  <c r="AB117" i="48" s="1"/>
  <c r="AB110" i="48"/>
  <c r="AB115" i="48" s="1"/>
  <c r="AB114" i="48"/>
  <c r="AB274" i="48"/>
  <c r="AD139" i="12"/>
  <c r="AE229" i="48"/>
  <c r="AE234" i="48" s="1"/>
  <c r="AE230" i="48"/>
  <c r="AE235" i="48" s="1"/>
  <c r="AE228" i="48"/>
  <c r="AE233" i="48" s="1"/>
  <c r="AE227" i="48"/>
  <c r="AE232" i="48" s="1"/>
  <c r="AE231" i="48"/>
  <c r="AE82" i="19"/>
  <c r="AF124" i="14" s="1"/>
  <c r="AE94" i="20"/>
  <c r="AE86" i="19" s="1"/>
  <c r="AE91" i="20"/>
  <c r="AE95" i="20"/>
  <c r="AE87" i="19" s="1"/>
  <c r="AE93" i="20"/>
  <c r="AE92" i="20"/>
  <c r="AP215" i="12"/>
  <c r="BH9" i="55"/>
  <c r="AF215" i="54"/>
  <c r="AF216" i="54"/>
  <c r="AP212" i="12"/>
  <c r="AC67" i="19"/>
  <c r="AD100" i="14" s="1"/>
  <c r="AD100" i="12"/>
  <c r="BM56" i="45"/>
  <c r="BM55" i="45"/>
  <c r="AF230" i="46"/>
  <c r="AF235" i="46" s="1"/>
  <c r="AF231" i="46"/>
  <c r="AG108" i="45" s="1"/>
  <c r="AF228" i="46"/>
  <c r="AF233" i="46" s="1"/>
  <c r="AF229" i="46"/>
  <c r="AF234" i="46" s="1"/>
  <c r="AF227" i="46"/>
  <c r="AF232" i="46" s="1"/>
  <c r="AF226" i="48"/>
  <c r="CK7" i="55"/>
  <c r="AB76" i="51"/>
  <c r="Z327" i="46"/>
  <c r="Z328" i="46"/>
  <c r="Y300" i="20"/>
  <c r="Y301" i="20" s="1"/>
  <c r="BN31" i="45"/>
  <c r="BN32" i="45"/>
  <c r="BN35" i="45"/>
  <c r="BN37" i="45"/>
  <c r="BN29" i="45"/>
  <c r="BN28" i="45"/>
  <c r="BN36" i="45"/>
  <c r="BN54" i="45"/>
  <c r="X164" i="14"/>
  <c r="W276" i="19"/>
  <c r="X165" i="14" s="1"/>
  <c r="AZ20" i="55"/>
  <c r="AZ19" i="55"/>
  <c r="AH128" i="20"/>
  <c r="AG104" i="19"/>
  <c r="W308" i="20"/>
  <c r="AE153" i="29"/>
  <c r="AE154" i="29"/>
  <c r="AD132" i="12"/>
  <c r="AC85" i="19"/>
  <c r="AD132" i="14" s="1"/>
  <c r="AG60" i="45"/>
  <c r="AG104" i="45"/>
  <c r="AG59" i="45"/>
  <c r="AG58" i="45"/>
  <c r="AF37" i="46"/>
  <c r="AA331" i="46"/>
  <c r="AA343" i="46" s="1"/>
  <c r="AA344" i="46" s="1"/>
  <c r="AA332" i="46"/>
  <c r="AD317" i="42"/>
  <c r="AD320" i="42" s="1"/>
  <c r="AD316" i="42"/>
  <c r="AF207" i="42"/>
  <c r="AF211" i="42" s="1"/>
  <c r="AF206" i="42"/>
  <c r="AF210" i="42" s="1"/>
  <c r="AF208" i="42"/>
  <c r="AF205" i="42"/>
  <c r="AF209" i="42" s="1"/>
  <c r="BA123" i="45"/>
  <c r="BA124" i="45"/>
  <c r="BA121" i="45"/>
  <c r="AD119" i="12"/>
  <c r="AC72" i="19"/>
  <c r="AD119" i="14" s="1"/>
  <c r="AE233" i="53"/>
  <c r="AE236" i="53" s="1"/>
  <c r="AE232" i="53"/>
  <c r="AD86" i="20"/>
  <c r="AD78" i="19" s="1"/>
  <c r="AE104" i="12"/>
  <c r="AD89" i="20"/>
  <c r="AD76" i="19"/>
  <c r="AE104" i="14" s="1"/>
  <c r="AD87" i="20"/>
  <c r="AD85" i="20"/>
  <c r="AD88" i="20"/>
  <c r="AE119" i="36"/>
  <c r="AF164" i="28"/>
  <c r="AF162" i="28"/>
  <c r="AF161" i="28"/>
  <c r="AF163" i="28"/>
  <c r="W160" i="12"/>
  <c r="AA308" i="46"/>
  <c r="AA309" i="46" s="1"/>
  <c r="AB275" i="46"/>
  <c r="AC82" i="46"/>
  <c r="AC87" i="46" s="1"/>
  <c r="AC83" i="46"/>
  <c r="AC88" i="46" s="1"/>
  <c r="AC80" i="46"/>
  <c r="AC85" i="46" s="1"/>
  <c r="AC84" i="46"/>
  <c r="AD90" i="45" s="1"/>
  <c r="AC81" i="46"/>
  <c r="AC86" i="46" s="1"/>
  <c r="AC79" i="48"/>
  <c r="BE125" i="36"/>
  <c r="BE122" i="36"/>
  <c r="BL112" i="36"/>
  <c r="BL111" i="36"/>
  <c r="BL113" i="36"/>
  <c r="AG134" i="16"/>
  <c r="AG68" i="16"/>
  <c r="AG133" i="16" a="1"/>
  <c r="AG133" i="16" s="1"/>
  <c r="AG77" i="16"/>
  <c r="AA237" i="19"/>
  <c r="AA236" i="19"/>
  <c r="AA248" i="19" s="1"/>
  <c r="X349" i="48"/>
  <c r="AD265" i="20"/>
  <c r="AD288" i="20"/>
  <c r="AD289" i="20" s="1"/>
  <c r="BC15" i="55"/>
  <c r="BC14" i="55"/>
  <c r="BC11" i="55"/>
  <c r="BC12" i="55"/>
  <c r="BC16" i="55"/>
  <c r="BC13" i="55"/>
  <c r="BI103" i="45"/>
  <c r="BI101" i="45"/>
  <c r="AC102" i="45"/>
  <c r="AC103" i="45"/>
  <c r="BI102" i="45"/>
  <c r="AC101" i="45"/>
  <c r="AD136" i="14"/>
  <c r="AC179" i="19"/>
  <c r="AA69" i="15"/>
  <c r="Z205" i="28"/>
  <c r="Z210" i="28"/>
  <c r="AG173" i="19"/>
  <c r="AR215" i="12"/>
  <c r="AH175" i="20"/>
  <c r="AG137" i="19"/>
  <c r="Y348" i="46"/>
  <c r="AD101" i="12"/>
  <c r="AC68" i="19"/>
  <c r="AD101" i="14" s="1"/>
  <c r="U20" i="55"/>
  <c r="U19" i="55"/>
  <c r="AE143" i="12"/>
  <c r="AD90" i="19"/>
  <c r="AE143" i="14" s="1"/>
  <c r="AF158" i="29"/>
  <c r="AF157" i="29"/>
  <c r="AF169" i="29" s="1"/>
  <c r="BN19" i="45"/>
  <c r="BN20" i="45"/>
  <c r="BL73" i="51"/>
  <c r="BF122" i="36"/>
  <c r="BF125" i="36"/>
  <c r="AC249" i="54"/>
  <c r="AP209" i="12"/>
  <c r="V7" i="55"/>
  <c r="AG144" i="29"/>
  <c r="AG145" i="29" s="1"/>
  <c r="AI100" i="29"/>
  <c r="AG167" i="29"/>
  <c r="AG168" i="29" s="1"/>
  <c r="AG163" i="19"/>
  <c r="AC83" i="19"/>
  <c r="AD128" i="14" s="1"/>
  <c r="AD128" i="12"/>
  <c r="AE144" i="29"/>
  <c r="AE145" i="29" s="1"/>
  <c r="AE167" i="29"/>
  <c r="AE168" i="29" s="1"/>
  <c r="AD306" i="42"/>
  <c r="AD307" i="42"/>
  <c r="AD310" i="42"/>
  <c r="AD311" i="42"/>
  <c r="AD308" i="42"/>
  <c r="AD309" i="42"/>
  <c r="AF299" i="42"/>
  <c r="AF300" i="42"/>
  <c r="AB151" i="14"/>
  <c r="AD146" i="12"/>
  <c r="AD115" i="12"/>
  <c r="AA233" i="14"/>
  <c r="AA234" i="14" s="1"/>
  <c r="AE226" i="53"/>
  <c r="AE222" i="53"/>
  <c r="AE223" i="53"/>
  <c r="AE224" i="53"/>
  <c r="AE227" i="53"/>
  <c r="AE225" i="53"/>
  <c r="BL98" i="45"/>
  <c r="Y234" i="19"/>
  <c r="Y238" i="19" s="1"/>
  <c r="Y235" i="19"/>
  <c r="W353" i="48"/>
  <c r="W354" i="48" s="1"/>
  <c r="AD47" i="19"/>
  <c r="AC266" i="20"/>
  <c r="BI90" i="45"/>
  <c r="AC91" i="45"/>
  <c r="AD59" i="19"/>
  <c r="AE73" i="45"/>
  <c r="AE87" i="45"/>
  <c r="AG300" i="38"/>
  <c r="AG299" i="38"/>
  <c r="AE84" i="45"/>
  <c r="AB335" i="38"/>
  <c r="AC121" i="36" s="1"/>
  <c r="BI121" i="36" s="1"/>
  <c r="AB333" i="38"/>
  <c r="AF71" i="38"/>
  <c r="AF75" i="38" s="1"/>
  <c r="AF70" i="38"/>
  <c r="AF74" i="38" s="1"/>
  <c r="AF72" i="38"/>
  <c r="AF76" i="38" s="1"/>
  <c r="AF73" i="38"/>
  <c r="AG78" i="36" s="1"/>
  <c r="Z311" i="46"/>
  <c r="Z312" i="46"/>
  <c r="Z315" i="46"/>
  <c r="Z313" i="46"/>
  <c r="Z314" i="46"/>
  <c r="Z310" i="46"/>
  <c r="AD34" i="20"/>
  <c r="AD33" i="20"/>
  <c r="AC102" i="46"/>
  <c r="AC107" i="46" s="1"/>
  <c r="AC100" i="46"/>
  <c r="AC105" i="46" s="1"/>
  <c r="AC103" i="46"/>
  <c r="AC108" i="46" s="1"/>
  <c r="AC101" i="46"/>
  <c r="AC106" i="46" s="1"/>
  <c r="AC99" i="48"/>
  <c r="AC104" i="46"/>
  <c r="AD106" i="45" s="1"/>
  <c r="AB73" i="48"/>
  <c r="AB78" i="48" s="1"/>
  <c r="AB72" i="48"/>
  <c r="AB77" i="48" s="1"/>
  <c r="AB71" i="48"/>
  <c r="AB76" i="48" s="1"/>
  <c r="AB74" i="48"/>
  <c r="AB70" i="48"/>
  <c r="AB75" i="48" s="1"/>
  <c r="V159" i="14"/>
  <c r="AB233" i="12"/>
  <c r="AB234" i="12" s="1"/>
  <c r="BL89" i="45"/>
  <c r="AF141" i="16"/>
  <c r="AF142" i="16" s="1"/>
  <c r="AA126" i="36"/>
  <c r="Z343" i="38"/>
  <c r="AA127" i="36" s="1"/>
  <c r="AF77" i="15"/>
  <c r="AC202" i="53"/>
  <c r="AC198" i="53"/>
  <c r="AC199" i="53"/>
  <c r="AC203" i="53"/>
  <c r="AC201" i="53"/>
  <c r="AC200" i="53"/>
  <c r="AC80" i="19"/>
  <c r="AD111" i="14" s="1"/>
  <c r="AD111" i="12"/>
  <c r="BH118" i="45"/>
  <c r="X329" i="48"/>
  <c r="X333" i="48" s="1"/>
  <c r="X330" i="48"/>
  <c r="AF159" i="42"/>
  <c r="AF163" i="42" s="1"/>
  <c r="AF161" i="42"/>
  <c r="AF165" i="42" s="1"/>
  <c r="AF162" i="42"/>
  <c r="AF160" i="42"/>
  <c r="AF164" i="42" s="1"/>
  <c r="AD234" i="53"/>
  <c r="AD235" i="53" s="1"/>
  <c r="AD237" i="53" s="1"/>
  <c r="AD258" i="53" s="1"/>
  <c r="AG136" i="15"/>
  <c r="AC74" i="51"/>
  <c r="AB253" i="53"/>
  <c r="AF206" i="54"/>
  <c r="AF207" i="54" s="1"/>
  <c r="AF229" i="54"/>
  <c r="AF230" i="54" s="1"/>
  <c r="AA334" i="46"/>
  <c r="AA338" i="46"/>
  <c r="AA339" i="46"/>
  <c r="AA336" i="46"/>
  <c r="AA335" i="46"/>
  <c r="AA337" i="46"/>
  <c r="AG140" i="19"/>
  <c r="AH178" i="20"/>
  <c r="AG29" i="20"/>
  <c r="AG42" i="20"/>
  <c r="Y327" i="48"/>
  <c r="Y328" i="48"/>
  <c r="AD147" i="14"/>
  <c r="AD95" i="14"/>
  <c r="BL99" i="45"/>
  <c r="AE83" i="20"/>
  <c r="AE75" i="19" s="1"/>
  <c r="AE70" i="19"/>
  <c r="AF114" i="14" s="1"/>
  <c r="AE80" i="20"/>
  <c r="AE79" i="20"/>
  <c r="AE82" i="20"/>
  <c r="AE81" i="20"/>
  <c r="AF114" i="12"/>
  <c r="AC141" i="12"/>
  <c r="AC44" i="48"/>
  <c r="AC316" i="48" s="1"/>
  <c r="U6" i="55"/>
  <c r="AE139" i="12"/>
  <c r="CK6" i="55"/>
  <c r="V159" i="12"/>
  <c r="V161" i="12" s="1"/>
  <c r="AH134" i="15"/>
  <c r="X84" i="15"/>
  <c r="X80" i="15"/>
  <c r="AP106" i="15"/>
  <c r="AH133" i="15" a="1"/>
  <c r="AH133" i="15" s="1"/>
  <c r="AH68" i="15"/>
  <c r="AC227" i="14"/>
  <c r="AH30" i="45"/>
  <c r="AG157" i="28"/>
  <c r="AG159" i="28"/>
  <c r="AG160" i="28"/>
  <c r="X163" i="14"/>
  <c r="X157" i="14"/>
  <c r="AE168" i="48"/>
  <c r="AE173" i="48" s="1"/>
  <c r="AE167" i="48"/>
  <c r="AE172" i="48" s="1"/>
  <c r="AE165" i="48"/>
  <c r="AE170" i="48" s="1"/>
  <c r="AE169" i="48"/>
  <c r="AE166" i="48"/>
  <c r="AE171" i="48" s="1"/>
  <c r="AZ6" i="55"/>
  <c r="AG315" i="38"/>
  <c r="AG316" i="38" s="1"/>
  <c r="AG317" i="38"/>
  <c r="AB151" i="12"/>
  <c r="AC86" i="19"/>
  <c r="AD133" i="14" s="1"/>
  <c r="AD133" i="12"/>
  <c r="BK85" i="45"/>
  <c r="Z337" i="42"/>
  <c r="Z342" i="42"/>
  <c r="BG115" i="45"/>
  <c r="AH21" i="45"/>
  <c r="AA274" i="20"/>
  <c r="AA275" i="20"/>
  <c r="BI110" i="45"/>
  <c r="AB321" i="46"/>
  <c r="AB322" i="46"/>
  <c r="AB324" i="46"/>
  <c r="AB323" i="46"/>
  <c r="AD146" i="14"/>
  <c r="AD115" i="14"/>
  <c r="AC33" i="19"/>
  <c r="AC34" i="19"/>
  <c r="AD286" i="38"/>
  <c r="AD283" i="38"/>
  <c r="AD285" i="38"/>
  <c r="AD282" i="38"/>
  <c r="AD284" i="38"/>
  <c r="AD287" i="38"/>
  <c r="AE241" i="54"/>
  <c r="AE242" i="54" s="1"/>
  <c r="AA187" i="29"/>
  <c r="AD155" i="29"/>
  <c r="AD159" i="29" s="1"/>
  <c r="AD156" i="29"/>
  <c r="AD211" i="19"/>
  <c r="AD31" i="19"/>
  <c r="BI94" i="45"/>
  <c r="AC94" i="45"/>
  <c r="BI93" i="45"/>
  <c r="AC93" i="45"/>
  <c r="C88" i="16"/>
  <c r="AE231" i="14"/>
  <c r="BN73" i="51"/>
  <c r="Y329" i="46"/>
  <c r="Y333" i="46" s="1"/>
  <c r="Y330" i="46"/>
  <c r="AE85" i="20"/>
  <c r="AE87" i="20"/>
  <c r="AF104" i="12"/>
  <c r="AE88" i="20"/>
  <c r="AE76" i="19"/>
  <c r="AF104" i="14" s="1"/>
  <c r="AE89" i="20"/>
  <c r="AE86" i="20"/>
  <c r="AE78" i="19" s="1"/>
  <c r="AF243" i="38"/>
  <c r="AF246" i="38"/>
  <c r="AC81" i="45"/>
  <c r="AC80" i="45"/>
  <c r="AC79" i="45"/>
  <c r="BI81" i="45"/>
  <c r="BI80" i="45"/>
  <c r="BI79" i="45"/>
  <c r="AB193" i="28"/>
  <c r="AE207" i="48"/>
  <c r="AE212" i="48" s="1"/>
  <c r="AE208" i="48"/>
  <c r="AE213" i="48" s="1"/>
  <c r="AE210" i="48"/>
  <c r="AE215" i="48" s="1"/>
  <c r="AE211" i="48"/>
  <c r="AE209" i="48"/>
  <c r="AE214" i="48" s="1"/>
  <c r="AE101" i="20"/>
  <c r="AE93" i="19" s="1"/>
  <c r="AE100" i="20"/>
  <c r="AE99" i="20"/>
  <c r="AF136" i="12"/>
  <c r="AE88" i="19"/>
  <c r="AE98" i="20"/>
  <c r="AE97" i="20"/>
  <c r="AF154" i="48"/>
  <c r="AF155" i="46"/>
  <c r="AF160" i="46" s="1"/>
  <c r="AF158" i="46"/>
  <c r="AF163" i="46" s="1"/>
  <c r="AF157" i="46"/>
  <c r="AF162" i="46" s="1"/>
  <c r="AF159" i="46"/>
  <c r="AG98" i="45" s="1"/>
  <c r="AF156" i="46"/>
  <c r="AF161" i="46" s="1"/>
  <c r="BG120" i="36"/>
  <c r="AA122" i="36"/>
  <c r="AA125" i="36"/>
  <c r="AF141" i="15"/>
  <c r="AF142" i="15" s="1"/>
  <c r="AE163" i="53"/>
  <c r="AD196" i="53"/>
  <c r="AD197" i="53" s="1"/>
  <c r="AC79" i="19"/>
  <c r="AD110" i="14" s="1"/>
  <c r="AD110" i="12"/>
  <c r="BH116" i="45"/>
  <c r="W363" i="46"/>
  <c r="X120" i="45" s="1"/>
  <c r="W361" i="46"/>
  <c r="AE147" i="12"/>
  <c r="AE95" i="12"/>
  <c r="AF144" i="42"/>
  <c r="AF148" i="42" s="1"/>
  <c r="AF145" i="42"/>
  <c r="AF149" i="42" s="1"/>
  <c r="AF143" i="42"/>
  <c r="AF147" i="42" s="1"/>
  <c r="AF146" i="42"/>
  <c r="AB231" i="14"/>
  <c r="AB232" i="14" s="1"/>
  <c r="BB119" i="45"/>
  <c r="U365" i="48"/>
  <c r="U370" i="48"/>
  <c r="BB10" i="55"/>
  <c r="AB272" i="20"/>
  <c r="AB273" i="20"/>
  <c r="AF127" i="12"/>
  <c r="AH174" i="20"/>
  <c r="AG136" i="19"/>
  <c r="BH78" i="45"/>
  <c r="AF29" i="20"/>
  <c r="AF42" i="20"/>
  <c r="AF90" i="20" s="1"/>
  <c r="AF137" i="42"/>
  <c r="AF141" i="42" s="1"/>
  <c r="AF135" i="42"/>
  <c r="AF139" i="42" s="1"/>
  <c r="AF138" i="42"/>
  <c r="AF136" i="42"/>
  <c r="AF140" i="42" s="1"/>
  <c r="AE217" i="48"/>
  <c r="AE222" i="48" s="1"/>
  <c r="AE220" i="48"/>
  <c r="AE225" i="48" s="1"/>
  <c r="AE219" i="48"/>
  <c r="AE224" i="48" s="1"/>
  <c r="AE221" i="48"/>
  <c r="AE218" i="48"/>
  <c r="AE223" i="48" s="1"/>
  <c r="AC141" i="14"/>
  <c r="AF82" i="45"/>
  <c r="AE34" i="46"/>
  <c r="AF24" i="45"/>
  <c r="AF25" i="45"/>
  <c r="AF26" i="45"/>
  <c r="X258" i="19"/>
  <c r="X259" i="19" s="1"/>
  <c r="Z345" i="46"/>
  <c r="Z346" i="46" s="1"/>
  <c r="AH33" i="45"/>
  <c r="AB223" i="19"/>
  <c r="AB224" i="19" s="1"/>
  <c r="AB246" i="19"/>
  <c r="AB247" i="19" s="1"/>
  <c r="BL77" i="45"/>
  <c r="Z334" i="48"/>
  <c r="Z335" i="48"/>
  <c r="Z339" i="48"/>
  <c r="Z337" i="48"/>
  <c r="Z338" i="48"/>
  <c r="Z336" i="48"/>
  <c r="AG107" i="19"/>
  <c r="AH131" i="20"/>
  <c r="AS215" i="12"/>
  <c r="V20" i="55"/>
  <c r="V19" i="55"/>
  <c r="AC318" i="38"/>
  <c r="AC319" i="38" s="1"/>
  <c r="AC321" i="38" s="1"/>
  <c r="C88" i="15"/>
  <c r="BK86" i="45"/>
  <c r="AD171" i="29"/>
  <c r="AD174" i="29" s="1"/>
  <c r="AD170" i="29"/>
  <c r="AA201" i="28"/>
  <c r="AE177" i="48"/>
  <c r="AE182" i="48" s="1"/>
  <c r="AE176" i="48"/>
  <c r="AE181" i="48" s="1"/>
  <c r="AE179" i="48"/>
  <c r="AE178" i="48"/>
  <c r="AE183" i="48" s="1"/>
  <c r="AE175" i="48"/>
  <c r="AE180" i="48" s="1"/>
  <c r="AF173" i="19"/>
  <c r="AF247" i="38"/>
  <c r="AE280" i="38"/>
  <c r="AE281" i="38" s="1"/>
  <c r="AC142" i="14"/>
  <c r="AC226" i="14"/>
  <c r="AE157" i="48"/>
  <c r="AE162" i="48" s="1"/>
  <c r="AE158" i="48"/>
  <c r="AE163" i="48" s="1"/>
  <c r="AE156" i="48"/>
  <c r="AE161" i="48" s="1"/>
  <c r="AE155" i="48"/>
  <c r="AE160" i="48" s="1"/>
  <c r="AE159" i="48"/>
  <c r="AG231" i="53"/>
  <c r="AG232" i="53" s="1"/>
  <c r="AG233" i="53"/>
  <c r="BL83" i="45"/>
  <c r="AG216" i="54"/>
  <c r="AG215" i="54"/>
  <c r="AE33" i="46"/>
  <c r="AE39" i="46" s="1"/>
  <c r="AF75" i="45"/>
  <c r="C97" i="16"/>
  <c r="D106" i="16"/>
  <c r="D107" i="16" s="1"/>
  <c r="AE179" i="28"/>
  <c r="AE177" i="28"/>
  <c r="AE175" i="28"/>
  <c r="AE174" i="28"/>
  <c r="AE176" i="28"/>
  <c r="AE178" i="28"/>
  <c r="AG216" i="53"/>
  <c r="AG215" i="53"/>
  <c r="AB150" i="12"/>
  <c r="AB102" i="48"/>
  <c r="AB107" i="48" s="1"/>
  <c r="AB100" i="48"/>
  <c r="AB105" i="48" s="1"/>
  <c r="AB103" i="48"/>
  <c r="AB108" i="48" s="1"/>
  <c r="AB101" i="48"/>
  <c r="AB106" i="48" s="1"/>
  <c r="AB104" i="48"/>
  <c r="Z72" i="15"/>
  <c r="Y211" i="28"/>
  <c r="Z73" i="15" s="1"/>
  <c r="AC231" i="12"/>
  <c r="AC233" i="12" s="1"/>
  <c r="AC234" i="12" s="1"/>
  <c r="AC258" i="53"/>
  <c r="AC241" i="53"/>
  <c r="AC242" i="53" s="1"/>
  <c r="Y253" i="19"/>
  <c r="Z325" i="48"/>
  <c r="Z326" i="48"/>
  <c r="AD196" i="54"/>
  <c r="AD197" i="54" s="1"/>
  <c r="AE163" i="54"/>
  <c r="AF175" i="46"/>
  <c r="AF180" i="46" s="1"/>
  <c r="AF174" i="48"/>
  <c r="AF178" i="46"/>
  <c r="AF183" i="46" s="1"/>
  <c r="AF176" i="46"/>
  <c r="AF181" i="46" s="1"/>
  <c r="AF177" i="46"/>
  <c r="AF182" i="46" s="1"/>
  <c r="AF179" i="46"/>
  <c r="AG107" i="45" s="1"/>
  <c r="AC77" i="19"/>
  <c r="AD106" i="14" s="1"/>
  <c r="AD106" i="12"/>
  <c r="AB118" i="45"/>
  <c r="AD77" i="20"/>
  <c r="AD73" i="20"/>
  <c r="AD75" i="20"/>
  <c r="AD64" i="19"/>
  <c r="AE93" i="14" s="1"/>
  <c r="AD76" i="20"/>
  <c r="AD74" i="20"/>
  <c r="AD66" i="19" s="1"/>
  <c r="AF151" i="42"/>
  <c r="AF155" i="42" s="1"/>
  <c r="AF153" i="42"/>
  <c r="AF157" i="42" s="1"/>
  <c r="AF152" i="42"/>
  <c r="AF156" i="42" s="1"/>
  <c r="AF154" i="42"/>
  <c r="AC92" i="19"/>
  <c r="AD145" i="14" s="1"/>
  <c r="AD145" i="12"/>
  <c r="AE218" i="54"/>
  <c r="AE217" i="54"/>
  <c r="AE221" i="54" s="1"/>
  <c r="AF34" i="46"/>
  <c r="AG82" i="45"/>
  <c r="AG25" i="45"/>
  <c r="AG26" i="45"/>
  <c r="AG24" i="45"/>
  <c r="AH177" i="20"/>
  <c r="AG139" i="19"/>
  <c r="AB114" i="45"/>
  <c r="AC255" i="20"/>
  <c r="AC256" i="20" s="1"/>
  <c r="AD222" i="20"/>
  <c r="AC69" i="19"/>
  <c r="AD99" i="14" s="1"/>
  <c r="AD99" i="12"/>
  <c r="BM108" i="36"/>
  <c r="BM110" i="36" s="1"/>
  <c r="AG110" i="36"/>
  <c r="AF133" i="12"/>
  <c r="AE163" i="19"/>
  <c r="AF215" i="53"/>
  <c r="AF216" i="53"/>
  <c r="AF70" i="45"/>
  <c r="BM71" i="51"/>
  <c r="AC139" i="14"/>
  <c r="AC148" i="14" s="1"/>
  <c r="AC146" i="14"/>
  <c r="AL276" i="12"/>
  <c r="AG182" i="28"/>
  <c r="AE290" i="38"/>
  <c r="AE291" i="38" s="1"/>
  <c r="AE313" i="38"/>
  <c r="AE314" i="38" s="1"/>
  <c r="AH129" i="20"/>
  <c r="AG105" i="19"/>
  <c r="AC325" i="42"/>
  <c r="AC326" i="42" s="1"/>
  <c r="AC325" i="38"/>
  <c r="AC326" i="38" s="1"/>
  <c r="AD44" i="46"/>
  <c r="AD316" i="46" s="1"/>
  <c r="AD69" i="46"/>
  <c r="AD79" i="46"/>
  <c r="AD109" i="46"/>
  <c r="AD99" i="46"/>
  <c r="AE165" i="28"/>
  <c r="AE166" i="28"/>
  <c r="C97" i="15"/>
  <c r="D106" i="15"/>
  <c r="D107" i="15" s="1"/>
  <c r="BK87" i="45"/>
  <c r="AD160" i="29"/>
  <c r="AD164" i="29"/>
  <c r="AD165" i="29"/>
  <c r="AD163" i="29"/>
  <c r="AD162" i="29"/>
  <c r="AD161" i="29"/>
  <c r="AG315" i="42"/>
  <c r="AG316" i="42" s="1"/>
  <c r="AG317" i="42"/>
  <c r="AG318" i="42" s="1"/>
  <c r="AB148" i="14"/>
  <c r="AF80" i="36"/>
  <c r="AF83" i="36" s="1"/>
  <c r="AF115" i="36"/>
  <c r="BL78" i="36"/>
  <c r="AD317" i="38"/>
  <c r="AD320" i="38" s="1"/>
  <c r="AD316" i="38"/>
  <c r="AE235" i="54"/>
  <c r="AE237" i="54" s="1"/>
  <c r="AE258" i="54" s="1"/>
  <c r="AC142" i="12"/>
  <c r="BL34" i="45"/>
  <c r="Z196" i="29"/>
  <c r="AE127" i="12"/>
  <c r="AC110" i="45"/>
  <c r="AC111" i="45"/>
  <c r="AC112" i="45"/>
  <c r="AD242" i="54"/>
  <c r="AD251" i="54" s="1"/>
  <c r="BK75" i="51" s="1"/>
  <c r="AD227" i="12"/>
  <c r="AF148" i="46"/>
  <c r="AF153" i="46" s="1"/>
  <c r="AF147" i="46"/>
  <c r="AF152" i="46" s="1"/>
  <c r="AF145" i="46"/>
  <c r="AF150" i="46" s="1"/>
  <c r="AF146" i="46"/>
  <c r="AF151" i="46" s="1"/>
  <c r="AF144" i="48"/>
  <c r="AF149" i="46"/>
  <c r="AG83" i="45" s="1"/>
  <c r="AE148" i="28"/>
  <c r="AE149" i="28" s="1"/>
  <c r="AF214" i="28"/>
  <c r="AF113" i="36"/>
  <c r="AF111" i="36"/>
  <c r="AF117" i="36" s="1"/>
  <c r="AF123" i="36" s="1"/>
  <c r="AF112" i="36"/>
  <c r="Z276" i="20"/>
  <c r="Z280" i="20" s="1"/>
  <c r="Z277" i="20"/>
  <c r="AG135" i="16"/>
  <c r="AF70" i="42"/>
  <c r="AF74" i="42" s="1"/>
  <c r="AF72" i="42"/>
  <c r="AF76" i="42" s="1"/>
  <c r="AF73" i="42"/>
  <c r="AF71" i="42"/>
  <c r="AF75" i="42" s="1"/>
  <c r="AG136" i="16"/>
  <c r="AC202" i="54"/>
  <c r="AC200" i="54"/>
  <c r="AC201" i="54"/>
  <c r="AC203" i="54"/>
  <c r="AC199" i="54"/>
  <c r="AC198" i="54"/>
  <c r="AF167" i="46"/>
  <c r="AF172" i="46" s="1"/>
  <c r="AF166" i="46"/>
  <c r="AF171" i="46" s="1"/>
  <c r="AF165" i="46"/>
  <c r="AF170" i="46" s="1"/>
  <c r="AF168" i="46"/>
  <c r="AF173" i="46" s="1"/>
  <c r="AF164" i="48"/>
  <c r="AF169" i="46"/>
  <c r="AG77" i="45" s="1"/>
  <c r="AF140" i="15"/>
  <c r="W155" i="12"/>
  <c r="W10" i="55"/>
  <c r="V312" i="20"/>
  <c r="V317" i="20"/>
  <c r="AA213" i="19"/>
  <c r="AA214" i="19" s="1"/>
  <c r="AB180" i="19"/>
  <c r="BH100" i="45"/>
  <c r="BH113" i="45"/>
  <c r="BM85" i="36"/>
  <c r="BM86" i="36" s="1"/>
  <c r="BM89" i="36" s="1"/>
  <c r="AG86" i="36"/>
  <c r="AG89" i="36" s="1"/>
  <c r="AD105" i="14"/>
  <c r="AC90" i="19"/>
  <c r="AD143" i="14" s="1"/>
  <c r="AD143" i="12"/>
  <c r="BM23" i="45"/>
  <c r="AG233" i="54"/>
  <c r="AB259" i="20"/>
  <c r="AB257" i="20"/>
  <c r="AB261" i="20"/>
  <c r="AB258" i="20"/>
  <c r="AB260" i="20"/>
  <c r="AB262" i="20"/>
  <c r="BM33" i="45"/>
  <c r="AE144" i="12"/>
  <c r="AD91" i="19"/>
  <c r="AE144" i="14" s="1"/>
  <c r="AA250" i="19"/>
  <c r="AA249" i="19"/>
  <c r="Y345" i="48"/>
  <c r="T159" i="14"/>
  <c r="AG139" i="16"/>
  <c r="AE302" i="42"/>
  <c r="AE301" i="42"/>
  <c r="AE305" i="42" s="1"/>
  <c r="AA337" i="42"/>
  <c r="AA342" i="42"/>
  <c r="AB325" i="42"/>
  <c r="AB326" i="42" s="1"/>
  <c r="BL117" i="36"/>
  <c r="BL123" i="36" s="1"/>
  <c r="AC152" i="12"/>
  <c r="X160" i="14"/>
  <c r="BM99" i="36"/>
  <c r="BM102" i="36" s="1"/>
  <c r="AG102" i="36"/>
  <c r="AH132" i="20"/>
  <c r="AG108" i="19"/>
  <c r="X85" i="16"/>
  <c r="X87" i="16"/>
  <c r="X83" i="16"/>
  <c r="AS106" i="16"/>
  <c r="AH139" i="16"/>
  <c r="AD185" i="28"/>
  <c r="AD186" i="28" s="1"/>
  <c r="BK84" i="45"/>
  <c r="AG34" i="45"/>
  <c r="AA325" i="46"/>
  <c r="AA326" i="46"/>
  <c r="AF191" i="42"/>
  <c r="AF195" i="42" s="1"/>
  <c r="AF189" i="42"/>
  <c r="AF193" i="42" s="1"/>
  <c r="AF190" i="42"/>
  <c r="AF194" i="42" s="1"/>
  <c r="AF192" i="42"/>
  <c r="BA15" i="55"/>
  <c r="BA13" i="55"/>
  <c r="BA12" i="55"/>
  <c r="BA14" i="55"/>
  <c r="BA16" i="55"/>
  <c r="BA11" i="55"/>
  <c r="BJ128" i="36"/>
  <c r="AE128" i="36"/>
  <c r="AC71" i="19"/>
  <c r="AD116" i="14" s="1"/>
  <c r="AD116" i="12"/>
  <c r="AD307" i="38"/>
  <c r="AD311" i="38"/>
  <c r="AD309" i="38"/>
  <c r="AD310" i="38"/>
  <c r="AD308" i="38"/>
  <c r="AD306" i="38"/>
  <c r="AF96" i="20"/>
  <c r="BL25" i="45"/>
  <c r="BL82" i="45"/>
  <c r="AE34" i="48"/>
  <c r="BL24" i="45"/>
  <c r="BL26" i="45"/>
  <c r="BL57" i="45"/>
  <c r="AC271" i="20"/>
  <c r="AC269" i="20"/>
  <c r="AC268" i="20"/>
  <c r="AC270" i="20"/>
  <c r="X363" i="48"/>
  <c r="BE120" i="45" s="1"/>
  <c r="X361" i="48"/>
  <c r="AC221" i="19"/>
  <c r="AC272" i="19"/>
  <c r="AC273" i="19"/>
  <c r="AC222" i="19"/>
  <c r="BJ4" i="55"/>
  <c r="AC225" i="19"/>
  <c r="Y346" i="46"/>
  <c r="Y347" i="46" s="1"/>
  <c r="Y349" i="46" s="1"/>
  <c r="BH109" i="45"/>
  <c r="Z191" i="29"/>
  <c r="AB180" i="29"/>
  <c r="AB189" i="29" s="1"/>
  <c r="AC70" i="16" s="1"/>
  <c r="AF158" i="28"/>
  <c r="AF159" i="28" s="1"/>
  <c r="AF181" i="28"/>
  <c r="AF182" i="28" s="1"/>
  <c r="AE290" i="42"/>
  <c r="AE291" i="42" s="1"/>
  <c r="AE313" i="42"/>
  <c r="AE314" i="42" s="1"/>
  <c r="AE29" i="19"/>
  <c r="AE42" i="19"/>
  <c r="AE54" i="19" s="1"/>
  <c r="Z71" i="15"/>
  <c r="AC153" i="14"/>
  <c r="AC98" i="14"/>
  <c r="AD153" i="28"/>
  <c r="AD155" i="28"/>
  <c r="AD150" i="28"/>
  <c r="AD152" i="28"/>
  <c r="AD154" i="28"/>
  <c r="AD151" i="28"/>
  <c r="AA318" i="48"/>
  <c r="AA319" i="48" s="1"/>
  <c r="AA341" i="48"/>
  <c r="AA342" i="48" s="1"/>
  <c r="AD134" i="29"/>
  <c r="AD135" i="29" s="1"/>
  <c r="AE101" i="29"/>
  <c r="AG133" i="15" a="1"/>
  <c r="AG133" i="15" s="1"/>
  <c r="AG134" i="15"/>
  <c r="AG68" i="15"/>
  <c r="AG77" i="15" s="1"/>
  <c r="AC317" i="46"/>
  <c r="AC320" i="46"/>
  <c r="AE302" i="38"/>
  <c r="AE301" i="38"/>
  <c r="AE305" i="38" s="1"/>
  <c r="W119" i="45"/>
  <c r="V365" i="46"/>
  <c r="V370" i="46"/>
  <c r="AF243" i="42"/>
  <c r="AF246" i="42"/>
  <c r="AC97" i="14"/>
  <c r="AC154" i="14"/>
  <c r="AC189" i="28"/>
  <c r="AF106" i="19"/>
  <c r="Z215" i="19"/>
  <c r="Z219" i="19"/>
  <c r="Z217" i="19"/>
  <c r="Z220" i="19"/>
  <c r="Z216" i="19"/>
  <c r="Z218" i="19"/>
  <c r="CL15" i="55"/>
  <c r="CL12" i="55"/>
  <c r="CL16" i="55"/>
  <c r="CL14" i="55"/>
  <c r="CL11" i="55"/>
  <c r="CL19" i="55" s="1"/>
  <c r="CL13" i="55"/>
  <c r="AD109" i="14"/>
  <c r="AB116" i="45"/>
  <c r="AA230" i="19"/>
  <c r="AA231" i="19"/>
  <c r="AB318" i="46"/>
  <c r="AB319" i="46" s="1"/>
  <c r="AB341" i="46"/>
  <c r="AB342" i="46" s="1"/>
  <c r="AC9" i="55"/>
  <c r="AF300" i="38"/>
  <c r="AF299" i="38"/>
  <c r="AC91" i="19"/>
  <c r="AD144" i="14" s="1"/>
  <c r="AD144" i="12"/>
  <c r="BL108" i="45"/>
  <c r="AG73" i="51"/>
  <c r="BM91" i="36"/>
  <c r="BM93" i="36" s="1"/>
  <c r="BM96" i="36" s="1"/>
  <c r="AG93" i="36"/>
  <c r="AG96" i="36" s="1"/>
  <c r="BK59" i="45"/>
  <c r="BK72" i="45" s="1"/>
  <c r="BK60" i="45"/>
  <c r="BK104" i="45"/>
  <c r="AD37" i="48"/>
  <c r="BK58" i="45"/>
  <c r="AB279" i="20"/>
  <c r="AB278" i="20"/>
  <c r="AF163" i="19"/>
  <c r="AA290" i="20"/>
  <c r="AA291" i="20" s="1"/>
  <c r="AA292" i="20"/>
  <c r="Z232" i="19"/>
  <c r="Z233" i="19"/>
  <c r="BK70" i="45"/>
  <c r="BM30" i="45"/>
  <c r="AF217" i="46"/>
  <c r="AF222" i="46" s="1"/>
  <c r="AF220" i="46"/>
  <c r="AF225" i="46" s="1"/>
  <c r="AF218" i="46"/>
  <c r="AF223" i="46" s="1"/>
  <c r="AF219" i="46"/>
  <c r="AF224" i="46" s="1"/>
  <c r="AF216" i="48"/>
  <c r="AF221" i="46"/>
  <c r="AG99" i="45" s="1"/>
  <c r="AE140" i="12"/>
  <c r="AD89" i="19"/>
  <c r="AE140" i="14" s="1"/>
  <c r="AE47" i="20"/>
  <c r="AE218" i="20" s="1"/>
  <c r="AE221" i="20"/>
  <c r="AF93" i="12"/>
  <c r="AE72" i="20"/>
  <c r="AE220" i="20" s="1"/>
  <c r="AB317" i="48"/>
  <c r="AB320" i="48"/>
  <c r="AA324" i="48"/>
  <c r="AA321" i="48"/>
  <c r="AA322" i="48"/>
  <c r="AA323" i="48"/>
  <c r="AH56" i="45"/>
  <c r="AH55" i="45"/>
  <c r="X353" i="46"/>
  <c r="X354" i="46" s="1"/>
  <c r="AD167" i="28"/>
  <c r="AD168" i="28"/>
  <c r="AZ7" i="55"/>
  <c r="AC318" i="42"/>
  <c r="AC319" i="42" s="1"/>
  <c r="AC321" i="42" s="1"/>
  <c r="AE171" i="28"/>
  <c r="AE183" i="28" s="1"/>
  <c r="AE184" i="28" s="1"/>
  <c r="AE172" i="28"/>
  <c r="AQ126" i="15"/>
  <c r="Y251" i="19"/>
  <c r="Y252" i="19" s="1"/>
  <c r="Y254" i="19" s="1"/>
  <c r="AB225" i="14" a="1"/>
  <c r="AB225" i="14" s="1"/>
  <c r="AF198" i="42"/>
  <c r="AF202" i="42" s="1"/>
  <c r="AF199" i="42"/>
  <c r="AF203" i="42" s="1"/>
  <c r="AF197" i="42"/>
  <c r="AF201" i="42" s="1"/>
  <c r="AF200" i="42"/>
  <c r="BA125" i="45"/>
  <c r="T371" i="48"/>
  <c r="BA126" i="45" s="1"/>
  <c r="AG135" i="15"/>
  <c r="AC73" i="19"/>
  <c r="AD120" i="14" s="1"/>
  <c r="AD120" i="12"/>
  <c r="BC124" i="45"/>
  <c r="BC123" i="45"/>
  <c r="BC121" i="45"/>
  <c r="AA333" i="38"/>
  <c r="AF206" i="53"/>
  <c r="AF207" i="53" s="1"/>
  <c r="AF229" i="53"/>
  <c r="AF230" i="53" s="1"/>
  <c r="AB150" i="14"/>
  <c r="AD4" i="55"/>
  <c r="AB83" i="48"/>
  <c r="AB88" i="48" s="1"/>
  <c r="AB81" i="48"/>
  <c r="AB86" i="48" s="1"/>
  <c r="AB80" i="48"/>
  <c r="AB85" i="48" s="1"/>
  <c r="AB82" i="48"/>
  <c r="AB87" i="48" s="1"/>
  <c r="AB84" i="48"/>
  <c r="AD285" i="42"/>
  <c r="AD284" i="42"/>
  <c r="AD287" i="42"/>
  <c r="AD282" i="42"/>
  <c r="AD286" i="42"/>
  <c r="AD283" i="42"/>
  <c r="AG68" i="45"/>
  <c r="AC149" i="12"/>
  <c r="AQ106" i="16"/>
  <c r="X81" i="16"/>
  <c r="AH135" i="16"/>
  <c r="AA71" i="16"/>
  <c r="AB253" i="54"/>
  <c r="AE185" i="28"/>
  <c r="AB229" i="19"/>
  <c r="AB226" i="19"/>
  <c r="AB227" i="19"/>
  <c r="AB228" i="19"/>
  <c r="AC153" i="12"/>
  <c r="AC98" i="12"/>
  <c r="AG299" i="42"/>
  <c r="AG300" i="42"/>
  <c r="AC139" i="29"/>
  <c r="AC138" i="29"/>
  <c r="AC137" i="29"/>
  <c r="AC141" i="29"/>
  <c r="AC136" i="29"/>
  <c r="AC140" i="29"/>
  <c r="BI111" i="45"/>
  <c r="AC70" i="46"/>
  <c r="AC75" i="46" s="1"/>
  <c r="AC73" i="46"/>
  <c r="AC78" i="46" s="1"/>
  <c r="AC72" i="46"/>
  <c r="AC77" i="46" s="1"/>
  <c r="AC71" i="46"/>
  <c r="AC76" i="46" s="1"/>
  <c r="AC74" i="46"/>
  <c r="AD76" i="45" s="1"/>
  <c r="AC69" i="48"/>
  <c r="Z294" i="20"/>
  <c r="Z296" i="20" s="1"/>
  <c r="Z295" i="20"/>
  <c r="W122" i="45"/>
  <c r="AF116" i="36"/>
  <c r="Z332" i="48"/>
  <c r="Z331" i="48"/>
  <c r="Z343" i="48" s="1"/>
  <c r="Z344" i="48" s="1"/>
  <c r="AC172" i="29"/>
  <c r="AC173" i="29" s="1"/>
  <c r="AC175" i="29" s="1"/>
  <c r="AC154" i="12"/>
  <c r="AC97" i="12"/>
  <c r="AC169" i="28"/>
  <c r="AC173" i="28" s="1"/>
  <c r="AC170" i="28"/>
  <c r="AD95" i="20"/>
  <c r="AD87" i="19" s="1"/>
  <c r="AD82" i="19"/>
  <c r="AE124" i="14" s="1"/>
  <c r="AD92" i="20"/>
  <c r="AD91" i="20"/>
  <c r="AD94" i="20"/>
  <c r="AD93" i="20"/>
  <c r="AA275" i="48"/>
  <c r="Z308" i="48"/>
  <c r="Z309" i="48" s="1"/>
  <c r="CM9" i="55"/>
  <c r="AD105" i="12"/>
  <c r="AD314" i="20"/>
  <c r="AD264" i="20"/>
  <c r="AD315" i="20"/>
  <c r="AD263" i="20"/>
  <c r="AD267" i="20"/>
  <c r="BI97" i="45"/>
  <c r="AC100" i="45"/>
  <c r="AC113" i="45"/>
  <c r="AC89" i="19"/>
  <c r="AD140" i="14" s="1"/>
  <c r="AD140" i="12"/>
  <c r="X83" i="15"/>
  <c r="X85" i="15"/>
  <c r="X87" i="15"/>
  <c r="AH139" i="15"/>
  <c r="AS106" i="15"/>
  <c r="AH135" i="14"/>
  <c r="AH176" i="20"/>
  <c r="AG138" i="19"/>
  <c r="W159" i="14"/>
  <c r="AC65" i="19"/>
  <c r="AD96" i="14" s="1"/>
  <c r="AD96" i="12"/>
  <c r="AF210" i="46"/>
  <c r="AF215" i="46" s="1"/>
  <c r="AF209" i="46"/>
  <c r="AF214" i="46" s="1"/>
  <c r="AF208" i="46"/>
  <c r="AF213" i="46" s="1"/>
  <c r="AF211" i="46"/>
  <c r="AG89" i="45" s="1"/>
  <c r="AF207" i="46"/>
  <c r="AF212" i="46" s="1"/>
  <c r="AF206" i="48"/>
  <c r="AD92" i="19"/>
  <c r="AE145" i="14" s="1"/>
  <c r="AE145" i="12"/>
  <c r="AC148" i="12"/>
  <c r="AF151" i="29"/>
  <c r="AF152" i="29"/>
  <c r="AF138" i="19"/>
  <c r="CR4" i="55"/>
  <c r="AE31" i="20"/>
  <c r="AE253" i="20"/>
  <c r="AB271" i="48"/>
  <c r="AG150" i="29"/>
  <c r="AG147" i="29"/>
  <c r="AG148" i="29"/>
  <c r="AG149" i="29"/>
  <c r="Z250" i="19"/>
  <c r="Z251" i="19" s="1"/>
  <c r="AG106" i="19"/>
  <c r="AH130" i="20"/>
  <c r="BL68" i="45"/>
  <c r="AD131" i="12"/>
  <c r="AC84" i="19"/>
  <c r="AD131" i="14" s="1"/>
  <c r="AC203" i="28"/>
  <c r="AD70" i="15" s="1"/>
  <c r="AC201" i="28"/>
  <c r="AE218" i="53"/>
  <c r="AE217" i="53"/>
  <c r="AE221" i="53" s="1"/>
  <c r="AD33" i="48"/>
  <c r="AD39" i="48" s="1"/>
  <c r="BK75" i="45"/>
  <c r="X81" i="15"/>
  <c r="AQ106" i="15"/>
  <c r="AH135" i="15"/>
  <c r="BL107" i="45"/>
  <c r="AB281" i="20"/>
  <c r="AB286" i="20"/>
  <c r="AB284" i="20"/>
  <c r="AB282" i="20"/>
  <c r="AB283" i="20"/>
  <c r="AB285" i="20"/>
  <c r="AG114" i="36"/>
  <c r="BM79" i="36"/>
  <c r="AG135" i="14"/>
  <c r="AC74" i="19"/>
  <c r="AD121" i="14" s="1"/>
  <c r="AD121" i="12"/>
  <c r="X310" i="20"/>
  <c r="Y156" i="12" s="1"/>
  <c r="X308" i="20"/>
  <c r="AE146" i="48"/>
  <c r="AE151" i="48" s="1"/>
  <c r="AE147" i="48"/>
  <c r="AE152" i="48" s="1"/>
  <c r="AE148" i="48"/>
  <c r="AE153" i="48" s="1"/>
  <c r="AE145" i="48"/>
  <c r="AE150" i="48" s="1"/>
  <c r="AE149" i="48"/>
  <c r="AD83" i="20"/>
  <c r="AD75" i="19" s="1"/>
  <c r="AD70" i="19"/>
  <c r="AE114" i="14" s="1"/>
  <c r="AE114" i="12"/>
  <c r="AD79" i="20"/>
  <c r="AD81" i="20"/>
  <c r="AD82" i="20"/>
  <c r="AD80" i="20"/>
  <c r="AG139" i="15"/>
  <c r="BK115" i="36"/>
  <c r="BK116" i="36" s="1"/>
  <c r="BK80" i="36"/>
  <c r="BK83" i="36" s="1"/>
  <c r="BK119" i="36" s="1"/>
  <c r="AF247" i="42"/>
  <c r="AE280" i="42"/>
  <c r="AE281" i="42" s="1"/>
  <c r="AC149" i="14"/>
  <c r="BI76" i="51"/>
  <c r="AG124" i="12" l="1"/>
  <c r="AE4" i="55"/>
  <c r="AB233" i="14"/>
  <c r="AB234" i="14" s="1"/>
  <c r="AD148" i="12"/>
  <c r="AF78" i="20"/>
  <c r="AA345" i="46"/>
  <c r="AA346" i="46" s="1"/>
  <c r="AA347" i="46" s="1"/>
  <c r="AA251" i="19"/>
  <c r="AE57" i="19"/>
  <c r="BA6" i="55"/>
  <c r="AE50" i="19"/>
  <c r="BC6" i="55"/>
  <c r="AD266" i="20"/>
  <c r="AD283" i="20" s="1"/>
  <c r="BM67" i="45"/>
  <c r="AE52" i="19"/>
  <c r="AE49" i="19" s="1"/>
  <c r="AE177" i="19" s="1"/>
  <c r="AE55" i="19"/>
  <c r="AH57" i="45"/>
  <c r="AG37" i="46" s="1"/>
  <c r="AE58" i="19"/>
  <c r="AE53" i="19"/>
  <c r="AE51" i="19"/>
  <c r="AD176" i="19"/>
  <c r="BA7" i="55"/>
  <c r="AD271" i="46"/>
  <c r="AE188" i="28"/>
  <c r="AE193" i="28" s="1"/>
  <c r="AA253" i="19"/>
  <c r="AA258" i="19" s="1"/>
  <c r="AA259" i="19" s="1"/>
  <c r="BM114" i="36"/>
  <c r="AB239" i="19"/>
  <c r="AB241" i="19"/>
  <c r="AB243" i="19"/>
  <c r="AB242" i="19"/>
  <c r="AB244" i="19"/>
  <c r="AB240" i="19"/>
  <c r="BL77" i="51"/>
  <c r="AE259" i="54"/>
  <c r="BL78" i="51" s="1"/>
  <c r="AD152" i="14"/>
  <c r="AD259" i="53"/>
  <c r="AE78" i="51" s="1"/>
  <c r="AE77" i="51"/>
  <c r="AD72" i="19"/>
  <c r="AE119" i="14" s="1"/>
  <c r="AE119" i="12"/>
  <c r="AG247" i="42"/>
  <c r="AG280" i="42" s="1"/>
  <c r="AG281" i="42" s="1"/>
  <c r="AF280" i="42"/>
  <c r="AF281" i="42" s="1"/>
  <c r="AD74" i="19"/>
  <c r="AE121" i="14" s="1"/>
  <c r="AE121" i="12"/>
  <c r="Y162" i="12"/>
  <c r="Y158" i="12"/>
  <c r="AF208" i="48"/>
  <c r="AF213" i="48" s="1"/>
  <c r="AF207" i="48"/>
  <c r="AF212" i="48" s="1"/>
  <c r="AF209" i="48"/>
  <c r="AF214" i="48" s="1"/>
  <c r="AF210" i="48"/>
  <c r="AF215" i="48" s="1"/>
  <c r="AF211" i="48"/>
  <c r="AD149" i="12"/>
  <c r="AE132" i="12"/>
  <c r="AD85" i="19"/>
  <c r="AE132" i="14" s="1"/>
  <c r="AC70" i="48"/>
  <c r="AC75" i="48" s="1"/>
  <c r="AC71" i="48"/>
  <c r="AC76" i="48" s="1"/>
  <c r="AC72" i="48"/>
  <c r="AC77" i="48" s="1"/>
  <c r="AC73" i="48"/>
  <c r="AC78" i="48" s="1"/>
  <c r="AC74" i="48"/>
  <c r="AF222" i="53"/>
  <c r="AF226" i="53"/>
  <c r="AF224" i="53"/>
  <c r="AF223" i="53"/>
  <c r="AF227" i="53"/>
  <c r="AF225" i="53"/>
  <c r="AE265" i="20"/>
  <c r="AE288" i="20"/>
  <c r="AE289" i="20" s="1"/>
  <c r="AF217" i="48"/>
  <c r="AF222" i="48" s="1"/>
  <c r="AF218" i="48"/>
  <c r="AF223" i="48" s="1"/>
  <c r="AF219" i="48"/>
  <c r="AF224" i="48" s="1"/>
  <c r="AF221" i="48"/>
  <c r="AF220" i="48"/>
  <c r="AF225" i="48" s="1"/>
  <c r="AC150" i="14"/>
  <c r="AG140" i="15"/>
  <c r="AE306" i="42"/>
  <c r="AE311" i="42"/>
  <c r="AE310" i="42"/>
  <c r="AE308" i="42"/>
  <c r="AE307" i="42"/>
  <c r="AE309" i="42"/>
  <c r="BE119" i="45"/>
  <c r="X370" i="48"/>
  <c r="BE125" i="45" s="1"/>
  <c r="X365" i="48"/>
  <c r="AF101" i="20"/>
  <c r="AF93" i="19" s="1"/>
  <c r="AG136" i="12"/>
  <c r="AF100" i="20"/>
  <c r="AF88" i="19"/>
  <c r="AF97" i="20"/>
  <c r="AF99" i="20"/>
  <c r="AF98" i="20"/>
  <c r="AG236" i="54"/>
  <c r="BH115" i="45"/>
  <c r="W164" i="12"/>
  <c r="V318" i="20"/>
  <c r="W165" i="12" s="1"/>
  <c r="BM83" i="45"/>
  <c r="AE33" i="48"/>
  <c r="AE39" i="48" s="1"/>
  <c r="BL75" i="45"/>
  <c r="AD318" i="38"/>
  <c r="AD319" i="38" s="1"/>
  <c r="AD321" i="38" s="1"/>
  <c r="AD317" i="46"/>
  <c r="AD320" i="46"/>
  <c r="AD152" i="12"/>
  <c r="AG71" i="45"/>
  <c r="AG85" i="45"/>
  <c r="AD141" i="12"/>
  <c r="AE147" i="14"/>
  <c r="AE95" i="14"/>
  <c r="AG217" i="54"/>
  <c r="AG221" i="54" s="1"/>
  <c r="AG218" i="54"/>
  <c r="AC225" i="14" a="1"/>
  <c r="AC225" i="14" s="1"/>
  <c r="AE287" i="38"/>
  <c r="AE283" i="38"/>
  <c r="AE282" i="38"/>
  <c r="AE284" i="38"/>
  <c r="AE285" i="38"/>
  <c r="AE286" i="38"/>
  <c r="AC232" i="12"/>
  <c r="CS4" i="55"/>
  <c r="AF31" i="20"/>
  <c r="AF253" i="20"/>
  <c r="AF163" i="53"/>
  <c r="AE196" i="53"/>
  <c r="AE197" i="53" s="1"/>
  <c r="AE91" i="19"/>
  <c r="AF144" i="14" s="1"/>
  <c r="AF144" i="12"/>
  <c r="AF105" i="12"/>
  <c r="AB69" i="16"/>
  <c r="AA196" i="29"/>
  <c r="AA191" i="29"/>
  <c r="AA276" i="20"/>
  <c r="AA280" i="20" s="1"/>
  <c r="AA277" i="20"/>
  <c r="AD129" i="14"/>
  <c r="AE231" i="12"/>
  <c r="AE73" i="19"/>
  <c r="AF120" i="14" s="1"/>
  <c r="AF120" i="12"/>
  <c r="AD226" i="14"/>
  <c r="AF223" i="54"/>
  <c r="AF225" i="54"/>
  <c r="AF227" i="54"/>
  <c r="AF222" i="54"/>
  <c r="AF224" i="54"/>
  <c r="AF226" i="54"/>
  <c r="AD107" i="14"/>
  <c r="BJ106" i="45"/>
  <c r="AD109" i="45"/>
  <c r="W363" i="48"/>
  <c r="BD120" i="45" s="1"/>
  <c r="W361" i="48"/>
  <c r="AF302" i="42"/>
  <c r="AF301" i="42"/>
  <c r="AF305" i="42" s="1"/>
  <c r="AE160" i="29"/>
  <c r="AE163" i="29"/>
  <c r="AE165" i="29"/>
  <c r="AE164" i="29"/>
  <c r="AE162" i="29"/>
  <c r="AE161" i="29"/>
  <c r="BC19" i="55"/>
  <c r="BC20" i="55"/>
  <c r="AG140" i="16"/>
  <c r="AB308" i="46"/>
  <c r="AB309" i="46" s="1"/>
  <c r="AC275" i="46"/>
  <c r="X155" i="12"/>
  <c r="X10" i="55"/>
  <c r="W312" i="20"/>
  <c r="W317" i="20"/>
  <c r="AD98" i="12"/>
  <c r="AD153" i="12"/>
  <c r="AF131" i="12"/>
  <c r="AE84" i="19"/>
  <c r="AF131" i="14" s="1"/>
  <c r="AF144" i="29"/>
  <c r="AF145" i="29" s="1"/>
  <c r="AF167" i="29"/>
  <c r="AF168" i="29" s="1"/>
  <c r="AG29" i="19"/>
  <c r="AG42" i="19"/>
  <c r="AG50" i="19" s="1"/>
  <c r="X160" i="12"/>
  <c r="AD73" i="19"/>
  <c r="AE120" i="14" s="1"/>
  <c r="AE120" i="12"/>
  <c r="AD149" i="14"/>
  <c r="AD86" i="19"/>
  <c r="AE133" i="14" s="1"/>
  <c r="AE133" i="12"/>
  <c r="BJ76" i="45"/>
  <c r="AD78" i="45"/>
  <c r="AB120" i="36"/>
  <c r="AA342" i="38"/>
  <c r="AA337" i="38"/>
  <c r="AD118" i="12"/>
  <c r="AD169" i="28"/>
  <c r="AD173" i="28" s="1"/>
  <c r="AD170" i="28"/>
  <c r="AA325" i="48"/>
  <c r="AA326" i="48"/>
  <c r="AB323" i="48"/>
  <c r="AB322" i="48"/>
  <c r="AB321" i="48"/>
  <c r="AB324" i="48"/>
  <c r="AE314" i="20"/>
  <c r="AE263" i="20"/>
  <c r="AE264" i="20"/>
  <c r="AE315" i="20"/>
  <c r="AE267" i="20"/>
  <c r="AB334" i="46"/>
  <c r="AB337" i="46"/>
  <c r="AB338" i="46"/>
  <c r="AB336" i="46"/>
  <c r="AB335" i="46"/>
  <c r="AB339" i="46"/>
  <c r="W123" i="45"/>
  <c r="W124" i="45"/>
  <c r="W121" i="45"/>
  <c r="BE122" i="45"/>
  <c r="BL87" i="45"/>
  <c r="AA327" i="46"/>
  <c r="AA328" i="46"/>
  <c r="Y348" i="48"/>
  <c r="AF34" i="48"/>
  <c r="BM82" i="45"/>
  <c r="BM25" i="45"/>
  <c r="BM26" i="45"/>
  <c r="BM24" i="45"/>
  <c r="AF148" i="48"/>
  <c r="AF153" i="48" s="1"/>
  <c r="AF146" i="48"/>
  <c r="AF151" i="48" s="1"/>
  <c r="AF147" i="48"/>
  <c r="AF152" i="48" s="1"/>
  <c r="AF149" i="48"/>
  <c r="AF145" i="48"/>
  <c r="AF150" i="48" s="1"/>
  <c r="AD325" i="38"/>
  <c r="AD326" i="38" s="1"/>
  <c r="AE167" i="28"/>
  <c r="AE168" i="28"/>
  <c r="AE316" i="38"/>
  <c r="AE317" i="38"/>
  <c r="AE320" i="38" s="1"/>
  <c r="AF129" i="12"/>
  <c r="AG87" i="45"/>
  <c r="AG73" i="45"/>
  <c r="AD141" i="14"/>
  <c r="AE100" i="12"/>
  <c r="AD67" i="19"/>
  <c r="AE100" i="14" s="1"/>
  <c r="AE196" i="54"/>
  <c r="AE197" i="54" s="1"/>
  <c r="AF163" i="54"/>
  <c r="AC259" i="53"/>
  <c r="AD78" i="51" s="1"/>
  <c r="AD77" i="51"/>
  <c r="AG247" i="38"/>
  <c r="AG280" i="38" s="1"/>
  <c r="AG281" i="38" s="1"/>
  <c r="AF280" i="38"/>
  <c r="AF281" i="38" s="1"/>
  <c r="AD179" i="29"/>
  <c r="AD180" i="29" s="1"/>
  <c r="Z347" i="46"/>
  <c r="Z348" i="46"/>
  <c r="AF84" i="45"/>
  <c r="BB13" i="55"/>
  <c r="BB14" i="55"/>
  <c r="BB15" i="55"/>
  <c r="BB11" i="55"/>
  <c r="BB16" i="55"/>
  <c r="BB12" i="55"/>
  <c r="X119" i="45"/>
  <c r="W365" i="46"/>
  <c r="W370" i="46"/>
  <c r="AE92" i="19"/>
  <c r="AF145" i="14" s="1"/>
  <c r="AF145" i="12"/>
  <c r="AC118" i="45"/>
  <c r="AF290" i="38"/>
  <c r="AF291" i="38" s="1"/>
  <c r="AF313" i="38"/>
  <c r="AF314" i="38" s="1"/>
  <c r="AE79" i="19"/>
  <c r="AF110" i="14" s="1"/>
  <c r="AF110" i="12"/>
  <c r="AH67" i="45"/>
  <c r="CE8" i="45"/>
  <c r="AH23" i="45"/>
  <c r="CF8" i="45"/>
  <c r="AH34" i="45"/>
  <c r="X88" i="15"/>
  <c r="N85" i="15" s="1"/>
  <c r="AE74" i="19"/>
  <c r="AF121" i="14" s="1"/>
  <c r="AF121" i="12"/>
  <c r="AB115" i="45"/>
  <c r="AC101" i="48"/>
  <c r="AC106" i="48" s="1"/>
  <c r="AC103" i="48"/>
  <c r="AC108" i="48" s="1"/>
  <c r="AC102" i="48"/>
  <c r="AC107" i="48" s="1"/>
  <c r="AC104" i="48"/>
  <c r="AC100" i="48"/>
  <c r="AC105" i="48" s="1"/>
  <c r="BI91" i="45"/>
  <c r="BI114" i="45" s="1"/>
  <c r="AA72" i="15"/>
  <c r="Z211" i="28"/>
  <c r="AA73" i="15" s="1"/>
  <c r="AC82" i="48"/>
  <c r="AC87" i="48" s="1"/>
  <c r="AC81" i="48"/>
  <c r="AC86" i="48" s="1"/>
  <c r="AC83" i="48"/>
  <c r="AC88" i="48" s="1"/>
  <c r="AC80" i="48"/>
  <c r="AC85" i="48" s="1"/>
  <c r="AC84" i="48"/>
  <c r="AA313" i="46"/>
  <c r="AA314" i="46"/>
  <c r="AA310" i="46"/>
  <c r="AA312" i="46"/>
  <c r="AA315" i="46"/>
  <c r="AA311" i="46"/>
  <c r="AD80" i="19"/>
  <c r="AE111" i="14" s="1"/>
  <c r="AE111" i="12"/>
  <c r="AE241" i="53"/>
  <c r="AD325" i="42"/>
  <c r="BN30" i="45"/>
  <c r="BM57" i="45"/>
  <c r="AD153" i="14"/>
  <c r="AD98" i="14"/>
  <c r="AE85" i="19"/>
  <c r="AF132" i="14" s="1"/>
  <c r="AF132" i="12"/>
  <c r="AC114" i="45"/>
  <c r="AF29" i="19"/>
  <c r="AF42" i="19"/>
  <c r="AF53" i="19" s="1"/>
  <c r="AD44" i="48"/>
  <c r="AD316" i="48" s="1"/>
  <c r="BK128" i="36"/>
  <c r="AD71" i="19"/>
  <c r="AE116" i="14" s="1"/>
  <c r="AE116" i="12"/>
  <c r="AD117" i="12"/>
  <c r="AG157" i="29"/>
  <c r="AG169" i="29" s="1"/>
  <c r="AG170" i="29" s="1"/>
  <c r="AG158" i="29"/>
  <c r="BM89" i="45"/>
  <c r="AE128" i="12"/>
  <c r="AD83" i="19"/>
  <c r="AE128" i="14" s="1"/>
  <c r="AC150" i="12"/>
  <c r="AF128" i="36"/>
  <c r="AB230" i="19"/>
  <c r="AB231" i="19"/>
  <c r="AD118" i="14"/>
  <c r="X363" i="46"/>
  <c r="Y120" i="45" s="1"/>
  <c r="X361" i="46"/>
  <c r="AA232" i="19"/>
  <c r="AA233" i="19"/>
  <c r="AG141" i="15"/>
  <c r="AG142" i="15" s="1"/>
  <c r="AF174" i="28"/>
  <c r="AF175" i="28"/>
  <c r="AF177" i="28"/>
  <c r="AF176" i="28"/>
  <c r="AF179" i="28"/>
  <c r="AF178" i="28"/>
  <c r="AC227" i="19"/>
  <c r="AC226" i="19"/>
  <c r="AC229" i="19"/>
  <c r="AC228" i="19"/>
  <c r="AC272" i="20"/>
  <c r="AC273" i="20"/>
  <c r="BL85" i="45"/>
  <c r="BA19" i="55"/>
  <c r="BA20" i="55"/>
  <c r="W13" i="55"/>
  <c r="W11" i="55"/>
  <c r="W14" i="55"/>
  <c r="W12" i="55"/>
  <c r="W15" i="55"/>
  <c r="W16" i="55"/>
  <c r="AE186" i="28"/>
  <c r="AE187" i="28" s="1"/>
  <c r="AE306" i="38"/>
  <c r="AE308" i="38"/>
  <c r="AE311" i="38"/>
  <c r="AE307" i="38"/>
  <c r="AE310" i="38"/>
  <c r="AE309" i="38"/>
  <c r="BM73" i="51"/>
  <c r="T161" i="14"/>
  <c r="AD255" i="20"/>
  <c r="AD256" i="20" s="1"/>
  <c r="AE222" i="20"/>
  <c r="AG86" i="45"/>
  <c r="AG72" i="45"/>
  <c r="AE96" i="12"/>
  <c r="AD65" i="19"/>
  <c r="AE96" i="14" s="1"/>
  <c r="AD202" i="54"/>
  <c r="AD203" i="54"/>
  <c r="AD201" i="54"/>
  <c r="AD199" i="54"/>
  <c r="AD200" i="54"/>
  <c r="AD198" i="54"/>
  <c r="AE69" i="46"/>
  <c r="AE99" i="46"/>
  <c r="AE44" i="46"/>
  <c r="AE316" i="46" s="1"/>
  <c r="AE79" i="46"/>
  <c r="AE109" i="46"/>
  <c r="BB125" i="45"/>
  <c r="U371" i="48"/>
  <c r="BB126" i="45" s="1"/>
  <c r="X122" i="45"/>
  <c r="AF156" i="48"/>
  <c r="AF161" i="48" s="1"/>
  <c r="AF157" i="48"/>
  <c r="AF162" i="48" s="1"/>
  <c r="AF155" i="48"/>
  <c r="AF160" i="48" s="1"/>
  <c r="AF159" i="48"/>
  <c r="AF158" i="48"/>
  <c r="AF163" i="48" s="1"/>
  <c r="AB194" i="28"/>
  <c r="AB203" i="28" s="1"/>
  <c r="AC70" i="15" s="1"/>
  <c r="AE77" i="19"/>
  <c r="AF106" i="14" s="1"/>
  <c r="AF106" i="12"/>
  <c r="AF84" i="20"/>
  <c r="AB325" i="46"/>
  <c r="AB326" i="46"/>
  <c r="AF116" i="12"/>
  <c r="AE71" i="19"/>
  <c r="AF116" i="14" s="1"/>
  <c r="AC76" i="51"/>
  <c r="AD229" i="12"/>
  <c r="AF165" i="28"/>
  <c r="AF166" i="28"/>
  <c r="AD77" i="19"/>
  <c r="AE106" i="14" s="1"/>
  <c r="AE106" i="12"/>
  <c r="Y310" i="20"/>
  <c r="Z156" i="12" s="1"/>
  <c r="Y308" i="20"/>
  <c r="W161" i="14"/>
  <c r="AH141" i="16"/>
  <c r="AH142" i="16" s="1"/>
  <c r="AC318" i="46"/>
  <c r="AC319" i="46" s="1"/>
  <c r="AC341" i="46"/>
  <c r="AC342" i="46" s="1"/>
  <c r="AD9" i="55"/>
  <c r="BI100" i="45"/>
  <c r="BI113" i="45"/>
  <c r="AD228" i="12"/>
  <c r="AE131" i="12"/>
  <c r="AD84" i="19"/>
  <c r="AE131" i="14" s="1"/>
  <c r="AE127" i="14" s="1"/>
  <c r="AD142" i="12"/>
  <c r="AE47" i="19"/>
  <c r="AE61" i="19"/>
  <c r="AE60" i="19"/>
  <c r="AE62" i="19"/>
  <c r="AE59" i="19"/>
  <c r="AF33" i="46"/>
  <c r="AF39" i="46" s="1"/>
  <c r="AG75" i="45"/>
  <c r="AD187" i="28"/>
  <c r="AD189" i="28" s="1"/>
  <c r="AD188" i="28"/>
  <c r="AC180" i="19"/>
  <c r="AB213" i="19"/>
  <c r="AB214" i="19" s="1"/>
  <c r="W157" i="12"/>
  <c r="W163" i="12"/>
  <c r="AE227" i="12"/>
  <c r="AF95" i="20"/>
  <c r="AF87" i="19" s="1"/>
  <c r="AF82" i="19"/>
  <c r="AG124" i="14" s="1"/>
  <c r="AF92" i="20"/>
  <c r="AF91" i="20"/>
  <c r="AF93" i="20"/>
  <c r="AF94" i="20"/>
  <c r="BL115" i="36"/>
  <c r="BL116" i="36" s="1"/>
  <c r="BL80" i="36"/>
  <c r="BL83" i="36" s="1"/>
  <c r="BL119" i="36" s="1"/>
  <c r="AD102" i="46"/>
  <c r="AD107" i="46" s="1"/>
  <c r="AD100" i="46"/>
  <c r="AD105" i="46" s="1"/>
  <c r="AD103" i="46"/>
  <c r="AD108" i="46" s="1"/>
  <c r="AD104" i="46"/>
  <c r="AE106" i="45" s="1"/>
  <c r="AD101" i="46"/>
  <c r="AD106" i="46" s="1"/>
  <c r="AD99" i="48"/>
  <c r="AC335" i="38"/>
  <c r="AD121" i="36" s="1"/>
  <c r="BJ121" i="36" s="1"/>
  <c r="AC333" i="38"/>
  <c r="AL275" i="12"/>
  <c r="AC260" i="20"/>
  <c r="AC262" i="20"/>
  <c r="AC259" i="20"/>
  <c r="AC257" i="20"/>
  <c r="AC258" i="20"/>
  <c r="AC261" i="20"/>
  <c r="AG84" i="45"/>
  <c r="AD69" i="19"/>
  <c r="AE99" i="14" s="1"/>
  <c r="AE99" i="12"/>
  <c r="BM107" i="45"/>
  <c r="Z327" i="48"/>
  <c r="Z328" i="48"/>
  <c r="AD249" i="54"/>
  <c r="AD172" i="29"/>
  <c r="AD173" i="29" s="1"/>
  <c r="AD175" i="29" s="1"/>
  <c r="X268" i="19"/>
  <c r="Y156" i="14" s="1"/>
  <c r="X266" i="19"/>
  <c r="AB331" i="46"/>
  <c r="AB343" i="46" s="1"/>
  <c r="AB344" i="46" s="1"/>
  <c r="AB332" i="46"/>
  <c r="X159" i="14"/>
  <c r="AH140" i="15"/>
  <c r="AC317" i="48"/>
  <c r="AC320" i="48"/>
  <c r="AF119" i="12"/>
  <c r="AE72" i="19"/>
  <c r="AF119" i="14" s="1"/>
  <c r="AC120" i="36"/>
  <c r="AB337" i="38"/>
  <c r="AB342" i="38"/>
  <c r="AC281" i="20"/>
  <c r="AC282" i="20"/>
  <c r="AC285" i="20"/>
  <c r="AC286" i="20"/>
  <c r="AC283" i="20"/>
  <c r="AC284" i="20"/>
  <c r="AA71" i="15"/>
  <c r="BJ90" i="45"/>
  <c r="AD91" i="45"/>
  <c r="AD79" i="19"/>
  <c r="AE110" i="14" s="1"/>
  <c r="AE110" i="12"/>
  <c r="AE234" i="53"/>
  <c r="AE235" i="53" s="1"/>
  <c r="AE237" i="53" s="1"/>
  <c r="AE258" i="53" s="1"/>
  <c r="AD318" i="42"/>
  <c r="AD319" i="42" s="1"/>
  <c r="AD321" i="42" s="1"/>
  <c r="AF228" i="48"/>
  <c r="AF233" i="48" s="1"/>
  <c r="AF229" i="48"/>
  <c r="AF234" i="48" s="1"/>
  <c r="AF231" i="48"/>
  <c r="AF230" i="48"/>
  <c r="AF235" i="48" s="1"/>
  <c r="AF227" i="48"/>
  <c r="AF232" i="48" s="1"/>
  <c r="AF217" i="54"/>
  <c r="AF221" i="54" s="1"/>
  <c r="AF218" i="54"/>
  <c r="AF128" i="12"/>
  <c r="AE83" i="19"/>
  <c r="AF128" i="14" s="1"/>
  <c r="BJ97" i="45"/>
  <c r="AD100" i="45"/>
  <c r="AD113" i="45"/>
  <c r="AD169" i="12"/>
  <c r="AD251" i="53"/>
  <c r="AE75" i="51" s="1"/>
  <c r="AD249" i="53"/>
  <c r="AE146" i="12"/>
  <c r="AE115" i="12"/>
  <c r="AA331" i="48"/>
  <c r="AA343" i="48" s="1"/>
  <c r="AA344" i="48" s="1"/>
  <c r="AA332" i="48"/>
  <c r="AD142" i="14"/>
  <c r="AC324" i="46"/>
  <c r="AC322" i="46"/>
  <c r="AC321" i="46"/>
  <c r="AC323" i="46"/>
  <c r="AF101" i="29"/>
  <c r="AE134" i="29"/>
  <c r="AE135" i="29" s="1"/>
  <c r="AE31" i="19"/>
  <c r="AE211" i="19"/>
  <c r="AG103" i="36"/>
  <c r="AG105" i="36"/>
  <c r="AB335" i="42"/>
  <c r="AB333" i="42"/>
  <c r="AA252" i="19"/>
  <c r="AG70" i="45"/>
  <c r="AD228" i="14"/>
  <c r="AG234" i="54"/>
  <c r="AG235" i="54" s="1"/>
  <c r="AG237" i="54" s="1"/>
  <c r="AG127" i="12"/>
  <c r="BK73" i="45"/>
  <c r="AD111" i="46"/>
  <c r="AD116" i="46" s="1"/>
  <c r="AD113" i="46"/>
  <c r="AD118" i="46" s="1"/>
  <c r="AD110" i="46"/>
  <c r="AD115" i="46" s="1"/>
  <c r="AD109" i="48"/>
  <c r="AD112" i="46"/>
  <c r="AD117" i="46" s="1"/>
  <c r="AD114" i="46"/>
  <c r="AE97" i="45" s="1"/>
  <c r="AD274" i="46"/>
  <c r="AL278" i="12"/>
  <c r="AL277" i="12"/>
  <c r="AG113" i="36"/>
  <c r="AG112" i="36"/>
  <c r="AG111" i="36"/>
  <c r="AG236" i="53"/>
  <c r="AB69" i="15"/>
  <c r="AA205" i="28"/>
  <c r="AA210" i="28"/>
  <c r="BB123" i="45"/>
  <c r="BB124" i="45"/>
  <c r="BB121" i="45"/>
  <c r="BG125" i="36"/>
  <c r="BG122" i="36"/>
  <c r="AE89" i="19"/>
  <c r="AF140" i="14" s="1"/>
  <c r="AF140" i="12"/>
  <c r="BI116" i="45"/>
  <c r="AD33" i="19"/>
  <c r="AD34" i="19"/>
  <c r="Z345" i="48"/>
  <c r="AC271" i="48"/>
  <c r="AF115" i="14"/>
  <c r="Y329" i="48"/>
  <c r="Y333" i="48" s="1"/>
  <c r="Y330" i="48"/>
  <c r="AD111" i="45"/>
  <c r="AD110" i="45"/>
  <c r="BJ112" i="45"/>
  <c r="AD112" i="45"/>
  <c r="BJ110" i="45"/>
  <c r="BJ111" i="45"/>
  <c r="AD221" i="19"/>
  <c r="AD225" i="19"/>
  <c r="AD222" i="19"/>
  <c r="AD273" i="19"/>
  <c r="AD272" i="19"/>
  <c r="AG163" i="29"/>
  <c r="AG165" i="29"/>
  <c r="AG162" i="29"/>
  <c r="AG161" i="29"/>
  <c r="AG160" i="29"/>
  <c r="AG164" i="29"/>
  <c r="BN21" i="45"/>
  <c r="AD97" i="14"/>
  <c r="AD154" i="14"/>
  <c r="AC223" i="19"/>
  <c r="AC224" i="19" s="1"/>
  <c r="AC246" i="19"/>
  <c r="AC247" i="19" s="1"/>
  <c r="BC7" i="55"/>
  <c r="AD94" i="45"/>
  <c r="BJ94" i="45"/>
  <c r="BJ93" i="45"/>
  <c r="AD93" i="45"/>
  <c r="AE105" i="14"/>
  <c r="AD130" i="14"/>
  <c r="Z349" i="46"/>
  <c r="AF133" i="14"/>
  <c r="AD231" i="12"/>
  <c r="AH140" i="16"/>
  <c r="AD117" i="14"/>
  <c r="AF153" i="29"/>
  <c r="AF154" i="29"/>
  <c r="AE115" i="14"/>
  <c r="AE146" i="14"/>
  <c r="BL70" i="45"/>
  <c r="Z252" i="19"/>
  <c r="Z254" i="19" s="1"/>
  <c r="Z253" i="19"/>
  <c r="AD269" i="20"/>
  <c r="AD268" i="20"/>
  <c r="AD271" i="20"/>
  <c r="AD270" i="20"/>
  <c r="CM11" i="55"/>
  <c r="CM19" i="55" s="1"/>
  <c r="CM16" i="55"/>
  <c r="CM12" i="55"/>
  <c r="CM14" i="55"/>
  <c r="CM15" i="55"/>
  <c r="CM13" i="55"/>
  <c r="AD79" i="45"/>
  <c r="AD81" i="45"/>
  <c r="AD80" i="45"/>
  <c r="BJ80" i="45"/>
  <c r="BJ81" i="45"/>
  <c r="BJ79" i="45"/>
  <c r="AB236" i="19"/>
  <c r="AB248" i="19" s="1"/>
  <c r="AB249" i="19" s="1"/>
  <c r="AB237" i="19"/>
  <c r="AE74" i="20"/>
  <c r="AE66" i="19" s="1"/>
  <c r="AE75" i="20"/>
  <c r="AE64" i="19"/>
  <c r="AF93" i="14" s="1"/>
  <c r="AE76" i="20"/>
  <c r="AE77" i="20"/>
  <c r="AE73" i="20"/>
  <c r="Z235" i="19"/>
  <c r="Z234" i="19"/>
  <c r="Z238" i="19" s="1"/>
  <c r="AF301" i="38"/>
  <c r="AF305" i="38" s="1"/>
  <c r="AF302" i="38"/>
  <c r="CL6" i="55"/>
  <c r="AF290" i="42"/>
  <c r="AF291" i="42" s="1"/>
  <c r="AF313" i="42"/>
  <c r="AF314" i="42" s="1"/>
  <c r="AD139" i="29"/>
  <c r="AD137" i="29"/>
  <c r="AD141" i="29"/>
  <c r="AD138" i="29"/>
  <c r="AD136" i="29"/>
  <c r="AD140" i="29"/>
  <c r="AC279" i="20"/>
  <c r="AC278" i="20"/>
  <c r="BL84" i="45"/>
  <c r="BM103" i="36"/>
  <c r="BM105" i="36"/>
  <c r="AE142" i="14"/>
  <c r="AA218" i="19"/>
  <c r="AA215" i="19"/>
  <c r="AA219" i="19"/>
  <c r="AA217" i="19"/>
  <c r="AA220" i="19"/>
  <c r="AA216" i="19"/>
  <c r="BM77" i="45"/>
  <c r="AA72" i="16"/>
  <c r="Z197" i="29"/>
  <c r="AA73" i="16" s="1"/>
  <c r="AF119" i="36"/>
  <c r="AD79" i="48"/>
  <c r="AD83" i="46"/>
  <c r="AD88" i="46" s="1"/>
  <c r="AD80" i="46"/>
  <c r="AD85" i="46" s="1"/>
  <c r="AD81" i="46"/>
  <c r="AD86" i="46" s="1"/>
  <c r="AD82" i="46"/>
  <c r="AD87" i="46" s="1"/>
  <c r="AD84" i="46"/>
  <c r="AE90" i="45" s="1"/>
  <c r="AC335" i="42"/>
  <c r="AC333" i="42"/>
  <c r="BM112" i="36"/>
  <c r="BM113" i="36"/>
  <c r="BM111" i="36"/>
  <c r="Y258" i="19"/>
  <c r="Y259" i="19" s="1"/>
  <c r="AG217" i="53"/>
  <c r="AG221" i="53" s="1"/>
  <c r="AG218" i="53"/>
  <c r="AB187" i="29"/>
  <c r="AF73" i="45"/>
  <c r="AF87" i="45"/>
  <c r="AD108" i="12"/>
  <c r="AE90" i="19"/>
  <c r="AF143" i="14" s="1"/>
  <c r="AF143" i="12"/>
  <c r="AF109" i="12"/>
  <c r="AE81" i="19"/>
  <c r="AF109" i="14" s="1"/>
  <c r="BK71" i="45"/>
  <c r="AG320" i="38"/>
  <c r="AG164" i="28"/>
  <c r="AL273" i="12"/>
  <c r="AG161" i="28"/>
  <c r="AG162" i="28"/>
  <c r="AG163" i="28"/>
  <c r="AG53" i="19"/>
  <c r="AG51" i="19"/>
  <c r="AG221" i="20"/>
  <c r="AG47" i="20"/>
  <c r="AH93" i="12"/>
  <c r="AG72" i="20"/>
  <c r="AH124" i="12"/>
  <c r="AG90" i="20"/>
  <c r="AG78" i="20"/>
  <c r="AG84" i="20"/>
  <c r="AG96" i="20"/>
  <c r="AG301" i="38"/>
  <c r="AG305" i="38" s="1"/>
  <c r="AG302" i="38"/>
  <c r="AC169" i="12"/>
  <c r="AD97" i="12"/>
  <c r="AD154" i="12"/>
  <c r="AD139" i="14"/>
  <c r="AG141" i="16"/>
  <c r="AG142" i="16" s="1"/>
  <c r="V161" i="14"/>
  <c r="AF171" i="28"/>
  <c r="AF183" i="28" s="1"/>
  <c r="AF184" i="28" s="1"/>
  <c r="AF172" i="28"/>
  <c r="AE109" i="12"/>
  <c r="AD81" i="19"/>
  <c r="AE109" i="14" s="1"/>
  <c r="AD130" i="12"/>
  <c r="Z330" i="46"/>
  <c r="Z329" i="46"/>
  <c r="Z333" i="46" s="1"/>
  <c r="X88" i="16"/>
  <c r="N85" i="16" s="1"/>
  <c r="BJ102" i="45"/>
  <c r="BJ101" i="45"/>
  <c r="BJ103" i="45"/>
  <c r="AD102" i="45"/>
  <c r="AD103" i="45"/>
  <c r="AD101" i="45"/>
  <c r="AD225" i="12" a="1"/>
  <c r="AD225" i="12" s="1"/>
  <c r="AE141" i="12"/>
  <c r="Z312" i="48"/>
  <c r="Z311" i="48"/>
  <c r="Z314" i="48"/>
  <c r="Z313" i="48"/>
  <c r="Z310" i="48"/>
  <c r="Z315" i="48"/>
  <c r="Z300" i="20"/>
  <c r="AG301" i="42"/>
  <c r="AG305" i="42" s="1"/>
  <c r="AG302" i="42"/>
  <c r="CH8" i="45"/>
  <c r="AF147" i="12"/>
  <c r="AF95" i="12"/>
  <c r="BM34" i="45"/>
  <c r="AA295" i="20"/>
  <c r="AB290" i="20"/>
  <c r="AB291" i="20" s="1"/>
  <c r="AB292" i="20"/>
  <c r="AC151" i="14"/>
  <c r="BL58" i="45"/>
  <c r="BL59" i="45"/>
  <c r="BL72" i="45" s="1"/>
  <c r="AE37" i="48"/>
  <c r="BL60" i="45"/>
  <c r="BL73" i="45" s="1"/>
  <c r="BL104" i="45"/>
  <c r="BL86" i="45"/>
  <c r="AE142" i="12"/>
  <c r="AF165" i="48"/>
  <c r="AF170" i="48" s="1"/>
  <c r="AF168" i="48"/>
  <c r="AF173" i="48" s="1"/>
  <c r="AF166" i="48"/>
  <c r="AF171" i="48" s="1"/>
  <c r="AF167" i="48"/>
  <c r="AF172" i="48" s="1"/>
  <c r="AF169" i="48"/>
  <c r="AG214" i="28"/>
  <c r="AG148" i="28" s="1"/>
  <c r="AG149" i="28" s="1"/>
  <c r="AF148" i="28"/>
  <c r="AF149" i="28" s="1"/>
  <c r="AC231" i="14"/>
  <c r="AC232" i="14" s="1"/>
  <c r="AF218" i="53"/>
  <c r="AF217" i="53"/>
  <c r="AF221" i="53" s="1"/>
  <c r="AF83" i="20"/>
  <c r="AF75" i="19" s="1"/>
  <c r="AF81" i="20"/>
  <c r="AF70" i="19"/>
  <c r="AG114" i="14" s="1"/>
  <c r="AF82" i="20"/>
  <c r="AF80" i="20"/>
  <c r="AF79" i="20"/>
  <c r="AG114" i="12"/>
  <c r="AA293" i="20"/>
  <c r="AA294" i="20" s="1"/>
  <c r="AA296" i="20" s="1"/>
  <c r="AF86" i="45"/>
  <c r="AF72" i="45"/>
  <c r="AF227" i="12"/>
  <c r="AE226" i="12"/>
  <c r="AD108" i="14"/>
  <c r="BM98" i="45"/>
  <c r="AF136" i="14"/>
  <c r="BI118" i="45"/>
  <c r="AF105" i="14"/>
  <c r="AG234" i="53"/>
  <c r="AG235" i="53" s="1"/>
  <c r="AG237" i="53" s="1"/>
  <c r="AE249" i="54"/>
  <c r="AE251" i="54"/>
  <c r="BL75" i="51" s="1"/>
  <c r="BG126" i="36"/>
  <c r="Z343" i="42"/>
  <c r="BG127" i="36" s="1"/>
  <c r="AG174" i="28"/>
  <c r="AG178" i="28"/>
  <c r="AG175" i="28"/>
  <c r="AG176" i="28"/>
  <c r="AG177" i="28"/>
  <c r="AG179" i="28"/>
  <c r="AH141" i="15"/>
  <c r="AH142" i="15" s="1"/>
  <c r="CT4" i="55"/>
  <c r="AG31" i="20"/>
  <c r="AG253" i="20"/>
  <c r="AG318" i="38"/>
  <c r="AG319" i="38" s="1"/>
  <c r="AG321" i="38" s="1"/>
  <c r="BJ74" i="51"/>
  <c r="AC253" i="54"/>
  <c r="Y346" i="48"/>
  <c r="Y347" i="48" s="1"/>
  <c r="Y349" i="48" s="1"/>
  <c r="AA348" i="46"/>
  <c r="AE105" i="12"/>
  <c r="AB318" i="48"/>
  <c r="AB319" i="48" s="1"/>
  <c r="AB341" i="48"/>
  <c r="AB342" i="48" s="1"/>
  <c r="BI109" i="45"/>
  <c r="AC180" i="29"/>
  <c r="AC187" i="29" s="1"/>
  <c r="AE287" i="42"/>
  <c r="AE282" i="42"/>
  <c r="AE284" i="42"/>
  <c r="AE286" i="42"/>
  <c r="AE285" i="42"/>
  <c r="AE283" i="42"/>
  <c r="Y155" i="12"/>
  <c r="X312" i="20"/>
  <c r="X317" i="20"/>
  <c r="AD69" i="15"/>
  <c r="AC210" i="28"/>
  <c r="AD72" i="15" s="1"/>
  <c r="AC205" i="28"/>
  <c r="AG151" i="29"/>
  <c r="AG152" i="29"/>
  <c r="AE33" i="20"/>
  <c r="AE34" i="20"/>
  <c r="AE141" i="14"/>
  <c r="AD284" i="20"/>
  <c r="AA308" i="48"/>
  <c r="AA309" i="48" s="1"/>
  <c r="AB275" i="48"/>
  <c r="CN9" i="55"/>
  <c r="AC151" i="12"/>
  <c r="AF233" i="53"/>
  <c r="AF236" i="53" s="1"/>
  <c r="AF232" i="53"/>
  <c r="CH9" i="45"/>
  <c r="BM99" i="45"/>
  <c r="BI9" i="55"/>
  <c r="CL7" i="55"/>
  <c r="W125" i="45"/>
  <c r="V371" i="46"/>
  <c r="W126" i="45" s="1"/>
  <c r="AA334" i="48"/>
  <c r="AA339" i="48"/>
  <c r="AA336" i="48"/>
  <c r="AA335" i="48"/>
  <c r="AA338" i="48"/>
  <c r="AA337" i="48"/>
  <c r="AE317" i="42"/>
  <c r="AE320" i="42" s="1"/>
  <c r="AE316" i="42"/>
  <c r="BH126" i="36"/>
  <c r="AA343" i="42"/>
  <c r="BH127" i="36" s="1"/>
  <c r="BM68" i="45"/>
  <c r="AE151" i="28"/>
  <c r="AE153" i="28"/>
  <c r="AE155" i="28"/>
  <c r="AE154" i="28"/>
  <c r="AE150" i="28"/>
  <c r="AE152" i="28"/>
  <c r="AD179" i="19"/>
  <c r="AG319" i="42"/>
  <c r="AG321" i="42" s="1"/>
  <c r="AG320" i="42"/>
  <c r="AD71" i="46"/>
  <c r="AD76" i="46" s="1"/>
  <c r="AD70" i="46"/>
  <c r="AD75" i="46" s="1"/>
  <c r="AD73" i="46"/>
  <c r="AD78" i="46" s="1"/>
  <c r="AD69" i="48"/>
  <c r="AD72" i="46"/>
  <c r="AD77" i="46" s="1"/>
  <c r="AD74" i="46"/>
  <c r="AE76" i="45" s="1"/>
  <c r="AD68" i="19"/>
  <c r="AE101" i="14" s="1"/>
  <c r="AE101" i="12"/>
  <c r="AF178" i="48"/>
  <c r="AF183" i="48" s="1"/>
  <c r="AF176" i="48"/>
  <c r="AF181" i="48" s="1"/>
  <c r="AF177" i="48"/>
  <c r="AF182" i="48" s="1"/>
  <c r="AF179" i="48"/>
  <c r="AF175" i="48"/>
  <c r="AF180" i="48" s="1"/>
  <c r="AC249" i="53"/>
  <c r="AC251" i="53"/>
  <c r="AD75" i="51" s="1"/>
  <c r="AD127" i="14"/>
  <c r="AH68" i="45"/>
  <c r="CF9" i="45"/>
  <c r="AF71" i="45"/>
  <c r="AF85" i="45"/>
  <c r="AF47" i="20"/>
  <c r="AF218" i="20" s="1"/>
  <c r="AF221" i="20"/>
  <c r="AF72" i="20"/>
  <c r="AG93" i="12"/>
  <c r="AB274" i="20"/>
  <c r="AB275" i="20"/>
  <c r="AD198" i="53"/>
  <c r="AD203" i="53"/>
  <c r="AD199" i="53"/>
  <c r="AD202" i="53"/>
  <c r="AD200" i="53"/>
  <c r="AD201" i="53"/>
  <c r="AF139" i="12"/>
  <c r="AC116" i="45"/>
  <c r="AE80" i="19"/>
  <c r="AF111" i="14" s="1"/>
  <c r="AF111" i="12"/>
  <c r="AD229" i="14"/>
  <c r="AD129" i="12"/>
  <c r="AH77" i="15"/>
  <c r="AF146" i="12"/>
  <c r="AF115" i="12"/>
  <c r="AF233" i="54"/>
  <c r="AF236" i="54" s="1"/>
  <c r="AF232" i="54"/>
  <c r="AD107" i="12"/>
  <c r="BM78" i="36"/>
  <c r="AG80" i="36"/>
  <c r="AG83" i="36" s="1"/>
  <c r="AG115" i="36"/>
  <c r="AG116" i="36" s="1"/>
  <c r="AE171" i="29"/>
  <c r="AE174" i="29" s="1"/>
  <c r="AE170" i="29"/>
  <c r="Y353" i="46"/>
  <c r="Y354" i="46" s="1"/>
  <c r="AE156" i="29"/>
  <c r="AE155" i="29"/>
  <c r="AE159" i="29" s="1"/>
  <c r="BN56" i="45"/>
  <c r="BN55" i="45"/>
  <c r="BN33" i="45"/>
  <c r="BM108" i="45"/>
  <c r="BI78" i="45"/>
  <c r="AC112" i="48"/>
  <c r="AC117" i="48" s="1"/>
  <c r="AC113" i="48"/>
  <c r="AC118" i="48" s="1"/>
  <c r="AC111" i="48"/>
  <c r="AC116" i="48" s="1"/>
  <c r="AC110" i="48"/>
  <c r="AC115" i="48" s="1"/>
  <c r="AC114" i="48"/>
  <c r="AC274" i="48"/>
  <c r="N83" i="16" l="1"/>
  <c r="D94" i="16" s="1"/>
  <c r="N103" i="16" s="1"/>
  <c r="N84" i="16"/>
  <c r="AA345" i="48"/>
  <c r="AE266" i="20"/>
  <c r="X371" i="48"/>
  <c r="BE126" i="45" s="1"/>
  <c r="N84" i="15"/>
  <c r="N81" i="15"/>
  <c r="D93" i="15" s="1"/>
  <c r="N104" i="15" s="1"/>
  <c r="N83" i="15"/>
  <c r="D94" i="15" s="1"/>
  <c r="N103" i="15" s="1"/>
  <c r="AE225" i="12" a="1"/>
  <c r="AE225" i="12" s="1"/>
  <c r="AE179" i="19"/>
  <c r="AG171" i="29"/>
  <c r="AG172" i="29" s="1"/>
  <c r="AG173" i="29" s="1"/>
  <c r="AH59" i="45"/>
  <c r="AH58" i="45"/>
  <c r="AD232" i="12"/>
  <c r="AD281" i="20"/>
  <c r="AF57" i="19"/>
  <c r="AF58" i="19"/>
  <c r="AF51" i="19"/>
  <c r="AD285" i="20"/>
  <c r="AF55" i="19"/>
  <c r="AF52" i="19"/>
  <c r="AF49" i="19" s="1"/>
  <c r="AF177" i="19" s="1"/>
  <c r="AD286" i="20"/>
  <c r="AF50" i="19"/>
  <c r="AD282" i="20"/>
  <c r="AF54" i="19"/>
  <c r="AG61" i="19"/>
  <c r="AG52" i="19"/>
  <c r="AG49" i="19" s="1"/>
  <c r="AG177" i="19" s="1"/>
  <c r="AG62" i="19"/>
  <c r="AG60" i="19"/>
  <c r="BK4" i="55"/>
  <c r="AG57" i="19"/>
  <c r="AG59" i="19"/>
  <c r="AG55" i="19"/>
  <c r="AG54" i="19"/>
  <c r="AG58" i="19"/>
  <c r="BK111" i="45"/>
  <c r="Y10" i="55"/>
  <c r="Y15" i="55" s="1"/>
  <c r="AD271" i="48"/>
  <c r="AB250" i="19"/>
  <c r="BN57" i="45"/>
  <c r="BN59" i="45" s="1"/>
  <c r="AG119" i="36"/>
  <c r="AH60" i="45"/>
  <c r="AH104" i="45"/>
  <c r="BB6" i="55"/>
  <c r="AE176" i="19"/>
  <c r="BK112" i="45"/>
  <c r="BB7" i="55"/>
  <c r="AD233" i="12"/>
  <c r="AD234" i="12" s="1"/>
  <c r="N80" i="15"/>
  <c r="AE148" i="12"/>
  <c r="AE169" i="12" s="1"/>
  <c r="AG117" i="36"/>
  <c r="AG123" i="36" s="1"/>
  <c r="AA349" i="46"/>
  <c r="N80" i="16"/>
  <c r="AD69" i="16"/>
  <c r="AG128" i="36"/>
  <c r="AE325" i="38"/>
  <c r="AE326" i="38" s="1"/>
  <c r="AE259" i="53"/>
  <c r="AF78" i="51" s="1"/>
  <c r="AF77" i="51"/>
  <c r="AF229" i="12"/>
  <c r="AD74" i="51"/>
  <c r="AC253" i="53"/>
  <c r="AG115" i="14"/>
  <c r="AE152" i="14"/>
  <c r="AQ206" i="12"/>
  <c r="AT206" i="12" s="1"/>
  <c r="AQ260" i="12"/>
  <c r="AH127" i="12"/>
  <c r="AK272" i="12"/>
  <c r="AM272" i="12" s="1"/>
  <c r="AN272" i="12" s="1"/>
  <c r="AG315" i="20"/>
  <c r="AG264" i="20"/>
  <c r="AG314" i="20"/>
  <c r="AG263" i="20"/>
  <c r="AG267" i="20"/>
  <c r="AG218" i="20"/>
  <c r="BK93" i="45"/>
  <c r="AE94" i="45"/>
  <c r="BK94" i="45"/>
  <c r="AE93" i="45"/>
  <c r="AE67" i="19"/>
  <c r="AF100" i="14" s="1"/>
  <c r="AF100" i="12"/>
  <c r="AE228" i="14"/>
  <c r="Z348" i="48"/>
  <c r="AB72" i="15"/>
  <c r="AA211" i="28"/>
  <c r="AB73" i="15" s="1"/>
  <c r="BK97" i="45"/>
  <c r="AE100" i="45"/>
  <c r="AE113" i="45"/>
  <c r="AE33" i="19"/>
  <c r="AE34" i="19"/>
  <c r="AC324" i="48"/>
  <c r="AC321" i="48"/>
  <c r="AC322" i="48"/>
  <c r="AC323" i="48"/>
  <c r="AE152" i="12"/>
  <c r="AE111" i="45"/>
  <c r="AE110" i="45"/>
  <c r="AE112" i="45"/>
  <c r="AC338" i="46"/>
  <c r="AC337" i="46"/>
  <c r="AC339" i="46"/>
  <c r="AC334" i="46"/>
  <c r="AC336" i="46"/>
  <c r="AC335" i="46"/>
  <c r="AG104" i="12"/>
  <c r="AG146" i="12" s="1"/>
  <c r="AF89" i="20"/>
  <c r="AF85" i="20"/>
  <c r="AF87" i="20"/>
  <c r="AF86" i="20"/>
  <c r="AF78" i="19" s="1"/>
  <c r="AF76" i="19"/>
  <c r="AG104" i="14" s="1"/>
  <c r="AF88" i="20"/>
  <c r="AE100" i="46"/>
  <c r="AE105" i="46" s="1"/>
  <c r="AE102" i="46"/>
  <c r="AE107" i="46" s="1"/>
  <c r="AE99" i="48"/>
  <c r="AE101" i="46"/>
  <c r="AE106" i="46" s="1"/>
  <c r="AE103" i="46"/>
  <c r="AE108" i="46" s="1"/>
  <c r="AE104" i="46"/>
  <c r="AF106" i="45" s="1"/>
  <c r="AC236" i="19"/>
  <c r="AC248" i="19" s="1"/>
  <c r="AC249" i="19" s="1"/>
  <c r="AC237" i="19"/>
  <c r="Y122" i="45"/>
  <c r="AF47" i="19"/>
  <c r="AF60" i="19"/>
  <c r="AF59" i="19"/>
  <c r="AF62" i="19"/>
  <c r="AE107" i="14"/>
  <c r="AF306" i="38"/>
  <c r="AF311" i="38"/>
  <c r="AF309" i="38"/>
  <c r="AF310" i="38"/>
  <c r="AF307" i="38"/>
  <c r="AF308" i="38"/>
  <c r="AE189" i="28"/>
  <c r="Y353" i="48"/>
  <c r="Y354" i="48" s="1"/>
  <c r="AE271" i="20"/>
  <c r="AE269" i="20"/>
  <c r="AE268" i="20"/>
  <c r="AE270" i="20"/>
  <c r="AE129" i="14"/>
  <c r="AG211" i="19"/>
  <c r="AG31" i="19"/>
  <c r="AC308" i="46"/>
  <c r="AC309" i="46" s="1"/>
  <c r="AD275" i="46"/>
  <c r="BD122" i="45"/>
  <c r="AF118" i="12"/>
  <c r="AF142" i="14"/>
  <c r="N87" i="16"/>
  <c r="D96" i="16" s="1"/>
  <c r="N101" i="16" s="1"/>
  <c r="AG139" i="12"/>
  <c r="AB345" i="46"/>
  <c r="AB346" i="46" s="1"/>
  <c r="BM70" i="45"/>
  <c r="AF77" i="20"/>
  <c r="AF74" i="20"/>
  <c r="AF66" i="19" s="1"/>
  <c r="AF73" i="20"/>
  <c r="AF76" i="20"/>
  <c r="AF64" i="19"/>
  <c r="AG93" i="14" s="1"/>
  <c r="AF75" i="20"/>
  <c r="BK76" i="45"/>
  <c r="AE78" i="45"/>
  <c r="AD223" i="19"/>
  <c r="AD246" i="19"/>
  <c r="AD247" i="19" s="1"/>
  <c r="AE318" i="42"/>
  <c r="AE319" i="42" s="1"/>
  <c r="AE321" i="42" s="1"/>
  <c r="AF234" i="53"/>
  <c r="AF235" i="53" s="1"/>
  <c r="AF237" i="53" s="1"/>
  <c r="AF258" i="53" s="1"/>
  <c r="AG154" i="29"/>
  <c r="AG153" i="29"/>
  <c r="Y157" i="12"/>
  <c r="Y163" i="12"/>
  <c r="AE223" i="19"/>
  <c r="AE246" i="19"/>
  <c r="AE247" i="19" s="1"/>
  <c r="AF73" i="19"/>
  <c r="AG120" i="14" s="1"/>
  <c r="AG120" i="12"/>
  <c r="AF154" i="28"/>
  <c r="AF151" i="28"/>
  <c r="AF152" i="28"/>
  <c r="AF150" i="28"/>
  <c r="AF155" i="28"/>
  <c r="AF153" i="28"/>
  <c r="AC211" i="28"/>
  <c r="AD73" i="15" s="1"/>
  <c r="AF226" i="12"/>
  <c r="AF225" i="12" a="1"/>
  <c r="AF225" i="12" s="1"/>
  <c r="AF148" i="12"/>
  <c r="AG101" i="20"/>
  <c r="AG93" i="19" s="1"/>
  <c r="AH136" i="12"/>
  <c r="AG98" i="20"/>
  <c r="AG100" i="20"/>
  <c r="AG88" i="19"/>
  <c r="AG97" i="20"/>
  <c r="AG99" i="20"/>
  <c r="AG220" i="20"/>
  <c r="AI221" i="20"/>
  <c r="AG265" i="20"/>
  <c r="AG288" i="20"/>
  <c r="AC69" i="16"/>
  <c r="AB196" i="29"/>
  <c r="AB191" i="29"/>
  <c r="AD118" i="45"/>
  <c r="CM6" i="55"/>
  <c r="AD229" i="19"/>
  <c r="AD227" i="19"/>
  <c r="AD226" i="19"/>
  <c r="AD228" i="19"/>
  <c r="AE137" i="29"/>
  <c r="AE141" i="29"/>
  <c r="AE140" i="29"/>
  <c r="AE139" i="29"/>
  <c r="AE136" i="29"/>
  <c r="AE138" i="29"/>
  <c r="AC213" i="19"/>
  <c r="AC214" i="19" s="1"/>
  <c r="AD180" i="19"/>
  <c r="AE221" i="19"/>
  <c r="AE272" i="19"/>
  <c r="AE222" i="19"/>
  <c r="AE273" i="19"/>
  <c r="AE225" i="19"/>
  <c r="AE71" i="46"/>
  <c r="AE76" i="46" s="1"/>
  <c r="AE73" i="46"/>
  <c r="AE78" i="46" s="1"/>
  <c r="AE70" i="46"/>
  <c r="AE75" i="46" s="1"/>
  <c r="AE72" i="46"/>
  <c r="AE77" i="46" s="1"/>
  <c r="AE74" i="46"/>
  <c r="AF76" i="45" s="1"/>
  <c r="AE69" i="48"/>
  <c r="AF31" i="19"/>
  <c r="AF211" i="19"/>
  <c r="AF37" i="48"/>
  <c r="BM59" i="45"/>
  <c r="BM72" i="45" s="1"/>
  <c r="BM58" i="45"/>
  <c r="BM71" i="45" s="1"/>
  <c r="BM60" i="45"/>
  <c r="BM73" i="45" s="1"/>
  <c r="BM104" i="45"/>
  <c r="AG34" i="46"/>
  <c r="AH82" i="45"/>
  <c r="AH24" i="45"/>
  <c r="AH26" i="45"/>
  <c r="AH25" i="45"/>
  <c r="X121" i="45"/>
  <c r="X123" i="45"/>
  <c r="X124" i="45"/>
  <c r="AF287" i="38"/>
  <c r="AF282" i="38"/>
  <c r="AF283" i="38"/>
  <c r="AF285" i="38"/>
  <c r="AF284" i="38"/>
  <c r="AF286" i="38"/>
  <c r="AF196" i="54"/>
  <c r="AF197" i="54" s="1"/>
  <c r="AG163" i="54"/>
  <c r="AG196" i="54" s="1"/>
  <c r="AG197" i="54" s="1"/>
  <c r="AE169" i="28"/>
  <c r="AE173" i="28" s="1"/>
  <c r="AE170" i="28"/>
  <c r="AF4" i="55"/>
  <c r="AB325" i="48"/>
  <c r="AB326" i="48"/>
  <c r="AB126" i="36"/>
  <c r="AA343" i="38"/>
  <c r="AB127" i="36" s="1"/>
  <c r="AC115" i="45"/>
  <c r="AF171" i="29"/>
  <c r="AF174" i="29" s="1"/>
  <c r="AF170" i="29"/>
  <c r="AB313" i="46"/>
  <c r="AB311" i="46"/>
  <c r="AB312" i="46"/>
  <c r="AB314" i="46"/>
  <c r="AB315" i="46"/>
  <c r="AB310" i="46"/>
  <c r="AF118" i="14"/>
  <c r="AB72" i="16"/>
  <c r="AA197" i="29"/>
  <c r="AB73" i="16" s="1"/>
  <c r="AE199" i="53"/>
  <c r="AE198" i="53"/>
  <c r="AE202" i="53"/>
  <c r="AE200" i="53"/>
  <c r="AE201" i="53"/>
  <c r="AE203" i="53"/>
  <c r="Y160" i="12"/>
  <c r="AF107" i="12"/>
  <c r="Y363" i="46"/>
  <c r="Z120" i="45" s="1"/>
  <c r="Y361" i="46"/>
  <c r="BM115" i="36"/>
  <c r="BM116" i="36" s="1"/>
  <c r="BM80" i="36"/>
  <c r="BM83" i="36" s="1"/>
  <c r="BM119" i="36" s="1"/>
  <c r="AF107" i="14"/>
  <c r="AD227" i="14"/>
  <c r="AF139" i="14"/>
  <c r="AG154" i="28"/>
  <c r="AG152" i="28"/>
  <c r="AG151" i="28"/>
  <c r="AG150" i="28"/>
  <c r="AG155" i="28"/>
  <c r="AG153" i="28"/>
  <c r="Z301" i="20"/>
  <c r="Z310" i="20" s="1"/>
  <c r="AA156" i="12" s="1"/>
  <c r="AD231" i="14"/>
  <c r="AG76" i="19"/>
  <c r="AH104" i="14" s="1"/>
  <c r="AG86" i="20"/>
  <c r="AG87" i="20"/>
  <c r="AH104" i="12"/>
  <c r="AG89" i="20"/>
  <c r="AH84" i="20"/>
  <c r="AG85" i="20"/>
  <c r="AG88" i="20"/>
  <c r="AG171" i="28"/>
  <c r="AG172" i="28"/>
  <c r="AD82" i="48"/>
  <c r="AD87" i="48" s="1"/>
  <c r="AD83" i="48"/>
  <c r="AD88" i="48" s="1"/>
  <c r="AD81" i="48"/>
  <c r="AD86" i="48" s="1"/>
  <c r="AD80" i="48"/>
  <c r="AD85" i="48" s="1"/>
  <c r="AD84" i="48"/>
  <c r="AD116" i="45"/>
  <c r="AD272" i="20"/>
  <c r="AD273" i="20"/>
  <c r="AF129" i="14"/>
  <c r="AD224" i="19"/>
  <c r="AB71" i="15"/>
  <c r="AD113" i="48"/>
  <c r="AD118" i="48" s="1"/>
  <c r="AD110" i="48"/>
  <c r="AD115" i="48" s="1"/>
  <c r="AD112" i="48"/>
  <c r="AD117" i="48" s="1"/>
  <c r="AD114" i="48"/>
  <c r="AD111" i="48"/>
  <c r="AD116" i="48" s="1"/>
  <c r="AD274" i="48"/>
  <c r="AF134" i="29"/>
  <c r="AF135" i="29" s="1"/>
  <c r="AG101" i="29"/>
  <c r="AG134" i="29" s="1"/>
  <c r="AG135" i="29" s="1"/>
  <c r="AE229" i="12"/>
  <c r="AE108" i="12"/>
  <c r="AC126" i="36"/>
  <c r="AB343" i="38"/>
  <c r="AC127" i="36" s="1"/>
  <c r="BK74" i="51"/>
  <c r="AD253" i="54"/>
  <c r="AD120" i="36"/>
  <c r="AC342" i="38"/>
  <c r="AC337" i="38"/>
  <c r="AD193" i="28"/>
  <c r="AF168" i="28"/>
  <c r="AF167" i="28"/>
  <c r="AE271" i="46"/>
  <c r="AF222" i="20"/>
  <c r="AE255" i="20"/>
  <c r="AE256" i="20" s="1"/>
  <c r="BN34" i="45"/>
  <c r="AF117" i="12"/>
  <c r="AG287" i="38"/>
  <c r="AG282" i="38"/>
  <c r="AG283" i="38"/>
  <c r="AG284" i="38"/>
  <c r="AG286" i="38"/>
  <c r="AG285" i="38"/>
  <c r="AE201" i="54"/>
  <c r="AE202" i="54"/>
  <c r="AE200" i="54"/>
  <c r="AE198" i="54"/>
  <c r="AE203" i="54"/>
  <c r="AE199" i="54"/>
  <c r="BM85" i="45"/>
  <c r="AA327" i="48"/>
  <c r="AA328" i="48"/>
  <c r="BH120" i="36"/>
  <c r="AB125" i="36"/>
  <c r="AB122" i="36"/>
  <c r="AE118" i="12"/>
  <c r="AF165" i="29"/>
  <c r="AF161" i="29"/>
  <c r="AF163" i="29"/>
  <c r="AF160" i="29"/>
  <c r="AF164" i="29"/>
  <c r="AF162" i="29"/>
  <c r="X164" i="12"/>
  <c r="W318" i="20"/>
  <c r="X165" i="12" s="1"/>
  <c r="BJ109" i="45"/>
  <c r="AB71" i="16"/>
  <c r="AG163" i="53"/>
  <c r="AG196" i="53" s="1"/>
  <c r="AG197" i="53" s="1"/>
  <c r="AF196" i="53"/>
  <c r="AF197" i="53" s="1"/>
  <c r="AF220" i="20"/>
  <c r="AE97" i="14"/>
  <c r="AE154" i="14"/>
  <c r="AF315" i="20"/>
  <c r="AF314" i="20"/>
  <c r="AF264" i="20"/>
  <c r="AF263" i="20"/>
  <c r="AF267" i="20"/>
  <c r="AD71" i="48"/>
  <c r="AD76" i="48" s="1"/>
  <c r="AD70" i="48"/>
  <c r="AD75" i="48" s="1"/>
  <c r="AD73" i="48"/>
  <c r="AD78" i="48" s="1"/>
  <c r="AD74" i="48"/>
  <c r="AD72" i="48"/>
  <c r="AD77" i="48" s="1"/>
  <c r="BL74" i="51"/>
  <c r="AE253" i="54"/>
  <c r="AB295" i="20"/>
  <c r="AC189" i="29"/>
  <c r="AD70" i="16" s="1"/>
  <c r="AG325" i="38"/>
  <c r="AG326" i="38" s="1"/>
  <c r="AC342" i="42"/>
  <c r="AC337" i="42"/>
  <c r="AC290" i="20"/>
  <c r="AC291" i="20" s="1"/>
  <c r="AC292" i="20"/>
  <c r="AC293" i="20" s="1"/>
  <c r="AF316" i="42"/>
  <c r="AF317" i="42"/>
  <c r="CM7" i="55"/>
  <c r="AD278" i="20"/>
  <c r="AD279" i="20"/>
  <c r="AF155" i="29"/>
  <c r="AF159" i="29" s="1"/>
  <c r="AF156" i="29"/>
  <c r="AG241" i="53"/>
  <c r="AG242" i="53" s="1"/>
  <c r="AG258" i="53"/>
  <c r="AE101" i="45"/>
  <c r="BK101" i="45"/>
  <c r="BK103" i="45"/>
  <c r="BK102" i="45"/>
  <c r="AE102" i="45"/>
  <c r="AE103" i="45"/>
  <c r="AC325" i="46"/>
  <c r="AC326" i="46"/>
  <c r="BJ100" i="45"/>
  <c r="BJ113" i="45"/>
  <c r="AE108" i="14"/>
  <c r="BL128" i="36"/>
  <c r="AD262" i="20"/>
  <c r="AD258" i="20"/>
  <c r="AD260" i="20"/>
  <c r="AD259" i="20"/>
  <c r="AD261" i="20"/>
  <c r="AD257" i="20"/>
  <c r="W20" i="55"/>
  <c r="W19" i="55"/>
  <c r="BL71" i="45"/>
  <c r="AA254" i="19"/>
  <c r="AD317" i="48"/>
  <c r="AD320" i="48"/>
  <c r="AF130" i="12"/>
  <c r="AF117" i="14"/>
  <c r="CD17" i="45"/>
  <c r="AH70" i="45"/>
  <c r="AB201" i="28"/>
  <c r="Z353" i="46"/>
  <c r="Z354" i="46" s="1"/>
  <c r="BM87" i="45"/>
  <c r="AA346" i="48"/>
  <c r="AA347" i="48" s="1"/>
  <c r="AE118" i="14"/>
  <c r="AF127" i="14"/>
  <c r="AF228" i="12"/>
  <c r="AB293" i="20"/>
  <c r="AB294" i="20" s="1"/>
  <c r="AB296" i="20" s="1"/>
  <c r="AE44" i="48"/>
  <c r="AE316" i="48" s="1"/>
  <c r="AF90" i="19"/>
  <c r="AG143" i="14" s="1"/>
  <c r="AG143" i="12"/>
  <c r="AE117" i="12"/>
  <c r="AA268" i="19"/>
  <c r="AB156" i="14" s="1"/>
  <c r="AA266" i="19"/>
  <c r="AE194" i="28"/>
  <c r="AE203" i="28" s="1"/>
  <c r="AF70" i="15" s="1"/>
  <c r="AE179" i="29"/>
  <c r="CN14" i="55"/>
  <c r="CN16" i="55"/>
  <c r="CN15" i="55"/>
  <c r="CN12" i="55"/>
  <c r="CN13" i="55"/>
  <c r="CN11" i="55"/>
  <c r="CN19" i="55" s="1"/>
  <c r="AE228" i="12"/>
  <c r="AE233" i="12" s="1"/>
  <c r="AE234" i="12" s="1"/>
  <c r="AA353" i="46"/>
  <c r="AA354" i="46" s="1"/>
  <c r="AG115" i="12"/>
  <c r="N86" i="16"/>
  <c r="N82" i="16"/>
  <c r="D92" i="16" s="1"/>
  <c r="N105" i="16" s="1"/>
  <c r="AG83" i="20"/>
  <c r="AG81" i="20"/>
  <c r="AH114" i="12"/>
  <c r="AG80" i="20"/>
  <c r="AG82" i="20"/>
  <c r="AG79" i="20"/>
  <c r="AH78" i="20"/>
  <c r="AG70" i="19"/>
  <c r="AH114" i="14" s="1"/>
  <c r="AH72" i="20"/>
  <c r="AG74" i="20"/>
  <c r="AG77" i="20"/>
  <c r="AG64" i="19"/>
  <c r="AH93" i="14" s="1"/>
  <c r="AG76" i="20"/>
  <c r="AG75" i="20"/>
  <c r="AG73" i="20"/>
  <c r="Y268" i="19"/>
  <c r="Z156" i="14" s="1"/>
  <c r="Y266" i="19"/>
  <c r="AF306" i="42"/>
  <c r="AF308" i="42"/>
  <c r="AF310" i="42"/>
  <c r="AF307" i="42"/>
  <c r="AF309" i="42"/>
  <c r="AF311" i="42"/>
  <c r="AE65" i="19"/>
  <c r="AF96" i="14" s="1"/>
  <c r="AF96" i="12"/>
  <c r="AD150" i="14"/>
  <c r="AF146" i="14"/>
  <c r="BI120" i="36"/>
  <c r="AC125" i="36"/>
  <c r="AC122" i="36"/>
  <c r="Y155" i="14"/>
  <c r="BE10" i="55"/>
  <c r="X270" i="19"/>
  <c r="X275" i="19"/>
  <c r="Z330" i="48"/>
  <c r="Z329" i="48"/>
  <c r="Z333" i="48" s="1"/>
  <c r="AD103" i="48"/>
  <c r="AD108" i="48" s="1"/>
  <c r="AD102" i="48"/>
  <c r="AD107" i="48" s="1"/>
  <c r="AD100" i="48"/>
  <c r="AD105" i="48" s="1"/>
  <c r="AD104" i="48"/>
  <c r="AD101" i="48"/>
  <c r="AD106" i="48" s="1"/>
  <c r="AF86" i="19"/>
  <c r="AG133" i="14" s="1"/>
  <c r="AG133" i="12"/>
  <c r="W159" i="12"/>
  <c r="W161" i="12" s="1"/>
  <c r="Z155" i="12"/>
  <c r="Y312" i="20"/>
  <c r="Y317" i="20"/>
  <c r="W7" i="55"/>
  <c r="AA235" i="19"/>
  <c r="AA234" i="19"/>
  <c r="AA238" i="19" s="1"/>
  <c r="AF130" i="14"/>
  <c r="AE153" i="14"/>
  <c r="AE98" i="14"/>
  <c r="AD335" i="38"/>
  <c r="AE121" i="36" s="1"/>
  <c r="BK121" i="36" s="1"/>
  <c r="AD333" i="38"/>
  <c r="BM86" i="45"/>
  <c r="AA329" i="46"/>
  <c r="AA333" i="46" s="1"/>
  <c r="AA330" i="46"/>
  <c r="AE286" i="20"/>
  <c r="AE281" i="20"/>
  <c r="AE283" i="20"/>
  <c r="AE284" i="20"/>
  <c r="AE282" i="20"/>
  <c r="AE285" i="20"/>
  <c r="BJ78" i="45"/>
  <c r="X14" i="55"/>
  <c r="X13" i="55"/>
  <c r="X15" i="55"/>
  <c r="X11" i="55"/>
  <c r="X16" i="55"/>
  <c r="X12" i="55"/>
  <c r="AD148" i="14"/>
  <c r="AE225" i="14" a="1"/>
  <c r="AE225" i="14" s="1"/>
  <c r="AE226" i="14"/>
  <c r="AE148" i="14"/>
  <c r="AG144" i="12"/>
  <c r="AF91" i="19"/>
  <c r="AG144" i="14" s="1"/>
  <c r="BE124" i="45"/>
  <c r="BE123" i="45"/>
  <c r="BE121" i="45"/>
  <c r="BK110" i="45"/>
  <c r="N81" i="16"/>
  <c r="D93" i="16" s="1"/>
  <c r="N104" i="16" s="1"/>
  <c r="AE130" i="14"/>
  <c r="AE117" i="14"/>
  <c r="AF231" i="12"/>
  <c r="AE80" i="45"/>
  <c r="AE79" i="45"/>
  <c r="AE81" i="45"/>
  <c r="BK79" i="45"/>
  <c r="BK80" i="45"/>
  <c r="BK81" i="45"/>
  <c r="AC275" i="48"/>
  <c r="AB308" i="48"/>
  <c r="AB309" i="48" s="1"/>
  <c r="CO9" i="55"/>
  <c r="AD71" i="15"/>
  <c r="AF228" i="14"/>
  <c r="AG116" i="12"/>
  <c r="AF71" i="19"/>
  <c r="AG116" i="14" s="1"/>
  <c r="AA300" i="20"/>
  <c r="AA301" i="20" s="1"/>
  <c r="D91" i="16"/>
  <c r="AD150" i="12"/>
  <c r="AG95" i="20"/>
  <c r="AG87" i="19" s="1"/>
  <c r="AG91" i="20"/>
  <c r="AG94" i="20"/>
  <c r="AG82" i="19"/>
  <c r="AH124" i="14" s="1"/>
  <c r="AG93" i="20"/>
  <c r="AG92" i="20"/>
  <c r="AP202" i="12"/>
  <c r="AR202" i="12" s="1"/>
  <c r="AQ259" i="12"/>
  <c r="AH147" i="12"/>
  <c r="AH95" i="12"/>
  <c r="BK90" i="45"/>
  <c r="AE91" i="45"/>
  <c r="BM117" i="36"/>
  <c r="BM123" i="36" s="1"/>
  <c r="AE69" i="19"/>
  <c r="AF99" i="14" s="1"/>
  <c r="AF99" i="12"/>
  <c r="BJ116" i="45"/>
  <c r="Z258" i="19"/>
  <c r="AE229" i="14"/>
  <c r="AF229" i="14"/>
  <c r="BJ91" i="45"/>
  <c r="Y162" i="14"/>
  <c r="Y158" i="14"/>
  <c r="AG132" i="12"/>
  <c r="AF85" i="19"/>
  <c r="AG132" i="14" s="1"/>
  <c r="AF44" i="46"/>
  <c r="AF316" i="46" s="1"/>
  <c r="AF79" i="46"/>
  <c r="AF69" i="46"/>
  <c r="AF99" i="46"/>
  <c r="AF109" i="46"/>
  <c r="Z158" i="12"/>
  <c r="Z162" i="12"/>
  <c r="X161" i="14"/>
  <c r="AE111" i="46"/>
  <c r="AE116" i="46" s="1"/>
  <c r="AE113" i="46"/>
  <c r="AE118" i="46" s="1"/>
  <c r="AE112" i="46"/>
  <c r="AE117" i="46" s="1"/>
  <c r="AE109" i="48"/>
  <c r="AE114" i="46"/>
  <c r="AF97" i="45" s="1"/>
  <c r="AE110" i="46"/>
  <c r="AE115" i="46" s="1"/>
  <c r="AE274" i="46"/>
  <c r="AE149" i="14"/>
  <c r="W6" i="55"/>
  <c r="AC274" i="20"/>
  <c r="AC275" i="20"/>
  <c r="AB232" i="19"/>
  <c r="AB233" i="19"/>
  <c r="AE242" i="53"/>
  <c r="AE249" i="53" s="1"/>
  <c r="N86" i="15"/>
  <c r="N82" i="15"/>
  <c r="D92" i="15" s="1"/>
  <c r="N105" i="15" s="1"/>
  <c r="AF108" i="12"/>
  <c r="AF141" i="12"/>
  <c r="BB20" i="55"/>
  <c r="BB19" i="55"/>
  <c r="AE153" i="12"/>
  <c r="AE98" i="12"/>
  <c r="BM84" i="45"/>
  <c r="AF185" i="28"/>
  <c r="AD114" i="45"/>
  <c r="X163" i="12"/>
  <c r="X157" i="12"/>
  <c r="AF34" i="20"/>
  <c r="AF33" i="20"/>
  <c r="AD324" i="46"/>
  <c r="AD322" i="46"/>
  <c r="AD321" i="46"/>
  <c r="AD323" i="46"/>
  <c r="AG140" i="12"/>
  <c r="AF89" i="19"/>
  <c r="AG140" i="14" s="1"/>
  <c r="AE130" i="12"/>
  <c r="AF284" i="42"/>
  <c r="AF283" i="42"/>
  <c r="AF285" i="42"/>
  <c r="AF287" i="42"/>
  <c r="AF286" i="42"/>
  <c r="AF282" i="42"/>
  <c r="CE18" i="45"/>
  <c r="AC318" i="48"/>
  <c r="AC319" i="48" s="1"/>
  <c r="AC341" i="48"/>
  <c r="AC342" i="48" s="1"/>
  <c r="BN68" i="45"/>
  <c r="AE172" i="29"/>
  <c r="AE173" i="29" s="1"/>
  <c r="AE175" i="29" s="1"/>
  <c r="AF234" i="54"/>
  <c r="AF235" i="54" s="1"/>
  <c r="AF237" i="54" s="1"/>
  <c r="AF258" i="54" s="1"/>
  <c r="AB276" i="20"/>
  <c r="AB280" i="20" s="1"/>
  <c r="AB277" i="20"/>
  <c r="AC239" i="19"/>
  <c r="AC242" i="19"/>
  <c r="AC241" i="19"/>
  <c r="AC243" i="19"/>
  <c r="AC244" i="19"/>
  <c r="AC240" i="19"/>
  <c r="AA314" i="48"/>
  <c r="AA311" i="48"/>
  <c r="AA310" i="48"/>
  <c r="AA313" i="48"/>
  <c r="AA312" i="48"/>
  <c r="AA315" i="48"/>
  <c r="Y164" i="12"/>
  <c r="X318" i="20"/>
  <c r="Y165" i="12" s="1"/>
  <c r="AB335" i="48"/>
  <c r="AB338" i="48"/>
  <c r="AB336" i="48"/>
  <c r="AB339" i="48"/>
  <c r="AB337" i="48"/>
  <c r="AB334" i="48"/>
  <c r="AG119" i="12"/>
  <c r="AF72" i="19"/>
  <c r="AG119" i="14" s="1"/>
  <c r="AA348" i="48"/>
  <c r="AG165" i="28"/>
  <c r="AG166" i="28"/>
  <c r="AB253" i="19"/>
  <c r="AF101" i="12"/>
  <c r="AE68" i="19"/>
  <c r="AF101" i="14" s="1"/>
  <c r="BJ118" i="45"/>
  <c r="BN67" i="45"/>
  <c r="BN23" i="45"/>
  <c r="Z346" i="48"/>
  <c r="Z347" i="48" s="1"/>
  <c r="Z349" i="48" s="1"/>
  <c r="AB337" i="42"/>
  <c r="AB342" i="42"/>
  <c r="AC332" i="46"/>
  <c r="AC331" i="46"/>
  <c r="AC343" i="46" s="1"/>
  <c r="AC344" i="46" s="1"/>
  <c r="AE74" i="51"/>
  <c r="AD253" i="53"/>
  <c r="BK106" i="45"/>
  <c r="AE109" i="45"/>
  <c r="AF83" i="19"/>
  <c r="AG128" i="14" s="1"/>
  <c r="AG128" i="12"/>
  <c r="BJ9" i="55"/>
  <c r="AB327" i="46"/>
  <c r="AB328" i="46"/>
  <c r="AE81" i="46"/>
  <c r="AE86" i="46" s="1"/>
  <c r="AE83" i="46"/>
  <c r="AE88" i="46" s="1"/>
  <c r="AE82" i="46"/>
  <c r="AE87" i="46" s="1"/>
  <c r="AE79" i="48"/>
  <c r="AE80" i="46"/>
  <c r="AE85" i="46" s="1"/>
  <c r="AE84" i="46"/>
  <c r="AF90" i="45" s="1"/>
  <c r="AE149" i="12"/>
  <c r="AB251" i="19"/>
  <c r="AB252" i="19" s="1"/>
  <c r="AD151" i="14"/>
  <c r="AG33" i="46"/>
  <c r="AG39" i="46" s="1"/>
  <c r="AH75" i="45"/>
  <c r="AF108" i="14"/>
  <c r="AF141" i="14"/>
  <c r="AD189" i="29"/>
  <c r="AE70" i="16" s="1"/>
  <c r="AD187" i="29"/>
  <c r="AE318" i="38"/>
  <c r="AE319" i="38" s="1"/>
  <c r="AE321" i="38" s="1"/>
  <c r="AB331" i="48"/>
  <c r="AB343" i="48" s="1"/>
  <c r="AB344" i="48" s="1"/>
  <c r="AB332" i="48"/>
  <c r="AD151" i="12"/>
  <c r="AD232" i="14"/>
  <c r="AG258" i="54"/>
  <c r="AG241" i="54"/>
  <c r="AG136" i="14"/>
  <c r="N87" i="15"/>
  <c r="D96" i="15" s="1"/>
  <c r="N101" i="15" s="1"/>
  <c r="AG283" i="42"/>
  <c r="AG284" i="42"/>
  <c r="AG282" i="42"/>
  <c r="AG285" i="42"/>
  <c r="AG286" i="42"/>
  <c r="AG287" i="42"/>
  <c r="AF241" i="54"/>
  <c r="AF242" i="54" s="1"/>
  <c r="AG95" i="12"/>
  <c r="AG147" i="12"/>
  <c r="AF265" i="20"/>
  <c r="AF288" i="20"/>
  <c r="AF289" i="20" s="1"/>
  <c r="AE154" i="12"/>
  <c r="AE97" i="12"/>
  <c r="AG325" i="42"/>
  <c r="AG326" i="42" s="1"/>
  <c r="AE325" i="42"/>
  <c r="AE326" i="42" s="1"/>
  <c r="AF241" i="53"/>
  <c r="BJ76" i="51"/>
  <c r="AG34" i="20"/>
  <c r="AG33" i="20"/>
  <c r="AF74" i="19"/>
  <c r="AG121" i="14" s="1"/>
  <c r="AG121" i="12"/>
  <c r="BM75" i="45"/>
  <c r="AF33" i="48"/>
  <c r="AF39" i="48" s="1"/>
  <c r="AF147" i="14"/>
  <c r="AF95" i="14"/>
  <c r="AD318" i="46"/>
  <c r="AD319" i="46" s="1"/>
  <c r="AD341" i="46"/>
  <c r="AD342" i="46" s="1"/>
  <c r="AE9" i="55"/>
  <c r="AG227" i="12"/>
  <c r="AE227" i="14"/>
  <c r="AG131" i="12"/>
  <c r="AF84" i="19"/>
  <c r="AG131" i="14" s="1"/>
  <c r="AB218" i="19"/>
  <c r="AB216" i="19"/>
  <c r="AB219" i="19"/>
  <c r="AB217" i="19"/>
  <c r="AB220" i="19"/>
  <c r="AB215" i="19"/>
  <c r="BI115" i="45"/>
  <c r="AE317" i="46"/>
  <c r="AE320" i="46"/>
  <c r="AC230" i="19"/>
  <c r="AC231" i="19"/>
  <c r="Y119" i="45"/>
  <c r="X365" i="46"/>
  <c r="X370" i="46"/>
  <c r="AD326" i="42"/>
  <c r="AD335" i="42" s="1"/>
  <c r="AE107" i="12"/>
  <c r="AF316" i="38"/>
  <c r="AF317" i="38"/>
  <c r="AF320" i="38" s="1"/>
  <c r="X125" i="45"/>
  <c r="W371" i="46"/>
  <c r="X126" i="45" s="1"/>
  <c r="AE129" i="12"/>
  <c r="AG47" i="19"/>
  <c r="BD119" i="45"/>
  <c r="W365" i="48"/>
  <c r="BD10" i="55"/>
  <c r="W370" i="48"/>
  <c r="AD225" i="14" a="1"/>
  <c r="AD225" i="14" s="1"/>
  <c r="AD233" i="14" s="1"/>
  <c r="AD234" i="14" s="1"/>
  <c r="AF142" i="12"/>
  <c r="AC233" i="14"/>
  <c r="AC234" i="14" s="1"/>
  <c r="AF92" i="19"/>
  <c r="AG145" i="14" s="1"/>
  <c r="AG145" i="12"/>
  <c r="AF61" i="19"/>
  <c r="BN58" i="45" l="1"/>
  <c r="D91" i="15"/>
  <c r="AG174" i="29"/>
  <c r="AC345" i="46"/>
  <c r="Y12" i="55"/>
  <c r="Y16" i="55"/>
  <c r="Z10" i="55"/>
  <c r="Z12" i="55" s="1"/>
  <c r="BL111" i="45"/>
  <c r="Y13" i="55"/>
  <c r="AG37" i="48"/>
  <c r="Y14" i="55"/>
  <c r="BL112" i="45"/>
  <c r="BN104" i="45"/>
  <c r="BL110" i="45"/>
  <c r="BN60" i="45"/>
  <c r="D95" i="16"/>
  <c r="N102" i="16" s="1"/>
  <c r="AF179" i="19"/>
  <c r="AF223" i="19" s="1"/>
  <c r="Y11" i="55"/>
  <c r="N88" i="16"/>
  <c r="AC348" i="46"/>
  <c r="CN7" i="55"/>
  <c r="AE224" i="19"/>
  <c r="AE243" i="19" s="1"/>
  <c r="AF271" i="46"/>
  <c r="D95" i="15"/>
  <c r="N102" i="15" s="1"/>
  <c r="AE271" i="48"/>
  <c r="X6" i="55"/>
  <c r="AF176" i="19"/>
  <c r="AC353" i="46"/>
  <c r="AC354" i="46" s="1"/>
  <c r="AF259" i="54"/>
  <c r="BM78" i="51" s="1"/>
  <c r="BM77" i="51"/>
  <c r="AF152" i="14"/>
  <c r="AF74" i="51"/>
  <c r="AA158" i="12"/>
  <c r="AA162" i="12"/>
  <c r="AG273" i="19"/>
  <c r="AG272" i="19"/>
  <c r="AG222" i="19"/>
  <c r="AG221" i="19"/>
  <c r="AG225" i="19"/>
  <c r="AG335" i="42"/>
  <c r="AG333" i="42"/>
  <c r="BN77" i="51"/>
  <c r="AG259" i="54"/>
  <c r="BN78" i="51" s="1"/>
  <c r="AB258" i="19"/>
  <c r="AB254" i="19"/>
  <c r="AE318" i="46"/>
  <c r="AE319" i="46" s="1"/>
  <c r="AE341" i="46"/>
  <c r="AE342" i="46" s="1"/>
  <c r="AF9" i="55"/>
  <c r="AF82" i="46"/>
  <c r="AF87" i="46" s="1"/>
  <c r="AF81" i="46"/>
  <c r="AF86" i="46" s="1"/>
  <c r="AF80" i="46"/>
  <c r="AF85" i="46" s="1"/>
  <c r="AF79" i="48"/>
  <c r="AF83" i="46"/>
  <c r="AF88" i="46" s="1"/>
  <c r="AF84" i="46"/>
  <c r="AG90" i="45" s="1"/>
  <c r="Y160" i="14"/>
  <c r="AG83" i="19"/>
  <c r="AH128" i="14" s="1"/>
  <c r="AH128" i="12"/>
  <c r="AE116" i="45"/>
  <c r="AG142" i="14"/>
  <c r="AE120" i="36"/>
  <c r="AD337" i="38"/>
  <c r="AD342" i="38"/>
  <c r="AE251" i="53"/>
  <c r="AF75" i="51" s="1"/>
  <c r="Z164" i="12"/>
  <c r="Y318" i="20"/>
  <c r="Z165" i="12" s="1"/>
  <c r="AH74" i="20"/>
  <c r="AG66" i="19"/>
  <c r="AG73" i="19"/>
  <c r="AH120" i="14" s="1"/>
  <c r="AH81" i="20"/>
  <c r="AH120" i="12"/>
  <c r="AF227" i="14"/>
  <c r="AC327" i="46"/>
  <c r="AC328" i="46"/>
  <c r="AC294" i="20"/>
  <c r="AC296" i="20" s="1"/>
  <c r="AC295" i="20"/>
  <c r="AG199" i="53"/>
  <c r="AG202" i="53"/>
  <c r="AG203" i="53"/>
  <c r="AG201" i="53"/>
  <c r="AG200" i="53"/>
  <c r="AG198" i="53"/>
  <c r="AF170" i="28"/>
  <c r="AF169" i="28"/>
  <c r="AF173" i="28" s="1"/>
  <c r="BJ120" i="36"/>
  <c r="AD122" i="36"/>
  <c r="AD125" i="36"/>
  <c r="AG183" i="28"/>
  <c r="AG184" i="28" s="1"/>
  <c r="AG185" i="28"/>
  <c r="AG186" i="28" s="1"/>
  <c r="AH105" i="14"/>
  <c r="AB327" i="48"/>
  <c r="AB328" i="48"/>
  <c r="AC71" i="16"/>
  <c r="AG118" i="14"/>
  <c r="AG175" i="29"/>
  <c r="AE272" i="20"/>
  <c r="AE273" i="20"/>
  <c r="AD333" i="42"/>
  <c r="AG105" i="12"/>
  <c r="AG127" i="14"/>
  <c r="BK100" i="45"/>
  <c r="BK113" i="45"/>
  <c r="AC250" i="19"/>
  <c r="AF98" i="14"/>
  <c r="AF153" i="14"/>
  <c r="AK273" i="12"/>
  <c r="AM273" i="12" s="1"/>
  <c r="AN273" i="12" s="1"/>
  <c r="AG269" i="20"/>
  <c r="AG268" i="20"/>
  <c r="AG271" i="20"/>
  <c r="AG270" i="20"/>
  <c r="AG117" i="14"/>
  <c r="AG176" i="19"/>
  <c r="AF325" i="38"/>
  <c r="Y121" i="45"/>
  <c r="Y123" i="45"/>
  <c r="Y124" i="45"/>
  <c r="AG77" i="51"/>
  <c r="AF259" i="53"/>
  <c r="AG78" i="51" s="1"/>
  <c r="AE150" i="12"/>
  <c r="AG226" i="12"/>
  <c r="AG99" i="46"/>
  <c r="AG109" i="46"/>
  <c r="AG44" i="46"/>
  <c r="AG79" i="46"/>
  <c r="AG69" i="46"/>
  <c r="BI126" i="36"/>
  <c r="AB343" i="42"/>
  <c r="BI127" i="36" s="1"/>
  <c r="AG167" i="28"/>
  <c r="AG168" i="28"/>
  <c r="AD325" i="46"/>
  <c r="AD326" i="46"/>
  <c r="AF188" i="28"/>
  <c r="AB234" i="19"/>
  <c r="AB238" i="19" s="1"/>
  <c r="AB235" i="19"/>
  <c r="BL103" i="45"/>
  <c r="AF102" i="45"/>
  <c r="BL102" i="45"/>
  <c r="BL101" i="45"/>
  <c r="AF101" i="45"/>
  <c r="AF103" i="45"/>
  <c r="Z160" i="12"/>
  <c r="AF317" i="46"/>
  <c r="AF320" i="46"/>
  <c r="AF152" i="12"/>
  <c r="AG142" i="12"/>
  <c r="BI125" i="36"/>
  <c r="BI122" i="36"/>
  <c r="AF149" i="12"/>
  <c r="Z155" i="14"/>
  <c r="Y270" i="19"/>
  <c r="Y275" i="19"/>
  <c r="AG75" i="19"/>
  <c r="AH83" i="20"/>
  <c r="AC346" i="46"/>
  <c r="AC347" i="46" s="1"/>
  <c r="AG335" i="38"/>
  <c r="AH121" i="36" s="1"/>
  <c r="BN121" i="36" s="1"/>
  <c r="AG333" i="38"/>
  <c r="AF271" i="20"/>
  <c r="AF268" i="20"/>
  <c r="AF269" i="20"/>
  <c r="AF270" i="20"/>
  <c r="BH122" i="36"/>
  <c r="BH125" i="36"/>
  <c r="AG33" i="48"/>
  <c r="AG39" i="48" s="1"/>
  <c r="BN75" i="45"/>
  <c r="AG140" i="29"/>
  <c r="AG139" i="29"/>
  <c r="AG136" i="29"/>
  <c r="AG137" i="29"/>
  <c r="AG141" i="29"/>
  <c r="AG138" i="29"/>
  <c r="AG80" i="19"/>
  <c r="AH111" i="14" s="1"/>
  <c r="AH88" i="20"/>
  <c r="AH111" i="12"/>
  <c r="AE229" i="19"/>
  <c r="AE227" i="19"/>
  <c r="AE226" i="19"/>
  <c r="AE228" i="19"/>
  <c r="AC215" i="19"/>
  <c r="AC219" i="19"/>
  <c r="AC218" i="19"/>
  <c r="AC217" i="19"/>
  <c r="AC216" i="19"/>
  <c r="AC220" i="19"/>
  <c r="Z308" i="20"/>
  <c r="AE114" i="45"/>
  <c r="AE115" i="45" s="1"/>
  <c r="AF69" i="19"/>
  <c r="AG99" i="14" s="1"/>
  <c r="AG99" i="12"/>
  <c r="AF110" i="45"/>
  <c r="AF111" i="45"/>
  <c r="AF112" i="45"/>
  <c r="AG179" i="29"/>
  <c r="AC232" i="19"/>
  <c r="AC233" i="19"/>
  <c r="AF242" i="53"/>
  <c r="AF249" i="53" s="1"/>
  <c r="AE69" i="16"/>
  <c r="AD191" i="29"/>
  <c r="AD196" i="29"/>
  <c r="BL97" i="45"/>
  <c r="AF100" i="45"/>
  <c r="AF113" i="45"/>
  <c r="AB345" i="48"/>
  <c r="AE151" i="14"/>
  <c r="Z157" i="12"/>
  <c r="Z163" i="12"/>
  <c r="AG129" i="12"/>
  <c r="AF149" i="14"/>
  <c r="Z162" i="14"/>
  <c r="Z158" i="14"/>
  <c r="AH115" i="14"/>
  <c r="AH77" i="51"/>
  <c r="AG259" i="53"/>
  <c r="AH78" i="51" s="1"/>
  <c r="AF266" i="20"/>
  <c r="AE150" i="14"/>
  <c r="AA349" i="48"/>
  <c r="BK76" i="51"/>
  <c r="AF141" i="29"/>
  <c r="AF139" i="29"/>
  <c r="AF140" i="29"/>
  <c r="AF136" i="29"/>
  <c r="AF138" i="29"/>
  <c r="AF137" i="29"/>
  <c r="AH85" i="20"/>
  <c r="AG77" i="19"/>
  <c r="AH106" i="14" s="1"/>
  <c r="AH106" i="12"/>
  <c r="AF179" i="29"/>
  <c r="AF180" i="29" s="1"/>
  <c r="AF34" i="19"/>
  <c r="AF33" i="19"/>
  <c r="BL4" i="55"/>
  <c r="AH144" i="12"/>
  <c r="AG91" i="19"/>
  <c r="AH144" i="14" s="1"/>
  <c r="AE275" i="46"/>
  <c r="AD308" i="46"/>
  <c r="AD309" i="46" s="1"/>
  <c r="AG111" i="12"/>
  <c r="AF80" i="19"/>
  <c r="AG111" i="14" s="1"/>
  <c r="AC331" i="48"/>
  <c r="AC343" i="48" s="1"/>
  <c r="AC332" i="48"/>
  <c r="AG266" i="20"/>
  <c r="AG141" i="12"/>
  <c r="AC251" i="19"/>
  <c r="AF226" i="14"/>
  <c r="AF225" i="14" a="1"/>
  <c r="AF225" i="14" s="1"/>
  <c r="AF148" i="14"/>
  <c r="BK109" i="45"/>
  <c r="AF154" i="14"/>
  <c r="AF97" i="14"/>
  <c r="AA353" i="48"/>
  <c r="AA354" i="48" s="1"/>
  <c r="AC276" i="20"/>
  <c r="AC280" i="20" s="1"/>
  <c r="AC277" i="20"/>
  <c r="AE110" i="48"/>
  <c r="AE115" i="48" s="1"/>
  <c r="AE112" i="48"/>
  <c r="AE117" i="48" s="1"/>
  <c r="AE113" i="48"/>
  <c r="AE118" i="48" s="1"/>
  <c r="AE111" i="48"/>
  <c r="AE116" i="48" s="1"/>
  <c r="AE114" i="48"/>
  <c r="AE274" i="48"/>
  <c r="X19" i="55"/>
  <c r="X20" i="55"/>
  <c r="BJ114" i="45"/>
  <c r="Z16" i="55"/>
  <c r="AG129" i="14"/>
  <c r="Y164" i="14"/>
  <c r="X276" i="19"/>
  <c r="Y165" i="14" s="1"/>
  <c r="AH73" i="20"/>
  <c r="AH96" i="12"/>
  <c r="AG65" i="19"/>
  <c r="AH96" i="14" s="1"/>
  <c r="AA363" i="46"/>
  <c r="AB120" i="45" s="1"/>
  <c r="AA361" i="46"/>
  <c r="AE320" i="48"/>
  <c r="AE317" i="48"/>
  <c r="Z363" i="46"/>
  <c r="AA120" i="45" s="1"/>
  <c r="Z361" i="46"/>
  <c r="AG249" i="53"/>
  <c r="AG251" i="53"/>
  <c r="AH75" i="51" s="1"/>
  <c r="AD290" i="20"/>
  <c r="AD291" i="20" s="1"/>
  <c r="AD292" i="20"/>
  <c r="AD293" i="20" s="1"/>
  <c r="AB300" i="20"/>
  <c r="BL76" i="51"/>
  <c r="AA330" i="48"/>
  <c r="AA329" i="48"/>
  <c r="AA333" i="48" s="1"/>
  <c r="AD194" i="28"/>
  <c r="AD201" i="28" s="1"/>
  <c r="AD318" i="48"/>
  <c r="AD319" i="48" s="1"/>
  <c r="AD341" i="48"/>
  <c r="AD342" i="48" s="1"/>
  <c r="AD242" i="19"/>
  <c r="AD241" i="19"/>
  <c r="AD244" i="19"/>
  <c r="AD239" i="19"/>
  <c r="AD240" i="19"/>
  <c r="AD243" i="19"/>
  <c r="BM128" i="36"/>
  <c r="AH72" i="45"/>
  <c r="AH86" i="45"/>
  <c r="AE70" i="48"/>
  <c r="AE75" i="48" s="1"/>
  <c r="AE73" i="48"/>
  <c r="AE78" i="48" s="1"/>
  <c r="AE72" i="48"/>
  <c r="AE77" i="48" s="1"/>
  <c r="AE71" i="48"/>
  <c r="AE76" i="48" s="1"/>
  <c r="AE74" i="48"/>
  <c r="AD115" i="45"/>
  <c r="AD230" i="19"/>
  <c r="AD231" i="19"/>
  <c r="AK276" i="12"/>
  <c r="AG289" i="20"/>
  <c r="AG89" i="19"/>
  <c r="AH140" i="14" s="1"/>
  <c r="AH140" i="12"/>
  <c r="BK78" i="45"/>
  <c r="AC311" i="46"/>
  <c r="AC312" i="46"/>
  <c r="AC315" i="46"/>
  <c r="AC314" i="46"/>
  <c r="AC313" i="46"/>
  <c r="AC310" i="46"/>
  <c r="AE278" i="20"/>
  <c r="AE279" i="20"/>
  <c r="AG105" i="14"/>
  <c r="Z353" i="48"/>
  <c r="AE335" i="38"/>
  <c r="AF121" i="36" s="1"/>
  <c r="BL121" i="36" s="1"/>
  <c r="AE333" i="38"/>
  <c r="BD125" i="45"/>
  <c r="W371" i="48"/>
  <c r="BD126" i="45" s="1"/>
  <c r="AE324" i="46"/>
  <c r="AE321" i="46"/>
  <c r="AE322" i="46"/>
  <c r="AE323" i="46"/>
  <c r="AF251" i="54"/>
  <c r="BM75" i="51" s="1"/>
  <c r="AF249" i="54"/>
  <c r="AB329" i="46"/>
  <c r="AB333" i="46" s="1"/>
  <c r="AB330" i="46"/>
  <c r="AF154" i="12"/>
  <c r="AF97" i="12"/>
  <c r="AD331" i="46"/>
  <c r="AD343" i="46" s="1"/>
  <c r="AD344" i="46" s="1"/>
  <c r="AD332" i="46"/>
  <c r="X159" i="12"/>
  <c r="AE151" i="12"/>
  <c r="AH131" i="12"/>
  <c r="AG84" i="19"/>
  <c r="AH131" i="14" s="1"/>
  <c r="AH127" i="14" s="1"/>
  <c r="N106" i="16"/>
  <c r="BK118" i="45"/>
  <c r="AE232" i="14"/>
  <c r="AH75" i="20"/>
  <c r="AG67" i="19"/>
  <c r="AH100" i="14" s="1"/>
  <c r="AH100" i="12"/>
  <c r="AG71" i="19"/>
  <c r="AH116" i="14" s="1"/>
  <c r="AH116" i="12"/>
  <c r="AH79" i="20"/>
  <c r="AB155" i="14"/>
  <c r="AA275" i="19"/>
  <c r="AB164" i="14" s="1"/>
  <c r="AA270" i="19"/>
  <c r="AC69" i="15"/>
  <c r="AB205" i="28"/>
  <c r="AB210" i="28"/>
  <c r="AD322" i="48"/>
  <c r="AD324" i="48"/>
  <c r="AD321" i="48"/>
  <c r="AD323" i="48"/>
  <c r="BJ126" i="36"/>
  <c r="AC343" i="42"/>
  <c r="BJ127" i="36" s="1"/>
  <c r="AE258" i="20"/>
  <c r="AE261" i="20"/>
  <c r="AE259" i="20"/>
  <c r="AE260" i="20"/>
  <c r="AE257" i="20"/>
  <c r="AE262" i="20"/>
  <c r="AD274" i="20"/>
  <c r="AD275" i="20"/>
  <c r="AG81" i="19"/>
  <c r="AH89" i="20"/>
  <c r="AH109" i="12"/>
  <c r="AE232" i="12"/>
  <c r="Z119" i="45"/>
  <c r="Y365" i="46"/>
  <c r="Y370" i="46"/>
  <c r="AF172" i="29"/>
  <c r="AF173" i="29" s="1"/>
  <c r="AF175" i="29" s="1"/>
  <c r="AH73" i="45"/>
  <c r="AH87" i="45"/>
  <c r="BL76" i="45"/>
  <c r="AF78" i="45"/>
  <c r="AH136" i="14"/>
  <c r="AG179" i="19"/>
  <c r="Y159" i="12"/>
  <c r="Y161" i="12" s="1"/>
  <c r="AG100" i="12"/>
  <c r="AF67" i="19"/>
  <c r="AG100" i="14" s="1"/>
  <c r="AG34" i="19"/>
  <c r="AG33" i="19"/>
  <c r="BL106" i="45"/>
  <c r="AF109" i="45"/>
  <c r="AC191" i="29"/>
  <c r="BD13" i="55"/>
  <c r="BD11" i="55"/>
  <c r="BD14" i="55"/>
  <c r="BD16" i="55"/>
  <c r="BD15" i="55"/>
  <c r="BD12" i="55"/>
  <c r="BK9" i="55"/>
  <c r="AG117" i="12"/>
  <c r="AE335" i="42"/>
  <c r="AE333" i="42"/>
  <c r="AG139" i="14"/>
  <c r="BL90" i="45"/>
  <c r="AF91" i="45"/>
  <c r="AF114" i="45" s="1"/>
  <c r="AF112" i="46"/>
  <c r="AF117" i="46" s="1"/>
  <c r="AF110" i="46"/>
  <c r="AF115" i="46" s="1"/>
  <c r="AF113" i="46"/>
  <c r="AF118" i="46" s="1"/>
  <c r="AF109" i="48"/>
  <c r="AF111" i="46"/>
  <c r="AF116" i="46" s="1"/>
  <c r="AF114" i="46"/>
  <c r="AG97" i="45" s="1"/>
  <c r="AF274" i="46"/>
  <c r="AG130" i="14"/>
  <c r="Z259" i="19"/>
  <c r="Z266" i="19" s="1"/>
  <c r="BK91" i="45"/>
  <c r="AG85" i="19"/>
  <c r="AH132" i="14" s="1"/>
  <c r="AH132" i="12"/>
  <c r="CO11" i="55"/>
  <c r="CO19" i="55" s="1"/>
  <c r="CO12" i="55"/>
  <c r="CO14" i="55"/>
  <c r="CO13" i="55"/>
  <c r="CO15" i="55"/>
  <c r="CO16" i="55"/>
  <c r="AE233" i="14"/>
  <c r="AE234" i="14" s="1"/>
  <c r="X7" i="55"/>
  <c r="N106" i="15"/>
  <c r="BE12" i="55"/>
  <c r="BE13" i="55"/>
  <c r="BE16" i="55"/>
  <c r="BE11" i="55"/>
  <c r="BE14" i="55"/>
  <c r="BE15" i="55"/>
  <c r="AH76" i="20"/>
  <c r="AH101" i="12"/>
  <c r="AG68" i="19"/>
  <c r="AH101" i="14" s="1"/>
  <c r="AG74" i="19"/>
  <c r="AH121" i="14" s="1"/>
  <c r="AH82" i="20"/>
  <c r="AH121" i="12"/>
  <c r="CN6" i="55"/>
  <c r="AB162" i="14"/>
  <c r="AB158" i="14"/>
  <c r="BJ115" i="45"/>
  <c r="AF318" i="42"/>
  <c r="AF319" i="42" s="1"/>
  <c r="AF321" i="42" s="1"/>
  <c r="AG222" i="20"/>
  <c r="AF255" i="20"/>
  <c r="AF256" i="20" s="1"/>
  <c r="AQ261" i="12"/>
  <c r="AH105" i="12"/>
  <c r="AF231" i="14"/>
  <c r="Z122" i="45"/>
  <c r="AG201" i="54"/>
  <c r="AG198" i="54"/>
  <c r="AG202" i="54"/>
  <c r="AG203" i="54"/>
  <c r="AG200" i="54"/>
  <c r="AG199" i="54"/>
  <c r="AH71" i="45"/>
  <c r="AH85" i="45"/>
  <c r="AG92" i="19"/>
  <c r="AH145" i="14" s="1"/>
  <c r="AH145" i="12"/>
  <c r="AF169" i="12"/>
  <c r="AG147" i="14"/>
  <c r="AG95" i="14"/>
  <c r="AB347" i="46"/>
  <c r="AB349" i="46" s="1"/>
  <c r="AB348" i="46"/>
  <c r="Y363" i="48"/>
  <c r="BF120" i="45" s="1"/>
  <c r="Y361" i="48"/>
  <c r="AF272" i="19"/>
  <c r="AF222" i="19"/>
  <c r="AF273" i="19"/>
  <c r="AF221" i="19"/>
  <c r="AF225" i="19"/>
  <c r="AF79" i="19"/>
  <c r="AG110" i="14" s="1"/>
  <c r="AG110" i="12"/>
  <c r="AC196" i="29"/>
  <c r="BL94" i="45"/>
  <c r="AF93" i="45"/>
  <c r="BL93" i="45"/>
  <c r="AF94" i="45"/>
  <c r="AE76" i="51"/>
  <c r="AG34" i="48"/>
  <c r="BN25" i="45"/>
  <c r="BN24" i="45"/>
  <c r="BN82" i="45"/>
  <c r="BN26" i="45"/>
  <c r="AC345" i="48"/>
  <c r="AC344" i="48"/>
  <c r="AF103" i="46"/>
  <c r="AF108" i="46" s="1"/>
  <c r="AF101" i="46"/>
  <c r="AF106" i="46" s="1"/>
  <c r="AF100" i="46"/>
  <c r="AF105" i="46" s="1"/>
  <c r="AF102" i="46"/>
  <c r="AF107" i="46" s="1"/>
  <c r="AF99" i="48"/>
  <c r="AF104" i="46"/>
  <c r="AG106" i="45" s="1"/>
  <c r="AG130" i="12"/>
  <c r="AB313" i="48"/>
  <c r="AB314" i="48"/>
  <c r="AB310" i="48"/>
  <c r="AB315" i="48"/>
  <c r="AB311" i="48"/>
  <c r="AB312" i="48"/>
  <c r="BK116" i="45"/>
  <c r="N88" i="15"/>
  <c r="Y157" i="14"/>
  <c r="Y163" i="14"/>
  <c r="AH147" i="14"/>
  <c r="AH95" i="14"/>
  <c r="AG72" i="19"/>
  <c r="AH80" i="20"/>
  <c r="AH119" i="12"/>
  <c r="AG229" i="12"/>
  <c r="AG4" i="55"/>
  <c r="AE201" i="28"/>
  <c r="AH87" i="20"/>
  <c r="AG79" i="19"/>
  <c r="AH110" i="14" s="1"/>
  <c r="AH110" i="12"/>
  <c r="AF202" i="54"/>
  <c r="AF201" i="54"/>
  <c r="AF203" i="54"/>
  <c r="AF198" i="54"/>
  <c r="AF200" i="54"/>
  <c r="AF199" i="54"/>
  <c r="AH84" i="45"/>
  <c r="AF80" i="45"/>
  <c r="AF79" i="45"/>
  <c r="AF81" i="45"/>
  <c r="BL79" i="45"/>
  <c r="BL80" i="45"/>
  <c r="BL81" i="45"/>
  <c r="AE239" i="19"/>
  <c r="AE244" i="19"/>
  <c r="AD236" i="19"/>
  <c r="AD248" i="19" s="1"/>
  <c r="AD249" i="19" s="1"/>
  <c r="AD237" i="19"/>
  <c r="AG90" i="19"/>
  <c r="AH143" i="14" s="1"/>
  <c r="AH143" i="12"/>
  <c r="AF233" i="12"/>
  <c r="AF234" i="12" s="1"/>
  <c r="AG101" i="12"/>
  <c r="AF68" i="19"/>
  <c r="AG101" i="14" s="1"/>
  <c r="AG231" i="12"/>
  <c r="AF77" i="19"/>
  <c r="AG106" i="14" s="1"/>
  <c r="AG106" i="12"/>
  <c r="AG229" i="14"/>
  <c r="AD71" i="16"/>
  <c r="AF44" i="48"/>
  <c r="AF316" i="48" s="1"/>
  <c r="AG141" i="14"/>
  <c r="BD123" i="45"/>
  <c r="BD124" i="45"/>
  <c r="BD121" i="45"/>
  <c r="AF318" i="38"/>
  <c r="AF319" i="38" s="1"/>
  <c r="AF321" i="38" s="1"/>
  <c r="Y125" i="45"/>
  <c r="X371" i="46"/>
  <c r="Y126" i="45" s="1"/>
  <c r="AD335" i="46"/>
  <c r="AD339" i="46"/>
  <c r="AD338" i="46"/>
  <c r="AD337" i="46"/>
  <c r="AD334" i="46"/>
  <c r="AD336" i="46"/>
  <c r="AG242" i="54"/>
  <c r="AG251" i="54" s="1"/>
  <c r="BN75" i="51" s="1"/>
  <c r="AE80" i="48"/>
  <c r="AE85" i="48" s="1"/>
  <c r="AE81" i="48"/>
  <c r="AE86" i="48" s="1"/>
  <c r="AE83" i="48"/>
  <c r="AE88" i="48" s="1"/>
  <c r="AE84" i="48"/>
  <c r="AE82" i="48"/>
  <c r="AE87" i="48" s="1"/>
  <c r="BN70" i="45"/>
  <c r="AC339" i="48"/>
  <c r="AC335" i="48"/>
  <c r="AC338" i="48"/>
  <c r="AC336" i="48"/>
  <c r="AC334" i="48"/>
  <c r="AC337" i="48"/>
  <c r="AF72" i="46"/>
  <c r="AF77" i="46" s="1"/>
  <c r="AF70" i="46"/>
  <c r="AF75" i="46" s="1"/>
  <c r="AF73" i="46"/>
  <c r="AF78" i="46" s="1"/>
  <c r="AF69" i="48"/>
  <c r="AF71" i="46"/>
  <c r="AF76" i="46" s="1"/>
  <c r="AF74" i="46"/>
  <c r="AG76" i="45" s="1"/>
  <c r="X176" i="12"/>
  <c r="AH226" i="12"/>
  <c r="X172" i="12"/>
  <c r="AP198" i="12"/>
  <c r="AG86" i="19"/>
  <c r="AH133" i="14" s="1"/>
  <c r="AH133" i="12"/>
  <c r="AA310" i="20"/>
  <c r="AB156" i="12" s="1"/>
  <c r="AA308" i="20"/>
  <c r="AC308" i="48"/>
  <c r="AC309" i="48" s="1"/>
  <c r="AD275" i="48"/>
  <c r="CP9" i="55"/>
  <c r="AE118" i="45"/>
  <c r="AH77" i="20"/>
  <c r="AG69" i="19"/>
  <c r="AH99" i="12"/>
  <c r="AQ212" i="12"/>
  <c r="AR212" i="12" s="1"/>
  <c r="AH146" i="12"/>
  <c r="AQ262" i="12"/>
  <c r="AH115" i="12"/>
  <c r="AE180" i="29"/>
  <c r="AE187" i="29" s="1"/>
  <c r="AF186" i="28"/>
  <c r="AF187" i="28" s="1"/>
  <c r="AF189" i="28" s="1"/>
  <c r="AF320" i="42"/>
  <c r="AF199" i="53"/>
  <c r="AF201" i="53"/>
  <c r="AF198" i="53"/>
  <c r="AF200" i="53"/>
  <c r="AF202" i="53"/>
  <c r="AF203" i="53"/>
  <c r="AD126" i="36"/>
  <c r="AC343" i="38"/>
  <c r="AD127" i="36" s="1"/>
  <c r="AG78" i="19"/>
  <c r="AH86" i="20"/>
  <c r="AD213" i="19"/>
  <c r="AD214" i="19" s="1"/>
  <c r="AE180" i="19"/>
  <c r="AC72" i="16"/>
  <c r="AB197" i="29"/>
  <c r="AC73" i="16" s="1"/>
  <c r="AQ215" i="12"/>
  <c r="AT215" i="12" s="1"/>
  <c r="AQ263" i="12"/>
  <c r="AH139" i="12"/>
  <c r="AF232" i="12"/>
  <c r="AG118" i="12"/>
  <c r="AG155" i="29"/>
  <c r="AG159" i="29" s="1"/>
  <c r="AG156" i="29"/>
  <c r="AF65" i="19"/>
  <c r="AG96" i="14" s="1"/>
  <c r="AG96" i="12"/>
  <c r="AE102" i="48"/>
  <c r="AE107" i="48" s="1"/>
  <c r="AE103" i="48"/>
  <c r="AE108" i="48" s="1"/>
  <c r="AE100" i="48"/>
  <c r="AE105" i="48" s="1"/>
  <c r="AE104" i="48"/>
  <c r="AE101" i="48"/>
  <c r="AE106" i="48" s="1"/>
  <c r="AG109" i="12"/>
  <c r="AF81" i="19"/>
  <c r="AG109" i="14" s="1"/>
  <c r="AC325" i="48"/>
  <c r="AC326" i="48"/>
  <c r="AF153" i="12"/>
  <c r="AF98" i="12"/>
  <c r="X173" i="12"/>
  <c r="AQ198" i="12"/>
  <c r="AH227" i="12"/>
  <c r="AG146" i="14"/>
  <c r="AD76" i="51"/>
  <c r="Z11" i="55" l="1"/>
  <c r="Z15" i="55"/>
  <c r="Z13" i="55"/>
  <c r="Z14" i="55"/>
  <c r="AE240" i="19"/>
  <c r="D97" i="16"/>
  <c r="AE242" i="19"/>
  <c r="N107" i="16"/>
  <c r="AE241" i="19"/>
  <c r="Y6" i="55"/>
  <c r="Y7" i="55"/>
  <c r="Y20" i="55"/>
  <c r="Y19" i="55"/>
  <c r="D97" i="15"/>
  <c r="AF246" i="19"/>
  <c r="AF247" i="19" s="1"/>
  <c r="N107" i="15"/>
  <c r="AH109" i="14"/>
  <c r="AH119" i="14"/>
  <c r="AC346" i="48"/>
  <c r="AC347" i="48" s="1"/>
  <c r="BM112" i="45"/>
  <c r="CO7" i="55"/>
  <c r="AD345" i="46"/>
  <c r="AD348" i="46" s="1"/>
  <c r="AD353" i="46" s="1"/>
  <c r="AD354" i="46" s="1"/>
  <c r="BD6" i="55"/>
  <c r="AF271" i="48"/>
  <c r="Z268" i="19"/>
  <c r="AA156" i="14" s="1"/>
  <c r="AD250" i="19"/>
  <c r="AD251" i="19" s="1"/>
  <c r="AD252" i="19" s="1"/>
  <c r="AH148" i="12"/>
  <c r="BM111" i="45"/>
  <c r="AF224" i="19"/>
  <c r="AF241" i="19" s="1"/>
  <c r="AA155" i="14"/>
  <c r="AF69" i="16"/>
  <c r="AG74" i="51"/>
  <c r="AG152" i="14"/>
  <c r="AE69" i="15"/>
  <c r="X175" i="12"/>
  <c r="X179" i="12"/>
  <c r="X177" i="12"/>
  <c r="AH231" i="12"/>
  <c r="AT198" i="12"/>
  <c r="AC315" i="48"/>
  <c r="AC314" i="48"/>
  <c r="AC312" i="48"/>
  <c r="AC311" i="48"/>
  <c r="AC310" i="48"/>
  <c r="AC313" i="48"/>
  <c r="AF118" i="45"/>
  <c r="AH108" i="14"/>
  <c r="Y159" i="14"/>
  <c r="Y161" i="14" s="1"/>
  <c r="BM106" i="45"/>
  <c r="AG109" i="45"/>
  <c r="BM110" i="45"/>
  <c r="X174" i="12"/>
  <c r="AR198" i="12"/>
  <c r="AH228" i="12"/>
  <c r="AG223" i="19"/>
  <c r="AG224" i="19" s="1"/>
  <c r="AI179" i="19"/>
  <c r="AG246" i="19"/>
  <c r="AG247" i="19" s="1"/>
  <c r="AD326" i="48"/>
  <c r="AD325" i="48"/>
  <c r="AA276" i="19"/>
  <c r="AB165" i="14" s="1"/>
  <c r="AH149" i="14"/>
  <c r="AF233" i="14"/>
  <c r="AF234" i="14" s="1"/>
  <c r="X178" i="14"/>
  <c r="AS198" i="14"/>
  <c r="AH229" i="14"/>
  <c r="AG44" i="48"/>
  <c r="AF322" i="46"/>
  <c r="AF321" i="46"/>
  <c r="AF324" i="46"/>
  <c r="AF323" i="46"/>
  <c r="AG227" i="14"/>
  <c r="AE189" i="29"/>
  <c r="AF70" i="16" s="1"/>
  <c r="BM90" i="45"/>
  <c r="AG91" i="45"/>
  <c r="AG114" i="45" s="1"/>
  <c r="AE338" i="46"/>
  <c r="AE336" i="46"/>
  <c r="AE335" i="46"/>
  <c r="AE334" i="46"/>
  <c r="AE339" i="46"/>
  <c r="AE337" i="46"/>
  <c r="AG229" i="19"/>
  <c r="AG226" i="19"/>
  <c r="AG227" i="19"/>
  <c r="AG228" i="19"/>
  <c r="AA160" i="12"/>
  <c r="AF116" i="45"/>
  <c r="AF102" i="48"/>
  <c r="AF107" i="48" s="1"/>
  <c r="AF101" i="48"/>
  <c r="AF106" i="48" s="1"/>
  <c r="AF103" i="48"/>
  <c r="AF108" i="48" s="1"/>
  <c r="AF104" i="48"/>
  <c r="AF100" i="48"/>
  <c r="AF105" i="48" s="1"/>
  <c r="AG108" i="12"/>
  <c r="AH117" i="12"/>
  <c r="AH139" i="14"/>
  <c r="AH148" i="14" s="1"/>
  <c r="Z124" i="45"/>
  <c r="Z121" i="45"/>
  <c r="Z123" i="45"/>
  <c r="AB163" i="14"/>
  <c r="AB157" i="14"/>
  <c r="AA162" i="14"/>
  <c r="AA158" i="14"/>
  <c r="BM74" i="51"/>
  <c r="AF253" i="54"/>
  <c r="AA119" i="45"/>
  <c r="Z365" i="46"/>
  <c r="Z370" i="46"/>
  <c r="AH149" i="12"/>
  <c r="Z20" i="55"/>
  <c r="Z19" i="55"/>
  <c r="AA363" i="48"/>
  <c r="BH120" i="45" s="1"/>
  <c r="AA361" i="48"/>
  <c r="AF232" i="14"/>
  <c r="AH142" i="14"/>
  <c r="AH146" i="14"/>
  <c r="AE71" i="16"/>
  <c r="Z164" i="14"/>
  <c r="Y276" i="19"/>
  <c r="Z165" i="14" s="1"/>
  <c r="AG72" i="46"/>
  <c r="AG77" i="46" s="1"/>
  <c r="AG70" i="46"/>
  <c r="AG75" i="46" s="1"/>
  <c r="AG71" i="46"/>
  <c r="AG76" i="46" s="1"/>
  <c r="AG69" i="48"/>
  <c r="AG73" i="46"/>
  <c r="AG78" i="46" s="1"/>
  <c r="AG74" i="46"/>
  <c r="AH76" i="45" s="1"/>
  <c r="AG228" i="12"/>
  <c r="AG232" i="12" s="1"/>
  <c r="AL274" i="12"/>
  <c r="AG187" i="28"/>
  <c r="AG189" i="28" s="1"/>
  <c r="AG188" i="28"/>
  <c r="AG149" i="14"/>
  <c r="X178" i="12"/>
  <c r="AS198" i="12"/>
  <c r="AH229" i="12"/>
  <c r="BM76" i="45"/>
  <c r="AG78" i="45"/>
  <c r="AC348" i="48"/>
  <c r="AG249" i="54"/>
  <c r="AG108" i="14"/>
  <c r="BF119" i="45"/>
  <c r="Y365" i="48"/>
  <c r="Y370" i="48"/>
  <c r="BE19" i="55"/>
  <c r="BE20" i="55"/>
  <c r="CO6" i="55"/>
  <c r="AF318" i="46"/>
  <c r="AF319" i="46" s="1"/>
  <c r="AF341" i="46"/>
  <c r="AF342" i="46" s="1"/>
  <c r="AG9" i="55"/>
  <c r="AG153" i="14"/>
  <c r="AG98" i="14"/>
  <c r="AD332" i="48"/>
  <c r="AD331" i="48"/>
  <c r="AD343" i="48" s="1"/>
  <c r="AD344" i="48" s="1"/>
  <c r="AF150" i="12"/>
  <c r="AE332" i="46"/>
  <c r="AE331" i="46"/>
  <c r="AE343" i="46" s="1"/>
  <c r="AG228" i="14"/>
  <c r="AB301" i="20"/>
  <c r="AB310" i="20" s="1"/>
  <c r="AC156" i="12" s="1"/>
  <c r="AA122" i="45"/>
  <c r="AG107" i="14"/>
  <c r="AH142" i="12"/>
  <c r="Z159" i="12"/>
  <c r="BL100" i="45"/>
  <c r="BL113" i="45"/>
  <c r="AE236" i="19"/>
  <c r="AE237" i="19"/>
  <c r="AF278" i="20"/>
  <c r="AF279" i="20"/>
  <c r="AG80" i="46"/>
  <c r="AG85" i="46" s="1"/>
  <c r="AG81" i="46"/>
  <c r="AG86" i="46" s="1"/>
  <c r="AG83" i="46"/>
  <c r="AG88" i="46" s="1"/>
  <c r="AG82" i="46"/>
  <c r="AG87" i="46" s="1"/>
  <c r="AG79" i="48"/>
  <c r="AG84" i="46"/>
  <c r="AH90" i="45" s="1"/>
  <c r="AG148" i="12"/>
  <c r="AG169" i="12" s="1"/>
  <c r="AC300" i="20"/>
  <c r="AC301" i="20" s="1"/>
  <c r="AH118" i="12"/>
  <c r="AF81" i="48"/>
  <c r="AF86" i="48" s="1"/>
  <c r="AF82" i="48"/>
  <c r="AF87" i="48" s="1"/>
  <c r="AF80" i="48"/>
  <c r="AF85" i="48" s="1"/>
  <c r="AF84" i="48"/>
  <c r="AF83" i="48"/>
  <c r="AF88" i="48" s="1"/>
  <c r="AB10" i="55"/>
  <c r="AB155" i="12"/>
  <c r="AA312" i="20"/>
  <c r="AA317" i="20"/>
  <c r="AF317" i="48"/>
  <c r="AF320" i="48"/>
  <c r="AG110" i="45"/>
  <c r="AG111" i="45"/>
  <c r="AG112" i="45"/>
  <c r="BN73" i="45"/>
  <c r="BN87" i="45"/>
  <c r="AD72" i="16"/>
  <c r="AC197" i="29"/>
  <c r="AD73" i="16" s="1"/>
  <c r="AF226" i="19"/>
  <c r="AF227" i="19"/>
  <c r="AF229" i="19"/>
  <c r="AF228" i="19"/>
  <c r="BF122" i="45"/>
  <c r="AH117" i="14"/>
  <c r="AH130" i="12"/>
  <c r="BM97" i="45"/>
  <c r="AG100" i="45"/>
  <c r="AG113" i="45"/>
  <c r="AE337" i="42"/>
  <c r="AE342" i="42"/>
  <c r="AG98" i="12"/>
  <c r="AG153" i="12"/>
  <c r="AK275" i="12"/>
  <c r="AM275" i="12" s="1"/>
  <c r="AD334" i="48"/>
  <c r="AD338" i="48"/>
  <c r="AD336" i="48"/>
  <c r="AD337" i="48"/>
  <c r="AD335" i="48"/>
  <c r="AD339" i="48"/>
  <c r="Z7" i="55"/>
  <c r="AF150" i="14"/>
  <c r="AG107" i="12"/>
  <c r="AF281" i="20"/>
  <c r="AF283" i="20"/>
  <c r="AF285" i="20"/>
  <c r="AF286" i="20"/>
  <c r="AF284" i="20"/>
  <c r="AF282" i="20"/>
  <c r="Z161" i="12"/>
  <c r="AB348" i="48"/>
  <c r="AG152" i="12"/>
  <c r="BF10" i="55"/>
  <c r="AG316" i="46"/>
  <c r="AH4" i="55"/>
  <c r="AF151" i="14"/>
  <c r="AD342" i="42"/>
  <c r="AD337" i="42"/>
  <c r="AE126" i="36"/>
  <c r="AD343" i="38"/>
  <c r="AE127" i="36" s="1"/>
  <c r="AG94" i="45"/>
  <c r="BM94" i="45"/>
  <c r="BM93" i="45"/>
  <c r="AG93" i="45"/>
  <c r="AF151" i="12"/>
  <c r="AQ218" i="12"/>
  <c r="AQ254" i="12"/>
  <c r="AB162" i="12"/>
  <c r="AB158" i="12"/>
  <c r="AF72" i="48"/>
  <c r="AF77" i="48" s="1"/>
  <c r="AF70" i="48"/>
  <c r="AF75" i="48" s="1"/>
  <c r="AF73" i="48"/>
  <c r="AF78" i="48" s="1"/>
  <c r="AF74" i="48"/>
  <c r="AF71" i="48"/>
  <c r="AF76" i="48" s="1"/>
  <c r="X173" i="14"/>
  <c r="AJ224" i="14" a="1"/>
  <c r="AJ224" i="14" s="1"/>
  <c r="AH227" i="14"/>
  <c r="AQ198" i="14"/>
  <c r="BN84" i="45"/>
  <c r="BM4" i="55"/>
  <c r="AF258" i="20"/>
  <c r="AF262" i="20"/>
  <c r="AF260" i="20"/>
  <c r="AF259" i="20"/>
  <c r="AF257" i="20"/>
  <c r="AF261" i="20"/>
  <c r="AH97" i="14"/>
  <c r="AH154" i="14"/>
  <c r="BE7" i="55"/>
  <c r="AH130" i="14"/>
  <c r="BL109" i="45"/>
  <c r="AC72" i="15"/>
  <c r="AB211" i="28"/>
  <c r="AC73" i="15" s="1"/>
  <c r="AK277" i="12"/>
  <c r="AK278" i="12"/>
  <c r="AM276" i="12"/>
  <c r="AD294" i="20"/>
  <c r="AD296" i="20" s="1"/>
  <c r="AD295" i="20"/>
  <c r="Z6" i="55"/>
  <c r="AD311" i="46"/>
  <c r="AD314" i="46"/>
  <c r="AD310" i="46"/>
  <c r="AD312" i="46"/>
  <c r="AD315" i="46"/>
  <c r="AD313" i="46"/>
  <c r="Z160" i="14"/>
  <c r="AC235" i="19"/>
  <c r="AC234" i="19"/>
  <c r="AC238" i="19" s="1"/>
  <c r="AB346" i="48"/>
  <c r="AB347" i="48" s="1"/>
  <c r="AB349" i="48" s="1"/>
  <c r="AH120" i="36"/>
  <c r="AG337" i="38"/>
  <c r="AG342" i="38"/>
  <c r="Z157" i="14"/>
  <c r="Z163" i="14"/>
  <c r="AG169" i="28"/>
  <c r="AG173" i="28" s="1"/>
  <c r="AG170" i="28"/>
  <c r="AG111" i="46"/>
  <c r="AG116" i="46" s="1"/>
  <c r="AG110" i="46"/>
  <c r="AG115" i="46" s="1"/>
  <c r="AG112" i="46"/>
  <c r="AG117" i="46" s="1"/>
  <c r="AG114" i="46"/>
  <c r="AH97" i="45" s="1"/>
  <c r="AG109" i="48"/>
  <c r="AG113" i="46"/>
  <c r="AG118" i="46" s="1"/>
  <c r="AG274" i="46"/>
  <c r="AG225" i="12" a="1"/>
  <c r="AG225" i="12" s="1"/>
  <c r="AG272" i="20"/>
  <c r="AG273" i="20"/>
  <c r="AC252" i="19"/>
  <c r="AC254" i="19" s="1"/>
  <c r="AC253" i="19"/>
  <c r="AE275" i="20"/>
  <c r="AE274" i="20"/>
  <c r="AC349" i="46"/>
  <c r="AH118" i="14"/>
  <c r="AB259" i="19"/>
  <c r="AB268" i="19" s="1"/>
  <c r="AC156" i="14" s="1"/>
  <c r="AG337" i="42"/>
  <c r="AG342" i="42"/>
  <c r="AE253" i="53"/>
  <c r="AG149" i="12"/>
  <c r="AH129" i="12"/>
  <c r="AH225" i="12" a="1"/>
  <c r="AH225" i="12" s="1"/>
  <c r="AG97" i="14"/>
  <c r="AG154" i="14"/>
  <c r="BL118" i="45"/>
  <c r="X176" i="14"/>
  <c r="AH226" i="14"/>
  <c r="X172" i="14"/>
  <c r="AP198" i="14"/>
  <c r="BN85" i="45"/>
  <c r="BN71" i="45"/>
  <c r="AF242" i="19"/>
  <c r="AB353" i="46"/>
  <c r="AB354" i="46" s="1"/>
  <c r="AH141" i="12"/>
  <c r="AG255" i="20"/>
  <c r="AG256" i="20" s="1"/>
  <c r="AH97" i="12"/>
  <c r="AH154" i="12"/>
  <c r="AF113" i="48"/>
  <c r="AF118" i="48" s="1"/>
  <c r="AF112" i="48"/>
  <c r="AF117" i="48" s="1"/>
  <c r="AF110" i="48"/>
  <c r="AF115" i="48" s="1"/>
  <c r="AF114" i="48"/>
  <c r="AF111" i="48"/>
  <c r="AF116" i="48" s="1"/>
  <c r="AF274" i="48"/>
  <c r="BL78" i="45"/>
  <c r="AF120" i="36"/>
  <c r="AE337" i="38"/>
  <c r="AE342" i="38"/>
  <c r="AE290" i="20"/>
  <c r="AE291" i="20" s="1"/>
  <c r="AE292" i="20"/>
  <c r="AE293" i="20" s="1"/>
  <c r="AD232" i="19"/>
  <c r="AD233" i="19"/>
  <c r="AE323" i="48"/>
  <c r="AE322" i="48"/>
  <c r="AE321" i="48"/>
  <c r="AE324" i="48"/>
  <c r="AG284" i="20"/>
  <c r="AG283" i="20"/>
  <c r="AG281" i="20"/>
  <c r="AG282" i="20"/>
  <c r="AG286" i="20"/>
  <c r="AG285" i="20"/>
  <c r="AF275" i="46"/>
  <c r="AE308" i="46"/>
  <c r="AE309" i="46" s="1"/>
  <c r="AH107" i="12"/>
  <c r="AF193" i="28"/>
  <c r="AG101" i="46"/>
  <c r="AG106" i="46" s="1"/>
  <c r="AG102" i="46"/>
  <c r="AG107" i="46" s="1"/>
  <c r="AG103" i="46"/>
  <c r="AG108" i="46" s="1"/>
  <c r="AG104" i="46"/>
  <c r="AH106" i="45" s="1"/>
  <c r="AG100" i="46"/>
  <c r="AG105" i="46" s="1"/>
  <c r="AG99" i="48"/>
  <c r="AG278" i="20"/>
  <c r="AG290" i="20" s="1"/>
  <c r="AG291" i="20" s="1"/>
  <c r="AG279" i="20"/>
  <c r="BJ125" i="36"/>
  <c r="BJ122" i="36"/>
  <c r="AC330" i="46"/>
  <c r="AC329" i="46"/>
  <c r="AC333" i="46" s="1"/>
  <c r="AH99" i="14"/>
  <c r="BK120" i="36"/>
  <c r="AE122" i="36"/>
  <c r="AE125" i="36"/>
  <c r="AF76" i="51"/>
  <c r="AE213" i="19"/>
  <c r="AE214" i="19" s="1"/>
  <c r="AF180" i="19"/>
  <c r="CP13" i="55"/>
  <c r="CP11" i="55"/>
  <c r="CP19" i="55" s="1"/>
  <c r="CP15" i="55"/>
  <c r="CP12" i="55"/>
  <c r="CP14" i="55"/>
  <c r="CP16" i="55"/>
  <c r="AH129" i="14"/>
  <c r="AG79" i="45"/>
  <c r="AG81" i="45"/>
  <c r="AG80" i="45"/>
  <c r="BM80" i="45"/>
  <c r="BM81" i="45"/>
  <c r="BM79" i="45"/>
  <c r="AG97" i="12"/>
  <c r="AG154" i="12"/>
  <c r="AF69" i="15"/>
  <c r="AE205" i="28"/>
  <c r="AE210" i="28"/>
  <c r="BN86" i="45"/>
  <c r="BN72" i="45"/>
  <c r="AH141" i="14"/>
  <c r="AB160" i="14"/>
  <c r="BL91" i="45"/>
  <c r="BL114" i="45" s="1"/>
  <c r="BD20" i="55"/>
  <c r="BD19" i="55"/>
  <c r="AC71" i="15"/>
  <c r="AH153" i="12"/>
  <c r="AH98" i="12"/>
  <c r="BK114" i="45"/>
  <c r="AB119" i="45"/>
  <c r="AA365" i="46"/>
  <c r="AA370" i="46"/>
  <c r="AE318" i="48"/>
  <c r="AE319" i="48" s="1"/>
  <c r="AE341" i="48"/>
  <c r="AE342" i="48" s="1"/>
  <c r="X161" i="12"/>
  <c r="AD203" i="28"/>
  <c r="AE70" i="15" s="1"/>
  <c r="AG180" i="29"/>
  <c r="AG189" i="29" s="1"/>
  <c r="AH70" i="16" s="1"/>
  <c r="AA10" i="55"/>
  <c r="AA155" i="12"/>
  <c r="Z312" i="20"/>
  <c r="Z317" i="20"/>
  <c r="AG271" i="46"/>
  <c r="AB329" i="48"/>
  <c r="AB333" i="48" s="1"/>
  <c r="AB330" i="48"/>
  <c r="BL9" i="55"/>
  <c r="AF251" i="53"/>
  <c r="AG75" i="51" s="1"/>
  <c r="AC327" i="48"/>
  <c r="AC328" i="48"/>
  <c r="AD220" i="19"/>
  <c r="AD219" i="19"/>
  <c r="AD218" i="19"/>
  <c r="AD217" i="19"/>
  <c r="AD215" i="19"/>
  <c r="AD216" i="19"/>
  <c r="AF325" i="42"/>
  <c r="AF326" i="42" s="1"/>
  <c r="AH152" i="12"/>
  <c r="AD308" i="48"/>
  <c r="AD309" i="48" s="1"/>
  <c r="AE275" i="48"/>
  <c r="CQ9" i="55"/>
  <c r="BL116" i="45"/>
  <c r="AH108" i="12"/>
  <c r="AG225" i="14" a="1"/>
  <c r="AG225" i="14" s="1"/>
  <c r="AG226" i="14"/>
  <c r="AG148" i="14"/>
  <c r="BE6" i="55"/>
  <c r="AG102" i="45"/>
  <c r="AG103" i="45"/>
  <c r="AG101" i="45"/>
  <c r="BM102" i="45"/>
  <c r="BM103" i="45"/>
  <c r="BM101" i="45"/>
  <c r="AG231" i="14"/>
  <c r="BD7" i="55"/>
  <c r="Z125" i="45"/>
  <c r="Y371" i="46"/>
  <c r="Z126" i="45" s="1"/>
  <c r="AD277" i="20"/>
  <c r="AD276" i="20"/>
  <c r="AD280" i="20" s="1"/>
  <c r="AH98" i="14"/>
  <c r="AH153" i="14"/>
  <c r="AE325" i="46"/>
  <c r="AE326" i="46"/>
  <c r="Z354" i="48"/>
  <c r="Z363" i="48" s="1"/>
  <c r="BG120" i="45" s="1"/>
  <c r="AH74" i="51"/>
  <c r="AG253" i="53"/>
  <c r="AB122" i="45"/>
  <c r="AF189" i="29"/>
  <c r="AG70" i="16" s="1"/>
  <c r="AF187" i="29"/>
  <c r="AF115" i="45"/>
  <c r="AE72" i="16"/>
  <c r="AD197" i="29"/>
  <c r="AE73" i="16" s="1"/>
  <c r="AE230" i="19"/>
  <c r="AE231" i="19"/>
  <c r="AH107" i="14"/>
  <c r="AF272" i="20"/>
  <c r="AF273" i="20"/>
  <c r="AD327" i="46"/>
  <c r="AD328" i="46"/>
  <c r="AF326" i="38"/>
  <c r="AF335" i="38" s="1"/>
  <c r="AG121" i="36" s="1"/>
  <c r="BM121" i="36" s="1"/>
  <c r="X174" i="14"/>
  <c r="AR198" i="14"/>
  <c r="AH228" i="14"/>
  <c r="AE345" i="46"/>
  <c r="AE344" i="46"/>
  <c r="AC363" i="46"/>
  <c r="AD120" i="45" s="1"/>
  <c r="AC361" i="46"/>
  <c r="AD346" i="46" l="1"/>
  <c r="AD347" i="46" s="1"/>
  <c r="AH169" i="12"/>
  <c r="AD349" i="46"/>
  <c r="AC349" i="48"/>
  <c r="X180" i="12"/>
  <c r="AG233" i="12"/>
  <c r="AG234" i="12" s="1"/>
  <c r="N172" i="12"/>
  <c r="N176" i="12"/>
  <c r="AF243" i="19"/>
  <c r="AH225" i="14" a="1"/>
  <c r="AH225" i="14" s="1"/>
  <c r="AF240" i="19"/>
  <c r="AF239" i="19"/>
  <c r="AH232" i="12"/>
  <c r="AF244" i="19"/>
  <c r="Z275" i="19"/>
  <c r="AA164" i="14" s="1"/>
  <c r="AD253" i="19"/>
  <c r="AD258" i="19" s="1"/>
  <c r="AD259" i="19" s="1"/>
  <c r="AH233" i="12"/>
  <c r="AH234" i="12" s="1"/>
  <c r="Z270" i="19"/>
  <c r="AE348" i="46"/>
  <c r="AE346" i="46"/>
  <c r="AE347" i="46" s="1"/>
  <c r="AG232" i="14"/>
  <c r="AC162" i="14"/>
  <c r="AC158" i="14"/>
  <c r="BG122" i="45"/>
  <c r="D183" i="12"/>
  <c r="AC162" i="12"/>
  <c r="AC158" i="12"/>
  <c r="AG233" i="14"/>
  <c r="AG234" i="14" s="1"/>
  <c r="AE337" i="48"/>
  <c r="AE335" i="48"/>
  <c r="AE339" i="48"/>
  <c r="AE336" i="48"/>
  <c r="AE338" i="48"/>
  <c r="AE334" i="48"/>
  <c r="AF71" i="15"/>
  <c r="AD235" i="19"/>
  <c r="AD234" i="19"/>
  <c r="AD238" i="19" s="1"/>
  <c r="AF318" i="48"/>
  <c r="AF319" i="48" s="1"/>
  <c r="AF341" i="48"/>
  <c r="AF342" i="48" s="1"/>
  <c r="AH150" i="12"/>
  <c r="AI274" i="46"/>
  <c r="AG318" i="46"/>
  <c r="AJ274" i="46"/>
  <c r="AG341" i="46"/>
  <c r="AG342" i="46" s="1"/>
  <c r="AH9" i="55"/>
  <c r="AM277" i="12"/>
  <c r="AM278" i="12"/>
  <c r="AN276" i="12"/>
  <c r="AH150" i="14"/>
  <c r="BL126" i="36"/>
  <c r="AE343" i="42"/>
  <c r="BL127" i="36" s="1"/>
  <c r="AB157" i="12"/>
  <c r="AB163" i="12"/>
  <c r="BL115" i="45"/>
  <c r="N178" i="12"/>
  <c r="BN76" i="45"/>
  <c r="AH78" i="45"/>
  <c r="X177" i="14"/>
  <c r="X175" i="14"/>
  <c r="X179" i="14"/>
  <c r="AH231" i="14"/>
  <c r="AT198" i="14"/>
  <c r="AG76" i="51"/>
  <c r="AC329" i="48"/>
  <c r="AC333" i="48" s="1"/>
  <c r="AC330" i="48"/>
  <c r="AB125" i="45"/>
  <c r="AA371" i="46"/>
  <c r="AB126" i="45" s="1"/>
  <c r="AG187" i="29"/>
  <c r="AE294" i="20"/>
  <c r="AE296" i="20" s="1"/>
  <c r="AE295" i="20"/>
  <c r="AG261" i="20"/>
  <c r="AG260" i="20"/>
  <c r="AG257" i="20"/>
  <c r="AG259" i="20"/>
  <c r="AG258" i="20"/>
  <c r="AG262" i="20"/>
  <c r="BN126" i="36"/>
  <c r="AG343" i="42"/>
  <c r="BN127" i="36" s="1"/>
  <c r="AC258" i="19"/>
  <c r="AC259" i="19" s="1"/>
  <c r="Z159" i="14"/>
  <c r="Z161" i="14" s="1"/>
  <c r="AG292" i="20"/>
  <c r="AB13" i="55"/>
  <c r="AB16" i="55"/>
  <c r="AB12" i="55"/>
  <c r="AB14" i="55"/>
  <c r="AB11" i="55"/>
  <c r="AB15" i="55"/>
  <c r="AC310" i="20"/>
  <c r="AD156" i="12" s="1"/>
  <c r="AC308" i="20"/>
  <c r="AG193" i="28"/>
  <c r="BH119" i="45"/>
  <c r="AA365" i="48"/>
  <c r="AA370" i="48"/>
  <c r="BH10" i="55"/>
  <c r="AA121" i="45"/>
  <c r="AA124" i="45"/>
  <c r="AA123" i="45"/>
  <c r="AG237" i="19"/>
  <c r="AG236" i="19"/>
  <c r="AG248" i="19" s="1"/>
  <c r="BM91" i="45"/>
  <c r="BM114" i="45" s="1"/>
  <c r="N175" i="12"/>
  <c r="D187" i="12" s="1"/>
  <c r="N195" i="12" s="1"/>
  <c r="Z276" i="19"/>
  <c r="AA165" i="14" s="1"/>
  <c r="AF335" i="42"/>
  <c r="AF333" i="42"/>
  <c r="AE353" i="46"/>
  <c r="AE354" i="46" s="1"/>
  <c r="AE233" i="19"/>
  <c r="AE232" i="19"/>
  <c r="CF14" i="51"/>
  <c r="AH76" i="51"/>
  <c r="CQ15" i="55"/>
  <c r="CQ11" i="55"/>
  <c r="CQ19" i="55" s="1"/>
  <c r="CQ16" i="55"/>
  <c r="CQ13" i="55"/>
  <c r="CQ14" i="55"/>
  <c r="CQ12" i="55"/>
  <c r="AA164" i="12"/>
  <c r="Z318" i="20"/>
  <c r="AA165" i="12" s="1"/>
  <c r="AG118" i="45"/>
  <c r="AG102" i="48"/>
  <c r="AG107" i="48" s="1"/>
  <c r="AG103" i="48"/>
  <c r="AG108" i="48" s="1"/>
  <c r="AG100" i="48"/>
  <c r="AG105" i="48" s="1"/>
  <c r="AG104" i="48"/>
  <c r="AG101" i="48"/>
  <c r="AG106" i="48" s="1"/>
  <c r="AF194" i="28"/>
  <c r="AF201" i="28" s="1"/>
  <c r="AG111" i="48"/>
  <c r="AG116" i="48" s="1"/>
  <c r="AG113" i="48"/>
  <c r="AG118" i="48" s="1"/>
  <c r="AG110" i="48"/>
  <c r="AG115" i="48" s="1"/>
  <c r="AG114" i="48"/>
  <c r="AG112" i="48"/>
  <c r="AG117" i="48" s="1"/>
  <c r="AG274" i="48"/>
  <c r="AB353" i="48"/>
  <c r="AB354" i="48" s="1"/>
  <c r="AG115" i="45"/>
  <c r="AF324" i="48"/>
  <c r="AF322" i="48"/>
  <c r="AF321" i="48"/>
  <c r="AF323" i="48"/>
  <c r="N173" i="12"/>
  <c r="D184" i="12" s="1"/>
  <c r="N198" i="12" s="1"/>
  <c r="AG151" i="14"/>
  <c r="BN74" i="51"/>
  <c r="AG253" i="54"/>
  <c r="AG73" i="48"/>
  <c r="AG78" i="48" s="1"/>
  <c r="AG72" i="48"/>
  <c r="AG77" i="48" s="1"/>
  <c r="AG70" i="48"/>
  <c r="AG75" i="48" s="1"/>
  <c r="AG74" i="48"/>
  <c r="AG71" i="48"/>
  <c r="AG76" i="48" s="1"/>
  <c r="BH122" i="45"/>
  <c r="AB308" i="20"/>
  <c r="AB159" i="14"/>
  <c r="AG316" i="48"/>
  <c r="BN4" i="55"/>
  <c r="AD210" i="28"/>
  <c r="AG69" i="16"/>
  <c r="AF196" i="29"/>
  <c r="AF191" i="29"/>
  <c r="AD329" i="46"/>
  <c r="AD333" i="46" s="1"/>
  <c r="AD330" i="46"/>
  <c r="AE308" i="48"/>
  <c r="AE309" i="48" s="1"/>
  <c r="AF275" i="48"/>
  <c r="CR9" i="55"/>
  <c r="AB123" i="45"/>
  <c r="AB124" i="45"/>
  <c r="AB121" i="45"/>
  <c r="AG116" i="45"/>
  <c r="AH111" i="45"/>
  <c r="AH112" i="45"/>
  <c r="AH110" i="45"/>
  <c r="BN111" i="45"/>
  <c r="BN112" i="45"/>
  <c r="BN110" i="45"/>
  <c r="AE314" i="46"/>
  <c r="AE315" i="46"/>
  <c r="AE312" i="46"/>
  <c r="AE310" i="46"/>
  <c r="AE311" i="46"/>
  <c r="AE313" i="46"/>
  <c r="AE331" i="48"/>
  <c r="AE343" i="48" s="1"/>
  <c r="AE344" i="48" s="1"/>
  <c r="AE332" i="48"/>
  <c r="AF126" i="36"/>
  <c r="AE343" i="38"/>
  <c r="AF127" i="36" s="1"/>
  <c r="AG150" i="14"/>
  <c r="AG274" i="20"/>
  <c r="AG275" i="20"/>
  <c r="BN97" i="45"/>
  <c r="AH113" i="45"/>
  <c r="AH100" i="45"/>
  <c r="AG319" i="46"/>
  <c r="AG317" i="46"/>
  <c r="AG320" i="46"/>
  <c r="AH93" i="45"/>
  <c r="BN94" i="45"/>
  <c r="AH94" i="45"/>
  <c r="BN93" i="45"/>
  <c r="AC353" i="48"/>
  <c r="AC354" i="48" s="1"/>
  <c r="AF333" i="38"/>
  <c r="AG271" i="48"/>
  <c r="AD205" i="28"/>
  <c r="AD363" i="46"/>
  <c r="AE120" i="45" s="1"/>
  <c r="AD361" i="46"/>
  <c r="AF274" i="20"/>
  <c r="AF275" i="20"/>
  <c r="AD312" i="48"/>
  <c r="AD311" i="48"/>
  <c r="AD315" i="48"/>
  <c r="AD313" i="48"/>
  <c r="AD314" i="48"/>
  <c r="AD310" i="48"/>
  <c r="AA163" i="12"/>
  <c r="AA157" i="12"/>
  <c r="CP7" i="55"/>
  <c r="BN106" i="45"/>
  <c r="AH109" i="45"/>
  <c r="AG275" i="46"/>
  <c r="AG308" i="46" s="1"/>
  <c r="AG309" i="46" s="1"/>
  <c r="AF308" i="46"/>
  <c r="AF309" i="46" s="1"/>
  <c r="AG293" i="20"/>
  <c r="AH126" i="36"/>
  <c r="AG343" i="38"/>
  <c r="AH127" i="36" s="1"/>
  <c r="BM100" i="45"/>
  <c r="BM113" i="45"/>
  <c r="AH80" i="45"/>
  <c r="AH79" i="45"/>
  <c r="AH81" i="45"/>
  <c r="BN81" i="45"/>
  <c r="BN80" i="45"/>
  <c r="BN79" i="45"/>
  <c r="BM109" i="45"/>
  <c r="AE71" i="15"/>
  <c r="AA163" i="14"/>
  <c r="AA157" i="14"/>
  <c r="AD122" i="45"/>
  <c r="AE327" i="46"/>
  <c r="AE328" i="46"/>
  <c r="AE345" i="48"/>
  <c r="AA12" i="55"/>
  <c r="AA14" i="55"/>
  <c r="AA15" i="55"/>
  <c r="AA13" i="55"/>
  <c r="AA11" i="55"/>
  <c r="AA6" i="55" s="1"/>
  <c r="AA16" i="55"/>
  <c r="AG150" i="12"/>
  <c r="CP6" i="55"/>
  <c r="BK125" i="36"/>
  <c r="BK122" i="36"/>
  <c r="BK115" i="45"/>
  <c r="BL120" i="36"/>
  <c r="AF122" i="36"/>
  <c r="AF125" i="36"/>
  <c r="AB363" i="46"/>
  <c r="AC120" i="45" s="1"/>
  <c r="AB361" i="46"/>
  <c r="AH233" i="14"/>
  <c r="AH234" i="14" s="1"/>
  <c r="AH101" i="45"/>
  <c r="AH102" i="45"/>
  <c r="AH103" i="45"/>
  <c r="BN101" i="45"/>
  <c r="BN102" i="45"/>
  <c r="BN103" i="45"/>
  <c r="AB266" i="19"/>
  <c r="BF12" i="55"/>
  <c r="BF11" i="55"/>
  <c r="BF13" i="55"/>
  <c r="BF14" i="55"/>
  <c r="BF16" i="55"/>
  <c r="BF15" i="55"/>
  <c r="AF290" i="20"/>
  <c r="AF291" i="20" s="1"/>
  <c r="AF292" i="20"/>
  <c r="BM9" i="55"/>
  <c r="BF125" i="45"/>
  <c r="Y371" i="48"/>
  <c r="BF126" i="45" s="1"/>
  <c r="BM78" i="45"/>
  <c r="AQ254" i="14"/>
  <c r="BM76" i="51"/>
  <c r="Z361" i="48"/>
  <c r="AE191" i="29"/>
  <c r="AD119" i="45"/>
  <c r="AC370" i="46"/>
  <c r="AD125" i="45" s="1"/>
  <c r="AC365" i="46"/>
  <c r="AH151" i="14"/>
  <c r="AF72" i="15"/>
  <c r="AE211" i="28"/>
  <c r="AF73" i="15" s="1"/>
  <c r="BM116" i="45"/>
  <c r="AG180" i="19"/>
  <c r="AF213" i="19"/>
  <c r="AF214" i="19" s="1"/>
  <c r="AH152" i="14"/>
  <c r="AE326" i="48"/>
  <c r="AE325" i="48"/>
  <c r="AH232" i="14"/>
  <c r="BN120" i="36"/>
  <c r="CG22" i="36"/>
  <c r="AH125" i="36"/>
  <c r="AH122" i="36"/>
  <c r="AD300" i="20"/>
  <c r="AD301" i="20" s="1"/>
  <c r="AB160" i="12"/>
  <c r="BK126" i="36"/>
  <c r="AD343" i="42"/>
  <c r="BK127" i="36" s="1"/>
  <c r="AG151" i="12"/>
  <c r="AF230" i="19"/>
  <c r="AF231" i="19"/>
  <c r="AB164" i="12"/>
  <c r="AA318" i="20"/>
  <c r="AB165" i="12" s="1"/>
  <c r="BN90" i="45"/>
  <c r="AH91" i="45"/>
  <c r="AD345" i="48"/>
  <c r="AD346" i="48" s="1"/>
  <c r="AG230" i="19"/>
  <c r="AG231" i="19"/>
  <c r="AF325" i="46"/>
  <c r="AF326" i="46"/>
  <c r="AD327" i="48"/>
  <c r="AD328" i="48"/>
  <c r="N177" i="12"/>
  <c r="AE196" i="29"/>
  <c r="AH151" i="12"/>
  <c r="BM118" i="45"/>
  <c r="AE216" i="19"/>
  <c r="AE217" i="19"/>
  <c r="AE215" i="19"/>
  <c r="AE218" i="19"/>
  <c r="AE219" i="19"/>
  <c r="AE220" i="19"/>
  <c r="AD254" i="19"/>
  <c r="AE277" i="20"/>
  <c r="AE276" i="20"/>
  <c r="AE280" i="20" s="1"/>
  <c r="AF236" i="19"/>
  <c r="AF237" i="19"/>
  <c r="AG239" i="19"/>
  <c r="AG242" i="19"/>
  <c r="AG241" i="19"/>
  <c r="AG243" i="19"/>
  <c r="AG240" i="19"/>
  <c r="AG244" i="19"/>
  <c r="AG82" i="48"/>
  <c r="AG87" i="48" s="1"/>
  <c r="AG80" i="48"/>
  <c r="AG85" i="48" s="1"/>
  <c r="AG81" i="48"/>
  <c r="AG86" i="48" s="1"/>
  <c r="AG84" i="48"/>
  <c r="AG83" i="48"/>
  <c r="AG88" i="48" s="1"/>
  <c r="AE248" i="19"/>
  <c r="AE249" i="19" s="1"/>
  <c r="AE250" i="19"/>
  <c r="AF337" i="46"/>
  <c r="AF338" i="46"/>
  <c r="AF336" i="46"/>
  <c r="AF335" i="46"/>
  <c r="AF334" i="46"/>
  <c r="AF339" i="46"/>
  <c r="BF124" i="45"/>
  <c r="BF123" i="45"/>
  <c r="BF121" i="45"/>
  <c r="AA125" i="45"/>
  <c r="Z371" i="46"/>
  <c r="AA126" i="45" s="1"/>
  <c r="AA160" i="14"/>
  <c r="AF332" i="46"/>
  <c r="AF331" i="46"/>
  <c r="AF343" i="46" s="1"/>
  <c r="AF344" i="46" s="1"/>
  <c r="AG250" i="19"/>
  <c r="AG249" i="19"/>
  <c r="N174" i="12"/>
  <c r="D185" i="12" s="1"/>
  <c r="N197" i="12" s="1"/>
  <c r="N179" i="12"/>
  <c r="D189" i="12" s="1"/>
  <c r="N193" i="12" s="1"/>
  <c r="AF253" i="53"/>
  <c r="AF71" i="16"/>
  <c r="AE346" i="48" l="1"/>
  <c r="BF6" i="55"/>
  <c r="X180" i="14"/>
  <c r="N172" i="14" s="1"/>
  <c r="N174" i="14"/>
  <c r="D185" i="14" s="1"/>
  <c r="N197" i="14" s="1"/>
  <c r="N176" i="14"/>
  <c r="N178" i="14"/>
  <c r="N173" i="14"/>
  <c r="D184" i="14" s="1"/>
  <c r="N198" i="14" s="1"/>
  <c r="AE349" i="46"/>
  <c r="AC371" i="46"/>
  <c r="AD126" i="45" s="1"/>
  <c r="AE348" i="48"/>
  <c r="AE353" i="48" s="1"/>
  <c r="AE354" i="48" s="1"/>
  <c r="CQ7" i="55"/>
  <c r="AG69" i="15"/>
  <c r="AF345" i="46"/>
  <c r="AF346" i="46" s="1"/>
  <c r="AF232" i="19"/>
  <c r="AF233" i="19"/>
  <c r="BN122" i="36"/>
  <c r="BN125" i="36"/>
  <c r="BG119" i="45"/>
  <c r="Z365" i="48"/>
  <c r="Z370" i="48"/>
  <c r="BG10" i="55"/>
  <c r="AF295" i="20"/>
  <c r="AC155" i="14"/>
  <c r="AB270" i="19"/>
  <c r="AB275" i="19"/>
  <c r="AA20" i="55"/>
  <c r="AA19" i="55"/>
  <c r="AA159" i="14"/>
  <c r="AA161" i="14" s="1"/>
  <c r="AH116" i="45"/>
  <c r="AG313" i="46"/>
  <c r="AG310" i="46"/>
  <c r="AG314" i="46"/>
  <c r="AG315" i="46"/>
  <c r="AG311" i="46"/>
  <c r="AG312" i="46"/>
  <c r="AA159" i="12"/>
  <c r="AA161" i="12" s="1"/>
  <c r="AG72" i="16"/>
  <c r="AF197" i="29"/>
  <c r="AG73" i="16" s="1"/>
  <c r="N199" i="12"/>
  <c r="AE253" i="19"/>
  <c r="AD330" i="48"/>
  <c r="AD329" i="48"/>
  <c r="AD333" i="48" s="1"/>
  <c r="AD347" i="48"/>
  <c r="AD349" i="48" s="1"/>
  <c r="AD348" i="48"/>
  <c r="AF220" i="19"/>
  <c r="AF215" i="19"/>
  <c r="AF218" i="19"/>
  <c r="AF219" i="19"/>
  <c r="AF216" i="19"/>
  <c r="AF217" i="19"/>
  <c r="AD268" i="19"/>
  <c r="AE156" i="14" s="1"/>
  <c r="AD266" i="19"/>
  <c r="AA7" i="55"/>
  <c r="CR15" i="55"/>
  <c r="CR16" i="55"/>
  <c r="CR11" i="55"/>
  <c r="CR19" i="55" s="1"/>
  <c r="CR13" i="55"/>
  <c r="CR14" i="55"/>
  <c r="CR12" i="55"/>
  <c r="AG71" i="16"/>
  <c r="AG318" i="48"/>
  <c r="AG319" i="48" s="1"/>
  <c r="AJ274" i="48"/>
  <c r="AI274" i="48"/>
  <c r="AG341" i="48"/>
  <c r="AG342" i="48" s="1"/>
  <c r="AC268" i="19"/>
  <c r="AD156" i="14" s="1"/>
  <c r="AC266" i="19"/>
  <c r="AE300" i="20"/>
  <c r="AE301" i="20" s="1"/>
  <c r="AH114" i="45"/>
  <c r="AF327" i="46"/>
  <c r="AF328" i="46"/>
  <c r="AD310" i="20"/>
  <c r="AE156" i="12" s="1"/>
  <c r="AD308" i="20"/>
  <c r="AC119" i="45"/>
  <c r="AB365" i="46"/>
  <c r="AB370" i="46"/>
  <c r="AE347" i="48"/>
  <c r="BN109" i="45"/>
  <c r="AC363" i="48"/>
  <c r="BJ120" i="45" s="1"/>
  <c r="AC361" i="48"/>
  <c r="AG324" i="46"/>
  <c r="AG322" i="46"/>
  <c r="AG321" i="46"/>
  <c r="AG323" i="46"/>
  <c r="AF308" i="48"/>
  <c r="AF309" i="48" s="1"/>
  <c r="AG275" i="48"/>
  <c r="CS9" i="55"/>
  <c r="AC155" i="12"/>
  <c r="AC10" i="55"/>
  <c r="AB312" i="20"/>
  <c r="AB317" i="20"/>
  <c r="AF332" i="48"/>
  <c r="AF331" i="48"/>
  <c r="AF343" i="48" s="1"/>
  <c r="AF344" i="48" s="1"/>
  <c r="BH13" i="55"/>
  <c r="BH16" i="55"/>
  <c r="BH12" i="55"/>
  <c r="BH15" i="55"/>
  <c r="BH14" i="55"/>
  <c r="BH11" i="55"/>
  <c r="BN78" i="45"/>
  <c r="AG253" i="19"/>
  <c r="BN91" i="45"/>
  <c r="AG213" i="19"/>
  <c r="AG214" i="19" s="1"/>
  <c r="AC122" i="45"/>
  <c r="AF277" i="20"/>
  <c r="AF276" i="20"/>
  <c r="AF280" i="20" s="1"/>
  <c r="BN113" i="45"/>
  <c r="BN100" i="45"/>
  <c r="AE315" i="48"/>
  <c r="AE311" i="48"/>
  <c r="AE313" i="48"/>
  <c r="AE314" i="48"/>
  <c r="AE312" i="48"/>
  <c r="AE310" i="48"/>
  <c r="AE72" i="15"/>
  <c r="AD211" i="28"/>
  <c r="AE73" i="15" s="1"/>
  <c r="BN76" i="51"/>
  <c r="AE363" i="46"/>
  <c r="AF120" i="45" s="1"/>
  <c r="AE361" i="46"/>
  <c r="BH125" i="45"/>
  <c r="AA371" i="48"/>
  <c r="BH126" i="45" s="1"/>
  <c r="AD10" i="55"/>
  <c r="AD155" i="12"/>
  <c r="AC312" i="20"/>
  <c r="AC317" i="20"/>
  <c r="AB7" i="55"/>
  <c r="AH69" i="16"/>
  <c r="AG191" i="29"/>
  <c r="AG196" i="29"/>
  <c r="AB159" i="12"/>
  <c r="AF203" i="28"/>
  <c r="AG70" i="15" s="1"/>
  <c r="AG232" i="19"/>
  <c r="AG233" i="19"/>
  <c r="BF7" i="55"/>
  <c r="AF293" i="20"/>
  <c r="AF294" i="20" s="1"/>
  <c r="AF296" i="20" s="1"/>
  <c r="AE330" i="46"/>
  <c r="AE329" i="46"/>
  <c r="AE333" i="46" s="1"/>
  <c r="BN116" i="45"/>
  <c r="AE119" i="45"/>
  <c r="AD370" i="46"/>
  <c r="AD365" i="46"/>
  <c r="AG334" i="46"/>
  <c r="AG336" i="46"/>
  <c r="AG338" i="46"/>
  <c r="AG335" i="46"/>
  <c r="AG339" i="46"/>
  <c r="AG337" i="46"/>
  <c r="AE251" i="19"/>
  <c r="AE252" i="19" s="1"/>
  <c r="AE254" i="19" s="1"/>
  <c r="AD162" i="12"/>
  <c r="AD158" i="12"/>
  <c r="AG294" i="20"/>
  <c r="AG296" i="20" s="1"/>
  <c r="AK274" i="12"/>
  <c r="AM274" i="12" s="1"/>
  <c r="AG295" i="20"/>
  <c r="N179" i="14"/>
  <c r="D189" i="14" s="1"/>
  <c r="N193" i="14" s="1"/>
  <c r="D186" i="12"/>
  <c r="N196" i="12" s="1"/>
  <c r="BN9" i="55"/>
  <c r="AC160" i="12"/>
  <c r="AC160" i="14"/>
  <c r="AG251" i="19"/>
  <c r="AG252" i="19" s="1"/>
  <c r="AD123" i="45"/>
  <c r="AD124" i="45"/>
  <c r="AD121" i="45"/>
  <c r="AE122" i="45"/>
  <c r="AG276" i="20"/>
  <c r="AG280" i="20" s="1"/>
  <c r="AG277" i="20"/>
  <c r="AF337" i="42"/>
  <c r="AF342" i="42"/>
  <c r="AB161" i="14"/>
  <c r="BH123" i="45"/>
  <c r="BH124" i="45"/>
  <c r="BH121" i="45"/>
  <c r="AF72" i="16"/>
  <c r="AE197" i="29"/>
  <c r="AF73" i="16" s="1"/>
  <c r="AE328" i="48"/>
  <c r="AE349" i="48" s="1"/>
  <c r="AE327" i="48"/>
  <c r="BF19" i="55"/>
  <c r="BF20" i="55"/>
  <c r="BL125" i="36"/>
  <c r="BL122" i="36"/>
  <c r="BN118" i="45"/>
  <c r="BM115" i="45"/>
  <c r="AB363" i="48"/>
  <c r="BI120" i="45" s="1"/>
  <c r="AB361" i="48"/>
  <c r="CQ6" i="55"/>
  <c r="AE234" i="19"/>
  <c r="AE238" i="19" s="1"/>
  <c r="AE235" i="19"/>
  <c r="AB19" i="55"/>
  <c r="AB20" i="55"/>
  <c r="N175" i="14"/>
  <c r="D187" i="14" s="1"/>
  <c r="N195" i="14" s="1"/>
  <c r="AF345" i="48"/>
  <c r="AF248" i="19"/>
  <c r="AF249" i="19" s="1"/>
  <c r="AF250" i="19"/>
  <c r="AH118" i="45"/>
  <c r="AF312" i="46"/>
  <c r="AF314" i="46"/>
  <c r="AF315" i="46"/>
  <c r="AF311" i="46"/>
  <c r="AF310" i="46"/>
  <c r="AF313" i="46"/>
  <c r="AG120" i="36"/>
  <c r="AF342" i="38"/>
  <c r="AF337" i="38"/>
  <c r="AG317" i="48"/>
  <c r="AG320" i="48"/>
  <c r="AF325" i="48"/>
  <c r="AF326" i="48"/>
  <c r="AG194" i="28"/>
  <c r="AG203" i="28" s="1"/>
  <c r="AH70" i="15" s="1"/>
  <c r="AB6" i="55"/>
  <c r="N177" i="14"/>
  <c r="AF338" i="48"/>
  <c r="AF335" i="48"/>
  <c r="AF337" i="48"/>
  <c r="AF336" i="48"/>
  <c r="AF339" i="48"/>
  <c r="AF334" i="48"/>
  <c r="N180" i="12"/>
  <c r="BH6" i="55" l="1"/>
  <c r="D183" i="14"/>
  <c r="AF346" i="48"/>
  <c r="AF347" i="48" s="1"/>
  <c r="BI119" i="45"/>
  <c r="AB365" i="48"/>
  <c r="AB370" i="48"/>
  <c r="D186" i="14"/>
  <c r="N196" i="14" s="1"/>
  <c r="N180" i="14"/>
  <c r="AG300" i="20"/>
  <c r="AD157" i="12"/>
  <c r="AD163" i="12"/>
  <c r="AC157" i="12"/>
  <c r="AC163" i="12"/>
  <c r="BJ119" i="45"/>
  <c r="AC365" i="48"/>
  <c r="AC370" i="48"/>
  <c r="AC125" i="45"/>
  <c r="AB371" i="46"/>
  <c r="AC126" i="45" s="1"/>
  <c r="CF19" i="45"/>
  <c r="AF300" i="20"/>
  <c r="AF301" i="20" s="1"/>
  <c r="BI122" i="45"/>
  <c r="AE330" i="48"/>
  <c r="AE329" i="48"/>
  <c r="AE333" i="48" s="1"/>
  <c r="AN274" i="12"/>
  <c r="AN275" i="12"/>
  <c r="AD13" i="55"/>
  <c r="AD11" i="55"/>
  <c r="AD15" i="55"/>
  <c r="AD16" i="55"/>
  <c r="AD14" i="55"/>
  <c r="AD12" i="55"/>
  <c r="AD6" i="55" s="1"/>
  <c r="CS11" i="55"/>
  <c r="CS19" i="55" s="1"/>
  <c r="CS15" i="55"/>
  <c r="CS12" i="55"/>
  <c r="CS16" i="55"/>
  <c r="CS14" i="55"/>
  <c r="CS13" i="55"/>
  <c r="BJ122" i="45"/>
  <c r="N199" i="14"/>
  <c r="AF253" i="19"/>
  <c r="BM126" i="36"/>
  <c r="AF343" i="42"/>
  <c r="BM127" i="36" s="1"/>
  <c r="AH72" i="16"/>
  <c r="AG197" i="29"/>
  <c r="AH73" i="16" s="1"/>
  <c r="AG258" i="19"/>
  <c r="AG259" i="19" s="1"/>
  <c r="BH7" i="55"/>
  <c r="AG308" i="48"/>
  <c r="AG309" i="48" s="1"/>
  <c r="CT9" i="55"/>
  <c r="AC123" i="45"/>
  <c r="AC124" i="45"/>
  <c r="AC121" i="45"/>
  <c r="AE310" i="20"/>
  <c r="AF156" i="12" s="1"/>
  <c r="AE308" i="20"/>
  <c r="CR7" i="55"/>
  <c r="AE155" i="14"/>
  <c r="AD270" i="19"/>
  <c r="AD275" i="19"/>
  <c r="AF251" i="19"/>
  <c r="AF252" i="19" s="1"/>
  <c r="AF254" i="19" s="1"/>
  <c r="D188" i="12"/>
  <c r="N194" i="12" s="1"/>
  <c r="N200" i="12" s="1"/>
  <c r="AF327" i="48"/>
  <c r="AF328" i="48"/>
  <c r="AG126" i="36"/>
  <c r="AF343" i="38"/>
  <c r="AG127" i="36" s="1"/>
  <c r="AG201" i="28"/>
  <c r="AE125" i="45"/>
  <c r="AD371" i="46"/>
  <c r="AE126" i="45" s="1"/>
  <c r="AG218" i="19"/>
  <c r="AG215" i="19"/>
  <c r="AG217" i="19"/>
  <c r="AG220" i="19"/>
  <c r="AG219" i="19"/>
  <c r="AG216" i="19"/>
  <c r="AF314" i="48"/>
  <c r="AF310" i="48"/>
  <c r="AF311" i="48"/>
  <c r="AF312" i="48"/>
  <c r="AF315" i="48"/>
  <c r="AF313" i="48"/>
  <c r="AE10" i="55"/>
  <c r="AE155" i="12"/>
  <c r="AD312" i="20"/>
  <c r="AD317" i="20"/>
  <c r="AE158" i="14"/>
  <c r="AE162" i="14"/>
  <c r="AD353" i="48"/>
  <c r="AF235" i="19"/>
  <c r="AF234" i="19"/>
  <c r="AF238" i="19" s="1"/>
  <c r="AE363" i="48"/>
  <c r="BL120" i="45" s="1"/>
  <c r="AE361" i="48"/>
  <c r="AD160" i="12"/>
  <c r="AE123" i="45"/>
  <c r="AE124" i="45"/>
  <c r="AE121" i="45"/>
  <c r="AH71" i="16"/>
  <c r="AF119" i="45"/>
  <c r="AE370" i="46"/>
  <c r="AE365" i="46"/>
  <c r="AG325" i="46"/>
  <c r="AG326" i="46"/>
  <c r="AE158" i="12"/>
  <c r="AE162" i="12"/>
  <c r="AC164" i="14"/>
  <c r="AB276" i="19"/>
  <c r="AC165" i="14" s="1"/>
  <c r="BG16" i="55"/>
  <c r="BG11" i="55"/>
  <c r="BG14" i="55"/>
  <c r="BG15" i="55"/>
  <c r="BG12" i="55"/>
  <c r="BG6" i="55" s="1"/>
  <c r="BG13" i="55"/>
  <c r="AF347" i="46"/>
  <c r="AF349" i="46" s="1"/>
  <c r="AF348" i="46"/>
  <c r="AF210" i="28"/>
  <c r="BM120" i="36"/>
  <c r="AG122" i="36"/>
  <c r="AG125" i="36"/>
  <c r="AG324" i="48"/>
  <c r="AG321" i="48"/>
  <c r="AG322" i="48"/>
  <c r="AG323" i="48"/>
  <c r="AB161" i="12"/>
  <c r="AF122" i="45"/>
  <c r="BN114" i="45"/>
  <c r="BH20" i="55"/>
  <c r="BH19" i="55"/>
  <c r="AC164" i="12"/>
  <c r="AB318" i="20"/>
  <c r="AC165" i="12" s="1"/>
  <c r="BG125" i="45"/>
  <c r="Z371" i="48"/>
  <c r="BG126" i="45" s="1"/>
  <c r="AF205" i="28"/>
  <c r="AF348" i="48"/>
  <c r="AG254" i="19"/>
  <c r="AD164" i="12"/>
  <c r="AC318" i="20"/>
  <c r="AD165" i="12" s="1"/>
  <c r="AF330" i="46"/>
  <c r="AF329" i="46"/>
  <c r="AF333" i="46" s="1"/>
  <c r="AD155" i="14"/>
  <c r="BJ10" i="55"/>
  <c r="AC270" i="19"/>
  <c r="AC275" i="19"/>
  <c r="CR6" i="55"/>
  <c r="AC163" i="14"/>
  <c r="AC157" i="14"/>
  <c r="AG71" i="15"/>
  <c r="AG336" i="48"/>
  <c r="AG338" i="48"/>
  <c r="AG334" i="48"/>
  <c r="AG337" i="48"/>
  <c r="AG335" i="48"/>
  <c r="AG339" i="48"/>
  <c r="AG234" i="19"/>
  <c r="AG238" i="19" s="1"/>
  <c r="AG235" i="19"/>
  <c r="AC12" i="55"/>
  <c r="AC14" i="55"/>
  <c r="AC13" i="55"/>
  <c r="AC15" i="55"/>
  <c r="AC16" i="55"/>
  <c r="AC11" i="55"/>
  <c r="AG332" i="46"/>
  <c r="AG331" i="46"/>
  <c r="AD162" i="14"/>
  <c r="AD158" i="14"/>
  <c r="AH115" i="45"/>
  <c r="AE258" i="19"/>
  <c r="AE259" i="19" s="1"/>
  <c r="BI10" i="55"/>
  <c r="BG123" i="45"/>
  <c r="BG124" i="45"/>
  <c r="BG121" i="45"/>
  <c r="D188" i="14" l="1"/>
  <c r="N194" i="14" s="1"/>
  <c r="N200" i="14" s="1"/>
  <c r="AF349" i="48"/>
  <c r="AC6" i="55"/>
  <c r="CS7" i="55"/>
  <c r="D190" i="12"/>
  <c r="AD7" i="55"/>
  <c r="CS6" i="55"/>
  <c r="AD160" i="14"/>
  <c r="AC7" i="55"/>
  <c r="AD163" i="14"/>
  <c r="AD157" i="14"/>
  <c r="BL119" i="45"/>
  <c r="AE365" i="48"/>
  <c r="AE370" i="48"/>
  <c r="AE160" i="14"/>
  <c r="AC159" i="12"/>
  <c r="AC161" i="12" s="1"/>
  <c r="AC159" i="14"/>
  <c r="BM122" i="36"/>
  <c r="BM125" i="36"/>
  <c r="AE160" i="12"/>
  <c r="AF125" i="45"/>
  <c r="AE371" i="46"/>
  <c r="AF126" i="45" s="1"/>
  <c r="BL122" i="45"/>
  <c r="CT11" i="55"/>
  <c r="CT19" i="55" s="1"/>
  <c r="CT16" i="55"/>
  <c r="CT12" i="55"/>
  <c r="CT14" i="55"/>
  <c r="CT15" i="55"/>
  <c r="CT13" i="55"/>
  <c r="AG343" i="46"/>
  <c r="AG344" i="46" s="1"/>
  <c r="AG345" i="46"/>
  <c r="AG346" i="46" s="1"/>
  <c r="AF353" i="48"/>
  <c r="AF354" i="48" s="1"/>
  <c r="AF124" i="45"/>
  <c r="AF123" i="45"/>
  <c r="AF121" i="45"/>
  <c r="AE164" i="12"/>
  <c r="AD318" i="20"/>
  <c r="AE165" i="12" s="1"/>
  <c r="AG314" i="48"/>
  <c r="AG313" i="48"/>
  <c r="AG311" i="48"/>
  <c r="AG315" i="48"/>
  <c r="AG312" i="48"/>
  <c r="AG310" i="48"/>
  <c r="AE268" i="19"/>
  <c r="AF156" i="14" s="1"/>
  <c r="AE266" i="19"/>
  <c r="AG325" i="48"/>
  <c r="AG326" i="48"/>
  <c r="AG72" i="15"/>
  <c r="AF211" i="28"/>
  <c r="AG73" i="15" s="1"/>
  <c r="BG20" i="55"/>
  <c r="BG19" i="55"/>
  <c r="AE164" i="14"/>
  <c r="AD276" i="19"/>
  <c r="AE165" i="14" s="1"/>
  <c r="AF155" i="12"/>
  <c r="AF10" i="55"/>
  <c r="AE312" i="20"/>
  <c r="AE317" i="20"/>
  <c r="AF258" i="19"/>
  <c r="AF259" i="19" s="1"/>
  <c r="AD159" i="12"/>
  <c r="AF353" i="46"/>
  <c r="AF354" i="46" s="1"/>
  <c r="AG327" i="46"/>
  <c r="AG328" i="46"/>
  <c r="AE157" i="12"/>
  <c r="AE163" i="12"/>
  <c r="AF158" i="12"/>
  <c r="AF162" i="12"/>
  <c r="AG268" i="19"/>
  <c r="AH156" i="14" s="1"/>
  <c r="AG266" i="19"/>
  <c r="AF310" i="20"/>
  <c r="AG156" i="12" s="1"/>
  <c r="AF308" i="20"/>
  <c r="AC19" i="55"/>
  <c r="AC20" i="55"/>
  <c r="AD164" i="14"/>
  <c r="AC276" i="19"/>
  <c r="AD165" i="14" s="1"/>
  <c r="AE15" i="55"/>
  <c r="AE13" i="55"/>
  <c r="AE11" i="55"/>
  <c r="AE14" i="55"/>
  <c r="AE12" i="55"/>
  <c r="AE16" i="55"/>
  <c r="AF329" i="48"/>
  <c r="AF333" i="48" s="1"/>
  <c r="AF330" i="48"/>
  <c r="D190" i="14"/>
  <c r="BJ125" i="45"/>
  <c r="AC371" i="48"/>
  <c r="BJ126" i="45" s="1"/>
  <c r="BI125" i="45"/>
  <c r="AB371" i="48"/>
  <c r="BI126" i="45" s="1"/>
  <c r="BI12" i="55"/>
  <c r="BI13" i="55"/>
  <c r="BI15" i="55"/>
  <c r="BI11" i="55"/>
  <c r="BI14" i="55"/>
  <c r="BI16" i="55"/>
  <c r="AG331" i="48"/>
  <c r="AG332" i="48"/>
  <c r="BG7" i="55"/>
  <c r="BN115" i="45"/>
  <c r="AD354" i="48"/>
  <c r="AD363" i="48" s="1"/>
  <c r="BK120" i="45" s="1"/>
  <c r="AE163" i="14"/>
  <c r="AE157" i="14"/>
  <c r="BJ13" i="55"/>
  <c r="BJ15" i="55"/>
  <c r="BJ11" i="55"/>
  <c r="BJ16" i="55"/>
  <c r="BJ12" i="55"/>
  <c r="BJ14" i="55"/>
  <c r="AH69" i="15"/>
  <c r="AG205" i="28"/>
  <c r="AG210" i="28"/>
  <c r="AD20" i="55"/>
  <c r="AD19" i="55"/>
  <c r="BJ124" i="45"/>
  <c r="BJ123" i="45"/>
  <c r="BJ121" i="45"/>
  <c r="AG301" i="20"/>
  <c r="AG310" i="20" s="1"/>
  <c r="AH156" i="12" s="1"/>
  <c r="BI123" i="45"/>
  <c r="BI124" i="45"/>
  <c r="BI121" i="45"/>
  <c r="AE6" i="55" l="1"/>
  <c r="AE7" i="55"/>
  <c r="BJ6" i="55"/>
  <c r="CT6" i="55"/>
  <c r="BI6" i="55"/>
  <c r="CT7" i="55"/>
  <c r="BK122" i="45"/>
  <c r="AH158" i="12"/>
  <c r="AH162" i="12"/>
  <c r="AG343" i="48"/>
  <c r="AG344" i="48" s="1"/>
  <c r="AG345" i="48"/>
  <c r="AF160" i="12"/>
  <c r="AF158" i="14"/>
  <c r="AF162" i="14"/>
  <c r="AF11" i="55"/>
  <c r="AF13" i="55"/>
  <c r="AF15" i="55"/>
  <c r="AF14" i="55"/>
  <c r="AF12" i="55"/>
  <c r="AF16" i="55"/>
  <c r="AG347" i="46"/>
  <c r="AG349" i="46" s="1"/>
  <c r="AG348" i="46"/>
  <c r="BL125" i="45"/>
  <c r="AE371" i="48"/>
  <c r="BL126" i="45" s="1"/>
  <c r="AG329" i="46"/>
  <c r="AG333" i="46" s="1"/>
  <c r="AG330" i="46"/>
  <c r="AF157" i="12"/>
  <c r="AF163" i="12"/>
  <c r="AC161" i="14"/>
  <c r="AG308" i="20"/>
  <c r="AD361" i="48"/>
  <c r="AG155" i="12"/>
  <c r="AF312" i="20"/>
  <c r="AF317" i="20"/>
  <c r="BL123" i="45"/>
  <c r="BL124" i="45"/>
  <c r="BL121" i="45"/>
  <c r="AH71" i="15"/>
  <c r="AG162" i="12"/>
  <c r="AG158" i="12"/>
  <c r="AE159" i="12"/>
  <c r="AF363" i="46"/>
  <c r="AG120" i="45" s="1"/>
  <c r="AF361" i="46"/>
  <c r="BJ19" i="55"/>
  <c r="BJ20" i="55"/>
  <c r="BI19" i="55"/>
  <c r="BI20" i="55"/>
  <c r="AF268" i="19"/>
  <c r="AG156" i="14" s="1"/>
  <c r="AF266" i="19"/>
  <c r="AG327" i="48"/>
  <c r="AG328" i="48"/>
  <c r="AE159" i="14"/>
  <c r="AE161" i="14" s="1"/>
  <c r="AD161" i="12"/>
  <c r="AH155" i="14"/>
  <c r="AG270" i="19"/>
  <c r="AG275" i="19"/>
  <c r="AG346" i="48"/>
  <c r="AH72" i="15"/>
  <c r="AG211" i="28"/>
  <c r="AH73" i="15" s="1"/>
  <c r="BJ7" i="55"/>
  <c r="BI7" i="55"/>
  <c r="AE20" i="55"/>
  <c r="AE19" i="55"/>
  <c r="AH158" i="14"/>
  <c r="AH162" i="14"/>
  <c r="AF164" i="12"/>
  <c r="AE318" i="20"/>
  <c r="AF165" i="12" s="1"/>
  <c r="BL10" i="55"/>
  <c r="AF155" i="14"/>
  <c r="AE270" i="19"/>
  <c r="AE275" i="19"/>
  <c r="AF363" i="48"/>
  <c r="BM120" i="45" s="1"/>
  <c r="AF361" i="48"/>
  <c r="AD159" i="14"/>
  <c r="AF7" i="55" l="1"/>
  <c r="AF164" i="14"/>
  <c r="AE276" i="19"/>
  <c r="AF165" i="14" s="1"/>
  <c r="AG119" i="45"/>
  <c r="AF365" i="46"/>
  <c r="AF370" i="46"/>
  <c r="AH155" i="12"/>
  <c r="AG312" i="20"/>
  <c r="AG317" i="20"/>
  <c r="AG347" i="48"/>
  <c r="AG349" i="48" s="1"/>
  <c r="AG348" i="48"/>
  <c r="AG329" i="48"/>
  <c r="AG333" i="48" s="1"/>
  <c r="AG330" i="48"/>
  <c r="AG122" i="45"/>
  <c r="AG164" i="12"/>
  <c r="AF318" i="20"/>
  <c r="AG165" i="12" s="1"/>
  <c r="AF20" i="55"/>
  <c r="AF19" i="55"/>
  <c r="AF157" i="14"/>
  <c r="AF163" i="14"/>
  <c r="AG155" i="14"/>
  <c r="BM10" i="55"/>
  <c r="AF270" i="19"/>
  <c r="AF275" i="19"/>
  <c r="AG162" i="14"/>
  <c r="AG158" i="14"/>
  <c r="AG10" i="55"/>
  <c r="AF6" i="55"/>
  <c r="AH160" i="12"/>
  <c r="AH164" i="14"/>
  <c r="AG276" i="19"/>
  <c r="AH165" i="14" s="1"/>
  <c r="AG163" i="12"/>
  <c r="AG157" i="12"/>
  <c r="AF159" i="12"/>
  <c r="AF161" i="12" s="1"/>
  <c r="AE161" i="12"/>
  <c r="AG160" i="12"/>
  <c r="BK119" i="45"/>
  <c r="AD365" i="48"/>
  <c r="AD370" i="48"/>
  <c r="BK10" i="55"/>
  <c r="AG353" i="46"/>
  <c r="BL11" i="55"/>
  <c r="BL12" i="55"/>
  <c r="BL15" i="55"/>
  <c r="BL13" i="55"/>
  <c r="BL16" i="55"/>
  <c r="BL14" i="55"/>
  <c r="BM119" i="45"/>
  <c r="AF365" i="48"/>
  <c r="AF370" i="48"/>
  <c r="AH160" i="14"/>
  <c r="AD161" i="14"/>
  <c r="BM122" i="45"/>
  <c r="AQ255" i="14"/>
  <c r="AH157" i="14"/>
  <c r="AH163" i="14"/>
  <c r="AF160" i="14"/>
  <c r="BL6" i="55" l="1"/>
  <c r="BL7" i="55"/>
  <c r="AG160" i="14"/>
  <c r="AQ255" i="12"/>
  <c r="AQ264" i="12" s="1"/>
  <c r="AH157" i="12"/>
  <c r="AH163" i="12"/>
  <c r="AG159" i="12"/>
  <c r="AG164" i="14"/>
  <c r="AF276" i="19"/>
  <c r="AG165" i="14" s="1"/>
  <c r="AG125" i="45"/>
  <c r="AF371" i="46"/>
  <c r="AG126" i="45" s="1"/>
  <c r="BM125" i="45"/>
  <c r="AF371" i="48"/>
  <c r="BM126" i="45" s="1"/>
  <c r="BL19" i="55"/>
  <c r="BL20" i="55"/>
  <c r="BK14" i="55"/>
  <c r="BK16" i="55"/>
  <c r="BK11" i="55"/>
  <c r="BK13" i="55"/>
  <c r="BK15" i="55"/>
  <c r="BK12" i="55"/>
  <c r="BM12" i="55"/>
  <c r="BM14" i="55"/>
  <c r="BM13" i="55"/>
  <c r="BM16" i="55"/>
  <c r="BM15" i="55"/>
  <c r="BM11" i="55"/>
  <c r="AG353" i="48"/>
  <c r="AG354" i="48" s="1"/>
  <c r="AG121" i="45"/>
  <c r="AG123" i="45"/>
  <c r="AG124" i="45"/>
  <c r="AH159" i="14"/>
  <c r="AH161" i="14" s="1"/>
  <c r="BM124" i="45"/>
  <c r="BM123" i="45"/>
  <c r="BM121" i="45"/>
  <c r="BK125" i="45"/>
  <c r="AD371" i="48"/>
  <c r="BK126" i="45" s="1"/>
  <c r="AG163" i="14"/>
  <c r="AG157" i="14"/>
  <c r="AF159" i="14"/>
  <c r="AF161" i="14" s="1"/>
  <c r="AH164" i="12"/>
  <c r="AG318" i="20"/>
  <c r="AH165" i="12" s="1"/>
  <c r="AG354" i="46"/>
  <c r="AG363" i="46" s="1"/>
  <c r="AH120" i="45" s="1"/>
  <c r="BK124" i="45"/>
  <c r="BK123" i="45"/>
  <c r="BK121" i="45"/>
  <c r="AG14" i="55"/>
  <c r="AG12" i="55"/>
  <c r="AG15" i="55"/>
  <c r="AG16" i="55"/>
  <c r="AG13" i="55"/>
  <c r="AG11" i="55"/>
  <c r="AG7" i="55" l="1"/>
  <c r="BK7" i="55"/>
  <c r="AH122" i="45"/>
  <c r="BM20" i="55"/>
  <c r="BM19" i="55"/>
  <c r="BK20" i="55"/>
  <c r="BK19" i="55"/>
  <c r="AG19" i="55"/>
  <c r="AG20" i="55"/>
  <c r="AG161" i="12"/>
  <c r="AG363" i="48"/>
  <c r="BN120" i="45" s="1"/>
  <c r="AG361" i="48"/>
  <c r="BM7" i="55"/>
  <c r="AH159" i="12"/>
  <c r="AH161" i="12" s="1"/>
  <c r="BK6" i="55"/>
  <c r="AG6" i="55"/>
  <c r="AG361" i="46"/>
  <c r="AG159" i="14"/>
  <c r="BM6" i="55"/>
  <c r="BN122" i="45" l="1"/>
  <c r="AH119" i="45"/>
  <c r="AG365" i="46"/>
  <c r="AG370" i="46"/>
  <c r="AH10" i="55"/>
  <c r="AG161" i="14"/>
  <c r="BN119" i="45"/>
  <c r="AG365" i="48"/>
  <c r="BN10" i="55"/>
  <c r="AG370" i="48"/>
  <c r="CF20" i="45" l="1"/>
  <c r="AH123" i="45"/>
  <c r="AH124" i="45"/>
  <c r="AH121" i="45"/>
  <c r="BN125" i="45"/>
  <c r="AG371" i="48"/>
  <c r="BN126" i="45" s="1"/>
  <c r="BN13" i="55"/>
  <c r="BN15" i="55"/>
  <c r="BN11" i="55"/>
  <c r="BN14" i="55"/>
  <c r="BN12" i="55"/>
  <c r="BN16" i="55"/>
  <c r="BN124" i="45"/>
  <c r="BN123" i="45"/>
  <c r="BN121" i="45"/>
  <c r="AH13" i="55"/>
  <c r="AH7" i="55" s="1"/>
  <c r="AH15" i="55"/>
  <c r="AH11" i="55"/>
  <c r="AH14" i="55"/>
  <c r="AH16" i="55"/>
  <c r="AH12" i="55"/>
  <c r="AH6" i="55" s="1"/>
  <c r="AH125" i="45"/>
  <c r="AG371" i="46"/>
  <c r="AH126" i="45" s="1"/>
  <c r="BN20" i="55" l="1"/>
  <c r="BN19" i="55"/>
  <c r="BN7" i="55"/>
  <c r="BN6" i="55"/>
  <c r="AH20" i="55"/>
  <c r="AH19" i="5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tc={6ABB56AA-F2C7-4804-8D1E-BDF5F359084E}</author>
  </authors>
  <commentList>
    <comment ref="A8" authorId="0" shapeId="0" xr:uid="{6ABB56AA-F2C7-4804-8D1E-BDF5F359084E}">
      <text>
        <t>[Threaded comment]
Your version of Excel allows you to read this threaded comment; however, any edits to it will get removed if the file is opened in a newer version of Excel. Learn more: https://go.microsoft.com/fwlink/?linkid=870924
Comment:
    What is NBM?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<sst xmlns="http://schemas.openxmlformats.org/spreadsheetml/2006/main" count="11571" uniqueCount="1637">
  <si>
    <t>World</t>
  </si>
  <si>
    <t>Agriculture</t>
  </si>
  <si>
    <t>Notes</t>
  </si>
  <si>
    <t>Ethylene</t>
  </si>
  <si>
    <t>Propylene</t>
  </si>
  <si>
    <t>Ethylene deivatives</t>
  </si>
  <si>
    <t>Sources</t>
  </si>
  <si>
    <t>Plastics Europe Chart</t>
  </si>
  <si>
    <t>LDPE/LLDPE</t>
  </si>
  <si>
    <t>HDPE</t>
  </si>
  <si>
    <t>Polypropylene</t>
  </si>
  <si>
    <t>Polystyrene</t>
  </si>
  <si>
    <t>Expanded Polystyrene</t>
  </si>
  <si>
    <t>Polyvinyl-chloride</t>
  </si>
  <si>
    <t>Polyethylene Terephthalate</t>
  </si>
  <si>
    <t>SAN &amp; ABS</t>
  </si>
  <si>
    <t>Polyethylene</t>
  </si>
  <si>
    <t>Packaging</t>
  </si>
  <si>
    <t>Ethylene Oxide</t>
  </si>
  <si>
    <t>Building &amp; Construction</t>
  </si>
  <si>
    <t>Ethylene Dichloride</t>
  </si>
  <si>
    <t>Automotive</t>
  </si>
  <si>
    <t>Ethyl Benzene</t>
  </si>
  <si>
    <t>Electrical &amp; Electronics</t>
  </si>
  <si>
    <t>Other</t>
  </si>
  <si>
    <t>Atzo Plastics &amp; Merchant Consulting Limited, 2021</t>
  </si>
  <si>
    <t>Household, leisure &amp; sports</t>
  </si>
  <si>
    <t>Others</t>
  </si>
  <si>
    <t xml:space="preserve">Uses of Polyethylene </t>
  </si>
  <si>
    <t>LDPE</t>
  </si>
  <si>
    <t>LLDPE</t>
  </si>
  <si>
    <t>Nexant and ChemVision, 2014</t>
  </si>
  <si>
    <t>Volumes</t>
  </si>
  <si>
    <t>PS/EPS</t>
  </si>
  <si>
    <t>PVC</t>
  </si>
  <si>
    <t>PET</t>
  </si>
  <si>
    <t>US</t>
  </si>
  <si>
    <t>2015 Guide to the Business of Chemistry, American Chemistry Council</t>
  </si>
  <si>
    <t>Europe</t>
  </si>
  <si>
    <t>Plastics- the Facts 2016, PlasticsEurope, 2016</t>
  </si>
  <si>
    <t>Share</t>
  </si>
  <si>
    <t>Electricl &amp; Electronics</t>
  </si>
  <si>
    <t>LDPE &amp; LLDPE</t>
  </si>
  <si>
    <t>TOTAL</t>
  </si>
  <si>
    <t>Uses of Ethylene Oxide</t>
  </si>
  <si>
    <t>Polyester</t>
  </si>
  <si>
    <t xml:space="preserve"> Of total global PET production, 30% goes into bottles and 60% into fibres</t>
  </si>
  <si>
    <t xml:space="preserve"> Ji, Li Na (June 2013). "Study on Preparation Process and Properties of Polyethylene Terephthalate (PET)". Applied Mechanics and Materials. 312: 406–410. Bibcode:2013AMM...312..406J. </t>
  </si>
  <si>
    <t>Derivative Shares</t>
  </si>
  <si>
    <t>Antifreeze</t>
  </si>
  <si>
    <t>IHS Markit</t>
  </si>
  <si>
    <t>Uses of Ethylene Dichloride</t>
  </si>
  <si>
    <t>https://www.marketresearchfuture.com/reports/ethylene-dichloride-market-2509</t>
  </si>
  <si>
    <t>Textiles</t>
  </si>
  <si>
    <t>Ethylene Shares</t>
  </si>
  <si>
    <t>Ethylene Second Derivatives</t>
  </si>
  <si>
    <t>Ethylene Demand by Sector</t>
  </si>
  <si>
    <t>WATERFALL</t>
  </si>
  <si>
    <t>Share of Propylene Demand</t>
  </si>
  <si>
    <t>Potential +/- in demand</t>
  </si>
  <si>
    <t>Source</t>
  </si>
  <si>
    <t>Packaging: Reduce and Reuse</t>
  </si>
  <si>
    <t>BPW</t>
  </si>
  <si>
    <t>Packaging: Substitution</t>
  </si>
  <si>
    <t>?</t>
  </si>
  <si>
    <t xml:space="preserve">UNFCC Fashion Industry Charter for Climate Action targets  </t>
  </si>
  <si>
    <t>Note this is textiles, not fibres (so apparel, not carpets)</t>
  </si>
  <si>
    <t>CAGR</t>
  </si>
  <si>
    <t>https://www.iea.org/reports/the-future-of-petrochemicals</t>
  </si>
  <si>
    <t>Ethylene breakdown by tiers 1 chemicals</t>
  </si>
  <si>
    <t>Polyethylene breakdown</t>
  </si>
  <si>
    <t>Ethylene Oxide Breakdown</t>
  </si>
  <si>
    <t>Ethylene dichloride Breakdown</t>
  </si>
  <si>
    <t>Styrene breakdown</t>
  </si>
  <si>
    <t>PS</t>
  </si>
  <si>
    <t>Ethylene breakdown by end products</t>
  </si>
  <si>
    <t>% ethylene by end products</t>
  </si>
  <si>
    <t>PET fibres</t>
  </si>
  <si>
    <t>Total</t>
  </si>
  <si>
    <t>Volumes -2020</t>
  </si>
  <si>
    <t>Volumes -2050</t>
  </si>
  <si>
    <t>Propylene Derivatives</t>
  </si>
  <si>
    <t>(applications)</t>
  </si>
  <si>
    <t>J. S. Plotkin, The Propylene Quandary, American Chemical Society, 2016</t>
  </si>
  <si>
    <t>SAN/ABS %</t>
  </si>
  <si>
    <t>Propenic Acid</t>
  </si>
  <si>
    <t>Fortune business Insights</t>
  </si>
  <si>
    <t>Propenonitrile</t>
  </si>
  <si>
    <t>Benzene</t>
  </si>
  <si>
    <t>(50% to ethylbenzene of which 100% to polystyrene)</t>
  </si>
  <si>
    <t>Epoxypropane</t>
  </si>
  <si>
    <t>Polyurethane, into furnishings</t>
  </si>
  <si>
    <t>https://polyurethane.americanchemistry.com/Applications/#:~:text=Polyurethane%2C%20mostly%20in%20the%20form,more%20durable%2C%20comfortable%20and%20supportive.</t>
  </si>
  <si>
    <t xml:space="preserve"> </t>
  </si>
  <si>
    <t>Butanol</t>
  </si>
  <si>
    <t>Paint</t>
  </si>
  <si>
    <t>Uses of Polypropylene</t>
  </si>
  <si>
    <t>Plastics Europe</t>
  </si>
  <si>
    <t>Propylene Shares</t>
  </si>
  <si>
    <t>Uses of Propenic Acid</t>
  </si>
  <si>
    <t>Animal feed additives</t>
  </si>
  <si>
    <t>https://ihsmarkit.com/products/propionic-acid-chemical-economics-handbook.html</t>
  </si>
  <si>
    <t>Food preservative</t>
  </si>
  <si>
    <t>Herbicides</t>
  </si>
  <si>
    <t>Uses of Propenonitrile</t>
  </si>
  <si>
    <t>https://www.essentialchemicalindustry.org/polymers/polypropenonitrile.html</t>
  </si>
  <si>
    <t>Acrylic fibres</t>
  </si>
  <si>
    <t>Nylon</t>
  </si>
  <si>
    <t>SAN/ABS</t>
  </si>
  <si>
    <t>Carbon fibre</t>
  </si>
  <si>
    <t>Propenamide</t>
  </si>
  <si>
    <t>Water treatment</t>
  </si>
  <si>
    <t>Propylene Demand by Sector</t>
  </si>
  <si>
    <t>Impact on Propylene Demand</t>
  </si>
  <si>
    <t>Auto: Electrification &amp; Lightweighting?</t>
  </si>
  <si>
    <t>https://auto.howstuffworks.com/fuel-efficiency/fuel-economy/carbon-fiber-oil-crisis2.htm</t>
  </si>
  <si>
    <t xml:space="preserve">There's been expectation for years that carbon fibre will become cheap enough to use in lightweighting cars but still not in sight.  Ten years ago, carbon fiber cost $150 a pound. Now, the price is around $10 a pound [source: Zoltek]. Steel, on the other hand, costs less than a dollar per pound. Many analysts say that for carbon fiber to make it into widespread use in cars, the price will have to drop to about $5 per pound [source: Oak Ridge National Laboratory]. </t>
  </si>
  <si>
    <t>XaaS Impact on Car Parc</t>
  </si>
  <si>
    <t>Auto: MaaS</t>
  </si>
  <si>
    <t xml:space="preserve">SYSTEMIQ, XaaS Report. (Contact Achim.Teuber@systemiq.earth) </t>
  </si>
  <si>
    <t>Savings from Higher Utilization</t>
  </si>
  <si>
    <t>Savings from Life Extension</t>
  </si>
  <si>
    <t>Building &amp; Consruction</t>
  </si>
  <si>
    <t>Total Savings</t>
  </si>
  <si>
    <t>FINAL NUMBERS</t>
  </si>
  <si>
    <t>% change</t>
  </si>
  <si>
    <t>%</t>
  </si>
  <si>
    <t>mT</t>
  </si>
  <si>
    <t>Demand 2020</t>
  </si>
  <si>
    <t>Economic &amp; Population Growth</t>
  </si>
  <si>
    <t>https://cdn.odi.org/media/documents/odi-et-cp-automotive-report-sep20-proof02_final2.pdf</t>
  </si>
  <si>
    <t>BAU 2050</t>
  </si>
  <si>
    <t>WEF (http://www3.weforum.org/docs/WEF_Forging_Ahead_2020.pdf)</t>
  </si>
  <si>
    <t>Blue</t>
  </si>
  <si>
    <t>MaaS</t>
  </si>
  <si>
    <t>XaaS</t>
  </si>
  <si>
    <t>Life Extension</t>
  </si>
  <si>
    <t>Substitution in cars</t>
  </si>
  <si>
    <t>NZ/CE 2050</t>
  </si>
  <si>
    <t>propylene</t>
  </si>
  <si>
    <t>PP</t>
  </si>
  <si>
    <t>PE</t>
  </si>
  <si>
    <t>Polyurethane</t>
  </si>
  <si>
    <t>% change Prop</t>
  </si>
  <si>
    <t>% change Eth</t>
  </si>
  <si>
    <t>BPW extrapolated to 2050 - separate model</t>
  </si>
  <si>
    <t>Elimination</t>
  </si>
  <si>
    <t>NBM and reuse</t>
  </si>
  <si>
    <t>Switch to paper</t>
  </si>
  <si>
    <t>Switch to compostables</t>
  </si>
  <si>
    <t>https://cdn.odi.org/media/documents/odi-et-cp-construction-report-sep20-proof04_final2.pdf</t>
  </si>
  <si>
    <t>Reduction</t>
  </si>
  <si>
    <t>Substitution</t>
  </si>
  <si>
    <t>Source: Sam Pickard and Samuel Sharp, Phasing out plastics, The construction sector, (2020)</t>
  </si>
  <si>
    <t>Mt</t>
  </si>
  <si>
    <t>Profiles</t>
  </si>
  <si>
    <t>Pipes, tubes, fittings</t>
  </si>
  <si>
    <t>Flooring Insulation</t>
  </si>
  <si>
    <t>Cabling</t>
  </si>
  <si>
    <t>Liners</t>
  </si>
  <si>
    <t>PUR</t>
  </si>
  <si>
    <t>Wall Coverings</t>
  </si>
  <si>
    <t>Ehtylene</t>
  </si>
  <si>
    <t>Scenario used for BAU</t>
  </si>
  <si>
    <t>Reduce</t>
  </si>
  <si>
    <t>Automotive industry</t>
  </si>
  <si>
    <t>m Tons</t>
  </si>
  <si>
    <t>Substitute</t>
  </si>
  <si>
    <t>High scenario</t>
  </si>
  <si>
    <t>Low scenario</t>
  </si>
  <si>
    <t>2020-2030 growth</t>
  </si>
  <si>
    <t>2030-2040 growth</t>
  </si>
  <si>
    <t>2040-2050 growth</t>
  </si>
  <si>
    <t>R&amp;S</t>
  </si>
  <si>
    <t>Sector demand BAU</t>
  </si>
  <si>
    <t>ICE to EV switch</t>
  </si>
  <si>
    <t>Ad. Sector demand BAU</t>
  </si>
  <si>
    <t>Life extension</t>
  </si>
  <si>
    <t>Eliminate</t>
  </si>
  <si>
    <t>Paper</t>
  </si>
  <si>
    <t>Compostables</t>
  </si>
  <si>
    <t>Limiting factors G: 40/70/80, Y 10/35/50, O: 1/7/10, R: 0</t>
  </si>
  <si>
    <t>Limiting factors G: 50/80/90, Y 20/50/70, O: 1/10/15, R: 0</t>
  </si>
  <si>
    <t>Ethylene - R</t>
  </si>
  <si>
    <t>Ehtylene - S</t>
  </si>
  <si>
    <t>Propylene - R</t>
  </si>
  <si>
    <t>Propylene - S</t>
  </si>
  <si>
    <t>S-curve - separate model</t>
  </si>
  <si>
    <t>Reuse and NBM</t>
  </si>
  <si>
    <t>Paper and coatings</t>
  </si>
  <si>
    <t>Construction industry</t>
  </si>
  <si>
    <t>Textile industry</t>
  </si>
  <si>
    <t>Solar and Wind</t>
  </si>
  <si>
    <t>Wind increase</t>
  </si>
  <si>
    <t>Solar increase</t>
  </si>
  <si>
    <t>Sector demand Post R&amp;S</t>
  </si>
  <si>
    <t>Waste reduction</t>
  </si>
  <si>
    <t>Waste red.</t>
  </si>
  <si>
    <t>NBM</t>
  </si>
  <si>
    <t>S</t>
  </si>
  <si>
    <t>New Business Models</t>
  </si>
  <si>
    <t>Source:</t>
  </si>
  <si>
    <t>https://eitrawmaterials.eu/wp-content/uploads/2020/04/rms_for_wind_and_solar_published_v2.pdf</t>
  </si>
  <si>
    <t>Average</t>
  </si>
  <si>
    <t>Turbine Power</t>
  </si>
  <si>
    <t>MW</t>
  </si>
  <si>
    <t>Weight</t>
  </si>
  <si>
    <t>tons</t>
  </si>
  <si>
    <t>% polymer composite</t>
  </si>
  <si>
    <t>Same numbers reported by CEFIC</t>
  </si>
  <si>
    <t>% carbon fibre glass</t>
  </si>
  <si>
    <t>https://windeurope.org/wp-content/uploads/files/about-wind/reports/WindEurope-Accelerating-wind-turbine-blade-circularity.pdf</t>
  </si>
  <si>
    <t>% steel and Aluminum</t>
  </si>
  <si>
    <t>% Other</t>
  </si>
  <si>
    <t>Source :ETC - SYSTEMIQ</t>
  </si>
  <si>
    <t>Δ</t>
  </si>
  <si>
    <t>Wind Turbine capacity</t>
  </si>
  <si>
    <t>Total reosurce needed</t>
  </si>
  <si>
    <t>Total polymer composite needed</t>
  </si>
  <si>
    <t>Assumptions</t>
  </si>
  <si>
    <t>% ethylene in polymer composite</t>
  </si>
  <si>
    <t>Assuming all turbines have the same ratio of polymer composite (~35%) regardless the core material of the blade (fibres, wood, etc …)</t>
  </si>
  <si>
    <t>Composite includes: epoxy, PET, PVC, PUR, etc …</t>
  </si>
  <si>
    <t>Assuming overall ethylene content is 30% (PET is 12.6%, PVC is 43.2%, epoxy &gt;30%, PUR &lt; 20%)</t>
  </si>
  <si>
    <t>Additional ethylene demand</t>
  </si>
  <si>
    <t>Add. Energy Sector demand</t>
  </si>
  <si>
    <t>From Data tab</t>
  </si>
  <si>
    <t>PV Panel Power</t>
  </si>
  <si>
    <t>% Ethyl Vinyl Acetate</t>
  </si>
  <si>
    <t>%Poly Vinyl Fluoride</t>
  </si>
  <si>
    <t>% Aluminimum and other metals</t>
  </si>
  <si>
    <t>% Other (mostly glass)</t>
  </si>
  <si>
    <t>Check</t>
  </si>
  <si>
    <t>Annual Delta</t>
  </si>
  <si>
    <t>PV Capacity</t>
  </si>
  <si>
    <t>Total polymer composites needed</t>
  </si>
  <si>
    <t>% ethylene in Ethyl Vinyl Acetate</t>
  </si>
  <si>
    <t>% ethylene in Poly Vinyl Fluoride</t>
  </si>
  <si>
    <t>Total resource needed</t>
  </si>
  <si>
    <t>Add. wind turbine capacity installed</t>
  </si>
  <si>
    <t>Add. polymer composite needed</t>
  </si>
  <si>
    <t>Add. resource needed</t>
  </si>
  <si>
    <t>PV capacity</t>
  </si>
  <si>
    <t>Add. PV capacity installed</t>
  </si>
  <si>
    <t>Additional demand</t>
  </si>
  <si>
    <t>Propylene - High circularity</t>
  </si>
  <si>
    <t>Baseline Propylene Production</t>
  </si>
  <si>
    <t>Post R&amp;S Propylene Production</t>
  </si>
  <si>
    <t>Ethylene - High circularity</t>
  </si>
  <si>
    <t>Post R&amp;S Ethylene Production</t>
  </si>
  <si>
    <t>Baseline Ethylene Production</t>
  </si>
  <si>
    <t>Ethylene - Low circularity</t>
  </si>
  <si>
    <t>Propylene - Low circularity</t>
  </si>
  <si>
    <t>Fashion on Climate (separate excel)</t>
  </si>
  <si>
    <t>Energy</t>
  </si>
  <si>
    <t>R&amp;S Automotive industry</t>
  </si>
  <si>
    <t>R&amp;S Construction industry</t>
  </si>
  <si>
    <t>R&amp;S Textile industry</t>
  </si>
  <si>
    <t>Recycling Automotive</t>
  </si>
  <si>
    <t>Recycling  Construction</t>
  </si>
  <si>
    <t>Open Loop</t>
  </si>
  <si>
    <t>Closed Loop</t>
  </si>
  <si>
    <t>Closed Loop Recycling</t>
  </si>
  <si>
    <t>Sector Demand Post R&amp;S and Recycling</t>
  </si>
  <si>
    <t>Open Loop Recycling from Packaging</t>
  </si>
  <si>
    <t>Open Loop Recycling from Automotive</t>
  </si>
  <si>
    <t>Open Loop Recycling from Textile</t>
  </si>
  <si>
    <t>Plastic waste generation</t>
  </si>
  <si>
    <t>Assumed constant overtime</t>
  </si>
  <si>
    <t>Automotive plastic waste generation</t>
  </si>
  <si>
    <t>Construction plastic waste generation</t>
  </si>
  <si>
    <t>Other plastic waste generation</t>
  </si>
  <si>
    <t>% ethylene in automotive plastic waste</t>
  </si>
  <si>
    <t>% ethylene in construction plastic waste</t>
  </si>
  <si>
    <t>Ethylene-derived packaging waste generation post R&amp;S</t>
  </si>
  <si>
    <t>Ethylene-derived Automotive waste generation  post R&amp;S</t>
  </si>
  <si>
    <t>Ethylene-derived Construction waste generation post R&amp;S</t>
  </si>
  <si>
    <t>Ethylene-derived Textile waste generation post R&amp;S</t>
  </si>
  <si>
    <t>Ethylene R&amp;S reduction ratio for packaging production</t>
  </si>
  <si>
    <t>Ethylene R&amp;S reduction ratio for automotive production</t>
  </si>
  <si>
    <t>Ethylene R&amp;S reduction ratio for construction production</t>
  </si>
  <si>
    <t>Assuming no delay between production and waste</t>
  </si>
  <si>
    <t>Assuming 12 year delay between production and waste</t>
  </si>
  <si>
    <t>Assuming 30 year delay between production and waste</t>
  </si>
  <si>
    <t>Assuming 5 year delay between production and waste</t>
  </si>
  <si>
    <t>Assumptions per decade then extrapolated for individual years</t>
  </si>
  <si>
    <t>% share of automotive in plastic waste generation</t>
  </si>
  <si>
    <t>% share of building in plastic waste generation</t>
  </si>
  <si>
    <t>Consumer</t>
  </si>
  <si>
    <t>Transport</t>
  </si>
  <si>
    <t>Electrical</t>
  </si>
  <si>
    <t>Construction</t>
  </si>
  <si>
    <t>Industrial Machinary</t>
  </si>
  <si>
    <t>LDPE, LLDPE</t>
  </si>
  <si>
    <t>NOTE: these recycling rates are based on total polymers, not pure ethylene</t>
  </si>
  <si>
    <t>% ethylene in other plastic waste</t>
  </si>
  <si>
    <t>mT plastic waste</t>
  </si>
  <si>
    <t>mT ethylene</t>
  </si>
  <si>
    <t>Max Ethylene-derived from Automotive waste generation</t>
  </si>
  <si>
    <t>Max Ethylene-derived from Construction waste generation</t>
  </si>
  <si>
    <t>Max Ethylene-derived from other waste generation</t>
  </si>
  <si>
    <t>Ethylene R&amp;S reduction ratio for other production</t>
  </si>
  <si>
    <t>Ethylene-derived other waste generation post R&amp;S</t>
  </si>
  <si>
    <t>R&amp;S Other industry</t>
  </si>
  <si>
    <t>Recycling Other</t>
  </si>
  <si>
    <t>Demand growth by 2050</t>
  </si>
  <si>
    <t>Demand Business As Usual 2050</t>
  </si>
  <si>
    <t>e</t>
  </si>
  <si>
    <t>Packaging plot</t>
  </si>
  <si>
    <t>Construction plot</t>
  </si>
  <si>
    <t>Automotive plot</t>
  </si>
  <si>
    <t>Textile plot</t>
  </si>
  <si>
    <t>% propylene in automotive plastic waste</t>
  </si>
  <si>
    <t>% propylene in construction plastic waste</t>
  </si>
  <si>
    <t>% propylene in other plastic waste</t>
  </si>
  <si>
    <t>mT propylene</t>
  </si>
  <si>
    <t>Max propylene-derived from Automotive waste generation</t>
  </si>
  <si>
    <t>Max propylene-derived from Construction waste generation</t>
  </si>
  <si>
    <t>Max propylene-derived from other waste generation</t>
  </si>
  <si>
    <t>propylene R&amp;S reduction ratio for packaging production</t>
  </si>
  <si>
    <t>propylene R&amp;S reduction ratio for automotive production</t>
  </si>
  <si>
    <t>propylene R&amp;S reduction ratio for construction production</t>
  </si>
  <si>
    <t>propylene R&amp;S reduction ratio for other production</t>
  </si>
  <si>
    <t>propylene-derived packaging waste generation post R&amp;S</t>
  </si>
  <si>
    <t>propylene-derived Automotive waste generation  post R&amp;S</t>
  </si>
  <si>
    <t>propylene-derived Construction waste generation post R&amp;S</t>
  </si>
  <si>
    <t>propylene-derived Textile waste generation post R&amp;S</t>
  </si>
  <si>
    <t>propylene-derived other waste generation post R&amp;S</t>
  </si>
  <si>
    <t>PRODUCTION</t>
  </si>
  <si>
    <t>Yearly projection using 5-year CAGR from IEA scenarios</t>
  </si>
  <si>
    <t>https://advances.sciencemag.org/content/advances/suppl/2017/07/17/3.7.e1700782.DC1/1700782_SM.pdf</t>
  </si>
  <si>
    <t>Data excluding fibers</t>
  </si>
  <si>
    <t>Market Sector</t>
  </si>
  <si>
    <t>Transportation</t>
  </si>
  <si>
    <r>
      <rPr>
        <sz val="11"/>
        <rFont val="Calibri"/>
        <family val="2"/>
        <scheme val="minor"/>
      </rPr>
      <t>Building and
Construction</t>
    </r>
  </si>
  <si>
    <r>
      <rPr>
        <sz val="11"/>
        <rFont val="Calibri"/>
        <family val="2"/>
        <scheme val="minor"/>
      </rPr>
      <t>Electrical
/Electronic</t>
    </r>
  </si>
  <si>
    <r>
      <rPr>
        <sz val="11"/>
        <rFont val="Calibri"/>
        <family val="2"/>
        <scheme val="minor"/>
      </rPr>
      <t>Consumer &amp;
Institutional Products</t>
    </r>
  </si>
  <si>
    <r>
      <rPr>
        <sz val="11"/>
        <rFont val="Calibri"/>
        <family val="2"/>
        <scheme val="minor"/>
      </rPr>
      <t>Industrial
Machinery</t>
    </r>
  </si>
  <si>
    <t>Same data re-organized</t>
  </si>
  <si>
    <t>Consumer goods and institutional Products</t>
  </si>
  <si>
    <t>Market share</t>
  </si>
  <si>
    <t>calculated based on molar mass assuming 100% ethylene</t>
  </si>
  <si>
    <t xml:space="preserve">estimated </t>
  </si>
  <si>
    <t>CAGR methodology</t>
  </si>
  <si>
    <t>CAGR from BPW divided by 2</t>
  </si>
  <si>
    <t>CAGR from ODI divided by 2</t>
  </si>
  <si>
    <t>CAGR calculated from IEA demand projection</t>
  </si>
  <si>
    <t>CAGR from Fashion on Climate divided by 2</t>
  </si>
  <si>
    <t>propylene breakdown by tiers 1 chemicals</t>
  </si>
  <si>
    <t>Polypropylene breakdown</t>
  </si>
  <si>
    <t>propylene breakdown by end products</t>
  </si>
  <si>
    <t>% propylene by end products</t>
  </si>
  <si>
    <t>calculated based on molar mass assuming 100% propylene</t>
  </si>
  <si>
    <t>propylene Shares</t>
  </si>
  <si>
    <t>Cumene</t>
  </si>
  <si>
    <t>Propenic Acid Breakdown</t>
  </si>
  <si>
    <t>Cumene breakdown</t>
  </si>
  <si>
    <t>Phenol + Acetone</t>
  </si>
  <si>
    <t>https://www.chemicalsafetyfacts.org/cumene/</t>
  </si>
  <si>
    <t>https://www.researchgate.net/figure/Common-propylene-oxide-uses_fig1_269517484</t>
  </si>
  <si>
    <t>Propylene oxide</t>
  </si>
  <si>
    <t>Propylene glycol</t>
  </si>
  <si>
    <t>Glycol ether</t>
  </si>
  <si>
    <t>PP (ex-fibre)</t>
  </si>
  <si>
    <t>PP fibres</t>
  </si>
  <si>
    <t>Apparel</t>
  </si>
  <si>
    <t>assuming 0% goes to apparel</t>
  </si>
  <si>
    <t>Analysis of additional demand driven by solar energy growth</t>
  </si>
  <si>
    <t>IRENA for 2019, ETC for Projections</t>
  </si>
  <si>
    <t>https://www.plasticsinsight.com/resin-intelligence/resin-prices/ethylene-vinyl-acetate/</t>
  </si>
  <si>
    <t>calculated based on molar mass of poly(vinyl fluoride) assuming 1 ethylene per unit</t>
  </si>
  <si>
    <t>Analysis of additional demand driven by wind energy growth</t>
  </si>
  <si>
    <t>Source: Production, use, and fate of all plastics ever made, Roland Geyer, Jenna R. Jambeck, Kara Lavender Law, 2017</t>
  </si>
  <si>
    <t>assumption</t>
  </si>
  <si>
    <t>separate model from ETC</t>
  </si>
  <si>
    <t>Estimated in conjuction with XaaS team - SYSTEMIQ</t>
  </si>
  <si>
    <t>ICE to EV - LC</t>
  </si>
  <si>
    <t>ICE to EV - HC</t>
  </si>
  <si>
    <t>Source: BPW extrapolated to 2050 - separate model</t>
  </si>
  <si>
    <t>Source: BPW extrapolated to 2050 - separate model - calculated based on averages of low and high scenarios - separate model</t>
  </si>
  <si>
    <t>PET fibre breakdown</t>
  </si>
  <si>
    <t>Assuming 25% of textile is used by the construction industry: https://www.marketresearchfuture.com/reports/polyester-fiber-market-7295</t>
  </si>
  <si>
    <t>Assuming 25% of textile is used by others: https://www.marketresearchfuture.com/reports/polyester-fiber-market-7295</t>
  </si>
  <si>
    <t>R</t>
  </si>
  <si>
    <t>estimated</t>
  </si>
  <si>
    <t>Blanket R&amp;S: Estimated based on most conservative asusmptions from other sectors</t>
  </si>
  <si>
    <t>2050 HC - Post R&amp;S</t>
  </si>
  <si>
    <t>2051 HC - Post R&amp;S</t>
  </si>
  <si>
    <t>2052 HC - Post R&amp;S</t>
  </si>
  <si>
    <t>2053 HC - Post R&amp;S</t>
  </si>
  <si>
    <t>2054 HC - Post R&amp;S</t>
  </si>
  <si>
    <t>2055 HC - Post R&amp;S</t>
  </si>
  <si>
    <t>2056 HC - Post R&amp;S</t>
  </si>
  <si>
    <t>2057 HC - Post R&amp;S</t>
  </si>
  <si>
    <t>2058 HC - Post R&amp;S</t>
  </si>
  <si>
    <t>2059 HC - Post R&amp;S</t>
  </si>
  <si>
    <t>Apparel industry</t>
  </si>
  <si>
    <t>Weighted average CAGR from Eth and Prop from IEA</t>
  </si>
  <si>
    <t>via OECD report: Improving Markets for Recycled Plastics, 2018: https://www.oecd.org/env/improving-markets-for-recycled-plastics-9789264301016-en.htm</t>
  </si>
  <si>
    <t>R&amp;S Packaging &amp; consumer goods industry</t>
  </si>
  <si>
    <t>Recycling Packaging and Consumer goods</t>
  </si>
  <si>
    <t>% share of packaging and consumer goods in plastic waste generation</t>
  </si>
  <si>
    <t>% share of others waste generation</t>
  </si>
  <si>
    <t>from EMF report : A New Textile Economy, 2017: 54*0.63 - given textile in OECD report is 100% PPA, we assumed it includes no apparel</t>
  </si>
  <si>
    <t>% ethylene per polymer</t>
  </si>
  <si>
    <t>Normalized</t>
  </si>
  <si>
    <t>% ethylene per industry</t>
  </si>
  <si>
    <t>Assuming 100% fibres are PET</t>
  </si>
  <si>
    <t>Packaging + hh goods</t>
  </si>
  <si>
    <t>% ethylene in apparel plastic waste</t>
  </si>
  <si>
    <t>% share of apparel in plastic waste generation</t>
  </si>
  <si>
    <t>Apparel plastic waste generation</t>
  </si>
  <si>
    <t>Max Ethylene-derived from apparel waste generation</t>
  </si>
  <si>
    <t>Packaging and consumer goods plastic waste generation</t>
  </si>
  <si>
    <t>% ethylene in packaging and consumer goods plastic waste</t>
  </si>
  <si>
    <t>Max Ethylene-derived from packaging and consumer goods waste generation</t>
  </si>
  <si>
    <t>Total Ethylene production</t>
  </si>
  <si>
    <t>Total Ethylene remains in stock</t>
  </si>
  <si>
    <t>Ratio waste/production</t>
  </si>
  <si>
    <t>--&gt; means that the ratio is in average 80% - TRIANGULATION: Geyer et Al. estimated it at (4900 + 600 + 800)/8300 = 76% - So good !</t>
  </si>
  <si>
    <t>Ethylene R&amp;S reduction ratio for apparel production</t>
  </si>
  <si>
    <t>Manual calculation - each row and each cell is different C42:AG46</t>
  </si>
  <si>
    <t>Geyer et al (2017)</t>
  </si>
  <si>
    <t>Closed Loop recycling rates from packaging and consummer goods</t>
  </si>
  <si>
    <t>Overall recycling rates from packaging and consummer goods</t>
  </si>
  <si>
    <t>Open Loop recycling rates from packaging and consummer goods</t>
  </si>
  <si>
    <t>Assuming left over</t>
  </si>
  <si>
    <t>Recycling rate from OECD report: Improving Markets for Recycled Plastics, 2018. 2.5% for Australia, and xx% from EU (BPWE team). Target of 44% from EMF (via ODI report). Assuming growth rate is similar as packaging</t>
  </si>
  <si>
    <t>Overall recycling rates from automotive</t>
  </si>
  <si>
    <t>% recycling which is closed Loop from automotive</t>
  </si>
  <si>
    <t>% recycling which is open Loop from automotive</t>
  </si>
  <si>
    <t>PACKAGING AND CONSUMMER GOODS RECYCLING RATES</t>
  </si>
  <si>
    <t>Plastic waste generation (check)</t>
  </si>
  <si>
    <t>Total (check)</t>
  </si>
  <si>
    <t>Total ethylene-derived plastic waste generated</t>
  </si>
  <si>
    <t>Total Ethylene-derived waste geenration post R&amp;S</t>
  </si>
  <si>
    <t>AUTOMOTIVE RECYCLING RATES</t>
  </si>
  <si>
    <t>% Open Loop to construction</t>
  </si>
  <si>
    <t>% recycling rate of Packaging and consummer goods to textile (via Open loop)</t>
  </si>
  <si>
    <t>% recycling rate of Packaging and consummer goods to other (via Open Loop)</t>
  </si>
  <si>
    <t>% recycling rate of Packaging and consummer goods to construction (via Open Loop)</t>
  </si>
  <si>
    <t>% recycling rate of Automotive to construction (via Open loop)</t>
  </si>
  <si>
    <t>% recycling rate of Automotive to packaging and consummer goods (via Open Loop)</t>
  </si>
  <si>
    <t>% recycling rate of Automotive to others</t>
  </si>
  <si>
    <t>% open Loop to packaging and consummer goods (via Open Loop)</t>
  </si>
  <si>
    <t>% open loop to others</t>
  </si>
  <si>
    <t>Assuming constant overtime</t>
  </si>
  <si>
    <t>APPAREL RECYCLING RATES</t>
  </si>
  <si>
    <t>Apparel overall recycling rates</t>
  </si>
  <si>
    <t>% recycling which is closed Loop from apparel</t>
  </si>
  <si>
    <t>% recycling which is open Loop from apparel</t>
  </si>
  <si>
    <t>Closed Loop recycling rates from apparel</t>
  </si>
  <si>
    <t>Open Loop recycling rates from apparel</t>
  </si>
  <si>
    <t>EMF - A New Textile industry - 2018 // 2050 estimation from internal systemiq team</t>
  </si>
  <si>
    <t>EMF - A New Textile industry - 2018 (&lt;10% - estimated at 5%) // 2050 assuming ratio is the same as packaging for OL and CL (40/60)</t>
  </si>
  <si>
    <t>% recycling rate of apparel to construction (via Open loop)</t>
  </si>
  <si>
    <t>https://www.mckinsey.com/~/media/mckinsey/industries/retail/our%20insights/fashion%20on%20climate/fashion-on-climate-full-report.pdf</t>
  </si>
  <si>
    <t>calculation in a seaparate excel</t>
  </si>
  <si>
    <t>https://wrap.org.uk/sites/default/files/2020-10/WRAP_Plastics_market_situation_report.pdf</t>
  </si>
  <si>
    <t>Share of CL/OL for 2020 from WRAP - Plastic Market report for 2019 - share by 2050 from BPWE team. Assuming linear ramp up</t>
  </si>
  <si>
    <t>Estimated - based on EMF, WRAP and other reports saying that textiles are being recycled for insulation, matresses, industrial and cars textile/fillers.</t>
  </si>
  <si>
    <t>CONSTRUCTION RECYCLING RATES</t>
  </si>
  <si>
    <t>Recycling rate from OECD report: Improving Markets for Recycled Plastics, 2018. 2.5% for Australia, and xx% from EU (BPWE team). Confirmed by ODI paper (recycling rate &lt;2%). For 2050, assumed an average recycling from packaging and cars.</t>
  </si>
  <si>
    <t>OTHER RECYCLING RATES</t>
  </si>
  <si>
    <t>Other recycling rates</t>
  </si>
  <si>
    <t>Recycling rate from OECD report: Improving Markets for Recycled Plastics, 2018. ~5% for Australia used for 2020. Assuming 20% by 2050 as default value.</t>
  </si>
  <si>
    <t>OVERALL ETHYLENE-DERIVED RECYCLING RATES</t>
  </si>
  <si>
    <t>OVERALL PLASTIC RECYCLING RATES</t>
  </si>
  <si>
    <t>Adjusting factor for ethylene recycling rates</t>
  </si>
  <si>
    <t>Construction Closed Loop recycling rate</t>
  </si>
  <si>
    <t>Ethylene adjusted construction recycling rate</t>
  </si>
  <si>
    <t>No adjusting factor necessary given 100% of fibres are assumed to be PET</t>
  </si>
  <si>
    <t>No adjusting factor necessary given no data available for that sector</t>
  </si>
  <si>
    <t>Recycling rate adjusted for ethylene</t>
  </si>
  <si>
    <t>Volume to construction</t>
  </si>
  <si>
    <t>Volume to packaging</t>
  </si>
  <si>
    <t>Volume to other</t>
  </si>
  <si>
    <t>Volume to apparel</t>
  </si>
  <si>
    <t>Volumes to car</t>
  </si>
  <si>
    <t>Total volumes</t>
  </si>
  <si>
    <t>TRIANGULATION</t>
  </si>
  <si>
    <t>Seems about correct assuming textile downcycling does not happen in EU and car recycling is bigger in EU than globally</t>
  </si>
  <si>
    <t>total check</t>
  </si>
  <si>
    <t>From Plastics Europe facts 2020 (EU data for 2019)</t>
  </si>
  <si>
    <t>BPW extrapolated to 2050 (same growth rate used for 2040-2050 than 2030-2040) - data obtained for each decade and extrapolated (Scenario X master)</t>
  </si>
  <si>
    <t>Ethylene-adjusted Closed Loop recycling rates from packaging and consummer goods</t>
  </si>
  <si>
    <t>Ethylene-adjusted Open Loop recycling rates from packaging and consummer goods</t>
  </si>
  <si>
    <t>Ethylene-adjusted Overall recycling rates from packaging and consummer goods</t>
  </si>
  <si>
    <t>% Ethylene-adjusted recycling rate of Packaging and consummer goods to textile (via Open loop)</t>
  </si>
  <si>
    <t>% Ethylene-adjusted recycling rate of Packaging and consummer goods to other (via Open Loop)</t>
  </si>
  <si>
    <t>% Ethylene-adjusted recycling rate of Packaging and consummer goods to construction (via Open Loop)</t>
  </si>
  <si>
    <t>51% of recycled construction plastic is PE while only 18% of construction lastic is PE according to Plastic Europe (2018). So Adjusting factor is based on the ratio of those two numbers assuming to flatten overtime but remain higher than average: https://www.plasticseurope.org/application/files/6315/5730/5565/BC_Table.pdf</t>
  </si>
  <si>
    <t xml:space="preserve">assuming absolute volumes are the same as HC </t>
  </si>
  <si>
    <t>Closed Loop recycling rates from automotive</t>
  </si>
  <si>
    <t>Open Loop recycling rates from automotive</t>
  </si>
  <si>
    <t>% propylene in packaging and consumer goods plastic waste</t>
  </si>
  <si>
    <t>% propylene in apparel plastic waste</t>
  </si>
  <si>
    <t>Max propylene-derived from packaging and consumer goods waste generation</t>
  </si>
  <si>
    <t>Max propylene-derived from apparel waste generation</t>
  </si>
  <si>
    <t>Total propylene-derived plastic waste generated</t>
  </si>
  <si>
    <t>Total propylene production</t>
  </si>
  <si>
    <t>Total propylene remains in stock</t>
  </si>
  <si>
    <t>propylene R&amp;S reduction ratio for apparel production</t>
  </si>
  <si>
    <t>Total propylene-derived waste geenration post R&amp;S</t>
  </si>
  <si>
    <t>Recycling rate adjusted for propylene</t>
  </si>
  <si>
    <t>Adjusting factor for propylene recycling rates</t>
  </si>
  <si>
    <t>propylene-adjusted Closed Loop recycling rates from packaging and consummer goods</t>
  </si>
  <si>
    <t>propylene-adjusted Open Loop recycling rates from packaging and consummer goods</t>
  </si>
  <si>
    <t>propylene-adjusted Overall recycling rates from packaging and consummer goods</t>
  </si>
  <si>
    <t>% propylene-adjusted recycling rate of Packaging and consummer goods to other (via Open Loop)</t>
  </si>
  <si>
    <t>% propylene-adjusted recycling rate of Packaging and consummer goods to construction (via Open Loop)</t>
  </si>
  <si>
    <t>NOTE: these recycling rates are based on total polymers, not pure propylene</t>
  </si>
  <si>
    <t>propylene adjusted construction recycling rate</t>
  </si>
  <si>
    <t>OVERALL propylene-DERIVED RECYCLING RATES</t>
  </si>
  <si>
    <t>% propylene per polymer</t>
  </si>
  <si>
    <t>Assuming 0% of apparel fibres are PP</t>
  </si>
  <si>
    <t>Assuming 100% of apparel fibres are PET</t>
  </si>
  <si>
    <t>Total propylene-derived waste generation</t>
  </si>
  <si>
    <t>Total Ethylene-derived waste generation</t>
  </si>
  <si>
    <t>n/a</t>
  </si>
  <si>
    <t>estimated and assumed constant</t>
  </si>
  <si>
    <t>23% of recycled construction plastic is PP while only 8% of construction plastic is PP according to Plastic Europe (2018). So Adjusting factor is based on the ratio of those two numbers assuming to flatten overtime but remain higher than average: https://www.plasticseurope.org/application/files/6315/5730/5565/BC_Table.pdf</t>
  </si>
  <si>
    <t>propylene-adjusted overall recycling rates from automotive</t>
  </si>
  <si>
    <t>propylene-adjusted Closed Loop recycling rates from automotive</t>
  </si>
  <si>
    <t>propylene-adjusted Open-Loop recycling rates from automotive</t>
  </si>
  <si>
    <t>% propylene-adjusted recycling rate of automotive to other (via Open Loop)</t>
  </si>
  <si>
    <t>% propylene-adjusted recycling rate of automotive to construction (via Open Loop)</t>
  </si>
  <si>
    <t>% propylene-adjusted recycling rate of automotive to packaging and consummer goods (via Open Loop)</t>
  </si>
  <si>
    <t>Propylene-adjusted overall recycling rates from automotive</t>
  </si>
  <si>
    <t>Propylene-adjusted closed-loop recycling rates from automotive</t>
  </si>
  <si>
    <t>Propylene-adjusted open-loop recycling rates from automotive</t>
  </si>
  <si>
    <t>% recycling rate of apparel to others</t>
  </si>
  <si>
    <t>Recycling Apparel</t>
  </si>
  <si>
    <t>Post R&amp;S Ethylene Demand</t>
  </si>
  <si>
    <t>Baseline Ethylene Demand</t>
  </si>
  <si>
    <t>Post R&amp;S and Recycling Ethylene Demand</t>
  </si>
  <si>
    <t>check 1</t>
  </si>
  <si>
    <t>check 2</t>
  </si>
  <si>
    <t>check 3</t>
  </si>
  <si>
    <t>check 4</t>
  </si>
  <si>
    <t>2050 HC - Post R&amp;S - Post recyl</t>
  </si>
  <si>
    <t>2051 HC - Post R&amp;S - Post recyl</t>
  </si>
  <si>
    <t>2052 HC - Post R&amp;S - Post recyl</t>
  </si>
  <si>
    <t>2053 HC - Post R&amp;S - Post recyl</t>
  </si>
  <si>
    <t>2054 HC - Post R&amp;S - Post recyl</t>
  </si>
  <si>
    <t>2055 HC - Post R&amp;S - Post recyl</t>
  </si>
  <si>
    <t>2056 HC - Post R&amp;S - Post recyl</t>
  </si>
  <si>
    <t>2057 HC - Post R&amp;S - Post recyl</t>
  </si>
  <si>
    <t>2058 HC - Post R&amp;S - Post recyl</t>
  </si>
  <si>
    <t>2059 HC - Post R&amp;S - Post recyl</t>
  </si>
  <si>
    <t>Total exclude negative from construction</t>
  </si>
  <si>
    <t>2020 Volumes</t>
  </si>
  <si>
    <t>Styrene</t>
  </si>
  <si>
    <t>Out of total</t>
  </si>
  <si>
    <t>Ethylene Shares - PIE CHART - same as above re-organized</t>
  </si>
  <si>
    <t>Packaging and hh goods</t>
  </si>
  <si>
    <t>Ethylene Shares - GRAPH CHART - same as above re-organized</t>
  </si>
  <si>
    <t>2050 - BAU</t>
  </si>
  <si>
    <t>Ethylbenzene</t>
  </si>
  <si>
    <t>Ethylene glycol</t>
  </si>
  <si>
    <t>Ethoxylates</t>
  </si>
  <si>
    <t>Ethanolamines</t>
  </si>
  <si>
    <t>Polyethylene Glycol (PEG)</t>
  </si>
  <si>
    <t>Polyether Polyols</t>
  </si>
  <si>
    <t>Glycol: Pie chart for 2019 (analyzed usng plotdigitizer) https://pmrpressrelease.com/mono-ethylene-glycol-market-2019-industry-sales-supply-and-consumption-analysis-and-forecasts-to-2023/</t>
  </si>
  <si>
    <t>Ethylene Glycol Breakdown</t>
  </si>
  <si>
    <t>in 2015</t>
  </si>
  <si>
    <t>Assuming a 3% CAGR</t>
  </si>
  <si>
    <t>from Supplementary information</t>
  </si>
  <si>
    <t>99% ethylbenzen is used to make styrene https://mcgroup.co.uk/researches/ethylbenzene-eb (pie chart analyzed using plotdigitizer)</t>
  </si>
  <si>
    <t>Ethylbenzen breakdown</t>
  </si>
  <si>
    <t>https://www.expertmarketresearch.com/reports/styrenics-market (pie chart analyzed using plotdigitizer)</t>
  </si>
  <si>
    <t>Glycol Ethers</t>
  </si>
  <si>
    <t>calculated based on molar mass assuming 1 ethylene per unit (28) divided by average PVC unit (62.5)</t>
  </si>
  <si>
    <t>calculated based on molar mass assuming 1 ethylene per unit (28) divided by average PET unit (192)</t>
  </si>
  <si>
    <t>calculated based on molar mass assuming 1 ethylene per unit (28) divided by average PS unit (104.2)</t>
  </si>
  <si>
    <t>Triangulation: HDPE: 42mT (2020): https://www.globenewswire.com/news-release/2020/07/08/2059505/0/en/Global-High-Density-Polyethylene-Industry.html</t>
  </si>
  <si>
    <t>Total ethylene needed</t>
  </si>
  <si>
    <t>Increase</t>
  </si>
  <si>
    <t>D: R&amp;S: Apparel</t>
  </si>
  <si>
    <t>E: R&amp;S: Others</t>
  </si>
  <si>
    <t>F: Renewable Energy Systems</t>
  </si>
  <si>
    <t>A: R&amp;S: Packaging and household goods</t>
  </si>
  <si>
    <t>B: R&amp;S: Buildings and Construction</t>
  </si>
  <si>
    <t>C: R&amp;S: Transportation</t>
  </si>
  <si>
    <t>Post R&amp;S Demand 2050</t>
  </si>
  <si>
    <t>Reuse and new business models</t>
  </si>
  <si>
    <t>Paper and paper coating substitution</t>
  </si>
  <si>
    <t>Compostable substitution</t>
  </si>
  <si>
    <t>Packaging plot LOW AND HIGH</t>
  </si>
  <si>
    <t>Post R&amp;S Demand 2050 (High Scenario)</t>
  </si>
  <si>
    <t>Post Reduce Demand 2050 (High Scenario)</t>
  </si>
  <si>
    <t>Buildings and Construction plot LOW AND HIGH</t>
  </si>
  <si>
    <t>Transportation plot LOW AND HIGH</t>
  </si>
  <si>
    <t>Mobility as a Service</t>
  </si>
  <si>
    <t>Lifetime Extension</t>
  </si>
  <si>
    <t>Switch to electric cars</t>
  </si>
  <si>
    <t>Apparel plot LOW AND HIGH</t>
  </si>
  <si>
    <t>Reduce textile waste in value chain</t>
  </si>
  <si>
    <t>Reuse and  New business Models</t>
  </si>
  <si>
    <t>OTHER plot LOW AND HIGH</t>
  </si>
  <si>
    <t>For overall R&amp;S waterfall plot:</t>
  </si>
  <si>
    <t>For overall recycling waterfall plot:</t>
  </si>
  <si>
    <t>Reduction and  substitution (A-F)</t>
  </si>
  <si>
    <t>G: Recycling: Packaging and household goods</t>
  </si>
  <si>
    <t>H: Recycling: Buildings and Construction</t>
  </si>
  <si>
    <t>I: Recycling: Transportation</t>
  </si>
  <si>
    <t>Circular demand 2050</t>
  </si>
  <si>
    <t>K: Recycling: Other sectors</t>
  </si>
  <si>
    <t>J: Recycling: Apparel</t>
  </si>
  <si>
    <t>Total additional recycled ethylene content to packaging and household goods</t>
  </si>
  <si>
    <t>Reduction and  substitution</t>
  </si>
  <si>
    <t>Additional closed-loop recycling</t>
  </si>
  <si>
    <t xml:space="preserve">Additional transportation to packaging and household goods open-loop recycling </t>
  </si>
  <si>
    <t xml:space="preserve">Additional packaging and household goods to building and construction open-loop recycling </t>
  </si>
  <si>
    <t xml:space="preserve">Additional textile to building and construction open-loop recycling </t>
  </si>
  <si>
    <t xml:space="preserve">Additional transportation to building and construction open-loop recycling </t>
  </si>
  <si>
    <t>Total additional recycled ethylene content to building and construction</t>
  </si>
  <si>
    <t xml:space="preserve">Additional packaging and household goods to apparel open-loop recycling </t>
  </si>
  <si>
    <t>Post R&amp;S wedge</t>
  </si>
  <si>
    <t>Post R&amp;S and recycling wedge</t>
  </si>
  <si>
    <t>Mechanical Recycling</t>
  </si>
  <si>
    <t>Other plot</t>
  </si>
  <si>
    <t xml:space="preserve">Additional packaging and household goods to other sectors open-loop recycling </t>
  </si>
  <si>
    <t xml:space="preserve">Additional transportation goods to other sectors open-loop recycling </t>
  </si>
  <si>
    <t xml:space="preserve">Additional apparel to other sectors open-loop recycling </t>
  </si>
  <si>
    <t>Total additional recycled ethylene content to other sectors</t>
  </si>
  <si>
    <t>Total additional recycled ethylene content to apparel</t>
  </si>
  <si>
    <t>Propylene Shares - PIE CHART - same as above re-organized</t>
  </si>
  <si>
    <t>Propylene Shares - GRAPH CHART - same as above re-organized</t>
  </si>
  <si>
    <t>Post R&amp;S and Recycling Propylene Demand</t>
  </si>
  <si>
    <t>Total additional recycled Propylene content to other sectors</t>
  </si>
  <si>
    <t>Total additional recycled Propylene content to packaging and household goods</t>
  </si>
  <si>
    <t>Total additional recycled Propylene content to building and construction</t>
  </si>
  <si>
    <t>Total additional recycled Propylene content to apparel</t>
  </si>
  <si>
    <t>Triangulation 64% of PET production is fibres - ok - https://www.woodmac.com/news/opinion/ppe-is-giving-the-fibres-industry-some-protection-from-coronavirus/</t>
  </si>
  <si>
    <t>check</t>
  </si>
  <si>
    <t>--&gt; must be 0</t>
  </si>
  <si>
    <t>D: R&amp;S: Others</t>
  </si>
  <si>
    <t>E: Recycling: Packaging and household goods</t>
  </si>
  <si>
    <t>F: Recycling: Buildings and Construction</t>
  </si>
  <si>
    <t>G: Recycling: Transportation</t>
  </si>
  <si>
    <t>H: Recycling: Other sectors</t>
  </si>
  <si>
    <t>Reduction and  substitution (A-D)</t>
  </si>
  <si>
    <t>Ethylene oxide: Pie chart for 2016: https://www.essentialchemicalindustry.org/chemicals/epoxyethane.html 
DO NOT USE: (analyzed usng plotdigitizer) https://www.marketresearchfuture.com/reports/ethylene-oxide-market-6989 --&gt; lead to a PET market size of 35mT which is too low (actual market is closer to 80mT) !!!</t>
  </si>
  <si>
    <t>EMF - A New Textile industry - 2018 (&lt;10% - estimated at 5% - EuraTex In EU has estimated at 10%: https://euratex.eu/wp-content/uploads/Recycling-Hubs-FIN-LQ.pdf // 2050: in EU the industry is targetting a 30% recycling rates for textiles</t>
  </si>
  <si>
    <t xml:space="preserve">Man made cellulosic fibres (including lyocel, viscose, etc … to substitute polyester): CAGR expected 5% from 6.5mT - assumed growth over 30 years and will substitute current fibres equally. So total market by 2050: 28mT. </t>
  </si>
  <si>
    <t>47mt of textile (53-6) growing at 2.1CAGR =  (source EMF)</t>
  </si>
  <si>
    <t>--&gt; 20% used</t>
  </si>
  <si>
    <t>Assuming 50% of textile is used by the apparel industry: https://www.marketresearchfuture.com/reports/polyester-fiber-market-7295: Clothing+hh textiles: match with EMF estimation of pET fibres.</t>
  </si>
  <si>
    <t>--&gt; reduction of building material is assumed to be only 22% in a circular scenario compare to BAU in the IRP scenario (based on minerals analysis) - assuming all material are equally impacted by this lever given it's densification. Consider low scenario as IRP does not reach net zero by 2050.</t>
  </si>
  <si>
    <t>Adjusted to account for the fact we are not considering substitution with metals (see below): https://cdn.odi.org/media/documents/odi-et-cp-construction-report-sep20-proof04_final2.pdf</t>
  </si>
  <si>
    <t>Reduction potential</t>
  </si>
  <si>
    <t>Substitution potential</t>
  </si>
  <si>
    <t>R&amp;S analysis</t>
  </si>
  <si>
    <t>Adjusted based on ODI paper to remove metal substitution (from 100% to 50%)</t>
  </si>
  <si>
    <t>Adjusted based on ODI paper to remove metal substitution (from 100% to 0%)</t>
  </si>
  <si>
    <t>Adjusted based on ODI paper toassume only 90% penetration (more conservative - based on Breaking the plastic wave penetration technology rates) (from 100% to 0%)</t>
  </si>
  <si>
    <t>Substituted volumes</t>
  </si>
  <si>
    <t>Volumes post reduce</t>
  </si>
  <si>
    <t>Ethylene [99.2] Polyethylene</t>
  </si>
  <si>
    <t>Ethylene [22.8] Ethylene Oxide</t>
  </si>
  <si>
    <t>Ethylene [19.5] Ethylene Dichloride</t>
  </si>
  <si>
    <t>Ethylene [9.8] Ethylbenzene</t>
  </si>
  <si>
    <t>Ethylene [11.4] Others</t>
  </si>
  <si>
    <t>Polyethylene [44.6] HDPE</t>
  </si>
  <si>
    <t>Polyethylene [54.6] LDPE</t>
  </si>
  <si>
    <t>Ethylene Oxide [3.8] PET</t>
  </si>
  <si>
    <t>Ethylene Oxide [6.9] PET fibres</t>
  </si>
  <si>
    <t>Ethylene Oxide [12.1] Others</t>
  </si>
  <si>
    <t>Ethylene Dichloride [18.7] PVC</t>
  </si>
  <si>
    <t>Ethylene Dichloride [0.8] Others</t>
  </si>
  <si>
    <t>Ethylbenzene [4.5] PS</t>
  </si>
  <si>
    <t>Ethylbenzene [5.3] Others</t>
  </si>
  <si>
    <t>Ethyelene recycling volumes</t>
  </si>
  <si>
    <t>Ethyelene recycling rates volumes (BAU)</t>
  </si>
  <si>
    <t>CAGR from BPW</t>
  </si>
  <si>
    <t>Overall plot</t>
  </si>
  <si>
    <t>Additional Demand</t>
  </si>
  <si>
    <t>Buildings</t>
  </si>
  <si>
    <t>Propylene recycling volumes</t>
  </si>
  <si>
    <t>check sources: 87% PET according to https://www.essentialchemicalindustry.org/chemicals/ethane-1-2-diol.html</t>
  </si>
  <si>
    <t>Etylene Glycol</t>
  </si>
  <si>
    <t>Vinyl Chloride</t>
  </si>
  <si>
    <t>Ethyelene Dichloride</t>
  </si>
  <si>
    <t>Tiers 1</t>
  </si>
  <si>
    <t>Tiers 2</t>
  </si>
  <si>
    <t>Packaging &amp; consumer goods industry</t>
  </si>
  <si>
    <t>% change PET</t>
  </si>
  <si>
    <t>% change PE</t>
  </si>
  <si>
    <t>% change PVC</t>
  </si>
  <si>
    <t>% change Others</t>
  </si>
  <si>
    <t>Packaging &amp; HH goods</t>
  </si>
  <si>
    <t>Eth Ox</t>
  </si>
  <si>
    <t>Eth Cl2</t>
  </si>
  <si>
    <t>Polyether Polyol (--&gt; PUR)</t>
  </si>
  <si>
    <t>Recycling</t>
  </si>
  <si>
    <t>Landfill</t>
  </si>
  <si>
    <t>Incineration</t>
  </si>
  <si>
    <t>Dumpsite</t>
  </si>
  <si>
    <t>Open Burning</t>
  </si>
  <si>
    <t>Environmental leakage</t>
  </si>
  <si>
    <t>Ocean Leakage</t>
  </si>
  <si>
    <t>BAU - Plastic waste breakdown</t>
  </si>
  <si>
    <t>HC - Plastic waste breakdown</t>
  </si>
  <si>
    <t>Total Disposal + Leakage</t>
  </si>
  <si>
    <t>Collection rate</t>
  </si>
  <si>
    <t>Depolymerization technologies</t>
  </si>
  <si>
    <t>Dissolutions technologies</t>
  </si>
  <si>
    <t>x</t>
  </si>
  <si>
    <t>Available waste from high income</t>
  </si>
  <si>
    <t>Waste available for other technologies</t>
  </si>
  <si>
    <t>% PET from packaging and textile out of total recycling volumes</t>
  </si>
  <si>
    <t>% high value grades out of total</t>
  </si>
  <si>
    <t>To be calculated by the matrix</t>
  </si>
  <si>
    <t>Available waste from low income</t>
  </si>
  <si>
    <t>S curve formular from supply model</t>
  </si>
  <si>
    <t>a</t>
  </si>
  <si>
    <t>b</t>
  </si>
  <si>
    <t>c</t>
  </si>
  <si>
    <t>M</t>
  </si>
  <si>
    <t>Tons of waste collected as mixed</t>
  </si>
  <si>
    <t>Tons of waste collected as sorted</t>
  </si>
  <si>
    <t>Waste available for pyrolysis</t>
  </si>
  <si>
    <t>Waste available for gasification (incl. pyrolysis)</t>
  </si>
  <si>
    <t>Formal Collection (B1)</t>
  </si>
  <si>
    <t>Collected for recycling  (C1)</t>
  </si>
  <si>
    <t>Collected as mixed (C2)</t>
  </si>
  <si>
    <t>Sent to recycling (F1+F2)</t>
  </si>
  <si>
    <t>Losses from MRF (F3)</t>
  </si>
  <si>
    <t>Mixed sent to MRF (E3)</t>
  </si>
  <si>
    <t>Unformal Collection (B2+V1)</t>
  </si>
  <si>
    <t>Collection rate (A1+V1)</t>
  </si>
  <si>
    <t>Incineration (O)</t>
  </si>
  <si>
    <t>Landfill (N)</t>
  </si>
  <si>
    <t>Dumpsite (V0)</t>
  </si>
  <si>
    <t>Open Burning (S)</t>
  </si>
  <si>
    <t>Environmental leakage (T0)</t>
  </si>
  <si>
    <t>Ocean Leakage (W)</t>
  </si>
  <si>
    <t>Unformal to recycling (D1+D2)</t>
  </si>
  <si>
    <t>Unformal  to unsorted (D4)</t>
  </si>
  <si>
    <t>Mixed un-sorted (E1+E2)</t>
  </si>
  <si>
    <t>Losses from Recycling  (J1+I2)</t>
  </si>
  <si>
    <t xml:space="preserve">% waste collected from high income </t>
  </si>
  <si>
    <t>% waste collected from others</t>
  </si>
  <si>
    <t>Ethylene adjusted sent to recycling from MRF</t>
  </si>
  <si>
    <t>Ethylene adjusted sent to recycling from unformal</t>
  </si>
  <si>
    <t>Ethylene adjusted sent to recycling TOTAL</t>
  </si>
  <si>
    <t>Ethylene adjusted sent to MRF TOTAL</t>
  </si>
  <si>
    <t>Ethylene adjusted sent to MRF from mixed waste</t>
  </si>
  <si>
    <t>Ethylene adjusted sent to MRF from sorted at source</t>
  </si>
  <si>
    <t>Ethylene adjusted losses from MRF, unformal and recycling</t>
  </si>
  <si>
    <t>Etylene adjusted actual recycling TOTAL</t>
  </si>
  <si>
    <t>Waste assumed available for chemical recycling</t>
  </si>
  <si>
    <t>Assumption from BPWE: 80% of losses from recycling, MRF etc. would fit depol. and diss. Technologies given high quality required</t>
  </si>
  <si>
    <t>Assuming only 'sorted waste' can be applicable to pyrolysis</t>
  </si>
  <si>
    <t>Assuming sorted AND unsorted waste can be applicable for pyrolysis</t>
  </si>
  <si>
    <t>Estimated - assuming only high value grades are applicable for such technologies</t>
  </si>
  <si>
    <t>Mixed sent disposal (E1+E2)</t>
  </si>
  <si>
    <t>Unformal  to disposal (D4)</t>
  </si>
  <si>
    <t>Ethylene-adjusted mixed waste to disposal</t>
  </si>
  <si>
    <t>S-Curve for technology ramp-up applied to diss. and depol.</t>
  </si>
  <si>
    <t>assuming non-hig oncome country S-Curve only start in 2035</t>
  </si>
  <si>
    <t>Waste generation</t>
  </si>
  <si>
    <t>Packaging &amp; consumer goods</t>
  </si>
  <si>
    <t>Source: PlasticEurope facts (2020) = 368mT in 2019</t>
  </si>
  <si>
    <t>Source for 2019: Textile exchange: https://www.google.com/url?sa=i&amp;url=https%3A%2F%2Fwww.eionet.europa.eu%2Fetcs%2Fetc-wmge%2Fproducts%2Fplastic-in-textiles-potentials-for-circularity-and-reduced-environmental-and-climate-impacts%2F%40%40download%2Ffile%2FETC_2.1.2.2._plastic%2520in%2520textiles_final_edited%2520for%2520website.pdf&amp;psig=AOvVaw2fSZcfQfIfe-D9DOy0aBnZ&amp;ust=1634650809630000&amp;source=images&amp;cd=vfe&amp;ved=2ahUKEwi7u_73itTzAhUH_IUKHcxmCIkQr4kDegQIARBo</t>
  </si>
  <si>
    <t>Fibre breakdown</t>
  </si>
  <si>
    <t>in 2019</t>
  </si>
  <si>
    <t>Normalized to include fibres</t>
  </si>
  <si>
    <t>from PE model</t>
  </si>
  <si>
    <t>From P model</t>
  </si>
  <si>
    <t>From Textile excange 2019</t>
  </si>
  <si>
    <t>Assuming CAGR is same as production</t>
  </si>
  <si>
    <t>Recyclate production</t>
  </si>
  <si>
    <t>Recycling rates</t>
  </si>
  <si>
    <t>Recycling rate from OECD report: Improving Markets for Recycled Plastics, 2018. 2.5% for Australia, and 26% from EU (BPWE team). Confirmed by ODI paper (recycling rate &lt;2%). For 2050, assumed an average recycling from packaging and cars. Plastic Europe data likely to be over-estimated (based on BPWE analysis) and therefore only used for polymer breakdown. 2% used instead</t>
  </si>
  <si>
    <t>Overall comes from OECD, breakdown from PlasticsEurope https://www.plasticseurope.org/application/files/6315/5730/5565/BC_Table.pdf assuming recycling rates for others is evenly spread for PU</t>
  </si>
  <si>
    <t>Recyclate breakdown</t>
  </si>
  <si>
    <t>Fibres</t>
  </si>
  <si>
    <t>Same data as above reorganized to include apparel</t>
  </si>
  <si>
    <t>PP fibre breakdown could not be found - adjusted to be 40% auto, 40% building, 10% hh, and 10% others</t>
  </si>
  <si>
    <t>EMF - A New Textile industry - 2018 // No information - so evenly split based on waste generation / negligible given PET is the wider share</t>
  </si>
  <si>
    <t>Overall comes from OECD (for all other secotrs), No data so evenly split based on waste generation</t>
  </si>
  <si>
    <t>Overall from BPW: breakdown for the US from https://www.closedlooppartners.com/research/us-and-canada-recycling-infrastructure-and-plastic-waste-map/?preview=true</t>
  </si>
  <si>
    <t>Data from closed LooP Partners</t>
  </si>
  <si>
    <t>Films</t>
  </si>
  <si>
    <t>Strapping</t>
  </si>
  <si>
    <t>Food Bottles</t>
  </si>
  <si>
    <t>Non-food bottles</t>
  </si>
  <si>
    <t>Lumber/decking</t>
  </si>
  <si>
    <t>B2B packaging (crates etc.)</t>
  </si>
  <si>
    <t>hh goods</t>
  </si>
  <si>
    <t>Exported</t>
  </si>
  <si>
    <t>2020 - Adjusting factors</t>
  </si>
  <si>
    <t>2020 - Adjusting factors by chemical</t>
  </si>
  <si>
    <t>Methanol</t>
  </si>
  <si>
    <t>Toluene</t>
  </si>
  <si>
    <t>Xylene</t>
  </si>
  <si>
    <t>Butadiene</t>
  </si>
  <si>
    <t>%E</t>
  </si>
  <si>
    <t>Adjusted total</t>
  </si>
  <si>
    <t>Adjusted recyclates</t>
  </si>
  <si>
    <t>Adjusted recycling rates</t>
  </si>
  <si>
    <t>Recyclates</t>
  </si>
  <si>
    <t>2050 - Adjusting factors by chemical</t>
  </si>
  <si>
    <t>If 0</t>
  </si>
  <si>
    <t>0-0.5</t>
  </si>
  <si>
    <t>0.5-0.9</t>
  </si>
  <si>
    <t>0.9-1.1</t>
  </si>
  <si>
    <t>&gt;1.1</t>
  </si>
  <si>
    <t>2050 - Recycling rates</t>
  </si>
  <si>
    <t>Molar mass ratios</t>
  </si>
  <si>
    <t>Share of chemical pr waste generated</t>
  </si>
  <si>
    <t>Open Loop to apparel</t>
  </si>
  <si>
    <t>CL</t>
  </si>
  <si>
    <t>OL to textiles</t>
  </si>
  <si>
    <t>OL to constrution</t>
  </si>
  <si>
    <t>OL to others</t>
  </si>
  <si>
    <t>same data reorganized</t>
  </si>
  <si>
    <t>Textile</t>
  </si>
  <si>
    <t>OL automotive</t>
  </si>
  <si>
    <t>Molar mass</t>
  </si>
  <si>
    <t>OL to construction</t>
  </si>
  <si>
    <t>OL packaging</t>
  </si>
  <si>
    <t>From CLP</t>
  </si>
  <si>
    <t>Unknown so assumed it is the same as recyclate production</t>
  </si>
  <si>
    <t>Assuming it's will be same as production</t>
  </si>
  <si>
    <t>Open Loop to automotive</t>
  </si>
  <si>
    <t>Open Loop to construction</t>
  </si>
  <si>
    <t>Open Loop to others</t>
  </si>
  <si>
    <t>% recycling rate of Packaging and consummer goods to automotive (via Open Loop)</t>
  </si>
  <si>
    <t>From CLP - assuming constant</t>
  </si>
  <si>
    <t>% Ethylene-adjusted recycling rate of Packaging and consummer goods to automotive (via Open Loop)</t>
  </si>
  <si>
    <t>Open Loop to packaging</t>
  </si>
  <si>
    <t>Adjusting factor</t>
  </si>
  <si>
    <t>Ethylene-adjusted CL</t>
  </si>
  <si>
    <t>Ethylene-adjusted OL</t>
  </si>
  <si>
    <t>Ethylene adjusted overall</t>
  </si>
  <si>
    <t>Ethylene adjusted OL to construction</t>
  </si>
  <si>
    <t>Ethylene adjusted OL to packaging</t>
  </si>
  <si>
    <t>Ethylene adjusted OL to others</t>
  </si>
  <si>
    <t>% PET from packaging and textile out of total waste volumes</t>
  </si>
  <si>
    <t>Depolymerization</t>
  </si>
  <si>
    <t>Dissolution</t>
  </si>
  <si>
    <t>Post R&amp;S and Recycling and chem. Recycling Ethylene Demand</t>
  </si>
  <si>
    <t>Technology not relevant for PP</t>
  </si>
  <si>
    <t>Assuming half og HC</t>
  </si>
  <si>
    <t>Assuming half of HC</t>
  </si>
  <si>
    <t>Propylene adjusted sent to recycling TOTAL</t>
  </si>
  <si>
    <t>Propylene adjusted sent to recycling from unformal</t>
  </si>
  <si>
    <t>Propylene adjusted sent to recycling from MRF</t>
  </si>
  <si>
    <t>Propylene adjusted sent to MRF TOTAL</t>
  </si>
  <si>
    <t>Propylene adjusted sent to MRF from sorted at source</t>
  </si>
  <si>
    <t>Propylene adjusted sent to MRF from mixed waste</t>
  </si>
  <si>
    <t>Propylene adjusted losses from MRF, unformal and recycling</t>
  </si>
  <si>
    <t>Propylene-adjusted mixed waste to disposal</t>
  </si>
  <si>
    <t>Propylene adjusted actual recycling TOTAL</t>
  </si>
  <si>
    <t>2020 unformal sector value adjusted to match recycling rate</t>
  </si>
  <si>
    <t>corrected to adjust for negative flow</t>
  </si>
  <si>
    <t>PUR &amp; Additives &amp; Other</t>
  </si>
  <si>
    <t>Additives</t>
  </si>
  <si>
    <t>Methanol - Plastics (excl ethylene propylene)</t>
  </si>
  <si>
    <t>Methanol - Fuel</t>
  </si>
  <si>
    <t>Assumption that all fuel in ICE, some fuel actually in home heating/cooking but assume same rate of decline towards 0 by 2050</t>
  </si>
  <si>
    <t>Fuel demand growth</t>
  </si>
  <si>
    <t>Switch from ICE to EV (Fuel demand reduction)</t>
  </si>
  <si>
    <t>ODI Check based on car numbers</t>
  </si>
  <si>
    <t>Switch from ICE to EV (Plastics increase)</t>
  </si>
  <si>
    <t>Share of methanol fuel in ICE</t>
  </si>
  <si>
    <t>Assumption</t>
  </si>
  <si>
    <t>Share of methanol fuel in heating combustion</t>
  </si>
  <si>
    <t>Substitution in cars due to BEV</t>
  </si>
  <si>
    <t>Substitution in heating due to electrification &amp; development</t>
  </si>
  <si>
    <t>NZ/CE 2050 demand for fuel application</t>
  </si>
  <si>
    <t>Demand reduction for methanol for fuel applications</t>
  </si>
  <si>
    <t>Electrification of cooking appliances</t>
  </si>
  <si>
    <t>% change Meth</t>
  </si>
  <si>
    <t>Methanol (excl MTO)</t>
  </si>
  <si>
    <t>% change for all chemicals</t>
  </si>
  <si>
    <t>% methanol in Ethyl Vinyl Acetate</t>
  </si>
  <si>
    <t>t methanol / t acetic acid</t>
  </si>
  <si>
    <t>Vinyl Acetate</t>
  </si>
  <si>
    <t>t acetic acid / t vinylacetate</t>
  </si>
  <si>
    <t>t vinyl acetate / t PVA</t>
  </si>
  <si>
    <t>Acetic Acid</t>
  </si>
  <si>
    <t xml:space="preserve">t ethylene / t PVA </t>
  </si>
  <si>
    <t>Oxygen</t>
  </si>
  <si>
    <t>t methanol / t PVA</t>
  </si>
  <si>
    <t>t ethylene / t vinyl acetate</t>
  </si>
  <si>
    <t>t oxygen / t vinyl acetate</t>
  </si>
  <si>
    <t>t oxygen / t PVA</t>
  </si>
  <si>
    <t>check O2+methanol+ethylene</t>
  </si>
  <si>
    <t>Additional methanol demand</t>
  </si>
  <si>
    <t>% methanol in polymer compostive</t>
  </si>
  <si>
    <t>Assuming only methanol contribution is in resins (as very little in PET and none in PVC)</t>
  </si>
  <si>
    <t>Baseline Methanol Production (total)</t>
  </si>
  <si>
    <t>MTO demand</t>
  </si>
  <si>
    <t>Baseline Methanol demand for BAU minus MTO - input for supply model</t>
  </si>
  <si>
    <t>Assuming the supply model will be calculating the MTO demand</t>
  </si>
  <si>
    <t>R&amp;S Automotive fuel</t>
  </si>
  <si>
    <t>Sector demand BAU (fuel)</t>
  </si>
  <si>
    <t>Waterfall</t>
  </si>
  <si>
    <t>R&amp;S automotive fuel (BEV penetration)</t>
  </si>
  <si>
    <t>2050-2020 excl MTO</t>
  </si>
  <si>
    <t>Fuel demand after R&amp;S</t>
  </si>
  <si>
    <t>Methanol demand minus MTO minus fuel</t>
  </si>
  <si>
    <t>Check Sum 2050 BAU</t>
  </si>
  <si>
    <t>MTO</t>
  </si>
  <si>
    <t>R&amp;S Automotive PU &amp; other polymers</t>
  </si>
  <si>
    <t>Sector demand BAU (PU &amp; other polymers)</t>
  </si>
  <si>
    <t>Fuel</t>
  </si>
  <si>
    <t>ICE to EV switch new polymer demand</t>
  </si>
  <si>
    <t>Other polymer (excl ethylene/propylene)</t>
  </si>
  <si>
    <t>Check Sum of sub-sectors</t>
  </si>
  <si>
    <t>Check Sum 2020 BAU</t>
  </si>
  <si>
    <t>Sector demand BAU for other in niche polymers</t>
  </si>
  <si>
    <t>Post R&amp;S Methanol Production</t>
  </si>
  <si>
    <t>Post R&amp;S and Recycling Methanol Demand for PU &amp; other polymers &amp; other category</t>
  </si>
  <si>
    <t>Volumes -2020 (Mt methanol)</t>
  </si>
  <si>
    <t>% methanol per polymer</t>
  </si>
  <si>
    <t>% methanol per industry (EXCL MTO/MTX)</t>
  </si>
  <si>
    <t>based on share that does not stem from ethylene glycol assuming half of fibres goes to apparal</t>
  </si>
  <si>
    <t>Apparal</t>
  </si>
  <si>
    <t>Molar Masses</t>
  </si>
  <si>
    <t>Check polyurethane</t>
  </si>
  <si>
    <t>Formaldehyde</t>
  </si>
  <si>
    <t>Demand Polyurethane 2019 (Mt)</t>
  </si>
  <si>
    <t>https://en.wikipedia.org/wiki/Polyurethane</t>
  </si>
  <si>
    <t>If all from ethylene glycol, ethylene glycol demand (Mt)</t>
  </si>
  <si>
    <t>Aniline</t>
  </si>
  <si>
    <t>Other category ethylene glycol</t>
  </si>
  <si>
    <t>&gt; how much of it is antifreeze?</t>
  </si>
  <si>
    <t>MDI</t>
  </si>
  <si>
    <t>Ethylene Glycol</t>
  </si>
  <si>
    <t>Water</t>
  </si>
  <si>
    <t>Ethylene glycol for PU missing in olefin demand?</t>
  </si>
  <si>
    <t>Terephthalic Acid</t>
  </si>
  <si>
    <t>Dimethylterephthalate</t>
  </si>
  <si>
    <t>MMA</t>
  </si>
  <si>
    <t>Phenol</t>
  </si>
  <si>
    <t>Urea</t>
  </si>
  <si>
    <t>Route - methylene-diphenyl-diisocyanate  (2020 Volume Mt methanol)</t>
  </si>
  <si>
    <t>t Methanol/ t Formaldehyde</t>
  </si>
  <si>
    <r>
      <t>2 CH</t>
    </r>
    <r>
      <rPr>
        <vertAlign val="subscript"/>
        <sz val="11"/>
        <color rgb="FF202122"/>
        <rFont val="Arial"/>
        <family val="2"/>
      </rPr>
      <t>3</t>
    </r>
    <r>
      <rPr>
        <sz val="11"/>
        <color rgb="FF202122"/>
        <rFont val="Arial"/>
        <family val="2"/>
      </rPr>
      <t>OH + O</t>
    </r>
    <r>
      <rPr>
        <vertAlign val="subscript"/>
        <sz val="11"/>
        <color rgb="FF202122"/>
        <rFont val="Arial"/>
        <family val="2"/>
      </rPr>
      <t>2</t>
    </r>
    <r>
      <rPr>
        <sz val="11"/>
        <color rgb="FF202122"/>
        <rFont val="Arial"/>
        <family val="2"/>
      </rPr>
      <t> → 2 CH</t>
    </r>
    <r>
      <rPr>
        <vertAlign val="subscript"/>
        <sz val="11"/>
        <color rgb="FF202122"/>
        <rFont val="Arial"/>
        <family val="2"/>
      </rPr>
      <t>2</t>
    </r>
    <r>
      <rPr>
        <sz val="11"/>
        <color rgb="FF202122"/>
        <rFont val="Arial"/>
        <family val="2"/>
      </rPr>
      <t>O + 2 H</t>
    </r>
    <r>
      <rPr>
        <vertAlign val="subscript"/>
        <sz val="11"/>
        <color rgb="FF202122"/>
        <rFont val="Arial"/>
        <family val="2"/>
      </rPr>
      <t>2</t>
    </r>
    <r>
      <rPr>
        <sz val="11"/>
        <color rgb="FF202122"/>
        <rFont val="Arial"/>
        <family val="2"/>
      </rPr>
      <t>O</t>
    </r>
  </si>
  <si>
    <t>t Formaldehyde / t methylene-diphenyl-diisocyanate</t>
  </si>
  <si>
    <t>Over-stochiometry for MDI vs. Ethylene glycol</t>
  </si>
  <si>
    <t>t methylene-diphenyl-diisocyanate / t Polyurethane</t>
  </si>
  <si>
    <t>t methanol / t Polyurethane</t>
  </si>
  <si>
    <t>Other Polymers</t>
  </si>
  <si>
    <t>PVA  (2020 Volume Mt methanol)</t>
  </si>
  <si>
    <t>2 Ethylene + 2 acetic acid + 1 O2 --&gt; 2 Vinyl Acetate + 2 H2O</t>
  </si>
  <si>
    <t>free radical polymerisation</t>
  </si>
  <si>
    <t>PMMA  (2020 Volume Mt methanol)</t>
  </si>
  <si>
    <t>t methanol / t MMA</t>
  </si>
  <si>
    <t>(CH3)2C(OSO3H)C(O)NH2 + CH3OH → CH2 =C(CH3)C(O)OCH3 + NH4HSO4</t>
  </si>
  <si>
    <t>MMA / PMMA</t>
  </si>
  <si>
    <t>radical polymerisation</t>
  </si>
  <si>
    <t>t methanol / t PPMA</t>
  </si>
  <si>
    <t>Phenolic Resins  (2020 Volume Mt methanol)</t>
  </si>
  <si>
    <t>t Formaldehyde / t resin</t>
  </si>
  <si>
    <t>t methanol / t phenolic resin</t>
  </si>
  <si>
    <t>Carbamide - Methanal Resins (2020 Volume Mt methanol)</t>
  </si>
  <si>
    <t>t Methanol / t mixed methylol carbamide</t>
  </si>
  <si>
    <t>t mixed methylol carbamide / t resin</t>
  </si>
  <si>
    <t>t Methanol / t resin</t>
  </si>
  <si>
    <t>Melamine Resins  (2020 Volume Mt methanol)</t>
  </si>
  <si>
    <t>t Methanol / t resin same as for carbamide-methanal resins</t>
  </si>
  <si>
    <t>https://www.essentialchemicalindustry.org/polymers/methanal-plastics.html</t>
  </si>
  <si>
    <t>Polyacetal resins  (2020 Volume Mt methanol)</t>
  </si>
  <si>
    <t>t formaldeyhde / t polyacetal</t>
  </si>
  <si>
    <t>weighed average t methanol / t other polymers</t>
  </si>
  <si>
    <t>PET from non-ethylene routes</t>
  </si>
  <si>
    <t>Acid Acid Route</t>
  </si>
  <si>
    <t>t methanol to acetic acid</t>
  </si>
  <si>
    <t>acetic acid to terephthalic acd (solvent use)</t>
  </si>
  <si>
    <t>"Approximately 5% of the acetic acid solvent is lost by decomposition or "burning"."</t>
  </si>
  <si>
    <t>https://en.wikipedia.org/wiki/Terephthalic_acid</t>
  </si>
  <si>
    <t>terephthalic acid to PET</t>
  </si>
  <si>
    <t>t methanol / t PET</t>
  </si>
  <si>
    <t>Dimethylterephthalate route</t>
  </si>
  <si>
    <t>t methanol to DMT</t>
  </si>
  <si>
    <t>Xylol, 2 O2, 2 MeOH --&gt; DMT + 4H2O</t>
  </si>
  <si>
    <t>DMT to PET</t>
  </si>
  <si>
    <t>weighed average t methanol / t PET</t>
  </si>
  <si>
    <t>Simplied?</t>
  </si>
  <si>
    <t>From</t>
  </si>
  <si>
    <t>To</t>
  </si>
  <si>
    <t>Alternative description (if other)</t>
  </si>
  <si>
    <t>Classification</t>
  </si>
  <si>
    <t>Percentage</t>
  </si>
  <si>
    <t>Amount (Mt Methanol)</t>
  </si>
  <si>
    <t>Stochiometry</t>
  </si>
  <si>
    <t>Mt starting material</t>
  </si>
  <si>
    <t>t starting material / t product</t>
  </si>
  <si>
    <t>Mt end product</t>
  </si>
  <si>
    <t>Colour</t>
  </si>
  <si>
    <t>Sankey Code</t>
  </si>
  <si>
    <t>Flows</t>
  </si>
  <si>
    <t>Major polymers</t>
  </si>
  <si>
    <t>#0000FF</t>
  </si>
  <si>
    <t>Minor polymers</t>
  </si>
  <si>
    <t>Yellow</t>
  </si>
  <si>
    <t>#FFFF00</t>
  </si>
  <si>
    <t>Methyl tert-Butyl Ether (MTBE)</t>
  </si>
  <si>
    <t>Default Flow</t>
  </si>
  <si>
    <t>Dark Grey</t>
  </si>
  <si>
    <t>#A9A9A9</t>
  </si>
  <si>
    <t>Brown</t>
  </si>
  <si>
    <t>#964B00</t>
  </si>
  <si>
    <t>Methyl Methacrylate (MMA)</t>
  </si>
  <si>
    <t>Purple</t>
  </si>
  <si>
    <t>#CC66FF</t>
  </si>
  <si>
    <t>Biodiesel</t>
  </si>
  <si>
    <t>Dimethylether (DME)</t>
  </si>
  <si>
    <t>Gasoline Blending &amp; Combustion</t>
  </si>
  <si>
    <t>Fuel Cells</t>
  </si>
  <si>
    <t>Row Labels</t>
  </si>
  <si>
    <t>Sum of Amount (Mt Methanol)</t>
  </si>
  <si>
    <t>Fuel blend</t>
  </si>
  <si>
    <t>Solvent</t>
  </si>
  <si>
    <t>(blank)</t>
  </si>
  <si>
    <t>Grand Total</t>
  </si>
  <si>
    <t>Carbamide-methanal resins (UF)</t>
  </si>
  <si>
    <t>Phenolic Resins (PF)</t>
  </si>
  <si>
    <t>Corrected</t>
  </si>
  <si>
    <t>Melamine Resins</t>
  </si>
  <si>
    <t>Major Polymers</t>
  </si>
  <si>
    <t>Polyacetal resins (polyoxymethylene)</t>
  </si>
  <si>
    <t>Minor Polymers</t>
  </si>
  <si>
    <t>Methylene diphenyl diisocyanate</t>
  </si>
  <si>
    <t>1,4-butanediol</t>
  </si>
  <si>
    <t>Polyethylene (PE)</t>
  </si>
  <si>
    <t>High-density Polyethylene (HDPE)</t>
  </si>
  <si>
    <t>Low-density Polyethylene (LDPE)</t>
  </si>
  <si>
    <t>Polyurethane (PU)</t>
  </si>
  <si>
    <t>Polyvinylchloride (PVC)</t>
  </si>
  <si>
    <t>Polystyrene (PS)</t>
  </si>
  <si>
    <t>Polypropylene (PP)</t>
  </si>
  <si>
    <t>Vinyl acetate monomer (VAM)</t>
  </si>
  <si>
    <t>Terephthalic acid</t>
  </si>
  <si>
    <t>Acetate esters</t>
  </si>
  <si>
    <t>Acetic anhydride</t>
  </si>
  <si>
    <t>Methyl Chlorides</t>
  </si>
  <si>
    <t>Methylamines</t>
  </si>
  <si>
    <t>Dimethyl terephthalate (DMT)</t>
  </si>
  <si>
    <t>Methanethiol</t>
  </si>
  <si>
    <t>Polymethyl methacrylate (PMMA)</t>
  </si>
  <si>
    <t>Polyvinyl acetate (PVA)</t>
  </si>
  <si>
    <t>Polyethylene terephthalate (PET)</t>
  </si>
  <si>
    <t>THF</t>
  </si>
  <si>
    <t>Polypropylene PP (ex-fibre)</t>
  </si>
  <si>
    <t>Polypropylene fibres</t>
  </si>
  <si>
    <t>Polyethylene terephthalate fibres (PET)</t>
  </si>
  <si>
    <t>Polyethylene terephthalate other (PET)</t>
  </si>
  <si>
    <t>Check methanol in all uses on right hand side</t>
  </si>
  <si>
    <t>% methanol in packaging and consumer goods plastic waste</t>
  </si>
  <si>
    <t>% methanol in automotive plastic waste</t>
  </si>
  <si>
    <t>% methanol in construction plastic waste</t>
  </si>
  <si>
    <t>% methanol in apparel plastic waste</t>
  </si>
  <si>
    <t>% methanol in other plastic waste</t>
  </si>
  <si>
    <t>Max methanol-derived from packaging and consumer goods waste generation</t>
  </si>
  <si>
    <t>mT methanol</t>
  </si>
  <si>
    <t>Max methanol-derived from Automotive waste generation</t>
  </si>
  <si>
    <t>Max methanol-derived from Construction waste generation</t>
  </si>
  <si>
    <t>Max methanol-derived from apparel waste generation</t>
  </si>
  <si>
    <t>Max methanol-derived from other waste generation</t>
  </si>
  <si>
    <t>Total methanol-derived plastic waste generated</t>
  </si>
  <si>
    <t>Total methanol-derived waste generation</t>
  </si>
  <si>
    <t>methanol R&amp;S reduction ratio for packaging production</t>
  </si>
  <si>
    <t>methanol R&amp;S reduction ratio for automotive production</t>
  </si>
  <si>
    <t>methanol R&amp;S reduction ratio for construction production</t>
  </si>
  <si>
    <t>methanol R&amp;S reduction ratio for apparel production</t>
  </si>
  <si>
    <t>methanol R&amp;S reduction ratio for other production</t>
  </si>
  <si>
    <t>methanol-derived packaging waste generation post R&amp;S</t>
  </si>
  <si>
    <t>methanol-derived Automotive waste generation  post R&amp;S</t>
  </si>
  <si>
    <t>methanol-derived Construction waste generation post R&amp;S</t>
  </si>
  <si>
    <t>methanol-derived Textile waste generation post R&amp;S</t>
  </si>
  <si>
    <t>methanol-derived other waste generation post R&amp;S</t>
  </si>
  <si>
    <t>Total methanol-derived waste geenration post R&amp;S</t>
  </si>
  <si>
    <t>Adjusting factor for methanol recycling rates</t>
  </si>
  <si>
    <t>used construction as proxy with optimistic assumption that recycling rates of all polymers will be around the same average by 2050</t>
  </si>
  <si>
    <t>methanol-adjusted Closed Loop recycling rates from packaging and consummer goods</t>
  </si>
  <si>
    <t>methanol-adjusted Open Loop recycling rates from packaging and consummer goods</t>
  </si>
  <si>
    <t>methanol-adjusted Overall recycling rates from packaging and consummer goods</t>
  </si>
  <si>
    <t>% methanol-adjusted recycling rate of Packaging and consummer goods to textile (via Open loop)</t>
  </si>
  <si>
    <t>% methanol-adjusted recycling rate of Packaging and consummer goods to other (via Open Loop)</t>
  </si>
  <si>
    <t>% methanol-adjusted recycling rate of Packaging and consummer goods to construction (via Open Loop)</t>
  </si>
  <si>
    <t>7.5% of PU and other plastics are mechanically recycled (compared to the average of 26%), ODI &amp; Plastics Europe https://www.plasticseurope.org/application/files/6315/5730/5565/BC_Table.pdf assumed increasing to 70% linearly by 2050</t>
  </si>
  <si>
    <t>methanol adjusted construction recycling rate</t>
  </si>
  <si>
    <t>OVERALL methanol-DERIVED RECYCLING RATES</t>
  </si>
  <si>
    <t>Methanol recycling volumes</t>
  </si>
  <si>
    <t>Methanol recycling rates volumes (BAU)</t>
  </si>
  <si>
    <t>Baseline - RTS Core</t>
  </si>
  <si>
    <t>Source/note</t>
  </si>
  <si>
    <t>Web-Digitizer</t>
  </si>
  <si>
    <t>Year</t>
  </si>
  <si>
    <t>Methanol Demand</t>
  </si>
  <si>
    <t>Methanol IEA</t>
  </si>
  <si>
    <t>IEA Reference technology scenario (core)</t>
  </si>
  <si>
    <t>Ref</t>
  </si>
  <si>
    <t>Methanol IEA interpolate</t>
  </si>
  <si>
    <t>Methanol IEA excl. IEA MTO</t>
  </si>
  <si>
    <t>CTS Core</t>
  </si>
  <si>
    <t>Methanol MMSA</t>
  </si>
  <si>
    <t>MMSA (see other sheet)</t>
  </si>
  <si>
    <t>CTS High</t>
  </si>
  <si>
    <t>Methanol MMSA excl. MTO</t>
  </si>
  <si>
    <t>RTS Core</t>
  </si>
  <si>
    <t>Suggested baseline</t>
  </si>
  <si>
    <t>Use historic MMSA data and interpolate towards 2030 IEA data and use IEA data thereafter; ignore 2025 data</t>
  </si>
  <si>
    <t>RTS High</t>
  </si>
  <si>
    <t>Suggested baseline MTO demand</t>
  </si>
  <si>
    <t>Use historic MMSA data and interpolate towards 2050 IEA data; ignore 2030 number</t>
  </si>
  <si>
    <t>Suggested baseline excl MTO demand</t>
  </si>
  <si>
    <t>used before: mixed methanol demand incl MTO from IEA and MMSA</t>
  </si>
  <si>
    <t>IEA Reference technology scenario (=BAU) Project Demand for 2015 and 2025 onwards. Rest from MMSA; 2021 = estimated</t>
  </si>
  <si>
    <t>Difference IEA excl. MTO - MMSA excl. MTO</t>
  </si>
  <si>
    <t>Difference IEA vs. MMSA overall demand</t>
  </si>
  <si>
    <t>IEA RTS data on MTO</t>
  </si>
  <si>
    <t>2017e</t>
  </si>
  <si>
    <t>IEA, Future of Petrochemicals, Appendix, page 14</t>
  </si>
  <si>
    <t xml:space="preserve">MTO/MTA in t HVC </t>
  </si>
  <si>
    <t>MMSA MTO in t Methanol</t>
  </si>
  <si>
    <t>t MeOH / t ethylene by stochiometry</t>
  </si>
  <si>
    <t>"2.28 tons of methanol are required per ton of ethylene".
Note that this is also in line with Table 1 in Jasper paper (https://www.mdpi.com/2227-9717/3/3/684), where 1560 kt/annum methanol gives 386 kt/annum propylene and 214 kt/annum ethylene. 1560 tonnes * (214/(214+386)) proportion of total product = 556 tonnes methanol went to ethylene. 556/214 = 2.6 t methanol/t ethylene.</t>
  </si>
  <si>
    <t>https://cefic.org/app/uploads/2019/01/Low-carbon-energy-and-feedstock-for-the-chemical-industry-DECHEMA_Report-energy_climate.pdf</t>
  </si>
  <si>
    <t>calculate Methanol Demand for MTO (t MeOH)</t>
  </si>
  <si>
    <t>Methanol MTO demand (interpolate linearly)</t>
  </si>
  <si>
    <t>Fuel demand MMSA</t>
  </si>
  <si>
    <t>Methanol Demand 2020</t>
  </si>
  <si>
    <t>PU</t>
  </si>
  <si>
    <t>Other polymers</t>
  </si>
  <si>
    <t>Sum of polymers</t>
  </si>
  <si>
    <t>Total Methanol Demand (2020) Mt</t>
  </si>
  <si>
    <t>Methanol Share</t>
  </si>
  <si>
    <t>Total plus others and fuel</t>
  </si>
  <si>
    <t>Automotive (Plastic)</t>
  </si>
  <si>
    <t>Other polymer use sector</t>
  </si>
  <si>
    <t>Automotive (Fuel)</t>
  </si>
  <si>
    <t>Other non-polymer use sector</t>
  </si>
  <si>
    <t>Interior</t>
  </si>
  <si>
    <t>Exterior</t>
  </si>
  <si>
    <t>Under the hood</t>
  </si>
  <si>
    <t>Electric/light</t>
  </si>
  <si>
    <t>Ethylene in Transportation</t>
  </si>
  <si>
    <t>Methanol Demand IEA for files</t>
  </si>
  <si>
    <t>Fuel Demand WEO 2017</t>
  </si>
  <si>
    <t>LCV</t>
  </si>
  <si>
    <t>MFT</t>
  </si>
  <si>
    <t>HFT</t>
  </si>
  <si>
    <t>methanol-adjusted Closed Loop recycling rates from tranportation</t>
  </si>
  <si>
    <t>methanol-adjusted Open Loop recycling rates from transportation</t>
  </si>
  <si>
    <t>methanol-adjusted Overall recycling rates from transportation</t>
  </si>
  <si>
    <t>methanol-adjusted % recycling rate of Automotive to construction (via Open loop)</t>
  </si>
  <si>
    <t>methanol adjusted % recycling rate of Automotive to packaging and consummer goods (via Open Loop)</t>
  </si>
  <si>
    <t>methanol adjusted % recycling rate of Automotive to others</t>
  </si>
  <si>
    <t>methanol-adjusted % recycling rate of Apparel to construction (via Open loop)</t>
  </si>
  <si>
    <t>methanol adjusted % recycling rate of Apparel to others</t>
  </si>
  <si>
    <t>OTHERs</t>
  </si>
  <si>
    <t>Add. Closed Loop</t>
  </si>
  <si>
    <t>OL - to textiles</t>
  </si>
  <si>
    <t>OL - to others</t>
  </si>
  <si>
    <t>OL - to construction</t>
  </si>
  <si>
    <t>Add. OL - to textiles</t>
  </si>
  <si>
    <t>Add. OL - to others</t>
  </si>
  <si>
    <t>Add. OL - to construction</t>
  </si>
  <si>
    <t>OL - to packaging</t>
  </si>
  <si>
    <t>Add. OL - to packaging</t>
  </si>
  <si>
    <t>OL - to automotive</t>
  </si>
  <si>
    <t>Add. OL - to automotive</t>
  </si>
  <si>
    <t>% methanol-adjusted recycling rate of Packaging and consummer goods to automotive (via Open Loop)</t>
  </si>
  <si>
    <t>CAGRs from Olefin work; assumption for others and fuel to tweak to get to 182 in cell AN 25 in the Yearly HC Methanol sheet</t>
  </si>
  <si>
    <t>methanol adjusted actual recycling TOTAL</t>
  </si>
  <si>
    <t>methanol adjusted sent to recycling TOTAL</t>
  </si>
  <si>
    <t>methanol adjusted sent to recycling from unformal</t>
  </si>
  <si>
    <t>methanol adjusted sent to recycling from MRF</t>
  </si>
  <si>
    <t>methanol adjusted sent to MRF TOTAL</t>
  </si>
  <si>
    <t>methanol adjusted sent to MRF from sorted at source</t>
  </si>
  <si>
    <t>methanol adjusted sent to MRF from mixed waste</t>
  </si>
  <si>
    <t>methanol adjusted losses from MRF, unformal and recycling</t>
  </si>
  <si>
    <t>methanol-adjusted mixed waste to disposal</t>
  </si>
  <si>
    <t>Methanol (fuel)</t>
  </si>
  <si>
    <t>Methanol - R</t>
  </si>
  <si>
    <t>Methanol - S</t>
  </si>
  <si>
    <t>% change others</t>
  </si>
  <si>
    <t>%change methanol</t>
  </si>
  <si>
    <t>Open Loop Recycling from Apparel</t>
  </si>
  <si>
    <t>HIGH CIRCULARITY</t>
  </si>
  <si>
    <t>LOW CIRCULARITY</t>
  </si>
  <si>
    <t>% methanol in PET</t>
  </si>
  <si>
    <t>Classification 2.0</t>
  </si>
  <si>
    <t>Major pol</t>
  </si>
  <si>
    <t>other</t>
  </si>
  <si>
    <t>Final or intermediate</t>
  </si>
  <si>
    <t>F</t>
  </si>
  <si>
    <t>I</t>
  </si>
  <si>
    <t>Post R&amp;S and Recycling and chem. Recycling Propylene Demand</t>
  </si>
  <si>
    <t>p-Xylene</t>
  </si>
  <si>
    <t>o-Xylene</t>
  </si>
  <si>
    <t>m-Xylene</t>
  </si>
  <si>
    <t>From Peter Levi / J. Cullen paper: https://pubs.acs.org/doi/suppl/10.1021/acs.est.7b04573/suppl_file/es7b04573_si_001.pdf</t>
  </si>
  <si>
    <t>Benzene Tiers 1 chemicals</t>
  </si>
  <si>
    <t>Source : for 2021 https://mcgroup.co.uk/researches/benzene</t>
  </si>
  <si>
    <t>Ehtyl benzene</t>
  </si>
  <si>
    <t>Cyclohexane</t>
  </si>
  <si>
    <t>Total volumes 2020</t>
  </si>
  <si>
    <t>% ethylene in ehtyl-benzene</t>
  </si>
  <si>
    <t>% benzene in ethyl-benzene</t>
  </si>
  <si>
    <t>Calculated based on ethylene - from source number is 52.1% which is ok</t>
  </si>
  <si>
    <t>% propylene in cumene</t>
  </si>
  <si>
    <t>% benzene in cumene</t>
  </si>
  <si>
    <t>Calculated based on propylene - from source number is 18.9% which is not great but not use for the model</t>
  </si>
  <si>
    <t>Mass balance assumptions</t>
  </si>
  <si>
    <t>https://marketersmedia.com/toluene-market-global-price-trend-2019-demand-overview-report-size-estimation-industry-share-business-opportunity-and-growth-forecast-2023/467668</t>
  </si>
  <si>
    <t>https://icrowdnewswire.com/2020/07/07/paraxylene-market-top-companies-business-application-growth-driver-price-trends-covid-19-outbreak-and-forecast-2025/</t>
  </si>
  <si>
    <t>Toluene - Tiers 1 chemicals</t>
  </si>
  <si>
    <t>Toluene diisocyanate</t>
  </si>
  <si>
    <t>Conversion to B and X</t>
  </si>
  <si>
    <t>Toluene as solvent</t>
  </si>
  <si>
    <t>Toluene for gasoline blend</t>
  </si>
  <si>
    <t>https://www.mordorintelligence.com/industry-reports/toluene-diisocyanate-market</t>
  </si>
  <si>
    <t>p-Xylene - Tiers 1 chemicals</t>
  </si>
  <si>
    <t>% ethylene in PET</t>
  </si>
  <si>
    <t>% Methanol in PET</t>
  </si>
  <si>
    <t>% xylene in PET</t>
  </si>
  <si>
    <t>% others in PET</t>
  </si>
  <si>
    <t>1 unit of PET C10H8O4</t>
  </si>
  <si>
    <t>--&gt; come from oxygene</t>
  </si>
  <si>
    <t>--&gt; calculated from ethylene (external source says 80/20 split which is ok)</t>
  </si>
  <si>
    <t>o-Xylene - Tiers 1 chemicals</t>
  </si>
  <si>
    <t>Phtalic Anhydride</t>
  </si>
  <si>
    <t>Bactericides</t>
  </si>
  <si>
    <t>Oil Additives</t>
  </si>
  <si>
    <t>Xylidine</t>
  </si>
  <si>
    <t>Solvents</t>
  </si>
  <si>
    <t>https://www.mordorintelligence.com/industry-reports/ortho-xylene-market</t>
  </si>
  <si>
    <t>Plasticizer</t>
  </si>
  <si>
    <t>Flame retardant</t>
  </si>
  <si>
    <t>Dyes/pigments</t>
  </si>
  <si>
    <t>Isophthalic acid</t>
  </si>
  <si>
    <t>Isophthalic Acid</t>
  </si>
  <si>
    <t>Polyester resins</t>
  </si>
  <si>
    <t>Alkyd resin</t>
  </si>
  <si>
    <t>m-Xylene - Tiers 1 chemicals</t>
  </si>
  <si>
    <t>PET copolymers</t>
  </si>
  <si>
    <t>Polyamide</t>
  </si>
  <si>
    <t>Adhesives</t>
  </si>
  <si>
    <t>https://marketersmedia.com/phthalic-anhydride-market-size-industry-survey-competitive-trends-outlook-and-forecasts-2019-to-2023/88920301</t>
  </si>
  <si>
    <t xml:space="preserve">  </t>
  </si>
  <si>
    <t>https://www.mordorintelligence.com/industry-reports/meta-xylene-market</t>
  </si>
  <si>
    <t>https://www.marketintellica.com/report/MI19276-purifed-isophthalic-acid-market-research-global</t>
  </si>
  <si>
    <t>DMI</t>
  </si>
  <si>
    <t>https://mcgroup.co.uk/researches/aniline</t>
  </si>
  <si>
    <t>% benzene in PUR</t>
  </si>
  <si>
    <t>PUR - MDI</t>
  </si>
  <si>
    <t>PUR - TDI</t>
  </si>
  <si>
    <t>90% of PUR is made from polyether alcohol</t>
  </si>
  <si>
    <t>from propylene</t>
  </si>
  <si>
    <t>from ethylene</t>
  </si>
  <si>
    <t>% benzene in MDI</t>
  </si>
  <si>
    <t>% methanol in MDI</t>
  </si>
  <si>
    <t>% others in MDI</t>
  </si>
  <si>
    <t>t aniline / t MDI</t>
  </si>
  <si>
    <t>t benzene / t nitrobenzene</t>
  </si>
  <si>
    <t>t nitrobenzene / t aniline</t>
  </si>
  <si>
    <t>MDI mass</t>
  </si>
  <si>
    <t>TDI mass</t>
  </si>
  <si>
    <t>% toluene in TDI</t>
  </si>
  <si>
    <t>% others</t>
  </si>
  <si>
    <t>Global polyurethane production</t>
  </si>
  <si>
    <t>Calculated based on methanol MDI production - from source number is 9.3% which is not great but ok</t>
  </si>
  <si>
    <t>to account for other alcohol used (i.e. 1,4-butanediol)</t>
  </si>
  <si>
    <t>to account for other isocyante used</t>
  </si>
  <si>
    <t>Global polyurethane production from model</t>
  </si>
  <si>
    <t>TRIANGULATION PUR</t>
  </si>
  <si>
    <t>Demand by polymer type</t>
  </si>
  <si>
    <t>Toulene</t>
  </si>
  <si>
    <t>DMT to others</t>
  </si>
  <si>
    <t>DMT to PBT</t>
  </si>
  <si>
    <t>Source DMT: https://www.marketintellica.com/report/MI44945-dimethyl-terephthalate-dmt-market-research-global</t>
  </si>
  <si>
    <t>% benzene per polymer</t>
  </si>
  <si>
    <t>% toluene in PUR</t>
  </si>
  <si>
    <t>% x in minor polymers</t>
  </si>
  <si>
    <t>Sum of minor polymers</t>
  </si>
  <si>
    <t>Post R&amp;S and Recycling and chem. Recycling Methanol Demand</t>
  </si>
  <si>
    <t>Post R&amp;S and Recycling and chem. Recycling Methanol Demand (plus MTO in 2020, excl after)</t>
  </si>
  <si>
    <t>Series 1</t>
  </si>
  <si>
    <t>Chemical recycling</t>
  </si>
  <si>
    <t>2050 Net Zero + Circular</t>
  </si>
  <si>
    <t>Demand 2020 (excl. MTO)</t>
  </si>
  <si>
    <t>Demand growth by 2050 (excl. MTO)</t>
  </si>
  <si>
    <t>Demand Business As Usual 2050 (excl. MTO)</t>
  </si>
  <si>
    <t>Additional MTO growth by 2050</t>
  </si>
  <si>
    <t>2050 Demand</t>
  </si>
  <si>
    <t>R&amp;S Transportation</t>
  </si>
  <si>
    <t>R&amp;S packaging and HH Goods</t>
  </si>
  <si>
    <t>R&amp;S buildings and construction</t>
  </si>
  <si>
    <t>R&amp;S Others</t>
  </si>
  <si>
    <t>BTX</t>
  </si>
  <si>
    <t>Baseline BTX Production (total)</t>
  </si>
  <si>
    <t>Xylenes</t>
  </si>
  <si>
    <t>Post Toluene Conversion</t>
  </si>
  <si>
    <t>Pre Toluene Conversion</t>
  </si>
  <si>
    <t>Pre Toluene Conversion --&gt; to be used for Supply model</t>
  </si>
  <si>
    <t>Post Toluene Conversion --&gt; to be used for Demand model</t>
  </si>
  <si>
    <t>Differenc eof 1.2mT between Pre and post due to the formation of by-products</t>
  </si>
  <si>
    <t>Table S11 and S12</t>
  </si>
  <si>
    <t>m-Xylene adjusted so it is only produced from Cracker so difference rise to 3mT</t>
  </si>
  <si>
    <t>% Benzene</t>
  </si>
  <si>
    <t>% Toluene</t>
  </si>
  <si>
    <t>% Xylenes</t>
  </si>
  <si>
    <t>% Butadiene</t>
  </si>
  <si>
    <t>None</t>
  </si>
  <si>
    <t>Assuming only benzene contribution is PUR (so 25% of polymer composite is PUR and 50% of PUR is benzene)</t>
  </si>
  <si>
    <t>Assuming only xylene contribution is PET (so 25% of polymer composite is PET and 52% of PET is Xylene)</t>
  </si>
  <si>
    <t>Additional Benzene demand</t>
  </si>
  <si>
    <t>Additional xylene demand</t>
  </si>
  <si>
    <t>% Toluene per polymer</t>
  </si>
  <si>
    <t>% Xylenes per polymer</t>
  </si>
  <si>
    <t>DMT split is 50:50</t>
  </si>
  <si>
    <t>Toluene conversion</t>
  </si>
  <si>
    <t xml:space="preserve">converted </t>
  </si>
  <si>
    <t>Conversion product</t>
  </si>
  <si>
    <t>assuming no PUR or PS fibres</t>
  </si>
  <si>
    <t>based on fibre production and 50% going to apparel</t>
  </si>
  <si>
    <t>Volumes -2020 (Mt xylenel)</t>
  </si>
  <si>
    <t>Volumes -2020 (Mt toluene)</t>
  </si>
  <si>
    <t>Volumes -2020 (Mt benzene)</t>
  </si>
  <si>
    <t>Benzene Shares</t>
  </si>
  <si>
    <t>Toluene Shares</t>
  </si>
  <si>
    <t>CAGR from BPW divided by 3</t>
  </si>
  <si>
    <t>CAGR from ODI divided by 3</t>
  </si>
  <si>
    <t>CAGR from Fashion on Climate divided by 3</t>
  </si>
  <si>
    <t>Xylene Shares</t>
  </si>
  <si>
    <t>% change Benzene</t>
  </si>
  <si>
    <t>% change Toluene</t>
  </si>
  <si>
    <t>% change Xylene</t>
  </si>
  <si>
    <t>Benzene - R</t>
  </si>
  <si>
    <t>Benzene - S</t>
  </si>
  <si>
    <t>Toluene - R</t>
  </si>
  <si>
    <t>Toluene - S</t>
  </si>
  <si>
    <t>Xylenes - R</t>
  </si>
  <si>
    <t>Xylenes - S</t>
  </si>
  <si>
    <t>BTX demand minus fuel</t>
  </si>
  <si>
    <t>R&amp;S Automotive</t>
  </si>
  <si>
    <t>Post R&amp;S BTX Production</t>
  </si>
  <si>
    <t>% BTX in packaging and consumer goods plastic waste</t>
  </si>
  <si>
    <t>% BTX in automotive plastic waste</t>
  </si>
  <si>
    <t>% BTX in construction plastic waste</t>
  </si>
  <si>
    <t>% BTX in apparel plastic waste</t>
  </si>
  <si>
    <t>% BTX in other plastic waste</t>
  </si>
  <si>
    <t>Max BTX-derived from packaging and consumer goods waste generation</t>
  </si>
  <si>
    <t>Max BTX-derived from Automotive waste generation</t>
  </si>
  <si>
    <t>Max BTX-derived from Construction waste generation</t>
  </si>
  <si>
    <t>Max BTX-derived from apparel waste generation</t>
  </si>
  <si>
    <t>Max BTX-derived from other waste generation</t>
  </si>
  <si>
    <t>Total BTX-derived plastic waste generated</t>
  </si>
  <si>
    <t>Total BTX-derived waste generation</t>
  </si>
  <si>
    <t>BTX R&amp;S reduction ratio for packaging production</t>
  </si>
  <si>
    <t>BTX R&amp;S reduction ratio for automotive production</t>
  </si>
  <si>
    <t>BTX R&amp;S reduction ratio for construction production</t>
  </si>
  <si>
    <t>BTX R&amp;S reduction ratio for apparel production</t>
  </si>
  <si>
    <t>BTX R&amp;S reduction ratio for other production</t>
  </si>
  <si>
    <t>BTX-derived packaging waste generation post R&amp;S</t>
  </si>
  <si>
    <t>BTX-derived Automotive waste generation  post R&amp;S</t>
  </si>
  <si>
    <t>BTX-derived Construction waste generation post R&amp;S</t>
  </si>
  <si>
    <t>BTX-derived Textile waste generation post R&amp;S</t>
  </si>
  <si>
    <t>BTX-derived other waste generation post R&amp;S</t>
  </si>
  <si>
    <t>Total BTX-derived waste geenration post R&amp;S</t>
  </si>
  <si>
    <t>Adjusting factor for BTX recycling rates</t>
  </si>
  <si>
    <t>BTX-adjusted Closed Loop recycling rates from packaging and consummer goods</t>
  </si>
  <si>
    <t>BTX-adjusted Open Loop recycling rates from packaging and consummer goods</t>
  </si>
  <si>
    <t>BTX-adjusted Overall recycling rates from packaging and consummer goods</t>
  </si>
  <si>
    <t>% BTX-adjusted recycling rate of Packaging and consummer goods to textile (via Open loop)</t>
  </si>
  <si>
    <t>% BTX-adjusted recycling rate of Packaging and consummer goods to other (via Open Loop)</t>
  </si>
  <si>
    <t>% BTX-adjusted recycling rate of Packaging and consummer goods to automotive (via Open Loop)</t>
  </si>
  <si>
    <t>% BTX-adjusted recycling rate of Packaging and consummer goods to construction (via Open Loop)</t>
  </si>
  <si>
    <t>BTX-adjusted Closed Loop recycling rates from tranportation</t>
  </si>
  <si>
    <t>BTX-adjusted Open Loop recycling rates from transportation</t>
  </si>
  <si>
    <t>BTX-adjusted Overall recycling rates from transportation</t>
  </si>
  <si>
    <t>BTX-adjusted % recycling rate of Automotive to construction (via Open loop)</t>
  </si>
  <si>
    <t>BTX adjusted % recycling rate of Automotive to packaging and consummer goods (via Open Loop)</t>
  </si>
  <si>
    <t>BTX adjusted % recycling rate of Automotive to others</t>
  </si>
  <si>
    <t>BTX-adjusted % recycling rate of Apparel to construction (via Open loop)</t>
  </si>
  <si>
    <t>BTX adjusted % recycling rate of Apparel to others</t>
  </si>
  <si>
    <t>BTX adjusted construction recycling rate</t>
  </si>
  <si>
    <t>OVERALL BTX-DERIVED RECYCLING RATES</t>
  </si>
  <si>
    <t>BTX recycling volumes</t>
  </si>
  <si>
    <t>BTX recycling rates volumes (BAU)</t>
  </si>
  <si>
    <t>BTX adjusted actual recycling TOTAL</t>
  </si>
  <si>
    <t>BTX adjusted sent to recycling TOTAL</t>
  </si>
  <si>
    <t>BTX adjusted sent to recycling from unformal</t>
  </si>
  <si>
    <t>BTX adjusted sent to recycling from MRF</t>
  </si>
  <si>
    <t>BTX adjusted sent to MRF TOTAL</t>
  </si>
  <si>
    <t>BTX adjusted sent to MRF from sorted at source</t>
  </si>
  <si>
    <t>BTX adjusted sent to MRF from mixed waste</t>
  </si>
  <si>
    <t>BTX adjusted losses from MRF, unformal and recycling</t>
  </si>
  <si>
    <t>BTX-adjusted mixed waste to disposal</t>
  </si>
  <si>
    <t>mT BTX</t>
  </si>
  <si>
    <t>OL - to Others</t>
  </si>
  <si>
    <t>Add. OL - to Others</t>
  </si>
  <si>
    <t>Combined  Ethylene and propylene</t>
  </si>
  <si>
    <t>2050 - HC</t>
  </si>
  <si>
    <t>Ethyelene</t>
  </si>
  <si>
    <t>Production</t>
  </si>
  <si>
    <t>Waste gen.</t>
  </si>
  <si>
    <t>Waste collected</t>
  </si>
  <si>
    <t>Waste sorted</t>
  </si>
  <si>
    <t>Recycled input</t>
  </si>
  <si>
    <t>Recycled output</t>
  </si>
  <si>
    <t>Recycled content</t>
  </si>
  <si>
    <t>Deivatives</t>
  </si>
  <si>
    <t>Ethylene Benzene</t>
  </si>
  <si>
    <t>Terephtalic acid</t>
  </si>
  <si>
    <t>Butadiene Tiers 1 chemicals</t>
  </si>
  <si>
    <t>1_butene Tiers 1 chemicals</t>
  </si>
  <si>
    <t>2_butene Tiers 1 chemicals</t>
  </si>
  <si>
    <t>Butane Tiers 1 chemicals</t>
  </si>
  <si>
    <t>Source : for 2020 https://www.mordorintelligence.com/industry-reports/butadiene-market</t>
  </si>
  <si>
    <t>Polybutadiene (PBR)</t>
  </si>
  <si>
    <t>Acrylonitrile Butadiene Styrene (ABS)</t>
  </si>
  <si>
    <t>Styrene-Butadiene (SBR)</t>
  </si>
  <si>
    <t>Styrene Butadiene Latex</t>
  </si>
  <si>
    <t>Adiponitrile</t>
  </si>
  <si>
    <t>Nitirle Rubber (AB NRB)</t>
  </si>
  <si>
    <t>Sulfolane</t>
  </si>
  <si>
    <t>Chloroprene</t>
  </si>
  <si>
    <t>Ethylidene Norbornene</t>
  </si>
  <si>
    <t>Polyethylene co-monomer</t>
  </si>
  <si>
    <t>Valeradehyde</t>
  </si>
  <si>
    <t>Polybutene-1</t>
  </si>
  <si>
    <t>1,2-butylene Oxide</t>
  </si>
  <si>
    <t>Isobutene Tiers 1 chemicals</t>
  </si>
  <si>
    <t>Source: https://www.factmr.com/report/3786/isobutylene-market</t>
  </si>
  <si>
    <t>Fuel additives</t>
  </si>
  <si>
    <t>Butyl rubber</t>
  </si>
  <si>
    <t>Chemical &amp; cosmetics</t>
  </si>
  <si>
    <t>Lubricant</t>
  </si>
  <si>
    <t>No data found given butane market is mostly driven by energy demand</t>
  </si>
  <si>
    <t>Source: for fuel addtivies levi/Cullen paper, for the rest 2014 https://prismaneconsulting.com/report_details/8/Global-Butene-1-Market-Study-Report,-2014---2030</t>
  </si>
  <si>
    <t xml:space="preserve">Fuel additives </t>
  </si>
  <si>
    <t>Source: for fuel addtivies levi/Cullen paper,</t>
  </si>
  <si>
    <t>No other data found</t>
  </si>
  <si>
    <t>1-Butene</t>
  </si>
  <si>
    <t>2-Butene</t>
  </si>
  <si>
    <t>Isobutene</t>
  </si>
  <si>
    <t>C4</t>
  </si>
  <si>
    <t>CAGR ethylene</t>
  </si>
  <si>
    <t>CAGR BTX</t>
  </si>
  <si>
    <t>C4 demand split</t>
  </si>
  <si>
    <t>Rubbers</t>
  </si>
  <si>
    <t>Others polymers</t>
  </si>
  <si>
    <t>According to global production numbers this should be ~15mT total (this is just the C4 portion!)</t>
  </si>
  <si>
    <t>Fuel additives (MTBE and ETBE)</t>
  </si>
  <si>
    <t>Volumes are ok according to other sources</t>
  </si>
  <si>
    <t>Rubber</t>
  </si>
  <si>
    <t>Source: https://marketersmedia.com/synthetic-rubber-market-production-demand-by-2023-lanxess-the-dow-chemical-company-versalis-spa-kumho-petrochemical-jsr-corporation/88922283</t>
  </si>
  <si>
    <t>C4 (fuel)</t>
  </si>
  <si>
    <t>% change C4 (=PE)</t>
  </si>
  <si>
    <t>C4 demand minus fuel</t>
  </si>
  <si>
    <t>% C4 in packaging and consumer goods plastic waste</t>
  </si>
  <si>
    <t>% C4 in automotive plastic waste</t>
  </si>
  <si>
    <t>% C4 in construction plastic waste</t>
  </si>
  <si>
    <t>% C4 in apparel plastic waste</t>
  </si>
  <si>
    <t>% C4 in other plastic waste</t>
  </si>
  <si>
    <t>Max C4-derived from packaging and consumer goods waste generation</t>
  </si>
  <si>
    <t>Max C4-derived from Automotive waste generation</t>
  </si>
  <si>
    <t>Max C4-derived from Construction waste generation</t>
  </si>
  <si>
    <t>Max C4-derived from apparel waste generation</t>
  </si>
  <si>
    <t>Max C4-derived from other waste generation</t>
  </si>
  <si>
    <t>Total C4-derived plastic waste generated</t>
  </si>
  <si>
    <t>Total C4-derived waste generation</t>
  </si>
  <si>
    <t>C4 R&amp;S reduction ratio for packaging production</t>
  </si>
  <si>
    <t>C4 R&amp;S reduction ratio for automotive production</t>
  </si>
  <si>
    <t>C4 R&amp;S reduction ratio for construction production</t>
  </si>
  <si>
    <t>C4 R&amp;S reduction ratio for apparel production</t>
  </si>
  <si>
    <t>C4 R&amp;S reduction ratio for other production</t>
  </si>
  <si>
    <t>C4-derived packaging waste generation post R&amp;S</t>
  </si>
  <si>
    <t>C4-derived Automotive waste generation  post R&amp;S</t>
  </si>
  <si>
    <t>C4-derived Construction waste generation post R&amp;S</t>
  </si>
  <si>
    <t>C4-derived Textile waste generation post R&amp;S</t>
  </si>
  <si>
    <t>C4-derived other waste generation post R&amp;S</t>
  </si>
  <si>
    <t>Total C4-derived waste geenration post R&amp;S</t>
  </si>
  <si>
    <t>Adjusting factor for C4 recycling rates</t>
  </si>
  <si>
    <t>C4-adjusted Closed Loop recycling rates from packaging and consummer goods</t>
  </si>
  <si>
    <t>C4-adjusted Open Loop recycling rates from packaging and consummer goods</t>
  </si>
  <si>
    <t>C4-adjusted Overall recycling rates from packaging and consummer goods</t>
  </si>
  <si>
    <t>% C4-adjusted recycling rate of Packaging and consummer goods to textile (via Open loop)</t>
  </si>
  <si>
    <t>% C4-adjusted recycling rate of Packaging and consummer goods to other (via Open Loop)</t>
  </si>
  <si>
    <t>% C4-adjusted recycling rate of Packaging and consummer goods to automotive (via Open Loop)</t>
  </si>
  <si>
    <t>% C4-adjusted recycling rate of Packaging and consummer goods to construction (via Open Loop)</t>
  </si>
  <si>
    <t>C4-adjusted Closed Loop recycling rates from tranportation</t>
  </si>
  <si>
    <t>C4-adjusted Open Loop recycling rates from transportation</t>
  </si>
  <si>
    <t>C4-adjusted Overall recycling rates from transportation</t>
  </si>
  <si>
    <t>C4-adjusted % recycling rate of Automotive to construction (via Open loop)</t>
  </si>
  <si>
    <t>C4 adjusted % recycling rate of Automotive to packaging and consummer goods (via Open Loop)</t>
  </si>
  <si>
    <t>C4 adjusted % recycling rate of Automotive to others</t>
  </si>
  <si>
    <t>C4-adjusted % recycling rate of Apparel to construction (via Open loop)</t>
  </si>
  <si>
    <t>C4 adjusted % recycling rate of Apparel to others</t>
  </si>
  <si>
    <t>C4 adjusted construction recycling rate</t>
  </si>
  <si>
    <t>OVERALL C4-DERIVED RECYCLING RATES</t>
  </si>
  <si>
    <t>C4 recycling volumes</t>
  </si>
  <si>
    <t>C4 recycling rates volumes (BAU)</t>
  </si>
  <si>
    <t>C4 adjusted actual recycling TOTAL</t>
  </si>
  <si>
    <t>C4 adjusted sent to recycling TOTAL</t>
  </si>
  <si>
    <t>C4 adjusted sent to recycling from unformal</t>
  </si>
  <si>
    <t>C4 adjusted sent to recycling from MRF</t>
  </si>
  <si>
    <t>C4 adjusted sent to MRF TOTAL</t>
  </si>
  <si>
    <t>C4 adjusted sent to MRF from sorted at source</t>
  </si>
  <si>
    <t>C4 adjusted sent to MRF from mixed waste</t>
  </si>
  <si>
    <t>C4 adjusted losses from MRF, unformal and recycling</t>
  </si>
  <si>
    <t>C4-adjusted mixed waste to disposal</t>
  </si>
  <si>
    <t>mT C4</t>
  </si>
  <si>
    <t>Overall comes from OECD, From CPA data EU state of Pay Collection and Sorting (infographics) https://ec.europa.eu/docsroom/documents/43694 p22</t>
  </si>
  <si>
    <t>Transportation numbers adjusted based on CPA numbers to account for low rubber content in this paper</t>
  </si>
  <si>
    <t>Assumption waste growth 2015-2020 from BPW</t>
  </si>
  <si>
    <t>Other (transportation)</t>
  </si>
  <si>
    <t>A category can be higher than 100% when atoms are lost i.e. Methanol the OH is typically not present in the end molecule</t>
  </si>
  <si>
    <t>Other (apparel)</t>
  </si>
  <si>
    <t>Butadienne</t>
  </si>
  <si>
    <t>Baseline Butadiene Production (total)</t>
  </si>
  <si>
    <t>Demand for C4</t>
  </si>
  <si>
    <t>Demand for Butadiene</t>
  </si>
  <si>
    <t>Butadiene demand split</t>
  </si>
  <si>
    <t>Recycling rate from https://www.goldsteinresearch.com/report/global-tire-recycling-industry-market-trends-analysis (100 millions/ 1 billion) the EPA says 18.2% in the US https://www.epa.gov/facts-and-figures-about-materials-waste-and-recycling/rubber-and-leather-material-specific-data</t>
  </si>
  <si>
    <t xml:space="preserve">https://www.goldsteinresearch.com/report/global-tire-recycling-industry-market-trends-analysis </t>
  </si>
  <si>
    <t>Assuming this is already only rubber</t>
  </si>
  <si>
    <t>Apparel adjusted to match waste gen</t>
  </si>
  <si>
    <r>
      <rPr>
        <b/>
        <u/>
        <sz val="11"/>
        <color theme="1"/>
        <rFont val="Calibri"/>
        <family val="2"/>
        <scheme val="minor"/>
      </rPr>
      <t>Plastic</t>
    </r>
    <r>
      <rPr>
        <b/>
        <sz val="11"/>
        <color theme="1"/>
        <rFont val="Calibri"/>
        <family val="2"/>
        <scheme val="minor"/>
      </rPr>
      <t xml:space="preserve"> Waste Generation Summary</t>
    </r>
  </si>
  <si>
    <t>Baseline plastic waste generation</t>
  </si>
  <si>
    <t>Total Managed</t>
  </si>
  <si>
    <t>BAU</t>
  </si>
  <si>
    <t>Total Mismanaged</t>
  </si>
  <si>
    <t>Energy Recovery</t>
  </si>
  <si>
    <t>Leakage Environment</t>
  </si>
  <si>
    <t>Leakage Ocean</t>
  </si>
  <si>
    <t>Chemical Recycling</t>
  </si>
  <si>
    <t>Energy Recovery breakdown</t>
  </si>
  <si>
    <t>S-Curve for technology ramp-up applied to deplzment of CCS</t>
  </si>
  <si>
    <t>Without CCS</t>
  </si>
  <si>
    <t>With CCS</t>
  </si>
  <si>
    <t>Post R&amp;S Butadiene Production</t>
  </si>
  <si>
    <t>Post R&amp;S and Recycling Butadiene Demand for PU &amp; other polymers &amp; other category</t>
  </si>
  <si>
    <t>Post R&amp;S and Recycling and chem. Recycling Butadiene Demand</t>
  </si>
  <si>
    <t>Post R&amp;S and Recycling BTX Demand for PU &amp; other polymers &amp; other category</t>
  </si>
  <si>
    <t>Post R&amp;S and Recycling and chem. Recycling BTX Demand</t>
  </si>
  <si>
    <t>Ethylene</t>
    <phoneticPr fontId="6"/>
  </si>
  <si>
    <t>Propylene</t>
    <phoneticPr fontId="6"/>
  </si>
  <si>
    <t>Basic Chemicals Total</t>
    <phoneticPr fontId="6"/>
  </si>
  <si>
    <t>Population</t>
    <phoneticPr fontId="3"/>
  </si>
  <si>
    <t>2019 consumption / ton</t>
  </si>
  <si>
    <t>Net Japan consumption</t>
  </si>
  <si>
    <t>Exports</t>
  </si>
  <si>
    <t>Produced domestically</t>
  </si>
  <si>
    <t>Imported</t>
  </si>
  <si>
    <t>Total Japan Demand</t>
  </si>
  <si>
    <t>Downstream exports share</t>
  </si>
  <si>
    <t>Downstream exports</t>
  </si>
  <si>
    <t>Japan net domestic consumption</t>
  </si>
  <si>
    <t>Total export</t>
  </si>
  <si>
    <t>IEA Global CAGR for ethylene/propylene</t>
  </si>
  <si>
    <t>Adjusted based on global %</t>
  </si>
  <si>
    <t>69% of PUR is from DMI based on global analysis</t>
  </si>
  <si>
    <t>31% of PUR is from TDI based on global analysis</t>
  </si>
  <si>
    <t>Total demand</t>
  </si>
  <si>
    <t>% growth capture by Japan</t>
  </si>
  <si>
    <t>Rationale, Japan will capture a % of the total market based on the share of the global industry it represents. So Ratio = Japan chemical volumes / global chemical volumes</t>
  </si>
  <si>
    <t>Japan net consumption</t>
  </si>
  <si>
    <t>For Japan</t>
  </si>
  <si>
    <t>Post</t>
  </si>
  <si>
    <t>Pre</t>
  </si>
  <si>
    <t>For Global only</t>
  </si>
  <si>
    <t>Sheet name</t>
  </si>
  <si>
    <t>Discription</t>
  </si>
  <si>
    <t xml:space="preserve">Yearly XX </t>
  </si>
  <si>
    <t>Yearly mass flow breakdown and demand evolution by chemical</t>
  </si>
  <si>
    <t>Yearly Demand XX</t>
  </si>
  <si>
    <t>Demand baseline assumptions per chemical</t>
  </si>
  <si>
    <t>Demand Breakdown</t>
  </si>
  <si>
    <t>Demand breakdown by sub chemicals &amp; applications</t>
  </si>
  <si>
    <t>Demand Solar/Wind</t>
  </si>
  <si>
    <t>Increased demand due to new use cases</t>
  </si>
  <si>
    <t>Demand Industry Shares</t>
  </si>
  <si>
    <t>Demand by sectors</t>
  </si>
  <si>
    <t>R&amp;S - XX</t>
  </si>
  <si>
    <t>Reduction and Substitution levers across different sectors</t>
  </si>
  <si>
    <t>XX - Recycling</t>
  </si>
  <si>
    <t>Recycling levers across different sectors</t>
  </si>
  <si>
    <t>XX - Recycling rates</t>
  </si>
  <si>
    <t>Recycling rates across different sectors</t>
  </si>
  <si>
    <t>Waste gen. - Industry shares</t>
  </si>
  <si>
    <t>Waste by different sectors</t>
  </si>
  <si>
    <t>Sankey XX</t>
  </si>
  <si>
    <t>Sankey of demand breakdown by chemical</t>
  </si>
  <si>
    <t>Numbers in Green are Japan specific assumptions/inputs</t>
  </si>
  <si>
    <t>Numbers in Blue are Global assumptions/inputs which were used where no data for Japan could be used</t>
  </si>
  <si>
    <t>Numbers in black are calculations/outputs</t>
  </si>
  <si>
    <t>This workbook calculates the demand side output data for chemicals produced in Japan and exported.</t>
  </si>
  <si>
    <t>In an effort to create this model with as much open-source data as possible, numerous simplifications and assumption had to be taken. These are tracked as far as possible, but a few sub-models that feed into this input workbook could not directly be included herein. This excel feeds the 'demand Map - Japan Total' which includes both data for chemicals produced in Japan and consumed in Japan (separate excel) and chemicals produced in Japan and exported (this excel).</t>
  </si>
  <si>
    <t>Sources:</t>
    <phoneticPr fontId="5"/>
  </si>
  <si>
    <t>Production Data</t>
    <phoneticPr fontId="5"/>
  </si>
  <si>
    <t>https://www.meti.go.jp/statistics/tyo/seidou/result/ichiran/08_seidou.html</t>
    <phoneticPr fontId="8"/>
  </si>
  <si>
    <t>https://www.meti.go.jp/statistics/tyo/seidou/result/ichiran/resourceData/02_kagaku/nenpo/h2dbb2019k.xls</t>
    <phoneticPr fontId="5"/>
  </si>
  <si>
    <t>経済産業省生産動態統計年報　化学工業統計編</t>
  </si>
  <si>
    <t>Chemical Industry Statistics</t>
  </si>
  <si>
    <t>Import/Export Data</t>
    <phoneticPr fontId="5"/>
  </si>
  <si>
    <t>https://www.customs.go.jp/toukei/search/futsu1.htm</t>
    <phoneticPr fontId="5"/>
  </si>
  <si>
    <t>https://www.customs.go.jp/toukei/sankou/code/GH201904i.html</t>
    <phoneticPr fontId="5"/>
  </si>
  <si>
    <t>https://www.customs.go.jp/tariff/2019_4/index.htm</t>
    <phoneticPr fontId="5"/>
  </si>
  <si>
    <t>https://www.customs.go.jp/toukei/srch/index.htm?M=35&amp;P=0</t>
    <phoneticPr fontId="5"/>
  </si>
  <si>
    <t>https://www.customs.go.jp/toukei/srch/index.htm?M=29&amp;P=0</t>
    <phoneticPr fontId="5"/>
  </si>
  <si>
    <t>-&gt; average across all exports-imports of polymers and other chemicals</t>
  </si>
  <si>
    <t>for BTX assuming import and exports are equally distributed according to production</t>
  </si>
  <si>
    <t>Breaking the Plastic Wave, The Pew Charitable Trusts, 2020</t>
  </si>
  <si>
    <t>Breaking the Plastic Wave, The Pew Charitable Trusts, 2021</t>
  </si>
  <si>
    <t>Breaking the Plastic Wave, The Pew Charitable Trusts, 2022</t>
  </si>
  <si>
    <t>Breaking the Plastic Wave, The Pew Charitable Trusts, 2023</t>
  </si>
  <si>
    <t>Breaking the Plastic Wave, The Pew Charitable Trusts, 2024</t>
  </si>
  <si>
    <t>Breaking the Plastic Wave, The Pew Charitable Trusts, 2025</t>
  </si>
  <si>
    <t>Breaking the Plastic Wave, The Pew Charitable Trusts, 2026</t>
  </si>
  <si>
    <t>Breaking the Plastic Wave, The Pew Charitable Trusts, 2027</t>
  </si>
  <si>
    <t>Breaking the Plastic Wave, The Pew Charitable Trusts, 2028</t>
  </si>
  <si>
    <t>Breaking the Plastic Wave, The Pew Charitable Trusts, 2029</t>
  </si>
  <si>
    <t>Breaking the Plastic Wave, The Pew Charitable Trusts, 2030</t>
  </si>
  <si>
    <t>Breaking the Plastic Wave, The Pew Charitable Trusts, 2031</t>
  </si>
  <si>
    <t>Breaking the Plastic Wave, The Pew Charitable Trusts, 2032</t>
  </si>
  <si>
    <t>Breaking the Plastic Wave, The Pew Charitable Trusts, 2033</t>
  </si>
  <si>
    <t>Breaking the Plastic Wave, The Pew Charitable Trusts, 2034</t>
  </si>
  <si>
    <t>Breaking the Plastic Wave, The Pew Charitable Trusts, 2035</t>
  </si>
  <si>
    <t>Breaking the Plastic Wave, The Pew Charitable Trusts, 2036</t>
  </si>
  <si>
    <t>Breaking the Plastic Wave, The Pew Charitable Trusts, 2037</t>
  </si>
  <si>
    <t>Breaking the Plastic Wave, The Pew Charitable Trusts, 2038</t>
  </si>
  <si>
    <t>Breaking the Plastic Wave, The Pew Charitable Trusts, 2039</t>
  </si>
  <si>
    <t>Breaking the Plastic Wave, The Pew Charitable Trusts, 2040</t>
  </si>
  <si>
    <t>Breaking the Plastic Wave, The Pew Charitable Trusts, 2041</t>
  </si>
  <si>
    <t>Breaking the Plastic Wave, The Pew Charitable Trusts, 2042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</si>
</sst>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43" formatCode="_(* #,##0.00_);_(* \(#,##0.00\);_(* &quot;-&quot;??_);_(@_)"/>
    <numFmt numFmtId="164" formatCode="_-* #,##0.00_-;\-* #,##0.00_-;_-* &quot;-&quot;??_-;_-@_-"/>
    <numFmt numFmtId="165" formatCode="0.0%"/>
    <numFmt numFmtId="166" formatCode="0.0"/>
    <numFmt numFmtId="167" formatCode="_-* #,##0_-;\-* #,##0_-;_-* &quot;-&quot;??_-;_-@_-"/>
    <numFmt numFmtId="168" formatCode="_-* #,##0.0_-;\-* #,##0.0_-;_-* &quot;-&quot;??_-;_-@_-"/>
    <numFmt numFmtId="169" formatCode="0.0000"/>
    <numFmt numFmtId="170" formatCode="0.000000"/>
    <numFmt numFmtId="171" formatCode="0.0000000000000000%"/>
    <numFmt numFmtId="172" formatCode="0.000000000000000%"/>
    <numFmt numFmtId="173" formatCode="_-* #,##0.0_-;\-* #,##0.0_-;_-* &quot;-&quot;?_-;_-@_-"/>
    <numFmt numFmtId="174" formatCode="#,##0.0"/>
    <numFmt numFmtId="175" formatCode="#,##0.000"/>
    <numFmt numFmtId="176" formatCode="0.000%"/>
    <numFmt numFmtId="177" formatCode="#,##0_ "/>
    <numFmt numFmtId="178" formatCode="_(* #,##0_);_(* \(#,##0\);_(* &quot;-&quot;??_);_(@_)"/>
  </numFmts>
  <fonts count="5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7"/>
      <color rgb="FF000000"/>
      <name val="Century Gothic"/>
      <family val="2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4472C4"/>
      <name val="Calibri"/>
      <family val="2"/>
      <scheme val="minor"/>
    </font>
    <font>
      <b/>
      <sz val="11"/>
      <color rgb="FF4472C4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4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0"/>
      <name val="Calibri"/>
      <family val="2"/>
      <scheme val="minor"/>
    </font>
    <font>
      <sz val="11"/>
      <color theme="8"/>
      <name val="Calibri"/>
      <family val="2"/>
      <scheme val="minor"/>
    </font>
    <font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sz val="11"/>
      <color theme="9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0"/>
      <color rgb="FF000000"/>
      <name val="Times New Roman"/>
      <family val="1"/>
    </font>
    <font>
      <i/>
      <sz val="10"/>
      <color rgb="FF000000"/>
      <name val="Times New Roman"/>
      <family val="1"/>
    </font>
    <font>
      <sz val="10"/>
      <color rgb="FF000000"/>
      <name val="Calibri"/>
      <family val="2"/>
      <scheme val="minor"/>
    </font>
    <font>
      <i/>
      <u/>
      <sz val="11"/>
      <color theme="10"/>
      <name val="Calibri"/>
      <family val="2"/>
      <scheme val="minor"/>
    </font>
    <font>
      <b/>
      <sz val="11"/>
      <color theme="4"/>
      <name val="Calibri"/>
      <family val="2"/>
      <scheme val="minor"/>
    </font>
    <font>
      <i/>
      <sz val="11"/>
      <name val="Calibri"/>
      <family val="2"/>
      <scheme val="minor"/>
    </font>
    <font>
      <b/>
      <i/>
      <sz val="11"/>
      <name val="Calibri"/>
      <family val="2"/>
      <scheme val="minor"/>
    </font>
    <font>
      <i/>
      <sz val="11"/>
      <color theme="4"/>
      <name val="Calibri"/>
      <family val="2"/>
      <scheme val="minor"/>
    </font>
    <font>
      <b/>
      <sz val="11"/>
      <color theme="8"/>
      <name val="Calibri"/>
      <family val="2"/>
      <scheme val="minor"/>
    </font>
    <font>
      <b/>
      <sz val="11"/>
      <color theme="9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202122"/>
      <name val="Arial"/>
      <family val="2"/>
    </font>
    <font>
      <vertAlign val="subscript"/>
      <sz val="11"/>
      <color rgb="FF202122"/>
      <name val="Arial"/>
      <family val="2"/>
    </font>
    <font>
      <sz val="10"/>
      <name val="Arial"/>
      <family val="2"/>
    </font>
    <font>
      <sz val="11"/>
      <color theme="1"/>
      <name val="Calibri"/>
      <family val="2"/>
    </font>
    <font>
      <sz val="11"/>
      <name val="Calibri"/>
      <family val="2"/>
    </font>
    <font>
      <b/>
      <sz val="11"/>
      <color rgb="FF000000"/>
      <name val="Calibri"/>
      <family val="2"/>
    </font>
    <font>
      <sz val="11"/>
      <color rgb="FF4472C4"/>
      <name val="Calibri"/>
      <family val="2"/>
    </font>
    <font>
      <sz val="11"/>
      <color rgb="FF000000"/>
      <name val="Calibri"/>
      <family val="2"/>
    </font>
    <font>
      <sz val="11"/>
      <color rgb="FF3C383A"/>
      <name val="Calibri"/>
      <family val="2"/>
      <scheme val="minor"/>
    </font>
    <font>
      <b/>
      <sz val="10"/>
      <name val="Arial"/>
      <family val="2"/>
    </font>
    <font>
      <b/>
      <u/>
      <sz val="11"/>
      <color theme="1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theme="1"/>
      <name val="Calibri"/>
      <family val="2"/>
      <charset val="128"/>
      <scheme val="minor"/>
    </font>
    <font>
      <b/>
      <sz val="11"/>
      <color rgb="FF0000FF"/>
      <name val="Calibri"/>
      <family val="3"/>
      <charset val="128"/>
      <scheme val="minor"/>
    </font>
    <font>
      <sz val="11"/>
      <color theme="1"/>
      <name val="Calibri"/>
      <family val="3"/>
      <charset val="128"/>
      <scheme val="minor"/>
    </font>
    <font>
      <b/>
      <sz val="11"/>
      <color theme="1"/>
      <name val="Calibri"/>
      <family val="3"/>
      <charset val="128"/>
      <scheme val="minor"/>
    </font>
    <font>
      <sz val="11"/>
      <color rgb="FF0000FF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</fills>
  <borders count="5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1">
    <xf numFmtId="0" fontId="0" fillId="0" borderId="0"/>
    <xf numFmtId="9" fontId="1" fillId="0" borderId="0" applyFont="0" applyFill="0" applyBorder="0" applyAlignment="0" applyProtection="0"/>
    <xf numFmtId="0" fontId="2" fillId="2" borderId="1" applyNumberFormat="0" applyAlignment="0" applyProtection="0"/>
    <xf numFmtId="0" fontId="4" fillId="0" borderId="0" applyNumberFormat="0" applyFill="0" applyBorder="0" applyAlignment="0" applyProtection="0"/>
    <xf numFmtId="0" fontId="8" fillId="0" borderId="0"/>
    <xf numFmtId="0" fontId="1" fillId="0" borderId="0"/>
    <xf numFmtId="9" fontId="1" fillId="0" borderId="0" applyFont="0" applyFill="0" applyBorder="0" applyAlignment="0" applyProtection="0"/>
    <xf numFmtId="0" fontId="8" fillId="0" borderId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38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48" fillId="0" borderId="0">
      <alignment vertical="center"/>
    </xf>
  </cellStyleXfs>
  <cellXfs count="740">
    <xf numFmtId="0" fontId="0" fillId="0" borderId="0" xfId="0"/>
    <xf numFmtId="0" fontId="3" fillId="0" borderId="0" xfId="0" applyFont="1"/>
    <xf numFmtId="9" fontId="0" fillId="0" borderId="0" xfId="1" applyFont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4" fillId="0" borderId="0" xfId="3"/>
    <xf numFmtId="9" fontId="0" fillId="0" borderId="0" xfId="0" applyNumberFormat="1"/>
    <xf numFmtId="0" fontId="5" fillId="0" borderId="0" xfId="0" applyFont="1"/>
    <xf numFmtId="9" fontId="3" fillId="0" borderId="0" xfId="0" applyNumberFormat="1" applyFont="1"/>
    <xf numFmtId="0" fontId="0" fillId="3" borderId="0" xfId="0" applyFill="1"/>
    <xf numFmtId="0" fontId="0" fillId="4" borderId="0" xfId="0" applyFill="1"/>
    <xf numFmtId="0" fontId="0" fillId="0" borderId="2" xfId="0" applyBorder="1"/>
    <xf numFmtId="0" fontId="3" fillId="0" borderId="3" xfId="0" applyFont="1" applyBorder="1"/>
    <xf numFmtId="0" fontId="0" fillId="0" borderId="4" xfId="0" applyBorder="1" applyAlignment="1">
      <alignment horizontal="left"/>
    </xf>
    <xf numFmtId="9" fontId="0" fillId="0" borderId="5" xfId="0" applyNumberFormat="1" applyBorder="1"/>
    <xf numFmtId="0" fontId="0" fillId="0" borderId="4" xfId="0" applyBorder="1"/>
    <xf numFmtId="0" fontId="0" fillId="0" borderId="6" xfId="0" applyBorder="1" applyAlignment="1">
      <alignment horizontal="left"/>
    </xf>
    <xf numFmtId="9" fontId="0" fillId="0" borderId="7" xfId="0" applyNumberFormat="1" applyBorder="1"/>
    <xf numFmtId="0" fontId="0" fillId="0" borderId="6" xfId="0" applyBorder="1"/>
    <xf numFmtId="0" fontId="6" fillId="4" borderId="0" xfId="0" applyFont="1" applyFill="1" applyAlignment="1">
      <alignment vertical="center"/>
    </xf>
    <xf numFmtId="9" fontId="4" fillId="0" borderId="0" xfId="3" applyNumberFormat="1"/>
    <xf numFmtId="9" fontId="2" fillId="2" borderId="1" xfId="2" applyNumberFormat="1"/>
    <xf numFmtId="165" fontId="0" fillId="0" borderId="0" xfId="1" applyNumberFormat="1" applyFont="1"/>
    <xf numFmtId="10" fontId="0" fillId="0" borderId="0" xfId="1" applyNumberFormat="1" applyFont="1"/>
    <xf numFmtId="1" fontId="0" fillId="0" borderId="0" xfId="0" applyNumberFormat="1"/>
    <xf numFmtId="1" fontId="3" fillId="0" borderId="0" xfId="0" applyNumberFormat="1" applyFont="1"/>
    <xf numFmtId="0" fontId="0" fillId="0" borderId="0" xfId="0" applyAlignment="1">
      <alignment horizontal="center" vertical="center" wrapText="1"/>
    </xf>
    <xf numFmtId="0" fontId="8" fillId="0" borderId="0" xfId="7" applyAlignment="1">
      <alignment horizontal="left"/>
    </xf>
    <xf numFmtId="0" fontId="3" fillId="0" borderId="8" xfId="0" applyFont="1" applyBorder="1"/>
    <xf numFmtId="0" fontId="3" fillId="0" borderId="9" xfId="0" applyFont="1" applyBorder="1"/>
    <xf numFmtId="9" fontId="3" fillId="0" borderId="9" xfId="1" applyFont="1" applyBorder="1"/>
    <xf numFmtId="0" fontId="3" fillId="0" borderId="13" xfId="0" applyFont="1" applyBorder="1"/>
    <xf numFmtId="9" fontId="3" fillId="0" borderId="14" xfId="0" applyNumberFormat="1" applyFont="1" applyBorder="1"/>
    <xf numFmtId="9" fontId="3" fillId="0" borderId="15" xfId="0" applyNumberFormat="1" applyFont="1" applyBorder="1"/>
    <xf numFmtId="0" fontId="3" fillId="0" borderId="10" xfId="0" applyFont="1" applyBorder="1" applyAlignment="1">
      <alignment horizontal="left"/>
    </xf>
    <xf numFmtId="1" fontId="0" fillId="0" borderId="11" xfId="0" applyNumberFormat="1" applyBorder="1" applyAlignment="1">
      <alignment horizontal="right"/>
    </xf>
    <xf numFmtId="1" fontId="3" fillId="0" borderId="12" xfId="0" applyNumberFormat="1" applyFont="1" applyBorder="1" applyAlignment="1">
      <alignment horizontal="right"/>
    </xf>
    <xf numFmtId="165" fontId="0" fillId="0" borderId="11" xfId="0" applyNumberFormat="1" applyBorder="1" applyAlignment="1">
      <alignment horizontal="right"/>
    </xf>
    <xf numFmtId="165" fontId="0" fillId="0" borderId="0" xfId="0" applyNumberFormat="1"/>
    <xf numFmtId="165" fontId="3" fillId="0" borderId="12" xfId="0" applyNumberFormat="1" applyFont="1" applyBorder="1" applyAlignment="1">
      <alignment horizontal="right"/>
    </xf>
    <xf numFmtId="2" fontId="0" fillId="0" borderId="0" xfId="0" applyNumberFormat="1"/>
    <xf numFmtId="166" fontId="0" fillId="0" borderId="0" xfId="0" applyNumberFormat="1"/>
    <xf numFmtId="0" fontId="0" fillId="0" borderId="16" xfId="0" applyBorder="1"/>
    <xf numFmtId="0" fontId="3" fillId="0" borderId="17" xfId="0" applyFont="1" applyBorder="1"/>
    <xf numFmtId="165" fontId="11" fillId="0" borderId="0" xfId="0" applyNumberFormat="1" applyFont="1"/>
    <xf numFmtId="9" fontId="10" fillId="0" borderId="0" xfId="0" applyNumberFormat="1" applyFont="1"/>
    <xf numFmtId="166" fontId="0" fillId="0" borderId="0" xfId="0" applyNumberFormat="1" applyAlignment="1">
      <alignment horizontal="right"/>
    </xf>
    <xf numFmtId="0" fontId="12" fillId="0" borderId="0" xfId="0" applyFont="1"/>
    <xf numFmtId="0" fontId="13" fillId="0" borderId="0" xfId="0" applyFont="1"/>
    <xf numFmtId="0" fontId="3" fillId="6" borderId="0" xfId="0" applyFont="1" applyFill="1"/>
    <xf numFmtId="0" fontId="0" fillId="6" borderId="0" xfId="0" applyFill="1"/>
    <xf numFmtId="0" fontId="14" fillId="0" borderId="0" xfId="0" applyFont="1"/>
    <xf numFmtId="9" fontId="13" fillId="0" borderId="0" xfId="0" applyNumberFormat="1" applyFont="1"/>
    <xf numFmtId="9" fontId="13" fillId="0" borderId="0" xfId="1" applyFont="1"/>
    <xf numFmtId="165" fontId="10" fillId="0" borderId="0" xfId="0" applyNumberFormat="1" applyFont="1"/>
    <xf numFmtId="0" fontId="3" fillId="0" borderId="18" xfId="0" applyFont="1" applyBorder="1"/>
    <xf numFmtId="0" fontId="14" fillId="0" borderId="18" xfId="0" applyFont="1" applyBorder="1"/>
    <xf numFmtId="166" fontId="0" fillId="0" borderId="18" xfId="0" applyNumberFormat="1" applyBorder="1"/>
    <xf numFmtId="0" fontId="0" fillId="0" borderId="0" xfId="0" applyAlignment="1">
      <alignment horizontal="left" indent="1"/>
    </xf>
    <xf numFmtId="0" fontId="3" fillId="0" borderId="19" xfId="0" applyFont="1" applyBorder="1"/>
    <xf numFmtId="0" fontId="15" fillId="0" borderId="19" xfId="0" applyFont="1" applyBorder="1"/>
    <xf numFmtId="0" fontId="15" fillId="0" borderId="0" xfId="0" applyFont="1"/>
    <xf numFmtId="0" fontId="0" fillId="0" borderId="18" xfId="0" applyBorder="1"/>
    <xf numFmtId="0" fontId="0" fillId="0" borderId="19" xfId="0" applyBorder="1"/>
    <xf numFmtId="0" fontId="3" fillId="7" borderId="0" xfId="0" applyFont="1" applyFill="1"/>
    <xf numFmtId="0" fontId="15" fillId="7" borderId="0" xfId="0" applyFont="1" applyFill="1"/>
    <xf numFmtId="166" fontId="3" fillId="7" borderId="0" xfId="0" applyNumberFormat="1" applyFont="1" applyFill="1"/>
    <xf numFmtId="0" fontId="8" fillId="0" borderId="0" xfId="3" applyFont="1"/>
    <xf numFmtId="0" fontId="3" fillId="0" borderId="20" xfId="0" applyFont="1" applyBorder="1"/>
    <xf numFmtId="1" fontId="0" fillId="0" borderId="21" xfId="0" applyNumberFormat="1" applyBorder="1"/>
    <xf numFmtId="1" fontId="0" fillId="0" borderId="20" xfId="0" applyNumberFormat="1" applyBorder="1"/>
    <xf numFmtId="10" fontId="13" fillId="0" borderId="0" xfId="0" applyNumberFormat="1" applyFont="1"/>
    <xf numFmtId="9" fontId="3" fillId="0" borderId="21" xfId="1" applyFont="1" applyBorder="1"/>
    <xf numFmtId="166" fontId="3" fillId="0" borderId="21" xfId="0" applyNumberFormat="1" applyFont="1" applyBorder="1"/>
    <xf numFmtId="9" fontId="3" fillId="0" borderId="22" xfId="1" applyFont="1" applyBorder="1"/>
    <xf numFmtId="166" fontId="3" fillId="0" borderId="22" xfId="0" applyNumberFormat="1" applyFont="1" applyBorder="1"/>
    <xf numFmtId="0" fontId="3" fillId="0" borderId="23" xfId="0" applyFont="1" applyBorder="1"/>
    <xf numFmtId="0" fontId="0" fillId="0" borderId="23" xfId="0" applyBorder="1"/>
    <xf numFmtId="0" fontId="16" fillId="0" borderId="23" xfId="0" applyFont="1" applyBorder="1" applyAlignment="1">
      <alignment horizontal="center"/>
    </xf>
    <xf numFmtId="167" fontId="13" fillId="0" borderId="0" xfId="8" applyNumberFormat="1" applyFont="1"/>
    <xf numFmtId="167" fontId="0" fillId="0" borderId="0" xfId="0" applyNumberFormat="1"/>
    <xf numFmtId="0" fontId="3" fillId="7" borderId="23" xfId="0" applyFont="1" applyFill="1" applyBorder="1"/>
    <xf numFmtId="0" fontId="15" fillId="7" borderId="23" xfId="0" applyFont="1" applyFill="1" applyBorder="1"/>
    <xf numFmtId="167" fontId="3" fillId="7" borderId="23" xfId="0" applyNumberFormat="1" applyFont="1" applyFill="1" applyBorder="1"/>
    <xf numFmtId="0" fontId="3" fillId="7" borderId="24" xfId="0" applyFont="1" applyFill="1" applyBorder="1"/>
    <xf numFmtId="0" fontId="15" fillId="7" borderId="24" xfId="0" applyFont="1" applyFill="1" applyBorder="1"/>
    <xf numFmtId="167" fontId="3" fillId="7" borderId="24" xfId="0" applyNumberFormat="1" applyFont="1" applyFill="1" applyBorder="1"/>
    <xf numFmtId="0" fontId="3" fillId="0" borderId="13" xfId="0" applyFont="1" applyBorder="1" applyAlignment="1">
      <alignment horizontal="left"/>
    </xf>
    <xf numFmtId="1" fontId="0" fillId="0" borderId="14" xfId="0" applyNumberFormat="1" applyBorder="1" applyAlignment="1">
      <alignment horizontal="right"/>
    </xf>
    <xf numFmtId="1" fontId="3" fillId="0" borderId="15" xfId="0" applyNumberFormat="1" applyFont="1" applyBorder="1" applyAlignment="1">
      <alignment horizontal="right"/>
    </xf>
    <xf numFmtId="0" fontId="3" fillId="0" borderId="25" xfId="0" applyFont="1" applyBorder="1"/>
    <xf numFmtId="9" fontId="3" fillId="0" borderId="21" xfId="0" applyNumberFormat="1" applyFont="1" applyBorder="1"/>
    <xf numFmtId="9" fontId="3" fillId="0" borderId="26" xfId="0" applyNumberFormat="1" applyFont="1" applyBorder="1"/>
    <xf numFmtId="166" fontId="0" fillId="6" borderId="0" xfId="0" applyNumberFormat="1" applyFill="1"/>
    <xf numFmtId="1" fontId="8" fillId="0" borderId="0" xfId="0" applyNumberFormat="1" applyFont="1"/>
    <xf numFmtId="0" fontId="15" fillId="0" borderId="18" xfId="0" applyFont="1" applyBorder="1"/>
    <xf numFmtId="166" fontId="3" fillId="0" borderId="18" xfId="0" applyNumberFormat="1" applyFont="1" applyBorder="1"/>
    <xf numFmtId="0" fontId="3" fillId="7" borderId="27" xfId="0" applyFont="1" applyFill="1" applyBorder="1"/>
    <xf numFmtId="0" fontId="15" fillId="7" borderId="27" xfId="0" applyFont="1" applyFill="1" applyBorder="1"/>
    <xf numFmtId="0" fontId="0" fillId="7" borderId="27" xfId="0" applyFill="1" applyBorder="1"/>
    <xf numFmtId="165" fontId="9" fillId="0" borderId="0" xfId="1" applyNumberFormat="1" applyFont="1"/>
    <xf numFmtId="167" fontId="0" fillId="0" borderId="0" xfId="8" applyNumberFormat="1" applyFont="1"/>
    <xf numFmtId="0" fontId="1" fillId="0" borderId="0" xfId="10"/>
    <xf numFmtId="0" fontId="17" fillId="0" borderId="0" xfId="0" applyFont="1"/>
    <xf numFmtId="165" fontId="8" fillId="0" borderId="0" xfId="1" applyNumberFormat="1" applyFont="1"/>
    <xf numFmtId="167" fontId="9" fillId="0" borderId="0" xfId="8" applyNumberFormat="1" applyFont="1"/>
    <xf numFmtId="0" fontId="14" fillId="0" borderId="0" xfId="0" applyFont="1" applyAlignment="1">
      <alignment horizontal="right"/>
    </xf>
    <xf numFmtId="165" fontId="18" fillId="0" borderId="0" xfId="1" applyNumberFormat="1" applyFont="1"/>
    <xf numFmtId="0" fontId="19" fillId="0" borderId="0" xfId="3" applyFont="1"/>
    <xf numFmtId="0" fontId="1" fillId="0" borderId="0" xfId="0" applyFont="1"/>
    <xf numFmtId="9" fontId="1" fillId="0" borderId="0" xfId="1" applyFont="1"/>
    <xf numFmtId="167" fontId="1" fillId="0" borderId="0" xfId="8" applyNumberFormat="1" applyFont="1"/>
    <xf numFmtId="165" fontId="3" fillId="0" borderId="0" xfId="0" applyNumberFormat="1" applyFont="1"/>
    <xf numFmtId="0" fontId="3" fillId="0" borderId="0" xfId="8" applyNumberFormat="1" applyFont="1"/>
    <xf numFmtId="9" fontId="1" fillId="0" borderId="0" xfId="0" applyNumberFormat="1" applyFont="1"/>
    <xf numFmtId="165" fontId="1" fillId="0" borderId="0" xfId="1" applyNumberFormat="1" applyFont="1"/>
    <xf numFmtId="9" fontId="18" fillId="0" borderId="0" xfId="1" applyFont="1"/>
    <xf numFmtId="9" fontId="18" fillId="0" borderId="0" xfId="0" applyNumberFormat="1" applyFont="1"/>
    <xf numFmtId="9" fontId="3" fillId="0" borderId="0" xfId="1" applyFont="1"/>
    <xf numFmtId="9" fontId="21" fillId="0" borderId="0" xfId="1" applyFont="1"/>
    <xf numFmtId="165" fontId="21" fillId="0" borderId="0" xfId="1" applyNumberFormat="1" applyFont="1"/>
    <xf numFmtId="9" fontId="8" fillId="0" borderId="0" xfId="1" applyFont="1"/>
    <xf numFmtId="167" fontId="8" fillId="0" borderId="0" xfId="8" applyNumberFormat="1" applyFont="1"/>
    <xf numFmtId="0" fontId="22" fillId="0" borderId="0" xfId="0" applyFont="1"/>
    <xf numFmtId="0" fontId="9" fillId="0" borderId="0" xfId="0" applyFont="1"/>
    <xf numFmtId="9" fontId="9" fillId="0" borderId="0" xfId="1" applyFont="1"/>
    <xf numFmtId="0" fontId="14" fillId="0" borderId="0" xfId="0" applyFont="1" applyAlignment="1">
      <alignment horizontal="right" wrapText="1"/>
    </xf>
    <xf numFmtId="0" fontId="0" fillId="0" borderId="0" xfId="0" applyAlignment="1">
      <alignment wrapText="1"/>
    </xf>
    <xf numFmtId="0" fontId="14" fillId="0" borderId="0" xfId="0" applyFont="1" applyAlignment="1">
      <alignment wrapText="1"/>
    </xf>
    <xf numFmtId="0" fontId="8" fillId="0" borderId="0" xfId="7" applyAlignment="1">
      <alignment horizontal="center" vertical="top" wrapText="1"/>
    </xf>
    <xf numFmtId="0" fontId="8" fillId="0" borderId="0" xfId="7"/>
    <xf numFmtId="0" fontId="24" fillId="0" borderId="0" xfId="7" applyFont="1" applyAlignment="1">
      <alignment horizontal="left" vertical="center" wrapText="1"/>
    </xf>
    <xf numFmtId="0" fontId="8" fillId="0" borderId="0" xfId="7" applyAlignment="1">
      <alignment horizontal="center" vertical="center" wrapText="1"/>
    </xf>
    <xf numFmtId="166" fontId="8" fillId="0" borderId="0" xfId="7" applyNumberFormat="1"/>
    <xf numFmtId="0" fontId="8" fillId="0" borderId="0" xfId="7" applyAlignment="1">
      <alignment wrapText="1"/>
    </xf>
    <xf numFmtId="0" fontId="3" fillId="0" borderId="0" xfId="0" applyFont="1" applyAlignment="1">
      <alignment vertical="center"/>
    </xf>
    <xf numFmtId="166" fontId="8" fillId="0" borderId="0" xfId="7" applyNumberFormat="1" applyAlignment="1">
      <alignment wrapText="1"/>
    </xf>
    <xf numFmtId="0" fontId="26" fillId="0" borderId="29" xfId="11" applyFont="1" applyBorder="1" applyAlignment="1">
      <alignment horizontal="left" vertical="top" wrapText="1"/>
    </xf>
    <xf numFmtId="0" fontId="24" fillId="0" borderId="28" xfId="11" applyFont="1" applyBorder="1" applyAlignment="1">
      <alignment horizontal="left" vertical="top" wrapText="1"/>
    </xf>
    <xf numFmtId="0" fontId="24" fillId="0" borderId="28" xfId="11" applyFont="1" applyBorder="1" applyAlignment="1">
      <alignment horizontal="left" vertical="top" wrapText="1" indent="1"/>
    </xf>
    <xf numFmtId="0" fontId="24" fillId="0" borderId="28" xfId="11" applyFont="1" applyBorder="1" applyAlignment="1">
      <alignment horizontal="center" vertical="top" wrapText="1"/>
    </xf>
    <xf numFmtId="0" fontId="24" fillId="0" borderId="28" xfId="11" applyFont="1" applyBorder="1" applyAlignment="1">
      <alignment horizontal="left" vertical="top" wrapText="1" indent="2"/>
    </xf>
    <xf numFmtId="0" fontId="24" fillId="0" borderId="28" xfId="11" applyFont="1" applyBorder="1" applyAlignment="1">
      <alignment horizontal="right" vertical="top" wrapText="1" indent="1"/>
    </xf>
    <xf numFmtId="0" fontId="8" fillId="0" borderId="28" xfId="11" applyFont="1" applyBorder="1" applyAlignment="1">
      <alignment horizontal="left" vertical="top" wrapText="1"/>
    </xf>
    <xf numFmtId="165" fontId="12" fillId="0" borderId="28" xfId="11" applyNumberFormat="1" applyFont="1" applyBorder="1" applyAlignment="1">
      <alignment horizontal="center" vertical="top" shrinkToFit="1"/>
    </xf>
    <xf numFmtId="0" fontId="27" fillId="0" borderId="28" xfId="11" applyFont="1" applyBorder="1" applyAlignment="1">
      <alignment horizontal="left" vertical="top" wrapText="1"/>
    </xf>
    <xf numFmtId="0" fontId="26" fillId="0" borderId="0" xfId="11" applyFont="1" applyAlignment="1">
      <alignment horizontal="left" vertical="top" wrapText="1"/>
    </xf>
    <xf numFmtId="0" fontId="28" fillId="0" borderId="0" xfId="3" applyFont="1"/>
    <xf numFmtId="165" fontId="8" fillId="0" borderId="0" xfId="1" applyNumberFormat="1" applyFont="1" applyFill="1"/>
    <xf numFmtId="9" fontId="13" fillId="0" borderId="0" xfId="0" applyNumberFormat="1" applyFont="1" applyAlignment="1">
      <alignment horizontal="right"/>
    </xf>
    <xf numFmtId="165" fontId="13" fillId="0" borderId="11" xfId="0" applyNumberFormat="1" applyFont="1" applyBorder="1" applyAlignment="1">
      <alignment horizontal="right"/>
    </xf>
    <xf numFmtId="0" fontId="3" fillId="0" borderId="0" xfId="0" applyFont="1" applyAlignment="1">
      <alignment horizontal="left"/>
    </xf>
    <xf numFmtId="1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1" fontId="3" fillId="0" borderId="0" xfId="0" applyNumberFormat="1" applyFont="1" applyAlignment="1">
      <alignment horizontal="right"/>
    </xf>
    <xf numFmtId="165" fontId="3" fillId="0" borderId="0" xfId="0" applyNumberFormat="1" applyFont="1" applyAlignment="1">
      <alignment horizontal="right"/>
    </xf>
    <xf numFmtId="165" fontId="8" fillId="0" borderId="0" xfId="1" applyNumberFormat="1" applyFont="1" applyFill="1" applyBorder="1"/>
    <xf numFmtId="165" fontId="0" fillId="0" borderId="0" xfId="1" applyNumberFormat="1" applyFont="1" applyBorder="1"/>
    <xf numFmtId="9" fontId="0" fillId="0" borderId="0" xfId="1" applyFont="1" applyBorder="1"/>
    <xf numFmtId="0" fontId="14" fillId="0" borderId="23" xfId="0" applyFont="1" applyBorder="1"/>
    <xf numFmtId="0" fontId="3" fillId="8" borderId="30" xfId="0" applyFont="1" applyFill="1" applyBorder="1"/>
    <xf numFmtId="9" fontId="29" fillId="8" borderId="31" xfId="0" applyNumberFormat="1" applyFont="1" applyFill="1" applyBorder="1"/>
    <xf numFmtId="0" fontId="3" fillId="8" borderId="31" xfId="0" applyFont="1" applyFill="1" applyBorder="1"/>
    <xf numFmtId="0" fontId="0" fillId="0" borderId="24" xfId="0" applyBorder="1"/>
    <xf numFmtId="9" fontId="14" fillId="0" borderId="0" xfId="0" applyNumberFormat="1" applyFont="1"/>
    <xf numFmtId="0" fontId="30" fillId="0" borderId="0" xfId="0" applyFont="1"/>
    <xf numFmtId="0" fontId="30" fillId="0" borderId="0" xfId="3" applyFont="1"/>
    <xf numFmtId="0" fontId="24" fillId="0" borderId="0" xfId="0" applyFont="1"/>
    <xf numFmtId="0" fontId="31" fillId="0" borderId="0" xfId="0" applyFont="1"/>
    <xf numFmtId="0" fontId="8" fillId="0" borderId="0" xfId="0" applyFont="1"/>
    <xf numFmtId="167" fontId="14" fillId="0" borderId="0" xfId="8" applyNumberFormat="1" applyFont="1"/>
    <xf numFmtId="9" fontId="0" fillId="0" borderId="4" xfId="0" applyNumberFormat="1" applyBorder="1"/>
    <xf numFmtId="9" fontId="1" fillId="0" borderId="0" xfId="1" applyFont="1" applyBorder="1"/>
    <xf numFmtId="0" fontId="3" fillId="0" borderId="30" xfId="0" applyFont="1" applyBorder="1"/>
    <xf numFmtId="0" fontId="3" fillId="0" borderId="31" xfId="0" applyFont="1" applyBorder="1" applyAlignment="1">
      <alignment wrapText="1"/>
    </xf>
    <xf numFmtId="168" fontId="3" fillId="0" borderId="31" xfId="8" applyNumberFormat="1" applyFont="1" applyBorder="1"/>
    <xf numFmtId="0" fontId="0" fillId="0" borderId="31" xfId="0" applyBorder="1"/>
    <xf numFmtId="0" fontId="3" fillId="0" borderId="33" xfId="0" applyFont="1" applyBorder="1"/>
    <xf numFmtId="0" fontId="3" fillId="0" borderId="27" xfId="0" applyFont="1" applyBorder="1"/>
    <xf numFmtId="0" fontId="15" fillId="0" borderId="27" xfId="0" applyFont="1" applyBorder="1"/>
    <xf numFmtId="0" fontId="0" fillId="0" borderId="27" xfId="0" applyBorder="1"/>
    <xf numFmtId="9" fontId="0" fillId="0" borderId="5" xfId="1" applyFont="1" applyBorder="1"/>
    <xf numFmtId="0" fontId="0" fillId="0" borderId="34" xfId="0" applyBorder="1"/>
    <xf numFmtId="0" fontId="14" fillId="0" borderId="34" xfId="0" applyFont="1" applyBorder="1"/>
    <xf numFmtId="9" fontId="8" fillId="0" borderId="34" xfId="1" applyFont="1" applyBorder="1"/>
    <xf numFmtId="167" fontId="14" fillId="0" borderId="34" xfId="8" applyNumberFormat="1" applyFont="1" applyBorder="1"/>
    <xf numFmtId="167" fontId="8" fillId="0" borderId="34" xfId="8" applyNumberFormat="1" applyFont="1" applyBorder="1"/>
    <xf numFmtId="0" fontId="3" fillId="0" borderId="34" xfId="0" applyFont="1" applyBorder="1"/>
    <xf numFmtId="165" fontId="0" fillId="0" borderId="18" xfId="1" applyNumberFormat="1" applyFont="1" applyBorder="1"/>
    <xf numFmtId="165" fontId="3" fillId="0" borderId="34" xfId="0" applyNumberFormat="1" applyFont="1" applyBorder="1"/>
    <xf numFmtId="0" fontId="0" fillId="0" borderId="0" xfId="0" applyAlignment="1">
      <alignment horizontal="center"/>
    </xf>
    <xf numFmtId="167" fontId="0" fillId="0" borderId="0" xfId="8" applyNumberFormat="1" applyFont="1" applyFill="1"/>
    <xf numFmtId="165" fontId="0" fillId="0" borderId="0" xfId="1" applyNumberFormat="1" applyFont="1" applyFill="1"/>
    <xf numFmtId="9" fontId="4" fillId="0" borderId="0" xfId="3" applyNumberFormat="1" applyFill="1"/>
    <xf numFmtId="9" fontId="0" fillId="0" borderId="0" xfId="1" applyFont="1" applyFill="1"/>
    <xf numFmtId="0" fontId="0" fillId="0" borderId="0" xfId="0" quotePrefix="1"/>
    <xf numFmtId="167" fontId="0" fillId="0" borderId="0" xfId="8" applyNumberFormat="1" applyFont="1" applyBorder="1"/>
    <xf numFmtId="0" fontId="32" fillId="0" borderId="0" xfId="0" applyFont="1"/>
    <xf numFmtId="0" fontId="14" fillId="0" borderId="0" xfId="0" applyFont="1" applyAlignment="1">
      <alignment horizontal="left"/>
    </xf>
    <xf numFmtId="165" fontId="30" fillId="0" borderId="0" xfId="3" applyNumberFormat="1" applyFont="1" applyAlignment="1">
      <alignment horizontal="left"/>
    </xf>
    <xf numFmtId="9" fontId="13" fillId="0" borderId="0" xfId="0" applyNumberFormat="1" applyFont="1" applyAlignment="1">
      <alignment horizontal="left"/>
    </xf>
    <xf numFmtId="165" fontId="13" fillId="0" borderId="0" xfId="1" applyNumberFormat="1" applyFont="1"/>
    <xf numFmtId="0" fontId="31" fillId="0" borderId="34" xfId="0" applyFont="1" applyBorder="1"/>
    <xf numFmtId="167" fontId="3" fillId="0" borderId="34" xfId="8" applyNumberFormat="1" applyFont="1" applyBorder="1"/>
    <xf numFmtId="0" fontId="3" fillId="0" borderId="34" xfId="10" applyFont="1" applyBorder="1"/>
    <xf numFmtId="9" fontId="3" fillId="0" borderId="34" xfId="1" applyFont="1" applyBorder="1"/>
    <xf numFmtId="0" fontId="15" fillId="0" borderId="34" xfId="0" applyFont="1" applyBorder="1"/>
    <xf numFmtId="0" fontId="3" fillId="0" borderId="0" xfId="10" applyFont="1"/>
    <xf numFmtId="165" fontId="3" fillId="0" borderId="34" xfId="1" applyNumberFormat="1" applyFont="1" applyBorder="1"/>
    <xf numFmtId="0" fontId="22" fillId="0" borderId="0" xfId="0" applyFont="1" applyAlignment="1">
      <alignment horizontal="left"/>
    </xf>
    <xf numFmtId="165" fontId="3" fillId="0" borderId="34" xfId="1" applyNumberFormat="1" applyFont="1" applyFill="1" applyBorder="1"/>
    <xf numFmtId="9" fontId="3" fillId="0" borderId="34" xfId="1" applyFont="1" applyFill="1" applyBorder="1"/>
    <xf numFmtId="0" fontId="3" fillId="0" borderId="34" xfId="0" quotePrefix="1" applyFont="1" applyBorder="1" applyAlignment="1">
      <alignment horizontal="left"/>
    </xf>
    <xf numFmtId="0" fontId="3" fillId="7" borderId="34" xfId="0" applyFont="1" applyFill="1" applyBorder="1"/>
    <xf numFmtId="0" fontId="31" fillId="7" borderId="34" xfId="0" applyFont="1" applyFill="1" applyBorder="1"/>
    <xf numFmtId="165" fontId="3" fillId="7" borderId="34" xfId="1" applyNumberFormat="1" applyFont="1" applyFill="1" applyBorder="1"/>
    <xf numFmtId="168" fontId="8" fillId="0" borderId="0" xfId="8" applyNumberFormat="1" applyFont="1"/>
    <xf numFmtId="0" fontId="14" fillId="0" borderId="34" xfId="0" applyFont="1" applyBorder="1" applyAlignment="1">
      <alignment horizontal="left"/>
    </xf>
    <xf numFmtId="0" fontId="28" fillId="0" borderId="0" xfId="3" applyFont="1" applyAlignment="1">
      <alignment horizontal="left"/>
    </xf>
    <xf numFmtId="164" fontId="8" fillId="0" borderId="0" xfId="1" applyNumberFormat="1" applyFont="1"/>
    <xf numFmtId="164" fontId="8" fillId="0" borderId="0" xfId="8" applyFont="1"/>
    <xf numFmtId="0" fontId="23" fillId="0" borderId="34" xfId="0" applyFont="1" applyBorder="1"/>
    <xf numFmtId="165" fontId="33" fillId="0" borderId="34" xfId="1" applyNumberFormat="1" applyFont="1" applyBorder="1"/>
    <xf numFmtId="165" fontId="34" fillId="0" borderId="34" xfId="1" applyNumberFormat="1" applyFont="1" applyBorder="1"/>
    <xf numFmtId="0" fontId="24" fillId="0" borderId="19" xfId="0" applyFont="1" applyBorder="1"/>
    <xf numFmtId="0" fontId="31" fillId="0" borderId="19" xfId="0" applyFont="1" applyBorder="1"/>
    <xf numFmtId="0" fontId="24" fillId="0" borderId="18" xfId="0" applyFont="1" applyBorder="1"/>
    <xf numFmtId="0" fontId="31" fillId="0" borderId="18" xfId="0" applyFont="1" applyBorder="1"/>
    <xf numFmtId="166" fontId="3" fillId="0" borderId="0" xfId="0" applyNumberFormat="1" applyFont="1"/>
    <xf numFmtId="169" fontId="0" fillId="0" borderId="0" xfId="0" applyNumberFormat="1"/>
    <xf numFmtId="164" fontId="0" fillId="0" borderId="0" xfId="0" applyNumberFormat="1"/>
    <xf numFmtId="165" fontId="3" fillId="0" borderId="31" xfId="1" applyNumberFormat="1" applyFont="1" applyBorder="1"/>
    <xf numFmtId="165" fontId="3" fillId="0" borderId="30" xfId="0" applyNumberFormat="1" applyFont="1" applyBorder="1"/>
    <xf numFmtId="9" fontId="0" fillId="0" borderId="32" xfId="0" applyNumberFormat="1" applyBorder="1"/>
    <xf numFmtId="168" fontId="8" fillId="0" borderId="0" xfId="8" applyNumberFormat="1" applyFont="1" applyBorder="1"/>
    <xf numFmtId="0" fontId="3" fillId="0" borderId="8" xfId="0" applyFont="1" applyBorder="1" applyAlignment="1">
      <alignment wrapText="1"/>
    </xf>
    <xf numFmtId="165" fontId="0" fillId="0" borderId="30" xfId="0" applyNumberFormat="1" applyBorder="1"/>
    <xf numFmtId="165" fontId="1" fillId="0" borderId="31" xfId="1" applyNumberFormat="1" applyFont="1" applyBorder="1"/>
    <xf numFmtId="165" fontId="0" fillId="0" borderId="32" xfId="0" applyNumberFormat="1" applyBorder="1"/>
    <xf numFmtId="0" fontId="3" fillId="0" borderId="30" xfId="0" applyFont="1" applyBorder="1" applyAlignment="1">
      <alignment wrapText="1"/>
    </xf>
    <xf numFmtId="0" fontId="3" fillId="0" borderId="32" xfId="0" applyFont="1" applyBorder="1" applyAlignment="1">
      <alignment wrapText="1"/>
    </xf>
    <xf numFmtId="164" fontId="0" fillId="0" borderId="0" xfId="8" applyFont="1"/>
    <xf numFmtId="9" fontId="8" fillId="0" borderId="0" xfId="0" applyNumberFormat="1" applyFont="1" applyAlignment="1">
      <alignment horizontal="right"/>
    </xf>
    <xf numFmtId="9" fontId="8" fillId="0" borderId="0" xfId="0" applyNumberFormat="1" applyFont="1"/>
    <xf numFmtId="0" fontId="3" fillId="0" borderId="0" xfId="0" applyFont="1" applyAlignment="1">
      <alignment vertical="center" wrapText="1"/>
    </xf>
    <xf numFmtId="164" fontId="0" fillId="0" borderId="4" xfId="8" applyFont="1" applyBorder="1"/>
    <xf numFmtId="168" fontId="0" fillId="0" borderId="0" xfId="8" applyNumberFormat="1" applyFont="1"/>
    <xf numFmtId="0" fontId="3" fillId="0" borderId="0" xfId="12" applyFont="1" applyAlignment="1">
      <alignment horizontal="center" vertical="center" wrapText="1"/>
    </xf>
    <xf numFmtId="164" fontId="0" fillId="0" borderId="30" xfId="8" applyFont="1" applyBorder="1"/>
    <xf numFmtId="2" fontId="8" fillId="0" borderId="0" xfId="7" applyNumberFormat="1" applyAlignment="1">
      <alignment wrapText="1"/>
    </xf>
    <xf numFmtId="170" fontId="8" fillId="0" borderId="0" xfId="7" applyNumberFormat="1" applyAlignment="1">
      <alignment wrapText="1"/>
    </xf>
    <xf numFmtId="171" fontId="0" fillId="0" borderId="0" xfId="0" applyNumberFormat="1"/>
    <xf numFmtId="172" fontId="0" fillId="0" borderId="0" xfId="0" applyNumberFormat="1"/>
    <xf numFmtId="166" fontId="0" fillId="0" borderId="0" xfId="0" quotePrefix="1" applyNumberFormat="1"/>
    <xf numFmtId="0" fontId="3" fillId="0" borderId="24" xfId="0" applyFont="1" applyBorder="1"/>
    <xf numFmtId="9" fontId="3" fillId="0" borderId="24" xfId="1" applyFont="1" applyBorder="1"/>
    <xf numFmtId="9" fontId="3" fillId="0" borderId="0" xfId="1" applyFont="1" applyBorder="1"/>
    <xf numFmtId="0" fontId="0" fillId="0" borderId="35" xfId="0" applyBorder="1" applyAlignment="1">
      <alignment horizontal="center"/>
    </xf>
    <xf numFmtId="164" fontId="13" fillId="0" borderId="0" xfId="0" applyNumberFormat="1" applyFont="1"/>
    <xf numFmtId="0" fontId="0" fillId="8" borderId="0" xfId="0" applyFill="1"/>
    <xf numFmtId="164" fontId="0" fillId="8" borderId="0" xfId="8" applyFont="1" applyFill="1"/>
    <xf numFmtId="0" fontId="13" fillId="4" borderId="0" xfId="0" applyFont="1" applyFill="1"/>
    <xf numFmtId="0" fontId="14" fillId="0" borderId="19" xfId="0" applyFont="1" applyBorder="1"/>
    <xf numFmtId="166" fontId="0" fillId="0" borderId="19" xfId="0" applyNumberFormat="1" applyBorder="1"/>
    <xf numFmtId="10" fontId="3" fillId="0" borderId="15" xfId="0" applyNumberFormat="1" applyFont="1" applyBorder="1"/>
    <xf numFmtId="165" fontId="13" fillId="0" borderId="0" xfId="0" applyNumberFormat="1" applyFont="1"/>
    <xf numFmtId="165" fontId="3" fillId="0" borderId="9" xfId="1" applyNumberFormat="1" applyFont="1" applyBorder="1"/>
    <xf numFmtId="0" fontId="24" fillId="0" borderId="0" xfId="11" applyFont="1" applyAlignment="1">
      <alignment horizontal="left" vertical="top" wrapText="1"/>
    </xf>
    <xf numFmtId="0" fontId="24" fillId="0" borderId="0" xfId="11" applyFont="1" applyAlignment="1">
      <alignment horizontal="left" vertical="top" wrapText="1" indent="1"/>
    </xf>
    <xf numFmtId="0" fontId="24" fillId="0" borderId="0" xfId="11" applyFont="1" applyAlignment="1">
      <alignment horizontal="center" vertical="top" wrapText="1"/>
    </xf>
    <xf numFmtId="0" fontId="24" fillId="0" borderId="0" xfId="11" applyFont="1" applyAlignment="1">
      <alignment horizontal="left" vertical="top" wrapText="1" indent="2"/>
    </xf>
    <xf numFmtId="0" fontId="24" fillId="0" borderId="0" xfId="11" applyFont="1" applyAlignment="1">
      <alignment horizontal="right" vertical="top" wrapText="1" indent="1"/>
    </xf>
    <xf numFmtId="10" fontId="0" fillId="0" borderId="0" xfId="1" applyNumberFormat="1" applyFont="1" applyBorder="1"/>
    <xf numFmtId="165" fontId="13" fillId="0" borderId="0" xfId="0" applyNumberFormat="1" applyFont="1" applyAlignment="1">
      <alignment horizontal="right"/>
    </xf>
    <xf numFmtId="10" fontId="3" fillId="0" borderId="0" xfId="0" applyNumberFormat="1" applyFont="1"/>
    <xf numFmtId="165" fontId="13" fillId="0" borderId="0" xfId="1" applyNumberFormat="1" applyFont="1" applyBorder="1"/>
    <xf numFmtId="165" fontId="3" fillId="0" borderId="0" xfId="1" applyNumberFormat="1" applyFont="1" applyBorder="1"/>
    <xf numFmtId="0" fontId="3" fillId="0" borderId="0" xfId="0" applyFont="1" applyAlignment="1">
      <alignment horizontal="center" vertical="center"/>
    </xf>
    <xf numFmtId="168" fontId="0" fillId="0" borderId="0" xfId="8" applyNumberFormat="1" applyFont="1" applyBorder="1"/>
    <xf numFmtId="168" fontId="24" fillId="0" borderId="0" xfId="8" applyNumberFormat="1" applyFont="1"/>
    <xf numFmtId="168" fontId="24" fillId="0" borderId="24" xfId="8" applyNumberFormat="1" applyFont="1" applyBorder="1"/>
    <xf numFmtId="0" fontId="14" fillId="0" borderId="0" xfId="0" applyFont="1" applyAlignment="1">
      <alignment horizontal="center"/>
    </xf>
    <xf numFmtId="0" fontId="23" fillId="0" borderId="18" xfId="0" applyFont="1" applyBorder="1"/>
    <xf numFmtId="168" fontId="24" fillId="0" borderId="18" xfId="8" applyNumberFormat="1" applyFont="1" applyBorder="1"/>
    <xf numFmtId="165" fontId="29" fillId="0" borderId="18" xfId="1" applyNumberFormat="1" applyFont="1" applyBorder="1"/>
    <xf numFmtId="0" fontId="3" fillId="0" borderId="18" xfId="0" applyFont="1" applyBorder="1" applyAlignment="1">
      <alignment horizontal="left"/>
    </xf>
    <xf numFmtId="0" fontId="0" fillId="0" borderId="37" xfId="0" applyBorder="1"/>
    <xf numFmtId="0" fontId="14" fillId="0" borderId="18" xfId="0" applyFont="1" applyBorder="1" applyAlignment="1">
      <alignment horizontal="center"/>
    </xf>
    <xf numFmtId="168" fontId="8" fillId="0" borderId="18" xfId="8" applyNumberFormat="1" applyFont="1" applyBorder="1"/>
    <xf numFmtId="0" fontId="0" fillId="0" borderId="38" xfId="0" applyBorder="1"/>
    <xf numFmtId="0" fontId="0" fillId="0" borderId="39" xfId="0" applyBorder="1"/>
    <xf numFmtId="0" fontId="14" fillId="0" borderId="19" xfId="0" applyFont="1" applyBorder="1" applyAlignment="1">
      <alignment horizontal="center"/>
    </xf>
    <xf numFmtId="168" fontId="8" fillId="0" borderId="19" xfId="8" applyNumberFormat="1" applyFont="1" applyBorder="1"/>
    <xf numFmtId="165" fontId="13" fillId="0" borderId="19" xfId="1" applyNumberFormat="1" applyFont="1" applyBorder="1"/>
    <xf numFmtId="0" fontId="0" fillId="0" borderId="19" xfId="0" applyBorder="1" applyAlignment="1">
      <alignment horizontal="left"/>
    </xf>
    <xf numFmtId="165" fontId="29" fillId="0" borderId="0" xfId="1" applyNumberFormat="1" applyFont="1" applyBorder="1"/>
    <xf numFmtId="165" fontId="8" fillId="0" borderId="0" xfId="1" applyNumberFormat="1" applyFont="1" applyBorder="1"/>
    <xf numFmtId="0" fontId="14" fillId="0" borderId="27" xfId="0" applyFont="1" applyBorder="1" applyAlignment="1">
      <alignment horizontal="center"/>
    </xf>
    <xf numFmtId="165" fontId="8" fillId="0" borderId="27" xfId="1" applyNumberFormat="1" applyFont="1" applyBorder="1"/>
    <xf numFmtId="165" fontId="29" fillId="0" borderId="27" xfId="1" applyNumberFormat="1" applyFont="1" applyBorder="1"/>
    <xf numFmtId="0" fontId="8" fillId="0" borderId="0" xfId="0" applyFont="1" applyAlignment="1">
      <alignment horizontal="left"/>
    </xf>
    <xf numFmtId="168" fontId="30" fillId="0" borderId="0" xfId="8" applyNumberFormat="1" applyFont="1"/>
    <xf numFmtId="168" fontId="8" fillId="0" borderId="0" xfId="8" applyNumberFormat="1" applyFont="1" applyAlignment="1">
      <alignment horizontal="left"/>
    </xf>
    <xf numFmtId="168" fontId="24" fillId="0" borderId="0" xfId="8" applyNumberFormat="1" applyFont="1" applyAlignment="1">
      <alignment horizontal="left"/>
    </xf>
    <xf numFmtId="164" fontId="8" fillId="0" borderId="0" xfId="8" applyFont="1" applyBorder="1"/>
    <xf numFmtId="9" fontId="8" fillId="0" borderId="0" xfId="8" applyNumberFormat="1" applyFont="1" applyBorder="1"/>
    <xf numFmtId="9" fontId="8" fillId="0" borderId="0" xfId="1" applyFont="1" applyBorder="1"/>
    <xf numFmtId="9" fontId="13" fillId="0" borderId="0" xfId="8" applyNumberFormat="1" applyFont="1"/>
    <xf numFmtId="1" fontId="13" fillId="0" borderId="0" xfId="8" applyNumberFormat="1" applyFont="1" applyFill="1" applyBorder="1"/>
    <xf numFmtId="9" fontId="13" fillId="0" borderId="0" xfId="1" applyFont="1" applyBorder="1"/>
    <xf numFmtId="165" fontId="1" fillId="0" borderId="0" xfId="1" applyNumberFormat="1" applyFont="1" applyBorder="1"/>
    <xf numFmtId="168" fontId="24" fillId="0" borderId="24" xfId="8" applyNumberFormat="1" applyFont="1" applyBorder="1" applyAlignment="1">
      <alignment horizontal="left"/>
    </xf>
    <xf numFmtId="168" fontId="31" fillId="0" borderId="24" xfId="8" applyNumberFormat="1" applyFont="1" applyBorder="1"/>
    <xf numFmtId="164" fontId="24" fillId="0" borderId="24" xfId="8" applyFont="1" applyBorder="1"/>
    <xf numFmtId="165" fontId="13" fillId="0" borderId="18" xfId="1" applyNumberFormat="1" applyFont="1" applyBorder="1"/>
    <xf numFmtId="165" fontId="8" fillId="0" borderId="18" xfId="1" applyNumberFormat="1" applyFont="1" applyBorder="1"/>
    <xf numFmtId="0" fontId="14" fillId="0" borderId="18" xfId="0" applyFont="1" applyBorder="1" applyAlignment="1">
      <alignment horizontal="left"/>
    </xf>
    <xf numFmtId="165" fontId="8" fillId="0" borderId="19" xfId="1" applyNumberFormat="1" applyFont="1" applyBorder="1"/>
    <xf numFmtId="0" fontId="14" fillId="0" borderId="19" xfId="0" applyFont="1" applyBorder="1" applyAlignment="1">
      <alignment horizontal="left"/>
    </xf>
    <xf numFmtId="165" fontId="29" fillId="0" borderId="19" xfId="1" applyNumberFormat="1" applyFont="1" applyBorder="1"/>
    <xf numFmtId="9" fontId="13" fillId="0" borderId="18" xfId="1" applyFont="1" applyBorder="1"/>
    <xf numFmtId="0" fontId="0" fillId="0" borderId="33" xfId="0" applyBorder="1"/>
    <xf numFmtId="0" fontId="0" fillId="0" borderId="37" xfId="0" applyBorder="1" applyAlignment="1">
      <alignment horizontal="left"/>
    </xf>
    <xf numFmtId="0" fontId="0" fillId="0" borderId="38" xfId="0" applyBorder="1" applyAlignment="1">
      <alignment horizontal="left"/>
    </xf>
    <xf numFmtId="0" fontId="0" fillId="0" borderId="39" xfId="0" applyBorder="1" applyAlignment="1">
      <alignment horizontal="left"/>
    </xf>
    <xf numFmtId="0" fontId="0" fillId="0" borderId="18" xfId="0" applyBorder="1" applyAlignment="1">
      <alignment horizontal="left"/>
    </xf>
    <xf numFmtId="168" fontId="30" fillId="0" borderId="0" xfId="8" applyNumberFormat="1" applyFont="1" applyAlignment="1">
      <alignment horizontal="center"/>
    </xf>
    <xf numFmtId="0" fontId="30" fillId="0" borderId="0" xfId="0" applyFont="1" applyAlignment="1">
      <alignment horizontal="center"/>
    </xf>
    <xf numFmtId="168" fontId="24" fillId="0" borderId="37" xfId="8" applyNumberFormat="1" applyFont="1" applyBorder="1"/>
    <xf numFmtId="168" fontId="31" fillId="0" borderId="18" xfId="8" applyNumberFormat="1" applyFont="1" applyBorder="1"/>
    <xf numFmtId="164" fontId="24" fillId="0" borderId="18" xfId="8" applyFont="1" applyBorder="1"/>
    <xf numFmtId="164" fontId="24" fillId="0" borderId="40" xfId="8" applyFont="1" applyBorder="1"/>
    <xf numFmtId="168" fontId="24" fillId="0" borderId="39" xfId="8" applyNumberFormat="1" applyFont="1" applyBorder="1"/>
    <xf numFmtId="168" fontId="31" fillId="0" borderId="19" xfId="8" applyNumberFormat="1" applyFont="1" applyBorder="1"/>
    <xf numFmtId="168" fontId="24" fillId="0" borderId="19" xfId="8" applyNumberFormat="1" applyFont="1" applyBorder="1"/>
    <xf numFmtId="168" fontId="24" fillId="0" borderId="41" xfId="8" applyNumberFormat="1" applyFont="1" applyBorder="1"/>
    <xf numFmtId="2" fontId="0" fillId="0" borderId="0" xfId="8" applyNumberFormat="1" applyFont="1" applyBorder="1"/>
    <xf numFmtId="168" fontId="0" fillId="0" borderId="0" xfId="0" applyNumberFormat="1"/>
    <xf numFmtId="0" fontId="24" fillId="0" borderId="42" xfId="11" applyFont="1" applyBorder="1" applyAlignment="1">
      <alignment horizontal="center" vertical="top" wrapText="1"/>
    </xf>
    <xf numFmtId="0" fontId="24" fillId="0" borderId="42" xfId="11" applyFont="1" applyBorder="1" applyAlignment="1">
      <alignment horizontal="left" vertical="top" wrapText="1" indent="2"/>
    </xf>
    <xf numFmtId="0" fontId="24" fillId="0" borderId="43" xfId="11" applyFont="1" applyBorder="1" applyAlignment="1">
      <alignment horizontal="left" vertical="top" wrapText="1" indent="1"/>
    </xf>
    <xf numFmtId="0" fontId="3" fillId="0" borderId="36" xfId="0" applyFont="1" applyBorder="1"/>
    <xf numFmtId="0" fontId="3" fillId="0" borderId="44" xfId="0" applyFont="1" applyBorder="1"/>
    <xf numFmtId="0" fontId="3" fillId="0" borderId="45" xfId="0" applyFont="1" applyBorder="1"/>
    <xf numFmtId="0" fontId="24" fillId="0" borderId="47" xfId="11" applyFont="1" applyBorder="1" applyAlignment="1">
      <alignment horizontal="right" vertical="top" wrapText="1" indent="1"/>
    </xf>
    <xf numFmtId="0" fontId="24" fillId="0" borderId="36" xfId="11" applyFont="1" applyBorder="1" applyAlignment="1">
      <alignment horizontal="center" vertical="top" wrapText="1"/>
    </xf>
    <xf numFmtId="168" fontId="3" fillId="0" borderId="27" xfId="8" applyNumberFormat="1" applyFont="1" applyBorder="1"/>
    <xf numFmtId="168" fontId="3" fillId="0" borderId="36" xfId="8" applyNumberFormat="1" applyFont="1" applyBorder="1"/>
    <xf numFmtId="168" fontId="3" fillId="0" borderId="44" xfId="8" applyNumberFormat="1" applyFont="1" applyBorder="1"/>
    <xf numFmtId="10" fontId="8" fillId="0" borderId="0" xfId="0" applyNumberFormat="1" applyFont="1" applyAlignment="1">
      <alignment horizontal="left"/>
    </xf>
    <xf numFmtId="165" fontId="3" fillId="0" borderId="0" xfId="1" applyNumberFormat="1" applyFont="1"/>
    <xf numFmtId="165" fontId="3" fillId="0" borderId="0" xfId="1" applyNumberFormat="1" applyFont="1" applyFill="1" applyBorder="1"/>
    <xf numFmtId="165" fontId="3" fillId="0" borderId="44" xfId="1" applyNumberFormat="1" applyFont="1" applyBorder="1"/>
    <xf numFmtId="165" fontId="3" fillId="0" borderId="36" xfId="1" applyNumberFormat="1" applyFont="1" applyBorder="1"/>
    <xf numFmtId="165" fontId="3" fillId="0" borderId="27" xfId="1" applyNumberFormat="1" applyFont="1" applyBorder="1"/>
    <xf numFmtId="165" fontId="29" fillId="0" borderId="44" xfId="1" applyNumberFormat="1" applyFont="1" applyBorder="1"/>
    <xf numFmtId="164" fontId="1" fillId="0" borderId="0" xfId="8" applyFont="1"/>
    <xf numFmtId="168" fontId="1" fillId="0" borderId="0" xfId="8" applyNumberFormat="1" applyFont="1"/>
    <xf numFmtId="165" fontId="24" fillId="0" borderId="44" xfId="1" applyNumberFormat="1" applyFont="1" applyBorder="1"/>
    <xf numFmtId="10" fontId="0" fillId="0" borderId="0" xfId="0" applyNumberFormat="1"/>
    <xf numFmtId="0" fontId="24" fillId="0" borderId="42" xfId="11" applyFont="1" applyBorder="1" applyAlignment="1">
      <alignment horizontal="left" vertical="top" wrapText="1"/>
    </xf>
    <xf numFmtId="0" fontId="24" fillId="0" borderId="47" xfId="11" applyFont="1" applyBorder="1" applyAlignment="1">
      <alignment horizontal="center" vertical="center" wrapText="1"/>
    </xf>
    <xf numFmtId="0" fontId="24" fillId="0" borderId="0" xfId="11" applyFont="1" applyAlignment="1">
      <alignment horizontal="center" vertical="center" wrapText="1"/>
    </xf>
    <xf numFmtId="0" fontId="24" fillId="0" borderId="47" xfId="11" applyFont="1" applyBorder="1" applyAlignment="1">
      <alignment vertical="center" wrapText="1"/>
    </xf>
    <xf numFmtId="0" fontId="24" fillId="0" borderId="27" xfId="11" applyFont="1" applyBorder="1" applyAlignment="1">
      <alignment vertical="top" wrapText="1"/>
    </xf>
    <xf numFmtId="0" fontId="24" fillId="0" borderId="47" xfId="11" applyFont="1" applyBorder="1" applyAlignment="1">
      <alignment vertical="top" wrapText="1"/>
    </xf>
    <xf numFmtId="9" fontId="0" fillId="0" borderId="38" xfId="1" applyFont="1" applyFill="1" applyBorder="1"/>
    <xf numFmtId="9" fontId="13" fillId="0" borderId="37" xfId="1" applyFont="1" applyBorder="1"/>
    <xf numFmtId="9" fontId="13" fillId="0" borderId="40" xfId="1" applyFont="1" applyBorder="1"/>
    <xf numFmtId="9" fontId="13" fillId="0" borderId="38" xfId="1" applyFont="1" applyBorder="1"/>
    <xf numFmtId="9" fontId="13" fillId="0" borderId="48" xfId="1" applyFont="1" applyBorder="1"/>
    <xf numFmtId="9" fontId="9" fillId="0" borderId="39" xfId="1" applyFont="1" applyBorder="1"/>
    <xf numFmtId="9" fontId="9" fillId="0" borderId="19" xfId="1" applyFont="1" applyBorder="1"/>
    <xf numFmtId="0" fontId="24" fillId="0" borderId="0" xfId="11" applyFont="1" applyAlignment="1">
      <alignment vertical="center" wrapText="1"/>
    </xf>
    <xf numFmtId="168" fontId="3" fillId="0" borderId="33" xfId="8" applyNumberFormat="1" applyFont="1" applyBorder="1"/>
    <xf numFmtId="0" fontId="0" fillId="0" borderId="46" xfId="0" applyBorder="1"/>
    <xf numFmtId="0" fontId="3" fillId="0" borderId="49" xfId="0" applyFont="1" applyBorder="1"/>
    <xf numFmtId="168" fontId="1" fillId="0" borderId="37" xfId="8" applyNumberFormat="1" applyFont="1" applyBorder="1"/>
    <xf numFmtId="168" fontId="1" fillId="0" borderId="18" xfId="8" applyNumberFormat="1" applyFont="1" applyBorder="1"/>
    <xf numFmtId="168" fontId="1" fillId="0" borderId="40" xfId="8" applyNumberFormat="1" applyFont="1" applyBorder="1"/>
    <xf numFmtId="168" fontId="1" fillId="0" borderId="38" xfId="8" applyNumberFormat="1" applyFont="1" applyBorder="1"/>
    <xf numFmtId="168" fontId="1" fillId="0" borderId="0" xfId="8" applyNumberFormat="1" applyFont="1" applyBorder="1"/>
    <xf numFmtId="168" fontId="1" fillId="0" borderId="48" xfId="8" applyNumberFormat="1" applyFont="1" applyBorder="1"/>
    <xf numFmtId="168" fontId="1" fillId="0" borderId="39" xfId="8" applyNumberFormat="1" applyFont="1" applyBorder="1"/>
    <xf numFmtId="168" fontId="1" fillId="0" borderId="19" xfId="8" applyNumberFormat="1" applyFont="1" applyBorder="1"/>
    <xf numFmtId="173" fontId="0" fillId="0" borderId="0" xfId="0" applyNumberFormat="1"/>
    <xf numFmtId="165" fontId="1" fillId="0" borderId="37" xfId="1" applyNumberFormat="1" applyFont="1" applyBorder="1"/>
    <xf numFmtId="165" fontId="1" fillId="0" borderId="18" xfId="1" applyNumberFormat="1" applyFont="1" applyBorder="1"/>
    <xf numFmtId="165" fontId="1" fillId="0" borderId="40" xfId="1" applyNumberFormat="1" applyFont="1" applyBorder="1"/>
    <xf numFmtId="165" fontId="1" fillId="0" borderId="38" xfId="1" applyNumberFormat="1" applyFont="1" applyBorder="1"/>
    <xf numFmtId="165" fontId="1" fillId="0" borderId="48" xfId="1" applyNumberFormat="1" applyFont="1" applyBorder="1"/>
    <xf numFmtId="165" fontId="1" fillId="0" borderId="39" xfId="1" applyNumberFormat="1" applyFont="1" applyBorder="1"/>
    <xf numFmtId="165" fontId="1" fillId="0" borderId="19" xfId="1" applyNumberFormat="1" applyFont="1" applyBorder="1"/>
    <xf numFmtId="168" fontId="1" fillId="0" borderId="41" xfId="8" applyNumberFormat="1" applyFont="1" applyBorder="1"/>
    <xf numFmtId="165" fontId="1" fillId="0" borderId="41" xfId="1" applyNumberFormat="1" applyFont="1" applyBorder="1"/>
    <xf numFmtId="10" fontId="13" fillId="0" borderId="0" xfId="1" applyNumberFormat="1" applyFont="1"/>
    <xf numFmtId="165" fontId="0" fillId="0" borderId="19" xfId="1" applyNumberFormat="1" applyFont="1" applyBorder="1"/>
    <xf numFmtId="164" fontId="3" fillId="0" borderId="0" xfId="0" applyNumberFormat="1" applyFont="1"/>
    <xf numFmtId="0" fontId="15" fillId="0" borderId="0" xfId="0" applyFont="1" applyAlignment="1">
      <alignment horizontal="right" wrapText="1"/>
    </xf>
    <xf numFmtId="0" fontId="15" fillId="0" borderId="0" xfId="0" applyFont="1" applyAlignment="1">
      <alignment horizontal="left"/>
    </xf>
    <xf numFmtId="0" fontId="3" fillId="9" borderId="37" xfId="0" applyFont="1" applyFill="1" applyBorder="1" applyAlignment="1">
      <alignment horizontal="left" vertical="center"/>
    </xf>
    <xf numFmtId="0" fontId="3" fillId="9" borderId="18" xfId="0" applyFont="1" applyFill="1" applyBorder="1"/>
    <xf numFmtId="0" fontId="3" fillId="9" borderId="39" xfId="0" applyFont="1" applyFill="1" applyBorder="1" applyAlignment="1">
      <alignment horizontal="left" vertical="center"/>
    </xf>
    <xf numFmtId="0" fontId="3" fillId="9" borderId="19" xfId="0" applyFont="1" applyFill="1" applyBorder="1"/>
    <xf numFmtId="0" fontId="15" fillId="9" borderId="18" xfId="0" applyFont="1" applyFill="1" applyBorder="1"/>
    <xf numFmtId="166" fontId="3" fillId="9" borderId="18" xfId="0" applyNumberFormat="1" applyFont="1" applyFill="1" applyBorder="1"/>
    <xf numFmtId="0" fontId="15" fillId="9" borderId="19" xfId="0" applyFont="1" applyFill="1" applyBorder="1"/>
    <xf numFmtId="166" fontId="3" fillId="9" borderId="19" xfId="0" applyNumberFormat="1" applyFont="1" applyFill="1" applyBorder="1"/>
    <xf numFmtId="168" fontId="24" fillId="0" borderId="0" xfId="8" applyNumberFormat="1" applyFont="1" applyBorder="1"/>
    <xf numFmtId="168" fontId="31" fillId="0" borderId="0" xfId="8" applyNumberFormat="1" applyFont="1" applyBorder="1"/>
    <xf numFmtId="165" fontId="31" fillId="0" borderId="0" xfId="1" applyNumberFormat="1" applyFont="1" applyBorder="1"/>
    <xf numFmtId="2" fontId="0" fillId="0" borderId="19" xfId="0" applyNumberFormat="1" applyBorder="1"/>
    <xf numFmtId="166" fontId="24" fillId="0" borderId="0" xfId="0" applyNumberFormat="1" applyFont="1"/>
    <xf numFmtId="165" fontId="11" fillId="8" borderId="0" xfId="0" applyNumberFormat="1" applyFont="1" applyFill="1"/>
    <xf numFmtId="2" fontId="0" fillId="0" borderId="0" xfId="0" applyNumberFormat="1" applyAlignment="1">
      <alignment horizontal="right"/>
    </xf>
    <xf numFmtId="2" fontId="0" fillId="8" borderId="0" xfId="0" applyNumberFormat="1" applyFill="1"/>
    <xf numFmtId="166" fontId="3" fillId="3" borderId="0" xfId="0" applyNumberFormat="1" applyFont="1" applyFill="1"/>
    <xf numFmtId="0" fontId="3" fillId="3" borderId="10" xfId="0" applyFont="1" applyFill="1" applyBorder="1" applyAlignment="1">
      <alignment horizontal="left"/>
    </xf>
    <xf numFmtId="9" fontId="0" fillId="8" borderId="0" xfId="0" applyNumberFormat="1" applyFill="1"/>
    <xf numFmtId="9" fontId="0" fillId="8" borderId="0" xfId="1" applyFont="1" applyFill="1"/>
    <xf numFmtId="2" fontId="3" fillId="0" borderId="34" xfId="0" applyNumberFormat="1" applyFont="1" applyBorder="1"/>
    <xf numFmtId="10" fontId="3" fillId="0" borderId="0" xfId="1" applyNumberFormat="1" applyFont="1"/>
    <xf numFmtId="9" fontId="0" fillId="0" borderId="18" xfId="1" applyFont="1" applyBorder="1"/>
    <xf numFmtId="166" fontId="0" fillId="8" borderId="0" xfId="0" applyNumberFormat="1" applyFill="1"/>
    <xf numFmtId="2" fontId="0" fillId="10" borderId="0" xfId="0" applyNumberFormat="1" applyFill="1"/>
    <xf numFmtId="0" fontId="0" fillId="7" borderId="0" xfId="0" applyFill="1"/>
    <xf numFmtId="2" fontId="0" fillId="7" borderId="0" xfId="0" applyNumberFormat="1" applyFill="1"/>
    <xf numFmtId="2" fontId="0" fillId="6" borderId="0" xfId="0" applyNumberFormat="1" applyFill="1"/>
    <xf numFmtId="2" fontId="0" fillId="7" borderId="0" xfId="0" applyNumberFormat="1" applyFill="1" applyAlignment="1">
      <alignment horizontal="right"/>
    </xf>
    <xf numFmtId="0" fontId="3" fillId="0" borderId="0" xfId="0" applyFont="1" applyAlignment="1">
      <alignment horizontal="center"/>
    </xf>
    <xf numFmtId="0" fontId="38" fillId="0" borderId="0" xfId="14" applyAlignment="1">
      <alignment horizontal="left" vertical="top"/>
    </xf>
    <xf numFmtId="174" fontId="0" fillId="0" borderId="0" xfId="0" applyNumberFormat="1"/>
    <xf numFmtId="174" fontId="0" fillId="8" borderId="0" xfId="0" applyNumberFormat="1" applyFill="1"/>
    <xf numFmtId="0" fontId="38" fillId="0" borderId="0" xfId="14" applyAlignment="1">
      <alignment horizontal="left"/>
    </xf>
    <xf numFmtId="0" fontId="39" fillId="0" borderId="0" xfId="0" applyFont="1"/>
    <xf numFmtId="166" fontId="39" fillId="0" borderId="0" xfId="0" applyNumberFormat="1" applyFont="1"/>
    <xf numFmtId="9" fontId="40" fillId="0" borderId="0" xfId="0" applyNumberFormat="1" applyFont="1"/>
    <xf numFmtId="9" fontId="39" fillId="0" borderId="0" xfId="0" applyNumberFormat="1" applyFont="1"/>
    <xf numFmtId="168" fontId="39" fillId="0" borderId="0" xfId="8" applyNumberFormat="1" applyFont="1" applyFill="1" applyBorder="1"/>
    <xf numFmtId="0" fontId="41" fillId="0" borderId="0" xfId="0" applyFont="1"/>
    <xf numFmtId="9" fontId="42" fillId="0" borderId="0" xfId="0" applyNumberFormat="1" applyFont="1"/>
    <xf numFmtId="0" fontId="43" fillId="0" borderId="0" xfId="0" applyFont="1"/>
    <xf numFmtId="0" fontId="44" fillId="0" borderId="0" xfId="0" applyFont="1"/>
    <xf numFmtId="0" fontId="0" fillId="11" borderId="0" xfId="0" applyFill="1"/>
    <xf numFmtId="0" fontId="39" fillId="11" borderId="0" xfId="0" applyFont="1" applyFill="1"/>
    <xf numFmtId="9" fontId="39" fillId="11" borderId="0" xfId="0" applyNumberFormat="1" applyFont="1" applyFill="1"/>
    <xf numFmtId="168" fontId="39" fillId="11" borderId="0" xfId="8" applyNumberFormat="1" applyFont="1" applyFill="1" applyBorder="1"/>
    <xf numFmtId="174" fontId="0" fillId="11" borderId="0" xfId="0" applyNumberFormat="1" applyFill="1"/>
    <xf numFmtId="166" fontId="0" fillId="12" borderId="0" xfId="0" applyNumberFormat="1" applyFill="1"/>
    <xf numFmtId="2" fontId="3" fillId="4" borderId="0" xfId="0" applyNumberFormat="1" applyFont="1" applyFill="1"/>
    <xf numFmtId="9" fontId="1" fillId="0" borderId="0" xfId="1" applyFont="1" applyFill="1"/>
    <xf numFmtId="167" fontId="1" fillId="0" borderId="0" xfId="8" applyNumberFormat="1" applyFont="1" applyFill="1"/>
    <xf numFmtId="0" fontId="14" fillId="7" borderId="34" xfId="0" applyFont="1" applyFill="1" applyBorder="1" applyAlignment="1">
      <alignment horizontal="left"/>
    </xf>
    <xf numFmtId="1" fontId="8" fillId="3" borderId="0" xfId="0" applyNumberFormat="1" applyFont="1" applyFill="1"/>
    <xf numFmtId="3" fontId="0" fillId="0" borderId="0" xfId="0" applyNumberFormat="1"/>
    <xf numFmtId="3" fontId="0" fillId="3" borderId="0" xfId="0" applyNumberFormat="1" applyFill="1"/>
    <xf numFmtId="3" fontId="0" fillId="9" borderId="0" xfId="0" applyNumberFormat="1" applyFill="1"/>
    <xf numFmtId="1" fontId="24" fillId="0" borderId="31" xfId="0" applyNumberFormat="1" applyFont="1" applyBorder="1"/>
    <xf numFmtId="3" fontId="45" fillId="0" borderId="31" xfId="14" applyNumberFormat="1" applyFont="1" applyBorder="1"/>
    <xf numFmtId="4" fontId="45" fillId="0" borderId="31" xfId="14" applyNumberFormat="1" applyFont="1" applyBorder="1"/>
    <xf numFmtId="165" fontId="3" fillId="0" borderId="31" xfId="0" applyNumberFormat="1" applyFont="1" applyBorder="1"/>
    <xf numFmtId="0" fontId="3" fillId="0" borderId="31" xfId="0" applyFont="1" applyBorder="1"/>
    <xf numFmtId="0" fontId="46" fillId="0" borderId="31" xfId="3" applyFont="1" applyBorder="1"/>
    <xf numFmtId="1" fontId="3" fillId="0" borderId="31" xfId="0" applyNumberFormat="1" applyFont="1" applyBorder="1"/>
    <xf numFmtId="1" fontId="14" fillId="0" borderId="0" xfId="0" applyNumberFormat="1" applyFont="1"/>
    <xf numFmtId="0" fontId="3" fillId="10" borderId="0" xfId="0" applyFont="1" applyFill="1"/>
    <xf numFmtId="1" fontId="0" fillId="13" borderId="0" xfId="0" applyNumberFormat="1" applyFill="1"/>
    <xf numFmtId="0" fontId="8" fillId="0" borderId="0" xfId="3" applyFont="1" applyBorder="1"/>
    <xf numFmtId="166" fontId="0" fillId="13" borderId="0" xfId="0" applyNumberFormat="1" applyFill="1"/>
    <xf numFmtId="1" fontId="38" fillId="0" borderId="0" xfId="14" applyNumberFormat="1" applyAlignment="1">
      <alignment horizontal="right"/>
    </xf>
    <xf numFmtId="3" fontId="38" fillId="0" borderId="0" xfId="14" applyNumberFormat="1"/>
    <xf numFmtId="165" fontId="0" fillId="8" borderId="11" xfId="0" applyNumberFormat="1" applyFill="1" applyBorder="1" applyAlignment="1">
      <alignment horizontal="right"/>
    </xf>
    <xf numFmtId="9" fontId="0" fillId="0" borderId="0" xfId="1" applyFont="1" applyFill="1" applyBorder="1"/>
    <xf numFmtId="9" fontId="3" fillId="0" borderId="0" xfId="1" applyFont="1" applyFill="1" applyBorder="1"/>
    <xf numFmtId="0" fontId="1" fillId="0" borderId="0" xfId="9"/>
    <xf numFmtId="9" fontId="1" fillId="0" borderId="0" xfId="15" applyFont="1"/>
    <xf numFmtId="0" fontId="0" fillId="0" borderId="0" xfId="0" applyAlignment="1">
      <alignment horizontal="center" vertical="center"/>
    </xf>
    <xf numFmtId="168" fontId="8" fillId="0" borderId="0" xfId="8" applyNumberFormat="1" applyFont="1" applyFill="1"/>
    <xf numFmtId="166" fontId="0" fillId="0" borderId="11" xfId="0" applyNumberFormat="1" applyBorder="1" applyAlignment="1">
      <alignment horizontal="right"/>
    </xf>
    <xf numFmtId="10" fontId="3" fillId="5" borderId="15" xfId="0" applyNumberFormat="1" applyFont="1" applyFill="1" applyBorder="1"/>
    <xf numFmtId="166" fontId="3" fillId="0" borderId="12" xfId="0" applyNumberFormat="1" applyFont="1" applyBorder="1" applyAlignment="1">
      <alignment horizontal="right"/>
    </xf>
    <xf numFmtId="166" fontId="3" fillId="0" borderId="15" xfId="0" applyNumberFormat="1" applyFont="1" applyBorder="1" applyAlignment="1">
      <alignment horizontal="right"/>
    </xf>
    <xf numFmtId="10" fontId="3" fillId="0" borderId="26" xfId="0" applyNumberFormat="1" applyFont="1" applyBorder="1"/>
    <xf numFmtId="165" fontId="3" fillId="0" borderId="14" xfId="0" applyNumberFormat="1" applyFont="1" applyBorder="1"/>
    <xf numFmtId="175" fontId="0" fillId="0" borderId="0" xfId="0" applyNumberFormat="1"/>
    <xf numFmtId="0" fontId="3" fillId="0" borderId="0" xfId="0" applyFont="1" applyAlignment="1">
      <alignment horizontal="left" vertical="center"/>
    </xf>
    <xf numFmtId="166" fontId="0" fillId="0" borderId="14" xfId="0" applyNumberFormat="1" applyBorder="1" applyAlignment="1">
      <alignment horizontal="right"/>
    </xf>
    <xf numFmtId="165" fontId="24" fillId="0" borderId="0" xfId="0" applyNumberFormat="1" applyFont="1"/>
    <xf numFmtId="169" fontId="0" fillId="0" borderId="0" xfId="0" applyNumberFormat="1" applyAlignment="1">
      <alignment horizontal="right"/>
    </xf>
    <xf numFmtId="9" fontId="3" fillId="7" borderId="0" xfId="1" applyFont="1" applyFill="1"/>
    <xf numFmtId="164" fontId="0" fillId="0" borderId="0" xfId="0" applyNumberFormat="1" applyAlignment="1">
      <alignment horizontal="left"/>
    </xf>
    <xf numFmtId="0" fontId="3" fillId="0" borderId="37" xfId="0" applyFont="1" applyBorder="1"/>
    <xf numFmtId="0" fontId="3" fillId="0" borderId="38" xfId="0" applyFont="1" applyBorder="1"/>
    <xf numFmtId="0" fontId="3" fillId="0" borderId="39" xfId="0" applyFont="1" applyBorder="1"/>
    <xf numFmtId="4" fontId="0" fillId="0" borderId="0" xfId="0" applyNumberFormat="1"/>
    <xf numFmtId="0" fontId="0" fillId="0" borderId="0" xfId="0" applyAlignment="1">
      <alignment vertical="center"/>
    </xf>
    <xf numFmtId="0" fontId="36" fillId="0" borderId="0" xfId="0" applyFont="1" applyAlignment="1">
      <alignment horizontal="left" vertical="center"/>
    </xf>
    <xf numFmtId="0" fontId="0" fillId="10" borderId="0" xfId="0" applyFill="1"/>
    <xf numFmtId="9" fontId="0" fillId="10" borderId="0" xfId="1" applyFont="1" applyFill="1"/>
    <xf numFmtId="0" fontId="3" fillId="8" borderId="34" xfId="0" applyFont="1" applyFill="1" applyBorder="1"/>
    <xf numFmtId="0" fontId="3" fillId="8" borderId="18" xfId="0" applyFont="1" applyFill="1" applyBorder="1"/>
    <xf numFmtId="9" fontId="13" fillId="8" borderId="0" xfId="0" applyNumberFormat="1" applyFont="1" applyFill="1"/>
    <xf numFmtId="165" fontId="0" fillId="8" borderId="18" xfId="1" applyNumberFormat="1" applyFont="1" applyFill="1" applyBorder="1"/>
    <xf numFmtId="165" fontId="0" fillId="8" borderId="0" xfId="1" applyNumberFormat="1" applyFont="1" applyFill="1" applyBorder="1"/>
    <xf numFmtId="165" fontId="3" fillId="8" borderId="34" xfId="0" applyNumberFormat="1" applyFont="1" applyFill="1" applyBorder="1"/>
    <xf numFmtId="0" fontId="1" fillId="0" borderId="0" xfId="5"/>
    <xf numFmtId="166" fontId="1" fillId="0" borderId="0" xfId="5" applyNumberFormat="1"/>
    <xf numFmtId="166" fontId="1" fillId="0" borderId="0" xfId="16" applyNumberFormat="1"/>
    <xf numFmtId="0" fontId="1" fillId="0" borderId="0" xfId="17"/>
    <xf numFmtId="0" fontId="1" fillId="0" borderId="0" xfId="18" applyAlignment="1">
      <alignment wrapText="1"/>
    </xf>
    <xf numFmtId="0" fontId="1" fillId="0" borderId="0" xfId="18" applyAlignment="1">
      <alignment vertical="center" wrapText="1"/>
    </xf>
    <xf numFmtId="0" fontId="1" fillId="0" borderId="0" xfId="16"/>
    <xf numFmtId="1" fontId="1" fillId="0" borderId="0" xfId="16" applyNumberFormat="1"/>
    <xf numFmtId="2" fontId="1" fillId="0" borderId="0" xfId="16" applyNumberFormat="1"/>
    <xf numFmtId="1" fontId="1" fillId="0" borderId="0" xfId="19" applyNumberFormat="1" applyFont="1" applyAlignment="1">
      <alignment vertical="center"/>
    </xf>
    <xf numFmtId="1" fontId="8" fillId="0" borderId="0" xfId="7" applyNumberFormat="1" applyAlignment="1">
      <alignment vertical="center"/>
    </xf>
    <xf numFmtId="0" fontId="8" fillId="0" borderId="0" xfId="7" applyAlignment="1">
      <alignment vertical="center"/>
    </xf>
    <xf numFmtId="9" fontId="8" fillId="0" borderId="0" xfId="7" applyNumberFormat="1" applyAlignment="1">
      <alignment vertical="center"/>
    </xf>
    <xf numFmtId="166" fontId="1" fillId="0" borderId="0" xfId="16" applyNumberFormat="1" applyAlignment="1">
      <alignment vertical="center"/>
    </xf>
    <xf numFmtId="2" fontId="8" fillId="0" borderId="0" xfId="7" applyNumberFormat="1" applyAlignment="1">
      <alignment vertical="center"/>
    </xf>
    <xf numFmtId="166" fontId="8" fillId="0" borderId="0" xfId="7" applyNumberFormat="1" applyAlignment="1">
      <alignment vertical="center"/>
    </xf>
    <xf numFmtId="0" fontId="1" fillId="0" borderId="0" xfId="18"/>
    <xf numFmtId="166" fontId="1" fillId="0" borderId="0" xfId="18" applyNumberFormat="1"/>
    <xf numFmtId="0" fontId="3" fillId="0" borderId="2" xfId="0" applyFont="1" applyBorder="1"/>
    <xf numFmtId="0" fontId="3" fillId="0" borderId="35" xfId="0" applyFont="1" applyBorder="1"/>
    <xf numFmtId="0" fontId="14" fillId="0" borderId="35" xfId="0" applyFont="1" applyBorder="1"/>
    <xf numFmtId="166" fontId="0" fillId="0" borderId="35" xfId="0" applyNumberFormat="1" applyBorder="1"/>
    <xf numFmtId="0" fontId="0" fillId="0" borderId="35" xfId="0" applyBorder="1"/>
    <xf numFmtId="0" fontId="8" fillId="0" borderId="18" xfId="7" applyBorder="1" applyAlignment="1">
      <alignment horizontal="left"/>
    </xf>
    <xf numFmtId="0" fontId="8" fillId="0" borderId="18" xfId="7" applyBorder="1" applyAlignment="1">
      <alignment horizontal="center" vertical="center" wrapText="1"/>
    </xf>
    <xf numFmtId="0" fontId="1" fillId="0" borderId="18" xfId="17" applyBorder="1"/>
    <xf numFmtId="0" fontId="1" fillId="0" borderId="18" xfId="18" applyBorder="1" applyAlignment="1">
      <alignment wrapText="1"/>
    </xf>
    <xf numFmtId="0" fontId="1" fillId="0" borderId="18" xfId="18" applyBorder="1" applyAlignment="1">
      <alignment vertical="center" wrapText="1"/>
    </xf>
    <xf numFmtId="0" fontId="8" fillId="0" borderId="19" xfId="7" applyBorder="1" applyAlignment="1">
      <alignment horizontal="left"/>
    </xf>
    <xf numFmtId="166" fontId="1" fillId="0" borderId="19" xfId="16" applyNumberFormat="1" applyBorder="1"/>
    <xf numFmtId="1" fontId="1" fillId="0" borderId="19" xfId="19" applyNumberFormat="1" applyFont="1" applyBorder="1" applyAlignment="1">
      <alignment vertical="center"/>
    </xf>
    <xf numFmtId="0" fontId="1" fillId="0" borderId="19" xfId="16" applyBorder="1"/>
    <xf numFmtId="1" fontId="8" fillId="0" borderId="19" xfId="7" applyNumberFormat="1" applyBorder="1" applyAlignment="1">
      <alignment vertical="center"/>
    </xf>
    <xf numFmtId="0" fontId="8" fillId="0" borderId="19" xfId="7" applyBorder="1" applyAlignment="1">
      <alignment vertical="center"/>
    </xf>
    <xf numFmtId="166" fontId="8" fillId="0" borderId="19" xfId="7" applyNumberFormat="1" applyBorder="1" applyAlignment="1">
      <alignment vertical="center"/>
    </xf>
    <xf numFmtId="9" fontId="13" fillId="8" borderId="0" xfId="1" applyFont="1" applyFill="1"/>
    <xf numFmtId="9" fontId="8" fillId="8" borderId="0" xfId="0" applyNumberFormat="1" applyFont="1" applyFill="1"/>
    <xf numFmtId="2" fontId="3" fillId="0" borderId="12" xfId="0" applyNumberFormat="1" applyFont="1" applyBorder="1" applyAlignment="1">
      <alignment horizontal="right"/>
    </xf>
    <xf numFmtId="165" fontId="8" fillId="0" borderId="11" xfId="0" applyNumberFormat="1" applyFont="1" applyBorder="1" applyAlignment="1">
      <alignment horizontal="right"/>
    </xf>
    <xf numFmtId="165" fontId="0" fillId="8" borderId="0" xfId="0" applyNumberFormat="1" applyFill="1"/>
    <xf numFmtId="10" fontId="0" fillId="0" borderId="18" xfId="1" applyNumberFormat="1" applyFont="1" applyBorder="1"/>
    <xf numFmtId="10" fontId="0" fillId="8" borderId="0" xfId="0" applyNumberFormat="1" applyFill="1"/>
    <xf numFmtId="2" fontId="0" fillId="0" borderId="14" xfId="0" applyNumberFormat="1" applyBorder="1" applyAlignment="1">
      <alignment horizontal="right"/>
    </xf>
    <xf numFmtId="2" fontId="3" fillId="0" borderId="15" xfId="0" applyNumberFormat="1" applyFont="1" applyBorder="1" applyAlignment="1">
      <alignment horizontal="right"/>
    </xf>
    <xf numFmtId="9" fontId="8" fillId="0" borderId="38" xfId="1" applyFont="1" applyBorder="1"/>
    <xf numFmtId="9" fontId="18" fillId="0" borderId="0" xfId="1" applyFont="1" applyFill="1"/>
    <xf numFmtId="10" fontId="8" fillId="0" borderId="0" xfId="0" applyNumberFormat="1" applyFont="1"/>
    <xf numFmtId="176" fontId="0" fillId="0" borderId="0" xfId="0" applyNumberFormat="1"/>
    <xf numFmtId="166" fontId="13" fillId="0" borderId="0" xfId="0" applyNumberFormat="1" applyFont="1"/>
    <xf numFmtId="166" fontId="13" fillId="0" borderId="19" xfId="0" applyNumberFormat="1" applyFont="1" applyBorder="1"/>
    <xf numFmtId="0" fontId="4" fillId="0" borderId="0" xfId="3" applyBorder="1"/>
    <xf numFmtId="0" fontId="4" fillId="0" borderId="19" xfId="3" applyBorder="1"/>
    <xf numFmtId="2" fontId="24" fillId="0" borderId="0" xfId="0" applyNumberFormat="1" applyFont="1"/>
    <xf numFmtId="165" fontId="3" fillId="0" borderId="15" xfId="0" applyNumberFormat="1" applyFont="1" applyBorder="1"/>
    <xf numFmtId="43" fontId="1" fillId="0" borderId="38" xfId="8" applyNumberFormat="1" applyFont="1" applyBorder="1"/>
    <xf numFmtId="0" fontId="4" fillId="0" borderId="0" xfId="3" applyAlignment="1">
      <alignment horizontal="left"/>
    </xf>
    <xf numFmtId="168" fontId="0" fillId="0" borderId="0" xfId="8" applyNumberFormat="1" applyFont="1" applyFill="1"/>
    <xf numFmtId="164" fontId="0" fillId="0" borderId="0" xfId="8" applyFont="1" applyFill="1"/>
    <xf numFmtId="0" fontId="3" fillId="0" borderId="6" xfId="0" applyFont="1" applyBorder="1"/>
    <xf numFmtId="0" fontId="3" fillId="0" borderId="4" xfId="0" applyFont="1" applyBorder="1"/>
    <xf numFmtId="168" fontId="0" fillId="0" borderId="35" xfId="8" applyNumberFormat="1" applyFont="1" applyBorder="1"/>
    <xf numFmtId="168" fontId="0" fillId="0" borderId="35" xfId="0" applyNumberFormat="1" applyBorder="1"/>
    <xf numFmtId="166" fontId="0" fillId="0" borderId="23" xfId="0" applyNumberFormat="1" applyBorder="1"/>
    <xf numFmtId="0" fontId="3" fillId="0" borderId="0" xfId="0" applyFont="1" applyAlignment="1">
      <alignment horizontal="right"/>
    </xf>
    <xf numFmtId="0" fontId="14" fillId="0" borderId="4" xfId="0" applyFont="1" applyBorder="1" applyAlignment="1">
      <alignment horizontal="right"/>
    </xf>
    <xf numFmtId="0" fontId="14" fillId="0" borderId="6" xfId="0" applyFont="1" applyBorder="1" applyAlignment="1">
      <alignment horizontal="right"/>
    </xf>
    <xf numFmtId="0" fontId="14" fillId="0" borderId="31" xfId="0" applyFont="1" applyBorder="1"/>
    <xf numFmtId="0" fontId="48" fillId="0" borderId="0" xfId="20">
      <alignment vertical="center"/>
    </xf>
    <xf numFmtId="0" fontId="0" fillId="0" borderId="27" xfId="0" applyBorder="1" applyAlignment="1">
      <alignment horizontal="right"/>
    </xf>
    <xf numFmtId="165" fontId="49" fillId="0" borderId="46" xfId="0" applyNumberFormat="1" applyFont="1" applyBorder="1"/>
    <xf numFmtId="0" fontId="48" fillId="0" borderId="19" xfId="20" applyBorder="1">
      <alignment vertical="center"/>
    </xf>
    <xf numFmtId="0" fontId="50" fillId="0" borderId="19" xfId="20" applyFont="1" applyBorder="1" applyAlignment="1">
      <alignment horizontal="center" vertical="center"/>
    </xf>
    <xf numFmtId="0" fontId="51" fillId="0" borderId="19" xfId="20" applyFont="1" applyBorder="1" applyAlignment="1">
      <alignment horizontal="center" vertical="center"/>
    </xf>
    <xf numFmtId="38" fontId="51" fillId="0" borderId="0" xfId="20" applyNumberFormat="1" applyFont="1" applyAlignment="1">
      <alignment horizontal="right" vertical="center"/>
    </xf>
    <xf numFmtId="38" fontId="1" fillId="0" borderId="0" xfId="20" applyNumberFormat="1" applyFont="1" applyAlignment="1">
      <alignment horizontal="center" vertical="center"/>
    </xf>
    <xf numFmtId="38" fontId="50" fillId="0" borderId="0" xfId="20" applyNumberFormat="1" applyFont="1" applyAlignment="1">
      <alignment horizontal="center" vertical="center"/>
    </xf>
    <xf numFmtId="38" fontId="51" fillId="0" borderId="0" xfId="20" applyNumberFormat="1" applyFont="1" applyAlignment="1">
      <alignment horizontal="center" vertical="center"/>
    </xf>
    <xf numFmtId="177" fontId="52" fillId="0" borderId="0" xfId="0" applyNumberFormat="1" applyFont="1" applyAlignment="1">
      <alignment horizontal="center"/>
    </xf>
    <xf numFmtId="167" fontId="34" fillId="0" borderId="0" xfId="8" applyNumberFormat="1" applyFont="1" applyAlignment="1">
      <alignment horizontal="right" vertical="center"/>
    </xf>
    <xf numFmtId="167" fontId="34" fillId="0" borderId="0" xfId="8" applyNumberFormat="1" applyFont="1" applyAlignment="1">
      <alignment vertical="center"/>
    </xf>
    <xf numFmtId="167" fontId="48" fillId="0" borderId="0" xfId="8" applyNumberFormat="1" applyFont="1" applyAlignment="1">
      <alignment vertical="center"/>
    </xf>
    <xf numFmtId="167" fontId="34" fillId="0" borderId="0" xfId="8" applyNumberFormat="1" applyFont="1"/>
    <xf numFmtId="167" fontId="3" fillId="0" borderId="24" xfId="0" applyNumberFormat="1" applyFont="1" applyBorder="1"/>
    <xf numFmtId="9" fontId="34" fillId="0" borderId="0" xfId="0" applyNumberFormat="1" applyFont="1"/>
    <xf numFmtId="167" fontId="3" fillId="0" borderId="24" xfId="8" applyNumberFormat="1" applyFont="1" applyBorder="1"/>
    <xf numFmtId="167" fontId="0" fillId="6" borderId="0" xfId="8" applyNumberFormat="1" applyFont="1" applyFill="1"/>
    <xf numFmtId="167" fontId="3" fillId="0" borderId="0" xfId="8" applyNumberFormat="1" applyFont="1"/>
    <xf numFmtId="167" fontId="0" fillId="0" borderId="11" xfId="8" applyNumberFormat="1" applyFont="1" applyBorder="1" applyAlignment="1">
      <alignment horizontal="right"/>
    </xf>
    <xf numFmtId="167" fontId="3" fillId="0" borderId="12" xfId="8" applyNumberFormat="1" applyFont="1" applyBorder="1" applyAlignment="1">
      <alignment horizontal="right"/>
    </xf>
    <xf numFmtId="167" fontId="0" fillId="0" borderId="14" xfId="8" applyNumberFormat="1" applyFont="1" applyBorder="1" applyAlignment="1">
      <alignment horizontal="right"/>
    </xf>
    <xf numFmtId="167" fontId="3" fillId="0" borderId="15" xfId="8" applyNumberFormat="1" applyFont="1" applyBorder="1" applyAlignment="1">
      <alignment horizontal="right"/>
    </xf>
    <xf numFmtId="167" fontId="3" fillId="10" borderId="0" xfId="8" applyNumberFormat="1" applyFont="1" applyFill="1" applyBorder="1"/>
    <xf numFmtId="167" fontId="3" fillId="10" borderId="0" xfId="8" applyNumberFormat="1" applyFont="1" applyFill="1"/>
    <xf numFmtId="38" fontId="8" fillId="0" borderId="0" xfId="0" applyNumberFormat="1" applyFont="1"/>
    <xf numFmtId="167" fontId="0" fillId="0" borderId="19" xfId="8" applyNumberFormat="1" applyFont="1" applyBorder="1"/>
    <xf numFmtId="178" fontId="0" fillId="0" borderId="0" xfId="8" applyNumberFormat="1" applyFont="1"/>
    <xf numFmtId="165" fontId="13" fillId="0" borderId="28" xfId="11" applyNumberFormat="1" applyFont="1" applyBorder="1" applyAlignment="1">
      <alignment horizontal="center" vertical="top" shrinkToFit="1"/>
    </xf>
    <xf numFmtId="9" fontId="34" fillId="0" borderId="0" xfId="1" applyFont="1"/>
    <xf numFmtId="165" fontId="8" fillId="0" borderId="0" xfId="0" applyNumberFormat="1" applyFont="1"/>
    <xf numFmtId="167" fontId="0" fillId="0" borderId="0" xfId="8" applyNumberFormat="1" applyFont="1" applyAlignment="1">
      <alignment horizontal="right"/>
    </xf>
    <xf numFmtId="165" fontId="35" fillId="0" borderId="0" xfId="0" applyNumberFormat="1" applyFont="1"/>
    <xf numFmtId="167" fontId="24" fillId="0" borderId="0" xfId="8" applyNumberFormat="1" applyFont="1"/>
    <xf numFmtId="167" fontId="3" fillId="0" borderId="34" xfId="8" applyNumberFormat="1" applyFont="1" applyFill="1" applyBorder="1"/>
    <xf numFmtId="167" fontId="18" fillId="0" borderId="0" xfId="8" applyNumberFormat="1" applyFont="1"/>
    <xf numFmtId="167" fontId="3" fillId="7" borderId="34" xfId="8" applyNumberFormat="1" applyFont="1" applyFill="1" applyBorder="1"/>
    <xf numFmtId="167" fontId="21" fillId="0" borderId="0" xfId="8" applyNumberFormat="1" applyFont="1"/>
    <xf numFmtId="167" fontId="24" fillId="0" borderId="18" xfId="8" applyNumberFormat="1" applyFont="1" applyBorder="1"/>
    <xf numFmtId="167" fontId="13" fillId="0" borderId="0" xfId="8" applyNumberFormat="1" applyFont="1" applyBorder="1"/>
    <xf numFmtId="167" fontId="8" fillId="0" borderId="0" xfId="8" applyNumberFormat="1" applyFont="1" applyBorder="1"/>
    <xf numFmtId="167" fontId="8" fillId="0" borderId="18" xfId="8" applyNumberFormat="1" applyFont="1" applyBorder="1"/>
    <xf numFmtId="167" fontId="8" fillId="0" borderId="19" xfId="8" applyNumberFormat="1" applyFont="1" applyBorder="1"/>
    <xf numFmtId="167" fontId="13" fillId="0" borderId="0" xfId="8" applyNumberFormat="1" applyFont="1" applyFill="1" applyBorder="1"/>
    <xf numFmtId="167" fontId="1" fillId="0" borderId="0" xfId="8" applyNumberFormat="1" applyFont="1" applyBorder="1"/>
    <xf numFmtId="167" fontId="24" fillId="0" borderId="24" xfId="8" applyNumberFormat="1" applyFont="1" applyBorder="1"/>
    <xf numFmtId="167" fontId="24" fillId="0" borderId="40" xfId="8" applyNumberFormat="1" applyFont="1" applyBorder="1"/>
    <xf numFmtId="167" fontId="24" fillId="0" borderId="19" xfId="8" applyNumberFormat="1" applyFont="1" applyBorder="1"/>
    <xf numFmtId="167" fontId="24" fillId="0" borderId="41" xfId="8" applyNumberFormat="1" applyFont="1" applyBorder="1"/>
    <xf numFmtId="10" fontId="8" fillId="0" borderId="34" xfId="1" applyNumberFormat="1" applyFont="1" applyBorder="1"/>
    <xf numFmtId="0" fontId="8" fillId="0" borderId="0" xfId="8" applyNumberFormat="1" applyFont="1"/>
    <xf numFmtId="167" fontId="8" fillId="0" borderId="0" xfId="1" applyNumberFormat="1" applyFont="1"/>
    <xf numFmtId="167" fontId="8" fillId="0" borderId="0" xfId="1" applyNumberFormat="1" applyFont="1" applyBorder="1"/>
    <xf numFmtId="167" fontId="1" fillId="0" borderId="0" xfId="1" applyNumberFormat="1" applyFont="1" applyBorder="1"/>
    <xf numFmtId="167" fontId="24" fillId="0" borderId="0" xfId="8" applyNumberFormat="1" applyFont="1" applyBorder="1"/>
    <xf numFmtId="167" fontId="0" fillId="0" borderId="35" xfId="8" applyNumberFormat="1" applyFont="1" applyBorder="1"/>
    <xf numFmtId="167" fontId="0" fillId="0" borderId="35" xfId="8" applyNumberFormat="1" applyFont="1" applyFill="1" applyBorder="1"/>
    <xf numFmtId="167" fontId="0" fillId="0" borderId="18" xfId="8" applyNumberFormat="1" applyFont="1" applyBorder="1"/>
    <xf numFmtId="167" fontId="3" fillId="0" borderId="18" xfId="8" applyNumberFormat="1" applyFont="1" applyBorder="1"/>
    <xf numFmtId="167" fontId="3" fillId="0" borderId="0" xfId="8" applyNumberFormat="1" applyFont="1" applyFill="1"/>
    <xf numFmtId="167" fontId="3" fillId="0" borderId="0" xfId="8" applyNumberFormat="1" applyFont="1" applyBorder="1"/>
    <xf numFmtId="167" fontId="3" fillId="0" borderId="18" xfId="8" applyNumberFormat="1" applyFont="1" applyFill="1" applyBorder="1"/>
    <xf numFmtId="167" fontId="0" fillId="0" borderId="0" xfId="8" applyNumberFormat="1" applyFont="1" applyFill="1" applyBorder="1"/>
    <xf numFmtId="167" fontId="3" fillId="0" borderId="19" xfId="8" applyNumberFormat="1" applyFont="1" applyBorder="1"/>
    <xf numFmtId="167" fontId="24" fillId="0" borderId="19" xfId="8" applyNumberFormat="1" applyFont="1" applyFill="1" applyBorder="1"/>
    <xf numFmtId="167" fontId="0" fillId="0" borderId="19" xfId="8" applyNumberFormat="1" applyFont="1" applyFill="1" applyBorder="1"/>
    <xf numFmtId="167" fontId="0" fillId="0" borderId="18" xfId="8" applyNumberFormat="1" applyFont="1" applyFill="1" applyBorder="1"/>
    <xf numFmtId="167" fontId="3" fillId="0" borderId="27" xfId="8" applyNumberFormat="1" applyFont="1" applyBorder="1"/>
    <xf numFmtId="167" fontId="0" fillId="0" borderId="27" xfId="8" applyNumberFormat="1" applyFont="1" applyFill="1" applyBorder="1"/>
    <xf numFmtId="167" fontId="3" fillId="7" borderId="27" xfId="8" applyNumberFormat="1" applyFont="1" applyFill="1" applyBorder="1"/>
    <xf numFmtId="167" fontId="24" fillId="0" borderId="0" xfId="8" applyNumberFormat="1" applyFont="1" applyFill="1"/>
    <xf numFmtId="167" fontId="3" fillId="9" borderId="18" xfId="8" applyNumberFormat="1" applyFont="1" applyFill="1" applyBorder="1"/>
    <xf numFmtId="167" fontId="3" fillId="9" borderId="19" xfId="8" applyNumberFormat="1" applyFont="1" applyFill="1" applyBorder="1"/>
    <xf numFmtId="167" fontId="3" fillId="0" borderId="19" xfId="8" applyNumberFormat="1" applyFont="1" applyFill="1" applyBorder="1"/>
    <xf numFmtId="167" fontId="8" fillId="0" borderId="0" xfId="8" applyNumberFormat="1" applyFont="1" applyFill="1"/>
    <xf numFmtId="167" fontId="3" fillId="7" borderId="0" xfId="8" applyNumberFormat="1" applyFont="1" applyFill="1"/>
    <xf numFmtId="167" fontId="3" fillId="0" borderId="0" xfId="8" applyNumberFormat="1" applyFont="1" applyFill="1" applyBorder="1"/>
    <xf numFmtId="1" fontId="0" fillId="0" borderId="18" xfId="0" applyNumberFormat="1" applyBorder="1"/>
    <xf numFmtId="1" fontId="3" fillId="0" borderId="19" xfId="0" applyNumberFormat="1" applyFont="1" applyBorder="1"/>
    <xf numFmtId="1" fontId="0" fillId="0" borderId="19" xfId="0" applyNumberFormat="1" applyBorder="1"/>
    <xf numFmtId="1" fontId="3" fillId="0" borderId="18" xfId="0" applyNumberFormat="1" applyFont="1" applyBorder="1"/>
    <xf numFmtId="1" fontId="24" fillId="0" borderId="0" xfId="0" applyNumberFormat="1" applyFont="1"/>
    <xf numFmtId="1" fontId="3" fillId="0" borderId="27" xfId="0" applyNumberFormat="1" applyFont="1" applyBorder="1"/>
    <xf numFmtId="1" fontId="0" fillId="0" borderId="27" xfId="0" applyNumberFormat="1" applyBorder="1"/>
    <xf numFmtId="1" fontId="3" fillId="7" borderId="0" xfId="0" applyNumberFormat="1" applyFont="1" applyFill="1"/>
    <xf numFmtId="1" fontId="24" fillId="0" borderId="19" xfId="0" applyNumberFormat="1" applyFont="1" applyBorder="1"/>
    <xf numFmtId="1" fontId="3" fillId="7" borderId="27" xfId="0" applyNumberFormat="1" applyFont="1" applyFill="1" applyBorder="1"/>
    <xf numFmtId="1" fontId="0" fillId="7" borderId="27" xfId="0" applyNumberFormat="1" applyFill="1" applyBorder="1"/>
    <xf numFmtId="1" fontId="3" fillId="9" borderId="18" xfId="0" applyNumberFormat="1" applyFont="1" applyFill="1" applyBorder="1"/>
    <xf numFmtId="1" fontId="3" fillId="9" borderId="19" xfId="0" applyNumberFormat="1" applyFont="1" applyFill="1" applyBorder="1"/>
    <xf numFmtId="167" fontId="35" fillId="0" borderId="0" xfId="8" applyNumberFormat="1" applyFont="1" applyFill="1" applyBorder="1"/>
    <xf numFmtId="167" fontId="3" fillId="0" borderId="31" xfId="8" applyNumberFormat="1" applyFont="1" applyBorder="1" applyAlignment="1">
      <alignment wrapText="1"/>
    </xf>
    <xf numFmtId="167" fontId="0" fillId="0" borderId="5" xfId="8" applyNumberFormat="1" applyFont="1" applyBorder="1"/>
    <xf numFmtId="167" fontId="3" fillId="0" borderId="31" xfId="8" applyNumberFormat="1" applyFont="1" applyBorder="1"/>
    <xf numFmtId="167" fontId="0" fillId="0" borderId="31" xfId="8" applyNumberFormat="1" applyFont="1" applyBorder="1"/>
    <xf numFmtId="167" fontId="0" fillId="0" borderId="32" xfId="8" applyNumberFormat="1" applyFont="1" applyBorder="1"/>
    <xf numFmtId="167" fontId="3" fillId="0" borderId="32" xfId="8" applyNumberFormat="1" applyFont="1" applyBorder="1" applyAlignment="1">
      <alignment wrapText="1"/>
    </xf>
    <xf numFmtId="167" fontId="1" fillId="0" borderId="31" xfId="8" applyNumberFormat="1" applyFont="1" applyBorder="1"/>
    <xf numFmtId="43" fontId="14" fillId="0" borderId="0" xfId="0" applyNumberFormat="1" applyFont="1" applyAlignment="1">
      <alignment horizontal="right" wrapText="1"/>
    </xf>
    <xf numFmtId="165" fontId="13" fillId="0" borderId="28" xfId="11" applyNumberFormat="1" applyFont="1" applyBorder="1" applyAlignment="1">
      <alignment horizontal="right" vertical="top" indent="1" shrinkToFit="1"/>
    </xf>
    <xf numFmtId="165" fontId="21" fillId="0" borderId="28" xfId="11" applyNumberFormat="1" applyFont="1" applyBorder="1" applyAlignment="1">
      <alignment horizontal="right" vertical="top" indent="1" shrinkToFit="1"/>
    </xf>
    <xf numFmtId="165" fontId="21" fillId="0" borderId="28" xfId="11" applyNumberFormat="1" applyFont="1" applyBorder="1" applyAlignment="1">
      <alignment horizontal="center" vertical="top" shrinkToFit="1"/>
    </xf>
    <xf numFmtId="165" fontId="12" fillId="0" borderId="28" xfId="11" applyNumberFormat="1" applyFont="1" applyBorder="1" applyAlignment="1">
      <alignment horizontal="right" vertical="top" indent="1" shrinkToFit="1"/>
    </xf>
    <xf numFmtId="167" fontId="8" fillId="0" borderId="0" xfId="0" applyNumberFormat="1" applyFont="1"/>
    <xf numFmtId="10" fontId="24" fillId="0" borderId="0" xfId="0" applyNumberFormat="1" applyFont="1" applyAlignment="1">
      <alignment horizontal="left"/>
    </xf>
    <xf numFmtId="165" fontId="13" fillId="0" borderId="27" xfId="1" applyNumberFormat="1" applyFont="1" applyBorder="1"/>
    <xf numFmtId="9" fontId="21" fillId="0" borderId="0" xfId="0" applyNumberFormat="1" applyFont="1"/>
    <xf numFmtId="10" fontId="34" fillId="0" borderId="0" xfId="0" applyNumberFormat="1" applyFont="1"/>
    <xf numFmtId="178" fontId="8" fillId="0" borderId="0" xfId="0" applyNumberFormat="1" applyFont="1"/>
    <xf numFmtId="0" fontId="50" fillId="0" borderId="27" xfId="20" applyFont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0" borderId="37" xfId="0" applyFont="1" applyBorder="1" applyAlignment="1">
      <alignment horizontal="left" vertical="center"/>
    </xf>
    <xf numFmtId="0" fontId="3" fillId="0" borderId="38" xfId="0" applyFont="1" applyBorder="1" applyAlignment="1">
      <alignment horizontal="left" vertical="center"/>
    </xf>
    <xf numFmtId="0" fontId="3" fillId="0" borderId="39" xfId="0" applyFont="1" applyBorder="1" applyAlignment="1">
      <alignment horizontal="left" vertical="center"/>
    </xf>
    <xf numFmtId="0" fontId="0" fillId="0" borderId="0" xfId="0" applyAlignment="1">
      <alignment horizontal="center"/>
    </xf>
    <xf numFmtId="0" fontId="3" fillId="0" borderId="18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3" fillId="0" borderId="37" xfId="0" applyFont="1" applyBorder="1" applyAlignment="1">
      <alignment horizontal="center" vertical="center"/>
    </xf>
    <xf numFmtId="0" fontId="3" fillId="0" borderId="39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9" fontId="0" fillId="0" borderId="0" xfId="1" applyFont="1" applyAlignment="1">
      <alignment horizontal="center"/>
    </xf>
    <xf numFmtId="9" fontId="0" fillId="0" borderId="0" xfId="0" applyNumberFormat="1" applyAlignment="1">
      <alignment horizontal="center"/>
    </xf>
    <xf numFmtId="0" fontId="8" fillId="0" borderId="0" xfId="0" applyFont="1" applyAlignment="1">
      <alignment horizontal="center" vertical="center" wrapText="1"/>
    </xf>
    <xf numFmtId="0" fontId="0" fillId="0" borderId="0" xfId="0" applyAlignment="1">
      <alignment horizontal="center" wrapText="1"/>
    </xf>
    <xf numFmtId="0" fontId="3" fillId="10" borderId="0" xfId="0" applyFont="1" applyFill="1" applyAlignment="1">
      <alignment wrapText="1"/>
    </xf>
    <xf numFmtId="0" fontId="0" fillId="14" borderId="0" xfId="0" applyFill="1" applyAlignment="1">
      <alignment wrapText="1"/>
    </xf>
    <xf numFmtId="0" fontId="3" fillId="14" borderId="0" xfId="0" applyFont="1" applyFill="1" applyAlignment="1">
      <alignment wrapText="1"/>
    </xf>
    <xf numFmtId="0" fontId="0" fillId="14" borderId="0" xfId="0" applyFill="1"/>
    <xf numFmtId="0" fontId="21" fillId="0" borderId="0" xfId="0" applyFont="1"/>
    <xf numFmtId="0" fontId="4" fillId="0" borderId="0" xfId="3" applyAlignment="1">
      <alignment vertical="center"/>
    </xf>
    <xf numFmtId="38" fontId="4" fillId="0" borderId="0" xfId="3" applyNumberFormat="1" applyAlignment="1">
      <alignment horizontal="left" vertical="center"/>
    </xf>
    <xf numFmtId="38" fontId="48" fillId="0" borderId="0" xfId="20" applyNumberFormat="1" applyAlignment="1">
      <alignment horizontal="left" vertical="center"/>
    </xf>
    <xf numFmtId="38" fontId="48" fillId="0" borderId="0" xfId="20" applyNumberFormat="1" applyAlignment="1">
      <alignment horizontal="right" vertical="center"/>
    </xf>
    <xf numFmtId="0" fontId="0" fillId="0" borderId="0" xfId="0" applyFill="1"/>
    <xf numFmtId="0" fontId="3" fillId="0" borderId="0" xfId="0" applyFont="1" applyFill="1"/>
    <xf numFmtId="165" fontId="0" fillId="0" borderId="0" xfId="1" applyNumberFormat="1" applyFont="1" applyFill="1" applyBorder="1"/>
    <xf numFmtId="165" fontId="0" fillId="0" borderId="0" xfId="0" applyNumberFormat="1" applyFill="1"/>
    <xf numFmtId="0" fontId="0" fillId="0" borderId="0" xfId="0" applyFill="1" applyBorder="1"/>
    <xf numFmtId="1" fontId="0" fillId="0" borderId="0" xfId="0" applyNumberFormat="1" applyFill="1" applyBorder="1"/>
    <xf numFmtId="9" fontId="0" fillId="0" borderId="0" xfId="0" applyNumberFormat="1" applyFill="1" applyBorder="1"/>
    <xf numFmtId="0" fontId="3" fillId="0" borderId="0" xfId="0" applyFont="1" applyFill="1" applyBorder="1"/>
    <xf numFmtId="1" fontId="3" fillId="0" borderId="0" xfId="0" applyNumberFormat="1" applyFont="1" applyFill="1" applyBorder="1"/>
    <xf numFmtId="0" fontId="3" fillId="0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3" fillId="0" borderId="0" xfId="0" applyFont="1" applyBorder="1"/>
    <xf numFmtId="9" fontId="29" fillId="0" borderId="0" xfId="0" applyNumberFormat="1" applyFont="1" applyFill="1" applyBorder="1"/>
    <xf numFmtId="166" fontId="0" fillId="0" borderId="0" xfId="0" applyNumberFormat="1" applyFill="1" applyBorder="1"/>
    <xf numFmtId="2" fontId="0" fillId="0" borderId="0" xfId="0" applyNumberFormat="1" applyFill="1" applyBorder="1"/>
    <xf numFmtId="0" fontId="4" fillId="0" borderId="0" xfId="3" applyFill="1" applyBorder="1"/>
    <xf numFmtId="0" fontId="7" fillId="0" borderId="0" xfId="0" applyFont="1" applyFill="1" applyBorder="1" applyAlignment="1">
      <alignment horizontal="left" vertical="center" readingOrder="1"/>
    </xf>
    <xf numFmtId="10" fontId="0" fillId="0" borderId="0" xfId="1" applyNumberFormat="1" applyFont="1" applyFill="1" applyBorder="1"/>
    <xf numFmtId="0" fontId="3" fillId="0" borderId="34" xfId="0" applyFont="1" applyFill="1" applyBorder="1"/>
    <xf numFmtId="0" fontId="23" fillId="0" borderId="34" xfId="0" applyFont="1" applyFill="1" applyBorder="1"/>
    <xf numFmtId="167" fontId="33" fillId="0" borderId="34" xfId="8" applyNumberFormat="1" applyFont="1" applyFill="1" applyBorder="1"/>
    <xf numFmtId="167" fontId="34" fillId="0" borderId="34" xfId="8" applyNumberFormat="1" applyFont="1" applyFill="1" applyBorder="1"/>
    <xf numFmtId="167" fontId="21" fillId="0" borderId="0" xfId="8" applyNumberFormat="1" applyFont="1" applyFill="1"/>
    <xf numFmtId="0" fontId="0" fillId="0" borderId="0" xfId="0" applyFill="1" applyAlignment="1">
      <alignment horizontal="left"/>
    </xf>
    <xf numFmtId="0" fontId="8" fillId="0" borderId="0" xfId="0" applyFont="1" applyFill="1"/>
    <xf numFmtId="0" fontId="22" fillId="0" borderId="0" xfId="0" applyFont="1" applyFill="1"/>
    <xf numFmtId="167" fontId="9" fillId="0" borderId="0" xfId="8" applyNumberFormat="1" applyFont="1" applyFill="1"/>
    <xf numFmtId="167" fontId="13" fillId="0" borderId="0" xfId="8" applyNumberFormat="1" applyFont="1" applyFill="1"/>
    <xf numFmtId="0" fontId="14" fillId="0" borderId="0" xfId="0" applyFont="1" applyFill="1"/>
    <xf numFmtId="0" fontId="13" fillId="0" borderId="0" xfId="0" applyFont="1" applyFill="1"/>
    <xf numFmtId="0" fontId="24" fillId="0" borderId="0" xfId="0" applyFont="1" applyFill="1"/>
  </cellXfs>
  <cellStyles count="21">
    <cellStyle name="Calculation" xfId="2" builtinId="22"/>
    <cellStyle name="Comma" xfId="8" builtinId="3"/>
    <cellStyle name="Hyperlink" xfId="3" builtinId="8"/>
    <cellStyle name="Normal" xfId="0" builtinId="0"/>
    <cellStyle name="Normal 11" xfId="17" xr:uid="{35DE4019-F2E6-47F3-8BAE-E4A827DD37C7}"/>
    <cellStyle name="Normal 2" xfId="5" xr:uid="{00000000-0005-0000-0000-000003000000}"/>
    <cellStyle name="Normal 2 2" xfId="7" xr:uid="{00000000-0005-0000-0000-000004000000}"/>
    <cellStyle name="Normal 2 2 2" xfId="12" xr:uid="{78A7D675-D46A-47B9-8084-A003B11B69AC}"/>
    <cellStyle name="Normal 2 3" xfId="18" xr:uid="{C1236883-BDC6-4CCD-88A3-774D4689F538}"/>
    <cellStyle name="Normal 3" xfId="4" xr:uid="{00000000-0005-0000-0000-000005000000}"/>
    <cellStyle name="Normal 4" xfId="9" xr:uid="{972DDD5A-B401-41B0-8F36-F4AEC615C465}"/>
    <cellStyle name="Normal 4 2" xfId="13" xr:uid="{D55E0F10-91F7-4A1B-9CBF-71F6BD597F51}"/>
    <cellStyle name="Normal 5" xfId="10" xr:uid="{B674FEEB-7DCC-4688-9741-F488D1E81596}"/>
    <cellStyle name="Normal 6" xfId="11" xr:uid="{89C5C829-24F0-4188-B8CF-3C5D3008848B}"/>
    <cellStyle name="Normal 7" xfId="14" xr:uid="{EA1BF793-0323-4EB2-8877-3118440C98B8}"/>
    <cellStyle name="Normal 8" xfId="16" xr:uid="{AC8564A9-BDF9-4EE5-A270-05F39EEED5E7}"/>
    <cellStyle name="Percent" xfId="1" builtinId="5"/>
    <cellStyle name="Percent 2" xfId="6" xr:uid="{00000000-0005-0000-0000-000007000000}"/>
    <cellStyle name="Percent 2 3" xfId="19" xr:uid="{7DC0F0D0-242B-4685-8412-B691EBD59D8D}"/>
    <cellStyle name="Percent 3 2" xfId="15" xr:uid="{B69910E9-9159-4DAA-BCE8-3CF2868D2182}"/>
    <cellStyle name="標準 2" xfId="20" xr:uid="{500AC679-B76E-4662-8D23-30431F83D9FD}"/>
  </cellStyles>
  <dxfs count="1"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pivotCacheDefinition" Target="pivotCache/pivotCacheDefinition1.xml"/><Relationship Id="rId50" Type="http://schemas.openxmlformats.org/officeDocument/2006/relationships/styles" Target="styles.xml"/><Relationship Id="rId55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microsoft.com/office/2017/10/relationships/person" Target="persons/person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pivotCacheDefinition" Target="pivotCache/pivotCacheDefinition2.xml"/><Relationship Id="rId56" Type="http://schemas.openxmlformats.org/officeDocument/2006/relationships/customXml" Target="../customXml/item2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Relationship Id="rId57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With R&amp;S and Recycling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'Yearly Butadiene'!$B$8</c:f>
              <c:strCache>
                <c:ptCount val="1"/>
                <c:pt idx="0">
                  <c:v>Fuel demand after R&amp;S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numRef>
              <c:f>'Yearly Butadiene'!$D$3:$AH$3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'Yearly Butadiene'!$D$8:$AH$8</c:f>
              <c:numCache>
                <c:formatCode>_-* #,##0_-;\-* #,##0_-;_-* "-"??_-;_-@_-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C7-43B6-B93C-C40C72743644}"/>
            </c:ext>
          </c:extLst>
        </c:ser>
        <c:ser>
          <c:idx val="2"/>
          <c:order val="1"/>
          <c:tx>
            <c:strRef>
              <c:f>'Yearly Butadiene'!$A$73</c:f>
              <c:strCache>
                <c:ptCount val="1"/>
                <c:pt idx="0">
                  <c:v>Post R&amp;S and Recycling Butadiene Demand for PU &amp; other polymers &amp; other category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'Yearly Butadiene'!$D$3:$AH$3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'Yearly Butadiene'!$D$73:$AH$73</c:f>
              <c:numCache>
                <c:formatCode>_-* #,##0_-;\-* #,##0_-;_-* "-"??_-;_-@_-</c:formatCode>
                <c:ptCount val="4"/>
                <c:pt idx="0">
                  <c:v>80369.95000000007</c:v>
                </c:pt>
                <c:pt idx="1">
                  <c:v>66979.120935522136</c:v>
                </c:pt>
                <c:pt idx="2">
                  <c:v>49590.505777369399</c:v>
                </c:pt>
                <c:pt idx="3">
                  <c:v>28058.353288132494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C7-43B6-B93C-C40C72743644}"/>
            </c:ext>
          </c:extLst>
        </c:ser>
        <c:ser>
          <c:idx val="0"/>
          <c:order val="2"/>
          <c:tx>
            <c:strRef>
              <c:f>'Yearly BTX'!#REF!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val>
            <c:numRef>
              <c:f>'Yearly BTX'!#REF!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C7-43B6-B93C-C40C72743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098640"/>
        <c:axId val="385091568"/>
      </c:areaChart>
      <c:catAx>
        <c:axId val="385098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091568"/>
        <c:crosses val="autoZero"/>
        <c:auto val="1"/>
        <c:lblAlgn val="ctr"/>
        <c:lblOffset val="100"/>
        <c:noMultiLvlLbl val="1"/>
      </c:catAx>
      <c:valAx>
        <c:axId val="385091568"/>
        <c:scaling>
          <c:orientation val="minMax"/>
          <c:max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0986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BAU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'Yearly Butadiene'!$B$6</c:f>
              <c:strCache>
                <c:ptCount val="1"/>
                <c:pt idx="0">
                  <c:v>Sector demand BAU (fuel)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numRef>
              <c:f>'Yearly Butadiene'!$D$3:$AH$3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'Yearly Butadiene'!$D$6:$AH$6</c:f>
              <c:numCache>
                <c:formatCode>_-* #,##0_-;\-* #,##0_-;_-* "-"??_-;_-@_-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29-41EA-89C3-A54EE1A72C9A}"/>
            </c:ext>
          </c:extLst>
        </c:ser>
        <c:ser>
          <c:idx val="2"/>
          <c:order val="1"/>
          <c:tx>
            <c:strRef>
              <c:f>'Yearly Butadiene'!$A$73</c:f>
              <c:strCache>
                <c:ptCount val="1"/>
                <c:pt idx="0">
                  <c:v>Post R&amp;S and Recycling Butadiene Demand for PU &amp; other polymers &amp; other category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cat>
            <c:numRef>
              <c:f>'Yearly Butadiene'!$D$3:$AH$3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'Yearly HC Methanol'!#REF!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29-41EA-89C3-A54EE1A72C9A}"/>
            </c:ext>
          </c:extLst>
        </c:ser>
        <c:ser>
          <c:idx val="0"/>
          <c:order val="2"/>
          <c:tx>
            <c:strRef>
              <c:f>'Yearly BTX'!#REF!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val>
            <c:numRef>
              <c:f>'Yearly BTX'!#REF!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29-41EA-89C3-A54EE1A72C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098640"/>
        <c:axId val="385091568"/>
      </c:areaChart>
      <c:catAx>
        <c:axId val="385098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091568"/>
        <c:crosses val="autoZero"/>
        <c:auto val="1"/>
        <c:lblAlgn val="ctr"/>
        <c:lblOffset val="100"/>
        <c:noMultiLvlLbl val="1"/>
      </c:catAx>
      <c:valAx>
        <c:axId val="38509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0986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With R&amp;S and Recycling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5235891399712517E-2"/>
          <c:y val="0.11280843608380876"/>
          <c:w val="0.53801144990606564"/>
          <c:h val="0.8384170778022253"/>
        </c:manualLayout>
      </c:layout>
      <c:areaChart>
        <c:grouping val="stacked"/>
        <c:varyColors val="0"/>
        <c:ser>
          <c:idx val="1"/>
          <c:order val="0"/>
          <c:tx>
            <c:strRef>
              <c:f>'Yearly Butadiene'!$B$8</c:f>
              <c:strCache>
                <c:ptCount val="1"/>
                <c:pt idx="0">
                  <c:v>Fuel demand after R&amp;S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numRef>
              <c:f>'Yearly Butadiene'!$D$3:$AH$3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'Yearly Butadiene'!$D$8:$AH$8</c:f>
              <c:numCache>
                <c:formatCode>_-* #,##0_-;\-* #,##0_-;_-* "-"??_-;_-@_-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4B-4F5A-AC28-24B00EB6617E}"/>
            </c:ext>
          </c:extLst>
        </c:ser>
        <c:ser>
          <c:idx val="2"/>
          <c:order val="1"/>
          <c:tx>
            <c:strRef>
              <c:f>'Yearly Butadiene'!$A$65</c:f>
              <c:strCache>
                <c:ptCount val="1"/>
                <c:pt idx="0">
                  <c:v>Recycling Other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cat>
            <c:numRef>
              <c:f>'Yearly Butadiene'!$D$3:$AH$3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'Yearly Butadiene'!$D$70:$AH$70</c:f>
              <c:numCache>
                <c:formatCode>_-* #,##0_-;\-* #,##0_-;_-* "-"??_-;_-@_-</c:formatCode>
                <c:ptCount val="4"/>
                <c:pt idx="0">
                  <c:v>25253.845689000016</c:v>
                </c:pt>
                <c:pt idx="1">
                  <c:v>23587.091873526013</c:v>
                </c:pt>
                <c:pt idx="2">
                  <c:v>21920.338058052013</c:v>
                </c:pt>
                <c:pt idx="3">
                  <c:v>20203.076551200014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4B-4F5A-AC28-24B00EB6617E}"/>
            </c:ext>
          </c:extLst>
        </c:ser>
        <c:ser>
          <c:idx val="3"/>
          <c:order val="2"/>
          <c:tx>
            <c:strRef>
              <c:f>'Yearly Butadiene'!$A$59</c:f>
              <c:strCache>
                <c:ptCount val="1"/>
                <c:pt idx="0">
                  <c:v>Recycling  Construction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val>
            <c:numRef>
              <c:f>'Yearly Butadiene'!$D$64:$AH$64</c:f>
              <c:numCache>
                <c:formatCode>_-* #,##0_-;\-* #,##0_-;_-* "-"??_-;_-@_-</c:formatCode>
                <c:ptCount val="4"/>
                <c:pt idx="0">
                  <c:v>10097.623110892866</c:v>
                </c:pt>
                <c:pt idx="1">
                  <c:v>2403.139189433462</c:v>
                </c:pt>
                <c:pt idx="2">
                  <c:v>-3234.1374314464611</c:v>
                </c:pt>
                <c:pt idx="3">
                  <c:v>-5497.3192178580994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4B-4F5A-AC28-24B00EB6617E}"/>
            </c:ext>
          </c:extLst>
        </c:ser>
        <c:ser>
          <c:idx val="4"/>
          <c:order val="3"/>
          <c:tx>
            <c:strRef>
              <c:f>'Yearly HC Methanol'!#REF!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val>
            <c:numRef>
              <c:f>'Yearly Butadiene'!$D$58:$AH$58</c:f>
              <c:numCache>
                <c:formatCode>_-* #,##0_-;\-* #,##0_-;_-* "-"??_-;_-@_-</c:formatCode>
                <c:ptCount val="4"/>
                <c:pt idx="0">
                  <c:v>858.35106600000074</c:v>
                </c:pt>
                <c:pt idx="1">
                  <c:v>593.12058660600053</c:v>
                </c:pt>
                <c:pt idx="2">
                  <c:v>406.00005421800034</c:v>
                </c:pt>
                <c:pt idx="3">
                  <c:v>180.25372386000015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4B-4F5A-AC28-24B00EB6617E}"/>
            </c:ext>
          </c:extLst>
        </c:ser>
        <c:ser>
          <c:idx val="5"/>
          <c:order val="4"/>
          <c:tx>
            <c:strRef>
              <c:f>'Yearly Butadiene'!$A$52</c:f>
              <c:strCache>
                <c:ptCount val="1"/>
                <c:pt idx="0">
                  <c:v>Recycling Automotive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val>
            <c:numRef>
              <c:f>'Yearly Butadiene'!$D$54:$AH$54</c:f>
              <c:numCache>
                <c:formatCode>_-* #,##0_-;\-* #,##0_-;_-* "-"??_-;_-@_-</c:formatCode>
                <c:ptCount val="4"/>
                <c:pt idx="0">
                  <c:v>43857.307643928616</c:v>
                </c:pt>
                <c:pt idx="1">
                  <c:v>40133.222186971841</c:v>
                </c:pt>
                <c:pt idx="2">
                  <c:v>30307.149913733068</c:v>
                </c:pt>
                <c:pt idx="3">
                  <c:v>13058.78379711361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F4B-4F5A-AC28-24B00EB6617E}"/>
            </c:ext>
          </c:extLst>
        </c:ser>
        <c:ser>
          <c:idx val="6"/>
          <c:order val="5"/>
          <c:tx>
            <c:strRef>
              <c:f>'Yearly Butadiene'!$A$48</c:f>
              <c:strCache>
                <c:ptCount val="1"/>
                <c:pt idx="0">
                  <c:v>Recycling Packaging and Consumer goods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val>
            <c:numRef>
              <c:f>'Yearly Butadiene'!$D$51:$AH$51</c:f>
              <c:numCache>
                <c:formatCode>_-* #,##0_-;\-* #,##0_-;_-* "-"??_-;_-@_-</c:formatCode>
                <c:ptCount val="4"/>
                <c:pt idx="0">
                  <c:v>302.82249017857168</c:v>
                </c:pt>
                <c:pt idx="1">
                  <c:v>262.54709898482162</c:v>
                </c:pt>
                <c:pt idx="2">
                  <c:v>191.15518281277249</c:v>
                </c:pt>
                <c:pt idx="3">
                  <c:v>113.55843381696438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F4B-4F5A-AC28-24B00EB6617E}"/>
            </c:ext>
          </c:extLst>
        </c:ser>
        <c:ser>
          <c:idx val="0"/>
          <c:order val="6"/>
          <c:tx>
            <c:strRef>
              <c:f>'Yearly BTX'!#REF!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val>
            <c:numRef>
              <c:f>'Yearly BTX'!#REF!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F4B-4F5A-AC28-24B00EB661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098640"/>
        <c:axId val="385091568"/>
      </c:areaChart>
      <c:catAx>
        <c:axId val="385098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091568"/>
        <c:crosses val="autoZero"/>
        <c:auto val="1"/>
        <c:lblAlgn val="ctr"/>
        <c:lblOffset val="100"/>
        <c:noMultiLvlLbl val="1"/>
      </c:catAx>
      <c:valAx>
        <c:axId val="385091568"/>
        <c:scaling>
          <c:orientation val="minMax"/>
          <c:max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0986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With R&amp;S and Recycling</a:t>
            </a:r>
          </a:p>
        </c:rich>
      </c:tx>
      <c:layout>
        <c:manualLayout>
          <c:xMode val="edge"/>
          <c:yMode val="edge"/>
          <c:x val="1.9372161546896673E-2"/>
          <c:y val="0.555167573432626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'Yearly Butadiene'!$B$8</c:f>
              <c:strCache>
                <c:ptCount val="1"/>
                <c:pt idx="0">
                  <c:v>Fuel demand after R&amp;S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numRef>
              <c:f>'Yearly Butadiene'!$D$3:$AH$3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'Yearly Butadiene'!$D$8:$AH$8</c:f>
              <c:numCache>
                <c:formatCode>_-* #,##0_-;\-* #,##0_-;_-* "-"??_-;_-@_-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C2-4D82-9966-7BA24C9300BF}"/>
            </c:ext>
          </c:extLst>
        </c:ser>
        <c:ser>
          <c:idx val="2"/>
          <c:order val="1"/>
          <c:tx>
            <c:strRef>
              <c:f>'Yearly Butadiene'!$A$73</c:f>
              <c:strCache>
                <c:ptCount val="1"/>
                <c:pt idx="0">
                  <c:v>Post R&amp;S and Recycling Butadiene Demand for PU &amp; other polymers &amp; other category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'Yearly Butadiene'!$D$3:$AH$3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'Yearly Butadiene'!$D$73:$AH$73</c:f>
              <c:numCache>
                <c:formatCode>_-* #,##0_-;\-* #,##0_-;_-* "-"??_-;_-@_-</c:formatCode>
                <c:ptCount val="4"/>
                <c:pt idx="0">
                  <c:v>80369.95000000007</c:v>
                </c:pt>
                <c:pt idx="1">
                  <c:v>66979.120935522136</c:v>
                </c:pt>
                <c:pt idx="2">
                  <c:v>49590.505777369399</c:v>
                </c:pt>
                <c:pt idx="3">
                  <c:v>28058.353288132494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C2-4D82-9966-7BA24C9300BF}"/>
            </c:ext>
          </c:extLst>
        </c:ser>
        <c:ser>
          <c:idx val="0"/>
          <c:order val="2"/>
          <c:tx>
            <c:strRef>
              <c:f>'Yearly BTX'!#REF!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val>
            <c:numRef>
              <c:f>'Yearly BTX'!#REF!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C2-4D82-9966-7BA24C9300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098640"/>
        <c:axId val="385091568"/>
      </c:areaChart>
      <c:catAx>
        <c:axId val="385098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091568"/>
        <c:crosses val="autoZero"/>
        <c:auto val="1"/>
        <c:lblAlgn val="ctr"/>
        <c:lblOffset val="100"/>
        <c:noMultiLvlLbl val="1"/>
      </c:catAx>
      <c:valAx>
        <c:axId val="385091568"/>
        <c:scaling>
          <c:orientation val="minMax"/>
          <c:max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0986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BAU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'Yearly Butadiene'!$B$6</c:f>
              <c:strCache>
                <c:ptCount val="1"/>
                <c:pt idx="0">
                  <c:v>Sector demand BAU (fuel)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numRef>
              <c:f>'Yearly Butadiene'!$D$3:$AH$3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'Yearly Butadiene'!$D$6:$AH$6</c:f>
              <c:numCache>
                <c:formatCode>_-* #,##0_-;\-* #,##0_-;_-* "-"??_-;_-@_-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62-4F2D-A3D0-83DABAE509D8}"/>
            </c:ext>
          </c:extLst>
        </c:ser>
        <c:ser>
          <c:idx val="2"/>
          <c:order val="1"/>
          <c:tx>
            <c:strRef>
              <c:f>'Yearly Butadiene'!$A$73</c:f>
              <c:strCache>
                <c:ptCount val="1"/>
                <c:pt idx="0">
                  <c:v>Post R&amp;S and Recycling Butadiene Demand for PU &amp; other polymers &amp; other category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cat>
            <c:numRef>
              <c:f>'Yearly Butadiene'!$D$3:$AH$3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'Yearly HC Methanol'!#REF!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62-4F2D-A3D0-83DABAE509D8}"/>
            </c:ext>
          </c:extLst>
        </c:ser>
        <c:ser>
          <c:idx val="0"/>
          <c:order val="2"/>
          <c:tx>
            <c:strRef>
              <c:f>'Yearly BTX'!#REF!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val>
            <c:numRef>
              <c:f>'Yearly BTX'!#REF!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62-4F2D-A3D0-83DABAE509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098640"/>
        <c:axId val="385091568"/>
      </c:areaChart>
      <c:catAx>
        <c:axId val="385098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091568"/>
        <c:crosses val="autoZero"/>
        <c:auto val="1"/>
        <c:lblAlgn val="ctr"/>
        <c:lblOffset val="100"/>
        <c:noMultiLvlLbl val="1"/>
      </c:catAx>
      <c:valAx>
        <c:axId val="38509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0986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With R&amp;S and Recycling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'Yearly BTX'!$B$11</c:f>
              <c:strCache>
                <c:ptCount val="1"/>
                <c:pt idx="0">
                  <c:v>Fuel demand after R&amp;S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'Yearly BTX'!$D$3:$AH$3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'Yearly BTX'!$D$11:$AH$11</c:f>
              <c:numCache>
                <c:formatCode>_-* #,##0_-;\-* #,##0_-;_-* "-"??_-;_-@_-</c:formatCode>
                <c:ptCount val="4"/>
                <c:pt idx="0">
                  <c:v>43750.7454163523</c:v>
                </c:pt>
                <c:pt idx="1">
                  <c:v>35000.596333081841</c:v>
                </c:pt>
                <c:pt idx="2">
                  <c:v>13125.223624905691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02-47B6-AF2A-A3858E73BE95}"/>
            </c:ext>
          </c:extLst>
        </c:ser>
        <c:ser>
          <c:idx val="2"/>
          <c:order val="1"/>
          <c:tx>
            <c:strRef>
              <c:f>'Yearly BTX'!$A$115</c:f>
              <c:strCache>
                <c:ptCount val="1"/>
                <c:pt idx="0">
                  <c:v>Post R&amp;S and Recycling BTX Demand for PU &amp; other polymers &amp; other category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'Yearly BTX'!$D$3:$AH$3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'Yearly BTX'!$D$115:$AH$115</c:f>
              <c:numCache>
                <c:formatCode>_-* #,##0_-;\-* #,##0_-;_-* "-"??_-;_-@_-</c:formatCode>
                <c:ptCount val="4"/>
                <c:pt idx="0">
                  <c:v>4369539.7493458875</c:v>
                </c:pt>
                <c:pt idx="1">
                  <c:v>3811474.3586595636</c:v>
                </c:pt>
                <c:pt idx="2">
                  <c:v>2813910.0791741391</c:v>
                </c:pt>
                <c:pt idx="3">
                  <c:v>1797913.3369770341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02-47B6-AF2A-A3858E73BE95}"/>
            </c:ext>
          </c:extLst>
        </c:ser>
        <c:ser>
          <c:idx val="0"/>
          <c:order val="2"/>
          <c:tx>
            <c:strRef>
              <c:f>'Yearly BTX'!#REF!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val>
            <c:numRef>
              <c:f>'Yearly BTX'!#REF!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02-47B6-AF2A-A3858E73B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098640"/>
        <c:axId val="385091568"/>
      </c:areaChart>
      <c:catAx>
        <c:axId val="385098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091568"/>
        <c:crosses val="autoZero"/>
        <c:auto val="1"/>
        <c:lblAlgn val="ctr"/>
        <c:lblOffset val="100"/>
        <c:noMultiLvlLbl val="1"/>
      </c:catAx>
      <c:valAx>
        <c:axId val="385091568"/>
        <c:scaling>
          <c:orientation val="minMax"/>
          <c:max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0986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BAU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'Yearly BTX'!$B$9</c:f>
              <c:strCache>
                <c:ptCount val="1"/>
                <c:pt idx="0">
                  <c:v>Sector demand BAU (fuel)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numRef>
              <c:f>'Yearly BTX'!$D$3:$AH$3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'Yearly BTX'!$D$9:$AH$9</c:f>
              <c:numCache>
                <c:formatCode>_-* #,##0_-;\-* #,##0_-;_-* "-"??_-;_-@_-</c:formatCode>
                <c:ptCount val="4"/>
                <c:pt idx="0">
                  <c:v>43750.7454163523</c:v>
                </c:pt>
                <c:pt idx="1">
                  <c:v>43750.7454163523</c:v>
                </c:pt>
                <c:pt idx="2">
                  <c:v>43750.7454163523</c:v>
                </c:pt>
                <c:pt idx="3">
                  <c:v>43750.7454163523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06-4572-8E82-7FF1E3769EBF}"/>
            </c:ext>
          </c:extLst>
        </c:ser>
        <c:ser>
          <c:idx val="2"/>
          <c:order val="1"/>
          <c:tx>
            <c:strRef>
              <c:f>'Yearly BTX'!$A$115</c:f>
              <c:strCache>
                <c:ptCount val="1"/>
                <c:pt idx="0">
                  <c:v>Post R&amp;S and Recycling BTX Demand for PU &amp; other polymers &amp; other category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cat>
            <c:numRef>
              <c:f>'Yearly BTX'!$D$3:$AH$3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'Yearly HC Methanol'!#REF!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06-4572-8E82-7FF1E3769EBF}"/>
            </c:ext>
          </c:extLst>
        </c:ser>
        <c:ser>
          <c:idx val="0"/>
          <c:order val="2"/>
          <c:tx>
            <c:strRef>
              <c:f>'Yearly BTX'!#REF!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val>
            <c:numRef>
              <c:f>'Yearly BTX'!#REF!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06-4572-8E82-7FF1E3769E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098640"/>
        <c:axId val="385091568"/>
      </c:areaChart>
      <c:catAx>
        <c:axId val="385098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091568"/>
        <c:crosses val="autoZero"/>
        <c:auto val="1"/>
        <c:lblAlgn val="ctr"/>
        <c:lblOffset val="100"/>
        <c:noMultiLvlLbl val="1"/>
      </c:catAx>
      <c:valAx>
        <c:axId val="38509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0986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With R&amp;S and Recycling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5235891399712517E-2"/>
          <c:y val="0.11280843608380876"/>
          <c:w val="0.53801144990606564"/>
          <c:h val="0.8384170778022253"/>
        </c:manualLayout>
      </c:layout>
      <c:areaChart>
        <c:grouping val="stacked"/>
        <c:varyColors val="0"/>
        <c:ser>
          <c:idx val="1"/>
          <c:order val="0"/>
          <c:tx>
            <c:strRef>
              <c:f>'Yearly BTX'!$B$11</c:f>
              <c:strCache>
                <c:ptCount val="1"/>
                <c:pt idx="0">
                  <c:v>Fuel demand after R&amp;S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'Yearly BTX'!$D$3:$AH$3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'Yearly BTX'!$D$11:$AH$11</c:f>
              <c:numCache>
                <c:formatCode>_-* #,##0_-;\-* #,##0_-;_-* "-"??_-;_-@_-</c:formatCode>
                <c:ptCount val="4"/>
                <c:pt idx="0">
                  <c:v>43750.7454163523</c:v>
                </c:pt>
                <c:pt idx="1">
                  <c:v>35000.596333081841</c:v>
                </c:pt>
                <c:pt idx="2">
                  <c:v>13125.223624905691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BC-4A57-A26C-084B92BAA76B}"/>
            </c:ext>
          </c:extLst>
        </c:ser>
        <c:ser>
          <c:idx val="2"/>
          <c:order val="1"/>
          <c:tx>
            <c:strRef>
              <c:f>'Yearly BTX'!$A$104</c:f>
              <c:strCache>
                <c:ptCount val="1"/>
                <c:pt idx="0">
                  <c:v>Recycling Other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cat>
            <c:numRef>
              <c:f>'Yearly BTX'!$D$3:$AH$3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'Yearly BTX'!$D$109:$AH$109</c:f>
              <c:numCache>
                <c:formatCode>_-* #,##0_-;\-* #,##0_-;_-* "-"??_-;_-@_-</c:formatCode>
                <c:ptCount val="4"/>
                <c:pt idx="0">
                  <c:v>834656.37607689528</c:v>
                </c:pt>
                <c:pt idx="1">
                  <c:v>770226.27584552695</c:v>
                </c:pt>
                <c:pt idx="2">
                  <c:v>698965.11104093574</c:v>
                </c:pt>
                <c:pt idx="3">
                  <c:v>623050.71685285354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BC-4A57-A26C-084B92BAA76B}"/>
            </c:ext>
          </c:extLst>
        </c:ser>
        <c:ser>
          <c:idx val="3"/>
          <c:order val="2"/>
          <c:tx>
            <c:strRef>
              <c:f>'Yearly BTX'!$A$95</c:f>
              <c:strCache>
                <c:ptCount val="1"/>
                <c:pt idx="0">
                  <c:v>Recycling  Construction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val>
            <c:numRef>
              <c:f>'Yearly BTX'!$D$100:$AH$100</c:f>
              <c:numCache>
                <c:formatCode>_-* #,##0_-;\-* #,##0_-;_-* "-"??_-;_-@_-</c:formatCode>
                <c:ptCount val="4"/>
                <c:pt idx="0">
                  <c:v>464042.27888543304</c:v>
                </c:pt>
                <c:pt idx="1">
                  <c:v>342782.04875582317</c:v>
                </c:pt>
                <c:pt idx="2">
                  <c:v>219495.82237315111</c:v>
                </c:pt>
                <c:pt idx="3">
                  <c:v>100079.9740227435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BC-4A57-A26C-084B92BAA76B}"/>
            </c:ext>
          </c:extLst>
        </c:ser>
        <c:ser>
          <c:idx val="4"/>
          <c:order val="3"/>
          <c:tx>
            <c:strRef>
              <c:f>'Yearly HC Methanol'!#REF!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val>
            <c:numRef>
              <c:f>'Yearly BTX'!$D$91:$AH$91</c:f>
              <c:numCache>
                <c:formatCode>_-* #,##0_-;\-* #,##0_-;_-* "-"??_-;_-@_-</c:formatCode>
                <c:ptCount val="4"/>
                <c:pt idx="0">
                  <c:v>21819.41644865062</c:v>
                </c:pt>
                <c:pt idx="1">
                  <c:v>13318.682449102096</c:v>
                </c:pt>
                <c:pt idx="2">
                  <c:v>5091.835999059178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BC-4A57-A26C-084B92BAA76B}"/>
            </c:ext>
          </c:extLst>
        </c:ser>
        <c:ser>
          <c:idx val="5"/>
          <c:order val="4"/>
          <c:tx>
            <c:strRef>
              <c:f>'Yearly BTX'!$A$82</c:f>
              <c:strCache>
                <c:ptCount val="1"/>
                <c:pt idx="0">
                  <c:v>Recycling Automotive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val>
            <c:numRef>
              <c:f>'Yearly BTX'!$D$84:$AH$84</c:f>
              <c:numCache>
                <c:formatCode>_-* #,##0_-;\-* #,##0_-;_-* "-"??_-;_-@_-</c:formatCode>
                <c:ptCount val="4"/>
                <c:pt idx="0">
                  <c:v>149929.74661203282</c:v>
                </c:pt>
                <c:pt idx="1">
                  <c:v>143881.44644996902</c:v>
                </c:pt>
                <c:pt idx="2">
                  <c:v>121738.85284137759</c:v>
                </c:pt>
                <c:pt idx="3">
                  <c:v>64211.328449427368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BC-4A57-A26C-084B92BAA76B}"/>
            </c:ext>
          </c:extLst>
        </c:ser>
        <c:ser>
          <c:idx val="6"/>
          <c:order val="5"/>
          <c:tx>
            <c:strRef>
              <c:f>'Yearly BTX'!$A$75</c:f>
              <c:strCache>
                <c:ptCount val="1"/>
                <c:pt idx="0">
                  <c:v>Recycling Packaging and Consumer goods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val>
            <c:numRef>
              <c:f>'Yearly BTX'!$D$78:$AH$78</c:f>
              <c:numCache>
                <c:formatCode>_-* #,##0_-;\-* #,##0_-;_-* "-"??_-;_-@_-</c:formatCode>
                <c:ptCount val="4"/>
                <c:pt idx="0">
                  <c:v>2855341.1859065234</c:v>
                </c:pt>
                <c:pt idx="1">
                  <c:v>2506265.3088260614</c:v>
                </c:pt>
                <c:pt idx="2">
                  <c:v>1755493.2332947098</c:v>
                </c:pt>
                <c:pt idx="3">
                  <c:v>1002138.9967831713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BC-4A57-A26C-084B92BAA76B}"/>
            </c:ext>
          </c:extLst>
        </c:ser>
        <c:ser>
          <c:idx val="0"/>
          <c:order val="6"/>
          <c:tx>
            <c:strRef>
              <c:f>'Yearly BTX'!#REF!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val>
            <c:numRef>
              <c:f>'Yearly BTX'!#REF!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3BC-4A57-A26C-084B92BAA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098640"/>
        <c:axId val="385091568"/>
      </c:areaChart>
      <c:catAx>
        <c:axId val="385098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091568"/>
        <c:crosses val="autoZero"/>
        <c:auto val="1"/>
        <c:lblAlgn val="ctr"/>
        <c:lblOffset val="100"/>
        <c:noMultiLvlLbl val="1"/>
      </c:catAx>
      <c:valAx>
        <c:axId val="385091568"/>
        <c:scaling>
          <c:orientation val="minMax"/>
          <c:max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0986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With R&amp;S and Recycling</a:t>
            </a:r>
          </a:p>
        </c:rich>
      </c:tx>
      <c:layout>
        <c:manualLayout>
          <c:xMode val="edge"/>
          <c:yMode val="edge"/>
          <c:x val="1.9372161546896673E-2"/>
          <c:y val="0.555167573432626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'Yearly BTX'!$B$11</c:f>
              <c:strCache>
                <c:ptCount val="1"/>
                <c:pt idx="0">
                  <c:v>Fuel demand after R&amp;S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'Yearly BTX'!$D$3:$AH$3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'Yearly BTX'!$D$11:$AH$11</c:f>
              <c:numCache>
                <c:formatCode>_-* #,##0_-;\-* #,##0_-;_-* "-"??_-;_-@_-</c:formatCode>
                <c:ptCount val="4"/>
                <c:pt idx="0">
                  <c:v>43750.7454163523</c:v>
                </c:pt>
                <c:pt idx="1">
                  <c:v>35000.596333081841</c:v>
                </c:pt>
                <c:pt idx="2">
                  <c:v>13125.223624905691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CD-44C0-9BC9-2013D2EE277E}"/>
            </c:ext>
          </c:extLst>
        </c:ser>
        <c:ser>
          <c:idx val="2"/>
          <c:order val="1"/>
          <c:tx>
            <c:strRef>
              <c:f>'Yearly BTX'!$A$115</c:f>
              <c:strCache>
                <c:ptCount val="1"/>
                <c:pt idx="0">
                  <c:v>Post R&amp;S and Recycling BTX Demand for PU &amp; other polymers &amp; other category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'Yearly BTX'!$D$3:$AH$3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'Yearly BTX'!$D$115:$AH$115</c:f>
              <c:numCache>
                <c:formatCode>_-* #,##0_-;\-* #,##0_-;_-* "-"??_-;_-@_-</c:formatCode>
                <c:ptCount val="4"/>
                <c:pt idx="0">
                  <c:v>4369539.7493458875</c:v>
                </c:pt>
                <c:pt idx="1">
                  <c:v>3811474.3586595636</c:v>
                </c:pt>
                <c:pt idx="2">
                  <c:v>2813910.0791741391</c:v>
                </c:pt>
                <c:pt idx="3">
                  <c:v>1797913.3369770341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CD-44C0-9BC9-2013D2EE277E}"/>
            </c:ext>
          </c:extLst>
        </c:ser>
        <c:ser>
          <c:idx val="0"/>
          <c:order val="2"/>
          <c:tx>
            <c:strRef>
              <c:f>'Yearly BTX'!#REF!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val>
            <c:numRef>
              <c:f>'Yearly BTX'!#REF!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CD-44C0-9BC9-2013D2EE2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098640"/>
        <c:axId val="385091568"/>
      </c:areaChart>
      <c:catAx>
        <c:axId val="385098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091568"/>
        <c:crosses val="autoZero"/>
        <c:auto val="1"/>
        <c:lblAlgn val="ctr"/>
        <c:lblOffset val="100"/>
        <c:noMultiLvlLbl val="1"/>
      </c:catAx>
      <c:valAx>
        <c:axId val="385091568"/>
        <c:scaling>
          <c:orientation val="minMax"/>
          <c:max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0986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BAU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'Yearly BTX'!$B$9</c:f>
              <c:strCache>
                <c:ptCount val="1"/>
                <c:pt idx="0">
                  <c:v>Sector demand BAU (fuel)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numRef>
              <c:f>'Yearly BTX'!$D$3:$AH$3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'Yearly BTX'!$D$9:$AH$9</c:f>
              <c:numCache>
                <c:formatCode>_-* #,##0_-;\-* #,##0_-;_-* "-"??_-;_-@_-</c:formatCode>
                <c:ptCount val="4"/>
                <c:pt idx="0">
                  <c:v>43750.7454163523</c:v>
                </c:pt>
                <c:pt idx="1">
                  <c:v>43750.7454163523</c:v>
                </c:pt>
                <c:pt idx="2">
                  <c:v>43750.7454163523</c:v>
                </c:pt>
                <c:pt idx="3">
                  <c:v>43750.7454163523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FE-44B5-82A4-2FFFE5C8B36D}"/>
            </c:ext>
          </c:extLst>
        </c:ser>
        <c:ser>
          <c:idx val="2"/>
          <c:order val="1"/>
          <c:tx>
            <c:strRef>
              <c:f>'Yearly BTX'!$A$115</c:f>
              <c:strCache>
                <c:ptCount val="1"/>
                <c:pt idx="0">
                  <c:v>Post R&amp;S and Recycling BTX Demand for PU &amp; other polymers &amp; other category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cat>
            <c:numRef>
              <c:f>'Yearly BTX'!$D$3:$AH$3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'Yearly HC Methanol'!#REF!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FE-44B5-82A4-2FFFE5C8B36D}"/>
            </c:ext>
          </c:extLst>
        </c:ser>
        <c:ser>
          <c:idx val="0"/>
          <c:order val="2"/>
          <c:tx>
            <c:strRef>
              <c:f>'Yearly BTX'!#REF!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val>
            <c:numRef>
              <c:f>'Yearly BTX'!#REF!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FE-44B5-82A4-2FFFE5C8B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098640"/>
        <c:axId val="385091568"/>
      </c:areaChart>
      <c:catAx>
        <c:axId val="385098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091568"/>
        <c:crosses val="autoZero"/>
        <c:auto val="1"/>
        <c:lblAlgn val="ctr"/>
        <c:lblOffset val="100"/>
        <c:noMultiLvlLbl val="1"/>
      </c:catAx>
      <c:valAx>
        <c:axId val="38509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0986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With R&amp;S and Recycling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'Yearly Methanol'!$B$13</c:f>
              <c:strCache>
                <c:ptCount val="1"/>
                <c:pt idx="0">
                  <c:v>Fuel demand after R&amp;S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'Yearly Methanol'!$D$3:$AH$3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'Yearly Methanol'!$D$13:$AH$13</c:f>
              <c:numCache>
                <c:formatCode>0</c:formatCode>
                <c:ptCount val="4"/>
                <c:pt idx="0">
                  <c:v>28.065001267929215</c:v>
                </c:pt>
                <c:pt idx="1">
                  <c:v>28.184568502779875</c:v>
                </c:pt>
                <c:pt idx="2">
                  <c:v>13.26780240846481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DC-4C30-9689-4152E647D60E}"/>
            </c:ext>
          </c:extLst>
        </c:ser>
        <c:ser>
          <c:idx val="2"/>
          <c:order val="1"/>
          <c:tx>
            <c:strRef>
              <c:f>'Yearly Methanol'!$A$116</c:f>
              <c:strCache>
                <c:ptCount val="1"/>
                <c:pt idx="0">
                  <c:v>Post R&amp;S and Recycling Methanol Demand for PU &amp; other polymers &amp; other category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'Yearly Methanol'!$D$3:$AH$3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'Yearly Methanol'!$D$116:$AH$116</c:f>
              <c:numCache>
                <c:formatCode>0</c:formatCode>
                <c:ptCount val="4"/>
                <c:pt idx="0">
                  <c:v>70.960266702016895</c:v>
                </c:pt>
                <c:pt idx="1">
                  <c:v>-2725.6504839508007</c:v>
                </c:pt>
                <c:pt idx="2">
                  <c:v>-8614.2053803982635</c:v>
                </c:pt>
                <c:pt idx="3">
                  <c:v>-17616.010088084582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DC-4C30-9689-4152E647D60E}"/>
            </c:ext>
          </c:extLst>
        </c:ser>
        <c:ser>
          <c:idx val="0"/>
          <c:order val="2"/>
          <c:tx>
            <c:strRef>
              <c:f>'Yearly Methanol'!$A$5</c:f>
              <c:strCache>
                <c:ptCount val="1"/>
                <c:pt idx="0">
                  <c:v>MTO demand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val>
            <c:numRef>
              <c:f>'Yearly Methanol'!$D$5:$AH$5</c:f>
              <c:numCache>
                <c:formatCode>0</c:formatCode>
                <c:ptCount val="4"/>
                <c:pt idx="0">
                  <c:v>31.201972235932139</c:v>
                </c:pt>
                <c:pt idx="1">
                  <c:v>33.753695776335711</c:v>
                </c:pt>
                <c:pt idx="2">
                  <c:v>36.305419316739282</c:v>
                </c:pt>
                <c:pt idx="3">
                  <c:v>38.857142857142854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DC-4C30-9689-4152E647D6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098640"/>
        <c:axId val="385091568"/>
      </c:areaChart>
      <c:catAx>
        <c:axId val="385098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091568"/>
        <c:crosses val="autoZero"/>
        <c:auto val="1"/>
        <c:lblAlgn val="ctr"/>
        <c:lblOffset val="100"/>
        <c:noMultiLvlLbl val="1"/>
      </c:catAx>
      <c:valAx>
        <c:axId val="385091568"/>
        <c:scaling>
          <c:orientation val="minMax"/>
          <c:max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0986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BAU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'Yearly Methanol'!$B$11</c:f>
              <c:strCache>
                <c:ptCount val="1"/>
                <c:pt idx="0">
                  <c:v>Sector demand BAU (fuel)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numRef>
              <c:f>'Yearly Methanol'!$D$3:$AH$3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'Yearly Methanol'!$D$11:$AH$11</c:f>
              <c:numCache>
                <c:formatCode>0</c:formatCode>
                <c:ptCount val="4"/>
                <c:pt idx="0">
                  <c:v>28.065001267929215</c:v>
                </c:pt>
                <c:pt idx="1">
                  <c:v>35.230710628474846</c:v>
                </c:pt>
                <c:pt idx="2">
                  <c:v>44.226008028216022</c:v>
                </c:pt>
                <c:pt idx="3">
                  <c:v>55.518033874995439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87-4B96-8CF8-B3528C5C6A6E}"/>
            </c:ext>
          </c:extLst>
        </c:ser>
        <c:ser>
          <c:idx val="2"/>
          <c:order val="1"/>
          <c:tx>
            <c:strRef>
              <c:f>'Yearly Methanol'!$A$116</c:f>
              <c:strCache>
                <c:ptCount val="1"/>
                <c:pt idx="0">
                  <c:v>Post R&amp;S and Recycling Methanol Demand for PU &amp; other polymers &amp; other category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cat>
            <c:numRef>
              <c:f>'Yearly Methanol'!$D$3:$AH$3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'Yearly HC Methanol'!#REF!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87-4B96-8CF8-B3528C5C6A6E}"/>
            </c:ext>
          </c:extLst>
        </c:ser>
        <c:ser>
          <c:idx val="0"/>
          <c:order val="2"/>
          <c:tx>
            <c:strRef>
              <c:f>'Yearly Methanol'!$A$5</c:f>
              <c:strCache>
                <c:ptCount val="1"/>
                <c:pt idx="0">
                  <c:v>MTO demand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val>
            <c:numRef>
              <c:f>'Yearly Methanol'!$D$5:$AH$5</c:f>
              <c:numCache>
                <c:formatCode>0</c:formatCode>
                <c:ptCount val="4"/>
                <c:pt idx="0">
                  <c:v>31.201972235932139</c:v>
                </c:pt>
                <c:pt idx="1">
                  <c:v>33.753695776335711</c:v>
                </c:pt>
                <c:pt idx="2">
                  <c:v>36.305419316739282</c:v>
                </c:pt>
                <c:pt idx="3">
                  <c:v>38.857142857142854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87-4B96-8CF8-B3528C5C6A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098640"/>
        <c:axId val="385091568"/>
      </c:areaChart>
      <c:catAx>
        <c:axId val="385098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091568"/>
        <c:crosses val="autoZero"/>
        <c:auto val="1"/>
        <c:lblAlgn val="ctr"/>
        <c:lblOffset val="100"/>
        <c:noMultiLvlLbl val="1"/>
      </c:catAx>
      <c:valAx>
        <c:axId val="38509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0986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With R&amp;S and Recycling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5235891399712517E-2"/>
          <c:y val="0.11280843608380876"/>
          <c:w val="0.53801144990606564"/>
          <c:h val="0.8384170778022253"/>
        </c:manualLayout>
      </c:layout>
      <c:areaChart>
        <c:grouping val="stacked"/>
        <c:varyColors val="0"/>
        <c:ser>
          <c:idx val="1"/>
          <c:order val="0"/>
          <c:tx>
            <c:strRef>
              <c:f>'Yearly Methanol'!$B$13</c:f>
              <c:strCache>
                <c:ptCount val="1"/>
                <c:pt idx="0">
                  <c:v>Fuel demand after R&amp;S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'Yearly Methanol'!$D$3:$AH$3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'Yearly Methanol'!$D$13:$AH$13</c:f>
              <c:numCache>
                <c:formatCode>0</c:formatCode>
                <c:ptCount val="4"/>
                <c:pt idx="0">
                  <c:v>28.065001267929215</c:v>
                </c:pt>
                <c:pt idx="1">
                  <c:v>28.184568502779875</c:v>
                </c:pt>
                <c:pt idx="2">
                  <c:v>13.26780240846481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98-4836-A43C-3AFC2BFECB2E}"/>
            </c:ext>
          </c:extLst>
        </c:ser>
        <c:ser>
          <c:idx val="2"/>
          <c:order val="1"/>
          <c:tx>
            <c:strRef>
              <c:f>'Yearly Methanol'!$A$106</c:f>
              <c:strCache>
                <c:ptCount val="1"/>
                <c:pt idx="0">
                  <c:v>Recycling Other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cat>
            <c:numRef>
              <c:f>'Yearly Methanol'!$D$3:$AH$3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'Yearly Methanol'!$D$110:$AH$110</c:f>
              <c:numCache>
                <c:formatCode>0</c:formatCode>
                <c:ptCount val="4"/>
                <c:pt idx="0">
                  <c:v>28.986408735783659</c:v>
                </c:pt>
                <c:pt idx="1">
                  <c:v>-1772.5883808724091</c:v>
                </c:pt>
                <c:pt idx="2">
                  <c:v>-5059.340385665806</c:v>
                </c:pt>
                <c:pt idx="3">
                  <c:v>-8793.8209492078113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98-4836-A43C-3AFC2BFECB2E}"/>
            </c:ext>
          </c:extLst>
        </c:ser>
        <c:ser>
          <c:idx val="3"/>
          <c:order val="2"/>
          <c:tx>
            <c:strRef>
              <c:f>'Yearly Methanol'!$A$97</c:f>
              <c:strCache>
                <c:ptCount val="1"/>
                <c:pt idx="0">
                  <c:v>Recycling  Construction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val>
            <c:numRef>
              <c:f>'Yearly Methanol'!$D$102:$AH$102</c:f>
              <c:numCache>
                <c:formatCode>0</c:formatCode>
                <c:ptCount val="4"/>
                <c:pt idx="0">
                  <c:v>3.5915366975270882</c:v>
                </c:pt>
                <c:pt idx="1">
                  <c:v>-533.68430093205609</c:v>
                </c:pt>
                <c:pt idx="2">
                  <c:v>-1738.7288055027618</c:v>
                </c:pt>
                <c:pt idx="3">
                  <c:v>-3877.8662602092068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98-4836-A43C-3AFC2BFECB2E}"/>
            </c:ext>
          </c:extLst>
        </c:ser>
        <c:ser>
          <c:idx val="4"/>
          <c:order val="3"/>
          <c:tx>
            <c:strRef>
              <c:f>'Yearly HC Methanol'!#REF!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val>
            <c:numRef>
              <c:f>'Yearly Methanol'!$D$93:$AH$93</c:f>
              <c:numCache>
                <c:formatCode>0</c:formatCode>
                <c:ptCount val="4"/>
                <c:pt idx="0">
                  <c:v>5.8554420207598117E-7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698-4836-A43C-3AFC2BFECB2E}"/>
            </c:ext>
          </c:extLst>
        </c:ser>
        <c:ser>
          <c:idx val="5"/>
          <c:order val="4"/>
          <c:tx>
            <c:strRef>
              <c:f>'Yearly Methanol'!$A$84</c:f>
              <c:strCache>
                <c:ptCount val="1"/>
                <c:pt idx="0">
                  <c:v>Recycling Automotive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val>
            <c:numRef>
              <c:f>'Yearly Methanol'!$D$86:$AH$86</c:f>
              <c:numCache>
                <c:formatCode>0</c:formatCode>
                <c:ptCount val="4"/>
                <c:pt idx="0">
                  <c:v>8.3456504736096182</c:v>
                </c:pt>
                <c:pt idx="1">
                  <c:v>-158.48862477205259</c:v>
                </c:pt>
                <c:pt idx="2">
                  <c:v>-912.92529126599811</c:v>
                </c:pt>
                <c:pt idx="3">
                  <c:v>-2806.8147295255694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698-4836-A43C-3AFC2BFECB2E}"/>
            </c:ext>
          </c:extLst>
        </c:ser>
        <c:ser>
          <c:idx val="6"/>
          <c:order val="5"/>
          <c:tx>
            <c:strRef>
              <c:f>'Yearly Methanol'!$A$77</c:f>
              <c:strCache>
                <c:ptCount val="1"/>
                <c:pt idx="0">
                  <c:v>Recycling Packaging and Consumer goods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val>
            <c:numRef>
              <c:f>'Yearly Methanol'!$D$80:$AH$80</c:f>
              <c:numCache>
                <c:formatCode>0</c:formatCode>
                <c:ptCount val="4"/>
                <c:pt idx="0">
                  <c:v>1.971668941623115</c:v>
                </c:pt>
                <c:pt idx="1">
                  <c:v>-254.99974700174948</c:v>
                </c:pt>
                <c:pt idx="2">
                  <c:v>-836.63894363213103</c:v>
                </c:pt>
                <c:pt idx="3">
                  <c:v>-2010.2933761475895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698-4836-A43C-3AFC2BFECB2E}"/>
            </c:ext>
          </c:extLst>
        </c:ser>
        <c:ser>
          <c:idx val="0"/>
          <c:order val="6"/>
          <c:tx>
            <c:strRef>
              <c:f>'Yearly Methanol'!$A$5</c:f>
              <c:strCache>
                <c:ptCount val="1"/>
                <c:pt idx="0">
                  <c:v>MTO demand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val>
            <c:numRef>
              <c:f>'Yearly Methanol'!$D$5:$AH$5</c:f>
              <c:numCache>
                <c:formatCode>0</c:formatCode>
                <c:ptCount val="4"/>
                <c:pt idx="0">
                  <c:v>31.201972235932139</c:v>
                </c:pt>
                <c:pt idx="1">
                  <c:v>33.753695776335711</c:v>
                </c:pt>
                <c:pt idx="2">
                  <c:v>36.305419316739282</c:v>
                </c:pt>
                <c:pt idx="3">
                  <c:v>38.857142857142854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698-4836-A43C-3AFC2BFECB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098640"/>
        <c:axId val="385091568"/>
      </c:areaChart>
      <c:catAx>
        <c:axId val="385098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091568"/>
        <c:crosses val="autoZero"/>
        <c:auto val="1"/>
        <c:lblAlgn val="ctr"/>
        <c:lblOffset val="100"/>
        <c:noMultiLvlLbl val="1"/>
      </c:catAx>
      <c:valAx>
        <c:axId val="385091568"/>
        <c:scaling>
          <c:orientation val="minMax"/>
          <c:max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0986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With R&amp;S and Recycling</a:t>
            </a:r>
          </a:p>
        </c:rich>
      </c:tx>
      <c:layout>
        <c:manualLayout>
          <c:xMode val="edge"/>
          <c:yMode val="edge"/>
          <c:x val="1.9372161546896673E-2"/>
          <c:y val="0.555167573432626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'Yearly Methanol'!$B$13</c:f>
              <c:strCache>
                <c:ptCount val="1"/>
                <c:pt idx="0">
                  <c:v>Fuel demand after R&amp;S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'Yearly Methanol'!$D$3:$AH$3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'Yearly Methanol'!$D$13:$AH$13</c:f>
              <c:numCache>
                <c:formatCode>0</c:formatCode>
                <c:ptCount val="4"/>
                <c:pt idx="0">
                  <c:v>28.065001267929215</c:v>
                </c:pt>
                <c:pt idx="1">
                  <c:v>28.184568502779875</c:v>
                </c:pt>
                <c:pt idx="2">
                  <c:v>13.26780240846481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F4-4CE3-8E59-23817B559467}"/>
            </c:ext>
          </c:extLst>
        </c:ser>
        <c:ser>
          <c:idx val="2"/>
          <c:order val="1"/>
          <c:tx>
            <c:strRef>
              <c:f>'Yearly Methanol'!$A$116</c:f>
              <c:strCache>
                <c:ptCount val="1"/>
                <c:pt idx="0">
                  <c:v>Post R&amp;S and Recycling Methanol Demand for PU &amp; other polymers &amp; other category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'Yearly Methanol'!$D$3:$AH$3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'Yearly Methanol'!$D$116:$AH$116</c:f>
              <c:numCache>
                <c:formatCode>0</c:formatCode>
                <c:ptCount val="4"/>
                <c:pt idx="0">
                  <c:v>70.960266702016895</c:v>
                </c:pt>
                <c:pt idx="1">
                  <c:v>-2725.6504839508007</c:v>
                </c:pt>
                <c:pt idx="2">
                  <c:v>-8614.2053803982635</c:v>
                </c:pt>
                <c:pt idx="3">
                  <c:v>-17616.010088084582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F4-4CE3-8E59-23817B559467}"/>
            </c:ext>
          </c:extLst>
        </c:ser>
        <c:ser>
          <c:idx val="0"/>
          <c:order val="2"/>
          <c:tx>
            <c:strRef>
              <c:f>'Yearly Methanol'!$A$5</c:f>
              <c:strCache>
                <c:ptCount val="1"/>
                <c:pt idx="0">
                  <c:v>MTO demand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val>
            <c:numRef>
              <c:f>'Yearly Methanol'!$D$5:$AH$5</c:f>
              <c:numCache>
                <c:formatCode>0</c:formatCode>
                <c:ptCount val="4"/>
                <c:pt idx="0">
                  <c:v>31.201972235932139</c:v>
                </c:pt>
                <c:pt idx="1">
                  <c:v>33.753695776335711</c:v>
                </c:pt>
                <c:pt idx="2">
                  <c:v>36.305419316739282</c:v>
                </c:pt>
                <c:pt idx="3">
                  <c:v>38.857142857142854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F4-4CE3-8E59-23817B5594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098640"/>
        <c:axId val="385091568"/>
      </c:areaChart>
      <c:catAx>
        <c:axId val="385098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091568"/>
        <c:crosses val="autoZero"/>
        <c:auto val="1"/>
        <c:lblAlgn val="ctr"/>
        <c:lblOffset val="100"/>
        <c:noMultiLvlLbl val="1"/>
      </c:catAx>
      <c:valAx>
        <c:axId val="385091568"/>
        <c:scaling>
          <c:orientation val="minMax"/>
          <c:max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0986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BAU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'Yearly Methanol'!$B$11</c:f>
              <c:strCache>
                <c:ptCount val="1"/>
                <c:pt idx="0">
                  <c:v>Sector demand BAU (fuel)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numRef>
              <c:f>'Yearly Methanol'!$D$3:$AH$3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'Yearly Methanol'!$D$11:$AH$11</c:f>
              <c:numCache>
                <c:formatCode>0</c:formatCode>
                <c:ptCount val="4"/>
                <c:pt idx="0">
                  <c:v>28.065001267929215</c:v>
                </c:pt>
                <c:pt idx="1">
                  <c:v>35.230710628474846</c:v>
                </c:pt>
                <c:pt idx="2">
                  <c:v>44.226008028216022</c:v>
                </c:pt>
                <c:pt idx="3">
                  <c:v>55.518033874995439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88-40D7-B530-5F1F0555568E}"/>
            </c:ext>
          </c:extLst>
        </c:ser>
        <c:ser>
          <c:idx val="2"/>
          <c:order val="1"/>
          <c:tx>
            <c:strRef>
              <c:f>'Yearly Methanol'!$A$116</c:f>
              <c:strCache>
                <c:ptCount val="1"/>
                <c:pt idx="0">
                  <c:v>Post R&amp;S and Recycling Methanol Demand for PU &amp; other polymers &amp; other category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cat>
            <c:numRef>
              <c:f>'Yearly Methanol'!$D$3:$AH$3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'Yearly HC Methanol'!#REF!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88-40D7-B530-5F1F0555568E}"/>
            </c:ext>
          </c:extLst>
        </c:ser>
        <c:ser>
          <c:idx val="0"/>
          <c:order val="2"/>
          <c:tx>
            <c:strRef>
              <c:f>'Yearly Methanol'!$A$5</c:f>
              <c:strCache>
                <c:ptCount val="1"/>
                <c:pt idx="0">
                  <c:v>MTO demand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val>
            <c:numRef>
              <c:f>'Yearly Methanol'!$D$5:$AH$5</c:f>
              <c:numCache>
                <c:formatCode>0</c:formatCode>
                <c:ptCount val="4"/>
                <c:pt idx="0">
                  <c:v>31.201972235932139</c:v>
                </c:pt>
                <c:pt idx="1">
                  <c:v>33.753695776335711</c:v>
                </c:pt>
                <c:pt idx="2">
                  <c:v>36.305419316739282</c:v>
                </c:pt>
                <c:pt idx="3">
                  <c:v>38.857142857142854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88-40D7-B530-5F1F055556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098640"/>
        <c:axId val="385091568"/>
      </c:areaChart>
      <c:catAx>
        <c:axId val="385098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091568"/>
        <c:crosses val="autoZero"/>
        <c:auto val="1"/>
        <c:lblAlgn val="ctr"/>
        <c:lblOffset val="100"/>
        <c:noMultiLvlLbl val="1"/>
      </c:catAx>
      <c:valAx>
        <c:axId val="38509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0986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Auto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'Yearly LC Ethylene'!$B$12:$C$12</c:f>
              <c:strCache>
                <c:ptCount val="2"/>
                <c:pt idx="0">
                  <c:v>Sector demand BAU</c:v>
                </c:pt>
                <c:pt idx="1">
                  <c:v>m Tons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'Yearly LC Ethylene'!$D$3:$AH$3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'Yearly LC Ethylene'!$D$12:$AH$12</c:f>
              <c:numCache>
                <c:formatCode>_-* #,##0_-;\-* #,##0_-;_-* "-"??_-;_-@_-</c:formatCode>
                <c:ptCount val="4"/>
                <c:pt idx="0">
                  <c:v>93277.946794923075</c:v>
                </c:pt>
                <c:pt idx="1">
                  <c:v>110404.94028725027</c:v>
                </c:pt>
                <c:pt idx="2">
                  <c:v>130676.66322705477</c:v>
                </c:pt>
                <c:pt idx="3">
                  <c:v>154670.52713155717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04-416C-B23A-A219019CC417}"/>
            </c:ext>
          </c:extLst>
        </c:ser>
        <c:ser>
          <c:idx val="1"/>
          <c:order val="1"/>
          <c:tx>
            <c:strRef>
              <c:f>'Yearly LC Ethylene'!$B$19:$C$19</c:f>
              <c:strCache>
                <c:ptCount val="2"/>
                <c:pt idx="0">
                  <c:v>Sector demand Post R&amp;S</c:v>
                </c:pt>
                <c:pt idx="1">
                  <c:v>m Tons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'Yearly LC Ethylene'!$D$3:$AH$3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'Yearly LC Ethylene'!$D$19:$AH$19</c:f>
              <c:numCache>
                <c:formatCode>_-* #,##0_-;\-* #,##0_-;_-* "-"??_-;_-@_-</c:formatCode>
                <c:ptCount val="4"/>
                <c:pt idx="0">
                  <c:v>93277.946794923075</c:v>
                </c:pt>
                <c:pt idx="1">
                  <c:v>108517.56590095328</c:v>
                </c:pt>
                <c:pt idx="2">
                  <c:v>122772.11027444816</c:v>
                </c:pt>
                <c:pt idx="3">
                  <c:v>127148.06685745006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04-416C-B23A-A219019CC4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3520304"/>
        <c:axId val="1353512816"/>
      </c:lineChart>
      <c:catAx>
        <c:axId val="1353520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3512816"/>
        <c:crosses val="autoZero"/>
        <c:auto val="1"/>
        <c:lblAlgn val="ctr"/>
        <c:lblOffset val="100"/>
        <c:noMultiLvlLbl val="0"/>
      </c:catAx>
      <c:valAx>
        <c:axId val="135351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3520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Packaging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'Yearly LC Ethylene'!$B$26:$C$26</c:f>
              <c:strCache>
                <c:ptCount val="2"/>
                <c:pt idx="0">
                  <c:v>Sector demand BAU</c:v>
                </c:pt>
                <c:pt idx="1">
                  <c:v>m Tons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'Yearly LC Ethylene'!$D$3:$AH$3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'Yearly LC Ethylene'!$D$26:$AH$26</c:f>
              <c:numCache>
                <c:formatCode>_-* #,##0_-;\-* #,##0_-;_-* "-"??_-;_-@_-</c:formatCode>
                <c:ptCount val="4"/>
                <c:pt idx="0">
                  <c:v>360575.67443292518</c:v>
                </c:pt>
                <c:pt idx="1">
                  <c:v>360575.67443292518</c:v>
                </c:pt>
                <c:pt idx="2">
                  <c:v>360575.67443292518</c:v>
                </c:pt>
                <c:pt idx="3">
                  <c:v>360575.67443292518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04-416C-B23A-A219019CC417}"/>
            </c:ext>
          </c:extLst>
        </c:ser>
        <c:ser>
          <c:idx val="1"/>
          <c:order val="1"/>
          <c:tx>
            <c:strRef>
              <c:f>'Yearly LC Ethylene'!$B$33:$C$33</c:f>
              <c:strCache>
                <c:ptCount val="2"/>
                <c:pt idx="0">
                  <c:v>Sector demand Post R&amp;S</c:v>
                </c:pt>
                <c:pt idx="1">
                  <c:v>m Tons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'Yearly LC Ethylene'!$D$3:$AH$3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'Yearly LC Ethylene'!$D$33:$AH$33</c:f>
              <c:numCache>
                <c:formatCode>_-* #,##0_-;\-* #,##0_-;_-* "-"??_-;_-@_-</c:formatCode>
                <c:ptCount val="4"/>
                <c:pt idx="0">
                  <c:v>360575.67443292518</c:v>
                </c:pt>
                <c:pt idx="1">
                  <c:v>322063.45202836307</c:v>
                </c:pt>
                <c:pt idx="2">
                  <c:v>256161.88336509225</c:v>
                </c:pt>
                <c:pt idx="3">
                  <c:v>184106.33360870724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04-416C-B23A-A219019CC4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3520304"/>
        <c:axId val="1353512816"/>
      </c:lineChart>
      <c:catAx>
        <c:axId val="1353520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3512816"/>
        <c:crosses val="autoZero"/>
        <c:auto val="1"/>
        <c:lblAlgn val="ctr"/>
        <c:lblOffset val="100"/>
        <c:noMultiLvlLbl val="0"/>
      </c:catAx>
      <c:valAx>
        <c:axId val="135351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3520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Consturction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'Yearly LC Ethylene'!$B$40:$C$40</c:f>
              <c:strCache>
                <c:ptCount val="2"/>
                <c:pt idx="0">
                  <c:v>Sector demand BAU</c:v>
                </c:pt>
                <c:pt idx="1">
                  <c:v>m Tons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'Yearly LC Ethylene'!$D$3:$AH$3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'Yearly LC Ethylene'!$D$40:$AH$40</c:f>
              <c:numCache>
                <c:formatCode>_-* #,##0_-;\-* #,##0_-;_-* "-"??_-;_-@_-</c:formatCode>
                <c:ptCount val="4"/>
                <c:pt idx="0">
                  <c:v>201906.27397932502</c:v>
                </c:pt>
                <c:pt idx="1">
                  <c:v>201906.27397932502</c:v>
                </c:pt>
                <c:pt idx="2">
                  <c:v>201906.27397932502</c:v>
                </c:pt>
                <c:pt idx="3">
                  <c:v>201906.27397932502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04-416C-B23A-A219019CC417}"/>
            </c:ext>
          </c:extLst>
        </c:ser>
        <c:ser>
          <c:idx val="1"/>
          <c:order val="1"/>
          <c:tx>
            <c:strRef>
              <c:f>'Yearly LC Ethylene'!$B$43:$C$43</c:f>
              <c:strCache>
                <c:ptCount val="2"/>
                <c:pt idx="0">
                  <c:v>Sector demand Post R&amp;S</c:v>
                </c:pt>
                <c:pt idx="1">
                  <c:v>m Tons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'Yearly LC Ethylene'!$D$3:$AH$3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'Yearly LC Ethylene'!$D$43:$AH$43</c:f>
              <c:numCache>
                <c:formatCode>_-* #,##0_-;\-* #,##0_-;_-* "-"??_-;_-@_-</c:formatCode>
                <c:ptCount val="4"/>
                <c:pt idx="0">
                  <c:v>201906.27397932502</c:v>
                </c:pt>
                <c:pt idx="1">
                  <c:v>180793.77907989157</c:v>
                </c:pt>
                <c:pt idx="2">
                  <c:v>159681.28418045808</c:v>
                </c:pt>
                <c:pt idx="3">
                  <c:v>137929.01670831451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04-416C-B23A-A219019CC4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3520304"/>
        <c:axId val="1353512816"/>
      </c:lineChart>
      <c:catAx>
        <c:axId val="1353520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3512816"/>
        <c:crosses val="autoZero"/>
        <c:auto val="1"/>
        <c:lblAlgn val="ctr"/>
        <c:lblOffset val="100"/>
        <c:noMultiLvlLbl val="0"/>
      </c:catAx>
      <c:valAx>
        <c:axId val="135351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3520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Textile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'Yearly LC Ethylene'!$B$50:$C$50</c:f>
              <c:strCache>
                <c:ptCount val="2"/>
                <c:pt idx="0">
                  <c:v>Sector demand BAU</c:v>
                </c:pt>
                <c:pt idx="1">
                  <c:v>m Tons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'Yearly LC Ethylene'!$D$3:$AH$3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'Yearly LC Ethylene'!$D$50:$AH$50</c:f>
              <c:numCache>
                <c:formatCode>_-* #,##0_-;\-* #,##0_-;_-* "-"??_-;_-@_-</c:formatCode>
                <c:ptCount val="4"/>
                <c:pt idx="0">
                  <c:v>5757.6219164365802</c:v>
                </c:pt>
                <c:pt idx="1">
                  <c:v>5757.6219164365802</c:v>
                </c:pt>
                <c:pt idx="2">
                  <c:v>5757.6219164365802</c:v>
                </c:pt>
                <c:pt idx="3">
                  <c:v>5757.6219164365802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04-416C-B23A-A219019CC417}"/>
            </c:ext>
          </c:extLst>
        </c:ser>
        <c:ser>
          <c:idx val="1"/>
          <c:order val="1"/>
          <c:tx>
            <c:strRef>
              <c:f>'Yearly LC Ethylene'!$B$55:$C$55</c:f>
              <c:strCache>
                <c:ptCount val="2"/>
                <c:pt idx="0">
                  <c:v>Sector demand Post R&amp;S</c:v>
                </c:pt>
                <c:pt idx="1">
                  <c:v>m Tons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'Yearly LC Ethylene'!$D$3:$AH$3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'Yearly LC Ethylene'!$D$55:$AH$55</c:f>
              <c:numCache>
                <c:formatCode>_-* #,##0_-;\-* #,##0_-;_-* "-"??_-;_-@_-</c:formatCode>
                <c:ptCount val="4"/>
                <c:pt idx="0">
                  <c:v>5757.6219164365802</c:v>
                </c:pt>
                <c:pt idx="1">
                  <c:v>4868.069330347128</c:v>
                </c:pt>
                <c:pt idx="2">
                  <c:v>4240.488541455542</c:v>
                </c:pt>
                <c:pt idx="3">
                  <c:v>3483.3612594441311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04-416C-B23A-A219019CC4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3520304"/>
        <c:axId val="1353512816"/>
      </c:lineChart>
      <c:catAx>
        <c:axId val="1353520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3512816"/>
        <c:crosses val="autoZero"/>
        <c:auto val="1"/>
        <c:lblAlgn val="ctr"/>
        <c:lblOffset val="100"/>
        <c:noMultiLvlLbl val="0"/>
      </c:catAx>
      <c:valAx>
        <c:axId val="135351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3520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'R&amp;S - Transportation'!$V$28</c:f>
              <c:strCache>
                <c:ptCount val="1"/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'R&amp;S - Transportation'!$A$4:$A$13</c:f>
              <c:strCache>
                <c:ptCount val="10"/>
                <c:pt idx="0">
                  <c:v>Demand 2020</c:v>
                </c:pt>
                <c:pt idx="1">
                  <c:v>Economic &amp; Population Growth</c:v>
                </c:pt>
                <c:pt idx="2">
                  <c:v>Fuel demand growth</c:v>
                </c:pt>
                <c:pt idx="3">
                  <c:v>BAU 2050</c:v>
                </c:pt>
                <c:pt idx="4">
                  <c:v>Switch from ICE to EV (Plastics increase)</c:v>
                </c:pt>
                <c:pt idx="5">
                  <c:v>Switch from ICE to EV (Fuel demand reduction)</c:v>
                </c:pt>
                <c:pt idx="6">
                  <c:v>MaaS</c:v>
                </c:pt>
                <c:pt idx="7">
                  <c:v>Life Extension</c:v>
                </c:pt>
                <c:pt idx="8">
                  <c:v>Substitution in cars</c:v>
                </c:pt>
                <c:pt idx="9">
                  <c:v>NZ/CE 2050</c:v>
                </c:pt>
              </c:strCache>
            </c:strRef>
          </c:cat>
          <c:val>
            <c:numRef>
              <c:f>'R&amp;S - Transportation'!$V$29:$V$36</c:f>
              <c:numCache>
                <c:formatCode>General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0-C3DE-4828-9CD4-25E778DE3D89}"/>
            </c:ext>
          </c:extLst>
        </c:ser>
        <c:ser>
          <c:idx val="1"/>
          <c:order val="1"/>
          <c:tx>
            <c:strRef>
              <c:f>'R&amp;S - Transportation'!$W$28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'R&amp;S - Transportation'!$A$4:$A$13</c:f>
              <c:strCache>
                <c:ptCount val="10"/>
                <c:pt idx="0">
                  <c:v>Demand 2020</c:v>
                </c:pt>
                <c:pt idx="1">
                  <c:v>Economic &amp; Population Growth</c:v>
                </c:pt>
                <c:pt idx="2">
                  <c:v>Fuel demand growth</c:v>
                </c:pt>
                <c:pt idx="3">
                  <c:v>BAU 2050</c:v>
                </c:pt>
                <c:pt idx="4">
                  <c:v>Switch from ICE to EV (Plastics increase)</c:v>
                </c:pt>
                <c:pt idx="5">
                  <c:v>Switch from ICE to EV (Fuel demand reduction)</c:v>
                </c:pt>
                <c:pt idx="6">
                  <c:v>MaaS</c:v>
                </c:pt>
                <c:pt idx="7">
                  <c:v>Life Extension</c:v>
                </c:pt>
                <c:pt idx="8">
                  <c:v>Substitution in cars</c:v>
                </c:pt>
                <c:pt idx="9">
                  <c:v>NZ/CE 2050</c:v>
                </c:pt>
              </c:strCache>
            </c:strRef>
          </c:cat>
          <c:val>
            <c:numRef>
              <c:f>'R&amp;S - Transportation'!$W$29:$W$36</c:f>
              <c:numCache>
                <c:formatCode>General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1-C3DE-4828-9CD4-25E778DE3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960976"/>
        <c:axId val="108961392"/>
      </c:barChart>
      <c:catAx>
        <c:axId val="108960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61392"/>
        <c:crosses val="autoZero"/>
        <c:auto val="1"/>
        <c:lblAlgn val="ctr"/>
        <c:lblOffset val="100"/>
        <c:noMultiLvlLbl val="0"/>
      </c:catAx>
      <c:valAx>
        <c:axId val="1089613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60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4" Type="http://schemas.openxmlformats.org/officeDocument/2006/relationships/chart" Target="../charts/chart19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eg"/><Relationship Id="rId2" Type="http://schemas.openxmlformats.org/officeDocument/2006/relationships/image" Target="../media/image6.jpeg"/><Relationship Id="rId1" Type="http://schemas.openxmlformats.org/officeDocument/2006/relationships/image" Target="../media/image5.jpe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gif"/><Relationship Id="rId2" Type="http://schemas.openxmlformats.org/officeDocument/2006/relationships/image" Target="../media/image8.jpeg"/><Relationship Id="rId1" Type="http://schemas.openxmlformats.org/officeDocument/2006/relationships/image" Target="../media/image6.jpeg"/><Relationship Id="rId4" Type="http://schemas.openxmlformats.org/officeDocument/2006/relationships/image" Target="../media/image10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jpeg"/><Relationship Id="rId3" Type="http://schemas.openxmlformats.org/officeDocument/2006/relationships/image" Target="../media/image14.png"/><Relationship Id="rId7" Type="http://schemas.openxmlformats.org/officeDocument/2006/relationships/image" Target="../media/image18.jpe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jpeg"/><Relationship Id="rId5" Type="http://schemas.openxmlformats.org/officeDocument/2006/relationships/image" Target="../media/image16.png"/><Relationship Id="rId10" Type="http://schemas.openxmlformats.org/officeDocument/2006/relationships/image" Target="../media/image21.jpeg"/><Relationship Id="rId4" Type="http://schemas.openxmlformats.org/officeDocument/2006/relationships/image" Target="../media/image15.png"/><Relationship Id="rId9" Type="http://schemas.openxmlformats.org/officeDocument/2006/relationships/image" Target="../media/image20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jpeg"/><Relationship Id="rId4" Type="http://schemas.openxmlformats.org/officeDocument/2006/relationships/image" Target="../media/image28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jpe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jpeg"/><Relationship Id="rId4" Type="http://schemas.openxmlformats.org/officeDocument/2006/relationships/image" Target="../media/image28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jpe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jpeg"/><Relationship Id="rId1" Type="http://schemas.openxmlformats.org/officeDocument/2006/relationships/image" Target="../media/image29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jpeg"/><Relationship Id="rId1" Type="http://schemas.openxmlformats.org/officeDocument/2006/relationships/image" Target="../media/image29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jpeg"/><Relationship Id="rId1" Type="http://schemas.openxmlformats.org/officeDocument/2006/relationships/image" Target="../media/image29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jpeg"/><Relationship Id="rId1" Type="http://schemas.openxmlformats.org/officeDocument/2006/relationships/image" Target="../media/image29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jpeg"/><Relationship Id="rId1" Type="http://schemas.openxmlformats.org/officeDocument/2006/relationships/image" Target="../media/image29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jpeg"/><Relationship Id="rId1" Type="http://schemas.openxmlformats.org/officeDocument/2006/relationships/image" Target="../media/image29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30.jpe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82</xdr:row>
      <xdr:rowOff>80818</xdr:rowOff>
    </xdr:from>
    <xdr:to>
      <xdr:col>14</xdr:col>
      <xdr:colOff>0</xdr:colOff>
      <xdr:row>95</xdr:row>
      <xdr:rowOff>51254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394267-16BF-4C2A-8256-53FAF94A79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334818</xdr:colOff>
      <xdr:row>81</xdr:row>
      <xdr:rowOff>154585</xdr:rowOff>
    </xdr:from>
    <xdr:to>
      <xdr:col>33</xdr:col>
      <xdr:colOff>334818</xdr:colOff>
      <xdr:row>107</xdr:row>
      <xdr:rowOff>99703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E4C9ED-3847-44FF-8154-3E21A585F9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523748</xdr:colOff>
      <xdr:row>85</xdr:row>
      <xdr:rowOff>68530</xdr:rowOff>
    </xdr:from>
    <xdr:to>
      <xdr:col>3</xdr:col>
      <xdr:colOff>1258454</xdr:colOff>
      <xdr:row>111</xdr:row>
      <xdr:rowOff>4123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ACC855-12A0-4DA0-8B78-5E7C550E87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230910</xdr:colOff>
      <xdr:row>82</xdr:row>
      <xdr:rowOff>61109</xdr:rowOff>
    </xdr:from>
    <xdr:to>
      <xdr:col>35</xdr:col>
      <xdr:colOff>230910</xdr:colOff>
      <xdr:row>107</xdr:row>
      <xdr:rowOff>178254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493F456-1DFD-4FF9-98C0-EF0D37B705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35</xdr:col>
      <xdr:colOff>600363</xdr:colOff>
      <xdr:row>82</xdr:row>
      <xdr:rowOff>16040</xdr:rowOff>
    </xdr:from>
    <xdr:to>
      <xdr:col>35</xdr:col>
      <xdr:colOff>1212272</xdr:colOff>
      <xdr:row>107</xdr:row>
      <xdr:rowOff>145885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E729578-B025-4130-89A0-F4995783D5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130</xdr:row>
      <xdr:rowOff>80818</xdr:rowOff>
    </xdr:from>
    <xdr:to>
      <xdr:col>14</xdr:col>
      <xdr:colOff>0</xdr:colOff>
      <xdr:row>143</xdr:row>
      <xdr:rowOff>51254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D9ECAC-05F3-47DC-96A1-709BCBF7EB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334818</xdr:colOff>
      <xdr:row>129</xdr:row>
      <xdr:rowOff>154585</xdr:rowOff>
    </xdr:from>
    <xdr:to>
      <xdr:col>33</xdr:col>
      <xdr:colOff>334818</xdr:colOff>
      <xdr:row>155</xdr:row>
      <xdr:rowOff>99703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C836FE-8B8B-4932-A9FF-DF30871543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523748</xdr:colOff>
      <xdr:row>133</xdr:row>
      <xdr:rowOff>68530</xdr:rowOff>
    </xdr:from>
    <xdr:to>
      <xdr:col>3</xdr:col>
      <xdr:colOff>1258454</xdr:colOff>
      <xdr:row>159</xdr:row>
      <xdr:rowOff>4123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CEBCBE-4EB6-4E5A-830C-E19341EBB9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230910</xdr:colOff>
      <xdr:row>130</xdr:row>
      <xdr:rowOff>61109</xdr:rowOff>
    </xdr:from>
    <xdr:to>
      <xdr:col>35</xdr:col>
      <xdr:colOff>230910</xdr:colOff>
      <xdr:row>155</xdr:row>
      <xdr:rowOff>178254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CF4A858-CB6F-4A30-B6FB-329E0360AE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35</xdr:col>
      <xdr:colOff>600363</xdr:colOff>
      <xdr:row>130</xdr:row>
      <xdr:rowOff>16040</xdr:rowOff>
    </xdr:from>
    <xdr:to>
      <xdr:col>35</xdr:col>
      <xdr:colOff>1212272</xdr:colOff>
      <xdr:row>155</xdr:row>
      <xdr:rowOff>145885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8E610E7-0F6D-484E-AF9D-E1DF441835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132</xdr:row>
      <xdr:rowOff>80818</xdr:rowOff>
    </xdr:from>
    <xdr:to>
      <xdr:col>14</xdr:col>
      <xdr:colOff>0</xdr:colOff>
      <xdr:row>145</xdr:row>
      <xdr:rowOff>51254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525421-2458-4324-B274-14A212BB62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334818</xdr:colOff>
      <xdr:row>131</xdr:row>
      <xdr:rowOff>154585</xdr:rowOff>
    </xdr:from>
    <xdr:to>
      <xdr:col>33</xdr:col>
      <xdr:colOff>334818</xdr:colOff>
      <xdr:row>157</xdr:row>
      <xdr:rowOff>99703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27AA4F-1B68-40DF-9FEA-84EC481475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523748</xdr:colOff>
      <xdr:row>135</xdr:row>
      <xdr:rowOff>68530</xdr:rowOff>
    </xdr:from>
    <xdr:to>
      <xdr:col>3</xdr:col>
      <xdr:colOff>1258454</xdr:colOff>
      <xdr:row>161</xdr:row>
      <xdr:rowOff>4123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1C9467-BC72-4D89-9E4C-CDFB3857F4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230910</xdr:colOff>
      <xdr:row>132</xdr:row>
      <xdr:rowOff>61109</xdr:rowOff>
    </xdr:from>
    <xdr:to>
      <xdr:col>35</xdr:col>
      <xdr:colOff>230910</xdr:colOff>
      <xdr:row>157</xdr:row>
      <xdr:rowOff>178254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4B21095-07C6-44BD-8338-C770367D0A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35</xdr:col>
      <xdr:colOff>600363</xdr:colOff>
      <xdr:row>132</xdr:row>
      <xdr:rowOff>16040</xdr:rowOff>
    </xdr:from>
    <xdr:to>
      <xdr:col>35</xdr:col>
      <xdr:colOff>1212272</xdr:colOff>
      <xdr:row>157</xdr:row>
      <xdr:rowOff>145885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4E31061-712C-4B70-BC87-4C4865FA1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73</xdr:col>
      <xdr:colOff>206838</xdr:colOff>
      <xdr:row>10</xdr:row>
      <xdr:rowOff>108858</xdr:rowOff>
    </xdr:from>
    <xdr:to>
      <xdr:col>80</xdr:col>
      <xdr:colOff>511638</xdr:colOff>
      <xdr:row>31</xdr:row>
      <xdr:rowOff>76201</xdr:rowOff>
    </xdr:to>
    <xdr:graphicFrame macro="">
      <xdr:nvGraphicFramePr>
        <xdr:cNvPr id="67" name="Chart 8">
          <a:extLst>
            <a:ext uri="{FF2B5EF4-FFF2-40B4-BE49-F238E27FC236}">
              <a16:creationId xmlns:a16="http://schemas.microsoft.com/office/drawing/2014/main" id="{5B12B90C-B853-405D-8621-A73DCF9921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49</xdr:col>
      <xdr:colOff>43553</xdr:colOff>
      <xdr:row>11</xdr:row>
      <xdr:rowOff>21771</xdr:rowOff>
    </xdr:from>
    <xdr:to>
      <xdr:col>56</xdr:col>
      <xdr:colOff>348353</xdr:colOff>
      <xdr:row>31</xdr:row>
      <xdr:rowOff>174171</xdr:rowOff>
    </xdr:to>
    <xdr:graphicFrame macro="">
      <xdr:nvGraphicFramePr>
        <xdr:cNvPr id="35" name="Chart 9">
          <a:extLst>
            <a:ext uri="{FF2B5EF4-FFF2-40B4-BE49-F238E27FC236}">
              <a16:creationId xmlns:a16="http://schemas.microsoft.com/office/drawing/2014/main" id="{677E1165-F4CE-43E7-8593-7092AA0BC0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57</xdr:col>
      <xdr:colOff>10</xdr:colOff>
      <xdr:row>10</xdr:row>
      <xdr:rowOff>163285</xdr:rowOff>
    </xdr:from>
    <xdr:to>
      <xdr:col>64</xdr:col>
      <xdr:colOff>304810</xdr:colOff>
      <xdr:row>31</xdr:row>
      <xdr:rowOff>130628</xdr:rowOff>
    </xdr:to>
    <xdr:graphicFrame macro="">
      <xdr:nvGraphicFramePr>
        <xdr:cNvPr id="55" name="Chart 10">
          <a:extLst>
            <a:ext uri="{FF2B5EF4-FFF2-40B4-BE49-F238E27FC236}">
              <a16:creationId xmlns:a16="http://schemas.microsoft.com/office/drawing/2014/main" id="{F8AE1E52-C7EF-4A42-A67F-C6F6C6D647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64</xdr:col>
      <xdr:colOff>533410</xdr:colOff>
      <xdr:row>10</xdr:row>
      <xdr:rowOff>119742</xdr:rowOff>
    </xdr:from>
    <xdr:to>
      <xdr:col>72</xdr:col>
      <xdr:colOff>228610</xdr:colOff>
      <xdr:row>31</xdr:row>
      <xdr:rowOff>87085</xdr:rowOff>
    </xdr:to>
    <xdr:graphicFrame macro="">
      <xdr:nvGraphicFramePr>
        <xdr:cNvPr id="66" name="Chart 11">
          <a:extLst>
            <a:ext uri="{FF2B5EF4-FFF2-40B4-BE49-F238E27FC236}">
              <a16:creationId xmlns:a16="http://schemas.microsoft.com/office/drawing/2014/main" id="{05534BEB-C8A7-4244-AD1C-E8C97555C1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700434</xdr:colOff>
      <xdr:row>31</xdr:row>
      <xdr:rowOff>0</xdr:rowOff>
    </xdr:from>
    <xdr:to>
      <xdr:col>42</xdr:col>
      <xdr:colOff>451456</xdr:colOff>
      <xdr:row>43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4C3F359-AED2-484F-9E7C-442D0E79E5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1934" y="5852160"/>
          <a:ext cx="3140046" cy="2346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609600</xdr:colOff>
      <xdr:row>46</xdr:row>
      <xdr:rowOff>138422</xdr:rowOff>
    </xdr:from>
    <xdr:to>
      <xdr:col>48</xdr:col>
      <xdr:colOff>14605</xdr:colOff>
      <xdr:row>63</xdr:row>
      <xdr:rowOff>22860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ED7F1B1-4389-4E46-8C08-0D857B89F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11100" y="8733782"/>
          <a:ext cx="6309360" cy="29933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313978</xdr:colOff>
      <xdr:row>33</xdr:row>
      <xdr:rowOff>154346</xdr:rowOff>
    </xdr:from>
    <xdr:to>
      <xdr:col>33</xdr:col>
      <xdr:colOff>403630</xdr:colOff>
      <xdr:row>51</xdr:row>
      <xdr:rowOff>1434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300903-E68D-47F4-ACA9-56F426387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367403" y="6136046"/>
          <a:ext cx="6795252" cy="3161788"/>
        </a:xfrm>
        <a:prstGeom prst="rect">
          <a:avLst/>
        </a:prstGeom>
      </xdr:spPr>
    </xdr:pic>
    <xdr:clientData/>
  </xdr:twoCellAnchor>
  <xdr:twoCellAnchor editAs="oneCell">
    <xdr:from>
      <xdr:col>14</xdr:col>
      <xdr:colOff>287300</xdr:colOff>
      <xdr:row>28</xdr:row>
      <xdr:rowOff>119048</xdr:rowOff>
    </xdr:from>
    <xdr:to>
      <xdr:col>21</xdr:col>
      <xdr:colOff>332836</xdr:colOff>
      <xdr:row>57</xdr:row>
      <xdr:rowOff>148247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9B8DFE8-37B8-4D09-843C-A9B9297D7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08000" y="5208573"/>
          <a:ext cx="4312736" cy="535684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1107292</xdr:colOff>
      <xdr:row>5</xdr:row>
      <xdr:rowOff>44450</xdr:rowOff>
    </xdr:from>
    <xdr:to>
      <xdr:col>8</xdr:col>
      <xdr:colOff>695325</xdr:colOff>
      <xdr:row>26</xdr:row>
      <xdr:rowOff>6350</xdr:rowOff>
    </xdr:to>
    <xdr:pic>
      <xdr:nvPicPr>
        <xdr:cNvPr id="8" name="Picture 1">
          <a:extLst>
            <a:ext uri="{FF2B5EF4-FFF2-40B4-BE49-F238E27FC236}">
              <a16:creationId xmlns:a16="http://schemas.microsoft.com/office/drawing/2014/main" id="{B0E7B293-D2EC-4D01-BF30-97D94F4578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5092" y="965200"/>
          <a:ext cx="4071133" cy="3829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203005</xdr:colOff>
      <xdr:row>0</xdr:row>
      <xdr:rowOff>0</xdr:rowOff>
    </xdr:from>
    <xdr:to>
      <xdr:col>33</xdr:col>
      <xdr:colOff>190807</xdr:colOff>
      <xdr:row>17</xdr:row>
      <xdr:rowOff>45720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81D3D0-9024-4A92-805C-5BABD8B093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551185" y="0"/>
          <a:ext cx="4255002" cy="31546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246964</xdr:colOff>
      <xdr:row>5</xdr:row>
      <xdr:rowOff>6350</xdr:rowOff>
    </xdr:from>
    <xdr:to>
      <xdr:col>11</xdr:col>
      <xdr:colOff>9526</xdr:colOff>
      <xdr:row>14</xdr:row>
      <xdr:rowOff>44450</xdr:rowOff>
    </xdr:to>
    <xdr:pic>
      <xdr:nvPicPr>
        <xdr:cNvPr id="7" name="Picture 3" descr="Benzene and methylbenzenes">
          <a:extLst>
            <a:ext uri="{FF2B5EF4-FFF2-40B4-BE49-F238E27FC236}">
              <a16:creationId xmlns:a16="http://schemas.microsoft.com/office/drawing/2014/main" id="{4CB23C9F-CBE8-4168-900A-23CF98D16A15}"/>
            </a:ext>
            <a:ext uri="{147F2762-F138-4A5C-976F-8EAC2B608ADB}">
              <a16:predDERef xmlns:a16="http://schemas.microsoft.com/office/drawing/2014/main" pred="{4281D3D0-9024-4A92-805C-5BABD8B093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48439" y="911225"/>
          <a:ext cx="1826312" cy="167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601673</xdr:colOff>
      <xdr:row>2</xdr:row>
      <xdr:rowOff>83820</xdr:rowOff>
    </xdr:from>
    <xdr:to>
      <xdr:col>35</xdr:col>
      <xdr:colOff>350520</xdr:colOff>
      <xdr:row>28</xdr:row>
      <xdr:rowOff>114300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81A68F39-13E5-4E32-A4BD-F6AA8FE07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14473" y="449580"/>
          <a:ext cx="6454447" cy="47853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1809750</xdr:colOff>
      <xdr:row>1</xdr:row>
      <xdr:rowOff>25401</xdr:rowOff>
    </xdr:from>
    <xdr:to>
      <xdr:col>9</xdr:col>
      <xdr:colOff>476250</xdr:colOff>
      <xdr:row>12</xdr:row>
      <xdr:rowOff>66676</xdr:rowOff>
    </xdr:to>
    <xdr:pic>
      <xdr:nvPicPr>
        <xdr:cNvPr id="6" name="Picture 5" descr="Ethylene (ET) Global Demand by Application">
          <a:extLst>
            <a:ext uri="{FF2B5EF4-FFF2-40B4-BE49-F238E27FC236}">
              <a16:creationId xmlns:a16="http://schemas.microsoft.com/office/drawing/2014/main" id="{1639F8D8-E790-446A-95AF-D094B9B5AD10}"/>
            </a:ext>
            <a:ext uri="{147F2762-F138-4A5C-976F-8EAC2B608ADB}">
              <a16:predDERef xmlns:a16="http://schemas.microsoft.com/office/drawing/2014/main" pred="{81A68F39-13E5-4E32-A4BD-F6AA8FE07296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29650" y="206376"/>
          <a:ext cx="3981450" cy="2032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341971</xdr:colOff>
      <xdr:row>0</xdr:row>
      <xdr:rowOff>124943</xdr:rowOff>
    </xdr:from>
    <xdr:to>
      <xdr:col>13</xdr:col>
      <xdr:colOff>19050</xdr:colOff>
      <xdr:row>14</xdr:row>
      <xdr:rowOff>87946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F24471C-F58E-4A8D-B18C-7D2A5BA96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48021" y="124943"/>
          <a:ext cx="3944279" cy="24966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155352</xdr:colOff>
      <xdr:row>13</xdr:row>
      <xdr:rowOff>91439</xdr:rowOff>
    </xdr:from>
    <xdr:to>
      <xdr:col>7</xdr:col>
      <xdr:colOff>389889</xdr:colOff>
      <xdr:row>21</xdr:row>
      <xdr:rowOff>47204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F7B9DD7-18A5-426D-886D-58D319B9DF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80352" y="2468879"/>
          <a:ext cx="1460087" cy="14251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561975</xdr:colOff>
      <xdr:row>36</xdr:row>
      <xdr:rowOff>73025</xdr:rowOff>
    </xdr:from>
    <xdr:to>
      <xdr:col>4</xdr:col>
      <xdr:colOff>596900</xdr:colOff>
      <xdr:row>42</xdr:row>
      <xdr:rowOff>73025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CFB2A94-4BEF-4533-AD58-0D665C0420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9350" y="6502400"/>
          <a:ext cx="1428750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5</xdr:col>
      <xdr:colOff>304800</xdr:colOff>
      <xdr:row>40</xdr:row>
      <xdr:rowOff>123825</xdr:rowOff>
    </xdr:to>
    <xdr:sp macro="" textlink="">
      <xdr:nvSpPr>
        <xdr:cNvPr id="3" name="AutoShape 36" descr="{\displaystyle {\ce {2 C2H4 + 2 CH3CO2H + O2 -&gt; 2 CH3CO2CHCH2 + 2 H2O}}}">
          <a:extLst>
            <a:ext uri="{FF2B5EF4-FFF2-40B4-BE49-F238E27FC236}">
              <a16:creationId xmlns:a16="http://schemas.microsoft.com/office/drawing/2014/main" id="{08D62BE7-950E-4090-8E98-F3BBC71E6833}"/>
            </a:ext>
          </a:extLst>
        </xdr:cNvPr>
        <xdr:cNvSpPr>
          <a:spLocks noChangeAspect="1" noChangeArrowheads="1"/>
        </xdr:cNvSpPr>
      </xdr:nvSpPr>
      <xdr:spPr bwMode="auto">
        <a:xfrm>
          <a:off x="6781800" y="6972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467473</xdr:colOff>
      <xdr:row>92</xdr:row>
      <xdr:rowOff>30444</xdr:rowOff>
    </xdr:from>
    <xdr:to>
      <xdr:col>29</xdr:col>
      <xdr:colOff>190954</xdr:colOff>
      <xdr:row>94</xdr:row>
      <xdr:rowOff>163094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882A602-69E9-405E-B5A1-547C2FA4AB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91548" y="8209244"/>
          <a:ext cx="2155983" cy="506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436064</xdr:colOff>
      <xdr:row>91</xdr:row>
      <xdr:rowOff>85273</xdr:rowOff>
    </xdr:from>
    <xdr:to>
      <xdr:col>38</xdr:col>
      <xdr:colOff>247649</xdr:colOff>
      <xdr:row>93</xdr:row>
      <xdr:rowOff>178254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337A43E-2611-4D57-BDBB-3498DCEE09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90493" y="17865273"/>
          <a:ext cx="4066085" cy="540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530677</xdr:colOff>
      <xdr:row>95</xdr:row>
      <xdr:rowOff>6252</xdr:rowOff>
    </xdr:from>
    <xdr:to>
      <xdr:col>32</xdr:col>
      <xdr:colOff>331563</xdr:colOff>
      <xdr:row>97</xdr:row>
      <xdr:rowOff>86052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6FAD244-D57C-4979-A1D4-D6B453BB6C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57927" y="8753377"/>
          <a:ext cx="4062188" cy="4603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201706</xdr:colOff>
      <xdr:row>98</xdr:row>
      <xdr:rowOff>116541</xdr:rowOff>
    </xdr:from>
    <xdr:to>
      <xdr:col>29</xdr:col>
      <xdr:colOff>431348</xdr:colOff>
      <xdr:row>100</xdr:row>
      <xdr:rowOff>133668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B95DCE4-71E4-4BEE-9850-D5C878122E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35381" y="9403416"/>
          <a:ext cx="2055719" cy="3854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187592</xdr:colOff>
      <xdr:row>136</xdr:row>
      <xdr:rowOff>121962</xdr:rowOff>
    </xdr:from>
    <xdr:to>
      <xdr:col>32</xdr:col>
      <xdr:colOff>476250</xdr:colOff>
      <xdr:row>140</xdr:row>
      <xdr:rowOff>85580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634C45A-DB42-40F9-AA69-1091D01223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476342" y="25608141"/>
          <a:ext cx="1513302" cy="677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578678</xdr:colOff>
      <xdr:row>136</xdr:row>
      <xdr:rowOff>15204</xdr:rowOff>
    </xdr:from>
    <xdr:to>
      <xdr:col>28</xdr:col>
      <xdr:colOff>755254</xdr:colOff>
      <xdr:row>140</xdr:row>
      <xdr:rowOff>16781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F1090A-A201-4EBF-ADB0-3D7BBD8082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18142" y="25501383"/>
          <a:ext cx="1408930" cy="709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109</xdr:row>
      <xdr:rowOff>1</xdr:rowOff>
    </xdr:from>
    <xdr:to>
      <xdr:col>29</xdr:col>
      <xdr:colOff>278062</xdr:colOff>
      <xdr:row>111</xdr:row>
      <xdr:rowOff>173587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86752CA-38DB-4E50-8CAB-5E1A9AAE61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36850" y="11325226"/>
          <a:ext cx="2094614" cy="5509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563470</xdr:colOff>
      <xdr:row>108</xdr:row>
      <xdr:rowOff>114281</xdr:rowOff>
    </xdr:from>
    <xdr:to>
      <xdr:col>33</xdr:col>
      <xdr:colOff>448846</xdr:colOff>
      <xdr:row>112</xdr:row>
      <xdr:rowOff>36390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B45221F-5CE6-41EA-AAF1-D9182041E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64270" y="11258531"/>
          <a:ext cx="2317427" cy="6768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2173940</xdr:colOff>
      <xdr:row>108</xdr:row>
      <xdr:rowOff>129258</xdr:rowOff>
    </xdr:from>
    <xdr:to>
      <xdr:col>32</xdr:col>
      <xdr:colOff>50427</xdr:colOff>
      <xdr:row>111</xdr:row>
      <xdr:rowOff>172250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3B792CC-6E10-4100-8B95-2575EC301B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310790" y="11270333"/>
          <a:ext cx="1876987" cy="616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2270826</xdr:colOff>
      <xdr:row>114</xdr:row>
      <xdr:rowOff>41649</xdr:rowOff>
    </xdr:from>
    <xdr:to>
      <xdr:col>32</xdr:col>
      <xdr:colOff>10086</xdr:colOff>
      <xdr:row>122</xdr:row>
      <xdr:rowOff>69344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721BF71-B1C6-43AE-BEF1-74A3B33C2E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10851" y="12274924"/>
          <a:ext cx="1841360" cy="15281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259667</xdr:colOff>
      <xdr:row>124</xdr:row>
      <xdr:rowOff>8032</xdr:rowOff>
    </xdr:from>
    <xdr:to>
      <xdr:col>28</xdr:col>
      <xdr:colOff>1463781</xdr:colOff>
      <xdr:row>126</xdr:row>
      <xdr:rowOff>174438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456A7C1-E109-4680-AD15-3CFED06A5B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83742" y="14070107"/>
          <a:ext cx="1817341" cy="5347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27</xdr:col>
      <xdr:colOff>530677</xdr:colOff>
      <xdr:row>109</xdr:row>
      <xdr:rowOff>6252</xdr:rowOff>
    </xdr:from>
    <xdr:ext cx="4046313" cy="451729"/>
    <xdr:pic>
      <xdr:nvPicPr>
        <xdr:cNvPr id="13" name="Picture 12">
          <a:extLst>
            <a:ext uri="{FF2B5EF4-FFF2-40B4-BE49-F238E27FC236}">
              <a16:creationId xmlns:a16="http://schemas.microsoft.com/office/drawing/2014/main" id="{20F08072-C20E-4A7C-8110-158D6505B7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53963" y="18620823"/>
          <a:ext cx="4046313" cy="4517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201706</xdr:colOff>
      <xdr:row>112</xdr:row>
      <xdr:rowOff>116541</xdr:rowOff>
    </xdr:from>
    <xdr:ext cx="2043927" cy="379984"/>
    <xdr:pic>
      <xdr:nvPicPr>
        <xdr:cNvPr id="14" name="Picture 13">
          <a:extLst>
            <a:ext uri="{FF2B5EF4-FFF2-40B4-BE49-F238E27FC236}">
              <a16:creationId xmlns:a16="http://schemas.microsoft.com/office/drawing/2014/main" id="{04D2BF18-B679-41C9-8580-CB9A378583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32777" y="19284470"/>
          <a:ext cx="2043927" cy="3799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27</xdr:col>
      <xdr:colOff>530677</xdr:colOff>
      <xdr:row>123</xdr:row>
      <xdr:rowOff>6252</xdr:rowOff>
    </xdr:from>
    <xdr:ext cx="4046313" cy="451729"/>
    <xdr:pic>
      <xdr:nvPicPr>
        <xdr:cNvPr id="15" name="Picture 14">
          <a:extLst>
            <a:ext uri="{FF2B5EF4-FFF2-40B4-BE49-F238E27FC236}">
              <a16:creationId xmlns:a16="http://schemas.microsoft.com/office/drawing/2014/main" id="{1EDC946E-E092-4AF7-AC4D-BFD6071E3F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53963" y="18620823"/>
          <a:ext cx="4046313" cy="4517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201706</xdr:colOff>
      <xdr:row>126</xdr:row>
      <xdr:rowOff>116541</xdr:rowOff>
    </xdr:from>
    <xdr:ext cx="2043927" cy="379984"/>
    <xdr:pic>
      <xdr:nvPicPr>
        <xdr:cNvPr id="16" name="Picture 15">
          <a:extLst>
            <a:ext uri="{FF2B5EF4-FFF2-40B4-BE49-F238E27FC236}">
              <a16:creationId xmlns:a16="http://schemas.microsoft.com/office/drawing/2014/main" id="{96242843-FA52-477B-A873-8FC8A5A22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32777" y="19284470"/>
          <a:ext cx="2043927" cy="3799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30480</xdr:colOff>
      <xdr:row>88</xdr:row>
      <xdr:rowOff>137160</xdr:rowOff>
    </xdr:from>
    <xdr:to>
      <xdr:col>19</xdr:col>
      <xdr:colOff>446405</xdr:colOff>
      <xdr:row>104</xdr:row>
      <xdr:rowOff>65405</xdr:rowOff>
    </xdr:to>
    <xdr:pic>
      <xdr:nvPicPr>
        <xdr:cNvPr id="2" name="Picture 1" descr="Global building &amp; construction plastics market">
          <a:extLst>
            <a:ext uri="{FF2B5EF4-FFF2-40B4-BE49-F238E27FC236}">
              <a16:creationId xmlns:a16="http://schemas.microsoft.com/office/drawing/2014/main" id="{60A96542-970E-42CD-82F7-2E22CC7530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65920" y="11658600"/>
          <a:ext cx="57150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349885</xdr:colOff>
      <xdr:row>19</xdr:row>
      <xdr:rowOff>113030</xdr:rowOff>
    </xdr:from>
    <xdr:to>
      <xdr:col>39</xdr:col>
      <xdr:colOff>408940</xdr:colOff>
      <xdr:row>39</xdr:row>
      <xdr:rowOff>125095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7AC20CF-DB7A-4554-9C47-583CB9A4A65C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57210" y="3570605"/>
          <a:ext cx="6158230" cy="366966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492760</xdr:colOff>
      <xdr:row>27</xdr:row>
      <xdr:rowOff>78740</xdr:rowOff>
    </xdr:from>
    <xdr:to>
      <xdr:col>33</xdr:col>
      <xdr:colOff>187960</xdr:colOff>
      <xdr:row>43</xdr:row>
      <xdr:rowOff>78740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DB8EE8-4573-4ED1-8D1D-A9F1486FE9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55</xdr:col>
      <xdr:colOff>374670</xdr:colOff>
      <xdr:row>0</xdr:row>
      <xdr:rowOff>152968</xdr:rowOff>
    </xdr:from>
    <xdr:to>
      <xdr:col>63</xdr:col>
      <xdr:colOff>65986</xdr:colOff>
      <xdr:row>1</xdr:row>
      <xdr:rowOff>193222</xdr:rowOff>
    </xdr:to>
    <xdr:pic>
      <xdr:nvPicPr>
        <xdr:cNvPr id="5" name="Picture 1">
          <a:extLst>
            <a:ext uri="{FF2B5EF4-FFF2-40B4-BE49-F238E27FC236}">
              <a16:creationId xmlns:a16="http://schemas.microsoft.com/office/drawing/2014/main" id="{2C20687A-4929-4BDE-B4AF-51F0745AC9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35099" y="152968"/>
          <a:ext cx="4559499" cy="29861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40</xdr:col>
      <xdr:colOff>999860</xdr:colOff>
      <xdr:row>56</xdr:row>
      <xdr:rowOff>0</xdr:rowOff>
    </xdr:from>
    <xdr:to>
      <xdr:col>45</xdr:col>
      <xdr:colOff>311443</xdr:colOff>
      <xdr:row>98</xdr:row>
      <xdr:rowOff>0</xdr:rowOff>
    </xdr:to>
    <xdr:pic>
      <xdr:nvPicPr>
        <xdr:cNvPr id="10" name="Picture 2">
          <a:extLst>
            <a:ext uri="{FF2B5EF4-FFF2-40B4-BE49-F238E27FC236}">
              <a16:creationId xmlns:a16="http://schemas.microsoft.com/office/drawing/2014/main" id="{EE3559E2-D5FD-4166-A5EB-0613288528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609753" y="10749643"/>
          <a:ext cx="3856369" cy="25078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67</xdr:col>
      <xdr:colOff>0</xdr:colOff>
      <xdr:row>29</xdr:row>
      <xdr:rowOff>0</xdr:rowOff>
    </xdr:from>
    <xdr:to>
      <xdr:col>78</xdr:col>
      <xdr:colOff>144193</xdr:colOff>
      <xdr:row>31</xdr:row>
      <xdr:rowOff>86312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B86F70B-2781-4E07-BF0E-D2040D4128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42242" t="42803" r="31336" b="23338"/>
        <a:stretch/>
      </xdr:blipFill>
      <xdr:spPr>
        <a:xfrm>
          <a:off x="34236212" y="5199529"/>
          <a:ext cx="6843442" cy="3471583"/>
        </a:xfrm>
        <a:prstGeom prst="rect">
          <a:avLst/>
        </a:prstGeom>
      </xdr:spPr>
    </xdr:pic>
    <xdr:clientData/>
  </xdr:twoCellAnchor>
  <xdr:twoCellAnchor editAs="oneCell">
    <xdr:from>
      <xdr:col>67</xdr:col>
      <xdr:colOff>502024</xdr:colOff>
      <xdr:row>52</xdr:row>
      <xdr:rowOff>0</xdr:rowOff>
    </xdr:from>
    <xdr:to>
      <xdr:col>77</xdr:col>
      <xdr:colOff>121025</xdr:colOff>
      <xdr:row>53</xdr:row>
      <xdr:rowOff>21318</xdr:rowOff>
    </xdr:to>
    <xdr:pic>
      <xdr:nvPicPr>
        <xdr:cNvPr id="13" name="Picture 12" descr="Global post-consumer recycled plastics market share">
          <a:extLst>
            <a:ext uri="{FF2B5EF4-FFF2-40B4-BE49-F238E27FC236}">
              <a16:creationId xmlns:a16="http://schemas.microsoft.com/office/drawing/2014/main" id="{5D242DE5-EB10-4718-B985-2984BEEFE1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490400" y="9843246"/>
          <a:ext cx="5715000" cy="2803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374670</xdr:colOff>
      <xdr:row>0</xdr:row>
      <xdr:rowOff>152968</xdr:rowOff>
    </xdr:from>
    <xdr:to>
      <xdr:col>63</xdr:col>
      <xdr:colOff>69161</xdr:colOff>
      <xdr:row>2</xdr:row>
      <xdr:rowOff>1361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7D2C41F-26B3-440C-B26D-BD4C7C71D7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04520" y="152968"/>
          <a:ext cx="4580817" cy="2162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55</xdr:col>
      <xdr:colOff>374670</xdr:colOff>
      <xdr:row>0</xdr:row>
      <xdr:rowOff>152968</xdr:rowOff>
    </xdr:from>
    <xdr:to>
      <xdr:col>63</xdr:col>
      <xdr:colOff>65987</xdr:colOff>
      <xdr:row>2</xdr:row>
      <xdr:rowOff>1361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B31864-D3F5-4C3F-9133-7FFA62AEB6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149020" y="152968"/>
          <a:ext cx="4583992" cy="2194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55</xdr:col>
      <xdr:colOff>374670</xdr:colOff>
      <xdr:row>0</xdr:row>
      <xdr:rowOff>152968</xdr:rowOff>
    </xdr:from>
    <xdr:to>
      <xdr:col>63</xdr:col>
      <xdr:colOff>65987</xdr:colOff>
      <xdr:row>2</xdr:row>
      <xdr:rowOff>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FD2549-5A7D-4BB8-A91D-1FE10455A6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435820" y="152968"/>
          <a:ext cx="4571292" cy="2216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40</xdr:col>
      <xdr:colOff>999860</xdr:colOff>
      <xdr:row>55</xdr:row>
      <xdr:rowOff>0</xdr:rowOff>
    </xdr:from>
    <xdr:to>
      <xdr:col>45</xdr:col>
      <xdr:colOff>311443</xdr:colOff>
      <xdr:row>65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409A576-EB3E-4BF6-AE80-E26E54B561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87810" y="10388600"/>
          <a:ext cx="3775633" cy="2038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67</xdr:col>
      <xdr:colOff>0</xdr:colOff>
      <xdr:row>29</xdr:row>
      <xdr:rowOff>0</xdr:rowOff>
    </xdr:from>
    <xdr:to>
      <xdr:col>78</xdr:col>
      <xdr:colOff>144194</xdr:colOff>
      <xdr:row>31</xdr:row>
      <xdr:rowOff>86311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8D4BB1A-7DA1-4A7E-891C-8591DF793A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42242" t="42803" r="31336" b="23338"/>
        <a:stretch/>
      </xdr:blipFill>
      <xdr:spPr>
        <a:xfrm>
          <a:off x="39382700" y="5384800"/>
          <a:ext cx="6846618" cy="460962"/>
        </a:xfrm>
        <a:prstGeom prst="rect">
          <a:avLst/>
        </a:prstGeom>
      </xdr:spPr>
    </xdr:pic>
    <xdr:clientData/>
  </xdr:twoCellAnchor>
  <xdr:twoCellAnchor editAs="oneCell">
    <xdr:from>
      <xdr:col>67</xdr:col>
      <xdr:colOff>502024</xdr:colOff>
      <xdr:row>52</xdr:row>
      <xdr:rowOff>0</xdr:rowOff>
    </xdr:from>
    <xdr:to>
      <xdr:col>77</xdr:col>
      <xdr:colOff>124201</xdr:colOff>
      <xdr:row>53</xdr:row>
      <xdr:rowOff>18143</xdr:rowOff>
    </xdr:to>
    <xdr:pic>
      <xdr:nvPicPr>
        <xdr:cNvPr id="5" name="Picture 4" descr="Global post-consumer recycled plastics market share">
          <a:extLst>
            <a:ext uri="{FF2B5EF4-FFF2-40B4-BE49-F238E27FC236}">
              <a16:creationId xmlns:a16="http://schemas.microsoft.com/office/drawing/2014/main" id="{5862E913-23A9-4FCF-811C-B326796052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884724" y="9652000"/>
          <a:ext cx="5718177" cy="2022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374670</xdr:colOff>
      <xdr:row>0</xdr:row>
      <xdr:rowOff>152968</xdr:rowOff>
    </xdr:from>
    <xdr:to>
      <xdr:col>63</xdr:col>
      <xdr:colOff>65987</xdr:colOff>
      <xdr:row>2</xdr:row>
      <xdr:rowOff>1361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594EF29-1CE5-4C65-A106-1C58919DCE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04520" y="152968"/>
          <a:ext cx="4574467" cy="2225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55</xdr:col>
      <xdr:colOff>374670</xdr:colOff>
      <xdr:row>0</xdr:row>
      <xdr:rowOff>152968</xdr:rowOff>
    </xdr:from>
    <xdr:to>
      <xdr:col>63</xdr:col>
      <xdr:colOff>65987</xdr:colOff>
      <xdr:row>2</xdr:row>
      <xdr:rowOff>1361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748B9D6-E3D8-4532-A272-8D632F8A40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04520" y="152968"/>
          <a:ext cx="4574467" cy="2225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41</xdr:col>
      <xdr:colOff>813956</xdr:colOff>
      <xdr:row>67</xdr:row>
      <xdr:rowOff>0</xdr:rowOff>
    </xdr:from>
    <xdr:to>
      <xdr:col>46</xdr:col>
      <xdr:colOff>583576</xdr:colOff>
      <xdr:row>76</xdr:row>
      <xdr:rowOff>107330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B50B23-F348-4D39-AE49-FE6361ADF7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870556" y="12782550"/>
          <a:ext cx="3601844" cy="17361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374670</xdr:colOff>
      <xdr:row>0</xdr:row>
      <xdr:rowOff>152968</xdr:rowOff>
    </xdr:from>
    <xdr:to>
      <xdr:col>63</xdr:col>
      <xdr:colOff>69161</xdr:colOff>
      <xdr:row>2</xdr:row>
      <xdr:rowOff>3176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23FA74-B33D-4B84-9F8F-6FF9115C5A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356695" y="152968"/>
          <a:ext cx="4583992" cy="2212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374670</xdr:colOff>
      <xdr:row>0</xdr:row>
      <xdr:rowOff>152968</xdr:rowOff>
    </xdr:from>
    <xdr:to>
      <xdr:col>63</xdr:col>
      <xdr:colOff>69161</xdr:colOff>
      <xdr:row>2</xdr:row>
      <xdr:rowOff>1361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3ED768A-3CBE-43A3-9D01-626FBD39F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356695" y="152968"/>
          <a:ext cx="4583992" cy="2194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41</xdr:col>
      <xdr:colOff>813956</xdr:colOff>
      <xdr:row>67</xdr:row>
      <xdr:rowOff>0</xdr:rowOff>
    </xdr:from>
    <xdr:to>
      <xdr:col>46</xdr:col>
      <xdr:colOff>580400</xdr:colOff>
      <xdr:row>76</xdr:row>
      <xdr:rowOff>104155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889152F-B182-45DE-B105-3258637F63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870556" y="9970368"/>
          <a:ext cx="3601842" cy="17719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374670</xdr:colOff>
      <xdr:row>0</xdr:row>
      <xdr:rowOff>152968</xdr:rowOff>
    </xdr:from>
    <xdr:to>
      <xdr:col>63</xdr:col>
      <xdr:colOff>65987</xdr:colOff>
      <xdr:row>2</xdr:row>
      <xdr:rowOff>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F79193F-2C97-450A-9F34-B4B7D4F3B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435820" y="152968"/>
          <a:ext cx="4574467" cy="2244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374670</xdr:colOff>
      <xdr:row>0</xdr:row>
      <xdr:rowOff>152968</xdr:rowOff>
    </xdr:from>
    <xdr:to>
      <xdr:col>63</xdr:col>
      <xdr:colOff>65987</xdr:colOff>
      <xdr:row>1</xdr:row>
      <xdr:rowOff>193222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E9BF67E-B674-4BC8-97B8-B5E5AA2781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435820" y="152968"/>
          <a:ext cx="4574467" cy="2225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41</xdr:col>
      <xdr:colOff>813956</xdr:colOff>
      <xdr:row>67</xdr:row>
      <xdr:rowOff>0</xdr:rowOff>
    </xdr:from>
    <xdr:to>
      <xdr:col>46</xdr:col>
      <xdr:colOff>580401</xdr:colOff>
      <xdr:row>76</xdr:row>
      <xdr:rowOff>104155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A419A7-352A-4F2C-AE04-7A77C02FE2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876906" y="12966700"/>
          <a:ext cx="3595494" cy="17615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374670</xdr:colOff>
      <xdr:row>0</xdr:row>
      <xdr:rowOff>152968</xdr:rowOff>
    </xdr:from>
    <xdr:to>
      <xdr:col>63</xdr:col>
      <xdr:colOff>65986</xdr:colOff>
      <xdr:row>2</xdr:row>
      <xdr:rowOff>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C681F7C-BF19-494D-8B1F-47B63F7B8D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366220" y="152968"/>
          <a:ext cx="4574467" cy="2244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374670</xdr:colOff>
      <xdr:row>0</xdr:row>
      <xdr:rowOff>152968</xdr:rowOff>
    </xdr:from>
    <xdr:to>
      <xdr:col>63</xdr:col>
      <xdr:colOff>65986</xdr:colOff>
      <xdr:row>1</xdr:row>
      <xdr:rowOff>193222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C2D5B44-1A4E-43DC-8538-C3CE7E0A2A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366220" y="152968"/>
          <a:ext cx="4574467" cy="2225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41</xdr:col>
      <xdr:colOff>813956</xdr:colOff>
      <xdr:row>67</xdr:row>
      <xdr:rowOff>0</xdr:rowOff>
    </xdr:from>
    <xdr:to>
      <xdr:col>46</xdr:col>
      <xdr:colOff>580401</xdr:colOff>
      <xdr:row>76</xdr:row>
      <xdr:rowOff>104155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B68F060-6AA0-4263-91C5-8DD3FA3E24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876906" y="12966700"/>
          <a:ext cx="3595494" cy="17615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374670</xdr:colOff>
      <xdr:row>0</xdr:row>
      <xdr:rowOff>152968</xdr:rowOff>
    </xdr:from>
    <xdr:to>
      <xdr:col>63</xdr:col>
      <xdr:colOff>65987</xdr:colOff>
      <xdr:row>2</xdr:row>
      <xdr:rowOff>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14C33C-91FC-4F7C-849B-8D9F28CF62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366220" y="152968"/>
          <a:ext cx="4574467" cy="2244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374670</xdr:colOff>
      <xdr:row>0</xdr:row>
      <xdr:rowOff>152968</xdr:rowOff>
    </xdr:from>
    <xdr:to>
      <xdr:col>63</xdr:col>
      <xdr:colOff>65987</xdr:colOff>
      <xdr:row>1</xdr:row>
      <xdr:rowOff>193222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5F864DB-13CA-4136-8577-0ECE04062B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366220" y="152968"/>
          <a:ext cx="4574467" cy="2225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41</xdr:col>
      <xdr:colOff>813956</xdr:colOff>
      <xdr:row>67</xdr:row>
      <xdr:rowOff>0</xdr:rowOff>
    </xdr:from>
    <xdr:to>
      <xdr:col>46</xdr:col>
      <xdr:colOff>580400</xdr:colOff>
      <xdr:row>76</xdr:row>
      <xdr:rowOff>104155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CAF6206-3001-4FCF-AEF4-984DCB5816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861031" y="13227050"/>
          <a:ext cx="3589144" cy="1790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374670</xdr:colOff>
      <xdr:row>0</xdr:row>
      <xdr:rowOff>152968</xdr:rowOff>
    </xdr:from>
    <xdr:to>
      <xdr:col>63</xdr:col>
      <xdr:colOff>65987</xdr:colOff>
      <xdr:row>2</xdr:row>
      <xdr:rowOff>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77D49E-C3BD-4F1E-8253-53B8B5E18C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340820" y="152968"/>
          <a:ext cx="4577642" cy="2307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374670</xdr:colOff>
      <xdr:row>0</xdr:row>
      <xdr:rowOff>152968</xdr:rowOff>
    </xdr:from>
    <xdr:to>
      <xdr:col>63</xdr:col>
      <xdr:colOff>65987</xdr:colOff>
      <xdr:row>1</xdr:row>
      <xdr:rowOff>193222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2318F4C-12A4-4450-964E-65EF3BDCCA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340820" y="152968"/>
          <a:ext cx="4577642" cy="2289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41</xdr:col>
      <xdr:colOff>813956</xdr:colOff>
      <xdr:row>67</xdr:row>
      <xdr:rowOff>0</xdr:rowOff>
    </xdr:from>
    <xdr:to>
      <xdr:col>46</xdr:col>
      <xdr:colOff>580400</xdr:colOff>
      <xdr:row>76</xdr:row>
      <xdr:rowOff>104155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B5CBD1-D3E6-41AC-811C-A30B22A3B1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861031" y="13227050"/>
          <a:ext cx="3589144" cy="1790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374670</xdr:colOff>
      <xdr:row>0</xdr:row>
      <xdr:rowOff>152968</xdr:rowOff>
    </xdr:from>
    <xdr:to>
      <xdr:col>63</xdr:col>
      <xdr:colOff>65987</xdr:colOff>
      <xdr:row>2</xdr:row>
      <xdr:rowOff>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117EDCD-6627-478E-8D3F-38EDAB1D65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340820" y="152968"/>
          <a:ext cx="4577642" cy="2307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374670</xdr:colOff>
      <xdr:row>0</xdr:row>
      <xdr:rowOff>152968</xdr:rowOff>
    </xdr:from>
    <xdr:to>
      <xdr:col>63</xdr:col>
      <xdr:colOff>65987</xdr:colOff>
      <xdr:row>1</xdr:row>
      <xdr:rowOff>193222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1F59A2D-A6D2-4954-A8E9-DFD64A99F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340820" y="152968"/>
          <a:ext cx="4577642" cy="2289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565150</xdr:colOff>
      <xdr:row>3</xdr:row>
      <xdr:rowOff>69850</xdr:rowOff>
    </xdr:from>
    <xdr:to>
      <xdr:col>15</xdr:col>
      <xdr:colOff>522791</xdr:colOff>
      <xdr:row>20</xdr:row>
      <xdr:rowOff>8353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8288DD58-BDB0-4FBD-864A-1B7F64DFEB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3150" y="628650"/>
          <a:ext cx="6056816" cy="3065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76200</xdr:colOff>
      <xdr:row>4</xdr:row>
      <xdr:rowOff>19050</xdr:rowOff>
    </xdr:from>
    <xdr:to>
      <xdr:col>23</xdr:col>
      <xdr:colOff>285296</xdr:colOff>
      <xdr:row>19</xdr:row>
      <xdr:rowOff>36740</xdr:rowOff>
    </xdr:to>
    <xdr:pic>
      <xdr:nvPicPr>
        <xdr:cNvPr id="5" name="Picture 4" descr="Global post-consumer recycled plastics market share">
          <a:extLst>
            <a:ext uri="{FF2B5EF4-FFF2-40B4-BE49-F238E27FC236}">
              <a16:creationId xmlns:a16="http://schemas.microsoft.com/office/drawing/2014/main" id="{CDE8E320-F9EA-4C40-B7AD-418BF4B39C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10600" y="762000"/>
          <a:ext cx="5698671" cy="27831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96943</xdr:colOff>
      <xdr:row>3</xdr:row>
      <xdr:rowOff>88446</xdr:rowOff>
    </xdr:from>
    <xdr:to>
      <xdr:col>33</xdr:col>
      <xdr:colOff>7129</xdr:colOff>
      <xdr:row>35</xdr:row>
      <xdr:rowOff>149869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1B5340-127E-4C26-8F68-94D343226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787368" y="628196"/>
          <a:ext cx="7990561" cy="5954223"/>
        </a:xfrm>
        <a:prstGeom prst="rect">
          <a:avLst/>
        </a:prstGeom>
      </xdr:spPr>
    </xdr:pic>
    <xdr:clientData/>
  </xdr:twoCellAnchor>
  <xdr:twoCellAnchor editAs="oneCell">
    <xdr:from>
      <xdr:col>25</xdr:col>
      <xdr:colOff>299810</xdr:colOff>
      <xdr:row>39</xdr:row>
      <xdr:rowOff>13835</xdr:rowOff>
    </xdr:from>
    <xdr:to>
      <xdr:col>36</xdr:col>
      <xdr:colOff>445416</xdr:colOff>
      <xdr:row>83</xdr:row>
      <xdr:rowOff>56670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FC471BC-B27C-4408-8E33-3F40A3366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987060" y="7068685"/>
          <a:ext cx="10448482" cy="8145435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Min Guan" id="{A0EE1085-424D-4793-96CE-2B3CC27F8D15}" userId="S::Min.Guan@systemiq.earth::e1e1ee1a-b686-405a-8b6d-b6b27952a0bc" providerId="AD"/>
</personList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Projects/UOT0002/Shared%20Documents/8_Demand%20Analysis/Methanol/Methanol%20Demand%20v6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Projects/UOT0002/Shared%20Documents/8_Demand%20Analysis/Methanol/Methanol%20Demand%20v6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as Wagner" refreshedDate="44484.834958333333" createdVersion="7" refreshedVersion="7" minRefreshableVersion="3" recordCount="84" xr:uid="{BD76A976-4548-4EF3-85AC-3460D5979673}">
  <cacheSource type="worksheet">
    <worksheetSource ref="A4:J88" sheet="Sankey Methanol_detailed" r:id="rId2"/>
  </cacheSource>
  <cacheFields count="10">
    <cacheField name="From" numFmtId="0">
      <sharedItems/>
    </cacheField>
    <cacheField name="To" numFmtId="0">
      <sharedItems count="61">
        <s v="Ethylene"/>
        <s v="Propylene"/>
        <s v="Formaldehyde"/>
        <s v="Methyl tert-Butyl Ether (MTBE)"/>
        <s v="Acetic Acid"/>
        <s v="Methyl Methacrylate (MMA)"/>
        <s v="Biodiesel"/>
        <s v="Dimethylether (DME)"/>
        <s v="Gasoline Blending &amp; Combustion"/>
        <s v="Fuel Cells"/>
        <s v="Other"/>
        <s v="Fuel blend"/>
        <s v="Solvent"/>
        <s v="Fuel"/>
        <s v="Carbamide-methanal resins (UF)"/>
        <s v="Phenolic Resins (PF)"/>
        <s v="Melamine Resins"/>
        <s v="Polyacetal resins (polyoxymethylene)"/>
        <s v="Methylene diphenyl diisocyanate"/>
        <s v="1,4-butanediol"/>
        <s v="Polyethylene (PE)"/>
        <s v="Ethylene Oxide"/>
        <s v="Ethylene Dichloride"/>
        <s v="Ethylbenzene"/>
        <s v="High-density Polyethylene (HDPE)"/>
        <s v="Low-density Polyethylene (LDPE)"/>
        <s v="Ethylene glycol"/>
        <s v="Ethoxylates"/>
        <s v="Ethanolamines"/>
        <s v="Glycol Ethers"/>
        <s v="Polyethylene Glycol (PEG)"/>
        <s v="Polyurethane (PU)"/>
        <s v="Polyvinylchloride (PVC)"/>
        <s v="Polystyrene (PS)"/>
        <s v="Polypropylene (PP)"/>
        <s v="Propenic Acid"/>
        <s v="Propenonitrile"/>
        <s v="Cumene"/>
        <s v="Propylene oxide"/>
        <s v="Butanol"/>
        <s v="Animal feed additives"/>
        <s v="Food preservative"/>
        <s v="Herbicides"/>
        <s v="Acrylic fibres"/>
        <s v="SAN/ABS"/>
        <s v="Propenamide"/>
        <s v="Phenol + Acetone"/>
        <s v="Propylene glycol"/>
        <s v="Glycol ether"/>
        <s v="Vinyl acetate monomer (VAM)"/>
        <s v="Terephthalic acid"/>
        <s v="Acetate esters"/>
        <s v="Acetic anhydride"/>
        <s v="Methyl Chlorides"/>
        <s v="Methylamines"/>
        <s v="Dimethyl terephthalate (DMT)"/>
        <s v="Methanethiol"/>
        <s v="Polymethyl methacrylate (PMMA)"/>
        <s v="Polyvinyl acetate (PVA)"/>
        <s v="Polyethylene terephthalate (PET)"/>
        <s v="THF"/>
      </sharedItems>
    </cacheField>
    <cacheField name="Alternative description (if other)" numFmtId="0">
      <sharedItems containsBlank="1"/>
    </cacheField>
    <cacheField name="Classification" numFmtId="0">
      <sharedItems containsBlank="1"/>
    </cacheField>
    <cacheField name="Percentage" numFmtId="0">
      <sharedItems containsString="0" containsBlank="1" containsNumber="1" minValue="1.2248167496215287E-4" maxValue="1"/>
    </cacheField>
    <cacheField name="Amount (Mt Methanol)" numFmtId="0">
      <sharedItems containsSemiMixedTypes="0" containsString="0" containsNumber="1" minValue="1.2480788894372841E-2" maxValue="23.787217209972287"/>
    </cacheField>
    <cacheField name="Stochiometry" numFmtId="174">
      <sharedItems containsSemiMixedTypes="0" containsString="0" containsNumber="1" containsInteger="1" minValue="1" maxValue="3"/>
    </cacheField>
    <cacheField name="Mt starting material" numFmtId="174">
      <sharedItems containsSemiMixedTypes="0" containsString="0" containsNumber="1" minValue="1.2480788894372841E-2" maxValue="23.787217209972287"/>
    </cacheField>
    <cacheField name="t starting material / t product" numFmtId="174">
      <sharedItems containsMixedTypes="1" containsNumber="1" minValue="0.93714107365792754" maxValue="6.0608614232209739"/>
    </cacheField>
    <cacheField name="Mt end product" numFmtId="174">
      <sharedItems containsMixedTypes="1" containsNumber="1" minValue="0.42004014480204049" maxValue="27.31633337134504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as Wagner" refreshedDate="44487.367749884259" createdVersion="7" refreshedVersion="7" minRefreshableVersion="3" recordCount="84" xr:uid="{BF3D9EF9-A1BB-4485-9F6F-D3BDD4F60AE6}">
  <cacheSource type="worksheet">
    <worksheetSource ref="A4:L88" sheet="Sankey Methanol_detailed" r:id="rId2"/>
  </cacheSource>
  <cacheFields count="12">
    <cacheField name="From" numFmtId="0">
      <sharedItems/>
    </cacheField>
    <cacheField name="To" numFmtId="0">
      <sharedItems/>
    </cacheField>
    <cacheField name="Alternative description (if other)" numFmtId="0">
      <sharedItems containsBlank="1"/>
    </cacheField>
    <cacheField name="Classification" numFmtId="0">
      <sharedItems containsBlank="1" count="4">
        <m/>
        <s v="Fuel"/>
        <s v="Minor polymers"/>
        <s v="Major polymers"/>
      </sharedItems>
    </cacheField>
    <cacheField name="Percentage" numFmtId="0">
      <sharedItems containsString="0" containsBlank="1" containsNumber="1" minValue="1.2248167496215287E-4" maxValue="1"/>
    </cacheField>
    <cacheField name="Amount (Mt Methanol)" numFmtId="0">
      <sharedItems containsSemiMixedTypes="0" containsString="0" containsNumber="1" minValue="1.2480788894372841E-2" maxValue="23.787217209972287"/>
    </cacheField>
    <cacheField name="Stochiometry" numFmtId="174">
      <sharedItems containsSemiMixedTypes="0" containsString="0" containsNumber="1" containsInteger="1" minValue="1" maxValue="3"/>
    </cacheField>
    <cacheField name="Mt starting material" numFmtId="174">
      <sharedItems containsSemiMixedTypes="0" containsString="0" containsNumber="1" minValue="1.2480788894372841E-2" maxValue="23.787217209972287"/>
    </cacheField>
    <cacheField name="t starting material / t product" numFmtId="174">
      <sharedItems containsMixedTypes="1" containsNumber="1" minValue="0.93714107365792754" maxValue="6.0608614232209739"/>
    </cacheField>
    <cacheField name="Mt end product" numFmtId="174">
      <sharedItems containsMixedTypes="1" containsNumber="1" minValue="0.42004014480204049" maxValue="27.316333371345049"/>
    </cacheField>
    <cacheField name="Colour" numFmtId="174">
      <sharedItems/>
    </cacheField>
    <cacheField name="Sankey Cod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4">
  <r>
    <s v="Methanol"/>
    <x v="0"/>
    <m/>
    <m/>
    <n v="0.15257253124401302"/>
    <n v="15.60098611796605"/>
    <n v="2"/>
    <n v="15.60098611796605"/>
    <n v="1.7509363295880149"/>
    <n v="27.316333371345049"/>
  </r>
  <r>
    <s v="Methanol"/>
    <x v="1"/>
    <m/>
    <m/>
    <n v="0.15257253124401302"/>
    <n v="15.60098611796605"/>
    <n v="3"/>
    <n v="15.60098611796605"/>
    <e v="#N/A"/>
    <e v="#N/A"/>
  </r>
  <r>
    <s v="Methanol"/>
    <x v="2"/>
    <m/>
    <m/>
    <n v="0.23263118840911975"/>
    <n v="23.787217209972287"/>
    <n v="1"/>
    <n v="23.787217209972287"/>
    <n v="0.93714107365792754"/>
    <n v="22.291978275487761"/>
  </r>
  <r>
    <s v="Methanol"/>
    <x v="3"/>
    <m/>
    <m/>
    <n v="0.1021547725875792"/>
    <n v="10.445623311275693"/>
    <n v="1"/>
    <n v="10.445623311275693"/>
    <e v="#N/A"/>
    <e v="#N/A"/>
  </r>
  <r>
    <s v="Methanol"/>
    <x v="4"/>
    <m/>
    <m/>
    <n v="7.0342979835361516E-2"/>
    <n v="7.192774760698633"/>
    <n v="1"/>
    <n v="7.192774760698633"/>
    <n v="1.8742821473158551"/>
    <n v="13.481289323641519"/>
  </r>
  <r>
    <s v="Methanol"/>
    <x v="5"/>
    <m/>
    <m/>
    <n v="1.733781708100687E-2"/>
    <n v="1.772842341876246"/>
    <n v="1"/>
    <n v="1.772842341876246"/>
    <e v="#N/A"/>
    <e v="#N/A"/>
  </r>
  <r>
    <s v="Methanol"/>
    <x v="6"/>
    <m/>
    <s v="Fuel"/>
    <n v="2.9805719753632672E-2"/>
    <n v="3.0477217381202508"/>
    <n v="1"/>
    <n v="3.0477217381202508"/>
    <e v="#N/A"/>
    <e v="#N/A"/>
  </r>
  <r>
    <s v="Methanol"/>
    <x v="7"/>
    <m/>
    <m/>
    <n v="2.8522886298573059E-2"/>
    <n v="2.9165482774660565"/>
    <n v="1"/>
    <n v="2.9165482774660565"/>
    <e v="#N/A"/>
    <e v="#N/A"/>
  </r>
  <r>
    <s v="Methanol"/>
    <x v="8"/>
    <m/>
    <s v="Fuel"/>
    <n v="0.12836023848013775"/>
    <n v="13.125208596196902"/>
    <n v="1"/>
    <n v="13.125208596196902"/>
    <e v="#N/A"/>
    <e v="#N/A"/>
  </r>
  <r>
    <s v="Methanol"/>
    <x v="9"/>
    <s v="Other"/>
    <s v="Fuel"/>
    <n v="1.2248167496215287E-4"/>
    <n v="1.2524108338569352E-2"/>
    <n v="1"/>
    <n v="1.2524108338569352E-2"/>
    <e v="#N/A"/>
    <e v="#N/A"/>
  </r>
  <r>
    <s v="Methanol"/>
    <x v="10"/>
    <m/>
    <m/>
    <n v="3.7085809133041631E-2"/>
    <n v="3.7921321009795088"/>
    <n v="1"/>
    <n v="3.7921321009795088"/>
    <e v="#N/A"/>
    <e v="#N/A"/>
  </r>
  <r>
    <s v="Methyl tert-Butyl Ether (MTBE)"/>
    <x v="11"/>
    <m/>
    <s v="Fuel"/>
    <n v="0.95"/>
    <n v="9.9233421457119082"/>
    <n v="1"/>
    <n v="9.9233421457119082"/>
    <e v="#N/A"/>
    <e v="#N/A"/>
  </r>
  <r>
    <s v="Methyl tert-Butyl Ether (MTBE)"/>
    <x v="12"/>
    <s v="Other"/>
    <m/>
    <n v="0.05"/>
    <n v="0.52228116556378501"/>
    <n v="1"/>
    <n v="0.52228116556378501"/>
    <e v="#N/A"/>
    <e v="#N/A"/>
  </r>
  <r>
    <s v="Dimethylether (DME)"/>
    <x v="13"/>
    <m/>
    <s v="Fuel"/>
    <n v="0.85"/>
    <n v="2.4790660358461478"/>
    <n v="1"/>
    <n v="2.4790660358461478"/>
    <e v="#N/A"/>
    <e v="#N/A"/>
  </r>
  <r>
    <s v="Dimethylether (DME)"/>
    <x v="10"/>
    <m/>
    <m/>
    <n v="0.15"/>
    <n v="0.43748224161990845"/>
    <n v="1"/>
    <n v="0.43748224161990845"/>
    <e v="#N/A"/>
    <e v="#N/A"/>
  </r>
  <r>
    <s v="Formaldehyde"/>
    <x v="14"/>
    <m/>
    <s v="Minor polymers"/>
    <n v="0.38"/>
    <n v="9.0391425397894682"/>
    <n v="1"/>
    <n v="9.0391425397894682"/>
    <e v="#N/A"/>
    <e v="#N/A"/>
  </r>
  <r>
    <s v="Formaldehyde"/>
    <x v="15"/>
    <m/>
    <s v="Minor polymers"/>
    <n v="0.16"/>
    <n v="3.8059547535955658"/>
    <n v="1"/>
    <n v="3.8059547535955658"/>
    <e v="#N/A"/>
    <e v="#N/A"/>
  </r>
  <r>
    <s v="Formaldehyde"/>
    <x v="16"/>
    <m/>
    <s v="Minor polymers"/>
    <n v="0.21"/>
    <n v="4.9953156140941797"/>
    <n v="1"/>
    <n v="4.9953156140941797"/>
    <e v="#N/A"/>
    <e v="#N/A"/>
  </r>
  <r>
    <s v="Formaldehyde"/>
    <x v="17"/>
    <m/>
    <s v="Minor polymers"/>
    <n v="0.08"/>
    <n v="1.9029773767977829"/>
    <n v="1"/>
    <n v="1.9029773767977829"/>
    <e v="#N/A"/>
    <e v="#N/A"/>
  </r>
  <r>
    <s v="Formaldehyde"/>
    <x v="18"/>
    <m/>
    <m/>
    <n v="0.05"/>
    <n v="1.1893608604986143"/>
    <n v="1"/>
    <n v="1.1893608604986143"/>
    <e v="#N/A"/>
    <e v="#N/A"/>
  </r>
  <r>
    <s v="Formaldehyde"/>
    <x v="19"/>
    <m/>
    <m/>
    <n v="0.05"/>
    <n v="1.1893608604986143"/>
    <n v="1"/>
    <n v="1.1893608604986143"/>
    <e v="#N/A"/>
    <e v="#N/A"/>
  </r>
  <r>
    <s v="Formaldehyde"/>
    <x v="10"/>
    <m/>
    <m/>
    <n v="7.0000000000000007E-2"/>
    <n v="1.6651052046980603"/>
    <n v="1"/>
    <n v="1.6651052046980603"/>
    <e v="#N/A"/>
    <e v="#N/A"/>
  </r>
  <r>
    <s v="Ethylene"/>
    <x v="20"/>
    <m/>
    <s v="Major polymers"/>
    <n v="0.61"/>
    <n v="9.5166015319592905"/>
    <n v="1"/>
    <n v="9.5166015319592905"/>
    <e v="#N/A"/>
    <e v="#N/A"/>
  </r>
  <r>
    <s v="Ethylene"/>
    <x v="21"/>
    <m/>
    <m/>
    <n v="0.14000000000000001"/>
    <n v="2.1841380565152471"/>
    <n v="1"/>
    <n v="2.1841380565152471"/>
    <n v="1.572192513368984"/>
    <n v="3.4338855006175542"/>
  </r>
  <r>
    <s v="Ethylene"/>
    <x v="22"/>
    <m/>
    <m/>
    <n v="0.12"/>
    <n v="1.872118334155926"/>
    <n v="1"/>
    <n v="1.872118334155926"/>
    <e v="#N/A"/>
    <e v="#N/A"/>
  </r>
  <r>
    <s v="Ethylene"/>
    <x v="23"/>
    <m/>
    <m/>
    <n v="0.06"/>
    <n v="0.93605916707796299"/>
    <n v="1"/>
    <n v="0.93605916707796299"/>
    <e v="#N/A"/>
    <e v="#N/A"/>
  </r>
  <r>
    <s v="Ethylene"/>
    <x v="10"/>
    <m/>
    <m/>
    <n v="7.0000000000000007E-2"/>
    <n v="1.0920690282576235"/>
    <n v="1"/>
    <n v="1.0920690282576235"/>
    <e v="#N/A"/>
    <e v="#N/A"/>
  </r>
  <r>
    <s v="Polyethylene (PE)"/>
    <x v="24"/>
    <m/>
    <s v="Major polymers"/>
    <n v="0.44903581267217635"/>
    <n v="4.2732949027806182"/>
    <n v="1"/>
    <n v="4.2732949027806182"/>
    <e v="#N/A"/>
    <e v="#N/A"/>
  </r>
  <r>
    <s v="Polyethylene (PE)"/>
    <x v="25"/>
    <m/>
    <s v="Major polymers"/>
    <n v="0.55096418732782371"/>
    <n v="5.2433066291786723"/>
    <n v="1"/>
    <n v="5.2433066291786723"/>
    <e v="#N/A"/>
    <e v="#N/A"/>
  </r>
  <r>
    <s v="Ethylene Oxide"/>
    <x v="26"/>
    <m/>
    <m/>
    <n v="0.67"/>
    <n v="1.4633724978652156"/>
    <n v="1"/>
    <n v="1.4633724978652156"/>
    <n v="1.407482993197279"/>
    <n v="2.0596719034579123"/>
  </r>
  <r>
    <s v="Ethylene Oxide"/>
    <x v="27"/>
    <s v="Other"/>
    <m/>
    <n v="0.13"/>
    <n v="0.28393794734698213"/>
    <n v="1"/>
    <n v="0.28393794734698213"/>
    <e v="#N/A"/>
    <e v="#N/A"/>
  </r>
  <r>
    <s v="Ethylene Oxide"/>
    <x v="28"/>
    <s v="Other"/>
    <m/>
    <n v="0.06"/>
    <n v="0.13104828339091482"/>
    <n v="1"/>
    <n v="0.13104828339091482"/>
    <e v="#N/A"/>
    <e v="#N/A"/>
  </r>
  <r>
    <s v="Ethylene Oxide"/>
    <x v="29"/>
    <s v="Other"/>
    <m/>
    <n v="0.03"/>
    <n v="6.5524141695457408E-2"/>
    <n v="1"/>
    <n v="6.5524141695457408E-2"/>
    <e v="#N/A"/>
    <e v="#N/A"/>
  </r>
  <r>
    <s v="Ethylene Oxide"/>
    <x v="30"/>
    <s v="Other"/>
    <m/>
    <n v="0.02"/>
    <n v="4.3682761130304941E-2"/>
    <n v="1"/>
    <n v="4.3682761130304941E-2"/>
    <e v="#N/A"/>
    <e v="#N/A"/>
  </r>
  <r>
    <s v="Ethylene Oxide"/>
    <x v="31"/>
    <m/>
    <s v="Major polymers"/>
    <n v="0.03"/>
    <n v="6.5524141695457408E-2"/>
    <n v="1"/>
    <n v="6.5524141695457408E-2"/>
    <e v="#N/A"/>
    <e v="#N/A"/>
  </r>
  <r>
    <s v="Ethylene Oxide"/>
    <x v="10"/>
    <m/>
    <m/>
    <n v="0.06"/>
    <n v="0.13104828339091482"/>
    <n v="1"/>
    <n v="0.13104828339091482"/>
    <e v="#N/A"/>
    <e v="#N/A"/>
  </r>
  <r>
    <s v="Ethylene Dichloride"/>
    <x v="32"/>
    <m/>
    <s v="Major polymers"/>
    <n v="0.96"/>
    <n v="1.797233600789689"/>
    <n v="1"/>
    <n v="1.797233600789689"/>
    <e v="#N/A"/>
    <e v="#N/A"/>
  </r>
  <r>
    <s v="Ethylene Dichloride"/>
    <x v="10"/>
    <m/>
    <m/>
    <n v="0.04"/>
    <n v="7.4884733366237036E-2"/>
    <n v="1"/>
    <n v="7.4884733366237036E-2"/>
    <e v="#N/A"/>
    <e v="#N/A"/>
  </r>
  <r>
    <s v="Ethylbenzene"/>
    <x v="33"/>
    <m/>
    <s v="Major polymers"/>
    <n v="0.46529999999999999"/>
    <n v="0.4355483304413762"/>
    <n v="1"/>
    <n v="0.4355483304413762"/>
    <e v="#N/A"/>
    <e v="#N/A"/>
  </r>
  <r>
    <s v="Ethylbenzene"/>
    <x v="10"/>
    <m/>
    <m/>
    <n v="0.53469999999999995"/>
    <n v="0.5005108366365868"/>
    <n v="1"/>
    <n v="0.5005108366365868"/>
    <e v="#N/A"/>
    <e v="#N/A"/>
  </r>
  <r>
    <s v="Propylene"/>
    <x v="34"/>
    <m/>
    <s v="Major polymers"/>
    <n v="0.67"/>
    <n v="10.452660699037255"/>
    <n v="1"/>
    <n v="10.452660699037255"/>
    <e v="#N/A"/>
    <e v="#N/A"/>
  </r>
  <r>
    <s v="Propylene"/>
    <x v="35"/>
    <m/>
    <m/>
    <n v="0.05"/>
    <n v="0.78004930589830257"/>
    <n v="1"/>
    <n v="0.78004930589830257"/>
    <e v="#N/A"/>
    <e v="#N/A"/>
  </r>
  <r>
    <s v="Propylene"/>
    <x v="36"/>
    <m/>
    <m/>
    <n v="0.06"/>
    <n v="0.93605916707796299"/>
    <n v="1"/>
    <n v="0.93605916707796299"/>
    <e v="#N/A"/>
    <e v="#N/A"/>
  </r>
  <r>
    <s v="Propylene"/>
    <x v="37"/>
    <m/>
    <m/>
    <n v="0.04"/>
    <n v="0.62403944471864203"/>
    <n v="1"/>
    <n v="0.62403944471864203"/>
    <e v="#N/A"/>
    <e v="#N/A"/>
  </r>
  <r>
    <s v="Propylene"/>
    <x v="38"/>
    <m/>
    <m/>
    <n v="7.0000000000000007E-2"/>
    <n v="1.0920690282576235"/>
    <n v="1"/>
    <n v="1.0920690282576235"/>
    <e v="#N/A"/>
    <e v="#N/A"/>
  </r>
  <r>
    <s v="Propylene"/>
    <x v="39"/>
    <m/>
    <m/>
    <n v="0.03"/>
    <n v="0.4680295835389815"/>
    <n v="1"/>
    <n v="0.4680295835389815"/>
    <e v="#N/A"/>
    <e v="#N/A"/>
  </r>
  <r>
    <s v="Propylene"/>
    <x v="10"/>
    <m/>
    <m/>
    <n v="0.08"/>
    <n v="1.2480788894372841"/>
    <n v="1"/>
    <n v="1.2480788894372841"/>
    <e v="#N/A"/>
    <e v="#N/A"/>
  </r>
  <r>
    <s v="Propenic Acid"/>
    <x v="40"/>
    <s v="Other"/>
    <m/>
    <n v="0.5"/>
    <n v="0.39002465294915128"/>
    <n v="1"/>
    <n v="0.39002465294915128"/>
    <e v="#N/A"/>
    <e v="#N/A"/>
  </r>
  <r>
    <s v="Propenic Acid"/>
    <x v="41"/>
    <s v="Other"/>
    <m/>
    <n v="0.35"/>
    <n v="0.27301725706440588"/>
    <n v="1"/>
    <n v="0.27301725706440588"/>
    <e v="#N/A"/>
    <e v="#N/A"/>
  </r>
  <r>
    <s v="Propenic Acid"/>
    <x v="42"/>
    <s v="Other"/>
    <m/>
    <n v="0.1"/>
    <n v="7.8004930589830268E-2"/>
    <n v="1"/>
    <n v="7.8004930589830268E-2"/>
    <e v="#N/A"/>
    <e v="#N/A"/>
  </r>
  <r>
    <s v="Propenic Acid"/>
    <x v="10"/>
    <m/>
    <m/>
    <n v="0.05"/>
    <n v="3.9002465294915134E-2"/>
    <n v="1"/>
    <n v="3.9002465294915134E-2"/>
    <e v="#N/A"/>
    <e v="#N/A"/>
  </r>
  <r>
    <s v="Propenonitrile"/>
    <x v="43"/>
    <s v="Other"/>
    <m/>
    <n v="0.3"/>
    <n v="0.28081775012338889"/>
    <n v="1"/>
    <n v="0.28081775012338889"/>
    <e v="#N/A"/>
    <e v="#N/A"/>
  </r>
  <r>
    <s v="Propenonitrile"/>
    <x v="44"/>
    <s v="Other"/>
    <m/>
    <n v="0.35"/>
    <n v="0.32762070847728703"/>
    <n v="1"/>
    <n v="0.32762070847728703"/>
    <e v="#N/A"/>
    <e v="#N/A"/>
  </r>
  <r>
    <s v="Propenonitrile"/>
    <x v="45"/>
    <s v="Other"/>
    <m/>
    <n v="0.15"/>
    <n v="0.14040887506169444"/>
    <n v="1"/>
    <n v="0.14040887506169444"/>
    <e v="#N/A"/>
    <e v="#N/A"/>
  </r>
  <r>
    <s v="Propenonitrile"/>
    <x v="10"/>
    <m/>
    <m/>
    <n v="0.2"/>
    <n v="0.18721183341559261"/>
    <n v="1"/>
    <n v="0.18721183341559261"/>
    <e v="#N/A"/>
    <e v="#N/A"/>
  </r>
  <r>
    <s v="Cumene"/>
    <x v="46"/>
    <s v="Other"/>
    <m/>
    <n v="0.98"/>
    <n v="0.61155865582426916"/>
    <n v="1"/>
    <n v="0.61155865582426916"/>
    <e v="#N/A"/>
    <e v="#N/A"/>
  </r>
  <r>
    <s v="Cumene"/>
    <x v="10"/>
    <m/>
    <m/>
    <n v="0.02"/>
    <n v="1.2480788894372841E-2"/>
    <n v="1"/>
    <n v="1.2480788894372841E-2"/>
    <e v="#N/A"/>
    <e v="#N/A"/>
  </r>
  <r>
    <s v="Propylene oxide"/>
    <x v="31"/>
    <m/>
    <s v="Major polymers"/>
    <n v="0.68"/>
    <n v="0.74260693921518406"/>
    <n v="1"/>
    <n v="0.74260693921518406"/>
    <e v="#N/A"/>
    <e v="#N/A"/>
  </r>
  <r>
    <s v="Propylene oxide"/>
    <x v="47"/>
    <s v="Other"/>
    <m/>
    <n v="0.22"/>
    <n v="0.24025518621667719"/>
    <n v="1"/>
    <n v="0.24025518621667719"/>
    <e v="#N/A"/>
    <e v="#N/A"/>
  </r>
  <r>
    <s v="Propylene oxide"/>
    <x v="48"/>
    <s v="Other"/>
    <m/>
    <n v="0.04"/>
    <n v="4.3682761130304941E-2"/>
    <n v="1"/>
    <n v="4.3682761130304941E-2"/>
    <e v="#N/A"/>
    <e v="#N/A"/>
  </r>
  <r>
    <s v="Propylene oxide"/>
    <x v="10"/>
    <m/>
    <m/>
    <n v="0.06"/>
    <n v="6.5524141695457408E-2"/>
    <n v="1"/>
    <n v="6.5524141695457408E-2"/>
    <e v="#N/A"/>
    <e v="#N/A"/>
  </r>
  <r>
    <s v="Butanol"/>
    <x v="10"/>
    <m/>
    <m/>
    <n v="1"/>
    <n v="0.4680295835389815"/>
    <n v="1"/>
    <n v="0.4680295835389815"/>
    <e v="#N/A"/>
    <e v="#N/A"/>
  </r>
  <r>
    <s v="Acetic Acid"/>
    <x v="49"/>
    <m/>
    <m/>
    <m/>
    <n v="2.8771099042794535"/>
    <n v="1"/>
    <n v="2.8771099042794535"/>
    <e v="#N/A"/>
    <e v="#N/A"/>
  </r>
  <r>
    <s v="Acetic Acid"/>
    <x v="50"/>
    <m/>
    <m/>
    <m/>
    <n v="1.5104826997467129"/>
    <n v="1"/>
    <n v="1.5104826997467129"/>
    <n v="2.7664690601478719"/>
    <n v="4.1787036547379088"/>
  </r>
  <r>
    <s v="Acetic Acid"/>
    <x v="51"/>
    <s v="Other"/>
    <m/>
    <m/>
    <n v="0.71927747606986336"/>
    <n v="1"/>
    <n v="0.71927747606986336"/>
    <e v="#N/A"/>
    <e v="#N/A"/>
  </r>
  <r>
    <s v="Acetic Acid"/>
    <x v="52"/>
    <s v="Other"/>
    <m/>
    <m/>
    <n v="0.79120522367684964"/>
    <n v="1"/>
    <n v="0.79120522367684964"/>
    <e v="#N/A"/>
    <e v="#N/A"/>
  </r>
  <r>
    <s v="Acetic Acid"/>
    <x v="10"/>
    <m/>
    <m/>
    <m/>
    <n v="1.2946994569257539"/>
    <n v="1"/>
    <n v="1.2946994569257539"/>
    <e v="#N/A"/>
    <e v="#N/A"/>
  </r>
  <r>
    <s v="Methanol"/>
    <x v="53"/>
    <s v="Other"/>
    <m/>
    <n v="2.2216780422383169E-2"/>
    <n v="2.2717305672878156"/>
    <n v="1"/>
    <n v="2.2717305672878156"/>
    <e v="#N/A"/>
    <e v="#N/A"/>
  </r>
  <r>
    <s v="Methanol"/>
    <x v="54"/>
    <s v="Other"/>
    <m/>
    <n v="1.5781321174464437E-2"/>
    <n v="1.6136860977433933"/>
    <n v="1"/>
    <n v="1.6136860977433933"/>
    <e v="#N/A"/>
    <e v="#N/A"/>
  </r>
  <r>
    <s v="Methanol"/>
    <x v="55"/>
    <m/>
    <m/>
    <n v="4.662655189360548E-3"/>
    <n v="0.47677008625974848"/>
    <n v="1"/>
    <n v="0.47677008625974848"/>
    <n v="6.0608614232209739"/>
    <n v="2.8896374235574456"/>
  </r>
  <r>
    <s v="Methanol"/>
    <x v="56"/>
    <s v="Other"/>
    <m/>
    <n v="4.9435021407774277E-3"/>
    <n v="0.50548750580180479"/>
    <n v="1"/>
    <n v="0.50548750580180479"/>
    <e v="#N/A"/>
    <e v="#N/A"/>
  </r>
  <r>
    <s v="Methyl Methacrylate (MMA)"/>
    <x v="57"/>
    <m/>
    <s v="Minor polymers"/>
    <m/>
    <n v="1.772842341876246"/>
    <n v="1"/>
    <n v="1.772842341876246"/>
    <e v="#N/A"/>
    <e v="#N/A"/>
  </r>
  <r>
    <s v="Vinyl acetate monomer (VAM)"/>
    <x v="58"/>
    <m/>
    <s v="Minor polymers"/>
    <n v="0.37"/>
    <n v="1.0645306645833978"/>
    <n v="1"/>
    <n v="1.0645306645833978"/>
    <e v="#N/A"/>
    <e v="#N/A"/>
  </r>
  <r>
    <s v="Vinyl acetate monomer (VAM)"/>
    <x v="10"/>
    <m/>
    <m/>
    <n v="0.63"/>
    <n v="1.8125792396960556"/>
    <n v="1"/>
    <n v="1.8125792396960556"/>
    <e v="#N/A"/>
    <e v="#N/A"/>
  </r>
  <r>
    <s v="Terephthalic acid"/>
    <x v="59"/>
    <m/>
    <s v="Major polymers"/>
    <n v="0.9"/>
    <n v="1.3594344297720415"/>
    <n v="1"/>
    <n v="1.3594344297720415"/>
    <n v="1.1569113716803505"/>
    <n v="1.5727451508570678"/>
  </r>
  <r>
    <s v="Terephthalic acid"/>
    <x v="10"/>
    <m/>
    <m/>
    <n v="9.9999999999999978E-2"/>
    <n v="0.15104826997467125"/>
    <n v="1"/>
    <n v="0.15104826997467125"/>
    <e v="#N/A"/>
    <e v="#N/A"/>
  </r>
  <r>
    <s v="Dimethyl terephthalate (DMT)"/>
    <x v="59"/>
    <m/>
    <s v="Major polymers"/>
    <m/>
    <n v="0.42438915566653618"/>
    <n v="1"/>
    <n v="0.42438915566653618"/>
    <n v="0.98975230444410101"/>
    <n v="0.42004014480204049"/>
  </r>
  <r>
    <s v="Dimethyl terephthalate (DMT)"/>
    <x v="10"/>
    <m/>
    <m/>
    <m/>
    <n v="5.2380930593212353E-2"/>
    <n v="1"/>
    <n v="5.2380930593212353E-2"/>
    <e v="#N/A"/>
    <e v="#N/A"/>
  </r>
  <r>
    <s v="Methylene diphenyl diisocyanate"/>
    <x v="31"/>
    <m/>
    <s v="Major polymers"/>
    <n v="0.95"/>
    <n v="1.1298928174736835"/>
    <n v="1"/>
    <n v="1.1298928174736835"/>
    <e v="#N/A"/>
    <e v="#N/A"/>
  </r>
  <r>
    <s v="Methylene diphenyl diisocyanate"/>
    <x v="10"/>
    <m/>
    <m/>
    <n v="0.05"/>
    <n v="5.9468043024930722E-2"/>
    <n v="1"/>
    <n v="5.9468043024930722E-2"/>
    <e v="#N/A"/>
    <e v="#N/A"/>
  </r>
  <r>
    <s v="1,4-butanediol"/>
    <x v="60"/>
    <s v="Other"/>
    <m/>
    <n v="0.5"/>
    <n v="0.59468043024930717"/>
    <n v="1"/>
    <n v="0.59468043024930717"/>
    <e v="#N/A"/>
    <e v="#N/A"/>
  </r>
  <r>
    <s v="1,4-butanediol"/>
    <x v="10"/>
    <m/>
    <m/>
    <n v="0.5"/>
    <n v="0.59468043024930717"/>
    <n v="1"/>
    <n v="0.59468043024930717"/>
    <e v="#N/A"/>
    <e v="#N/A"/>
  </r>
  <r>
    <s v="Ethylene glycol"/>
    <x v="59"/>
    <m/>
    <s v="Major polymers"/>
    <n v="0.7"/>
    <n v="1.024360748505651"/>
    <n v="1"/>
    <n v="1.024360748505651"/>
    <n v="3.0965039471564362"/>
    <n v="3.1719371010598696"/>
  </r>
  <r>
    <s v="Ethylene glycol"/>
    <x v="10"/>
    <m/>
    <m/>
    <n v="0.30000000000000004"/>
    <n v="0.43901174935956477"/>
    <n v="1"/>
    <n v="0.43901174935956477"/>
    <e v="#N/A"/>
    <e v="#N/A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4">
  <r>
    <s v="Methanol"/>
    <s v="Ethylene"/>
    <m/>
    <x v="0"/>
    <n v="0.15257253124401302"/>
    <n v="15.60098611796605"/>
    <n v="2"/>
    <n v="15.60098611796605"/>
    <n v="1.7509363295880149"/>
    <n v="27.316333371345049"/>
    <s v="#A9A9A9"/>
    <s v="Methanol [15.6] Ethylene #A9A9A9"/>
  </r>
  <r>
    <s v="Methanol"/>
    <s v="Propylene"/>
    <m/>
    <x v="0"/>
    <n v="0.15257253124401302"/>
    <n v="15.60098611796605"/>
    <n v="3"/>
    <n v="15.60098611796605"/>
    <e v="#N/A"/>
    <e v="#N/A"/>
    <s v="#A9A9A9"/>
    <s v="Methanol [15.6] Propylene #A9A9A9"/>
  </r>
  <r>
    <s v="Methanol"/>
    <s v="Formaldehyde"/>
    <m/>
    <x v="0"/>
    <n v="0.23263118840911975"/>
    <n v="23.787217209972287"/>
    <n v="1"/>
    <n v="23.787217209972287"/>
    <n v="0.93714107365792754"/>
    <n v="22.291978275487761"/>
    <s v="#A9A9A9"/>
    <s v="Methanol [23.8] Formaldehyde #A9A9A9"/>
  </r>
  <r>
    <s v="Methanol"/>
    <s v="Methyl tert-Butyl Ether (MTBE)"/>
    <m/>
    <x v="0"/>
    <n v="0.1021547725875792"/>
    <n v="10.445623311275693"/>
    <n v="1"/>
    <n v="10.445623311275693"/>
    <e v="#N/A"/>
    <e v="#N/A"/>
    <s v="#A9A9A9"/>
    <s v="Methanol [10.4] Methyl tert-Butyl Ether (MTBE) #A9A9A9"/>
  </r>
  <r>
    <s v="Methanol"/>
    <s v="Acetic Acid"/>
    <m/>
    <x v="0"/>
    <n v="7.0342979835361516E-2"/>
    <n v="7.192774760698633"/>
    <n v="1"/>
    <n v="7.192774760698633"/>
    <n v="1.8742821473158551"/>
    <n v="13.481289323641519"/>
    <s v="#A9A9A9"/>
    <s v="Methanol [7.2] Acetic Acid #A9A9A9"/>
  </r>
  <r>
    <s v="Methanol"/>
    <s v="Methyl Methacrylate (MMA)"/>
    <m/>
    <x v="0"/>
    <n v="1.733781708100687E-2"/>
    <n v="1.772842341876246"/>
    <n v="1"/>
    <n v="1.772842341876246"/>
    <e v="#N/A"/>
    <e v="#N/A"/>
    <s v="#A9A9A9"/>
    <s v="Methanol [1.8] Methyl Methacrylate (MMA) #A9A9A9"/>
  </r>
  <r>
    <s v="Methanol"/>
    <s v="Biodiesel"/>
    <m/>
    <x v="1"/>
    <n v="2.9805719753632672E-2"/>
    <n v="3.0477217381202508"/>
    <n v="1"/>
    <n v="3.0477217381202508"/>
    <e v="#N/A"/>
    <e v="#N/A"/>
    <s v="#CC66FF"/>
    <s v="Methanol [3] Biodiesel #CC66FF"/>
  </r>
  <r>
    <s v="Methanol"/>
    <s v="Dimethylether (DME)"/>
    <m/>
    <x v="0"/>
    <n v="2.8522886298573059E-2"/>
    <n v="2.9165482774660565"/>
    <n v="1"/>
    <n v="2.9165482774660565"/>
    <e v="#N/A"/>
    <e v="#N/A"/>
    <s v="#A9A9A9"/>
    <s v="Methanol [2.9] Dimethylether (DME) #A9A9A9"/>
  </r>
  <r>
    <s v="Methanol"/>
    <s v="Gasoline Blending &amp; Combustion"/>
    <m/>
    <x v="1"/>
    <n v="0.12836023848013775"/>
    <n v="13.125208596196902"/>
    <n v="1"/>
    <n v="13.125208596196902"/>
    <e v="#N/A"/>
    <e v="#N/A"/>
    <s v="#CC66FF"/>
    <s v="Methanol [13.1] Gasoline Blending &amp; Combustion #CC66FF"/>
  </r>
  <r>
    <s v="Methanol"/>
    <s v="Fuel Cells"/>
    <s v="Other"/>
    <x v="1"/>
    <n v="1.2248167496215287E-4"/>
    <n v="1.2524108338569352E-2"/>
    <n v="1"/>
    <n v="1.2524108338569352E-2"/>
    <e v="#N/A"/>
    <e v="#N/A"/>
    <s v="#964B00"/>
    <s v="Methanol [0.01] Other #964B00"/>
  </r>
  <r>
    <s v="Methanol"/>
    <s v="Other"/>
    <m/>
    <x v="0"/>
    <n v="3.7085809133041631E-2"/>
    <n v="3.7921321009795088"/>
    <n v="1"/>
    <n v="3.7921321009795088"/>
    <e v="#N/A"/>
    <e v="#N/A"/>
    <s v="#964B00"/>
    <s v="Methanol [3.8] Other #964B00"/>
  </r>
  <r>
    <s v="Methyl tert-Butyl Ether (MTBE)"/>
    <s v="Fuel blend"/>
    <m/>
    <x v="1"/>
    <n v="0.95"/>
    <n v="9.9233421457119082"/>
    <n v="1"/>
    <n v="9.9233421457119082"/>
    <e v="#N/A"/>
    <e v="#N/A"/>
    <s v="#CC66FF"/>
    <s v="Methyl tert-Butyl Ether (MTBE) [9.9] Fuel blend #CC66FF"/>
  </r>
  <r>
    <s v="Methyl tert-Butyl Ether (MTBE)"/>
    <s v="Solvent"/>
    <s v="Other"/>
    <x v="0"/>
    <n v="0.05"/>
    <n v="0.52228116556378501"/>
    <n v="1"/>
    <n v="0.52228116556378501"/>
    <e v="#N/A"/>
    <e v="#N/A"/>
    <s v="#964B00"/>
    <s v="Methyl tert-Butyl Ether (MTBE) [0.52] Other #964B00"/>
  </r>
  <r>
    <s v="Dimethylether (DME)"/>
    <s v="Fuel"/>
    <m/>
    <x v="1"/>
    <n v="0.85"/>
    <n v="2.4790660358461478"/>
    <n v="1"/>
    <n v="2.4790660358461478"/>
    <e v="#N/A"/>
    <e v="#N/A"/>
    <s v="#CC66FF"/>
    <s v="Dimethylether (DME) [2.5] Fuel #CC66FF"/>
  </r>
  <r>
    <s v="Dimethylether (DME)"/>
    <s v="Other"/>
    <m/>
    <x v="0"/>
    <n v="0.15"/>
    <n v="0.43748224161990845"/>
    <n v="1"/>
    <n v="0.43748224161990845"/>
    <e v="#N/A"/>
    <e v="#N/A"/>
    <s v="#964B00"/>
    <s v="Dimethylether (DME) [0.44] Other #964B00"/>
  </r>
  <r>
    <s v="Formaldehyde"/>
    <s v="Carbamide-methanal resins (UF)"/>
    <m/>
    <x v="2"/>
    <n v="0.38"/>
    <n v="9.0391425397894682"/>
    <n v="1"/>
    <n v="9.0391425397894682"/>
    <e v="#N/A"/>
    <e v="#N/A"/>
    <s v="#FFFF00"/>
    <s v="Formaldehyde [9] Carbamide-methanal resins (UF) #FFFF00"/>
  </r>
  <r>
    <s v="Formaldehyde"/>
    <s v="Phenolic Resins (PF)"/>
    <m/>
    <x v="2"/>
    <n v="0.16"/>
    <n v="3.8059547535955658"/>
    <n v="1"/>
    <n v="3.8059547535955658"/>
    <e v="#N/A"/>
    <e v="#N/A"/>
    <s v="#FFFF00"/>
    <s v="Formaldehyde [3.8] Phenolic Resins (PF) #FFFF00"/>
  </r>
  <r>
    <s v="Formaldehyde"/>
    <s v="Melamine Resins"/>
    <m/>
    <x v="2"/>
    <n v="0.21"/>
    <n v="4.9953156140941797"/>
    <n v="1"/>
    <n v="4.9953156140941797"/>
    <e v="#N/A"/>
    <e v="#N/A"/>
    <s v="#FFFF00"/>
    <s v="Formaldehyde [5] Melamine Resins #FFFF00"/>
  </r>
  <r>
    <s v="Formaldehyde"/>
    <s v="Polyacetal resins (polyoxymethylene)"/>
    <m/>
    <x v="2"/>
    <n v="0.08"/>
    <n v="1.9029773767977829"/>
    <n v="1"/>
    <n v="1.9029773767977829"/>
    <e v="#N/A"/>
    <e v="#N/A"/>
    <s v="#FFFF00"/>
    <s v="Formaldehyde [1.9] Polyacetal resins (polyoxymethylene) #FFFF00"/>
  </r>
  <r>
    <s v="Formaldehyde"/>
    <s v="Methylene diphenyl diisocyanate"/>
    <m/>
    <x v="0"/>
    <n v="0.05"/>
    <n v="1.1893608604986143"/>
    <n v="1"/>
    <n v="1.1893608604986143"/>
    <e v="#N/A"/>
    <e v="#N/A"/>
    <s v="#A9A9A9"/>
    <s v="Formaldehyde [1.2] Methylene diphenyl diisocyanate #A9A9A9"/>
  </r>
  <r>
    <s v="Formaldehyde"/>
    <s v="1,4-butanediol"/>
    <m/>
    <x v="0"/>
    <n v="0.05"/>
    <n v="1.1893608604986143"/>
    <n v="1"/>
    <n v="1.1893608604986143"/>
    <e v="#N/A"/>
    <e v="#N/A"/>
    <s v="#A9A9A9"/>
    <s v="Formaldehyde [1.2] 1,4-butanediol #A9A9A9"/>
  </r>
  <r>
    <s v="Formaldehyde"/>
    <s v="Other"/>
    <m/>
    <x v="0"/>
    <n v="7.0000000000000007E-2"/>
    <n v="1.6651052046980603"/>
    <n v="1"/>
    <n v="1.6651052046980603"/>
    <e v="#N/A"/>
    <e v="#N/A"/>
    <s v="#964B00"/>
    <s v="Formaldehyde [1.7] Other #964B00"/>
  </r>
  <r>
    <s v="Ethylene"/>
    <s v="Polyethylene (PE)"/>
    <m/>
    <x v="3"/>
    <n v="0.61"/>
    <n v="9.5166015319592905"/>
    <n v="1"/>
    <n v="9.5166015319592905"/>
    <e v="#N/A"/>
    <e v="#N/A"/>
    <s v="#0000FF"/>
    <s v="Ethylene [9.5] Polyethylene (PE) #0000FF"/>
  </r>
  <r>
    <s v="Ethylene"/>
    <s v="Ethylene Oxide"/>
    <m/>
    <x v="0"/>
    <n v="0.14000000000000001"/>
    <n v="2.1841380565152471"/>
    <n v="1"/>
    <n v="2.1841380565152471"/>
    <n v="1.572192513368984"/>
    <n v="3.4338855006175542"/>
    <s v="#A9A9A9"/>
    <s v="Ethylene [2.2] Ethylene Oxide #A9A9A9"/>
  </r>
  <r>
    <s v="Ethylene"/>
    <s v="Ethylene Dichloride"/>
    <m/>
    <x v="0"/>
    <n v="0.12"/>
    <n v="1.872118334155926"/>
    <n v="1"/>
    <n v="1.872118334155926"/>
    <e v="#N/A"/>
    <e v="#N/A"/>
    <s v="#A9A9A9"/>
    <s v="Ethylene [1.9] Ethylene Dichloride #A9A9A9"/>
  </r>
  <r>
    <s v="Ethylene"/>
    <s v="Ethylbenzene"/>
    <m/>
    <x v="0"/>
    <n v="0.06"/>
    <n v="0.93605916707796299"/>
    <n v="1"/>
    <n v="0.93605916707796299"/>
    <e v="#N/A"/>
    <e v="#N/A"/>
    <s v="#A9A9A9"/>
    <s v="Ethylene [0.94] Ethylbenzene #A9A9A9"/>
  </r>
  <r>
    <s v="Ethylene"/>
    <s v="Other"/>
    <m/>
    <x v="0"/>
    <n v="7.0000000000000007E-2"/>
    <n v="1.0920690282576235"/>
    <n v="1"/>
    <n v="1.0920690282576235"/>
    <e v="#N/A"/>
    <e v="#N/A"/>
    <s v="#964B00"/>
    <s v="Ethylene [1.1] Other #964B00"/>
  </r>
  <r>
    <s v="Polyethylene (PE)"/>
    <s v="High-density Polyethylene (HDPE)"/>
    <m/>
    <x v="3"/>
    <n v="0.44903581267217635"/>
    <n v="4.2732949027806182"/>
    <n v="1"/>
    <n v="4.2732949027806182"/>
    <e v="#N/A"/>
    <e v="#N/A"/>
    <s v="#0000FF"/>
    <s v="Polyethylene (PE) [4.3] High-density Polyethylene (HDPE) #0000FF"/>
  </r>
  <r>
    <s v="Polyethylene (PE)"/>
    <s v="Low-density Polyethylene (LDPE)"/>
    <m/>
    <x v="3"/>
    <n v="0.55096418732782371"/>
    <n v="5.2433066291786723"/>
    <n v="1"/>
    <n v="5.2433066291786723"/>
    <e v="#N/A"/>
    <e v="#N/A"/>
    <s v="#0000FF"/>
    <s v="Polyethylene (PE) [5.2] Low-density Polyethylene (LDPE) #0000FF"/>
  </r>
  <r>
    <s v="Ethylene Oxide"/>
    <s v="Ethylene glycol"/>
    <m/>
    <x v="0"/>
    <n v="0.67"/>
    <n v="1.4633724978652156"/>
    <n v="1"/>
    <n v="1.4633724978652156"/>
    <n v="1.407482993197279"/>
    <n v="2.0596719034579123"/>
    <s v="#A9A9A9"/>
    <s v="Ethylene Oxide [1.5] Ethylene glycol #A9A9A9"/>
  </r>
  <r>
    <s v="Ethylene Oxide"/>
    <s v="Ethoxylates"/>
    <s v="Other"/>
    <x v="0"/>
    <n v="0.13"/>
    <n v="0.28393794734698213"/>
    <n v="1"/>
    <n v="0.28393794734698213"/>
    <e v="#N/A"/>
    <e v="#N/A"/>
    <s v="#964B00"/>
    <s v="Ethylene Oxide [0.28] Other #964B00"/>
  </r>
  <r>
    <s v="Ethylene Oxide"/>
    <s v="Ethanolamines"/>
    <s v="Other"/>
    <x v="0"/>
    <n v="0.06"/>
    <n v="0.13104828339091482"/>
    <n v="1"/>
    <n v="0.13104828339091482"/>
    <e v="#N/A"/>
    <e v="#N/A"/>
    <s v="#964B00"/>
    <s v="Ethylene Oxide [0.13] Other #964B00"/>
  </r>
  <r>
    <s v="Ethylene Oxide"/>
    <s v="Glycol Ethers"/>
    <s v="Other"/>
    <x v="0"/>
    <n v="0.03"/>
    <n v="6.5524141695457408E-2"/>
    <n v="1"/>
    <n v="6.5524141695457408E-2"/>
    <e v="#N/A"/>
    <e v="#N/A"/>
    <s v="#964B00"/>
    <s v="Ethylene Oxide [0.07] Other #964B00"/>
  </r>
  <r>
    <s v="Ethylene Oxide"/>
    <s v="Polyethylene Glycol (PEG)"/>
    <s v="Other"/>
    <x v="0"/>
    <n v="0.02"/>
    <n v="4.3682761130304941E-2"/>
    <n v="1"/>
    <n v="4.3682761130304941E-2"/>
    <e v="#N/A"/>
    <e v="#N/A"/>
    <s v="#964B00"/>
    <s v="Ethylene Oxide [0.04] Other #964B00"/>
  </r>
  <r>
    <s v="Ethylene Oxide"/>
    <s v="Polyurethane (PU)"/>
    <m/>
    <x v="3"/>
    <n v="0.03"/>
    <n v="6.5524141695457408E-2"/>
    <n v="1"/>
    <n v="6.5524141695457408E-2"/>
    <e v="#N/A"/>
    <e v="#N/A"/>
    <s v="#0000FF"/>
    <s v="Ethylene Oxide [0.07] Polyurethane (PU) #0000FF"/>
  </r>
  <r>
    <s v="Ethylene Oxide"/>
    <s v="Other"/>
    <m/>
    <x v="0"/>
    <n v="0.06"/>
    <n v="0.13104828339091482"/>
    <n v="1"/>
    <n v="0.13104828339091482"/>
    <e v="#N/A"/>
    <e v="#N/A"/>
    <s v="#964B00"/>
    <s v="Ethylene Oxide [0.13] Other #964B00"/>
  </r>
  <r>
    <s v="Ethylene Dichloride"/>
    <s v="Polyvinylchloride (PVC)"/>
    <m/>
    <x v="3"/>
    <n v="0.96"/>
    <n v="1.797233600789689"/>
    <n v="1"/>
    <n v="1.797233600789689"/>
    <e v="#N/A"/>
    <e v="#N/A"/>
    <s v="#0000FF"/>
    <s v="Ethylene Dichloride [1.8] Polyvinylchloride (PVC) #0000FF"/>
  </r>
  <r>
    <s v="Ethylene Dichloride"/>
    <s v="Other"/>
    <m/>
    <x v="0"/>
    <n v="0.04"/>
    <n v="7.4884733366237036E-2"/>
    <n v="1"/>
    <n v="7.4884733366237036E-2"/>
    <e v="#N/A"/>
    <e v="#N/A"/>
    <s v="#964B00"/>
    <s v="Ethylene Dichloride [0.07] Other #964B00"/>
  </r>
  <r>
    <s v="Ethylbenzene"/>
    <s v="Polystyrene (PS)"/>
    <m/>
    <x v="3"/>
    <n v="0.46529999999999999"/>
    <n v="0.4355483304413762"/>
    <n v="1"/>
    <n v="0.4355483304413762"/>
    <e v="#N/A"/>
    <e v="#N/A"/>
    <s v="#0000FF"/>
    <s v="Ethylbenzene [0.44] Polystyrene (PS) #0000FF"/>
  </r>
  <r>
    <s v="Ethylbenzene"/>
    <s v="Other"/>
    <m/>
    <x v="0"/>
    <n v="0.53469999999999995"/>
    <n v="0.5005108366365868"/>
    <n v="1"/>
    <n v="0.5005108366365868"/>
    <e v="#N/A"/>
    <e v="#N/A"/>
    <s v="#964B00"/>
    <s v="Ethylbenzene [0.5] Other #964B00"/>
  </r>
  <r>
    <s v="Propylene"/>
    <s v="Polypropylene (PP)"/>
    <m/>
    <x v="3"/>
    <n v="0.67"/>
    <n v="10.452660699037255"/>
    <n v="1"/>
    <n v="10.452660699037255"/>
    <e v="#N/A"/>
    <e v="#N/A"/>
    <s v="#0000FF"/>
    <s v="Propylene [10.5] Polypropylene (PP) #0000FF"/>
  </r>
  <r>
    <s v="Propylene"/>
    <s v="Propenic Acid"/>
    <m/>
    <x v="0"/>
    <n v="0.05"/>
    <n v="0.78004930589830257"/>
    <n v="1"/>
    <n v="0.78004930589830257"/>
    <e v="#N/A"/>
    <e v="#N/A"/>
    <s v="#A9A9A9"/>
    <s v="Propylene [0.78] Propenic Acid #A9A9A9"/>
  </r>
  <r>
    <s v="Propylene"/>
    <s v="Propenonitrile"/>
    <m/>
    <x v="0"/>
    <n v="0.06"/>
    <n v="0.93605916707796299"/>
    <n v="1"/>
    <n v="0.93605916707796299"/>
    <e v="#N/A"/>
    <e v="#N/A"/>
    <s v="#A9A9A9"/>
    <s v="Propylene [0.94] Propenonitrile #A9A9A9"/>
  </r>
  <r>
    <s v="Propylene"/>
    <s v="Cumene"/>
    <m/>
    <x v="0"/>
    <n v="0.04"/>
    <n v="0.62403944471864203"/>
    <n v="1"/>
    <n v="0.62403944471864203"/>
    <e v="#N/A"/>
    <e v="#N/A"/>
    <s v="#A9A9A9"/>
    <s v="Propylene [0.62] Cumene #A9A9A9"/>
  </r>
  <r>
    <s v="Propylene"/>
    <s v="Propylene oxide"/>
    <m/>
    <x v="0"/>
    <n v="7.0000000000000007E-2"/>
    <n v="1.0920690282576235"/>
    <n v="1"/>
    <n v="1.0920690282576235"/>
    <e v="#N/A"/>
    <e v="#N/A"/>
    <s v="#A9A9A9"/>
    <s v="Propylene [1.1] Propylene oxide #A9A9A9"/>
  </r>
  <r>
    <s v="Propylene"/>
    <s v="Butanol"/>
    <m/>
    <x v="0"/>
    <n v="0.03"/>
    <n v="0.4680295835389815"/>
    <n v="1"/>
    <n v="0.4680295835389815"/>
    <e v="#N/A"/>
    <e v="#N/A"/>
    <s v="#A9A9A9"/>
    <s v="Propylene [0.47] Butanol #A9A9A9"/>
  </r>
  <r>
    <s v="Propylene"/>
    <s v="Other"/>
    <m/>
    <x v="0"/>
    <n v="0.08"/>
    <n v="1.2480788894372841"/>
    <n v="1"/>
    <n v="1.2480788894372841"/>
    <e v="#N/A"/>
    <e v="#N/A"/>
    <s v="#964B00"/>
    <s v="Propylene [1.2] Other #964B00"/>
  </r>
  <r>
    <s v="Propenic Acid"/>
    <s v="Animal feed additives"/>
    <s v="Other"/>
    <x v="0"/>
    <n v="0.5"/>
    <n v="0.39002465294915128"/>
    <n v="1"/>
    <n v="0.39002465294915128"/>
    <e v="#N/A"/>
    <e v="#N/A"/>
    <s v="#964B00"/>
    <s v="Propenic Acid [0.39] Other #964B00"/>
  </r>
  <r>
    <s v="Propenic Acid"/>
    <s v="Food preservative"/>
    <s v="Other"/>
    <x v="0"/>
    <n v="0.35"/>
    <n v="0.27301725706440588"/>
    <n v="1"/>
    <n v="0.27301725706440588"/>
    <e v="#N/A"/>
    <e v="#N/A"/>
    <s v="#964B00"/>
    <s v="Propenic Acid [0.27] Other #964B00"/>
  </r>
  <r>
    <s v="Propenic Acid"/>
    <s v="Herbicides"/>
    <s v="Other"/>
    <x v="0"/>
    <n v="0.1"/>
    <n v="7.8004930589830268E-2"/>
    <n v="1"/>
    <n v="7.8004930589830268E-2"/>
    <e v="#N/A"/>
    <e v="#N/A"/>
    <s v="#964B00"/>
    <s v="Propenic Acid [0.08] Other #964B00"/>
  </r>
  <r>
    <s v="Propenic Acid"/>
    <s v="Other"/>
    <m/>
    <x v="0"/>
    <n v="0.05"/>
    <n v="3.9002465294915134E-2"/>
    <n v="1"/>
    <n v="3.9002465294915134E-2"/>
    <e v="#N/A"/>
    <e v="#N/A"/>
    <s v="#964B00"/>
    <s v="Propenic Acid [0.04] Other #964B00"/>
  </r>
  <r>
    <s v="Propenonitrile"/>
    <s v="Acrylic fibres"/>
    <s v="Other"/>
    <x v="0"/>
    <n v="0.3"/>
    <n v="0.28081775012338889"/>
    <n v="1"/>
    <n v="0.28081775012338889"/>
    <e v="#N/A"/>
    <e v="#N/A"/>
    <s v="#964B00"/>
    <s v="Propenonitrile [0.28] Other #964B00"/>
  </r>
  <r>
    <s v="Propenonitrile"/>
    <s v="SAN/ABS"/>
    <s v="Other"/>
    <x v="0"/>
    <n v="0.35"/>
    <n v="0.32762070847728703"/>
    <n v="1"/>
    <n v="0.32762070847728703"/>
    <e v="#N/A"/>
    <e v="#N/A"/>
    <s v="#964B00"/>
    <s v="Propenonitrile [0.33] Other #964B00"/>
  </r>
  <r>
    <s v="Propenonitrile"/>
    <s v="Propenamide"/>
    <s v="Other"/>
    <x v="0"/>
    <n v="0.15"/>
    <n v="0.14040887506169444"/>
    <n v="1"/>
    <n v="0.14040887506169444"/>
    <e v="#N/A"/>
    <e v="#N/A"/>
    <s v="#964B00"/>
    <s v="Propenonitrile [0.14] Other #964B00"/>
  </r>
  <r>
    <s v="Propenonitrile"/>
    <s v="Other"/>
    <m/>
    <x v="0"/>
    <n v="0.2"/>
    <n v="0.18721183341559261"/>
    <n v="1"/>
    <n v="0.18721183341559261"/>
    <e v="#N/A"/>
    <e v="#N/A"/>
    <s v="#964B00"/>
    <s v="Propenonitrile [0.19] Other #964B00"/>
  </r>
  <r>
    <s v="Cumene"/>
    <s v="Phenol + Acetone"/>
    <s v="Other"/>
    <x v="0"/>
    <n v="0.98"/>
    <n v="0.61155865582426916"/>
    <n v="1"/>
    <n v="0.61155865582426916"/>
    <e v="#N/A"/>
    <e v="#N/A"/>
    <s v="#964B00"/>
    <s v="Cumene [0.61] Other #964B00"/>
  </r>
  <r>
    <s v="Cumene"/>
    <s v="Other"/>
    <m/>
    <x v="0"/>
    <n v="0.02"/>
    <n v="1.2480788894372841E-2"/>
    <n v="1"/>
    <n v="1.2480788894372841E-2"/>
    <e v="#N/A"/>
    <e v="#N/A"/>
    <s v="#964B00"/>
    <s v="Cumene [0.01] Other #964B00"/>
  </r>
  <r>
    <s v="Propylene oxide"/>
    <s v="Polyurethane (PU)"/>
    <m/>
    <x v="3"/>
    <n v="0.68"/>
    <n v="0.74260693921518406"/>
    <n v="1"/>
    <n v="0.74260693921518406"/>
    <e v="#N/A"/>
    <e v="#N/A"/>
    <s v="#0000FF"/>
    <s v="Propylene oxide [0.74] Polyurethane (PU) #0000FF"/>
  </r>
  <r>
    <s v="Propylene oxide"/>
    <s v="Propylene glycol"/>
    <s v="Other"/>
    <x v="0"/>
    <n v="0.22"/>
    <n v="0.24025518621667719"/>
    <n v="1"/>
    <n v="0.24025518621667719"/>
    <e v="#N/A"/>
    <e v="#N/A"/>
    <s v="#964B00"/>
    <s v="Propylene oxide [0.24] Other #964B00"/>
  </r>
  <r>
    <s v="Propylene oxide"/>
    <s v="Glycol ether"/>
    <s v="Other"/>
    <x v="0"/>
    <n v="0.04"/>
    <n v="4.3682761130304941E-2"/>
    <n v="1"/>
    <n v="4.3682761130304941E-2"/>
    <e v="#N/A"/>
    <e v="#N/A"/>
    <s v="#964B00"/>
    <s v="Propylene oxide [0.04] Other #964B00"/>
  </r>
  <r>
    <s v="Propylene oxide"/>
    <s v="Other"/>
    <m/>
    <x v="0"/>
    <n v="0.06"/>
    <n v="6.5524141695457408E-2"/>
    <n v="1"/>
    <n v="6.5524141695457408E-2"/>
    <e v="#N/A"/>
    <e v="#N/A"/>
    <s v="#964B00"/>
    <s v="Propylene oxide [0.07] Other #964B00"/>
  </r>
  <r>
    <s v="Butanol"/>
    <s v="Other"/>
    <m/>
    <x v="0"/>
    <n v="1"/>
    <n v="0.4680295835389815"/>
    <n v="1"/>
    <n v="0.4680295835389815"/>
    <e v="#N/A"/>
    <e v="#N/A"/>
    <s v="#964B00"/>
    <s v="Butanol [0.47] Other #964B00"/>
  </r>
  <r>
    <s v="Acetic Acid"/>
    <s v="Vinyl acetate monomer (VAM)"/>
    <m/>
    <x v="0"/>
    <m/>
    <n v="2.8771099042794535"/>
    <n v="1"/>
    <n v="2.8771099042794535"/>
    <e v="#N/A"/>
    <e v="#N/A"/>
    <s v="#A9A9A9"/>
    <s v="Acetic Acid [2.9] Vinyl acetate monomer (VAM) #A9A9A9"/>
  </r>
  <r>
    <s v="Acetic Acid"/>
    <s v="Terephthalic acid"/>
    <m/>
    <x v="0"/>
    <m/>
    <n v="1.5104826997467129"/>
    <n v="1"/>
    <n v="1.5104826997467129"/>
    <n v="2.7664690601478719"/>
    <n v="4.1787036547379088"/>
    <s v="#A9A9A9"/>
    <s v="Acetic Acid [1.5] Terephthalic acid #A9A9A9"/>
  </r>
  <r>
    <s v="Acetic Acid"/>
    <s v="Acetate esters"/>
    <s v="Other"/>
    <x v="0"/>
    <m/>
    <n v="0.71927747606986336"/>
    <n v="1"/>
    <n v="0.71927747606986336"/>
    <e v="#N/A"/>
    <e v="#N/A"/>
    <s v="#964B00"/>
    <s v="Acetic Acid [0.72] Other #964B00"/>
  </r>
  <r>
    <s v="Acetic Acid"/>
    <s v="Acetic anhydride"/>
    <s v="Other"/>
    <x v="0"/>
    <m/>
    <n v="0.79120522367684964"/>
    <n v="1"/>
    <n v="0.79120522367684964"/>
    <e v="#N/A"/>
    <e v="#N/A"/>
    <s v="#964B00"/>
    <s v="Acetic Acid [0.79] Other #964B00"/>
  </r>
  <r>
    <s v="Acetic Acid"/>
    <s v="Other"/>
    <m/>
    <x v="0"/>
    <m/>
    <n v="1.2946994569257539"/>
    <n v="1"/>
    <n v="1.2946994569257539"/>
    <e v="#N/A"/>
    <e v="#N/A"/>
    <s v="#964B00"/>
    <s v="Acetic Acid [1.3] Other #964B00"/>
  </r>
  <r>
    <s v="Methanol"/>
    <s v="Methyl Chlorides"/>
    <s v="Other"/>
    <x v="0"/>
    <n v="2.2216780422383169E-2"/>
    <n v="2.2717305672878156"/>
    <n v="1"/>
    <n v="2.2717305672878156"/>
    <e v="#N/A"/>
    <e v="#N/A"/>
    <s v="#964B00"/>
    <s v="Methanol [2.3] Other #964B00"/>
  </r>
  <r>
    <s v="Methanol"/>
    <s v="Methylamines"/>
    <s v="Other"/>
    <x v="0"/>
    <n v="1.5781321174464437E-2"/>
    <n v="1.6136860977433933"/>
    <n v="1"/>
    <n v="1.6136860977433933"/>
    <e v="#N/A"/>
    <e v="#N/A"/>
    <s v="#964B00"/>
    <s v="Methanol [1.6] Other #964B00"/>
  </r>
  <r>
    <s v="Methanol"/>
    <s v="Dimethyl terephthalate (DMT)"/>
    <m/>
    <x v="0"/>
    <n v="4.662655189360548E-3"/>
    <n v="0.47677008625974848"/>
    <n v="1"/>
    <n v="0.47677008625974848"/>
    <n v="6.0608614232209739"/>
    <n v="2.8896374235574456"/>
    <s v="#A9A9A9"/>
    <s v="Methanol [0.48] Dimethyl terephthalate (DMT) #A9A9A9"/>
  </r>
  <r>
    <s v="Methanol"/>
    <s v="Methanethiol"/>
    <s v="Other"/>
    <x v="0"/>
    <n v="4.9435021407774277E-3"/>
    <n v="0.50548750580180479"/>
    <n v="1"/>
    <n v="0.50548750580180479"/>
    <e v="#N/A"/>
    <e v="#N/A"/>
    <s v="#964B00"/>
    <s v="Methanol [0.51] Other #964B00"/>
  </r>
  <r>
    <s v="Methyl Methacrylate (MMA)"/>
    <s v="Polymethyl methacrylate (PMMA)"/>
    <m/>
    <x v="2"/>
    <m/>
    <n v="1.772842341876246"/>
    <n v="1"/>
    <n v="1.772842341876246"/>
    <e v="#N/A"/>
    <e v="#N/A"/>
    <s v="#FFFF00"/>
    <s v="Methyl Methacrylate (MMA) [1.8] Polymethyl methacrylate (PMMA) #FFFF00"/>
  </r>
  <r>
    <s v="Vinyl acetate monomer (VAM)"/>
    <s v="Polyvinyl acetate (PVA)"/>
    <m/>
    <x v="2"/>
    <n v="0.37"/>
    <n v="1.0645306645833978"/>
    <n v="1"/>
    <n v="1.0645306645833978"/>
    <e v="#N/A"/>
    <e v="#N/A"/>
    <s v="#FFFF00"/>
    <s v="Vinyl acetate monomer (VAM) [1.1] Polyvinyl acetate (PVA) #FFFF00"/>
  </r>
  <r>
    <s v="Vinyl acetate monomer (VAM)"/>
    <s v="Other"/>
    <m/>
    <x v="0"/>
    <n v="0.63"/>
    <n v="1.8125792396960556"/>
    <n v="1"/>
    <n v="1.8125792396960556"/>
    <e v="#N/A"/>
    <e v="#N/A"/>
    <s v="#964B00"/>
    <s v="Vinyl acetate monomer (VAM) [1.8] Other #964B00"/>
  </r>
  <r>
    <s v="Terephthalic acid"/>
    <s v="Polyethylene terephthalate (PET)"/>
    <m/>
    <x v="3"/>
    <n v="0.9"/>
    <n v="1.3594344297720415"/>
    <n v="1"/>
    <n v="1.3594344297720415"/>
    <n v="1.1569113716803505"/>
    <n v="1.5727451508570678"/>
    <s v="#0000FF"/>
    <s v="Terephthalic acid [1.4] Polyethylene terephthalate (PET) #0000FF"/>
  </r>
  <r>
    <s v="Terephthalic acid"/>
    <s v="Other"/>
    <m/>
    <x v="0"/>
    <n v="9.9999999999999978E-2"/>
    <n v="0.15104826997467125"/>
    <n v="1"/>
    <n v="0.15104826997467125"/>
    <e v="#N/A"/>
    <e v="#N/A"/>
    <s v="#964B00"/>
    <s v="Terephthalic acid [0.15] Other #964B00"/>
  </r>
  <r>
    <s v="Dimethyl terephthalate (DMT)"/>
    <s v="Polyethylene terephthalate (PET)"/>
    <m/>
    <x v="3"/>
    <m/>
    <n v="0.42438915566653618"/>
    <n v="1"/>
    <n v="0.42438915566653618"/>
    <n v="0.98975230444410101"/>
    <n v="0.42004014480204049"/>
    <s v="#0000FF"/>
    <s v="Dimethyl terephthalate (DMT) [0.42] Polyethylene terephthalate (PET) #0000FF"/>
  </r>
  <r>
    <s v="Dimethyl terephthalate (DMT)"/>
    <s v="Other"/>
    <m/>
    <x v="0"/>
    <m/>
    <n v="5.2380930593212353E-2"/>
    <n v="1"/>
    <n v="5.2380930593212353E-2"/>
    <e v="#N/A"/>
    <e v="#N/A"/>
    <s v="#964B00"/>
    <s v="Dimethyl terephthalate (DMT) [0.05] Other #964B00"/>
  </r>
  <r>
    <s v="Methylene diphenyl diisocyanate"/>
    <s v="Polyurethane (PU)"/>
    <m/>
    <x v="3"/>
    <n v="0.95"/>
    <n v="1.1298928174736835"/>
    <n v="1"/>
    <n v="1.1298928174736835"/>
    <e v="#N/A"/>
    <e v="#N/A"/>
    <s v="#0000FF"/>
    <s v="Methylene diphenyl diisocyanate [1.1] Polyurethane (PU) #0000FF"/>
  </r>
  <r>
    <s v="Methylene diphenyl diisocyanate"/>
    <s v="Other"/>
    <m/>
    <x v="0"/>
    <n v="0.05"/>
    <n v="5.9468043024930722E-2"/>
    <n v="1"/>
    <n v="5.9468043024930722E-2"/>
    <e v="#N/A"/>
    <e v="#N/A"/>
    <s v="#964B00"/>
    <s v="Methylene diphenyl diisocyanate [0.06] Other #964B00"/>
  </r>
  <r>
    <s v="1,4-butanediol"/>
    <s v="THF"/>
    <s v="Other"/>
    <x v="0"/>
    <n v="0.5"/>
    <n v="0.59468043024930717"/>
    <n v="1"/>
    <n v="0.59468043024930717"/>
    <e v="#N/A"/>
    <e v="#N/A"/>
    <s v="#964B00"/>
    <s v="1,4-butanediol [0.59] Other #964B00"/>
  </r>
  <r>
    <s v="1,4-butanediol"/>
    <s v="Other"/>
    <m/>
    <x v="0"/>
    <n v="0.5"/>
    <n v="0.59468043024930717"/>
    <n v="1"/>
    <n v="0.59468043024930717"/>
    <e v="#N/A"/>
    <e v="#N/A"/>
    <s v="#964B00"/>
    <s v="1,4-butanediol [0.59] Other #964B00"/>
  </r>
  <r>
    <s v="Ethylene glycol"/>
    <s v="Polyethylene terephthalate (PET)"/>
    <m/>
    <x v="3"/>
    <n v="0.7"/>
    <n v="1.024360748505651"/>
    <n v="1"/>
    <n v="1.024360748505651"/>
    <n v="3.0965039471564362"/>
    <n v="3.1719371010598696"/>
    <s v="#0000FF"/>
    <s v="Ethylene glycol [1] Polyethylene terephthalate (PET) #0000FF"/>
  </r>
  <r>
    <s v="Ethylene glycol"/>
    <s v="Other"/>
    <m/>
    <x v="0"/>
    <n v="0.30000000000000004"/>
    <n v="0.43901174935956477"/>
    <n v="1"/>
    <n v="0.43901174935956477"/>
    <e v="#N/A"/>
    <e v="#N/A"/>
    <s v="#964B00"/>
    <s v="Ethylene glycol [0.44] Other #964B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C9CA6D-AD38-49CA-86D7-ED3C4D4F1BED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Q31:R93" firstHeaderRow="1" firstDataRow="1" firstDataCol="1"/>
  <pivotFields count="10">
    <pivotField showAll="0"/>
    <pivotField axis="axisRow" showAll="0">
      <items count="62">
        <item x="0"/>
        <item x="2"/>
        <item x="3"/>
        <item x="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showAll="0"/>
    <pivotField showAll="0"/>
    <pivotField showAll="0"/>
    <pivotField dataField="1" showAll="0"/>
    <pivotField numFmtId="174" showAll="0"/>
    <pivotField numFmtId="174" showAll="0"/>
    <pivotField showAll="0"/>
    <pivotField showAll="0"/>
  </pivotFields>
  <rowFields count="1">
    <field x="1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Items count="1">
    <i/>
  </colItems>
  <dataFields count="1">
    <dataField name="Sum of Amount (Mt Methanol)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E2FB62-8BA0-4631-8994-1D7EACB6C0E6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Q14:R19" firstHeaderRow="1" firstDataRow="1" firstDataCol="1"/>
  <pivotFields count="12">
    <pivotField showAll="0"/>
    <pivotField showAll="0"/>
    <pivotField showAll="0"/>
    <pivotField axis="axisRow" showAll="0">
      <items count="5">
        <item x="1"/>
        <item x="3"/>
        <item x="2"/>
        <item x="0"/>
        <item t="default"/>
      </items>
    </pivotField>
    <pivotField showAll="0"/>
    <pivotField dataField="1" showAll="0"/>
    <pivotField numFmtId="174" showAll="0"/>
    <pivotField numFmtId="174" showAll="0"/>
    <pivotField showAll="0"/>
    <pivotField showAll="0"/>
    <pivotField showAll="0"/>
    <pivotField showAll="0"/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Amount (Mt Methanol)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8" dT="2021-08-23T15:21:28.51" personId="{A0EE1085-424D-4793-96CE-2B3CC27F8D15}" id="{6ABB56AA-F2C7-4804-8D1E-BDF5F359084E}">
    <text>What is NBM?</text>
  </threadedComment>
</ThreadedComment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8.bin"/><Relationship Id="rId3" Type="http://schemas.openxmlformats.org/officeDocument/2006/relationships/hyperlink" Target="https://www.customs.go.jp/toukei/search/futsu1.htm" TargetMode="External"/><Relationship Id="rId7" Type="http://schemas.openxmlformats.org/officeDocument/2006/relationships/hyperlink" Target="https://www.customs.go.jp/toukei/srch/index.htm?M=29&amp;P=0" TargetMode="External"/><Relationship Id="rId2" Type="http://schemas.openxmlformats.org/officeDocument/2006/relationships/hyperlink" Target="https://www.meti.go.jp/statistics/tyo/seidou/result/ichiran/resourceData/02_kagaku/nenpo/h2dbb2019k.xls" TargetMode="External"/><Relationship Id="rId1" Type="http://schemas.openxmlformats.org/officeDocument/2006/relationships/hyperlink" Target="https://www.meti.go.jp/statistics/tyo/seidou/result/ichiran/08_seidou.html" TargetMode="External"/><Relationship Id="rId6" Type="http://schemas.openxmlformats.org/officeDocument/2006/relationships/hyperlink" Target="https://www.customs.go.jp/toukei/srch/index.htm?M=35&amp;P=0" TargetMode="External"/><Relationship Id="rId5" Type="http://schemas.openxmlformats.org/officeDocument/2006/relationships/hyperlink" Target="https://www.customs.go.jp/tariff/2019_4/index.htm" TargetMode="External"/><Relationship Id="rId4" Type="http://schemas.openxmlformats.org/officeDocument/2006/relationships/hyperlink" Target="https://www.customs.go.jp/toukei/sankou/code/GH201904i.html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.bin"/><Relationship Id="rId2" Type="http://schemas.openxmlformats.org/officeDocument/2006/relationships/hyperlink" Target="https://cefic.org/app/uploads/2019/01/Low-carbon-energy-and-feedstock-for-the-chemical-industry-DECHEMA_Report-energy_climate.pdf" TargetMode="External"/><Relationship Id="rId1" Type="http://schemas.openxmlformats.org/officeDocument/2006/relationships/hyperlink" Target="https://www.iea.org/reports/the-future-of-petrochemicals" TargetMode="External"/><Relationship Id="rId4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s://www.marketresearchfuture.com/reports/ethylene-dichloride-market-2509" TargetMode="Externa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www.marketresearchfuture.com/reports/ethylene-dichloride-market-2509" TargetMode="Externa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chemicalsafetyfacts.org/cumene/" TargetMode="External"/><Relationship Id="rId2" Type="http://schemas.openxmlformats.org/officeDocument/2006/relationships/hyperlink" Target="https://www.essentialchemicalindustry.org/polymers/polypropenonitrile.html" TargetMode="External"/><Relationship Id="rId1" Type="http://schemas.openxmlformats.org/officeDocument/2006/relationships/hyperlink" Target="https://ihsmarkit.com/products/propionic-acid-chemical-economics-handbook.html" TargetMode="External"/><Relationship Id="rId5" Type="http://schemas.openxmlformats.org/officeDocument/2006/relationships/printerSettings" Target="../printerSettings/printerSettings13.bin"/><Relationship Id="rId4" Type="http://schemas.openxmlformats.org/officeDocument/2006/relationships/hyperlink" Target="https://www.researchgate.net/figure/Common-propylene-oxide-uses_fig1_269517484" TargetMode="Externa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hyperlink" Target="https://marketersmedia.com/phthalic-anhydride-market-size-industry-survey-competitive-trends-outlook-and-forecasts-2019-to-2023/88920301" TargetMode="External"/><Relationship Id="rId2" Type="http://schemas.openxmlformats.org/officeDocument/2006/relationships/hyperlink" Target="https://www.mordorintelligence.com/industry-reports/ortho-xylene-market" TargetMode="External"/><Relationship Id="rId1" Type="http://schemas.openxmlformats.org/officeDocument/2006/relationships/hyperlink" Target="https://marketersmedia.com/toluene-market-global-price-trend-2019-demand-overview-report-size-estimation-industry-share-business-opportunity-and-growth-forecast-2023/467668" TargetMode="External"/><Relationship Id="rId4" Type="http://schemas.openxmlformats.org/officeDocument/2006/relationships/hyperlink" Target="https://www.mordorintelligence.com/industry-reports/meta-xylene-market" TargetMode="Externa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hyperlink" Target="https://windeurope.org/wp-content/uploads/files/about-wind/reports/WindEurope-Accelerating-wind-turbine-blade-circularity.pdf" TargetMode="External"/><Relationship Id="rId2" Type="http://schemas.openxmlformats.org/officeDocument/2006/relationships/hyperlink" Target="https://www.plasticsinsight.com/resin-intelligence/resin-prices/ethylene-vinyl-acetate/" TargetMode="External"/><Relationship Id="rId1" Type="http://schemas.openxmlformats.org/officeDocument/2006/relationships/hyperlink" Target="https://eitrawmaterials.eu/wp-content/uploads/2020/04/rms_for_wind_and_solar_published_v2.pdf" TargetMode="External"/><Relationship Id="rId4" Type="http://schemas.openxmlformats.org/officeDocument/2006/relationships/drawing" Target="../drawings/drawing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hyperlink" Target="https://eitrawmaterials.eu/wp-content/uploads/2020/04/rms_for_wind_and_solar_published_v2.pdf" TargetMode="Externa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15.bin"/><Relationship Id="rId1" Type="http://schemas.openxmlformats.org/officeDocument/2006/relationships/hyperlink" Target="https://advances.sciencemag.org/content/advances/suppl/2017/07/17/3.7.e1700782.DC1/1700782_SM.pdf" TargetMode="Externa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hyperlink" Target="https://cdn.odi.org/media/documents/odi-et-cp-construction-report-sep20-proof04_final2.pdf" TargetMode="External"/><Relationship Id="rId2" Type="http://schemas.openxmlformats.org/officeDocument/2006/relationships/hyperlink" Target="https://cdn.odi.org/media/documents/odi-et-cp-construction-report-sep20-proof04_final2.pdf" TargetMode="External"/><Relationship Id="rId1" Type="http://schemas.openxmlformats.org/officeDocument/2006/relationships/hyperlink" Target="https://cdn.odi.org/media/documents/odi-et-cp-construction-report-sep20-proof04_final2.pdf" TargetMode="External"/><Relationship Id="rId4" Type="http://schemas.openxmlformats.org/officeDocument/2006/relationships/drawing" Target="../drawings/drawing11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hyperlink" Target="https://cdn.odi.org/media/documents/odi-et-cp-automotive-report-sep20-proof02_final2.pdf" TargetMode="External"/><Relationship Id="rId2" Type="http://schemas.openxmlformats.org/officeDocument/2006/relationships/hyperlink" Target="https://cdn.odi.org/media/documents/odi-et-cp-automotive-report-sep20-proof02_final2.pdf" TargetMode="External"/><Relationship Id="rId1" Type="http://schemas.openxmlformats.org/officeDocument/2006/relationships/hyperlink" Target="https://cdn.odi.org/media/documents/odi-et-cp-automotive-report-sep20-proof02_final2.pdf" TargetMode="External"/><Relationship Id="rId5" Type="http://schemas.openxmlformats.org/officeDocument/2006/relationships/drawing" Target="../drawings/drawing12.xml"/><Relationship Id="rId4" Type="http://schemas.openxmlformats.org/officeDocument/2006/relationships/hyperlink" Target="https://cdn.odi.org/media/documents/odi-et-cp-automotive-report-sep20-proof02_final2.pdf" TargetMode="Externa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ckinsey.com/~/media/mckinsey/industries/retail/our%20insights/fashion%20on%20climate/fashion-on-climate-full-report.pdf" TargetMode="External"/><Relationship Id="rId2" Type="http://schemas.openxmlformats.org/officeDocument/2006/relationships/hyperlink" Target="https://www.mckinsey.com/~/media/mckinsey/industries/retail/our%20insights/fashion%20on%20climate/fashion-on-climate-full-report.pdf" TargetMode="External"/><Relationship Id="rId1" Type="http://schemas.openxmlformats.org/officeDocument/2006/relationships/hyperlink" Target="https://www.mckinsey.com/~/media/mckinsey/industries/retail/our%20insights/fashion%20on%20climate/fashion-on-climate-full-report.pdf" TargetMode="External"/><Relationship Id="rId6" Type="http://schemas.microsoft.com/office/2017/10/relationships/threadedComment" Target="../threadedComments/threadedComment1.xm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7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.bin"/><Relationship Id="rId2" Type="http://schemas.openxmlformats.org/officeDocument/2006/relationships/hyperlink" Target="https://wrap.org.uk/sites/default/files/2020-10/WRAP_Plastics_market_situation_report.pdf" TargetMode="External"/><Relationship Id="rId1" Type="http://schemas.openxmlformats.org/officeDocument/2006/relationships/hyperlink" Target="https://wrap.org.uk/sites/default/files/2020-10/WRAP_Plastics_market_situation_report.pdf" TargetMode="External"/><Relationship Id="rId4" Type="http://schemas.openxmlformats.org/officeDocument/2006/relationships/drawing" Target="../drawings/drawing14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0.bin"/><Relationship Id="rId2" Type="http://schemas.openxmlformats.org/officeDocument/2006/relationships/hyperlink" Target="https://wrap.org.uk/sites/default/files/2020-10/WRAP_Plastics_market_situation_report.pdf" TargetMode="External"/><Relationship Id="rId1" Type="http://schemas.openxmlformats.org/officeDocument/2006/relationships/hyperlink" Target="https://wrap.org.uk/sites/default/files/2020-10/WRAP_Plastics_market_situation_report.pdf" TargetMode="External"/><Relationship Id="rId4" Type="http://schemas.openxmlformats.org/officeDocument/2006/relationships/drawing" Target="../drawings/drawing16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.xml"/><Relationship Id="rId2" Type="http://schemas.openxmlformats.org/officeDocument/2006/relationships/hyperlink" Target="https://wrap.org.uk/sites/default/files/2020-10/WRAP_Plastics_market_situation_report.pdf" TargetMode="External"/><Relationship Id="rId1" Type="http://schemas.openxmlformats.org/officeDocument/2006/relationships/hyperlink" Target="https://wrap.org.uk/sites/default/files/2020-10/WRAP_Plastics_market_situation_report.pdf" TargetMode="Externa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.xml"/><Relationship Id="rId2" Type="http://schemas.openxmlformats.org/officeDocument/2006/relationships/hyperlink" Target="https://wrap.org.uk/sites/default/files/2020-10/WRAP_Plastics_market_situation_report.pdf" TargetMode="External"/><Relationship Id="rId1" Type="http://schemas.openxmlformats.org/officeDocument/2006/relationships/hyperlink" Target="https://wrap.org.uk/sites/default/files/2020-10/WRAP_Plastics_market_situation_report.pdf" TargetMode="Externa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.xml"/><Relationship Id="rId2" Type="http://schemas.openxmlformats.org/officeDocument/2006/relationships/hyperlink" Target="https://wrap.org.uk/sites/default/files/2020-10/WRAP_Plastics_market_situation_report.pdf" TargetMode="External"/><Relationship Id="rId1" Type="http://schemas.openxmlformats.org/officeDocument/2006/relationships/hyperlink" Target="https://wrap.org.uk/sites/default/files/2020-10/WRAP_Plastics_market_situation_report.pdf" TargetMode="Externa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.xml"/><Relationship Id="rId2" Type="http://schemas.openxmlformats.org/officeDocument/2006/relationships/hyperlink" Target="https://wrap.org.uk/sites/default/files/2020-10/WRAP_Plastics_market_situation_report.pdf" TargetMode="External"/><Relationship Id="rId1" Type="http://schemas.openxmlformats.org/officeDocument/2006/relationships/hyperlink" Target="https://wrap.org.uk/sites/default/files/2020-10/WRAP_Plastics_market_situation_report.pdf" TargetMode="Externa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hyperlink" Target="https://www.goldsteinresearch.com/report/global-tire-recycling-industry-market-trends-analysis" TargetMode="Externa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hyperlink" Target="https://www.goldsteinresearch.com/report/global-tire-recycling-industry-market-trends-analysis" TargetMode="Externa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hyperlink" Target="https://advances.sciencemag.org/content/advances/suppl/2017/07/17/3.7.e1700782.DC1/1700782_SM.pdf" TargetMode="External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4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D9092-F9FB-4EE3-A47F-7E20EFFDF222}">
  <sheetPr>
    <tabColor rgb="FFFF0000"/>
  </sheetPr>
  <dimension ref="A1:B19"/>
  <sheetViews>
    <sheetView topLeftCell="A2" workbookViewId="0">
      <selection activeCell="A6" sqref="A6"/>
    </sheetView>
  </sheetViews>
  <sheetFormatPr defaultRowHeight="14.75"/>
  <cols>
    <col min="1" max="1" width="87" customWidth="1"/>
    <col min="2" max="2" width="66.26953125" bestFit="1" customWidth="1"/>
  </cols>
  <sheetData>
    <row r="1" spans="1:2" ht="30" customHeight="1">
      <c r="A1" s="700" t="s">
        <v>1598</v>
      </c>
    </row>
    <row r="2" spans="1:2" ht="73.75">
      <c r="A2" s="701" t="s">
        <v>1599</v>
      </c>
    </row>
    <row r="4" spans="1:2">
      <c r="A4" s="702"/>
      <c r="B4" s="703"/>
    </row>
    <row r="5" spans="1:2">
      <c r="A5" s="1" t="s">
        <v>1573</v>
      </c>
      <c r="B5" s="1" t="s">
        <v>1574</v>
      </c>
    </row>
    <row r="6" spans="1:2">
      <c r="A6" t="s">
        <v>1575</v>
      </c>
      <c r="B6" t="s">
        <v>1576</v>
      </c>
    </row>
    <row r="7" spans="1:2">
      <c r="A7" t="s">
        <v>1577</v>
      </c>
      <c r="B7" t="s">
        <v>1578</v>
      </c>
    </row>
    <row r="8" spans="1:2">
      <c r="A8" t="s">
        <v>1579</v>
      </c>
      <c r="B8" t="s">
        <v>1580</v>
      </c>
    </row>
    <row r="9" spans="1:2">
      <c r="A9" t="s">
        <v>1581</v>
      </c>
      <c r="B9" t="s">
        <v>1582</v>
      </c>
    </row>
    <row r="10" spans="1:2">
      <c r="A10" t="s">
        <v>1583</v>
      </c>
      <c r="B10" t="s">
        <v>1584</v>
      </c>
    </row>
    <row r="11" spans="1:2">
      <c r="A11" t="s">
        <v>1585</v>
      </c>
      <c r="B11" t="s">
        <v>1586</v>
      </c>
    </row>
    <row r="12" spans="1:2">
      <c r="A12" t="s">
        <v>1587</v>
      </c>
      <c r="B12" t="s">
        <v>1588</v>
      </c>
    </row>
    <row r="13" spans="1:2">
      <c r="A13" t="s">
        <v>1589</v>
      </c>
      <c r="B13" t="s">
        <v>1590</v>
      </c>
    </row>
    <row r="14" spans="1:2">
      <c r="A14" t="s">
        <v>1591</v>
      </c>
      <c r="B14" t="s">
        <v>1592</v>
      </c>
    </row>
    <row r="15" spans="1:2">
      <c r="A15" t="s">
        <v>1593</v>
      </c>
      <c r="B15" t="s">
        <v>1594</v>
      </c>
    </row>
    <row r="17" spans="1:1">
      <c r="A17" s="704" t="s">
        <v>1595</v>
      </c>
    </row>
    <row r="18" spans="1:1">
      <c r="A18" s="48" t="s">
        <v>1596</v>
      </c>
    </row>
    <row r="19" spans="1:1">
      <c r="A19" t="s">
        <v>1597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89D7C-3889-4C62-A2DB-7F16243DA2AF}">
  <sheetPr>
    <tabColor theme="9"/>
  </sheetPr>
  <dimension ref="A1:CT30"/>
  <sheetViews>
    <sheetView workbookViewId="0">
      <selection activeCell="AI22" sqref="AI22"/>
    </sheetView>
  </sheetViews>
  <sheetFormatPr defaultRowHeight="14.75" outlineLevelCol="1"/>
  <cols>
    <col min="1" max="1" width="25.36328125" customWidth="1"/>
    <col min="5" max="13" width="8.7265625" hidden="1" customWidth="1" outlineLevel="1"/>
    <col min="14" max="14" width="8.7265625" collapsed="1"/>
    <col min="15" max="23" width="8.7265625" hidden="1" customWidth="1" outlineLevel="1"/>
    <col min="24" max="24" width="8.7265625" collapsed="1"/>
    <col min="25" max="33" width="8.7265625" hidden="1" customWidth="1" outlineLevel="1"/>
    <col min="34" max="34" width="8.7265625" collapsed="1"/>
    <col min="36" max="36" width="11.6328125" bestFit="1" customWidth="1"/>
    <col min="37" max="45" width="0" hidden="1" customWidth="1" outlineLevel="1"/>
    <col min="46" max="46" width="8.7265625" collapsed="1"/>
    <col min="47" max="55" width="0" hidden="1" customWidth="1" outlineLevel="1"/>
    <col min="56" max="56" width="8.7265625" collapsed="1"/>
    <col min="57" max="65" width="0" hidden="1" customWidth="1" outlineLevel="1"/>
    <col min="66" max="66" width="8.7265625" collapsed="1"/>
    <col min="67" max="67" width="8.7265625" customWidth="1"/>
    <col min="69" max="77" width="0" hidden="1" customWidth="1" outlineLevel="1"/>
    <col min="78" max="78" width="8.7265625" collapsed="1"/>
    <col min="79" max="87" width="0" hidden="1" customWidth="1" outlineLevel="1"/>
    <col min="88" max="88" width="8.7265625" collapsed="1"/>
    <col min="89" max="97" width="0" hidden="1" customWidth="1" outlineLevel="1"/>
    <col min="98" max="98" width="8.7265625" collapsed="1"/>
  </cols>
  <sheetData>
    <row r="1" spans="1:98">
      <c r="A1" s="1"/>
      <c r="B1" s="1"/>
      <c r="D1" s="683" t="s">
        <v>1188</v>
      </c>
      <c r="E1" s="683"/>
      <c r="F1" s="683"/>
      <c r="G1" s="683"/>
      <c r="H1" s="683"/>
      <c r="I1" s="683"/>
      <c r="J1" s="683"/>
      <c r="K1" s="683"/>
      <c r="L1" s="683"/>
      <c r="M1" s="683"/>
      <c r="N1" s="683"/>
      <c r="O1" s="683"/>
      <c r="P1" s="683"/>
      <c r="Q1" s="683"/>
      <c r="R1" s="683"/>
      <c r="S1" s="683"/>
      <c r="T1" s="683"/>
      <c r="U1" s="683"/>
      <c r="V1" s="683"/>
      <c r="W1" s="683"/>
      <c r="X1" s="683"/>
      <c r="Y1" s="683"/>
      <c r="Z1" s="683"/>
      <c r="AA1" s="683"/>
      <c r="AB1" s="683"/>
      <c r="AC1" s="683"/>
      <c r="AD1" s="683"/>
      <c r="AE1" s="683"/>
      <c r="AF1" s="683"/>
      <c r="AG1" s="683"/>
      <c r="AH1" s="683"/>
      <c r="AJ1" s="683" t="s">
        <v>1189</v>
      </c>
      <c r="AK1" s="683"/>
      <c r="AL1" s="683"/>
      <c r="AM1" s="683"/>
      <c r="AN1" s="683"/>
      <c r="AO1" s="683"/>
      <c r="AP1" s="683"/>
      <c r="AQ1" s="683"/>
      <c r="AR1" s="683"/>
      <c r="AS1" s="683"/>
      <c r="AT1" s="683"/>
      <c r="AU1" s="683"/>
      <c r="AV1" s="683"/>
      <c r="AW1" s="683"/>
      <c r="AX1" s="683"/>
      <c r="AY1" s="683"/>
      <c r="AZ1" s="683"/>
      <c r="BA1" s="683"/>
      <c r="BB1" s="683"/>
      <c r="BC1" s="683"/>
      <c r="BD1" s="683"/>
      <c r="BE1" s="683"/>
      <c r="BF1" s="683"/>
      <c r="BG1" s="683"/>
      <c r="BH1" s="683"/>
      <c r="BI1" s="683"/>
      <c r="BJ1" s="683"/>
      <c r="BK1" s="683"/>
      <c r="BL1" s="683"/>
      <c r="BM1" s="683"/>
      <c r="BN1" s="683"/>
      <c r="BP1" s="683" t="s">
        <v>1532</v>
      </c>
      <c r="BQ1" s="683"/>
      <c r="BR1" s="683"/>
      <c r="BS1" s="683"/>
      <c r="BT1" s="683"/>
      <c r="BU1" s="683"/>
      <c r="BV1" s="683"/>
      <c r="BW1" s="683"/>
      <c r="BX1" s="683"/>
      <c r="BY1" s="683"/>
      <c r="BZ1" s="683"/>
      <c r="CA1" s="683"/>
      <c r="CB1" s="683"/>
      <c r="CC1" s="683"/>
      <c r="CD1" s="683"/>
      <c r="CE1" s="683"/>
      <c r="CF1" s="683"/>
      <c r="CG1" s="683"/>
      <c r="CH1" s="683"/>
      <c r="CI1" s="683"/>
      <c r="CJ1" s="683"/>
      <c r="CK1" s="683"/>
      <c r="CL1" s="683"/>
      <c r="CM1" s="683"/>
      <c r="CN1" s="683"/>
      <c r="CO1" s="683"/>
      <c r="CP1" s="683"/>
      <c r="CQ1" s="683"/>
      <c r="CR1" s="683"/>
      <c r="CS1" s="683"/>
      <c r="CT1" s="683"/>
    </row>
    <row r="2" spans="1:98" s="50" customFormat="1">
      <c r="A2" s="49" t="s">
        <v>1529</v>
      </c>
      <c r="B2" s="49"/>
      <c r="C2" s="49"/>
    </row>
    <row r="3" spans="1:98" s="1" customFormat="1" ht="15.5" thickBot="1">
      <c r="D3" s="1">
        <v>2020</v>
      </c>
      <c r="E3" s="1">
        <f>D3+1</f>
        <v>2021</v>
      </c>
      <c r="F3" s="1">
        <f t="shared" ref="F3:AH3" si="0">E3+1</f>
        <v>2022</v>
      </c>
      <c r="G3" s="1">
        <f t="shared" si="0"/>
        <v>2023</v>
      </c>
      <c r="H3" s="1">
        <f t="shared" si="0"/>
        <v>2024</v>
      </c>
      <c r="I3" s="1">
        <f t="shared" si="0"/>
        <v>2025</v>
      </c>
      <c r="J3" s="1">
        <f t="shared" si="0"/>
        <v>2026</v>
      </c>
      <c r="K3" s="1">
        <f t="shared" si="0"/>
        <v>2027</v>
      </c>
      <c r="L3" s="1">
        <f t="shared" si="0"/>
        <v>2028</v>
      </c>
      <c r="M3" s="1">
        <f t="shared" si="0"/>
        <v>2029</v>
      </c>
      <c r="N3" s="1">
        <f t="shared" si="0"/>
        <v>2030</v>
      </c>
      <c r="O3" s="1">
        <f t="shared" si="0"/>
        <v>2031</v>
      </c>
      <c r="P3" s="1">
        <f t="shared" si="0"/>
        <v>2032</v>
      </c>
      <c r="Q3" s="1">
        <f t="shared" si="0"/>
        <v>2033</v>
      </c>
      <c r="R3" s="1">
        <f>Q3+1</f>
        <v>2034</v>
      </c>
      <c r="S3" s="1">
        <f t="shared" si="0"/>
        <v>2035</v>
      </c>
      <c r="T3" s="1">
        <f t="shared" si="0"/>
        <v>2036</v>
      </c>
      <c r="U3" s="1">
        <f t="shared" si="0"/>
        <v>2037</v>
      </c>
      <c r="V3" s="1">
        <f t="shared" si="0"/>
        <v>2038</v>
      </c>
      <c r="W3" s="1">
        <f t="shared" si="0"/>
        <v>2039</v>
      </c>
      <c r="X3" s="1">
        <f t="shared" si="0"/>
        <v>2040</v>
      </c>
      <c r="Y3" s="1">
        <f t="shared" si="0"/>
        <v>2041</v>
      </c>
      <c r="Z3" s="1">
        <f t="shared" si="0"/>
        <v>2042</v>
      </c>
      <c r="AA3" s="1">
        <f t="shared" si="0"/>
        <v>2043</v>
      </c>
      <c r="AB3" s="1">
        <f t="shared" si="0"/>
        <v>2044</v>
      </c>
      <c r="AC3" s="1">
        <f>AB3+1</f>
        <v>2045</v>
      </c>
      <c r="AD3" s="1">
        <f t="shared" si="0"/>
        <v>2046</v>
      </c>
      <c r="AE3" s="1">
        <f t="shared" si="0"/>
        <v>2047</v>
      </c>
      <c r="AF3" s="1">
        <f t="shared" si="0"/>
        <v>2048</v>
      </c>
      <c r="AG3" s="1">
        <f>AF3+1</f>
        <v>2049</v>
      </c>
      <c r="AH3" s="1">
        <f t="shared" si="0"/>
        <v>2050</v>
      </c>
      <c r="AJ3" s="1">
        <v>2020</v>
      </c>
      <c r="AK3" s="1">
        <f>AJ3+1</f>
        <v>2021</v>
      </c>
      <c r="AL3" s="1">
        <f t="shared" ref="AL3:AW3" si="1">AK3+1</f>
        <v>2022</v>
      </c>
      <c r="AM3" s="1">
        <f t="shared" si="1"/>
        <v>2023</v>
      </c>
      <c r="AN3" s="1">
        <f t="shared" si="1"/>
        <v>2024</v>
      </c>
      <c r="AO3" s="1">
        <f t="shared" si="1"/>
        <v>2025</v>
      </c>
      <c r="AP3" s="1">
        <f t="shared" si="1"/>
        <v>2026</v>
      </c>
      <c r="AQ3" s="1">
        <f t="shared" si="1"/>
        <v>2027</v>
      </c>
      <c r="AR3" s="1">
        <f t="shared" si="1"/>
        <v>2028</v>
      </c>
      <c r="AS3" s="1">
        <f t="shared" si="1"/>
        <v>2029</v>
      </c>
      <c r="AT3" s="1">
        <f t="shared" si="1"/>
        <v>2030</v>
      </c>
      <c r="AU3" s="1">
        <f t="shared" si="1"/>
        <v>2031</v>
      </c>
      <c r="AV3" s="1">
        <f t="shared" si="1"/>
        <v>2032</v>
      </c>
      <c r="AW3" s="1">
        <f t="shared" si="1"/>
        <v>2033</v>
      </c>
      <c r="AX3" s="1">
        <f>AW3+1</f>
        <v>2034</v>
      </c>
      <c r="AY3" s="1">
        <f t="shared" ref="AY3:BH3" si="2">AX3+1</f>
        <v>2035</v>
      </c>
      <c r="AZ3" s="1">
        <f t="shared" si="2"/>
        <v>2036</v>
      </c>
      <c r="BA3" s="1">
        <f t="shared" si="2"/>
        <v>2037</v>
      </c>
      <c r="BB3" s="1">
        <f t="shared" si="2"/>
        <v>2038</v>
      </c>
      <c r="BC3" s="1">
        <f t="shared" si="2"/>
        <v>2039</v>
      </c>
      <c r="BD3" s="1">
        <f t="shared" si="2"/>
        <v>2040</v>
      </c>
      <c r="BE3" s="1">
        <f t="shared" si="2"/>
        <v>2041</v>
      </c>
      <c r="BF3" s="1">
        <f t="shared" si="2"/>
        <v>2042</v>
      </c>
      <c r="BG3" s="1">
        <f t="shared" si="2"/>
        <v>2043</v>
      </c>
      <c r="BH3" s="1">
        <f t="shared" si="2"/>
        <v>2044</v>
      </c>
      <c r="BI3" s="1">
        <f>BH3+1</f>
        <v>2045</v>
      </c>
      <c r="BJ3" s="1">
        <f t="shared" ref="BJ3:BL3" si="3">BI3+1</f>
        <v>2046</v>
      </c>
      <c r="BK3" s="1">
        <f t="shared" si="3"/>
        <v>2047</v>
      </c>
      <c r="BL3" s="1">
        <f t="shared" si="3"/>
        <v>2048</v>
      </c>
      <c r="BM3" s="1">
        <f>BL3+1</f>
        <v>2049</v>
      </c>
      <c r="BN3" s="1">
        <f t="shared" ref="BN3" si="4">BM3+1</f>
        <v>2050</v>
      </c>
      <c r="BP3" s="1">
        <v>2020</v>
      </c>
      <c r="BQ3" s="1">
        <f>BP3+1</f>
        <v>2021</v>
      </c>
      <c r="BR3" s="1">
        <f t="shared" ref="BR3" si="5">BQ3+1</f>
        <v>2022</v>
      </c>
      <c r="BS3" s="1">
        <f t="shared" ref="BS3" si="6">BR3+1</f>
        <v>2023</v>
      </c>
      <c r="BT3" s="1">
        <f t="shared" ref="BT3" si="7">BS3+1</f>
        <v>2024</v>
      </c>
      <c r="BU3" s="1">
        <f t="shared" ref="BU3" si="8">BT3+1</f>
        <v>2025</v>
      </c>
      <c r="BV3" s="1">
        <f t="shared" ref="BV3" si="9">BU3+1</f>
        <v>2026</v>
      </c>
      <c r="BW3" s="1">
        <f t="shared" ref="BW3" si="10">BV3+1</f>
        <v>2027</v>
      </c>
      <c r="BX3" s="1">
        <f t="shared" ref="BX3" si="11">BW3+1</f>
        <v>2028</v>
      </c>
      <c r="BY3" s="1">
        <f t="shared" ref="BY3" si="12">BX3+1</f>
        <v>2029</v>
      </c>
      <c r="BZ3" s="1">
        <f t="shared" ref="BZ3" si="13">BY3+1</f>
        <v>2030</v>
      </c>
      <c r="CA3" s="1">
        <f t="shared" ref="CA3" si="14">BZ3+1</f>
        <v>2031</v>
      </c>
      <c r="CB3" s="1">
        <f t="shared" ref="CB3" si="15">CA3+1</f>
        <v>2032</v>
      </c>
      <c r="CC3" s="1">
        <f t="shared" ref="CC3" si="16">CB3+1</f>
        <v>2033</v>
      </c>
      <c r="CD3" s="1">
        <f>CC3+1</f>
        <v>2034</v>
      </c>
      <c r="CE3" s="1">
        <f t="shared" ref="CE3" si="17">CD3+1</f>
        <v>2035</v>
      </c>
      <c r="CF3" s="1">
        <f t="shared" ref="CF3" si="18">CE3+1</f>
        <v>2036</v>
      </c>
      <c r="CG3" s="1">
        <f t="shared" ref="CG3" si="19">CF3+1</f>
        <v>2037</v>
      </c>
      <c r="CH3" s="1">
        <f t="shared" ref="CH3" si="20">CG3+1</f>
        <v>2038</v>
      </c>
      <c r="CI3" s="1">
        <f t="shared" ref="CI3" si="21">CH3+1</f>
        <v>2039</v>
      </c>
      <c r="CJ3" s="1">
        <f t="shared" ref="CJ3" si="22">CI3+1</f>
        <v>2040</v>
      </c>
      <c r="CK3" s="1">
        <f t="shared" ref="CK3" si="23">CJ3+1</f>
        <v>2041</v>
      </c>
      <c r="CL3" s="1">
        <f t="shared" ref="CL3" si="24">CK3+1</f>
        <v>2042</v>
      </c>
      <c r="CM3" s="1">
        <f t="shared" ref="CM3" si="25">CL3+1</f>
        <v>2043</v>
      </c>
      <c r="CN3" s="1">
        <f t="shared" ref="CN3" si="26">CM3+1</f>
        <v>2044</v>
      </c>
      <c r="CO3" s="1">
        <f>CN3+1</f>
        <v>2045</v>
      </c>
      <c r="CP3" s="1">
        <f t="shared" ref="CP3" si="27">CO3+1</f>
        <v>2046</v>
      </c>
      <c r="CQ3" s="1">
        <f t="shared" ref="CQ3" si="28">CP3+1</f>
        <v>2047</v>
      </c>
      <c r="CR3" s="1">
        <f t="shared" ref="CR3" si="29">CQ3+1</f>
        <v>2048</v>
      </c>
      <c r="CS3" s="1">
        <f>CR3+1</f>
        <v>2049</v>
      </c>
      <c r="CT3" s="1">
        <f t="shared" ref="CT3" si="30">CS3+1</f>
        <v>2050</v>
      </c>
    </row>
    <row r="4" spans="1:98" s="527" customFormat="1">
      <c r="A4" s="523" t="s">
        <v>1530</v>
      </c>
      <c r="B4" s="524"/>
      <c r="C4" s="525" t="s">
        <v>166</v>
      </c>
      <c r="D4" s="526">
        <f>'Ethylene Recycling HC'!C47+'Propylene Recycling HC'!C47+'Methanol Recycling HC'!C44+'BTX Recycling HC'!C44+'Butadiene Recycling HC'!C44</f>
        <v>4681860.1944434997</v>
      </c>
      <c r="E4" s="526">
        <f>'Ethylene Recycling HC'!D47+'Propylene Recycling HC'!D47+'Methanol Recycling HC'!D44+'BTX Recycling HC'!D44+'Butadiene Recycling HC'!D44</f>
        <v>4654362.381938925</v>
      </c>
      <c r="F4" s="526">
        <f>'Ethylene Recycling HC'!E47+'Propylene Recycling HC'!E47+'Methanol Recycling HC'!E44+'BTX Recycling HC'!E44+'Butadiene Recycling HC'!E44</f>
        <v>4624554.8063770002</v>
      </c>
      <c r="G4" s="526">
        <f>'Ethylene Recycling HC'!F47+'Propylene Recycling HC'!F47+'Methanol Recycling HC'!F44+'BTX Recycling HC'!F44+'Butadiene Recycling HC'!F44</f>
        <v>4595902.11234375</v>
      </c>
      <c r="H4" s="526">
        <f>'Ethylene Recycling HC'!G47+'Propylene Recycling HC'!G47+'Methanol Recycling HC'!G44+'BTX Recycling HC'!G44+'Butadiene Recycling HC'!G44</f>
        <v>4567249.4183104998</v>
      </c>
      <c r="I4" s="526">
        <f>'Ethylene Recycling HC'!H47+'Propylene Recycling HC'!H47+'Methanol Recycling HC'!H44+'BTX Recycling HC'!H44+'Butadiene Recycling HC'!H44</f>
        <v>4538596.7242772495</v>
      </c>
      <c r="J4" s="526">
        <f>'Ethylene Recycling HC'!I47+'Propylene Recycling HC'!I47+'Methanol Recycling HC'!I44+'BTX Recycling HC'!I44+'Butadiene Recycling HC'!I44</f>
        <v>4489587.2917687418</v>
      </c>
      <c r="K4" s="526">
        <f>'Ethylene Recycling HC'!J47+'Propylene Recycling HC'!J47+'Methanol Recycling HC'!J44+'BTX Recycling HC'!J44+'Butadiene Recycling HC'!J44</f>
        <v>4440577.8592602331</v>
      </c>
      <c r="L4" s="526">
        <f>'Ethylene Recycling HC'!K47+'Propylene Recycling HC'!K47+'Methanol Recycling HC'!K44+'BTX Recycling HC'!K44+'Butadiene Recycling HC'!K44</f>
        <v>4391568.4267517254</v>
      </c>
      <c r="M4" s="526">
        <f>'Ethylene Recycling HC'!L47+'Propylene Recycling HC'!L47+'Methanol Recycling HC'!L44+'BTX Recycling HC'!L44+'Butadiene Recycling HC'!L44</f>
        <v>4342558.9942432158</v>
      </c>
      <c r="N4" s="526">
        <f>'Ethylene Recycling HC'!M47+'Propylene Recycling HC'!M47+'Methanol Recycling HC'!M44+'BTX Recycling HC'!M44+'Butadiene Recycling HC'!M44</f>
        <v>4293549.561734708</v>
      </c>
      <c r="O4" s="526">
        <f>'Ethylene Recycling HC'!N47+'Propylene Recycling HC'!N47+'Methanol Recycling HC'!N44+'BTX Recycling HC'!N44+'Butadiene Recycling HC'!N44</f>
        <v>4220350.1351248603</v>
      </c>
      <c r="P4" s="526">
        <f>'Ethylene Recycling HC'!O47+'Propylene Recycling HC'!O47+'Methanol Recycling HC'!O44+'BTX Recycling HC'!O44+'Butadiene Recycling HC'!O44</f>
        <v>4152809.8479101965</v>
      </c>
      <c r="Q4" s="526">
        <f>'Ethylene Recycling HC'!P47+'Propylene Recycling HC'!P47+'Methanol Recycling HC'!P44+'BTX Recycling HC'!P44+'Butadiene Recycling HC'!P44</f>
        <v>4077889.9236530717</v>
      </c>
      <c r="R4" s="526">
        <f>'Ethylene Recycling HC'!Q47+'Propylene Recycling HC'!Q47+'Methanol Recycling HC'!Q44+'BTX Recycling HC'!Q44+'Butadiene Recycling HC'!Q44</f>
        <v>4002967.656289557</v>
      </c>
      <c r="S4" s="526">
        <f>'Ethylene Recycling HC'!R47+'Propylene Recycling HC'!R47+'Methanol Recycling HC'!R44+'BTX Recycling HC'!R44+'Butadiene Recycling HC'!R44</f>
        <v>3928043.0585339023</v>
      </c>
      <c r="T4" s="526">
        <f>'Ethylene Recycling HC'!S47+'Propylene Recycling HC'!S47+'Methanol Recycling HC'!S44+'BTX Recycling HC'!S44+'Butadiene Recycling HC'!S44</f>
        <v>3856558.3764767265</v>
      </c>
      <c r="U4" s="526">
        <f>'Ethylene Recycling HC'!T47+'Propylene Recycling HC'!T47+'Methanol Recycling HC'!T44+'BTX Recycling HC'!T44+'Butadiene Recycling HC'!T44</f>
        <v>3785071.3894559094</v>
      </c>
      <c r="V4" s="526">
        <f>'Ethylene Recycling HC'!U47+'Propylene Recycling HC'!U47+'Methanol Recycling HC'!U44+'BTX Recycling HC'!U44+'Butadiene Recycling HC'!U44</f>
        <v>3713582.1101856981</v>
      </c>
      <c r="W4" s="526">
        <f>'Ethylene Recycling HC'!V47+'Propylene Recycling HC'!V47+'Methanol Recycling HC'!V44+'BTX Recycling HC'!V44+'Butadiene Recycling HC'!V44</f>
        <v>3642090.5513803428</v>
      </c>
      <c r="X4" s="526">
        <f>'Ethylene Recycling HC'!W47+'Propylene Recycling HC'!W47+'Methanol Recycling HC'!W44+'BTX Recycling HC'!W44+'Butadiene Recycling HC'!W44</f>
        <v>3570596.7257540915</v>
      </c>
      <c r="Y4" s="526">
        <f>'Ethylene Recycling HC'!X47+'Propylene Recycling HC'!X47+'Methanol Recycling HC'!X44+'BTX Recycling HC'!X44+'Butadiene Recycling HC'!X44</f>
        <v>3478420.9630268211</v>
      </c>
      <c r="Z4" s="526">
        <f>'Ethylene Recycling HC'!Y47+'Propylene Recycling HC'!Y47+'Methanol Recycling HC'!Y44+'BTX Recycling HC'!Y44+'Butadiene Recycling HC'!Y44</f>
        <v>3406035.5945655238</v>
      </c>
      <c r="AA4" s="526">
        <f>'Ethylene Recycling HC'!Z47+'Propylene Recycling HC'!Z47+'Methanol Recycling HC'!Z44+'BTX Recycling HC'!Z44+'Butadiene Recycling HC'!Z44</f>
        <v>3331364.197145815</v>
      </c>
      <c r="AB4" s="526">
        <f>'Ethylene Recycling HC'!AA47+'Propylene Recycling HC'!AA47+'Methanol Recycling HC'!AA44+'BTX Recycling HC'!AA44+'Butadiene Recycling HC'!AA44</f>
        <v>3256679.6128441058</v>
      </c>
      <c r="AC4" s="526">
        <f>'Ethylene Recycling HC'!AB47+'Propylene Recycling HC'!AB47+'Methanol Recycling HC'!AB44+'BTX Recycling HC'!AB44+'Butadiene Recycling HC'!AB44</f>
        <v>3181982.1277309977</v>
      </c>
      <c r="AD4" s="526">
        <f>'Ethylene Recycling HC'!AC47+'Propylene Recycling HC'!AC47+'Methanol Recycling HC'!AC44+'BTX Recycling HC'!AC44+'Butadiene Recycling HC'!AC44</f>
        <v>3105307.1495381477</v>
      </c>
      <c r="AE4" s="526">
        <f>'Ethylene Recycling HC'!AD47+'Propylene Recycling HC'!AD47+'Methanol Recycling HC'!AD44+'BTX Recycling HC'!AD44+'Butadiene Recycling HC'!AD44</f>
        <v>3028619.8426751057</v>
      </c>
      <c r="AF4" s="526">
        <f>'Ethylene Recycling HC'!AE47+'Propylene Recycling HC'!AE47+'Methanol Recycling HC'!AE44+'BTX Recycling HC'!AE44+'Butadiene Recycling HC'!AE44</f>
        <v>2951920.4932124764</v>
      </c>
      <c r="AG4" s="526">
        <f>'Ethylene Recycling HC'!AF47+'Propylene Recycling HC'!AF47+'Methanol Recycling HC'!AF44+'BTX Recycling HC'!AF44+'Butadiene Recycling HC'!AF44</f>
        <v>2875209.3872208633</v>
      </c>
      <c r="AH4" s="526">
        <f>'Ethylene Recycling HC'!AG47+'Propylene Recycling HC'!AG47+'Methanol Recycling HC'!AG44+'BTX Recycling HC'!AG44+'Butadiene Recycling HC'!AG44</f>
        <v>2798486.8107708679</v>
      </c>
      <c r="AJ4" s="526">
        <f>'Ethylene Recycling LC'!C47+'Propylene Recycling LC'!C47+'Methanol Recycling LC'!C44+'BTX Recycling LC'!C44+'Butadiene Recycling LC'!C44</f>
        <v>4681860.1944434997</v>
      </c>
      <c r="AK4" s="526">
        <f>'Ethylene Recycling LC'!D47+'Propylene Recycling LC'!D47+'Methanol Recycling LC'!D44+'BTX Recycling LC'!D44+'Butadiene Recycling LC'!D44</f>
        <v>4660023.0906838402</v>
      </c>
      <c r="AL4" s="526">
        <f>'Ethylene Recycling LC'!E47+'Propylene Recycling LC'!E47+'Methanol Recycling LC'!E44+'BTX Recycling LC'!E44+'Butadiene Recycling LC'!E44</f>
        <v>4636293.2374658473</v>
      </c>
      <c r="AM4" s="526">
        <f>'Ethylene Recycling LC'!F47+'Propylene Recycling LC'!F47+'Methanol Recycling LC'!F44+'BTX Recycling LC'!F44+'Butadiene Recycling LC'!F44</f>
        <v>4613509.7589770211</v>
      </c>
      <c r="AN4" s="526">
        <f>'Ethylene Recycling LC'!G47+'Propylene Recycling LC'!G47+'Methanol Recycling LC'!G44+'BTX Recycling LC'!G44+'Butadiene Recycling LC'!G44</f>
        <v>4590726.2804881958</v>
      </c>
      <c r="AO4" s="526">
        <f>'Ethylene Recycling LC'!H47+'Propylene Recycling LC'!H47+'Methanol Recycling LC'!H44+'BTX Recycling LC'!H44+'Butadiene Recycling LC'!H44</f>
        <v>4567942.8019993696</v>
      </c>
      <c r="AP4" s="526">
        <f>'Ethylene Recycling LC'!I47+'Propylene Recycling LC'!I47+'Methanol Recycling LC'!I44+'BTX Recycling LC'!I44+'Butadiene Recycling LC'!I44</f>
        <v>4534980.9542729147</v>
      </c>
      <c r="AQ4" s="526">
        <f>'Ethylene Recycling LC'!J47+'Propylene Recycling LC'!J47+'Methanol Recycling LC'!J44+'BTX Recycling LC'!J44+'Butadiene Recycling LC'!J44</f>
        <v>4502019.1065464597</v>
      </c>
      <c r="AR4" s="526">
        <f>'Ethylene Recycling LC'!K47+'Propylene Recycling LC'!K47+'Methanol Recycling LC'!K44+'BTX Recycling LC'!K44+'Butadiene Recycling LC'!K44</f>
        <v>4469057.2588200038</v>
      </c>
      <c r="AS4" s="526">
        <f>'Ethylene Recycling LC'!L47+'Propylene Recycling LC'!L47+'Methanol Recycling LC'!L44+'BTX Recycling LC'!L44+'Butadiene Recycling LC'!L44</f>
        <v>4436095.4110935479</v>
      </c>
      <c r="AT4" s="526">
        <f>'Ethylene Recycling LC'!M47+'Propylene Recycling LC'!M47+'Methanol Recycling LC'!M44+'BTX Recycling LC'!M44+'Butadiene Recycling LC'!M44</f>
        <v>4403133.5633670939</v>
      </c>
      <c r="AU4" s="526">
        <f>'Ethylene Recycling LC'!N47+'Propylene Recycling LC'!N47+'Methanol Recycling LC'!N44+'BTX Recycling LC'!N44+'Butadiene Recycling LC'!N44</f>
        <v>4352137.360322224</v>
      </c>
      <c r="AV4" s="526">
        <f>'Ethylene Recycling LC'!O47+'Propylene Recycling LC'!O47+'Methanol Recycling LC'!O44+'BTX Recycling LC'!O44+'Butadiene Recycling LC'!O44</f>
        <v>4306061.2685459768</v>
      </c>
      <c r="AW4" s="526">
        <f>'Ethylene Recycling LC'!P47+'Propylene Recycling LC'!P47+'Methanol Recycling LC'!P44+'BTX Recycling LC'!P44+'Butadiene Recycling LC'!P44</f>
        <v>4254001.3119839085</v>
      </c>
      <c r="AX4" s="526">
        <f>'Ethylene Recycling LC'!Q47+'Propylene Recycling LC'!Q47+'Methanol Recycling LC'!Q44+'BTX Recycling LC'!Q44+'Butadiene Recycling LC'!Q44</f>
        <v>4201940.4749410124</v>
      </c>
      <c r="AY4" s="526">
        <f>'Ethylene Recycling LC'!R47+'Propylene Recycling LC'!R47+'Methanol Recycling LC'!R44+'BTX Recycling LC'!R44+'Butadiene Recycling LC'!R44</f>
        <v>4149878.7590065706</v>
      </c>
      <c r="AZ4" s="526">
        <f>'Ethylene Recycling LC'!S47+'Propylene Recycling LC'!S47+'Methanol Recycling LC'!S44+'BTX Recycling LC'!S44+'Butadiene Recycling LC'!S44</f>
        <v>4099537.2824580483</v>
      </c>
      <c r="BA4" s="526">
        <f>'Ethylene Recycling LC'!T47+'Propylene Recycling LC'!T47+'Methanol Recycling LC'!T44+'BTX Recycling LC'!T44+'Butadiene Recycling LC'!T44</f>
        <v>4049194.9301965414</v>
      </c>
      <c r="BB4" s="526">
        <f>'Ethylene Recycling LC'!U47+'Propylene Recycling LC'!U47+'Methanol Recycling LC'!U44+'BTX Recycling LC'!U44+'Butadiene Recycling LC'!U44</f>
        <v>3998851.7038113317</v>
      </c>
      <c r="BC4" s="526">
        <f>'Ethylene Recycling LC'!V47+'Propylene Recycling LC'!V47+'Methanol Recycling LC'!V44+'BTX Recycling LC'!V44+'Butadiene Recycling LC'!V44</f>
        <v>3948507.6048916993</v>
      </c>
      <c r="BD4" s="526">
        <f>'Ethylene Recycling LC'!W47+'Propylene Recycling LC'!W47+'Methanol Recycling LC'!W44+'BTX Recycling LC'!W44+'Butadiene Recycling LC'!W44</f>
        <v>3898162.6350269257</v>
      </c>
      <c r="BE4" s="526">
        <f>'Ethylene Recycling LC'!X47+'Propylene Recycling LC'!X47+'Methanol Recycling LC'!X44+'BTX Recycling LC'!X44+'Butadiene Recycling LC'!X44</f>
        <v>3830022.1131411823</v>
      </c>
      <c r="BF4" s="526">
        <f>'Ethylene Recycling LC'!Y47+'Propylene Recycling LC'!Y47+'Methanol Recycling LC'!Y44+'BTX Recycling LC'!Y44+'Butadiene Recycling LC'!Y44</f>
        <v>3779071.0676090652</v>
      </c>
      <c r="BG4" s="526">
        <f>'Ethylene Recycling LC'!Z47+'Propylene Recycling LC'!Z47+'Methanol Recycling LC'!Z44+'BTX Recycling LC'!Z44+'Butadiene Recycling LC'!Z44</f>
        <v>3727283.8235681145</v>
      </c>
      <c r="BH4" s="526">
        <f>'Ethylene Recycling LC'!AA47+'Propylene Recycling LC'!AA47+'Methanol Recycling LC'!AA44+'BTX Recycling LC'!AA44+'Butadiene Recycling LC'!AA44</f>
        <v>3675487.275474316</v>
      </c>
      <c r="BI4" s="526">
        <f>'Ethylene Recycling LC'!AB47+'Propylene Recycling LC'!AB47+'Methanol Recycling LC'!AB44+'BTX Recycling LC'!AB44+'Butadiene Recycling LC'!AB44</f>
        <v>3623681.4805417899</v>
      </c>
      <c r="BJ4" s="526">
        <f>'Ethylene Recycling LC'!AC47+'Propylene Recycling LC'!AC47+'Methanol Recycling LC'!AC44+'BTX Recycling LC'!AC44+'Butadiene Recycling LC'!AC44</f>
        <v>3570884.0568151828</v>
      </c>
      <c r="BK4" s="526">
        <f>'Ethylene Recycling LC'!AD47+'Propylene Recycling LC'!AD47+'Methanol Recycling LC'!AD44+'BTX Recycling LC'!AD44+'Butadiene Recycling LC'!AD44</f>
        <v>3518077.500678089</v>
      </c>
      <c r="BL4" s="526">
        <f>'Ethylene Recycling LC'!AE47+'Propylene Recycling LC'!AE47+'Methanol Recycling LC'!AE44+'BTX Recycling LC'!AE44+'Butadiene Recycling LC'!AE44</f>
        <v>3465261.8693446303</v>
      </c>
      <c r="BM4" s="526">
        <f>'Ethylene Recycling LC'!AF47+'Propylene Recycling LC'!AF47+'Methanol Recycling LC'!AF44+'BTX Recycling LC'!AF44+'Butadiene Recycling LC'!AF44</f>
        <v>3412437.2200289257</v>
      </c>
      <c r="BN4" s="526">
        <f>'Ethylene Recycling LC'!AG47+'Propylene Recycling LC'!AG47+'Methanol Recycling LC'!AG44+'BTX Recycling LC'!AG44+'Butadiene Recycling LC'!AG44</f>
        <v>3359603.609945097</v>
      </c>
      <c r="BP4" s="526">
        <f>'Ethylene Recycling HC'!C29+'Propylene Recycling HC'!C29+'Methanol Recycling HC'!C29+'BTX Recycling HC'!C29+'Butadiene Recycling HC'!C29</f>
        <v>4681860.1944434997</v>
      </c>
      <c r="BQ4" s="526">
        <f>'Ethylene Recycling HC'!D29+'Propylene Recycling HC'!D29+'Methanol Recycling HC'!D29+'BTX Recycling HC'!D29+'Butadiene Recycling HC'!D29</f>
        <v>4681860.1944434997</v>
      </c>
      <c r="BR4" s="526">
        <f>'Ethylene Recycling HC'!E29+'Propylene Recycling HC'!E29+'Methanol Recycling HC'!E29+'BTX Recycling HC'!E29+'Butadiene Recycling HC'!E29</f>
        <v>4681860.1944434997</v>
      </c>
      <c r="BS4" s="526">
        <f>'Ethylene Recycling HC'!F29+'Propylene Recycling HC'!F29+'Methanol Recycling HC'!F29+'BTX Recycling HC'!F29+'Butadiene Recycling HC'!F29</f>
        <v>4681860.1944434997</v>
      </c>
      <c r="BT4" s="526">
        <f>'Ethylene Recycling HC'!G29+'Propylene Recycling HC'!G29+'Methanol Recycling HC'!G29+'BTX Recycling HC'!G29+'Butadiene Recycling HC'!G29</f>
        <v>4681860.1944434997</v>
      </c>
      <c r="BU4" s="526">
        <f>'Ethylene Recycling HC'!H29+'Propylene Recycling HC'!H29+'Methanol Recycling HC'!H29+'BTX Recycling HC'!H29+'Butadiene Recycling HC'!H29</f>
        <v>4681860.1944434997</v>
      </c>
      <c r="BV4" s="526">
        <f>'Ethylene Recycling HC'!I29+'Propylene Recycling HC'!I29+'Methanol Recycling HC'!I29+'BTX Recycling HC'!I29+'Butadiene Recycling HC'!I29</f>
        <v>4681860.1944434997</v>
      </c>
      <c r="BW4" s="526">
        <f>'Ethylene Recycling HC'!J29+'Propylene Recycling HC'!J29+'Methanol Recycling HC'!J29+'BTX Recycling HC'!J29+'Butadiene Recycling HC'!J29</f>
        <v>4681860.1944434997</v>
      </c>
      <c r="BX4" s="526">
        <f>'Ethylene Recycling HC'!K29+'Propylene Recycling HC'!K29+'Methanol Recycling HC'!K29+'BTX Recycling HC'!K29+'Butadiene Recycling HC'!K29</f>
        <v>4681860.1944434997</v>
      </c>
      <c r="BY4" s="526">
        <f>'Ethylene Recycling HC'!L29+'Propylene Recycling HC'!L29+'Methanol Recycling HC'!L29+'BTX Recycling HC'!L29+'Butadiene Recycling HC'!L29</f>
        <v>4681860.1944434997</v>
      </c>
      <c r="BZ4" s="526">
        <f>'Ethylene Recycling HC'!M29+'Propylene Recycling HC'!M29+'Methanol Recycling HC'!M29+'BTX Recycling HC'!M29+'Butadiene Recycling HC'!M29</f>
        <v>4681860.1944434997</v>
      </c>
      <c r="CA4" s="526">
        <f>'Ethylene Recycling HC'!N29+'Propylene Recycling HC'!N29+'Methanol Recycling HC'!N29+'BTX Recycling HC'!N29+'Butadiene Recycling HC'!N29</f>
        <v>4681860.1944434997</v>
      </c>
      <c r="CB4" s="526">
        <f>'Ethylene Recycling HC'!O29+'Propylene Recycling HC'!O29+'Methanol Recycling HC'!O29+'BTX Recycling HC'!O29+'Butadiene Recycling HC'!O29</f>
        <v>4681860.1944434997</v>
      </c>
      <c r="CC4" s="526">
        <f>'Ethylene Recycling HC'!P29+'Propylene Recycling HC'!P29+'Methanol Recycling HC'!P29+'BTX Recycling HC'!P29+'Butadiene Recycling HC'!P29</f>
        <v>4681860.1944434997</v>
      </c>
      <c r="CD4" s="526">
        <f>'Ethylene Recycling HC'!Q29+'Propylene Recycling HC'!Q29+'Methanol Recycling HC'!Q29+'BTX Recycling HC'!Q29+'Butadiene Recycling HC'!Q29</f>
        <v>4681860.1944434997</v>
      </c>
      <c r="CE4" s="526">
        <f>'Ethylene Recycling HC'!R29+'Propylene Recycling HC'!R29+'Methanol Recycling HC'!R29+'BTX Recycling HC'!R29+'Butadiene Recycling HC'!R29</f>
        <v>4681860.1944434997</v>
      </c>
      <c r="CF4" s="526">
        <f>'Ethylene Recycling HC'!S29+'Propylene Recycling HC'!S29+'Methanol Recycling HC'!S29+'BTX Recycling HC'!S29+'Butadiene Recycling HC'!S29</f>
        <v>4681860.1944434997</v>
      </c>
      <c r="CG4" s="526">
        <f>'Ethylene Recycling HC'!T29+'Propylene Recycling HC'!T29+'Methanol Recycling HC'!T29+'BTX Recycling HC'!T29+'Butadiene Recycling HC'!T29</f>
        <v>4681860.1944434997</v>
      </c>
      <c r="CH4" s="526">
        <f>'Ethylene Recycling HC'!U29+'Propylene Recycling HC'!U29+'Methanol Recycling HC'!U29+'BTX Recycling HC'!U29+'Butadiene Recycling HC'!U29</f>
        <v>4681860.1944434997</v>
      </c>
      <c r="CI4" s="526">
        <f>'Ethylene Recycling HC'!V29+'Propylene Recycling HC'!V29+'Methanol Recycling HC'!V29+'BTX Recycling HC'!V29+'Butadiene Recycling HC'!V29</f>
        <v>4681860.1944434997</v>
      </c>
      <c r="CJ4" s="526">
        <f>'Ethylene Recycling HC'!W29+'Propylene Recycling HC'!W29+'Methanol Recycling HC'!W29+'BTX Recycling HC'!W29+'Butadiene Recycling HC'!W29</f>
        <v>4681860.1944434997</v>
      </c>
      <c r="CK4" s="526">
        <f>'Ethylene Recycling HC'!X29+'Propylene Recycling HC'!X29+'Methanol Recycling HC'!X29+'BTX Recycling HC'!X29+'Butadiene Recycling HC'!X29</f>
        <v>4681860.1944434997</v>
      </c>
      <c r="CL4" s="526">
        <f>'Ethylene Recycling HC'!Y29+'Propylene Recycling HC'!Y29+'Methanol Recycling HC'!Y29+'BTX Recycling HC'!Y29+'Butadiene Recycling HC'!Y29</f>
        <v>4681860.1944434997</v>
      </c>
      <c r="CM4" s="526">
        <f>'Ethylene Recycling HC'!Z29+'Propylene Recycling HC'!Z29+'Methanol Recycling HC'!Z29+'BTX Recycling HC'!Z29+'Butadiene Recycling HC'!Z29</f>
        <v>4681860.1944434997</v>
      </c>
      <c r="CN4" s="526">
        <f>'Ethylene Recycling HC'!AA29+'Propylene Recycling HC'!AA29+'Methanol Recycling HC'!AA29+'BTX Recycling HC'!AA29+'Butadiene Recycling HC'!AA29</f>
        <v>4681860.1944434997</v>
      </c>
      <c r="CO4" s="526">
        <f>'Ethylene Recycling HC'!AB29+'Propylene Recycling HC'!AB29+'Methanol Recycling HC'!AB29+'BTX Recycling HC'!AB29+'Butadiene Recycling HC'!AB29</f>
        <v>4681860.1944434997</v>
      </c>
      <c r="CP4" s="526">
        <f>'Ethylene Recycling HC'!AC29+'Propylene Recycling HC'!AC29+'Methanol Recycling HC'!AC29+'BTX Recycling HC'!AC29+'Butadiene Recycling HC'!AC29</f>
        <v>4681860.1944434997</v>
      </c>
      <c r="CQ4" s="526">
        <f>'Ethylene Recycling HC'!AD29+'Propylene Recycling HC'!AD29+'Methanol Recycling HC'!AD29+'BTX Recycling HC'!AD29+'Butadiene Recycling HC'!AD29</f>
        <v>4681860.1944434997</v>
      </c>
      <c r="CR4" s="526">
        <f>'Ethylene Recycling HC'!AE29+'Propylene Recycling HC'!AE29+'Methanol Recycling HC'!AE29+'BTX Recycling HC'!AE29+'Butadiene Recycling HC'!AE29</f>
        <v>4681860.1944434997</v>
      </c>
      <c r="CS4" s="526">
        <f>'Ethylene Recycling HC'!AF29+'Propylene Recycling HC'!AF29+'Methanol Recycling HC'!AF29+'BTX Recycling HC'!AF29+'Butadiene Recycling HC'!AF29</f>
        <v>4681860.1944434997</v>
      </c>
      <c r="CT4" s="526">
        <f>'Ethylene Recycling HC'!AG29+'Propylene Recycling HC'!AG29+'Methanol Recycling HC'!AG29+'BTX Recycling HC'!AG29+'Butadiene Recycling HC'!AG29</f>
        <v>4681860.1944434997</v>
      </c>
    </row>
    <row r="5" spans="1:98" ht="15.5" thickBot="1">
      <c r="A5" s="1"/>
      <c r="B5" s="1"/>
      <c r="C5" s="51"/>
    </row>
    <row r="6" spans="1:98" s="527" customFormat="1">
      <c r="A6" s="523" t="s">
        <v>1531</v>
      </c>
      <c r="B6" s="524"/>
      <c r="C6" s="525" t="s">
        <v>166</v>
      </c>
      <c r="D6" s="526">
        <f>SUM(D9:D12)</f>
        <v>2690015.6043869741</v>
      </c>
      <c r="E6" s="526">
        <f t="shared" ref="E6:AH6" si="31">SUM(E9:E12)</f>
        <v>2712909.95958234</v>
      </c>
      <c r="F6" s="526">
        <f t="shared" si="31"/>
        <v>2734621.192599576</v>
      </c>
      <c r="G6" s="526">
        <f t="shared" si="31"/>
        <v>2756251.8931637583</v>
      </c>
      <c r="H6" s="526">
        <f t="shared" si="31"/>
        <v>2777093.7859361358</v>
      </c>
      <c r="I6" s="526">
        <f t="shared" si="31"/>
        <v>2797159.6388138654</v>
      </c>
      <c r="J6" s="526">
        <f t="shared" si="31"/>
        <v>2804278.7276598671</v>
      </c>
      <c r="K6" s="526">
        <f t="shared" si="31"/>
        <v>2810330.5454906337</v>
      </c>
      <c r="L6" s="526">
        <f t="shared" si="31"/>
        <v>2815349.691297384</v>
      </c>
      <c r="M6" s="526">
        <f t="shared" si="31"/>
        <v>2819389.2961942935</v>
      </c>
      <c r="N6" s="526">
        <f t="shared" si="31"/>
        <v>2822511.1820533266</v>
      </c>
      <c r="O6" s="526">
        <f t="shared" si="31"/>
        <v>2816357.0458187736</v>
      </c>
      <c r="P6" s="526">
        <f t="shared" si="31"/>
        <v>2812467.246274285</v>
      </c>
      <c r="Q6" s="526">
        <f t="shared" si="31"/>
        <v>2801849.3969894997</v>
      </c>
      <c r="R6" s="526">
        <f t="shared" si="31"/>
        <v>2789666.3697910784</v>
      </c>
      <c r="S6" s="526">
        <f t="shared" si="31"/>
        <v>2775897.5184954661</v>
      </c>
      <c r="T6" s="526">
        <f t="shared" si="31"/>
        <v>2762808.4816041831</v>
      </c>
      <c r="U6" s="526">
        <f t="shared" si="31"/>
        <v>2747879.144698347</v>
      </c>
      <c r="V6" s="526">
        <f t="shared" si="31"/>
        <v>2731110.8619181281</v>
      </c>
      <c r="W6" s="526">
        <f t="shared" si="31"/>
        <v>2712220.5745259561</v>
      </c>
      <c r="X6" s="526">
        <f t="shared" si="31"/>
        <v>2690536.8050573962</v>
      </c>
      <c r="Y6" s="526">
        <f t="shared" si="31"/>
        <v>2658520.2451206474</v>
      </c>
      <c r="Z6" s="526">
        <f t="shared" si="31"/>
        <v>2638631.9428874645</v>
      </c>
      <c r="AA6" s="526">
        <f t="shared" si="31"/>
        <v>2614228.7910932908</v>
      </c>
      <c r="AB6" s="526">
        <f t="shared" si="31"/>
        <v>2587246.1157131987</v>
      </c>
      <c r="AC6" s="526">
        <f t="shared" si="31"/>
        <v>2557866.7779823956</v>
      </c>
      <c r="AD6" s="526">
        <f t="shared" si="31"/>
        <v>2524799.7744931565</v>
      </c>
      <c r="AE6" s="526">
        <f t="shared" si="31"/>
        <v>2489833.516387796</v>
      </c>
      <c r="AF6" s="526">
        <f t="shared" si="31"/>
        <v>2452869.5547249601</v>
      </c>
      <c r="AG6" s="526">
        <f t="shared" si="31"/>
        <v>2413967.3349649701</v>
      </c>
      <c r="AH6" s="526">
        <f t="shared" si="31"/>
        <v>2372765.7075990932</v>
      </c>
      <c r="AJ6" s="526">
        <f>SUM(AJ9:AJ12)</f>
        <v>2690015.0053202389</v>
      </c>
      <c r="AK6" s="526">
        <f t="shared" ref="AK6:BN6" si="32">SUM(AK9:AK12)</f>
        <v>2715948.570744805</v>
      </c>
      <c r="AL6" s="526">
        <f t="shared" si="32"/>
        <v>2741004.5538135641</v>
      </c>
      <c r="AM6" s="526">
        <f t="shared" si="32"/>
        <v>2765949.0976373805</v>
      </c>
      <c r="AN6" s="526">
        <f t="shared" si="32"/>
        <v>2790184.8591884659</v>
      </c>
      <c r="AO6" s="526">
        <f t="shared" si="32"/>
        <v>2813722.6395436535</v>
      </c>
      <c r="AP6" s="526">
        <f t="shared" si="32"/>
        <v>2830210.4793286021</v>
      </c>
      <c r="AQ6" s="526">
        <f t="shared" si="32"/>
        <v>2845841.9995051874</v>
      </c>
      <c r="AR6" s="526">
        <f t="shared" si="32"/>
        <v>2860640.9725205568</v>
      </c>
      <c r="AS6" s="526">
        <f t="shared" si="32"/>
        <v>2874642.5911362325</v>
      </c>
      <c r="AT6" s="526">
        <f t="shared" si="32"/>
        <v>2887878.9013092993</v>
      </c>
      <c r="AU6" s="526">
        <f t="shared" si="32"/>
        <v>2895722.0410567066</v>
      </c>
      <c r="AV6" s="526">
        <f t="shared" si="32"/>
        <v>2905561.4435275886</v>
      </c>
      <c r="AW6" s="526">
        <f t="shared" si="32"/>
        <v>2909698.278027006</v>
      </c>
      <c r="AX6" s="526">
        <f t="shared" si="32"/>
        <v>2912450.8861274924</v>
      </c>
      <c r="AY6" s="526">
        <f t="shared" si="32"/>
        <v>2913838.0583787886</v>
      </c>
      <c r="AZ6" s="526">
        <f t="shared" si="32"/>
        <v>2915086.4213731857</v>
      </c>
      <c r="BA6" s="526">
        <f t="shared" si="32"/>
        <v>2914857.6453071125</v>
      </c>
      <c r="BB6" s="526">
        <f t="shared" si="32"/>
        <v>2913033.4280667314</v>
      </c>
      <c r="BC6" s="526">
        <f t="shared" si="32"/>
        <v>2909524.3240932138</v>
      </c>
      <c r="BD6" s="526">
        <f t="shared" si="32"/>
        <v>2903699.1915852167</v>
      </c>
      <c r="BE6" s="526">
        <f t="shared" si="32"/>
        <v>2889907.4890099959</v>
      </c>
      <c r="BF6" s="526">
        <f t="shared" si="32"/>
        <v>2886861.3742138119</v>
      </c>
      <c r="BG6" s="526">
        <f t="shared" si="32"/>
        <v>2880804.2966566458</v>
      </c>
      <c r="BH6" s="526">
        <f t="shared" si="32"/>
        <v>2872656.4293375043</v>
      </c>
      <c r="BI6" s="526">
        <f t="shared" si="32"/>
        <v>2862726.4868344767</v>
      </c>
      <c r="BJ6" s="526">
        <f t="shared" si="32"/>
        <v>2850066.3010008191</v>
      </c>
      <c r="BK6" s="526">
        <f t="shared" si="32"/>
        <v>2835649.721354709</v>
      </c>
      <c r="BL6" s="526">
        <f t="shared" si="32"/>
        <v>2819592.2793190647</v>
      </c>
      <c r="BM6" s="526">
        <f t="shared" si="32"/>
        <v>2801968.5078004026</v>
      </c>
      <c r="BN6" s="526">
        <f t="shared" si="32"/>
        <v>2781807.7417646023</v>
      </c>
      <c r="BP6" s="526">
        <f>SUM(BP9:BP12)</f>
        <v>2690014.2569343857</v>
      </c>
      <c r="BQ6" s="526">
        <f t="shared" ref="BQ6:CT6" si="33">SUM(BQ9:BQ12)</f>
        <v>2671358.4348762347</v>
      </c>
      <c r="BR6" s="526">
        <f t="shared" si="33"/>
        <v>2652839.6819493156</v>
      </c>
      <c r="BS6" s="526">
        <f t="shared" si="33"/>
        <v>2634460.9458959457</v>
      </c>
      <c r="BT6" s="526">
        <f t="shared" si="33"/>
        <v>2616225.2346858275</v>
      </c>
      <c r="BU6" s="526">
        <f t="shared" si="33"/>
        <v>2598135.6177055435</v>
      </c>
      <c r="BV6" s="526">
        <f t="shared" si="33"/>
        <v>2580195.2269709902</v>
      </c>
      <c r="BW6" s="526">
        <f t="shared" si="33"/>
        <v>2562407.2583631771</v>
      </c>
      <c r="BX6" s="526">
        <f t="shared" si="33"/>
        <v>2544774.972887828</v>
      </c>
      <c r="BY6" s="526">
        <f t="shared" si="33"/>
        <v>2527301.6979592554</v>
      </c>
      <c r="BZ6" s="526">
        <f t="shared" si="33"/>
        <v>2509990.8287089374</v>
      </c>
      <c r="CA6" s="526">
        <f t="shared" si="33"/>
        <v>2492845.8293192936</v>
      </c>
      <c r="CB6" s="526">
        <f t="shared" si="33"/>
        <v>2475870.2343831179</v>
      </c>
      <c r="CC6" s="526">
        <f t="shared" si="33"/>
        <v>2459067.6502891546</v>
      </c>
      <c r="CD6" s="526">
        <f t="shared" si="33"/>
        <v>2442441.7566343285</v>
      </c>
      <c r="CE6" s="526">
        <f t="shared" si="33"/>
        <v>2425996.3076631045</v>
      </c>
      <c r="CF6" s="526">
        <f t="shared" si="33"/>
        <v>2409735.1337345177</v>
      </c>
      <c r="CG6" s="526">
        <f t="shared" si="33"/>
        <v>2393662.1428173766</v>
      </c>
      <c r="CH6" s="526">
        <f t="shared" si="33"/>
        <v>2377781.3220141809</v>
      </c>
      <c r="CI6" s="526">
        <f t="shared" si="33"/>
        <v>2362096.7391142952</v>
      </c>
      <c r="CJ6" s="526">
        <f t="shared" si="33"/>
        <v>2346612.544176924</v>
      </c>
      <c r="CK6" s="526">
        <f t="shared" si="33"/>
        <v>2331332.9711444611</v>
      </c>
      <c r="CL6" s="526">
        <f t="shared" si="33"/>
        <v>2316262.3394867778</v>
      </c>
      <c r="CM6" s="526">
        <f t="shared" si="33"/>
        <v>2301405.0558770359</v>
      </c>
      <c r="CN6" s="526">
        <f t="shared" si="33"/>
        <v>2286765.6158996206</v>
      </c>
      <c r="CO6" s="526">
        <f t="shared" si="33"/>
        <v>2272348.6057907981</v>
      </c>
      <c r="CP6" s="526">
        <f t="shared" si="33"/>
        <v>2258158.7042127158</v>
      </c>
      <c r="CQ6" s="526">
        <f t="shared" si="33"/>
        <v>2244200.6840613703</v>
      </c>
      <c r="CR6" s="526">
        <f t="shared" si="33"/>
        <v>2230479.4143091878</v>
      </c>
      <c r="CS6" s="526">
        <f t="shared" si="33"/>
        <v>2216999.8618828598</v>
      </c>
      <c r="CT6" s="526">
        <f t="shared" si="33"/>
        <v>2203767.0935771121</v>
      </c>
    </row>
    <row r="7" spans="1:98" s="77" customFormat="1" ht="15.5" thickBot="1">
      <c r="A7" s="563" t="s">
        <v>1533</v>
      </c>
      <c r="C7" s="159" t="s">
        <v>166</v>
      </c>
      <c r="D7" s="567">
        <f>SUM(D13:D16)</f>
        <v>1991844.590056526</v>
      </c>
      <c r="E7" s="567">
        <f t="shared" ref="E7:AH7" si="34">SUM(E13:E16)</f>
        <v>1941452.422356585</v>
      </c>
      <c r="F7" s="567">
        <f t="shared" si="34"/>
        <v>1889933.6137774242</v>
      </c>
      <c r="G7" s="567">
        <f t="shared" si="34"/>
        <v>1839650.2191799912</v>
      </c>
      <c r="H7" s="567">
        <f t="shared" si="34"/>
        <v>1790155.6323743635</v>
      </c>
      <c r="I7" s="567">
        <f t="shared" si="34"/>
        <v>1741437.0854633839</v>
      </c>
      <c r="J7" s="567">
        <f t="shared" si="34"/>
        <v>1685308.5641088744</v>
      </c>
      <c r="K7" s="567">
        <f t="shared" si="34"/>
        <v>1630247.3137695987</v>
      </c>
      <c r="L7" s="567">
        <f t="shared" si="34"/>
        <v>1576218.7354543405</v>
      </c>
      <c r="M7" s="567">
        <f t="shared" si="34"/>
        <v>1523169.6980489215</v>
      </c>
      <c r="N7" s="567">
        <f t="shared" si="34"/>
        <v>1471038.3796813802</v>
      </c>
      <c r="O7" s="567">
        <f t="shared" si="34"/>
        <v>1403993.0893060854</v>
      </c>
      <c r="P7" s="567">
        <f t="shared" si="34"/>
        <v>1340342.6016359103</v>
      </c>
      <c r="Q7" s="567">
        <f t="shared" si="34"/>
        <v>1276040.5266635707</v>
      </c>
      <c r="R7" s="567">
        <f t="shared" si="34"/>
        <v>1213301.2864984774</v>
      </c>
      <c r="S7" s="567">
        <f t="shared" si="34"/>
        <v>1152145.5400384348</v>
      </c>
      <c r="T7" s="567">
        <f t="shared" si="34"/>
        <v>1093749.8948725425</v>
      </c>
      <c r="U7" s="567">
        <f t="shared" si="34"/>
        <v>1037192.2447575605</v>
      </c>
      <c r="V7" s="567">
        <f t="shared" si="34"/>
        <v>982471.24826756795</v>
      </c>
      <c r="W7" s="567">
        <f t="shared" si="34"/>
        <v>929869.97685438453</v>
      </c>
      <c r="X7" s="567">
        <f t="shared" si="34"/>
        <v>880059.92069669417</v>
      </c>
      <c r="Y7" s="567">
        <f t="shared" si="34"/>
        <v>819900.71790617227</v>
      </c>
      <c r="Z7" s="567">
        <f t="shared" si="34"/>
        <v>767403.65167805739</v>
      </c>
      <c r="AA7" s="567">
        <f t="shared" si="34"/>
        <v>717135.40605252236</v>
      </c>
      <c r="AB7" s="567">
        <f t="shared" si="34"/>
        <v>669433.49713090574</v>
      </c>
      <c r="AC7" s="567">
        <f t="shared" si="34"/>
        <v>624115.34974860074</v>
      </c>
      <c r="AD7" s="567">
        <f t="shared" si="34"/>
        <v>580507.37504498975</v>
      </c>
      <c r="AE7" s="567">
        <f t="shared" si="34"/>
        <v>538786.32628730859</v>
      </c>
      <c r="AF7" s="567">
        <f t="shared" si="34"/>
        <v>499050.93848751503</v>
      </c>
      <c r="AG7" s="567">
        <f t="shared" si="34"/>
        <v>461242.05225589161</v>
      </c>
      <c r="AH7" s="567">
        <f t="shared" si="34"/>
        <v>425721.10317177448</v>
      </c>
      <c r="AJ7" s="567">
        <f>SUM(AJ13:AJ16)</f>
        <v>1991845.1891232613</v>
      </c>
      <c r="AK7" s="567">
        <f t="shared" ref="AK7:BN7" si="35">SUM(AK13:AK16)</f>
        <v>1944074.5199390354</v>
      </c>
      <c r="AL7" s="567">
        <f t="shared" si="35"/>
        <v>1895288.6836522832</v>
      </c>
      <c r="AM7" s="567">
        <f t="shared" si="35"/>
        <v>1847560.6613396402</v>
      </c>
      <c r="AN7" s="567">
        <f t="shared" si="35"/>
        <v>1800541.4212997297</v>
      </c>
      <c r="AO7" s="567">
        <f t="shared" si="35"/>
        <v>1754220.1624557159</v>
      </c>
      <c r="AP7" s="567">
        <f t="shared" si="35"/>
        <v>1704770.4749443126</v>
      </c>
      <c r="AQ7" s="567">
        <f t="shared" si="35"/>
        <v>1656177.1070412721</v>
      </c>
      <c r="AR7" s="567">
        <f t="shared" si="35"/>
        <v>1608416.2862994464</v>
      </c>
      <c r="AS7" s="567">
        <f t="shared" si="35"/>
        <v>1561452.8199573148</v>
      </c>
      <c r="AT7" s="567">
        <f t="shared" si="35"/>
        <v>1515254.6620577939</v>
      </c>
      <c r="AU7" s="567">
        <f t="shared" si="35"/>
        <v>1456415.3192655162</v>
      </c>
      <c r="AV7" s="567">
        <f t="shared" si="35"/>
        <v>1400499.8250183868</v>
      </c>
      <c r="AW7" s="567">
        <f t="shared" si="35"/>
        <v>1344303.0339569009</v>
      </c>
      <c r="AX7" s="567">
        <f t="shared" si="35"/>
        <v>1289489.5888135184</v>
      </c>
      <c r="AY7" s="567">
        <f t="shared" si="35"/>
        <v>1236040.7006277801</v>
      </c>
      <c r="AZ7" s="567">
        <f t="shared" si="35"/>
        <v>1184450.8610848607</v>
      </c>
      <c r="BA7" s="567">
        <f t="shared" si="35"/>
        <v>1134337.2848894265</v>
      </c>
      <c r="BB7" s="567">
        <f t="shared" si="35"/>
        <v>1085818.2757445984</v>
      </c>
      <c r="BC7" s="567">
        <f t="shared" si="35"/>
        <v>1038983.2807984834</v>
      </c>
      <c r="BD7" s="567">
        <f t="shared" si="35"/>
        <v>994463.44344170741</v>
      </c>
      <c r="BE7" s="567">
        <f t="shared" si="35"/>
        <v>940114.62413118465</v>
      </c>
      <c r="BF7" s="567">
        <f t="shared" si="35"/>
        <v>892209.69339525141</v>
      </c>
      <c r="BG7" s="567">
        <f t="shared" si="35"/>
        <v>846479.52691146662</v>
      </c>
      <c r="BH7" s="567">
        <f t="shared" si="35"/>
        <v>802830.84613680956</v>
      </c>
      <c r="BI7" s="567">
        <f t="shared" si="35"/>
        <v>760954.99370731157</v>
      </c>
      <c r="BJ7" s="567">
        <f t="shared" si="35"/>
        <v>720817.75581436208</v>
      </c>
      <c r="BK7" s="567">
        <f t="shared" si="35"/>
        <v>682427.77932337858</v>
      </c>
      <c r="BL7" s="567">
        <f t="shared" si="35"/>
        <v>645669.59002556442</v>
      </c>
      <c r="BM7" s="567">
        <f t="shared" si="35"/>
        <v>610468.71222852124</v>
      </c>
      <c r="BN7" s="567">
        <f t="shared" si="35"/>
        <v>577795.86818049476</v>
      </c>
      <c r="BP7" s="567">
        <f>SUM(BP13:BP16)</f>
        <v>1991845.9375091144</v>
      </c>
      <c r="BQ7" s="567">
        <f t="shared" ref="BQ7:CT7" si="36">SUM(BQ13:BQ16)</f>
        <v>2010501.7595672654</v>
      </c>
      <c r="BR7" s="567">
        <f t="shared" si="36"/>
        <v>2029020.5124941845</v>
      </c>
      <c r="BS7" s="567">
        <f t="shared" si="36"/>
        <v>2047399.2485475536</v>
      </c>
      <c r="BT7" s="567">
        <f t="shared" si="36"/>
        <v>2065634.9597576724</v>
      </c>
      <c r="BU7" s="567">
        <f t="shared" si="36"/>
        <v>2083724.5767379564</v>
      </c>
      <c r="BV7" s="567">
        <f t="shared" si="36"/>
        <v>2101664.9674725099</v>
      </c>
      <c r="BW7" s="567">
        <f t="shared" si="36"/>
        <v>2119452.9360803231</v>
      </c>
      <c r="BX7" s="567">
        <f t="shared" si="36"/>
        <v>2137085.2215556717</v>
      </c>
      <c r="BY7" s="567">
        <f t="shared" si="36"/>
        <v>2154558.4964842447</v>
      </c>
      <c r="BZ7" s="567">
        <f t="shared" si="36"/>
        <v>2171869.3657345632</v>
      </c>
      <c r="CA7" s="567">
        <f t="shared" si="36"/>
        <v>2189014.3651242065</v>
      </c>
      <c r="CB7" s="567">
        <f t="shared" si="36"/>
        <v>2205989.9600603832</v>
      </c>
      <c r="CC7" s="567">
        <f t="shared" si="36"/>
        <v>2222792.5441543455</v>
      </c>
      <c r="CD7" s="567">
        <f t="shared" si="36"/>
        <v>2239418.4378091716</v>
      </c>
      <c r="CE7" s="567">
        <f t="shared" si="36"/>
        <v>2255863.8867803956</v>
      </c>
      <c r="CF7" s="567">
        <f t="shared" si="36"/>
        <v>2272125.0607089829</v>
      </c>
      <c r="CG7" s="567">
        <f t="shared" si="36"/>
        <v>2288198.051626124</v>
      </c>
      <c r="CH7" s="567">
        <f t="shared" si="36"/>
        <v>2304078.8724293197</v>
      </c>
      <c r="CI7" s="567">
        <f t="shared" si="36"/>
        <v>2319763.4553292054</v>
      </c>
      <c r="CJ7" s="567">
        <f t="shared" si="36"/>
        <v>2335247.6502665766</v>
      </c>
      <c r="CK7" s="567">
        <f t="shared" si="36"/>
        <v>2350527.2232990395</v>
      </c>
      <c r="CL7" s="567">
        <f t="shared" si="36"/>
        <v>2365597.8549567228</v>
      </c>
      <c r="CM7" s="567">
        <f t="shared" si="36"/>
        <v>2380455.1385664642</v>
      </c>
      <c r="CN7" s="567">
        <f t="shared" si="36"/>
        <v>2395094.5785438796</v>
      </c>
      <c r="CO7" s="567">
        <f t="shared" si="36"/>
        <v>2409511.588652702</v>
      </c>
      <c r="CP7" s="567">
        <f t="shared" si="36"/>
        <v>2423701.4902307843</v>
      </c>
      <c r="CQ7" s="567">
        <f t="shared" si="36"/>
        <v>2437659.5103821293</v>
      </c>
      <c r="CR7" s="567">
        <f t="shared" si="36"/>
        <v>2451380.7801343128</v>
      </c>
      <c r="CS7" s="567">
        <f t="shared" si="36"/>
        <v>2464860.3325606398</v>
      </c>
      <c r="CT7" s="567">
        <f t="shared" si="36"/>
        <v>2478093.1008663876</v>
      </c>
    </row>
    <row r="8" spans="1:98" ht="15.5" thickBot="1"/>
    <row r="9" spans="1:98" s="527" customFormat="1">
      <c r="A9" s="523" t="s">
        <v>621</v>
      </c>
      <c r="C9" s="525" t="s">
        <v>166</v>
      </c>
      <c r="D9" s="565">
        <f>'Ethylene Recycling HC'!C221+'Propylene Recycling HC'!C213+'Methanol Recycling HC'!C246+'BTX Recycling HC'!C274+'Butadiene Recycling HC'!C162</f>
        <v>443890.11463687377</v>
      </c>
      <c r="E9" s="565">
        <f>'Ethylene Recycling HC'!D221+'Propylene Recycling HC'!D213+'Methanol Recycling HC'!D246+'BTX Recycling HC'!D274+'Butadiene Recycling HC'!D162</f>
        <v>461154.65824349131</v>
      </c>
      <c r="F9" s="565">
        <f>'Ethylene Recycling HC'!E221+'Propylene Recycling HC'!E213+'Methanol Recycling HC'!E246+'BTX Recycling HC'!E274+'Butadiene Recycling HC'!E162</f>
        <v>479951.60826312128</v>
      </c>
      <c r="G9" s="565">
        <f>'Ethylene Recycling HC'!F221+'Propylene Recycling HC'!F213+'Methanol Recycling HC'!F246+'BTX Recycling HC'!F274+'Butadiene Recycling HC'!F162</f>
        <v>498661.69332049694</v>
      </c>
      <c r="H9" s="565">
        <f>'Ethylene Recycling HC'!G221+'Propylene Recycling HC'!G213+'Methanol Recycling HC'!G246+'BTX Recycling HC'!G274+'Butadiene Recycling HC'!G162</f>
        <v>517075.930255129</v>
      </c>
      <c r="I9" s="565">
        <f>'Ethylene Recycling HC'!H221+'Propylene Recycling HC'!H213+'Methanol Recycling HC'!H246+'BTX Recycling HC'!H274+'Butadiene Recycling HC'!H162</f>
        <v>535198.68893254129</v>
      </c>
      <c r="J9" s="565">
        <f>'Ethylene Recycling HC'!I221+'Propylene Recycling HC'!I213+'Methanol Recycling HC'!I246+'BTX Recycling HC'!I274+'Butadiene Recycling HC'!I162</f>
        <v>551765.95521926973</v>
      </c>
      <c r="K9" s="565">
        <f>'Ethylene Recycling HC'!J221+'Propylene Recycling HC'!J213+'Methanol Recycling HC'!J246+'BTX Recycling HC'!J274+'Butadiene Recycling HC'!J162</f>
        <v>567899.40371396719</v>
      </c>
      <c r="L9" s="565">
        <f>'Ethylene Recycling HC'!K221+'Propylene Recycling HC'!K213+'Methanol Recycling HC'!K246+'BTX Recycling HC'!K274+'Butadiene Recycling HC'!K162</f>
        <v>583595.07809600944</v>
      </c>
      <c r="M9" s="565">
        <f>'Ethylene Recycling HC'!L221+'Propylene Recycling HC'!L213+'Methanol Recycling HC'!L246+'BTX Recycling HC'!L274+'Butadiene Recycling HC'!L162</f>
        <v>598848.72323524603</v>
      </c>
      <c r="N9" s="565">
        <f>'Ethylene Recycling HC'!M221+'Propylene Recycling HC'!M213+'Methanol Recycling HC'!M246+'BTX Recycling HC'!M274+'Butadiene Recycling HC'!M162</f>
        <v>613655.78519199917</v>
      </c>
      <c r="O9" s="565">
        <f>'Ethylene Recycling HC'!N221+'Propylene Recycling HC'!N213+'Methanol Recycling HC'!N246+'BTX Recycling HC'!N274+'Butadiene Recycling HC'!N162</f>
        <v>643829.09879505634</v>
      </c>
      <c r="P9" s="565">
        <f>'Ethylene Recycling HC'!O221+'Propylene Recycling HC'!O213+'Methanol Recycling HC'!O246+'BTX Recycling HC'!O274+'Butadiene Recycling HC'!O162</f>
        <v>673771.59404149698</v>
      </c>
      <c r="Q9" s="565">
        <f>'Ethylene Recycling HC'!P221+'Propylene Recycling HC'!P213+'Methanol Recycling HC'!P246+'BTX Recycling HC'!P274+'Butadiene Recycling HC'!P162</f>
        <v>700529.95883705863</v>
      </c>
      <c r="R9" s="565">
        <f>'Ethylene Recycling HC'!Q221+'Propylene Recycling HC'!Q213+'Methanol Recycling HC'!Q246+'BTX Recycling HC'!Q274+'Butadiene Recycling HC'!Q162</f>
        <v>725665.06622845947</v>
      </c>
      <c r="S9" s="565">
        <f>'Ethylene Recycling HC'!R221+'Propylene Recycling HC'!R213+'Methanol Recycling HC'!R246+'BTX Recycling HC'!R274+'Butadiene Recycling HC'!R162</f>
        <v>749172.08259313332</v>
      </c>
      <c r="T9" s="565">
        <f>'Ethylene Recycling HC'!S221+'Propylene Recycling HC'!S213+'Methanol Recycling HC'!S246+'BTX Recycling HC'!S274+'Butadiene Recycling HC'!S162</f>
        <v>771531.11308264756</v>
      </c>
      <c r="U9" s="565">
        <f>'Ethylene Recycling HC'!T221+'Propylene Recycling HC'!T213+'Methanol Recycling HC'!T246+'BTX Recycling HC'!T274+'Butadiene Recycling HC'!T162</f>
        <v>792329.51285930013</v>
      </c>
      <c r="V9" s="565">
        <f>'Ethylene Recycling HC'!U221+'Propylene Recycling HC'!U213+'Methanol Recycling HC'!U246+'BTX Recycling HC'!U274+'Butadiene Recycling HC'!U162</f>
        <v>811566.30827056139</v>
      </c>
      <c r="W9" s="565">
        <f>'Ethylene Recycling HC'!V221+'Propylene Recycling HC'!V213+'Methanol Recycling HC'!V246+'BTX Recycling HC'!V274+'Butadiene Recycling HC'!V162</f>
        <v>829240.08193952532</v>
      </c>
      <c r="X9" s="565">
        <f>'Ethylene Recycling HC'!W221+'Propylene Recycling HC'!W213+'Methanol Recycling HC'!W246+'BTX Recycling HC'!W274+'Butadiene Recycling HC'!W162</f>
        <v>845348.97272932366</v>
      </c>
      <c r="Y9" s="565">
        <f>'Ethylene Recycling HC'!X221+'Propylene Recycling HC'!X213+'Methanol Recycling HC'!X246+'BTX Recycling HC'!X274+'Butadiene Recycling HC'!X162</f>
        <v>875776.82204735256</v>
      </c>
      <c r="Z9" s="565">
        <f>'Ethylene Recycling HC'!Y221+'Propylene Recycling HC'!Y213+'Methanol Recycling HC'!Y246+'BTX Recycling HC'!Y274+'Butadiene Recycling HC'!Y162</f>
        <v>910130.64795505791</v>
      </c>
      <c r="AA9" s="565">
        <f>'Ethylene Recycling HC'!Z221+'Propylene Recycling HC'!Z213+'Methanol Recycling HC'!Z246+'BTX Recycling HC'!Z274+'Butadiene Recycling HC'!Z162</f>
        <v>941061.61930401612</v>
      </c>
      <c r="AB9" s="565">
        <f>'Ethylene Recycling HC'!AA221+'Propylene Recycling HC'!AA213+'Methanol Recycling HC'!AA246+'BTX Recycling HC'!AA274+'Butadiene Recycling HC'!AA162</f>
        <v>969218.24842852447</v>
      </c>
      <c r="AC9" s="565">
        <f>'Ethylene Recycling HC'!AB221+'Propylene Recycling HC'!AB213+'Methanol Recycling HC'!AB246+'BTX Recycling HC'!AB274+'Butadiene Recycling HC'!AB162</f>
        <v>994596.85333535424</v>
      </c>
      <c r="AD9" s="565">
        <f>'Ethylene Recycling HC'!AC221+'Propylene Recycling HC'!AC213+'Methanol Recycling HC'!AC246+'BTX Recycling HC'!AC274+'Butadiene Recycling HC'!AC162</f>
        <v>1016606.4671706029</v>
      </c>
      <c r="AE9" s="565">
        <f>'Ethylene Recycling HC'!AD221+'Propylene Recycling HC'!AD213+'Methanol Recycling HC'!AD246+'BTX Recycling HC'!AD274+'Butadiene Recycling HC'!AD162</f>
        <v>1035738.9816874723</v>
      </c>
      <c r="AF9" s="565">
        <f>'Ethylene Recycling HC'!AE221+'Propylene Recycling HC'!AE213+'Methanol Recycling HC'!AE246+'BTX Recycling HC'!AE274+'Butadiene Recycling HC'!AE162</f>
        <v>1051983.0093243283</v>
      </c>
      <c r="AG9" s="565">
        <f>'Ethylene Recycling HC'!AF221+'Propylene Recycling HC'!AF213+'Methanol Recycling HC'!AF246+'BTX Recycling HC'!AF274+'Butadiene Recycling HC'!AF162</f>
        <v>1065326.2736863063</v>
      </c>
      <c r="AH9" s="565">
        <f>'Ethylene Recycling HC'!AG221+'Propylene Recycling HC'!AG213+'Methanol Recycling HC'!AG246+'BTX Recycling HC'!AG274+'Butadiene Recycling HC'!AG162</f>
        <v>1075755.6081263619</v>
      </c>
      <c r="AJ9" s="566">
        <f>D9</f>
        <v>443890.11463687377</v>
      </c>
      <c r="AK9" s="566">
        <f t="shared" ref="AK9:BN9" si="37">E9</f>
        <v>461154.65824349131</v>
      </c>
      <c r="AL9" s="566">
        <f t="shared" si="37"/>
        <v>479951.60826312128</v>
      </c>
      <c r="AM9" s="566">
        <f t="shared" si="37"/>
        <v>498661.69332049694</v>
      </c>
      <c r="AN9" s="566">
        <f t="shared" si="37"/>
        <v>517075.930255129</v>
      </c>
      <c r="AO9" s="566">
        <f t="shared" si="37"/>
        <v>535198.68893254129</v>
      </c>
      <c r="AP9" s="566">
        <f t="shared" si="37"/>
        <v>551765.95521926973</v>
      </c>
      <c r="AQ9" s="566">
        <f t="shared" si="37"/>
        <v>567899.40371396719</v>
      </c>
      <c r="AR9" s="566">
        <f t="shared" si="37"/>
        <v>583595.07809600944</v>
      </c>
      <c r="AS9" s="566">
        <f t="shared" si="37"/>
        <v>598848.72323524603</v>
      </c>
      <c r="AT9" s="566">
        <f t="shared" si="37"/>
        <v>613655.78519199917</v>
      </c>
      <c r="AU9" s="566">
        <f t="shared" si="37"/>
        <v>643829.09879505634</v>
      </c>
      <c r="AV9" s="566">
        <f t="shared" si="37"/>
        <v>673771.59404149698</v>
      </c>
      <c r="AW9" s="566">
        <f t="shared" si="37"/>
        <v>700529.95883705863</v>
      </c>
      <c r="AX9" s="566">
        <f t="shared" si="37"/>
        <v>725665.06622845947</v>
      </c>
      <c r="AY9" s="566">
        <f t="shared" si="37"/>
        <v>749172.08259313332</v>
      </c>
      <c r="AZ9" s="566">
        <f t="shared" si="37"/>
        <v>771531.11308264756</v>
      </c>
      <c r="BA9" s="566">
        <f t="shared" si="37"/>
        <v>792329.51285930013</v>
      </c>
      <c r="BB9" s="566">
        <f t="shared" si="37"/>
        <v>811566.30827056139</v>
      </c>
      <c r="BC9" s="566">
        <f t="shared" si="37"/>
        <v>829240.08193952532</v>
      </c>
      <c r="BD9" s="566">
        <f t="shared" si="37"/>
        <v>845348.97272932366</v>
      </c>
      <c r="BE9" s="566">
        <f t="shared" si="37"/>
        <v>875776.82204735256</v>
      </c>
      <c r="BF9" s="566">
        <f t="shared" si="37"/>
        <v>910130.64795505791</v>
      </c>
      <c r="BG9" s="566">
        <f t="shared" si="37"/>
        <v>941061.61930401612</v>
      </c>
      <c r="BH9" s="566">
        <f t="shared" si="37"/>
        <v>969218.24842852447</v>
      </c>
      <c r="BI9" s="566">
        <f t="shared" si="37"/>
        <v>994596.85333535424</v>
      </c>
      <c r="BJ9" s="566">
        <f t="shared" si="37"/>
        <v>1016606.4671706029</v>
      </c>
      <c r="BK9" s="566">
        <f t="shared" si="37"/>
        <v>1035738.9816874723</v>
      </c>
      <c r="BL9" s="566">
        <f t="shared" si="37"/>
        <v>1051983.0093243283</v>
      </c>
      <c r="BM9" s="566">
        <f t="shared" si="37"/>
        <v>1065326.2736863063</v>
      </c>
      <c r="BN9" s="566">
        <f t="shared" si="37"/>
        <v>1075755.6081263619</v>
      </c>
      <c r="BP9" s="526">
        <f>'Ethylene Recycling HC'!C222+'Propylene Recycling HC'!C214+'Methanol Recycling HC'!C247+'BTX Recycling LC'!C275+'Butadiene Recycling LC'!C163</f>
        <v>443890.11463687377</v>
      </c>
      <c r="BQ9" s="526">
        <f>'Ethylene Recycling HC'!D222+'Propylene Recycling HC'!D214+'Methanol Recycling HC'!D247+'BTX Recycling LC'!D275+'Butadiene Recycling LC'!D163</f>
        <v>451303.07955130952</v>
      </c>
      <c r="BR9" s="526">
        <f>'Ethylene Recycling HC'!E222+'Propylene Recycling HC'!E214+'Methanol Recycling HC'!E247+'BTX Recycling LC'!E275+'Butadiene Recycling LC'!E163</f>
        <v>458839.84097981639</v>
      </c>
      <c r="BS9" s="526">
        <f>'Ethylene Recycling HC'!F222+'Propylene Recycling HC'!F214+'Methanol Recycling HC'!F247+'BTX Recycling LC'!F275+'Butadiene Recycling LC'!F163</f>
        <v>466502.46632417926</v>
      </c>
      <c r="BT9" s="526">
        <f>'Ethylene Recycling HC'!G222+'Propylene Recycling HC'!G214+'Methanol Recycling HC'!G247+'BTX Recycling LC'!G275+'Butadiene Recycling LC'!G163</f>
        <v>474293.0575117931</v>
      </c>
      <c r="BU9" s="526">
        <f>'Ethylene Recycling HC'!H222+'Propylene Recycling HC'!H214+'Methanol Recycling HC'!H247+'BTX Recycling LC'!H275+'Butadiene Recycling LC'!H163</f>
        <v>482213.75157223991</v>
      </c>
      <c r="BV9" s="526">
        <f>'Ethylene Recycling HC'!I222+'Propylene Recycling HC'!I214+'Methanol Recycling HC'!I247+'BTX Recycling LC'!I275+'Butadiene Recycling LC'!I163</f>
        <v>490266.72122349637</v>
      </c>
      <c r="BW9" s="526">
        <f>'Ethylene Recycling HC'!J222+'Propylene Recycling HC'!J214+'Methanol Recycling HC'!J247+'BTX Recycling LC'!J275+'Butadiene Recycling LC'!J163</f>
        <v>498454.17546792864</v>
      </c>
      <c r="BX9" s="526">
        <f>'Ethylene Recycling HC'!K222+'Propylene Recycling HC'!K214+'Methanol Recycling HC'!K247+'BTX Recycling LC'!K275+'Butadiene Recycling LC'!K163</f>
        <v>506778.36019824306</v>
      </c>
      <c r="BY9" s="526">
        <f>'Ethylene Recycling HC'!L222+'Propylene Recycling HC'!L214+'Methanol Recycling HC'!L247+'BTX Recycling LC'!L275+'Butadiene Recycling LC'!L163</f>
        <v>515241.55881355365</v>
      </c>
      <c r="BZ9" s="526">
        <f>'Ethylene Recycling HC'!M222+'Propylene Recycling HC'!M214+'Methanol Recycling HC'!M247+'BTX Recycling LC'!M275+'Butadiene Recycling LC'!M163</f>
        <v>523846.09284574003</v>
      </c>
      <c r="CA9" s="526">
        <f>'Ethylene Recycling HC'!N222+'Propylene Recycling HC'!N214+'Methanol Recycling HC'!N247+'BTX Recycling LC'!N275+'Butadiene Recycling LC'!N163</f>
        <v>532594.32259626384</v>
      </c>
      <c r="CB9" s="526">
        <f>'Ethylene Recycling HC'!O222+'Propylene Recycling HC'!O214+'Methanol Recycling HC'!O247+'BTX Recycling LC'!O275+'Butadiene Recycling LC'!O163</f>
        <v>541488.64778362145</v>
      </c>
      <c r="CC9" s="526">
        <f>'Ethylene Recycling HC'!P222+'Propylene Recycling HC'!P214+'Methanol Recycling HC'!P247+'BTX Recycling LC'!P275+'Butadiene Recycling LC'!P163</f>
        <v>550531.50820160785</v>
      </c>
      <c r="CD9" s="526">
        <f>'Ethylene Recycling HC'!Q222+'Propylene Recycling HC'!Q214+'Methanol Recycling HC'!Q247+'BTX Recycling LC'!Q275+'Butadiene Recycling LC'!Q163</f>
        <v>559725.38438857475</v>
      </c>
      <c r="CE9" s="526">
        <f>'Ethylene Recycling HC'!R222+'Propylene Recycling HC'!R214+'Methanol Recycling HC'!R247+'BTX Recycling LC'!R275+'Butadiene Recycling LC'!R163</f>
        <v>569072.79830786388</v>
      </c>
      <c r="CF9" s="526">
        <f>'Ethylene Recycling HC'!S222+'Propylene Recycling HC'!S214+'Methanol Recycling HC'!S247+'BTX Recycling LC'!S275+'Butadiene Recycling LC'!S163</f>
        <v>578576.31403960509</v>
      </c>
      <c r="CG9" s="526">
        <f>'Ethylene Recycling HC'!T222+'Propylene Recycling HC'!T214+'Methanol Recycling HC'!T247+'BTX Recycling LC'!T275+'Butadiene Recycling LC'!T163</f>
        <v>588238.53848406661</v>
      </c>
      <c r="CH9" s="526">
        <f>'Ethylene Recycling HC'!U222+'Propylene Recycling HC'!U214+'Methanol Recycling HC'!U247+'BTX Recycling LC'!U275+'Butadiene Recycling LC'!U163</f>
        <v>598062.1220767505</v>
      </c>
      <c r="CI9" s="526">
        <f>'Ethylene Recycling HC'!V222+'Propylene Recycling HC'!V214+'Methanol Recycling HC'!V247+'BTX Recycling LC'!V275+'Butadiene Recycling LC'!V163</f>
        <v>608049.75951543218</v>
      </c>
      <c r="CJ9" s="526">
        <f>'Ethylene Recycling HC'!W222+'Propylene Recycling HC'!W214+'Methanol Recycling HC'!W247+'BTX Recycling LC'!W275+'Butadiene Recycling LC'!W163</f>
        <v>618204.19049933983</v>
      </c>
      <c r="CK9" s="526">
        <f>'Ethylene Recycling HC'!X222+'Propylene Recycling HC'!X214+'Methanol Recycling HC'!X247+'BTX Recycling LC'!X275+'Butadiene Recycling LC'!X163</f>
        <v>628528.2004806787</v>
      </c>
      <c r="CL9" s="526">
        <f>'Ethylene Recycling HC'!Y222+'Propylene Recycling HC'!Y214+'Methanol Recycling HC'!Y247+'BTX Recycling LC'!Y275+'Butadiene Recycling LC'!Y163</f>
        <v>639024.62142870598</v>
      </c>
      <c r="CM9" s="526">
        <f>'Ethylene Recycling HC'!Z222+'Propylene Recycling HC'!Z214+'Methanol Recycling HC'!Z247+'BTX Recycling LC'!Z275+'Butadiene Recycling LC'!Z163</f>
        <v>649696.33260656532</v>
      </c>
      <c r="CN9" s="526">
        <f>'Ethylene Recycling HC'!AA222+'Propylene Recycling HC'!AA214+'Methanol Recycling HC'!AA247+'BTX Recycling LC'!AA275+'Butadiene Recycling LC'!AA163</f>
        <v>660546.26136109501</v>
      </c>
      <c r="CO9" s="526">
        <f>'Ethylene Recycling HC'!AB222+'Propylene Recycling HC'!AB214+'Methanol Recycling HC'!AB247+'BTX Recycling LC'!AB275+'Butadiene Recycling LC'!AB163</f>
        <v>671577.38392582524</v>
      </c>
      <c r="CP9" s="526">
        <f>'Ethylene Recycling HC'!AC222+'Propylene Recycling HC'!AC214+'Methanol Recycling HC'!AC247+'BTX Recycling LC'!AC275+'Butadiene Recycling LC'!AC163</f>
        <v>682792.72623738647</v>
      </c>
      <c r="CQ9" s="526">
        <f>'Ethylene Recycling HC'!AD222+'Propylene Recycling HC'!AD214+'Methanol Recycling HC'!AD247+'BTX Recycling LC'!AD275+'Butadiene Recycling LC'!AD163</f>
        <v>694195.36476555071</v>
      </c>
      <c r="CR9" s="526">
        <f>'Ethylene Recycling HC'!AE222+'Propylene Recycling HC'!AE214+'Methanol Recycling HC'!AE247+'BTX Recycling LC'!AE275+'Butadiene Recycling LC'!AE163</f>
        <v>705788.42735713546</v>
      </c>
      <c r="CS9" s="526">
        <f>'Ethylene Recycling HC'!AF222+'Propylene Recycling HC'!AF214+'Methanol Recycling HC'!AF247+'BTX Recycling LC'!AF275+'Butadiene Recycling LC'!AF163</f>
        <v>717575.09409399959</v>
      </c>
      <c r="CT9" s="526">
        <f>'Ethylene Recycling HC'!AG222+'Propylene Recycling HC'!AG214+'Methanol Recycling HC'!AG247+'BTX Recycling LC'!AG275+'Butadiene Recycling LC'!AG163</f>
        <v>729558.59816536948</v>
      </c>
    </row>
    <row r="10" spans="1:98">
      <c r="A10" s="564" t="s">
        <v>1537</v>
      </c>
      <c r="C10" s="51" t="s">
        <v>166</v>
      </c>
      <c r="D10" s="278">
        <f>'Ethylene Recycling HC'!C308+'Ethylene Recycling HC'!C310+'Propylene Recycling HC'!C201+'Propylene Recycling HC'!C203+'Methanol Recycling HC'!C333+'Methanol Recycling HC'!C335+'BTX Recycling HC'!C361+'BTX Recycling HC'!C363+'Butadiene Recycling HC'!C249+'Butadiene Recycling HC'!C251</f>
        <v>2.8669204007555735</v>
      </c>
      <c r="E10" s="278">
        <f>'Ethylene Recycling HC'!D308+'Ethylene Recycling HC'!D310+'Propylene Recycling HC'!D201+'Propylene Recycling HC'!D203+'Methanol Recycling HC'!D333+'Methanol Recycling HC'!D335+'BTX Recycling HC'!D361+'BTX Recycling HC'!D363+'Butadiene Recycling HC'!D249+'Butadiene Recycling HC'!D251</f>
        <v>5.9475473016521523</v>
      </c>
      <c r="F10" s="278">
        <f>'Ethylene Recycling HC'!E308+'Ethylene Recycling HC'!E310+'Propylene Recycling HC'!E201+'Propylene Recycling HC'!E203+'Methanol Recycling HC'!E333+'Methanol Recycling HC'!E335+'BTX Recycling HC'!E361+'BTX Recycling HC'!E363+'Butadiene Recycling HC'!E249+'Butadiene Recycling HC'!E251</f>
        <v>11.93983005421404</v>
      </c>
      <c r="G10" s="278">
        <f>'Ethylene Recycling HC'!F308+'Ethylene Recycling HC'!F310+'Propylene Recycling HC'!F201+'Propylene Recycling HC'!F203+'Methanol Recycling HC'!F333+'Methanol Recycling HC'!F335+'BTX Recycling HC'!F361+'BTX Recycling HC'!F363+'Butadiene Recycling HC'!F249+'Butadiene Recycling HC'!F251</f>
        <v>23.895237081275187</v>
      </c>
      <c r="H10" s="278">
        <f>'Ethylene Recycling HC'!G308+'Ethylene Recycling HC'!G310+'Propylene Recycling HC'!G201+'Propylene Recycling HC'!G203+'Methanol Recycling HC'!G333+'Methanol Recycling HC'!G335+'BTX Recycling HC'!G361+'BTX Recycling HC'!G363+'Butadiene Recycling HC'!G249+'Butadiene Recycling HC'!G251</f>
        <v>47.622955001242431</v>
      </c>
      <c r="I10" s="278">
        <f>'Ethylene Recycling HC'!H308+'Ethylene Recycling HC'!H310+'Propylene Recycling HC'!H201+'Propylene Recycling HC'!H203+'Methanol Recycling HC'!H333+'Methanol Recycling HC'!H335+'BTX Recycling HC'!H361+'BTX Recycling HC'!H363+'Butadiene Recycling HC'!H249+'Butadiene Recycling HC'!H251</f>
        <v>94.390601297390347</v>
      </c>
      <c r="J10" s="278">
        <f>'Ethylene Recycling HC'!I308+'Ethylene Recycling HC'!I310+'Propylene Recycling HC'!I201+'Propylene Recycling HC'!I203+'Methanol Recycling HC'!I333+'Methanol Recycling HC'!I335+'BTX Recycling HC'!I361+'BTX Recycling HC'!I363+'Butadiene Recycling HC'!I249+'Butadiene Recycling HC'!I251</f>
        <v>184.50451939194969</v>
      </c>
      <c r="K10" s="278">
        <f>'Ethylene Recycling HC'!J308+'Ethylene Recycling HC'!J310+'Propylene Recycling HC'!J201+'Propylene Recycling HC'!J203+'Methanol Recycling HC'!J333+'Methanol Recycling HC'!J335+'BTX Recycling HC'!J361+'BTX Recycling HC'!J363+'Butadiene Recycling HC'!J249+'Butadiene Recycling HC'!J251</f>
        <v>357.04516717078923</v>
      </c>
      <c r="L10" s="278">
        <f>'Ethylene Recycling HC'!K308+'Ethylene Recycling HC'!K310+'Propylene Recycling HC'!K201+'Propylene Recycling HC'!K203+'Methanol Recycling HC'!K333+'Methanol Recycling HC'!K335+'BTX Recycling HC'!K361+'BTX Recycling HC'!K363+'Butadiene Recycling HC'!K249+'Butadiene Recycling HC'!K251</f>
        <v>681.71712349202926</v>
      </c>
      <c r="M10" s="278">
        <f>'Ethylene Recycling HC'!L308+'Ethylene Recycling HC'!L310+'Propylene Recycling HC'!L201+'Propylene Recycling HC'!L203+'Methanol Recycling HC'!L333+'Methanol Recycling HC'!L335+'BTX Recycling HC'!L361+'BTX Recycling HC'!L363+'Butadiene Recycling HC'!L249+'Butadiene Recycling HC'!L251</f>
        <v>1278.5804700781734</v>
      </c>
      <c r="N10" s="278">
        <f>'Ethylene Recycling HC'!M308+'Ethylene Recycling HC'!M310+'Propylene Recycling HC'!M201+'Propylene Recycling HC'!M203+'Methanol Recycling HC'!M333+'Methanol Recycling HC'!M335+'BTX Recycling HC'!M361+'BTX Recycling HC'!M363+'Butadiene Recycling HC'!M249+'Butadiene Recycling HC'!M251</f>
        <v>2297.8273392576311</v>
      </c>
      <c r="O10" s="278">
        <f>'Ethylene Recycling HC'!N308+'Ethylene Recycling HC'!N310+'Propylene Recycling HC'!N201+'Propylene Recycling HC'!N203+'Methanol Recycling HC'!N333+'Methanol Recycling HC'!N335+'BTX Recycling HC'!N361+'BTX Recycling HC'!N363+'Butadiene Recycling HC'!N249+'Butadiene Recycling HC'!N251</f>
        <v>4019.5368232241881</v>
      </c>
      <c r="P10" s="278">
        <f>'Ethylene Recycling HC'!O308+'Ethylene Recycling HC'!O310+'Propylene Recycling HC'!O201+'Propylene Recycling HC'!O203+'Methanol Recycling HC'!O333+'Methanol Recycling HC'!O335+'BTX Recycling HC'!O361+'BTX Recycling HC'!O363+'Butadiene Recycling HC'!O249+'Butadiene Recycling HC'!O251</f>
        <v>6648.0941901742763</v>
      </c>
      <c r="Q10" s="278">
        <f>'Ethylene Recycling HC'!P308+'Ethylene Recycling HC'!P310+'Propylene Recycling HC'!P201+'Propylene Recycling HC'!P203+'Methanol Recycling HC'!P333+'Methanol Recycling HC'!P335+'BTX Recycling HC'!P361+'BTX Recycling HC'!P363+'Butadiene Recycling HC'!P249+'Butadiene Recycling HC'!P251</f>
        <v>10498.416891023293</v>
      </c>
      <c r="R10" s="278">
        <f>'Ethylene Recycling HC'!Q308+'Ethylene Recycling HC'!Q310+'Propylene Recycling HC'!Q201+'Propylene Recycling HC'!Q203+'Methanol Recycling HC'!Q333+'Methanol Recycling HC'!Q335+'BTX Recycling HC'!Q361+'BTX Recycling HC'!Q363+'Butadiene Recycling HC'!Q249+'Butadiene Recycling HC'!Q251</f>
        <v>15739.991946909651</v>
      </c>
      <c r="S10" s="278">
        <f>'Ethylene Recycling HC'!R308+'Ethylene Recycling HC'!R310+'Propylene Recycling HC'!R201+'Propylene Recycling HC'!R203+'Methanol Recycling HC'!R333+'Methanol Recycling HC'!R335+'BTX Recycling HC'!R361+'BTX Recycling HC'!R363+'Butadiene Recycling HC'!R249+'Butadiene Recycling HC'!R251</f>
        <v>22307.852547795377</v>
      </c>
      <c r="T10" s="278">
        <f>'Ethylene Recycling HC'!S308+'Ethylene Recycling HC'!S310+'Propylene Recycling HC'!S201+'Propylene Recycling HC'!S203+'Methanol Recycling HC'!S333+'Methanol Recycling HC'!S335+'BTX Recycling HC'!S361+'BTX Recycling HC'!S363+'Butadiene Recycling HC'!S249+'Butadiene Recycling HC'!S251</f>
        <v>29859.95928083055</v>
      </c>
      <c r="U10" s="278">
        <f>'Ethylene Recycling HC'!T308+'Ethylene Recycling HC'!T310+'Propylene Recycling HC'!T201+'Propylene Recycling HC'!T203+'Methanol Recycling HC'!T333+'Methanol Recycling HC'!T335+'BTX Recycling HC'!T361+'BTX Recycling HC'!T363+'Butadiene Recycling HC'!T249+'Butadiene Recycling HC'!T251</f>
        <v>37778.216318656625</v>
      </c>
      <c r="V10" s="278">
        <f>'Ethylene Recycling HC'!U308+'Ethylene Recycling HC'!U310+'Propylene Recycling HC'!U201+'Propylene Recycling HC'!U203+'Methanol Recycling HC'!U333+'Methanol Recycling HC'!U335+'BTX Recycling HC'!U361+'BTX Recycling HC'!U363+'Butadiene Recycling HC'!U249+'Butadiene Recycling HC'!U251</f>
        <v>45994.731369878944</v>
      </c>
      <c r="W10" s="278">
        <f>'Ethylene Recycling HC'!V308+'Ethylene Recycling HC'!V310+'Propylene Recycling HC'!V201+'Propylene Recycling HC'!V203+'Methanol Recycling HC'!V333+'Methanol Recycling HC'!V335+'BTX Recycling HC'!V361+'BTX Recycling HC'!V363+'Butadiene Recycling HC'!V249+'Butadiene Recycling HC'!V251</f>
        <v>53592.377884778201</v>
      </c>
      <c r="X10" s="278">
        <f>'Ethylene Recycling HC'!W308+'Ethylene Recycling HC'!W310+'Propylene Recycling HC'!W201+'Propylene Recycling HC'!W203+'Methanol Recycling HC'!W333+'Methanol Recycling HC'!W335+'BTX Recycling HC'!W361+'BTX Recycling HC'!W363+'Butadiene Recycling HC'!W249+'Butadiene Recycling HC'!W251</f>
        <v>58399.508489329091</v>
      </c>
      <c r="Y10" s="278">
        <f>'Ethylene Recycling HC'!X308+'Ethylene Recycling HC'!X310+'Propylene Recycling HC'!X201+'Propylene Recycling HC'!X203+'Methanol Recycling HC'!X333+'Methanol Recycling HC'!X335+'BTX Recycling HC'!X361+'BTX Recycling HC'!X363+'Butadiene Recycling HC'!X249+'Butadiene Recycling HC'!X251</f>
        <v>64251.825480480962</v>
      </c>
      <c r="Z10" s="278">
        <f>'Ethylene Recycling HC'!Y308+'Ethylene Recycling HC'!Y310+'Propylene Recycling HC'!Y201+'Propylene Recycling HC'!Y203+'Methanol Recycling HC'!Y333+'Methanol Recycling HC'!Y335+'BTX Recycling HC'!Y361+'BTX Recycling HC'!Y363+'Butadiene Recycling HC'!Y249+'Butadiene Recycling HC'!Y251</f>
        <v>67412.378009015622</v>
      </c>
      <c r="AA10" s="278">
        <f>'Ethylene Recycling HC'!Z308+'Ethylene Recycling HC'!Z310+'Propylene Recycling HC'!Z201+'Propylene Recycling HC'!Z203+'Methanol Recycling HC'!Z333+'Methanol Recycling HC'!Z335+'BTX Recycling HC'!Z361+'BTX Recycling HC'!Z363+'Butadiene Recycling HC'!Z249+'Butadiene Recycling HC'!Z251</f>
        <v>69476.021037516766</v>
      </c>
      <c r="AB10" s="278">
        <f>'Ethylene Recycling HC'!AA308+'Ethylene Recycling HC'!AA310+'Propylene Recycling HC'!AA201+'Propylene Recycling HC'!AA203+'Methanol Recycling HC'!AA333+'Methanol Recycling HC'!AA335+'BTX Recycling HC'!AA361+'BTX Recycling HC'!AA363+'Butadiene Recycling HC'!AA249+'Butadiene Recycling HC'!AA251</f>
        <v>70794.155372844412</v>
      </c>
      <c r="AC10" s="278">
        <f>'Ethylene Recycling HC'!AB308+'Ethylene Recycling HC'!AB310+'Propylene Recycling HC'!AB201+'Propylene Recycling HC'!AB203+'Methanol Recycling HC'!AB333+'Methanol Recycling HC'!AB335+'BTX Recycling HC'!AB361+'BTX Recycling HC'!AB363+'Butadiene Recycling HC'!AB249+'Butadiene Recycling HC'!AB251</f>
        <v>71740.021010553712</v>
      </c>
      <c r="AD10" s="278">
        <f>'Ethylene Recycling HC'!AC308+'Ethylene Recycling HC'!AC310+'Propylene Recycling HC'!AC201+'Propylene Recycling HC'!AC203+'Methanol Recycling HC'!AC333+'Methanol Recycling HC'!AC335+'BTX Recycling HC'!AC361+'BTX Recycling HC'!AC363+'Butadiene Recycling HC'!AC249+'Butadiene Recycling HC'!AC251</f>
        <v>73050.074572438942</v>
      </c>
      <c r="AE10" s="278">
        <f>'Ethylene Recycling HC'!AD308+'Ethylene Recycling HC'!AD310+'Propylene Recycling HC'!AD201+'Propylene Recycling HC'!AD203+'Methanol Recycling HC'!AD333+'Methanol Recycling HC'!AD335+'BTX Recycling HC'!AD361+'BTX Recycling HC'!AD363+'Butadiene Recycling HC'!AD249+'Butadiene Recycling HC'!AD251</f>
        <v>75491.79946695955</v>
      </c>
      <c r="AF10" s="278">
        <f>'Ethylene Recycling HC'!AE308+'Ethylene Recycling HC'!AE310+'Propylene Recycling HC'!AE201+'Propylene Recycling HC'!AE203+'Methanol Recycling HC'!AE333+'Methanol Recycling HC'!AE335+'BTX Recycling HC'!AE361+'BTX Recycling HC'!AE363+'Butadiene Recycling HC'!AE249+'Butadiene Recycling HC'!AE251</f>
        <v>78583.693787725744</v>
      </c>
      <c r="AG10" s="278">
        <f>'Ethylene Recycling HC'!AF308+'Ethylene Recycling HC'!AF310+'Propylene Recycling HC'!AF201+'Propylene Recycling HC'!AF203+'Methanol Recycling HC'!AF333+'Methanol Recycling HC'!AF335+'BTX Recycling HC'!AF361+'BTX Recycling HC'!AF363+'Butadiene Recycling HC'!AF249+'Butadiene Recycling HC'!AF251</f>
        <v>82384.790478780575</v>
      </c>
      <c r="AH10" s="278">
        <f>'Ethylene Recycling HC'!AG308+'Ethylene Recycling HC'!AG310+'Propylene Recycling HC'!AG201+'Propylene Recycling HC'!AG203+'Methanol Recycling HC'!AG333+'Methanol Recycling HC'!AG335+'BTX Recycling HC'!AG361+'BTX Recycling HC'!AG363+'Butadiene Recycling HC'!AG249+'Butadiene Recycling HC'!AG251</f>
        <v>85342.344291527304</v>
      </c>
      <c r="AJ10" s="278">
        <f>'Ethylene Recycling LC'!C266+'Ethylene Recycling LC'!C268+'Propylene Recycling LC'!C187+'Propylene Recycling LC'!C189+'Methanol Recycling LC'!C333+'Methanol Recycling LC'!C335+'BTX Recycling LC'!C361+'BTX Recycling LC'!C363+'Butadiene Recycling LC'!C249+'Butadiene Recycling LC'!C251</f>
        <v>1.5923103265636753</v>
      </c>
      <c r="AK10" s="278">
        <f>'Ethylene Recycling LC'!D266+'Ethylene Recycling LC'!D268+'Propylene Recycling LC'!D187+'Propylene Recycling LC'!D189+'Methanol Recycling LC'!D333+'Methanol Recycling LC'!D335+'BTX Recycling LC'!D361+'BTX Recycling LC'!D363+'Butadiene Recycling LC'!D249+'Butadiene Recycling LC'!D251</f>
        <v>3.3785763423492918</v>
      </c>
      <c r="AL10" s="278">
        <f>'Ethylene Recycling LC'!E266+'Ethylene Recycling LC'!E268+'Propylene Recycling LC'!E187+'Propylene Recycling LC'!E189+'Methanol Recycling LC'!E333+'Methanol Recycling LC'!E335+'BTX Recycling LC'!E361+'BTX Recycling LC'!E363+'Butadiene Recycling LC'!E249+'Butadiene Recycling LC'!E251</f>
        <v>6.796631929974259</v>
      </c>
      <c r="AM10" s="278">
        <f>'Ethylene Recycling LC'!F266+'Ethylene Recycling LC'!F268+'Propylene Recycling LC'!F187+'Propylene Recycling LC'!F189+'Methanol Recycling LC'!F333+'Methanol Recycling LC'!F335+'BTX Recycling LC'!F361+'BTX Recycling LC'!F363+'Butadiene Recycling LC'!F249+'Butadiene Recycling LC'!F251</f>
        <v>13.63060164614712</v>
      </c>
      <c r="AN10" s="278">
        <f>'Ethylene Recycling LC'!G266+'Ethylene Recycling LC'!G268+'Propylene Recycling LC'!G187+'Propylene Recycling LC'!G189+'Methanol Recycling LC'!G333+'Methanol Recycling LC'!G335+'BTX Recycling LC'!G361+'BTX Recycling LC'!G363+'Butadiene Recycling LC'!G249+'Butadiene Recycling LC'!G251</f>
        <v>27.225120556399318</v>
      </c>
      <c r="AO10" s="278">
        <f>'Ethylene Recycling LC'!H266+'Ethylene Recycling LC'!H268+'Propylene Recycling LC'!H187+'Propylene Recycling LC'!H189+'Methanol Recycling LC'!H333+'Methanol Recycling LC'!H335+'BTX Recycling LC'!H361+'BTX Recycling LC'!H363+'Butadiene Recycling LC'!H249+'Butadiene Recycling LC'!H251</f>
        <v>54.084432998547477</v>
      </c>
      <c r="AP10" s="278">
        <f>'Ethylene Recycling LC'!I266+'Ethylene Recycling LC'!I268+'Propylene Recycling LC'!I187+'Propylene Recycling LC'!I189+'Methanol Recycling LC'!I333+'Methanol Recycling LC'!I335+'BTX Recycling LC'!I361+'BTX Recycling LC'!I363+'Butadiene Recycling LC'!I249+'Butadiene Recycling LC'!I251</f>
        <v>106.41273515821526</v>
      </c>
      <c r="AQ10" s="278">
        <f>'Ethylene Recycling LC'!J266+'Ethylene Recycling LC'!J268+'Propylene Recycling LC'!J187+'Propylene Recycling LC'!J189+'Methanol Recycling LC'!J333+'Methanol Recycling LC'!J335+'BTX Recycling LC'!J361+'BTX Recycling LC'!J363+'Butadiene Recycling LC'!J249+'Butadiene Recycling LC'!J251</f>
        <v>207.33456343795388</v>
      </c>
      <c r="AR10" s="278">
        <f>'Ethylene Recycling LC'!K266+'Ethylene Recycling LC'!K268+'Propylene Recycling LC'!K187+'Propylene Recycling LC'!K189+'Methanol Recycling LC'!K333+'Methanol Recycling LC'!K335+'BTX Recycling LC'!K361+'BTX Recycling LC'!K363+'Butadiene Recycling LC'!K249+'Butadiene Recycling LC'!K251</f>
        <v>398.68724707084669</v>
      </c>
      <c r="AS10" s="278">
        <f>'Ethylene Recycling LC'!L266+'Ethylene Recycling LC'!L268+'Propylene Recycling LC'!L187+'Propylene Recycling LC'!L189+'Methanol Recycling LC'!L333+'Methanol Recycling LC'!L335+'BTX Recycling LC'!L361+'BTX Recycling LC'!L363+'Butadiene Recycling LC'!L249+'Butadiene Recycling LC'!L251</f>
        <v>753.27272976415884</v>
      </c>
      <c r="AT10" s="278">
        <f>'Ethylene Recycling LC'!M266+'Ethylene Recycling LC'!M268+'Propylene Recycling LC'!M187+'Propylene Recycling LC'!M189+'Methanol Recycling LC'!M333+'Methanol Recycling LC'!M335+'BTX Recycling LC'!M361+'BTX Recycling LC'!M363+'Butadiene Recycling LC'!M249+'Butadiene Recycling LC'!M251</f>
        <v>1341.1230306094981</v>
      </c>
      <c r="AU10" s="278">
        <f>'Ethylene Recycling LC'!N266+'Ethylene Recycling LC'!N268+'Propylene Recycling LC'!N187+'Propylene Recycling LC'!N189+'Methanol Recycling LC'!N333+'Methanol Recycling LC'!N335+'BTX Recycling LC'!N361+'BTX Recycling LC'!N363+'Butadiene Recycling LC'!N249+'Butadiene Recycling LC'!N251</f>
        <v>2416.8639049880521</v>
      </c>
      <c r="AV10" s="278">
        <f>'Ethylene Recycling LC'!O266+'Ethylene Recycling LC'!O268+'Propylene Recycling LC'!O187+'Propylene Recycling LC'!O189+'Methanol Recycling LC'!O333+'Methanol Recycling LC'!O335+'BTX Recycling LC'!O361+'BTX Recycling LC'!O363+'Butadiene Recycling LC'!O249+'Butadiene Recycling LC'!O251</f>
        <v>4051.7858558085109</v>
      </c>
      <c r="AW10" s="278">
        <f>'Ethylene Recycling LC'!P266+'Ethylene Recycling LC'!P268+'Propylene Recycling LC'!P187+'Propylene Recycling LC'!P189+'Methanol Recycling LC'!P333+'Methanol Recycling LC'!P335+'BTX Recycling LC'!P361+'BTX Recycling LC'!P363+'Butadiene Recycling LC'!P249+'Butadiene Recycling LC'!P251</f>
        <v>6497.6487750781416</v>
      </c>
      <c r="AX10" s="278">
        <f>'Ethylene Recycling LC'!Q266+'Ethylene Recycling LC'!Q268+'Propylene Recycling LC'!Q187+'Propylene Recycling LC'!Q189+'Methanol Recycling LC'!Q333+'Methanol Recycling LC'!Q335+'BTX Recycling LC'!Q361+'BTX Recycling LC'!Q363+'Butadiene Recycling LC'!Q249+'Butadiene Recycling LC'!Q251</f>
        <v>9905.5463106202478</v>
      </c>
      <c r="AY10" s="278">
        <f>'Ethylene Recycling LC'!R266+'Ethylene Recycling LC'!R268+'Propylene Recycling LC'!R187+'Propylene Recycling LC'!R189+'Methanol Recycling LC'!R333+'Methanol Recycling LC'!R335+'BTX Recycling LC'!R361+'BTX Recycling LC'!R363+'Butadiene Recycling LC'!R249+'Butadiene Recycling LC'!R251</f>
        <v>14293.797981160915</v>
      </c>
      <c r="AZ10" s="278">
        <f>'Ethylene Recycling LC'!S266+'Ethylene Recycling LC'!S268+'Propylene Recycling LC'!S187+'Propylene Recycling LC'!S189+'Methanol Recycling LC'!S333+'Methanol Recycling LC'!S335+'BTX Recycling LC'!S361+'BTX Recycling LC'!S363+'Butadiene Recycling LC'!S249+'Butadiene Recycling LC'!S251</f>
        <v>19484.211037798948</v>
      </c>
      <c r="BA10" s="278">
        <f>'Ethylene Recycling LC'!T266+'Ethylene Recycling LC'!T268+'Propylene Recycling LC'!T187+'Propylene Recycling LC'!T189+'Methanol Recycling LC'!T333+'Methanol Recycling LC'!T335+'BTX Recycling LC'!T361+'BTX Recycling LC'!T363+'Butadiene Recycling LC'!T249+'Butadiene Recycling LC'!T251</f>
        <v>25135.260957106508</v>
      </c>
      <c r="BB10" s="278">
        <f>'Ethylene Recycling LC'!U266+'Ethylene Recycling LC'!U268+'Propylene Recycling LC'!U187+'Propylene Recycling LC'!U189+'Methanol Recycling LC'!U333+'Methanol Recycling LC'!U335+'BTX Recycling LC'!U361+'BTX Recycling LC'!U363+'Butadiene Recycling LC'!U249+'Butadiene Recycling LC'!U251</f>
        <v>30836.919539028248</v>
      </c>
      <c r="BC10" s="278">
        <f>'Ethylene Recycling LC'!V266+'Ethylene Recycling LC'!V268+'Propylene Recycling LC'!V187+'Propylene Recycling LC'!V189+'Methanol Recycling LC'!V333+'Methanol Recycling LC'!V335+'BTX Recycling LC'!V361+'BTX Recycling LC'!V363+'Butadiene Recycling LC'!V249+'Butadiene Recycling LC'!V251</f>
        <v>36231.081413644708</v>
      </c>
      <c r="BD10" s="278">
        <f>'Ethylene Recycling LC'!W266+'Ethylene Recycling LC'!W268+'Propylene Recycling LC'!W187+'Propylene Recycling LC'!W189+'Methanol Recycling LC'!W333+'Methanol Recycling LC'!W335+'BTX Recycling LC'!W361+'BTX Recycling LC'!W363+'Butadiene Recycling LC'!W249+'Butadiene Recycling LC'!W251</f>
        <v>39288.076110607471</v>
      </c>
      <c r="BE10" s="278">
        <f>'Ethylene Recycling LC'!X266+'Ethylene Recycling LC'!X268+'Propylene Recycling LC'!X187+'Propylene Recycling LC'!X189+'Methanol Recycling LC'!X333+'Methanol Recycling LC'!X335+'BTX Recycling LC'!X361+'BTX Recycling LC'!X363+'Butadiene Recycling LC'!X249+'Butadiene Recycling LC'!X251</f>
        <v>43673.699356413759</v>
      </c>
      <c r="BF10" s="278">
        <f>'Ethylene Recycling LC'!Y266+'Ethylene Recycling LC'!Y268+'Propylene Recycling LC'!Y187+'Propylene Recycling LC'!Y189+'Methanol Recycling LC'!Y333+'Methanol Recycling LC'!Y335+'BTX Recycling LC'!Y361+'BTX Recycling LC'!Y363+'Butadiene Recycling LC'!Y249+'Butadiene Recycling LC'!Y251</f>
        <v>45492.022833588904</v>
      </c>
      <c r="BG10" s="278">
        <f>'Ethylene Recycling LC'!Z266+'Ethylene Recycling LC'!Z268+'Propylene Recycling LC'!Z187+'Propylene Recycling LC'!Z189+'Methanol Recycling LC'!Z333+'Methanol Recycling LC'!Z335+'BTX Recycling LC'!Z361+'BTX Recycling LC'!Z363+'Butadiene Recycling LC'!Z249+'Butadiene Recycling LC'!Z251</f>
        <v>46806.259566792534</v>
      </c>
      <c r="BH10" s="278">
        <f>'Ethylene Recycling LC'!AA266+'Ethylene Recycling LC'!AA268+'Propylene Recycling LC'!AA187+'Propylene Recycling LC'!AA189+'Methanol Recycling LC'!AA333+'Methanol Recycling LC'!AA335+'BTX Recycling LC'!AA361+'BTX Recycling LC'!AA363+'Butadiene Recycling LC'!AA249+'Butadiene Recycling LC'!AA251</f>
        <v>47888.741824564466</v>
      </c>
      <c r="BI10" s="278">
        <f>'Ethylene Recycling LC'!AB266+'Ethylene Recycling LC'!AB268+'Propylene Recycling LC'!AB187+'Propylene Recycling LC'!AB189+'Methanol Recycling LC'!AB333+'Methanol Recycling LC'!AB335+'BTX Recycling LC'!AB361+'BTX Recycling LC'!AB363+'Butadiene Recycling LC'!AB249+'Butadiene Recycling LC'!AB251</f>
        <v>49576.173961308275</v>
      </c>
      <c r="BJ10" s="278">
        <f>'Ethylene Recycling LC'!AC266+'Ethylene Recycling LC'!AC268+'Propylene Recycling LC'!AC187+'Propylene Recycling LC'!AC189+'Methanol Recycling LC'!AC333+'Methanol Recycling LC'!AC335+'BTX Recycling LC'!AC361+'BTX Recycling LC'!AC363+'Butadiene Recycling LC'!AC249+'Butadiene Recycling LC'!AC251</f>
        <v>51438.159733597036</v>
      </c>
      <c r="BK10" s="278">
        <f>'Ethylene Recycling LC'!AD266+'Ethylene Recycling LC'!AD268+'Propylene Recycling LC'!AD187+'Propylene Recycling LC'!AD189+'Methanol Recycling LC'!AD333+'Methanol Recycling LC'!AD335+'BTX Recycling LC'!AD361+'BTX Recycling LC'!AD363+'Butadiene Recycling LC'!AD249+'Butadiene Recycling LC'!AD251</f>
        <v>53769.909298875042</v>
      </c>
      <c r="BL10" s="278">
        <f>'Ethylene Recycling LC'!AE266+'Ethylene Recycling LC'!AE268+'Propylene Recycling LC'!AE187+'Propylene Recycling LC'!AE189+'Methanol Recycling LC'!AE333+'Methanol Recycling LC'!AE335+'BTX Recycling LC'!AE361+'BTX Recycling LC'!AE363+'Butadiene Recycling LC'!AE249+'Butadiene Recycling LC'!AE251</f>
        <v>56820.502262764574</v>
      </c>
      <c r="BM10" s="278">
        <f>'Ethylene Recycling LC'!AF266+'Ethylene Recycling LC'!AF268+'Propylene Recycling LC'!AF187+'Propylene Recycling LC'!AF189+'Methanol Recycling LC'!AF333+'Methanol Recycling LC'!AF335+'BTX Recycling LC'!AF361+'BTX Recycling LC'!AF363+'Butadiene Recycling LC'!AF249+'Butadiene Recycling LC'!AF251</f>
        <v>60711.275074745892</v>
      </c>
      <c r="BN10" s="278">
        <f>'Ethylene Recycling LC'!AG266+'Ethylene Recycling LC'!AG268+'Propylene Recycling LC'!AG187+'Propylene Recycling LC'!AG189+'Methanol Recycling LC'!AG333+'Methanol Recycling LC'!AG335+'BTX Recycling LC'!AG361+'BTX Recycling LC'!AG363+'Butadiene Recycling LC'!AG249+'Butadiene Recycling LC'!AG251</f>
        <v>61556.201124524319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</row>
    <row r="11" spans="1:98">
      <c r="A11" s="564" t="s">
        <v>1534</v>
      </c>
      <c r="C11" s="51" t="s">
        <v>166</v>
      </c>
      <c r="D11" s="41">
        <f>(D$4-D$9-D$10)*'Ethylene Recycling HC'!C247</f>
        <v>678074.75406179612</v>
      </c>
      <c r="E11" s="41">
        <f>(E$4-E$9-E$10)*'Ethylene Recycling HC'!D247</f>
        <v>693276.02698982449</v>
      </c>
      <c r="F11" s="41">
        <f>(F$4-F$9-F$10)*'Ethylene Recycling HC'!E247</f>
        <v>707343.57474710606</v>
      </c>
      <c r="G11" s="41">
        <f>(G$4-G$9-G$10)*'Ethylene Recycling HC'!F247</f>
        <v>721110.10818636615</v>
      </c>
      <c r="H11" s="41">
        <f>(H$4-H$9-H$10)*'Ethylene Recycling HC'!G247</f>
        <v>734422.82353820023</v>
      </c>
      <c r="I11" s="41">
        <f>(I$4-I$9-I$10)*'Ethylene Recycling HC'!H247</f>
        <v>747283.34701876994</v>
      </c>
      <c r="J11" s="41">
        <f>(J$4-J$9-J$10)*'Ethylene Recycling HC'!I247</f>
        <v>756026.27174977527</v>
      </c>
      <c r="K11" s="41">
        <f>(K$4-K$9-K$10)*'Ethylene Recycling HC'!J247</f>
        <v>764138.09164814127</v>
      </c>
      <c r="L11" s="41">
        <f>(L$4-L$9-L$10)*'Ethylene Recycling HC'!K247</f>
        <v>771611.1039905306</v>
      </c>
      <c r="M11" s="41">
        <f>(M$4-M$9-M$10)*'Ethylene Recycling HC'!L247</f>
        <v>778425.79163188138</v>
      </c>
      <c r="N11" s="41">
        <f>(N$4-N$9-N$10)*'Ethylene Recycling HC'!M247</f>
        <v>784553.80249673605</v>
      </c>
      <c r="O11" s="41">
        <f>(O$4-O$9-O$10)*'Ethylene Recycling HC'!N247</f>
        <v>781186.99455877196</v>
      </c>
      <c r="P11" s="41">
        <f>(P$4-P$9-P$10)*'Ethylene Recycling HC'!O247</f>
        <v>777815.39576798945</v>
      </c>
      <c r="Q11" s="41">
        <f>(Q$4-Q$9-Q$10)*'Ethylene Recycling HC'!P247</f>
        <v>772133.58165746415</v>
      </c>
      <c r="R11" s="41">
        <f>(R$4-R$9-R$10)*'Ethylene Recycling HC'!Q247</f>
        <v>765380.02302412922</v>
      </c>
      <c r="S11" s="41">
        <f>(S$4-S$9-S$10)*'Ethylene Recycling HC'!R247</f>
        <v>757575.1496143135</v>
      </c>
      <c r="T11" s="41">
        <f>(T$4-T$9-T$10)*'Ethylene Recycling HC'!S247</f>
        <v>749534.37860911689</v>
      </c>
      <c r="U11" s="41">
        <f>(U$4-U$9-U$10)*'Ethylene Recycling HC'!T247</f>
        <v>740710.89084300655</v>
      </c>
      <c r="V11" s="41">
        <f>(V$4-V$9-V$10)*'Ethylene Recycling HC'!U247</f>
        <v>731141.39405958576</v>
      </c>
      <c r="W11" s="41">
        <f>(W$4-W$9-W$10)*'Ethylene Recycling HC'!V247</f>
        <v>721086.11459331145</v>
      </c>
      <c r="X11" s="41">
        <f>(X$4-X$9-X$10)*'Ethylene Recycling HC'!W247</f>
        <v>711159.53187611711</v>
      </c>
      <c r="Y11" s="41">
        <f>(Y$4-Y$9-Y$10)*'Ethylene Recycling HC'!X247</f>
        <v>690442.70981572475</v>
      </c>
      <c r="Z11" s="41">
        <f>(Z$4-Z$9-Z$10)*'Ethylene Recycling HC'!Y247</f>
        <v>673501.93902546889</v>
      </c>
      <c r="AA11" s="41">
        <f>(AA$4-AA$9-AA$10)*'Ethylene Recycling HC'!Z247</f>
        <v>656020.30672334391</v>
      </c>
      <c r="AB11" s="41">
        <f>(AB$4-AB$9-AB$10)*'Ethylene Recycling HC'!AA247</f>
        <v>638400.15620430838</v>
      </c>
      <c r="AC11" s="41">
        <f>(AC$4-AC$9-AC$10)*'Ethylene Recycling HC'!AB247</f>
        <v>620589.27432629326</v>
      </c>
      <c r="AD11" s="41">
        <f>(AD$4-AD$9-AD$10)*'Ethylene Recycling HC'!AC247</f>
        <v>602007.64819480525</v>
      </c>
      <c r="AE11" s="41">
        <f>(AE$4-AE$9-AE$10)*'Ethylene Recycling HC'!AD247</f>
        <v>582886.27470228518</v>
      </c>
      <c r="AF11" s="41">
        <f>(AF$4-AF$9-AF$10)*'Ethylene Recycling HC'!AE247</f>
        <v>563405.43907106435</v>
      </c>
      <c r="AG11" s="41">
        <f>(AG$4-AG$9-AG$10)*'Ethylene Recycling HC'!AF247</f>
        <v>543586.13898821792</v>
      </c>
      <c r="AH11" s="41">
        <f>(AH$4-AH$9-AH$10)*'Ethylene Recycling HC'!AG247</f>
        <v>523964.43467295321</v>
      </c>
      <c r="AJ11" s="41">
        <f>(AJ$4-AJ$9-AJ$10)*'Ethylene Recycling LC'!C205</f>
        <v>678074.95799940801</v>
      </c>
      <c r="AK11" s="41">
        <f>(AK$4-AK$9-AK$10)*'Ethylene Recycling LC'!D205</f>
        <v>694212.35557218245</v>
      </c>
      <c r="AL11" s="41">
        <f>(AL$4-AL$9-AL$10)*'Ethylene Recycling LC'!E205</f>
        <v>709347.8114254158</v>
      </c>
      <c r="AM11" s="41">
        <f>(AM$4-AM$9-AM$10)*'Ethylene Recycling LC'!F205</f>
        <v>724210.86056965846</v>
      </c>
      <c r="AN11" s="41">
        <f>(AN$4-AN$9-AN$10)*'Ethylene Recycling LC'!G205</f>
        <v>738683.66002040182</v>
      </c>
      <c r="AO11" s="41">
        <f>(AO$4-AO$9-AO$10)*'Ethylene Recycling LC'!H205</f>
        <v>752768.80534498149</v>
      </c>
      <c r="AP11" s="41">
        <f>(AP$4-AP$9-AP$10)*'Ethylene Recycling LC'!I205</f>
        <v>764756.84857314941</v>
      </c>
      <c r="AQ11" s="41">
        <f>(AQ$4-AQ$9-AQ$10)*'Ethylene Recycling LC'!J205</f>
        <v>776292.04067175998</v>
      </c>
      <c r="AR11" s="41">
        <f>(AR$4-AR$9-AR$10)*'Ethylene Recycling LC'!K205</f>
        <v>787372.86801132304</v>
      </c>
      <c r="AS11" s="41">
        <f>(AS$4-AS$9-AS$10)*'Ethylene Recycling LC'!L205</f>
        <v>797990.63034673571</v>
      </c>
      <c r="AT11" s="41">
        <f>(AT$4-AT$9-AT$10)*'Ethylene Recycling LC'!M205</f>
        <v>808135.81976415671</v>
      </c>
      <c r="AU11" s="41">
        <f>(AU$4-AU$9-AU$10)*'Ethylene Recycling LC'!N205</f>
        <v>810354.91894671647</v>
      </c>
      <c r="AV11" s="41">
        <f>(AV$4-AV$9-AV$10)*'Ethylene Recycling LC'!O205</f>
        <v>812725.28705730219</v>
      </c>
      <c r="AW11" s="41">
        <f>(AW$4-AW$9-AW$10)*'Ethylene Recycling LC'!P205</f>
        <v>813439.3028692595</v>
      </c>
      <c r="AX11" s="41">
        <f>(AX$4-AX$9-AX$10)*'Ethylene Recycling LC'!Q205</f>
        <v>813441.46104365331</v>
      </c>
      <c r="AY11" s="41">
        <f>(AY$4-AY$9-AY$10)*'Ethylene Recycling LC'!R205</f>
        <v>812739.09082374617</v>
      </c>
      <c r="AZ11" s="41">
        <f>(AZ$4-AZ$9-AZ$10)*'Ethylene Recycling LC'!S205</f>
        <v>811690.72044549149</v>
      </c>
      <c r="BA11" s="41">
        <f>(BA$4-BA$9-BA$10)*'Ethylene Recycling LC'!T205</f>
        <v>810087.02586595353</v>
      </c>
      <c r="BB11" s="41">
        <f>(BB$4-BB$9-BB$10)*'Ethylene Recycling LC'!U205</f>
        <v>808050.80985644576</v>
      </c>
      <c r="BC11" s="41">
        <f>(BC$4-BC$9-BC$10)*'Ethylene Recycling LC'!V205</f>
        <v>805700.19005540211</v>
      </c>
      <c r="BD11" s="41">
        <f>(BD$4-BD$9-BD$10)*'Ethylene Recycling LC'!W205</f>
        <v>803606.82298319845</v>
      </c>
      <c r="BE11" s="41">
        <f>(BE$4-BE$9-BE$10)*'Ethylene Recycling LC'!X205</f>
        <v>791675.47295257729</v>
      </c>
      <c r="BF11" s="41">
        <f>(BF$4-BF$9-BF$10)*'Ethylene Recycling LC'!Y205</f>
        <v>783036.35538486275</v>
      </c>
      <c r="BG11" s="41">
        <f>(BG$4-BG$9-BG$10)*'Ethylene Recycling LC'!Z205</f>
        <v>774341.5737011052</v>
      </c>
      <c r="BH11" s="41">
        <f>(BH$4-BH$9-BH$10)*'Ethylene Recycling LC'!AA205</f>
        <v>765613.52214371366</v>
      </c>
      <c r="BI11" s="41">
        <f>(BI$4-BI$9-BI$10)*'Ethylene Recycling LC'!AB205</f>
        <v>756655.81295190426</v>
      </c>
      <c r="BJ11" s="41">
        <f>(BJ$4-BJ$9-BJ$10)*'Ethylene Recycling LC'!AC205</f>
        <v>747514.70973341388</v>
      </c>
      <c r="BK11" s="41">
        <f>(BK$4-BK$9-BK$10)*'Ethylene Recycling LC'!AD205</f>
        <v>738284.85734628991</v>
      </c>
      <c r="BL11" s="41">
        <f>(BL$4-BL$9-BL$10)*'Ethylene Recycling LC'!AE205</f>
        <v>728931.1186663321</v>
      </c>
      <c r="BM11" s="41">
        <f>(BM$4-BM$9-BM$10)*'Ethylene Recycling LC'!AF205</f>
        <v>719453.76322562457</v>
      </c>
      <c r="BN11" s="41">
        <f>(BN$4-BN$9-BN$10)*'Ethylene Recycling LC'!AG205</f>
        <v>711133.37622214749</v>
      </c>
      <c r="BP11" s="41">
        <f>(BP$4-BP$9-BP$10)*'Ethylene Recycling HC'!C226</f>
        <v>678075.21276906016</v>
      </c>
      <c r="BQ11" s="41">
        <f>(BQ$4-BQ$9-BQ$10)*'Ethylene Recycling HC'!D226</f>
        <v>685632.28975352761</v>
      </c>
      <c r="BR11" s="41">
        <f>(BR$4-BR$9-BR$10)*'Ethylene Recycling HC'!E226</f>
        <v>693138.4073485058</v>
      </c>
      <c r="BS11" s="41">
        <f>(BS$4-BS$9-BS$10)*'Ethylene Recycling HC'!F226</f>
        <v>700592.454413431</v>
      </c>
      <c r="BT11" s="41">
        <f>(BT$4-BT$9-BT$10)*'Ethylene Recycling HC'!G226</f>
        <v>707993.2969077084</v>
      </c>
      <c r="BU11" s="41">
        <f>(BU$4-BU$9-BU$10)*'Ethylene Recycling HC'!H226</f>
        <v>715339.77743573778</v>
      </c>
      <c r="BV11" s="41">
        <f>(BV$4-BV$9-BV$10)*'Ethylene Recycling HC'!I226</f>
        <v>722630.71478312847</v>
      </c>
      <c r="BW11" s="41">
        <f>(BW$4-BW$9-BW$10)*'Ethylene Recycling HC'!J226</f>
        <v>729864.90344393777</v>
      </c>
      <c r="BX11" s="41">
        <f>(BX$4-BX$9-BX$10)*'Ethylene Recycling HC'!K226</f>
        <v>737041.11313876242</v>
      </c>
      <c r="BY11" s="41">
        <f>(BY$4-BY$9-BY$10)*'Ethylene Recycling HC'!L226</f>
        <v>744158.08832350816</v>
      </c>
      <c r="BZ11" s="41">
        <f>(BZ$4-BZ$9-BZ$10)*'Ethylene Recycling HC'!M226</f>
        <v>751214.54768866173</v>
      </c>
      <c r="CA11" s="41">
        <f>(CA$4-CA$9-CA$10)*'Ethylene Recycling HC'!N226</f>
        <v>758209.18364888465</v>
      </c>
      <c r="CB11" s="41">
        <f>(CB$4-CB$9-CB$10)*'Ethylene Recycling HC'!O226</f>
        <v>765140.66182274523</v>
      </c>
      <c r="CC11" s="41">
        <f>(CC$4-CC$9-CC$10)*'Ethylene Recycling HC'!P226</f>
        <v>772007.62050240126</v>
      </c>
      <c r="CD11" s="41">
        <f>(CD$4-CD$9-CD$10)*'Ethylene Recycling HC'!Q226</f>
        <v>778808.67011304351</v>
      </c>
      <c r="CE11" s="41">
        <f>(CE$4-CE$9-CE$10)*'Ethylene Recycling HC'!R226</f>
        <v>785542.39266190608</v>
      </c>
      <c r="CF11" s="41">
        <f>(CF$4-CF$9-CF$10)*'Ethylene Recycling HC'!S226</f>
        <v>792207.3411766449</v>
      </c>
      <c r="CG11" s="41">
        <f>(CG$4-CG$9-CG$10)*'Ethylene Recycling HC'!T226</f>
        <v>798802.03913288366</v>
      </c>
      <c r="CH11" s="41">
        <f>(CH$4-CH$9-CH$10)*'Ethylene Recycling HC'!U226</f>
        <v>805324.97987072251</v>
      </c>
      <c r="CI11" s="41">
        <f>(CI$4-CI$9-CI$10)*'Ethylene Recycling HC'!V226</f>
        <v>811774.62599999912</v>
      </c>
      <c r="CJ11" s="41">
        <f>(CJ$4-CJ$9-CJ$10)*'Ethylene Recycling HC'!W226</f>
        <v>818149.40879409038</v>
      </c>
      <c r="CK11" s="41">
        <f>(CK$4-CK$9-CK$10)*'Ethylene Recycling HC'!X226</f>
        <v>824447.72757203737</v>
      </c>
      <c r="CL11" s="41">
        <f>(CL$4-CL$9-CL$10)*'Ethylene Recycling HC'!Y226</f>
        <v>830667.94906877249</v>
      </c>
      <c r="CM11" s="41">
        <f>(CM$4-CM$9-CM$10)*'Ethylene Recycling HC'!Z226</f>
        <v>836808.40679322463</v>
      </c>
      <c r="CN11" s="41">
        <f>(CN$4-CN$9-CN$10)*'Ethylene Recycling HC'!AA226</f>
        <v>842867.40037407144</v>
      </c>
      <c r="CO11" s="41">
        <f>(CO$4-CO$9-CO$10)*'Ethylene Recycling HC'!AB226</f>
        <v>848843.19489290717</v>
      </c>
      <c r="CP11" s="41">
        <f>(CP$4-CP$9-CP$10)*'Ethylene Recycling HC'!AC226</f>
        <v>854734.02020458598</v>
      </c>
      <c r="CQ11" s="41">
        <f>(CQ$4-CQ$9-CQ$10)*'Ethylene Recycling HC'!AD226</f>
        <v>860538.07024450076</v>
      </c>
      <c r="CR11" s="41">
        <f>(CR$4-CR$9-CR$10)*'Ethylene Recycling HC'!AE226</f>
        <v>866253.50232254865</v>
      </c>
      <c r="CS11" s="41">
        <f>(CS$4-CS$9-CS$10)*'Ethylene Recycling HC'!AF226</f>
        <v>871878.43640353275</v>
      </c>
      <c r="CT11" s="41">
        <f>(CT$4-CT$9-CT$10)*'Ethylene Recycling HC'!AG226</f>
        <v>877410.9543737449</v>
      </c>
    </row>
    <row r="12" spans="1:98">
      <c r="A12" s="564" t="s">
        <v>697</v>
      </c>
      <c r="C12" s="51" t="s">
        <v>166</v>
      </c>
      <c r="D12" s="41">
        <f>(D$4-D$9-D$10)*'Ethylene Recycling HC'!C248</f>
        <v>1568047.8687679034</v>
      </c>
      <c r="E12" s="41">
        <f>(E$4-E$9-E$10)*'Ethylene Recycling HC'!D248</f>
        <v>1558473.3268017224</v>
      </c>
      <c r="F12" s="41">
        <f>(F$4-F$9-F$10)*'Ethylene Recycling HC'!E248</f>
        <v>1547314.0697592944</v>
      </c>
      <c r="G12" s="41">
        <f>(G$4-G$9-G$10)*'Ethylene Recycling HC'!F248</f>
        <v>1536456.1964198141</v>
      </c>
      <c r="H12" s="41">
        <f>(H$4-H$9-H$10)*'Ethylene Recycling HC'!G248</f>
        <v>1525547.4091878054</v>
      </c>
      <c r="I12" s="41">
        <f>(I$4-I$9-I$10)*'Ethylene Recycling HC'!H248</f>
        <v>1514583.2122612568</v>
      </c>
      <c r="J12" s="41">
        <f>(J$4-J$9-J$10)*'Ethylene Recycling HC'!I248</f>
        <v>1496301.99617143</v>
      </c>
      <c r="K12" s="41">
        <f>(K$4-K$9-K$10)*'Ethylene Recycling HC'!J248</f>
        <v>1477936.0049613542</v>
      </c>
      <c r="L12" s="41">
        <f>(L$4-L$9-L$10)*'Ethylene Recycling HC'!K248</f>
        <v>1459461.7920873519</v>
      </c>
      <c r="M12" s="41">
        <f>(M$4-M$9-M$10)*'Ethylene Recycling HC'!L248</f>
        <v>1440836.2008570877</v>
      </c>
      <c r="N12" s="41">
        <f>(N$4-N$9-N$10)*'Ethylene Recycling HC'!M248</f>
        <v>1422003.7670253338</v>
      </c>
      <c r="O12" s="41">
        <f>(O$4-O$9-O$10)*'Ethylene Recycling HC'!N248</f>
        <v>1387321.4156417211</v>
      </c>
      <c r="P12" s="41">
        <f>(P$4-P$9-P$10)*'Ethylene Recycling HC'!O248</f>
        <v>1354232.1622746242</v>
      </c>
      <c r="Q12" s="41">
        <f>(Q$4-Q$9-Q$10)*'Ethylene Recycling HC'!P248</f>
        <v>1318687.4396039536</v>
      </c>
      <c r="R12" s="41">
        <f>(R$4-R$9-R$10)*'Ethylene Recycling HC'!Q248</f>
        <v>1282881.2885915798</v>
      </c>
      <c r="S12" s="41">
        <f>(S$4-S$9-S$10)*'Ethylene Recycling HC'!R248</f>
        <v>1246842.4337402238</v>
      </c>
      <c r="T12" s="41">
        <f>(T$4-T$9-T$10)*'Ethylene Recycling HC'!S248</f>
        <v>1211883.0306315878</v>
      </c>
      <c r="U12" s="41">
        <f>(U$4-U$9-U$10)*'Ethylene Recycling HC'!T248</f>
        <v>1177060.5246773835</v>
      </c>
      <c r="V12" s="41">
        <f>(V$4-V$9-V$10)*'Ethylene Recycling HC'!U248</f>
        <v>1142408.4282181021</v>
      </c>
      <c r="W12" s="41">
        <f>(W$4-W$9-W$10)*'Ethylene Recycling HC'!V248</f>
        <v>1108302.0001083415</v>
      </c>
      <c r="X12" s="41">
        <f>(X$4-X$9-X$10)*'Ethylene Recycling HC'!W248</f>
        <v>1075628.7919626262</v>
      </c>
      <c r="Y12" s="41">
        <f>(Y$4-Y$9-Y$10)*'Ethylene Recycling HC'!X248</f>
        <v>1028048.8877770891</v>
      </c>
      <c r="Z12" s="41">
        <f>(Z$4-Z$9-Z$10)*'Ethylene Recycling HC'!Y248</f>
        <v>987586.97789792204</v>
      </c>
      <c r="AA12" s="41">
        <f>(AA$4-AA$9-AA$10)*'Ethylene Recycling HC'!Z248</f>
        <v>947670.84402841423</v>
      </c>
      <c r="AB12" s="41">
        <f>(AB$4-AB$9-AB$10)*'Ethylene Recycling HC'!AA248</f>
        <v>908833.55570752115</v>
      </c>
      <c r="AC12" s="41">
        <f>(AC$4-AC$9-AC$10)*'Ethylene Recycling HC'!AB248</f>
        <v>870940.6293101944</v>
      </c>
      <c r="AD12" s="41">
        <f>(AD$4-AD$9-AD$10)*'Ethylene Recycling HC'!AC248</f>
        <v>833135.58455530962</v>
      </c>
      <c r="AE12" s="41">
        <f>(AE$4-AE$9-AE$10)*'Ethylene Recycling HC'!AD248</f>
        <v>795716.46053107874</v>
      </c>
      <c r="AF12" s="41">
        <f>(AF$4-AF$9-AF$10)*'Ethylene Recycling HC'!AE248</f>
        <v>758897.41254184186</v>
      </c>
      <c r="AG12" s="41">
        <f>(AG$4-AG$9-AG$10)*'Ethylene Recycling HC'!AF248</f>
        <v>722670.1318116656</v>
      </c>
      <c r="AH12" s="41">
        <f>(AH$4-AH$9-AH$10)*'Ethylene Recycling HC'!AG248</f>
        <v>687703.32050825108</v>
      </c>
      <c r="AJ12" s="41">
        <f>(AJ$4-AJ$9-AJ$10)*'Ethylene Recycling LC'!C206</f>
        <v>1568048.3403736309</v>
      </c>
      <c r="AK12" s="41">
        <f>(AK$4-AK$9-AK$10)*'Ethylene Recycling LC'!D206</f>
        <v>1560578.178352789</v>
      </c>
      <c r="AL12" s="41">
        <f>(AL$4-AL$9-AL$10)*'Ethylene Recycling LC'!E206</f>
        <v>1551698.3374930969</v>
      </c>
      <c r="AM12" s="41">
        <f>(AM$4-AM$9-AM$10)*'Ethylene Recycling LC'!F206</f>
        <v>1543062.9131455789</v>
      </c>
      <c r="AN12" s="41">
        <f>(AN$4-AN$9-AN$10)*'Ethylene Recycling LC'!G206</f>
        <v>1534398.0437923786</v>
      </c>
      <c r="AO12" s="41">
        <f>(AO$4-AO$9-AO$10)*'Ethylene Recycling LC'!H206</f>
        <v>1525701.0608331319</v>
      </c>
      <c r="AP12" s="41">
        <f>(AP$4-AP$9-AP$10)*'Ethylene Recycling LC'!I206</f>
        <v>1513581.2628010246</v>
      </c>
      <c r="AQ12" s="41">
        <f>(AQ$4-AQ$9-AQ$10)*'Ethylene Recycling LC'!J206</f>
        <v>1501443.2205560221</v>
      </c>
      <c r="AR12" s="41">
        <f>(AR$4-AR$9-AR$10)*'Ethylene Recycling LC'!K206</f>
        <v>1489274.3391661535</v>
      </c>
      <c r="AS12" s="41">
        <f>(AS$4-AS$9-AS$10)*'Ethylene Recycling LC'!L206</f>
        <v>1477049.9648244865</v>
      </c>
      <c r="AT12" s="41">
        <f>(AT$4-AT$9-AT$10)*'Ethylene Recycling LC'!M206</f>
        <v>1464746.1733225337</v>
      </c>
      <c r="AU12" s="41">
        <f>(AU$4-AU$9-AU$10)*'Ethylene Recycling LC'!N206</f>
        <v>1439121.1594099458</v>
      </c>
      <c r="AV12" s="41">
        <f>(AV$4-AV$9-AV$10)*'Ethylene Recycling LC'!O206</f>
        <v>1415012.7765729812</v>
      </c>
      <c r="AW12" s="41">
        <f>(AW$4-AW$9-AW$10)*'Ethylene Recycling LC'!P206</f>
        <v>1389231.3675456098</v>
      </c>
      <c r="AX12" s="41">
        <f>(AX$4-AX$9-AX$10)*'Ethylene Recycling LC'!Q206</f>
        <v>1363438.8125447594</v>
      </c>
      <c r="AY12" s="41">
        <f>(AY$4-AY$9-AY$10)*'Ethylene Recycling LC'!R206</f>
        <v>1337633.0869807485</v>
      </c>
      <c r="AZ12" s="41">
        <f>(AZ$4-AZ$9-AZ$10)*'Ethylene Recycling LC'!S206</f>
        <v>1312380.376807248</v>
      </c>
      <c r="BA12" s="41">
        <f>(BA$4-BA$9-BA$10)*'Ethylene Recycling LC'!T206</f>
        <v>1287305.8456247526</v>
      </c>
      <c r="BB12" s="41">
        <f>(BB$4-BB$9-BB$10)*'Ethylene Recycling LC'!U206</f>
        <v>1262579.3904006958</v>
      </c>
      <c r="BC12" s="41">
        <f>(BC$4-BC$9-BC$10)*'Ethylene Recycling LC'!V206</f>
        <v>1238352.9706846415</v>
      </c>
      <c r="BD12" s="41">
        <f>(BD$4-BD$9-BD$10)*'Ethylene Recycling LC'!W206</f>
        <v>1215455.3197620867</v>
      </c>
      <c r="BE12" s="41">
        <f>(BE$4-BE$9-BE$10)*'Ethylene Recycling LC'!X206</f>
        <v>1178781.4946536524</v>
      </c>
      <c r="BF12" s="41">
        <f>(BF$4-BF$9-BF$10)*'Ethylene Recycling LC'!Y206</f>
        <v>1148202.3480403023</v>
      </c>
      <c r="BG12" s="41">
        <f>(BG$4-BG$9-BG$10)*'Ethylene Recycling LC'!Z206</f>
        <v>1118594.844084732</v>
      </c>
      <c r="BH12" s="41">
        <f>(BH$4-BH$9-BH$10)*'Ethylene Recycling LC'!AA206</f>
        <v>1089935.9169407019</v>
      </c>
      <c r="BI12" s="41">
        <f>(BI$4-BI$9-BI$10)*'Ethylene Recycling LC'!AB206</f>
        <v>1061897.6465859096</v>
      </c>
      <c r="BJ12" s="41">
        <f>(BJ$4-BJ$9-BJ$10)*'Ethylene Recycling LC'!AC206</f>
        <v>1034506.9643632051</v>
      </c>
      <c r="BK12" s="41">
        <f>(BK$4-BK$9-BK$10)*'Ethylene Recycling LC'!AD206</f>
        <v>1007855.9730220718</v>
      </c>
      <c r="BL12" s="41">
        <f>(BL$4-BL$9-BL$10)*'Ethylene Recycling LC'!AE206</f>
        <v>981857.64906563959</v>
      </c>
      <c r="BM12" s="41">
        <f>(BM$4-BM$9-BM$10)*'Ethylene Recycling LC'!AF206</f>
        <v>956477.19581372582</v>
      </c>
      <c r="BN12" s="41">
        <f>(BN$4-BN$9-BN$10)*'Ethylene Recycling LC'!AG206</f>
        <v>933362.55629156856</v>
      </c>
      <c r="BP12" s="41">
        <f>(BP$4-BP$9-BP$10)*'Ethylene Recycling HC'!C227</f>
        <v>1568048.9295284515</v>
      </c>
      <c r="BQ12" s="41">
        <f>(BQ$4-BQ$9-BQ$10)*'Ethylene Recycling HC'!D227</f>
        <v>1534423.0655713975</v>
      </c>
      <c r="BR12" s="41">
        <f>(BR$4-BR$9-BR$10)*'Ethylene Recycling HC'!E227</f>
        <v>1500861.4336209933</v>
      </c>
      <c r="BS12" s="41">
        <f>(BS$4-BS$9-BS$10)*'Ethylene Recycling HC'!F227</f>
        <v>1467366.0251583357</v>
      </c>
      <c r="BT12" s="41">
        <f>(BT$4-BT$9-BT$10)*'Ethylene Recycling HC'!G227</f>
        <v>1433938.880266326</v>
      </c>
      <c r="BU12" s="41">
        <f>(BU$4-BU$9-BU$10)*'Ethylene Recycling HC'!H227</f>
        <v>1400582.0886975655</v>
      </c>
      <c r="BV12" s="41">
        <f>(BV$4-BV$9-BV$10)*'Ethylene Recycling HC'!I227</f>
        <v>1367297.7909643657</v>
      </c>
      <c r="BW12" s="41">
        <f>(BW$4-BW$9-BW$10)*'Ethylene Recycling HC'!J227</f>
        <v>1334088.1794513103</v>
      </c>
      <c r="BX12" s="41">
        <f>(BX$4-BX$9-BX$10)*'Ethylene Recycling HC'!K227</f>
        <v>1300955.4995508229</v>
      </c>
      <c r="BY12" s="41">
        <f>(BY$4-BY$9-BY$10)*'Ethylene Recycling HC'!L227</f>
        <v>1267902.0508221935</v>
      </c>
      <c r="BZ12" s="41">
        <f>(BZ$4-BZ$9-BZ$10)*'Ethylene Recycling HC'!M227</f>
        <v>1234930.1881745358</v>
      </c>
      <c r="CA12" s="41">
        <f>(CA$4-CA$9-CA$10)*'Ethylene Recycling HC'!N227</f>
        <v>1202042.3230741452</v>
      </c>
      <c r="CB12" s="41">
        <f>(CB$4-CB$9-CB$10)*'Ethylene Recycling HC'!O227</f>
        <v>1169240.9247767511</v>
      </c>
      <c r="CC12" s="41">
        <f>(CC$4-CC$9-CC$10)*'Ethylene Recycling HC'!P227</f>
        <v>1136528.5215851457</v>
      </c>
      <c r="CD12" s="41">
        <f>(CD$4-CD$9-CD$10)*'Ethylene Recycling HC'!Q227</f>
        <v>1103907.7021327105</v>
      </c>
      <c r="CE12" s="41">
        <f>(CE$4-CE$9-CE$10)*'Ethylene Recycling HC'!R227</f>
        <v>1071381.1166933347</v>
      </c>
      <c r="CF12" s="41">
        <f>(CF$4-CF$9-CF$10)*'Ethylene Recycling HC'!S227</f>
        <v>1038951.4785182679</v>
      </c>
      <c r="CG12" s="41">
        <f>(CG$4-CG$9-CG$10)*'Ethylene Recycling HC'!T227</f>
        <v>1006621.5652004263</v>
      </c>
      <c r="CH12" s="41">
        <f>(CH$4-CH$9-CH$10)*'Ethylene Recycling HC'!U227</f>
        <v>974394.22006670805</v>
      </c>
      <c r="CI12" s="41">
        <f>(CI$4-CI$9-CI$10)*'Ethylene Recycling HC'!V227</f>
        <v>942272.3535988637</v>
      </c>
      <c r="CJ12" s="41">
        <f>(CJ$4-CJ$9-CJ$10)*'Ethylene Recycling HC'!W227</f>
        <v>910258.94488349359</v>
      </c>
      <c r="CK12" s="41">
        <f>(CK$4-CK$9-CK$10)*'Ethylene Recycling HC'!X227</f>
        <v>878357.043091745</v>
      </c>
      <c r="CL12" s="41">
        <f>(CL$4-CL$9-CL$10)*'Ethylene Recycling HC'!Y227</f>
        <v>846569.76898929954</v>
      </c>
      <c r="CM12" s="41">
        <f>(CM$4-CM$9-CM$10)*'Ethylene Recycling HC'!Z227</f>
        <v>814900.31647724612</v>
      </c>
      <c r="CN12" s="41">
        <f>(CN$4-CN$9-CN$10)*'Ethylene Recycling HC'!AA227</f>
        <v>783351.95416445413</v>
      </c>
      <c r="CO12" s="41">
        <f>(CO$4-CO$9-CO$10)*'Ethylene Recycling HC'!AB227</f>
        <v>751928.02697206556</v>
      </c>
      <c r="CP12" s="41">
        <f>(CP$4-CP$9-CP$10)*'Ethylene Recycling HC'!AC227</f>
        <v>720631.95777074329</v>
      </c>
      <c r="CQ12" s="41">
        <f>(CQ$4-CQ$9-CQ$10)*'Ethylene Recycling HC'!AD227</f>
        <v>689467.24905131897</v>
      </c>
      <c r="CR12" s="41">
        <f>(CR$4-CR$9-CR$10)*'Ethylene Recycling HC'!AE227</f>
        <v>658437.48462950357</v>
      </c>
      <c r="CS12" s="41">
        <f>(CS$4-CS$9-CS$10)*'Ethylene Recycling HC'!AF227</f>
        <v>627546.3313853275</v>
      </c>
      <c r="CT12" s="41">
        <f>(CT$4-CT$9-CT$10)*'Ethylene Recycling HC'!AG227</f>
        <v>596797.54103799758</v>
      </c>
    </row>
    <row r="13" spans="1:98">
      <c r="A13" s="564" t="s">
        <v>699</v>
      </c>
      <c r="C13" s="51" t="s">
        <v>166</v>
      </c>
      <c r="D13" s="41">
        <f>(D$4-D$9-D$10)*'Ethylene Recycling HC'!C249</f>
        <v>339037.37703089806</v>
      </c>
      <c r="E13" s="41">
        <f>(E$4-E$9-E$10)*'Ethylene Recycling HC'!D249</f>
        <v>325672.00461417157</v>
      </c>
      <c r="F13" s="41">
        <f>(F$4-F$9-F$10)*'Ethylene Recycling HC'!E249</f>
        <v>312225.87479071476</v>
      </c>
      <c r="G13" s="41">
        <f>(G$4-G$9-G$10)*'Ethylene Recycling HC'!F249</f>
        <v>299096.80623639049</v>
      </c>
      <c r="H13" s="41">
        <f>(H$4-H$9-H$10)*'Ethylene Recycling HC'!G249</f>
        <v>286208.89446709264</v>
      </c>
      <c r="I13" s="41">
        <f>(I$4-I$9-I$10)*'Ethylene Recycling HC'!H249</f>
        <v>273559.08239079959</v>
      </c>
      <c r="J13" s="41">
        <f>(J$4-J$9-J$10)*'Ethylene Recycling HC'!I249</f>
        <v>259884.03091398516</v>
      </c>
      <c r="K13" s="41">
        <f>(K$4-K$9-K$10)*'Ethylene Recycling HC'!J249</f>
        <v>246537.7964608022</v>
      </c>
      <c r="L13" s="41">
        <f>(L$4-L$9-L$10)*'Ethylene Recycling HC'!K249</f>
        <v>233513.88673397622</v>
      </c>
      <c r="M13" s="41">
        <f>(M$4-M$9-M$10)*'Ethylene Recycling HC'!L249</f>
        <v>220803.46974173546</v>
      </c>
      <c r="N13" s="41">
        <f>(N$4-N$9-N$10)*'Ethylene Recycling HC'!M249</f>
        <v>208397.10378819541</v>
      </c>
      <c r="O13" s="41">
        <f>(O$4-O$9-O$10)*'Ethylene Recycling HC'!N249</f>
        <v>194105.914806524</v>
      </c>
      <c r="P13" s="41">
        <f>(P$4-P$9-P$10)*'Ethylene Recycling HC'!O249</f>
        <v>180564.28830328316</v>
      </c>
      <c r="Q13" s="41">
        <f>(Q$4-Q$9-Q$10)*'Ethylene Recycling HC'!P249</f>
        <v>167220.79021360769</v>
      </c>
      <c r="R13" s="41">
        <f>(R$4-R$9-R$10)*'Ethylene Recycling HC'!Q249</f>
        <v>154380.62964407142</v>
      </c>
      <c r="S13" s="41">
        <f>(S$4-S$9-S$10)*'Ethylene Recycling HC'!R249</f>
        <v>142045.34055268369</v>
      </c>
      <c r="T13" s="41">
        <f>(T$4-T$9-T$10)*'Ethylene Recycling HC'!S249</f>
        <v>130353.80497549848</v>
      </c>
      <c r="U13" s="41">
        <f>(U$4-U$9-U$10)*'Ethylene Recycling HC'!T249</f>
        <v>119183.53429787728</v>
      </c>
      <c r="V13" s="41">
        <f>(V$4-V$9-V$10)*'Ethylene Recycling HC'!U249</f>
        <v>108528.80068071967</v>
      </c>
      <c r="W13" s="41">
        <f>(W$4-W$9-W$10)*'Ethylene Recycling HC'!V249</f>
        <v>98413.538598831947</v>
      </c>
      <c r="X13" s="41">
        <f>(X$4-X$9-X$10)*'Ethylene Recycling HC'!W249</f>
        <v>88894.941484514522</v>
      </c>
      <c r="Y13" s="41">
        <f>(Y$4-Y$9-Y$10)*'Ethylene Recycling HC'!X249</f>
        <v>78690.161780468508</v>
      </c>
      <c r="Z13" s="41">
        <f>(Z$4-Z$9-Z$10)*'Ethylene Recycling HC'!Y249</f>
        <v>69616.7869665748</v>
      </c>
      <c r="AA13" s="41">
        <f>(AA$4-AA$9-AA$10)*'Ethylene Recycling HC'!Z249</f>
        <v>61115.099329179335</v>
      </c>
      <c r="AB13" s="41">
        <f>(AB$4-AB$9-AB$10)*'Ethylene Recycling HC'!AA249</f>
        <v>53200.013017025594</v>
      </c>
      <c r="AC13" s="41">
        <f>(AC$4-AC$9-AC$10)*'Ethylene Recycling HC'!AB249</f>
        <v>45838.980490010195</v>
      </c>
      <c r="AD13" s="41">
        <f>(AD$4-AD$9-AD$10)*'Ethylene Recycling HC'!AC249</f>
        <v>38969.245084038637</v>
      </c>
      <c r="AE13" s="41">
        <f>(AE$4-AE$9-AE$10)*'Ethylene Recycling HC'!AD249</f>
        <v>32595.614045851376</v>
      </c>
      <c r="AF13" s="41">
        <f>(AF$4-AF$9-AF$10)*'Ethylene Recycling HC'!AE249</f>
        <v>26713.188921472789</v>
      </c>
      <c r="AG13" s="41">
        <f>(AG$4-AG$9-AG$10)*'Ethylene Recycling HC'!AF249</f>
        <v>21305.812651021173</v>
      </c>
      <c r="AH13" s="41">
        <f>(AH$4-AH$9-AH$10)*'Ethylene Recycling HC'!AG249</f>
        <v>16373.888583529788</v>
      </c>
      <c r="AJ13" s="41">
        <f>(AJ$4-AJ$9-AJ$10)*'Ethylene Recycling LC'!C207</f>
        <v>339037.47899970401</v>
      </c>
      <c r="AK13" s="41">
        <f>(AK$4-AK$9-AK$10)*'Ethylene Recycling LC'!D207</f>
        <v>326111.85251677118</v>
      </c>
      <c r="AL13" s="41">
        <f>(AL$4-AL$9-AL$10)*'Ethylene Recycling LC'!E207</f>
        <v>313110.55738699989</v>
      </c>
      <c r="AM13" s="41">
        <f>(AM$4-AM$9-AM$10)*'Ethylene Recycling LC'!F207</f>
        <v>300382.91375900601</v>
      </c>
      <c r="AN13" s="41">
        <f>(AN$4-AN$9-AN$10)*'Ethylene Recycling LC'!G207</f>
        <v>287869.36750795064</v>
      </c>
      <c r="AO13" s="41">
        <f>(AO$4-AO$9-AO$10)*'Ethylene Recycling LC'!H207</f>
        <v>275567.1519566449</v>
      </c>
      <c r="AP13" s="41">
        <f>(AP$4-AP$9-AP$10)*'Ethylene Recycling LC'!I207</f>
        <v>262885.16669702</v>
      </c>
      <c r="AQ13" s="41">
        <f>(AQ$4-AQ$9-AQ$10)*'Ethylene Recycling LC'!J207</f>
        <v>250459.08744646297</v>
      </c>
      <c r="AR13" s="41">
        <f>(AR$4-AR$9-AR$10)*'Ethylene Recycling LC'!K207</f>
        <v>238283.89426658448</v>
      </c>
      <c r="AS13" s="41">
        <f>(AS$4-AS$9-AS$10)*'Ethylene Recycling LC'!L207</f>
        <v>226353.11149258356</v>
      </c>
      <c r="AT13" s="41">
        <f>(AT$4-AT$9-AT$10)*'Ethylene Recycling LC'!M207</f>
        <v>214661.077124854</v>
      </c>
      <c r="AU13" s="41">
        <f>(AU$4-AU$9-AU$10)*'Ethylene Recycling LC'!N207</f>
        <v>201353.43260413827</v>
      </c>
      <c r="AV13" s="41">
        <f>(AV$4-AV$9-AV$10)*'Ethylene Recycling LC'!O207</f>
        <v>188668.37020973075</v>
      </c>
      <c r="AW13" s="41">
        <f>(AW$4-AW$9-AW$10)*'Ethylene Recycling LC'!P207</f>
        <v>176166.36065046451</v>
      </c>
      <c r="AX13" s="41">
        <f>(AX$4-AX$9-AX$10)*'Ethylene Recycling LC'!Q207</f>
        <v>164074.84015369133</v>
      </c>
      <c r="AY13" s="41">
        <f>(AY$4-AY$9-AY$10)*'Ethylene Recycling LC'!R207</f>
        <v>152388.57952945231</v>
      </c>
      <c r="AZ13" s="41">
        <f>(AZ$4-AZ$9-AZ$10)*'Ethylene Recycling LC'!S207</f>
        <v>141163.60355573756</v>
      </c>
      <c r="BA13" s="41">
        <f>(BA$4-BA$9-BA$10)*'Ethylene Recycling LC'!T207</f>
        <v>130346.44964066529</v>
      </c>
      <c r="BB13" s="41">
        <f>(BB$4-BB$9-BB$10)*'Ethylene Recycling LC'!U207</f>
        <v>119945.04208806605</v>
      </c>
      <c r="BC13" s="41">
        <f>(BC$4-BC$9-BC$10)*'Ethylene Recycling LC'!V207</f>
        <v>109961.63308154074</v>
      </c>
      <c r="BD13" s="41">
        <f>(BD$4-BD$9-BD$10)*'Ethylene Recycling LC'!W207</f>
        <v>100450.85287289969</v>
      </c>
      <c r="BE13" s="41">
        <f>(BE$4-BE$9-BE$10)*'Ethylene Recycling LC'!X207</f>
        <v>90227.719343859775</v>
      </c>
      <c r="BF13" s="41">
        <f>(BF$4-BF$9-BF$10)*'Ethylene Recycling LC'!Y207</f>
        <v>80938.854042185194</v>
      </c>
      <c r="BG13" s="41">
        <f>(BG$4-BG$9-BG$10)*'Ethylene Recycling LC'!Z207</f>
        <v>72137.953210362262</v>
      </c>
      <c r="BH13" s="41">
        <f>(BH$4-BH$9-BH$10)*'Ethylene Recycling LC'!AA207</f>
        <v>63801.126845309336</v>
      </c>
      <c r="BI13" s="41">
        <f>(BI$4-BI$9-BI$10)*'Ethylene Recycling LC'!AB207</f>
        <v>55889.349820310985</v>
      </c>
      <c r="BJ13" s="41">
        <f>(BJ$4-BJ$9-BJ$10)*'Ethylene Recycling LC'!AC207</f>
        <v>48388.228978278901</v>
      </c>
      <c r="BK13" s="41">
        <f>(BK$4-BK$9-BK$10)*'Ethylene Recycling LC'!AD207</f>
        <v>41285.666364759512</v>
      </c>
      <c r="BL13" s="41">
        <f>(BL$4-BL$9-BL$10)*'Ethylene Recycling LC'!AE207</f>
        <v>34561.389247110455</v>
      </c>
      <c r="BM13" s="41">
        <f>(BM$4-BM$9-BM$10)*'Ethylene Recycling LC'!AF207</f>
        <v>28198.929278970343</v>
      </c>
      <c r="BN13" s="41">
        <f>(BN$4-BN$9-BN$10)*'Ethylene Recycling LC'!AG207</f>
        <v>22222.918006942109</v>
      </c>
      <c r="BP13" s="41">
        <f>(BP$4-BP$9-BP$10)*'Ethylene Recycling HC'!C228</f>
        <v>339037.60638453008</v>
      </c>
      <c r="BQ13" s="41">
        <f>(BQ$4-BQ$9-BQ$10)*'Ethylene Recycling HC'!D228</f>
        <v>338867.62490286445</v>
      </c>
      <c r="BR13" s="41">
        <f>(BR$4-BR$9-BR$10)*'Ethylene Recycling HC'!E228</f>
        <v>338686.23234778742</v>
      </c>
      <c r="BS13" s="41">
        <f>(BS$4-BS$9-BS$10)*'Ethylene Recycling HC'!F228</f>
        <v>338493.22556798148</v>
      </c>
      <c r="BT13" s="41">
        <f>(BT$4-BT$9-BT$10)*'Ethylene Recycling HC'!G228</f>
        <v>338288.39780930924</v>
      </c>
      <c r="BU13" s="41">
        <f>(BU$4-BU$9-BU$10)*'Ethylene Recycling HC'!H228</f>
        <v>338071.53865113645</v>
      </c>
      <c r="BV13" s="41">
        <f>(BV$4-BV$9-BV$10)*'Ethylene Recycling HC'!I228</f>
        <v>337842.43394153233</v>
      </c>
      <c r="BW13" s="41">
        <f>(BW$4-BW$9-BW$10)*'Ethylene Recycling HC'!J228</f>
        <v>337600.86573132867</v>
      </c>
      <c r="BX13" s="41">
        <f>(BX$4-BX$9-BX$10)*'Ethylene Recycling HC'!K228</f>
        <v>337346.61220701685</v>
      </c>
      <c r="BY13" s="41">
        <f>(BY$4-BY$9-BY$10)*'Ethylene Recycling HC'!L228</f>
        <v>337079.44762246276</v>
      </c>
      <c r="BZ13" s="41">
        <f>(BZ$4-BZ$9-BZ$10)*'Ethylene Recycling HC'!M228</f>
        <v>336799.14222941868</v>
      </c>
      <c r="CA13" s="41">
        <f>(CA$4-CA$9-CA$10)*'Ethylene Recycling HC'!N228</f>
        <v>336505.46220681095</v>
      </c>
      <c r="CB13" s="41">
        <f>(CB$4-CB$9-CB$10)*'Ethylene Recycling HC'!O228</f>
        <v>336198.1695887823</v>
      </c>
      <c r="CC13" s="41">
        <f>(CC$4-CC$9-CC$10)*'Ethylene Recycling HC'!P228</f>
        <v>335877.02219146595</v>
      </c>
      <c r="CD13" s="41">
        <f>(CD$4-CD$9-CD$10)*'Ethylene Recycling HC'!Q228</f>
        <v>335541.77353847102</v>
      </c>
      <c r="CE13" s="41">
        <f>(CE$4-CE$9-CE$10)*'Ethylene Recycling HC'!R228</f>
        <v>335192.17278505448</v>
      </c>
      <c r="CF13" s="41">
        <f>(CF$4-CF$9-CF$10)*'Ethylene Recycling HC'!S228</f>
        <v>334827.964640958</v>
      </c>
      <c r="CG13" s="41">
        <f>(CG$4-CG$9-CG$10)*'Ethylene Recycling HC'!T228</f>
        <v>334448.88929188589</v>
      </c>
      <c r="CH13" s="41">
        <f>(CH$4-CH$9-CH$10)*'Ethylene Recycling HC'!U228</f>
        <v>334054.68231960025</v>
      </c>
      <c r="CI13" s="41">
        <f>(CI$4-CI$9-CI$10)*'Ethylene Recycling HC'!V228</f>
        <v>333645.07462060894</v>
      </c>
      <c r="CJ13" s="41">
        <f>(CJ$4-CJ$9-CJ$10)*'Ethylene Recycling HC'!W228</f>
        <v>333219.79232342134</v>
      </c>
      <c r="CK13" s="41">
        <f>(CK$4-CK$9-CK$10)*'Ethylene Recycling HC'!X228</f>
        <v>332778.55670434784</v>
      </c>
      <c r="CL13" s="41">
        <f>(CL$4-CL$9-CL$10)*'Ethylene Recycling HC'!Y228</f>
        <v>332321.08410181635</v>
      </c>
      <c r="CM13" s="41">
        <f>(CM$4-CM$9-CM$10)*'Ethylene Recycling HC'!Z228</f>
        <v>331847.08582917997</v>
      </c>
      <c r="CN13" s="41">
        <f>(CN$4-CN$9-CN$10)*'Ethylene Recycling HC'!AA228</f>
        <v>331356.26808599039</v>
      </c>
      <c r="CO13" s="41">
        <f>(CO$4-CO$9-CO$10)*'Ethylene Recycling HC'!AB228</f>
        <v>330848.33186770842</v>
      </c>
      <c r="CP13" s="41">
        <f>(CP$4-CP$9-CP$10)*'Ethylene Recycling HC'!AC228</f>
        <v>330322.97287382523</v>
      </c>
      <c r="CQ13" s="41">
        <f>(CQ$4-CQ$9-CQ$10)*'Ethylene Recycling HC'!AD228</f>
        <v>329779.88141436665</v>
      </c>
      <c r="CR13" s="41">
        <f>(CR$4-CR$9-CR$10)*'Ethylene Recycling HC'!AE228</f>
        <v>329218.74231475132</v>
      </c>
      <c r="CS13" s="41">
        <f>(CS$4-CS$9-CS$10)*'Ethylene Recycling HC'!AF228</f>
        <v>328639.23481897387</v>
      </c>
      <c r="CT13" s="41">
        <f>(CT$4-CT$9-CT$10)*'Ethylene Recycling HC'!AG228</f>
        <v>328041.03249108483</v>
      </c>
    </row>
    <row r="14" spans="1:98">
      <c r="A14" s="564" t="s">
        <v>700</v>
      </c>
      <c r="C14" s="51" t="s">
        <v>166</v>
      </c>
      <c r="D14" s="41">
        <f>(D$4-D$9-D$10)*'Ethylene Recycling HC'!C250</f>
        <v>1144251.1474792808</v>
      </c>
      <c r="E14" s="41">
        <f>(E$4-E$9-E$10)*'Ethylene Recycling HC'!D250</f>
        <v>1116789.4063807859</v>
      </c>
      <c r="F14" s="41">
        <f>(F$4-F$9-F$10)*'Ethylene Recycling HC'!E250</f>
        <v>1088645.9705092181</v>
      </c>
      <c r="G14" s="41">
        <f>(G$4-G$9-G$10)*'Ethylene Recycling HC'!F250</f>
        <v>1061179.0796606187</v>
      </c>
      <c r="H14" s="41">
        <f>(H$4-H$9-H$10)*'Ethylene Recycling HC'!G250</f>
        <v>1034132.137555628</v>
      </c>
      <c r="I14" s="41">
        <f>(I$4-I$9-I$10)*'Ethylene Recycling HC'!H250</f>
        <v>1007498.0839270921</v>
      </c>
      <c r="J14" s="41">
        <f>(J$4-J$9-J$10)*'Ethylene Recycling HC'!I250</f>
        <v>976533.93434346025</v>
      </c>
      <c r="K14" s="41">
        <f>(K$4-K$9-K$10)*'Ethylene Recycling HC'!J250</f>
        <v>946137.19793595909</v>
      </c>
      <c r="L14" s="41">
        <f>(L$4-L$9-L$10)*'Ethylene Recycling HC'!K250</f>
        <v>916288.18598875543</v>
      </c>
      <c r="M14" s="41">
        <f>(M$4-M$9-M$10)*'Ethylene Recycling HC'!L250</f>
        <v>886956.3106574805</v>
      </c>
      <c r="N14" s="41">
        <f>(N$4-N$9-N$10)*'Ethylene Recycling HC'!M250</f>
        <v>858105.72148080543</v>
      </c>
      <c r="O14" s="41">
        <f>(O$4-O$9-O$10)*'Ethylene Recycling HC'!N250</f>
        <v>820484.51105334458</v>
      </c>
      <c r="P14" s="41">
        <f>(P$4-P$9-P$10)*'Ethylene Recycling HC'!O250</f>
        <v>784760.17608734674</v>
      </c>
      <c r="Q14" s="41">
        <f>(Q$4-Q$9-Q$10)*'Ethylene Recycling HC'!P250</f>
        <v>748565.55082198943</v>
      </c>
      <c r="R14" s="41">
        <f>(R$4-R$9-R$10)*'Ethylene Recycling HC'!Q250</f>
        <v>713195.02145430236</v>
      </c>
      <c r="S14" s="41">
        <f>(S$4-S$9-S$10)*'Ethylene Recycling HC'!R250</f>
        <v>678661.07152948924</v>
      </c>
      <c r="T14" s="41">
        <f>(T$4-T$9-T$10)*'Ethylene Recycling HC'!S250</f>
        <v>645658.69026926649</v>
      </c>
      <c r="U14" s="41">
        <f>(U$4-U$9-U$10)*'Ethylene Recycling HC'!T250</f>
        <v>613647.45345105464</v>
      </c>
      <c r="V14" s="41">
        <f>(V$4-V$9-V$10)*'Ethylene Recycling HC'!U250</f>
        <v>582628.29839123238</v>
      </c>
      <c r="W14" s="41">
        <f>(W$4-W$9-W$10)*'Ethylene Recycling HC'!V250</f>
        <v>552771.37100839301</v>
      </c>
      <c r="X14" s="41">
        <f>(X$4-X$9-X$10)*'Ethylene Recycling HC'!W250</f>
        <v>524480.15475863614</v>
      </c>
      <c r="Y14" s="41">
        <f>(Y$4-Y$9-Y$10)*'Ethylene Recycling HC'!X250</f>
        <v>489909.71689130436</v>
      </c>
      <c r="Z14" s="41">
        <f>(Z$4-Z$9-Z$10)*'Ethylene Recycling HC'!Y250</f>
        <v>459794.59298854088</v>
      </c>
      <c r="AA14" s="41">
        <f>(AA$4-AA$9-AA$10)*'Ethylene Recycling HC'!Z250</f>
        <v>430900.13071332808</v>
      </c>
      <c r="AB14" s="41">
        <f>(AB$4-AB$9-AB$10)*'Ethylene Recycling HC'!AA250</f>
        <v>403433.43204577779</v>
      </c>
      <c r="AC14" s="41">
        <f>(AC$4-AC$9-AC$10)*'Ethylene Recycling HC'!AB250</f>
        <v>377290.07018700737</v>
      </c>
      <c r="AD14" s="41">
        <f>(AD$4-AD$9-AD$10)*'Ethylene Recycling HC'!AC250</f>
        <v>352066.9728282115</v>
      </c>
      <c r="AE14" s="41">
        <f>(AE$4-AE$9-AE$10)*'Ethylene Recycling HC'!AD250</f>
        <v>327873.52952003485</v>
      </c>
      <c r="AF14" s="41">
        <f>(AF$4-AF$9-AF$10)*'Ethylene Recycling HC'!AE250</f>
        <v>304773.20087680366</v>
      </c>
      <c r="AG14" s="41">
        <f>(AG$4-AG$9-AG$10)*'Ethylene Recycling HC'!AF250</f>
        <v>282733.89220679505</v>
      </c>
      <c r="AH14" s="41">
        <f>(AH$4-AH$9-AH$10)*'Ethylene Recycling HC'!AG250</f>
        <v>261982.21733647661</v>
      </c>
      <c r="AJ14" s="41">
        <f>(AJ$4-AJ$9-AJ$10)*'Ethylene Recycling LC'!C208</f>
        <v>1144251.4916240009</v>
      </c>
      <c r="AK14" s="41">
        <f>(AK$4-AK$9-AK$10)*'Ethylene Recycling LC'!D208</f>
        <v>1118297.7260124474</v>
      </c>
      <c r="AL14" s="41">
        <f>(AL$4-AL$9-AL$10)*'Ethylene Recycling LC'!E208</f>
        <v>1091730.6160219293</v>
      </c>
      <c r="AM14" s="41">
        <f>(AM$4-AM$9-AM$10)*'Ethylene Recycling LC'!F208</f>
        <v>1065742.1186792136</v>
      </c>
      <c r="AN14" s="41">
        <f>(AN$4-AN$9-AN$10)*'Ethylene Recycling LC'!G208</f>
        <v>1040131.7712787279</v>
      </c>
      <c r="AO14" s="41">
        <f>(AO$4-AO$9-AO$10)*'Ethylene Recycling LC'!H208</f>
        <v>1014893.6572061809</v>
      </c>
      <c r="AP14" s="41">
        <f>(AP$4-AP$9-AP$10)*'Ethylene Recycling LC'!I208</f>
        <v>987810.92940698506</v>
      </c>
      <c r="AQ14" s="41">
        <f>(AQ$4-AQ$9-AQ$10)*'Ethylene Recycling LC'!J208</f>
        <v>961185.92198040592</v>
      </c>
      <c r="AR14" s="41">
        <f>(AR$4-AR$9-AR$10)*'Ethylene Recycling LC'!K208</f>
        <v>935005.28076344647</v>
      </c>
      <c r="AS14" s="41">
        <f>(AS$4-AS$9-AS$10)*'Ethylene Recycling LC'!L208</f>
        <v>909248.9393854636</v>
      </c>
      <c r="AT14" s="41">
        <f>(AT$4-AT$9-AT$10)*'Ethylene Recycling LC'!M208</f>
        <v>883898.55286704667</v>
      </c>
      <c r="AU14" s="41">
        <f>(AU$4-AU$9-AU$10)*'Ethylene Recycling LC'!N208</f>
        <v>851119.72432056069</v>
      </c>
      <c r="AV14" s="41">
        <f>(AV$4-AV$9-AV$10)*'Ethylene Recycling LC'!O208</f>
        <v>819981.76283459982</v>
      </c>
      <c r="AW14" s="41">
        <f>(AW$4-AW$9-AW$10)*'Ethylene Recycling LC'!P208</f>
        <v>788610.48693865724</v>
      </c>
      <c r="AX14" s="41">
        <f>(AX$4-AX$9-AX$10)*'Ethylene Recycling LC'!Q208</f>
        <v>757979.54324522254</v>
      </c>
      <c r="AY14" s="41">
        <f>(AY$4-AY$9-AY$10)*'Ethylene Recycling LC'!R208</f>
        <v>728078.76886293932</v>
      </c>
      <c r="AZ14" s="41">
        <f>(AZ$4-AZ$9-AZ$10)*'Ethylene Recycling LC'!S208</f>
        <v>699200.97386201308</v>
      </c>
      <c r="BA14" s="41">
        <f>(BA$4-BA$9-BA$10)*'Ethylene Recycling LC'!T208</f>
        <v>671122.62914160779</v>
      </c>
      <c r="BB14" s="41">
        <f>(BB$4-BB$9-BB$10)*'Ethylene Recycling LC'!U208</f>
        <v>643915.4891043551</v>
      </c>
      <c r="BC14" s="41">
        <f>(BC$4-BC$9-BC$10)*'Ethylene Recycling LC'!V208</f>
        <v>617634.96712155174</v>
      </c>
      <c r="BD14" s="41">
        <f>(BD$4-BD$9-BD$10)*'Ethylene Recycling LC'!W208</f>
        <v>592660.03195010859</v>
      </c>
      <c r="BE14" s="41">
        <f>(BE$4-BE$9-BE$10)*'Ethylene Recycling LC'!X208</f>
        <v>561740.31720532104</v>
      </c>
      <c r="BF14" s="41">
        <f>(BF$4-BF$9-BF$10)*'Ethylene Recycling LC'!Y208</f>
        <v>534572.89646466554</v>
      </c>
      <c r="BG14" s="41">
        <f>(BG$4-BG$9-BG$10)*'Ethylene Recycling LC'!Z208</f>
        <v>508618.22706546605</v>
      </c>
      <c r="BH14" s="41">
        <f>(BH$4-BH$9-BH$10)*'Ethylene Recycling LC'!AA208</f>
        <v>483825.21191026294</v>
      </c>
      <c r="BI14" s="41">
        <f>(BI$4-BI$9-BI$10)*'Ethylene Recycling LC'!AB208</f>
        <v>460012.3408287139</v>
      </c>
      <c r="BJ14" s="41">
        <f>(BJ$4-BJ$9-BJ$10)*'Ethylene Recycling LC'!AC208</f>
        <v>437162.62042445125</v>
      </c>
      <c r="BK14" s="41">
        <f>(BK$4-BK$9-BK$10)*'Ethylene Recycling LC'!AD208</f>
        <v>415285.23225728743</v>
      </c>
      <c r="BL14" s="41">
        <f>(BL$4-BL$9-BL$10)*'Ethylene Recycling LC'!AE208</f>
        <v>394314.03186476085</v>
      </c>
      <c r="BM14" s="41">
        <f>(BM$4-BM$9-BM$10)*'Ethylene Recycling LC'!AF208</f>
        <v>374207.41286417475</v>
      </c>
      <c r="BN14" s="41">
        <f>(BN$4-BN$9-BN$10)*'Ethylene Recycling LC'!AG208</f>
        <v>355566.68811107374</v>
      </c>
      <c r="BP14" s="41">
        <f>(BP$4-BP$9-BP$10)*'Ethylene Recycling HC'!C229</f>
        <v>1144251.9215477891</v>
      </c>
      <c r="BQ14" s="41">
        <f>(BQ$4-BQ$9-BQ$10)*'Ethylene Recycling HC'!D229</f>
        <v>1155506.1666475537</v>
      </c>
      <c r="BR14" s="41">
        <f>(BR$4-BR$9-BR$10)*'Ethylene Recycling HC'!E229</f>
        <v>1166679.7563169003</v>
      </c>
      <c r="BS14" s="41">
        <f>(BS$4-BS$9-BS$10)*'Ethylene Recycling HC'!F229</f>
        <v>1177770.949236538</v>
      </c>
      <c r="BT14" s="41">
        <f>(BT$4-BT$9-BT$10)*'Ethylene Recycling HC'!G229</f>
        <v>1188777.9684211046</v>
      </c>
      <c r="BU14" s="41">
        <f>(BU$4-BU$9-BU$10)*'Ethylene Recycling HC'!H229</f>
        <v>1199699.0005135562</v>
      </c>
      <c r="BV14" s="41">
        <f>(BV$4-BV$9-BV$10)*'Ethylene Recycling HC'!I229</f>
        <v>1210532.1950659368</v>
      </c>
      <c r="BW14" s="41">
        <f>(BW$4-BW$9-BW$10)*'Ethylene Recycling HC'!J229</f>
        <v>1221275.663806268</v>
      </c>
      <c r="BX14" s="41">
        <f>(BX$4-BX$9-BX$10)*'Ethylene Recycling HC'!K229</f>
        <v>1231927.4798913</v>
      </c>
      <c r="BY14" s="41">
        <f>(BY$4-BY$9-BY$10)*'Ethylene Recycling HC'!L229</f>
        <v>1242485.6771448494</v>
      </c>
      <c r="BZ14" s="41">
        <f>(BZ$4-BZ$9-BZ$10)*'Ethylene Recycling HC'!M229</f>
        <v>1252948.2492814579</v>
      </c>
      <c r="CA14" s="41">
        <f>(CA$4-CA$9-CA$10)*'Ethylene Recycling HC'!N229</f>
        <v>1263313.1491150879</v>
      </c>
      <c r="CB14" s="41">
        <f>(CB$4-CB$9-CB$10)*'Ethylene Recycling HC'!O229</f>
        <v>1273578.287752578</v>
      </c>
      <c r="CC14" s="41">
        <f>(CC$4-CC$9-CC$10)*'Ethylene Recycling HC'!P229</f>
        <v>1283741.5337715633</v>
      </c>
      <c r="CD14" s="41">
        <f>(CD$4-CD$9-CD$10)*'Ethylene Recycling HC'!Q229</f>
        <v>1293800.7123825718</v>
      </c>
      <c r="CE14" s="41">
        <f>(CE$4-CE$9-CE$10)*'Ethylene Recycling HC'!R229</f>
        <v>1303753.6045749958</v>
      </c>
      <c r="CF14" s="41">
        <f>(CF$4-CF$9-CF$10)*'Ethylene Recycling HC'!S229</f>
        <v>1313597.9462466326</v>
      </c>
      <c r="CG14" s="41">
        <f>(CG$4-CG$9-CG$10)*'Ethylene Recycling HC'!T229</f>
        <v>1323331.4273164852</v>
      </c>
      <c r="CH14" s="41">
        <f>(CH$4-CH$9-CH$10)*'Ethylene Recycling HC'!U229</f>
        <v>1332951.6908205061</v>
      </c>
      <c r="CI14" s="41">
        <f>(CI$4-CI$9-CI$10)*'Ethylene Recycling HC'!V229</f>
        <v>1342456.3319899617</v>
      </c>
      <c r="CJ14" s="41">
        <f>(CJ$4-CJ$9-CJ$10)*'Ethylene Recycling HC'!W229</f>
        <v>1351842.8973120896</v>
      </c>
      <c r="CK14" s="41">
        <f>(CK$4-CK$9-CK$10)*'Ethylene Recycling HC'!X229</f>
        <v>1361108.8835727144</v>
      </c>
      <c r="CL14" s="41">
        <f>(CL$4-CL$9-CL$10)*'Ethylene Recycling HC'!Y229</f>
        <v>1370251.7368804798</v>
      </c>
      <c r="CM14" s="41">
        <f>(CM$4-CM$9-CM$10)*'Ethylene Recycling HC'!Z229</f>
        <v>1379268.851672353</v>
      </c>
      <c r="CN14" s="41">
        <f>(CN$4-CN$9-CN$10)*'Ethylene Recycling HC'!AA229</f>
        <v>1388157.569700045</v>
      </c>
      <c r="CO14" s="41">
        <f>(CO$4-CO$9-CO$10)*'Ethylene Recycling HC'!AB229</f>
        <v>1396915.1789969888</v>
      </c>
      <c r="CP14" s="41">
        <f>(CP$4-CP$9-CP$10)*'Ethylene Recycling HC'!AC229</f>
        <v>1405538.9128255073</v>
      </c>
      <c r="CQ14" s="41">
        <f>(CQ$4-CQ$9-CQ$10)*'Ethylene Recycling HC'!AD229</f>
        <v>1414025.9486037993</v>
      </c>
      <c r="CR14" s="41">
        <f>(CR$4-CR$9-CR$10)*'Ethylene Recycling HC'!AE229</f>
        <v>1422373.4068123607</v>
      </c>
      <c r="CS14" s="41">
        <f>(CS$4-CS$9-CS$10)*'Ethylene Recycling HC'!AF229</f>
        <v>1430578.3498794548</v>
      </c>
      <c r="CT14" s="41">
        <f>(CT$4-CT$9-CT$10)*'Ethylene Recycling HC'!AG229</f>
        <v>1438637.7810452394</v>
      </c>
    </row>
    <row r="15" spans="1:98">
      <c r="A15" s="564" t="s">
        <v>1535</v>
      </c>
      <c r="C15" s="51" t="s">
        <v>166</v>
      </c>
      <c r="D15" s="41">
        <f>(D$4-D$9-D$10)*'Ethylene Recycling HC'!C251</f>
        <v>296657.70490203582</v>
      </c>
      <c r="E15" s="41">
        <f>(E$4-E$9-E$10)*'Ethylene Recycling HC'!D251</f>
        <v>292126.39040498657</v>
      </c>
      <c r="F15" s="41">
        <f>(F$4-F$9-F$10)*'Ethylene Recycling HC'!E251</f>
        <v>287358.32724101184</v>
      </c>
      <c r="G15" s="41">
        <f>(G$4-G$9-G$10)*'Ethylene Recycling HC'!F251</f>
        <v>282707.94014124584</v>
      </c>
      <c r="H15" s="41">
        <f>(H$4-H$9-H$10)*'Ethylene Recycling HC'!G251</f>
        <v>278108.64273689198</v>
      </c>
      <c r="I15" s="41">
        <f>(I$4-I$9-I$10)*'Ethylene Recycling HC'!H251</f>
        <v>273559.08239079965</v>
      </c>
      <c r="J15" s="41">
        <f>(J$4-J$9-J$10)*'Ethylene Recycling HC'!I251</f>
        <v>267759.30457804538</v>
      </c>
      <c r="K15" s="41">
        <f>(K$4-K$9-K$10)*'Ethylene Recycling HC'!J251</f>
        <v>262027.08210231864</v>
      </c>
      <c r="L15" s="41">
        <f>(L$4-L$9-L$10)*'Ethylene Recycling HC'!K251</f>
        <v>256357.63652316961</v>
      </c>
      <c r="M15" s="41">
        <f>(M$4-M$9-M$10)*'Ethylene Recycling HC'!L251</f>
        <v>250742.92326603862</v>
      </c>
      <c r="N15" s="41">
        <f>(N$4-N$9-N$10)*'Ethylene Recycling HC'!M251</f>
        <v>245173.06328022992</v>
      </c>
      <c r="O15" s="41">
        <f>(O$4-O$9-O$10)*'Ethylene Recycling HC'!N251</f>
        <v>236975.93280060295</v>
      </c>
      <c r="P15" s="41">
        <f>(P$4-P$9-P$10)*'Ethylene Recycling HC'!O251</f>
        <v>229177.75053878248</v>
      </c>
      <c r="Q15" s="41">
        <f>(Q$4-Q$9-Q$10)*'Ethylene Recycling HC'!P251</f>
        <v>221090.57498040746</v>
      </c>
      <c r="R15" s="41">
        <f>(R$4-R$9-R$10)*'Ethylene Recycling HC'!Q251</f>
        <v>213088.75641012675</v>
      </c>
      <c r="S15" s="41">
        <f>(S$4-S$9-S$10)*'Ethylene Recycling HC'!R251</f>
        <v>205176.60302054306</v>
      </c>
      <c r="T15" s="41">
        <f>(T$4-T$9-T$10)*'Ethylene Recycling HC'!S251</f>
        <v>197567.48566598987</v>
      </c>
      <c r="U15" s="41">
        <f>(U$4-U$9-U$10)*'Ethylene Recycling HC'!T251</f>
        <v>190102.66214454806</v>
      </c>
      <c r="V15" s="41">
        <f>(V$4-V$9-V$10)*'Ethylene Recycling HC'!U251</f>
        <v>182785.34851489624</v>
      </c>
      <c r="W15" s="41">
        <f>(W$4-W$9-W$10)*'Ethylene Recycling HC'!V251</f>
        <v>175672.76516240093</v>
      </c>
      <c r="X15" s="41">
        <f>(X$4-X$9-X$10)*'Ethylene Recycling HC'!W251</f>
        <v>168900.38882057756</v>
      </c>
      <c r="Y15" s="41">
        <f>(Y$4-Y$9-Y$10)*'Ethylene Recycling HC'!X251</f>
        <v>159918.71587643598</v>
      </c>
      <c r="Z15" s="41">
        <f>(Z$4-Z$9-Z$10)*'Ethylene Recycling HC'!Y251</f>
        <v>152185.53429902394</v>
      </c>
      <c r="AA15" s="41">
        <f>(AA$4-AA$9-AA$10)*'Ethylene Recycling HC'!Z251</f>
        <v>144664.85537413336</v>
      </c>
      <c r="AB15" s="41">
        <f>(AB$4-AB$9-AB$10)*'Ethylene Recycling HC'!AA251</f>
        <v>137433.36696064947</v>
      </c>
      <c r="AC15" s="41">
        <f>(AC$4-AC$9-AC$10)*'Ethylene Recycling HC'!AB251</f>
        <v>130464.79062541368</v>
      </c>
      <c r="AD15" s="41">
        <f>(AD$4-AD$9-AD$10)*'Ethylene Recycling HC'!AC251</f>
        <v>123626.57061143298</v>
      </c>
      <c r="AE15" s="41">
        <f>(AE$4-AE$9-AE$10)*'Ethylene Recycling HC'!AD251</f>
        <v>116960.73275276093</v>
      </c>
      <c r="AF15" s="41">
        <f>(AF$4-AF$9-AF$10)*'Ethylene Recycling HC'!AE251</f>
        <v>110495.46326609213</v>
      </c>
      <c r="AG15" s="41">
        <f>(AG$4-AG$9-AG$10)*'Ethylene Recycling HC'!AF251</f>
        <v>104225.73215769835</v>
      </c>
      <c r="AH15" s="41">
        <f>(AH$4-AH$9-AH$10)*'Ethylene Recycling HC'!AG251</f>
        <v>98243.33150117872</v>
      </c>
      <c r="AJ15" s="41">
        <f>(AJ$4-AJ$9-AJ$10)*'Ethylene Recycling LC'!C209</f>
        <v>296657.79412474099</v>
      </c>
      <c r="AK15" s="41">
        <f>(AK$4-AK$9-AK$10)*'Ethylene Recycling LC'!D209</f>
        <v>292520.93208585918</v>
      </c>
      <c r="AL15" s="41">
        <f>(AL$4-AL$9-AL$10)*'Ethylene Recycling LC'!E209</f>
        <v>288172.54839157517</v>
      </c>
      <c r="AM15" s="41">
        <f>(AM$4-AM$9-AM$10)*'Ethylene Recycling LC'!F209</f>
        <v>283923.57601878652</v>
      </c>
      <c r="AN15" s="41">
        <f>(AN$4-AN$9-AN$10)*'Ethylene Recycling LC'!G209</f>
        <v>279722.12125772564</v>
      </c>
      <c r="AO15" s="41">
        <f>(AO$4-AO$9-AO$10)*'Ethylene Recycling LC'!H209</f>
        <v>275567.15195664496</v>
      </c>
      <c r="AP15" s="41">
        <f>(AP$4-AP$9-AP$10)*'Ethylene Recycling LC'!I209</f>
        <v>270851.383869657</v>
      </c>
      <c r="AQ15" s="41">
        <f>(AQ$4-AQ$9-AQ$10)*'Ethylene Recycling LC'!J209</f>
        <v>266194.73691953928</v>
      </c>
      <c r="AR15" s="41">
        <f>(AR$4-AR$9-AR$10)*'Ethylene Recycling LC'!K209</f>
        <v>261594.27522744605</v>
      </c>
      <c r="AS15" s="41">
        <f>(AS$4-AS$9-AS$10)*'Ethylene Recycling LC'!L209</f>
        <v>257045.05881361189</v>
      </c>
      <c r="AT15" s="41">
        <f>(AT$4-AT$9-AT$10)*'Ethylene Recycling LC'!M209</f>
        <v>252542.44367629886</v>
      </c>
      <c r="AU15" s="41">
        <f>(AU$4-AU$9-AU$10)*'Ethylene Recycling LC'!N209</f>
        <v>245824.12937560442</v>
      </c>
      <c r="AV15" s="41">
        <f>(AV$4-AV$9-AV$10)*'Ethylene Recycling LC'!O209</f>
        <v>239463.70065081213</v>
      </c>
      <c r="AW15" s="41">
        <f>(AW$4-AW$9-AW$10)*'Ethylene Recycling LC'!P209</f>
        <v>232917.93992041281</v>
      </c>
      <c r="AX15" s="41">
        <f>(AX$4-AX$9-AX$10)*'Ethylene Recycling LC'!Q209</f>
        <v>226469.49767692605</v>
      </c>
      <c r="AY15" s="41">
        <f>(AY$4-AY$9-AY$10)*'Ethylene Recycling LC'!R209</f>
        <v>220116.83709809775</v>
      </c>
      <c r="AZ15" s="41">
        <f>(AZ$4-AZ$9-AZ$10)*'Ethylene Recycling LC'!S209</f>
        <v>213951.08663916471</v>
      </c>
      <c r="BA15" s="41">
        <f>(BA$4-BA$9-BA$10)*'Ethylene Recycling LC'!T209</f>
        <v>207907.97339378842</v>
      </c>
      <c r="BB15" s="41">
        <f>(BB$4-BB$9-BB$10)*'Ethylene Recycling LC'!U209</f>
        <v>202012.70246411121</v>
      </c>
      <c r="BC15" s="41">
        <f>(BC$4-BC$9-BC$10)*'Ethylene Recycling LC'!V209</f>
        <v>196286.65344461941</v>
      </c>
      <c r="BD15" s="41">
        <f>(BD$4-BD$9-BD$10)*'Ethylene Recycling LC'!W209</f>
        <v>190856.62045850937</v>
      </c>
      <c r="BE15" s="41">
        <f>(BE$4-BE$9-BE$10)*'Ethylene Recycling LC'!X209</f>
        <v>183366.01027945694</v>
      </c>
      <c r="BF15" s="41">
        <f>(BF$4-BF$9-BF$10)*'Ethylene Recycling LC'!Y209</f>
        <v>176936.09953407926</v>
      </c>
      <c r="BG15" s="41">
        <f>(BG$4-BG$9-BG$10)*'Ethylene Recycling LC'!Z209</f>
        <v>170756.92721946511</v>
      </c>
      <c r="BH15" s="41">
        <f>(BH$4-BH$9-BH$10)*'Ethylene Recycling LC'!AA209</f>
        <v>164819.57768371582</v>
      </c>
      <c r="BI15" s="41">
        <f>(BI$4-BI$9-BI$10)*'Ethylene Recycling LC'!AB209</f>
        <v>159069.68795011591</v>
      </c>
      <c r="BJ15" s="41">
        <f>(BJ$4-BJ$9-BJ$10)*'Ethylene Recycling LC'!AC209</f>
        <v>153507.48503454006</v>
      </c>
      <c r="BK15" s="41">
        <f>(BK$4-BK$9-BK$10)*'Ethylene Recycling LC'!AD209</f>
        <v>148142.68519119604</v>
      </c>
      <c r="BL15" s="41">
        <f>(BL$4-BL$9-BL$10)*'Ethylene Recycling LC'!AE209</f>
        <v>142958.47370395708</v>
      </c>
      <c r="BM15" s="41">
        <f>(BM$4-BM$9-BM$10)*'Ethylene Recycling LC'!AF209</f>
        <v>137946.11349982815</v>
      </c>
      <c r="BN15" s="41">
        <f>(BN$4-BN$9-BN$10)*'Ethylene Recycling LC'!AG209</f>
        <v>133337.50804165265</v>
      </c>
      <c r="BP15" s="41">
        <f>(BP$4-BP$9-BP$10)*'Ethylene Recycling HC'!C230</f>
        <v>296657.90558646386</v>
      </c>
      <c r="BQ15" s="41">
        <f>(BQ$4-BQ$9-BQ$10)*'Ethylene Recycling HC'!D230</f>
        <v>301497.70372131676</v>
      </c>
      <c r="BR15" s="41">
        <f>(BR$4-BR$9-BR$10)*'Ethylene Recycling HC'!E230</f>
        <v>306309.74297123251</v>
      </c>
      <c r="BS15" s="41">
        <f>(BS$4-BS$9-BS$10)*'Ethylene Recycling HC'!F230</f>
        <v>311093.40033520584</v>
      </c>
      <c r="BT15" s="41">
        <f>(BT$4-BT$9-BT$10)*'Ethylene Recycling HC'!G230</f>
        <v>315848.03974567342</v>
      </c>
      <c r="BU15" s="41">
        <f>(BU$4-BU$9-BU$10)*'Ethylene Recycling HC'!H230</f>
        <v>320573.01180583949</v>
      </c>
      <c r="BV15" s="41">
        <f>(BV$4-BV$9-BV$10)*'Ethylene Recycling HC'!I230</f>
        <v>325267.65352187224</v>
      </c>
      <c r="BW15" s="41">
        <f>(BW$4-BW$9-BW$10)*'Ethylene Recycling HC'!J230</f>
        <v>329931.28802987334</v>
      </c>
      <c r="BX15" s="41">
        <f>(BX$4-BX$9-BX$10)*'Ethylene Recycling HC'!K230</f>
        <v>334563.22431751993</v>
      </c>
      <c r="BY15" s="41">
        <f>(BY$4-BY$9-BY$10)*'Ethylene Recycling HC'!L230</f>
        <v>339162.75694027758</v>
      </c>
      <c r="BZ15" s="41">
        <f>(BZ$4-BZ$9-BZ$10)*'Ethylene Recycling HC'!M230</f>
        <v>343729.16573208146</v>
      </c>
      <c r="CA15" s="41">
        <f>(CA$4-CA$9-CA$10)*'Ethylene Recycling HC'!N230</f>
        <v>348261.71551037795</v>
      </c>
      <c r="CB15" s="41">
        <f>(CB$4-CB$9-CB$10)*'Ethylene Recycling HC'!O230</f>
        <v>352759.65577542165</v>
      </c>
      <c r="CC15" s="41">
        <f>(CC$4-CC$9-CC$10)*'Ethylene Recycling HC'!P230</f>
        <v>357222.22040371556</v>
      </c>
      <c r="CD15" s="41">
        <f>(CD$4-CD$9-CD$10)*'Ethylene Recycling HC'!Q230</f>
        <v>361648.62733548536</v>
      </c>
      <c r="CE15" s="41">
        <f>(CE$4-CE$9-CE$10)*'Ethylene Recycling HC'!R230</f>
        <v>366038.07825607155</v>
      </c>
      <c r="CF15" s="41">
        <f>(CF$4-CF$9-CF$10)*'Ethylene Recycling HC'!S230</f>
        <v>370389.75827112485</v>
      </c>
      <c r="CG15" s="41">
        <f>(CG$4-CG$9-CG$10)*'Ethylene Recycling HC'!T230</f>
        <v>374702.83557548677</v>
      </c>
      <c r="CH15" s="41">
        <f>(CH$4-CH$9-CH$10)*'Ethylene Recycling HC'!U230</f>
        <v>378976.4611156343</v>
      </c>
      <c r="CI15" s="41">
        <f>(CI$4-CI$9-CI$10)*'Ethylene Recycling HC'!V230</f>
        <v>383209.76824556687</v>
      </c>
      <c r="CJ15" s="41">
        <f>(CJ$4-CJ$9-CJ$10)*'Ethylene Recycling HC'!W230</f>
        <v>387401.87237600988</v>
      </c>
      <c r="CK15" s="41">
        <f>(CK$4-CK$9-CK$10)*'Ethylene Recycling HC'!X230</f>
        <v>391551.87061680848</v>
      </c>
      <c r="CL15" s="41">
        <f>(CL$4-CL$9-CL$10)*'Ethylene Recycling HC'!Y230</f>
        <v>395658.84141238115</v>
      </c>
      <c r="CM15" s="41">
        <f>(CM$4-CM$9-CM$10)*'Ethylene Recycling HC'!Z230</f>
        <v>399721.84417010139</v>
      </c>
      <c r="CN15" s="41">
        <f>(CN$4-CN$9-CN$10)*'Ethylene Recycling HC'!AA230</f>
        <v>403739.91888147336</v>
      </c>
      <c r="CO15" s="41">
        <f>(CO$4-CO$9-CO$10)*'Ethylene Recycling HC'!AB230</f>
        <v>407712.08573596348</v>
      </c>
      <c r="CP15" s="41">
        <f>(CP$4-CP$9-CP$10)*'Ethylene Recycling HC'!AC230</f>
        <v>411637.34472734918</v>
      </c>
      <c r="CQ15" s="41">
        <f>(CQ$4-CQ$9-CQ$10)*'Ethylene Recycling HC'!AD230</f>
        <v>415514.67525244219</v>
      </c>
      <c r="CR15" s="41">
        <f>(CR$4-CR$9-CR$10)*'Ethylene Recycling HC'!AE230</f>
        <v>419343.03570204182</v>
      </c>
      <c r="CS15" s="41">
        <f>(CS$4-CS$9-CS$10)*'Ethylene Recycling HC'!AF230</f>
        <v>423121.3630439699</v>
      </c>
      <c r="CT15" s="41">
        <f>(CT$4-CT$9-CT$10)*'Ethylene Recycling HC'!AG230</f>
        <v>426848.57239803806</v>
      </c>
    </row>
    <row r="16" spans="1:98" s="77" customFormat="1" ht="15.5" thickBot="1">
      <c r="A16" s="563" t="s">
        <v>1536</v>
      </c>
      <c r="C16" s="159" t="s">
        <v>166</v>
      </c>
      <c r="D16" s="567">
        <f>(D$4-D$9-D$10)*'Ethylene Recycling HC'!C252</f>
        <v>211898.36064431129</v>
      </c>
      <c r="E16" s="567">
        <f>(E$4-E$9-E$10)*'Ethylene Recycling HC'!D252</f>
        <v>206864.62095664119</v>
      </c>
      <c r="F16" s="567">
        <f>(F$4-F$9-F$10)*'Ethylene Recycling HC'!E252</f>
        <v>201703.44123647944</v>
      </c>
      <c r="G16" s="567">
        <f>(G$4-G$9-G$10)*'Ethylene Recycling HC'!F252</f>
        <v>196666.39314173622</v>
      </c>
      <c r="H16" s="567">
        <f>(H$4-H$9-H$10)*'Ethylene Recycling HC'!G252</f>
        <v>191705.95761475078</v>
      </c>
      <c r="I16" s="567">
        <f>(I$4-I$9-I$10)*'Ethylene Recycling HC'!H252</f>
        <v>186820.83675469246</v>
      </c>
      <c r="J16" s="567">
        <f>(J$4-J$9-J$10)*'Ethylene Recycling HC'!I252</f>
        <v>181131.29427338362</v>
      </c>
      <c r="K16" s="567">
        <f>(K$4-K$9-K$10)*'Ethylene Recycling HC'!J252</f>
        <v>175545.2372705189</v>
      </c>
      <c r="L16" s="567">
        <f>(L$4-L$9-L$10)*'Ethylene Recycling HC'!K252</f>
        <v>170059.02620843926</v>
      </c>
      <c r="M16" s="567">
        <f>(M$4-M$9-M$10)*'Ethylene Recycling HC'!L252</f>
        <v>164666.99438366716</v>
      </c>
      <c r="N16" s="567">
        <f>(N$4-N$9-N$10)*'Ethylene Recycling HC'!M252</f>
        <v>159362.49113214944</v>
      </c>
      <c r="O16" s="567">
        <f>(O$4-O$9-O$10)*'Ethylene Recycling HC'!N252</f>
        <v>152426.73064561398</v>
      </c>
      <c r="P16" s="567">
        <f>(P$4-P$9-P$10)*'Ethylene Recycling HC'!O252</f>
        <v>145840.38670649796</v>
      </c>
      <c r="Q16" s="567">
        <f>(Q$4-Q$9-Q$10)*'Ethylene Recycling HC'!P252</f>
        <v>139163.61064756612</v>
      </c>
      <c r="R16" s="567">
        <f>(R$4-R$9-R$10)*'Ethylene Recycling HC'!Q252</f>
        <v>132636.87898997686</v>
      </c>
      <c r="S16" s="567">
        <f>(S$4-S$9-S$10)*'Ethylene Recycling HC'!R252</f>
        <v>126262.52493571881</v>
      </c>
      <c r="T16" s="567">
        <f>(T$4-T$9-T$10)*'Ethylene Recycling HC'!S252</f>
        <v>120169.91396178765</v>
      </c>
      <c r="U16" s="567">
        <f>(U$4-U$9-U$10)*'Ethylene Recycling HC'!T252</f>
        <v>114258.59486408069</v>
      </c>
      <c r="V16" s="567">
        <f>(V$4-V$9-V$10)*'Ethylene Recycling HC'!U252</f>
        <v>108528.80068071965</v>
      </c>
      <c r="W16" s="567">
        <f>(W$4-W$9-W$10)*'Ethylene Recycling HC'!V252</f>
        <v>103012.30208475864</v>
      </c>
      <c r="X16" s="567">
        <f>(X$4-X$9-X$10)*'Ethylene Recycling HC'!W252</f>
        <v>97784.435632965949</v>
      </c>
      <c r="Y16" s="567">
        <f>(Y$4-Y$9-Y$10)*'Ethylene Recycling HC'!X252</f>
        <v>91382.123357963414</v>
      </c>
      <c r="Z16" s="567">
        <f>(Z$4-Z$9-Z$10)*'Ethylene Recycling HC'!Y252</f>
        <v>85806.737423917744</v>
      </c>
      <c r="AA16" s="567">
        <f>(AA$4-AA$9-AA$10)*'Ethylene Recycling HC'!Z252</f>
        <v>80455.320635881639</v>
      </c>
      <c r="AB16" s="567">
        <f>(AB$4-AB$9-AB$10)*'Ethylene Recycling HC'!AA252</f>
        <v>75366.685107452897</v>
      </c>
      <c r="AC16" s="567">
        <f>(AC$4-AC$9-AC$10)*'Ethylene Recycling HC'!AB252</f>
        <v>70521.508446169508</v>
      </c>
      <c r="AD16" s="567">
        <f>(AD$4-AD$9-AD$10)*'Ethylene Recycling HC'!AC252</f>
        <v>65844.586521306643</v>
      </c>
      <c r="AE16" s="567">
        <f>(AE$4-AE$9-AE$10)*'Ethylene Recycling HC'!AD252</f>
        <v>61356.449968661414</v>
      </c>
      <c r="AF16" s="567">
        <f>(AF$4-AF$9-AF$10)*'Ethylene Recycling HC'!AE252</f>
        <v>57069.085423146425</v>
      </c>
      <c r="AG16" s="567">
        <f>(AG$4-AG$9-AG$10)*'Ethylene Recycling HC'!AF252</f>
        <v>52976.615240377003</v>
      </c>
      <c r="AH16" s="567">
        <f>(AH$4-AH$9-AH$10)*'Ethylene Recycling HC'!AG252</f>
        <v>49121.66575058936</v>
      </c>
      <c r="AJ16" s="567">
        <f>(AJ$4-AJ$9-AJ$10)*'Ethylene Recycling LC'!C210</f>
        <v>211898.42437481499</v>
      </c>
      <c r="AK16" s="567">
        <f>(AK$4-AK$9-AK$10)*'Ethylene Recycling LC'!D210</f>
        <v>207144.00932395767</v>
      </c>
      <c r="AL16" s="567">
        <f>(AL$4-AL$9-AL$10)*'Ethylene Recycling LC'!E210</f>
        <v>202274.96185177873</v>
      </c>
      <c r="AM16" s="567">
        <f>(AM$4-AM$9-AM$10)*'Ethylene Recycling LC'!F210</f>
        <v>197512.0528826341</v>
      </c>
      <c r="AN16" s="567">
        <f>(AN$4-AN$9-AN$10)*'Ethylene Recycling LC'!G210</f>
        <v>192818.16125532545</v>
      </c>
      <c r="AO16" s="567">
        <f>(AO$4-AO$9-AO$10)*'Ethylene Recycling LC'!H210</f>
        <v>188192.20133624534</v>
      </c>
      <c r="AP16" s="567">
        <f>(AP$4-AP$9-AP$10)*'Ethylene Recycling LC'!I210</f>
        <v>183222.99497065032</v>
      </c>
      <c r="AQ16" s="567">
        <f>(AQ$4-AQ$9-AQ$10)*'Ethylene Recycling LC'!J210</f>
        <v>178337.36069486375</v>
      </c>
      <c r="AR16" s="567">
        <f>(AR$4-AR$9-AR$10)*'Ethylene Recycling LC'!K210</f>
        <v>173532.83604196916</v>
      </c>
      <c r="AS16" s="567">
        <f>(AS$4-AS$9-AS$10)*'Ethylene Recycling LC'!L210</f>
        <v>168805.71026565557</v>
      </c>
      <c r="AT16" s="567">
        <f>(AT$4-AT$9-AT$10)*'Ethylene Recycling LC'!M210</f>
        <v>164152.58838959425</v>
      </c>
      <c r="AU16" s="567">
        <f>(AU$4-AU$9-AU$10)*'Ethylene Recycling LC'!N210</f>
        <v>158118.03296521289</v>
      </c>
      <c r="AV16" s="567">
        <f>(AV$4-AV$9-AV$10)*'Ethylene Recycling LC'!O210</f>
        <v>152385.99132324409</v>
      </c>
      <c r="AW16" s="567">
        <f>(AW$4-AW$9-AW$10)*'Ethylene Recycling LC'!P210</f>
        <v>146608.24644736643</v>
      </c>
      <c r="AX16" s="567">
        <f>(AX$4-AX$9-AX$10)*'Ethylene Recycling LC'!Q210</f>
        <v>140965.70773767846</v>
      </c>
      <c r="AY16" s="567">
        <f>(AY$4-AY$9-AY$10)*'Ethylene Recycling LC'!R210</f>
        <v>135456.51513729093</v>
      </c>
      <c r="AZ16" s="567">
        <f>(AZ$4-AZ$9-AZ$10)*'Ethylene Recycling LC'!S210</f>
        <v>130135.19702794554</v>
      </c>
      <c r="BA16" s="567">
        <f>(BA$4-BA$9-BA$10)*'Ethylene Recycling LC'!T210</f>
        <v>124960.23271336505</v>
      </c>
      <c r="BB16" s="567">
        <f>(BB$4-BB$9-BB$10)*'Ethylene Recycling LC'!U210</f>
        <v>119945.04208806604</v>
      </c>
      <c r="BC16" s="567">
        <f>(BC$4-BC$9-BC$10)*'Ethylene Recycling LC'!V210</f>
        <v>115100.02715077158</v>
      </c>
      <c r="BD16" s="567">
        <f>(BD$4-BD$9-BD$10)*'Ethylene Recycling LC'!W210</f>
        <v>110495.93816018963</v>
      </c>
      <c r="BE16" s="567">
        <f>(BE$4-BE$9-BE$10)*'Ethylene Recycling LC'!X210</f>
        <v>104780.57730254681</v>
      </c>
      <c r="BF16" s="567">
        <f>(BF$4-BF$9-BF$10)*'Ethylene Recycling LC'!Y210</f>
        <v>99761.84335432126</v>
      </c>
      <c r="BG16" s="567">
        <f>(BG$4-BG$9-BG$10)*'Ethylene Recycling LC'!Z210</f>
        <v>94966.419416173085</v>
      </c>
      <c r="BH16" s="567">
        <f>(BH$4-BH$9-BH$10)*'Ethylene Recycling LC'!AA210</f>
        <v>90384.92969752154</v>
      </c>
      <c r="BI16" s="567">
        <f>(BI$4-BI$9-BI$10)*'Ethylene Recycling LC'!AB210</f>
        <v>85983.615108170721</v>
      </c>
      <c r="BJ16" s="567">
        <f>(BJ$4-BJ$9-BJ$10)*'Ethylene Recycling LC'!AC210</f>
        <v>81759.42137709193</v>
      </c>
      <c r="BK16" s="567">
        <f>(BK$4-BK$9-BK$10)*'Ethylene Recycling LC'!AD210</f>
        <v>77714.195510135556</v>
      </c>
      <c r="BL16" s="567">
        <f>(BL$4-BL$9-BL$10)*'Ethylene Recycling LC'!AE210</f>
        <v>73835.69520973599</v>
      </c>
      <c r="BM16" s="567">
        <f>(BM$4-BM$9-BM$10)*'Ethylene Recycling LC'!AF210</f>
        <v>70116.256585547933</v>
      </c>
      <c r="BN16" s="567">
        <f>(BN$4-BN$9-BN$10)*'Ethylene Recycling LC'!AG210</f>
        <v>66668.754020826324</v>
      </c>
      <c r="BP16" s="567">
        <f>(BP$4-BP$9-BP$10)*'Ethylene Recycling HC'!C231</f>
        <v>211898.50399033132</v>
      </c>
      <c r="BQ16" s="567">
        <f>(BQ$4-BQ$9-BQ$10)*'Ethylene Recycling HC'!D231</f>
        <v>214630.26429553048</v>
      </c>
      <c r="BR16" s="567">
        <f>(BR$4-BR$9-BR$10)*'Ethylene Recycling HC'!E231</f>
        <v>217344.78085826428</v>
      </c>
      <c r="BS16" s="567">
        <f>(BS$4-BS$9-BS$10)*'Ethylene Recycling HC'!F231</f>
        <v>220041.67340782855</v>
      </c>
      <c r="BT16" s="567">
        <f>(BT$4-BT$9-BT$10)*'Ethylene Recycling HC'!G231</f>
        <v>222720.55378158504</v>
      </c>
      <c r="BU16" s="567">
        <f>(BU$4-BU$9-BU$10)*'Ethylene Recycling HC'!H231</f>
        <v>225381.02576742432</v>
      </c>
      <c r="BV16" s="567">
        <f>(BV$4-BV$9-BV$10)*'Ethylene Recycling HC'!I231</f>
        <v>228022.68494316825</v>
      </c>
      <c r="BW16" s="567">
        <f>(BW$4-BW$9-BW$10)*'Ethylene Recycling HC'!J231</f>
        <v>230645.11851285322</v>
      </c>
      <c r="BX16" s="567">
        <f>(BX$4-BX$9-BX$10)*'Ethylene Recycling HC'!K231</f>
        <v>233247.90513983509</v>
      </c>
      <c r="BY16" s="567">
        <f>(BY$4-BY$9-BY$10)*'Ethylene Recycling HC'!L231</f>
        <v>235830.61477665504</v>
      </c>
      <c r="BZ16" s="567">
        <f>(BZ$4-BZ$9-BZ$10)*'Ethylene Recycling HC'!M231</f>
        <v>238392.80849160501</v>
      </c>
      <c r="CA16" s="567">
        <f>(CA$4-CA$9-CA$10)*'Ethylene Recycling HC'!N231</f>
        <v>240934.03829192961</v>
      </c>
      <c r="CB16" s="567">
        <f>(CB$4-CB$9-CB$10)*'Ethylene Recycling HC'!O231</f>
        <v>243453.84694360098</v>
      </c>
      <c r="CC16" s="567">
        <f>(CC$4-CC$9-CC$10)*'Ethylene Recycling HC'!P231</f>
        <v>245951.76778760075</v>
      </c>
      <c r="CD16" s="567">
        <f>(CD$4-CD$9-CD$10)*'Ethylene Recycling HC'!Q231</f>
        <v>248427.32455264364</v>
      </c>
      <c r="CE16" s="567">
        <f>(CE$4-CE$9-CE$10)*'Ethylene Recycling HC'!R231</f>
        <v>250880.03116427394</v>
      </c>
      <c r="CF16" s="567">
        <f>(CF$4-CF$9-CF$10)*'Ethylene Recycling HC'!S231</f>
        <v>253309.39155026726</v>
      </c>
      <c r="CG16" s="567">
        <f>(CG$4-CG$9-CG$10)*'Ethylene Recycling HC'!T231</f>
        <v>255714.89944226609</v>
      </c>
      <c r="CH16" s="567">
        <f>(CH$4-CH$9-CH$10)*'Ethylene Recycling HC'!U231</f>
        <v>258096.03817357874</v>
      </c>
      <c r="CI16" s="567">
        <f>(CI$4-CI$9-CI$10)*'Ethylene Recycling HC'!V231</f>
        <v>260452.28047306798</v>
      </c>
      <c r="CJ16" s="567">
        <f>(CJ$4-CJ$9-CJ$10)*'Ethylene Recycling HC'!W231</f>
        <v>262783.08825505589</v>
      </c>
      <c r="CK16" s="567">
        <f>(CK$4-CK$9-CK$10)*'Ethylene Recycling HC'!X231</f>
        <v>265087.9124051687</v>
      </c>
      <c r="CL16" s="567">
        <f>(CL$4-CL$9-CL$10)*'Ethylene Recycling HC'!Y231</f>
        <v>267366.1925620453</v>
      </c>
      <c r="CM16" s="567">
        <f>(CM$4-CM$9-CM$10)*'Ethylene Recycling HC'!Z231</f>
        <v>269617.35689482995</v>
      </c>
      <c r="CN16" s="567">
        <f>(CN$4-CN$9-CN$10)*'Ethylene Recycling HC'!AA231</f>
        <v>271840.82187637081</v>
      </c>
      <c r="CO16" s="567">
        <f>(CO$4-CO$9-CO$10)*'Ethylene Recycling HC'!AB231</f>
        <v>274035.99205204134</v>
      </c>
      <c r="CP16" s="567">
        <f>(CP$4-CP$9-CP$10)*'Ethylene Recycling HC'!AC231</f>
        <v>276202.25980410248</v>
      </c>
      <c r="CQ16" s="567">
        <f>(CQ$4-CQ$9-CQ$10)*'Ethylene Recycling HC'!AD231</f>
        <v>278339.00511152111</v>
      </c>
      <c r="CR16" s="567">
        <f>(CR$4-CR$9-CR$10)*'Ethylene Recycling HC'!AE231</f>
        <v>280445.59530515852</v>
      </c>
      <c r="CS16" s="567">
        <f>(CS$4-CS$9-CS$10)*'Ethylene Recycling HC'!AF231</f>
        <v>282521.38481824135</v>
      </c>
      <c r="CT16" s="567">
        <f>(CT$4-CT$9-CT$10)*'Ethylene Recycling HC'!AG231</f>
        <v>284565.71493202535</v>
      </c>
    </row>
    <row r="17" spans="1:98" ht="15.5" thickBot="1"/>
    <row r="18" spans="1:98" s="176" customFormat="1" ht="15.5" thickBot="1">
      <c r="A18" s="173" t="s">
        <v>1538</v>
      </c>
      <c r="C18" s="571"/>
    </row>
    <row r="19" spans="1:98">
      <c r="A19" s="569" t="s">
        <v>1540</v>
      </c>
      <c r="C19" s="51" t="s">
        <v>166</v>
      </c>
      <c r="D19" s="41">
        <f>D11*(1-D24)</f>
        <v>678043.5025234801</v>
      </c>
      <c r="E19" s="41">
        <f t="shared" ref="E19:AH19" si="38">E11*(1-E24)</f>
        <v>693214.15377201897</v>
      </c>
      <c r="F19" s="41">
        <f t="shared" si="38"/>
        <v>707221.54077803064</v>
      </c>
      <c r="G19" s="41">
        <f t="shared" si="38"/>
        <v>720870.19742257544</v>
      </c>
      <c r="H19" s="41">
        <f t="shared" si="38"/>
        <v>733953.24626317772</v>
      </c>
      <c r="I19" s="41">
        <f t="shared" si="38"/>
        <v>746369.49019543454</v>
      </c>
      <c r="J19" s="41">
        <f t="shared" si="38"/>
        <v>754269.7188883432</v>
      </c>
      <c r="K19" s="41">
        <f t="shared" si="38"/>
        <v>760796.03576628014</v>
      </c>
      <c r="L19" s="41">
        <f t="shared" si="38"/>
        <v>765338.35446632258</v>
      </c>
      <c r="M19" s="41">
        <f t="shared" si="38"/>
        <v>766863.06653550721</v>
      </c>
      <c r="N19" s="41">
        <f t="shared" si="38"/>
        <v>763738.48225055833</v>
      </c>
      <c r="O19" s="41">
        <f t="shared" si="38"/>
        <v>745240.86300843605</v>
      </c>
      <c r="P19" s="41">
        <f t="shared" si="38"/>
        <v>717993.11951124715</v>
      </c>
      <c r="Q19" s="41">
        <f t="shared" si="38"/>
        <v>677206.97083384171</v>
      </c>
      <c r="R19" s="41">
        <f t="shared" si="38"/>
        <v>622508.41552308446</v>
      </c>
      <c r="S19" s="41">
        <f t="shared" si="38"/>
        <v>554587.91430591769</v>
      </c>
      <c r="T19" s="41">
        <f t="shared" si="38"/>
        <v>477473.43735759071</v>
      </c>
      <c r="U19" s="41">
        <f t="shared" si="38"/>
        <v>396395.90481425426</v>
      </c>
      <c r="V19" s="41">
        <f t="shared" si="38"/>
        <v>317708.27606506238</v>
      </c>
      <c r="W19" s="41">
        <f t="shared" si="38"/>
        <v>246726.60701322829</v>
      </c>
      <c r="X19" s="41">
        <f t="shared" si="38"/>
        <v>186646.17388400398</v>
      </c>
      <c r="Y19" s="41">
        <f t="shared" si="38"/>
        <v>136065.18564534781</v>
      </c>
      <c r="Z19" s="41">
        <f t="shared" si="38"/>
        <v>98010.13751086354</v>
      </c>
      <c r="AA19" s="41">
        <f t="shared" si="38"/>
        <v>69604.342753344012</v>
      </c>
      <c r="AB19" s="41">
        <f t="shared" si="38"/>
        <v>48919.178299237501</v>
      </c>
      <c r="AC19" s="41">
        <f t="shared" si="38"/>
        <v>34106.278881931183</v>
      </c>
      <c r="AD19" s="41">
        <f t="shared" si="38"/>
        <v>23609.291681191829</v>
      </c>
      <c r="AE19" s="41">
        <f t="shared" si="38"/>
        <v>16253.16903793914</v>
      </c>
      <c r="AF19" s="41">
        <f t="shared" si="38"/>
        <v>11140.903747993358</v>
      </c>
      <c r="AG19" s="41">
        <f t="shared" si="38"/>
        <v>7608.6861855317729</v>
      </c>
      <c r="AH19" s="41">
        <f t="shared" si="38"/>
        <v>5184.5946804058067</v>
      </c>
      <c r="AI19" s="41"/>
      <c r="AJ19" s="41">
        <f>AJ11*(1-D24)</f>
        <v>678043.70645169273</v>
      </c>
      <c r="AK19" s="41">
        <f t="shared" ref="AK19:BN19" si="39">AK11*(1-E24)</f>
        <v>694150.39878930326</v>
      </c>
      <c r="AL19" s="41">
        <f t="shared" si="39"/>
        <v>709225.43167677079</v>
      </c>
      <c r="AM19" s="41">
        <f t="shared" si="39"/>
        <v>723969.91819659737</v>
      </c>
      <c r="AN19" s="41">
        <f t="shared" si="39"/>
        <v>738211.35844008741</v>
      </c>
      <c r="AO19" s="41">
        <f t="shared" si="39"/>
        <v>751848.24032516277</v>
      </c>
      <c r="AP19" s="41">
        <f t="shared" si="39"/>
        <v>762980.01107310876</v>
      </c>
      <c r="AQ19" s="41">
        <f t="shared" si="39"/>
        <v>772896.82793609693</v>
      </c>
      <c r="AR19" s="41">
        <f t="shared" si="39"/>
        <v>780971.98451230465</v>
      </c>
      <c r="AS19" s="41">
        <f t="shared" si="39"/>
        <v>786137.28942795866</v>
      </c>
      <c r="AT19" s="41">
        <f t="shared" si="39"/>
        <v>786694.83529978234</v>
      </c>
      <c r="AU19" s="41">
        <f t="shared" si="39"/>
        <v>773066.63237536477</v>
      </c>
      <c r="AV19" s="41">
        <f t="shared" si="39"/>
        <v>750218.06888225267</v>
      </c>
      <c r="AW19" s="41">
        <f t="shared" si="39"/>
        <v>713434.53948834992</v>
      </c>
      <c r="AX19" s="41">
        <f t="shared" si="39"/>
        <v>661598.34304834425</v>
      </c>
      <c r="AY19" s="41">
        <f t="shared" si="39"/>
        <v>594971.0434460548</v>
      </c>
      <c r="AZ19" s="41">
        <f t="shared" si="39"/>
        <v>517068.6888059093</v>
      </c>
      <c r="BA19" s="41">
        <f t="shared" si="39"/>
        <v>433522.96228689188</v>
      </c>
      <c r="BB19" s="41">
        <f t="shared" si="39"/>
        <v>351128.29318421363</v>
      </c>
      <c r="BC19" s="41">
        <f t="shared" si="39"/>
        <v>275678.1334978246</v>
      </c>
      <c r="BD19" s="41">
        <f t="shared" si="39"/>
        <v>210909.2715402458</v>
      </c>
      <c r="BE19" s="41">
        <f t="shared" si="39"/>
        <v>156015.07361401597</v>
      </c>
      <c r="BF19" s="41">
        <f t="shared" si="39"/>
        <v>113949.93305932209</v>
      </c>
      <c r="BG19" s="41">
        <f t="shared" si="39"/>
        <v>82158.335270534721</v>
      </c>
      <c r="BH19" s="41">
        <f t="shared" si="39"/>
        <v>58667.254439188036</v>
      </c>
      <c r="BI19" s="41">
        <f t="shared" si="39"/>
        <v>41584.209140880761</v>
      </c>
      <c r="BJ19" s="41">
        <f t="shared" si="39"/>
        <v>29315.728580854768</v>
      </c>
      <c r="BK19" s="41">
        <f t="shared" si="39"/>
        <v>20586.29462621826</v>
      </c>
      <c r="BL19" s="41">
        <f t="shared" si="39"/>
        <v>14414.045141929142</v>
      </c>
      <c r="BM19" s="41">
        <f t="shared" si="39"/>
        <v>10070.341233447651</v>
      </c>
      <c r="BN19" s="41">
        <f t="shared" si="39"/>
        <v>7036.619425747228</v>
      </c>
      <c r="BP19" s="41">
        <f>BP11</f>
        <v>678075.21276906016</v>
      </c>
      <c r="BQ19" s="41">
        <f t="shared" ref="BQ19:CT19" si="40">BQ11</f>
        <v>685632.28975352761</v>
      </c>
      <c r="BR19" s="41">
        <f t="shared" si="40"/>
        <v>693138.4073485058</v>
      </c>
      <c r="BS19" s="41">
        <f t="shared" si="40"/>
        <v>700592.454413431</v>
      </c>
      <c r="BT19" s="41">
        <f t="shared" si="40"/>
        <v>707993.2969077084</v>
      </c>
      <c r="BU19" s="41">
        <f t="shared" si="40"/>
        <v>715339.77743573778</v>
      </c>
      <c r="BV19" s="41">
        <f t="shared" si="40"/>
        <v>722630.71478312847</v>
      </c>
      <c r="BW19" s="41">
        <f t="shared" si="40"/>
        <v>729864.90344393777</v>
      </c>
      <c r="BX19" s="41">
        <f t="shared" si="40"/>
        <v>737041.11313876242</v>
      </c>
      <c r="BY19" s="41">
        <f t="shared" si="40"/>
        <v>744158.08832350816</v>
      </c>
      <c r="BZ19" s="41">
        <f t="shared" si="40"/>
        <v>751214.54768866173</v>
      </c>
      <c r="CA19" s="41">
        <f t="shared" si="40"/>
        <v>758209.18364888465</v>
      </c>
      <c r="CB19" s="41">
        <f t="shared" si="40"/>
        <v>765140.66182274523</v>
      </c>
      <c r="CC19" s="41">
        <f t="shared" si="40"/>
        <v>772007.62050240126</v>
      </c>
      <c r="CD19" s="41">
        <f t="shared" si="40"/>
        <v>778808.67011304351</v>
      </c>
      <c r="CE19" s="41">
        <f t="shared" si="40"/>
        <v>785542.39266190608</v>
      </c>
      <c r="CF19" s="41">
        <f t="shared" si="40"/>
        <v>792207.3411766449</v>
      </c>
      <c r="CG19" s="41">
        <f t="shared" si="40"/>
        <v>798802.03913288366</v>
      </c>
      <c r="CH19" s="41">
        <f t="shared" si="40"/>
        <v>805324.97987072251</v>
      </c>
      <c r="CI19" s="41">
        <f t="shared" si="40"/>
        <v>811774.62599999912</v>
      </c>
      <c r="CJ19" s="41">
        <f t="shared" si="40"/>
        <v>818149.40879409038</v>
      </c>
      <c r="CK19" s="41">
        <f t="shared" si="40"/>
        <v>824447.72757203737</v>
      </c>
      <c r="CL19" s="41">
        <f t="shared" si="40"/>
        <v>830667.94906877249</v>
      </c>
      <c r="CM19" s="41">
        <f t="shared" si="40"/>
        <v>836808.40679322463</v>
      </c>
      <c r="CN19" s="41">
        <f t="shared" si="40"/>
        <v>842867.40037407144</v>
      </c>
      <c r="CO19" s="41">
        <f t="shared" si="40"/>
        <v>848843.19489290717</v>
      </c>
      <c r="CP19" s="41">
        <f t="shared" si="40"/>
        <v>854734.02020458598</v>
      </c>
      <c r="CQ19" s="41">
        <f t="shared" si="40"/>
        <v>860538.07024450076</v>
      </c>
      <c r="CR19" s="41">
        <f t="shared" si="40"/>
        <v>866253.50232254865</v>
      </c>
      <c r="CS19" s="41">
        <f t="shared" si="40"/>
        <v>871878.43640353275</v>
      </c>
      <c r="CT19" s="41">
        <f t="shared" si="40"/>
        <v>877410.9543737449</v>
      </c>
    </row>
    <row r="20" spans="1:98" s="77" customFormat="1" ht="15.5" thickBot="1">
      <c r="A20" s="570" t="s">
        <v>1541</v>
      </c>
      <c r="C20" s="159" t="s">
        <v>166</v>
      </c>
      <c r="D20" s="567">
        <f>D11*D24</f>
        <v>31.251538316058184</v>
      </c>
      <c r="E20" s="567">
        <f t="shared" ref="E20:AH20" si="41">E11*E24</f>
        <v>61.873217805515324</v>
      </c>
      <c r="F20" s="567">
        <f t="shared" si="41"/>
        <v>122.03396907544254</v>
      </c>
      <c r="G20" s="567">
        <f t="shared" si="41"/>
        <v>239.91076379064017</v>
      </c>
      <c r="H20" s="567">
        <f t="shared" si="41"/>
        <v>469.57727502256665</v>
      </c>
      <c r="I20" s="567">
        <f t="shared" si="41"/>
        <v>913.85682333545219</v>
      </c>
      <c r="J20" s="567">
        <f t="shared" si="41"/>
        <v>1756.5528614320672</v>
      </c>
      <c r="K20" s="567">
        <f t="shared" si="41"/>
        <v>3342.0558818611462</v>
      </c>
      <c r="L20" s="567">
        <f t="shared" si="41"/>
        <v>6272.7495242080158</v>
      </c>
      <c r="M20" s="567">
        <f t="shared" si="41"/>
        <v>11562.725096374144</v>
      </c>
      <c r="N20" s="567">
        <f t="shared" si="41"/>
        <v>20815.320246177733</v>
      </c>
      <c r="O20" s="567">
        <f t="shared" si="41"/>
        <v>35946.131550335886</v>
      </c>
      <c r="P20" s="567">
        <f t="shared" si="41"/>
        <v>59822.276256742356</v>
      </c>
      <c r="Q20" s="567">
        <f t="shared" si="41"/>
        <v>94926.610823622425</v>
      </c>
      <c r="R20" s="567">
        <f t="shared" si="41"/>
        <v>142871.60750104478</v>
      </c>
      <c r="S20" s="567">
        <f t="shared" si="41"/>
        <v>202987.23530839579</v>
      </c>
      <c r="T20" s="567">
        <f t="shared" si="41"/>
        <v>272060.94125152612</v>
      </c>
      <c r="U20" s="567">
        <f t="shared" si="41"/>
        <v>344314.98602875229</v>
      </c>
      <c r="V20" s="567">
        <f t="shared" si="41"/>
        <v>413433.11799452337</v>
      </c>
      <c r="W20" s="567">
        <f t="shared" si="41"/>
        <v>474359.50758008315</v>
      </c>
      <c r="X20" s="567">
        <f t="shared" si="41"/>
        <v>524513.3579921131</v>
      </c>
      <c r="Y20" s="567">
        <f t="shared" si="41"/>
        <v>554377.52417037694</v>
      </c>
      <c r="Z20" s="567">
        <f t="shared" si="41"/>
        <v>575491.80151460529</v>
      </c>
      <c r="AA20" s="567">
        <f t="shared" si="41"/>
        <v>586415.96396999992</v>
      </c>
      <c r="AB20" s="567">
        <f t="shared" si="41"/>
        <v>589480.97790507087</v>
      </c>
      <c r="AC20" s="567">
        <f t="shared" si="41"/>
        <v>586482.99544436205</v>
      </c>
      <c r="AD20" s="567">
        <f t="shared" si="41"/>
        <v>578398.35651361337</v>
      </c>
      <c r="AE20" s="567">
        <f t="shared" si="41"/>
        <v>566633.10566434602</v>
      </c>
      <c r="AF20" s="567">
        <f t="shared" si="41"/>
        <v>552264.53532307094</v>
      </c>
      <c r="AG20" s="567">
        <f t="shared" si="41"/>
        <v>535977.45280268614</v>
      </c>
      <c r="AH20" s="567">
        <f t="shared" si="41"/>
        <v>518779.83999254741</v>
      </c>
      <c r="AI20" s="567"/>
      <c r="AJ20" s="567">
        <f>AJ11*D24</f>
        <v>31.251547715263882</v>
      </c>
      <c r="AK20" s="567">
        <f t="shared" ref="AK20:BN20" si="42">AK11*E24</f>
        <v>61.956782879249822</v>
      </c>
      <c r="AL20" s="567">
        <f t="shared" si="42"/>
        <v>122.37974864502181</v>
      </c>
      <c r="AM20" s="567">
        <f t="shared" si="42"/>
        <v>240.94237306106388</v>
      </c>
      <c r="AN20" s="567">
        <f t="shared" si="42"/>
        <v>472.30158031442812</v>
      </c>
      <c r="AO20" s="567">
        <f t="shared" si="42"/>
        <v>920.56501981879342</v>
      </c>
      <c r="AP20" s="567">
        <f t="shared" si="42"/>
        <v>1776.8375000406659</v>
      </c>
      <c r="AQ20" s="567">
        <f t="shared" si="42"/>
        <v>3395.2127356630754</v>
      </c>
      <c r="AR20" s="567">
        <f t="shared" si="42"/>
        <v>6400.8834990183595</v>
      </c>
      <c r="AS20" s="567">
        <f t="shared" si="42"/>
        <v>11853.340918777083</v>
      </c>
      <c r="AT20" s="567">
        <f t="shared" si="42"/>
        <v>21440.984464374284</v>
      </c>
      <c r="AU20" s="567">
        <f t="shared" si="42"/>
        <v>37288.286571351688</v>
      </c>
      <c r="AV20" s="567">
        <f t="shared" si="42"/>
        <v>62507.218175049464</v>
      </c>
      <c r="AW20" s="567">
        <f t="shared" si="42"/>
        <v>100004.76338090957</v>
      </c>
      <c r="AX20" s="567">
        <f t="shared" si="42"/>
        <v>151843.11799530909</v>
      </c>
      <c r="AY20" s="567">
        <f t="shared" si="42"/>
        <v>217768.04737769131</v>
      </c>
      <c r="AZ20" s="567">
        <f t="shared" si="42"/>
        <v>294622.03163958213</v>
      </c>
      <c r="BA20" s="567">
        <f t="shared" si="42"/>
        <v>376564.06357906165</v>
      </c>
      <c r="BB20" s="567">
        <f t="shared" si="42"/>
        <v>456922.51667223213</v>
      </c>
      <c r="BC20" s="567">
        <f t="shared" si="42"/>
        <v>530022.05655757757</v>
      </c>
      <c r="BD20" s="567">
        <f t="shared" si="42"/>
        <v>592697.55144295271</v>
      </c>
      <c r="BE20" s="567">
        <f t="shared" si="42"/>
        <v>635660.39933856134</v>
      </c>
      <c r="BF20" s="567">
        <f t="shared" si="42"/>
        <v>669086.42232554068</v>
      </c>
      <c r="BG20" s="567">
        <f t="shared" si="42"/>
        <v>692183.23843057046</v>
      </c>
      <c r="BH20" s="567">
        <f t="shared" si="42"/>
        <v>706946.26770452561</v>
      </c>
      <c r="BI20" s="567">
        <f t="shared" si="42"/>
        <v>715071.60381102352</v>
      </c>
      <c r="BJ20" s="567">
        <f t="shared" si="42"/>
        <v>718198.98115255916</v>
      </c>
      <c r="BK20" s="567">
        <f t="shared" si="42"/>
        <v>717698.56272007164</v>
      </c>
      <c r="BL20" s="567">
        <f t="shared" si="42"/>
        <v>714517.07352440292</v>
      </c>
      <c r="BM20" s="567">
        <f t="shared" si="42"/>
        <v>709383.42199217691</v>
      </c>
      <c r="BN20" s="567">
        <f t="shared" si="42"/>
        <v>704096.7567964003</v>
      </c>
      <c r="BP20" s="77">
        <v>0</v>
      </c>
      <c r="BQ20" s="77">
        <v>0</v>
      </c>
      <c r="BR20" s="77">
        <v>0</v>
      </c>
      <c r="BS20" s="77">
        <v>0</v>
      </c>
      <c r="BT20" s="77">
        <v>0</v>
      </c>
      <c r="BU20" s="77">
        <v>0</v>
      </c>
      <c r="BV20" s="77">
        <v>0</v>
      </c>
      <c r="BW20" s="77">
        <v>0</v>
      </c>
      <c r="BX20" s="77">
        <v>0</v>
      </c>
      <c r="BY20" s="77">
        <v>0</v>
      </c>
      <c r="BZ20" s="77">
        <v>0</v>
      </c>
      <c r="CA20" s="77">
        <v>0</v>
      </c>
      <c r="CB20" s="77">
        <v>0</v>
      </c>
      <c r="CC20" s="77">
        <v>0</v>
      </c>
      <c r="CD20" s="77">
        <v>0</v>
      </c>
      <c r="CE20" s="77">
        <v>0</v>
      </c>
      <c r="CF20" s="77">
        <v>0</v>
      </c>
      <c r="CG20" s="77">
        <v>0</v>
      </c>
      <c r="CH20" s="77">
        <v>0</v>
      </c>
      <c r="CI20" s="77">
        <v>0</v>
      </c>
      <c r="CJ20" s="77">
        <v>0</v>
      </c>
      <c r="CK20" s="77">
        <v>0</v>
      </c>
      <c r="CL20" s="77">
        <v>0</v>
      </c>
      <c r="CM20" s="77">
        <v>0</v>
      </c>
      <c r="CN20" s="77">
        <v>0</v>
      </c>
      <c r="CO20" s="77">
        <v>0</v>
      </c>
      <c r="CP20" s="77">
        <v>0</v>
      </c>
      <c r="CQ20" s="77">
        <v>0</v>
      </c>
      <c r="CR20" s="77">
        <v>0</v>
      </c>
      <c r="CS20" s="77">
        <v>0</v>
      </c>
      <c r="CT20" s="77">
        <v>0</v>
      </c>
    </row>
    <row r="21" spans="1:98">
      <c r="A21" s="568"/>
      <c r="C21" s="51"/>
    </row>
    <row r="22" spans="1:98">
      <c r="B22" s="169" t="s">
        <v>1539</v>
      </c>
    </row>
    <row r="23" spans="1:98">
      <c r="A23" s="169"/>
      <c r="B23" s="197" t="s">
        <v>709</v>
      </c>
      <c r="D23" s="308">
        <v>0</v>
      </c>
      <c r="E23" s="308">
        <f t="shared" ref="E23:Y23" si="43">D23+1</f>
        <v>1</v>
      </c>
      <c r="F23" s="308">
        <f t="shared" si="43"/>
        <v>2</v>
      </c>
      <c r="G23" s="308">
        <f t="shared" si="43"/>
        <v>3</v>
      </c>
      <c r="H23" s="308">
        <f t="shared" si="43"/>
        <v>4</v>
      </c>
      <c r="I23" s="308">
        <f t="shared" si="43"/>
        <v>5</v>
      </c>
      <c r="J23" s="308">
        <f t="shared" si="43"/>
        <v>6</v>
      </c>
      <c r="K23" s="308">
        <f t="shared" si="43"/>
        <v>7</v>
      </c>
      <c r="L23" s="308">
        <f t="shared" si="43"/>
        <v>8</v>
      </c>
      <c r="M23" s="308">
        <f t="shared" si="43"/>
        <v>9</v>
      </c>
      <c r="N23" s="308">
        <f t="shared" si="43"/>
        <v>10</v>
      </c>
      <c r="O23" s="308">
        <f t="shared" si="43"/>
        <v>11</v>
      </c>
      <c r="P23" s="308">
        <f t="shared" si="43"/>
        <v>12</v>
      </c>
      <c r="Q23" s="308">
        <f t="shared" si="43"/>
        <v>13</v>
      </c>
      <c r="R23" s="308">
        <f t="shared" si="43"/>
        <v>14</v>
      </c>
      <c r="S23" s="308">
        <f t="shared" si="43"/>
        <v>15</v>
      </c>
      <c r="T23" s="308">
        <f t="shared" si="43"/>
        <v>16</v>
      </c>
      <c r="U23" s="308">
        <f t="shared" si="43"/>
        <v>17</v>
      </c>
      <c r="V23" s="308">
        <f t="shared" si="43"/>
        <v>18</v>
      </c>
      <c r="W23" s="308">
        <f t="shared" si="43"/>
        <v>19</v>
      </c>
      <c r="X23" s="308">
        <f t="shared" si="43"/>
        <v>20</v>
      </c>
      <c r="Y23" s="308">
        <f t="shared" si="43"/>
        <v>21</v>
      </c>
      <c r="Z23" s="308">
        <f t="shared" ref="Z23:AH23" si="44">Y23+1</f>
        <v>22</v>
      </c>
      <c r="AA23" s="308">
        <f t="shared" si="44"/>
        <v>23</v>
      </c>
      <c r="AB23" s="308">
        <f t="shared" si="44"/>
        <v>24</v>
      </c>
      <c r="AC23" s="308">
        <f t="shared" si="44"/>
        <v>25</v>
      </c>
      <c r="AD23" s="308">
        <f t="shared" si="44"/>
        <v>26</v>
      </c>
      <c r="AE23" s="308">
        <f t="shared" si="44"/>
        <v>27</v>
      </c>
      <c r="AF23" s="308">
        <f t="shared" si="44"/>
        <v>28</v>
      </c>
      <c r="AG23" s="308">
        <f t="shared" si="44"/>
        <v>29</v>
      </c>
      <c r="AH23" s="308">
        <f t="shared" si="44"/>
        <v>30</v>
      </c>
    </row>
    <row r="24" spans="1:98">
      <c r="B24" s="165"/>
      <c r="D24" s="310">
        <f>$D$29/((1+EXP(-$D$28*(D23-$D$30)))^$D$27)</f>
        <v>4.6088632748610021E-5</v>
      </c>
      <c r="E24" s="310">
        <f t="shared" ref="E24:AH24" si="45">$D$29/((1+EXP(-$D$28*(E23-$D$30)))^$D$27)</f>
        <v>8.924759460408035E-5</v>
      </c>
      <c r="F24" s="310">
        <f t="shared" si="45"/>
        <v>1.7252431976790472E-4</v>
      </c>
      <c r="G24" s="310">
        <f t="shared" si="45"/>
        <v>3.3269643715580369E-4</v>
      </c>
      <c r="H24" s="310">
        <f t="shared" si="45"/>
        <v>6.393827369910735E-4</v>
      </c>
      <c r="I24" s="310">
        <f t="shared" si="45"/>
        <v>1.2229053771654547E-3</v>
      </c>
      <c r="J24" s="310">
        <f t="shared" si="45"/>
        <v>2.3234018804222717E-3</v>
      </c>
      <c r="K24" s="310">
        <f t="shared" si="45"/>
        <v>4.3736281679830789E-3</v>
      </c>
      <c r="L24" s="310">
        <f t="shared" si="45"/>
        <v>8.1294184230466908E-3</v>
      </c>
      <c r="M24" s="310">
        <f t="shared" si="45"/>
        <v>1.4853985082038716E-2</v>
      </c>
      <c r="N24" s="310">
        <f t="shared" si="45"/>
        <v>2.6531412096832362E-2</v>
      </c>
      <c r="O24" s="310">
        <f t="shared" si="45"/>
        <v>4.6014759335105015E-2</v>
      </c>
      <c r="P24" s="310">
        <f t="shared" si="45"/>
        <v>7.6910635328419796E-2</v>
      </c>
      <c r="Q24" s="310">
        <f t="shared" si="45"/>
        <v>0.12294065829885638</v>
      </c>
      <c r="R24" s="310">
        <f t="shared" si="45"/>
        <v>0.18666754187878853</v>
      </c>
      <c r="S24" s="310">
        <f t="shared" si="45"/>
        <v>0.26794336563407328</v>
      </c>
      <c r="T24" s="310">
        <f t="shared" si="45"/>
        <v>0.36297326582455031</v>
      </c>
      <c r="U24" s="310">
        <f t="shared" si="45"/>
        <v>0.46484396312424381</v>
      </c>
      <c r="V24" s="310">
        <f t="shared" si="45"/>
        <v>0.56546260593861253</v>
      </c>
      <c r="W24" s="310">
        <f t="shared" si="45"/>
        <v>0.6578403022607352</v>
      </c>
      <c r="X24" s="310">
        <f t="shared" si="45"/>
        <v>0.73754668886795227</v>
      </c>
      <c r="Y24" s="310">
        <f t="shared" si="45"/>
        <v>0.80293052021410605</v>
      </c>
      <c r="Z24" s="310">
        <f t="shared" si="45"/>
        <v>0.85447682949112158</v>
      </c>
      <c r="AA24" s="310">
        <f t="shared" si="45"/>
        <v>0.89389910336617451</v>
      </c>
      <c r="AB24" s="310">
        <f t="shared" si="45"/>
        <v>0.92337223319290385</v>
      </c>
      <c r="AC24" s="310">
        <f t="shared" si="45"/>
        <v>0.94504210708611314</v>
      </c>
      <c r="AD24" s="310">
        <f t="shared" si="45"/>
        <v>0.96078240575184182</v>
      </c>
      <c r="AE24" s="310">
        <f t="shared" si="45"/>
        <v>0.97211605463477313</v>
      </c>
      <c r="AF24" s="310">
        <f t="shared" si="45"/>
        <v>0.98022577885232642</v>
      </c>
      <c r="AG24" s="310">
        <f t="shared" si="45"/>
        <v>0.98600279580400285</v>
      </c>
      <c r="AH24" s="310">
        <f t="shared" si="45"/>
        <v>0.9901050637460882</v>
      </c>
    </row>
    <row r="25" spans="1:98">
      <c r="A25" s="169"/>
      <c r="B25" s="165"/>
      <c r="D25" s="306"/>
      <c r="E25" s="306"/>
      <c r="F25" s="306"/>
      <c r="G25" s="306"/>
      <c r="H25" s="306"/>
      <c r="I25" s="306"/>
      <c r="J25" s="306"/>
      <c r="K25" s="306"/>
      <c r="L25" s="306"/>
      <c r="M25" s="306"/>
      <c r="N25" s="306"/>
      <c r="O25" s="306"/>
      <c r="P25" s="306"/>
      <c r="Q25" s="306"/>
      <c r="R25" s="306"/>
      <c r="S25" s="306"/>
      <c r="T25" s="306"/>
      <c r="U25" s="306"/>
      <c r="V25" s="306"/>
      <c r="W25" s="306"/>
      <c r="X25" s="306"/>
      <c r="Y25" s="306"/>
      <c r="Z25" s="306"/>
      <c r="AA25" s="306"/>
      <c r="AB25" s="306"/>
      <c r="AC25" s="306"/>
      <c r="AD25" s="306"/>
      <c r="AE25" s="306"/>
      <c r="AF25" s="306"/>
      <c r="AG25" s="306"/>
      <c r="AH25" s="306"/>
    </row>
    <row r="26" spans="1:98">
      <c r="A26" s="169"/>
      <c r="B26" s="165"/>
      <c r="C26" s="304"/>
      <c r="D26" s="304"/>
      <c r="E26" s="304"/>
      <c r="F26" s="304"/>
      <c r="G26" s="304"/>
      <c r="H26" s="304"/>
      <c r="I26" s="304"/>
      <c r="J26" s="304"/>
      <c r="K26" s="304"/>
      <c r="L26" s="304"/>
      <c r="M26" s="304"/>
      <c r="N26" s="304"/>
      <c r="O26" s="304"/>
      <c r="P26" s="304"/>
      <c r="Q26" s="304"/>
      <c r="R26" s="304"/>
      <c r="S26" s="304"/>
      <c r="T26" s="304"/>
      <c r="U26" s="304"/>
      <c r="V26" s="304"/>
      <c r="W26" s="304"/>
      <c r="X26" s="304"/>
      <c r="Y26" s="304"/>
      <c r="Z26" s="304"/>
      <c r="AA26" s="304"/>
      <c r="AB26" s="304"/>
      <c r="AC26" s="304"/>
      <c r="AD26" s="304"/>
      <c r="AE26" s="304"/>
      <c r="AF26" s="304"/>
      <c r="AG26" s="304"/>
      <c r="AH26" s="169"/>
    </row>
    <row r="27" spans="1:98">
      <c r="B27" s="169"/>
      <c r="C27" s="300" t="s">
        <v>717</v>
      </c>
      <c r="D27" s="48">
        <v>1.9</v>
      </c>
    </row>
    <row r="28" spans="1:98">
      <c r="B28" s="165" t="s">
        <v>716</v>
      </c>
      <c r="C28" s="300" t="s">
        <v>718</v>
      </c>
      <c r="D28" s="48">
        <v>0.35</v>
      </c>
    </row>
    <row r="29" spans="1:98">
      <c r="B29" s="165" t="s">
        <v>762</v>
      </c>
      <c r="C29" s="300" t="s">
        <v>719</v>
      </c>
      <c r="D29" s="48">
        <v>1</v>
      </c>
    </row>
    <row r="30" spans="1:98">
      <c r="B30" s="169"/>
      <c r="C30" s="300" t="s">
        <v>720</v>
      </c>
      <c r="D30" s="48">
        <v>15</v>
      </c>
    </row>
  </sheetData>
  <mergeCells count="3">
    <mergeCell ref="D1:AH1"/>
    <mergeCell ref="AJ1:BN1"/>
    <mergeCell ref="BP1:CT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146A8-9693-4D43-80E3-538E00E2E060}">
  <sheetPr>
    <tabColor theme="9"/>
  </sheetPr>
  <dimension ref="A1:CJ78"/>
  <sheetViews>
    <sheetView zoomScale="90" zoomScaleNormal="90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N66" sqref="N66"/>
    </sheetView>
  </sheetViews>
  <sheetFormatPr defaultRowHeight="14.75" outlineLevelRow="2" outlineLevelCol="1"/>
  <cols>
    <col min="1" max="1" width="42.54296875" style="1" customWidth="1"/>
    <col min="2" max="2" width="26.36328125" style="1" customWidth="1"/>
    <col min="3" max="3" width="10.81640625" customWidth="1"/>
    <col min="4" max="4" width="18.81640625" customWidth="1"/>
    <col min="5" max="6" width="8.81640625" hidden="1" customWidth="1" outlineLevel="1"/>
    <col min="7" max="7" width="11.08984375" hidden="1" customWidth="1" outlineLevel="1"/>
    <col min="8" max="8" width="8.81640625" hidden="1" customWidth="1" outlineLevel="1"/>
    <col min="9" max="9" width="9.54296875" hidden="1" customWidth="1" outlineLevel="1"/>
    <col min="10" max="13" width="8.81640625" hidden="1" customWidth="1" outlineLevel="1"/>
    <col min="14" max="14" width="8.81640625" customWidth="1" collapsed="1"/>
    <col min="15" max="15" width="11.36328125" hidden="1" customWidth="1" outlineLevel="1"/>
    <col min="16" max="23" width="8.81640625" hidden="1" customWidth="1" outlineLevel="1"/>
    <col min="24" max="24" width="11" bestFit="1" customWidth="1" collapsed="1"/>
    <col min="25" max="25" width="7.08984375" hidden="1" customWidth="1" outlineLevel="1"/>
    <col min="26" max="33" width="8.81640625" hidden="1" customWidth="1" outlineLevel="1"/>
    <col min="34" max="34" width="11" bestFit="1" customWidth="1" collapsed="1"/>
    <col min="35" max="35" width="16.36328125" bestFit="1" customWidth="1"/>
    <col min="36" max="36" width="18.81640625" customWidth="1"/>
    <col min="37" max="38" width="8.81640625" hidden="1" customWidth="1" outlineLevel="1"/>
    <col min="39" max="39" width="11.08984375" hidden="1" customWidth="1" outlineLevel="1"/>
    <col min="40" max="40" width="8.81640625" hidden="1" customWidth="1" outlineLevel="1"/>
    <col min="41" max="41" width="9.54296875" hidden="1" customWidth="1" outlineLevel="1"/>
    <col min="42" max="45" width="8.81640625" hidden="1" customWidth="1" outlineLevel="1"/>
    <col min="46" max="46" width="8.81640625" customWidth="1" collapsed="1"/>
    <col min="47" max="47" width="11.36328125" hidden="1" customWidth="1" outlineLevel="1"/>
    <col min="48" max="55" width="8.81640625" hidden="1" customWidth="1" outlineLevel="1"/>
    <col min="56" max="56" width="11.40625" bestFit="1" customWidth="1" collapsed="1"/>
    <col min="57" max="57" width="7.08984375" hidden="1" customWidth="1" outlineLevel="1"/>
    <col min="58" max="65" width="8.81640625" hidden="1" customWidth="1" outlineLevel="1"/>
    <col min="66" max="66" width="11.40625" bestFit="1" customWidth="1" collapsed="1"/>
    <col min="67" max="68" width="8.81640625" bestFit="1" customWidth="1"/>
    <col min="69" max="69" width="27" customWidth="1"/>
    <col min="70" max="70" width="37.36328125" bestFit="1" customWidth="1"/>
    <col min="71" max="97" width="8.81640625" bestFit="1" customWidth="1"/>
  </cols>
  <sheetData>
    <row r="1" spans="1:88">
      <c r="D1" s="683" t="s">
        <v>1188</v>
      </c>
      <c r="E1" s="683"/>
      <c r="F1" s="683"/>
      <c r="G1" s="683"/>
      <c r="H1" s="683"/>
      <c r="I1" s="683"/>
      <c r="J1" s="683"/>
      <c r="K1" s="683"/>
      <c r="L1" s="683"/>
      <c r="M1" s="683"/>
      <c r="N1" s="683"/>
      <c r="O1" s="683"/>
      <c r="P1" s="683"/>
      <c r="Q1" s="683"/>
      <c r="R1" s="683"/>
      <c r="S1" s="683"/>
      <c r="T1" s="683"/>
      <c r="U1" s="683"/>
      <c r="V1" s="683"/>
      <c r="W1" s="683"/>
      <c r="X1" s="683"/>
      <c r="Y1" s="683"/>
      <c r="Z1" s="683"/>
      <c r="AA1" s="683"/>
      <c r="AB1" s="683"/>
      <c r="AC1" s="683"/>
      <c r="AD1" s="683"/>
      <c r="AE1" s="683"/>
      <c r="AF1" s="683"/>
      <c r="AG1" s="683"/>
      <c r="AH1" s="683"/>
      <c r="AJ1" s="683" t="s">
        <v>1189</v>
      </c>
      <c r="AK1" s="683"/>
      <c r="AL1" s="683"/>
      <c r="AM1" s="683"/>
      <c r="AN1" s="683"/>
      <c r="AO1" s="683"/>
      <c r="AP1" s="683"/>
      <c r="AQ1" s="683"/>
      <c r="AR1" s="683"/>
      <c r="AS1" s="683"/>
      <c r="AT1" s="683"/>
      <c r="AU1" s="683"/>
      <c r="AV1" s="683"/>
      <c r="AW1" s="683"/>
      <c r="AX1" s="683"/>
      <c r="AY1" s="683"/>
      <c r="AZ1" s="683"/>
      <c r="BA1" s="683"/>
      <c r="BB1" s="683"/>
      <c r="BC1" s="683"/>
      <c r="BD1" s="683"/>
      <c r="BE1" s="683"/>
      <c r="BF1" s="683"/>
      <c r="BG1" s="683"/>
      <c r="BH1" s="683"/>
      <c r="BI1" s="683"/>
      <c r="BJ1" s="683"/>
      <c r="BK1" s="683"/>
      <c r="BL1" s="683"/>
      <c r="BM1" s="683"/>
      <c r="BN1" s="683"/>
    </row>
    <row r="2" spans="1:88" s="50" customFormat="1">
      <c r="A2" s="49" t="s">
        <v>1520</v>
      </c>
      <c r="B2" s="49"/>
      <c r="C2" s="49"/>
      <c r="AI2"/>
    </row>
    <row r="3" spans="1:88" s="1" customFormat="1" ht="15.5" thickBot="1">
      <c r="D3" s="1">
        <v>2020</v>
      </c>
      <c r="E3" s="1">
        <f>D3+1</f>
        <v>2021</v>
      </c>
      <c r="F3" s="1">
        <f t="shared" ref="F3:AH3" si="0">E3+1</f>
        <v>2022</v>
      </c>
      <c r="G3" s="1">
        <f t="shared" si="0"/>
        <v>2023</v>
      </c>
      <c r="H3" s="1">
        <f t="shared" si="0"/>
        <v>2024</v>
      </c>
      <c r="I3" s="1">
        <f t="shared" si="0"/>
        <v>2025</v>
      </c>
      <c r="J3" s="1">
        <f t="shared" si="0"/>
        <v>2026</v>
      </c>
      <c r="K3" s="1">
        <f t="shared" si="0"/>
        <v>2027</v>
      </c>
      <c r="L3" s="1">
        <f t="shared" si="0"/>
        <v>2028</v>
      </c>
      <c r="M3" s="1">
        <f t="shared" si="0"/>
        <v>2029</v>
      </c>
      <c r="N3" s="1">
        <f t="shared" si="0"/>
        <v>2030</v>
      </c>
      <c r="O3" s="1">
        <f t="shared" si="0"/>
        <v>2031</v>
      </c>
      <c r="P3" s="1">
        <f t="shared" si="0"/>
        <v>2032</v>
      </c>
      <c r="Q3" s="1">
        <f t="shared" si="0"/>
        <v>2033</v>
      </c>
      <c r="R3" s="1">
        <f>Q3+1</f>
        <v>2034</v>
      </c>
      <c r="S3" s="1">
        <f t="shared" si="0"/>
        <v>2035</v>
      </c>
      <c r="T3" s="1">
        <f t="shared" si="0"/>
        <v>2036</v>
      </c>
      <c r="U3" s="1">
        <f t="shared" si="0"/>
        <v>2037</v>
      </c>
      <c r="V3" s="1">
        <f t="shared" si="0"/>
        <v>2038</v>
      </c>
      <c r="W3" s="1">
        <f t="shared" si="0"/>
        <v>2039</v>
      </c>
      <c r="X3" s="1">
        <f t="shared" si="0"/>
        <v>2040</v>
      </c>
      <c r="Y3" s="1">
        <f t="shared" si="0"/>
        <v>2041</v>
      </c>
      <c r="Z3" s="1">
        <f t="shared" si="0"/>
        <v>2042</v>
      </c>
      <c r="AA3" s="1">
        <f t="shared" si="0"/>
        <v>2043</v>
      </c>
      <c r="AB3" s="1">
        <f t="shared" si="0"/>
        <v>2044</v>
      </c>
      <c r="AC3" s="1">
        <f>AB3+1</f>
        <v>2045</v>
      </c>
      <c r="AD3" s="1">
        <f t="shared" si="0"/>
        <v>2046</v>
      </c>
      <c r="AE3" s="1">
        <f t="shared" si="0"/>
        <v>2047</v>
      </c>
      <c r="AF3" s="1">
        <f t="shared" si="0"/>
        <v>2048</v>
      </c>
      <c r="AG3" s="1">
        <f>AF3+1</f>
        <v>2049</v>
      </c>
      <c r="AH3" s="1">
        <f t="shared" si="0"/>
        <v>2050</v>
      </c>
      <c r="AJ3" s="1">
        <v>2020</v>
      </c>
      <c r="AK3" s="1">
        <f>AJ3+1</f>
        <v>2021</v>
      </c>
      <c r="AL3" s="1">
        <f t="shared" ref="AL3:AW3" si="1">AK3+1</f>
        <v>2022</v>
      </c>
      <c r="AM3" s="1">
        <f t="shared" si="1"/>
        <v>2023</v>
      </c>
      <c r="AN3" s="1">
        <f t="shared" si="1"/>
        <v>2024</v>
      </c>
      <c r="AO3" s="1">
        <f t="shared" si="1"/>
        <v>2025</v>
      </c>
      <c r="AP3" s="1">
        <f t="shared" si="1"/>
        <v>2026</v>
      </c>
      <c r="AQ3" s="1">
        <f t="shared" si="1"/>
        <v>2027</v>
      </c>
      <c r="AR3" s="1">
        <f t="shared" si="1"/>
        <v>2028</v>
      </c>
      <c r="AS3" s="1">
        <f t="shared" si="1"/>
        <v>2029</v>
      </c>
      <c r="AT3" s="1">
        <f t="shared" si="1"/>
        <v>2030</v>
      </c>
      <c r="AU3" s="1">
        <f t="shared" si="1"/>
        <v>2031</v>
      </c>
      <c r="AV3" s="1">
        <f t="shared" si="1"/>
        <v>2032</v>
      </c>
      <c r="AW3" s="1">
        <f t="shared" si="1"/>
        <v>2033</v>
      </c>
      <c r="AX3" s="1">
        <f>AW3+1</f>
        <v>2034</v>
      </c>
      <c r="AY3" s="1">
        <f t="shared" ref="AY3:BH3" si="2">AX3+1</f>
        <v>2035</v>
      </c>
      <c r="AZ3" s="1">
        <f t="shared" si="2"/>
        <v>2036</v>
      </c>
      <c r="BA3" s="1">
        <f t="shared" si="2"/>
        <v>2037</v>
      </c>
      <c r="BB3" s="1">
        <f t="shared" si="2"/>
        <v>2038</v>
      </c>
      <c r="BC3" s="1">
        <f t="shared" si="2"/>
        <v>2039</v>
      </c>
      <c r="BD3" s="1">
        <f t="shared" si="2"/>
        <v>2040</v>
      </c>
      <c r="BE3" s="1">
        <f t="shared" si="2"/>
        <v>2041</v>
      </c>
      <c r="BF3" s="1">
        <f t="shared" si="2"/>
        <v>2042</v>
      </c>
      <c r="BG3" s="1">
        <f t="shared" si="2"/>
        <v>2043</v>
      </c>
      <c r="BH3" s="1">
        <f t="shared" si="2"/>
        <v>2044</v>
      </c>
      <c r="BI3" s="1">
        <f>BH3+1</f>
        <v>2045</v>
      </c>
      <c r="BJ3" s="1">
        <f t="shared" ref="BJ3:BL3" si="3">BI3+1</f>
        <v>2046</v>
      </c>
      <c r="BK3" s="1">
        <f t="shared" si="3"/>
        <v>2047</v>
      </c>
      <c r="BL3" s="1">
        <f t="shared" si="3"/>
        <v>2048</v>
      </c>
      <c r="BM3" s="1">
        <f>BL3+1</f>
        <v>2049</v>
      </c>
      <c r="BN3" s="1">
        <f t="shared" ref="BN3" si="4">BM3+1</f>
        <v>2050</v>
      </c>
    </row>
    <row r="4" spans="1:88" s="527" customFormat="1">
      <c r="A4" s="523" t="s">
        <v>1521</v>
      </c>
      <c r="B4" s="524"/>
      <c r="C4" s="525" t="s">
        <v>166</v>
      </c>
      <c r="D4" s="628">
        <f>'Yearly Demand - C4'!O5</f>
        <v>80369.95000000007</v>
      </c>
      <c r="E4" s="628">
        <f>'Yearly Demand - C4'!P5</f>
        <v>80369.95000000007</v>
      </c>
      <c r="F4" s="628">
        <f>'Yearly Demand - C4'!Q5</f>
        <v>80369.95000000007</v>
      </c>
      <c r="G4" s="628">
        <f>'Yearly Demand - C4'!R5</f>
        <v>80369.95000000007</v>
      </c>
      <c r="H4" s="628">
        <f>'Yearly Demand - C4'!S5</f>
        <v>80369.95000000007</v>
      </c>
      <c r="I4" s="628">
        <f>'Yearly Demand - C4'!T5</f>
        <v>80369.95000000007</v>
      </c>
      <c r="J4" s="628">
        <f>'Yearly Demand - C4'!U5</f>
        <v>80369.95000000007</v>
      </c>
      <c r="K4" s="628">
        <f>'Yearly Demand - C4'!V5</f>
        <v>80369.95000000007</v>
      </c>
      <c r="L4" s="628">
        <f>'Yearly Demand - C4'!W5</f>
        <v>80369.95000000007</v>
      </c>
      <c r="M4" s="628">
        <f>'Yearly Demand - C4'!X5</f>
        <v>80369.95000000007</v>
      </c>
      <c r="N4" s="628">
        <f>'Yearly Demand - C4'!Y5</f>
        <v>80369.95000000007</v>
      </c>
      <c r="O4" s="628">
        <f>'Yearly Demand - C4'!Z5</f>
        <v>80369.95000000007</v>
      </c>
      <c r="P4" s="628">
        <f>'Yearly Demand - C4'!AA5</f>
        <v>80369.95000000007</v>
      </c>
      <c r="Q4" s="628">
        <f>'Yearly Demand - C4'!AB5</f>
        <v>80369.95000000007</v>
      </c>
      <c r="R4" s="628">
        <f>'Yearly Demand - C4'!AC5</f>
        <v>80369.95000000007</v>
      </c>
      <c r="S4" s="628">
        <f>'Yearly Demand - C4'!AD5</f>
        <v>80369.95000000007</v>
      </c>
      <c r="T4" s="628">
        <f>'Yearly Demand - C4'!AE5</f>
        <v>80369.95000000007</v>
      </c>
      <c r="U4" s="628">
        <f>'Yearly Demand - C4'!AF5</f>
        <v>80369.95000000007</v>
      </c>
      <c r="V4" s="628">
        <f>'Yearly Demand - C4'!AG5</f>
        <v>80369.95000000007</v>
      </c>
      <c r="W4" s="628">
        <f>'Yearly Demand - C4'!AH5</f>
        <v>80369.95000000007</v>
      </c>
      <c r="X4" s="628">
        <f>'Yearly Demand - C4'!AI5</f>
        <v>80369.95000000007</v>
      </c>
      <c r="Y4" s="628">
        <f>'Yearly Demand - C4'!AJ5</f>
        <v>80369.95000000007</v>
      </c>
      <c r="Z4" s="628">
        <f>'Yearly Demand - C4'!AK5</f>
        <v>80369.95000000007</v>
      </c>
      <c r="AA4" s="628">
        <f>'Yearly Demand - C4'!AL5</f>
        <v>80369.95000000007</v>
      </c>
      <c r="AB4" s="628">
        <f>'Yearly Demand - C4'!AM5</f>
        <v>80369.95000000007</v>
      </c>
      <c r="AC4" s="628">
        <f>'Yearly Demand - C4'!AN5</f>
        <v>80369.95000000007</v>
      </c>
      <c r="AD4" s="628">
        <f>'Yearly Demand - C4'!AO5</f>
        <v>80369.95000000007</v>
      </c>
      <c r="AE4" s="628">
        <f>'Yearly Demand - C4'!AP5</f>
        <v>80369.95000000007</v>
      </c>
      <c r="AF4" s="628">
        <f>'Yearly Demand - C4'!AQ5</f>
        <v>80369.95000000007</v>
      </c>
      <c r="AG4" s="628">
        <f>'Yearly Demand - C4'!AR5</f>
        <v>80369.95000000007</v>
      </c>
      <c r="AH4" s="628">
        <f>'Yearly Demand - C4'!AS5</f>
        <v>80369.95000000007</v>
      </c>
      <c r="AI4" s="629"/>
      <c r="AJ4" s="628">
        <f>D4</f>
        <v>80369.95000000007</v>
      </c>
      <c r="AK4" s="628">
        <f t="shared" ref="AK4:AZ4" si="5">E4</f>
        <v>80369.95000000007</v>
      </c>
      <c r="AL4" s="628">
        <f t="shared" si="5"/>
        <v>80369.95000000007</v>
      </c>
      <c r="AM4" s="628">
        <f t="shared" si="5"/>
        <v>80369.95000000007</v>
      </c>
      <c r="AN4" s="628">
        <f t="shared" si="5"/>
        <v>80369.95000000007</v>
      </c>
      <c r="AO4" s="628">
        <f t="shared" si="5"/>
        <v>80369.95000000007</v>
      </c>
      <c r="AP4" s="628">
        <f t="shared" si="5"/>
        <v>80369.95000000007</v>
      </c>
      <c r="AQ4" s="628">
        <f t="shared" si="5"/>
        <v>80369.95000000007</v>
      </c>
      <c r="AR4" s="628">
        <f t="shared" si="5"/>
        <v>80369.95000000007</v>
      </c>
      <c r="AS4" s="628">
        <f t="shared" si="5"/>
        <v>80369.95000000007</v>
      </c>
      <c r="AT4" s="628">
        <f t="shared" si="5"/>
        <v>80369.95000000007</v>
      </c>
      <c r="AU4" s="628">
        <f t="shared" si="5"/>
        <v>80369.95000000007</v>
      </c>
      <c r="AV4" s="628">
        <f t="shared" si="5"/>
        <v>80369.95000000007</v>
      </c>
      <c r="AW4" s="628">
        <f t="shared" si="5"/>
        <v>80369.95000000007</v>
      </c>
      <c r="AX4" s="628">
        <f t="shared" si="5"/>
        <v>80369.95000000007</v>
      </c>
      <c r="AY4" s="628">
        <f t="shared" si="5"/>
        <v>80369.95000000007</v>
      </c>
      <c r="AZ4" s="628">
        <f t="shared" si="5"/>
        <v>80369.95000000007</v>
      </c>
      <c r="BA4" s="628">
        <f t="shared" ref="BA4:BN4" si="6">U4</f>
        <v>80369.95000000007</v>
      </c>
      <c r="BB4" s="628">
        <f t="shared" si="6"/>
        <v>80369.95000000007</v>
      </c>
      <c r="BC4" s="628">
        <f t="shared" si="6"/>
        <v>80369.95000000007</v>
      </c>
      <c r="BD4" s="628">
        <f t="shared" si="6"/>
        <v>80369.95000000007</v>
      </c>
      <c r="BE4" s="628">
        <f t="shared" si="6"/>
        <v>80369.95000000007</v>
      </c>
      <c r="BF4" s="628">
        <f t="shared" si="6"/>
        <v>80369.95000000007</v>
      </c>
      <c r="BG4" s="628">
        <f t="shared" si="6"/>
        <v>80369.95000000007</v>
      </c>
      <c r="BH4" s="628">
        <f t="shared" si="6"/>
        <v>80369.95000000007</v>
      </c>
      <c r="BI4" s="628">
        <f t="shared" si="6"/>
        <v>80369.95000000007</v>
      </c>
      <c r="BJ4" s="628">
        <f t="shared" si="6"/>
        <v>80369.95000000007</v>
      </c>
      <c r="BK4" s="628">
        <f t="shared" si="6"/>
        <v>80369.95000000007</v>
      </c>
      <c r="BL4" s="628">
        <f t="shared" si="6"/>
        <v>80369.95000000007</v>
      </c>
      <c r="BM4" s="628">
        <f t="shared" si="6"/>
        <v>80369.95000000007</v>
      </c>
      <c r="BN4" s="628">
        <f t="shared" si="6"/>
        <v>80369.95000000007</v>
      </c>
    </row>
    <row r="5" spans="1:88">
      <c r="C5" s="51"/>
      <c r="D5" s="101"/>
      <c r="E5" s="101"/>
      <c r="F5" s="101"/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/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/>
      <c r="AE5" s="101"/>
      <c r="AF5" s="101"/>
      <c r="AG5" s="101"/>
      <c r="AH5" s="101"/>
      <c r="AI5" s="191"/>
      <c r="AJ5" s="101"/>
      <c r="AK5" s="101"/>
      <c r="AL5" s="101"/>
      <c r="AM5" s="101"/>
      <c r="AN5" s="101"/>
      <c r="AO5" s="101"/>
      <c r="AP5" s="101"/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/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1"/>
      <c r="BY5" s="27" t="s">
        <v>164</v>
      </c>
      <c r="BZ5" s="516"/>
      <c r="CA5" s="517"/>
      <c r="CB5" s="514"/>
      <c r="CD5" s="516"/>
      <c r="CE5" s="518">
        <f>-BN7+AH11-AH15</f>
        <v>-23682.946127721454</v>
      </c>
      <c r="CF5" s="519">
        <f>-AH21</f>
        <v>-126.57980089464296</v>
      </c>
      <c r="CG5" s="513">
        <f>-AH27</f>
        <v>-5553.6927109910766</v>
      </c>
      <c r="CH5" s="519">
        <f>-AH37</f>
        <v>-3788.0768533500022</v>
      </c>
      <c r="CJ5" s="516"/>
    </row>
    <row r="6" spans="1:88" outlineLevel="1">
      <c r="A6" s="55" t="s">
        <v>900</v>
      </c>
      <c r="B6" s="55" t="s">
        <v>901</v>
      </c>
      <c r="C6" s="62"/>
      <c r="D6" s="630">
        <v>0</v>
      </c>
      <c r="E6" s="630">
        <f>$D$6*(1+'Demand - C4'!$K$28)^(E3-$D$3)</f>
        <v>0</v>
      </c>
      <c r="F6" s="630">
        <f>$D$6*(1+'Demand - C4'!$K$28)^(F3-$D$3)</f>
        <v>0</v>
      </c>
      <c r="G6" s="630">
        <f>$D$6*(1+'Demand - C4'!$K$28)^(G3-$D$3)</f>
        <v>0</v>
      </c>
      <c r="H6" s="630">
        <f>$D$6*(1+'Demand - C4'!$K$28)^(H3-$D$3)</f>
        <v>0</v>
      </c>
      <c r="I6" s="630">
        <f>$D$6*(1+'Demand - C4'!$K$28)^(I3-$D$3)</f>
        <v>0</v>
      </c>
      <c r="J6" s="630">
        <f>$D$6*(1+'Demand - C4'!$K$28)^(J3-$D$3)</f>
        <v>0</v>
      </c>
      <c r="K6" s="630">
        <f>$D$6*(1+'Demand - C4'!$K$28)^(K3-$D$3)</f>
        <v>0</v>
      </c>
      <c r="L6" s="630">
        <f>$D$6*(1+'Demand - C4'!$K$28)^(L3-$D$3)</f>
        <v>0</v>
      </c>
      <c r="M6" s="630">
        <f>$D$6*(1+'Demand - C4'!$K$28)^(M3-$D$3)</f>
        <v>0</v>
      </c>
      <c r="N6" s="630">
        <f>$D$6*(1+'Demand - C4'!$K$28)^(N3-$D$3)</f>
        <v>0</v>
      </c>
      <c r="O6" s="630">
        <f>$D$6*(1+'Demand - C4'!$K$28)^(O3-$D$3)</f>
        <v>0</v>
      </c>
      <c r="P6" s="630">
        <f>$D$6*(1+'Demand - C4'!$K$28)^(P3-$D$3)</f>
        <v>0</v>
      </c>
      <c r="Q6" s="630">
        <f>$D$6*(1+'Demand - C4'!$K$28)^(Q3-$D$3)</f>
        <v>0</v>
      </c>
      <c r="R6" s="630">
        <f>$D$6*(1+'Demand - C4'!$K$28)^(R3-$D$3)</f>
        <v>0</v>
      </c>
      <c r="S6" s="630">
        <f>$D$6*(1+'Demand - C4'!$K$28)^(S3-$D$3)</f>
        <v>0</v>
      </c>
      <c r="T6" s="630">
        <f>$D$6*(1+'Demand - C4'!$K$28)^(T3-$D$3)</f>
        <v>0</v>
      </c>
      <c r="U6" s="630">
        <f>$D$6*(1+'Demand - C4'!$K$28)^(U3-$D$3)</f>
        <v>0</v>
      </c>
      <c r="V6" s="630">
        <f>$D$6*(1+'Demand - C4'!$K$28)^(V3-$D$3)</f>
        <v>0</v>
      </c>
      <c r="W6" s="630">
        <f>$D$6*(1+'Demand - C4'!$K$28)^(W3-$D$3)</f>
        <v>0</v>
      </c>
      <c r="X6" s="630">
        <f>$D$6*(1+'Demand - C4'!$K$28)^(X3-$D$3)</f>
        <v>0</v>
      </c>
      <c r="Y6" s="630">
        <f>$D$6*(1+'Demand - C4'!$K$28)^(Y3-$D$3)</f>
        <v>0</v>
      </c>
      <c r="Z6" s="630">
        <f>$D$6*(1+'Demand - C4'!$K$28)^(Z3-$D$3)</f>
        <v>0</v>
      </c>
      <c r="AA6" s="630">
        <f>$D$6*(1+'Demand - C4'!$K$28)^(AA3-$D$3)</f>
        <v>0</v>
      </c>
      <c r="AB6" s="630">
        <f>$D$6*(1+'Demand - C4'!$K$28)^(AB3-$D$3)</f>
        <v>0</v>
      </c>
      <c r="AC6" s="630">
        <f>$D$6*(1+'Demand - C4'!$K$28)^(AC3-$D$3)</f>
        <v>0</v>
      </c>
      <c r="AD6" s="630">
        <f>$D$6*(1+'Demand - C4'!$K$28)^(AD3-$D$3)</f>
        <v>0</v>
      </c>
      <c r="AE6" s="630">
        <f>$D$6*(1+'Demand - C4'!$K$28)^(AE3-$D$3)</f>
        <v>0</v>
      </c>
      <c r="AF6" s="630">
        <f>$D$6*(1+'Demand - C4'!$K$28)^(AF3-$D$3)</f>
        <v>0</v>
      </c>
      <c r="AG6" s="630">
        <f>$D$6*(1+'Demand - C4'!$K$28)^(AG3-$D$3)</f>
        <v>0</v>
      </c>
      <c r="AH6" s="630">
        <f>$D$6*(1+'Demand - C4'!$K$28)^(AH3-$D$3)</f>
        <v>0</v>
      </c>
      <c r="AI6" s="191"/>
      <c r="AJ6" s="630">
        <f t="shared" ref="AJ6:AY10" si="7">D6</f>
        <v>0</v>
      </c>
      <c r="AK6" s="630">
        <f t="shared" si="7"/>
        <v>0</v>
      </c>
      <c r="AL6" s="630">
        <f t="shared" si="7"/>
        <v>0</v>
      </c>
      <c r="AM6" s="630">
        <f t="shared" si="7"/>
        <v>0</v>
      </c>
      <c r="AN6" s="630">
        <f t="shared" si="7"/>
        <v>0</v>
      </c>
      <c r="AO6" s="630">
        <f t="shared" si="7"/>
        <v>0</v>
      </c>
      <c r="AP6" s="630">
        <f t="shared" si="7"/>
        <v>0</v>
      </c>
      <c r="AQ6" s="630">
        <f t="shared" si="7"/>
        <v>0</v>
      </c>
      <c r="AR6" s="630">
        <f t="shared" si="7"/>
        <v>0</v>
      </c>
      <c r="AS6" s="630">
        <f t="shared" si="7"/>
        <v>0</v>
      </c>
      <c r="AT6" s="630">
        <f t="shared" si="7"/>
        <v>0</v>
      </c>
      <c r="AU6" s="630">
        <f t="shared" si="7"/>
        <v>0</v>
      </c>
      <c r="AV6" s="630">
        <f t="shared" si="7"/>
        <v>0</v>
      </c>
      <c r="AW6" s="630">
        <f t="shared" si="7"/>
        <v>0</v>
      </c>
      <c r="AX6" s="630">
        <f t="shared" si="7"/>
        <v>0</v>
      </c>
      <c r="AY6" s="630">
        <f t="shared" si="7"/>
        <v>0</v>
      </c>
      <c r="AZ6" s="630">
        <f t="shared" ref="AZ6:BN10" si="8">T6</f>
        <v>0</v>
      </c>
      <c r="BA6" s="630">
        <f t="shared" si="8"/>
        <v>0</v>
      </c>
      <c r="BB6" s="630">
        <f t="shared" si="8"/>
        <v>0</v>
      </c>
      <c r="BC6" s="630">
        <f t="shared" si="8"/>
        <v>0</v>
      </c>
      <c r="BD6" s="630">
        <f t="shared" si="8"/>
        <v>0</v>
      </c>
      <c r="BE6" s="630">
        <f t="shared" si="8"/>
        <v>0</v>
      </c>
      <c r="BF6" s="630">
        <f t="shared" si="8"/>
        <v>0</v>
      </c>
      <c r="BG6" s="630">
        <f t="shared" si="8"/>
        <v>0</v>
      </c>
      <c r="BH6" s="630">
        <f t="shared" si="8"/>
        <v>0</v>
      </c>
      <c r="BI6" s="630">
        <f t="shared" si="8"/>
        <v>0</v>
      </c>
      <c r="BJ6" s="630">
        <f t="shared" si="8"/>
        <v>0</v>
      </c>
      <c r="BK6" s="630">
        <f t="shared" si="8"/>
        <v>0</v>
      </c>
      <c r="BL6" s="630">
        <f t="shared" si="8"/>
        <v>0</v>
      </c>
      <c r="BM6" s="630">
        <f t="shared" si="8"/>
        <v>0</v>
      </c>
      <c r="BN6" s="630">
        <f t="shared" si="8"/>
        <v>0</v>
      </c>
      <c r="BQ6" t="s">
        <v>902</v>
      </c>
      <c r="BY6" s="27" t="s">
        <v>167</v>
      </c>
      <c r="CF6" s="40">
        <f>-AH24</f>
        <v>-62.684255466964331</v>
      </c>
      <c r="CG6" s="40">
        <f>-AH28</f>
        <v>0</v>
      </c>
      <c r="CH6" s="40">
        <f>-AH38</f>
        <v>-1262.6922844500009</v>
      </c>
    </row>
    <row r="7" spans="1:88" outlineLevel="1">
      <c r="B7" s="1" t="s">
        <v>903</v>
      </c>
      <c r="D7" s="101">
        <f>D6*('R&amp;S - Transportation'!$D$19*(D3-$D$3)/10)</f>
        <v>0</v>
      </c>
      <c r="E7" s="101">
        <f>E6*'R&amp;S - Transportation'!$B$9*'R&amp;S - Transportation'!$D$19*(E3-$D$3)/10</f>
        <v>0</v>
      </c>
      <c r="F7" s="101">
        <f>F6*'R&amp;S - Transportation'!$B$9*'R&amp;S - Transportation'!$D$19*(F3-$D$3)/10</f>
        <v>0</v>
      </c>
      <c r="G7" s="101">
        <f>G6*'R&amp;S - Transportation'!$B$9*'R&amp;S - Transportation'!$D$19*(G3-$D$3)/10</f>
        <v>0</v>
      </c>
      <c r="H7" s="101">
        <f>H6*'R&amp;S - Transportation'!$B$9*'R&amp;S - Transportation'!$D$19*(H3-$D$3)/10</f>
        <v>0</v>
      </c>
      <c r="I7" s="101">
        <f>I6*'R&amp;S - Transportation'!$B$9*'R&amp;S - Transportation'!$D$19*(I3-$D$3)/10</f>
        <v>0</v>
      </c>
      <c r="J7" s="101">
        <f>J6*'R&amp;S - Transportation'!$B$9*'R&amp;S - Transportation'!$D$19*(J3-$D$3)/10</f>
        <v>0</v>
      </c>
      <c r="K7" s="101">
        <f>K6*'R&amp;S - Transportation'!$B$9*'R&amp;S - Transportation'!$D$19*(K3-$D$3)/10</f>
        <v>0</v>
      </c>
      <c r="L7" s="101">
        <f>L6*'R&amp;S - Transportation'!$B$9*'R&amp;S - Transportation'!$D$19*(L3-$D$3)/10</f>
        <v>0</v>
      </c>
      <c r="M7" s="101">
        <f>M6*'R&amp;S - Transportation'!$B$9*'R&amp;S - Transportation'!$D$19*(M3-$D$3)/10</f>
        <v>0</v>
      </c>
      <c r="N7" s="101">
        <f>N6*'R&amp;S - Transportation'!$B$9*'R&amp;S - Transportation'!$D$19*(N3-$D$3)/10</f>
        <v>0</v>
      </c>
      <c r="O7" s="101">
        <f>O6*'R&amp;S - Transportation'!$B$9*('R&amp;S - Transportation'!$D$19+('R&amp;S - Transportation'!$D$20-'R&amp;S - Transportation'!$D$19)*(O3-$N$3)/10)</f>
        <v>0</v>
      </c>
      <c r="P7" s="101">
        <f>P6*'R&amp;S - Transportation'!$B$9*('R&amp;S - Transportation'!$D$19+('R&amp;S - Transportation'!$D$20-'R&amp;S - Transportation'!$D$19)*(P3-$N$3)/10)</f>
        <v>0</v>
      </c>
      <c r="Q7" s="101">
        <f>Q6*'R&amp;S - Transportation'!$B$9*('R&amp;S - Transportation'!$D$19+('R&amp;S - Transportation'!$D$20-'R&amp;S - Transportation'!$D$19)*(Q3-$N$3)/10)</f>
        <v>0</v>
      </c>
      <c r="R7" s="101">
        <f>R6*'R&amp;S - Transportation'!$B$9*('R&amp;S - Transportation'!$D$19+('R&amp;S - Transportation'!$D$20-'R&amp;S - Transportation'!$D$19)*(R3-$N$3)/10)</f>
        <v>0</v>
      </c>
      <c r="S7" s="101">
        <f>S6*'R&amp;S - Transportation'!$B$9*('R&amp;S - Transportation'!$D$19+('R&amp;S - Transportation'!$D$20-'R&amp;S - Transportation'!$D$19)*(S3-$N$3)/10)</f>
        <v>0</v>
      </c>
      <c r="T7" s="101">
        <f>T6*'R&amp;S - Transportation'!$B$9*('R&amp;S - Transportation'!$D$19+('R&amp;S - Transportation'!$D$20-'R&amp;S - Transportation'!$D$19)*(T3-$N$3)/10)</f>
        <v>0</v>
      </c>
      <c r="U7" s="101">
        <f>U6*'R&amp;S - Transportation'!$B$9*('R&amp;S - Transportation'!$D$19+('R&amp;S - Transportation'!$D$20-'R&amp;S - Transportation'!$D$19)*(U3-$N$3)/10)</f>
        <v>0</v>
      </c>
      <c r="V7" s="101">
        <f>V6*'R&amp;S - Transportation'!$B$9*('R&amp;S - Transportation'!$D$19+('R&amp;S - Transportation'!$D$20-'R&amp;S - Transportation'!$D$19)*(V3-$N$3)/10)</f>
        <v>0</v>
      </c>
      <c r="W7" s="101">
        <f>W6*'R&amp;S - Transportation'!$B$9*('R&amp;S - Transportation'!$D$19+('R&amp;S - Transportation'!$D$20-'R&amp;S - Transportation'!$D$19)*(W3-$N$3)/10)</f>
        <v>0</v>
      </c>
      <c r="X7" s="101">
        <f>X6*'R&amp;S - Transportation'!$B$9*('R&amp;S - Transportation'!$D$19+('R&amp;S - Transportation'!$D$20-'R&amp;S - Transportation'!$D$19)*(X3-$N$3)/10)</f>
        <v>0</v>
      </c>
      <c r="Y7" s="101">
        <f>Y6*'R&amp;S - Transportation'!$B$9*('R&amp;S - Transportation'!$D$20+('R&amp;S - Transportation'!$D$21-'R&amp;S - Transportation'!$D$20)*(Y3-$X$3)/10)</f>
        <v>0</v>
      </c>
      <c r="Z7" s="101">
        <f>Z6*'R&amp;S - Transportation'!$B$9*('R&amp;S - Transportation'!$D$20+('R&amp;S - Transportation'!$D$21-'R&amp;S - Transportation'!$D$20)*(Z3-$X$3)/10)</f>
        <v>0</v>
      </c>
      <c r="AA7" s="101">
        <f>AA6*'R&amp;S - Transportation'!$B$9*('R&amp;S - Transportation'!$D$20+('R&amp;S - Transportation'!$D$21-'R&amp;S - Transportation'!$D$20)*(AA3-$X$3)/10)</f>
        <v>0</v>
      </c>
      <c r="AB7" s="101">
        <f>AB6*'R&amp;S - Transportation'!$B$9*('R&amp;S - Transportation'!$D$20+('R&amp;S - Transportation'!$D$21-'R&amp;S - Transportation'!$D$20)*(AB3-$X$3)/10)</f>
        <v>0</v>
      </c>
      <c r="AC7" s="101">
        <f>AC6*'R&amp;S - Transportation'!$B$9*('R&amp;S - Transportation'!$D$20+('R&amp;S - Transportation'!$D$21-'R&amp;S - Transportation'!$D$20)*(AC3-$X$3)/10)</f>
        <v>0</v>
      </c>
      <c r="AD7" s="101">
        <f>AD6*'R&amp;S - Transportation'!$B$9*('R&amp;S - Transportation'!$D$20+('R&amp;S - Transportation'!$D$21-'R&amp;S - Transportation'!$D$20)*(AD3-$X$3)/10)</f>
        <v>0</v>
      </c>
      <c r="AE7" s="101">
        <f>AE6*'R&amp;S - Transportation'!$B$9*('R&amp;S - Transportation'!$D$20+('R&amp;S - Transportation'!$D$21-'R&amp;S - Transportation'!$D$20)*(AE3-$X$3)/10)</f>
        <v>0</v>
      </c>
      <c r="AF7" s="101">
        <f>AF6*'R&amp;S - Transportation'!$B$9*('R&amp;S - Transportation'!$D$20+('R&amp;S - Transportation'!$D$21-'R&amp;S - Transportation'!$D$20)*(AF3-$X$3)/10)</f>
        <v>0</v>
      </c>
      <c r="AG7" s="101">
        <f>AG6*'R&amp;S - Transportation'!$B$9*('R&amp;S - Transportation'!$D$20+('R&amp;S - Transportation'!$D$21-'R&amp;S - Transportation'!$D$20)*(AG3-$X$3)/10)</f>
        <v>0</v>
      </c>
      <c r="AH7" s="101">
        <f>AH6*'R&amp;S - Transportation'!$B$9*('R&amp;S - Transportation'!$D$20+('R&amp;S - Transportation'!$D$21-'R&amp;S - Transportation'!$D$20)*(AH3-$X$3)/10)</f>
        <v>0</v>
      </c>
      <c r="AI7" s="191"/>
      <c r="AJ7" s="101">
        <f t="shared" si="7"/>
        <v>0</v>
      </c>
      <c r="AK7" s="101">
        <f t="shared" si="7"/>
        <v>0</v>
      </c>
      <c r="AL7" s="101">
        <f t="shared" si="7"/>
        <v>0</v>
      </c>
      <c r="AM7" s="101">
        <f t="shared" si="7"/>
        <v>0</v>
      </c>
      <c r="AN7" s="101">
        <f t="shared" si="7"/>
        <v>0</v>
      </c>
      <c r="AO7" s="101">
        <f t="shared" si="7"/>
        <v>0</v>
      </c>
      <c r="AP7" s="101">
        <f t="shared" si="7"/>
        <v>0</v>
      </c>
      <c r="AQ7" s="101">
        <f t="shared" si="7"/>
        <v>0</v>
      </c>
      <c r="AR7" s="101">
        <f t="shared" si="7"/>
        <v>0</v>
      </c>
      <c r="AS7" s="101">
        <f t="shared" si="7"/>
        <v>0</v>
      </c>
      <c r="AT7" s="101">
        <f t="shared" si="7"/>
        <v>0</v>
      </c>
      <c r="AU7" s="101">
        <f t="shared" si="7"/>
        <v>0</v>
      </c>
      <c r="AV7" s="101">
        <f t="shared" si="7"/>
        <v>0</v>
      </c>
      <c r="AW7" s="101">
        <f t="shared" si="7"/>
        <v>0</v>
      </c>
      <c r="AX7" s="101">
        <f t="shared" si="7"/>
        <v>0</v>
      </c>
      <c r="AY7" s="101">
        <f t="shared" si="7"/>
        <v>0</v>
      </c>
      <c r="AZ7" s="101">
        <f t="shared" si="8"/>
        <v>0</v>
      </c>
      <c r="BA7" s="101">
        <f t="shared" si="8"/>
        <v>0</v>
      </c>
      <c r="BB7" s="101">
        <f t="shared" si="8"/>
        <v>0</v>
      </c>
      <c r="BC7" s="101">
        <f t="shared" si="8"/>
        <v>0</v>
      </c>
      <c r="BD7" s="101">
        <f t="shared" si="8"/>
        <v>0</v>
      </c>
      <c r="BE7" s="101">
        <f t="shared" si="8"/>
        <v>0</v>
      </c>
      <c r="BF7" s="101">
        <f t="shared" si="8"/>
        <v>0</v>
      </c>
      <c r="BG7" s="101">
        <f t="shared" si="8"/>
        <v>0</v>
      </c>
      <c r="BH7" s="101">
        <f t="shared" si="8"/>
        <v>0</v>
      </c>
      <c r="BI7" s="101">
        <f t="shared" si="8"/>
        <v>0</v>
      </c>
      <c r="BJ7" s="101">
        <f t="shared" si="8"/>
        <v>0</v>
      </c>
      <c r="BK7" s="101">
        <f t="shared" si="8"/>
        <v>0</v>
      </c>
      <c r="BL7" s="101">
        <f t="shared" si="8"/>
        <v>0</v>
      </c>
      <c r="BM7" s="101">
        <f t="shared" si="8"/>
        <v>0</v>
      </c>
      <c r="BN7" s="101">
        <f t="shared" si="8"/>
        <v>0</v>
      </c>
      <c r="BQ7" t="s">
        <v>904</v>
      </c>
      <c r="BR7" s="41" t="e">
        <f>#REF!-#REF!</f>
        <v>#REF!</v>
      </c>
      <c r="BY7" s="27" t="s">
        <v>578</v>
      </c>
      <c r="CA7" s="512" t="e">
        <f>#REF!-#REF!</f>
        <v>#REF!</v>
      </c>
      <c r="CC7" s="511">
        <f>65</f>
        <v>65</v>
      </c>
      <c r="CI7" s="41">
        <f>AH42</f>
        <v>0</v>
      </c>
    </row>
    <row r="8" spans="1:88" outlineLevel="1">
      <c r="B8" s="1" t="s">
        <v>905</v>
      </c>
      <c r="D8" s="101">
        <f>D6-D7</f>
        <v>0</v>
      </c>
      <c r="E8" s="101">
        <f t="shared" ref="E8:AH8" si="9">E6-E7</f>
        <v>0</v>
      </c>
      <c r="F8" s="101">
        <f t="shared" si="9"/>
        <v>0</v>
      </c>
      <c r="G8" s="101">
        <f t="shared" si="9"/>
        <v>0</v>
      </c>
      <c r="H8" s="101">
        <f t="shared" si="9"/>
        <v>0</v>
      </c>
      <c r="I8" s="101">
        <f t="shared" si="9"/>
        <v>0</v>
      </c>
      <c r="J8" s="101">
        <f t="shared" si="9"/>
        <v>0</v>
      </c>
      <c r="K8" s="101">
        <f t="shared" si="9"/>
        <v>0</v>
      </c>
      <c r="L8" s="101">
        <f t="shared" si="9"/>
        <v>0</v>
      </c>
      <c r="M8" s="101">
        <f t="shared" si="9"/>
        <v>0</v>
      </c>
      <c r="N8" s="101">
        <f t="shared" si="9"/>
        <v>0</v>
      </c>
      <c r="O8" s="101">
        <f t="shared" si="9"/>
        <v>0</v>
      </c>
      <c r="P8" s="101">
        <f t="shared" si="9"/>
        <v>0</v>
      </c>
      <c r="Q8" s="101">
        <f t="shared" si="9"/>
        <v>0</v>
      </c>
      <c r="R8" s="101">
        <f t="shared" si="9"/>
        <v>0</v>
      </c>
      <c r="S8" s="101">
        <f t="shared" si="9"/>
        <v>0</v>
      </c>
      <c r="T8" s="101">
        <f t="shared" si="9"/>
        <v>0</v>
      </c>
      <c r="U8" s="101">
        <f t="shared" si="9"/>
        <v>0</v>
      </c>
      <c r="V8" s="101">
        <f t="shared" si="9"/>
        <v>0</v>
      </c>
      <c r="W8" s="101">
        <f t="shared" si="9"/>
        <v>0</v>
      </c>
      <c r="X8" s="101">
        <f t="shared" si="9"/>
        <v>0</v>
      </c>
      <c r="Y8" s="101">
        <f t="shared" si="9"/>
        <v>0</v>
      </c>
      <c r="Z8" s="101">
        <f t="shared" si="9"/>
        <v>0</v>
      </c>
      <c r="AA8" s="101">
        <f t="shared" si="9"/>
        <v>0</v>
      </c>
      <c r="AB8" s="101">
        <f t="shared" si="9"/>
        <v>0</v>
      </c>
      <c r="AC8" s="101">
        <f t="shared" si="9"/>
        <v>0</v>
      </c>
      <c r="AD8" s="101">
        <f t="shared" si="9"/>
        <v>0</v>
      </c>
      <c r="AE8" s="101">
        <f t="shared" si="9"/>
        <v>0</v>
      </c>
      <c r="AF8" s="101">
        <f t="shared" si="9"/>
        <v>0</v>
      </c>
      <c r="AG8" s="101">
        <f t="shared" si="9"/>
        <v>0</v>
      </c>
      <c r="AH8" s="101">
        <f t="shared" si="9"/>
        <v>0</v>
      </c>
      <c r="AI8" s="191"/>
      <c r="AJ8" s="101">
        <f t="shared" si="7"/>
        <v>0</v>
      </c>
      <c r="AK8" s="101">
        <f t="shared" si="7"/>
        <v>0</v>
      </c>
      <c r="AL8" s="101">
        <f t="shared" si="7"/>
        <v>0</v>
      </c>
      <c r="AM8" s="101">
        <f t="shared" si="7"/>
        <v>0</v>
      </c>
      <c r="AN8" s="101">
        <f t="shared" si="7"/>
        <v>0</v>
      </c>
      <c r="AO8" s="101">
        <f t="shared" si="7"/>
        <v>0</v>
      </c>
      <c r="AP8" s="101">
        <f t="shared" si="7"/>
        <v>0</v>
      </c>
      <c r="AQ8" s="101">
        <f t="shared" si="7"/>
        <v>0</v>
      </c>
      <c r="AR8" s="101">
        <f t="shared" si="7"/>
        <v>0</v>
      </c>
      <c r="AS8" s="101">
        <f t="shared" si="7"/>
        <v>0</v>
      </c>
      <c r="AT8" s="101">
        <f t="shared" si="7"/>
        <v>0</v>
      </c>
      <c r="AU8" s="101">
        <f t="shared" si="7"/>
        <v>0</v>
      </c>
      <c r="AV8" s="101">
        <f t="shared" si="7"/>
        <v>0</v>
      </c>
      <c r="AW8" s="101">
        <f t="shared" si="7"/>
        <v>0</v>
      </c>
      <c r="AX8" s="101">
        <f t="shared" si="7"/>
        <v>0</v>
      </c>
      <c r="AY8" s="101">
        <f t="shared" si="7"/>
        <v>0</v>
      </c>
      <c r="AZ8" s="101">
        <f t="shared" si="8"/>
        <v>0</v>
      </c>
      <c r="BA8" s="101">
        <f t="shared" si="8"/>
        <v>0</v>
      </c>
      <c r="BB8" s="101">
        <f t="shared" si="8"/>
        <v>0</v>
      </c>
      <c r="BC8" s="101">
        <f t="shared" si="8"/>
        <v>0</v>
      </c>
      <c r="BD8" s="101">
        <f t="shared" si="8"/>
        <v>0</v>
      </c>
      <c r="BE8" s="101">
        <f t="shared" si="8"/>
        <v>0</v>
      </c>
      <c r="BF8" s="101">
        <f t="shared" si="8"/>
        <v>0</v>
      </c>
      <c r="BG8" s="101">
        <f t="shared" si="8"/>
        <v>0</v>
      </c>
      <c r="BH8" s="101">
        <f t="shared" si="8"/>
        <v>0</v>
      </c>
      <c r="BI8" s="101">
        <f t="shared" si="8"/>
        <v>0</v>
      </c>
      <c r="BJ8" s="101">
        <f t="shared" si="8"/>
        <v>0</v>
      </c>
      <c r="BK8" s="101">
        <f t="shared" si="8"/>
        <v>0</v>
      </c>
      <c r="BL8" s="101">
        <f t="shared" si="8"/>
        <v>0</v>
      </c>
      <c r="BM8" s="101">
        <f t="shared" si="8"/>
        <v>0</v>
      </c>
      <c r="BN8" s="101">
        <f t="shared" si="8"/>
        <v>0</v>
      </c>
    </row>
    <row r="9" spans="1:88" outlineLevel="1">
      <c r="A9" s="1" t="s">
        <v>1460</v>
      </c>
      <c r="C9" s="1"/>
      <c r="D9" s="591">
        <f t="shared" ref="D9:AH9" si="10">D4-D7</f>
        <v>80369.95000000007</v>
      </c>
      <c r="E9" s="591">
        <f t="shared" si="10"/>
        <v>80369.95000000007</v>
      </c>
      <c r="F9" s="591">
        <f t="shared" si="10"/>
        <v>80369.95000000007</v>
      </c>
      <c r="G9" s="591">
        <f t="shared" si="10"/>
        <v>80369.95000000007</v>
      </c>
      <c r="H9" s="591">
        <f t="shared" si="10"/>
        <v>80369.95000000007</v>
      </c>
      <c r="I9" s="591">
        <f t="shared" si="10"/>
        <v>80369.95000000007</v>
      </c>
      <c r="J9" s="591">
        <f t="shared" si="10"/>
        <v>80369.95000000007</v>
      </c>
      <c r="K9" s="591">
        <f t="shared" si="10"/>
        <v>80369.95000000007</v>
      </c>
      <c r="L9" s="591">
        <f t="shared" si="10"/>
        <v>80369.95000000007</v>
      </c>
      <c r="M9" s="591">
        <f t="shared" si="10"/>
        <v>80369.95000000007</v>
      </c>
      <c r="N9" s="591">
        <f t="shared" si="10"/>
        <v>80369.95000000007</v>
      </c>
      <c r="O9" s="591">
        <f t="shared" si="10"/>
        <v>80369.95000000007</v>
      </c>
      <c r="P9" s="591">
        <f t="shared" si="10"/>
        <v>80369.95000000007</v>
      </c>
      <c r="Q9" s="591">
        <f t="shared" si="10"/>
        <v>80369.95000000007</v>
      </c>
      <c r="R9" s="591">
        <f t="shared" si="10"/>
        <v>80369.95000000007</v>
      </c>
      <c r="S9" s="591">
        <f t="shared" si="10"/>
        <v>80369.95000000007</v>
      </c>
      <c r="T9" s="591">
        <f t="shared" si="10"/>
        <v>80369.95000000007</v>
      </c>
      <c r="U9" s="591">
        <f t="shared" si="10"/>
        <v>80369.95000000007</v>
      </c>
      <c r="V9" s="591">
        <f t="shared" si="10"/>
        <v>80369.95000000007</v>
      </c>
      <c r="W9" s="591">
        <f t="shared" si="10"/>
        <v>80369.95000000007</v>
      </c>
      <c r="X9" s="591">
        <f t="shared" si="10"/>
        <v>80369.95000000007</v>
      </c>
      <c r="Y9" s="591">
        <f t="shared" si="10"/>
        <v>80369.95000000007</v>
      </c>
      <c r="Z9" s="591">
        <f t="shared" si="10"/>
        <v>80369.95000000007</v>
      </c>
      <c r="AA9" s="591">
        <f t="shared" si="10"/>
        <v>80369.95000000007</v>
      </c>
      <c r="AB9" s="591">
        <f t="shared" si="10"/>
        <v>80369.95000000007</v>
      </c>
      <c r="AC9" s="591">
        <f t="shared" si="10"/>
        <v>80369.95000000007</v>
      </c>
      <c r="AD9" s="591">
        <f t="shared" si="10"/>
        <v>80369.95000000007</v>
      </c>
      <c r="AE9" s="591">
        <f t="shared" si="10"/>
        <v>80369.95000000007</v>
      </c>
      <c r="AF9" s="591">
        <f t="shared" si="10"/>
        <v>80369.95000000007</v>
      </c>
      <c r="AG9" s="591">
        <f t="shared" si="10"/>
        <v>80369.95000000007</v>
      </c>
      <c r="AH9" s="591">
        <f t="shared" si="10"/>
        <v>80369.95000000007</v>
      </c>
      <c r="AI9" s="191"/>
      <c r="AJ9" s="591">
        <f t="shared" si="7"/>
        <v>80369.95000000007</v>
      </c>
      <c r="AK9" s="591">
        <f t="shared" si="7"/>
        <v>80369.95000000007</v>
      </c>
      <c r="AL9" s="591">
        <f t="shared" si="7"/>
        <v>80369.95000000007</v>
      </c>
      <c r="AM9" s="591">
        <f t="shared" si="7"/>
        <v>80369.95000000007</v>
      </c>
      <c r="AN9" s="591">
        <f t="shared" si="7"/>
        <v>80369.95000000007</v>
      </c>
      <c r="AO9" s="591">
        <f t="shared" si="7"/>
        <v>80369.95000000007</v>
      </c>
      <c r="AP9" s="591">
        <f t="shared" si="7"/>
        <v>80369.95000000007</v>
      </c>
      <c r="AQ9" s="591">
        <f t="shared" si="7"/>
        <v>80369.95000000007</v>
      </c>
      <c r="AR9" s="591">
        <f t="shared" si="7"/>
        <v>80369.95000000007</v>
      </c>
      <c r="AS9" s="591">
        <f t="shared" si="7"/>
        <v>80369.95000000007</v>
      </c>
      <c r="AT9" s="591">
        <f t="shared" si="7"/>
        <v>80369.95000000007</v>
      </c>
      <c r="AU9" s="591">
        <f t="shared" si="7"/>
        <v>80369.95000000007</v>
      </c>
      <c r="AV9" s="591">
        <f t="shared" si="7"/>
        <v>80369.95000000007</v>
      </c>
      <c r="AW9" s="591">
        <f t="shared" si="7"/>
        <v>80369.95000000007</v>
      </c>
      <c r="AX9" s="591">
        <f t="shared" si="7"/>
        <v>80369.95000000007</v>
      </c>
      <c r="AY9" s="591">
        <f t="shared" si="7"/>
        <v>80369.95000000007</v>
      </c>
      <c r="AZ9" s="591">
        <f t="shared" si="8"/>
        <v>80369.95000000007</v>
      </c>
      <c r="BA9" s="591">
        <f t="shared" si="8"/>
        <v>80369.95000000007</v>
      </c>
      <c r="BB9" s="591">
        <f t="shared" si="8"/>
        <v>80369.95000000007</v>
      </c>
      <c r="BC9" s="591">
        <f t="shared" si="8"/>
        <v>80369.95000000007</v>
      </c>
      <c r="BD9" s="591">
        <f t="shared" si="8"/>
        <v>80369.95000000007</v>
      </c>
      <c r="BE9" s="591">
        <f t="shared" si="8"/>
        <v>80369.95000000007</v>
      </c>
      <c r="BF9" s="591">
        <f t="shared" si="8"/>
        <v>80369.95000000007</v>
      </c>
      <c r="BG9" s="591">
        <f t="shared" si="8"/>
        <v>80369.95000000007</v>
      </c>
      <c r="BH9" s="591">
        <f t="shared" si="8"/>
        <v>80369.95000000007</v>
      </c>
      <c r="BI9" s="591">
        <f t="shared" si="8"/>
        <v>80369.95000000007</v>
      </c>
      <c r="BJ9" s="591">
        <f t="shared" si="8"/>
        <v>80369.95000000007</v>
      </c>
      <c r="BK9" s="591">
        <f t="shared" si="8"/>
        <v>80369.95000000007</v>
      </c>
      <c r="BL9" s="591">
        <f t="shared" si="8"/>
        <v>80369.95000000007</v>
      </c>
      <c r="BM9" s="591">
        <f t="shared" si="8"/>
        <v>80369.95000000007</v>
      </c>
      <c r="BN9" s="591">
        <f t="shared" si="8"/>
        <v>80369.95000000007</v>
      </c>
      <c r="BQ9" s="1" t="s">
        <v>907</v>
      </c>
      <c r="BR9" t="s">
        <v>908</v>
      </c>
      <c r="BS9" s="41" t="e">
        <f>#REF!</f>
        <v>#REF!</v>
      </c>
    </row>
    <row r="10" spans="1:88" s="1" customFormat="1" outlineLevel="1">
      <c r="A10" s="55" t="s">
        <v>1345</v>
      </c>
      <c r="B10" s="55" t="s">
        <v>910</v>
      </c>
      <c r="C10" s="95" t="s">
        <v>166</v>
      </c>
      <c r="D10" s="631">
        <f>'Demand - C4'!O28</f>
        <v>43857.307643928616</v>
      </c>
      <c r="E10" s="631">
        <f>D10*(1+'Demand - C4'!$K$28)</f>
        <v>43857.307643928616</v>
      </c>
      <c r="F10" s="631">
        <f>E10*(1+'Demand - C4'!$K$28)</f>
        <v>43857.307643928616</v>
      </c>
      <c r="G10" s="631">
        <f>F10*(1+'Demand - C4'!$K$28)</f>
        <v>43857.307643928616</v>
      </c>
      <c r="H10" s="631">
        <f>G10*(1+'Demand - C4'!$K$28)</f>
        <v>43857.307643928616</v>
      </c>
      <c r="I10" s="631">
        <f>H10*(1+'Demand - C4'!$K$28)</f>
        <v>43857.307643928616</v>
      </c>
      <c r="J10" s="631">
        <f>I10*(1+'Demand - C4'!$K$28)</f>
        <v>43857.307643928616</v>
      </c>
      <c r="K10" s="631">
        <f>J10*(1+'Demand - C4'!$K$28)</f>
        <v>43857.307643928616</v>
      </c>
      <c r="L10" s="631">
        <f>K10*(1+'Demand - C4'!$K$28)</f>
        <v>43857.307643928616</v>
      </c>
      <c r="M10" s="631">
        <f>L10*(1+'Demand - C4'!$K$28)</f>
        <v>43857.307643928616</v>
      </c>
      <c r="N10" s="631">
        <f>M10*(1+'Demand - C4'!$K$28)</f>
        <v>43857.307643928616</v>
      </c>
      <c r="O10" s="631">
        <f>N10*(1+'Demand - C4'!$K$28)</f>
        <v>43857.307643928616</v>
      </c>
      <c r="P10" s="631">
        <f>O10*(1+'Demand - C4'!$K$28)</f>
        <v>43857.307643928616</v>
      </c>
      <c r="Q10" s="631">
        <f>P10*(1+'Demand - C4'!$K$28)</f>
        <v>43857.307643928616</v>
      </c>
      <c r="R10" s="631">
        <f>Q10*(1+'Demand - C4'!$K$28)</f>
        <v>43857.307643928616</v>
      </c>
      <c r="S10" s="631">
        <f>R10*(1+'Demand - C4'!$K$28)</f>
        <v>43857.307643928616</v>
      </c>
      <c r="T10" s="631">
        <f>S10*(1+'Demand - C4'!$K$28)</f>
        <v>43857.307643928616</v>
      </c>
      <c r="U10" s="631">
        <f>T10*(1+'Demand - C4'!$K$28)</f>
        <v>43857.307643928616</v>
      </c>
      <c r="V10" s="631">
        <f>U10*(1+'Demand - C4'!$K$28)</f>
        <v>43857.307643928616</v>
      </c>
      <c r="W10" s="631">
        <f>V10*(1+'Demand - C4'!$K$28)</f>
        <v>43857.307643928616</v>
      </c>
      <c r="X10" s="631">
        <f>W10*(1+'Demand - C4'!$K$28)</f>
        <v>43857.307643928616</v>
      </c>
      <c r="Y10" s="631">
        <f>X10*(1+'Demand - C4'!$K$28)</f>
        <v>43857.307643928616</v>
      </c>
      <c r="Z10" s="631">
        <f>Y10*(1+'Demand - C4'!$K$28)</f>
        <v>43857.307643928616</v>
      </c>
      <c r="AA10" s="631">
        <f>Z10*(1+'Demand - C4'!$K$28)</f>
        <v>43857.307643928616</v>
      </c>
      <c r="AB10" s="631">
        <f>AA10*(1+'Demand - C4'!$K$28)</f>
        <v>43857.307643928616</v>
      </c>
      <c r="AC10" s="631">
        <f>AB10*(1+'Demand - C4'!$K$28)</f>
        <v>43857.307643928616</v>
      </c>
      <c r="AD10" s="631">
        <f>AC10*(1+'Demand - C4'!$K$28)</f>
        <v>43857.307643928616</v>
      </c>
      <c r="AE10" s="631">
        <f>AD10*(1+'Demand - C4'!$K$28)</f>
        <v>43857.307643928616</v>
      </c>
      <c r="AF10" s="631">
        <f>AE10*(1+'Demand - C4'!$K$28)</f>
        <v>43857.307643928616</v>
      </c>
      <c r="AG10" s="631">
        <f>AF10*(1+'Demand - C4'!$K$28)</f>
        <v>43857.307643928616</v>
      </c>
      <c r="AH10" s="631">
        <f>AG10*(1+'Demand - C4'!$K$28)</f>
        <v>43857.307643928616</v>
      </c>
      <c r="AI10" s="632"/>
      <c r="AJ10" s="631">
        <f>D10</f>
        <v>43857.307643928616</v>
      </c>
      <c r="AK10" s="631">
        <f t="shared" si="7"/>
        <v>43857.307643928616</v>
      </c>
      <c r="AL10" s="631">
        <f t="shared" si="7"/>
        <v>43857.307643928616</v>
      </c>
      <c r="AM10" s="631">
        <f t="shared" si="7"/>
        <v>43857.307643928616</v>
      </c>
      <c r="AN10" s="631">
        <f t="shared" si="7"/>
        <v>43857.307643928616</v>
      </c>
      <c r="AO10" s="631">
        <f t="shared" si="7"/>
        <v>43857.307643928616</v>
      </c>
      <c r="AP10" s="631">
        <f t="shared" si="7"/>
        <v>43857.307643928616</v>
      </c>
      <c r="AQ10" s="631">
        <f t="shared" si="7"/>
        <v>43857.307643928616</v>
      </c>
      <c r="AR10" s="631">
        <f t="shared" si="7"/>
        <v>43857.307643928616</v>
      </c>
      <c r="AS10" s="631">
        <f t="shared" si="7"/>
        <v>43857.307643928616</v>
      </c>
      <c r="AT10" s="631">
        <f t="shared" si="7"/>
        <v>43857.307643928616</v>
      </c>
      <c r="AU10" s="631">
        <f t="shared" si="7"/>
        <v>43857.307643928616</v>
      </c>
      <c r="AV10" s="631">
        <f t="shared" si="7"/>
        <v>43857.307643928616</v>
      </c>
      <c r="AW10" s="631">
        <f t="shared" si="7"/>
        <v>43857.307643928616</v>
      </c>
      <c r="AX10" s="631">
        <f t="shared" si="7"/>
        <v>43857.307643928616</v>
      </c>
      <c r="AY10" s="631">
        <f t="shared" si="7"/>
        <v>43857.307643928616</v>
      </c>
      <c r="AZ10" s="631">
        <f t="shared" si="8"/>
        <v>43857.307643928616</v>
      </c>
      <c r="BA10" s="631">
        <f t="shared" si="8"/>
        <v>43857.307643928616</v>
      </c>
      <c r="BB10" s="631">
        <f t="shared" si="8"/>
        <v>43857.307643928616</v>
      </c>
      <c r="BC10" s="631">
        <f t="shared" si="8"/>
        <v>43857.307643928616</v>
      </c>
      <c r="BD10" s="631">
        <f t="shared" si="8"/>
        <v>43857.307643928616</v>
      </c>
      <c r="BE10" s="631">
        <f t="shared" si="8"/>
        <v>43857.307643928616</v>
      </c>
      <c r="BF10" s="631">
        <f t="shared" si="8"/>
        <v>43857.307643928616</v>
      </c>
      <c r="BG10" s="631">
        <f t="shared" si="8"/>
        <v>43857.307643928616</v>
      </c>
      <c r="BH10" s="631">
        <f t="shared" si="8"/>
        <v>43857.307643928616</v>
      </c>
      <c r="BI10" s="631">
        <f t="shared" si="8"/>
        <v>43857.307643928616</v>
      </c>
      <c r="BJ10" s="631">
        <f t="shared" si="8"/>
        <v>43857.307643928616</v>
      </c>
      <c r="BK10" s="631">
        <f t="shared" si="8"/>
        <v>43857.307643928616</v>
      </c>
      <c r="BL10" s="631">
        <f t="shared" si="8"/>
        <v>43857.307643928616</v>
      </c>
      <c r="BM10" s="631">
        <f t="shared" si="8"/>
        <v>43857.307643928616</v>
      </c>
      <c r="BN10" s="631">
        <f t="shared" si="8"/>
        <v>43857.307643928616</v>
      </c>
      <c r="BR10" s="1" t="s">
        <v>911</v>
      </c>
      <c r="BS10" s="228">
        <f>AH6</f>
        <v>0</v>
      </c>
      <c r="BY10" s="27" t="s">
        <v>1287</v>
      </c>
      <c r="BZ10" s="136">
        <f>D4</f>
        <v>80369.95000000007</v>
      </c>
      <c r="CA10" s="130"/>
      <c r="CB10" s="136" t="s">
        <v>307</v>
      </c>
      <c r="CC10" s="130"/>
      <c r="CD10" s="130"/>
      <c r="CE10" s="130"/>
      <c r="CF10" s="130"/>
      <c r="CG10" s="521" t="s">
        <v>307</v>
      </c>
      <c r="CI10" s="133"/>
    </row>
    <row r="11" spans="1:88" outlineLevel="1">
      <c r="B11" s="1" t="s">
        <v>912</v>
      </c>
      <c r="C11" s="51" t="s">
        <v>166</v>
      </c>
      <c r="D11" s="101">
        <v>0</v>
      </c>
      <c r="E11" s="101">
        <v>0</v>
      </c>
      <c r="F11" s="101">
        <v>0</v>
      </c>
      <c r="G11" s="101">
        <v>0</v>
      </c>
      <c r="H11" s="101">
        <v>0</v>
      </c>
      <c r="I11" s="101">
        <v>0</v>
      </c>
      <c r="J11" s="101">
        <v>0</v>
      </c>
      <c r="K11" s="101">
        <v>0</v>
      </c>
      <c r="L11" s="101">
        <v>0</v>
      </c>
      <c r="M11" s="101">
        <v>0</v>
      </c>
      <c r="N11" s="101">
        <v>0</v>
      </c>
      <c r="O11" s="101">
        <v>0</v>
      </c>
      <c r="P11" s="101">
        <v>0</v>
      </c>
      <c r="Q11" s="101">
        <v>0</v>
      </c>
      <c r="R11" s="101">
        <v>0</v>
      </c>
      <c r="S11" s="101">
        <v>0</v>
      </c>
      <c r="T11" s="101">
        <v>0</v>
      </c>
      <c r="U11" s="101">
        <v>0</v>
      </c>
      <c r="V11" s="101">
        <v>0</v>
      </c>
      <c r="W11" s="101">
        <v>0</v>
      </c>
      <c r="X11" s="101">
        <v>0</v>
      </c>
      <c r="Y11" s="101">
        <v>0</v>
      </c>
      <c r="Z11" s="101">
        <v>0</v>
      </c>
      <c r="AA11" s="101">
        <v>0</v>
      </c>
      <c r="AB11" s="101">
        <v>0</v>
      </c>
      <c r="AC11" s="101">
        <v>0</v>
      </c>
      <c r="AD11" s="101">
        <v>0</v>
      </c>
      <c r="AE11" s="101">
        <v>0</v>
      </c>
      <c r="AF11" s="101">
        <v>0</v>
      </c>
      <c r="AG11" s="101">
        <v>0</v>
      </c>
      <c r="AH11" s="101">
        <v>0</v>
      </c>
      <c r="AI11" s="191"/>
      <c r="AJ11" s="101">
        <v>0</v>
      </c>
      <c r="AK11" s="101">
        <v>0</v>
      </c>
      <c r="AL11" s="101">
        <v>0</v>
      </c>
      <c r="AM11" s="101">
        <v>0</v>
      </c>
      <c r="AN11" s="101">
        <v>0</v>
      </c>
      <c r="AO11" s="101">
        <v>0</v>
      </c>
      <c r="AP11" s="101">
        <v>0</v>
      </c>
      <c r="AQ11" s="101">
        <v>0</v>
      </c>
      <c r="AR11" s="101">
        <v>0</v>
      </c>
      <c r="AS11" s="101">
        <v>0</v>
      </c>
      <c r="AT11" s="101">
        <v>0</v>
      </c>
      <c r="AU11" s="101">
        <v>0</v>
      </c>
      <c r="AV11" s="101">
        <v>0</v>
      </c>
      <c r="AW11" s="101">
        <v>0</v>
      </c>
      <c r="AX11" s="101">
        <v>0</v>
      </c>
      <c r="AY11" s="101">
        <v>0</v>
      </c>
      <c r="AZ11" s="101">
        <v>0</v>
      </c>
      <c r="BA11" s="101">
        <v>0</v>
      </c>
      <c r="BB11" s="101">
        <v>0</v>
      </c>
      <c r="BC11" s="101">
        <v>0</v>
      </c>
      <c r="BD11" s="101">
        <v>0</v>
      </c>
      <c r="BE11" s="101">
        <v>0</v>
      </c>
      <c r="BF11" s="101">
        <v>0</v>
      </c>
      <c r="BG11" s="101">
        <v>0</v>
      </c>
      <c r="BH11" s="101">
        <v>0</v>
      </c>
      <c r="BI11" s="101">
        <v>0</v>
      </c>
      <c r="BJ11" s="101">
        <v>0</v>
      </c>
      <c r="BK11" s="101">
        <v>0</v>
      </c>
      <c r="BL11" s="101">
        <v>0</v>
      </c>
      <c r="BM11" s="101">
        <v>0</v>
      </c>
      <c r="BN11" s="101">
        <v>0</v>
      </c>
      <c r="BR11" t="s">
        <v>913</v>
      </c>
      <c r="BS11" s="41" t="e">
        <f>#REF!</f>
        <v>#REF!</v>
      </c>
      <c r="BY11" s="27" t="s">
        <v>151</v>
      </c>
      <c r="BZ11" s="130"/>
      <c r="CA11" s="130"/>
      <c r="CB11" s="130"/>
      <c r="CC11" s="130"/>
      <c r="CD11" s="136">
        <f>AH43</f>
        <v>33657.722621897177</v>
      </c>
      <c r="CE11" s="130"/>
      <c r="CF11" s="130"/>
      <c r="CG11" s="130"/>
    </row>
    <row r="12" spans="1:88" outlineLevel="1">
      <c r="B12" s="1" t="s">
        <v>176</v>
      </c>
      <c r="C12" s="51" t="s">
        <v>166</v>
      </c>
      <c r="D12" s="101">
        <f>SUM(D10:D11)</f>
        <v>43857.307643928616</v>
      </c>
      <c r="E12" s="101">
        <f t="shared" ref="E12:AH12" si="11">SUM(E10:E11)</f>
        <v>43857.307643928616</v>
      </c>
      <c r="F12" s="101">
        <f t="shared" si="11"/>
        <v>43857.307643928616</v>
      </c>
      <c r="G12" s="101">
        <f t="shared" si="11"/>
        <v>43857.307643928616</v>
      </c>
      <c r="H12" s="101">
        <f t="shared" si="11"/>
        <v>43857.307643928616</v>
      </c>
      <c r="I12" s="101">
        <f t="shared" si="11"/>
        <v>43857.307643928616</v>
      </c>
      <c r="J12" s="101">
        <f t="shared" si="11"/>
        <v>43857.307643928616</v>
      </c>
      <c r="K12" s="101">
        <f t="shared" si="11"/>
        <v>43857.307643928616</v>
      </c>
      <c r="L12" s="101">
        <f t="shared" si="11"/>
        <v>43857.307643928616</v>
      </c>
      <c r="M12" s="101">
        <f t="shared" si="11"/>
        <v>43857.307643928616</v>
      </c>
      <c r="N12" s="101">
        <f t="shared" si="11"/>
        <v>43857.307643928616</v>
      </c>
      <c r="O12" s="101">
        <f>SUM(O10:O11)</f>
        <v>43857.307643928616</v>
      </c>
      <c r="P12" s="101">
        <f t="shared" si="11"/>
        <v>43857.307643928616</v>
      </c>
      <c r="Q12" s="101">
        <f t="shared" si="11"/>
        <v>43857.307643928616</v>
      </c>
      <c r="R12" s="101">
        <f t="shared" si="11"/>
        <v>43857.307643928616</v>
      </c>
      <c r="S12" s="101">
        <f t="shared" si="11"/>
        <v>43857.307643928616</v>
      </c>
      <c r="T12" s="101">
        <f t="shared" si="11"/>
        <v>43857.307643928616</v>
      </c>
      <c r="U12" s="101">
        <f t="shared" si="11"/>
        <v>43857.307643928616</v>
      </c>
      <c r="V12" s="101">
        <f t="shared" si="11"/>
        <v>43857.307643928616</v>
      </c>
      <c r="W12" s="101">
        <f t="shared" si="11"/>
        <v>43857.307643928616</v>
      </c>
      <c r="X12" s="101">
        <f t="shared" si="11"/>
        <v>43857.307643928616</v>
      </c>
      <c r="Y12" s="101">
        <f t="shared" si="11"/>
        <v>43857.307643928616</v>
      </c>
      <c r="Z12" s="101">
        <f t="shared" si="11"/>
        <v>43857.307643928616</v>
      </c>
      <c r="AA12" s="101">
        <f t="shared" si="11"/>
        <v>43857.307643928616</v>
      </c>
      <c r="AB12" s="101">
        <f t="shared" si="11"/>
        <v>43857.307643928616</v>
      </c>
      <c r="AC12" s="101">
        <f t="shared" si="11"/>
        <v>43857.307643928616</v>
      </c>
      <c r="AD12" s="101">
        <f t="shared" si="11"/>
        <v>43857.307643928616</v>
      </c>
      <c r="AE12" s="101">
        <f t="shared" si="11"/>
        <v>43857.307643928616</v>
      </c>
      <c r="AF12" s="101">
        <f t="shared" si="11"/>
        <v>43857.307643928616</v>
      </c>
      <c r="AG12" s="101">
        <f t="shared" si="11"/>
        <v>43857.307643928616</v>
      </c>
      <c r="AH12" s="101">
        <f t="shared" si="11"/>
        <v>43857.307643928616</v>
      </c>
      <c r="AI12" s="191"/>
      <c r="AJ12" s="101">
        <f>SUM(AJ10:AJ11)</f>
        <v>43857.307643928616</v>
      </c>
      <c r="AK12" s="101">
        <f t="shared" ref="AK12:AT12" si="12">SUM(AK10:AK11)</f>
        <v>43857.307643928616</v>
      </c>
      <c r="AL12" s="101">
        <f t="shared" si="12"/>
        <v>43857.307643928616</v>
      </c>
      <c r="AM12" s="101">
        <f t="shared" si="12"/>
        <v>43857.307643928616</v>
      </c>
      <c r="AN12" s="101">
        <f t="shared" si="12"/>
        <v>43857.307643928616</v>
      </c>
      <c r="AO12" s="101">
        <f t="shared" si="12"/>
        <v>43857.307643928616</v>
      </c>
      <c r="AP12" s="101">
        <f t="shared" si="12"/>
        <v>43857.307643928616</v>
      </c>
      <c r="AQ12" s="101">
        <f t="shared" si="12"/>
        <v>43857.307643928616</v>
      </c>
      <c r="AR12" s="101">
        <f t="shared" si="12"/>
        <v>43857.307643928616</v>
      </c>
      <c r="AS12" s="101">
        <f t="shared" si="12"/>
        <v>43857.307643928616</v>
      </c>
      <c r="AT12" s="101">
        <f t="shared" si="12"/>
        <v>43857.307643928616</v>
      </c>
      <c r="AU12" s="101">
        <f>SUM(AU10:AU11)</f>
        <v>43857.307643928616</v>
      </c>
      <c r="AV12" s="101">
        <f t="shared" ref="AV12:BN12" si="13">SUM(AV10:AV11)</f>
        <v>43857.307643928616</v>
      </c>
      <c r="AW12" s="101">
        <f t="shared" si="13"/>
        <v>43857.307643928616</v>
      </c>
      <c r="AX12" s="101">
        <f t="shared" si="13"/>
        <v>43857.307643928616</v>
      </c>
      <c r="AY12" s="101">
        <f t="shared" si="13"/>
        <v>43857.307643928616</v>
      </c>
      <c r="AZ12" s="101">
        <f t="shared" si="13"/>
        <v>43857.307643928616</v>
      </c>
      <c r="BA12" s="101">
        <f t="shared" si="13"/>
        <v>43857.307643928616</v>
      </c>
      <c r="BB12" s="101">
        <f t="shared" si="13"/>
        <v>43857.307643928616</v>
      </c>
      <c r="BC12" s="101">
        <f t="shared" si="13"/>
        <v>43857.307643928616</v>
      </c>
      <c r="BD12" s="101">
        <f t="shared" si="13"/>
        <v>43857.307643928616</v>
      </c>
      <c r="BE12" s="101">
        <f t="shared" si="13"/>
        <v>43857.307643928616</v>
      </c>
      <c r="BF12" s="101">
        <f t="shared" si="13"/>
        <v>43857.307643928616</v>
      </c>
      <c r="BG12" s="101">
        <f t="shared" si="13"/>
        <v>43857.307643928616</v>
      </c>
      <c r="BH12" s="101">
        <f t="shared" si="13"/>
        <v>43857.307643928616</v>
      </c>
      <c r="BI12" s="101">
        <f t="shared" si="13"/>
        <v>43857.307643928616</v>
      </c>
      <c r="BJ12" s="101">
        <f t="shared" si="13"/>
        <v>43857.307643928616</v>
      </c>
      <c r="BK12" s="101">
        <f t="shared" si="13"/>
        <v>43857.307643928616</v>
      </c>
      <c r="BL12" s="101">
        <f t="shared" si="13"/>
        <v>43857.307643928616</v>
      </c>
      <c r="BM12" s="101">
        <f t="shared" si="13"/>
        <v>43857.307643928616</v>
      </c>
      <c r="BN12" s="101">
        <f t="shared" si="13"/>
        <v>43857.307643928616</v>
      </c>
      <c r="BR12" t="s">
        <v>24</v>
      </c>
      <c r="BS12" s="41" t="e">
        <f>#REF!</f>
        <v>#REF!</v>
      </c>
      <c r="BY12" s="27" t="s">
        <v>152</v>
      </c>
      <c r="BZ12" s="130"/>
      <c r="CA12" s="130"/>
      <c r="CB12" s="130"/>
      <c r="CC12" s="130"/>
      <c r="CD12" s="130"/>
      <c r="CE12" s="136">
        <f>AH44</f>
        <v>1497.0467531169654</v>
      </c>
      <c r="CF12" s="130"/>
      <c r="CG12" s="130"/>
    </row>
    <row r="13" spans="1:88" outlineLevel="1">
      <c r="B13" s="58" t="s">
        <v>134</v>
      </c>
      <c r="C13" s="51" t="s">
        <v>166</v>
      </c>
      <c r="D13" s="101">
        <v>0</v>
      </c>
      <c r="E13" s="101">
        <f>E12*'R&amp;S - Transportation'!$B$15*('R&amp;S - Transportation'!$B$10*'R&amp;S - Transportation'!$B$19*(E$3-$D$3)/10)</f>
        <v>144.72911522496443</v>
      </c>
      <c r="F13" s="101">
        <f>F12*'R&amp;S - Transportation'!$B$15*('R&amp;S - Transportation'!$B$10*'R&amp;S - Transportation'!$B$19*(F$3-$D$3)/10)</f>
        <v>289.45823044992886</v>
      </c>
      <c r="G13" s="101">
        <f>G12*'R&amp;S - Transportation'!$B$15*('R&amp;S - Transportation'!$B$10*'R&amp;S - Transportation'!$B$19*(G$3-$D$3)/10)</f>
        <v>434.18734567489332</v>
      </c>
      <c r="H13" s="101">
        <f>H12*'R&amp;S - Transportation'!$B$15*('R&amp;S - Transportation'!$B$10*'R&amp;S - Transportation'!$B$19*(H$3-$D$3)/10)</f>
        <v>578.91646089985773</v>
      </c>
      <c r="I13" s="101">
        <f>I12*'R&amp;S - Transportation'!$B$15*('R&amp;S - Transportation'!$B$10*'R&amp;S - Transportation'!$B$19*(I$3-$D$3)/10)</f>
        <v>723.64557612482224</v>
      </c>
      <c r="J13" s="101">
        <f>J12*'R&amp;S - Transportation'!$B$15*('R&amp;S - Transportation'!$B$10*'R&amp;S - Transportation'!$B$19*(J$3-$D$3)/10)</f>
        <v>868.37469134978664</v>
      </c>
      <c r="K13" s="101">
        <f>K12*'R&amp;S - Transportation'!$B$15*('R&amp;S - Transportation'!$B$10*'R&amp;S - Transportation'!$B$19*(K$3-$D$3)/10)</f>
        <v>1013.1038065747512</v>
      </c>
      <c r="L13" s="101">
        <f>L12*'R&amp;S - Transportation'!$B$15*('R&amp;S - Transportation'!$B$10*'R&amp;S - Transportation'!$B$19*(L$3-$D$3)/10)</f>
        <v>1157.8329217997155</v>
      </c>
      <c r="M13" s="101">
        <f>M12*'R&amp;S - Transportation'!$B$15*('R&amp;S - Transportation'!$B$10*'R&amp;S - Transportation'!$B$19*(M$3-$D$3)/10)</f>
        <v>1302.56203702468</v>
      </c>
      <c r="N13" s="101">
        <f>N12*'R&amp;S - Transportation'!$B$15*('R&amp;S - Transportation'!$B$10*'R&amp;S - Transportation'!$B$19*(N$3-$D$3)/10)</f>
        <v>1447.2911522496445</v>
      </c>
      <c r="O13" s="101">
        <f>O12*('R&amp;S - Transportation'!$B$15*('R&amp;S - Transportation'!$B$10*('R&amp;S - Transportation'!$B$19+('R&amp;S - Transportation'!$B$20-'R&amp;S - Transportation'!$B$19)*(O3-$N$3)/10)))</f>
        <v>1881.4784979245376</v>
      </c>
      <c r="P13" s="101">
        <f>P12*('R&amp;S - Transportation'!$B$15*('R&amp;S - Transportation'!$B$10*('R&amp;S - Transportation'!$B$19+('R&amp;S - Transportation'!$B$20-'R&amp;S - Transportation'!$B$19)*(P3-$N$3)/10)))</f>
        <v>2315.6658435994314</v>
      </c>
      <c r="Q13" s="101">
        <f>Q12*('R&amp;S - Transportation'!$B$15*('R&amp;S - Transportation'!$B$10*('R&amp;S - Transportation'!$B$19+('R&amp;S - Transportation'!$B$20-'R&amp;S - Transportation'!$B$19)*(Q3-$N$3)/10)))</f>
        <v>2749.8531892743244</v>
      </c>
      <c r="R13" s="101">
        <f>R12*('R&amp;S - Transportation'!$B$15*('R&amp;S - Transportation'!$B$10*('R&amp;S - Transportation'!$B$19+('R&amp;S - Transportation'!$B$20-'R&amp;S - Transportation'!$B$19)*(R3-$N$3)/10)))</f>
        <v>3184.040534949218</v>
      </c>
      <c r="S13" s="101">
        <f>S12*('R&amp;S - Transportation'!$B$15*('R&amp;S - Transportation'!$B$10*('R&amp;S - Transportation'!$B$19+('R&amp;S - Transportation'!$B$20-'R&amp;S - Transportation'!$B$19)*(S3-$N$3)/10)))</f>
        <v>3618.2278806241111</v>
      </c>
      <c r="T13" s="101">
        <f>T12*('R&amp;S - Transportation'!$B$15*('R&amp;S - Transportation'!$B$10*('R&amp;S - Transportation'!$B$19+('R&amp;S - Transportation'!$B$20-'R&amp;S - Transportation'!$B$19)*(T3-$N$3)/10)))</f>
        <v>4052.4152262990046</v>
      </c>
      <c r="U13" s="101">
        <f>U12*('R&amp;S - Transportation'!$B$15*('R&amp;S - Transportation'!$B$10*('R&amp;S - Transportation'!$B$19+('R&amp;S - Transportation'!$B$20-'R&amp;S - Transportation'!$B$19)*(U3-$N$3)/10)))</f>
        <v>4486.6025719738982</v>
      </c>
      <c r="V13" s="101">
        <f>V12*('R&amp;S - Transportation'!$B$15*('R&amp;S - Transportation'!$B$10*('R&amp;S - Transportation'!$B$19+('R&amp;S - Transportation'!$B$20-'R&amp;S - Transportation'!$B$19)*(V3-$N$3)/10)))</f>
        <v>4920.7899176487927</v>
      </c>
      <c r="W13" s="101">
        <f>W12*('R&amp;S - Transportation'!$B$15*('R&amp;S - Transportation'!$B$10*('R&amp;S - Transportation'!$B$19+('R&amp;S - Transportation'!$B$20-'R&amp;S - Transportation'!$B$19)*(W3-$N$3)/10)))</f>
        <v>5354.9772633236844</v>
      </c>
      <c r="X13" s="101">
        <f>X12*('R&amp;S - Transportation'!$B$15*('R&amp;S - Transportation'!$B$10*('R&amp;S - Transportation'!$B$19+('R&amp;S - Transportation'!$B$20-'R&amp;S - Transportation'!$B$19)*(X3-$N$3)/10)))</f>
        <v>5789.1646089985779</v>
      </c>
      <c r="Y13" s="101">
        <f>Y12*('R&amp;S - Transportation'!$B$15*('R&amp;S - Transportation'!$B$10*('R&amp;S - Transportation'!$B$20+('R&amp;S - Transportation'!$B$21-'R&amp;S - Transportation'!$B$20)*(Y3-$X$3)/10)))</f>
        <v>6657.539300348365</v>
      </c>
      <c r="Z13" s="101">
        <f>Z12*('R&amp;S - Transportation'!$B$15*('R&amp;S - Transportation'!$B$10*('R&amp;S - Transportation'!$B$20+('R&amp;S - Transportation'!$B$21-'R&amp;S - Transportation'!$B$20)*(Z3-$X$3)/10)))</f>
        <v>7525.9139916981503</v>
      </c>
      <c r="AA13" s="101">
        <f>AA12*('R&amp;S - Transportation'!$B$15*('R&amp;S - Transportation'!$B$10*('R&amp;S - Transportation'!$B$20+('R&amp;S - Transportation'!$B$21-'R&amp;S - Transportation'!$B$20)*(AA3-$X$3)/10)))</f>
        <v>8394.2886830479383</v>
      </c>
      <c r="AB13" s="101">
        <f>AB12*('R&amp;S - Transportation'!$B$15*('R&amp;S - Transportation'!$B$10*('R&amp;S - Transportation'!$B$20+('R&amp;S - Transportation'!$B$21-'R&amp;S - Transportation'!$B$20)*(AB3-$X$3)/10)))</f>
        <v>9262.6633743977254</v>
      </c>
      <c r="AC13" s="101">
        <f>AC12*('R&amp;S - Transportation'!$B$15*('R&amp;S - Transportation'!$B$10*('R&amp;S - Transportation'!$B$20+('R&amp;S - Transportation'!$B$21-'R&amp;S - Transportation'!$B$20)*(AC3-$X$3)/10)))</f>
        <v>10131.038065747509</v>
      </c>
      <c r="AD13" s="101">
        <f>AD12*('R&amp;S - Transportation'!$B$15*('R&amp;S - Transportation'!$B$10*('R&amp;S - Transportation'!$B$20+('R&amp;S - Transportation'!$B$21-'R&amp;S - Transportation'!$B$20)*(AD3-$X$3)/10)))</f>
        <v>10999.412757097298</v>
      </c>
      <c r="AE13" s="101">
        <f>AE12*('R&amp;S - Transportation'!$B$15*('R&amp;S - Transportation'!$B$10*('R&amp;S - Transportation'!$B$20+('R&amp;S - Transportation'!$B$21-'R&amp;S - Transportation'!$B$20)*(AE3-$X$3)/10)))</f>
        <v>11867.787448447083</v>
      </c>
      <c r="AF13" s="101">
        <f>AF12*('R&amp;S - Transportation'!$B$15*('R&amp;S - Transportation'!$B$10*('R&amp;S - Transportation'!$B$20+('R&amp;S - Transportation'!$B$21-'R&amp;S - Transportation'!$B$20)*(AF3-$X$3)/10)))</f>
        <v>12736.16213979687</v>
      </c>
      <c r="AG13" s="101">
        <f>AG12*('R&amp;S - Transportation'!$B$15*('R&amp;S - Transportation'!$B$10*('R&amp;S - Transportation'!$B$20+('R&amp;S - Transportation'!$B$21-'R&amp;S - Transportation'!$B$20)*(AG3-$X$3)/10)))</f>
        <v>13604.536831146655</v>
      </c>
      <c r="AH13" s="101">
        <f>AH12*('R&amp;S - Transportation'!$B$15*('R&amp;S - Transportation'!$B$10*('R&amp;S - Transportation'!$B$20+('R&amp;S - Transportation'!$B$21-'R&amp;S - Transportation'!$B$20)*(AH3-$X$3)/10)))</f>
        <v>14472.911522496444</v>
      </c>
      <c r="AI13" s="191"/>
      <c r="AJ13" s="101">
        <v>0</v>
      </c>
      <c r="AK13" s="101">
        <f>AK12*'R&amp;S - Transportation'!$B$16*('R&amp;S - Transportation'!$B$10*'R&amp;S - Transportation'!$B$19*(AK$3-$D$3)/10)</f>
        <v>72.364557612482216</v>
      </c>
      <c r="AL13" s="101">
        <f>AL12*'R&amp;S - Transportation'!$B$16*('R&amp;S - Transportation'!$B$10*'R&amp;S - Transportation'!$B$19*(AL$3-$D$3)/10)</f>
        <v>144.72911522496443</v>
      </c>
      <c r="AM13" s="101">
        <f>AM12*'R&amp;S - Transportation'!$B$16*('R&amp;S - Transportation'!$B$10*'R&amp;S - Transportation'!$B$19*(AM$3-$D$3)/10)</f>
        <v>217.09367283744666</v>
      </c>
      <c r="AN13" s="101">
        <f>AN12*'R&amp;S - Transportation'!$B$16*('R&amp;S - Transportation'!$B$10*'R&amp;S - Transportation'!$B$19*(AN$3-$D$3)/10)</f>
        <v>289.45823044992886</v>
      </c>
      <c r="AO13" s="101">
        <f>AO12*'R&amp;S - Transportation'!$B$16*('R&amp;S - Transportation'!$B$10*'R&amp;S - Transportation'!$B$19*(AO$3-$D$3)/10)</f>
        <v>361.82278806241112</v>
      </c>
      <c r="AP13" s="101">
        <f>AP12*'R&amp;S - Transportation'!$B$16*('R&amp;S - Transportation'!$B$10*'R&amp;S - Transportation'!$B$19*(AP$3-$D$3)/10)</f>
        <v>434.18734567489332</v>
      </c>
      <c r="AQ13" s="101">
        <f>AQ12*'R&amp;S - Transportation'!$B$16*('R&amp;S - Transportation'!$B$10*'R&amp;S - Transportation'!$B$19*(AQ$3-$D$3)/10)</f>
        <v>506.55190328737558</v>
      </c>
      <c r="AR13" s="101">
        <f>AR12*'R&amp;S - Transportation'!$B$16*('R&amp;S - Transportation'!$B$10*'R&amp;S - Transportation'!$B$19*(AR$3-$D$3)/10)</f>
        <v>578.91646089985773</v>
      </c>
      <c r="AS13" s="101">
        <f>AS12*'R&amp;S - Transportation'!$B$16*('R&amp;S - Transportation'!$B$10*'R&amp;S - Transportation'!$B$19*(AS$3-$D$3)/10)</f>
        <v>651.28101851233998</v>
      </c>
      <c r="AT13" s="101">
        <f>AT12*'R&amp;S - Transportation'!$B$16*('R&amp;S - Transportation'!$B$10*'R&amp;S - Transportation'!$B$19*(AT$3-$D$3)/10)</f>
        <v>723.64557612482224</v>
      </c>
      <c r="AU13" s="101">
        <f>AU12*('R&amp;S - Transportation'!$B$16*('R&amp;S - Transportation'!$B$10*('R&amp;S - Transportation'!$B$19+('R&amp;S - Transportation'!$B$20-'R&amp;S - Transportation'!$B$19)*(AU3-$N$3)/10)))</f>
        <v>940.73924896226879</v>
      </c>
      <c r="AV13" s="101">
        <f>AV12*('R&amp;S - Transportation'!$B$16*('R&amp;S - Transportation'!$B$10*('R&amp;S - Transportation'!$B$19+('R&amp;S - Transportation'!$B$20-'R&amp;S - Transportation'!$B$19)*(AV3-$N$3)/10)))</f>
        <v>1157.8329217997157</v>
      </c>
      <c r="AW13" s="101">
        <f>AW12*('R&amp;S - Transportation'!$B$16*('R&amp;S - Transportation'!$B$10*('R&amp;S - Transportation'!$B$19+('R&amp;S - Transportation'!$B$20-'R&amp;S - Transportation'!$B$19)*(AW3-$N$3)/10)))</f>
        <v>1374.9265946371622</v>
      </c>
      <c r="AX13" s="101">
        <f>AX12*('R&amp;S - Transportation'!$B$16*('R&amp;S - Transportation'!$B$10*('R&amp;S - Transportation'!$B$19+('R&amp;S - Transportation'!$B$20-'R&amp;S - Transportation'!$B$19)*(AX3-$N$3)/10)))</f>
        <v>1592.020267474609</v>
      </c>
      <c r="AY13" s="101">
        <f>AY12*('R&amp;S - Transportation'!$B$16*('R&amp;S - Transportation'!$B$10*('R&amp;S - Transportation'!$B$19+('R&amp;S - Transportation'!$B$20-'R&amp;S - Transportation'!$B$19)*(AY3-$N$3)/10)))</f>
        <v>1809.1139403120555</v>
      </c>
      <c r="AZ13" s="101">
        <f>AZ12*('R&amp;S - Transportation'!$B$16*('R&amp;S - Transportation'!$B$10*('R&amp;S - Transportation'!$B$19+('R&amp;S - Transportation'!$B$20-'R&amp;S - Transportation'!$B$19)*(AZ3-$N$3)/10)))</f>
        <v>2026.2076131495023</v>
      </c>
      <c r="BA13" s="101">
        <f>BA12*('R&amp;S - Transportation'!$B$16*('R&amp;S - Transportation'!$B$10*('R&amp;S - Transportation'!$B$19+('R&amp;S - Transportation'!$B$20-'R&amp;S - Transportation'!$B$19)*(BA3-$N$3)/10)))</f>
        <v>2243.3012859869491</v>
      </c>
      <c r="BB13" s="101">
        <f>BB12*('R&amp;S - Transportation'!$B$16*('R&amp;S - Transportation'!$B$10*('R&amp;S - Transportation'!$B$19+('R&amp;S - Transportation'!$B$20-'R&amp;S - Transportation'!$B$19)*(BB3-$N$3)/10)))</f>
        <v>2460.3949588243963</v>
      </c>
      <c r="BC13" s="101">
        <f>BC12*('R&amp;S - Transportation'!$B$16*('R&amp;S - Transportation'!$B$10*('R&amp;S - Transportation'!$B$19+('R&amp;S - Transportation'!$B$20-'R&amp;S - Transportation'!$B$19)*(BC3-$N$3)/10)))</f>
        <v>2677.4886316618422</v>
      </c>
      <c r="BD13" s="101">
        <f>BD12*('R&amp;S - Transportation'!$B$16*('R&amp;S - Transportation'!$B$10*('R&amp;S - Transportation'!$B$19+('R&amp;S - Transportation'!$B$20-'R&amp;S - Transportation'!$B$19)*(BD3-$N$3)/10)))</f>
        <v>2894.582304499289</v>
      </c>
      <c r="BE13" s="101">
        <f>BE12*('R&amp;S - Transportation'!$B$16*('R&amp;S - Transportation'!$B$10*('R&amp;S - Transportation'!$B$20+('R&amp;S - Transportation'!$B$21-'R&amp;S - Transportation'!$B$20)*(BE3-$X$3)/10)))</f>
        <v>3328.7696501741825</v>
      </c>
      <c r="BF13" s="101">
        <f>BF12*('R&amp;S - Transportation'!$B$16*('R&amp;S - Transportation'!$B$10*('R&amp;S - Transportation'!$B$20+('R&amp;S - Transportation'!$B$21-'R&amp;S - Transportation'!$B$20)*(BF3-$X$3)/10)))</f>
        <v>3762.9569958490752</v>
      </c>
      <c r="BG13" s="101">
        <f>BG12*('R&amp;S - Transportation'!$B$16*('R&amp;S - Transportation'!$B$10*('R&amp;S - Transportation'!$B$20+('R&amp;S - Transportation'!$B$21-'R&amp;S - Transportation'!$B$20)*(BG3-$X$3)/10)))</f>
        <v>4197.1443415239692</v>
      </c>
      <c r="BH13" s="101">
        <f>BH12*('R&amp;S - Transportation'!$B$16*('R&amp;S - Transportation'!$B$10*('R&amp;S - Transportation'!$B$20+('R&amp;S - Transportation'!$B$21-'R&amp;S - Transportation'!$B$20)*(BH3-$X$3)/10)))</f>
        <v>4631.3316871988627</v>
      </c>
      <c r="BI13" s="101">
        <f>BI12*('R&amp;S - Transportation'!$B$16*('R&amp;S - Transportation'!$B$10*('R&amp;S - Transportation'!$B$20+('R&amp;S - Transportation'!$B$21-'R&amp;S - Transportation'!$B$20)*(BI3-$X$3)/10)))</f>
        <v>5065.5190328737544</v>
      </c>
      <c r="BJ13" s="101">
        <f>BJ12*('R&amp;S - Transportation'!$B$16*('R&amp;S - Transportation'!$B$10*('R&amp;S - Transportation'!$B$20+('R&amp;S - Transportation'!$B$21-'R&amp;S - Transportation'!$B$20)*(BJ3-$X$3)/10)))</f>
        <v>5499.7063785486489</v>
      </c>
      <c r="BK13" s="101">
        <f>BK12*('R&amp;S - Transportation'!$B$16*('R&amp;S - Transportation'!$B$10*('R&amp;S - Transportation'!$B$20+('R&amp;S - Transportation'!$B$21-'R&amp;S - Transportation'!$B$20)*(BK3-$X$3)/10)))</f>
        <v>5933.8937242235415</v>
      </c>
      <c r="BL13" s="101">
        <f>BL12*('R&amp;S - Transportation'!$B$16*('R&amp;S - Transportation'!$B$10*('R&amp;S - Transportation'!$B$20+('R&amp;S - Transportation'!$B$21-'R&amp;S - Transportation'!$B$20)*(BL3-$X$3)/10)))</f>
        <v>6368.0810698984351</v>
      </c>
      <c r="BM13" s="101">
        <f>BM12*('R&amp;S - Transportation'!$B$16*('R&amp;S - Transportation'!$B$10*('R&amp;S - Transportation'!$B$20+('R&amp;S - Transportation'!$B$21-'R&amp;S - Transportation'!$B$20)*(BM3-$X$3)/10)))</f>
        <v>6802.2684155733277</v>
      </c>
      <c r="BN13" s="101">
        <f>BN12*('R&amp;S - Transportation'!$B$16*('R&amp;S - Transportation'!$B$10*('R&amp;S - Transportation'!$B$20+('R&amp;S - Transportation'!$B$21-'R&amp;S - Transportation'!$B$20)*(BN3-$X$3)/10)))</f>
        <v>7236.4557612482222</v>
      </c>
      <c r="BS13" s="416" t="e">
        <f>SUM(BS9:BS12)</f>
        <v>#REF!</v>
      </c>
      <c r="BY13" s="27" t="s">
        <v>621</v>
      </c>
      <c r="BZ13" s="130"/>
      <c r="CA13" s="130"/>
      <c r="CB13" s="130"/>
      <c r="CC13" s="130"/>
      <c r="CD13" s="130"/>
      <c r="CE13" s="130"/>
      <c r="CF13" s="136">
        <f>SUM(AH71:AH72)</f>
        <v>17156.827336853439</v>
      </c>
      <c r="CG13" s="130"/>
    </row>
    <row r="14" spans="1:88" outlineLevel="1">
      <c r="B14" s="58" t="s">
        <v>177</v>
      </c>
      <c r="C14" s="51" t="s">
        <v>166</v>
      </c>
      <c r="D14" s="101">
        <v>0</v>
      </c>
      <c r="E14" s="101">
        <f>E12*'R&amp;S - Transportation'!$B$15*('R&amp;S - Transportation'!$B$11*'R&amp;S - Transportation'!$B$19*(E$3-$D$3)/10)</f>
        <v>92.100346052250103</v>
      </c>
      <c r="F14" s="101">
        <f>F12*'R&amp;S - Transportation'!$B$15*('R&amp;S - Transportation'!$B$11*'R&amp;S - Transportation'!$B$19*(F$3-$D$3)/10)</f>
        <v>184.20069210450021</v>
      </c>
      <c r="G14" s="101">
        <f>G12*'R&amp;S - Transportation'!$B$15*('R&amp;S - Transportation'!$B$11*'R&amp;S - Transportation'!$B$19*(G$3-$D$3)/10)</f>
        <v>276.30103815675028</v>
      </c>
      <c r="H14" s="101">
        <f>H12*'R&amp;S - Transportation'!$B$15*('R&amp;S - Transportation'!$B$11*'R&amp;S - Transportation'!$B$19*(H$3-$D$3)/10)</f>
        <v>368.40138420900041</v>
      </c>
      <c r="I14" s="101">
        <f>I12*'R&amp;S - Transportation'!$B$15*('R&amp;S - Transportation'!$B$11*'R&amp;S - Transportation'!$B$19*(I$3-$D$3)/10)</f>
        <v>460.50173026125049</v>
      </c>
      <c r="J14" s="101">
        <f>J12*'R&amp;S - Transportation'!$B$15*('R&amp;S - Transportation'!$B$11*'R&amp;S - Transportation'!$B$19*(J$3-$D$3)/10)</f>
        <v>552.60207631350056</v>
      </c>
      <c r="K14" s="101">
        <f>K12*'R&amp;S - Transportation'!$B$15*('R&amp;S - Transportation'!$B$11*'R&amp;S - Transportation'!$B$19*(K$3-$D$3)/10)</f>
        <v>644.70242236575075</v>
      </c>
      <c r="L14" s="101">
        <f>L12*'R&amp;S - Transportation'!$B$15*('R&amp;S - Transportation'!$B$11*'R&amp;S - Transportation'!$B$19*(L$3-$D$3)/10)</f>
        <v>736.80276841800082</v>
      </c>
      <c r="M14" s="101">
        <f>M12*'R&amp;S - Transportation'!$B$15*('R&amp;S - Transportation'!$B$11*'R&amp;S - Transportation'!$B$19*(M$3-$D$3)/10)</f>
        <v>828.9031144702509</v>
      </c>
      <c r="N14" s="101">
        <f>N12*'R&amp;S - Transportation'!$B$15*('R&amp;S - Transportation'!$B$11*'R&amp;S - Transportation'!$B$19*(N$3-$D$3)/10)</f>
        <v>921.00346052250097</v>
      </c>
      <c r="O14" s="101">
        <f>O12*('R&amp;S - Transportation'!$B$15*('R&amp;S - Transportation'!$B$11*('R&amp;S - Transportation'!$B$19+('R&amp;S - Transportation'!$B$20-'R&amp;S - Transportation'!$B$19)*(O3-$N$3)/10)))</f>
        <v>1197.3044986792513</v>
      </c>
      <c r="P14" s="101">
        <f>P12*('R&amp;S - Transportation'!$B$15*('R&amp;S - Transportation'!$B$11*('R&amp;S - Transportation'!$B$19+('R&amp;S - Transportation'!$B$20-'R&amp;S - Transportation'!$B$19)*(P3-$N$3)/10)))</f>
        <v>1473.6055368360016</v>
      </c>
      <c r="Q14" s="101">
        <f>Q12*('R&amp;S - Transportation'!$B$15*('R&amp;S - Transportation'!$B$11*('R&amp;S - Transportation'!$B$19+('R&amp;S - Transportation'!$B$20-'R&amp;S - Transportation'!$B$19)*(Q3-$N$3)/10)))</f>
        <v>1749.9065749927518</v>
      </c>
      <c r="R14" s="101">
        <f>R12*('R&amp;S - Transportation'!$B$15*('R&amp;S - Transportation'!$B$11*('R&amp;S - Transportation'!$B$19+('R&amp;S - Transportation'!$B$20-'R&amp;S - Transportation'!$B$19)*(R3-$N$3)/10)))</f>
        <v>2026.2076131495023</v>
      </c>
      <c r="S14" s="101">
        <f>S12*('R&amp;S - Transportation'!$B$15*('R&amp;S - Transportation'!$B$11*('R&amp;S - Transportation'!$B$19+('R&amp;S - Transportation'!$B$20-'R&amp;S - Transportation'!$B$19)*(S3-$N$3)/10)))</f>
        <v>2302.5086513062524</v>
      </c>
      <c r="T14" s="101">
        <f>T12*('R&amp;S - Transportation'!$B$15*('R&amp;S - Transportation'!$B$11*('R&amp;S - Transportation'!$B$19+('R&amp;S - Transportation'!$B$20-'R&amp;S - Transportation'!$B$19)*(T3-$N$3)/10)))</f>
        <v>2578.809689463003</v>
      </c>
      <c r="U14" s="101">
        <f>U12*('R&amp;S - Transportation'!$B$15*('R&amp;S - Transportation'!$B$11*('R&amp;S - Transportation'!$B$19+('R&amp;S - Transportation'!$B$20-'R&amp;S - Transportation'!$B$19)*(U3-$N$3)/10)))</f>
        <v>2855.1107276197531</v>
      </c>
      <c r="V14" s="101">
        <f>V12*('R&amp;S - Transportation'!$B$15*('R&amp;S - Transportation'!$B$11*('R&amp;S - Transportation'!$B$19+('R&amp;S - Transportation'!$B$20-'R&amp;S - Transportation'!$B$19)*(V3-$N$3)/10)))</f>
        <v>3131.4117657765041</v>
      </c>
      <c r="W14" s="101">
        <f>W12*('R&amp;S - Transportation'!$B$15*('R&amp;S - Transportation'!$B$11*('R&amp;S - Transportation'!$B$19+('R&amp;S - Transportation'!$B$20-'R&amp;S - Transportation'!$B$19)*(W3-$N$3)/10)))</f>
        <v>3407.7128039332529</v>
      </c>
      <c r="X14" s="101">
        <f>X12*('R&amp;S - Transportation'!$B$15*('R&amp;S - Transportation'!$B$11*('R&amp;S - Transportation'!$B$19+('R&amp;S - Transportation'!$B$20-'R&amp;S - Transportation'!$B$19)*(X3-$N$3)/10)))</f>
        <v>3684.0138420900039</v>
      </c>
      <c r="Y14" s="101">
        <f>Y12*('R&amp;S - Transportation'!$B$15*('R&amp;S - Transportation'!$B$11*('R&amp;S - Transportation'!$B$20+('R&amp;S - Transportation'!$B$21-'R&amp;S - Transportation'!$B$20)*(Y3-$X$3)/10)))</f>
        <v>4236.6159184035041</v>
      </c>
      <c r="Z14" s="101">
        <f>Z12*('R&amp;S - Transportation'!$B$15*('R&amp;S - Transportation'!$B$11*('R&amp;S - Transportation'!$B$20+('R&amp;S - Transportation'!$B$21-'R&amp;S - Transportation'!$B$20)*(Z3-$X$3)/10)))</f>
        <v>4789.2179947170052</v>
      </c>
      <c r="AA14" s="101">
        <f>AA12*('R&amp;S - Transportation'!$B$15*('R&amp;S - Transportation'!$B$11*('R&amp;S - Transportation'!$B$20+('R&amp;S - Transportation'!$B$21-'R&amp;S - Transportation'!$B$20)*(AA3-$X$3)/10)))</f>
        <v>5341.8200710305055</v>
      </c>
      <c r="AB14" s="101">
        <f>AB12*('R&amp;S - Transportation'!$B$15*('R&amp;S - Transportation'!$B$11*('R&amp;S - Transportation'!$B$20+('R&amp;S - Transportation'!$B$21-'R&amp;S - Transportation'!$B$20)*(AB3-$X$3)/10)))</f>
        <v>5894.4221473440057</v>
      </c>
      <c r="AC14" s="101">
        <f>AC12*('R&amp;S - Transportation'!$B$15*('R&amp;S - Transportation'!$B$11*('R&amp;S - Transportation'!$B$20+('R&amp;S - Transportation'!$B$21-'R&amp;S - Transportation'!$B$20)*(AC3-$X$3)/10)))</f>
        <v>6447.0242236575059</v>
      </c>
      <c r="AD14" s="101">
        <f>AD12*('R&amp;S - Transportation'!$B$15*('R&amp;S - Transportation'!$B$11*('R&amp;S - Transportation'!$B$20+('R&amp;S - Transportation'!$B$21-'R&amp;S - Transportation'!$B$20)*(AD3-$X$3)/10)))</f>
        <v>6999.626299971007</v>
      </c>
      <c r="AE14" s="101">
        <f>AE12*('R&amp;S - Transportation'!$B$15*('R&amp;S - Transportation'!$B$11*('R&amp;S - Transportation'!$B$20+('R&amp;S - Transportation'!$B$21-'R&amp;S - Transportation'!$B$20)*(AE3-$X$3)/10)))</f>
        <v>7552.2283762845082</v>
      </c>
      <c r="AF14" s="101">
        <f>AF12*('R&amp;S - Transportation'!$B$15*('R&amp;S - Transportation'!$B$11*('R&amp;S - Transportation'!$B$20+('R&amp;S - Transportation'!$B$21-'R&amp;S - Transportation'!$B$20)*(AF3-$X$3)/10)))</f>
        <v>8104.8304525980075</v>
      </c>
      <c r="AG14" s="101">
        <f>AG12*('R&amp;S - Transportation'!$B$15*('R&amp;S - Transportation'!$B$11*('R&amp;S - Transportation'!$B$20+('R&amp;S - Transportation'!$B$21-'R&amp;S - Transportation'!$B$20)*(AG3-$X$3)/10)))</f>
        <v>8657.4325289115077</v>
      </c>
      <c r="AH14" s="101">
        <f>AH12*('R&amp;S - Transportation'!$B$15*('R&amp;S - Transportation'!$B$11*('R&amp;S - Transportation'!$B$20+('R&amp;S - Transportation'!$B$21-'R&amp;S - Transportation'!$B$20)*(AH3-$X$3)/10)))</f>
        <v>9210.0346052250097</v>
      </c>
      <c r="AI14" s="191"/>
      <c r="AJ14" s="101">
        <v>0</v>
      </c>
      <c r="AK14" s="101">
        <f>AK12*'R&amp;S - Transportation'!$B$16*('R&amp;S - Transportation'!$B$11*'R&amp;S - Transportation'!$B$19*(AK$3-$D$3)/10)</f>
        <v>46.050173026125051</v>
      </c>
      <c r="AL14" s="101">
        <f>AL12*'R&amp;S - Transportation'!$B$16*('R&amp;S - Transportation'!$B$11*'R&amp;S - Transportation'!$B$19*(AL$3-$D$3)/10)</f>
        <v>92.100346052250103</v>
      </c>
      <c r="AM14" s="101">
        <f>AM12*'R&amp;S - Transportation'!$B$16*('R&amp;S - Transportation'!$B$11*'R&amp;S - Transportation'!$B$19*(AM$3-$D$3)/10)</f>
        <v>138.15051907837514</v>
      </c>
      <c r="AN14" s="101">
        <f>AN12*'R&amp;S - Transportation'!$B$16*('R&amp;S - Transportation'!$B$11*'R&amp;S - Transportation'!$B$19*(AN$3-$D$3)/10)</f>
        <v>184.20069210450021</v>
      </c>
      <c r="AO14" s="101">
        <f>AO12*'R&amp;S - Transportation'!$B$16*('R&amp;S - Transportation'!$B$11*'R&amp;S - Transportation'!$B$19*(AO$3-$D$3)/10)</f>
        <v>230.25086513062524</v>
      </c>
      <c r="AP14" s="101">
        <f>AP12*'R&amp;S - Transportation'!$B$16*('R&amp;S - Transportation'!$B$11*'R&amp;S - Transportation'!$B$19*(AP$3-$D$3)/10)</f>
        <v>276.30103815675028</v>
      </c>
      <c r="AQ14" s="101">
        <f>AQ12*'R&amp;S - Transportation'!$B$16*('R&amp;S - Transportation'!$B$11*'R&amp;S - Transportation'!$B$19*(AQ$3-$D$3)/10)</f>
        <v>322.35121118287537</v>
      </c>
      <c r="AR14" s="101">
        <f>AR12*'R&amp;S - Transportation'!$B$16*('R&amp;S - Transportation'!$B$11*'R&amp;S - Transportation'!$B$19*(AR$3-$D$3)/10)</f>
        <v>368.40138420900041</v>
      </c>
      <c r="AS14" s="101">
        <f>AS12*'R&amp;S - Transportation'!$B$16*('R&amp;S - Transportation'!$B$11*'R&amp;S - Transportation'!$B$19*(AS$3-$D$3)/10)</f>
        <v>414.45155723512545</v>
      </c>
      <c r="AT14" s="101">
        <f>AT12*'R&amp;S - Transportation'!$B$16*('R&amp;S - Transportation'!$B$11*'R&amp;S - Transportation'!$B$19*(AT$3-$D$3)/10)</f>
        <v>460.50173026125049</v>
      </c>
      <c r="AU14" s="101">
        <f>AU12*('R&amp;S - Transportation'!$B$16*('R&amp;S - Transportation'!$B$11*('R&amp;S - Transportation'!$B$19+('R&amp;S - Transportation'!$B$20-'R&amp;S - Transportation'!$B$19)*(AU3-$N$3)/10)))</f>
        <v>598.65224933962566</v>
      </c>
      <c r="AV14" s="101">
        <f>AV12*('R&amp;S - Transportation'!$B$16*('R&amp;S - Transportation'!$B$11*('R&amp;S - Transportation'!$B$19+('R&amp;S - Transportation'!$B$20-'R&amp;S - Transportation'!$B$19)*(AV3-$N$3)/10)))</f>
        <v>736.80276841800082</v>
      </c>
      <c r="AW14" s="101">
        <f>AW12*('R&amp;S - Transportation'!$B$16*('R&amp;S - Transportation'!$B$11*('R&amp;S - Transportation'!$B$19+('R&amp;S - Transportation'!$B$20-'R&amp;S - Transportation'!$B$19)*(AW3-$N$3)/10)))</f>
        <v>874.95328749637588</v>
      </c>
      <c r="AX14" s="101">
        <f>AX12*('R&amp;S - Transportation'!$B$16*('R&amp;S - Transportation'!$B$11*('R&amp;S - Transportation'!$B$19+('R&amp;S - Transportation'!$B$20-'R&amp;S - Transportation'!$B$19)*(AX3-$N$3)/10)))</f>
        <v>1013.1038065747512</v>
      </c>
      <c r="AY14" s="101">
        <f>AY12*('R&amp;S - Transportation'!$B$16*('R&amp;S - Transportation'!$B$11*('R&amp;S - Transportation'!$B$19+('R&amp;S - Transportation'!$B$20-'R&amp;S - Transportation'!$B$19)*(AY3-$N$3)/10)))</f>
        <v>1151.2543256531262</v>
      </c>
      <c r="AZ14" s="101">
        <f>AZ12*('R&amp;S - Transportation'!$B$16*('R&amp;S - Transportation'!$B$11*('R&amp;S - Transportation'!$B$19+('R&amp;S - Transportation'!$B$20-'R&amp;S - Transportation'!$B$19)*(AZ3-$N$3)/10)))</f>
        <v>1289.4048447315015</v>
      </c>
      <c r="BA14" s="101">
        <f>BA12*('R&amp;S - Transportation'!$B$16*('R&amp;S - Transportation'!$B$11*('R&amp;S - Transportation'!$B$19+('R&amp;S - Transportation'!$B$20-'R&amp;S - Transportation'!$B$19)*(BA3-$N$3)/10)))</f>
        <v>1427.5553638098766</v>
      </c>
      <c r="BB14" s="101">
        <f>BB12*('R&amp;S - Transportation'!$B$16*('R&amp;S - Transportation'!$B$11*('R&amp;S - Transportation'!$B$19+('R&amp;S - Transportation'!$B$20-'R&amp;S - Transportation'!$B$19)*(BB3-$N$3)/10)))</f>
        <v>1565.7058828882521</v>
      </c>
      <c r="BC14" s="101">
        <f>BC12*('R&amp;S - Transportation'!$B$16*('R&amp;S - Transportation'!$B$11*('R&amp;S - Transportation'!$B$19+('R&amp;S - Transportation'!$B$20-'R&amp;S - Transportation'!$B$19)*(BC3-$N$3)/10)))</f>
        <v>1703.8564019666264</v>
      </c>
      <c r="BD14" s="101">
        <f>BD12*('R&amp;S - Transportation'!$B$16*('R&amp;S - Transportation'!$B$11*('R&amp;S - Transportation'!$B$19+('R&amp;S - Transportation'!$B$20-'R&amp;S - Transportation'!$B$19)*(BD3-$N$3)/10)))</f>
        <v>1842.0069210450019</v>
      </c>
      <c r="BE14" s="101">
        <f>BE12*('R&amp;S - Transportation'!$B$16*('R&amp;S - Transportation'!$B$11*('R&amp;S - Transportation'!$B$20+('R&amp;S - Transportation'!$B$21-'R&amp;S - Transportation'!$B$20)*(BE3-$X$3)/10)))</f>
        <v>2118.3079592017521</v>
      </c>
      <c r="BF14" s="101">
        <f>BF12*('R&amp;S - Transportation'!$B$16*('R&amp;S - Transportation'!$B$11*('R&amp;S - Transportation'!$B$20+('R&amp;S - Transportation'!$B$21-'R&amp;S - Transportation'!$B$20)*(BF3-$X$3)/10)))</f>
        <v>2394.6089973585026</v>
      </c>
      <c r="BG14" s="101">
        <f>BG12*('R&amp;S - Transportation'!$B$16*('R&amp;S - Transportation'!$B$11*('R&amp;S - Transportation'!$B$20+('R&amp;S - Transportation'!$B$21-'R&amp;S - Transportation'!$B$20)*(BG3-$X$3)/10)))</f>
        <v>2670.9100355152527</v>
      </c>
      <c r="BH14" s="101">
        <f>BH12*('R&amp;S - Transportation'!$B$16*('R&amp;S - Transportation'!$B$11*('R&amp;S - Transportation'!$B$20+('R&amp;S - Transportation'!$B$21-'R&amp;S - Transportation'!$B$20)*(BH3-$X$3)/10)))</f>
        <v>2947.2110736720028</v>
      </c>
      <c r="BI14" s="101">
        <f>BI12*('R&amp;S - Transportation'!$B$16*('R&amp;S - Transportation'!$B$11*('R&amp;S - Transportation'!$B$20+('R&amp;S - Transportation'!$B$21-'R&amp;S - Transportation'!$B$20)*(BI3-$X$3)/10)))</f>
        <v>3223.5121118287529</v>
      </c>
      <c r="BJ14" s="101">
        <f>BJ12*('R&amp;S - Transportation'!$B$16*('R&amp;S - Transportation'!$B$11*('R&amp;S - Transportation'!$B$20+('R&amp;S - Transportation'!$B$21-'R&amp;S - Transportation'!$B$20)*(BJ3-$X$3)/10)))</f>
        <v>3499.8131499855035</v>
      </c>
      <c r="BK14" s="101">
        <f>BK12*('R&amp;S - Transportation'!$B$16*('R&amp;S - Transportation'!$B$11*('R&amp;S - Transportation'!$B$20+('R&amp;S - Transportation'!$B$21-'R&amp;S - Transportation'!$B$20)*(BK3-$X$3)/10)))</f>
        <v>3776.1141881422541</v>
      </c>
      <c r="BL14" s="101">
        <f>BL12*('R&amp;S - Transportation'!$B$16*('R&amp;S - Transportation'!$B$11*('R&amp;S - Transportation'!$B$20+('R&amp;S - Transportation'!$B$21-'R&amp;S - Transportation'!$B$20)*(BL3-$X$3)/10)))</f>
        <v>4052.4152262990037</v>
      </c>
      <c r="BM14" s="101">
        <f>BM12*('R&amp;S - Transportation'!$B$16*('R&amp;S - Transportation'!$B$11*('R&amp;S - Transportation'!$B$20+('R&amp;S - Transportation'!$B$21-'R&amp;S - Transportation'!$B$20)*(BM3-$X$3)/10)))</f>
        <v>4328.7162644557538</v>
      </c>
      <c r="BN14" s="101">
        <f>BN12*('R&amp;S - Transportation'!$B$16*('R&amp;S - Transportation'!$B$11*('R&amp;S - Transportation'!$B$20+('R&amp;S - Transportation'!$B$21-'R&amp;S - Transportation'!$B$20)*(BN3-$X$3)/10)))</f>
        <v>4605.0173026125049</v>
      </c>
      <c r="BR14" t="s">
        <v>232</v>
      </c>
      <c r="BS14" s="41">
        <f>AH4</f>
        <v>80369.95000000007</v>
      </c>
      <c r="BY14" s="27" t="s">
        <v>1288</v>
      </c>
      <c r="BZ14" s="130"/>
      <c r="CA14" s="130"/>
      <c r="CB14" s="130"/>
      <c r="CC14" s="130"/>
      <c r="CD14" s="130"/>
      <c r="CE14" s="130"/>
      <c r="CF14" s="136">
        <f>SUM(AH74:AH75)</f>
        <v>0</v>
      </c>
      <c r="CG14" s="130"/>
    </row>
    <row r="15" spans="1:88" outlineLevel="1">
      <c r="B15" s="1" t="s">
        <v>164</v>
      </c>
      <c r="C15" s="51" t="s">
        <v>166</v>
      </c>
      <c r="D15" s="101">
        <f>SUM(D13:D14)</f>
        <v>0</v>
      </c>
      <c r="E15" s="101">
        <f t="shared" ref="E15:AG15" si="14">SUM(E13:E14)</f>
        <v>236.82946127721453</v>
      </c>
      <c r="F15" s="101">
        <f t="shared" si="14"/>
        <v>473.65892255442907</v>
      </c>
      <c r="G15" s="101">
        <f t="shared" si="14"/>
        <v>710.48838383164366</v>
      </c>
      <c r="H15" s="101">
        <f t="shared" si="14"/>
        <v>947.31784510885814</v>
      </c>
      <c r="I15" s="101">
        <f t="shared" si="14"/>
        <v>1184.1473063860726</v>
      </c>
      <c r="J15" s="101">
        <f t="shared" si="14"/>
        <v>1420.9767676632873</v>
      </c>
      <c r="K15" s="101">
        <f t="shared" si="14"/>
        <v>1657.806228940502</v>
      </c>
      <c r="L15" s="101">
        <f t="shared" si="14"/>
        <v>1894.6356902177163</v>
      </c>
      <c r="M15" s="101">
        <f t="shared" si="14"/>
        <v>2131.465151494931</v>
      </c>
      <c r="N15" s="101">
        <f t="shared" si="14"/>
        <v>2368.2946127721452</v>
      </c>
      <c r="O15" s="101">
        <f t="shared" si="14"/>
        <v>3078.7829966037889</v>
      </c>
      <c r="P15" s="101">
        <f t="shared" si="14"/>
        <v>3789.271380435433</v>
      </c>
      <c r="Q15" s="101">
        <f t="shared" si="14"/>
        <v>4499.7597642670762</v>
      </c>
      <c r="R15" s="101">
        <f t="shared" si="14"/>
        <v>5210.2481480987208</v>
      </c>
      <c r="S15" s="101">
        <f t="shared" si="14"/>
        <v>5920.7365319303635</v>
      </c>
      <c r="T15" s="101">
        <f t="shared" si="14"/>
        <v>6631.2249157620081</v>
      </c>
      <c r="U15" s="101">
        <f t="shared" si="14"/>
        <v>7341.7132995936518</v>
      </c>
      <c r="V15" s="101">
        <f t="shared" si="14"/>
        <v>8052.2016834252972</v>
      </c>
      <c r="W15" s="101">
        <f t="shared" si="14"/>
        <v>8762.6900672569373</v>
      </c>
      <c r="X15" s="101">
        <f t="shared" si="14"/>
        <v>9473.1784510885809</v>
      </c>
      <c r="Y15" s="101">
        <f t="shared" si="14"/>
        <v>10894.155218751868</v>
      </c>
      <c r="Z15" s="101">
        <f t="shared" si="14"/>
        <v>12315.131986415156</v>
      </c>
      <c r="AA15" s="101">
        <f t="shared" si="14"/>
        <v>13736.108754078443</v>
      </c>
      <c r="AB15" s="101">
        <f t="shared" si="14"/>
        <v>15157.08552174173</v>
      </c>
      <c r="AC15" s="101">
        <f t="shared" si="14"/>
        <v>16578.062289405014</v>
      </c>
      <c r="AD15" s="101">
        <f t="shared" si="14"/>
        <v>17999.039057068305</v>
      </c>
      <c r="AE15" s="101">
        <f t="shared" si="14"/>
        <v>19420.015824731592</v>
      </c>
      <c r="AF15" s="101">
        <f t="shared" si="14"/>
        <v>20840.992592394876</v>
      </c>
      <c r="AG15" s="101">
        <f t="shared" si="14"/>
        <v>22261.969360058163</v>
      </c>
      <c r="AH15" s="101">
        <f>SUM(AH13:AH14)</f>
        <v>23682.946127721454</v>
      </c>
      <c r="AI15" s="191"/>
      <c r="AJ15" s="101">
        <f>SUM(AJ13:AJ14)</f>
        <v>0</v>
      </c>
      <c r="AK15" s="101">
        <f t="shared" ref="AK15:BM15" si="15">SUM(AK13:AK14)</f>
        <v>118.41473063860727</v>
      </c>
      <c r="AL15" s="101">
        <f t="shared" si="15"/>
        <v>236.82946127721453</v>
      </c>
      <c r="AM15" s="101">
        <f t="shared" si="15"/>
        <v>355.24419191582183</v>
      </c>
      <c r="AN15" s="101">
        <f t="shared" si="15"/>
        <v>473.65892255442907</v>
      </c>
      <c r="AO15" s="101">
        <f t="shared" si="15"/>
        <v>592.07365319303631</v>
      </c>
      <c r="AP15" s="101">
        <f t="shared" si="15"/>
        <v>710.48838383164366</v>
      </c>
      <c r="AQ15" s="101">
        <f t="shared" si="15"/>
        <v>828.90311447025101</v>
      </c>
      <c r="AR15" s="101">
        <f t="shared" si="15"/>
        <v>947.31784510885814</v>
      </c>
      <c r="AS15" s="101">
        <f t="shared" si="15"/>
        <v>1065.7325757474655</v>
      </c>
      <c r="AT15" s="101">
        <f t="shared" si="15"/>
        <v>1184.1473063860726</v>
      </c>
      <c r="AU15" s="101">
        <f t="shared" si="15"/>
        <v>1539.3914983018944</v>
      </c>
      <c r="AV15" s="101">
        <f t="shared" si="15"/>
        <v>1894.6356902177165</v>
      </c>
      <c r="AW15" s="101">
        <f t="shared" si="15"/>
        <v>2249.8798821335381</v>
      </c>
      <c r="AX15" s="101">
        <f t="shared" si="15"/>
        <v>2605.1240740493604</v>
      </c>
      <c r="AY15" s="101">
        <f t="shared" si="15"/>
        <v>2960.3682659651818</v>
      </c>
      <c r="AZ15" s="101">
        <f t="shared" si="15"/>
        <v>3315.612457881004</v>
      </c>
      <c r="BA15" s="101">
        <f t="shared" si="15"/>
        <v>3670.8566497968259</v>
      </c>
      <c r="BB15" s="101">
        <f t="shared" si="15"/>
        <v>4026.1008417126486</v>
      </c>
      <c r="BC15" s="101">
        <f t="shared" si="15"/>
        <v>4381.3450336284686</v>
      </c>
      <c r="BD15" s="101">
        <f t="shared" si="15"/>
        <v>4736.5892255442905</v>
      </c>
      <c r="BE15" s="101">
        <f t="shared" si="15"/>
        <v>5447.0776093759341</v>
      </c>
      <c r="BF15" s="101">
        <f t="shared" si="15"/>
        <v>6157.5659932075778</v>
      </c>
      <c r="BG15" s="101">
        <f t="shared" si="15"/>
        <v>6868.0543770392214</v>
      </c>
      <c r="BH15" s="101">
        <f t="shared" si="15"/>
        <v>7578.5427608708651</v>
      </c>
      <c r="BI15" s="101">
        <f t="shared" si="15"/>
        <v>8289.0311447025069</v>
      </c>
      <c r="BJ15" s="101">
        <f t="shared" si="15"/>
        <v>8999.5195285341524</v>
      </c>
      <c r="BK15" s="101">
        <f t="shared" si="15"/>
        <v>9710.0079123657961</v>
      </c>
      <c r="BL15" s="101">
        <f t="shared" si="15"/>
        <v>10420.496296197438</v>
      </c>
      <c r="BM15" s="101">
        <f t="shared" si="15"/>
        <v>11130.984680029082</v>
      </c>
      <c r="BN15" s="101">
        <f>SUM(BN13:BN14)</f>
        <v>11841.473063860727</v>
      </c>
      <c r="BY15" s="27" t="s">
        <v>578</v>
      </c>
      <c r="BZ15" s="130"/>
      <c r="CA15" s="136">
        <f>AH4-D4</f>
        <v>0</v>
      </c>
      <c r="CB15" s="130"/>
      <c r="CC15" s="522">
        <f>AH11+AH45</f>
        <v>0</v>
      </c>
      <c r="CD15" s="130"/>
      <c r="CE15" s="130"/>
      <c r="CF15" s="130"/>
      <c r="CG15" s="130"/>
    </row>
    <row r="16" spans="1:88" outlineLevel="1">
      <c r="B16" s="1" t="s">
        <v>167</v>
      </c>
      <c r="C16" s="51" t="s">
        <v>166</v>
      </c>
      <c r="D16" s="101">
        <v>0</v>
      </c>
      <c r="E16" s="101">
        <v>0</v>
      </c>
      <c r="F16" s="101">
        <v>0</v>
      </c>
      <c r="G16" s="101">
        <v>0</v>
      </c>
      <c r="H16" s="101">
        <v>0</v>
      </c>
      <c r="I16" s="101">
        <v>0</v>
      </c>
      <c r="J16" s="101">
        <v>0</v>
      </c>
      <c r="K16" s="101">
        <v>0</v>
      </c>
      <c r="L16" s="101">
        <v>0</v>
      </c>
      <c r="M16" s="101">
        <v>0</v>
      </c>
      <c r="N16" s="101">
        <v>0</v>
      </c>
      <c r="O16" s="101">
        <v>0</v>
      </c>
      <c r="P16" s="101">
        <v>0</v>
      </c>
      <c r="Q16" s="101">
        <v>0</v>
      </c>
      <c r="R16" s="101">
        <v>0</v>
      </c>
      <c r="S16" s="101">
        <v>0</v>
      </c>
      <c r="T16" s="101">
        <v>0</v>
      </c>
      <c r="U16" s="101">
        <v>0</v>
      </c>
      <c r="V16" s="101">
        <v>0</v>
      </c>
      <c r="W16" s="101">
        <v>0</v>
      </c>
      <c r="X16" s="101">
        <v>0</v>
      </c>
      <c r="Y16" s="101">
        <v>0</v>
      </c>
      <c r="Z16" s="101">
        <v>0</v>
      </c>
      <c r="AA16" s="101">
        <v>0</v>
      </c>
      <c r="AB16" s="101">
        <v>0</v>
      </c>
      <c r="AC16" s="101">
        <v>0</v>
      </c>
      <c r="AD16" s="101">
        <v>0</v>
      </c>
      <c r="AE16" s="101">
        <v>0</v>
      </c>
      <c r="AF16" s="101">
        <v>0</v>
      </c>
      <c r="AG16" s="101">
        <v>0</v>
      </c>
      <c r="AH16" s="101">
        <v>0</v>
      </c>
      <c r="AI16" s="191"/>
      <c r="AJ16" s="101">
        <v>0</v>
      </c>
      <c r="AK16" s="101">
        <v>0</v>
      </c>
      <c r="AL16" s="101">
        <v>0</v>
      </c>
      <c r="AM16" s="101">
        <v>0</v>
      </c>
      <c r="AN16" s="101">
        <v>0</v>
      </c>
      <c r="AO16" s="101">
        <v>0</v>
      </c>
      <c r="AP16" s="101">
        <v>0</v>
      </c>
      <c r="AQ16" s="101">
        <v>0</v>
      </c>
      <c r="AR16" s="101">
        <v>0</v>
      </c>
      <c r="AS16" s="101">
        <v>0</v>
      </c>
      <c r="AT16" s="101">
        <v>0</v>
      </c>
      <c r="AU16" s="101">
        <v>0</v>
      </c>
      <c r="AV16" s="101">
        <v>0</v>
      </c>
      <c r="AW16" s="101">
        <v>0</v>
      </c>
      <c r="AX16" s="101">
        <v>0</v>
      </c>
      <c r="AY16" s="101">
        <v>0</v>
      </c>
      <c r="AZ16" s="101">
        <v>0</v>
      </c>
      <c r="BA16" s="101">
        <v>0</v>
      </c>
      <c r="BB16" s="101">
        <v>0</v>
      </c>
      <c r="BC16" s="101">
        <v>0</v>
      </c>
      <c r="BD16" s="101">
        <v>0</v>
      </c>
      <c r="BE16" s="101">
        <v>0</v>
      </c>
      <c r="BF16" s="101">
        <v>0</v>
      </c>
      <c r="BG16" s="101">
        <v>0</v>
      </c>
      <c r="BH16" s="101">
        <v>0</v>
      </c>
      <c r="BI16" s="101">
        <v>0</v>
      </c>
      <c r="BJ16" s="101">
        <v>0</v>
      </c>
      <c r="BK16" s="101">
        <v>0</v>
      </c>
      <c r="BL16" s="101">
        <v>0</v>
      </c>
      <c r="BM16" s="101">
        <v>0</v>
      </c>
      <c r="BN16" s="101">
        <v>0</v>
      </c>
      <c r="BQ16" t="s">
        <v>914</v>
      </c>
      <c r="BR16">
        <v>2020</v>
      </c>
      <c r="BS16">
        <v>2050</v>
      </c>
    </row>
    <row r="17" spans="1:75" outlineLevel="1">
      <c r="B17" s="1" t="s">
        <v>195</v>
      </c>
      <c r="C17" s="61" t="s">
        <v>166</v>
      </c>
      <c r="D17" s="633">
        <f>D12-D15-D16</f>
        <v>43857.307643928616</v>
      </c>
      <c r="E17" s="633">
        <f t="shared" ref="E17:AH17" si="16">E12-E15-E16</f>
        <v>43620.478182651401</v>
      </c>
      <c r="F17" s="633">
        <f t="shared" si="16"/>
        <v>43383.648721374186</v>
      </c>
      <c r="G17" s="633">
        <f t="shared" si="16"/>
        <v>43146.819260096971</v>
      </c>
      <c r="H17" s="633">
        <f t="shared" si="16"/>
        <v>42909.989798819755</v>
      </c>
      <c r="I17" s="633">
        <f t="shared" si="16"/>
        <v>42673.16033754254</v>
      </c>
      <c r="J17" s="633">
        <f t="shared" si="16"/>
        <v>42436.330876265332</v>
      </c>
      <c r="K17" s="633">
        <f t="shared" si="16"/>
        <v>42199.501414988117</v>
      </c>
      <c r="L17" s="633">
        <f t="shared" si="16"/>
        <v>41962.671953710902</v>
      </c>
      <c r="M17" s="633">
        <f t="shared" si="16"/>
        <v>41725.842492433687</v>
      </c>
      <c r="N17" s="633">
        <f t="shared" si="16"/>
        <v>41489.013031156472</v>
      </c>
      <c r="O17" s="633">
        <f t="shared" si="16"/>
        <v>40778.524647324826</v>
      </c>
      <c r="P17" s="633">
        <f t="shared" si="16"/>
        <v>40068.036263493181</v>
      </c>
      <c r="Q17" s="633">
        <f t="shared" si="16"/>
        <v>39357.547879661543</v>
      </c>
      <c r="R17" s="633">
        <f t="shared" si="16"/>
        <v>38647.059495829897</v>
      </c>
      <c r="S17" s="633">
        <f t="shared" si="16"/>
        <v>37936.571111998252</v>
      </c>
      <c r="T17" s="633">
        <f t="shared" si="16"/>
        <v>37226.082728166606</v>
      </c>
      <c r="U17" s="633">
        <f t="shared" si="16"/>
        <v>36515.594344334968</v>
      </c>
      <c r="V17" s="633">
        <f t="shared" si="16"/>
        <v>35805.105960503322</v>
      </c>
      <c r="W17" s="633">
        <f t="shared" si="16"/>
        <v>35094.617576671677</v>
      </c>
      <c r="X17" s="633">
        <f t="shared" si="16"/>
        <v>34384.129192840031</v>
      </c>
      <c r="Y17" s="633">
        <f t="shared" si="16"/>
        <v>32963.152425176748</v>
      </c>
      <c r="Z17" s="633">
        <f t="shared" si="16"/>
        <v>31542.17565751346</v>
      </c>
      <c r="AA17" s="633">
        <f t="shared" si="16"/>
        <v>30121.198889850173</v>
      </c>
      <c r="AB17" s="633">
        <f t="shared" si="16"/>
        <v>28700.222122186886</v>
      </c>
      <c r="AC17" s="633">
        <f t="shared" si="16"/>
        <v>27279.245354523602</v>
      </c>
      <c r="AD17" s="633">
        <f t="shared" si="16"/>
        <v>25858.268586860311</v>
      </c>
      <c r="AE17" s="633">
        <f t="shared" si="16"/>
        <v>24437.291819197024</v>
      </c>
      <c r="AF17" s="633">
        <f t="shared" si="16"/>
        <v>23016.31505153374</v>
      </c>
      <c r="AG17" s="633">
        <f t="shared" si="16"/>
        <v>21595.338283870453</v>
      </c>
      <c r="AH17" s="633">
        <f t="shared" si="16"/>
        <v>20174.361516207162</v>
      </c>
      <c r="AI17" s="191"/>
      <c r="AJ17" s="633">
        <f>AJ12-AJ15-AJ16</f>
        <v>43857.307643928616</v>
      </c>
      <c r="AK17" s="633">
        <f t="shared" ref="AK17:BN17" si="17">AK12-AK15-AK16</f>
        <v>43738.892913290008</v>
      </c>
      <c r="AL17" s="633">
        <f t="shared" si="17"/>
        <v>43620.478182651401</v>
      </c>
      <c r="AM17" s="633">
        <f t="shared" si="17"/>
        <v>43502.063452012793</v>
      </c>
      <c r="AN17" s="633">
        <f t="shared" si="17"/>
        <v>43383.648721374186</v>
      </c>
      <c r="AO17" s="633">
        <f t="shared" si="17"/>
        <v>43265.233990735578</v>
      </c>
      <c r="AP17" s="633">
        <f t="shared" si="17"/>
        <v>43146.819260096971</v>
      </c>
      <c r="AQ17" s="633">
        <f t="shared" si="17"/>
        <v>43028.404529458363</v>
      </c>
      <c r="AR17" s="633">
        <f t="shared" si="17"/>
        <v>42909.989798819755</v>
      </c>
      <c r="AS17" s="633">
        <f t="shared" si="17"/>
        <v>42791.575068181148</v>
      </c>
      <c r="AT17" s="633">
        <f t="shared" si="17"/>
        <v>42673.16033754254</v>
      </c>
      <c r="AU17" s="633">
        <f t="shared" si="17"/>
        <v>42317.916145626725</v>
      </c>
      <c r="AV17" s="633">
        <f t="shared" si="17"/>
        <v>41962.671953710902</v>
      </c>
      <c r="AW17" s="633">
        <f t="shared" si="17"/>
        <v>41607.427761795079</v>
      </c>
      <c r="AX17" s="633">
        <f t="shared" si="17"/>
        <v>41252.183569879257</v>
      </c>
      <c r="AY17" s="633">
        <f t="shared" si="17"/>
        <v>40896.939377963434</v>
      </c>
      <c r="AZ17" s="633">
        <f t="shared" si="17"/>
        <v>40541.695186047611</v>
      </c>
      <c r="BA17" s="633">
        <f t="shared" si="17"/>
        <v>40186.450994131788</v>
      </c>
      <c r="BB17" s="633">
        <f t="shared" si="17"/>
        <v>39831.206802215966</v>
      </c>
      <c r="BC17" s="633">
        <f t="shared" si="17"/>
        <v>39475.96261030015</v>
      </c>
      <c r="BD17" s="633">
        <f t="shared" si="17"/>
        <v>39120.718418384327</v>
      </c>
      <c r="BE17" s="633">
        <f t="shared" si="17"/>
        <v>38410.230034552682</v>
      </c>
      <c r="BF17" s="633">
        <f t="shared" si="17"/>
        <v>37699.741650721036</v>
      </c>
      <c r="BG17" s="633">
        <f t="shared" si="17"/>
        <v>36989.253266889398</v>
      </c>
      <c r="BH17" s="633">
        <f t="shared" si="17"/>
        <v>36278.764883057753</v>
      </c>
      <c r="BI17" s="633">
        <f t="shared" si="17"/>
        <v>35568.276499226107</v>
      </c>
      <c r="BJ17" s="633">
        <f t="shared" si="17"/>
        <v>34857.788115394462</v>
      </c>
      <c r="BK17" s="633">
        <f t="shared" si="17"/>
        <v>34147.299731562816</v>
      </c>
      <c r="BL17" s="633">
        <f t="shared" si="17"/>
        <v>33436.811347731178</v>
      </c>
      <c r="BM17" s="633">
        <f t="shared" si="17"/>
        <v>32726.322963899533</v>
      </c>
      <c r="BN17" s="633">
        <f t="shared" si="17"/>
        <v>32015.834580067887</v>
      </c>
      <c r="BR17" s="41" t="e">
        <f>SUM(D10,D18,D26,D30,#REF!,D36)</f>
        <v>#REF!</v>
      </c>
      <c r="BS17" s="41" t="e">
        <f>SUM(AH10,AH18,AH26,AH30,#REF!,AH36)</f>
        <v>#REF!</v>
      </c>
    </row>
    <row r="18" spans="1:75" s="55" customFormat="1" outlineLevel="1">
      <c r="A18" s="55" t="s">
        <v>399</v>
      </c>
      <c r="B18" s="55" t="s">
        <v>174</v>
      </c>
      <c r="C18" s="95" t="s">
        <v>166</v>
      </c>
      <c r="D18" s="631">
        <f>'Demand - C4'!O26</f>
        <v>302.82249017857168</v>
      </c>
      <c r="E18" s="631">
        <f>D18*(1+'Demand - C4'!$K$26)</f>
        <v>302.82249017857168</v>
      </c>
      <c r="F18" s="631">
        <f>E18*(1+'Demand - C4'!$K$26)</f>
        <v>302.82249017857168</v>
      </c>
      <c r="G18" s="631">
        <f>F18*(1+'Demand - C4'!$K$26)</f>
        <v>302.82249017857168</v>
      </c>
      <c r="H18" s="631">
        <f>G18*(1+'Demand - C4'!$K$26)</f>
        <v>302.82249017857168</v>
      </c>
      <c r="I18" s="631">
        <f>H18*(1+'Demand - C4'!$K$26)</f>
        <v>302.82249017857168</v>
      </c>
      <c r="J18" s="631">
        <f>I18*(1+'Demand - C4'!$K$26)</f>
        <v>302.82249017857168</v>
      </c>
      <c r="K18" s="631">
        <f>J18*(1+'Demand - C4'!$K$26)</f>
        <v>302.82249017857168</v>
      </c>
      <c r="L18" s="631">
        <f>K18*(1+'Demand - C4'!$K$26)</f>
        <v>302.82249017857168</v>
      </c>
      <c r="M18" s="631">
        <f>L18*(1+'Demand - C4'!$K$26)</f>
        <v>302.82249017857168</v>
      </c>
      <c r="N18" s="631">
        <f>M18*(1+'Demand - C4'!$K$26)</f>
        <v>302.82249017857168</v>
      </c>
      <c r="O18" s="631">
        <f>N18*(1+'Demand - C4'!$K$26)</f>
        <v>302.82249017857168</v>
      </c>
      <c r="P18" s="631">
        <f>O18*(1+'Demand - C4'!$K$26)</f>
        <v>302.82249017857168</v>
      </c>
      <c r="Q18" s="631">
        <f>P18*(1+'Demand - C4'!$K$26)</f>
        <v>302.82249017857168</v>
      </c>
      <c r="R18" s="631">
        <f>Q18*(1+'Demand - C4'!$K$26)</f>
        <v>302.82249017857168</v>
      </c>
      <c r="S18" s="631">
        <f>R18*(1+'Demand - C4'!$K$26)</f>
        <v>302.82249017857168</v>
      </c>
      <c r="T18" s="631">
        <f>S18*(1+'Demand - C4'!$K$26)</f>
        <v>302.82249017857168</v>
      </c>
      <c r="U18" s="631">
        <f>T18*(1+'Demand - C4'!$K$26)</f>
        <v>302.82249017857168</v>
      </c>
      <c r="V18" s="631">
        <f>U18*(1+'Demand - C4'!$K$26)</f>
        <v>302.82249017857168</v>
      </c>
      <c r="W18" s="631">
        <f>V18*(1+'Demand - C4'!$K$26)</f>
        <v>302.82249017857168</v>
      </c>
      <c r="X18" s="631">
        <f>W18*(1+'Demand - C4'!$K$26)</f>
        <v>302.82249017857168</v>
      </c>
      <c r="Y18" s="631">
        <f>X18*(1+'Demand - C4'!$K$26)</f>
        <v>302.82249017857168</v>
      </c>
      <c r="Z18" s="631">
        <f>Y18*(1+'Demand - C4'!$K$26)</f>
        <v>302.82249017857168</v>
      </c>
      <c r="AA18" s="631">
        <f>Z18*(1+'Demand - C4'!$K$26)</f>
        <v>302.82249017857168</v>
      </c>
      <c r="AB18" s="631">
        <f>AA18*(1+'Demand - C4'!$K$26)</f>
        <v>302.82249017857168</v>
      </c>
      <c r="AC18" s="631">
        <f>AB18*(1+'Demand - C4'!$K$26)</f>
        <v>302.82249017857168</v>
      </c>
      <c r="AD18" s="631">
        <f>AC18*(1+'Demand - C4'!$K$26)</f>
        <v>302.82249017857168</v>
      </c>
      <c r="AE18" s="631">
        <f>AD18*(1+'Demand - C4'!$K$26)</f>
        <v>302.82249017857168</v>
      </c>
      <c r="AF18" s="631">
        <f>AE18*(1+'Demand - C4'!$K$26)</f>
        <v>302.82249017857168</v>
      </c>
      <c r="AG18" s="631">
        <f>AF18*(1+'Demand - C4'!$K$26)</f>
        <v>302.82249017857168</v>
      </c>
      <c r="AH18" s="631">
        <f>AG18*(1+'Demand - C4'!$K$26)</f>
        <v>302.82249017857168</v>
      </c>
      <c r="AI18" s="634"/>
      <c r="AJ18" s="631">
        <f>D18</f>
        <v>302.82249017857168</v>
      </c>
      <c r="AK18" s="631">
        <f t="shared" ref="AK18:BN18" si="18">E18</f>
        <v>302.82249017857168</v>
      </c>
      <c r="AL18" s="631">
        <f t="shared" si="18"/>
        <v>302.82249017857168</v>
      </c>
      <c r="AM18" s="631">
        <f t="shared" si="18"/>
        <v>302.82249017857168</v>
      </c>
      <c r="AN18" s="631">
        <f t="shared" si="18"/>
        <v>302.82249017857168</v>
      </c>
      <c r="AO18" s="631">
        <f t="shared" si="18"/>
        <v>302.82249017857168</v>
      </c>
      <c r="AP18" s="631">
        <f t="shared" si="18"/>
        <v>302.82249017857168</v>
      </c>
      <c r="AQ18" s="631">
        <f t="shared" si="18"/>
        <v>302.82249017857168</v>
      </c>
      <c r="AR18" s="631">
        <f t="shared" si="18"/>
        <v>302.82249017857168</v>
      </c>
      <c r="AS18" s="631">
        <f t="shared" si="18"/>
        <v>302.82249017857168</v>
      </c>
      <c r="AT18" s="631">
        <f t="shared" si="18"/>
        <v>302.82249017857168</v>
      </c>
      <c r="AU18" s="631">
        <f t="shared" si="18"/>
        <v>302.82249017857168</v>
      </c>
      <c r="AV18" s="631">
        <f t="shared" si="18"/>
        <v>302.82249017857168</v>
      </c>
      <c r="AW18" s="631">
        <f t="shared" si="18"/>
        <v>302.82249017857168</v>
      </c>
      <c r="AX18" s="631">
        <f t="shared" si="18"/>
        <v>302.82249017857168</v>
      </c>
      <c r="AY18" s="631">
        <f t="shared" si="18"/>
        <v>302.82249017857168</v>
      </c>
      <c r="AZ18" s="631">
        <f t="shared" si="18"/>
        <v>302.82249017857168</v>
      </c>
      <c r="BA18" s="631">
        <f t="shared" si="18"/>
        <v>302.82249017857168</v>
      </c>
      <c r="BB18" s="631">
        <f t="shared" si="18"/>
        <v>302.82249017857168</v>
      </c>
      <c r="BC18" s="631">
        <f t="shared" si="18"/>
        <v>302.82249017857168</v>
      </c>
      <c r="BD18" s="631">
        <f t="shared" si="18"/>
        <v>302.82249017857168</v>
      </c>
      <c r="BE18" s="631">
        <f t="shared" si="18"/>
        <v>302.82249017857168</v>
      </c>
      <c r="BF18" s="631">
        <f t="shared" si="18"/>
        <v>302.82249017857168</v>
      </c>
      <c r="BG18" s="631">
        <f t="shared" si="18"/>
        <v>302.82249017857168</v>
      </c>
      <c r="BH18" s="631">
        <f t="shared" si="18"/>
        <v>302.82249017857168</v>
      </c>
      <c r="BI18" s="631">
        <f t="shared" si="18"/>
        <v>302.82249017857168</v>
      </c>
      <c r="BJ18" s="631">
        <f t="shared" si="18"/>
        <v>302.82249017857168</v>
      </c>
      <c r="BK18" s="631">
        <f t="shared" si="18"/>
        <v>302.82249017857168</v>
      </c>
      <c r="BL18" s="631">
        <f t="shared" si="18"/>
        <v>302.82249017857168</v>
      </c>
      <c r="BM18" s="631">
        <f t="shared" si="18"/>
        <v>302.82249017857168</v>
      </c>
      <c r="BN18" s="631">
        <f t="shared" si="18"/>
        <v>302.82249017857168</v>
      </c>
      <c r="BR18" s="96" t="e">
        <f>#REF!</f>
        <v>#REF!</v>
      </c>
      <c r="BS18" s="96" t="e">
        <f>#REF!</f>
        <v>#REF!</v>
      </c>
    </row>
    <row r="19" spans="1:75" outlineLevel="1">
      <c r="B19" s="58" t="s">
        <v>146</v>
      </c>
      <c r="C19" s="51" t="s">
        <v>166</v>
      </c>
      <c r="D19" s="196">
        <v>0</v>
      </c>
      <c r="E19" s="196">
        <f>E18*'R&amp;S - Packaging and hh goods'!$C$7*('R&amp;S - Packaging and hh goods'!$B$14*'R&amp;S - Packaging and hh goods'!$B$19*('Yearly HC Ethylene'!E$3-'Yearly HC Ethylene'!$D$3)/10)</f>
        <v>0.30524507010000024</v>
      </c>
      <c r="F19" s="196">
        <f>F18*'R&amp;S - Packaging and hh goods'!$C$7*('R&amp;S - Packaging and hh goods'!$B$14*'R&amp;S - Packaging and hh goods'!$B$19*('Yearly HC Ethylene'!F$3-'Yearly HC Ethylene'!$D$3)/10)</f>
        <v>0.61049014020000048</v>
      </c>
      <c r="G19" s="196">
        <f>G18*'R&amp;S - Packaging and hh goods'!$C$7*('R&amp;S - Packaging and hh goods'!$B$14*'R&amp;S - Packaging and hh goods'!$B$19*('Yearly HC Ethylene'!G$3-'Yearly HC Ethylene'!$D$3)/10)</f>
        <v>0.91573521030000071</v>
      </c>
      <c r="H19" s="196">
        <f>H18*'R&amp;S - Packaging and hh goods'!$C$7*('R&amp;S - Packaging and hh goods'!$B$14*'R&amp;S - Packaging and hh goods'!$B$19*('Yearly HC Ethylene'!H$3-'Yearly HC Ethylene'!$D$3)/10)</f>
        <v>1.220980280400001</v>
      </c>
      <c r="I19" s="196">
        <f>I18*'R&amp;S - Packaging and hh goods'!$C$7*('R&amp;S - Packaging and hh goods'!$B$14*'R&amp;S - Packaging and hh goods'!$B$19*('Yearly HC Ethylene'!I$3-'Yearly HC Ethylene'!$D$3)/10)</f>
        <v>1.5262253505000012</v>
      </c>
      <c r="J19" s="196">
        <f>J18*'R&amp;S - Packaging and hh goods'!$C$7*('R&amp;S - Packaging and hh goods'!$B$14*'R&amp;S - Packaging and hh goods'!$B$19*('Yearly HC Ethylene'!J$3-'Yearly HC Ethylene'!$D$3)/10)</f>
        <v>1.8314704206000014</v>
      </c>
      <c r="K19" s="196">
        <f>K18*'R&amp;S - Packaging and hh goods'!$C$7*('R&amp;S - Packaging and hh goods'!$B$14*'R&amp;S - Packaging and hh goods'!$B$19*('Yearly HC Ethylene'!K$3-'Yearly HC Ethylene'!$D$3)/10)</f>
        <v>2.1367154907000021</v>
      </c>
      <c r="L19" s="196">
        <f>L18*'R&amp;S - Packaging and hh goods'!$C$7*('R&amp;S - Packaging and hh goods'!$B$14*'R&amp;S - Packaging and hh goods'!$B$19*('Yearly HC Ethylene'!L$3-'Yearly HC Ethylene'!$D$3)/10)</f>
        <v>2.4419605608000019</v>
      </c>
      <c r="M19" s="196">
        <f>M18*'R&amp;S - Packaging and hh goods'!$C$7*('R&amp;S - Packaging and hh goods'!$B$14*'R&amp;S - Packaging and hh goods'!$B$19*('Yearly HC Ethylene'!M$3-'Yearly HC Ethylene'!$D$3)/10)</f>
        <v>2.7472056309000021</v>
      </c>
      <c r="N19" s="196">
        <f>N18*'R&amp;S - Packaging and hh goods'!$C$7*('R&amp;S - Packaging and hh goods'!$B$14*'R&amp;S - Packaging and hh goods'!$B$19*('Yearly HC Ethylene'!N$3-'Yearly HC Ethylene'!$D$3)/10)</f>
        <v>3.0524507010000024</v>
      </c>
      <c r="O19" s="196">
        <f>O18*'R&amp;S - Packaging and hh goods'!$C$7*('R&amp;S - Packaging and hh goods'!$B$14*('R&amp;S - Packaging and hh goods'!$B$19+('R&amp;S - Packaging and hh goods'!$B$20-'R&amp;S - Packaging and hh goods'!$B$19)*('Yearly HC Ethylene'!O$3-'Yearly HC Ethylene'!$N$3)/10))</f>
        <v>4.8076098540750039</v>
      </c>
      <c r="P19" s="196">
        <f>P18*'R&amp;S - Packaging and hh goods'!$C$7*('R&amp;S - Packaging and hh goods'!$B$14*('R&amp;S - Packaging and hh goods'!$B$19+('R&amp;S - Packaging and hh goods'!$B$20-'R&amp;S - Packaging and hh goods'!$B$19)*('Yearly HC Ethylene'!P$3-'Yearly HC Ethylene'!$N$3)/10))</f>
        <v>6.5627690071500044</v>
      </c>
      <c r="Q19" s="196">
        <f>Q18*'R&amp;S - Packaging and hh goods'!$C$7*('R&amp;S - Packaging and hh goods'!$B$14*('R&amp;S - Packaging and hh goods'!$B$19+('R&amp;S - Packaging and hh goods'!$B$20-'R&amp;S - Packaging and hh goods'!$B$19)*('Yearly HC Ethylene'!Q$3-'Yearly HC Ethylene'!$N$3)/10))</f>
        <v>8.3179281602250086</v>
      </c>
      <c r="R19" s="196">
        <f>R18*'R&amp;S - Packaging and hh goods'!$C$7*('R&amp;S - Packaging and hh goods'!$B$14*('R&amp;S - Packaging and hh goods'!$B$19+('R&amp;S - Packaging and hh goods'!$B$20-'R&amp;S - Packaging and hh goods'!$B$19)*('Yearly HC Ethylene'!R$3-'Yearly HC Ethylene'!$N$3)/10))</f>
        <v>10.073087313300009</v>
      </c>
      <c r="S19" s="196">
        <f>S18*'R&amp;S - Packaging and hh goods'!$C$7*('R&amp;S - Packaging and hh goods'!$B$14*('R&amp;S - Packaging and hh goods'!$B$19+('R&amp;S - Packaging and hh goods'!$B$20-'R&amp;S - Packaging and hh goods'!$B$19)*('Yearly HC Ethylene'!S$3-'Yearly HC Ethylene'!$N$3)/10))</f>
        <v>11.828246466375012</v>
      </c>
      <c r="T19" s="196">
        <f>T18*'R&amp;S - Packaging and hh goods'!$C$7*('R&amp;S - Packaging and hh goods'!$B$14*('R&amp;S - Packaging and hh goods'!$B$19+('R&amp;S - Packaging and hh goods'!$B$20-'R&amp;S - Packaging and hh goods'!$B$19)*('Yearly HC Ethylene'!T$3-'Yearly HC Ethylene'!$N$3)/10))</f>
        <v>13.583405619450012</v>
      </c>
      <c r="U19" s="196">
        <f>U18*'R&amp;S - Packaging and hh goods'!$C$7*('R&amp;S - Packaging and hh goods'!$B$14*('R&amp;S - Packaging and hh goods'!$B$19+('R&amp;S - Packaging and hh goods'!$B$20-'R&amp;S - Packaging and hh goods'!$B$19)*('Yearly HC Ethylene'!U$3-'Yearly HC Ethylene'!$N$3)/10))</f>
        <v>15.338564772525013</v>
      </c>
      <c r="V19" s="196">
        <f>V18*'R&amp;S - Packaging and hh goods'!$C$7*('R&amp;S - Packaging and hh goods'!$B$14*('R&amp;S - Packaging and hh goods'!$B$19+('R&amp;S - Packaging and hh goods'!$B$20-'R&amp;S - Packaging and hh goods'!$B$19)*('Yearly HC Ethylene'!V$3-'Yearly HC Ethylene'!$N$3)/10))</f>
        <v>17.093723925600013</v>
      </c>
      <c r="W19" s="196">
        <f>W18*'R&amp;S - Packaging and hh goods'!$C$7*('R&amp;S - Packaging and hh goods'!$B$14*('R&amp;S - Packaging and hh goods'!$B$19+('R&amp;S - Packaging and hh goods'!$B$20-'R&amp;S - Packaging and hh goods'!$B$19)*('Yearly HC Ethylene'!W$3-'Yearly HC Ethylene'!$N$3)/10))</f>
        <v>18.848883078675016</v>
      </c>
      <c r="X19" s="196">
        <f>X18*'R&amp;S - Packaging and hh goods'!$C$7*('R&amp;S - Packaging and hh goods'!$B$14*('R&amp;S - Packaging and hh goods'!$B$19+('R&amp;S - Packaging and hh goods'!$B$20-'R&amp;S - Packaging and hh goods'!$B$19)*('Yearly HC Ethylene'!X$3-'Yearly HC Ethylene'!$N$3)/10))</f>
        <v>20.604042231750018</v>
      </c>
      <c r="Y19" s="196">
        <f>Y18*'R&amp;S - Packaging and hh goods'!$C$7*('R&amp;S - Packaging and hh goods'!$B$14*('R&amp;S - Packaging and hh goods'!$B$20+('R&amp;S - Packaging and hh goods'!$B$21-'R&amp;S - Packaging and hh goods'!$B$20)*('Yearly HC Ethylene'!Y$3-'Yearly HC Ethylene'!$X$3)/10))</f>
        <v>22.35920138482502</v>
      </c>
      <c r="Z19" s="196">
        <f>Z18*'R&amp;S - Packaging and hh goods'!$C$7*('R&amp;S - Packaging and hh goods'!$B$14*('R&amp;S - Packaging and hh goods'!$B$20+('R&amp;S - Packaging and hh goods'!$B$21-'R&amp;S - Packaging and hh goods'!$B$20)*('Yearly HC Ethylene'!Z$3-'Yearly HC Ethylene'!$X$3)/10))</f>
        <v>24.114360537900019</v>
      </c>
      <c r="AA19" s="196">
        <f>AA18*'R&amp;S - Packaging and hh goods'!$C$7*('R&amp;S - Packaging and hh goods'!$B$14*('R&amp;S - Packaging and hh goods'!$B$20+('R&amp;S - Packaging and hh goods'!$B$21-'R&amp;S - Packaging and hh goods'!$B$20)*('Yearly HC Ethylene'!AA$3-'Yearly HC Ethylene'!$X$3)/10))</f>
        <v>25.869519690975022</v>
      </c>
      <c r="AB19" s="196">
        <f>AB18*'R&amp;S - Packaging and hh goods'!$C$7*('R&amp;S - Packaging and hh goods'!$B$14*('R&amp;S - Packaging and hh goods'!$B$20+('R&amp;S - Packaging and hh goods'!$B$21-'R&amp;S - Packaging and hh goods'!$B$20)*('Yearly HC Ethylene'!AB$3-'Yearly HC Ethylene'!$X$3)/10))</f>
        <v>27.62467884405002</v>
      </c>
      <c r="AC19" s="196">
        <f>AC18*'R&amp;S - Packaging and hh goods'!$C$7*('R&amp;S - Packaging and hh goods'!$B$14*('R&amp;S - Packaging and hh goods'!$B$20+('R&amp;S - Packaging and hh goods'!$B$21-'R&amp;S - Packaging and hh goods'!$B$20)*('Yearly HC Ethylene'!AC$3-'Yearly HC Ethylene'!$X$3)/10))</f>
        <v>29.379837997125026</v>
      </c>
      <c r="AD19" s="196">
        <f>AD18*'R&amp;S - Packaging and hh goods'!$C$7*('R&amp;S - Packaging and hh goods'!$B$14*('R&amp;S - Packaging and hh goods'!$B$20+('R&amp;S - Packaging and hh goods'!$B$21-'R&amp;S - Packaging and hh goods'!$B$20)*('Yearly HC Ethylene'!AD$3-'Yearly HC Ethylene'!$X$3)/10))</f>
        <v>31.134997150200029</v>
      </c>
      <c r="AE19" s="196">
        <f>AE18*'R&amp;S - Packaging and hh goods'!$C$7*('R&amp;S - Packaging and hh goods'!$B$14*('R&amp;S - Packaging and hh goods'!$B$20+('R&amp;S - Packaging and hh goods'!$B$21-'R&amp;S - Packaging and hh goods'!$B$20)*('Yearly HC Ethylene'!AE$3-'Yearly HC Ethylene'!$X$3)/10))</f>
        <v>32.890156303275027</v>
      </c>
      <c r="AF19" s="196">
        <f>AF18*'R&amp;S - Packaging and hh goods'!$C$7*('R&amp;S - Packaging and hh goods'!$B$14*('R&amp;S - Packaging and hh goods'!$B$20+('R&amp;S - Packaging and hh goods'!$B$21-'R&amp;S - Packaging and hh goods'!$B$20)*('Yearly HC Ethylene'!AF$3-'Yearly HC Ethylene'!$X$3)/10))</f>
        <v>34.645315456350026</v>
      </c>
      <c r="AG19" s="196">
        <f>AG18*'R&amp;S - Packaging and hh goods'!$C$7*('R&amp;S - Packaging and hh goods'!$B$14*('R&amp;S - Packaging and hh goods'!$B$20+('R&amp;S - Packaging and hh goods'!$B$21-'R&amp;S - Packaging and hh goods'!$B$20)*('Yearly HC Ethylene'!AG$3-'Yearly HC Ethylene'!$X$3)/10))</f>
        <v>36.400474609425025</v>
      </c>
      <c r="AH19" s="196">
        <f>AH18*'R&amp;S - Packaging and hh goods'!$C$7*('R&amp;S - Packaging and hh goods'!$B$14*('R&amp;S - Packaging and hh goods'!$B$20+('R&amp;S - Packaging and hh goods'!$B$21-'R&amp;S - Packaging and hh goods'!$B$20)*('Yearly HC Ethylene'!AH$3-'Yearly HC Ethylene'!$X$3)/10))</f>
        <v>38.155633762500031</v>
      </c>
      <c r="AI19" s="635"/>
      <c r="AJ19" s="196">
        <v>0</v>
      </c>
      <c r="AK19" s="196">
        <f>AK18*'R&amp;S - Packaging and hh goods'!$C$7*('R&amp;S - Packaging and hh goods'!$B$15*'R&amp;S - Packaging and hh goods'!$B$19*(AK$3-$D$3)/10)</f>
        <v>0.22588135187400019</v>
      </c>
      <c r="AL19" s="196">
        <f>AL18*'R&amp;S - Packaging and hh goods'!$C$7*('R&amp;S - Packaging and hh goods'!$B$15*'R&amp;S - Packaging and hh goods'!$B$19*(AL$3-$D$3)/10)</f>
        <v>0.45176270374800037</v>
      </c>
      <c r="AM19" s="196">
        <f>AM18*'R&amp;S - Packaging and hh goods'!$C$7*('R&amp;S - Packaging and hh goods'!$B$15*'R&amp;S - Packaging and hh goods'!$B$19*(AM$3-$D$3)/10)</f>
        <v>0.67764405562200059</v>
      </c>
      <c r="AN19" s="196">
        <f>AN18*'R&amp;S - Packaging and hh goods'!$C$7*('R&amp;S - Packaging and hh goods'!$B$15*'R&amp;S - Packaging and hh goods'!$B$19*(AN$3-$D$3)/10)</f>
        <v>0.90352540749600074</v>
      </c>
      <c r="AO19" s="196">
        <f>AO18*'R&amp;S - Packaging and hh goods'!$C$7*('R&amp;S - Packaging and hh goods'!$B$15*'R&amp;S - Packaging and hh goods'!$B$19*(AO$3-$D$3)/10)</f>
        <v>1.129406759370001</v>
      </c>
      <c r="AP19" s="196">
        <f>AP18*'R&amp;S - Packaging and hh goods'!$C$7*('R&amp;S - Packaging and hh goods'!$B$15*'R&amp;S - Packaging and hh goods'!$B$19*(AP$3-$D$3)/10)</f>
        <v>1.3552881112440012</v>
      </c>
      <c r="AQ19" s="196">
        <f>AQ18*'R&amp;S - Packaging and hh goods'!$C$7*('R&amp;S - Packaging and hh goods'!$B$15*'R&amp;S - Packaging and hh goods'!$B$19*(AQ$3-$D$3)/10)</f>
        <v>1.5811694631180011</v>
      </c>
      <c r="AR19" s="196">
        <f>AR18*'R&amp;S - Packaging and hh goods'!$C$7*('R&amp;S - Packaging and hh goods'!$B$15*'R&amp;S - Packaging and hh goods'!$B$19*(AR$3-$D$3)/10)</f>
        <v>1.8070508149920015</v>
      </c>
      <c r="AS19" s="196">
        <f>AS18*'R&amp;S - Packaging and hh goods'!$C$7*('R&amp;S - Packaging and hh goods'!$B$15*'R&amp;S - Packaging and hh goods'!$B$19*(AS$3-$D$3)/10)</f>
        <v>2.0329321668660021</v>
      </c>
      <c r="AT19" s="196">
        <f>AT18*'R&amp;S - Packaging and hh goods'!$C$7*('R&amp;S - Packaging and hh goods'!$B$15*'R&amp;S - Packaging and hh goods'!$B$19*(AT$3-$D$3)/10)</f>
        <v>2.258813518740002</v>
      </c>
      <c r="AU19" s="196">
        <f>AU18*'R&amp;S - Packaging and hh goods'!$C$7*('R&amp;S - Packaging and hh goods'!$B$15*('R&amp;S - Packaging and hh goods'!$B$19+('R&amp;S - Packaging and hh goods'!$B$20-'R&amp;S - Packaging and hh goods'!$B$19)*(AU$3-$N$3)/10))</f>
        <v>3.5576312920155031</v>
      </c>
      <c r="AV19" s="196">
        <f>AV18*'R&amp;S - Packaging and hh goods'!$C$7*('R&amp;S - Packaging and hh goods'!$B$15*('R&amp;S - Packaging and hh goods'!$B$19+('R&amp;S - Packaging and hh goods'!$B$20-'R&amp;S - Packaging and hh goods'!$B$19)*(AV$3-$N$3)/10))</f>
        <v>4.8564490652910033</v>
      </c>
      <c r="AW19" s="196">
        <f>AW18*'R&amp;S - Packaging and hh goods'!$C$7*('R&amp;S - Packaging and hh goods'!$B$15*('R&amp;S - Packaging and hh goods'!$B$19+('R&amp;S - Packaging and hh goods'!$B$20-'R&amp;S - Packaging and hh goods'!$B$19)*(AW$3-$N$3)/10))</f>
        <v>6.1552668385665061</v>
      </c>
      <c r="AX19" s="196">
        <f>AX18*'R&amp;S - Packaging and hh goods'!$C$7*('R&amp;S - Packaging and hh goods'!$B$15*('R&amp;S - Packaging and hh goods'!$B$19+('R&amp;S - Packaging and hh goods'!$B$20-'R&amp;S - Packaging and hh goods'!$B$19)*(AX$3-$N$3)/10))</f>
        <v>7.4540846118420063</v>
      </c>
      <c r="AY19" s="196">
        <f>AY18*'R&amp;S - Packaging and hh goods'!$C$7*('R&amp;S - Packaging and hh goods'!$B$15*('R&amp;S - Packaging and hh goods'!$B$19+('R&amp;S - Packaging and hh goods'!$B$20-'R&amp;S - Packaging and hh goods'!$B$19)*(AY$3-$N$3)/10))</f>
        <v>8.7529023851175083</v>
      </c>
      <c r="AZ19" s="196">
        <f>AZ18*'R&amp;S - Packaging and hh goods'!$C$7*('R&amp;S - Packaging and hh goods'!$B$15*('R&amp;S - Packaging and hh goods'!$B$19+('R&amp;S - Packaging and hh goods'!$B$20-'R&amp;S - Packaging and hh goods'!$B$19)*(AZ$3-$N$3)/10))</f>
        <v>10.051720158393008</v>
      </c>
      <c r="BA19" s="196">
        <f>BA18*'R&amp;S - Packaging and hh goods'!$C$7*('R&amp;S - Packaging and hh goods'!$B$15*('R&amp;S - Packaging and hh goods'!$B$19+('R&amp;S - Packaging and hh goods'!$B$20-'R&amp;S - Packaging and hh goods'!$B$19)*(BA$3-$N$3)/10))</f>
        <v>11.35053793166851</v>
      </c>
      <c r="BB19" s="196">
        <f>BB18*'R&amp;S - Packaging and hh goods'!$C$7*('R&amp;S - Packaging and hh goods'!$B$15*('R&amp;S - Packaging and hh goods'!$B$19+('R&amp;S - Packaging and hh goods'!$B$20-'R&amp;S - Packaging and hh goods'!$B$19)*(BB$3-$N$3)/10))</f>
        <v>12.649355704944009</v>
      </c>
      <c r="BC19" s="196">
        <f>BC18*'R&amp;S - Packaging and hh goods'!$C$7*('R&amp;S - Packaging and hh goods'!$B$15*('R&amp;S - Packaging and hh goods'!$B$19+('R&amp;S - Packaging and hh goods'!$B$20-'R&amp;S - Packaging and hh goods'!$B$19)*(BC$3-$N$3)/10))</f>
        <v>13.948173478219513</v>
      </c>
      <c r="BD19" s="196">
        <f>BD18*'R&amp;S - Packaging and hh goods'!$C$7*('R&amp;S - Packaging and hh goods'!$B$15*('R&amp;S - Packaging and hh goods'!$B$19+('R&amp;S - Packaging and hh goods'!$B$20-'R&amp;S - Packaging and hh goods'!$B$19)*(BD$3-$N$3)/10))</f>
        <v>15.246991251495013</v>
      </c>
      <c r="BE19" s="196">
        <f>BE18*'R&amp;S - Packaging and hh goods'!$C$7*('R&amp;S - Packaging and hh goods'!$B$15*('R&amp;S - Packaging and hh goods'!$B$20+('R&amp;S - Packaging and hh goods'!$B$21-'R&amp;S - Packaging and hh goods'!$B$20)*(BE$3-$X$3)/10))</f>
        <v>16.545809024770513</v>
      </c>
      <c r="BF19" s="196">
        <f>BF18*'R&amp;S - Packaging and hh goods'!$C$7*('R&amp;S - Packaging and hh goods'!$B$15*('R&amp;S - Packaging and hh goods'!$B$20+('R&amp;S - Packaging and hh goods'!$B$21-'R&amp;S - Packaging and hh goods'!$B$20)*(BF$3-$X$3)/10))</f>
        <v>17.844626798046015</v>
      </c>
      <c r="BG19" s="196">
        <f>BG18*'R&amp;S - Packaging and hh goods'!$C$7*('R&amp;S - Packaging and hh goods'!$B$15*('R&amp;S - Packaging and hh goods'!$B$20+('R&amp;S - Packaging and hh goods'!$B$21-'R&amp;S - Packaging and hh goods'!$B$20)*(BG$3-$X$3)/10))</f>
        <v>19.143444571321517</v>
      </c>
      <c r="BH19" s="196">
        <f>BH18*'R&amp;S - Packaging and hh goods'!$C$7*('R&amp;S - Packaging and hh goods'!$B$15*('R&amp;S - Packaging and hh goods'!$B$20+('R&amp;S - Packaging and hh goods'!$B$21-'R&amp;S - Packaging and hh goods'!$B$20)*(BH$3-$X$3)/10))</f>
        <v>20.442262344597019</v>
      </c>
      <c r="BI19" s="196">
        <f>BI18*'R&amp;S - Packaging and hh goods'!$C$7*('R&amp;S - Packaging and hh goods'!$B$15*('R&amp;S - Packaging and hh goods'!$B$20+('R&amp;S - Packaging and hh goods'!$B$21-'R&amp;S - Packaging and hh goods'!$B$20)*(BI$3-$X$3)/10))</f>
        <v>21.741080117872517</v>
      </c>
      <c r="BJ19" s="196">
        <f>BJ18*'R&amp;S - Packaging and hh goods'!$C$7*('R&amp;S - Packaging and hh goods'!$B$15*('R&amp;S - Packaging and hh goods'!$B$20+('R&amp;S - Packaging and hh goods'!$B$21-'R&amp;S - Packaging and hh goods'!$B$20)*(BJ$3-$X$3)/10))</f>
        <v>23.039897891148019</v>
      </c>
      <c r="BK19" s="196">
        <f>BK18*'R&amp;S - Packaging and hh goods'!$C$7*('R&amp;S - Packaging and hh goods'!$B$15*('R&amp;S - Packaging and hh goods'!$B$20+('R&amp;S - Packaging and hh goods'!$B$21-'R&amp;S - Packaging and hh goods'!$B$20)*(BK$3-$X$3)/10))</f>
        <v>24.338715664423521</v>
      </c>
      <c r="BL19" s="196">
        <f>BL18*'R&amp;S - Packaging and hh goods'!$C$7*('R&amp;S - Packaging and hh goods'!$B$15*('R&amp;S - Packaging and hh goods'!$B$20+('R&amp;S - Packaging and hh goods'!$B$21-'R&amp;S - Packaging and hh goods'!$B$20)*(BL$3-$X$3)/10))</f>
        <v>25.63753343769902</v>
      </c>
      <c r="BM19" s="196">
        <f>BM18*'R&amp;S - Packaging and hh goods'!$C$7*('R&amp;S - Packaging and hh goods'!$B$15*('R&amp;S - Packaging and hh goods'!$B$20+('R&amp;S - Packaging and hh goods'!$B$21-'R&amp;S - Packaging and hh goods'!$B$20)*(BM$3-$X$3)/10))</f>
        <v>26.936351210974518</v>
      </c>
      <c r="BN19" s="196">
        <f>BN18*'R&amp;S - Packaging and hh goods'!$C$7*('R&amp;S - Packaging and hh goods'!$B$15*('R&amp;S - Packaging and hh goods'!$B$20+('R&amp;S - Packaging and hh goods'!$B$21-'R&amp;S - Packaging and hh goods'!$B$20)*(BN$3-$X$3)/10))</f>
        <v>28.235168984250024</v>
      </c>
    </row>
    <row r="20" spans="1:75" outlineLevel="1">
      <c r="B20" s="58" t="s">
        <v>188</v>
      </c>
      <c r="C20" s="51" t="s">
        <v>166</v>
      </c>
      <c r="D20" s="196">
        <v>0</v>
      </c>
      <c r="E20" s="196">
        <f>E18*'R&amp;S - Packaging and hh goods'!$C$8*('R&amp;S - Packaging and hh goods'!$B$14*'R&amp;S - Packaging and hh goods'!$C$19*('Yearly HC Ethylene'!E$3-'Yearly HC Ethylene'!$D$3)/10)</f>
        <v>1.7684833426428586</v>
      </c>
      <c r="F20" s="196">
        <f>F18*'R&amp;S - Packaging and hh goods'!$C$8*('R&amp;S - Packaging and hh goods'!$B$14*'R&amp;S - Packaging and hh goods'!$C$19*('Yearly HC Ethylene'!F$3-'Yearly HC Ethylene'!$D$3)/10)</f>
        <v>3.5369666852857171</v>
      </c>
      <c r="G20" s="196">
        <f>G18*'R&amp;S - Packaging and hh goods'!$C$8*('R&amp;S - Packaging and hh goods'!$B$14*'R&amp;S - Packaging and hh goods'!$C$19*('Yearly HC Ethylene'!G$3-'Yearly HC Ethylene'!$D$3)/10)</f>
        <v>5.3054500279285763</v>
      </c>
      <c r="H20" s="196">
        <f>H18*'R&amp;S - Packaging and hh goods'!$C$8*('R&amp;S - Packaging and hh goods'!$B$14*'R&amp;S - Packaging and hh goods'!$C$19*('Yearly HC Ethylene'!H$3-'Yearly HC Ethylene'!$D$3)/10)</f>
        <v>7.0739333705714342</v>
      </c>
      <c r="I20" s="196">
        <f>I18*'R&amp;S - Packaging and hh goods'!$C$8*('R&amp;S - Packaging and hh goods'!$B$14*'R&amp;S - Packaging and hh goods'!$C$19*('Yearly HC Ethylene'!I$3-'Yearly HC Ethylene'!$D$3)/10)</f>
        <v>8.842416713214293</v>
      </c>
      <c r="J20" s="196">
        <f>J18*'R&amp;S - Packaging and hh goods'!$C$8*('R&amp;S - Packaging and hh goods'!$B$14*'R&amp;S - Packaging and hh goods'!$C$19*('Yearly HC Ethylene'!J$3-'Yearly HC Ethylene'!$D$3)/10)</f>
        <v>10.610900055857153</v>
      </c>
      <c r="K20" s="196">
        <f>K18*'R&amp;S - Packaging and hh goods'!$C$8*('R&amp;S - Packaging and hh goods'!$B$14*'R&amp;S - Packaging and hh goods'!$C$19*('Yearly HC Ethylene'!K$3-'Yearly HC Ethylene'!$D$3)/10)</f>
        <v>12.379383398500011</v>
      </c>
      <c r="L20" s="196">
        <f>L18*'R&amp;S - Packaging and hh goods'!$C$8*('R&amp;S - Packaging and hh goods'!$B$14*'R&amp;S - Packaging and hh goods'!$C$19*('Yearly HC Ethylene'!L$3-'Yearly HC Ethylene'!$D$3)/10)</f>
        <v>14.147866741142868</v>
      </c>
      <c r="M20" s="196">
        <f>M18*'R&amp;S - Packaging and hh goods'!$C$8*('R&amp;S - Packaging and hh goods'!$B$14*'R&amp;S - Packaging and hh goods'!$C$19*('Yearly HC Ethylene'!M$3-'Yearly HC Ethylene'!$D$3)/10)</f>
        <v>15.916350083785726</v>
      </c>
      <c r="N20" s="196">
        <f>N18*'R&amp;S - Packaging and hh goods'!$C$8*('R&amp;S - Packaging and hh goods'!$B$14*'R&amp;S - Packaging and hh goods'!$C$19*('Yearly HC Ethylene'!N$3-'Yearly HC Ethylene'!$D$3)/10)</f>
        <v>17.684833426428586</v>
      </c>
      <c r="O20" s="196">
        <f>O18*'R&amp;S - Packaging and hh goods'!$C$8*('R&amp;S - Packaging and hh goods'!$B$14*('R&amp;S - Packaging and hh goods'!$C$19+('R&amp;S - Packaging and hh goods'!$C$20-'R&amp;S - Packaging and hh goods'!$C$19)*('Yearly HC Ethylene'!O$3-'Yearly HC Ethylene'!$N$3)/10))</f>
        <v>21.133375944582159</v>
      </c>
      <c r="P20" s="196">
        <f>P18*'R&amp;S - Packaging and hh goods'!$C$8*('R&amp;S - Packaging and hh goods'!$B$14*('R&amp;S - Packaging and hh goods'!$C$19+('R&amp;S - Packaging and hh goods'!$C$20-'R&amp;S - Packaging and hh goods'!$C$19)*('Yearly HC Ethylene'!P$3-'Yearly HC Ethylene'!$N$3)/10))</f>
        <v>24.581918462735736</v>
      </c>
      <c r="Q20" s="196">
        <f>Q18*'R&amp;S - Packaging and hh goods'!$C$8*('R&amp;S - Packaging and hh goods'!$B$14*('R&amp;S - Packaging and hh goods'!$C$19+('R&amp;S - Packaging and hh goods'!$C$20-'R&amp;S - Packaging and hh goods'!$C$19)*('Yearly HC Ethylene'!Q$3-'Yearly HC Ethylene'!$N$3)/10))</f>
        <v>28.030460980889309</v>
      </c>
      <c r="R20" s="196">
        <f>R18*'R&amp;S - Packaging and hh goods'!$C$8*('R&amp;S - Packaging and hh goods'!$B$14*('R&amp;S - Packaging and hh goods'!$C$19+('R&amp;S - Packaging and hh goods'!$C$20-'R&amp;S - Packaging and hh goods'!$C$19)*('Yearly HC Ethylene'!R$3-'Yearly HC Ethylene'!$N$3)/10))</f>
        <v>31.479003499042879</v>
      </c>
      <c r="S20" s="196">
        <f>S18*'R&amp;S - Packaging and hh goods'!$C$8*('R&amp;S - Packaging and hh goods'!$B$14*('R&amp;S - Packaging and hh goods'!$C$19+('R&amp;S - Packaging and hh goods'!$C$20-'R&amp;S - Packaging and hh goods'!$C$19)*('Yearly HC Ethylene'!S$3-'Yearly HC Ethylene'!$N$3)/10))</f>
        <v>34.927546017196455</v>
      </c>
      <c r="T20" s="196">
        <f>T18*'R&amp;S - Packaging and hh goods'!$C$8*('R&amp;S - Packaging and hh goods'!$B$14*('R&amp;S - Packaging and hh goods'!$C$19+('R&amp;S - Packaging and hh goods'!$C$20-'R&amp;S - Packaging and hh goods'!$C$19)*('Yearly HC Ethylene'!T$3-'Yearly HC Ethylene'!$N$3)/10))</f>
        <v>38.376088535350029</v>
      </c>
      <c r="U20" s="196">
        <f>U18*'R&amp;S - Packaging and hh goods'!$C$8*('R&amp;S - Packaging and hh goods'!$B$14*('R&amp;S - Packaging and hh goods'!$C$19+('R&amp;S - Packaging and hh goods'!$C$20-'R&amp;S - Packaging and hh goods'!$C$19)*('Yearly HC Ethylene'!U$3-'Yearly HC Ethylene'!$N$3)/10))</f>
        <v>41.824631053503602</v>
      </c>
      <c r="V20" s="196">
        <f>V18*'R&amp;S - Packaging and hh goods'!$C$8*('R&amp;S - Packaging and hh goods'!$B$14*('R&amp;S - Packaging and hh goods'!$C$19+('R&amp;S - Packaging and hh goods'!$C$20-'R&amp;S - Packaging and hh goods'!$C$19)*('Yearly HC Ethylene'!V$3-'Yearly HC Ethylene'!$N$3)/10))</f>
        <v>45.273173571657182</v>
      </c>
      <c r="W20" s="196">
        <f>W18*'R&amp;S - Packaging and hh goods'!$C$8*('R&amp;S - Packaging and hh goods'!$B$14*('R&amp;S - Packaging and hh goods'!$C$19+('R&amp;S - Packaging and hh goods'!$C$20-'R&amp;S - Packaging and hh goods'!$C$19)*('Yearly HC Ethylene'!W$3-'Yearly HC Ethylene'!$N$3)/10))</f>
        <v>48.721716089810748</v>
      </c>
      <c r="X20" s="196">
        <f>X18*'R&amp;S - Packaging and hh goods'!$C$8*('R&amp;S - Packaging and hh goods'!$B$14*('R&amp;S - Packaging and hh goods'!$C$19+('R&amp;S - Packaging and hh goods'!$C$20-'R&amp;S - Packaging and hh goods'!$C$19)*('Yearly HC Ethylene'!X$3-'Yearly HC Ethylene'!$N$3)/10))</f>
        <v>52.170258607964321</v>
      </c>
      <c r="Y20" s="196">
        <f>Y18*'R&amp;S - Packaging and hh goods'!$C$8*('R&amp;S - Packaging and hh goods'!$B$14*('R&amp;S - Packaging and hh goods'!$C$20+('R&amp;S - Packaging and hh goods'!$C$21-'R&amp;S - Packaging and hh goods'!$C$20)*('Yearly HC Ethylene'!Y$3-'Yearly HC Ethylene'!$X$3)/10))</f>
        <v>55.795649460382187</v>
      </c>
      <c r="Z20" s="196">
        <f>Z18*'R&amp;S - Packaging and hh goods'!$C$8*('R&amp;S - Packaging and hh goods'!$B$14*('R&amp;S - Packaging and hh goods'!$C$20+('R&amp;S - Packaging and hh goods'!$C$21-'R&amp;S - Packaging and hh goods'!$C$20)*('Yearly HC Ethylene'!Z$3-'Yearly HC Ethylene'!$X$3)/10))</f>
        <v>59.421040312800038</v>
      </c>
      <c r="AA20" s="196">
        <f>AA18*'R&amp;S - Packaging and hh goods'!$C$8*('R&amp;S - Packaging and hh goods'!$B$14*('R&amp;S - Packaging and hh goods'!$C$20+('R&amp;S - Packaging and hh goods'!$C$21-'R&amp;S - Packaging and hh goods'!$C$20)*('Yearly HC Ethylene'!AA$3-'Yearly HC Ethylene'!$X$3)/10))</f>
        <v>63.046431165217903</v>
      </c>
      <c r="AB20" s="196">
        <f>AB18*'R&amp;S - Packaging and hh goods'!$C$8*('R&amp;S - Packaging and hh goods'!$B$14*('R&amp;S - Packaging and hh goods'!$C$20+('R&amp;S - Packaging and hh goods'!$C$21-'R&amp;S - Packaging and hh goods'!$C$20)*('Yearly HC Ethylene'!AB$3-'Yearly HC Ethylene'!$X$3)/10))</f>
        <v>66.671822017635762</v>
      </c>
      <c r="AC20" s="196">
        <f>AC18*'R&amp;S - Packaging and hh goods'!$C$8*('R&amp;S - Packaging and hh goods'!$B$14*('R&amp;S - Packaging and hh goods'!$C$20+('R&amp;S - Packaging and hh goods'!$C$21-'R&amp;S - Packaging and hh goods'!$C$20)*('Yearly HC Ethylene'!AC$3-'Yearly HC Ethylene'!$X$3)/10))</f>
        <v>70.297212870053627</v>
      </c>
      <c r="AD20" s="196">
        <f>AD18*'R&amp;S - Packaging and hh goods'!$C$8*('R&amp;S - Packaging and hh goods'!$B$14*('R&amp;S - Packaging and hh goods'!$C$20+('R&amp;S - Packaging and hh goods'!$C$21-'R&amp;S - Packaging and hh goods'!$C$20)*('Yearly HC Ethylene'!AD$3-'Yearly HC Ethylene'!$X$3)/10))</f>
        <v>73.922603722471479</v>
      </c>
      <c r="AE20" s="196">
        <f>AE18*'R&amp;S - Packaging and hh goods'!$C$8*('R&amp;S - Packaging and hh goods'!$B$14*('R&amp;S - Packaging and hh goods'!$C$20+('R&amp;S - Packaging and hh goods'!$C$21-'R&amp;S - Packaging and hh goods'!$C$20)*('Yearly HC Ethylene'!AE$3-'Yearly HC Ethylene'!$X$3)/10))</f>
        <v>77.547994574889344</v>
      </c>
      <c r="AF20" s="196">
        <f>AF18*'R&amp;S - Packaging and hh goods'!$C$8*('R&amp;S - Packaging and hh goods'!$B$14*('R&amp;S - Packaging and hh goods'!$C$20+('R&amp;S - Packaging and hh goods'!$C$21-'R&amp;S - Packaging and hh goods'!$C$20)*('Yearly HC Ethylene'!AF$3-'Yearly HC Ethylene'!$X$3)/10))</f>
        <v>81.173385427307196</v>
      </c>
      <c r="AG20" s="196">
        <f>AG18*'R&amp;S - Packaging and hh goods'!$C$8*('R&amp;S - Packaging and hh goods'!$B$14*('R&amp;S - Packaging and hh goods'!$C$20+('R&amp;S - Packaging and hh goods'!$C$21-'R&amp;S - Packaging and hh goods'!$C$20)*('Yearly HC Ethylene'!AG$3-'Yearly HC Ethylene'!$X$3)/10))</f>
        <v>84.798776279725075</v>
      </c>
      <c r="AH20" s="196">
        <f>AH18*'R&amp;S - Packaging and hh goods'!$C$8*('R&amp;S - Packaging and hh goods'!$B$14*('R&amp;S - Packaging and hh goods'!$C$20+('R&amp;S - Packaging and hh goods'!$C$21-'R&amp;S - Packaging and hh goods'!$C$20)*('Yearly HC Ethylene'!AH$3-'Yearly HC Ethylene'!$X$3)/10))</f>
        <v>88.424167132142927</v>
      </c>
      <c r="AI20" s="635"/>
      <c r="AJ20" s="196">
        <v>0</v>
      </c>
      <c r="AK20" s="196">
        <f>AK18*'R&amp;S - Packaging and hh goods'!$C$8*('R&amp;S - Packaging and hh goods'!$B$15*'R&amp;S - Packaging and hh goods'!$C$19*(AK$3-$D$3)/10)</f>
        <v>1.3086776735557153</v>
      </c>
      <c r="AL20" s="196">
        <f>AL18*'R&amp;S - Packaging and hh goods'!$C$8*('R&amp;S - Packaging and hh goods'!$B$15*'R&amp;S - Packaging and hh goods'!$C$19*(AL$3-$D$3)/10)</f>
        <v>2.6173553471114306</v>
      </c>
      <c r="AM20" s="196">
        <f>AM18*'R&amp;S - Packaging and hh goods'!$C$8*('R&amp;S - Packaging and hh goods'!$B$15*'R&amp;S - Packaging and hh goods'!$C$19*(AM$3-$D$3)/10)</f>
        <v>3.9260330206671457</v>
      </c>
      <c r="AN20" s="196">
        <f>AN18*'R&amp;S - Packaging and hh goods'!$C$8*('R&amp;S - Packaging and hh goods'!$B$15*'R&amp;S - Packaging and hh goods'!$C$19*(AN$3-$D$3)/10)</f>
        <v>5.2347106942228612</v>
      </c>
      <c r="AO20" s="196">
        <f>AO18*'R&amp;S - Packaging and hh goods'!$C$8*('R&amp;S - Packaging and hh goods'!$B$15*'R&amp;S - Packaging and hh goods'!$C$19*(AO$3-$D$3)/10)</f>
        <v>6.5433883677785758</v>
      </c>
      <c r="AP20" s="196">
        <f>AP18*'R&amp;S - Packaging and hh goods'!$C$8*('R&amp;S - Packaging and hh goods'!$B$15*'R&amp;S - Packaging and hh goods'!$C$19*(AP$3-$D$3)/10)</f>
        <v>7.8520660413342913</v>
      </c>
      <c r="AQ20" s="196">
        <f>AQ18*'R&amp;S - Packaging and hh goods'!$C$8*('R&amp;S - Packaging and hh goods'!$B$15*'R&amp;S - Packaging and hh goods'!$C$19*(AQ$3-$D$3)/10)</f>
        <v>9.1607437148900068</v>
      </c>
      <c r="AR20" s="196">
        <f>AR18*'R&amp;S - Packaging and hh goods'!$C$8*('R&amp;S - Packaging and hh goods'!$B$15*'R&amp;S - Packaging and hh goods'!$C$19*(AR$3-$D$3)/10)</f>
        <v>10.469421388445722</v>
      </c>
      <c r="AS20" s="196">
        <f>AS18*'R&amp;S - Packaging and hh goods'!$C$8*('R&amp;S - Packaging and hh goods'!$B$15*'R&amp;S - Packaging and hh goods'!$C$19*(AS$3-$D$3)/10)</f>
        <v>11.778099062001436</v>
      </c>
      <c r="AT20" s="196">
        <f>AT18*'R&amp;S - Packaging and hh goods'!$C$8*('R&amp;S - Packaging and hh goods'!$B$15*'R&amp;S - Packaging and hh goods'!$C$19*(AT$3-$D$3)/10)</f>
        <v>13.086776735557152</v>
      </c>
      <c r="AU20" s="196">
        <f>AU18*'R&amp;S - Packaging and hh goods'!$C$8*('R&amp;S - Packaging and hh goods'!$B$15*('R&amp;S - Packaging and hh goods'!$C$19+('R&amp;S - Packaging and hh goods'!$C$20-'R&amp;S - Packaging and hh goods'!$C$19)*(AU$3-$N$3)/10))</f>
        <v>15.638698198990797</v>
      </c>
      <c r="AV20" s="196">
        <f>AV18*'R&amp;S - Packaging and hh goods'!$C$8*('R&amp;S - Packaging and hh goods'!$B$15*('R&amp;S - Packaging and hh goods'!$C$19+('R&amp;S - Packaging and hh goods'!$C$20-'R&amp;S - Packaging and hh goods'!$C$19)*(AV$3-$N$3)/10))</f>
        <v>18.190619662424446</v>
      </c>
      <c r="AW20" s="196">
        <f>AW18*'R&amp;S - Packaging and hh goods'!$C$8*('R&amp;S - Packaging and hh goods'!$B$15*('R&amp;S - Packaging and hh goods'!$C$19+('R&amp;S - Packaging and hh goods'!$C$20-'R&amp;S - Packaging and hh goods'!$C$19)*(AW$3-$N$3)/10))</f>
        <v>20.742541125858089</v>
      </c>
      <c r="AX20" s="196">
        <f>AX18*'R&amp;S - Packaging and hh goods'!$C$8*('R&amp;S - Packaging and hh goods'!$B$15*('R&amp;S - Packaging and hh goods'!$C$19+('R&amp;S - Packaging and hh goods'!$C$20-'R&amp;S - Packaging and hh goods'!$C$19)*(AX$3-$N$3)/10))</f>
        <v>23.294462589291733</v>
      </c>
      <c r="AY20" s="196">
        <f>AY18*'R&amp;S - Packaging and hh goods'!$C$8*('R&amp;S - Packaging and hh goods'!$B$15*('R&amp;S - Packaging and hh goods'!$C$19+('R&amp;S - Packaging and hh goods'!$C$20-'R&amp;S - Packaging and hh goods'!$C$19)*(AY$3-$N$3)/10))</f>
        <v>25.846384052725377</v>
      </c>
      <c r="AZ20" s="196">
        <f>AZ18*'R&amp;S - Packaging and hh goods'!$C$8*('R&amp;S - Packaging and hh goods'!$B$15*('R&amp;S - Packaging and hh goods'!$C$19+('R&amp;S - Packaging and hh goods'!$C$20-'R&amp;S - Packaging and hh goods'!$C$19)*(AZ$3-$N$3)/10))</f>
        <v>28.398305516159024</v>
      </c>
      <c r="BA20" s="196">
        <f>BA18*'R&amp;S - Packaging and hh goods'!$C$8*('R&amp;S - Packaging and hh goods'!$B$15*('R&amp;S - Packaging and hh goods'!$C$19+('R&amp;S - Packaging and hh goods'!$C$20-'R&amp;S - Packaging and hh goods'!$C$19)*(BA$3-$N$3)/10))</f>
        <v>30.950226979592667</v>
      </c>
      <c r="BB20" s="196">
        <f>BB18*'R&amp;S - Packaging and hh goods'!$C$8*('R&amp;S - Packaging and hh goods'!$B$15*('R&amp;S - Packaging and hh goods'!$C$19+('R&amp;S - Packaging and hh goods'!$C$20-'R&amp;S - Packaging and hh goods'!$C$19)*(BB$3-$N$3)/10))</f>
        <v>33.502148443026314</v>
      </c>
      <c r="BC20" s="196">
        <f>BC18*'R&amp;S - Packaging and hh goods'!$C$8*('R&amp;S - Packaging and hh goods'!$B$15*('R&amp;S - Packaging and hh goods'!$C$19+('R&amp;S - Packaging and hh goods'!$C$20-'R&amp;S - Packaging and hh goods'!$C$19)*(BC$3-$N$3)/10))</f>
        <v>36.054069906459951</v>
      </c>
      <c r="BD20" s="196">
        <f>BD18*'R&amp;S - Packaging and hh goods'!$C$8*('R&amp;S - Packaging and hh goods'!$B$15*('R&amp;S - Packaging and hh goods'!$C$19+('R&amp;S - Packaging and hh goods'!$C$20-'R&amp;S - Packaging and hh goods'!$C$19)*(BD$3-$N$3)/10))</f>
        <v>38.605991369893601</v>
      </c>
      <c r="BE20" s="196">
        <f>BE18*'R&amp;S - Packaging and hh goods'!$C$8*('R&amp;S - Packaging and hh goods'!$B$15*('R&amp;S - Packaging and hh goods'!$C$20+('R&amp;S - Packaging and hh goods'!$C$21-'R&amp;S - Packaging and hh goods'!$C$20)*(BE$3-$X$3)/10))</f>
        <v>41.28878060068282</v>
      </c>
      <c r="BF20" s="196">
        <f>BF18*'R&amp;S - Packaging and hh goods'!$C$8*('R&amp;S - Packaging and hh goods'!$B$15*('R&amp;S - Packaging and hh goods'!$C$20+('R&amp;S - Packaging and hh goods'!$C$21-'R&amp;S - Packaging and hh goods'!$C$20)*(BF$3-$X$3)/10))</f>
        <v>43.971569831472031</v>
      </c>
      <c r="BG20" s="196">
        <f>BG18*'R&amp;S - Packaging and hh goods'!$C$8*('R&amp;S - Packaging and hh goods'!$B$15*('R&amp;S - Packaging and hh goods'!$C$20+('R&amp;S - Packaging and hh goods'!$C$21-'R&amp;S - Packaging and hh goods'!$C$20)*(BG$3-$X$3)/10))</f>
        <v>46.65435906226125</v>
      </c>
      <c r="BH20" s="196">
        <f>BH18*'R&amp;S - Packaging and hh goods'!$C$8*('R&amp;S - Packaging and hh goods'!$B$15*('R&amp;S - Packaging and hh goods'!$C$20+('R&amp;S - Packaging and hh goods'!$C$21-'R&amp;S - Packaging and hh goods'!$C$20)*(BH$3-$X$3)/10))</f>
        <v>49.337148293050468</v>
      </c>
      <c r="BI20" s="196">
        <f>BI18*'R&amp;S - Packaging and hh goods'!$C$8*('R&amp;S - Packaging and hh goods'!$B$15*('R&amp;S - Packaging and hh goods'!$C$20+('R&amp;S - Packaging and hh goods'!$C$21-'R&amp;S - Packaging and hh goods'!$C$20)*(BI$3-$X$3)/10))</f>
        <v>52.01993752383968</v>
      </c>
      <c r="BJ20" s="196">
        <f>BJ18*'R&amp;S - Packaging and hh goods'!$C$8*('R&amp;S - Packaging and hh goods'!$B$15*('R&amp;S - Packaging and hh goods'!$C$20+('R&amp;S - Packaging and hh goods'!$C$21-'R&amp;S - Packaging and hh goods'!$C$20)*(BJ$3-$X$3)/10))</f>
        <v>54.702726754628898</v>
      </c>
      <c r="BK20" s="196">
        <f>BK18*'R&amp;S - Packaging and hh goods'!$C$8*('R&amp;S - Packaging and hh goods'!$B$15*('R&amp;S - Packaging and hh goods'!$C$20+('R&amp;S - Packaging and hh goods'!$C$21-'R&amp;S - Packaging and hh goods'!$C$20)*(BK$3-$X$3)/10))</f>
        <v>57.385515985418117</v>
      </c>
      <c r="BL20" s="196">
        <f>BL18*'R&amp;S - Packaging and hh goods'!$C$8*('R&amp;S - Packaging and hh goods'!$B$15*('R&amp;S - Packaging and hh goods'!$C$20+('R&amp;S - Packaging and hh goods'!$C$21-'R&amp;S - Packaging and hh goods'!$C$20)*(BL$3-$X$3)/10))</f>
        <v>60.068305216207328</v>
      </c>
      <c r="BM20" s="196">
        <f>BM18*'R&amp;S - Packaging and hh goods'!$C$8*('R&amp;S - Packaging and hh goods'!$B$15*('R&amp;S - Packaging and hh goods'!$C$20+('R&amp;S - Packaging and hh goods'!$C$21-'R&amp;S - Packaging and hh goods'!$C$20)*(BM$3-$X$3)/10))</f>
        <v>62.751094446996554</v>
      </c>
      <c r="BN20" s="196">
        <f>BN18*'R&amp;S - Packaging and hh goods'!$C$8*('R&amp;S - Packaging and hh goods'!$B$15*('R&amp;S - Packaging and hh goods'!$C$20+('R&amp;S - Packaging and hh goods'!$C$21-'R&amp;S - Packaging and hh goods'!$C$20)*(BN$3-$X$3)/10))</f>
        <v>65.433883677785758</v>
      </c>
      <c r="BQ20" s="1" t="s">
        <v>915</v>
      </c>
      <c r="BR20" t="s">
        <v>908</v>
      </c>
      <c r="BS20" s="41" t="e">
        <f>#REF!</f>
        <v>#REF!</v>
      </c>
      <c r="BU20" t="str" cm="1">
        <f t="array" ref="BU20:BW24">'Sankey Methanol_detailed'!Q21:S25</f>
        <v>Fuel</v>
      </c>
      <c r="BV20" s="41">
        <v>28.587862624213781</v>
      </c>
      <c r="BW20" s="158">
        <v>0.27471012342412782</v>
      </c>
    </row>
    <row r="21" spans="1:75" outlineLevel="1">
      <c r="B21" s="1" t="s">
        <v>164</v>
      </c>
      <c r="C21" s="51" t="s">
        <v>166</v>
      </c>
      <c r="D21" s="101">
        <f>SUM(D19:D20)</f>
        <v>0</v>
      </c>
      <c r="E21" s="101">
        <f t="shared" ref="E21:AH21" si="19">SUM(E19:E20)</f>
        <v>2.0737284127428586</v>
      </c>
      <c r="F21" s="101">
        <f t="shared" si="19"/>
        <v>4.1474568254857171</v>
      </c>
      <c r="G21" s="101">
        <f t="shared" si="19"/>
        <v>6.2211852382285766</v>
      </c>
      <c r="H21" s="101">
        <f t="shared" si="19"/>
        <v>8.2949136509714343</v>
      </c>
      <c r="I21" s="101">
        <f t="shared" si="19"/>
        <v>10.368642063714294</v>
      </c>
      <c r="J21" s="101">
        <f t="shared" si="19"/>
        <v>12.442370476457153</v>
      </c>
      <c r="K21" s="101">
        <f t="shared" si="19"/>
        <v>14.516098889200013</v>
      </c>
      <c r="L21" s="101">
        <f t="shared" si="19"/>
        <v>16.589827301942869</v>
      </c>
      <c r="M21" s="101">
        <f t="shared" si="19"/>
        <v>18.663555714685728</v>
      </c>
      <c r="N21" s="101">
        <f t="shared" si="19"/>
        <v>20.737284127428588</v>
      </c>
      <c r="O21" s="101">
        <f t="shared" si="19"/>
        <v>25.940985798657163</v>
      </c>
      <c r="P21" s="101">
        <f t="shared" si="19"/>
        <v>31.144687469885739</v>
      </c>
      <c r="Q21" s="101">
        <f t="shared" si="19"/>
        <v>36.348389141114318</v>
      </c>
      <c r="R21" s="101">
        <f t="shared" si="19"/>
        <v>41.55209081234289</v>
      </c>
      <c r="S21" s="101">
        <f t="shared" si="19"/>
        <v>46.755792483571469</v>
      </c>
      <c r="T21" s="101">
        <f t="shared" si="19"/>
        <v>51.959494154800041</v>
      </c>
      <c r="U21" s="101">
        <f t="shared" si="19"/>
        <v>57.163195826028613</v>
      </c>
      <c r="V21" s="101">
        <f t="shared" si="19"/>
        <v>62.366897497257199</v>
      </c>
      <c r="W21" s="101">
        <f t="shared" si="19"/>
        <v>67.570599168485757</v>
      </c>
      <c r="X21" s="101">
        <f t="shared" si="19"/>
        <v>72.774300839714343</v>
      </c>
      <c r="Y21" s="101">
        <f t="shared" si="19"/>
        <v>78.154850845207207</v>
      </c>
      <c r="Z21" s="101">
        <f t="shared" si="19"/>
        <v>83.535400850700057</v>
      </c>
      <c r="AA21" s="101">
        <f t="shared" si="19"/>
        <v>88.915950856192921</v>
      </c>
      <c r="AB21" s="101">
        <f t="shared" si="19"/>
        <v>94.296500861685786</v>
      </c>
      <c r="AC21" s="101">
        <f t="shared" si="19"/>
        <v>99.67705086717865</v>
      </c>
      <c r="AD21" s="101">
        <f t="shared" si="19"/>
        <v>105.05760087267151</v>
      </c>
      <c r="AE21" s="101">
        <f t="shared" si="19"/>
        <v>110.43815087816438</v>
      </c>
      <c r="AF21" s="101">
        <f t="shared" si="19"/>
        <v>115.81870088365721</v>
      </c>
      <c r="AG21" s="101">
        <f t="shared" si="19"/>
        <v>121.19925088915011</v>
      </c>
      <c r="AH21" s="101">
        <f t="shared" si="19"/>
        <v>126.57980089464296</v>
      </c>
      <c r="AI21" s="635"/>
      <c r="AJ21" s="101">
        <f>SUM(AJ19:AJ20)</f>
        <v>0</v>
      </c>
      <c r="AK21" s="101">
        <f t="shared" ref="AK21:BM21" si="20">SUM(AK19:AK20)</f>
        <v>1.5345590254297155</v>
      </c>
      <c r="AL21" s="101">
        <f t="shared" si="20"/>
        <v>3.0691180508594309</v>
      </c>
      <c r="AM21" s="101">
        <f t="shared" si="20"/>
        <v>4.6036770762891459</v>
      </c>
      <c r="AN21" s="101">
        <f t="shared" si="20"/>
        <v>6.1382361017188618</v>
      </c>
      <c r="AO21" s="101">
        <f t="shared" si="20"/>
        <v>7.6727951271485768</v>
      </c>
      <c r="AP21" s="101">
        <f t="shared" si="20"/>
        <v>9.2073541525782918</v>
      </c>
      <c r="AQ21" s="101">
        <f t="shared" si="20"/>
        <v>10.741913178008009</v>
      </c>
      <c r="AR21" s="101">
        <f t="shared" si="20"/>
        <v>12.276472203437724</v>
      </c>
      <c r="AS21" s="101">
        <f t="shared" si="20"/>
        <v>13.811031228867439</v>
      </c>
      <c r="AT21" s="101">
        <f t="shared" si="20"/>
        <v>15.345590254297154</v>
      </c>
      <c r="AU21" s="101">
        <f t="shared" si="20"/>
        <v>19.196329491006299</v>
      </c>
      <c r="AV21" s="101">
        <f t="shared" si="20"/>
        <v>23.047068727715448</v>
      </c>
      <c r="AW21" s="101">
        <f t="shared" si="20"/>
        <v>26.897807964424594</v>
      </c>
      <c r="AX21" s="101">
        <f t="shared" si="20"/>
        <v>30.748547201133739</v>
      </c>
      <c r="AY21" s="101">
        <f t="shared" si="20"/>
        <v>34.599286437842885</v>
      </c>
      <c r="AZ21" s="101">
        <f t="shared" si="20"/>
        <v>38.45002567455203</v>
      </c>
      <c r="BA21" s="101">
        <f t="shared" si="20"/>
        <v>42.300764911261176</v>
      </c>
      <c r="BB21" s="101">
        <f t="shared" si="20"/>
        <v>46.151504147970321</v>
      </c>
      <c r="BC21" s="101">
        <f t="shared" si="20"/>
        <v>50.00224338467946</v>
      </c>
      <c r="BD21" s="101">
        <f t="shared" si="20"/>
        <v>53.852982621388612</v>
      </c>
      <c r="BE21" s="101">
        <f t="shared" si="20"/>
        <v>57.834589625453333</v>
      </c>
      <c r="BF21" s="101">
        <f t="shared" si="20"/>
        <v>61.816196629518046</v>
      </c>
      <c r="BG21" s="101">
        <f t="shared" si="20"/>
        <v>65.79780363358276</v>
      </c>
      <c r="BH21" s="101">
        <f t="shared" si="20"/>
        <v>69.779410637647487</v>
      </c>
      <c r="BI21" s="101">
        <f t="shared" si="20"/>
        <v>73.761017641712201</v>
      </c>
      <c r="BJ21" s="101">
        <f t="shared" si="20"/>
        <v>77.742624645776914</v>
      </c>
      <c r="BK21" s="101">
        <f t="shared" si="20"/>
        <v>81.724231649841641</v>
      </c>
      <c r="BL21" s="101">
        <f t="shared" si="20"/>
        <v>85.705838653906341</v>
      </c>
      <c r="BM21" s="101">
        <f t="shared" si="20"/>
        <v>89.687445657971068</v>
      </c>
      <c r="BN21" s="101">
        <f>SUM(BN19:BN20)</f>
        <v>93.669052662035782</v>
      </c>
      <c r="BR21" t="s">
        <v>911</v>
      </c>
      <c r="BS21" s="41">
        <f>D6</f>
        <v>0</v>
      </c>
      <c r="BU21" t="str">
        <v>Major Polymers</v>
      </c>
      <c r="BV21" s="41">
        <v>28.851572700948026</v>
      </c>
      <c r="BW21" s="158">
        <v>0.27724419981452192</v>
      </c>
    </row>
    <row r="22" spans="1:75" outlineLevel="1">
      <c r="B22" s="58" t="s">
        <v>189</v>
      </c>
      <c r="C22" s="51" t="s">
        <v>166</v>
      </c>
      <c r="D22" s="196">
        <v>0</v>
      </c>
      <c r="E22" s="196">
        <f>E18*'R&amp;S - Packaging and hh goods'!$C$9*('R&amp;S - Packaging and hh goods'!$C$14*'R&amp;S - Packaging and hh goods'!$D$19*('Yearly HC Ethylene'!E$3-'Yearly HC Ethylene'!$D$3)/10)</f>
        <v>0.78128202466071484</v>
      </c>
      <c r="F22" s="196">
        <f>F18*'R&amp;S - Packaging and hh goods'!$C$9*('R&amp;S - Packaging and hh goods'!$C$14*'R&amp;S - Packaging and hh goods'!$D$19*('Yearly HC Ethylene'!F$3-'Yearly HC Ethylene'!$D$3)/10)</f>
        <v>1.5625640493214297</v>
      </c>
      <c r="G22" s="196">
        <f>G18*'R&amp;S - Packaging and hh goods'!$C$9*('R&amp;S - Packaging and hh goods'!$C$14*'R&amp;S - Packaging and hh goods'!$D$19*('Yearly HC Ethylene'!G$3-'Yearly HC Ethylene'!$D$3)/10)</f>
        <v>2.3438460739821445</v>
      </c>
      <c r="H22" s="196">
        <f>H18*'R&amp;S - Packaging and hh goods'!$C$9*('R&amp;S - Packaging and hh goods'!$C$14*'R&amp;S - Packaging and hh goods'!$D$19*('Yearly HC Ethylene'!H$3-'Yearly HC Ethylene'!$D$3)/10)</f>
        <v>3.1251280986428593</v>
      </c>
      <c r="I22" s="196">
        <f>I18*'R&amp;S - Packaging and hh goods'!$C$9*('R&amp;S - Packaging and hh goods'!$C$14*'R&amp;S - Packaging and hh goods'!$D$19*('Yearly HC Ethylene'!I$3-'Yearly HC Ethylene'!$D$3)/10)</f>
        <v>3.9064101233035742</v>
      </c>
      <c r="J22" s="196">
        <f>J18*'R&amp;S - Packaging and hh goods'!$C$9*('R&amp;S - Packaging and hh goods'!$C$14*'R&amp;S - Packaging and hh goods'!$D$19*('Yearly HC Ethylene'!J$3-'Yearly HC Ethylene'!$D$3)/10)</f>
        <v>4.687692147964289</v>
      </c>
      <c r="K22" s="196">
        <f>K18*'R&amp;S - Packaging and hh goods'!$C$9*('R&amp;S - Packaging and hh goods'!$C$14*'R&amp;S - Packaging and hh goods'!$D$19*('Yearly HC Ethylene'!K$3-'Yearly HC Ethylene'!$D$3)/10)</f>
        <v>5.4689741726250052</v>
      </c>
      <c r="L22" s="196">
        <f>L18*'R&amp;S - Packaging and hh goods'!$C$9*('R&amp;S - Packaging and hh goods'!$C$14*'R&amp;S - Packaging and hh goods'!$D$19*('Yearly HC Ethylene'!L$3-'Yearly HC Ethylene'!$D$3)/10)</f>
        <v>6.2502561972857187</v>
      </c>
      <c r="M22" s="196">
        <f>M18*'R&amp;S - Packaging and hh goods'!$C$9*('R&amp;S - Packaging and hh goods'!$C$14*'R&amp;S - Packaging and hh goods'!$D$19*('Yearly HC Ethylene'!M$3-'Yearly HC Ethylene'!$D$3)/10)</f>
        <v>7.0315382219464331</v>
      </c>
      <c r="N22" s="196">
        <f>N18*'R&amp;S - Packaging and hh goods'!$C$9*('R&amp;S - Packaging and hh goods'!$C$14*'R&amp;S - Packaging and hh goods'!$D$19*('Yearly HC Ethylene'!N$3-'Yearly HC Ethylene'!$D$3)/10)</f>
        <v>7.8128202466071484</v>
      </c>
      <c r="O22" s="196">
        <f>O18*'R&amp;S - Packaging and hh goods'!$C$9*('R&amp;S - Packaging and hh goods'!$C$14*'R&amp;S - Packaging and hh goods'!$D$19*('Yearly HC Ethylene'!O$3-'Yearly HC Ethylene'!$D$3)/10)</f>
        <v>8.5941022712678627</v>
      </c>
      <c r="P22" s="196">
        <f>P18*'R&amp;S - Packaging and hh goods'!$C$9*('R&amp;S - Packaging and hh goods'!$C$14*'R&amp;S - Packaging and hh goods'!$D$19*('Yearly HC Ethylene'!P$3-'Yearly HC Ethylene'!$D$3)/10)</f>
        <v>9.375384295928578</v>
      </c>
      <c r="Q22" s="196">
        <f>Q18*'R&amp;S - Packaging and hh goods'!$C$9*('R&amp;S - Packaging and hh goods'!$C$14*'R&amp;S - Packaging and hh goods'!$D$19*('Yearly HC Ethylene'!Q$3-'Yearly HC Ethylene'!$D$3)/10)</f>
        <v>10.156666320589293</v>
      </c>
      <c r="R22" s="196">
        <f>R18*'R&amp;S - Packaging and hh goods'!$C$9*('R&amp;S - Packaging and hh goods'!$C$14*'R&amp;S - Packaging and hh goods'!$D$19*('Yearly HC Ethylene'!R$3-'Yearly HC Ethylene'!$D$3)/10)</f>
        <v>10.93794834525001</v>
      </c>
      <c r="S22" s="196">
        <f>S18*'R&amp;S - Packaging and hh goods'!$C$9*('R&amp;S - Packaging and hh goods'!$C$14*'R&amp;S - Packaging and hh goods'!$D$19*('Yearly HC Ethylene'!S$3-'Yearly HC Ethylene'!$D$3)/10)</f>
        <v>11.719230369910724</v>
      </c>
      <c r="T22" s="196">
        <f>T18*'R&amp;S - Packaging and hh goods'!$C$9*('R&amp;S - Packaging and hh goods'!$C$14*'R&amp;S - Packaging and hh goods'!$D$19*('Yearly HC Ethylene'!T$3-'Yearly HC Ethylene'!$D$3)/10)</f>
        <v>12.500512394571437</v>
      </c>
      <c r="U22" s="196">
        <f>U18*'R&amp;S - Packaging and hh goods'!$C$9*('R&amp;S - Packaging and hh goods'!$C$14*'R&amp;S - Packaging and hh goods'!$D$19*('Yearly HC Ethylene'!U$3-'Yearly HC Ethylene'!$D$3)/10)</f>
        <v>13.281794419232153</v>
      </c>
      <c r="V22" s="196">
        <f>V18*'R&amp;S - Packaging and hh goods'!$C$9*('R&amp;S - Packaging and hh goods'!$C$14*'R&amp;S - Packaging and hh goods'!$D$19*('Yearly HC Ethylene'!V$3-'Yearly HC Ethylene'!$D$3)/10)</f>
        <v>14.063076443892866</v>
      </c>
      <c r="W22" s="196">
        <f>W18*'R&amp;S - Packaging and hh goods'!$C$9*('R&amp;S - Packaging and hh goods'!$C$14*'R&amp;S - Packaging and hh goods'!$D$19*('Yearly HC Ethylene'!W$3-'Yearly HC Ethylene'!$D$3)/10)</f>
        <v>14.844358468553585</v>
      </c>
      <c r="X22" s="196">
        <f>X18*'R&amp;S - Packaging and hh goods'!$C$9*('R&amp;S - Packaging and hh goods'!$C$14*'R&amp;S - Packaging and hh goods'!$D$19*('Yearly HC Ethylene'!X$3-'Yearly HC Ethylene'!$D$3)/10)</f>
        <v>15.625640493214297</v>
      </c>
      <c r="Y22" s="196">
        <f>Y18*'R&amp;S - Packaging and hh goods'!$C$9*('R&amp;S - Packaging and hh goods'!$C$14*('R&amp;S - Packaging and hh goods'!$D$20+('R&amp;S - Packaging and hh goods'!$D$21-'R&amp;S - Packaging and hh goods'!$D$20)*('Yearly HC Ethylene'!Y$3-'Yearly HC Ethylene'!$X$3)/10))</f>
        <v>18.542426718614301</v>
      </c>
      <c r="Z22" s="196">
        <f>Z18*'R&amp;S - Packaging and hh goods'!$C$9*('R&amp;S - Packaging and hh goods'!$C$14*('R&amp;S - Packaging and hh goods'!$D$20+('R&amp;S - Packaging and hh goods'!$D$21-'R&amp;S - Packaging and hh goods'!$D$20)*('Yearly HC Ethylene'!Z$3-'Yearly HC Ethylene'!$X$3)/10))</f>
        <v>19.375794211585728</v>
      </c>
      <c r="AA22" s="196">
        <f>AA18*'R&amp;S - Packaging and hh goods'!$C$9*('R&amp;S - Packaging and hh goods'!$C$14*('R&amp;S - Packaging and hh goods'!$D$20+('R&amp;S - Packaging and hh goods'!$D$21-'R&amp;S - Packaging and hh goods'!$D$20)*('Yearly HC Ethylene'!AA$3-'Yearly HC Ethylene'!$X$3)/10))</f>
        <v>20.209161704557157</v>
      </c>
      <c r="AB22" s="196">
        <f>AB18*'R&amp;S - Packaging and hh goods'!$C$9*('R&amp;S - Packaging and hh goods'!$C$14*('R&amp;S - Packaging and hh goods'!$D$20+('R&amp;S - Packaging and hh goods'!$D$21-'R&amp;S - Packaging and hh goods'!$D$20)*('Yearly HC Ethylene'!AB$3-'Yearly HC Ethylene'!$X$3)/10))</f>
        <v>21.042529197528587</v>
      </c>
      <c r="AC22" s="196">
        <f>AC18*'R&amp;S - Packaging and hh goods'!$C$9*('R&amp;S - Packaging and hh goods'!$C$14*('R&amp;S - Packaging and hh goods'!$D$20+('R&amp;S - Packaging and hh goods'!$D$21-'R&amp;S - Packaging and hh goods'!$D$20)*('Yearly HC Ethylene'!AC$3-'Yearly HC Ethylene'!$X$3)/10))</f>
        <v>21.875896690500021</v>
      </c>
      <c r="AD22" s="196">
        <f>AD18*'R&amp;S - Packaging and hh goods'!$C$9*('R&amp;S - Packaging and hh goods'!$C$14*('R&amp;S - Packaging and hh goods'!$D$20+('R&amp;S - Packaging and hh goods'!$D$21-'R&amp;S - Packaging and hh goods'!$D$20)*('Yearly HC Ethylene'!AD$3-'Yearly HC Ethylene'!$X$3)/10))</f>
        <v>22.709264183471447</v>
      </c>
      <c r="AE22" s="196">
        <f>AE18*'R&amp;S - Packaging and hh goods'!$C$9*('R&amp;S - Packaging and hh goods'!$C$14*('R&amp;S - Packaging and hh goods'!$D$20+('R&amp;S - Packaging and hh goods'!$D$21-'R&amp;S - Packaging and hh goods'!$D$20)*('Yearly HC Ethylene'!AE$3-'Yearly HC Ethylene'!$X$3)/10))</f>
        <v>23.542631676442877</v>
      </c>
      <c r="AF22" s="196">
        <f>AF18*'R&amp;S - Packaging and hh goods'!$C$9*('R&amp;S - Packaging and hh goods'!$C$14*('R&amp;S - Packaging and hh goods'!$D$20+('R&amp;S - Packaging and hh goods'!$D$21-'R&amp;S - Packaging and hh goods'!$D$20)*('Yearly HC Ethylene'!AF$3-'Yearly HC Ethylene'!$X$3)/10))</f>
        <v>24.375999169414303</v>
      </c>
      <c r="AG22" s="196">
        <f>AG18*'R&amp;S - Packaging and hh goods'!$C$9*('R&amp;S - Packaging and hh goods'!$C$14*('R&amp;S - Packaging and hh goods'!$D$20+('R&amp;S - Packaging and hh goods'!$D$21-'R&amp;S - Packaging and hh goods'!$D$20)*('Yearly HC Ethylene'!AG$3-'Yearly HC Ethylene'!$X$3)/10))</f>
        <v>25.209366662385733</v>
      </c>
      <c r="AH22" s="196">
        <f>AH18*'R&amp;S - Packaging and hh goods'!$C$9*('R&amp;S - Packaging and hh goods'!$C$14*('R&amp;S - Packaging and hh goods'!$D$20+('R&amp;S - Packaging and hh goods'!$D$21-'R&amp;S - Packaging and hh goods'!$D$20)*('Yearly HC Ethylene'!AH$3-'Yearly HC Ethylene'!$X$3)/10))</f>
        <v>26.042734155357163</v>
      </c>
      <c r="AI22" s="635"/>
      <c r="AJ22" s="196">
        <v>0</v>
      </c>
      <c r="AK22" s="196">
        <f>AK18*'R&amp;S - Packaging and hh goods'!$C$9*('R&amp;S - Packaging and hh goods'!$C$15*'R&amp;S - Packaging and hh goods'!$D$19*(AK$3-$D$3)/10)</f>
        <v>0.67971536145482203</v>
      </c>
      <c r="AL22" s="196">
        <f>AL18*'R&amp;S - Packaging and hh goods'!$C$9*('R&amp;S - Packaging and hh goods'!$C$15*'R&amp;S - Packaging and hh goods'!$D$19*(AL$3-$D$3)/10)</f>
        <v>1.3594307229096441</v>
      </c>
      <c r="AM22" s="196">
        <f>AM18*'R&amp;S - Packaging and hh goods'!$C$9*('R&amp;S - Packaging and hh goods'!$C$15*'R&amp;S - Packaging and hh goods'!$D$19*(AM$3-$D$3)/10)</f>
        <v>2.0391460843644662</v>
      </c>
      <c r="AN22" s="196">
        <f>AN18*'R&amp;S - Packaging and hh goods'!$C$9*('R&amp;S - Packaging and hh goods'!$C$15*'R&amp;S - Packaging and hh goods'!$D$19*(AN$3-$D$3)/10)</f>
        <v>2.7188614458192881</v>
      </c>
      <c r="AO22" s="196">
        <f>AO18*'R&amp;S - Packaging and hh goods'!$C$9*('R&amp;S - Packaging and hh goods'!$C$15*'R&amp;S - Packaging and hh goods'!$D$19*(AO$3-$D$3)/10)</f>
        <v>3.39857680727411</v>
      </c>
      <c r="AP22" s="196">
        <f>AP18*'R&amp;S - Packaging and hh goods'!$C$9*('R&amp;S - Packaging and hh goods'!$C$15*'R&amp;S - Packaging and hh goods'!$D$19*(AP$3-$D$3)/10)</f>
        <v>4.0782921687289324</v>
      </c>
      <c r="AQ22" s="196">
        <f>AQ18*'R&amp;S - Packaging and hh goods'!$C$9*('R&amp;S - Packaging and hh goods'!$C$15*'R&amp;S - Packaging and hh goods'!$D$19*(AQ$3-$D$3)/10)</f>
        <v>4.7580075301837539</v>
      </c>
      <c r="AR22" s="196">
        <f>AR18*'R&amp;S - Packaging and hh goods'!$C$9*('R&amp;S - Packaging and hh goods'!$C$15*'R&amp;S - Packaging and hh goods'!$D$19*(AR$3-$D$3)/10)</f>
        <v>5.4377228916385763</v>
      </c>
      <c r="AS22" s="196">
        <f>AS18*'R&amp;S - Packaging and hh goods'!$C$9*('R&amp;S - Packaging and hh goods'!$C$15*'R&amp;S - Packaging and hh goods'!$D$19*(AS$3-$D$3)/10)</f>
        <v>6.1174382530933986</v>
      </c>
      <c r="AT22" s="196">
        <f>AT18*'R&amp;S - Packaging and hh goods'!$C$9*('R&amp;S - Packaging and hh goods'!$C$15*'R&amp;S - Packaging and hh goods'!$D$19*(AT$3-$D$3)/10)</f>
        <v>6.7971536145482201</v>
      </c>
      <c r="AU22" s="196">
        <f>AU18*'R&amp;S - Packaging and hh goods'!$C$9*('R&amp;S - Packaging and hh goods'!$C$15*'R&amp;S - Packaging and hh goods'!$D$19*(AU$3-$D$3)/10)</f>
        <v>7.4768689760030425</v>
      </c>
      <c r="AV22" s="196">
        <f>AV18*'R&amp;S - Packaging and hh goods'!$C$9*('R&amp;S - Packaging and hh goods'!$C$15*'R&amp;S - Packaging and hh goods'!$D$19*(AV$3-$D$3)/10)</f>
        <v>8.1565843374578648</v>
      </c>
      <c r="AW22" s="196">
        <f>AW18*'R&amp;S - Packaging and hh goods'!$C$9*('R&amp;S - Packaging and hh goods'!$C$15*'R&amp;S - Packaging and hh goods'!$D$19*(AW$3-$D$3)/10)</f>
        <v>8.8362996989126863</v>
      </c>
      <c r="AX22" s="196">
        <f>AX18*'R&amp;S - Packaging and hh goods'!$C$9*('R&amp;S - Packaging and hh goods'!$C$15*'R&amp;S - Packaging and hh goods'!$D$19*(AX$3-$D$3)/10)</f>
        <v>9.5160150603675078</v>
      </c>
      <c r="AY22" s="196">
        <f>AY18*'R&amp;S - Packaging and hh goods'!$C$9*('R&amp;S - Packaging and hh goods'!$C$15*'R&amp;S - Packaging and hh goods'!$D$19*(AY$3-$D$3)/10)</f>
        <v>10.195730421822329</v>
      </c>
      <c r="AZ22" s="196">
        <f>AZ18*'R&amp;S - Packaging and hh goods'!$C$9*('R&amp;S - Packaging and hh goods'!$C$15*'R&amp;S - Packaging and hh goods'!$D$19*(AZ$3-$D$3)/10)</f>
        <v>10.875445783277153</v>
      </c>
      <c r="BA22" s="196">
        <f>BA18*'R&amp;S - Packaging and hh goods'!$C$9*('R&amp;S - Packaging and hh goods'!$C$15*'R&amp;S - Packaging and hh goods'!$D$19*(BA$3-$D$3)/10)</f>
        <v>11.555161144731974</v>
      </c>
      <c r="BB22" s="196">
        <f>BB18*'R&amp;S - Packaging and hh goods'!$C$9*('R&amp;S - Packaging and hh goods'!$C$15*'R&amp;S - Packaging and hh goods'!$D$19*(BB$3-$D$3)/10)</f>
        <v>12.234876506186797</v>
      </c>
      <c r="BC22" s="196">
        <f>BC18*'R&amp;S - Packaging and hh goods'!$C$9*('R&amp;S - Packaging and hh goods'!$C$15*'R&amp;S - Packaging and hh goods'!$D$19*(BC$3-$D$3)/10)</f>
        <v>12.914591867641619</v>
      </c>
      <c r="BD22" s="196">
        <f>BD18*'R&amp;S - Packaging and hh goods'!$C$9*('R&amp;S - Packaging and hh goods'!$C$15*'R&amp;S - Packaging and hh goods'!$D$19*(BD$3-$D$3)/10)</f>
        <v>13.59430722909644</v>
      </c>
      <c r="BE22" s="196">
        <f>BE18*'R&amp;S - Packaging and hh goods'!$C$9*('R&amp;S - Packaging and hh goods'!$C$15*('R&amp;S - Packaging and hh goods'!$D$20+('R&amp;S - Packaging and hh goods'!$D$21-'R&amp;S - Packaging and hh goods'!$D$20)*(BE$3-$X$3)/10))</f>
        <v>16.131911245194445</v>
      </c>
      <c r="BF22" s="196">
        <f>BF18*'R&amp;S - Packaging and hh goods'!$C$9*('R&amp;S - Packaging and hh goods'!$C$15*('R&amp;S - Packaging and hh goods'!$D$20+('R&amp;S - Packaging and hh goods'!$D$21-'R&amp;S - Packaging and hh goods'!$D$20)*(BF$3-$X$3)/10))</f>
        <v>16.856940964079584</v>
      </c>
      <c r="BG22" s="196">
        <f>BG18*'R&amp;S - Packaging and hh goods'!$C$9*('R&amp;S - Packaging and hh goods'!$C$15*('R&amp;S - Packaging and hh goods'!$D$20+('R&amp;S - Packaging and hh goods'!$D$21-'R&amp;S - Packaging and hh goods'!$D$20)*(BG$3-$X$3)/10))</f>
        <v>17.58197068296473</v>
      </c>
      <c r="BH22" s="196">
        <f>BH18*'R&amp;S - Packaging and hh goods'!$C$9*('R&amp;S - Packaging and hh goods'!$C$15*('R&amp;S - Packaging and hh goods'!$D$20+('R&amp;S - Packaging and hh goods'!$D$21-'R&amp;S - Packaging and hh goods'!$D$20)*(BH$3-$X$3)/10))</f>
        <v>18.307000401849873</v>
      </c>
      <c r="BI22" s="196">
        <f>BI18*'R&amp;S - Packaging and hh goods'!$C$9*('R&amp;S - Packaging and hh goods'!$C$15*('R&amp;S - Packaging and hh goods'!$D$20+('R&amp;S - Packaging and hh goods'!$D$21-'R&amp;S - Packaging and hh goods'!$D$20)*(BI$3-$X$3)/10))</f>
        <v>19.032030120735019</v>
      </c>
      <c r="BJ22" s="196">
        <f>BJ18*'R&amp;S - Packaging and hh goods'!$C$9*('R&amp;S - Packaging and hh goods'!$C$15*('R&amp;S - Packaging and hh goods'!$D$20+('R&amp;S - Packaging and hh goods'!$D$21-'R&amp;S - Packaging and hh goods'!$D$20)*(BJ$3-$X$3)/10))</f>
        <v>19.757059839620158</v>
      </c>
      <c r="BK22" s="196">
        <f>BK18*'R&amp;S - Packaging and hh goods'!$C$9*('R&amp;S - Packaging and hh goods'!$C$15*('R&amp;S - Packaging and hh goods'!$D$20+('R&amp;S - Packaging and hh goods'!$D$21-'R&amp;S - Packaging and hh goods'!$D$20)*(BK$3-$X$3)/10))</f>
        <v>20.482089558505304</v>
      </c>
      <c r="BL22" s="196">
        <f>BL18*'R&amp;S - Packaging and hh goods'!$C$9*('R&amp;S - Packaging and hh goods'!$C$15*('R&amp;S - Packaging and hh goods'!$D$20+('R&amp;S - Packaging and hh goods'!$D$21-'R&amp;S - Packaging and hh goods'!$D$20)*(BL$3-$X$3)/10))</f>
        <v>21.207119277390444</v>
      </c>
      <c r="BM22" s="196">
        <f>BM18*'R&amp;S - Packaging and hh goods'!$C$9*('R&amp;S - Packaging and hh goods'!$C$15*('R&amp;S - Packaging and hh goods'!$D$20+('R&amp;S - Packaging and hh goods'!$D$21-'R&amp;S - Packaging and hh goods'!$D$20)*(BM$3-$X$3)/10))</f>
        <v>21.93214899627559</v>
      </c>
      <c r="BN22" s="196">
        <f>BN18*'R&amp;S - Packaging and hh goods'!$C$9*('R&amp;S - Packaging and hh goods'!$C$15*('R&amp;S - Packaging and hh goods'!$D$20+('R&amp;S - Packaging and hh goods'!$D$21-'R&amp;S - Packaging and hh goods'!$D$20)*(BN$3-$X$3)/10))</f>
        <v>22.657178715160732</v>
      </c>
      <c r="BR22" t="s">
        <v>913</v>
      </c>
      <c r="BS22" s="41" t="e">
        <f>#REF!</f>
        <v>#REF!</v>
      </c>
      <c r="BU22" t="str">
        <v>Minor Polymers</v>
      </c>
      <c r="BV22" s="41">
        <v>22.580763290736638</v>
      </c>
      <c r="BW22" s="158">
        <v>0.21698594092708512</v>
      </c>
    </row>
    <row r="23" spans="1:75" outlineLevel="1">
      <c r="B23" s="58" t="s">
        <v>180</v>
      </c>
      <c r="C23" s="51" t="s">
        <v>166</v>
      </c>
      <c r="D23" s="196">
        <v>0</v>
      </c>
      <c r="E23" s="196">
        <f>E18*'R&amp;S - Packaging and hh goods'!$C$10*('R&amp;S - Packaging and hh goods'!$C$14*'R&amp;S - Packaging and hh goods'!$E$19*('Yearly HC Ethylene'!E$3-'Yearly HC Ethylene'!$D$3)/10)</f>
        <v>1.1725286819714296</v>
      </c>
      <c r="F23" s="196">
        <f>F18*'R&amp;S - Packaging and hh goods'!$C$10*('R&amp;S - Packaging and hh goods'!$C$14*'R&amp;S - Packaging and hh goods'!$E$19*('Yearly HC Ethylene'!F$3-'Yearly HC Ethylene'!$D$3)/10)</f>
        <v>2.3450573639428591</v>
      </c>
      <c r="G23" s="196">
        <f>G18*'R&amp;S - Packaging and hh goods'!$C$10*('R&amp;S - Packaging and hh goods'!$C$14*'R&amp;S - Packaging and hh goods'!$E$19*('Yearly HC Ethylene'!G$3-'Yearly HC Ethylene'!$D$3)/10)</f>
        <v>3.5175860459142885</v>
      </c>
      <c r="H23" s="196">
        <f>H18*'R&amp;S - Packaging and hh goods'!$C$10*('R&amp;S - Packaging and hh goods'!$C$14*'R&amp;S - Packaging and hh goods'!$E$19*('Yearly HC Ethylene'!H$3-'Yearly HC Ethylene'!$D$3)/10)</f>
        <v>4.6901147278857183</v>
      </c>
      <c r="I23" s="196">
        <f>I18*'R&amp;S - Packaging and hh goods'!$C$10*('R&amp;S - Packaging and hh goods'!$C$14*'R&amp;S - Packaging and hh goods'!$E$19*('Yearly HC Ethylene'!I$3-'Yearly HC Ethylene'!$D$3)/10)</f>
        <v>5.8626434098571476</v>
      </c>
      <c r="J23" s="196">
        <f>J18*'R&amp;S - Packaging and hh goods'!$C$10*('R&amp;S - Packaging and hh goods'!$C$14*'R&amp;S - Packaging and hh goods'!$E$19*('Yearly HC Ethylene'!J$3-'Yearly HC Ethylene'!$D$3)/10)</f>
        <v>7.0351720918285769</v>
      </c>
      <c r="K23" s="196">
        <f>K18*'R&amp;S - Packaging and hh goods'!$C$10*('R&amp;S - Packaging and hh goods'!$C$14*'R&amp;S - Packaging and hh goods'!$E$19*('Yearly HC Ethylene'!K$3-'Yearly HC Ethylene'!$D$3)/10)</f>
        <v>8.2077007738000081</v>
      </c>
      <c r="L23" s="196">
        <f>L18*'R&amp;S - Packaging and hh goods'!$C$10*('R&amp;S - Packaging and hh goods'!$C$14*'R&amp;S - Packaging and hh goods'!$E$19*('Yearly HC Ethylene'!L$3-'Yearly HC Ethylene'!$D$3)/10)</f>
        <v>9.3802294557714365</v>
      </c>
      <c r="M23" s="196">
        <f>M18*'R&amp;S - Packaging and hh goods'!$C$10*('R&amp;S - Packaging and hh goods'!$C$14*'R&amp;S - Packaging and hh goods'!$E$19*('Yearly HC Ethylene'!M$3-'Yearly HC Ethylene'!$D$3)/10)</f>
        <v>10.552758137742865</v>
      </c>
      <c r="N23" s="196">
        <f>N18*'R&amp;S - Packaging and hh goods'!$C$10*('R&amp;S - Packaging and hh goods'!$C$14*'R&amp;S - Packaging and hh goods'!$E$19*('Yearly HC Ethylene'!N$3-'Yearly HC Ethylene'!$D$3)/10)</f>
        <v>11.725286819714295</v>
      </c>
      <c r="O23" s="196">
        <f>O18*'R&amp;S - Packaging and hh goods'!$C$10*('R&amp;S - Packaging and hh goods'!$C$14*'R&amp;S - Packaging and hh goods'!$E$19*('Yearly HC Ethylene'!O$3-'Yearly HC Ethylene'!$D$3)/10)</f>
        <v>12.897815501685724</v>
      </c>
      <c r="P23" s="196">
        <f>P18*'R&amp;S - Packaging and hh goods'!$C$10*('R&amp;S - Packaging and hh goods'!$C$14*('R&amp;S - Packaging and hh goods'!$E$19+('R&amp;S - Packaging and hh goods'!$E$20-'R&amp;S - Packaging and hh goods'!$E$19)*('Yearly HC Ethylene'!P$3-'Yearly HC Ethylene'!$O$3)/10))</f>
        <v>13.007740065620546</v>
      </c>
      <c r="Q23" s="196">
        <f>Q18*'R&amp;S - Packaging and hh goods'!$C$10*('R&amp;S - Packaging and hh goods'!$C$14*('R&amp;S - Packaging and hh goods'!$E$19+('R&amp;S - Packaging and hh goods'!$E$20-'R&amp;S - Packaging and hh goods'!$E$19)*('Yearly HC Ethylene'!Q$3-'Yearly HC Ethylene'!$O$3)/10))</f>
        <v>14.290193311526798</v>
      </c>
      <c r="R23" s="196">
        <f>R18*'R&amp;S - Packaging and hh goods'!$C$10*('R&amp;S - Packaging and hh goods'!$C$14*('R&amp;S - Packaging and hh goods'!$E$19+('R&amp;S - Packaging and hh goods'!$E$20-'R&amp;S - Packaging and hh goods'!$E$19)*('Yearly HC Ethylene'!R$3-'Yearly HC Ethylene'!$O$3)/10))</f>
        <v>15.57264655743305</v>
      </c>
      <c r="S23" s="196">
        <f>S18*'R&amp;S - Packaging and hh goods'!$C$10*('R&amp;S - Packaging and hh goods'!$C$14*('R&amp;S - Packaging and hh goods'!$E$19+('R&amp;S - Packaging and hh goods'!$E$20-'R&amp;S - Packaging and hh goods'!$E$19)*('Yearly HC Ethylene'!S$3-'Yearly HC Ethylene'!$O$3)/10))</f>
        <v>16.8550998033393</v>
      </c>
      <c r="T23" s="196">
        <f>T18*'R&amp;S - Packaging and hh goods'!$C$10*('R&amp;S - Packaging and hh goods'!$C$14*('R&amp;S - Packaging and hh goods'!$E$19+('R&amp;S - Packaging and hh goods'!$E$20-'R&amp;S - Packaging and hh goods'!$E$19)*('Yearly HC Ethylene'!T$3-'Yearly HC Ethylene'!$O$3)/10))</f>
        <v>18.13755304924555</v>
      </c>
      <c r="U23" s="196">
        <f>U18*'R&amp;S - Packaging and hh goods'!$C$10*('R&amp;S - Packaging and hh goods'!$C$14*('R&amp;S - Packaging and hh goods'!$E$19+('R&amp;S - Packaging and hh goods'!$E$20-'R&amp;S - Packaging and hh goods'!$E$19)*('Yearly HC Ethylene'!U$3-'Yearly HC Ethylene'!$O$3)/10))</f>
        <v>19.420006295151801</v>
      </c>
      <c r="V23" s="196">
        <f>V18*'R&amp;S - Packaging and hh goods'!$C$10*('R&amp;S - Packaging and hh goods'!$C$14*('R&amp;S - Packaging and hh goods'!$E$19+('R&amp;S - Packaging and hh goods'!$E$20-'R&amp;S - Packaging and hh goods'!$E$19)*('Yearly HC Ethylene'!V$3-'Yearly HC Ethylene'!$O$3)/10))</f>
        <v>20.702459541058055</v>
      </c>
      <c r="W23" s="196">
        <f>W18*'R&amp;S - Packaging and hh goods'!$C$10*('R&amp;S - Packaging and hh goods'!$C$14*('R&amp;S - Packaging and hh goods'!$E$19+('R&amp;S - Packaging and hh goods'!$E$20-'R&amp;S - Packaging and hh goods'!$E$19)*('Yearly HC Ethylene'!W$3-'Yearly HC Ethylene'!$O$3)/10))</f>
        <v>21.984912786964305</v>
      </c>
      <c r="X23" s="196">
        <f>X18*'R&amp;S - Packaging and hh goods'!$C$10*('R&amp;S - Packaging and hh goods'!$C$14*('R&amp;S - Packaging and hh goods'!$E$19+('R&amp;S - Packaging and hh goods'!$E$20-'R&amp;S - Packaging and hh goods'!$E$19)*('Yearly HC Ethylene'!X$3-'Yearly HC Ethylene'!$O$3)/10))</f>
        <v>23.267366032870555</v>
      </c>
      <c r="Y23" s="196">
        <f>Y18*'R&amp;S - Packaging and hh goods'!$C$10*('R&amp;S - Packaging and hh goods'!$C$14*('R&amp;S - Packaging and hh goods'!$E$20+('R&amp;S - Packaging and hh goods'!$E$21-'R&amp;S - Packaging and hh goods'!$E$20)*('Yearly HC Ethylene'!Y$3-'Yearly HC Ethylene'!$X$3)/10))</f>
        <v>25.758989482059842</v>
      </c>
      <c r="Z23" s="196">
        <f>Z18*'R&amp;S - Packaging and hh goods'!$C$10*('R&amp;S - Packaging and hh goods'!$C$14*('R&amp;S - Packaging and hh goods'!$E$20+('R&amp;S - Packaging and hh goods'!$E$21-'R&amp;S - Packaging and hh goods'!$E$20)*('Yearly HC Ethylene'!Z$3-'Yearly HC Ethylene'!$X$3)/10))</f>
        <v>26.968159685342876</v>
      </c>
      <c r="AA23" s="196">
        <f>AA18*'R&amp;S - Packaging and hh goods'!$C$10*('R&amp;S - Packaging and hh goods'!$C$14*('R&amp;S - Packaging and hh goods'!$E$20+('R&amp;S - Packaging and hh goods'!$E$21-'R&amp;S - Packaging and hh goods'!$E$20)*('Yearly HC Ethylene'!AA$3-'Yearly HC Ethylene'!$X$3)/10))</f>
        <v>28.177329888625916</v>
      </c>
      <c r="AB23" s="196">
        <f>AB18*'R&amp;S - Packaging and hh goods'!$C$10*('R&amp;S - Packaging and hh goods'!$C$14*('R&amp;S - Packaging and hh goods'!$E$20+('R&amp;S - Packaging and hh goods'!$E$21-'R&amp;S - Packaging and hh goods'!$E$20)*('Yearly HC Ethylene'!AB$3-'Yearly HC Ethylene'!$X$3)/10))</f>
        <v>29.386500091908953</v>
      </c>
      <c r="AC23" s="196">
        <f>AC18*'R&amp;S - Packaging and hh goods'!$C$10*('R&amp;S - Packaging and hh goods'!$C$14*('R&amp;S - Packaging and hh goods'!$E$20+('R&amp;S - Packaging and hh goods'!$E$21-'R&amp;S - Packaging and hh goods'!$E$20)*('Yearly HC Ethylene'!AC$3-'Yearly HC Ethylene'!$X$3)/10))</f>
        <v>30.595670295191987</v>
      </c>
      <c r="AD23" s="196">
        <f>AD18*'R&amp;S - Packaging and hh goods'!$C$10*('R&amp;S - Packaging and hh goods'!$C$14*('R&amp;S - Packaging and hh goods'!$E$20+('R&amp;S - Packaging and hh goods'!$E$21-'R&amp;S - Packaging and hh goods'!$E$20)*('Yearly HC Ethylene'!AD$3-'Yearly HC Ethylene'!$X$3)/10))</f>
        <v>31.804840498475023</v>
      </c>
      <c r="AE23" s="196">
        <f>AE18*'R&amp;S - Packaging and hh goods'!$C$10*('R&amp;S - Packaging and hh goods'!$C$14*('R&amp;S - Packaging and hh goods'!$E$20+('R&amp;S - Packaging and hh goods'!$E$21-'R&amp;S - Packaging and hh goods'!$E$20)*('Yearly HC Ethylene'!AE$3-'Yearly HC Ethylene'!$X$3)/10))</f>
        <v>33.01401070175806</v>
      </c>
      <c r="AF23" s="196">
        <f>AF18*'R&amp;S - Packaging and hh goods'!$C$10*('R&amp;S - Packaging and hh goods'!$C$14*('R&amp;S - Packaging and hh goods'!$E$20+('R&amp;S - Packaging and hh goods'!$E$21-'R&amp;S - Packaging and hh goods'!$E$20)*('Yearly HC Ethylene'!AF$3-'Yearly HC Ethylene'!$X$3)/10))</f>
        <v>34.223180905041097</v>
      </c>
      <c r="AG23" s="196">
        <f>AG18*'R&amp;S - Packaging and hh goods'!$C$10*('R&amp;S - Packaging and hh goods'!$C$14*('R&amp;S - Packaging and hh goods'!$E$20+('R&amp;S - Packaging and hh goods'!$E$21-'R&amp;S - Packaging and hh goods'!$E$20)*('Yearly HC Ethylene'!AG$3-'Yearly HC Ethylene'!$X$3)/10))</f>
        <v>35.432351108324134</v>
      </c>
      <c r="AH23" s="196">
        <f>AH18*'R&amp;S - Packaging and hh goods'!$C$10*('R&amp;S - Packaging and hh goods'!$C$14*('R&amp;S - Packaging and hh goods'!$E$20+('R&amp;S - Packaging and hh goods'!$E$21-'R&amp;S - Packaging and hh goods'!$E$20)*('Yearly HC Ethylene'!AH$3-'Yearly HC Ethylene'!$X$3)/10))</f>
        <v>36.641521311607171</v>
      </c>
      <c r="AI23" s="635"/>
      <c r="AJ23" s="196">
        <v>0</v>
      </c>
      <c r="AK23" s="196">
        <f>AK18*'R&amp;S - Packaging and hh goods'!$C$10*('R&amp;S - Packaging and hh goods'!$C$15*'R&amp;S - Packaging and hh goods'!$E$19*(AK$3-$D$3)/10)</f>
        <v>1.0200999533151436</v>
      </c>
      <c r="AL23" s="196">
        <f>AL18*'R&amp;S - Packaging and hh goods'!$C$10*('R&amp;S - Packaging and hh goods'!$C$15*'R&amp;S - Packaging and hh goods'!$E$19*(AL$3-$D$3)/10)</f>
        <v>2.0401999066302872</v>
      </c>
      <c r="AM23" s="196">
        <f>AM18*'R&amp;S - Packaging and hh goods'!$C$10*('R&amp;S - Packaging and hh goods'!$C$15*'R&amp;S - Packaging and hh goods'!$E$19*(AM$3-$D$3)/10)</f>
        <v>3.060299859945431</v>
      </c>
      <c r="AN23" s="196">
        <f>AN18*'R&amp;S - Packaging and hh goods'!$C$10*('R&amp;S - Packaging and hh goods'!$C$15*'R&amp;S - Packaging and hh goods'!$E$19*(AN$3-$D$3)/10)</f>
        <v>4.0803998132605743</v>
      </c>
      <c r="AO23" s="196">
        <f>AO18*'R&amp;S - Packaging and hh goods'!$C$10*('R&amp;S - Packaging and hh goods'!$C$15*'R&amp;S - Packaging and hh goods'!$E$19*(AO$3-$D$3)/10)</f>
        <v>5.1004997665757177</v>
      </c>
      <c r="AP23" s="196">
        <f>AP18*'R&amp;S - Packaging and hh goods'!$C$10*('R&amp;S - Packaging and hh goods'!$C$15*'R&amp;S - Packaging and hh goods'!$E$19*(AP$3-$D$3)/10)</f>
        <v>6.1205997198908619</v>
      </c>
      <c r="AQ23" s="196">
        <f>AQ18*'R&amp;S - Packaging and hh goods'!$C$10*('R&amp;S - Packaging and hh goods'!$C$15*'R&amp;S - Packaging and hh goods'!$E$19*(AQ$3-$D$3)/10)</f>
        <v>7.1406996732060053</v>
      </c>
      <c r="AR23" s="196">
        <f>AR18*'R&amp;S - Packaging and hh goods'!$C$10*('R&amp;S - Packaging and hh goods'!$C$15*'R&amp;S - Packaging and hh goods'!$E$19*(AR$3-$D$3)/10)</f>
        <v>8.1607996265211487</v>
      </c>
      <c r="AS23" s="196">
        <f>AS18*'R&amp;S - Packaging and hh goods'!$C$10*('R&amp;S - Packaging and hh goods'!$C$15*'R&amp;S - Packaging and hh goods'!$E$19*(AS$3-$D$3)/10)</f>
        <v>9.1808995798362929</v>
      </c>
      <c r="AT23" s="196">
        <f>AT18*'R&amp;S - Packaging and hh goods'!$C$10*('R&amp;S - Packaging and hh goods'!$C$15*'R&amp;S - Packaging and hh goods'!$E$19*(AT$3-$D$3)/10)</f>
        <v>10.200999533151435</v>
      </c>
      <c r="AU23" s="196">
        <f>AU18*'R&amp;S - Packaging and hh goods'!$C$10*('R&amp;S - Packaging and hh goods'!$C$15*'R&amp;S - Packaging and hh goods'!$E$19*(AU$3-$D$3)/10)</f>
        <v>11.221099486466578</v>
      </c>
      <c r="AV23" s="196">
        <f>AV18*'R&amp;S - Packaging and hh goods'!$C$10*('R&amp;S - Packaging and hh goods'!$C$15*('R&amp;S - Packaging and hh goods'!$E$19+('R&amp;S - Packaging and hh goods'!$E$20-'R&amp;S - Packaging and hh goods'!$E$19)*(AV$3-$O$3)/10))</f>
        <v>11.316733857089874</v>
      </c>
      <c r="AW23" s="196">
        <f>AW18*'R&amp;S - Packaging and hh goods'!$C$10*('R&amp;S - Packaging and hh goods'!$C$15*('R&amp;S - Packaging and hh goods'!$E$19+('R&amp;S - Packaging and hh goods'!$E$20-'R&amp;S - Packaging and hh goods'!$E$19)*(AW$3-$O$3)/10))</f>
        <v>12.432468181028312</v>
      </c>
      <c r="AX23" s="196">
        <f>AX18*'R&amp;S - Packaging and hh goods'!$C$10*('R&amp;S - Packaging and hh goods'!$C$15*('R&amp;S - Packaging and hh goods'!$E$19+('R&amp;S - Packaging and hh goods'!$E$20-'R&amp;S - Packaging and hh goods'!$E$19)*(AX$3-$O$3)/10))</f>
        <v>13.548202504966753</v>
      </c>
      <c r="AY23" s="196">
        <f>AY18*'R&amp;S - Packaging and hh goods'!$C$10*('R&amp;S - Packaging and hh goods'!$C$15*('R&amp;S - Packaging and hh goods'!$E$19+('R&amp;S - Packaging and hh goods'!$E$20-'R&amp;S - Packaging and hh goods'!$E$19)*(AY$3-$O$3)/10))</f>
        <v>14.663936828905189</v>
      </c>
      <c r="AZ23" s="196">
        <f>AZ18*'R&amp;S - Packaging and hh goods'!$C$10*('R&amp;S - Packaging and hh goods'!$C$15*('R&amp;S - Packaging and hh goods'!$E$19+('R&amp;S - Packaging and hh goods'!$E$20-'R&amp;S - Packaging and hh goods'!$E$19)*(AZ$3-$O$3)/10))</f>
        <v>15.779671152843628</v>
      </c>
      <c r="BA23" s="196">
        <f>BA18*'R&amp;S - Packaging and hh goods'!$C$10*('R&amp;S - Packaging and hh goods'!$C$15*('R&amp;S - Packaging and hh goods'!$E$19+('R&amp;S - Packaging and hh goods'!$E$20-'R&amp;S - Packaging and hh goods'!$E$19)*(BA$3-$O$3)/10))</f>
        <v>16.895405476782067</v>
      </c>
      <c r="BB23" s="196">
        <f>BB18*'R&amp;S - Packaging and hh goods'!$C$10*('R&amp;S - Packaging and hh goods'!$C$15*('R&amp;S - Packaging and hh goods'!$E$19+('R&amp;S - Packaging and hh goods'!$E$20-'R&amp;S - Packaging and hh goods'!$E$19)*(BB$3-$O$3)/10))</f>
        <v>18.011139800720507</v>
      </c>
      <c r="BC23" s="196">
        <f>BC18*'R&amp;S - Packaging and hh goods'!$C$10*('R&amp;S - Packaging and hh goods'!$C$15*('R&amp;S - Packaging and hh goods'!$E$19+('R&amp;S - Packaging and hh goods'!$E$20-'R&amp;S - Packaging and hh goods'!$E$19)*(BC$3-$O$3)/10))</f>
        <v>19.126874124658944</v>
      </c>
      <c r="BD23" s="196">
        <f>BD18*'R&amp;S - Packaging and hh goods'!$C$10*('R&amp;S - Packaging and hh goods'!$C$15*('R&amp;S - Packaging and hh goods'!$E$19+('R&amp;S - Packaging and hh goods'!$E$20-'R&amp;S - Packaging and hh goods'!$E$19)*(BD$3-$O$3)/10))</f>
        <v>20.24260844859738</v>
      </c>
      <c r="BE23" s="196">
        <f>BE18*'R&amp;S - Packaging and hh goods'!$C$10*('R&amp;S - Packaging and hh goods'!$C$15*('R&amp;S - Packaging and hh goods'!$E$20+('R&amp;S - Packaging and hh goods'!$E$21-'R&amp;S - Packaging and hh goods'!$E$20)*(BE$3-$X$3)/10))</f>
        <v>22.410320849392065</v>
      </c>
      <c r="BF23" s="196">
        <f>BF18*'R&amp;S - Packaging and hh goods'!$C$10*('R&amp;S - Packaging and hh goods'!$C$15*('R&amp;S - Packaging and hh goods'!$E$20+('R&amp;S - Packaging and hh goods'!$E$21-'R&amp;S - Packaging and hh goods'!$E$20)*(BF$3-$X$3)/10))</f>
        <v>23.462298926248305</v>
      </c>
      <c r="BG23" s="196">
        <f>BG18*'R&amp;S - Packaging and hh goods'!$C$10*('R&amp;S - Packaging and hh goods'!$C$15*('R&amp;S - Packaging and hh goods'!$E$20+('R&amp;S - Packaging and hh goods'!$E$21-'R&amp;S - Packaging and hh goods'!$E$20)*(BG$3-$X$3)/10))</f>
        <v>24.514277003104546</v>
      </c>
      <c r="BH23" s="196">
        <f>BH18*'R&amp;S - Packaging and hh goods'!$C$10*('R&amp;S - Packaging and hh goods'!$C$15*('R&amp;S - Packaging and hh goods'!$E$20+('R&amp;S - Packaging and hh goods'!$E$21-'R&amp;S - Packaging and hh goods'!$E$20)*(BH$3-$X$3)/10))</f>
        <v>25.56625507996079</v>
      </c>
      <c r="BI23" s="196">
        <f>BI18*'R&amp;S - Packaging and hh goods'!$C$10*('R&amp;S - Packaging and hh goods'!$C$15*('R&amp;S - Packaging and hh goods'!$E$20+('R&amp;S - Packaging and hh goods'!$E$21-'R&amp;S - Packaging and hh goods'!$E$20)*(BI$3-$X$3)/10))</f>
        <v>26.618233156817027</v>
      </c>
      <c r="BJ23" s="196">
        <f>BJ18*'R&amp;S - Packaging and hh goods'!$C$10*('R&amp;S - Packaging and hh goods'!$C$15*('R&amp;S - Packaging and hh goods'!$E$20+('R&amp;S - Packaging and hh goods'!$E$21-'R&amp;S - Packaging and hh goods'!$E$20)*(BJ$3-$X$3)/10))</f>
        <v>27.670211233673268</v>
      </c>
      <c r="BK23" s="196">
        <f>BK18*'R&amp;S - Packaging and hh goods'!$C$10*('R&amp;S - Packaging and hh goods'!$C$15*('R&amp;S - Packaging and hh goods'!$E$20+('R&amp;S - Packaging and hh goods'!$E$21-'R&amp;S - Packaging and hh goods'!$E$20)*(BK$3-$X$3)/10))</f>
        <v>28.722189310529515</v>
      </c>
      <c r="BL23" s="196">
        <f>BL18*'R&amp;S - Packaging and hh goods'!$C$10*('R&amp;S - Packaging and hh goods'!$C$15*('R&amp;S - Packaging and hh goods'!$E$20+('R&amp;S - Packaging and hh goods'!$E$21-'R&amp;S - Packaging and hh goods'!$E$20)*(BL$3-$X$3)/10))</f>
        <v>29.774167387385756</v>
      </c>
      <c r="BM23" s="196">
        <f>BM18*'R&amp;S - Packaging and hh goods'!$C$10*('R&amp;S - Packaging and hh goods'!$C$15*('R&amp;S - Packaging and hh goods'!$E$20+('R&amp;S - Packaging and hh goods'!$E$21-'R&amp;S - Packaging and hh goods'!$E$20)*(BM$3-$X$3)/10))</f>
        <v>30.826145464242</v>
      </c>
      <c r="BN23" s="196">
        <f>BN18*'R&amp;S - Packaging and hh goods'!$C$10*('R&amp;S - Packaging and hh goods'!$C$15*('R&amp;S - Packaging and hh goods'!$E$20+('R&amp;S - Packaging and hh goods'!$E$21-'R&amp;S - Packaging and hh goods'!$E$20)*(BN$3-$X$3)/10))</f>
        <v>31.87812354109824</v>
      </c>
      <c r="BR23" t="s">
        <v>24</v>
      </c>
      <c r="BS23" s="41" t="e">
        <f>#REF!</f>
        <v>#REF!</v>
      </c>
      <c r="BU23" t="str">
        <v>Other</v>
      </c>
      <c r="BV23" s="41">
        <v>24.045360628442481</v>
      </c>
      <c r="BW23" s="158">
        <v>0.23105973583426512</v>
      </c>
    </row>
    <row r="24" spans="1:75" outlineLevel="1">
      <c r="B24" s="1" t="s">
        <v>167</v>
      </c>
      <c r="C24" s="51" t="s">
        <v>166</v>
      </c>
      <c r="D24" s="101">
        <f>SUM(D22:D23)</f>
        <v>0</v>
      </c>
      <c r="E24" s="101">
        <f t="shared" ref="E24:AH24" si="21">SUM(E22:E23)</f>
        <v>1.9538107066321444</v>
      </c>
      <c r="F24" s="101">
        <f t="shared" si="21"/>
        <v>3.9076214132642888</v>
      </c>
      <c r="G24" s="101">
        <f t="shared" si="21"/>
        <v>5.861432119896433</v>
      </c>
      <c r="H24" s="101">
        <f t="shared" si="21"/>
        <v>7.8152428265285776</v>
      </c>
      <c r="I24" s="101">
        <f t="shared" si="21"/>
        <v>9.7690535331607222</v>
      </c>
      <c r="J24" s="101">
        <f t="shared" si="21"/>
        <v>11.722864239792866</v>
      </c>
      <c r="K24" s="101">
        <f t="shared" si="21"/>
        <v>13.676674946425013</v>
      </c>
      <c r="L24" s="101">
        <f t="shared" si="21"/>
        <v>15.630485653057155</v>
      </c>
      <c r="M24" s="101">
        <f t="shared" si="21"/>
        <v>17.584296359689297</v>
      </c>
      <c r="N24" s="101">
        <f t="shared" si="21"/>
        <v>19.538107066321444</v>
      </c>
      <c r="O24" s="101">
        <f t="shared" si="21"/>
        <v>21.491917772953585</v>
      </c>
      <c r="P24" s="101">
        <f t="shared" si="21"/>
        <v>22.383124361549122</v>
      </c>
      <c r="Q24" s="101">
        <f t="shared" si="21"/>
        <v>24.446859632116091</v>
      </c>
      <c r="R24" s="101">
        <f t="shared" si="21"/>
        <v>26.51059490268306</v>
      </c>
      <c r="S24" s="101">
        <f t="shared" si="21"/>
        <v>28.574330173250026</v>
      </c>
      <c r="T24" s="101">
        <f t="shared" si="21"/>
        <v>30.638065443816988</v>
      </c>
      <c r="U24" s="101">
        <f t="shared" si="21"/>
        <v>32.70180071438395</v>
      </c>
      <c r="V24" s="101">
        <f t="shared" si="21"/>
        <v>34.765535984950922</v>
      </c>
      <c r="W24" s="101">
        <f t="shared" si="21"/>
        <v>36.829271255517888</v>
      </c>
      <c r="X24" s="101">
        <f t="shared" si="21"/>
        <v>38.893006526084854</v>
      </c>
      <c r="Y24" s="101">
        <f t="shared" si="21"/>
        <v>44.30141620067414</v>
      </c>
      <c r="Z24" s="101">
        <f t="shared" si="21"/>
        <v>46.343953896928603</v>
      </c>
      <c r="AA24" s="101">
        <f t="shared" si="21"/>
        <v>48.386491593183074</v>
      </c>
      <c r="AB24" s="101">
        <f t="shared" si="21"/>
        <v>50.429029289437537</v>
      </c>
      <c r="AC24" s="101">
        <f t="shared" si="21"/>
        <v>52.471566985692007</v>
      </c>
      <c r="AD24" s="101">
        <f t="shared" si="21"/>
        <v>54.514104681946471</v>
      </c>
      <c r="AE24" s="101">
        <f t="shared" si="21"/>
        <v>56.556642378200934</v>
      </c>
      <c r="AF24" s="101">
        <f t="shared" si="21"/>
        <v>58.599180074455404</v>
      </c>
      <c r="AG24" s="101">
        <f t="shared" si="21"/>
        <v>60.641717770709867</v>
      </c>
      <c r="AH24" s="101">
        <f t="shared" si="21"/>
        <v>62.684255466964331</v>
      </c>
      <c r="AI24" s="635"/>
      <c r="AJ24" s="101">
        <f>SUM(AJ22:AJ23)</f>
        <v>0</v>
      </c>
      <c r="AK24" s="101">
        <f t="shared" ref="AK24:BN24" si="22">SUM(AK22:AK23)</f>
        <v>1.6998153147699657</v>
      </c>
      <c r="AL24" s="101">
        <f t="shared" si="22"/>
        <v>3.3996306295399314</v>
      </c>
      <c r="AM24" s="101">
        <f t="shared" si="22"/>
        <v>5.0994459443098972</v>
      </c>
      <c r="AN24" s="101">
        <f t="shared" si="22"/>
        <v>6.7992612590798629</v>
      </c>
      <c r="AO24" s="101">
        <f t="shared" si="22"/>
        <v>8.4990765738498268</v>
      </c>
      <c r="AP24" s="101">
        <f t="shared" si="22"/>
        <v>10.198891888619794</v>
      </c>
      <c r="AQ24" s="101">
        <f t="shared" si="22"/>
        <v>11.898707203389758</v>
      </c>
      <c r="AR24" s="101">
        <f t="shared" si="22"/>
        <v>13.598522518159726</v>
      </c>
      <c r="AS24" s="101">
        <f t="shared" si="22"/>
        <v>15.298337832929692</v>
      </c>
      <c r="AT24" s="101">
        <f t="shared" si="22"/>
        <v>16.998153147699654</v>
      </c>
      <c r="AU24" s="101">
        <f t="shared" si="22"/>
        <v>18.697968462469621</v>
      </c>
      <c r="AV24" s="101">
        <f t="shared" si="22"/>
        <v>19.473318194547737</v>
      </c>
      <c r="AW24" s="101">
        <f t="shared" si="22"/>
        <v>21.268767879940999</v>
      </c>
      <c r="AX24" s="101">
        <f t="shared" si="22"/>
        <v>23.06421756533426</v>
      </c>
      <c r="AY24" s="101">
        <f t="shared" si="22"/>
        <v>24.859667250727519</v>
      </c>
      <c r="AZ24" s="101">
        <f t="shared" si="22"/>
        <v>26.65511693612078</v>
      </c>
      <c r="BA24" s="101">
        <f t="shared" si="22"/>
        <v>28.450566621514042</v>
      </c>
      <c r="BB24" s="101">
        <f t="shared" si="22"/>
        <v>30.246016306907304</v>
      </c>
      <c r="BC24" s="101">
        <f t="shared" si="22"/>
        <v>32.041465992300559</v>
      </c>
      <c r="BD24" s="101">
        <f t="shared" si="22"/>
        <v>33.836915677693824</v>
      </c>
      <c r="BE24" s="101">
        <f t="shared" si="22"/>
        <v>38.54223209458651</v>
      </c>
      <c r="BF24" s="101">
        <f t="shared" si="22"/>
        <v>40.319239890327893</v>
      </c>
      <c r="BG24" s="101">
        <f t="shared" si="22"/>
        <v>42.096247686069276</v>
      </c>
      <c r="BH24" s="101">
        <f t="shared" si="22"/>
        <v>43.873255481810659</v>
      </c>
      <c r="BI24" s="101">
        <f t="shared" si="22"/>
        <v>45.650263277552042</v>
      </c>
      <c r="BJ24" s="101">
        <f t="shared" si="22"/>
        <v>47.427271073293426</v>
      </c>
      <c r="BK24" s="101">
        <f t="shared" si="22"/>
        <v>49.204278869034823</v>
      </c>
      <c r="BL24" s="101">
        <f t="shared" si="22"/>
        <v>50.981286664776199</v>
      </c>
      <c r="BM24" s="101">
        <f t="shared" si="22"/>
        <v>52.75829446051759</v>
      </c>
      <c r="BN24" s="101">
        <f t="shared" si="22"/>
        <v>54.535302256258973</v>
      </c>
      <c r="BS24" s="416" t="e">
        <f>SUM(BS20:BS23)</f>
        <v>#REF!</v>
      </c>
      <c r="BU24" t="str">
        <v>Total</v>
      </c>
      <c r="BV24" s="41">
        <v>104.06555924434093</v>
      </c>
      <c r="BW24" s="158">
        <v>0</v>
      </c>
    </row>
    <row r="25" spans="1:75" s="63" customFormat="1" outlineLevel="1">
      <c r="A25" s="59"/>
      <c r="B25" s="59" t="s">
        <v>195</v>
      </c>
      <c r="C25" s="60" t="s">
        <v>166</v>
      </c>
      <c r="D25" s="636">
        <f>D18-D21-D24</f>
        <v>302.82249017857168</v>
      </c>
      <c r="E25" s="636">
        <f t="shared" ref="E25:AG25" si="23">E18-E21-E24</f>
        <v>298.79495105919665</v>
      </c>
      <c r="F25" s="636">
        <f t="shared" si="23"/>
        <v>294.76741193982167</v>
      </c>
      <c r="G25" s="636">
        <f t="shared" si="23"/>
        <v>290.73987282044664</v>
      </c>
      <c r="H25" s="636">
        <f t="shared" si="23"/>
        <v>286.71233370107171</v>
      </c>
      <c r="I25" s="636">
        <f t="shared" si="23"/>
        <v>282.68479458169668</v>
      </c>
      <c r="J25" s="636">
        <f t="shared" si="23"/>
        <v>278.6572554623217</v>
      </c>
      <c r="K25" s="636">
        <f t="shared" si="23"/>
        <v>274.62971634294667</v>
      </c>
      <c r="L25" s="636">
        <f t="shared" si="23"/>
        <v>270.60217722357163</v>
      </c>
      <c r="M25" s="636">
        <f t="shared" si="23"/>
        <v>266.57463810419665</v>
      </c>
      <c r="N25" s="636">
        <f t="shared" si="23"/>
        <v>262.54709898482162</v>
      </c>
      <c r="O25" s="637">
        <f t="shared" si="23"/>
        <v>255.38958660696096</v>
      </c>
      <c r="P25" s="636">
        <f t="shared" si="23"/>
        <v>249.29467834713682</v>
      </c>
      <c r="Q25" s="636">
        <f t="shared" si="23"/>
        <v>242.0272414053413</v>
      </c>
      <c r="R25" s="636">
        <f t="shared" si="23"/>
        <v>234.75980446354572</v>
      </c>
      <c r="S25" s="636">
        <f t="shared" si="23"/>
        <v>227.49236752175023</v>
      </c>
      <c r="T25" s="636">
        <f t="shared" si="23"/>
        <v>220.22493057995464</v>
      </c>
      <c r="U25" s="636">
        <f t="shared" si="23"/>
        <v>212.95749363815912</v>
      </c>
      <c r="V25" s="636">
        <f t="shared" si="23"/>
        <v>205.69005669636357</v>
      </c>
      <c r="W25" s="636">
        <f t="shared" si="23"/>
        <v>198.42261975456805</v>
      </c>
      <c r="X25" s="636">
        <f>X18-X21-X24</f>
        <v>191.15518281277249</v>
      </c>
      <c r="Y25" s="637">
        <f t="shared" si="23"/>
        <v>180.36622313269035</v>
      </c>
      <c r="Z25" s="636">
        <f t="shared" si="23"/>
        <v>172.94313543094302</v>
      </c>
      <c r="AA25" s="636">
        <f t="shared" si="23"/>
        <v>165.52004772919568</v>
      </c>
      <c r="AB25" s="636">
        <f t="shared" si="23"/>
        <v>158.09696002744835</v>
      </c>
      <c r="AC25" s="636">
        <f t="shared" si="23"/>
        <v>150.67387232570104</v>
      </c>
      <c r="AD25" s="636">
        <f t="shared" si="23"/>
        <v>143.25078462395371</v>
      </c>
      <c r="AE25" s="636">
        <f t="shared" si="23"/>
        <v>135.82769692220637</v>
      </c>
      <c r="AF25" s="636">
        <f t="shared" si="23"/>
        <v>128.40460922045906</v>
      </c>
      <c r="AG25" s="636">
        <f t="shared" si="23"/>
        <v>120.9815215187117</v>
      </c>
      <c r="AH25" s="636">
        <f>AH18-AH21-AH24</f>
        <v>113.55843381696438</v>
      </c>
      <c r="AI25" s="638"/>
      <c r="AJ25" s="636">
        <f>AJ18-AJ21-AJ24</f>
        <v>302.82249017857168</v>
      </c>
      <c r="AK25" s="636">
        <f t="shared" ref="AK25:BC25" si="24">AK18-AK21-AK24</f>
        <v>299.588115838372</v>
      </c>
      <c r="AL25" s="636">
        <f t="shared" si="24"/>
        <v>296.35374149817227</v>
      </c>
      <c r="AM25" s="636">
        <f t="shared" si="24"/>
        <v>293.11936715797265</v>
      </c>
      <c r="AN25" s="636">
        <f t="shared" si="24"/>
        <v>289.88499281777297</v>
      </c>
      <c r="AO25" s="636">
        <f t="shared" si="24"/>
        <v>286.65061847757329</v>
      </c>
      <c r="AP25" s="636">
        <f t="shared" si="24"/>
        <v>283.41624413737355</v>
      </c>
      <c r="AQ25" s="636">
        <f t="shared" si="24"/>
        <v>280.18186979717393</v>
      </c>
      <c r="AR25" s="636">
        <f t="shared" si="24"/>
        <v>276.94749545697425</v>
      </c>
      <c r="AS25" s="636">
        <f t="shared" si="24"/>
        <v>273.71312111677457</v>
      </c>
      <c r="AT25" s="636">
        <f t="shared" si="24"/>
        <v>270.47874677657484</v>
      </c>
      <c r="AU25" s="637">
        <f t="shared" si="24"/>
        <v>264.92819222509576</v>
      </c>
      <c r="AV25" s="636">
        <f t="shared" si="24"/>
        <v>260.3021032563085</v>
      </c>
      <c r="AW25" s="636">
        <f t="shared" si="24"/>
        <v>254.65591433420607</v>
      </c>
      <c r="AX25" s="636">
        <f t="shared" si="24"/>
        <v>249.00972541210365</v>
      </c>
      <c r="AY25" s="636">
        <f t="shared" si="24"/>
        <v>243.36353649000131</v>
      </c>
      <c r="AZ25" s="636">
        <f t="shared" si="24"/>
        <v>237.71734756789888</v>
      </c>
      <c r="BA25" s="636">
        <f t="shared" si="24"/>
        <v>232.07115864579646</v>
      </c>
      <c r="BB25" s="636">
        <f t="shared" si="24"/>
        <v>226.42496972369403</v>
      </c>
      <c r="BC25" s="636">
        <f t="shared" si="24"/>
        <v>220.77878080159167</v>
      </c>
      <c r="BD25" s="636">
        <f>BD18-BD21-BD24</f>
        <v>215.13259187948927</v>
      </c>
      <c r="BE25" s="637">
        <f t="shared" ref="BE25:BM25" si="25">BE18-BE21-BE24</f>
        <v>206.44566845853183</v>
      </c>
      <c r="BF25" s="636">
        <f t="shared" si="25"/>
        <v>200.68705365872574</v>
      </c>
      <c r="BG25" s="636">
        <f t="shared" si="25"/>
        <v>194.92843885891966</v>
      </c>
      <c r="BH25" s="636">
        <f t="shared" si="25"/>
        <v>189.16982405911352</v>
      </c>
      <c r="BI25" s="636">
        <f t="shared" si="25"/>
        <v>183.41120925930744</v>
      </c>
      <c r="BJ25" s="636">
        <f t="shared" si="25"/>
        <v>177.65259445950136</v>
      </c>
      <c r="BK25" s="636">
        <f t="shared" si="25"/>
        <v>171.89397965969522</v>
      </c>
      <c r="BL25" s="636">
        <f t="shared" si="25"/>
        <v>166.13536485988914</v>
      </c>
      <c r="BM25" s="636">
        <f t="shared" si="25"/>
        <v>160.37675006008303</v>
      </c>
      <c r="BN25" s="636">
        <f>BN18-BN21-BN24</f>
        <v>154.61813526027694</v>
      </c>
      <c r="BR25" s="63" t="s">
        <v>232</v>
      </c>
      <c r="BS25" s="263">
        <f>D4</f>
        <v>80369.95000000007</v>
      </c>
    </row>
    <row r="26" spans="1:75" s="1" customFormat="1" outlineLevel="1">
      <c r="A26" s="1" t="s">
        <v>256</v>
      </c>
      <c r="B26" s="1" t="s">
        <v>174</v>
      </c>
      <c r="C26" s="61" t="s">
        <v>166</v>
      </c>
      <c r="D26" s="633">
        <f>'Demand - C4'!O27</f>
        <v>10097.623110892866</v>
      </c>
      <c r="E26" s="633">
        <f>D26*(1+'Demand - C4'!$K$27)</f>
        <v>10097.623110892866</v>
      </c>
      <c r="F26" s="633">
        <f>E26*(1+'Demand - C4'!$K$27)</f>
        <v>10097.623110892866</v>
      </c>
      <c r="G26" s="633">
        <f>F26*(1+'Demand - C4'!$K$27)</f>
        <v>10097.623110892866</v>
      </c>
      <c r="H26" s="633">
        <f>G26*(1+'Demand - C4'!$K$27)</f>
        <v>10097.623110892866</v>
      </c>
      <c r="I26" s="633">
        <f>H26*(1+'Demand - C4'!$K$27)</f>
        <v>10097.623110892866</v>
      </c>
      <c r="J26" s="633">
        <f>I26*(1+'Demand - C4'!$K$27)</f>
        <v>10097.623110892866</v>
      </c>
      <c r="K26" s="633">
        <f>J26*(1+'Demand - C4'!$K$27)</f>
        <v>10097.623110892866</v>
      </c>
      <c r="L26" s="633">
        <f>K26*(1+'Demand - C4'!$K$27)</f>
        <v>10097.623110892866</v>
      </c>
      <c r="M26" s="633">
        <f>L26*(1+'Demand - C4'!$K$27)</f>
        <v>10097.623110892866</v>
      </c>
      <c r="N26" s="633">
        <f>M26*(1+'Demand - C4'!$K$27)</f>
        <v>10097.623110892866</v>
      </c>
      <c r="O26" s="633">
        <f>N26*(1+'Demand - C4'!$K$27)</f>
        <v>10097.623110892866</v>
      </c>
      <c r="P26" s="633">
        <f>O26*(1+'Demand - C4'!$K$27)</f>
        <v>10097.623110892866</v>
      </c>
      <c r="Q26" s="633">
        <f>P26*(1+'Demand - C4'!$K$27)</f>
        <v>10097.623110892866</v>
      </c>
      <c r="R26" s="633">
        <f>Q26*(1+'Demand - C4'!$K$27)</f>
        <v>10097.623110892866</v>
      </c>
      <c r="S26" s="633">
        <f>R26*(1+'Demand - C4'!$K$27)</f>
        <v>10097.623110892866</v>
      </c>
      <c r="T26" s="633">
        <f>S26*(1+'Demand - C4'!$K$27)</f>
        <v>10097.623110892866</v>
      </c>
      <c r="U26" s="633">
        <f>T26*(1+'Demand - C4'!$K$27)</f>
        <v>10097.623110892866</v>
      </c>
      <c r="V26" s="633">
        <f>U26*(1+'Demand - C4'!$K$27)</f>
        <v>10097.623110892866</v>
      </c>
      <c r="W26" s="633">
        <f>V26*(1+'Demand - C4'!$K$27)</f>
        <v>10097.623110892866</v>
      </c>
      <c r="X26" s="633">
        <f>W26*(1+'Demand - C4'!$K$27)</f>
        <v>10097.623110892866</v>
      </c>
      <c r="Y26" s="633">
        <f>X26*(1+'Demand - C4'!$K$27)</f>
        <v>10097.623110892866</v>
      </c>
      <c r="Z26" s="633">
        <f>Y26*(1+'Demand - C4'!$K$27)</f>
        <v>10097.623110892866</v>
      </c>
      <c r="AA26" s="633">
        <f>Z26*(1+'Demand - C4'!$K$27)</f>
        <v>10097.623110892866</v>
      </c>
      <c r="AB26" s="633">
        <f>AA26*(1+'Demand - C4'!$K$27)</f>
        <v>10097.623110892866</v>
      </c>
      <c r="AC26" s="633">
        <f>AB26*(1+'Demand - C4'!$K$27)</f>
        <v>10097.623110892866</v>
      </c>
      <c r="AD26" s="633">
        <f>AC26*(1+'Demand - C4'!$K$27)</f>
        <v>10097.623110892866</v>
      </c>
      <c r="AE26" s="633">
        <f>AD26*(1+'Demand - C4'!$K$27)</f>
        <v>10097.623110892866</v>
      </c>
      <c r="AF26" s="633">
        <f>AE26*(1+'Demand - C4'!$K$27)</f>
        <v>10097.623110892866</v>
      </c>
      <c r="AG26" s="633">
        <f>AF26*(1+'Demand - C4'!$K$27)</f>
        <v>10097.623110892866</v>
      </c>
      <c r="AH26" s="633">
        <f>AG26*(1+'Demand - C4'!$K$27)</f>
        <v>10097.623110892866</v>
      </c>
      <c r="AI26" s="632"/>
      <c r="AJ26" s="633">
        <f>D26</f>
        <v>10097.623110892866</v>
      </c>
      <c r="AK26" s="633">
        <f t="shared" ref="AK26:BN26" si="26">E26</f>
        <v>10097.623110892866</v>
      </c>
      <c r="AL26" s="633">
        <f t="shared" si="26"/>
        <v>10097.623110892866</v>
      </c>
      <c r="AM26" s="633">
        <f t="shared" si="26"/>
        <v>10097.623110892866</v>
      </c>
      <c r="AN26" s="633">
        <f t="shared" si="26"/>
        <v>10097.623110892866</v>
      </c>
      <c r="AO26" s="633">
        <f t="shared" si="26"/>
        <v>10097.623110892866</v>
      </c>
      <c r="AP26" s="633">
        <f t="shared" si="26"/>
        <v>10097.623110892866</v>
      </c>
      <c r="AQ26" s="633">
        <f t="shared" si="26"/>
        <v>10097.623110892866</v>
      </c>
      <c r="AR26" s="633">
        <f t="shared" si="26"/>
        <v>10097.623110892866</v>
      </c>
      <c r="AS26" s="633">
        <f t="shared" si="26"/>
        <v>10097.623110892866</v>
      </c>
      <c r="AT26" s="633">
        <f t="shared" si="26"/>
        <v>10097.623110892866</v>
      </c>
      <c r="AU26" s="633">
        <f t="shared" si="26"/>
        <v>10097.623110892866</v>
      </c>
      <c r="AV26" s="633">
        <f t="shared" si="26"/>
        <v>10097.623110892866</v>
      </c>
      <c r="AW26" s="633">
        <f t="shared" si="26"/>
        <v>10097.623110892866</v>
      </c>
      <c r="AX26" s="633">
        <f t="shared" si="26"/>
        <v>10097.623110892866</v>
      </c>
      <c r="AY26" s="633">
        <f t="shared" si="26"/>
        <v>10097.623110892866</v>
      </c>
      <c r="AZ26" s="633">
        <f t="shared" si="26"/>
        <v>10097.623110892866</v>
      </c>
      <c r="BA26" s="633">
        <f t="shared" si="26"/>
        <v>10097.623110892866</v>
      </c>
      <c r="BB26" s="633">
        <f t="shared" si="26"/>
        <v>10097.623110892866</v>
      </c>
      <c r="BC26" s="633">
        <f t="shared" si="26"/>
        <v>10097.623110892866</v>
      </c>
      <c r="BD26" s="633">
        <f t="shared" si="26"/>
        <v>10097.623110892866</v>
      </c>
      <c r="BE26" s="633">
        <f t="shared" si="26"/>
        <v>10097.623110892866</v>
      </c>
      <c r="BF26" s="633">
        <f t="shared" si="26"/>
        <v>10097.623110892866</v>
      </c>
      <c r="BG26" s="633">
        <f t="shared" si="26"/>
        <v>10097.623110892866</v>
      </c>
      <c r="BH26" s="633">
        <f t="shared" si="26"/>
        <v>10097.623110892866</v>
      </c>
      <c r="BI26" s="633">
        <f t="shared" si="26"/>
        <v>10097.623110892866</v>
      </c>
      <c r="BJ26" s="633">
        <f t="shared" si="26"/>
        <v>10097.623110892866</v>
      </c>
      <c r="BK26" s="633">
        <f t="shared" si="26"/>
        <v>10097.623110892866</v>
      </c>
      <c r="BL26" s="633">
        <f t="shared" si="26"/>
        <v>10097.623110892866</v>
      </c>
      <c r="BM26" s="633">
        <f t="shared" si="26"/>
        <v>10097.623110892866</v>
      </c>
      <c r="BN26" s="633">
        <f t="shared" si="26"/>
        <v>10097.623110892866</v>
      </c>
    </row>
    <row r="27" spans="1:75" outlineLevel="1">
      <c r="B27" s="1" t="s">
        <v>164</v>
      </c>
      <c r="C27" s="51" t="s">
        <v>166</v>
      </c>
      <c r="D27" s="101">
        <v>0</v>
      </c>
      <c r="E27" s="101">
        <f>E26*'R&amp;S - Buildings'!$H$7*'R&amp;S - Buildings'!$B$11*'R&amp;S - Buildings'!$B$15*('Yearly Butadiene'!E$3-'Yearly Butadiene'!$D$3)/10</f>
        <v>183.27185946270555</v>
      </c>
      <c r="F27" s="101">
        <f>F26*'R&amp;S - Buildings'!$H$7*'R&amp;S - Buildings'!$B$11*'R&amp;S - Buildings'!$B$15*('Yearly Butadiene'!F$3-'Yearly Butadiene'!$D$3)/10</f>
        <v>366.5437189254111</v>
      </c>
      <c r="G27" s="101">
        <f>G26*'R&amp;S - Buildings'!$H$7*'R&amp;S - Buildings'!$B$11*'R&amp;S - Buildings'!$B$15*('Yearly Butadiene'!G$3-'Yearly Butadiene'!$D$3)/10</f>
        <v>549.81557838811659</v>
      </c>
      <c r="H27" s="101">
        <f>H26*'R&amp;S - Buildings'!$H$7*'R&amp;S - Buildings'!$B$11*'R&amp;S - Buildings'!$B$15*('Yearly Butadiene'!H$3-'Yearly Butadiene'!$D$3)/10</f>
        <v>733.0874378508222</v>
      </c>
      <c r="I27" s="101">
        <f>I26*'R&amp;S - Buildings'!$H$7*'R&amp;S - Buildings'!$B$11*'R&amp;S - Buildings'!$B$15*('Yearly Butadiene'!I$3-'Yearly Butadiene'!$D$3)/10</f>
        <v>916.35929731352769</v>
      </c>
      <c r="J27" s="101">
        <f>J26*'R&amp;S - Buildings'!$H$7*'R&amp;S - Buildings'!$B$11*'R&amp;S - Buildings'!$B$15*('Yearly Butadiene'!J$3-'Yearly Butadiene'!$D$3)/10</f>
        <v>1099.6311567762332</v>
      </c>
      <c r="K27" s="101">
        <f>K26*'R&amp;S - Buildings'!$H$7*'R&amp;S - Buildings'!$B$11*'R&amp;S - Buildings'!$B$15*('Yearly Butadiene'!K$3-'Yearly Butadiene'!$D$3)/10</f>
        <v>1282.9030162389388</v>
      </c>
      <c r="L27" s="101">
        <f>L26*'R&amp;S - Buildings'!$H$7*'R&amp;S - Buildings'!$B$11*'R&amp;S - Buildings'!$B$15*('Yearly Butadiene'!L$3-'Yearly Butadiene'!$D$3)/10</f>
        <v>1466.1748757016444</v>
      </c>
      <c r="M27" s="101">
        <f>M26*'R&amp;S - Buildings'!$H$7*'R&amp;S - Buildings'!$B$11*'R&amp;S - Buildings'!$B$15*('Yearly Butadiene'!M$3-'Yearly Butadiene'!$D$3)/10</f>
        <v>1649.44673516435</v>
      </c>
      <c r="N27" s="101">
        <f>N26*'R&amp;S - Buildings'!$H$7*'R&amp;S - Buildings'!$B$11*'R&amp;S - Buildings'!$B$15*('Yearly Butadiene'!N$3-'Yearly Butadiene'!$D$3)/10</f>
        <v>1832.7185946270554</v>
      </c>
      <c r="O27" s="101">
        <f>O26*'R&amp;S - Buildings'!$H$7*('R&amp;S - Buildings'!$B$11*('R&amp;S - Buildings'!$B$15+('R&amp;S - Buildings'!$B$16-'R&amp;S - Buildings'!$B$15)*('Yearly Butadiene'!O$3-'Yearly Butadiene'!$N$3)/10))</f>
        <v>2015.9904540897608</v>
      </c>
      <c r="P27" s="101">
        <f>P26*'R&amp;S - Buildings'!$H$7*('R&amp;S - Buildings'!$B$11*('R&amp;S - Buildings'!$B$15+('R&amp;S - Buildings'!$B$16-'R&amp;S - Buildings'!$B$15)*('Yearly Butadiene'!P$3-'Yearly Butadiene'!$N$3)/10))</f>
        <v>2199.2623135524664</v>
      </c>
      <c r="Q27" s="101">
        <f>Q26*'R&amp;S - Buildings'!$H$7*('R&amp;S - Buildings'!$B$11*('R&amp;S - Buildings'!$B$15+('R&amp;S - Buildings'!$B$16-'R&amp;S - Buildings'!$B$15)*('Yearly Butadiene'!Q$3-'Yearly Butadiene'!$N$3)/10))</f>
        <v>2382.5341730151722</v>
      </c>
      <c r="R27" s="101">
        <f>R26*'R&amp;S - Buildings'!$H$7*('R&amp;S - Buildings'!$B$11*('R&amp;S - Buildings'!$B$15+('R&amp;S - Buildings'!$B$16-'R&amp;S - Buildings'!$B$15)*('Yearly Butadiene'!R$3-'Yearly Butadiene'!$N$3)/10))</f>
        <v>2565.8060324778776</v>
      </c>
      <c r="S27" s="101">
        <f>S26*'R&amp;S - Buildings'!$H$7*('R&amp;S - Buildings'!$B$11*('R&amp;S - Buildings'!$B$15+('R&amp;S - Buildings'!$B$16-'R&amp;S - Buildings'!$B$15)*('Yearly Butadiene'!S$3-'Yearly Butadiene'!$N$3)/10))</f>
        <v>2749.077891940583</v>
      </c>
      <c r="T27" s="101">
        <f>T26*'R&amp;S - Buildings'!$H$7*('R&amp;S - Buildings'!$B$11*('R&amp;S - Buildings'!$B$15+('R&amp;S - Buildings'!$B$16-'R&amp;S - Buildings'!$B$15)*('Yearly Butadiene'!T$3-'Yearly Butadiene'!$N$3)/10))</f>
        <v>2932.3497514032888</v>
      </c>
      <c r="U27" s="101">
        <f>U26*'R&amp;S - Buildings'!$H$7*('R&amp;S - Buildings'!$B$11*('R&amp;S - Buildings'!$B$15+('R&amp;S - Buildings'!$B$16-'R&amp;S - Buildings'!$B$15)*('Yearly Butadiene'!U$3-'Yearly Butadiene'!$N$3)/10))</f>
        <v>3115.6216108659942</v>
      </c>
      <c r="V27" s="101">
        <f>V26*'R&amp;S - Buildings'!$H$7*('R&amp;S - Buildings'!$B$11*('R&amp;S - Buildings'!$B$15+('R&amp;S - Buildings'!$B$16-'R&amp;S - Buildings'!$B$15)*('Yearly Butadiene'!V$3-'Yearly Butadiene'!$N$3)/10))</f>
        <v>3298.8934703287</v>
      </c>
      <c r="W27" s="101">
        <f>W26*'R&amp;S - Buildings'!$H$7*('R&amp;S - Buildings'!$B$11*('R&amp;S - Buildings'!$B$15+('R&amp;S - Buildings'!$B$16-'R&amp;S - Buildings'!$B$15)*('Yearly Butadiene'!W$3-'Yearly Butadiene'!$N$3)/10))</f>
        <v>3482.1653297914049</v>
      </c>
      <c r="X27" s="101">
        <f>X26*'R&amp;S - Buildings'!$H$7*('R&amp;S - Buildings'!$B$11*('R&amp;S - Buildings'!$B$15+('R&amp;S - Buildings'!$B$16-'R&amp;S - Buildings'!$B$15)*('Yearly Butadiene'!X$3-'Yearly Butadiene'!$N$3)/10))</f>
        <v>3665.4371892541108</v>
      </c>
      <c r="Y27" s="101">
        <f>Y26*'R&amp;S - Buildings'!$H$7*('R&amp;S - Buildings'!$B$11*('R&amp;S - Buildings'!$B$16+('R&amp;S - Buildings'!$B$17-'R&amp;S - Buildings'!$B$16)*('Yearly Butadiene'!Y$3-'Yearly Butadiene'!$X$3)/10))</f>
        <v>3854.2627414278077</v>
      </c>
      <c r="Z27" s="101">
        <f>Z26*'R&amp;S - Buildings'!$H$7*('R&amp;S - Buildings'!$B$11*('R&amp;S - Buildings'!$B$16+('R&amp;S - Buildings'!$B$17-'R&amp;S - Buildings'!$B$16)*('Yearly Butadiene'!Z$3-'Yearly Butadiene'!$X$3)/10))</f>
        <v>4043.0882936015037</v>
      </c>
      <c r="AA27" s="101">
        <f>AA26*'R&amp;S - Buildings'!$H$7*('R&amp;S - Buildings'!$B$11*('R&amp;S - Buildings'!$B$16+('R&amp;S - Buildings'!$B$17-'R&amp;S - Buildings'!$B$16)*('Yearly Butadiene'!AA$3-'Yearly Butadiene'!$X$3)/10))</f>
        <v>4231.9138457752006</v>
      </c>
      <c r="AB27" s="101">
        <f>AB26*'R&amp;S - Buildings'!$H$7*('R&amp;S - Buildings'!$B$11*('R&amp;S - Buildings'!$B$16+('R&amp;S - Buildings'!$B$17-'R&amp;S - Buildings'!$B$16)*('Yearly Butadiene'!AB$3-'Yearly Butadiene'!$X$3)/10))</f>
        <v>4420.739397948897</v>
      </c>
      <c r="AC27" s="101">
        <f>AC26*'R&amp;S - Buildings'!$H$7*('R&amp;S - Buildings'!$B$11*('R&amp;S - Buildings'!$B$16+('R&amp;S - Buildings'!$B$17-'R&amp;S - Buildings'!$B$16)*('Yearly Butadiene'!AC$3-'Yearly Butadiene'!$X$3)/10))</f>
        <v>4609.5649501225944</v>
      </c>
      <c r="AD27" s="101">
        <f>AD26*'R&amp;S - Buildings'!$H$7*('R&amp;S - Buildings'!$B$11*('R&amp;S - Buildings'!$B$16+('R&amp;S - Buildings'!$B$17-'R&amp;S - Buildings'!$B$16)*('Yearly Butadiene'!AD$3-'Yearly Butadiene'!$X$3)/10))</f>
        <v>4798.3905022962908</v>
      </c>
      <c r="AE27" s="101">
        <f>AE26*'R&amp;S - Buildings'!$H$7*('R&amp;S - Buildings'!$B$11*('R&amp;S - Buildings'!$B$16+('R&amp;S - Buildings'!$B$17-'R&amp;S - Buildings'!$B$16)*('Yearly Butadiene'!AE$3-'Yearly Butadiene'!$X$3)/10))</f>
        <v>4987.2160544699873</v>
      </c>
      <c r="AF27" s="101">
        <f>AF26*'R&amp;S - Buildings'!$H$7*('R&amp;S - Buildings'!$B$11*('R&amp;S - Buildings'!$B$16+('R&amp;S - Buildings'!$B$17-'R&amp;S - Buildings'!$B$16)*('Yearly Butadiene'!AF$3-'Yearly Butadiene'!$X$3)/10))</f>
        <v>5176.0416066436828</v>
      </c>
      <c r="AG27" s="101">
        <f>AG26*'R&amp;S - Buildings'!$H$7*('R&amp;S - Buildings'!$B$11*('R&amp;S - Buildings'!$B$16+('R&amp;S - Buildings'!$B$17-'R&amp;S - Buildings'!$B$16)*('Yearly Butadiene'!AG$3-'Yearly Butadiene'!$X$3)/10))</f>
        <v>5364.8671588173802</v>
      </c>
      <c r="AH27" s="101">
        <f>AH26*'R&amp;S - Buildings'!$H$7*('R&amp;S - Buildings'!$B$11*('R&amp;S - Buildings'!$B$16+('R&amp;S - Buildings'!$B$17-'R&amp;S - Buildings'!$B$16)*('Yearly Butadiene'!AH$3-'Yearly Butadiene'!$X$3)/10))</f>
        <v>5553.6927109910766</v>
      </c>
      <c r="AI27" s="191"/>
      <c r="AJ27" s="101">
        <v>0</v>
      </c>
      <c r="AK27" s="101">
        <f>AK26*'R&amp;S - Buildings'!$H$7*'R&amp;S - Buildings'!$B$12*'R&amp;S - Buildings'!$B$15*('Yearly Butadiene'!AK$3-'Yearly Butadiene'!$D$3)/10</f>
        <v>73.308743785082214</v>
      </c>
      <c r="AL27" s="101">
        <f>AL26*'R&amp;S - Buildings'!$H$7*'R&amp;S - Buildings'!$B$12*'R&amp;S - Buildings'!$B$15*('Yearly Butadiene'!AL$3-'Yearly Butadiene'!$D$3)/10</f>
        <v>146.61748757016443</v>
      </c>
      <c r="AM27" s="101">
        <f>AM26*'R&amp;S - Buildings'!$H$7*'R&amp;S - Buildings'!$B$12*'R&amp;S - Buildings'!$B$15*('Yearly Butadiene'!AM$3-'Yearly Butadiene'!$D$3)/10</f>
        <v>219.92623135524664</v>
      </c>
      <c r="AN27" s="101">
        <f>AN26*'R&amp;S - Buildings'!$H$7*'R&amp;S - Buildings'!$B$12*'R&amp;S - Buildings'!$B$15*('Yearly Butadiene'!AN$3-'Yearly Butadiene'!$D$3)/10</f>
        <v>293.23497514032886</v>
      </c>
      <c r="AO27" s="101">
        <f>AO26*'R&amp;S - Buildings'!$H$7*'R&amp;S - Buildings'!$B$12*'R&amp;S - Buildings'!$B$15*('Yearly Butadiene'!AO$3-'Yearly Butadiene'!$D$3)/10</f>
        <v>366.5437189254111</v>
      </c>
      <c r="AP27" s="101">
        <f>AP26*'R&amp;S - Buildings'!$H$7*'R&amp;S - Buildings'!$B$12*'R&amp;S - Buildings'!$B$15*('Yearly Butadiene'!AP$3-'Yearly Butadiene'!$D$3)/10</f>
        <v>439.85246271049328</v>
      </c>
      <c r="AQ27" s="101">
        <f>AQ26*'R&amp;S - Buildings'!$H$7*'R&amp;S - Buildings'!$B$12*'R&amp;S - Buildings'!$B$15*('Yearly Butadiene'!AQ$3-'Yearly Butadiene'!$D$3)/10</f>
        <v>513.16120649557547</v>
      </c>
      <c r="AR27" s="101">
        <f>AR26*'R&amp;S - Buildings'!$H$7*'R&amp;S - Buildings'!$B$12*'R&amp;S - Buildings'!$B$15*('Yearly Butadiene'!AR$3-'Yearly Butadiene'!$D$3)/10</f>
        <v>586.46995028065771</v>
      </c>
      <c r="AS27" s="101">
        <f>AS26*'R&amp;S - Buildings'!$H$7*'R&amp;S - Buildings'!$B$12*'R&amp;S - Buildings'!$B$15*('Yearly Butadiene'!AS$3-'Yearly Butadiene'!$D$3)/10</f>
        <v>659.77869406573996</v>
      </c>
      <c r="AT27" s="101">
        <f>AT26*'R&amp;S - Buildings'!$H$7*'R&amp;S - Buildings'!$B$12*'R&amp;S - Buildings'!$B$15*('Yearly Butadiene'!AT$3-'Yearly Butadiene'!$D$3)/10</f>
        <v>733.0874378508222</v>
      </c>
      <c r="AU27" s="101">
        <f>AU26*'R&amp;S - Buildings'!$H$7*('R&amp;S - Buildings'!$B$12*('R&amp;S - Buildings'!$B$15+('R&amp;S - Buildings'!$B$16-'R&amp;S - Buildings'!$B$15)*('Yearly Butadiene'!AU$3-'Yearly Butadiene'!$N$3)/10))</f>
        <v>806.39618163590433</v>
      </c>
      <c r="AV27" s="101">
        <f>AV26*'R&amp;S - Buildings'!$H$7*('R&amp;S - Buildings'!$B$12*('R&amp;S - Buildings'!$B$15+('R&amp;S - Buildings'!$B$16-'R&amp;S - Buildings'!$B$15)*('Yearly Butadiene'!AV$3-'Yearly Butadiene'!$N$3)/10))</f>
        <v>879.70492542098646</v>
      </c>
      <c r="AW27" s="101">
        <f>AW26*'R&amp;S - Buildings'!$H$7*('R&amp;S - Buildings'!$B$12*('R&amp;S - Buildings'!$B$15+('R&amp;S - Buildings'!$B$16-'R&amp;S - Buildings'!$B$15)*('Yearly Butadiene'!AW$3-'Yearly Butadiene'!$N$3)/10))</f>
        <v>953.01366920606881</v>
      </c>
      <c r="AX27" s="101">
        <f>AX26*'R&amp;S - Buildings'!$H$7*('R&amp;S - Buildings'!$B$12*('R&amp;S - Buildings'!$B$15+('R&amp;S - Buildings'!$B$16-'R&amp;S - Buildings'!$B$15)*('Yearly Butadiene'!AX$3-'Yearly Butadiene'!$N$3)/10))</f>
        <v>1026.3224129911509</v>
      </c>
      <c r="AY27" s="101">
        <f>AY26*'R&amp;S - Buildings'!$H$7*('R&amp;S - Buildings'!$B$12*('R&amp;S - Buildings'!$B$15+('R&amp;S - Buildings'!$B$16-'R&amp;S - Buildings'!$B$15)*('Yearly Butadiene'!AY$3-'Yearly Butadiene'!$N$3)/10))</f>
        <v>1099.6311567762332</v>
      </c>
      <c r="AZ27" s="101">
        <f>AZ26*'R&amp;S - Buildings'!$H$7*('R&amp;S - Buildings'!$B$12*('R&amp;S - Buildings'!$B$15+('R&amp;S - Buildings'!$B$16-'R&amp;S - Buildings'!$B$15)*('Yearly Butadiene'!AZ$3-'Yearly Butadiene'!$N$3)/10))</f>
        <v>1172.9399005613154</v>
      </c>
      <c r="BA27" s="101">
        <f>BA26*'R&amp;S - Buildings'!$H$7*('R&amp;S - Buildings'!$B$12*('R&amp;S - Buildings'!$B$15+('R&amp;S - Buildings'!$B$16-'R&amp;S - Buildings'!$B$15)*('Yearly Butadiene'!BA$3-'Yearly Butadiene'!$N$3)/10))</f>
        <v>1246.2486443463977</v>
      </c>
      <c r="BB27" s="101">
        <f>BB26*'R&amp;S - Buildings'!$H$7*('R&amp;S - Buildings'!$B$12*('R&amp;S - Buildings'!$B$15+('R&amp;S - Buildings'!$B$16-'R&amp;S - Buildings'!$B$15)*('Yearly Butadiene'!BB$3-'Yearly Butadiene'!$N$3)/10))</f>
        <v>1319.5573881314799</v>
      </c>
      <c r="BC27" s="101">
        <f>BC26*'R&amp;S - Buildings'!$H$7*('R&amp;S - Buildings'!$B$12*('R&amp;S - Buildings'!$B$15+('R&amp;S - Buildings'!$B$16-'R&amp;S - Buildings'!$B$15)*('Yearly Butadiene'!BC$3-'Yearly Butadiene'!$N$3)/10))</f>
        <v>1392.8661319165619</v>
      </c>
      <c r="BD27" s="101">
        <f>BD26*'R&amp;S - Buildings'!$H$7*('R&amp;S - Buildings'!$B$12*('R&amp;S - Buildings'!$B$15+('R&amp;S - Buildings'!$B$16-'R&amp;S - Buildings'!$B$15)*('Yearly Butadiene'!BD$3-'Yearly Butadiene'!$N$3)/10))</f>
        <v>1466.1748757016444</v>
      </c>
      <c r="BE27" s="101">
        <f>BE26*'R&amp;S - Buildings'!$H$7*('R&amp;S - Buildings'!$B$12*('R&amp;S - Buildings'!$B$16+('R&amp;S - Buildings'!$B$17-'R&amp;S - Buildings'!$B$16)*('Yearly Butadiene'!BE$3-'Yearly Butadiene'!$X$3)/10))</f>
        <v>1541.705096571123</v>
      </c>
      <c r="BF27" s="101">
        <f>BF26*'R&amp;S - Buildings'!$H$7*('R&amp;S - Buildings'!$B$12*('R&amp;S - Buildings'!$B$16+('R&amp;S - Buildings'!$B$17-'R&amp;S - Buildings'!$B$16)*('Yearly Butadiene'!BF$3-'Yearly Butadiene'!$X$3)/10))</f>
        <v>1617.2353174406012</v>
      </c>
      <c r="BG27" s="101">
        <f>BG26*'R&amp;S - Buildings'!$H$7*('R&amp;S - Buildings'!$B$12*('R&amp;S - Buildings'!$B$16+('R&amp;S - Buildings'!$B$17-'R&amp;S - Buildings'!$B$16)*('Yearly Butadiene'!BG$3-'Yearly Butadiene'!$X$3)/10))</f>
        <v>1692.76553831008</v>
      </c>
      <c r="BH27" s="101">
        <f>BH26*'R&amp;S - Buildings'!$H$7*('R&amp;S - Buildings'!$B$12*('R&amp;S - Buildings'!$B$16+('R&amp;S - Buildings'!$B$17-'R&amp;S - Buildings'!$B$16)*('Yearly Butadiene'!BH$3-'Yearly Butadiene'!$X$3)/10))</f>
        <v>1768.2957591795589</v>
      </c>
      <c r="BI27" s="101">
        <f>BI26*'R&amp;S - Buildings'!$H$7*('R&amp;S - Buildings'!$B$12*('R&amp;S - Buildings'!$B$16+('R&amp;S - Buildings'!$B$17-'R&amp;S - Buildings'!$B$16)*('Yearly Butadiene'!BI$3-'Yearly Butadiene'!$X$3)/10))</f>
        <v>1843.8259800490375</v>
      </c>
      <c r="BJ27" s="101">
        <f>BJ26*'R&amp;S - Buildings'!$H$7*('R&amp;S - Buildings'!$B$12*('R&amp;S - Buildings'!$B$16+('R&amp;S - Buildings'!$B$17-'R&amp;S - Buildings'!$B$16)*('Yearly Butadiene'!BJ$3-'Yearly Butadiene'!$X$3)/10))</f>
        <v>1919.3562009185162</v>
      </c>
      <c r="BK27" s="101">
        <f>BK26*'R&amp;S - Buildings'!$H$7*('R&amp;S - Buildings'!$B$12*('R&amp;S - Buildings'!$B$16+('R&amp;S - Buildings'!$B$17-'R&amp;S - Buildings'!$B$16)*('Yearly Butadiene'!BK$3-'Yearly Butadiene'!$X$3)/10))</f>
        <v>1994.8864217879945</v>
      </c>
      <c r="BL27" s="101">
        <f>BL26*'R&amp;S - Buildings'!$H$7*('R&amp;S - Buildings'!$B$12*('R&amp;S - Buildings'!$B$16+('R&amp;S - Buildings'!$B$17-'R&amp;S - Buildings'!$B$16)*('Yearly Butadiene'!BL$3-'Yearly Butadiene'!$X$3)/10))</f>
        <v>2070.4166426574729</v>
      </c>
      <c r="BM27" s="101">
        <f>BM26*'R&amp;S - Buildings'!$H$7*('R&amp;S - Buildings'!$B$12*('R&amp;S - Buildings'!$B$16+('R&amp;S - Buildings'!$B$17-'R&amp;S - Buildings'!$B$16)*('Yearly Butadiene'!BM$3-'Yearly Butadiene'!$X$3)/10))</f>
        <v>2145.9468635269518</v>
      </c>
      <c r="BN27" s="101">
        <f>BN26*'R&amp;S - Buildings'!$H$7*('R&amp;S - Buildings'!$B$12*('R&amp;S - Buildings'!$B$16+('R&amp;S - Buildings'!$B$17-'R&amp;S - Buildings'!$B$16)*('Yearly Butadiene'!BN$3-'Yearly Butadiene'!$X$3)/10))</f>
        <v>2221.4770843964307</v>
      </c>
    </row>
    <row r="28" spans="1:75" outlineLevel="1">
      <c r="B28" s="1" t="s">
        <v>167</v>
      </c>
      <c r="C28" s="51" t="s">
        <v>166</v>
      </c>
      <c r="D28" s="101">
        <v>0</v>
      </c>
      <c r="E28" s="101">
        <f>E26*'R&amp;S - Buildings'!$H$8*'R&amp;S - Buildings'!$C$11*'R&amp;S - Buildings'!$B$15*('Yearly Butadiene'!E$3-'Yearly Butadiene'!$D$3)/10</f>
        <v>0</v>
      </c>
      <c r="F28" s="101">
        <f>F26*'R&amp;S - Buildings'!$H$8*'R&amp;S - Buildings'!$C$11*'R&amp;S - Buildings'!$B$15*('Yearly Butadiene'!F$3-'Yearly Butadiene'!$D$3)/10</f>
        <v>0</v>
      </c>
      <c r="G28" s="101">
        <f>G26*'R&amp;S - Buildings'!$H$8*'R&amp;S - Buildings'!$C$11*'R&amp;S - Buildings'!$B$15*('Yearly Butadiene'!G$3-'Yearly Butadiene'!$D$3)/10</f>
        <v>0</v>
      </c>
      <c r="H28" s="101">
        <f>H26*'R&amp;S - Buildings'!$H$8*'R&amp;S - Buildings'!$C$11*'R&amp;S - Buildings'!$B$15*('Yearly Butadiene'!H$3-'Yearly Butadiene'!$D$3)/10</f>
        <v>0</v>
      </c>
      <c r="I28" s="101">
        <f>I26*'R&amp;S - Buildings'!$H$8*'R&amp;S - Buildings'!$C$11*'R&amp;S - Buildings'!$B$15*('Yearly Butadiene'!I$3-'Yearly Butadiene'!$D$3)/10</f>
        <v>0</v>
      </c>
      <c r="J28" s="101">
        <f>J26*'R&amp;S - Buildings'!$H$8*'R&amp;S - Buildings'!$C$11*'R&amp;S - Buildings'!$B$15*('Yearly Butadiene'!J$3-'Yearly Butadiene'!$D$3)/10</f>
        <v>0</v>
      </c>
      <c r="K28" s="101">
        <f>K26*'R&amp;S - Buildings'!$H$8*'R&amp;S - Buildings'!$C$11*'R&amp;S - Buildings'!$B$15*('Yearly Butadiene'!K$3-'Yearly Butadiene'!$D$3)/10</f>
        <v>0</v>
      </c>
      <c r="L28" s="101">
        <f>L26*'R&amp;S - Buildings'!$H$8*'R&amp;S - Buildings'!$C$11*'R&amp;S - Buildings'!$B$15*('Yearly Butadiene'!L$3-'Yearly Butadiene'!$D$3)/10</f>
        <v>0</v>
      </c>
      <c r="M28" s="101">
        <f>M26*'R&amp;S - Buildings'!$H$8*'R&amp;S - Buildings'!$C$11*'R&amp;S - Buildings'!$B$15*('Yearly Butadiene'!M$3-'Yearly Butadiene'!$D$3)/10</f>
        <v>0</v>
      </c>
      <c r="N28" s="101">
        <f>N26*'R&amp;S - Buildings'!$H$8*'R&amp;S - Buildings'!$C$11*'R&amp;S - Buildings'!$B$15*('Yearly Butadiene'!N$3-'Yearly Butadiene'!$D$3)/10</f>
        <v>0</v>
      </c>
      <c r="O28" s="101">
        <f>O26*'R&amp;S - Buildings'!$H$8*'R&amp;S - Buildings'!$C$11*('R&amp;S - Buildings'!$B$15+('R&amp;S - Buildings'!$B$16-'R&amp;S - Buildings'!$B$15)*('Yearly Butadiene'!O$3-'Yearly Butadiene'!$N$3)/10)</f>
        <v>0</v>
      </c>
      <c r="P28" s="101">
        <f>P26*'R&amp;S - Buildings'!$H$8*'R&amp;S - Buildings'!$C$11*('R&amp;S - Buildings'!$B$15+('R&amp;S - Buildings'!$B$16-'R&amp;S - Buildings'!$B$15)*('Yearly Butadiene'!P$3-'Yearly Butadiene'!$N$3)/10)</f>
        <v>0</v>
      </c>
      <c r="Q28" s="101">
        <f>Q26*'R&amp;S - Buildings'!$H$8*'R&amp;S - Buildings'!$C$11*('R&amp;S - Buildings'!$B$15+('R&amp;S - Buildings'!$B$16-'R&amp;S - Buildings'!$B$15)*('Yearly Butadiene'!Q$3-'Yearly Butadiene'!$N$3)/10)</f>
        <v>0</v>
      </c>
      <c r="R28" s="101">
        <f>R26*'R&amp;S - Buildings'!$H$8*'R&amp;S - Buildings'!$C$11*('R&amp;S - Buildings'!$B$15+('R&amp;S - Buildings'!$B$16-'R&amp;S - Buildings'!$B$15)*('Yearly Butadiene'!R$3-'Yearly Butadiene'!$N$3)/10)</f>
        <v>0</v>
      </c>
      <c r="S28" s="101">
        <f>S26*'R&amp;S - Buildings'!$H$8*'R&amp;S - Buildings'!$C$11*('R&amp;S - Buildings'!$B$15+('R&amp;S - Buildings'!$B$16-'R&amp;S - Buildings'!$B$15)*('Yearly Butadiene'!S$3-'Yearly Butadiene'!$N$3)/10)</f>
        <v>0</v>
      </c>
      <c r="T28" s="101">
        <f>T26*'R&amp;S - Buildings'!$H$8*'R&amp;S - Buildings'!$C$11*('R&amp;S - Buildings'!$B$15+('R&amp;S - Buildings'!$B$16-'R&amp;S - Buildings'!$B$15)*('Yearly Butadiene'!T$3-'Yearly Butadiene'!$N$3)/10)</f>
        <v>0</v>
      </c>
      <c r="U28" s="101">
        <f>U26*'R&amp;S - Buildings'!$H$8*'R&amp;S - Buildings'!$C$11*('R&amp;S - Buildings'!$B$15+('R&amp;S - Buildings'!$B$16-'R&amp;S - Buildings'!$B$15)*('Yearly Butadiene'!U$3-'Yearly Butadiene'!$N$3)/10)</f>
        <v>0</v>
      </c>
      <c r="V28" s="101">
        <f>V26*'R&amp;S - Buildings'!$H$8*'R&amp;S - Buildings'!$C$11*('R&amp;S - Buildings'!$B$15+('R&amp;S - Buildings'!$B$16-'R&amp;S - Buildings'!$B$15)*('Yearly Butadiene'!V$3-'Yearly Butadiene'!$N$3)/10)</f>
        <v>0</v>
      </c>
      <c r="W28" s="101">
        <f>W26*'R&amp;S - Buildings'!$H$8*'R&amp;S - Buildings'!$C$11*('R&amp;S - Buildings'!$B$15+('R&amp;S - Buildings'!$B$16-'R&amp;S - Buildings'!$B$15)*('Yearly Butadiene'!W$3-'Yearly Butadiene'!$N$3)/10)</f>
        <v>0</v>
      </c>
      <c r="X28" s="101">
        <f>X26*'R&amp;S - Buildings'!$H$8*'R&amp;S - Buildings'!$C$11*('R&amp;S - Buildings'!$B$15+('R&amp;S - Buildings'!$B$16-'R&amp;S - Buildings'!$B$15)*('Yearly Butadiene'!X$3-'Yearly Butadiene'!$N$3)/10)</f>
        <v>0</v>
      </c>
      <c r="Y28" s="101">
        <f>Y26*'R&amp;S - Buildings'!$H$8*'R&amp;S - Buildings'!$C$11*('R&amp;S - Buildings'!$B$16+('R&amp;S - Buildings'!$B$17-'R&amp;S - Buildings'!$B$16)*('Yearly Butadiene'!Y$3-'Yearly Butadiene'!$X$3)/10)</f>
        <v>0</v>
      </c>
      <c r="Z28" s="101">
        <f>Z26*'R&amp;S - Buildings'!$H$8*'R&amp;S - Buildings'!$C$11*('R&amp;S - Buildings'!$B$16+('R&amp;S - Buildings'!$B$17-'R&amp;S - Buildings'!$B$16)*('Yearly Butadiene'!Z$3-'Yearly Butadiene'!$X$3)/10)</f>
        <v>0</v>
      </c>
      <c r="AA28" s="101">
        <f>AA26*'R&amp;S - Buildings'!$H$8*'R&amp;S - Buildings'!$C$11*('R&amp;S - Buildings'!$B$16+('R&amp;S - Buildings'!$B$17-'R&amp;S - Buildings'!$B$16)*('Yearly Butadiene'!AA$3-'Yearly Butadiene'!$X$3)/10)</f>
        <v>0</v>
      </c>
      <c r="AB28" s="101">
        <f>AB26*'R&amp;S - Buildings'!$H$8*'R&amp;S - Buildings'!$C$11*('R&amp;S - Buildings'!$B$16+('R&amp;S - Buildings'!$B$17-'R&amp;S - Buildings'!$B$16)*('Yearly Butadiene'!AB$3-'Yearly Butadiene'!$X$3)/10)</f>
        <v>0</v>
      </c>
      <c r="AC28" s="101">
        <f>AC26*'R&amp;S - Buildings'!$H$8*'R&amp;S - Buildings'!$C$11*('R&amp;S - Buildings'!$B$16+('R&amp;S - Buildings'!$B$17-'R&amp;S - Buildings'!$B$16)*('Yearly Butadiene'!AC$3-'Yearly Butadiene'!$X$3)/10)</f>
        <v>0</v>
      </c>
      <c r="AD28" s="101">
        <f>AD26*'R&amp;S - Buildings'!$H$8*'R&amp;S - Buildings'!$C$11*('R&amp;S - Buildings'!$B$16+('R&amp;S - Buildings'!$B$17-'R&amp;S - Buildings'!$B$16)*('Yearly Butadiene'!AD$3-'Yearly Butadiene'!$X$3)/10)</f>
        <v>0</v>
      </c>
      <c r="AE28" s="101">
        <f>AE26*'R&amp;S - Buildings'!$H$8*'R&amp;S - Buildings'!$C$11*('R&amp;S - Buildings'!$B$16+('R&amp;S - Buildings'!$B$17-'R&amp;S - Buildings'!$B$16)*('Yearly Butadiene'!AE$3-'Yearly Butadiene'!$X$3)/10)</f>
        <v>0</v>
      </c>
      <c r="AF28" s="101">
        <f>AF26*'R&amp;S - Buildings'!$H$8*'R&amp;S - Buildings'!$C$11*('R&amp;S - Buildings'!$B$16+('R&amp;S - Buildings'!$B$17-'R&amp;S - Buildings'!$B$16)*('Yearly Butadiene'!AF$3-'Yearly Butadiene'!$X$3)/10)</f>
        <v>0</v>
      </c>
      <c r="AG28" s="101">
        <f>AG26*'R&amp;S - Buildings'!$H$8*'R&amp;S - Buildings'!$C$11*('R&amp;S - Buildings'!$B$16+('R&amp;S - Buildings'!$B$17-'R&amp;S - Buildings'!$B$16)*('Yearly Butadiene'!AG$3-'Yearly Butadiene'!$X$3)/10)</f>
        <v>0</v>
      </c>
      <c r="AH28" s="101">
        <f>AH26*'R&amp;S - Buildings'!$H$8*'R&amp;S - Buildings'!$C$11*('R&amp;S - Buildings'!$B$16+('R&amp;S - Buildings'!$B$17-'R&amp;S - Buildings'!$B$16)*('Yearly Butadiene'!AH$3-'Yearly Butadiene'!$X$3)/10)</f>
        <v>0</v>
      </c>
      <c r="AI28" s="191"/>
      <c r="AJ28" s="101">
        <v>0</v>
      </c>
      <c r="AK28" s="101">
        <f>AK26*'R&amp;S - Buildings'!$H$8*'R&amp;S - Buildings'!$C$12*'R&amp;S - Buildings'!$B$15*('Yearly Butadiene'!AK$3-'Yearly Butadiene'!$D$3)/10</f>
        <v>0</v>
      </c>
      <c r="AL28" s="101">
        <f>AL26*'R&amp;S - Buildings'!$H$8*'R&amp;S - Buildings'!$C$12*'R&amp;S - Buildings'!$B$15*('Yearly Butadiene'!AL$3-'Yearly Butadiene'!$D$3)/10</f>
        <v>0</v>
      </c>
      <c r="AM28" s="101">
        <f>AM26*'R&amp;S - Buildings'!$H$8*'R&amp;S - Buildings'!$C$12*'R&amp;S - Buildings'!$B$15*('Yearly Butadiene'!AM$3-'Yearly Butadiene'!$D$3)/10</f>
        <v>0</v>
      </c>
      <c r="AN28" s="101">
        <f>AN26*'R&amp;S - Buildings'!$H$8*'R&amp;S - Buildings'!$C$12*'R&amp;S - Buildings'!$B$15*('Yearly Butadiene'!AN$3-'Yearly Butadiene'!$D$3)/10</f>
        <v>0</v>
      </c>
      <c r="AO28" s="101">
        <f>AO26*'R&amp;S - Buildings'!$H$8*'R&amp;S - Buildings'!$C$12*'R&amp;S - Buildings'!$B$15*('Yearly Butadiene'!AO$3-'Yearly Butadiene'!$D$3)/10</f>
        <v>0</v>
      </c>
      <c r="AP28" s="101">
        <f>AP26*'R&amp;S - Buildings'!$H$8*'R&amp;S - Buildings'!$C$12*'R&amp;S - Buildings'!$B$15*('Yearly Butadiene'!AP$3-'Yearly Butadiene'!$D$3)/10</f>
        <v>0</v>
      </c>
      <c r="AQ28" s="101">
        <f>AQ26*'R&amp;S - Buildings'!$H$8*'R&amp;S - Buildings'!$C$12*'R&amp;S - Buildings'!$B$15*('Yearly Butadiene'!AQ$3-'Yearly Butadiene'!$D$3)/10</f>
        <v>0</v>
      </c>
      <c r="AR28" s="101">
        <f>AR26*'R&amp;S - Buildings'!$H$8*'R&amp;S - Buildings'!$C$12*'R&amp;S - Buildings'!$B$15*('Yearly Butadiene'!AR$3-'Yearly Butadiene'!$D$3)/10</f>
        <v>0</v>
      </c>
      <c r="AS28" s="101">
        <f>AS26*'R&amp;S - Buildings'!$H$8*'R&amp;S - Buildings'!$C$12*'R&amp;S - Buildings'!$B$15*('Yearly Butadiene'!AS$3-'Yearly Butadiene'!$D$3)/10</f>
        <v>0</v>
      </c>
      <c r="AT28" s="101">
        <f>AT26*'R&amp;S - Buildings'!$H$8*'R&amp;S - Buildings'!$C$12*'R&amp;S - Buildings'!$B$15*('Yearly Butadiene'!AT$3-'Yearly Butadiene'!$D$3)/10</f>
        <v>0</v>
      </c>
      <c r="AU28" s="101">
        <f>AU26*'R&amp;S - Buildings'!$H$8*'R&amp;S - Buildings'!$C$12*('R&amp;S - Buildings'!$B$15+('R&amp;S - Buildings'!$B$16-'R&amp;S - Buildings'!$B$15)*('Yearly Butadiene'!AU$3-'Yearly Butadiene'!$N$3)/10)</f>
        <v>0</v>
      </c>
      <c r="AV28" s="101">
        <f>AV26*'R&amp;S - Buildings'!$H$8*'R&amp;S - Buildings'!$C$12*('R&amp;S - Buildings'!$B$15+('R&amp;S - Buildings'!$B$16-'R&amp;S - Buildings'!$B$15)*('Yearly Butadiene'!AV$3-'Yearly Butadiene'!$N$3)/10)</f>
        <v>0</v>
      </c>
      <c r="AW28" s="101">
        <f>AW26*'R&amp;S - Buildings'!$H$8*'R&amp;S - Buildings'!$C$12*('R&amp;S - Buildings'!$B$15+('R&amp;S - Buildings'!$B$16-'R&amp;S - Buildings'!$B$15)*('Yearly Butadiene'!AW$3-'Yearly Butadiene'!$N$3)/10)</f>
        <v>0</v>
      </c>
      <c r="AX28" s="101">
        <f>AX26*'R&amp;S - Buildings'!$H$8*'R&amp;S - Buildings'!$C$12*('R&amp;S - Buildings'!$B$15+('R&amp;S - Buildings'!$B$16-'R&amp;S - Buildings'!$B$15)*('Yearly Butadiene'!AX$3-'Yearly Butadiene'!$N$3)/10)</f>
        <v>0</v>
      </c>
      <c r="AY28" s="101">
        <f>AY26*'R&amp;S - Buildings'!$H$8*'R&amp;S - Buildings'!$C$12*('R&amp;S - Buildings'!$B$15+('R&amp;S - Buildings'!$B$16-'R&amp;S - Buildings'!$B$15)*('Yearly Butadiene'!AY$3-'Yearly Butadiene'!$N$3)/10)</f>
        <v>0</v>
      </c>
      <c r="AZ28" s="101">
        <f>AZ26*'R&amp;S - Buildings'!$H$8*'R&amp;S - Buildings'!$C$12*('R&amp;S - Buildings'!$B$15+('R&amp;S - Buildings'!$B$16-'R&amp;S - Buildings'!$B$15)*('Yearly Butadiene'!AZ$3-'Yearly Butadiene'!$N$3)/10)</f>
        <v>0</v>
      </c>
      <c r="BA28" s="101">
        <f>BA26*'R&amp;S - Buildings'!$H$8*'R&amp;S - Buildings'!$C$12*('R&amp;S - Buildings'!$B$15+('R&amp;S - Buildings'!$B$16-'R&amp;S - Buildings'!$B$15)*('Yearly Butadiene'!BA$3-'Yearly Butadiene'!$N$3)/10)</f>
        <v>0</v>
      </c>
      <c r="BB28" s="101">
        <f>BB26*'R&amp;S - Buildings'!$H$8*'R&amp;S - Buildings'!$C$12*('R&amp;S - Buildings'!$B$15+('R&amp;S - Buildings'!$B$16-'R&amp;S - Buildings'!$B$15)*('Yearly Butadiene'!BB$3-'Yearly Butadiene'!$N$3)/10)</f>
        <v>0</v>
      </c>
      <c r="BC28" s="101">
        <f>BC26*'R&amp;S - Buildings'!$H$8*'R&amp;S - Buildings'!$C$12*('R&amp;S - Buildings'!$B$15+('R&amp;S - Buildings'!$B$16-'R&amp;S - Buildings'!$B$15)*('Yearly Butadiene'!BC$3-'Yearly Butadiene'!$N$3)/10)</f>
        <v>0</v>
      </c>
      <c r="BD28" s="101">
        <f>BD26*'R&amp;S - Buildings'!$H$8*'R&amp;S - Buildings'!$C$12*('R&amp;S - Buildings'!$B$15+('R&amp;S - Buildings'!$B$16-'R&amp;S - Buildings'!$B$15)*('Yearly Butadiene'!BD$3-'Yearly Butadiene'!$N$3)/10)</f>
        <v>0</v>
      </c>
      <c r="BE28" s="101">
        <f>BE26*'R&amp;S - Buildings'!$H$8*'R&amp;S - Buildings'!$C$12*('R&amp;S - Buildings'!$B$16+('R&amp;S - Buildings'!$B$17-'R&amp;S - Buildings'!$B$16)*('Yearly Butadiene'!BE$3-'Yearly Butadiene'!$X$3)/10)</f>
        <v>0</v>
      </c>
      <c r="BF28" s="101">
        <f>BF26*'R&amp;S - Buildings'!$H$8*'R&amp;S - Buildings'!$C$12*('R&amp;S - Buildings'!$B$16+('R&amp;S - Buildings'!$B$17-'R&amp;S - Buildings'!$B$16)*('Yearly Butadiene'!BF$3-'Yearly Butadiene'!$X$3)/10)</f>
        <v>0</v>
      </c>
      <c r="BG28" s="101">
        <f>BG26*'R&amp;S - Buildings'!$H$8*'R&amp;S - Buildings'!$C$12*('R&amp;S - Buildings'!$B$16+('R&amp;S - Buildings'!$B$17-'R&amp;S - Buildings'!$B$16)*('Yearly Butadiene'!BG$3-'Yearly Butadiene'!$X$3)/10)</f>
        <v>0</v>
      </c>
      <c r="BH28" s="101">
        <f>BH26*'R&amp;S - Buildings'!$H$8*'R&amp;S - Buildings'!$C$12*('R&amp;S - Buildings'!$B$16+('R&amp;S - Buildings'!$B$17-'R&amp;S - Buildings'!$B$16)*('Yearly Butadiene'!BH$3-'Yearly Butadiene'!$X$3)/10)</f>
        <v>0</v>
      </c>
      <c r="BI28" s="101">
        <f>BI26*'R&amp;S - Buildings'!$H$8*'R&amp;S - Buildings'!$C$12*('R&amp;S - Buildings'!$B$16+('R&amp;S - Buildings'!$B$17-'R&amp;S - Buildings'!$B$16)*('Yearly Butadiene'!BI$3-'Yearly Butadiene'!$X$3)/10)</f>
        <v>0</v>
      </c>
      <c r="BJ28" s="101">
        <f>BJ26*'R&amp;S - Buildings'!$H$8*'R&amp;S - Buildings'!$C$12*('R&amp;S - Buildings'!$B$16+('R&amp;S - Buildings'!$B$17-'R&amp;S - Buildings'!$B$16)*('Yearly Butadiene'!BJ$3-'Yearly Butadiene'!$X$3)/10)</f>
        <v>0</v>
      </c>
      <c r="BK28" s="101">
        <f>BK26*'R&amp;S - Buildings'!$H$8*'R&amp;S - Buildings'!$C$12*('R&amp;S - Buildings'!$B$16+('R&amp;S - Buildings'!$B$17-'R&amp;S - Buildings'!$B$16)*('Yearly Butadiene'!BK$3-'Yearly Butadiene'!$X$3)/10)</f>
        <v>0</v>
      </c>
      <c r="BL28" s="101">
        <f>BL26*'R&amp;S - Buildings'!$H$8*'R&amp;S - Buildings'!$C$12*('R&amp;S - Buildings'!$B$16+('R&amp;S - Buildings'!$B$17-'R&amp;S - Buildings'!$B$16)*('Yearly Butadiene'!BL$3-'Yearly Butadiene'!$X$3)/10)</f>
        <v>0</v>
      </c>
      <c r="BM28" s="101">
        <f>BM26*'R&amp;S - Buildings'!$H$8*'R&amp;S - Buildings'!$C$12*('R&amp;S - Buildings'!$B$16+('R&amp;S - Buildings'!$B$17-'R&amp;S - Buildings'!$B$16)*('Yearly Butadiene'!BM$3-'Yearly Butadiene'!$X$3)/10)</f>
        <v>0</v>
      </c>
      <c r="BN28" s="101">
        <f>BN26*'R&amp;S - Buildings'!$H$8*'R&amp;S - Buildings'!$C$12*('R&amp;S - Buildings'!$B$16+('R&amp;S - Buildings'!$B$17-'R&amp;S - Buildings'!$B$16)*('Yearly Butadiene'!BN$3-'Yearly Butadiene'!$X$3)/10)</f>
        <v>0</v>
      </c>
    </row>
    <row r="29" spans="1:75" outlineLevel="1">
      <c r="B29" s="1" t="s">
        <v>195</v>
      </c>
      <c r="C29" s="61" t="s">
        <v>166</v>
      </c>
      <c r="D29" s="633">
        <f>D26-D27-D28</f>
        <v>10097.623110892866</v>
      </c>
      <c r="E29" s="633">
        <f t="shared" ref="E29:AG29" si="27">E26-E27-E28</f>
        <v>9914.3512514301601</v>
      </c>
      <c r="F29" s="633">
        <f t="shared" si="27"/>
        <v>9731.0793919674543</v>
      </c>
      <c r="G29" s="633">
        <f t="shared" si="27"/>
        <v>9547.8075325047503</v>
      </c>
      <c r="H29" s="633">
        <f t="shared" si="27"/>
        <v>9364.5356730420444</v>
      </c>
      <c r="I29" s="633">
        <f t="shared" si="27"/>
        <v>9181.2638135793386</v>
      </c>
      <c r="J29" s="633">
        <f t="shared" si="27"/>
        <v>8997.9919541166328</v>
      </c>
      <c r="K29" s="633">
        <f t="shared" si="27"/>
        <v>8814.7200946539269</v>
      </c>
      <c r="L29" s="633">
        <f t="shared" si="27"/>
        <v>8631.4482351912211</v>
      </c>
      <c r="M29" s="633">
        <f t="shared" si="27"/>
        <v>8448.1763757285153</v>
      </c>
      <c r="N29" s="633">
        <f t="shared" si="27"/>
        <v>8264.9045162658113</v>
      </c>
      <c r="O29" s="633">
        <f t="shared" si="27"/>
        <v>8081.6326568031054</v>
      </c>
      <c r="P29" s="633">
        <f t="shared" si="27"/>
        <v>7898.3607973403996</v>
      </c>
      <c r="Q29" s="633">
        <f t="shared" si="27"/>
        <v>7715.0889378776938</v>
      </c>
      <c r="R29" s="633">
        <f t="shared" si="27"/>
        <v>7531.8170784149879</v>
      </c>
      <c r="S29" s="633">
        <f t="shared" si="27"/>
        <v>7348.545218952283</v>
      </c>
      <c r="T29" s="633">
        <f t="shared" si="27"/>
        <v>7165.2733594895772</v>
      </c>
      <c r="U29" s="633">
        <f t="shared" si="27"/>
        <v>6982.0015000268722</v>
      </c>
      <c r="V29" s="633">
        <f t="shared" si="27"/>
        <v>6798.7296405641664</v>
      </c>
      <c r="W29" s="633">
        <f t="shared" si="27"/>
        <v>6615.4577811014606</v>
      </c>
      <c r="X29" s="633">
        <f t="shared" si="27"/>
        <v>6432.1859216387547</v>
      </c>
      <c r="Y29" s="633">
        <f t="shared" si="27"/>
        <v>6243.3603694650583</v>
      </c>
      <c r="Z29" s="633">
        <f t="shared" si="27"/>
        <v>6054.5348172913618</v>
      </c>
      <c r="AA29" s="633">
        <f t="shared" si="27"/>
        <v>5865.7092651176654</v>
      </c>
      <c r="AB29" s="633">
        <f t="shared" si="27"/>
        <v>5676.8837129439689</v>
      </c>
      <c r="AC29" s="633">
        <f t="shared" si="27"/>
        <v>5488.0581607702716</v>
      </c>
      <c r="AD29" s="633">
        <f t="shared" si="27"/>
        <v>5299.2326085965751</v>
      </c>
      <c r="AE29" s="633">
        <f t="shared" si="27"/>
        <v>5110.4070564228787</v>
      </c>
      <c r="AF29" s="633">
        <f t="shared" si="27"/>
        <v>4921.5815042491831</v>
      </c>
      <c r="AG29" s="633">
        <f t="shared" si="27"/>
        <v>4732.7559520754858</v>
      </c>
      <c r="AH29" s="633">
        <f>AH26-AH27-AH28</f>
        <v>4543.9303999017893</v>
      </c>
      <c r="AI29" s="191"/>
      <c r="AJ29" s="633">
        <f>AJ26-AJ27-AJ28</f>
        <v>10097.623110892866</v>
      </c>
      <c r="AK29" s="633">
        <f t="shared" ref="AK29:BM29" si="28">AK26-AK27-AK28</f>
        <v>10024.314367107783</v>
      </c>
      <c r="AL29" s="633">
        <f t="shared" si="28"/>
        <v>9951.0056233227024</v>
      </c>
      <c r="AM29" s="633">
        <f t="shared" si="28"/>
        <v>9877.6968795376197</v>
      </c>
      <c r="AN29" s="633">
        <f t="shared" si="28"/>
        <v>9804.388135752537</v>
      </c>
      <c r="AO29" s="633">
        <f t="shared" si="28"/>
        <v>9731.0793919674543</v>
      </c>
      <c r="AP29" s="633">
        <f t="shared" si="28"/>
        <v>9657.7706481823734</v>
      </c>
      <c r="AQ29" s="633">
        <f t="shared" si="28"/>
        <v>9584.4619043972907</v>
      </c>
      <c r="AR29" s="633">
        <f t="shared" si="28"/>
        <v>9511.153160612208</v>
      </c>
      <c r="AS29" s="633">
        <f t="shared" si="28"/>
        <v>9437.8444168271253</v>
      </c>
      <c r="AT29" s="633">
        <f t="shared" si="28"/>
        <v>9364.5356730420444</v>
      </c>
      <c r="AU29" s="633">
        <f t="shared" si="28"/>
        <v>9291.2269292569617</v>
      </c>
      <c r="AV29" s="633">
        <f t="shared" si="28"/>
        <v>9217.918185471879</v>
      </c>
      <c r="AW29" s="633">
        <f t="shared" si="28"/>
        <v>9144.6094416867963</v>
      </c>
      <c r="AX29" s="633">
        <f t="shared" si="28"/>
        <v>9071.3006979017155</v>
      </c>
      <c r="AY29" s="633">
        <f t="shared" si="28"/>
        <v>8997.9919541166328</v>
      </c>
      <c r="AZ29" s="633">
        <f t="shared" si="28"/>
        <v>8924.6832103315501</v>
      </c>
      <c r="BA29" s="633">
        <f t="shared" si="28"/>
        <v>8851.3744665464692</v>
      </c>
      <c r="BB29" s="633">
        <f t="shared" si="28"/>
        <v>8778.0657227613865</v>
      </c>
      <c r="BC29" s="633">
        <f t="shared" si="28"/>
        <v>8704.7569789763038</v>
      </c>
      <c r="BD29" s="633">
        <f t="shared" si="28"/>
        <v>8631.4482351912211</v>
      </c>
      <c r="BE29" s="633">
        <f t="shared" si="28"/>
        <v>8555.9180143217436</v>
      </c>
      <c r="BF29" s="633">
        <f t="shared" si="28"/>
        <v>8480.3877934522643</v>
      </c>
      <c r="BG29" s="633">
        <f t="shared" si="28"/>
        <v>8404.8575725827868</v>
      </c>
      <c r="BH29" s="633">
        <f t="shared" si="28"/>
        <v>8329.3273517133075</v>
      </c>
      <c r="BI29" s="633">
        <f t="shared" si="28"/>
        <v>8253.7971308438282</v>
      </c>
      <c r="BJ29" s="633">
        <f t="shared" si="28"/>
        <v>8178.2669099743498</v>
      </c>
      <c r="BK29" s="633">
        <f t="shared" si="28"/>
        <v>8102.7366891048714</v>
      </c>
      <c r="BL29" s="633">
        <f t="shared" si="28"/>
        <v>8027.206468235393</v>
      </c>
      <c r="BM29" s="633">
        <f t="shared" si="28"/>
        <v>7951.6762473659146</v>
      </c>
      <c r="BN29" s="633">
        <f>BN26-BN27-BN28</f>
        <v>7876.1460264964353</v>
      </c>
    </row>
    <row r="30" spans="1:75" s="62" customFormat="1" outlineLevel="1">
      <c r="A30" s="55" t="s">
        <v>257</v>
      </c>
      <c r="B30" s="55" t="s">
        <v>174</v>
      </c>
      <c r="C30" s="56" t="s">
        <v>166</v>
      </c>
      <c r="D30" s="631">
        <f>'Demand - C4'!O29</f>
        <v>858.35106600000074</v>
      </c>
      <c r="E30" s="631">
        <f>D30*(1+'Demand - C4'!$K$29)</f>
        <v>858.35106600000074</v>
      </c>
      <c r="F30" s="631">
        <f>E30*(1+'Demand - C4'!$K$29)</f>
        <v>858.35106600000074</v>
      </c>
      <c r="G30" s="631">
        <f>F30*(1+'Demand - C4'!$K$29)</f>
        <v>858.35106600000074</v>
      </c>
      <c r="H30" s="631">
        <f>G30*(1+'Demand - C4'!$K$29)</f>
        <v>858.35106600000074</v>
      </c>
      <c r="I30" s="631">
        <f>H30*(1+'Demand - C4'!$K$29)</f>
        <v>858.35106600000074</v>
      </c>
      <c r="J30" s="631">
        <f>I30*(1+'Demand - C4'!$K$29)</f>
        <v>858.35106600000074</v>
      </c>
      <c r="K30" s="631">
        <f>J30*(1+'Demand - C4'!$K$29)</f>
        <v>858.35106600000074</v>
      </c>
      <c r="L30" s="631">
        <f>K30*(1+'Demand - C4'!$K$29)</f>
        <v>858.35106600000074</v>
      </c>
      <c r="M30" s="631">
        <f>L30*(1+'Demand - C4'!$K$29)</f>
        <v>858.35106600000074</v>
      </c>
      <c r="N30" s="631">
        <f>M30*(1+'Demand - C4'!$K$29)</f>
        <v>858.35106600000074</v>
      </c>
      <c r="O30" s="631">
        <f>N30*(1+'Demand - C4'!$K$29)</f>
        <v>858.35106600000074</v>
      </c>
      <c r="P30" s="631">
        <f>O30*(1+'Demand - C4'!$K$29)</f>
        <v>858.35106600000074</v>
      </c>
      <c r="Q30" s="631">
        <f>P30*(1+'Demand - C4'!$K$29)</f>
        <v>858.35106600000074</v>
      </c>
      <c r="R30" s="631">
        <f>Q30*(1+'Demand - C4'!$K$29)</f>
        <v>858.35106600000074</v>
      </c>
      <c r="S30" s="631">
        <f>R30*(1+'Demand - C4'!$K$29)</f>
        <v>858.35106600000074</v>
      </c>
      <c r="T30" s="631">
        <f>S30*(1+'Demand - C4'!$K$29)</f>
        <v>858.35106600000074</v>
      </c>
      <c r="U30" s="631">
        <f>T30*(1+'Demand - C4'!$K$29)</f>
        <v>858.35106600000074</v>
      </c>
      <c r="V30" s="631">
        <f>U30*(1+'Demand - C4'!$K$29)</f>
        <v>858.35106600000074</v>
      </c>
      <c r="W30" s="631">
        <f>V30*(1+'Demand - C4'!$K$29)</f>
        <v>858.35106600000074</v>
      </c>
      <c r="X30" s="631">
        <f>W30*(1+'Demand - C4'!$K$29)</f>
        <v>858.35106600000074</v>
      </c>
      <c r="Y30" s="631">
        <f>X30*(1+'Demand - C4'!$K$29)</f>
        <v>858.35106600000074</v>
      </c>
      <c r="Z30" s="631">
        <f>Y30*(1+'Demand - C4'!$K$29)</f>
        <v>858.35106600000074</v>
      </c>
      <c r="AA30" s="631">
        <f>Z30*(1+'Demand - C4'!$K$29)</f>
        <v>858.35106600000074</v>
      </c>
      <c r="AB30" s="631">
        <f>AA30*(1+'Demand - C4'!$K$29)</f>
        <v>858.35106600000074</v>
      </c>
      <c r="AC30" s="631">
        <f>AB30*(1+'Demand - C4'!$K$29)</f>
        <v>858.35106600000074</v>
      </c>
      <c r="AD30" s="631">
        <f>AC30*(1+'Demand - C4'!$K$29)</f>
        <v>858.35106600000074</v>
      </c>
      <c r="AE30" s="631">
        <f>AD30*(1+'Demand - C4'!$K$29)</f>
        <v>858.35106600000074</v>
      </c>
      <c r="AF30" s="631">
        <f>AE30*(1+'Demand - C4'!$K$29)</f>
        <v>858.35106600000074</v>
      </c>
      <c r="AG30" s="631">
        <f>AF30*(1+'Demand - C4'!$K$29)</f>
        <v>858.35106600000074</v>
      </c>
      <c r="AH30" s="631">
        <f>AG30*(1+'Demand - C4'!$K$29)</f>
        <v>858.35106600000074</v>
      </c>
      <c r="AI30" s="639"/>
      <c r="AJ30" s="631">
        <f>D30</f>
        <v>858.35106600000074</v>
      </c>
      <c r="AK30" s="631">
        <f t="shared" ref="AK30:BN30" si="29">E30</f>
        <v>858.35106600000074</v>
      </c>
      <c r="AL30" s="631">
        <f t="shared" si="29"/>
        <v>858.35106600000074</v>
      </c>
      <c r="AM30" s="631">
        <f t="shared" si="29"/>
        <v>858.35106600000074</v>
      </c>
      <c r="AN30" s="631">
        <f t="shared" si="29"/>
        <v>858.35106600000074</v>
      </c>
      <c r="AO30" s="631">
        <f t="shared" si="29"/>
        <v>858.35106600000074</v>
      </c>
      <c r="AP30" s="631">
        <f t="shared" si="29"/>
        <v>858.35106600000074</v>
      </c>
      <c r="AQ30" s="631">
        <f t="shared" si="29"/>
        <v>858.35106600000074</v>
      </c>
      <c r="AR30" s="631">
        <f t="shared" si="29"/>
        <v>858.35106600000074</v>
      </c>
      <c r="AS30" s="631">
        <f t="shared" si="29"/>
        <v>858.35106600000074</v>
      </c>
      <c r="AT30" s="631">
        <f t="shared" si="29"/>
        <v>858.35106600000074</v>
      </c>
      <c r="AU30" s="631">
        <f t="shared" si="29"/>
        <v>858.35106600000074</v>
      </c>
      <c r="AV30" s="631">
        <f t="shared" si="29"/>
        <v>858.35106600000074</v>
      </c>
      <c r="AW30" s="631">
        <f t="shared" si="29"/>
        <v>858.35106600000074</v>
      </c>
      <c r="AX30" s="631">
        <f t="shared" si="29"/>
        <v>858.35106600000074</v>
      </c>
      <c r="AY30" s="631">
        <f t="shared" si="29"/>
        <v>858.35106600000074</v>
      </c>
      <c r="AZ30" s="631">
        <f t="shared" si="29"/>
        <v>858.35106600000074</v>
      </c>
      <c r="BA30" s="631">
        <f t="shared" si="29"/>
        <v>858.35106600000074</v>
      </c>
      <c r="BB30" s="631">
        <f t="shared" si="29"/>
        <v>858.35106600000074</v>
      </c>
      <c r="BC30" s="631">
        <f t="shared" si="29"/>
        <v>858.35106600000074</v>
      </c>
      <c r="BD30" s="631">
        <f t="shared" si="29"/>
        <v>858.35106600000074</v>
      </c>
      <c r="BE30" s="631">
        <f t="shared" si="29"/>
        <v>858.35106600000074</v>
      </c>
      <c r="BF30" s="631">
        <f t="shared" si="29"/>
        <v>858.35106600000074</v>
      </c>
      <c r="BG30" s="631">
        <f t="shared" si="29"/>
        <v>858.35106600000074</v>
      </c>
      <c r="BH30" s="631">
        <f t="shared" si="29"/>
        <v>858.35106600000074</v>
      </c>
      <c r="BI30" s="631">
        <f t="shared" si="29"/>
        <v>858.35106600000074</v>
      </c>
      <c r="BJ30" s="631">
        <f t="shared" si="29"/>
        <v>858.35106600000074</v>
      </c>
      <c r="BK30" s="631">
        <f t="shared" si="29"/>
        <v>858.35106600000074</v>
      </c>
      <c r="BL30" s="631">
        <f t="shared" si="29"/>
        <v>858.35106600000074</v>
      </c>
      <c r="BM30" s="631">
        <f t="shared" si="29"/>
        <v>858.35106600000074</v>
      </c>
      <c r="BN30" s="631">
        <f t="shared" si="29"/>
        <v>858.35106600000074</v>
      </c>
    </row>
    <row r="31" spans="1:75" outlineLevel="1">
      <c r="B31" s="58" t="s">
        <v>196</v>
      </c>
      <c r="C31" s="51" t="s">
        <v>166</v>
      </c>
      <c r="D31" s="196">
        <f>D30*'R&amp;S - Apparel'!$C$7*'R&amp;S - Apparel'!$B$13*'R&amp;S - Apparel'!$B$17*(D$3-$D$3)/10</f>
        <v>0</v>
      </c>
      <c r="E31" s="196">
        <f>E30*'R&amp;S - Apparel'!$C$7*'R&amp;S - Apparel'!$B$13*'R&amp;S - Apparel'!$B$17*(E$3-$D$3)/10</f>
        <v>15.021143655000012</v>
      </c>
      <c r="F31" s="196">
        <f>F30*'R&amp;S - Apparel'!$C$7*'R&amp;S - Apparel'!$B$13*'R&amp;S - Apparel'!$B$17*(F$3-$D$3)/10</f>
        <v>30.042287310000024</v>
      </c>
      <c r="G31" s="196">
        <f>G30*'R&amp;S - Apparel'!$C$7*'R&amp;S - Apparel'!$B$13*'R&amp;S - Apparel'!$B$17*(G$3-$D$3)/10</f>
        <v>45.06343096500003</v>
      </c>
      <c r="H31" s="196">
        <f>H30*'R&amp;S - Apparel'!$C$7*'R&amp;S - Apparel'!$B$13*'R&amp;S - Apparel'!$B$17*(H$3-$D$3)/10</f>
        <v>60.084574620000048</v>
      </c>
      <c r="I31" s="196">
        <f>I30*'R&amp;S - Apparel'!$C$7*'R&amp;S - Apparel'!$B$13*'R&amp;S - Apparel'!$B$17*(I$3-$D$3)/10</f>
        <v>75.105718275000058</v>
      </c>
      <c r="J31" s="196">
        <f>J30*'R&amp;S - Apparel'!$C$7*'R&amp;S - Apparel'!$B$13*'R&amp;S - Apparel'!$B$17*(J$3-$D$3)/10</f>
        <v>90.126861930000061</v>
      </c>
      <c r="K31" s="196">
        <f>K30*'R&amp;S - Apparel'!$C$7*'R&amp;S - Apparel'!$B$13*'R&amp;S - Apparel'!$B$17*(K$3-$D$3)/10</f>
        <v>105.14800558500008</v>
      </c>
      <c r="L31" s="196">
        <f>L30*'R&amp;S - Apparel'!$C$7*'R&amp;S - Apparel'!$B$13*'R&amp;S - Apparel'!$B$17*(L$3-$D$3)/10</f>
        <v>120.1691492400001</v>
      </c>
      <c r="M31" s="196">
        <f>M30*'R&amp;S - Apparel'!$C$7*'R&amp;S - Apparel'!$B$13*'R&amp;S - Apparel'!$B$17*(M$3-$D$3)/10</f>
        <v>135.19029289500011</v>
      </c>
      <c r="N31" s="196">
        <f>N30*'R&amp;S - Apparel'!$C$7*'R&amp;S - Apparel'!$B$13*'R&amp;S - Apparel'!$B$17*(N$3-$D$3)/10</f>
        <v>150.21143655000012</v>
      </c>
      <c r="O31" s="196">
        <f>O30*'R&amp;S - Apparel'!$C$7*'R&amp;S - Apparel'!$B$13*('R&amp;S - Apparel'!$B$17+('R&amp;S - Apparel'!$B$18-'R&amp;S - Apparel'!$B$17)*(O$3-$N$3)/10)</f>
        <v>154.50319188000012</v>
      </c>
      <c r="P31" s="196">
        <f>P30*'R&amp;S - Apparel'!$C$7*'R&amp;S - Apparel'!$B$13*('R&amp;S - Apparel'!$B$17+('R&amp;S - Apparel'!$B$18-'R&amp;S - Apparel'!$B$17)*(P$3-$N$3)/10)</f>
        <v>158.79494721000015</v>
      </c>
      <c r="Q31" s="196">
        <f>Q30*'R&amp;S - Apparel'!$C$7*'R&amp;S - Apparel'!$B$13*('R&amp;S - Apparel'!$B$17+('R&amp;S - Apparel'!$B$18-'R&amp;S - Apparel'!$B$17)*(Q$3-$N$3)/10)</f>
        <v>163.08670254000015</v>
      </c>
      <c r="R31" s="196">
        <f>R30*'R&amp;S - Apparel'!$C$7*'R&amp;S - Apparel'!$B$13*('R&amp;S - Apparel'!$B$17+('R&amp;S - Apparel'!$B$18-'R&amp;S - Apparel'!$B$17)*(R$3-$N$3)/10)</f>
        <v>167.37845787000015</v>
      </c>
      <c r="S31" s="196">
        <f>S30*'R&amp;S - Apparel'!$C$7*'R&amp;S - Apparel'!$B$13*('R&amp;S - Apparel'!$B$17+('R&amp;S - Apparel'!$B$18-'R&amp;S - Apparel'!$B$17)*(S$3-$N$3)/10)</f>
        <v>171.67021320000015</v>
      </c>
      <c r="T31" s="196">
        <f>T30*'R&amp;S - Apparel'!$C$7*'R&amp;S - Apparel'!$B$13*('R&amp;S - Apparel'!$B$17+('R&amp;S - Apparel'!$B$18-'R&amp;S - Apparel'!$B$17)*(T$3-$N$3)/10)</f>
        <v>175.96196853000015</v>
      </c>
      <c r="U31" s="196">
        <f>U30*'R&amp;S - Apparel'!$C$7*'R&amp;S - Apparel'!$B$13*('R&amp;S - Apparel'!$B$17+('R&amp;S - Apparel'!$B$18-'R&amp;S - Apparel'!$B$17)*(U$3-$N$3)/10)</f>
        <v>180.25372386000015</v>
      </c>
      <c r="V31" s="196">
        <f>V30*'R&amp;S - Apparel'!$C$7*'R&amp;S - Apparel'!$B$13*('R&amp;S - Apparel'!$B$17+('R&amp;S - Apparel'!$B$18-'R&amp;S - Apparel'!$B$17)*(V$3-$N$3)/10)</f>
        <v>184.54547919000015</v>
      </c>
      <c r="W31" s="196">
        <f>W30*'R&amp;S - Apparel'!$C$7*'R&amp;S - Apparel'!$B$13*('R&amp;S - Apparel'!$B$17+('R&amp;S - Apparel'!$B$18-'R&amp;S - Apparel'!$B$17)*(W$3-$N$3)/10)</f>
        <v>188.83723452000015</v>
      </c>
      <c r="X31" s="196">
        <f>X30*'R&amp;S - Apparel'!$C$7*'R&amp;S - Apparel'!$B$13*('R&amp;S - Apparel'!$B$17+('R&amp;S - Apparel'!$B$18-'R&amp;S - Apparel'!$B$17)*(X$3-$N$3)/10)</f>
        <v>193.12898985000018</v>
      </c>
      <c r="Y31" s="196">
        <f>Y30*'R&amp;S - Apparel'!$C$7*'R&amp;S - Apparel'!$B$13*('R&amp;S - Apparel'!$B$18+('R&amp;S - Apparel'!$B$19-'R&amp;S - Apparel'!$B$18)*(Y$3-$X$3)/10)</f>
        <v>195.27486751500018</v>
      </c>
      <c r="Z31" s="196">
        <f>Z30*'R&amp;S - Apparel'!$C$7*'R&amp;S - Apparel'!$B$13*('R&amp;S - Apparel'!$B$18+('R&amp;S - Apparel'!$B$19-'R&amp;S - Apparel'!$B$18)*(Z$3-$X$3)/10)</f>
        <v>197.42074518000018</v>
      </c>
      <c r="AA31" s="196">
        <f>AA30*'R&amp;S - Apparel'!$C$7*'R&amp;S - Apparel'!$B$13*('R&amp;S - Apparel'!$B$18+('R&amp;S - Apparel'!$B$19-'R&amp;S - Apparel'!$B$18)*(AA$3-$X$3)/10)</f>
        <v>199.56662284500018</v>
      </c>
      <c r="AB31" s="196">
        <f>AB30*'R&amp;S - Apparel'!$C$7*'R&amp;S - Apparel'!$B$13*('R&amp;S - Apparel'!$B$18+('R&amp;S - Apparel'!$B$19-'R&amp;S - Apparel'!$B$18)*(AB$3-$X$3)/10)</f>
        <v>201.71250051000018</v>
      </c>
      <c r="AC31" s="196">
        <f>AC30*'R&amp;S - Apparel'!$C$7*'R&amp;S - Apparel'!$B$13*('R&amp;S - Apparel'!$B$18+('R&amp;S - Apparel'!$B$19-'R&amp;S - Apparel'!$B$18)*(AC$3-$X$3)/10)</f>
        <v>203.85837817500015</v>
      </c>
      <c r="AD31" s="196">
        <f>AD30*'R&amp;S - Apparel'!$C$7*'R&amp;S - Apparel'!$B$13*('R&amp;S - Apparel'!$B$18+('R&amp;S - Apparel'!$B$19-'R&amp;S - Apparel'!$B$18)*(AD$3-$X$3)/10)</f>
        <v>206.00425584000018</v>
      </c>
      <c r="AE31" s="196">
        <f>AE30*'R&amp;S - Apparel'!$C$7*'R&amp;S - Apparel'!$B$13*('R&amp;S - Apparel'!$B$18+('R&amp;S - Apparel'!$B$19-'R&amp;S - Apparel'!$B$18)*(AE$3-$X$3)/10)</f>
        <v>208.15013350500018</v>
      </c>
      <c r="AF31" s="196">
        <f>AF30*'R&amp;S - Apparel'!$C$7*'R&amp;S - Apparel'!$B$13*('R&amp;S - Apparel'!$B$18+('R&amp;S - Apparel'!$B$19-'R&amp;S - Apparel'!$B$18)*(AF$3-$X$3)/10)</f>
        <v>210.29601117000018</v>
      </c>
      <c r="AG31" s="196">
        <f>AG30*'R&amp;S - Apparel'!$C$7*'R&amp;S - Apparel'!$B$13*('R&amp;S - Apparel'!$B$18+('R&amp;S - Apparel'!$B$19-'R&amp;S - Apparel'!$B$18)*(AG$3-$X$3)/10)</f>
        <v>212.44188883500019</v>
      </c>
      <c r="AH31" s="196">
        <f>AH30*'R&amp;S - Apparel'!$C$7*'R&amp;S - Apparel'!$B$13*('R&amp;S - Apparel'!$B$18+('R&amp;S - Apparel'!$B$19-'R&amp;S - Apparel'!$B$18)*(AH$3-$X$3)/10)</f>
        <v>214.58776650000019</v>
      </c>
      <c r="AI31" s="635"/>
      <c r="AJ31" s="196">
        <f>AJ30*'R&amp;S - Apparel'!$C$7*'R&amp;S - Apparel'!$B$14*'R&amp;S - Apparel'!$B$17*(AJ$3-$D$3)/10</f>
        <v>0</v>
      </c>
      <c r="AK31" s="196">
        <f>AK30*'R&amp;S - Apparel'!$C$7*'R&amp;S - Apparel'!$B$14*'R&amp;S - Apparel'!$B$17*(AK$3-$D$3)/10</f>
        <v>7.510571827500006</v>
      </c>
      <c r="AL31" s="196">
        <f>AL30*'R&amp;S - Apparel'!$C$7*'R&amp;S - Apparel'!$B$14*'R&amp;S - Apparel'!$B$17*(AL$3-$D$3)/10</f>
        <v>15.021143655000012</v>
      </c>
      <c r="AM31" s="196">
        <f>AM30*'R&amp;S - Apparel'!$C$7*'R&amp;S - Apparel'!$B$14*'R&amp;S - Apparel'!$B$17*(AM$3-$D$3)/10</f>
        <v>22.531715482500015</v>
      </c>
      <c r="AN31" s="196">
        <f>AN30*'R&amp;S - Apparel'!$C$7*'R&amp;S - Apparel'!$B$14*'R&amp;S - Apparel'!$B$17*(AN$3-$D$3)/10</f>
        <v>30.042287310000024</v>
      </c>
      <c r="AO31" s="196">
        <f>AO30*'R&amp;S - Apparel'!$C$7*'R&amp;S - Apparel'!$B$14*'R&amp;S - Apparel'!$B$17*(AO$3-$D$3)/10</f>
        <v>37.552859137500029</v>
      </c>
      <c r="AP31" s="196">
        <f>AP30*'R&amp;S - Apparel'!$C$7*'R&amp;S - Apparel'!$B$14*'R&amp;S - Apparel'!$B$17*(AP$3-$D$3)/10</f>
        <v>45.06343096500003</v>
      </c>
      <c r="AQ31" s="196">
        <f>AQ30*'R&amp;S - Apparel'!$C$7*'R&amp;S - Apparel'!$B$14*'R&amp;S - Apparel'!$B$17*(AQ$3-$D$3)/10</f>
        <v>52.574002792500039</v>
      </c>
      <c r="AR31" s="196">
        <f>AR30*'R&amp;S - Apparel'!$C$7*'R&amp;S - Apparel'!$B$14*'R&amp;S - Apparel'!$B$17*(AR$3-$D$3)/10</f>
        <v>60.084574620000048</v>
      </c>
      <c r="AS31" s="196">
        <f>AS30*'R&amp;S - Apparel'!$C$7*'R&amp;S - Apparel'!$B$14*'R&amp;S - Apparel'!$B$17*(AS$3-$D$3)/10</f>
        <v>67.595146447500056</v>
      </c>
      <c r="AT31" s="196">
        <f>AT30*'R&amp;S - Apparel'!$C$7*'R&amp;S - Apparel'!$B$14*'R&amp;S - Apparel'!$B$17*(AT$3-$D$3)/10</f>
        <v>75.105718275000058</v>
      </c>
      <c r="AU31" s="196">
        <f>AU30*'R&amp;S - Apparel'!$C$7*'R&amp;S - Apparel'!$B$14*('R&amp;S - Apparel'!$B$17+('R&amp;S - Apparel'!$B$18-'R&amp;S - Apparel'!$B$17)*(AU$3-$N$3)/10)</f>
        <v>77.251595940000058</v>
      </c>
      <c r="AV31" s="196">
        <f>AV30*'R&amp;S - Apparel'!$C$7*'R&amp;S - Apparel'!$B$14*('R&amp;S - Apparel'!$B$17+('R&amp;S - Apparel'!$B$18-'R&amp;S - Apparel'!$B$17)*(AV$3-$N$3)/10)</f>
        <v>79.397473605000073</v>
      </c>
      <c r="AW31" s="196">
        <f>AW30*'R&amp;S - Apparel'!$C$7*'R&amp;S - Apparel'!$B$14*('R&amp;S - Apparel'!$B$17+('R&amp;S - Apparel'!$B$18-'R&amp;S - Apparel'!$B$17)*(AW$3-$N$3)/10)</f>
        <v>81.543351270000073</v>
      </c>
      <c r="AX31" s="196">
        <f>AX30*'R&amp;S - Apparel'!$C$7*'R&amp;S - Apparel'!$B$14*('R&amp;S - Apparel'!$B$17+('R&amp;S - Apparel'!$B$18-'R&amp;S - Apparel'!$B$17)*(AX$3-$N$3)/10)</f>
        <v>83.689228935000074</v>
      </c>
      <c r="AY31" s="196">
        <f>AY30*'R&amp;S - Apparel'!$C$7*'R&amp;S - Apparel'!$B$14*('R&amp;S - Apparel'!$B$17+('R&amp;S - Apparel'!$B$18-'R&amp;S - Apparel'!$B$17)*(AY$3-$N$3)/10)</f>
        <v>85.835106600000074</v>
      </c>
      <c r="AZ31" s="196">
        <f>AZ30*'R&amp;S - Apparel'!$C$7*'R&amp;S - Apparel'!$B$14*('R&amp;S - Apparel'!$B$17+('R&amp;S - Apparel'!$B$18-'R&amp;S - Apparel'!$B$17)*(AZ$3-$N$3)/10)</f>
        <v>87.980984265000075</v>
      </c>
      <c r="BA31" s="196">
        <f>BA30*'R&amp;S - Apparel'!$C$7*'R&amp;S - Apparel'!$B$14*('R&amp;S - Apparel'!$B$17+('R&amp;S - Apparel'!$B$18-'R&amp;S - Apparel'!$B$17)*(BA$3-$N$3)/10)</f>
        <v>90.126861930000075</v>
      </c>
      <c r="BB31" s="196">
        <f>BB30*'R&amp;S - Apparel'!$C$7*'R&amp;S - Apparel'!$B$14*('R&amp;S - Apparel'!$B$17+('R&amp;S - Apparel'!$B$18-'R&amp;S - Apparel'!$B$17)*(BB$3-$N$3)/10)</f>
        <v>92.272739595000075</v>
      </c>
      <c r="BC31" s="196">
        <f>BC30*'R&amp;S - Apparel'!$C$7*'R&amp;S - Apparel'!$B$14*('R&amp;S - Apparel'!$B$17+('R&amp;S - Apparel'!$B$18-'R&amp;S - Apparel'!$B$17)*(BC$3-$N$3)/10)</f>
        <v>94.418617260000076</v>
      </c>
      <c r="BD31" s="196">
        <f>BD30*'R&amp;S - Apparel'!$C$7*'R&amp;S - Apparel'!$B$14*('R&amp;S - Apparel'!$B$17+('R&amp;S - Apparel'!$B$18-'R&amp;S - Apparel'!$B$17)*(BD$3-$N$3)/10)</f>
        <v>96.564494925000091</v>
      </c>
      <c r="BE31" s="196">
        <f>BE30*'R&amp;S - Apparel'!$C$7*'R&amp;S - Apparel'!$B$14*('R&amp;S - Apparel'!$B$18+('R&amp;S - Apparel'!$B$19-'R&amp;S - Apparel'!$B$18)*(BE$3-$X$3)/10)</f>
        <v>97.637433757500091</v>
      </c>
      <c r="BF31" s="196">
        <f>BF30*'R&amp;S - Apparel'!$C$7*'R&amp;S - Apparel'!$B$14*('R&amp;S - Apparel'!$B$18+('R&amp;S - Apparel'!$B$19-'R&amp;S - Apparel'!$B$18)*(BF$3-$X$3)/10)</f>
        <v>98.710372590000091</v>
      </c>
      <c r="BG31" s="196">
        <f>BG30*'R&amp;S - Apparel'!$C$7*'R&amp;S - Apparel'!$B$14*('R&amp;S - Apparel'!$B$18+('R&amp;S - Apparel'!$B$19-'R&amp;S - Apparel'!$B$18)*(BG$3-$X$3)/10)</f>
        <v>99.783311422500091</v>
      </c>
      <c r="BH31" s="196">
        <f>BH30*'R&amp;S - Apparel'!$C$7*'R&amp;S - Apparel'!$B$14*('R&amp;S - Apparel'!$B$18+('R&amp;S - Apparel'!$B$19-'R&amp;S - Apparel'!$B$18)*(BH$3-$X$3)/10)</f>
        <v>100.85625025500009</v>
      </c>
      <c r="BI31" s="196">
        <f>BI30*'R&amp;S - Apparel'!$C$7*'R&amp;S - Apparel'!$B$14*('R&amp;S - Apparel'!$B$18+('R&amp;S - Apparel'!$B$19-'R&amp;S - Apparel'!$B$18)*(BI$3-$X$3)/10)</f>
        <v>101.92918908750008</v>
      </c>
      <c r="BJ31" s="196">
        <f>BJ30*'R&amp;S - Apparel'!$C$7*'R&amp;S - Apparel'!$B$14*('R&amp;S - Apparel'!$B$18+('R&amp;S - Apparel'!$B$19-'R&amp;S - Apparel'!$B$18)*(BJ$3-$X$3)/10)</f>
        <v>103.00212792000009</v>
      </c>
      <c r="BK31" s="196">
        <f>BK30*'R&amp;S - Apparel'!$C$7*'R&amp;S - Apparel'!$B$14*('R&amp;S - Apparel'!$B$18+('R&amp;S - Apparel'!$B$19-'R&amp;S - Apparel'!$B$18)*(BK$3-$X$3)/10)</f>
        <v>104.07506675250009</v>
      </c>
      <c r="BL31" s="196">
        <f>BL30*'R&amp;S - Apparel'!$C$7*'R&amp;S - Apparel'!$B$14*('R&amp;S - Apparel'!$B$18+('R&amp;S - Apparel'!$B$19-'R&amp;S - Apparel'!$B$18)*(BL$3-$X$3)/10)</f>
        <v>105.14800558500009</v>
      </c>
      <c r="BM31" s="196">
        <f>BM30*'R&amp;S - Apparel'!$C$7*'R&amp;S - Apparel'!$B$14*('R&amp;S - Apparel'!$B$18+('R&amp;S - Apparel'!$B$19-'R&amp;S - Apparel'!$B$18)*(BM$3-$X$3)/10)</f>
        <v>106.22094441750009</v>
      </c>
      <c r="BN31" s="196">
        <f>BN30*'R&amp;S - Apparel'!$C$7*'R&amp;S - Apparel'!$B$14*('R&amp;S - Apparel'!$B$18+('R&amp;S - Apparel'!$B$19-'R&amp;S - Apparel'!$B$18)*(BN$3-$X$3)/10)</f>
        <v>107.29388325000009</v>
      </c>
    </row>
    <row r="32" spans="1:75" outlineLevel="1">
      <c r="B32" s="58" t="s">
        <v>200</v>
      </c>
      <c r="C32" s="51" t="s">
        <v>166</v>
      </c>
      <c r="D32" s="196">
        <f>D30*'R&amp;S - Apparel'!$C$8*'R&amp;S - Apparel'!$B$13*'R&amp;S - Apparel'!$C$17*(D$3-$D$3)/10</f>
        <v>0</v>
      </c>
      <c r="E32" s="196">
        <f>E30*'R&amp;S - Apparel'!$C$8*'R&amp;S - Apparel'!$B$13*'R&amp;S - Apparel'!$C$17*(E$3-$D$3)/10</f>
        <v>5.8367872488000057</v>
      </c>
      <c r="F32" s="196">
        <f>F30*'R&amp;S - Apparel'!$C$8*'R&amp;S - Apparel'!$B$13*'R&amp;S - Apparel'!$C$17*(F$3-$D$3)/10</f>
        <v>11.673574497600011</v>
      </c>
      <c r="G32" s="196">
        <f>G30*'R&amp;S - Apparel'!$C$8*'R&amp;S - Apparel'!$B$13*'R&amp;S - Apparel'!$C$17*(G$3-$D$3)/10</f>
        <v>17.510361746400019</v>
      </c>
      <c r="H32" s="196">
        <f>H30*'R&amp;S - Apparel'!$C$8*'R&amp;S - Apparel'!$B$13*'R&amp;S - Apparel'!$C$17*(H$3-$D$3)/10</f>
        <v>23.347148995200023</v>
      </c>
      <c r="I32" s="196">
        <f>I30*'R&amp;S - Apparel'!$C$8*'R&amp;S - Apparel'!$B$13*'R&amp;S - Apparel'!$C$17*(I$3-$D$3)/10</f>
        <v>29.18393624400003</v>
      </c>
      <c r="J32" s="196">
        <f>J30*'R&amp;S - Apparel'!$C$8*'R&amp;S - Apparel'!$B$13*'R&amp;S - Apparel'!$C$17*(J$3-$D$3)/10</f>
        <v>35.020723492800037</v>
      </c>
      <c r="K32" s="196">
        <f>K30*'R&amp;S - Apparel'!$C$8*'R&amp;S - Apparel'!$B$13*'R&amp;S - Apparel'!$C$17*(K$3-$D$3)/10</f>
        <v>40.857510741600045</v>
      </c>
      <c r="L32" s="196">
        <f>L30*'R&amp;S - Apparel'!$C$8*'R&amp;S - Apparel'!$B$13*'R&amp;S - Apparel'!$C$17*(L$3-$D$3)/10</f>
        <v>46.694297990400045</v>
      </c>
      <c r="M32" s="196">
        <f>M30*'R&amp;S - Apparel'!$C$8*'R&amp;S - Apparel'!$B$13*'R&amp;S - Apparel'!$C$17*(M$3-$D$3)/10</f>
        <v>52.53108523920006</v>
      </c>
      <c r="N32" s="196">
        <f>N30*'R&amp;S - Apparel'!$C$8*'R&amp;S - Apparel'!$B$13*'R&amp;S - Apparel'!$C$17*(N$3-$D$3)/10</f>
        <v>58.36787248800006</v>
      </c>
      <c r="O32" s="196">
        <f>O30*'R&amp;S - Apparel'!$C$8*'R&amp;S - Apparel'!$B$13*('R&amp;S - Apparel'!$C$17+('R&amp;S - Apparel'!$C$18-'R&amp;S - Apparel'!$C$17)*(O$3-$N$3)/10)</f>
        <v>67.123053361200064</v>
      </c>
      <c r="P32" s="196">
        <f>P30*'R&amp;S - Apparel'!$C$8*'R&amp;S - Apparel'!$B$13*('R&amp;S - Apparel'!$C$17+('R&amp;S - Apparel'!$C$18-'R&amp;S - Apparel'!$C$17)*(P$3-$N$3)/10)</f>
        <v>75.878234234400082</v>
      </c>
      <c r="Q32" s="196">
        <f>Q30*'R&amp;S - Apparel'!$C$8*'R&amp;S - Apparel'!$B$13*('R&amp;S - Apparel'!$C$17+('R&amp;S - Apparel'!$C$18-'R&amp;S - Apparel'!$C$17)*(Q$3-$N$3)/10)</f>
        <v>84.633415107600086</v>
      </c>
      <c r="R32" s="196">
        <f>R30*'R&amp;S - Apparel'!$C$8*'R&amp;S - Apparel'!$B$13*('R&amp;S - Apparel'!$C$17+('R&amp;S - Apparel'!$C$18-'R&amp;S - Apparel'!$C$17)*(R$3-$N$3)/10)</f>
        <v>93.388595980800091</v>
      </c>
      <c r="S32" s="196">
        <f>S30*'R&amp;S - Apparel'!$C$8*'R&amp;S - Apparel'!$B$13*('R&amp;S - Apparel'!$C$17+('R&amp;S - Apparel'!$C$18-'R&amp;S - Apparel'!$C$17)*(S$3-$N$3)/10)</f>
        <v>102.14377685400009</v>
      </c>
      <c r="T32" s="196">
        <f>T30*'R&amp;S - Apparel'!$C$8*'R&amp;S - Apparel'!$B$13*('R&amp;S - Apparel'!$C$17+('R&amp;S - Apparel'!$C$18-'R&amp;S - Apparel'!$C$17)*(T$3-$N$3)/10)</f>
        <v>110.89895772720011</v>
      </c>
      <c r="U32" s="196">
        <f>U30*'R&amp;S - Apparel'!$C$8*'R&amp;S - Apparel'!$B$13*('R&amp;S - Apparel'!$C$17+('R&amp;S - Apparel'!$C$18-'R&amp;S - Apparel'!$C$17)*(U$3-$N$3)/10)</f>
        <v>119.65413860040013</v>
      </c>
      <c r="V32" s="196">
        <f>V30*'R&amp;S - Apparel'!$C$8*'R&amp;S - Apparel'!$B$13*('R&amp;S - Apparel'!$C$17+('R&amp;S - Apparel'!$C$18-'R&amp;S - Apparel'!$C$17)*(V$3-$N$3)/10)</f>
        <v>128.40931947360014</v>
      </c>
      <c r="W32" s="196">
        <f>W30*'R&amp;S - Apparel'!$C$8*'R&amp;S - Apparel'!$B$13*('R&amp;S - Apparel'!$C$17+('R&amp;S - Apparel'!$C$18-'R&amp;S - Apparel'!$C$17)*(W$3-$N$3)/10)</f>
        <v>137.16450034680014</v>
      </c>
      <c r="X32" s="196">
        <f>X30*'R&amp;S - Apparel'!$C$8*'R&amp;S - Apparel'!$B$13*('R&amp;S - Apparel'!$C$17+('R&amp;S - Apparel'!$C$18-'R&amp;S - Apparel'!$C$17)*(X$3-$N$3)/10)</f>
        <v>145.91968122000014</v>
      </c>
      <c r="Y32" s="196">
        <f>Y30*'R&amp;S - Apparel'!$C$8*'R&amp;S - Apparel'!$B$13*('R&amp;S - Apparel'!$C$18+('R&amp;S - Apparel'!$C$19-'R&amp;S - Apparel'!$C$18)*(Y$3-$X$3)/10)</f>
        <v>160.51164934200017</v>
      </c>
      <c r="Z32" s="196">
        <f>Z30*'R&amp;S - Apparel'!$C$8*'R&amp;S - Apparel'!$B$13*('R&amp;S - Apparel'!$C$18+('R&amp;S - Apparel'!$C$19-'R&amp;S - Apparel'!$C$18)*(Z$3-$X$3)/10)</f>
        <v>175.10361746400017</v>
      </c>
      <c r="AA32" s="196">
        <f>AA30*'R&amp;S - Apparel'!$C$8*'R&amp;S - Apparel'!$B$13*('R&amp;S - Apparel'!$C$18+('R&amp;S - Apparel'!$C$19-'R&amp;S - Apparel'!$C$18)*(AA$3-$X$3)/10)</f>
        <v>189.69558558600019</v>
      </c>
      <c r="AB32" s="196">
        <f>AB30*'R&amp;S - Apparel'!$C$8*'R&amp;S - Apparel'!$B$13*('R&amp;S - Apparel'!$C$18+('R&amp;S - Apparel'!$C$19-'R&amp;S - Apparel'!$C$18)*(AB$3-$X$3)/10)</f>
        <v>204.28755370800019</v>
      </c>
      <c r="AC32" s="196">
        <f>AC30*'R&amp;S - Apparel'!$C$8*'R&amp;S - Apparel'!$B$13*('R&amp;S - Apparel'!$C$18+('R&amp;S - Apparel'!$C$19-'R&amp;S - Apparel'!$C$18)*(AC$3-$X$3)/10)</f>
        <v>218.87952183000021</v>
      </c>
      <c r="AD32" s="196">
        <f>AD30*'R&amp;S - Apparel'!$C$8*'R&amp;S - Apparel'!$B$13*('R&amp;S - Apparel'!$C$18+('R&amp;S - Apparel'!$C$19-'R&amp;S - Apparel'!$C$18)*(AD$3-$X$3)/10)</f>
        <v>233.47148995200024</v>
      </c>
      <c r="AE32" s="196">
        <f>AE30*'R&amp;S - Apparel'!$C$8*'R&amp;S - Apparel'!$B$13*('R&amp;S - Apparel'!$C$18+('R&amp;S - Apparel'!$C$19-'R&amp;S - Apparel'!$C$18)*(AE$3-$X$3)/10)</f>
        <v>248.06345807400024</v>
      </c>
      <c r="AF32" s="196">
        <f>AF30*'R&amp;S - Apparel'!$C$8*'R&amp;S - Apparel'!$B$13*('R&amp;S - Apparel'!$C$18+('R&amp;S - Apparel'!$C$19-'R&amp;S - Apparel'!$C$18)*(AF$3-$X$3)/10)</f>
        <v>262.65542619600029</v>
      </c>
      <c r="AG32" s="196">
        <f>AG30*'R&amp;S - Apparel'!$C$8*'R&amp;S - Apparel'!$B$13*('R&amp;S - Apparel'!$C$18+('R&amp;S - Apparel'!$C$19-'R&amp;S - Apparel'!$C$18)*(AG$3-$X$3)/10)</f>
        <v>277.24739431800026</v>
      </c>
      <c r="AH32" s="196">
        <f>AH30*'R&amp;S - Apparel'!$C$8*'R&amp;S - Apparel'!$B$13*('R&amp;S - Apparel'!$C$18+('R&amp;S - Apparel'!$C$19-'R&amp;S - Apparel'!$C$18)*(AH$3-$X$3)/10)</f>
        <v>291.83936244000029</v>
      </c>
      <c r="AI32" s="635"/>
      <c r="AJ32" s="196">
        <f>AJ30*'R&amp;S - Apparel'!$C$8*'R&amp;S - Apparel'!$B$14*'R&amp;S - Apparel'!$C$17*(AJ$3-$D$3)/10</f>
        <v>0</v>
      </c>
      <c r="AK32" s="196">
        <f>AK30*'R&amp;S - Apparel'!$C$8*'R&amp;S - Apparel'!$B$14*'R&amp;S - Apparel'!$C$17*(AK$3-$D$3)/10</f>
        <v>2.9183936244000028</v>
      </c>
      <c r="AL32" s="196">
        <f>AL30*'R&amp;S - Apparel'!$C$8*'R&amp;S - Apparel'!$B$14*'R&amp;S - Apparel'!$C$17*(AL$3-$D$3)/10</f>
        <v>5.8367872488000057</v>
      </c>
      <c r="AM32" s="196">
        <f>AM30*'R&amp;S - Apparel'!$C$8*'R&amp;S - Apparel'!$B$14*'R&amp;S - Apparel'!$C$17*(AM$3-$D$3)/10</f>
        <v>8.7551808732000094</v>
      </c>
      <c r="AN32" s="196">
        <f>AN30*'R&amp;S - Apparel'!$C$8*'R&amp;S - Apparel'!$B$14*'R&amp;S - Apparel'!$C$17*(AN$3-$D$3)/10</f>
        <v>11.673574497600011</v>
      </c>
      <c r="AO32" s="196">
        <f>AO30*'R&amp;S - Apparel'!$C$8*'R&amp;S - Apparel'!$B$14*'R&amp;S - Apparel'!$C$17*(AO$3-$D$3)/10</f>
        <v>14.591968122000015</v>
      </c>
      <c r="AP32" s="196">
        <f>AP30*'R&amp;S - Apparel'!$C$8*'R&amp;S - Apparel'!$B$14*'R&amp;S - Apparel'!$C$17*(AP$3-$D$3)/10</f>
        <v>17.510361746400019</v>
      </c>
      <c r="AQ32" s="196">
        <f>AQ30*'R&amp;S - Apparel'!$C$8*'R&amp;S - Apparel'!$B$14*'R&amp;S - Apparel'!$C$17*(AQ$3-$D$3)/10</f>
        <v>20.428755370800022</v>
      </c>
      <c r="AR32" s="196">
        <f>AR30*'R&amp;S - Apparel'!$C$8*'R&amp;S - Apparel'!$B$14*'R&amp;S - Apparel'!$C$17*(AR$3-$D$3)/10</f>
        <v>23.347148995200023</v>
      </c>
      <c r="AS32" s="196">
        <f>AS30*'R&amp;S - Apparel'!$C$8*'R&amp;S - Apparel'!$B$14*'R&amp;S - Apparel'!$C$17*(AS$3-$D$3)/10</f>
        <v>26.26554261960003</v>
      </c>
      <c r="AT32" s="196">
        <f>AT30*'R&amp;S - Apparel'!$C$8*'R&amp;S - Apparel'!$B$14*'R&amp;S - Apparel'!$C$17*(AT$3-$D$3)/10</f>
        <v>29.18393624400003</v>
      </c>
      <c r="AU32" s="196">
        <f>AU30*'R&amp;S - Apparel'!$C$8*'R&amp;S - Apparel'!$B$14*('R&amp;S - Apparel'!$C$17+('R&amp;S - Apparel'!$C$18-'R&amp;S - Apparel'!$C$17)*(AU$3-$N$3)/10)</f>
        <v>33.561526680600032</v>
      </c>
      <c r="AV32" s="196">
        <f>AV30*'R&amp;S - Apparel'!$C$8*'R&amp;S - Apparel'!$B$14*('R&amp;S - Apparel'!$C$17+('R&amp;S - Apparel'!$C$18-'R&amp;S - Apparel'!$C$17)*(AV$3-$N$3)/10)</f>
        <v>37.939117117200041</v>
      </c>
      <c r="AW32" s="196">
        <f>AW30*'R&amp;S - Apparel'!$C$8*'R&amp;S - Apparel'!$B$14*('R&amp;S - Apparel'!$C$17+('R&amp;S - Apparel'!$C$18-'R&amp;S - Apparel'!$C$17)*(AW$3-$N$3)/10)</f>
        <v>42.316707553800043</v>
      </c>
      <c r="AX32" s="196">
        <f>AX30*'R&amp;S - Apparel'!$C$8*'R&amp;S - Apparel'!$B$14*('R&amp;S - Apparel'!$C$17+('R&amp;S - Apparel'!$C$18-'R&amp;S - Apparel'!$C$17)*(AX$3-$N$3)/10)</f>
        <v>46.694297990400045</v>
      </c>
      <c r="AY32" s="196">
        <f>AY30*'R&amp;S - Apparel'!$C$8*'R&amp;S - Apparel'!$B$14*('R&amp;S - Apparel'!$C$17+('R&amp;S - Apparel'!$C$18-'R&amp;S - Apparel'!$C$17)*(AY$3-$N$3)/10)</f>
        <v>51.071888427000047</v>
      </c>
      <c r="AZ32" s="196">
        <f>AZ30*'R&amp;S - Apparel'!$C$8*'R&amp;S - Apparel'!$B$14*('R&amp;S - Apparel'!$C$17+('R&amp;S - Apparel'!$C$18-'R&amp;S - Apparel'!$C$17)*(AZ$3-$N$3)/10)</f>
        <v>55.449478863600056</v>
      </c>
      <c r="BA32" s="196">
        <f>BA30*'R&amp;S - Apparel'!$C$8*'R&amp;S - Apparel'!$B$14*('R&amp;S - Apparel'!$C$17+('R&amp;S - Apparel'!$C$18-'R&amp;S - Apparel'!$C$17)*(BA$3-$N$3)/10)</f>
        <v>59.827069300200066</v>
      </c>
      <c r="BB32" s="196">
        <f>BB30*'R&amp;S - Apparel'!$C$8*'R&amp;S - Apparel'!$B$14*('R&amp;S - Apparel'!$C$17+('R&amp;S - Apparel'!$C$18-'R&amp;S - Apparel'!$C$17)*(BB$3-$N$3)/10)</f>
        <v>64.204659736800068</v>
      </c>
      <c r="BC32" s="196">
        <f>BC30*'R&amp;S - Apparel'!$C$8*'R&amp;S - Apparel'!$B$14*('R&amp;S - Apparel'!$C$17+('R&amp;S - Apparel'!$C$18-'R&amp;S - Apparel'!$C$17)*(BC$3-$N$3)/10)</f>
        <v>68.58225017340007</v>
      </c>
      <c r="BD32" s="196">
        <f>BD30*'R&amp;S - Apparel'!$C$8*'R&amp;S - Apparel'!$B$14*('R&amp;S - Apparel'!$C$17+('R&amp;S - Apparel'!$C$18-'R&amp;S - Apparel'!$C$17)*(BD$3-$N$3)/10)</f>
        <v>72.959840610000072</v>
      </c>
      <c r="BE32" s="196">
        <f>BE30*'R&amp;S - Apparel'!$C$8*'R&amp;S - Apparel'!$B$14*('R&amp;S - Apparel'!$C$18+('R&amp;S - Apparel'!$C$19-'R&amp;S - Apparel'!$C$18)*(BE$3-$X$3)/10)</f>
        <v>80.255824671000084</v>
      </c>
      <c r="BF32" s="196">
        <f>BF30*'R&amp;S - Apparel'!$C$8*'R&amp;S - Apparel'!$B$14*('R&amp;S - Apparel'!$C$18+('R&amp;S - Apparel'!$C$19-'R&amp;S - Apparel'!$C$18)*(BF$3-$X$3)/10)</f>
        <v>87.551808732000083</v>
      </c>
      <c r="BG32" s="196">
        <f>BG30*'R&amp;S - Apparel'!$C$8*'R&amp;S - Apparel'!$B$14*('R&amp;S - Apparel'!$C$18+('R&amp;S - Apparel'!$C$19-'R&amp;S - Apparel'!$C$18)*(BG$3-$X$3)/10)</f>
        <v>94.847792793000096</v>
      </c>
      <c r="BH32" s="196">
        <f>BH30*'R&amp;S - Apparel'!$C$8*'R&amp;S - Apparel'!$B$14*('R&amp;S - Apparel'!$C$18+('R&amp;S - Apparel'!$C$19-'R&amp;S - Apparel'!$C$18)*(BH$3-$X$3)/10)</f>
        <v>102.14377685400009</v>
      </c>
      <c r="BI32" s="196">
        <f>BI30*'R&amp;S - Apparel'!$C$8*'R&amp;S - Apparel'!$B$14*('R&amp;S - Apparel'!$C$18+('R&amp;S - Apparel'!$C$19-'R&amp;S - Apparel'!$C$18)*(BI$3-$X$3)/10)</f>
        <v>109.43976091500011</v>
      </c>
      <c r="BJ32" s="196">
        <f>BJ30*'R&amp;S - Apparel'!$C$8*'R&amp;S - Apparel'!$B$14*('R&amp;S - Apparel'!$C$18+('R&amp;S - Apparel'!$C$19-'R&amp;S - Apparel'!$C$18)*(BJ$3-$X$3)/10)</f>
        <v>116.73574497600012</v>
      </c>
      <c r="BK32" s="196">
        <f>BK30*'R&amp;S - Apparel'!$C$8*'R&amp;S - Apparel'!$B$14*('R&amp;S - Apparel'!$C$18+('R&amp;S - Apparel'!$C$19-'R&amp;S - Apparel'!$C$18)*(BK$3-$X$3)/10)</f>
        <v>124.03172903700012</v>
      </c>
      <c r="BL32" s="196">
        <f>BL30*'R&amp;S - Apparel'!$C$8*'R&amp;S - Apparel'!$B$14*('R&amp;S - Apparel'!$C$18+('R&amp;S - Apparel'!$C$19-'R&amp;S - Apparel'!$C$18)*(BL$3-$X$3)/10)</f>
        <v>131.32771309800015</v>
      </c>
      <c r="BM32" s="196">
        <f>BM30*'R&amp;S - Apparel'!$C$8*'R&amp;S - Apparel'!$B$14*('R&amp;S - Apparel'!$C$18+('R&amp;S - Apparel'!$C$19-'R&amp;S - Apparel'!$C$18)*(BM$3-$X$3)/10)</f>
        <v>138.62369715900013</v>
      </c>
      <c r="BN32" s="196">
        <f>BN30*'R&amp;S - Apparel'!$C$8*'R&amp;S - Apparel'!$B$14*('R&amp;S - Apparel'!$C$18+('R&amp;S - Apparel'!$C$19-'R&amp;S - Apparel'!$C$18)*(BN$3-$X$3)/10)</f>
        <v>145.91968122000014</v>
      </c>
    </row>
    <row r="33" spans="1:66" outlineLevel="1">
      <c r="B33" s="1" t="s">
        <v>164</v>
      </c>
      <c r="C33" s="51" t="s">
        <v>166</v>
      </c>
      <c r="D33" s="196">
        <f>SUM(D31:D32)</f>
        <v>0</v>
      </c>
      <c r="E33" s="196">
        <f>SUM(E31:E32)</f>
        <v>20.857930903800018</v>
      </c>
      <c r="F33" s="196">
        <f t="shared" ref="F33:AH33" si="30">SUM(F31:F32)</f>
        <v>41.715861807600035</v>
      </c>
      <c r="G33" s="196">
        <f t="shared" si="30"/>
        <v>62.573792711400046</v>
      </c>
      <c r="H33" s="196">
        <f t="shared" si="30"/>
        <v>83.43172361520007</v>
      </c>
      <c r="I33" s="196">
        <f t="shared" si="30"/>
        <v>104.28965451900009</v>
      </c>
      <c r="J33" s="196">
        <f t="shared" si="30"/>
        <v>125.14758542280009</v>
      </c>
      <c r="K33" s="196">
        <f t="shared" si="30"/>
        <v>146.00551632660012</v>
      </c>
      <c r="L33" s="196">
        <f t="shared" si="30"/>
        <v>166.86344723040014</v>
      </c>
      <c r="M33" s="196">
        <f t="shared" si="30"/>
        <v>187.72137813420017</v>
      </c>
      <c r="N33" s="196">
        <f t="shared" si="30"/>
        <v>208.57930903800019</v>
      </c>
      <c r="O33" s="196">
        <f>SUM(O31:O32)</f>
        <v>221.62624524120019</v>
      </c>
      <c r="P33" s="196">
        <f t="shared" si="30"/>
        <v>234.67318144440023</v>
      </c>
      <c r="Q33" s="196">
        <f t="shared" si="30"/>
        <v>247.72011764760023</v>
      </c>
      <c r="R33" s="196">
        <f t="shared" si="30"/>
        <v>260.76705385080027</v>
      </c>
      <c r="S33" s="196">
        <f t="shared" si="30"/>
        <v>273.81399005400021</v>
      </c>
      <c r="T33" s="196">
        <f t="shared" si="30"/>
        <v>286.86092625720028</v>
      </c>
      <c r="U33" s="196">
        <f t="shared" si="30"/>
        <v>299.90786246040028</v>
      </c>
      <c r="V33" s="196">
        <f t="shared" si="30"/>
        <v>312.95479866360029</v>
      </c>
      <c r="W33" s="196">
        <f t="shared" si="30"/>
        <v>326.00173486680029</v>
      </c>
      <c r="X33" s="196">
        <f t="shared" si="30"/>
        <v>339.0486710700003</v>
      </c>
      <c r="Y33" s="196">
        <f t="shared" si="30"/>
        <v>355.78651685700038</v>
      </c>
      <c r="Z33" s="196">
        <f t="shared" si="30"/>
        <v>372.52436264400035</v>
      </c>
      <c r="AA33" s="196">
        <f t="shared" si="30"/>
        <v>389.26220843100037</v>
      </c>
      <c r="AB33" s="196">
        <f t="shared" si="30"/>
        <v>406.0000542180004</v>
      </c>
      <c r="AC33" s="196">
        <f t="shared" si="30"/>
        <v>422.73790000500037</v>
      </c>
      <c r="AD33" s="196">
        <f t="shared" si="30"/>
        <v>439.47574579200045</v>
      </c>
      <c r="AE33" s="196">
        <f t="shared" si="30"/>
        <v>456.21359157900042</v>
      </c>
      <c r="AF33" s="196">
        <f t="shared" si="30"/>
        <v>472.9514373660005</v>
      </c>
      <c r="AG33" s="196">
        <f t="shared" si="30"/>
        <v>489.68928315300047</v>
      </c>
      <c r="AH33" s="196">
        <f t="shared" si="30"/>
        <v>506.42712894000044</v>
      </c>
      <c r="AI33" s="635"/>
      <c r="AJ33" s="196">
        <f>SUM(AJ31:AJ32)</f>
        <v>0</v>
      </c>
      <c r="AK33" s="196">
        <f>SUM(AK31:AK32)</f>
        <v>10.428965451900009</v>
      </c>
      <c r="AL33" s="196">
        <f t="shared" ref="AL33:AT33" si="31">SUM(AL31:AL32)</f>
        <v>20.857930903800018</v>
      </c>
      <c r="AM33" s="196">
        <f t="shared" si="31"/>
        <v>31.286896355700023</v>
      </c>
      <c r="AN33" s="196">
        <f t="shared" si="31"/>
        <v>41.715861807600035</v>
      </c>
      <c r="AO33" s="196">
        <f t="shared" si="31"/>
        <v>52.144827259500047</v>
      </c>
      <c r="AP33" s="196">
        <f t="shared" si="31"/>
        <v>62.573792711400046</v>
      </c>
      <c r="AQ33" s="196">
        <f t="shared" si="31"/>
        <v>73.002758163300058</v>
      </c>
      <c r="AR33" s="196">
        <f t="shared" si="31"/>
        <v>83.43172361520007</v>
      </c>
      <c r="AS33" s="196">
        <f t="shared" si="31"/>
        <v>93.860689067100083</v>
      </c>
      <c r="AT33" s="196">
        <f t="shared" si="31"/>
        <v>104.28965451900009</v>
      </c>
      <c r="AU33" s="196">
        <f>SUM(AU31:AU32)</f>
        <v>110.8131226206001</v>
      </c>
      <c r="AV33" s="196">
        <f t="shared" ref="AV33:BN33" si="32">SUM(AV31:AV32)</f>
        <v>117.33659072220011</v>
      </c>
      <c r="AW33" s="196">
        <f t="shared" si="32"/>
        <v>123.86005882380012</v>
      </c>
      <c r="AX33" s="196">
        <f t="shared" si="32"/>
        <v>130.38352692540013</v>
      </c>
      <c r="AY33" s="196">
        <f t="shared" si="32"/>
        <v>136.90699502700011</v>
      </c>
      <c r="AZ33" s="196">
        <f t="shared" si="32"/>
        <v>143.43046312860014</v>
      </c>
      <c r="BA33" s="196">
        <f t="shared" si="32"/>
        <v>149.95393123020014</v>
      </c>
      <c r="BB33" s="196">
        <f t="shared" si="32"/>
        <v>156.47739933180014</v>
      </c>
      <c r="BC33" s="196">
        <f t="shared" si="32"/>
        <v>163.00086743340015</v>
      </c>
      <c r="BD33" s="196">
        <f t="shared" si="32"/>
        <v>169.52433553500015</v>
      </c>
      <c r="BE33" s="196">
        <f t="shared" si="32"/>
        <v>177.89325842850019</v>
      </c>
      <c r="BF33" s="196">
        <f t="shared" si="32"/>
        <v>186.26218132200017</v>
      </c>
      <c r="BG33" s="196">
        <f t="shared" si="32"/>
        <v>194.63110421550019</v>
      </c>
      <c r="BH33" s="196">
        <f t="shared" si="32"/>
        <v>203.0000271090002</v>
      </c>
      <c r="BI33" s="196">
        <f t="shared" si="32"/>
        <v>211.36895000250018</v>
      </c>
      <c r="BJ33" s="196">
        <f t="shared" si="32"/>
        <v>219.73787289600023</v>
      </c>
      <c r="BK33" s="196">
        <f t="shared" si="32"/>
        <v>228.10679578950021</v>
      </c>
      <c r="BL33" s="196">
        <f t="shared" si="32"/>
        <v>236.47571868300025</v>
      </c>
      <c r="BM33" s="196">
        <f t="shared" si="32"/>
        <v>244.84464157650024</v>
      </c>
      <c r="BN33" s="196">
        <f t="shared" si="32"/>
        <v>253.21356447000022</v>
      </c>
    </row>
    <row r="34" spans="1:66" outlineLevel="1">
      <c r="B34" s="1" t="s">
        <v>167</v>
      </c>
      <c r="C34" s="51" t="s">
        <v>166</v>
      </c>
      <c r="D34" s="196">
        <f>D30*'R&amp;S - Apparel'!$C$10*'R&amp;S - Apparel'!$B$13*'R&amp;S - Apparel'!$D$17*(D$3-$D$3)/10</f>
        <v>0</v>
      </c>
      <c r="E34" s="196">
        <f>E30*'R&amp;S - Apparel'!$C$10*'R&amp;S - Apparel'!$B$13*'R&amp;S - Apparel'!$D$17*(E$3-$D$3)/10</f>
        <v>5.6651170356000051</v>
      </c>
      <c r="F34" s="196">
        <f>F30*'R&amp;S - Apparel'!$C$10*'R&amp;S - Apparel'!$B$13*'R&amp;S - Apparel'!$D$17*(F$3-$D$3)/10</f>
        <v>11.33023407120001</v>
      </c>
      <c r="G34" s="196">
        <f>G30*'R&amp;S - Apparel'!$C$10*'R&amp;S - Apparel'!$B$13*'R&amp;S - Apparel'!$D$17*(G$3-$D$3)/10</f>
        <v>16.995351106800015</v>
      </c>
      <c r="H34" s="196">
        <f>H30*'R&amp;S - Apparel'!$C$10*'R&amp;S - Apparel'!$B$13*'R&amp;S - Apparel'!$D$17*(H$3-$D$3)/10</f>
        <v>22.66046814240002</v>
      </c>
      <c r="I34" s="196">
        <f>I30*'R&amp;S - Apparel'!$C$10*'R&amp;S - Apparel'!$B$13*'R&amp;S - Apparel'!$D$17*(I$3-$D$3)/10</f>
        <v>28.325585178000029</v>
      </c>
      <c r="J34" s="196">
        <f>J30*'R&amp;S - Apparel'!$C$10*'R&amp;S - Apparel'!$B$13*'R&amp;S - Apparel'!$D$17*(J$3-$D$3)/10</f>
        <v>33.990702213600031</v>
      </c>
      <c r="K34" s="196">
        <f>K30*'R&amp;S - Apparel'!$C$10*'R&amp;S - Apparel'!$B$13*'R&amp;S - Apparel'!$D$17*(K$3-$D$3)/10</f>
        <v>39.655819249200036</v>
      </c>
      <c r="L34" s="196">
        <f>L30*'R&amp;S - Apparel'!$C$10*'R&amp;S - Apparel'!$B$13*'R&amp;S - Apparel'!$D$17*(L$3-$D$3)/10</f>
        <v>45.320936284800041</v>
      </c>
      <c r="M34" s="196">
        <f>M30*'R&amp;S - Apparel'!$C$10*'R&amp;S - Apparel'!$B$13*'R&amp;S - Apparel'!$D$17*(M$3-$D$3)/10</f>
        <v>50.986053320400046</v>
      </c>
      <c r="N34" s="196">
        <f>N30*'R&amp;S - Apparel'!$C$10*'R&amp;S - Apparel'!$B$13*'R&amp;S - Apparel'!$D$17*(N$3-$D$3)/10</f>
        <v>56.651170356000058</v>
      </c>
      <c r="O34" s="196">
        <f>O30*'R&amp;S - Apparel'!$C$10*'R&amp;S - Apparel'!$B$13*('R&amp;S - Apparel'!$D$17+('R&amp;S - Apparel'!$D$18-'R&amp;S - Apparel'!$D$17)*(O$3-$N$3)/10)</f>
        <v>62.316287391600049</v>
      </c>
      <c r="P34" s="196">
        <f>P30*'R&amp;S - Apparel'!$C$10*'R&amp;S - Apparel'!$B$13*('R&amp;S - Apparel'!$D$17+('R&amp;S - Apparel'!$D$18-'R&amp;S - Apparel'!$D$17)*(P$3-$N$3)/10)</f>
        <v>67.981404427200061</v>
      </c>
      <c r="Q34" s="196">
        <f>Q30*'R&amp;S - Apparel'!$C$10*'R&amp;S - Apparel'!$B$13*('R&amp;S - Apparel'!$D$17+('R&amp;S - Apparel'!$D$18-'R&amp;S - Apparel'!$D$17)*(Q$3-$N$3)/10)</f>
        <v>73.646521462800067</v>
      </c>
      <c r="R34" s="196">
        <f>R30*'R&amp;S - Apparel'!$C$10*'R&amp;S - Apparel'!$B$13*('R&amp;S - Apparel'!$D$17+('R&amp;S - Apparel'!$D$18-'R&amp;S - Apparel'!$D$17)*(R$3-$N$3)/10)</f>
        <v>79.311638498400072</v>
      </c>
      <c r="S34" s="196">
        <f>S30*'R&amp;S - Apparel'!$C$10*'R&amp;S - Apparel'!$B$13*('R&amp;S - Apparel'!$D$17+('R&amp;S - Apparel'!$D$18-'R&amp;S - Apparel'!$D$17)*(S$3-$N$3)/10)</f>
        <v>84.976755534000077</v>
      </c>
      <c r="T34" s="196">
        <f>T30*'R&amp;S - Apparel'!$C$10*'R&amp;S - Apparel'!$B$13*('R&amp;S - Apparel'!$D$17+('R&amp;S - Apparel'!$D$18-'R&amp;S - Apparel'!$D$17)*(T$3-$N$3)/10)</f>
        <v>90.641872569600082</v>
      </c>
      <c r="U34" s="196">
        <f>U30*'R&amp;S - Apparel'!$C$10*'R&amp;S - Apparel'!$B$13*('R&amp;S - Apparel'!$D$17+('R&amp;S - Apparel'!$D$18-'R&amp;S - Apparel'!$D$17)*(U$3-$N$3)/10)</f>
        <v>96.306989605200087</v>
      </c>
      <c r="V34" s="196">
        <f>V30*'R&amp;S - Apparel'!$C$10*'R&amp;S - Apparel'!$B$13*('R&amp;S - Apparel'!$D$17+('R&amp;S - Apparel'!$D$18-'R&amp;S - Apparel'!$D$17)*(V$3-$N$3)/10)</f>
        <v>101.97210664080011</v>
      </c>
      <c r="W34" s="196">
        <f>W30*'R&amp;S - Apparel'!$C$10*'R&amp;S - Apparel'!$B$13*('R&amp;S - Apparel'!$D$17+('R&amp;S - Apparel'!$D$18-'R&amp;S - Apparel'!$D$17)*(W$3-$N$3)/10)</f>
        <v>107.6372236764001</v>
      </c>
      <c r="X34" s="196">
        <f>X30*'R&amp;S - Apparel'!$C$10*'R&amp;S - Apparel'!$B$13*('R&amp;S - Apparel'!$D$17+('R&amp;S - Apparel'!$D$18-'R&amp;S - Apparel'!$D$17)*(X$3-$N$3)/10)</f>
        <v>113.3023407120001</v>
      </c>
      <c r="Y34" s="196">
        <f>Y30*'R&amp;S - Apparel'!$C$10*'R&amp;S - Apparel'!$B$13*('R&amp;S - Apparel'!$D$18+('R&amp;S - Apparel'!$D$19-'R&amp;S - Apparel'!$D$18)*(Y$3-$X$3)/10)</f>
        <v>119.13912796080011</v>
      </c>
      <c r="Z34" s="196">
        <f>Z30*'R&amp;S - Apparel'!$C$10*'R&amp;S - Apparel'!$B$13*('R&amp;S - Apparel'!$D$18+('R&amp;S - Apparel'!$D$19-'R&amp;S - Apparel'!$D$18)*(Z$3-$X$3)/10)</f>
        <v>124.9759152096001</v>
      </c>
      <c r="AA34" s="196">
        <f>AA30*'R&amp;S - Apparel'!$C$10*'R&amp;S - Apparel'!$B$13*('R&amp;S - Apparel'!$D$18+('R&amp;S - Apparel'!$D$19-'R&amp;S - Apparel'!$D$18)*(AA$3-$X$3)/10)</f>
        <v>130.81270245840011</v>
      </c>
      <c r="AB34" s="196">
        <f>AB30*'R&amp;S - Apparel'!$C$10*'R&amp;S - Apparel'!$B$13*('R&amp;S - Apparel'!$D$18+('R&amp;S - Apparel'!$D$19-'R&amp;S - Apparel'!$D$18)*(AB$3-$X$3)/10)</f>
        <v>136.64948970720013</v>
      </c>
      <c r="AC34" s="196">
        <f>AC30*'R&amp;S - Apparel'!$C$10*'R&amp;S - Apparel'!$B$13*('R&amp;S - Apparel'!$D$18+('R&amp;S - Apparel'!$D$19-'R&amp;S - Apparel'!$D$18)*(AC$3-$X$3)/10)</f>
        <v>142.48627695600013</v>
      </c>
      <c r="AD34" s="196">
        <f>AD30*'R&amp;S - Apparel'!$C$10*'R&amp;S - Apparel'!$B$13*('R&amp;S - Apparel'!$D$18+('R&amp;S - Apparel'!$D$19-'R&amp;S - Apparel'!$D$18)*(AD$3-$X$3)/10)</f>
        <v>148.32306420480015</v>
      </c>
      <c r="AE34" s="196">
        <f>AE30*'R&amp;S - Apparel'!$C$10*'R&amp;S - Apparel'!$B$13*('R&amp;S - Apparel'!$D$18+('R&amp;S - Apparel'!$D$19-'R&amp;S - Apparel'!$D$18)*(AE$3-$X$3)/10)</f>
        <v>154.15985145360014</v>
      </c>
      <c r="AF34" s="196">
        <f>AF30*'R&amp;S - Apparel'!$C$10*'R&amp;S - Apparel'!$B$13*('R&amp;S - Apparel'!$D$18+('R&amp;S - Apparel'!$D$19-'R&amp;S - Apparel'!$D$18)*(AF$3-$X$3)/10)</f>
        <v>159.99663870240013</v>
      </c>
      <c r="AG34" s="196">
        <f>AG30*'R&amp;S - Apparel'!$C$10*'R&amp;S - Apparel'!$B$13*('R&amp;S - Apparel'!$D$18+('R&amp;S - Apparel'!$D$19-'R&amp;S - Apparel'!$D$18)*(AG$3-$X$3)/10)</f>
        <v>165.83342595120013</v>
      </c>
      <c r="AH34" s="196">
        <f>AH30*'R&amp;S - Apparel'!$C$10*'R&amp;S - Apparel'!$B$13*('R&amp;S - Apparel'!$D$18+('R&amp;S - Apparel'!$D$19-'R&amp;S - Apparel'!$D$18)*(AH$3-$X$3)/10)</f>
        <v>171.67021320000015</v>
      </c>
      <c r="AI34" s="635"/>
      <c r="AJ34" s="196">
        <f>AJ30*'R&amp;S - Apparel'!$C$10*'R&amp;S - Apparel'!$B$14*'R&amp;S - Apparel'!$D$17*(AJ$3-$D$3)/10</f>
        <v>0</v>
      </c>
      <c r="AK34" s="196">
        <f>AK30*'R&amp;S - Apparel'!$C$10*'R&amp;S - Apparel'!$B$14*'R&amp;S - Apparel'!$D$17*(AK$3-$D$3)/10</f>
        <v>2.8325585178000026</v>
      </c>
      <c r="AL34" s="196">
        <f>AL30*'R&amp;S - Apparel'!$C$10*'R&amp;S - Apparel'!$B$14*'R&amp;S - Apparel'!$D$17*(AL$3-$D$3)/10</f>
        <v>5.6651170356000051</v>
      </c>
      <c r="AM34" s="196">
        <f>AM30*'R&amp;S - Apparel'!$C$10*'R&amp;S - Apparel'!$B$14*'R&amp;S - Apparel'!$D$17*(AM$3-$D$3)/10</f>
        <v>8.4976755534000077</v>
      </c>
      <c r="AN34" s="196">
        <f>AN30*'R&amp;S - Apparel'!$C$10*'R&amp;S - Apparel'!$B$14*'R&amp;S - Apparel'!$D$17*(AN$3-$D$3)/10</f>
        <v>11.33023407120001</v>
      </c>
      <c r="AO34" s="196">
        <f>AO30*'R&amp;S - Apparel'!$C$10*'R&amp;S - Apparel'!$B$14*'R&amp;S - Apparel'!$D$17*(AO$3-$D$3)/10</f>
        <v>14.162792589000015</v>
      </c>
      <c r="AP34" s="196">
        <f>AP30*'R&amp;S - Apparel'!$C$10*'R&amp;S - Apparel'!$B$14*'R&amp;S - Apparel'!$D$17*(AP$3-$D$3)/10</f>
        <v>16.995351106800015</v>
      </c>
      <c r="AQ34" s="196">
        <f>AQ30*'R&amp;S - Apparel'!$C$10*'R&amp;S - Apparel'!$B$14*'R&amp;S - Apparel'!$D$17*(AQ$3-$D$3)/10</f>
        <v>19.827909624600018</v>
      </c>
      <c r="AR34" s="196">
        <f>AR30*'R&amp;S - Apparel'!$C$10*'R&amp;S - Apparel'!$B$14*'R&amp;S - Apparel'!$D$17*(AR$3-$D$3)/10</f>
        <v>22.66046814240002</v>
      </c>
      <c r="AS34" s="196">
        <f>AS30*'R&amp;S - Apparel'!$C$10*'R&amp;S - Apparel'!$B$14*'R&amp;S - Apparel'!$D$17*(AS$3-$D$3)/10</f>
        <v>25.493026660200023</v>
      </c>
      <c r="AT34" s="196">
        <f>AT30*'R&amp;S - Apparel'!$C$10*'R&amp;S - Apparel'!$B$14*'R&amp;S - Apparel'!$D$17*(AT$3-$D$3)/10</f>
        <v>28.325585178000029</v>
      </c>
      <c r="AU34" s="196">
        <f>AU30*'R&amp;S - Apparel'!$C$10*'R&amp;S - Apparel'!$B$14*('R&amp;S - Apparel'!$D$17+('R&amp;S - Apparel'!$D$18-'R&amp;S - Apparel'!$D$17)*(AU$3-$N$3)/10)</f>
        <v>31.158143695800025</v>
      </c>
      <c r="AV34" s="196">
        <f>AV30*'R&amp;S - Apparel'!$C$10*'R&amp;S - Apparel'!$B$14*('R&amp;S - Apparel'!$D$17+('R&amp;S - Apparel'!$D$18-'R&amp;S - Apparel'!$D$17)*(AV$3-$N$3)/10)</f>
        <v>33.990702213600031</v>
      </c>
      <c r="AW34" s="196">
        <f>AW30*'R&amp;S - Apparel'!$C$10*'R&amp;S - Apparel'!$B$14*('R&amp;S - Apparel'!$D$17+('R&amp;S - Apparel'!$D$18-'R&amp;S - Apparel'!$D$17)*(AW$3-$N$3)/10)</f>
        <v>36.823260731400033</v>
      </c>
      <c r="AX34" s="196">
        <f>AX30*'R&amp;S - Apparel'!$C$10*'R&amp;S - Apparel'!$B$14*('R&amp;S - Apparel'!$D$17+('R&amp;S - Apparel'!$D$18-'R&amp;S - Apparel'!$D$17)*(AX$3-$N$3)/10)</f>
        <v>39.655819249200036</v>
      </c>
      <c r="AY34" s="196">
        <f>AY30*'R&amp;S - Apparel'!$C$10*'R&amp;S - Apparel'!$B$14*('R&amp;S - Apparel'!$D$17+('R&amp;S - Apparel'!$D$18-'R&amp;S - Apparel'!$D$17)*(AY$3-$N$3)/10)</f>
        <v>42.488377767000038</v>
      </c>
      <c r="AZ34" s="196">
        <f>AZ30*'R&amp;S - Apparel'!$C$10*'R&amp;S - Apparel'!$B$14*('R&amp;S - Apparel'!$D$17+('R&amp;S - Apparel'!$D$18-'R&amp;S - Apparel'!$D$17)*(AZ$3-$N$3)/10)</f>
        <v>45.320936284800041</v>
      </c>
      <c r="BA34" s="196">
        <f>BA30*'R&amp;S - Apparel'!$C$10*'R&amp;S - Apparel'!$B$14*('R&amp;S - Apparel'!$D$17+('R&amp;S - Apparel'!$D$18-'R&amp;S - Apparel'!$D$17)*(BA$3-$N$3)/10)</f>
        <v>48.153494802600044</v>
      </c>
      <c r="BB34" s="196">
        <f>BB30*'R&amp;S - Apparel'!$C$10*'R&amp;S - Apparel'!$B$14*('R&amp;S - Apparel'!$D$17+('R&amp;S - Apparel'!$D$18-'R&amp;S - Apparel'!$D$17)*(BB$3-$N$3)/10)</f>
        <v>50.986053320400053</v>
      </c>
      <c r="BC34" s="196">
        <f>BC30*'R&amp;S - Apparel'!$C$10*'R&amp;S - Apparel'!$B$14*('R&amp;S - Apparel'!$D$17+('R&amp;S - Apparel'!$D$18-'R&amp;S - Apparel'!$D$17)*(BC$3-$N$3)/10)</f>
        <v>53.818611838200049</v>
      </c>
      <c r="BD34" s="196">
        <f>BD30*'R&amp;S - Apparel'!$C$10*'R&amp;S - Apparel'!$B$14*('R&amp;S - Apparel'!$D$17+('R&amp;S - Apparel'!$D$18-'R&amp;S - Apparel'!$D$17)*(BD$3-$N$3)/10)</f>
        <v>56.651170356000051</v>
      </c>
      <c r="BE34" s="196">
        <f>BE30*'R&amp;S - Apparel'!$C$10*'R&amp;S - Apparel'!$B$14*('R&amp;S - Apparel'!$D$18+('R&amp;S - Apparel'!$D$19-'R&amp;S - Apparel'!$D$18)*(BE$3-$X$3)/10)</f>
        <v>59.569563980400055</v>
      </c>
      <c r="BF34" s="196">
        <f>BF30*'R&amp;S - Apparel'!$C$10*'R&amp;S - Apparel'!$B$14*('R&amp;S - Apparel'!$D$18+('R&amp;S - Apparel'!$D$19-'R&amp;S - Apparel'!$D$18)*(BF$3-$X$3)/10)</f>
        <v>62.487957604800052</v>
      </c>
      <c r="BG34" s="196">
        <f>BG30*'R&amp;S - Apparel'!$C$10*'R&amp;S - Apparel'!$B$14*('R&amp;S - Apparel'!$D$18+('R&amp;S - Apparel'!$D$19-'R&amp;S - Apparel'!$D$18)*(BG$3-$X$3)/10)</f>
        <v>65.406351229200055</v>
      </c>
      <c r="BH34" s="196">
        <f>BH30*'R&amp;S - Apparel'!$C$10*'R&amp;S - Apparel'!$B$14*('R&amp;S - Apparel'!$D$18+('R&amp;S - Apparel'!$D$19-'R&amp;S - Apparel'!$D$18)*(BH$3-$X$3)/10)</f>
        <v>68.324744853600066</v>
      </c>
      <c r="BI34" s="196">
        <f>BI30*'R&amp;S - Apparel'!$C$10*'R&amp;S - Apparel'!$B$14*('R&amp;S - Apparel'!$D$18+('R&amp;S - Apparel'!$D$19-'R&amp;S - Apparel'!$D$18)*(BI$3-$X$3)/10)</f>
        <v>71.243138478000063</v>
      </c>
      <c r="BJ34" s="196">
        <f>BJ30*'R&amp;S - Apparel'!$C$10*'R&amp;S - Apparel'!$B$14*('R&amp;S - Apparel'!$D$18+('R&amp;S - Apparel'!$D$19-'R&amp;S - Apparel'!$D$18)*(BJ$3-$X$3)/10)</f>
        <v>74.161532102400074</v>
      </c>
      <c r="BK34" s="196">
        <f>BK30*'R&amp;S - Apparel'!$C$10*'R&amp;S - Apparel'!$B$14*('R&amp;S - Apparel'!$D$18+('R&amp;S - Apparel'!$D$19-'R&amp;S - Apparel'!$D$18)*(BK$3-$X$3)/10)</f>
        <v>77.07992572680007</v>
      </c>
      <c r="BL34" s="196">
        <f>BL30*'R&amp;S - Apparel'!$C$10*'R&amp;S - Apparel'!$B$14*('R&amp;S - Apparel'!$D$18+('R&amp;S - Apparel'!$D$19-'R&amp;S - Apparel'!$D$18)*(BL$3-$X$3)/10)</f>
        <v>79.998319351200067</v>
      </c>
      <c r="BM34" s="196">
        <f>BM30*'R&amp;S - Apparel'!$C$10*'R&amp;S - Apparel'!$B$14*('R&amp;S - Apparel'!$D$18+('R&amp;S - Apparel'!$D$19-'R&amp;S - Apparel'!$D$18)*(BM$3-$X$3)/10)</f>
        <v>82.916712975600063</v>
      </c>
      <c r="BN34" s="196">
        <f>BN30*'R&amp;S - Apparel'!$C$10*'R&amp;S - Apparel'!$B$14*('R&amp;S - Apparel'!$D$18+('R&amp;S - Apparel'!$D$19-'R&amp;S - Apparel'!$D$18)*(BN$3-$X$3)/10)</f>
        <v>85.835106600000074</v>
      </c>
    </row>
    <row r="35" spans="1:66" s="63" customFormat="1" outlineLevel="1">
      <c r="A35" s="59"/>
      <c r="B35" s="59" t="s">
        <v>195</v>
      </c>
      <c r="C35" s="262" t="s">
        <v>166</v>
      </c>
      <c r="D35" s="636">
        <f>D30-D33-D34</f>
        <v>858.35106600000074</v>
      </c>
      <c r="E35" s="636">
        <f t="shared" ref="E35:AG35" si="33">E30-E33-E34</f>
        <v>831.8280180606007</v>
      </c>
      <c r="F35" s="636">
        <f t="shared" si="33"/>
        <v>805.30497012120065</v>
      </c>
      <c r="G35" s="636">
        <f t="shared" si="33"/>
        <v>778.78192218180061</v>
      </c>
      <c r="H35" s="636">
        <f t="shared" si="33"/>
        <v>752.25887424240068</v>
      </c>
      <c r="I35" s="636">
        <f t="shared" si="33"/>
        <v>725.73582630300064</v>
      </c>
      <c r="J35" s="636">
        <f t="shared" si="33"/>
        <v>699.21277836360071</v>
      </c>
      <c r="K35" s="636">
        <f t="shared" si="33"/>
        <v>672.68973042420066</v>
      </c>
      <c r="L35" s="636">
        <f t="shared" si="33"/>
        <v>646.16668248480062</v>
      </c>
      <c r="M35" s="636">
        <f t="shared" si="33"/>
        <v>619.64363454540057</v>
      </c>
      <c r="N35" s="636">
        <f t="shared" si="33"/>
        <v>593.12058660600053</v>
      </c>
      <c r="O35" s="636">
        <f t="shared" si="33"/>
        <v>574.40853336720045</v>
      </c>
      <c r="P35" s="636">
        <f t="shared" si="33"/>
        <v>555.69648012840048</v>
      </c>
      <c r="Q35" s="636">
        <f t="shared" si="33"/>
        <v>536.98442688960051</v>
      </c>
      <c r="R35" s="636">
        <f t="shared" si="33"/>
        <v>518.27237365080043</v>
      </c>
      <c r="S35" s="636">
        <f t="shared" si="33"/>
        <v>499.56032041200046</v>
      </c>
      <c r="T35" s="636">
        <f t="shared" si="33"/>
        <v>480.84826717320038</v>
      </c>
      <c r="U35" s="636">
        <f t="shared" si="33"/>
        <v>462.13621393440042</v>
      </c>
      <c r="V35" s="636">
        <f t="shared" si="33"/>
        <v>443.42416069560034</v>
      </c>
      <c r="W35" s="636">
        <f t="shared" si="33"/>
        <v>424.71210745680031</v>
      </c>
      <c r="X35" s="636">
        <f t="shared" si="33"/>
        <v>406.00005421800034</v>
      </c>
      <c r="Y35" s="636">
        <f t="shared" si="33"/>
        <v>383.42542118220024</v>
      </c>
      <c r="Z35" s="636">
        <f t="shared" si="33"/>
        <v>360.8507881464003</v>
      </c>
      <c r="AA35" s="636">
        <f t="shared" si="33"/>
        <v>338.27615511060026</v>
      </c>
      <c r="AB35" s="636">
        <f t="shared" si="33"/>
        <v>315.70152207480021</v>
      </c>
      <c r="AC35" s="636">
        <f t="shared" si="33"/>
        <v>293.12688903900028</v>
      </c>
      <c r="AD35" s="636">
        <f t="shared" si="33"/>
        <v>270.55225600320011</v>
      </c>
      <c r="AE35" s="636">
        <f t="shared" si="33"/>
        <v>247.97762296740018</v>
      </c>
      <c r="AF35" s="636">
        <f t="shared" si="33"/>
        <v>225.4029899316001</v>
      </c>
      <c r="AG35" s="636">
        <f t="shared" si="33"/>
        <v>202.82835689580014</v>
      </c>
      <c r="AH35" s="636">
        <f>AH30-AH33-AH34</f>
        <v>180.25372386000015</v>
      </c>
      <c r="AI35" s="638"/>
      <c r="AJ35" s="636">
        <f>AJ30-AJ33-AJ34</f>
        <v>858.35106600000074</v>
      </c>
      <c r="AK35" s="636">
        <f t="shared" ref="AK35:BM35" si="34">AK30-AK33-AK34</f>
        <v>845.08954203030078</v>
      </c>
      <c r="AL35" s="636">
        <f t="shared" si="34"/>
        <v>831.8280180606007</v>
      </c>
      <c r="AM35" s="636">
        <f t="shared" si="34"/>
        <v>818.56649409090073</v>
      </c>
      <c r="AN35" s="636">
        <f t="shared" si="34"/>
        <v>805.30497012120065</v>
      </c>
      <c r="AO35" s="636">
        <f t="shared" si="34"/>
        <v>792.04344615150069</v>
      </c>
      <c r="AP35" s="636">
        <f t="shared" si="34"/>
        <v>778.78192218180061</v>
      </c>
      <c r="AQ35" s="636">
        <f t="shared" si="34"/>
        <v>765.52039821210064</v>
      </c>
      <c r="AR35" s="636">
        <f t="shared" si="34"/>
        <v>752.25887424240068</v>
      </c>
      <c r="AS35" s="636">
        <f t="shared" si="34"/>
        <v>738.9973502727006</v>
      </c>
      <c r="AT35" s="636">
        <f t="shared" si="34"/>
        <v>725.73582630300064</v>
      </c>
      <c r="AU35" s="636">
        <f t="shared" si="34"/>
        <v>716.3797996836006</v>
      </c>
      <c r="AV35" s="636">
        <f t="shared" si="34"/>
        <v>707.02377306420067</v>
      </c>
      <c r="AW35" s="636">
        <f t="shared" si="34"/>
        <v>697.66774644480051</v>
      </c>
      <c r="AX35" s="636">
        <f t="shared" si="34"/>
        <v>688.31171982540059</v>
      </c>
      <c r="AY35" s="636">
        <f t="shared" si="34"/>
        <v>678.95569320600055</v>
      </c>
      <c r="AZ35" s="636">
        <f t="shared" si="34"/>
        <v>669.59966658660062</v>
      </c>
      <c r="BA35" s="636">
        <f t="shared" si="34"/>
        <v>660.24363996720058</v>
      </c>
      <c r="BB35" s="636">
        <f t="shared" si="34"/>
        <v>650.88761334780054</v>
      </c>
      <c r="BC35" s="636">
        <f t="shared" si="34"/>
        <v>641.53158672840061</v>
      </c>
      <c r="BD35" s="636">
        <f t="shared" si="34"/>
        <v>632.17556010900046</v>
      </c>
      <c r="BE35" s="636">
        <f t="shared" si="34"/>
        <v>620.88824359110049</v>
      </c>
      <c r="BF35" s="636">
        <f t="shared" si="34"/>
        <v>609.60092707320052</v>
      </c>
      <c r="BG35" s="636">
        <f t="shared" si="34"/>
        <v>598.31361055530056</v>
      </c>
      <c r="BH35" s="636">
        <f t="shared" si="34"/>
        <v>587.02629403740048</v>
      </c>
      <c r="BI35" s="636">
        <f t="shared" si="34"/>
        <v>575.73897751950051</v>
      </c>
      <c r="BJ35" s="636">
        <f t="shared" si="34"/>
        <v>564.45166100160043</v>
      </c>
      <c r="BK35" s="636">
        <f t="shared" si="34"/>
        <v>553.16434448370046</v>
      </c>
      <c r="BL35" s="636">
        <f t="shared" si="34"/>
        <v>541.87702796580038</v>
      </c>
      <c r="BM35" s="636">
        <f t="shared" si="34"/>
        <v>530.58971144790041</v>
      </c>
      <c r="BN35" s="636">
        <f>BN30-BN33-BN34</f>
        <v>519.30239493000045</v>
      </c>
    </row>
    <row r="36" spans="1:66" outlineLevel="1">
      <c r="A36" s="1" t="s">
        <v>303</v>
      </c>
      <c r="B36" s="1" t="s">
        <v>916</v>
      </c>
      <c r="C36" s="51" t="s">
        <v>166</v>
      </c>
      <c r="D36" s="101">
        <f>D4-D10-D18-D26-D30-D6</f>
        <v>25253.845689000016</v>
      </c>
      <c r="E36" s="101">
        <f t="shared" ref="E36:AH36" si="35">E4-E10-E18-E26-E30-E6</f>
        <v>25253.845689000016</v>
      </c>
      <c r="F36" s="101">
        <f t="shared" si="35"/>
        <v>25253.845689000016</v>
      </c>
      <c r="G36" s="101">
        <f t="shared" si="35"/>
        <v>25253.845689000016</v>
      </c>
      <c r="H36" s="101">
        <f t="shared" si="35"/>
        <v>25253.845689000016</v>
      </c>
      <c r="I36" s="101">
        <f t="shared" si="35"/>
        <v>25253.845689000016</v>
      </c>
      <c r="J36" s="101">
        <f t="shared" si="35"/>
        <v>25253.845689000016</v>
      </c>
      <c r="K36" s="101">
        <f t="shared" si="35"/>
        <v>25253.845689000016</v>
      </c>
      <c r="L36" s="101">
        <f t="shared" si="35"/>
        <v>25253.845689000016</v>
      </c>
      <c r="M36" s="101">
        <f t="shared" si="35"/>
        <v>25253.845689000016</v>
      </c>
      <c r="N36" s="101">
        <f t="shared" si="35"/>
        <v>25253.845689000016</v>
      </c>
      <c r="O36" s="101">
        <f t="shared" si="35"/>
        <v>25253.845689000016</v>
      </c>
      <c r="P36" s="101">
        <f t="shared" si="35"/>
        <v>25253.845689000016</v>
      </c>
      <c r="Q36" s="101">
        <f t="shared" si="35"/>
        <v>25253.845689000016</v>
      </c>
      <c r="R36" s="101">
        <f t="shared" si="35"/>
        <v>25253.845689000016</v>
      </c>
      <c r="S36" s="101">
        <f t="shared" si="35"/>
        <v>25253.845689000016</v>
      </c>
      <c r="T36" s="101">
        <f t="shared" si="35"/>
        <v>25253.845689000016</v>
      </c>
      <c r="U36" s="101">
        <f t="shared" si="35"/>
        <v>25253.845689000016</v>
      </c>
      <c r="V36" s="101">
        <f t="shared" si="35"/>
        <v>25253.845689000016</v>
      </c>
      <c r="W36" s="101">
        <f t="shared" si="35"/>
        <v>25253.845689000016</v>
      </c>
      <c r="X36" s="101">
        <f t="shared" si="35"/>
        <v>25253.845689000016</v>
      </c>
      <c r="Y36" s="101">
        <f t="shared" si="35"/>
        <v>25253.845689000016</v>
      </c>
      <c r="Z36" s="101">
        <f t="shared" si="35"/>
        <v>25253.845689000016</v>
      </c>
      <c r="AA36" s="101">
        <f t="shared" si="35"/>
        <v>25253.845689000016</v>
      </c>
      <c r="AB36" s="101">
        <f t="shared" si="35"/>
        <v>25253.845689000016</v>
      </c>
      <c r="AC36" s="101">
        <f t="shared" si="35"/>
        <v>25253.845689000016</v>
      </c>
      <c r="AD36" s="101">
        <f t="shared" si="35"/>
        <v>25253.845689000016</v>
      </c>
      <c r="AE36" s="101">
        <f t="shared" si="35"/>
        <v>25253.845689000016</v>
      </c>
      <c r="AF36" s="101">
        <f t="shared" si="35"/>
        <v>25253.845689000016</v>
      </c>
      <c r="AG36" s="101">
        <f t="shared" si="35"/>
        <v>25253.845689000016</v>
      </c>
      <c r="AH36" s="101">
        <f t="shared" si="35"/>
        <v>25253.845689000016</v>
      </c>
      <c r="AI36" s="191"/>
      <c r="AJ36" s="101">
        <f t="shared" ref="AJ36:BN36" si="36">AJ4-AJ10-AJ18-AJ26-AJ30-AJ6</f>
        <v>25253.845689000016</v>
      </c>
      <c r="AK36" s="101">
        <f t="shared" si="36"/>
        <v>25253.845689000016</v>
      </c>
      <c r="AL36" s="101">
        <f t="shared" si="36"/>
        <v>25253.845689000016</v>
      </c>
      <c r="AM36" s="101">
        <f t="shared" si="36"/>
        <v>25253.845689000016</v>
      </c>
      <c r="AN36" s="101">
        <f t="shared" si="36"/>
        <v>25253.845689000016</v>
      </c>
      <c r="AO36" s="101">
        <f t="shared" si="36"/>
        <v>25253.845689000016</v>
      </c>
      <c r="AP36" s="101">
        <f t="shared" si="36"/>
        <v>25253.845689000016</v>
      </c>
      <c r="AQ36" s="101">
        <f t="shared" si="36"/>
        <v>25253.845689000016</v>
      </c>
      <c r="AR36" s="101">
        <f t="shared" si="36"/>
        <v>25253.845689000016</v>
      </c>
      <c r="AS36" s="101">
        <f t="shared" si="36"/>
        <v>25253.845689000016</v>
      </c>
      <c r="AT36" s="101">
        <f t="shared" si="36"/>
        <v>25253.845689000016</v>
      </c>
      <c r="AU36" s="101">
        <f t="shared" si="36"/>
        <v>25253.845689000016</v>
      </c>
      <c r="AV36" s="101">
        <f t="shared" si="36"/>
        <v>25253.845689000016</v>
      </c>
      <c r="AW36" s="101">
        <f t="shared" si="36"/>
        <v>25253.845689000016</v>
      </c>
      <c r="AX36" s="101">
        <f t="shared" si="36"/>
        <v>25253.845689000016</v>
      </c>
      <c r="AY36" s="101">
        <f t="shared" si="36"/>
        <v>25253.845689000016</v>
      </c>
      <c r="AZ36" s="101">
        <f t="shared" si="36"/>
        <v>25253.845689000016</v>
      </c>
      <c r="BA36" s="101">
        <f t="shared" si="36"/>
        <v>25253.845689000016</v>
      </c>
      <c r="BB36" s="101">
        <f t="shared" si="36"/>
        <v>25253.845689000016</v>
      </c>
      <c r="BC36" s="101">
        <f t="shared" si="36"/>
        <v>25253.845689000016</v>
      </c>
      <c r="BD36" s="101">
        <f t="shared" si="36"/>
        <v>25253.845689000016</v>
      </c>
      <c r="BE36" s="101">
        <f t="shared" si="36"/>
        <v>25253.845689000016</v>
      </c>
      <c r="BF36" s="101">
        <f t="shared" si="36"/>
        <v>25253.845689000016</v>
      </c>
      <c r="BG36" s="101">
        <f t="shared" si="36"/>
        <v>25253.845689000016</v>
      </c>
      <c r="BH36" s="101">
        <f t="shared" si="36"/>
        <v>25253.845689000016</v>
      </c>
      <c r="BI36" s="101">
        <f t="shared" si="36"/>
        <v>25253.845689000016</v>
      </c>
      <c r="BJ36" s="101">
        <f t="shared" si="36"/>
        <v>25253.845689000016</v>
      </c>
      <c r="BK36" s="101">
        <f t="shared" si="36"/>
        <v>25253.845689000016</v>
      </c>
      <c r="BL36" s="101">
        <f t="shared" si="36"/>
        <v>25253.845689000016</v>
      </c>
      <c r="BM36" s="101">
        <f t="shared" si="36"/>
        <v>25253.845689000016</v>
      </c>
      <c r="BN36" s="101">
        <f t="shared" si="36"/>
        <v>25253.845689000016</v>
      </c>
    </row>
    <row r="37" spans="1:66" outlineLevel="1">
      <c r="B37" s="1" t="s">
        <v>164</v>
      </c>
      <c r="C37" s="51" t="s">
        <v>166</v>
      </c>
      <c r="D37" s="101">
        <v>0</v>
      </c>
      <c r="E37" s="101">
        <f>E36*'R&amp;S - Others'!$D$7*'R&amp;S - Others'!$B$11*'R&amp;S - Others'!$B$15*(E$3-$D$3)/10</f>
        <v>125.00653616055008</v>
      </c>
      <c r="F37" s="101">
        <f>F36*'R&amp;S - Others'!$D$7*'R&amp;S - Others'!$B$11*'R&amp;S - Others'!$B$15*(F$3-$D$3)/10</f>
        <v>250.01307232110017</v>
      </c>
      <c r="G37" s="101">
        <f>G36*'R&amp;S - Others'!$D$7*'R&amp;S - Others'!$B$11*'R&amp;S - Others'!$B$15*(G$3-$D$3)/10</f>
        <v>375.01960848165027</v>
      </c>
      <c r="H37" s="101">
        <f>H36*'R&amp;S - Others'!$D$7*'R&amp;S - Others'!$B$11*'R&amp;S - Others'!$B$15*(H$3-$D$3)/10</f>
        <v>500.02614464220034</v>
      </c>
      <c r="I37" s="101">
        <f>I36*'R&amp;S - Others'!$D$7*'R&amp;S - Others'!$B$11*'R&amp;S - Others'!$B$15*(I$3-$D$3)/10</f>
        <v>625.03268080275041</v>
      </c>
      <c r="J37" s="101">
        <f>J36*'R&amp;S - Others'!$D$7*'R&amp;S - Others'!$B$11*'R&amp;S - Others'!$B$15*(J$3-$D$3)/10</f>
        <v>750.03921696330053</v>
      </c>
      <c r="K37" s="101">
        <f>K36*'R&amp;S - Others'!$D$7*'R&amp;S - Others'!$B$11*'R&amp;S - Others'!$B$15*(K$3-$D$3)/10</f>
        <v>875.04575312385055</v>
      </c>
      <c r="L37" s="101">
        <f>L36*'R&amp;S - Others'!$D$7*'R&amp;S - Others'!$B$11*'R&amp;S - Others'!$B$15*(L$3-$D$3)/10</f>
        <v>1000.0522892844007</v>
      </c>
      <c r="M37" s="101">
        <f>M36*'R&amp;S - Others'!$D$7*'R&amp;S - Others'!$B$11*'R&amp;S - Others'!$B$15*(M$3-$D$3)/10</f>
        <v>1125.0588254449508</v>
      </c>
      <c r="N37" s="101">
        <f>N36*'R&amp;S - Others'!$D$7*'R&amp;S - Others'!$B$11*'R&amp;S - Others'!$B$15*(N$3-$D$3)/10</f>
        <v>1250.0653616055008</v>
      </c>
      <c r="O37" s="101">
        <f>O36*'R&amp;S - Others'!$D$7*'R&amp;S - Others'!$B$11*('R&amp;S - Others'!$B$15+('R&amp;S - Others'!$B$16-'R&amp;S - Others'!$B$15)*(O$3-$N$3)/10)</f>
        <v>1375.0718977660508</v>
      </c>
      <c r="P37" s="101">
        <f>P36*'R&amp;S - Others'!$D$7*'R&amp;S - Others'!$B$11*('R&amp;S - Others'!$B$15+('R&amp;S - Others'!$B$16-'R&amp;S - Others'!$B$15)*(P$3-$N$3)/10)</f>
        <v>1500.0784339266011</v>
      </c>
      <c r="Q37" s="101">
        <f>Q36*'R&amp;S - Others'!$D$7*'R&amp;S - Others'!$B$11*('R&amp;S - Others'!$B$15+('R&amp;S - Others'!$B$16-'R&amp;S - Others'!$B$15)*(Q$3-$N$3)/10)</f>
        <v>1625.0849700871511</v>
      </c>
      <c r="R37" s="101">
        <f>R36*'R&amp;S - Others'!$D$7*'R&amp;S - Others'!$B$11*('R&amp;S - Others'!$B$15+('R&amp;S - Others'!$B$16-'R&amp;S - Others'!$B$15)*(R$3-$N$3)/10)</f>
        <v>1750.0915062477011</v>
      </c>
      <c r="S37" s="101">
        <f>S36*'R&amp;S - Others'!$D$7*'R&amp;S - Others'!$B$11*('R&amp;S - Others'!$B$15+('R&amp;S - Others'!$B$16-'R&amp;S - Others'!$B$15)*(S$3-$N$3)/10)</f>
        <v>1875.0980424082511</v>
      </c>
      <c r="T37" s="101">
        <f>T36*'R&amp;S - Others'!$D$7*'R&amp;S - Others'!$B$11*('R&amp;S - Others'!$B$15+('R&amp;S - Others'!$B$16-'R&amp;S - Others'!$B$15)*(T$3-$N$3)/10)</f>
        <v>2000.1045785688013</v>
      </c>
      <c r="U37" s="101">
        <f>U36*'R&amp;S - Others'!$D$7*'R&amp;S - Others'!$B$11*('R&amp;S - Others'!$B$15+('R&amp;S - Others'!$B$16-'R&amp;S - Others'!$B$15)*(U$3-$N$3)/10)</f>
        <v>2125.1111147293514</v>
      </c>
      <c r="V37" s="101">
        <f>V36*'R&amp;S - Others'!$D$7*'R&amp;S - Others'!$B$11*('R&amp;S - Others'!$B$15+('R&amp;S - Others'!$B$16-'R&amp;S - Others'!$B$15)*(V$3-$N$3)/10)</f>
        <v>2250.1176508899016</v>
      </c>
      <c r="W37" s="101">
        <f>W36*'R&amp;S - Others'!$D$7*'R&amp;S - Others'!$B$11*('R&amp;S - Others'!$B$15+('R&amp;S - Others'!$B$16-'R&amp;S - Others'!$B$15)*(W$3-$N$3)/10)</f>
        <v>2375.1241870504514</v>
      </c>
      <c r="X37" s="101">
        <f>X36*'R&amp;S - Others'!$D$7*'R&amp;S - Others'!$B$11*('R&amp;S - Others'!$B$15+('R&amp;S - Others'!$B$16-'R&amp;S - Others'!$B$15)*(X$3-$N$3)/10)</f>
        <v>2500.1307232110016</v>
      </c>
      <c r="Y37" s="101">
        <f>Y36*'R&amp;S - Others'!$D$7*'R&amp;S - Others'!$B$11*('R&amp;S - Others'!$B$16+('R&amp;S - Others'!$B$17-'R&amp;S - Others'!$B$16)*(Y$3-$X$3)/10)</f>
        <v>2628.9253362249019</v>
      </c>
      <c r="Z37" s="101">
        <f>Z36*'R&amp;S - Others'!$D$7*'R&amp;S - Others'!$B$11*('R&amp;S - Others'!$B$16+('R&amp;S - Others'!$B$17-'R&amp;S - Others'!$B$16)*(Z$3-$X$3)/10)</f>
        <v>2757.7199492388017</v>
      </c>
      <c r="AA37" s="101">
        <f>AA36*'R&amp;S - Others'!$D$7*'R&amp;S - Others'!$B$11*('R&amp;S - Others'!$B$16+('R&amp;S - Others'!$B$17-'R&amp;S - Others'!$B$16)*(AA$3-$X$3)/10)</f>
        <v>2886.5145622527016</v>
      </c>
      <c r="AB37" s="101">
        <f>AB36*'R&amp;S - Others'!$D$7*'R&amp;S - Others'!$B$11*('R&amp;S - Others'!$B$16+('R&amp;S - Others'!$B$17-'R&amp;S - Others'!$B$16)*(AB$3-$X$3)/10)</f>
        <v>3015.3091752666019</v>
      </c>
      <c r="AC37" s="101">
        <f>AC36*'R&amp;S - Others'!$D$7*'R&amp;S - Others'!$B$11*('R&amp;S - Others'!$B$16+('R&amp;S - Others'!$B$17-'R&amp;S - Others'!$B$16)*(AC$3-$X$3)/10)</f>
        <v>3144.1037882805022</v>
      </c>
      <c r="AD37" s="101">
        <f>AD36*'R&amp;S - Others'!$D$7*'R&amp;S - Others'!$B$11*('R&amp;S - Others'!$B$16+('R&amp;S - Others'!$B$17-'R&amp;S - Others'!$B$16)*(AD$3-$X$3)/10)</f>
        <v>3272.8984012944024</v>
      </c>
      <c r="AE37" s="101">
        <f>AE36*'R&amp;S - Others'!$D$7*'R&amp;S - Others'!$B$11*('R&amp;S - Others'!$B$16+('R&amp;S - Others'!$B$17-'R&amp;S - Others'!$B$16)*(AE$3-$X$3)/10)</f>
        <v>3401.6930143083023</v>
      </c>
      <c r="AF37" s="101">
        <f>AF36*'R&amp;S - Others'!$D$7*'R&amp;S - Others'!$B$11*('R&amp;S - Others'!$B$16+('R&amp;S - Others'!$B$17-'R&amp;S - Others'!$B$16)*(AF$3-$X$3)/10)</f>
        <v>3530.4876273222017</v>
      </c>
      <c r="AG37" s="101">
        <f>AG36*'R&amp;S - Others'!$D$7*'R&amp;S - Others'!$B$11*('R&amp;S - Others'!$B$16+('R&amp;S - Others'!$B$17-'R&amp;S - Others'!$B$16)*(AG$3-$X$3)/10)</f>
        <v>3659.2822403361019</v>
      </c>
      <c r="AH37" s="101">
        <f>AH36*'R&amp;S - Others'!$D$7*'R&amp;S - Others'!$B$11*('R&amp;S - Others'!$B$16+('R&amp;S - Others'!$B$17-'R&amp;S - Others'!$B$16)*(AH$3-$X$3)/10)</f>
        <v>3788.0768533500022</v>
      </c>
      <c r="AI37" s="191"/>
      <c r="AJ37" s="101">
        <v>0</v>
      </c>
      <c r="AK37" s="101">
        <f>AK36*'R&amp;S - Others'!$D$7*'R&amp;S - Others'!$B$12*'R&amp;S - Others'!$B$15*(AK$3-$D$3)/10</f>
        <v>62.503268080275042</v>
      </c>
      <c r="AL37" s="101">
        <f>AL36*'R&amp;S - Others'!$D$7*'R&amp;S - Others'!$B$12*'R&amp;S - Others'!$B$15*(AL$3-$D$3)/10</f>
        <v>125.00653616055008</v>
      </c>
      <c r="AM37" s="101">
        <f>AM36*'R&amp;S - Others'!$D$7*'R&amp;S - Others'!$B$12*'R&amp;S - Others'!$B$15*(AM$3-$D$3)/10</f>
        <v>187.50980424082513</v>
      </c>
      <c r="AN37" s="101">
        <f>AN36*'R&amp;S - Others'!$D$7*'R&amp;S - Others'!$B$12*'R&amp;S - Others'!$B$15*(AN$3-$D$3)/10</f>
        <v>250.01307232110017</v>
      </c>
      <c r="AO37" s="101">
        <f>AO36*'R&amp;S - Others'!$D$7*'R&amp;S - Others'!$B$12*'R&amp;S - Others'!$B$15*(AO$3-$D$3)/10</f>
        <v>312.5163404013752</v>
      </c>
      <c r="AP37" s="101">
        <f>AP36*'R&amp;S - Others'!$D$7*'R&amp;S - Others'!$B$12*'R&amp;S - Others'!$B$15*(AP$3-$D$3)/10</f>
        <v>375.01960848165027</v>
      </c>
      <c r="AQ37" s="101">
        <f>AQ36*'R&amp;S - Others'!$D$7*'R&amp;S - Others'!$B$12*'R&amp;S - Others'!$B$15*(AQ$3-$D$3)/10</f>
        <v>437.52287656192527</v>
      </c>
      <c r="AR37" s="101">
        <f>AR36*'R&amp;S - Others'!$D$7*'R&amp;S - Others'!$B$12*'R&amp;S - Others'!$B$15*(AR$3-$D$3)/10</f>
        <v>500.02614464220034</v>
      </c>
      <c r="AS37" s="101">
        <f>AS36*'R&amp;S - Others'!$D$7*'R&amp;S - Others'!$B$12*'R&amp;S - Others'!$B$15*(AS$3-$D$3)/10</f>
        <v>562.5294127224754</v>
      </c>
      <c r="AT37" s="101">
        <f>AT36*'R&amp;S - Others'!$D$7*'R&amp;S - Others'!$B$12*'R&amp;S - Others'!$B$15*(AT$3-$D$3)/10</f>
        <v>625.03268080275041</v>
      </c>
      <c r="AU37" s="101">
        <f>AU36*'R&amp;S - Others'!$D$7*'R&amp;S - Others'!$B$12*('R&amp;S - Others'!$B$15+('R&amp;S - Others'!$B$16-'R&amp;S - Others'!$B$15)*(AU$3-$N$3)/10)</f>
        <v>687.53594888302541</v>
      </c>
      <c r="AV37" s="101">
        <f>AV36*'R&amp;S - Others'!$D$7*'R&amp;S - Others'!$B$12*('R&amp;S - Others'!$B$15+('R&amp;S - Others'!$B$16-'R&amp;S - Others'!$B$15)*(AV$3-$N$3)/10)</f>
        <v>750.03921696330053</v>
      </c>
      <c r="AW37" s="101">
        <f>AW36*'R&amp;S - Others'!$D$7*'R&amp;S - Others'!$B$12*('R&amp;S - Others'!$B$15+('R&amp;S - Others'!$B$16-'R&amp;S - Others'!$B$15)*(AW$3-$N$3)/10)</f>
        <v>812.54248504357554</v>
      </c>
      <c r="AX37" s="101">
        <f>AX36*'R&amp;S - Others'!$D$7*'R&amp;S - Others'!$B$12*('R&amp;S - Others'!$B$15+('R&amp;S - Others'!$B$16-'R&amp;S - Others'!$B$15)*(AX$3-$N$3)/10)</f>
        <v>875.04575312385055</v>
      </c>
      <c r="AY37" s="101">
        <f>AY36*'R&amp;S - Others'!$D$7*'R&amp;S - Others'!$B$12*('R&amp;S - Others'!$B$15+('R&amp;S - Others'!$B$16-'R&amp;S - Others'!$B$15)*(AY$3-$N$3)/10)</f>
        <v>937.54902120412555</v>
      </c>
      <c r="AZ37" s="101">
        <f>AZ36*'R&amp;S - Others'!$D$7*'R&amp;S - Others'!$B$12*('R&amp;S - Others'!$B$15+('R&amp;S - Others'!$B$16-'R&amp;S - Others'!$B$15)*(AZ$3-$N$3)/10)</f>
        <v>1000.0522892844007</v>
      </c>
      <c r="BA37" s="101">
        <f>BA36*'R&amp;S - Others'!$D$7*'R&amp;S - Others'!$B$12*('R&amp;S - Others'!$B$15+('R&amp;S - Others'!$B$16-'R&amp;S - Others'!$B$15)*(BA$3-$N$3)/10)</f>
        <v>1062.5555573646757</v>
      </c>
      <c r="BB37" s="101">
        <f>BB36*'R&amp;S - Others'!$D$7*'R&amp;S - Others'!$B$12*('R&amp;S - Others'!$B$15+('R&amp;S - Others'!$B$16-'R&amp;S - Others'!$B$15)*(BB$3-$N$3)/10)</f>
        <v>1125.0588254449508</v>
      </c>
      <c r="BC37" s="101">
        <f>BC36*'R&amp;S - Others'!$D$7*'R&amp;S - Others'!$B$12*('R&amp;S - Others'!$B$15+('R&amp;S - Others'!$B$16-'R&amp;S - Others'!$B$15)*(BC$3-$N$3)/10)</f>
        <v>1187.5620935252257</v>
      </c>
      <c r="BD37" s="101">
        <f>BD36*'R&amp;S - Others'!$D$7*'R&amp;S - Others'!$B$12*('R&amp;S - Others'!$B$15+('R&amp;S - Others'!$B$16-'R&amp;S - Others'!$B$15)*(BD$3-$N$3)/10)</f>
        <v>1250.0653616055008</v>
      </c>
      <c r="BE37" s="101">
        <f>BE36*'R&amp;S - Others'!$D$7*'R&amp;S - Others'!$B$12*('R&amp;S - Others'!$B$16+('R&amp;S - Others'!$B$17-'R&amp;S - Others'!$B$16)*(BE$3-$X$3)/10)</f>
        <v>1314.462668112451</v>
      </c>
      <c r="BF37" s="101">
        <f>BF36*'R&amp;S - Others'!$D$7*'R&amp;S - Others'!$B$12*('R&amp;S - Others'!$B$16+('R&amp;S - Others'!$B$17-'R&amp;S - Others'!$B$16)*(BF$3-$X$3)/10)</f>
        <v>1378.8599746194009</v>
      </c>
      <c r="BG37" s="101">
        <f>BG36*'R&amp;S - Others'!$D$7*'R&amp;S - Others'!$B$12*('R&amp;S - Others'!$B$16+('R&amp;S - Others'!$B$17-'R&amp;S - Others'!$B$16)*(BG$3-$X$3)/10)</f>
        <v>1443.2572811263508</v>
      </c>
      <c r="BH37" s="101">
        <f>BH36*'R&amp;S - Others'!$D$7*'R&amp;S - Others'!$B$12*('R&amp;S - Others'!$B$16+('R&amp;S - Others'!$B$17-'R&amp;S - Others'!$B$16)*(BH$3-$X$3)/10)</f>
        <v>1507.6545876333009</v>
      </c>
      <c r="BI37" s="101">
        <f>BI36*'R&amp;S - Others'!$D$7*'R&amp;S - Others'!$B$12*('R&amp;S - Others'!$B$16+('R&amp;S - Others'!$B$17-'R&amp;S - Others'!$B$16)*(BI$3-$X$3)/10)</f>
        <v>1572.0518941402511</v>
      </c>
      <c r="BJ37" s="101">
        <f>BJ36*'R&amp;S - Others'!$D$7*'R&amp;S - Others'!$B$12*('R&amp;S - Others'!$B$16+('R&amp;S - Others'!$B$17-'R&amp;S - Others'!$B$16)*(BJ$3-$X$3)/10)</f>
        <v>1636.4492006472012</v>
      </c>
      <c r="BK37" s="101">
        <f>BK36*'R&amp;S - Others'!$D$7*'R&amp;S - Others'!$B$12*('R&amp;S - Others'!$B$16+('R&amp;S - Others'!$B$17-'R&amp;S - Others'!$B$16)*(BK$3-$X$3)/10)</f>
        <v>1700.8465071541511</v>
      </c>
      <c r="BL37" s="101">
        <f>BL36*'R&amp;S - Others'!$D$7*'R&amp;S - Others'!$B$12*('R&amp;S - Others'!$B$16+('R&amp;S - Others'!$B$17-'R&amp;S - Others'!$B$16)*(BL$3-$X$3)/10)</f>
        <v>1765.2438136611008</v>
      </c>
      <c r="BM37" s="101">
        <f>BM36*'R&amp;S - Others'!$D$7*'R&amp;S - Others'!$B$12*('R&amp;S - Others'!$B$16+('R&amp;S - Others'!$B$17-'R&amp;S - Others'!$B$16)*(BM$3-$X$3)/10)</f>
        <v>1829.641120168051</v>
      </c>
      <c r="BN37" s="101">
        <f>BN36*'R&amp;S - Others'!$D$7*'R&amp;S - Others'!$B$12*('R&amp;S - Others'!$B$16+('R&amp;S - Others'!$B$17-'R&amp;S - Others'!$B$16)*(BN$3-$X$3)/10)</f>
        <v>1894.0384266750011</v>
      </c>
    </row>
    <row r="38" spans="1:66" outlineLevel="1">
      <c r="B38" s="1" t="s">
        <v>167</v>
      </c>
      <c r="C38" s="51" t="s">
        <v>166</v>
      </c>
      <c r="D38" s="101">
        <v>0</v>
      </c>
      <c r="E38" s="101">
        <f>E36*'R&amp;S - Others'!$D$8*'R&amp;S - Others'!$B$11*'R&amp;S - Others'!$C$15*(E$3-$D$3)/10</f>
        <v>41.66884538685003</v>
      </c>
      <c r="F38" s="101">
        <f>F36*'R&amp;S - Others'!$D$8*'R&amp;S - Others'!$B$11*'R&amp;S - Others'!$C$15*(F$3-$D$3)/10</f>
        <v>83.337690773700061</v>
      </c>
      <c r="G38" s="101">
        <f>G36*'R&amp;S - Others'!$D$8*'R&amp;S - Others'!$B$11*'R&amp;S - Others'!$C$15*(G$3-$D$3)/10</f>
        <v>125.00653616055008</v>
      </c>
      <c r="H38" s="101">
        <f>H36*'R&amp;S - Others'!$D$8*'R&amp;S - Others'!$B$11*'R&amp;S - Others'!$C$15*(H$3-$D$3)/10</f>
        <v>166.67538154740012</v>
      </c>
      <c r="I38" s="101">
        <f>I36*'R&amp;S - Others'!$D$8*'R&amp;S - Others'!$B$11*'R&amp;S - Others'!$C$15*(I$3-$D$3)/10</f>
        <v>208.34422693425012</v>
      </c>
      <c r="J38" s="101">
        <f>J36*'R&amp;S - Others'!$D$8*'R&amp;S - Others'!$B$11*'R&amp;S - Others'!$C$15*(J$3-$D$3)/10</f>
        <v>250.01307232110017</v>
      </c>
      <c r="K38" s="101">
        <f>K36*'R&amp;S - Others'!$D$8*'R&amp;S - Others'!$B$11*'R&amp;S - Others'!$C$15*(K$3-$D$3)/10</f>
        <v>291.68191770795022</v>
      </c>
      <c r="L38" s="101">
        <f>L36*'R&amp;S - Others'!$D$8*'R&amp;S - Others'!$B$11*'R&amp;S - Others'!$C$15*(L$3-$D$3)/10</f>
        <v>333.35076309480024</v>
      </c>
      <c r="M38" s="101">
        <f>M36*'R&amp;S - Others'!$D$8*'R&amp;S - Others'!$B$11*'R&amp;S - Others'!$C$15*(M$3-$D$3)/10</f>
        <v>375.01960848165027</v>
      </c>
      <c r="N38" s="101">
        <f>N36*'R&amp;S - Others'!$D$8*'R&amp;S - Others'!$B$11*'R&amp;S - Others'!$C$15*(N$3-$D$3)/10</f>
        <v>416.68845386850023</v>
      </c>
      <c r="O38" s="101">
        <f>O36*'R&amp;S - Others'!$D$8*'R&amp;S - Others'!$B$11*'R&amp;S - Others'!$C$15*(O$3-$D$3)/10</f>
        <v>458.35729925535031</v>
      </c>
      <c r="P38" s="101">
        <f>P36*'R&amp;S - Others'!$D$8*'R&amp;S - Others'!$B$11*'R&amp;S - Others'!$C$15*(P$3-$D$3)/10</f>
        <v>500.02614464220034</v>
      </c>
      <c r="Q38" s="101">
        <f>Q36*'R&amp;S - Others'!$D$8*'R&amp;S - Others'!$B$11*'R&amp;S - Others'!$C$15*(Q$3-$D$3)/10</f>
        <v>541.69499002905036</v>
      </c>
      <c r="R38" s="101">
        <f>R36*'R&amp;S - Others'!$D$8*'R&amp;S - Others'!$B$11*'R&amp;S - Others'!$C$15*(R$3-$D$3)/10</f>
        <v>583.36383541590044</v>
      </c>
      <c r="S38" s="101">
        <f>S36*'R&amp;S - Others'!$D$8*'R&amp;S - Others'!$B$11*'R&amp;S - Others'!$C$15*(S$3-$D$3)/10</f>
        <v>625.03268080275052</v>
      </c>
      <c r="T38" s="101">
        <f>T36*'R&amp;S - Others'!$D$8*'R&amp;S - Others'!$B$11*'R&amp;S - Others'!$C$15*(T$3-$D$3)/10</f>
        <v>666.70152618960049</v>
      </c>
      <c r="U38" s="101">
        <f>U36*'R&amp;S - Others'!$D$8*'R&amp;S - Others'!$B$11*'R&amp;S - Others'!$C$15*(U$3-$D$3)/10</f>
        <v>708.37037157645045</v>
      </c>
      <c r="V38" s="101">
        <f>V36*'R&amp;S - Others'!$D$8*'R&amp;S - Others'!$B$11*'R&amp;S - Others'!$C$15*(V$3-$D$3)/10</f>
        <v>750.03921696330053</v>
      </c>
      <c r="W38" s="101">
        <f>W36*'R&amp;S - Others'!$D$8*'R&amp;S - Others'!$B$11*'R&amp;S - Others'!$C$15*(W$3-$D$3)/10</f>
        <v>791.7080623501505</v>
      </c>
      <c r="X38" s="101">
        <f>X36*'R&amp;S - Others'!$D$8*'R&amp;S - Others'!$B$11*'R&amp;S - Others'!$C$15*(X$3-$D$3)/10</f>
        <v>833.37690773700047</v>
      </c>
      <c r="Y38" s="101">
        <f>Y36*'R&amp;S - Others'!$D$8*'R&amp;S - Others'!$B$11*('R&amp;S - Others'!$C$16+('R&amp;S - Others'!$C$17-'R&amp;S - Others'!$C$16)*(Y$3-$X$3)/10)</f>
        <v>876.30844540830071</v>
      </c>
      <c r="Z38" s="101">
        <f>Z36*'R&amp;S - Others'!$D$8*'R&amp;S - Others'!$B$11*('R&amp;S - Others'!$C$16+('R&amp;S - Others'!$C$17-'R&amp;S - Others'!$C$16)*(Z$3-$X$3)/10)</f>
        <v>919.23998307960062</v>
      </c>
      <c r="AA38" s="101">
        <f>AA36*'R&amp;S - Others'!$D$8*'R&amp;S - Others'!$B$11*('R&amp;S - Others'!$C$16+('R&amp;S - Others'!$C$17-'R&amp;S - Others'!$C$16)*(AA$3-$X$3)/10)</f>
        <v>962.17152075090075</v>
      </c>
      <c r="AB38" s="101">
        <f>AB36*'R&amp;S - Others'!$D$8*'R&amp;S - Others'!$B$11*('R&amp;S - Others'!$C$16+('R&amp;S - Others'!$C$17-'R&amp;S - Others'!$C$16)*(AB$3-$X$3)/10)</f>
        <v>1005.1030584222008</v>
      </c>
      <c r="AC38" s="101">
        <f>AC36*'R&amp;S - Others'!$D$8*'R&amp;S - Others'!$B$11*('R&amp;S - Others'!$C$16+('R&amp;S - Others'!$C$17-'R&amp;S - Others'!$C$16)*(AC$3-$X$3)/10)</f>
        <v>1048.0345960935008</v>
      </c>
      <c r="AD38" s="101">
        <f>AD36*'R&amp;S - Others'!$D$8*'R&amp;S - Others'!$B$11*('R&amp;S - Others'!$C$16+('R&amp;S - Others'!$C$17-'R&amp;S - Others'!$C$16)*(AD$3-$X$3)/10)</f>
        <v>1090.9661337648008</v>
      </c>
      <c r="AE38" s="101">
        <f>AE36*'R&amp;S - Others'!$D$8*'R&amp;S - Others'!$B$11*('R&amp;S - Others'!$C$16+('R&amp;S - Others'!$C$17-'R&amp;S - Others'!$C$16)*(AE$3-$X$3)/10)</f>
        <v>1133.8976714361008</v>
      </c>
      <c r="AF38" s="101">
        <f>AF36*'R&amp;S - Others'!$D$8*'R&amp;S - Others'!$B$11*('R&amp;S - Others'!$C$16+('R&amp;S - Others'!$C$17-'R&amp;S - Others'!$C$16)*(AF$3-$X$3)/10)</f>
        <v>1176.8292091074009</v>
      </c>
      <c r="AG38" s="101">
        <f>AG36*'R&amp;S - Others'!$D$8*'R&amp;S - Others'!$B$11*('R&amp;S - Others'!$C$16+('R&amp;S - Others'!$C$17-'R&amp;S - Others'!$C$16)*(AG$3-$X$3)/10)</f>
        <v>1219.7607467787009</v>
      </c>
      <c r="AH38" s="101">
        <f>AH36*'R&amp;S - Others'!$D$8*'R&amp;S - Others'!$B$11*('R&amp;S - Others'!$C$16+('R&amp;S - Others'!$C$17-'R&amp;S - Others'!$C$16)*(AH$3-$X$3)/10)</f>
        <v>1262.6922844500009</v>
      </c>
      <c r="AI38" s="191"/>
      <c r="AJ38" s="101">
        <v>0</v>
      </c>
      <c r="AK38" s="101">
        <f>AK36*'R&amp;S - Others'!$D$8*'R&amp;S - Others'!$B$12*'R&amp;S - Others'!$C$15*(AK$3-$D$3)/10</f>
        <v>20.834422693425015</v>
      </c>
      <c r="AL38" s="101">
        <f>AL36*'R&amp;S - Others'!$D$8*'R&amp;S - Others'!$B$12*'R&amp;S - Others'!$C$15*(AL$3-$D$3)/10</f>
        <v>41.66884538685003</v>
      </c>
      <c r="AM38" s="101">
        <f>AM36*'R&amp;S - Others'!$D$8*'R&amp;S - Others'!$B$12*'R&amp;S - Others'!$C$15*(AM$3-$D$3)/10</f>
        <v>62.503268080275042</v>
      </c>
      <c r="AN38" s="101">
        <f>AN36*'R&amp;S - Others'!$D$8*'R&amp;S - Others'!$B$12*'R&amp;S - Others'!$C$15*(AN$3-$D$3)/10</f>
        <v>83.337690773700061</v>
      </c>
      <c r="AO38" s="101">
        <f>AO36*'R&amp;S - Others'!$D$8*'R&amp;S - Others'!$B$12*'R&amp;S - Others'!$C$15*(AO$3-$D$3)/10</f>
        <v>104.17211346712506</v>
      </c>
      <c r="AP38" s="101">
        <f>AP36*'R&amp;S - Others'!$D$8*'R&amp;S - Others'!$B$12*'R&amp;S - Others'!$C$15*(AP$3-$D$3)/10</f>
        <v>125.00653616055008</v>
      </c>
      <c r="AQ38" s="101">
        <f>AQ36*'R&amp;S - Others'!$D$8*'R&amp;S - Others'!$B$12*'R&amp;S - Others'!$C$15*(AQ$3-$D$3)/10</f>
        <v>145.84095885397511</v>
      </c>
      <c r="AR38" s="101">
        <f>AR36*'R&amp;S - Others'!$D$8*'R&amp;S - Others'!$B$12*'R&amp;S - Others'!$C$15*(AR$3-$D$3)/10</f>
        <v>166.67538154740012</v>
      </c>
      <c r="AS38" s="101">
        <f>AS36*'R&amp;S - Others'!$D$8*'R&amp;S - Others'!$B$12*'R&amp;S - Others'!$C$15*(AS$3-$D$3)/10</f>
        <v>187.50980424082513</v>
      </c>
      <c r="AT38" s="101">
        <f>AT36*'R&amp;S - Others'!$D$8*'R&amp;S - Others'!$B$12*'R&amp;S - Others'!$C$15*(AT$3-$D$3)/10</f>
        <v>208.34422693425012</v>
      </c>
      <c r="AU38" s="101">
        <f>AU36*'R&amp;S - Others'!$D$8*'R&amp;S - Others'!$B$12*'R&amp;S - Others'!$C$15*(AU$3-$D$3)/10</f>
        <v>229.17864962767516</v>
      </c>
      <c r="AV38" s="101">
        <f>AV36*'R&amp;S - Others'!$D$8*'R&amp;S - Others'!$B$12*'R&amp;S - Others'!$C$15*(AV$3-$D$3)/10</f>
        <v>250.01307232110017</v>
      </c>
      <c r="AW38" s="101">
        <f>AW36*'R&amp;S - Others'!$D$8*'R&amp;S - Others'!$B$12*'R&amp;S - Others'!$C$15*(AW$3-$D$3)/10</f>
        <v>270.84749501452518</v>
      </c>
      <c r="AX38" s="101">
        <f>AX36*'R&amp;S - Others'!$D$8*'R&amp;S - Others'!$B$12*'R&amp;S - Others'!$C$15*(AX$3-$D$3)/10</f>
        <v>291.68191770795022</v>
      </c>
      <c r="AY38" s="101">
        <f>AY36*'R&amp;S - Others'!$D$8*'R&amp;S - Others'!$B$12*'R&amp;S - Others'!$C$15*(AY$3-$D$3)/10</f>
        <v>312.51634040137526</v>
      </c>
      <c r="AZ38" s="101">
        <f>AZ36*'R&amp;S - Others'!$D$8*'R&amp;S - Others'!$B$12*'R&amp;S - Others'!$C$15*(AZ$3-$D$3)/10</f>
        <v>333.35076309480024</v>
      </c>
      <c r="BA38" s="101">
        <f>BA36*'R&amp;S - Others'!$D$8*'R&amp;S - Others'!$B$12*'R&amp;S - Others'!$C$15*(BA$3-$D$3)/10</f>
        <v>354.18518578822523</v>
      </c>
      <c r="BB38" s="101">
        <f>BB36*'R&amp;S - Others'!$D$8*'R&amp;S - Others'!$B$12*'R&amp;S - Others'!$C$15*(BB$3-$D$3)/10</f>
        <v>375.01960848165027</v>
      </c>
      <c r="BC38" s="101">
        <f>BC36*'R&amp;S - Others'!$D$8*'R&amp;S - Others'!$B$12*'R&amp;S - Others'!$C$15*(BC$3-$D$3)/10</f>
        <v>395.85403117507525</v>
      </c>
      <c r="BD38" s="101">
        <f>BD36*'R&amp;S - Others'!$D$8*'R&amp;S - Others'!$B$12*'R&amp;S - Others'!$C$15*(BD$3-$D$3)/10</f>
        <v>416.68845386850023</v>
      </c>
      <c r="BE38" s="101">
        <f>BE36*'R&amp;S - Others'!$D$8*'R&amp;S - Others'!$B$12*('R&amp;S - Others'!$C$16+('R&amp;S - Others'!$C$17-'R&amp;S - Others'!$C$16)*(BE$3-$X$3)/10)</f>
        <v>438.15422270415036</v>
      </c>
      <c r="BF38" s="101">
        <f>BF36*'R&amp;S - Others'!$D$8*'R&amp;S - Others'!$B$12*('R&amp;S - Others'!$C$16+('R&amp;S - Others'!$C$17-'R&amp;S - Others'!$C$16)*(BF$3-$X$3)/10)</f>
        <v>459.61999153980031</v>
      </c>
      <c r="BG38" s="101">
        <f>BG36*'R&amp;S - Others'!$D$8*'R&amp;S - Others'!$B$12*('R&amp;S - Others'!$C$16+('R&amp;S - Others'!$C$17-'R&amp;S - Others'!$C$16)*(BG$3-$X$3)/10)</f>
        <v>481.08576037545038</v>
      </c>
      <c r="BH38" s="101">
        <f>BH36*'R&amp;S - Others'!$D$8*'R&amp;S - Others'!$B$12*('R&amp;S - Others'!$C$16+('R&amp;S - Others'!$C$17-'R&amp;S - Others'!$C$16)*(BH$3-$X$3)/10)</f>
        <v>502.55152921110039</v>
      </c>
      <c r="BI38" s="101">
        <f>BI36*'R&amp;S - Others'!$D$8*'R&amp;S - Others'!$B$12*('R&amp;S - Others'!$C$16+('R&amp;S - Others'!$C$17-'R&amp;S - Others'!$C$16)*(BI$3-$X$3)/10)</f>
        <v>524.0172980467504</v>
      </c>
      <c r="BJ38" s="101">
        <f>BJ36*'R&amp;S - Others'!$D$8*'R&amp;S - Others'!$B$12*('R&amp;S - Others'!$C$16+('R&amp;S - Others'!$C$17-'R&amp;S - Others'!$C$16)*(BJ$3-$X$3)/10)</f>
        <v>545.48306688240041</v>
      </c>
      <c r="BK38" s="101">
        <f>BK36*'R&amp;S - Others'!$D$8*'R&amp;S - Others'!$B$12*('R&amp;S - Others'!$C$16+('R&amp;S - Others'!$C$17-'R&amp;S - Others'!$C$16)*(BK$3-$X$3)/10)</f>
        <v>566.94883571805042</v>
      </c>
      <c r="BL38" s="101">
        <f>BL36*'R&amp;S - Others'!$D$8*'R&amp;S - Others'!$B$12*('R&amp;S - Others'!$C$16+('R&amp;S - Others'!$C$17-'R&amp;S - Others'!$C$16)*(BL$3-$X$3)/10)</f>
        <v>588.41460455370043</v>
      </c>
      <c r="BM38" s="101">
        <f>BM36*'R&amp;S - Others'!$D$8*'R&amp;S - Others'!$B$12*('R&amp;S - Others'!$C$16+('R&amp;S - Others'!$C$17-'R&amp;S - Others'!$C$16)*(BM$3-$X$3)/10)</f>
        <v>609.88037338935044</v>
      </c>
      <c r="BN38" s="101">
        <f>BN36*'R&amp;S - Others'!$D$8*'R&amp;S - Others'!$B$12*('R&amp;S - Others'!$C$16+('R&amp;S - Others'!$C$17-'R&amp;S - Others'!$C$16)*(BN$3-$X$3)/10)</f>
        <v>631.34614222500045</v>
      </c>
    </row>
    <row r="39" spans="1:66" outlineLevel="1">
      <c r="A39" s="167"/>
      <c r="B39" s="167" t="s">
        <v>195</v>
      </c>
      <c r="C39" s="168" t="s">
        <v>166</v>
      </c>
      <c r="D39" s="606">
        <f>D36-D37-D38</f>
        <v>25253.845689000016</v>
      </c>
      <c r="E39" s="606">
        <f t="shared" ref="E39:AH39" si="37">E36-E37-E38</f>
        <v>25087.170307452619</v>
      </c>
      <c r="F39" s="606">
        <f t="shared" si="37"/>
        <v>24920.494925905215</v>
      </c>
      <c r="G39" s="606">
        <f t="shared" si="37"/>
        <v>24753.819544357819</v>
      </c>
      <c r="H39" s="606">
        <f t="shared" si="37"/>
        <v>24587.144162810415</v>
      </c>
      <c r="I39" s="606">
        <f t="shared" si="37"/>
        <v>24420.468781263018</v>
      </c>
      <c r="J39" s="606">
        <f t="shared" si="37"/>
        <v>24253.793399715614</v>
      </c>
      <c r="K39" s="606">
        <f t="shared" si="37"/>
        <v>24087.118018168218</v>
      </c>
      <c r="L39" s="606">
        <f t="shared" si="37"/>
        <v>23920.442636620814</v>
      </c>
      <c r="M39" s="606">
        <f t="shared" si="37"/>
        <v>23753.767255073417</v>
      </c>
      <c r="N39" s="606">
        <f t="shared" si="37"/>
        <v>23587.091873526013</v>
      </c>
      <c r="O39" s="606">
        <f t="shared" si="37"/>
        <v>23420.416491978616</v>
      </c>
      <c r="P39" s="606">
        <f t="shared" si="37"/>
        <v>23253.741110431212</v>
      </c>
      <c r="Q39" s="606">
        <f t="shared" si="37"/>
        <v>23087.065728883816</v>
      </c>
      <c r="R39" s="606">
        <f t="shared" si="37"/>
        <v>22920.390347336415</v>
      </c>
      <c r="S39" s="606">
        <f t="shared" si="37"/>
        <v>22753.714965789015</v>
      </c>
      <c r="T39" s="606">
        <f t="shared" si="37"/>
        <v>22587.039584241615</v>
      </c>
      <c r="U39" s="606">
        <f t="shared" si="37"/>
        <v>22420.364202694214</v>
      </c>
      <c r="V39" s="606">
        <f t="shared" si="37"/>
        <v>22253.688821146814</v>
      </c>
      <c r="W39" s="606">
        <f t="shared" si="37"/>
        <v>22087.013439599414</v>
      </c>
      <c r="X39" s="606">
        <f t="shared" si="37"/>
        <v>21920.338058052013</v>
      </c>
      <c r="Y39" s="606">
        <f t="shared" si="37"/>
        <v>21748.611907366816</v>
      </c>
      <c r="Z39" s="606">
        <f t="shared" si="37"/>
        <v>21576.885756681611</v>
      </c>
      <c r="AA39" s="606">
        <f t="shared" si="37"/>
        <v>21405.159605996414</v>
      </c>
      <c r="AB39" s="606">
        <f t="shared" si="37"/>
        <v>21233.433455311213</v>
      </c>
      <c r="AC39" s="606">
        <f t="shared" si="37"/>
        <v>21061.707304626012</v>
      </c>
      <c r="AD39" s="606">
        <f t="shared" si="37"/>
        <v>20889.981153940815</v>
      </c>
      <c r="AE39" s="606">
        <f t="shared" si="37"/>
        <v>20718.255003255614</v>
      </c>
      <c r="AF39" s="606">
        <f t="shared" si="37"/>
        <v>20546.528852570413</v>
      </c>
      <c r="AG39" s="606">
        <f t="shared" si="37"/>
        <v>20374.802701885212</v>
      </c>
      <c r="AH39" s="606">
        <f t="shared" si="37"/>
        <v>20203.076551200014</v>
      </c>
      <c r="AI39" s="191"/>
      <c r="AJ39" s="606">
        <f>AJ36-AJ37-AJ38</f>
        <v>25253.845689000016</v>
      </c>
      <c r="AK39" s="606">
        <f t="shared" ref="AK39:BN39" si="38">AK36-AK37-AK38</f>
        <v>25170.507998226316</v>
      </c>
      <c r="AL39" s="606">
        <f t="shared" si="38"/>
        <v>25087.170307452619</v>
      </c>
      <c r="AM39" s="606">
        <f t="shared" si="38"/>
        <v>25003.832616678916</v>
      </c>
      <c r="AN39" s="606">
        <f t="shared" si="38"/>
        <v>24920.494925905215</v>
      </c>
      <c r="AO39" s="606">
        <f t="shared" si="38"/>
        <v>24837.157235131515</v>
      </c>
      <c r="AP39" s="606">
        <f t="shared" si="38"/>
        <v>24753.819544357819</v>
      </c>
      <c r="AQ39" s="606">
        <f t="shared" si="38"/>
        <v>24670.481853584115</v>
      </c>
      <c r="AR39" s="606">
        <f t="shared" si="38"/>
        <v>24587.144162810415</v>
      </c>
      <c r="AS39" s="606">
        <f t="shared" si="38"/>
        <v>24503.806472036715</v>
      </c>
      <c r="AT39" s="606">
        <f t="shared" si="38"/>
        <v>24420.468781263018</v>
      </c>
      <c r="AU39" s="606">
        <f t="shared" si="38"/>
        <v>24337.131090489314</v>
      </c>
      <c r="AV39" s="606">
        <f t="shared" si="38"/>
        <v>24253.793399715614</v>
      </c>
      <c r="AW39" s="606">
        <f t="shared" si="38"/>
        <v>24170.455708941918</v>
      </c>
      <c r="AX39" s="606">
        <f t="shared" si="38"/>
        <v>24087.118018168218</v>
      </c>
      <c r="AY39" s="606">
        <f t="shared" si="38"/>
        <v>24003.780327394514</v>
      </c>
      <c r="AZ39" s="606">
        <f t="shared" si="38"/>
        <v>23920.442636620814</v>
      </c>
      <c r="BA39" s="606">
        <f t="shared" si="38"/>
        <v>23837.104945847117</v>
      </c>
      <c r="BB39" s="606">
        <f t="shared" si="38"/>
        <v>23753.767255073417</v>
      </c>
      <c r="BC39" s="606">
        <f t="shared" si="38"/>
        <v>23670.429564299713</v>
      </c>
      <c r="BD39" s="606">
        <f t="shared" si="38"/>
        <v>23587.091873526013</v>
      </c>
      <c r="BE39" s="606">
        <f t="shared" si="38"/>
        <v>23501.228798183416</v>
      </c>
      <c r="BF39" s="606">
        <f t="shared" si="38"/>
        <v>23415.365722840816</v>
      </c>
      <c r="BG39" s="606">
        <f t="shared" si="38"/>
        <v>23329.502647498211</v>
      </c>
      <c r="BH39" s="606">
        <f t="shared" si="38"/>
        <v>23243.639572155615</v>
      </c>
      <c r="BI39" s="606">
        <f t="shared" si="38"/>
        <v>23157.776496813014</v>
      </c>
      <c r="BJ39" s="606">
        <f t="shared" si="38"/>
        <v>23071.913421470414</v>
      </c>
      <c r="BK39" s="606">
        <f t="shared" si="38"/>
        <v>22986.050346127817</v>
      </c>
      <c r="BL39" s="606">
        <f t="shared" si="38"/>
        <v>22900.187270785213</v>
      </c>
      <c r="BM39" s="606">
        <f t="shared" si="38"/>
        <v>22814.324195442616</v>
      </c>
      <c r="BN39" s="606">
        <f t="shared" si="38"/>
        <v>22728.461120100015</v>
      </c>
    </row>
    <row r="40" spans="1:66" s="62" customFormat="1" outlineLevel="2">
      <c r="B40" s="55" t="s">
        <v>193</v>
      </c>
      <c r="C40" s="56" t="s">
        <v>166</v>
      </c>
      <c r="D40" s="630">
        <v>0</v>
      </c>
      <c r="E40" s="630">
        <v>0</v>
      </c>
      <c r="F40" s="630">
        <v>0</v>
      </c>
      <c r="G40" s="630">
        <v>0</v>
      </c>
      <c r="H40" s="630">
        <v>0</v>
      </c>
      <c r="I40" s="630">
        <v>0</v>
      </c>
      <c r="J40" s="630">
        <v>0</v>
      </c>
      <c r="K40" s="630">
        <v>0</v>
      </c>
      <c r="L40" s="630">
        <v>0</v>
      </c>
      <c r="M40" s="630">
        <v>0</v>
      </c>
      <c r="N40" s="630">
        <v>0</v>
      </c>
      <c r="O40" s="630">
        <v>0</v>
      </c>
      <c r="P40" s="630">
        <v>0</v>
      </c>
      <c r="Q40" s="630">
        <v>0</v>
      </c>
      <c r="R40" s="630">
        <v>0</v>
      </c>
      <c r="S40" s="630">
        <v>0</v>
      </c>
      <c r="T40" s="630">
        <v>0</v>
      </c>
      <c r="U40" s="630">
        <v>0</v>
      </c>
      <c r="V40" s="630">
        <v>0</v>
      </c>
      <c r="W40" s="630">
        <v>0</v>
      </c>
      <c r="X40" s="630">
        <v>0</v>
      </c>
      <c r="Y40" s="630">
        <v>0</v>
      </c>
      <c r="Z40" s="630">
        <v>0</v>
      </c>
      <c r="AA40" s="630">
        <v>0</v>
      </c>
      <c r="AB40" s="630">
        <v>0</v>
      </c>
      <c r="AC40" s="630">
        <v>0</v>
      </c>
      <c r="AD40" s="630">
        <v>0</v>
      </c>
      <c r="AE40" s="630">
        <v>0</v>
      </c>
      <c r="AF40" s="630">
        <v>0</v>
      </c>
      <c r="AG40" s="630">
        <v>0</v>
      </c>
      <c r="AH40" s="630">
        <v>0</v>
      </c>
      <c r="AI40" s="639"/>
      <c r="AJ40" s="630">
        <f>D40</f>
        <v>0</v>
      </c>
      <c r="AK40" s="630">
        <f t="shared" ref="AK40:AZ41" si="39">E40</f>
        <v>0</v>
      </c>
      <c r="AL40" s="630">
        <f t="shared" si="39"/>
        <v>0</v>
      </c>
      <c r="AM40" s="630">
        <f t="shared" si="39"/>
        <v>0</v>
      </c>
      <c r="AN40" s="630">
        <f t="shared" si="39"/>
        <v>0</v>
      </c>
      <c r="AO40" s="630">
        <f t="shared" si="39"/>
        <v>0</v>
      </c>
      <c r="AP40" s="630">
        <f t="shared" si="39"/>
        <v>0</v>
      </c>
      <c r="AQ40" s="630">
        <f t="shared" si="39"/>
        <v>0</v>
      </c>
      <c r="AR40" s="630">
        <f t="shared" si="39"/>
        <v>0</v>
      </c>
      <c r="AS40" s="630">
        <f t="shared" si="39"/>
        <v>0</v>
      </c>
      <c r="AT40" s="630">
        <f t="shared" si="39"/>
        <v>0</v>
      </c>
      <c r="AU40" s="630">
        <f t="shared" si="39"/>
        <v>0</v>
      </c>
      <c r="AV40" s="630">
        <f t="shared" si="39"/>
        <v>0</v>
      </c>
      <c r="AW40" s="630">
        <f t="shared" si="39"/>
        <v>0</v>
      </c>
      <c r="AX40" s="630">
        <f t="shared" si="39"/>
        <v>0</v>
      </c>
      <c r="AY40" s="630">
        <f t="shared" si="39"/>
        <v>0</v>
      </c>
      <c r="AZ40" s="630">
        <f t="shared" si="39"/>
        <v>0</v>
      </c>
      <c r="BA40" s="630">
        <f t="shared" ref="BA40:BN41" si="40">U40</f>
        <v>0</v>
      </c>
      <c r="BB40" s="630">
        <f t="shared" si="40"/>
        <v>0</v>
      </c>
      <c r="BC40" s="630">
        <f t="shared" si="40"/>
        <v>0</v>
      </c>
      <c r="BD40" s="630">
        <f t="shared" si="40"/>
        <v>0</v>
      </c>
      <c r="BE40" s="630">
        <f t="shared" si="40"/>
        <v>0</v>
      </c>
      <c r="BF40" s="630">
        <f t="shared" si="40"/>
        <v>0</v>
      </c>
      <c r="BG40" s="630">
        <f t="shared" si="40"/>
        <v>0</v>
      </c>
      <c r="BH40" s="630">
        <f t="shared" si="40"/>
        <v>0</v>
      </c>
      <c r="BI40" s="630">
        <f t="shared" si="40"/>
        <v>0</v>
      </c>
      <c r="BJ40" s="630">
        <f t="shared" si="40"/>
        <v>0</v>
      </c>
      <c r="BK40" s="630">
        <f t="shared" si="40"/>
        <v>0</v>
      </c>
      <c r="BL40" s="630">
        <f t="shared" si="40"/>
        <v>0</v>
      </c>
      <c r="BM40" s="630">
        <f t="shared" si="40"/>
        <v>0</v>
      </c>
      <c r="BN40" s="630">
        <f t="shared" si="40"/>
        <v>0</v>
      </c>
    </row>
    <row r="41" spans="1:66" outlineLevel="2">
      <c r="B41" s="1" t="s">
        <v>194</v>
      </c>
      <c r="C41" s="51" t="s">
        <v>166</v>
      </c>
      <c r="D41" s="101">
        <v>0</v>
      </c>
      <c r="E41" s="101">
        <v>0</v>
      </c>
      <c r="F41" s="101">
        <v>0</v>
      </c>
      <c r="G41" s="101">
        <v>0</v>
      </c>
      <c r="H41" s="101">
        <v>0</v>
      </c>
      <c r="I41" s="101">
        <v>0</v>
      </c>
      <c r="J41" s="101">
        <v>0</v>
      </c>
      <c r="K41" s="101">
        <v>0</v>
      </c>
      <c r="L41" s="101">
        <v>0</v>
      </c>
      <c r="M41" s="101">
        <v>0</v>
      </c>
      <c r="N41" s="101">
        <v>0</v>
      </c>
      <c r="O41" s="101">
        <v>0</v>
      </c>
      <c r="P41" s="101">
        <v>0</v>
      </c>
      <c r="Q41" s="101">
        <v>0</v>
      </c>
      <c r="R41" s="101">
        <v>0</v>
      </c>
      <c r="S41" s="101">
        <v>0</v>
      </c>
      <c r="T41" s="101">
        <v>0</v>
      </c>
      <c r="U41" s="101">
        <v>0</v>
      </c>
      <c r="V41" s="101">
        <v>0</v>
      </c>
      <c r="W41" s="101">
        <v>0</v>
      </c>
      <c r="X41" s="101">
        <v>0</v>
      </c>
      <c r="Y41" s="101">
        <v>0</v>
      </c>
      <c r="Z41" s="101">
        <v>0</v>
      </c>
      <c r="AA41" s="101">
        <v>0</v>
      </c>
      <c r="AB41" s="101">
        <v>0</v>
      </c>
      <c r="AC41" s="101">
        <v>0</v>
      </c>
      <c r="AD41" s="101">
        <v>0</v>
      </c>
      <c r="AE41" s="101">
        <v>0</v>
      </c>
      <c r="AF41" s="101">
        <v>0</v>
      </c>
      <c r="AG41" s="101">
        <v>0</v>
      </c>
      <c r="AH41" s="101">
        <v>0</v>
      </c>
      <c r="AI41" s="191"/>
      <c r="AJ41" s="101">
        <f>D41</f>
        <v>0</v>
      </c>
      <c r="AK41" s="101">
        <f t="shared" si="39"/>
        <v>0</v>
      </c>
      <c r="AL41" s="101">
        <f t="shared" si="39"/>
        <v>0</v>
      </c>
      <c r="AM41" s="101">
        <f t="shared" si="39"/>
        <v>0</v>
      </c>
      <c r="AN41" s="101">
        <f t="shared" si="39"/>
        <v>0</v>
      </c>
      <c r="AO41" s="101">
        <f t="shared" si="39"/>
        <v>0</v>
      </c>
      <c r="AP41" s="101">
        <f t="shared" si="39"/>
        <v>0</v>
      </c>
      <c r="AQ41" s="101">
        <f t="shared" si="39"/>
        <v>0</v>
      </c>
      <c r="AR41" s="101">
        <f t="shared" si="39"/>
        <v>0</v>
      </c>
      <c r="AS41" s="101">
        <f t="shared" si="39"/>
        <v>0</v>
      </c>
      <c r="AT41" s="101">
        <f t="shared" si="39"/>
        <v>0</v>
      </c>
      <c r="AU41" s="101">
        <f t="shared" si="39"/>
        <v>0</v>
      </c>
      <c r="AV41" s="101">
        <f t="shared" si="39"/>
        <v>0</v>
      </c>
      <c r="AW41" s="101">
        <f t="shared" si="39"/>
        <v>0</v>
      </c>
      <c r="AX41" s="101">
        <f t="shared" si="39"/>
        <v>0</v>
      </c>
      <c r="AY41" s="101">
        <f t="shared" si="39"/>
        <v>0</v>
      </c>
      <c r="AZ41" s="101">
        <f t="shared" si="39"/>
        <v>0</v>
      </c>
      <c r="BA41" s="101">
        <f t="shared" si="40"/>
        <v>0</v>
      </c>
      <c r="BB41" s="101">
        <f t="shared" si="40"/>
        <v>0</v>
      </c>
      <c r="BC41" s="101">
        <f t="shared" si="40"/>
        <v>0</v>
      </c>
      <c r="BD41" s="101">
        <f t="shared" si="40"/>
        <v>0</v>
      </c>
      <c r="BE41" s="101">
        <f t="shared" si="40"/>
        <v>0</v>
      </c>
      <c r="BF41" s="101">
        <f t="shared" si="40"/>
        <v>0</v>
      </c>
      <c r="BG41" s="101">
        <f t="shared" si="40"/>
        <v>0</v>
      </c>
      <c r="BH41" s="101">
        <f t="shared" si="40"/>
        <v>0</v>
      </c>
      <c r="BI41" s="101">
        <f t="shared" si="40"/>
        <v>0</v>
      </c>
      <c r="BJ41" s="101">
        <f t="shared" si="40"/>
        <v>0</v>
      </c>
      <c r="BK41" s="101">
        <f t="shared" si="40"/>
        <v>0</v>
      </c>
      <c r="BL41" s="101">
        <f t="shared" si="40"/>
        <v>0</v>
      </c>
      <c r="BM41" s="101">
        <f t="shared" si="40"/>
        <v>0</v>
      </c>
      <c r="BN41" s="101">
        <f t="shared" si="40"/>
        <v>0</v>
      </c>
    </row>
    <row r="42" spans="1:66" s="180" customFormat="1" ht="15.65" customHeight="1" outlineLevel="1">
      <c r="A42" s="177" t="s">
        <v>192</v>
      </c>
      <c r="B42" s="178" t="s">
        <v>225</v>
      </c>
      <c r="C42" s="179" t="s">
        <v>166</v>
      </c>
      <c r="D42" s="640">
        <f>D40+D41</f>
        <v>0</v>
      </c>
      <c r="E42" s="640">
        <f t="shared" ref="E42:AH42" si="41">E40+E41</f>
        <v>0</v>
      </c>
      <c r="F42" s="640">
        <f t="shared" si="41"/>
        <v>0</v>
      </c>
      <c r="G42" s="640">
        <f t="shared" si="41"/>
        <v>0</v>
      </c>
      <c r="H42" s="640">
        <f t="shared" si="41"/>
        <v>0</v>
      </c>
      <c r="I42" s="640">
        <f t="shared" si="41"/>
        <v>0</v>
      </c>
      <c r="J42" s="640">
        <f t="shared" si="41"/>
        <v>0</v>
      </c>
      <c r="K42" s="640">
        <f t="shared" si="41"/>
        <v>0</v>
      </c>
      <c r="L42" s="640">
        <f t="shared" si="41"/>
        <v>0</v>
      </c>
      <c r="M42" s="640">
        <f t="shared" si="41"/>
        <v>0</v>
      </c>
      <c r="N42" s="640">
        <f t="shared" si="41"/>
        <v>0</v>
      </c>
      <c r="O42" s="640">
        <f t="shared" si="41"/>
        <v>0</v>
      </c>
      <c r="P42" s="640">
        <f t="shared" si="41"/>
        <v>0</v>
      </c>
      <c r="Q42" s="640">
        <f t="shared" si="41"/>
        <v>0</v>
      </c>
      <c r="R42" s="640">
        <f t="shared" si="41"/>
        <v>0</v>
      </c>
      <c r="S42" s="640">
        <f t="shared" si="41"/>
        <v>0</v>
      </c>
      <c r="T42" s="640">
        <f t="shared" si="41"/>
        <v>0</v>
      </c>
      <c r="U42" s="640">
        <f t="shared" si="41"/>
        <v>0</v>
      </c>
      <c r="V42" s="640">
        <f t="shared" si="41"/>
        <v>0</v>
      </c>
      <c r="W42" s="640">
        <f t="shared" si="41"/>
        <v>0</v>
      </c>
      <c r="X42" s="640">
        <f t="shared" si="41"/>
        <v>0</v>
      </c>
      <c r="Y42" s="640">
        <f t="shared" si="41"/>
        <v>0</v>
      </c>
      <c r="Z42" s="640">
        <f t="shared" si="41"/>
        <v>0</v>
      </c>
      <c r="AA42" s="640">
        <f t="shared" si="41"/>
        <v>0</v>
      </c>
      <c r="AB42" s="640">
        <f t="shared" si="41"/>
        <v>0</v>
      </c>
      <c r="AC42" s="640">
        <f t="shared" si="41"/>
        <v>0</v>
      </c>
      <c r="AD42" s="640">
        <f t="shared" si="41"/>
        <v>0</v>
      </c>
      <c r="AE42" s="640">
        <f t="shared" si="41"/>
        <v>0</v>
      </c>
      <c r="AF42" s="640">
        <f t="shared" si="41"/>
        <v>0</v>
      </c>
      <c r="AG42" s="640">
        <f t="shared" si="41"/>
        <v>0</v>
      </c>
      <c r="AH42" s="640">
        <f t="shared" si="41"/>
        <v>0</v>
      </c>
      <c r="AI42" s="641"/>
      <c r="AJ42" s="640">
        <f>AJ40+AJ41</f>
        <v>0</v>
      </c>
      <c r="AK42" s="640">
        <f t="shared" ref="AK42:BN42" si="42">AK40+AK41</f>
        <v>0</v>
      </c>
      <c r="AL42" s="640">
        <f t="shared" si="42"/>
        <v>0</v>
      </c>
      <c r="AM42" s="640">
        <f t="shared" si="42"/>
        <v>0</v>
      </c>
      <c r="AN42" s="640">
        <f t="shared" si="42"/>
        <v>0</v>
      </c>
      <c r="AO42" s="640">
        <f t="shared" si="42"/>
        <v>0</v>
      </c>
      <c r="AP42" s="640">
        <f t="shared" si="42"/>
        <v>0</v>
      </c>
      <c r="AQ42" s="640">
        <f t="shared" si="42"/>
        <v>0</v>
      </c>
      <c r="AR42" s="640">
        <f t="shared" si="42"/>
        <v>0</v>
      </c>
      <c r="AS42" s="640">
        <f t="shared" si="42"/>
        <v>0</v>
      </c>
      <c r="AT42" s="640">
        <f t="shared" si="42"/>
        <v>0</v>
      </c>
      <c r="AU42" s="640">
        <f t="shared" si="42"/>
        <v>0</v>
      </c>
      <c r="AV42" s="640">
        <f t="shared" si="42"/>
        <v>0</v>
      </c>
      <c r="AW42" s="640">
        <f t="shared" si="42"/>
        <v>0</v>
      </c>
      <c r="AX42" s="640">
        <f t="shared" si="42"/>
        <v>0</v>
      </c>
      <c r="AY42" s="640">
        <f t="shared" si="42"/>
        <v>0</v>
      </c>
      <c r="AZ42" s="640">
        <f t="shared" si="42"/>
        <v>0</v>
      </c>
      <c r="BA42" s="640">
        <f t="shared" si="42"/>
        <v>0</v>
      </c>
      <c r="BB42" s="640">
        <f t="shared" si="42"/>
        <v>0</v>
      </c>
      <c r="BC42" s="640">
        <f t="shared" si="42"/>
        <v>0</v>
      </c>
      <c r="BD42" s="640">
        <f t="shared" si="42"/>
        <v>0</v>
      </c>
      <c r="BE42" s="640">
        <f t="shared" si="42"/>
        <v>0</v>
      </c>
      <c r="BF42" s="640">
        <f t="shared" si="42"/>
        <v>0</v>
      </c>
      <c r="BG42" s="640">
        <f t="shared" si="42"/>
        <v>0</v>
      </c>
      <c r="BH42" s="640">
        <f t="shared" si="42"/>
        <v>0</v>
      </c>
      <c r="BI42" s="640">
        <f t="shared" si="42"/>
        <v>0</v>
      </c>
      <c r="BJ42" s="640">
        <f t="shared" si="42"/>
        <v>0</v>
      </c>
      <c r="BK42" s="640">
        <f t="shared" si="42"/>
        <v>0</v>
      </c>
      <c r="BL42" s="640">
        <f t="shared" si="42"/>
        <v>0</v>
      </c>
      <c r="BM42" s="640">
        <f t="shared" si="42"/>
        <v>0</v>
      </c>
      <c r="BN42" s="640">
        <f t="shared" si="42"/>
        <v>0</v>
      </c>
    </row>
    <row r="43" spans="1:66" outlineLevel="1">
      <c r="A43" s="1" t="s">
        <v>78</v>
      </c>
      <c r="B43" s="1" t="s">
        <v>164</v>
      </c>
      <c r="C43" s="51" t="s">
        <v>166</v>
      </c>
      <c r="D43" s="591">
        <f t="shared" ref="D43:AH43" si="43">D15+D21+D27+D33+D37</f>
        <v>0</v>
      </c>
      <c r="E43" s="591">
        <f t="shared" si="43"/>
        <v>568.0395162170131</v>
      </c>
      <c r="F43" s="591">
        <f t="shared" si="43"/>
        <v>1136.0790324340262</v>
      </c>
      <c r="G43" s="591">
        <f t="shared" si="43"/>
        <v>1704.1185486510392</v>
      </c>
      <c r="H43" s="591">
        <f t="shared" si="43"/>
        <v>2272.1580648680524</v>
      </c>
      <c r="I43" s="591">
        <f t="shared" si="43"/>
        <v>2840.1975810850649</v>
      </c>
      <c r="J43" s="591">
        <f t="shared" si="43"/>
        <v>3408.2370973020784</v>
      </c>
      <c r="K43" s="591">
        <f t="shared" si="43"/>
        <v>3976.2766135190914</v>
      </c>
      <c r="L43" s="591">
        <f t="shared" si="43"/>
        <v>4544.3161297361048</v>
      </c>
      <c r="M43" s="591">
        <f t="shared" si="43"/>
        <v>5112.3556459531173</v>
      </c>
      <c r="N43" s="591">
        <f t="shared" si="43"/>
        <v>5680.3951621701299</v>
      </c>
      <c r="O43" s="591">
        <f t="shared" si="43"/>
        <v>6717.4125794994579</v>
      </c>
      <c r="P43" s="591">
        <f t="shared" si="43"/>
        <v>7754.429996828786</v>
      </c>
      <c r="Q43" s="591">
        <f t="shared" si="43"/>
        <v>8791.447414158114</v>
      </c>
      <c r="R43" s="591">
        <f t="shared" si="43"/>
        <v>9828.4648314874412</v>
      </c>
      <c r="S43" s="591">
        <f t="shared" si="43"/>
        <v>10865.48224881677</v>
      </c>
      <c r="T43" s="591">
        <f t="shared" si="43"/>
        <v>11902.499666146101</v>
      </c>
      <c r="U43" s="591">
        <f t="shared" si="43"/>
        <v>12939.517083475428</v>
      </c>
      <c r="V43" s="591">
        <f t="shared" si="43"/>
        <v>13976.534500804755</v>
      </c>
      <c r="W43" s="591">
        <f t="shared" si="43"/>
        <v>15013.551918134081</v>
      </c>
      <c r="X43" s="591">
        <f t="shared" si="43"/>
        <v>16050.569335463408</v>
      </c>
      <c r="Y43" s="591">
        <f t="shared" si="43"/>
        <v>17811.284664106784</v>
      </c>
      <c r="Z43" s="591">
        <f t="shared" si="43"/>
        <v>19571.999992750159</v>
      </c>
      <c r="AA43" s="591">
        <f t="shared" si="43"/>
        <v>21332.715321393538</v>
      </c>
      <c r="AB43" s="591">
        <f t="shared" si="43"/>
        <v>23093.430650036913</v>
      </c>
      <c r="AC43" s="591">
        <f t="shared" si="43"/>
        <v>24854.145978680288</v>
      </c>
      <c r="AD43" s="591">
        <f t="shared" si="43"/>
        <v>26614.861307323667</v>
      </c>
      <c r="AE43" s="591">
        <f t="shared" si="43"/>
        <v>28375.576635967045</v>
      </c>
      <c r="AF43" s="591">
        <f t="shared" si="43"/>
        <v>30136.29196461042</v>
      </c>
      <c r="AG43" s="591">
        <f t="shared" si="43"/>
        <v>31897.007293253795</v>
      </c>
      <c r="AH43" s="591">
        <f t="shared" si="43"/>
        <v>33657.722621897177</v>
      </c>
      <c r="AI43" s="191"/>
      <c r="AJ43" s="591">
        <f t="shared" ref="AJ43:BN43" si="44">AJ15+AJ21+AJ27+AJ33+AJ37</f>
        <v>0</v>
      </c>
      <c r="AK43" s="591">
        <f t="shared" si="44"/>
        <v>266.19026698129426</v>
      </c>
      <c r="AL43" s="591">
        <f t="shared" si="44"/>
        <v>532.38053396258852</v>
      </c>
      <c r="AM43" s="591">
        <f t="shared" si="44"/>
        <v>798.57080094388277</v>
      </c>
      <c r="AN43" s="591">
        <f t="shared" si="44"/>
        <v>1064.761067925177</v>
      </c>
      <c r="AO43" s="591">
        <f t="shared" si="44"/>
        <v>1330.9513349064712</v>
      </c>
      <c r="AP43" s="591">
        <f t="shared" si="44"/>
        <v>1597.1416018877655</v>
      </c>
      <c r="AQ43" s="591">
        <f t="shared" si="44"/>
        <v>1863.3318688690597</v>
      </c>
      <c r="AR43" s="591">
        <f t="shared" si="44"/>
        <v>2129.5221358503541</v>
      </c>
      <c r="AS43" s="591">
        <f t="shared" si="44"/>
        <v>2395.7124028316484</v>
      </c>
      <c r="AT43" s="591">
        <f t="shared" si="44"/>
        <v>2661.9026698129423</v>
      </c>
      <c r="AU43" s="591">
        <f t="shared" si="44"/>
        <v>3163.3330809324307</v>
      </c>
      <c r="AV43" s="591">
        <f t="shared" si="44"/>
        <v>3664.763492051919</v>
      </c>
      <c r="AW43" s="591">
        <f t="shared" si="44"/>
        <v>4166.1939031714064</v>
      </c>
      <c r="AX43" s="591">
        <f t="shared" si="44"/>
        <v>4667.6243142908952</v>
      </c>
      <c r="AY43" s="591">
        <f t="shared" si="44"/>
        <v>5169.054725410384</v>
      </c>
      <c r="AZ43" s="591">
        <f t="shared" si="44"/>
        <v>5670.4851365298728</v>
      </c>
      <c r="BA43" s="591">
        <f t="shared" si="44"/>
        <v>6171.9155476493615</v>
      </c>
      <c r="BB43" s="591">
        <f t="shared" si="44"/>
        <v>6673.3459587688503</v>
      </c>
      <c r="BC43" s="591">
        <f t="shared" si="44"/>
        <v>7174.7763698883364</v>
      </c>
      <c r="BD43" s="591">
        <f t="shared" si="44"/>
        <v>7676.2067810078252</v>
      </c>
      <c r="BE43" s="591">
        <f t="shared" si="44"/>
        <v>8538.9732221134618</v>
      </c>
      <c r="BF43" s="591">
        <f t="shared" si="44"/>
        <v>9401.7396632190976</v>
      </c>
      <c r="BG43" s="591">
        <f t="shared" si="44"/>
        <v>10264.506104324735</v>
      </c>
      <c r="BH43" s="591">
        <f t="shared" si="44"/>
        <v>11127.272545430371</v>
      </c>
      <c r="BI43" s="591">
        <f t="shared" si="44"/>
        <v>11990.038986536008</v>
      </c>
      <c r="BJ43" s="591">
        <f t="shared" si="44"/>
        <v>12852.805427641646</v>
      </c>
      <c r="BK43" s="591">
        <f t="shared" si="44"/>
        <v>13715.571868747284</v>
      </c>
      <c r="BL43" s="591">
        <f t="shared" si="44"/>
        <v>14578.338309852919</v>
      </c>
      <c r="BM43" s="591">
        <f t="shared" si="44"/>
        <v>15441.104750958557</v>
      </c>
      <c r="BN43" s="591">
        <f t="shared" si="44"/>
        <v>16303.871192064194</v>
      </c>
    </row>
    <row r="44" spans="1:66" outlineLevel="1">
      <c r="B44" s="1" t="s">
        <v>167</v>
      </c>
      <c r="C44" s="51" t="s">
        <v>166</v>
      </c>
      <c r="D44" s="591">
        <f t="shared" ref="D44:AH44" si="45">D16+D24+D28+D34+D38</f>
        <v>0</v>
      </c>
      <c r="E44" s="591">
        <f t="shared" si="45"/>
        <v>49.287773129082183</v>
      </c>
      <c r="F44" s="591">
        <f t="shared" si="45"/>
        <v>98.575546258164366</v>
      </c>
      <c r="G44" s="591">
        <f t="shared" si="45"/>
        <v>147.86331938724652</v>
      </c>
      <c r="H44" s="591">
        <f t="shared" si="45"/>
        <v>197.15109251632873</v>
      </c>
      <c r="I44" s="591">
        <f t="shared" si="45"/>
        <v>246.43886564541089</v>
      </c>
      <c r="J44" s="591">
        <f t="shared" si="45"/>
        <v>295.72663877449304</v>
      </c>
      <c r="K44" s="591">
        <f t="shared" si="45"/>
        <v>345.01441190357525</v>
      </c>
      <c r="L44" s="591">
        <f t="shared" si="45"/>
        <v>394.30218503265746</v>
      </c>
      <c r="M44" s="591">
        <f t="shared" si="45"/>
        <v>443.58995816173962</v>
      </c>
      <c r="N44" s="591">
        <f t="shared" si="45"/>
        <v>492.87773129082177</v>
      </c>
      <c r="O44" s="591">
        <f t="shared" si="45"/>
        <v>542.16550441990398</v>
      </c>
      <c r="P44" s="591">
        <f t="shared" si="45"/>
        <v>590.39067343094951</v>
      </c>
      <c r="Q44" s="591">
        <f t="shared" si="45"/>
        <v>639.7883711239665</v>
      </c>
      <c r="R44" s="591">
        <f t="shared" si="45"/>
        <v>689.18606881698361</v>
      </c>
      <c r="S44" s="591">
        <f t="shared" si="45"/>
        <v>738.5837665100006</v>
      </c>
      <c r="T44" s="591">
        <f t="shared" si="45"/>
        <v>787.98146420301759</v>
      </c>
      <c r="U44" s="591">
        <f t="shared" si="45"/>
        <v>837.37916189603447</v>
      </c>
      <c r="V44" s="591">
        <f t="shared" si="45"/>
        <v>886.77685958905158</v>
      </c>
      <c r="W44" s="591">
        <f t="shared" si="45"/>
        <v>936.17455728206846</v>
      </c>
      <c r="X44" s="591">
        <f t="shared" si="45"/>
        <v>985.57225497508546</v>
      </c>
      <c r="Y44" s="591">
        <f t="shared" si="45"/>
        <v>1039.7489895697749</v>
      </c>
      <c r="Z44" s="591">
        <f t="shared" si="45"/>
        <v>1090.5598521861293</v>
      </c>
      <c r="AA44" s="591">
        <f t="shared" si="45"/>
        <v>1141.3707148024839</v>
      </c>
      <c r="AB44" s="591">
        <f t="shared" si="45"/>
        <v>1192.1815774188385</v>
      </c>
      <c r="AC44" s="591">
        <f t="shared" si="45"/>
        <v>1242.9924400351929</v>
      </c>
      <c r="AD44" s="591">
        <f t="shared" si="45"/>
        <v>1293.8033026515475</v>
      </c>
      <c r="AE44" s="591">
        <f t="shared" si="45"/>
        <v>1344.6141652679019</v>
      </c>
      <c r="AF44" s="591">
        <f t="shared" si="45"/>
        <v>1395.4250278842565</v>
      </c>
      <c r="AG44" s="591">
        <f t="shared" si="45"/>
        <v>1446.2358905006108</v>
      </c>
      <c r="AH44" s="591">
        <f t="shared" si="45"/>
        <v>1497.0467531169654</v>
      </c>
      <c r="AI44" s="191"/>
      <c r="AJ44" s="591">
        <f t="shared" ref="AJ44:BN44" si="46">AJ16+AJ24+AJ28+AJ34+AJ38</f>
        <v>0</v>
      </c>
      <c r="AK44" s="591">
        <f t="shared" si="46"/>
        <v>25.366796525994985</v>
      </c>
      <c r="AL44" s="591">
        <f t="shared" si="46"/>
        <v>50.73359305198997</v>
      </c>
      <c r="AM44" s="591">
        <f t="shared" si="46"/>
        <v>76.100389577984942</v>
      </c>
      <c r="AN44" s="591">
        <f t="shared" si="46"/>
        <v>101.46718610397994</v>
      </c>
      <c r="AO44" s="591">
        <f t="shared" si="46"/>
        <v>126.8339826299749</v>
      </c>
      <c r="AP44" s="591">
        <f t="shared" si="46"/>
        <v>152.20077915596988</v>
      </c>
      <c r="AQ44" s="591">
        <f t="shared" si="46"/>
        <v>177.56757568196488</v>
      </c>
      <c r="AR44" s="591">
        <f t="shared" si="46"/>
        <v>202.93437220795988</v>
      </c>
      <c r="AS44" s="591">
        <f t="shared" si="46"/>
        <v>228.30116873395485</v>
      </c>
      <c r="AT44" s="591">
        <f t="shared" si="46"/>
        <v>253.6679652599498</v>
      </c>
      <c r="AU44" s="591">
        <f t="shared" si="46"/>
        <v>279.0347617859448</v>
      </c>
      <c r="AV44" s="591">
        <f t="shared" si="46"/>
        <v>303.47709272924794</v>
      </c>
      <c r="AW44" s="591">
        <f t="shared" si="46"/>
        <v>328.93952362586623</v>
      </c>
      <c r="AX44" s="591">
        <f t="shared" si="46"/>
        <v>354.40195452248452</v>
      </c>
      <c r="AY44" s="591">
        <f t="shared" si="46"/>
        <v>379.8643854191028</v>
      </c>
      <c r="AZ44" s="591">
        <f t="shared" si="46"/>
        <v>405.32681631572109</v>
      </c>
      <c r="BA44" s="591">
        <f t="shared" si="46"/>
        <v>430.78924721233932</v>
      </c>
      <c r="BB44" s="591">
        <f t="shared" si="46"/>
        <v>456.25167810895761</v>
      </c>
      <c r="BC44" s="591">
        <f t="shared" si="46"/>
        <v>481.71410900557589</v>
      </c>
      <c r="BD44" s="591">
        <f t="shared" si="46"/>
        <v>507.17653990219412</v>
      </c>
      <c r="BE44" s="591">
        <f t="shared" si="46"/>
        <v>536.26601877913686</v>
      </c>
      <c r="BF44" s="591">
        <f t="shared" si="46"/>
        <v>562.42718903492823</v>
      </c>
      <c r="BG44" s="591">
        <f t="shared" si="46"/>
        <v>588.58835929071972</v>
      </c>
      <c r="BH44" s="591">
        <f t="shared" si="46"/>
        <v>614.7495295465111</v>
      </c>
      <c r="BI44" s="591">
        <f t="shared" si="46"/>
        <v>640.91069980230247</v>
      </c>
      <c r="BJ44" s="591">
        <f t="shared" si="46"/>
        <v>667.07187005809396</v>
      </c>
      <c r="BK44" s="591">
        <f t="shared" si="46"/>
        <v>693.23304031388534</v>
      </c>
      <c r="BL44" s="591">
        <f t="shared" si="46"/>
        <v>719.39421056967672</v>
      </c>
      <c r="BM44" s="591">
        <f t="shared" si="46"/>
        <v>745.55538082546809</v>
      </c>
      <c r="BN44" s="591">
        <f t="shared" si="46"/>
        <v>771.71655108125947</v>
      </c>
    </row>
    <row r="45" spans="1:66" outlineLevel="1">
      <c r="B45" s="1" t="s">
        <v>244</v>
      </c>
      <c r="C45" s="51" t="s">
        <v>166</v>
      </c>
      <c r="D45" s="591">
        <f t="shared" ref="D45:AH45" si="47">D11+D42</f>
        <v>0</v>
      </c>
      <c r="E45" s="591">
        <f t="shared" si="47"/>
        <v>0</v>
      </c>
      <c r="F45" s="591">
        <f t="shared" si="47"/>
        <v>0</v>
      </c>
      <c r="G45" s="591">
        <f t="shared" si="47"/>
        <v>0</v>
      </c>
      <c r="H45" s="591">
        <f t="shared" si="47"/>
        <v>0</v>
      </c>
      <c r="I45" s="591">
        <f t="shared" si="47"/>
        <v>0</v>
      </c>
      <c r="J45" s="591">
        <f t="shared" si="47"/>
        <v>0</v>
      </c>
      <c r="K45" s="591">
        <f t="shared" si="47"/>
        <v>0</v>
      </c>
      <c r="L45" s="591">
        <f t="shared" si="47"/>
        <v>0</v>
      </c>
      <c r="M45" s="591">
        <f t="shared" si="47"/>
        <v>0</v>
      </c>
      <c r="N45" s="591">
        <f t="shared" si="47"/>
        <v>0</v>
      </c>
      <c r="O45" s="591">
        <f t="shared" si="47"/>
        <v>0</v>
      </c>
      <c r="P45" s="591">
        <f t="shared" si="47"/>
        <v>0</v>
      </c>
      <c r="Q45" s="591">
        <f t="shared" si="47"/>
        <v>0</v>
      </c>
      <c r="R45" s="591">
        <f t="shared" si="47"/>
        <v>0</v>
      </c>
      <c r="S45" s="591">
        <f t="shared" si="47"/>
        <v>0</v>
      </c>
      <c r="T45" s="591">
        <f t="shared" si="47"/>
        <v>0</v>
      </c>
      <c r="U45" s="591">
        <f t="shared" si="47"/>
        <v>0</v>
      </c>
      <c r="V45" s="591">
        <f t="shared" si="47"/>
        <v>0</v>
      </c>
      <c r="W45" s="591">
        <f t="shared" si="47"/>
        <v>0</v>
      </c>
      <c r="X45" s="591">
        <f t="shared" si="47"/>
        <v>0</v>
      </c>
      <c r="Y45" s="591">
        <f t="shared" si="47"/>
        <v>0</v>
      </c>
      <c r="Z45" s="591">
        <f t="shared" si="47"/>
        <v>0</v>
      </c>
      <c r="AA45" s="591">
        <f t="shared" si="47"/>
        <v>0</v>
      </c>
      <c r="AB45" s="591">
        <f t="shared" si="47"/>
        <v>0</v>
      </c>
      <c r="AC45" s="591">
        <f t="shared" si="47"/>
        <v>0</v>
      </c>
      <c r="AD45" s="591">
        <f t="shared" si="47"/>
        <v>0</v>
      </c>
      <c r="AE45" s="591">
        <f t="shared" si="47"/>
        <v>0</v>
      </c>
      <c r="AF45" s="591">
        <f t="shared" si="47"/>
        <v>0</v>
      </c>
      <c r="AG45" s="591">
        <f t="shared" si="47"/>
        <v>0</v>
      </c>
      <c r="AH45" s="591">
        <f t="shared" si="47"/>
        <v>0</v>
      </c>
      <c r="AI45" s="191"/>
      <c r="AJ45" s="591">
        <f t="shared" ref="AJ45:BN45" si="48">AJ11+AJ42</f>
        <v>0</v>
      </c>
      <c r="AK45" s="591">
        <f t="shared" si="48"/>
        <v>0</v>
      </c>
      <c r="AL45" s="591">
        <f t="shared" si="48"/>
        <v>0</v>
      </c>
      <c r="AM45" s="591">
        <f t="shared" si="48"/>
        <v>0</v>
      </c>
      <c r="AN45" s="591">
        <f t="shared" si="48"/>
        <v>0</v>
      </c>
      <c r="AO45" s="591">
        <f t="shared" si="48"/>
        <v>0</v>
      </c>
      <c r="AP45" s="591">
        <f t="shared" si="48"/>
        <v>0</v>
      </c>
      <c r="AQ45" s="591">
        <f t="shared" si="48"/>
        <v>0</v>
      </c>
      <c r="AR45" s="591">
        <f t="shared" si="48"/>
        <v>0</v>
      </c>
      <c r="AS45" s="591">
        <f t="shared" si="48"/>
        <v>0</v>
      </c>
      <c r="AT45" s="591">
        <f t="shared" si="48"/>
        <v>0</v>
      </c>
      <c r="AU45" s="591">
        <f t="shared" si="48"/>
        <v>0</v>
      </c>
      <c r="AV45" s="591">
        <f t="shared" si="48"/>
        <v>0</v>
      </c>
      <c r="AW45" s="591">
        <f t="shared" si="48"/>
        <v>0</v>
      </c>
      <c r="AX45" s="591">
        <f t="shared" si="48"/>
        <v>0</v>
      </c>
      <c r="AY45" s="591">
        <f t="shared" si="48"/>
        <v>0</v>
      </c>
      <c r="AZ45" s="591">
        <f t="shared" si="48"/>
        <v>0</v>
      </c>
      <c r="BA45" s="591">
        <f t="shared" si="48"/>
        <v>0</v>
      </c>
      <c r="BB45" s="591">
        <f t="shared" si="48"/>
        <v>0</v>
      </c>
      <c r="BC45" s="591">
        <f t="shared" si="48"/>
        <v>0</v>
      </c>
      <c r="BD45" s="591">
        <f t="shared" si="48"/>
        <v>0</v>
      </c>
      <c r="BE45" s="591">
        <f t="shared" si="48"/>
        <v>0</v>
      </c>
      <c r="BF45" s="591">
        <f t="shared" si="48"/>
        <v>0</v>
      </c>
      <c r="BG45" s="591">
        <f t="shared" si="48"/>
        <v>0</v>
      </c>
      <c r="BH45" s="591">
        <f t="shared" si="48"/>
        <v>0</v>
      </c>
      <c r="BI45" s="591">
        <f t="shared" si="48"/>
        <v>0</v>
      </c>
      <c r="BJ45" s="591">
        <f t="shared" si="48"/>
        <v>0</v>
      </c>
      <c r="BK45" s="591">
        <f t="shared" si="48"/>
        <v>0</v>
      </c>
      <c r="BL45" s="591">
        <f t="shared" si="48"/>
        <v>0</v>
      </c>
      <c r="BM45" s="591">
        <f t="shared" si="48"/>
        <v>0</v>
      </c>
      <c r="BN45" s="591">
        <f t="shared" si="48"/>
        <v>0</v>
      </c>
    </row>
    <row r="46" spans="1:66" s="180" customFormat="1">
      <c r="A46" s="97" t="s">
        <v>1542</v>
      </c>
      <c r="B46" s="97"/>
      <c r="C46" s="98" t="s">
        <v>166</v>
      </c>
      <c r="D46" s="642">
        <f t="shared" ref="D46:AH46" si="49">D9+D45-D43-D44</f>
        <v>80369.95000000007</v>
      </c>
      <c r="E46" s="642">
        <f t="shared" si="49"/>
        <v>79752.622710653974</v>
      </c>
      <c r="F46" s="642">
        <f t="shared" si="49"/>
        <v>79135.295421307892</v>
      </c>
      <c r="G46" s="642">
        <f t="shared" si="49"/>
        <v>78517.968131961781</v>
      </c>
      <c r="H46" s="642">
        <f t="shared" si="49"/>
        <v>77900.640842615685</v>
      </c>
      <c r="I46" s="642">
        <f t="shared" si="49"/>
        <v>77283.313553269589</v>
      </c>
      <c r="J46" s="642">
        <f t="shared" si="49"/>
        <v>76665.986263923507</v>
      </c>
      <c r="K46" s="642">
        <f t="shared" si="49"/>
        <v>76048.658974577411</v>
      </c>
      <c r="L46" s="642">
        <f t="shared" si="49"/>
        <v>75431.3316852313</v>
      </c>
      <c r="M46" s="642">
        <f t="shared" si="49"/>
        <v>74814.004395885204</v>
      </c>
      <c r="N46" s="642">
        <f t="shared" si="49"/>
        <v>74196.677106539122</v>
      </c>
      <c r="O46" s="642">
        <f t="shared" si="49"/>
        <v>73110.371916080709</v>
      </c>
      <c r="P46" s="642">
        <f t="shared" si="49"/>
        <v>72025.129329740332</v>
      </c>
      <c r="Q46" s="642">
        <f t="shared" si="49"/>
        <v>70938.714214717984</v>
      </c>
      <c r="R46" s="642">
        <f t="shared" si="49"/>
        <v>69852.299099695651</v>
      </c>
      <c r="S46" s="642">
        <f t="shared" si="49"/>
        <v>68765.883984673303</v>
      </c>
      <c r="T46" s="642">
        <f t="shared" si="49"/>
        <v>67679.468869650955</v>
      </c>
      <c r="U46" s="642">
        <f t="shared" si="49"/>
        <v>66593.053754628607</v>
      </c>
      <c r="V46" s="642">
        <f t="shared" si="49"/>
        <v>65506.638639606259</v>
      </c>
      <c r="W46" s="642">
        <f t="shared" si="49"/>
        <v>64420.223524583926</v>
      </c>
      <c r="X46" s="642">
        <f t="shared" si="49"/>
        <v>63333.808409561578</v>
      </c>
      <c r="Y46" s="642">
        <f t="shared" si="49"/>
        <v>61518.916346323509</v>
      </c>
      <c r="Z46" s="642">
        <f t="shared" si="49"/>
        <v>59707.390155063775</v>
      </c>
      <c r="AA46" s="642">
        <f t="shared" si="49"/>
        <v>57895.863963804048</v>
      </c>
      <c r="AB46" s="642">
        <f t="shared" si="49"/>
        <v>56084.337772544321</v>
      </c>
      <c r="AC46" s="642">
        <f t="shared" si="49"/>
        <v>54272.811581284586</v>
      </c>
      <c r="AD46" s="642">
        <f t="shared" si="49"/>
        <v>52461.285390024859</v>
      </c>
      <c r="AE46" s="642">
        <f t="shared" si="49"/>
        <v>50649.759198765125</v>
      </c>
      <c r="AF46" s="642">
        <f t="shared" si="49"/>
        <v>48838.233007505391</v>
      </c>
      <c r="AG46" s="642">
        <f t="shared" si="49"/>
        <v>47026.706816245664</v>
      </c>
      <c r="AH46" s="642">
        <f t="shared" si="49"/>
        <v>45215.180624985929</v>
      </c>
      <c r="AI46" s="641"/>
      <c r="AJ46" s="642">
        <f t="shared" ref="AJ46:BN46" si="50">AJ9+AJ45-AJ43-AJ44</f>
        <v>80369.95000000007</v>
      </c>
      <c r="AK46" s="642">
        <f t="shared" si="50"/>
        <v>80078.392936492775</v>
      </c>
      <c r="AL46" s="642">
        <f t="shared" si="50"/>
        <v>79786.835872985495</v>
      </c>
      <c r="AM46" s="642">
        <f t="shared" si="50"/>
        <v>79495.278809478201</v>
      </c>
      <c r="AN46" s="642">
        <f t="shared" si="50"/>
        <v>79203.721745970906</v>
      </c>
      <c r="AO46" s="642">
        <f t="shared" si="50"/>
        <v>78912.164682463626</v>
      </c>
      <c r="AP46" s="642">
        <f t="shared" si="50"/>
        <v>78620.607618956332</v>
      </c>
      <c r="AQ46" s="642">
        <f t="shared" si="50"/>
        <v>78329.050555449037</v>
      </c>
      <c r="AR46" s="642">
        <f t="shared" si="50"/>
        <v>78037.493491941757</v>
      </c>
      <c r="AS46" s="642">
        <f t="shared" si="50"/>
        <v>77745.936428434463</v>
      </c>
      <c r="AT46" s="642">
        <f t="shared" si="50"/>
        <v>77454.379364927168</v>
      </c>
      <c r="AU46" s="642">
        <f t="shared" si="50"/>
        <v>76927.582157281693</v>
      </c>
      <c r="AV46" s="642">
        <f t="shared" si="50"/>
        <v>76401.709415218909</v>
      </c>
      <c r="AW46" s="642">
        <f t="shared" si="50"/>
        <v>75874.816573202799</v>
      </c>
      <c r="AX46" s="642">
        <f t="shared" si="50"/>
        <v>75347.923731186689</v>
      </c>
      <c r="AY46" s="642">
        <f t="shared" si="50"/>
        <v>74821.030889170579</v>
      </c>
      <c r="AZ46" s="642">
        <f t="shared" si="50"/>
        <v>74294.138047154484</v>
      </c>
      <c r="BA46" s="642">
        <f t="shared" si="50"/>
        <v>73767.245205138373</v>
      </c>
      <c r="BB46" s="642">
        <f t="shared" si="50"/>
        <v>73240.352363122263</v>
      </c>
      <c r="BC46" s="642">
        <f t="shared" si="50"/>
        <v>72713.459521106153</v>
      </c>
      <c r="BD46" s="642">
        <f t="shared" si="50"/>
        <v>72186.566679090043</v>
      </c>
      <c r="BE46" s="642">
        <f t="shared" si="50"/>
        <v>71294.710759107475</v>
      </c>
      <c r="BF46" s="642">
        <f t="shared" si="50"/>
        <v>70405.783147746042</v>
      </c>
      <c r="BG46" s="642">
        <f t="shared" si="50"/>
        <v>69516.85553638461</v>
      </c>
      <c r="BH46" s="642">
        <f t="shared" si="50"/>
        <v>68627.927925023192</v>
      </c>
      <c r="BI46" s="642">
        <f t="shared" si="50"/>
        <v>67739.00031366176</v>
      </c>
      <c r="BJ46" s="642">
        <f t="shared" si="50"/>
        <v>66850.072702300327</v>
      </c>
      <c r="BK46" s="642">
        <f t="shared" si="50"/>
        <v>65961.145090938895</v>
      </c>
      <c r="BL46" s="642">
        <f t="shared" si="50"/>
        <v>65072.217479577477</v>
      </c>
      <c r="BM46" s="642">
        <f t="shared" si="50"/>
        <v>64183.289868216045</v>
      </c>
      <c r="BN46" s="642">
        <f t="shared" si="50"/>
        <v>63294.362256854612</v>
      </c>
    </row>
    <row r="47" spans="1:66">
      <c r="A47" s="485"/>
      <c r="C47" s="51"/>
      <c r="D47" s="196"/>
      <c r="E47" s="196"/>
      <c r="F47" s="196"/>
      <c r="G47" s="196"/>
      <c r="H47" s="196"/>
      <c r="I47" s="196"/>
      <c r="J47" s="196"/>
      <c r="K47" s="196"/>
      <c r="L47" s="196"/>
      <c r="M47" s="196"/>
      <c r="N47" s="196"/>
      <c r="O47" s="196"/>
      <c r="P47" s="196"/>
      <c r="Q47" s="196"/>
      <c r="R47" s="196"/>
      <c r="S47" s="196"/>
      <c r="T47" s="196"/>
      <c r="U47" s="196"/>
      <c r="V47" s="196"/>
      <c r="W47" s="196"/>
      <c r="X47" s="196"/>
      <c r="Y47" s="196"/>
      <c r="Z47" s="196"/>
      <c r="AA47" s="196"/>
      <c r="AB47" s="196"/>
      <c r="AC47" s="196"/>
      <c r="AD47" s="196"/>
      <c r="AE47" s="196"/>
      <c r="AF47" s="196"/>
      <c r="AG47" s="196"/>
      <c r="AH47" s="196"/>
      <c r="AI47" s="635"/>
      <c r="AJ47" s="196"/>
      <c r="AK47" s="196"/>
      <c r="AL47" s="196"/>
      <c r="AM47" s="196"/>
      <c r="AN47" s="196"/>
      <c r="AO47" s="196"/>
      <c r="AP47" s="196"/>
      <c r="AQ47" s="196"/>
      <c r="AR47" s="196"/>
      <c r="AS47" s="196"/>
      <c r="AT47" s="196"/>
      <c r="AU47" s="196"/>
      <c r="AV47" s="196"/>
      <c r="AW47" s="196"/>
      <c r="AX47" s="196"/>
      <c r="AY47" s="196"/>
      <c r="AZ47" s="196"/>
      <c r="BA47" s="196"/>
      <c r="BB47" s="196"/>
      <c r="BC47" s="196"/>
      <c r="BD47" s="196"/>
      <c r="BE47" s="196"/>
      <c r="BF47" s="196"/>
      <c r="BG47" s="196"/>
      <c r="BH47" s="196"/>
      <c r="BI47" s="196"/>
      <c r="BJ47" s="196"/>
      <c r="BK47" s="196"/>
      <c r="BL47" s="196"/>
      <c r="BM47" s="196"/>
      <c r="BN47" s="196"/>
    </row>
    <row r="48" spans="1:66" outlineLevel="1">
      <c r="A48" s="55" t="s">
        <v>400</v>
      </c>
      <c r="B48" s="55" t="s">
        <v>195</v>
      </c>
      <c r="C48" s="95" t="s">
        <v>166</v>
      </c>
      <c r="D48" s="631">
        <f t="shared" ref="D48:AH48" si="51">D25</f>
        <v>302.82249017857168</v>
      </c>
      <c r="E48" s="631">
        <f t="shared" si="51"/>
        <v>298.79495105919665</v>
      </c>
      <c r="F48" s="631">
        <f t="shared" si="51"/>
        <v>294.76741193982167</v>
      </c>
      <c r="G48" s="631">
        <f t="shared" si="51"/>
        <v>290.73987282044664</v>
      </c>
      <c r="H48" s="631">
        <f t="shared" si="51"/>
        <v>286.71233370107171</v>
      </c>
      <c r="I48" s="631">
        <f t="shared" si="51"/>
        <v>282.68479458169668</v>
      </c>
      <c r="J48" s="631">
        <f t="shared" si="51"/>
        <v>278.6572554623217</v>
      </c>
      <c r="K48" s="631">
        <f t="shared" si="51"/>
        <v>274.62971634294667</v>
      </c>
      <c r="L48" s="631">
        <f t="shared" si="51"/>
        <v>270.60217722357163</v>
      </c>
      <c r="M48" s="631">
        <f t="shared" si="51"/>
        <v>266.57463810419665</v>
      </c>
      <c r="N48" s="631">
        <f t="shared" si="51"/>
        <v>262.54709898482162</v>
      </c>
      <c r="O48" s="631">
        <f t="shared" si="51"/>
        <v>255.38958660696096</v>
      </c>
      <c r="P48" s="631">
        <f t="shared" si="51"/>
        <v>249.29467834713682</v>
      </c>
      <c r="Q48" s="631">
        <f t="shared" si="51"/>
        <v>242.0272414053413</v>
      </c>
      <c r="R48" s="631">
        <f t="shared" si="51"/>
        <v>234.75980446354572</v>
      </c>
      <c r="S48" s="631">
        <f t="shared" si="51"/>
        <v>227.49236752175023</v>
      </c>
      <c r="T48" s="631">
        <f t="shared" si="51"/>
        <v>220.22493057995464</v>
      </c>
      <c r="U48" s="631">
        <f t="shared" si="51"/>
        <v>212.95749363815912</v>
      </c>
      <c r="V48" s="631">
        <f t="shared" si="51"/>
        <v>205.69005669636357</v>
      </c>
      <c r="W48" s="631">
        <f t="shared" si="51"/>
        <v>198.42261975456805</v>
      </c>
      <c r="X48" s="631">
        <f t="shared" si="51"/>
        <v>191.15518281277249</v>
      </c>
      <c r="Y48" s="631">
        <f t="shared" si="51"/>
        <v>180.36622313269035</v>
      </c>
      <c r="Z48" s="631">
        <f t="shared" si="51"/>
        <v>172.94313543094302</v>
      </c>
      <c r="AA48" s="631">
        <f t="shared" si="51"/>
        <v>165.52004772919568</v>
      </c>
      <c r="AB48" s="631">
        <f t="shared" si="51"/>
        <v>158.09696002744835</v>
      </c>
      <c r="AC48" s="631">
        <f t="shared" si="51"/>
        <v>150.67387232570104</v>
      </c>
      <c r="AD48" s="631">
        <f t="shared" si="51"/>
        <v>143.25078462395371</v>
      </c>
      <c r="AE48" s="631">
        <f t="shared" si="51"/>
        <v>135.82769692220637</v>
      </c>
      <c r="AF48" s="631">
        <f t="shared" si="51"/>
        <v>128.40460922045906</v>
      </c>
      <c r="AG48" s="631">
        <f t="shared" si="51"/>
        <v>120.9815215187117</v>
      </c>
      <c r="AH48" s="631">
        <f t="shared" si="51"/>
        <v>113.55843381696438</v>
      </c>
      <c r="AI48" s="191"/>
      <c r="AJ48" s="631">
        <f t="shared" ref="AJ48:BN48" si="52">AJ25</f>
        <v>302.82249017857168</v>
      </c>
      <c r="AK48" s="631">
        <f t="shared" si="52"/>
        <v>299.588115838372</v>
      </c>
      <c r="AL48" s="631">
        <f t="shared" si="52"/>
        <v>296.35374149817227</v>
      </c>
      <c r="AM48" s="631">
        <f t="shared" si="52"/>
        <v>293.11936715797265</v>
      </c>
      <c r="AN48" s="631">
        <f t="shared" si="52"/>
        <v>289.88499281777297</v>
      </c>
      <c r="AO48" s="631">
        <f t="shared" si="52"/>
        <v>286.65061847757329</v>
      </c>
      <c r="AP48" s="631">
        <f t="shared" si="52"/>
        <v>283.41624413737355</v>
      </c>
      <c r="AQ48" s="631">
        <f t="shared" si="52"/>
        <v>280.18186979717393</v>
      </c>
      <c r="AR48" s="631">
        <f t="shared" si="52"/>
        <v>276.94749545697425</v>
      </c>
      <c r="AS48" s="631">
        <f t="shared" si="52"/>
        <v>273.71312111677457</v>
      </c>
      <c r="AT48" s="631">
        <f t="shared" si="52"/>
        <v>270.47874677657484</v>
      </c>
      <c r="AU48" s="631">
        <f t="shared" si="52"/>
        <v>264.92819222509576</v>
      </c>
      <c r="AV48" s="631">
        <f t="shared" si="52"/>
        <v>260.3021032563085</v>
      </c>
      <c r="AW48" s="631">
        <f t="shared" si="52"/>
        <v>254.65591433420607</v>
      </c>
      <c r="AX48" s="631">
        <f t="shared" si="52"/>
        <v>249.00972541210365</v>
      </c>
      <c r="AY48" s="631">
        <f t="shared" si="52"/>
        <v>243.36353649000131</v>
      </c>
      <c r="AZ48" s="631">
        <f t="shared" si="52"/>
        <v>237.71734756789888</v>
      </c>
      <c r="BA48" s="631">
        <f t="shared" si="52"/>
        <v>232.07115864579646</v>
      </c>
      <c r="BB48" s="631">
        <f t="shared" si="52"/>
        <v>226.42496972369403</v>
      </c>
      <c r="BC48" s="631">
        <f t="shared" si="52"/>
        <v>220.77878080159167</v>
      </c>
      <c r="BD48" s="631">
        <f t="shared" si="52"/>
        <v>215.13259187948927</v>
      </c>
      <c r="BE48" s="631">
        <f t="shared" si="52"/>
        <v>206.44566845853183</v>
      </c>
      <c r="BF48" s="631">
        <f t="shared" si="52"/>
        <v>200.68705365872574</v>
      </c>
      <c r="BG48" s="631">
        <f t="shared" si="52"/>
        <v>194.92843885891966</v>
      </c>
      <c r="BH48" s="631">
        <f t="shared" si="52"/>
        <v>189.16982405911352</v>
      </c>
      <c r="BI48" s="631">
        <f t="shared" si="52"/>
        <v>183.41120925930744</v>
      </c>
      <c r="BJ48" s="631">
        <f t="shared" si="52"/>
        <v>177.65259445950136</v>
      </c>
      <c r="BK48" s="631">
        <f t="shared" si="52"/>
        <v>171.89397965969522</v>
      </c>
      <c r="BL48" s="631">
        <f t="shared" si="52"/>
        <v>166.13536485988914</v>
      </c>
      <c r="BM48" s="631">
        <f t="shared" si="52"/>
        <v>160.37675006008303</v>
      </c>
      <c r="BN48" s="631">
        <f t="shared" si="52"/>
        <v>154.61813526027694</v>
      </c>
    </row>
    <row r="49" spans="1:66" outlineLevel="1">
      <c r="A49"/>
      <c r="B49" t="s">
        <v>262</v>
      </c>
      <c r="C49" s="51" t="s">
        <v>166</v>
      </c>
      <c r="D49" s="101">
        <f>'Butadiene Recycling HC'!C70</f>
        <v>0</v>
      </c>
      <c r="E49" s="101">
        <f>'Butadiene Recycling HC'!D70</f>
        <v>0</v>
      </c>
      <c r="F49" s="101">
        <f>'Butadiene Recycling HC'!E70</f>
        <v>0</v>
      </c>
      <c r="G49" s="101">
        <f>'Butadiene Recycling HC'!F70</f>
        <v>0</v>
      </c>
      <c r="H49" s="101">
        <f>'Butadiene Recycling HC'!G70</f>
        <v>0</v>
      </c>
      <c r="I49" s="101">
        <f>'Butadiene Recycling HC'!H70</f>
        <v>0</v>
      </c>
      <c r="J49" s="101">
        <f>'Butadiene Recycling HC'!I70</f>
        <v>0</v>
      </c>
      <c r="K49" s="101">
        <f>'Butadiene Recycling HC'!J70</f>
        <v>0</v>
      </c>
      <c r="L49" s="101">
        <f>'Butadiene Recycling HC'!K70</f>
        <v>0</v>
      </c>
      <c r="M49" s="101">
        <f>'Butadiene Recycling HC'!L70</f>
        <v>0</v>
      </c>
      <c r="N49" s="101">
        <f>'Butadiene Recycling HC'!M70</f>
        <v>0</v>
      </c>
      <c r="O49" s="101">
        <f>'Butadiene Recycling HC'!N70</f>
        <v>0</v>
      </c>
      <c r="P49" s="101">
        <f>'Butadiene Recycling HC'!O70</f>
        <v>0</v>
      </c>
      <c r="Q49" s="101">
        <f>'Butadiene Recycling HC'!P70</f>
        <v>0</v>
      </c>
      <c r="R49" s="101">
        <f>'Butadiene Recycling HC'!Q70</f>
        <v>0</v>
      </c>
      <c r="S49" s="101">
        <f>'Butadiene Recycling HC'!R70</f>
        <v>0</v>
      </c>
      <c r="T49" s="101">
        <f>'Butadiene Recycling HC'!S70</f>
        <v>0</v>
      </c>
      <c r="U49" s="101">
        <f>'Butadiene Recycling HC'!T70</f>
        <v>0</v>
      </c>
      <c r="V49" s="101">
        <f>'Butadiene Recycling HC'!U70</f>
        <v>0</v>
      </c>
      <c r="W49" s="101">
        <f>'Butadiene Recycling HC'!V70</f>
        <v>0</v>
      </c>
      <c r="X49" s="101">
        <f>'Butadiene Recycling HC'!W70</f>
        <v>0</v>
      </c>
      <c r="Y49" s="101">
        <f>'Butadiene Recycling HC'!X70</f>
        <v>0</v>
      </c>
      <c r="Z49" s="101">
        <f>'Butadiene Recycling HC'!Y70</f>
        <v>0</v>
      </c>
      <c r="AA49" s="101">
        <f>'Butadiene Recycling HC'!Z70</f>
        <v>0</v>
      </c>
      <c r="AB49" s="101">
        <f>'Butadiene Recycling HC'!AA70</f>
        <v>0</v>
      </c>
      <c r="AC49" s="101">
        <f>'Butadiene Recycling HC'!AB70</f>
        <v>0</v>
      </c>
      <c r="AD49" s="101">
        <f>'Butadiene Recycling HC'!AC70</f>
        <v>0</v>
      </c>
      <c r="AE49" s="101">
        <f>'Butadiene Recycling HC'!AD70</f>
        <v>0</v>
      </c>
      <c r="AF49" s="101">
        <f>'Butadiene Recycling HC'!AE70</f>
        <v>0</v>
      </c>
      <c r="AG49" s="101">
        <f>'Butadiene Recycling HC'!AF70</f>
        <v>0</v>
      </c>
      <c r="AH49" s="101">
        <f>'Butadiene Recycling HC'!AG70</f>
        <v>0</v>
      </c>
      <c r="AI49" s="191"/>
      <c r="AJ49" s="101">
        <f>D49</f>
        <v>0</v>
      </c>
      <c r="AK49" s="101">
        <f t="shared" ref="AK49:AZ50" si="53">E49</f>
        <v>0</v>
      </c>
      <c r="AL49" s="101">
        <f t="shared" si="53"/>
        <v>0</v>
      </c>
      <c r="AM49" s="101">
        <f t="shared" si="53"/>
        <v>0</v>
      </c>
      <c r="AN49" s="101">
        <f t="shared" si="53"/>
        <v>0</v>
      </c>
      <c r="AO49" s="101">
        <f t="shared" si="53"/>
        <v>0</v>
      </c>
      <c r="AP49" s="101">
        <f t="shared" si="53"/>
        <v>0</v>
      </c>
      <c r="AQ49" s="101">
        <f t="shared" si="53"/>
        <v>0</v>
      </c>
      <c r="AR49" s="101">
        <f t="shared" si="53"/>
        <v>0</v>
      </c>
      <c r="AS49" s="101">
        <f t="shared" si="53"/>
        <v>0</v>
      </c>
      <c r="AT49" s="101">
        <f t="shared" si="53"/>
        <v>0</v>
      </c>
      <c r="AU49" s="101">
        <f t="shared" si="53"/>
        <v>0</v>
      </c>
      <c r="AV49" s="101">
        <f t="shared" si="53"/>
        <v>0</v>
      </c>
      <c r="AW49" s="101">
        <f t="shared" si="53"/>
        <v>0</v>
      </c>
      <c r="AX49" s="101">
        <f t="shared" si="53"/>
        <v>0</v>
      </c>
      <c r="AY49" s="101">
        <f t="shared" si="53"/>
        <v>0</v>
      </c>
      <c r="AZ49" s="101">
        <f t="shared" si="53"/>
        <v>0</v>
      </c>
      <c r="BA49" s="101">
        <f t="shared" ref="BA49:BN50" si="54">U49</f>
        <v>0</v>
      </c>
      <c r="BB49" s="101">
        <f t="shared" si="54"/>
        <v>0</v>
      </c>
      <c r="BC49" s="101">
        <f t="shared" si="54"/>
        <v>0</v>
      </c>
      <c r="BD49" s="101">
        <f t="shared" si="54"/>
        <v>0</v>
      </c>
      <c r="BE49" s="101">
        <f t="shared" si="54"/>
        <v>0</v>
      </c>
      <c r="BF49" s="101">
        <f t="shared" si="54"/>
        <v>0</v>
      </c>
      <c r="BG49" s="101">
        <f t="shared" si="54"/>
        <v>0</v>
      </c>
      <c r="BH49" s="101">
        <f t="shared" si="54"/>
        <v>0</v>
      </c>
      <c r="BI49" s="101">
        <f t="shared" si="54"/>
        <v>0</v>
      </c>
      <c r="BJ49" s="101">
        <f t="shared" si="54"/>
        <v>0</v>
      </c>
      <c r="BK49" s="101">
        <f t="shared" si="54"/>
        <v>0</v>
      </c>
      <c r="BL49" s="101">
        <f t="shared" si="54"/>
        <v>0</v>
      </c>
      <c r="BM49" s="101">
        <f t="shared" si="54"/>
        <v>0</v>
      </c>
      <c r="BN49" s="101">
        <f t="shared" si="54"/>
        <v>0</v>
      </c>
    </row>
    <row r="50" spans="1:66" outlineLevel="1">
      <c r="A50"/>
      <c r="B50" s="169" t="s">
        <v>265</v>
      </c>
      <c r="C50" s="51" t="s">
        <v>166</v>
      </c>
      <c r="D50" s="101">
        <f>'Butadiene Recycling HC'!C109</f>
        <v>0</v>
      </c>
      <c r="E50" s="101">
        <f>'Butadiene Recycling HC'!D109</f>
        <v>0</v>
      </c>
      <c r="F50" s="101">
        <f>'Butadiene Recycling HC'!E109</f>
        <v>0</v>
      </c>
      <c r="G50" s="101">
        <f>'Butadiene Recycling HC'!F109</f>
        <v>0</v>
      </c>
      <c r="H50" s="101">
        <f>'Butadiene Recycling HC'!G109</f>
        <v>0</v>
      </c>
      <c r="I50" s="101">
        <f>'Butadiene Recycling HC'!H109</f>
        <v>0</v>
      </c>
      <c r="J50" s="101">
        <f>'Butadiene Recycling HC'!I109</f>
        <v>0</v>
      </c>
      <c r="K50" s="101">
        <f>'Butadiene Recycling HC'!J109</f>
        <v>0</v>
      </c>
      <c r="L50" s="101">
        <f>'Butadiene Recycling HC'!K109</f>
        <v>0</v>
      </c>
      <c r="M50" s="101">
        <f>'Butadiene Recycling HC'!L109</f>
        <v>0</v>
      </c>
      <c r="N50" s="101">
        <f>'Butadiene Recycling HC'!M109</f>
        <v>0</v>
      </c>
      <c r="O50" s="101">
        <f>'Butadiene Recycling HC'!N109</f>
        <v>0</v>
      </c>
      <c r="P50" s="101">
        <f>'Butadiene Recycling HC'!O109</f>
        <v>0</v>
      </c>
      <c r="Q50" s="101">
        <f>'Butadiene Recycling HC'!P109</f>
        <v>0</v>
      </c>
      <c r="R50" s="101">
        <f>'Butadiene Recycling HC'!Q109</f>
        <v>0</v>
      </c>
      <c r="S50" s="101">
        <f>'Butadiene Recycling HC'!R109</f>
        <v>0</v>
      </c>
      <c r="T50" s="101">
        <f>'Butadiene Recycling HC'!S109</f>
        <v>0</v>
      </c>
      <c r="U50" s="101">
        <f>'Butadiene Recycling HC'!T109</f>
        <v>0</v>
      </c>
      <c r="V50" s="101">
        <f>'Butadiene Recycling HC'!U109</f>
        <v>0</v>
      </c>
      <c r="W50" s="101">
        <f>'Butadiene Recycling HC'!V109</f>
        <v>0</v>
      </c>
      <c r="X50" s="101">
        <f>'Butadiene Recycling HC'!W109</f>
        <v>0</v>
      </c>
      <c r="Y50" s="101">
        <f>'Butadiene Recycling HC'!X109</f>
        <v>0</v>
      </c>
      <c r="Z50" s="101">
        <f>'Butadiene Recycling HC'!Y109</f>
        <v>0</v>
      </c>
      <c r="AA50" s="101">
        <f>'Butadiene Recycling HC'!Z109</f>
        <v>0</v>
      </c>
      <c r="AB50" s="101">
        <f>'Butadiene Recycling HC'!AA109</f>
        <v>0</v>
      </c>
      <c r="AC50" s="101">
        <f>'Butadiene Recycling HC'!AB109</f>
        <v>0</v>
      </c>
      <c r="AD50" s="101">
        <f>'Butadiene Recycling HC'!AC109</f>
        <v>0</v>
      </c>
      <c r="AE50" s="101">
        <f>'Butadiene Recycling HC'!AD109</f>
        <v>0</v>
      </c>
      <c r="AF50" s="101">
        <f>'Butadiene Recycling HC'!AE109</f>
        <v>0</v>
      </c>
      <c r="AG50" s="101">
        <f>'Butadiene Recycling HC'!AF109</f>
        <v>0</v>
      </c>
      <c r="AH50" s="101">
        <f>'Butadiene Recycling HC'!AG109</f>
        <v>0</v>
      </c>
      <c r="AI50" s="191"/>
      <c r="AJ50" s="101">
        <f>D50</f>
        <v>0</v>
      </c>
      <c r="AK50" s="101">
        <f t="shared" si="53"/>
        <v>0</v>
      </c>
      <c r="AL50" s="101">
        <f t="shared" si="53"/>
        <v>0</v>
      </c>
      <c r="AM50" s="101">
        <f t="shared" si="53"/>
        <v>0</v>
      </c>
      <c r="AN50" s="101">
        <f t="shared" si="53"/>
        <v>0</v>
      </c>
      <c r="AO50" s="101">
        <f t="shared" si="53"/>
        <v>0</v>
      </c>
      <c r="AP50" s="101">
        <f t="shared" si="53"/>
        <v>0</v>
      </c>
      <c r="AQ50" s="101">
        <f t="shared" si="53"/>
        <v>0</v>
      </c>
      <c r="AR50" s="101">
        <f t="shared" si="53"/>
        <v>0</v>
      </c>
      <c r="AS50" s="101">
        <f t="shared" si="53"/>
        <v>0</v>
      </c>
      <c r="AT50" s="101">
        <f t="shared" si="53"/>
        <v>0</v>
      </c>
      <c r="AU50" s="101">
        <f t="shared" si="53"/>
        <v>0</v>
      </c>
      <c r="AV50" s="101">
        <f t="shared" si="53"/>
        <v>0</v>
      </c>
      <c r="AW50" s="101">
        <f t="shared" si="53"/>
        <v>0</v>
      </c>
      <c r="AX50" s="101">
        <f t="shared" si="53"/>
        <v>0</v>
      </c>
      <c r="AY50" s="101">
        <f t="shared" si="53"/>
        <v>0</v>
      </c>
      <c r="AZ50" s="101">
        <f t="shared" si="53"/>
        <v>0</v>
      </c>
      <c r="BA50" s="101">
        <f t="shared" si="54"/>
        <v>0</v>
      </c>
      <c r="BB50" s="101">
        <f t="shared" si="54"/>
        <v>0</v>
      </c>
      <c r="BC50" s="101">
        <f t="shared" si="54"/>
        <v>0</v>
      </c>
      <c r="BD50" s="101">
        <f t="shared" si="54"/>
        <v>0</v>
      </c>
      <c r="BE50" s="101">
        <f t="shared" si="54"/>
        <v>0</v>
      </c>
      <c r="BF50" s="101">
        <f t="shared" si="54"/>
        <v>0</v>
      </c>
      <c r="BG50" s="101">
        <f t="shared" si="54"/>
        <v>0</v>
      </c>
      <c r="BH50" s="101">
        <f t="shared" si="54"/>
        <v>0</v>
      </c>
      <c r="BI50" s="101">
        <f t="shared" si="54"/>
        <v>0</v>
      </c>
      <c r="BJ50" s="101">
        <f t="shared" si="54"/>
        <v>0</v>
      </c>
      <c r="BK50" s="101">
        <f t="shared" si="54"/>
        <v>0</v>
      </c>
      <c r="BL50" s="101">
        <f t="shared" si="54"/>
        <v>0</v>
      </c>
      <c r="BM50" s="101">
        <f t="shared" si="54"/>
        <v>0</v>
      </c>
      <c r="BN50" s="101">
        <f t="shared" si="54"/>
        <v>0</v>
      </c>
    </row>
    <row r="51" spans="1:66" outlineLevel="1">
      <c r="A51" s="59"/>
      <c r="B51" s="59" t="s">
        <v>263</v>
      </c>
      <c r="C51" s="60" t="s">
        <v>166</v>
      </c>
      <c r="D51" s="636">
        <f>D48-D49-D50</f>
        <v>302.82249017857168</v>
      </c>
      <c r="E51" s="636">
        <f t="shared" ref="E51:AG51" si="55">E48-E49-E50</f>
        <v>298.79495105919665</v>
      </c>
      <c r="F51" s="636">
        <f t="shared" si="55"/>
        <v>294.76741193982167</v>
      </c>
      <c r="G51" s="636">
        <f t="shared" si="55"/>
        <v>290.73987282044664</v>
      </c>
      <c r="H51" s="636">
        <f t="shared" si="55"/>
        <v>286.71233370107171</v>
      </c>
      <c r="I51" s="636">
        <f t="shared" si="55"/>
        <v>282.68479458169668</v>
      </c>
      <c r="J51" s="636">
        <f t="shared" si="55"/>
        <v>278.6572554623217</v>
      </c>
      <c r="K51" s="636">
        <f t="shared" si="55"/>
        <v>274.62971634294667</v>
      </c>
      <c r="L51" s="636">
        <f t="shared" si="55"/>
        <v>270.60217722357163</v>
      </c>
      <c r="M51" s="636">
        <f t="shared" si="55"/>
        <v>266.57463810419665</v>
      </c>
      <c r="N51" s="636">
        <f t="shared" si="55"/>
        <v>262.54709898482162</v>
      </c>
      <c r="O51" s="636">
        <f t="shared" si="55"/>
        <v>255.38958660696096</v>
      </c>
      <c r="P51" s="636">
        <f t="shared" si="55"/>
        <v>249.29467834713682</v>
      </c>
      <c r="Q51" s="636">
        <f t="shared" si="55"/>
        <v>242.0272414053413</v>
      </c>
      <c r="R51" s="636">
        <f t="shared" si="55"/>
        <v>234.75980446354572</v>
      </c>
      <c r="S51" s="636">
        <f t="shared" si="55"/>
        <v>227.49236752175023</v>
      </c>
      <c r="T51" s="636">
        <f t="shared" si="55"/>
        <v>220.22493057995464</v>
      </c>
      <c r="U51" s="636">
        <f t="shared" si="55"/>
        <v>212.95749363815912</v>
      </c>
      <c r="V51" s="636">
        <f t="shared" si="55"/>
        <v>205.69005669636357</v>
      </c>
      <c r="W51" s="636">
        <f t="shared" si="55"/>
        <v>198.42261975456805</v>
      </c>
      <c r="X51" s="636">
        <f t="shared" si="55"/>
        <v>191.15518281277249</v>
      </c>
      <c r="Y51" s="636">
        <f t="shared" si="55"/>
        <v>180.36622313269035</v>
      </c>
      <c r="Z51" s="636">
        <f t="shared" si="55"/>
        <v>172.94313543094302</v>
      </c>
      <c r="AA51" s="636">
        <f t="shared" si="55"/>
        <v>165.52004772919568</v>
      </c>
      <c r="AB51" s="636">
        <f t="shared" si="55"/>
        <v>158.09696002744835</v>
      </c>
      <c r="AC51" s="636">
        <f t="shared" si="55"/>
        <v>150.67387232570104</v>
      </c>
      <c r="AD51" s="636">
        <f t="shared" si="55"/>
        <v>143.25078462395371</v>
      </c>
      <c r="AE51" s="636">
        <f t="shared" si="55"/>
        <v>135.82769692220637</v>
      </c>
      <c r="AF51" s="636">
        <f t="shared" si="55"/>
        <v>128.40460922045906</v>
      </c>
      <c r="AG51" s="636">
        <f t="shared" si="55"/>
        <v>120.9815215187117</v>
      </c>
      <c r="AH51" s="636">
        <f>AH48-AH49-AH50</f>
        <v>113.55843381696438</v>
      </c>
      <c r="AI51" s="191"/>
      <c r="AJ51" s="636">
        <f>AJ48-AJ49-AJ50</f>
        <v>302.82249017857168</v>
      </c>
      <c r="AK51" s="636">
        <f t="shared" ref="AK51:BM51" si="56">AK48-AK49-AK50</f>
        <v>299.588115838372</v>
      </c>
      <c r="AL51" s="636">
        <f t="shared" si="56"/>
        <v>296.35374149817227</v>
      </c>
      <c r="AM51" s="636">
        <f t="shared" si="56"/>
        <v>293.11936715797265</v>
      </c>
      <c r="AN51" s="636">
        <f t="shared" si="56"/>
        <v>289.88499281777297</v>
      </c>
      <c r="AO51" s="636">
        <f t="shared" si="56"/>
        <v>286.65061847757329</v>
      </c>
      <c r="AP51" s="636">
        <f t="shared" si="56"/>
        <v>283.41624413737355</v>
      </c>
      <c r="AQ51" s="636">
        <f t="shared" si="56"/>
        <v>280.18186979717393</v>
      </c>
      <c r="AR51" s="636">
        <f t="shared" si="56"/>
        <v>276.94749545697425</v>
      </c>
      <c r="AS51" s="636">
        <f t="shared" si="56"/>
        <v>273.71312111677457</v>
      </c>
      <c r="AT51" s="636">
        <f t="shared" si="56"/>
        <v>270.47874677657484</v>
      </c>
      <c r="AU51" s="636">
        <f t="shared" si="56"/>
        <v>264.92819222509576</v>
      </c>
      <c r="AV51" s="636">
        <f t="shared" si="56"/>
        <v>260.3021032563085</v>
      </c>
      <c r="AW51" s="636">
        <f t="shared" si="56"/>
        <v>254.65591433420607</v>
      </c>
      <c r="AX51" s="636">
        <f t="shared" si="56"/>
        <v>249.00972541210365</v>
      </c>
      <c r="AY51" s="636">
        <f t="shared" si="56"/>
        <v>243.36353649000131</v>
      </c>
      <c r="AZ51" s="636">
        <f t="shared" si="56"/>
        <v>237.71734756789888</v>
      </c>
      <c r="BA51" s="636">
        <f t="shared" si="56"/>
        <v>232.07115864579646</v>
      </c>
      <c r="BB51" s="636">
        <f t="shared" si="56"/>
        <v>226.42496972369403</v>
      </c>
      <c r="BC51" s="636">
        <f t="shared" si="56"/>
        <v>220.77878080159167</v>
      </c>
      <c r="BD51" s="636">
        <f t="shared" si="56"/>
        <v>215.13259187948927</v>
      </c>
      <c r="BE51" s="636">
        <f t="shared" si="56"/>
        <v>206.44566845853183</v>
      </c>
      <c r="BF51" s="636">
        <f t="shared" si="56"/>
        <v>200.68705365872574</v>
      </c>
      <c r="BG51" s="636">
        <f t="shared" si="56"/>
        <v>194.92843885891966</v>
      </c>
      <c r="BH51" s="636">
        <f t="shared" si="56"/>
        <v>189.16982405911352</v>
      </c>
      <c r="BI51" s="636">
        <f t="shared" si="56"/>
        <v>183.41120925930744</v>
      </c>
      <c r="BJ51" s="636">
        <f t="shared" si="56"/>
        <v>177.65259445950136</v>
      </c>
      <c r="BK51" s="636">
        <f t="shared" si="56"/>
        <v>171.89397965969522</v>
      </c>
      <c r="BL51" s="636">
        <f t="shared" si="56"/>
        <v>166.13536485988914</v>
      </c>
      <c r="BM51" s="636">
        <f t="shared" si="56"/>
        <v>160.37675006008303</v>
      </c>
      <c r="BN51" s="636">
        <f>BN48-BN49-BN50</f>
        <v>154.61813526027694</v>
      </c>
    </row>
    <row r="52" spans="1:66" outlineLevel="1">
      <c r="A52" s="55" t="s">
        <v>258</v>
      </c>
      <c r="B52" s="55" t="s">
        <v>195</v>
      </c>
      <c r="C52" s="95" t="s">
        <v>166</v>
      </c>
      <c r="D52" s="631">
        <f t="shared" ref="D52:AH52" si="57">D17</f>
        <v>43857.307643928616</v>
      </c>
      <c r="E52" s="631">
        <f t="shared" si="57"/>
        <v>43620.478182651401</v>
      </c>
      <c r="F52" s="631">
        <f t="shared" si="57"/>
        <v>43383.648721374186</v>
      </c>
      <c r="G52" s="631">
        <f t="shared" si="57"/>
        <v>43146.819260096971</v>
      </c>
      <c r="H52" s="631">
        <f t="shared" si="57"/>
        <v>42909.989798819755</v>
      </c>
      <c r="I52" s="631">
        <f t="shared" si="57"/>
        <v>42673.16033754254</v>
      </c>
      <c r="J52" s="631">
        <f t="shared" si="57"/>
        <v>42436.330876265332</v>
      </c>
      <c r="K52" s="631">
        <f t="shared" si="57"/>
        <v>42199.501414988117</v>
      </c>
      <c r="L52" s="631">
        <f t="shared" si="57"/>
        <v>41962.671953710902</v>
      </c>
      <c r="M52" s="631">
        <f t="shared" si="57"/>
        <v>41725.842492433687</v>
      </c>
      <c r="N52" s="631">
        <f t="shared" si="57"/>
        <v>41489.013031156472</v>
      </c>
      <c r="O52" s="631">
        <f t="shared" si="57"/>
        <v>40778.524647324826</v>
      </c>
      <c r="P52" s="631">
        <f t="shared" si="57"/>
        <v>40068.036263493181</v>
      </c>
      <c r="Q52" s="631">
        <f t="shared" si="57"/>
        <v>39357.547879661543</v>
      </c>
      <c r="R52" s="631">
        <f t="shared" si="57"/>
        <v>38647.059495829897</v>
      </c>
      <c r="S52" s="631">
        <f t="shared" si="57"/>
        <v>37936.571111998252</v>
      </c>
      <c r="T52" s="631">
        <f t="shared" si="57"/>
        <v>37226.082728166606</v>
      </c>
      <c r="U52" s="631">
        <f t="shared" si="57"/>
        <v>36515.594344334968</v>
      </c>
      <c r="V52" s="631">
        <f t="shared" si="57"/>
        <v>35805.105960503322</v>
      </c>
      <c r="W52" s="631">
        <f t="shared" si="57"/>
        <v>35094.617576671677</v>
      </c>
      <c r="X52" s="631">
        <f t="shared" si="57"/>
        <v>34384.129192840031</v>
      </c>
      <c r="Y52" s="631">
        <f t="shared" si="57"/>
        <v>32963.152425176748</v>
      </c>
      <c r="Z52" s="631">
        <f t="shared" si="57"/>
        <v>31542.17565751346</v>
      </c>
      <c r="AA52" s="631">
        <f t="shared" si="57"/>
        <v>30121.198889850173</v>
      </c>
      <c r="AB52" s="631">
        <f t="shared" si="57"/>
        <v>28700.222122186886</v>
      </c>
      <c r="AC52" s="631">
        <f t="shared" si="57"/>
        <v>27279.245354523602</v>
      </c>
      <c r="AD52" s="631">
        <f t="shared" si="57"/>
        <v>25858.268586860311</v>
      </c>
      <c r="AE52" s="631">
        <f t="shared" si="57"/>
        <v>24437.291819197024</v>
      </c>
      <c r="AF52" s="631">
        <f t="shared" si="57"/>
        <v>23016.31505153374</v>
      </c>
      <c r="AG52" s="631">
        <f t="shared" si="57"/>
        <v>21595.338283870453</v>
      </c>
      <c r="AH52" s="631">
        <f t="shared" si="57"/>
        <v>20174.361516207162</v>
      </c>
      <c r="AI52" s="191"/>
      <c r="AJ52" s="631">
        <f t="shared" ref="AJ52:BN52" si="58">AJ17</f>
        <v>43857.307643928616</v>
      </c>
      <c r="AK52" s="631">
        <f t="shared" si="58"/>
        <v>43738.892913290008</v>
      </c>
      <c r="AL52" s="631">
        <f t="shared" si="58"/>
        <v>43620.478182651401</v>
      </c>
      <c r="AM52" s="631">
        <f t="shared" si="58"/>
        <v>43502.063452012793</v>
      </c>
      <c r="AN52" s="631">
        <f t="shared" si="58"/>
        <v>43383.648721374186</v>
      </c>
      <c r="AO52" s="631">
        <f t="shared" si="58"/>
        <v>43265.233990735578</v>
      </c>
      <c r="AP52" s="631">
        <f t="shared" si="58"/>
        <v>43146.819260096971</v>
      </c>
      <c r="AQ52" s="631">
        <f t="shared" si="58"/>
        <v>43028.404529458363</v>
      </c>
      <c r="AR52" s="631">
        <f t="shared" si="58"/>
        <v>42909.989798819755</v>
      </c>
      <c r="AS52" s="631">
        <f t="shared" si="58"/>
        <v>42791.575068181148</v>
      </c>
      <c r="AT52" s="631">
        <f t="shared" si="58"/>
        <v>42673.16033754254</v>
      </c>
      <c r="AU52" s="631">
        <f t="shared" si="58"/>
        <v>42317.916145626725</v>
      </c>
      <c r="AV52" s="631">
        <f t="shared" si="58"/>
        <v>41962.671953710902</v>
      </c>
      <c r="AW52" s="631">
        <f t="shared" si="58"/>
        <v>41607.427761795079</v>
      </c>
      <c r="AX52" s="631">
        <f t="shared" si="58"/>
        <v>41252.183569879257</v>
      </c>
      <c r="AY52" s="631">
        <f t="shared" si="58"/>
        <v>40896.939377963434</v>
      </c>
      <c r="AZ52" s="631">
        <f t="shared" si="58"/>
        <v>40541.695186047611</v>
      </c>
      <c r="BA52" s="631">
        <f t="shared" si="58"/>
        <v>40186.450994131788</v>
      </c>
      <c r="BB52" s="631">
        <f t="shared" si="58"/>
        <v>39831.206802215966</v>
      </c>
      <c r="BC52" s="631">
        <f t="shared" si="58"/>
        <v>39475.96261030015</v>
      </c>
      <c r="BD52" s="631">
        <f t="shared" si="58"/>
        <v>39120.718418384327</v>
      </c>
      <c r="BE52" s="631">
        <f t="shared" si="58"/>
        <v>38410.230034552682</v>
      </c>
      <c r="BF52" s="631">
        <f t="shared" si="58"/>
        <v>37699.741650721036</v>
      </c>
      <c r="BG52" s="631">
        <f t="shared" si="58"/>
        <v>36989.253266889398</v>
      </c>
      <c r="BH52" s="631">
        <f t="shared" si="58"/>
        <v>36278.764883057753</v>
      </c>
      <c r="BI52" s="631">
        <f t="shared" si="58"/>
        <v>35568.276499226107</v>
      </c>
      <c r="BJ52" s="631">
        <f t="shared" si="58"/>
        <v>34857.788115394462</v>
      </c>
      <c r="BK52" s="631">
        <f t="shared" si="58"/>
        <v>34147.299731562816</v>
      </c>
      <c r="BL52" s="631">
        <f t="shared" si="58"/>
        <v>33436.811347731178</v>
      </c>
      <c r="BM52" s="631">
        <f t="shared" si="58"/>
        <v>32726.322963899533</v>
      </c>
      <c r="BN52" s="631">
        <f t="shared" si="58"/>
        <v>32015.834580067887</v>
      </c>
    </row>
    <row r="53" spans="1:66" outlineLevel="1">
      <c r="A53"/>
      <c r="B53" t="s">
        <v>262</v>
      </c>
      <c r="C53" s="51" t="s">
        <v>166</v>
      </c>
      <c r="D53" s="101">
        <f>'Butadiene Recycling HC'!C105</f>
        <v>0</v>
      </c>
      <c r="E53" s="101">
        <f>'Butadiene Recycling HC'!D105</f>
        <v>65.852698146110498</v>
      </c>
      <c r="F53" s="101">
        <f>'Butadiene Recycling HC'!E105</f>
        <v>147.20014879718818</v>
      </c>
      <c r="G53" s="101">
        <f>'Butadiene Recycling HC'!F105</f>
        <v>244.04235195323304</v>
      </c>
      <c r="H53" s="101">
        <f>'Butadiene Recycling HC'!G105</f>
        <v>356.37930761424496</v>
      </c>
      <c r="I53" s="101">
        <f>'Butadiene Recycling HC'!H105</f>
        <v>484.21101578022427</v>
      </c>
      <c r="J53" s="101">
        <f>'Butadiene Recycling HC'!I105</f>
        <v>627.53747645117062</v>
      </c>
      <c r="K53" s="101">
        <f>'Butadiene Recycling HC'!J105</f>
        <v>786.35868962708423</v>
      </c>
      <c r="L53" s="101">
        <f>'Butadiene Recycling HC'!K105</f>
        <v>960.67465530796483</v>
      </c>
      <c r="M53" s="101">
        <f>'Butadiene Recycling HC'!L105</f>
        <v>1150.4853734938126</v>
      </c>
      <c r="N53" s="101">
        <f>'Butadiene Recycling HC'!M105</f>
        <v>1355.7908441846275</v>
      </c>
      <c r="O53" s="101">
        <f>'Butadiene Recycling HC'!N105</f>
        <v>1576.5910673804099</v>
      </c>
      <c r="P53" s="101">
        <f>'Butadiene Recycling HC'!O105</f>
        <v>1812.8860430811592</v>
      </c>
      <c r="Q53" s="101">
        <f>'Butadiene Recycling HC'!P105</f>
        <v>2053.5265221219265</v>
      </c>
      <c r="R53" s="101">
        <f>'Butadiene Recycling HC'!Q105</f>
        <v>2306.7750812759859</v>
      </c>
      <c r="S53" s="101">
        <f>'Butadiene Recycling HC'!R105</f>
        <v>2572.3807055527568</v>
      </c>
      <c r="T53" s="101">
        <f>'Butadiene Recycling HC'!S105</f>
        <v>2850.092379961658</v>
      </c>
      <c r="U53" s="101">
        <f>'Butadiene Recycling HC'!T105</f>
        <v>3139.6590895121099</v>
      </c>
      <c r="V53" s="101">
        <f>'Butadiene Recycling HC'!U105</f>
        <v>3440.8298192135326</v>
      </c>
      <c r="W53" s="101">
        <f>'Butadiene Recycling HC'!V105</f>
        <v>3753.3535540753442</v>
      </c>
      <c r="X53" s="101">
        <f>'Butadiene Recycling HC'!W105</f>
        <v>4076.979279106964</v>
      </c>
      <c r="Y53" s="101">
        <f>'Butadiene Recycling HC'!X105</f>
        <v>4411.4559793178132</v>
      </c>
      <c r="Z53" s="101">
        <f>'Butadiene Recycling HC'!Y105</f>
        <v>4756.5326397173103</v>
      </c>
      <c r="AA53" s="101">
        <f>'Butadiene Recycling HC'!Z105</f>
        <v>5053.2625733508075</v>
      </c>
      <c r="AB53" s="101">
        <f>'Butadiene Recycling HC'!AA105</f>
        <v>5350.9702258673697</v>
      </c>
      <c r="AC53" s="101">
        <f>'Butadiene Recycling HC'!AB105</f>
        <v>5648.9025522952543</v>
      </c>
      <c r="AD53" s="101">
        <f>'Butadiene Recycling HC'!AC105</f>
        <v>5946.3065076627172</v>
      </c>
      <c r="AE53" s="101">
        <f>'Butadiene Recycling HC'!AD105</f>
        <v>6242.4290469980206</v>
      </c>
      <c r="AF53" s="101">
        <f>'Butadiene Recycling HC'!AE105</f>
        <v>6536.5171253294211</v>
      </c>
      <c r="AG53" s="101">
        <f>'Butadiene Recycling HC'!AF105</f>
        <v>6827.817697685181</v>
      </c>
      <c r="AH53" s="101">
        <f>'Butadiene Recycling HC'!AG105</f>
        <v>7115.5777190935505</v>
      </c>
      <c r="AI53" s="191"/>
      <c r="AJ53" s="101">
        <f>D53</f>
        <v>0</v>
      </c>
      <c r="AK53" s="101">
        <f t="shared" ref="AK53:BN53" si="59">E53</f>
        <v>65.852698146110498</v>
      </c>
      <c r="AL53" s="101">
        <f t="shared" si="59"/>
        <v>147.20014879718818</v>
      </c>
      <c r="AM53" s="101">
        <f t="shared" si="59"/>
        <v>244.04235195323304</v>
      </c>
      <c r="AN53" s="101">
        <f t="shared" si="59"/>
        <v>356.37930761424496</v>
      </c>
      <c r="AO53" s="101">
        <f t="shared" si="59"/>
        <v>484.21101578022427</v>
      </c>
      <c r="AP53" s="101">
        <f t="shared" si="59"/>
        <v>627.53747645117062</v>
      </c>
      <c r="AQ53" s="101">
        <f t="shared" si="59"/>
        <v>786.35868962708423</v>
      </c>
      <c r="AR53" s="101">
        <f t="shared" si="59"/>
        <v>960.67465530796483</v>
      </c>
      <c r="AS53" s="101">
        <f t="shared" si="59"/>
        <v>1150.4853734938126</v>
      </c>
      <c r="AT53" s="101">
        <f t="shared" si="59"/>
        <v>1355.7908441846275</v>
      </c>
      <c r="AU53" s="101">
        <f t="shared" si="59"/>
        <v>1576.5910673804099</v>
      </c>
      <c r="AV53" s="101">
        <f t="shared" si="59"/>
        <v>1812.8860430811592</v>
      </c>
      <c r="AW53" s="101">
        <f t="shared" si="59"/>
        <v>2053.5265221219265</v>
      </c>
      <c r="AX53" s="101">
        <f t="shared" si="59"/>
        <v>2306.7750812759859</v>
      </c>
      <c r="AY53" s="101">
        <f t="shared" si="59"/>
        <v>2572.3807055527568</v>
      </c>
      <c r="AZ53" s="101">
        <f t="shared" si="59"/>
        <v>2850.092379961658</v>
      </c>
      <c r="BA53" s="101">
        <f t="shared" si="59"/>
        <v>3139.6590895121099</v>
      </c>
      <c r="BB53" s="101">
        <f t="shared" si="59"/>
        <v>3440.8298192135326</v>
      </c>
      <c r="BC53" s="101">
        <f t="shared" si="59"/>
        <v>3753.3535540753442</v>
      </c>
      <c r="BD53" s="101">
        <f t="shared" si="59"/>
        <v>4076.979279106964</v>
      </c>
      <c r="BE53" s="101">
        <f t="shared" si="59"/>
        <v>4411.4559793178132</v>
      </c>
      <c r="BF53" s="101">
        <f t="shared" si="59"/>
        <v>4756.5326397173103</v>
      </c>
      <c r="BG53" s="101">
        <f t="shared" si="59"/>
        <v>5053.2625733508075</v>
      </c>
      <c r="BH53" s="101">
        <f t="shared" si="59"/>
        <v>5350.9702258673697</v>
      </c>
      <c r="BI53" s="101">
        <f t="shared" si="59"/>
        <v>5648.9025522952543</v>
      </c>
      <c r="BJ53" s="101">
        <f t="shared" si="59"/>
        <v>5946.3065076627172</v>
      </c>
      <c r="BK53" s="101">
        <f t="shared" si="59"/>
        <v>6242.4290469980206</v>
      </c>
      <c r="BL53" s="101">
        <f t="shared" si="59"/>
        <v>6536.5171253294211</v>
      </c>
      <c r="BM53" s="101">
        <f t="shared" si="59"/>
        <v>6827.817697685181</v>
      </c>
      <c r="BN53" s="101">
        <f t="shared" si="59"/>
        <v>7115.5777190935505</v>
      </c>
    </row>
    <row r="54" spans="1:66" outlineLevel="1">
      <c r="A54" s="59"/>
      <c r="B54" s="59" t="s">
        <v>263</v>
      </c>
      <c r="C54" s="60" t="s">
        <v>166</v>
      </c>
      <c r="D54" s="636">
        <f>D52-D53</f>
        <v>43857.307643928616</v>
      </c>
      <c r="E54" s="636">
        <f t="shared" ref="E54:AG54" si="60">E52-E53</f>
        <v>43554.62548450529</v>
      </c>
      <c r="F54" s="636">
        <f t="shared" si="60"/>
        <v>43236.448572576999</v>
      </c>
      <c r="G54" s="636">
        <f t="shared" si="60"/>
        <v>42902.776908143736</v>
      </c>
      <c r="H54" s="636">
        <f t="shared" si="60"/>
        <v>42553.610491205509</v>
      </c>
      <c r="I54" s="636">
        <f t="shared" si="60"/>
        <v>42188.949321762317</v>
      </c>
      <c r="J54" s="636">
        <f t="shared" si="60"/>
        <v>41808.79339981416</v>
      </c>
      <c r="K54" s="636">
        <f t="shared" si="60"/>
        <v>41413.142725361031</v>
      </c>
      <c r="L54" s="636">
        <f t="shared" si="60"/>
        <v>41001.997298402937</v>
      </c>
      <c r="M54" s="636">
        <f t="shared" si="60"/>
        <v>40575.357118939872</v>
      </c>
      <c r="N54" s="636">
        <f t="shared" si="60"/>
        <v>40133.222186971841</v>
      </c>
      <c r="O54" s="636">
        <f t="shared" si="60"/>
        <v>39201.933579944416</v>
      </c>
      <c r="P54" s="636">
        <f t="shared" si="60"/>
        <v>38255.150220412019</v>
      </c>
      <c r="Q54" s="636">
        <f t="shared" si="60"/>
        <v>37304.021357539619</v>
      </c>
      <c r="R54" s="636">
        <f t="shared" si="60"/>
        <v>36340.284414553913</v>
      </c>
      <c r="S54" s="636">
        <f t="shared" si="60"/>
        <v>35364.190406445494</v>
      </c>
      <c r="T54" s="636">
        <f t="shared" si="60"/>
        <v>34375.990348204949</v>
      </c>
      <c r="U54" s="636">
        <f t="shared" si="60"/>
        <v>33375.935254822856</v>
      </c>
      <c r="V54" s="636">
        <f t="shared" si="60"/>
        <v>32364.276141289789</v>
      </c>
      <c r="W54" s="636">
        <f t="shared" si="60"/>
        <v>31341.264022596333</v>
      </c>
      <c r="X54" s="636">
        <f t="shared" si="60"/>
        <v>30307.149913733068</v>
      </c>
      <c r="Y54" s="636">
        <f t="shared" si="60"/>
        <v>28551.696445858935</v>
      </c>
      <c r="Z54" s="636">
        <f t="shared" si="60"/>
        <v>26785.643017796152</v>
      </c>
      <c r="AA54" s="636">
        <f t="shared" si="60"/>
        <v>25067.936316499367</v>
      </c>
      <c r="AB54" s="636">
        <f t="shared" si="60"/>
        <v>23349.251896319518</v>
      </c>
      <c r="AC54" s="636">
        <f t="shared" si="60"/>
        <v>21630.342802228348</v>
      </c>
      <c r="AD54" s="636">
        <f t="shared" si="60"/>
        <v>19911.962079197594</v>
      </c>
      <c r="AE54" s="636">
        <f t="shared" si="60"/>
        <v>18194.862772199005</v>
      </c>
      <c r="AF54" s="636">
        <f t="shared" si="60"/>
        <v>16479.797926204319</v>
      </c>
      <c r="AG54" s="636">
        <f t="shared" si="60"/>
        <v>14767.520586185272</v>
      </c>
      <c r="AH54" s="636">
        <f>AH52-AH53</f>
        <v>13058.78379711361</v>
      </c>
      <c r="AI54" s="191"/>
      <c r="AJ54" s="636">
        <f>AJ52-AJ53</f>
        <v>43857.307643928616</v>
      </c>
      <c r="AK54" s="636">
        <f t="shared" ref="AK54:BN54" si="61">AK52-AK53</f>
        <v>43673.040215143898</v>
      </c>
      <c r="AL54" s="636">
        <f t="shared" si="61"/>
        <v>43473.278033854214</v>
      </c>
      <c r="AM54" s="636">
        <f t="shared" si="61"/>
        <v>43258.021100059559</v>
      </c>
      <c r="AN54" s="636">
        <f t="shared" si="61"/>
        <v>43027.269413759939</v>
      </c>
      <c r="AO54" s="636">
        <f t="shared" si="61"/>
        <v>42781.022974955355</v>
      </c>
      <c r="AP54" s="636">
        <f t="shared" si="61"/>
        <v>42519.281783645798</v>
      </c>
      <c r="AQ54" s="636">
        <f t="shared" si="61"/>
        <v>42242.045839831277</v>
      </c>
      <c r="AR54" s="636">
        <f t="shared" si="61"/>
        <v>41949.315143511791</v>
      </c>
      <c r="AS54" s="636">
        <f t="shared" si="61"/>
        <v>41641.089694687333</v>
      </c>
      <c r="AT54" s="636">
        <f t="shared" si="61"/>
        <v>41317.36949335791</v>
      </c>
      <c r="AU54" s="636">
        <f t="shared" si="61"/>
        <v>40741.325078246315</v>
      </c>
      <c r="AV54" s="636">
        <f t="shared" si="61"/>
        <v>40149.78591062974</v>
      </c>
      <c r="AW54" s="636">
        <f t="shared" si="61"/>
        <v>39553.901239673156</v>
      </c>
      <c r="AX54" s="636">
        <f t="shared" si="61"/>
        <v>38945.408488603272</v>
      </c>
      <c r="AY54" s="636">
        <f t="shared" si="61"/>
        <v>38324.558672410676</v>
      </c>
      <c r="AZ54" s="636">
        <f t="shared" si="61"/>
        <v>37691.602806085953</v>
      </c>
      <c r="BA54" s="636">
        <f t="shared" si="61"/>
        <v>37046.791904619677</v>
      </c>
      <c r="BB54" s="636">
        <f t="shared" si="61"/>
        <v>36390.376983002432</v>
      </c>
      <c r="BC54" s="636">
        <f t="shared" si="61"/>
        <v>35722.609056224806</v>
      </c>
      <c r="BD54" s="636">
        <f t="shared" si="61"/>
        <v>35043.739139277364</v>
      </c>
      <c r="BE54" s="636">
        <f t="shared" si="61"/>
        <v>33998.77405523487</v>
      </c>
      <c r="BF54" s="636">
        <f t="shared" si="61"/>
        <v>32943.209011003724</v>
      </c>
      <c r="BG54" s="636">
        <f t="shared" si="61"/>
        <v>31935.990693538592</v>
      </c>
      <c r="BH54" s="636">
        <f t="shared" si="61"/>
        <v>30927.794657190381</v>
      </c>
      <c r="BI54" s="636">
        <f t="shared" si="61"/>
        <v>29919.373946930853</v>
      </c>
      <c r="BJ54" s="636">
        <f t="shared" si="61"/>
        <v>28911.481607731745</v>
      </c>
      <c r="BK54" s="636">
        <f t="shared" si="61"/>
        <v>27904.870684564798</v>
      </c>
      <c r="BL54" s="636">
        <f t="shared" si="61"/>
        <v>26900.294222401757</v>
      </c>
      <c r="BM54" s="636">
        <f t="shared" si="61"/>
        <v>25898.50526621435</v>
      </c>
      <c r="BN54" s="636">
        <f t="shared" si="61"/>
        <v>24900.256860974336</v>
      </c>
    </row>
    <row r="55" spans="1:66" outlineLevel="1">
      <c r="A55" s="55" t="s">
        <v>532</v>
      </c>
      <c r="B55" s="55" t="s">
        <v>195</v>
      </c>
      <c r="C55" s="51" t="s">
        <v>166</v>
      </c>
      <c r="D55" s="591">
        <f t="shared" ref="D55:AH55" si="62">D35</f>
        <v>858.35106600000074</v>
      </c>
      <c r="E55" s="591">
        <f t="shared" si="62"/>
        <v>831.8280180606007</v>
      </c>
      <c r="F55" s="591">
        <f t="shared" si="62"/>
        <v>805.30497012120065</v>
      </c>
      <c r="G55" s="591">
        <f t="shared" si="62"/>
        <v>778.78192218180061</v>
      </c>
      <c r="H55" s="591">
        <f t="shared" si="62"/>
        <v>752.25887424240068</v>
      </c>
      <c r="I55" s="591">
        <f t="shared" si="62"/>
        <v>725.73582630300064</v>
      </c>
      <c r="J55" s="591">
        <f t="shared" si="62"/>
        <v>699.21277836360071</v>
      </c>
      <c r="K55" s="591">
        <f t="shared" si="62"/>
        <v>672.68973042420066</v>
      </c>
      <c r="L55" s="591">
        <f t="shared" si="62"/>
        <v>646.16668248480062</v>
      </c>
      <c r="M55" s="591">
        <f t="shared" si="62"/>
        <v>619.64363454540057</v>
      </c>
      <c r="N55" s="591">
        <f t="shared" si="62"/>
        <v>593.12058660600053</v>
      </c>
      <c r="O55" s="591">
        <f t="shared" si="62"/>
        <v>574.40853336720045</v>
      </c>
      <c r="P55" s="591">
        <f t="shared" si="62"/>
        <v>555.69648012840048</v>
      </c>
      <c r="Q55" s="591">
        <f t="shared" si="62"/>
        <v>536.98442688960051</v>
      </c>
      <c r="R55" s="591">
        <f t="shared" si="62"/>
        <v>518.27237365080043</v>
      </c>
      <c r="S55" s="591">
        <f t="shared" si="62"/>
        <v>499.56032041200046</v>
      </c>
      <c r="T55" s="591">
        <f t="shared" si="62"/>
        <v>480.84826717320038</v>
      </c>
      <c r="U55" s="591">
        <f t="shared" si="62"/>
        <v>462.13621393440042</v>
      </c>
      <c r="V55" s="591">
        <f t="shared" si="62"/>
        <v>443.42416069560034</v>
      </c>
      <c r="W55" s="591">
        <f t="shared" si="62"/>
        <v>424.71210745680031</v>
      </c>
      <c r="X55" s="591">
        <f t="shared" si="62"/>
        <v>406.00005421800034</v>
      </c>
      <c r="Y55" s="591">
        <f t="shared" si="62"/>
        <v>383.42542118220024</v>
      </c>
      <c r="Z55" s="591">
        <f t="shared" si="62"/>
        <v>360.8507881464003</v>
      </c>
      <c r="AA55" s="591">
        <f t="shared" si="62"/>
        <v>338.27615511060026</v>
      </c>
      <c r="AB55" s="591">
        <f t="shared" si="62"/>
        <v>315.70152207480021</v>
      </c>
      <c r="AC55" s="591">
        <f t="shared" si="62"/>
        <v>293.12688903900028</v>
      </c>
      <c r="AD55" s="591">
        <f t="shared" si="62"/>
        <v>270.55225600320011</v>
      </c>
      <c r="AE55" s="591">
        <f t="shared" si="62"/>
        <v>247.97762296740018</v>
      </c>
      <c r="AF55" s="591">
        <f t="shared" si="62"/>
        <v>225.4029899316001</v>
      </c>
      <c r="AG55" s="591">
        <f t="shared" si="62"/>
        <v>202.82835689580014</v>
      </c>
      <c r="AH55" s="591">
        <f t="shared" si="62"/>
        <v>180.25372386000015</v>
      </c>
      <c r="AI55" s="191"/>
      <c r="AJ55" s="591">
        <f t="shared" ref="AJ55:BN55" si="63">AJ35</f>
        <v>858.35106600000074</v>
      </c>
      <c r="AK55" s="591">
        <f t="shared" si="63"/>
        <v>845.08954203030078</v>
      </c>
      <c r="AL55" s="591">
        <f t="shared" si="63"/>
        <v>831.8280180606007</v>
      </c>
      <c r="AM55" s="591">
        <f t="shared" si="63"/>
        <v>818.56649409090073</v>
      </c>
      <c r="AN55" s="591">
        <f t="shared" si="63"/>
        <v>805.30497012120065</v>
      </c>
      <c r="AO55" s="591">
        <f t="shared" si="63"/>
        <v>792.04344615150069</v>
      </c>
      <c r="AP55" s="591">
        <f t="shared" si="63"/>
        <v>778.78192218180061</v>
      </c>
      <c r="AQ55" s="591">
        <f t="shared" si="63"/>
        <v>765.52039821210064</v>
      </c>
      <c r="AR55" s="591">
        <f t="shared" si="63"/>
        <v>752.25887424240068</v>
      </c>
      <c r="AS55" s="591">
        <f t="shared" si="63"/>
        <v>738.9973502727006</v>
      </c>
      <c r="AT55" s="591">
        <f t="shared" si="63"/>
        <v>725.73582630300064</v>
      </c>
      <c r="AU55" s="591">
        <f t="shared" si="63"/>
        <v>716.3797996836006</v>
      </c>
      <c r="AV55" s="591">
        <f t="shared" si="63"/>
        <v>707.02377306420067</v>
      </c>
      <c r="AW55" s="591">
        <f t="shared" si="63"/>
        <v>697.66774644480051</v>
      </c>
      <c r="AX55" s="591">
        <f t="shared" si="63"/>
        <v>688.31171982540059</v>
      </c>
      <c r="AY55" s="591">
        <f t="shared" si="63"/>
        <v>678.95569320600055</v>
      </c>
      <c r="AZ55" s="591">
        <f t="shared" si="63"/>
        <v>669.59966658660062</v>
      </c>
      <c r="BA55" s="591">
        <f t="shared" si="63"/>
        <v>660.24363996720058</v>
      </c>
      <c r="BB55" s="591">
        <f t="shared" si="63"/>
        <v>650.88761334780054</v>
      </c>
      <c r="BC55" s="591">
        <f t="shared" si="63"/>
        <v>641.53158672840061</v>
      </c>
      <c r="BD55" s="591">
        <f t="shared" si="63"/>
        <v>632.17556010900046</v>
      </c>
      <c r="BE55" s="591">
        <f t="shared" si="63"/>
        <v>620.88824359110049</v>
      </c>
      <c r="BF55" s="591">
        <f t="shared" si="63"/>
        <v>609.60092707320052</v>
      </c>
      <c r="BG55" s="591">
        <f t="shared" si="63"/>
        <v>598.31361055530056</v>
      </c>
      <c r="BH55" s="591">
        <f t="shared" si="63"/>
        <v>587.02629403740048</v>
      </c>
      <c r="BI55" s="591">
        <f t="shared" si="63"/>
        <v>575.73897751950051</v>
      </c>
      <c r="BJ55" s="591">
        <f t="shared" si="63"/>
        <v>564.45166100160043</v>
      </c>
      <c r="BK55" s="591">
        <f t="shared" si="63"/>
        <v>553.16434448370046</v>
      </c>
      <c r="BL55" s="591">
        <f t="shared" si="63"/>
        <v>541.87702796580038</v>
      </c>
      <c r="BM55" s="591">
        <f t="shared" si="63"/>
        <v>530.58971144790041</v>
      </c>
      <c r="BN55" s="591">
        <f t="shared" si="63"/>
        <v>519.30239493000045</v>
      </c>
    </row>
    <row r="56" spans="1:66" outlineLevel="1">
      <c r="A56"/>
      <c r="B56" t="s">
        <v>262</v>
      </c>
      <c r="C56" s="51" t="s">
        <v>166</v>
      </c>
      <c r="D56" s="101">
        <f>'Butadiene Recycling HC'!C134</f>
        <v>0</v>
      </c>
      <c r="E56" s="101">
        <f>'Butadiene Recycling HC'!D134</f>
        <v>0</v>
      </c>
      <c r="F56" s="101">
        <f>'Butadiene Recycling HC'!E134</f>
        <v>0</v>
      </c>
      <c r="G56" s="101">
        <f>'Butadiene Recycling HC'!F134</f>
        <v>0</v>
      </c>
      <c r="H56" s="101">
        <f>'Butadiene Recycling HC'!G134</f>
        <v>0</v>
      </c>
      <c r="I56" s="101">
        <f>'Butadiene Recycling HC'!H134</f>
        <v>0</v>
      </c>
      <c r="J56" s="101">
        <f>'Butadiene Recycling HC'!I134</f>
        <v>0</v>
      </c>
      <c r="K56" s="101">
        <f>'Butadiene Recycling HC'!J134</f>
        <v>0</v>
      </c>
      <c r="L56" s="101">
        <f>'Butadiene Recycling HC'!K134</f>
        <v>0</v>
      </c>
      <c r="M56" s="101">
        <f>'Butadiene Recycling HC'!L134</f>
        <v>0</v>
      </c>
      <c r="N56" s="101">
        <f>'Butadiene Recycling HC'!M134</f>
        <v>0</v>
      </c>
      <c r="O56" s="101">
        <f>'Butadiene Recycling HC'!N134</f>
        <v>0</v>
      </c>
      <c r="P56" s="101">
        <f>'Butadiene Recycling HC'!O134</f>
        <v>0</v>
      </c>
      <c r="Q56" s="101">
        <f>'Butadiene Recycling HC'!P134</f>
        <v>0</v>
      </c>
      <c r="R56" s="101">
        <f>'Butadiene Recycling HC'!Q134</f>
        <v>0</v>
      </c>
      <c r="S56" s="101">
        <f>'Butadiene Recycling HC'!R134</f>
        <v>0</v>
      </c>
      <c r="T56" s="101">
        <f>'Butadiene Recycling HC'!S134</f>
        <v>0</v>
      </c>
      <c r="U56" s="101">
        <f>'Butadiene Recycling HC'!T134</f>
        <v>0</v>
      </c>
      <c r="V56" s="101">
        <f>'Butadiene Recycling HC'!U134</f>
        <v>0</v>
      </c>
      <c r="W56" s="101">
        <f>'Butadiene Recycling HC'!V134</f>
        <v>0</v>
      </c>
      <c r="X56" s="101">
        <f>'Butadiene Recycling HC'!W134</f>
        <v>0</v>
      </c>
      <c r="Y56" s="101">
        <f>'Butadiene Recycling HC'!X134</f>
        <v>0</v>
      </c>
      <c r="Z56" s="101">
        <f>'Butadiene Recycling HC'!Y134</f>
        <v>0</v>
      </c>
      <c r="AA56" s="101">
        <f>'Butadiene Recycling HC'!Z134</f>
        <v>0</v>
      </c>
      <c r="AB56" s="101">
        <f>'Butadiene Recycling HC'!AA134</f>
        <v>0</v>
      </c>
      <c r="AC56" s="101">
        <f>'Butadiene Recycling HC'!AB134</f>
        <v>0</v>
      </c>
      <c r="AD56" s="101">
        <f>'Butadiene Recycling HC'!AC134</f>
        <v>0</v>
      </c>
      <c r="AE56" s="101">
        <f>'Butadiene Recycling HC'!AD134</f>
        <v>0</v>
      </c>
      <c r="AF56" s="101">
        <f>'Butadiene Recycling HC'!AE134</f>
        <v>0</v>
      </c>
      <c r="AG56" s="101">
        <f>'Butadiene Recycling HC'!AF134</f>
        <v>0</v>
      </c>
      <c r="AH56" s="101">
        <f>'Butadiene Recycling HC'!AG134</f>
        <v>0</v>
      </c>
      <c r="AI56" s="191"/>
      <c r="AJ56" s="101">
        <f>D56</f>
        <v>0</v>
      </c>
      <c r="AK56" s="101">
        <f>E56</f>
        <v>0</v>
      </c>
      <c r="AL56" s="101">
        <f>F56</f>
        <v>0</v>
      </c>
      <c r="AM56" s="101">
        <f t="shared" ref="AM56:BB57" si="64">G56</f>
        <v>0</v>
      </c>
      <c r="AN56" s="101">
        <f t="shared" si="64"/>
        <v>0</v>
      </c>
      <c r="AO56" s="101">
        <f t="shared" si="64"/>
        <v>0</v>
      </c>
      <c r="AP56" s="101">
        <f t="shared" si="64"/>
        <v>0</v>
      </c>
      <c r="AQ56" s="101">
        <f t="shared" si="64"/>
        <v>0</v>
      </c>
      <c r="AR56" s="101">
        <f t="shared" si="64"/>
        <v>0</v>
      </c>
      <c r="AS56" s="101">
        <f t="shared" si="64"/>
        <v>0</v>
      </c>
      <c r="AT56" s="101">
        <f t="shared" si="64"/>
        <v>0</v>
      </c>
      <c r="AU56" s="101">
        <f t="shared" si="64"/>
        <v>0</v>
      </c>
      <c r="AV56" s="101">
        <f t="shared" si="64"/>
        <v>0</v>
      </c>
      <c r="AW56" s="101">
        <f t="shared" si="64"/>
        <v>0</v>
      </c>
      <c r="AX56" s="101">
        <f t="shared" si="64"/>
        <v>0</v>
      </c>
      <c r="AY56" s="101">
        <f t="shared" si="64"/>
        <v>0</v>
      </c>
      <c r="AZ56" s="101">
        <f t="shared" si="64"/>
        <v>0</v>
      </c>
      <c r="BA56" s="101">
        <f t="shared" si="64"/>
        <v>0</v>
      </c>
      <c r="BB56" s="101">
        <f t="shared" si="64"/>
        <v>0</v>
      </c>
      <c r="BC56" s="101">
        <f t="shared" ref="BC56:BN57" si="65">W56</f>
        <v>0</v>
      </c>
      <c r="BD56" s="101">
        <f t="shared" si="65"/>
        <v>0</v>
      </c>
      <c r="BE56" s="101">
        <f t="shared" si="65"/>
        <v>0</v>
      </c>
      <c r="BF56" s="101">
        <f t="shared" si="65"/>
        <v>0</v>
      </c>
      <c r="BG56" s="101">
        <f t="shared" si="65"/>
        <v>0</v>
      </c>
      <c r="BH56" s="101">
        <f t="shared" si="65"/>
        <v>0</v>
      </c>
      <c r="BI56" s="101">
        <f t="shared" si="65"/>
        <v>0</v>
      </c>
      <c r="BJ56" s="101">
        <f t="shared" si="65"/>
        <v>0</v>
      </c>
      <c r="BK56" s="101">
        <f t="shared" si="65"/>
        <v>0</v>
      </c>
      <c r="BL56" s="101">
        <f t="shared" si="65"/>
        <v>0</v>
      </c>
      <c r="BM56" s="101">
        <f t="shared" si="65"/>
        <v>0</v>
      </c>
      <c r="BN56" s="101">
        <f t="shared" si="65"/>
        <v>0</v>
      </c>
    </row>
    <row r="57" spans="1:66" outlineLevel="1">
      <c r="A57"/>
      <c r="B57" t="s">
        <v>264</v>
      </c>
      <c r="C57" s="51" t="s">
        <v>166</v>
      </c>
      <c r="D57" s="101">
        <f>'Butadiene Recycling HC'!C72</f>
        <v>0</v>
      </c>
      <c r="E57" s="101">
        <f>'Butadiene Recycling HC'!D72</f>
        <v>0</v>
      </c>
      <c r="F57" s="101">
        <f>'Butadiene Recycling HC'!E72</f>
        <v>0</v>
      </c>
      <c r="G57" s="101">
        <f>'Butadiene Recycling HC'!F72</f>
        <v>0</v>
      </c>
      <c r="H57" s="101">
        <f>'Butadiene Recycling HC'!G72</f>
        <v>0</v>
      </c>
      <c r="I57" s="101">
        <f>'Butadiene Recycling HC'!H72</f>
        <v>0</v>
      </c>
      <c r="J57" s="101">
        <f>'Butadiene Recycling HC'!I72</f>
        <v>0</v>
      </c>
      <c r="K57" s="101">
        <f>'Butadiene Recycling HC'!J72</f>
        <v>0</v>
      </c>
      <c r="L57" s="101">
        <f>'Butadiene Recycling HC'!K72</f>
        <v>0</v>
      </c>
      <c r="M57" s="101">
        <f>'Butadiene Recycling HC'!L72</f>
        <v>0</v>
      </c>
      <c r="N57" s="101">
        <f>'Butadiene Recycling HC'!M72</f>
        <v>0</v>
      </c>
      <c r="O57" s="101">
        <f>'Butadiene Recycling HC'!N72</f>
        <v>0</v>
      </c>
      <c r="P57" s="101">
        <f>'Butadiene Recycling HC'!O72</f>
        <v>0</v>
      </c>
      <c r="Q57" s="101">
        <f>'Butadiene Recycling HC'!P72</f>
        <v>0</v>
      </c>
      <c r="R57" s="101">
        <f>'Butadiene Recycling HC'!Q72</f>
        <v>0</v>
      </c>
      <c r="S57" s="101">
        <f>'Butadiene Recycling HC'!R72</f>
        <v>0</v>
      </c>
      <c r="T57" s="101">
        <f>'Butadiene Recycling HC'!S72</f>
        <v>0</v>
      </c>
      <c r="U57" s="101">
        <f>'Butadiene Recycling HC'!T72</f>
        <v>0</v>
      </c>
      <c r="V57" s="101">
        <f>'Butadiene Recycling HC'!U72</f>
        <v>0</v>
      </c>
      <c r="W57" s="101">
        <f>'Butadiene Recycling HC'!V72</f>
        <v>0</v>
      </c>
      <c r="X57" s="101">
        <f>'Butadiene Recycling HC'!W72</f>
        <v>0</v>
      </c>
      <c r="Y57" s="101">
        <f>'Butadiene Recycling HC'!X72</f>
        <v>0</v>
      </c>
      <c r="Z57" s="101">
        <f>'Butadiene Recycling HC'!Y72</f>
        <v>0</v>
      </c>
      <c r="AA57" s="101">
        <f>'Butadiene Recycling HC'!Z72</f>
        <v>0</v>
      </c>
      <c r="AB57" s="101">
        <f>'Butadiene Recycling HC'!AA72</f>
        <v>0</v>
      </c>
      <c r="AC57" s="101">
        <f>'Butadiene Recycling HC'!AB72</f>
        <v>0</v>
      </c>
      <c r="AD57" s="101">
        <f>'Butadiene Recycling HC'!AC72</f>
        <v>0</v>
      </c>
      <c r="AE57" s="101">
        <f>'Butadiene Recycling HC'!AD72</f>
        <v>0</v>
      </c>
      <c r="AF57" s="101">
        <f>'Butadiene Recycling HC'!AE72</f>
        <v>0</v>
      </c>
      <c r="AG57" s="101">
        <f>'Butadiene Recycling HC'!AF72</f>
        <v>0</v>
      </c>
      <c r="AH57" s="101">
        <f>'Butadiene Recycling HC'!AG72</f>
        <v>0</v>
      </c>
      <c r="AI57" s="191"/>
      <c r="AJ57" s="101">
        <f>D57</f>
        <v>0</v>
      </c>
      <c r="AK57" s="101">
        <f t="shared" ref="AK57:AZ57" si="66">E57</f>
        <v>0</v>
      </c>
      <c r="AL57" s="101">
        <f t="shared" si="66"/>
        <v>0</v>
      </c>
      <c r="AM57" s="101">
        <f t="shared" si="66"/>
        <v>0</v>
      </c>
      <c r="AN57" s="101">
        <f t="shared" si="66"/>
        <v>0</v>
      </c>
      <c r="AO57" s="101">
        <f t="shared" si="66"/>
        <v>0</v>
      </c>
      <c r="AP57" s="101">
        <f t="shared" si="66"/>
        <v>0</v>
      </c>
      <c r="AQ57" s="101">
        <f t="shared" si="66"/>
        <v>0</v>
      </c>
      <c r="AR57" s="101">
        <f t="shared" si="66"/>
        <v>0</v>
      </c>
      <c r="AS57" s="101">
        <f t="shared" si="66"/>
        <v>0</v>
      </c>
      <c r="AT57" s="101">
        <f t="shared" si="66"/>
        <v>0</v>
      </c>
      <c r="AU57" s="101">
        <f t="shared" si="66"/>
        <v>0</v>
      </c>
      <c r="AV57" s="101">
        <f t="shared" si="66"/>
        <v>0</v>
      </c>
      <c r="AW57" s="101">
        <f t="shared" si="66"/>
        <v>0</v>
      </c>
      <c r="AX57" s="101">
        <f t="shared" si="66"/>
        <v>0</v>
      </c>
      <c r="AY57" s="101">
        <f t="shared" si="66"/>
        <v>0</v>
      </c>
      <c r="AZ57" s="101">
        <f t="shared" si="66"/>
        <v>0</v>
      </c>
      <c r="BA57" s="101">
        <f t="shared" si="64"/>
        <v>0</v>
      </c>
      <c r="BB57" s="101">
        <f t="shared" si="64"/>
        <v>0</v>
      </c>
      <c r="BC57" s="101">
        <f t="shared" si="65"/>
        <v>0</v>
      </c>
      <c r="BD57" s="101">
        <f t="shared" si="65"/>
        <v>0</v>
      </c>
      <c r="BE57" s="101">
        <f t="shared" si="65"/>
        <v>0</v>
      </c>
      <c r="BF57" s="101">
        <f t="shared" si="65"/>
        <v>0</v>
      </c>
      <c r="BG57" s="101">
        <f t="shared" si="65"/>
        <v>0</v>
      </c>
      <c r="BH57" s="101">
        <f t="shared" si="65"/>
        <v>0</v>
      </c>
      <c r="BI57" s="101">
        <f t="shared" si="65"/>
        <v>0</v>
      </c>
      <c r="BJ57" s="101">
        <f t="shared" si="65"/>
        <v>0</v>
      </c>
      <c r="BK57" s="101">
        <f t="shared" si="65"/>
        <v>0</v>
      </c>
      <c r="BL57" s="101">
        <f t="shared" si="65"/>
        <v>0</v>
      </c>
      <c r="BM57" s="101">
        <f t="shared" si="65"/>
        <v>0</v>
      </c>
      <c r="BN57" s="101">
        <f t="shared" si="65"/>
        <v>0</v>
      </c>
    </row>
    <row r="58" spans="1:66" outlineLevel="1">
      <c r="A58" s="59"/>
      <c r="B58" s="59" t="s">
        <v>263</v>
      </c>
      <c r="C58" s="51" t="s">
        <v>166</v>
      </c>
      <c r="D58" s="636">
        <f>IF(D55-D56-D57&lt;0,0,D55-D56-D57)</f>
        <v>858.35106600000074</v>
      </c>
      <c r="E58" s="636">
        <f t="shared" ref="E58:AG58" si="67">IF(E55-E56-E57&lt;0,0,E55-E56-E57)</f>
        <v>831.8280180606007</v>
      </c>
      <c r="F58" s="636">
        <f t="shared" si="67"/>
        <v>805.30497012120065</v>
      </c>
      <c r="G58" s="636">
        <f t="shared" si="67"/>
        <v>778.78192218180061</v>
      </c>
      <c r="H58" s="636">
        <f t="shared" si="67"/>
        <v>752.25887424240068</v>
      </c>
      <c r="I58" s="636">
        <f t="shared" si="67"/>
        <v>725.73582630300064</v>
      </c>
      <c r="J58" s="636">
        <f t="shared" si="67"/>
        <v>699.21277836360071</v>
      </c>
      <c r="K58" s="636">
        <f t="shared" si="67"/>
        <v>672.68973042420066</v>
      </c>
      <c r="L58" s="636">
        <f t="shared" si="67"/>
        <v>646.16668248480062</v>
      </c>
      <c r="M58" s="636">
        <f t="shared" si="67"/>
        <v>619.64363454540057</v>
      </c>
      <c r="N58" s="636">
        <f t="shared" si="67"/>
        <v>593.12058660600053</v>
      </c>
      <c r="O58" s="636">
        <f t="shared" si="67"/>
        <v>574.40853336720045</v>
      </c>
      <c r="P58" s="636">
        <f t="shared" si="67"/>
        <v>555.69648012840048</v>
      </c>
      <c r="Q58" s="636">
        <f t="shared" si="67"/>
        <v>536.98442688960051</v>
      </c>
      <c r="R58" s="636">
        <f t="shared" si="67"/>
        <v>518.27237365080043</v>
      </c>
      <c r="S58" s="636">
        <f t="shared" si="67"/>
        <v>499.56032041200046</v>
      </c>
      <c r="T58" s="636">
        <f t="shared" si="67"/>
        <v>480.84826717320038</v>
      </c>
      <c r="U58" s="636">
        <f t="shared" si="67"/>
        <v>462.13621393440042</v>
      </c>
      <c r="V58" s="636">
        <f t="shared" si="67"/>
        <v>443.42416069560034</v>
      </c>
      <c r="W58" s="636">
        <f t="shared" si="67"/>
        <v>424.71210745680031</v>
      </c>
      <c r="X58" s="636">
        <f t="shared" si="67"/>
        <v>406.00005421800034</v>
      </c>
      <c r="Y58" s="636">
        <f t="shared" si="67"/>
        <v>383.42542118220024</v>
      </c>
      <c r="Z58" s="636">
        <f t="shared" si="67"/>
        <v>360.8507881464003</v>
      </c>
      <c r="AA58" s="636">
        <f t="shared" si="67"/>
        <v>338.27615511060026</v>
      </c>
      <c r="AB58" s="636">
        <f t="shared" si="67"/>
        <v>315.70152207480021</v>
      </c>
      <c r="AC58" s="636">
        <f t="shared" si="67"/>
        <v>293.12688903900028</v>
      </c>
      <c r="AD58" s="636">
        <f t="shared" si="67"/>
        <v>270.55225600320011</v>
      </c>
      <c r="AE58" s="636">
        <f t="shared" si="67"/>
        <v>247.97762296740018</v>
      </c>
      <c r="AF58" s="636">
        <f t="shared" si="67"/>
        <v>225.4029899316001</v>
      </c>
      <c r="AG58" s="636">
        <f t="shared" si="67"/>
        <v>202.82835689580014</v>
      </c>
      <c r="AH58" s="636">
        <f>IF(AH55-AH56-AH57&lt;0,0,AH55-AH56-AH57)</f>
        <v>180.25372386000015</v>
      </c>
      <c r="AI58" s="191"/>
      <c r="AJ58" s="636">
        <f>IF(AJ55-AJ56-AJ57&lt;0,0,AJ55-AJ56-AJ57)</f>
        <v>858.35106600000074</v>
      </c>
      <c r="AK58" s="636">
        <f t="shared" ref="AK58:BN58" si="68">IF(AK55-AK56-AK57&lt;0,0,AK55-AK56-AK57)</f>
        <v>845.08954203030078</v>
      </c>
      <c r="AL58" s="636">
        <f t="shared" si="68"/>
        <v>831.8280180606007</v>
      </c>
      <c r="AM58" s="636">
        <f t="shared" si="68"/>
        <v>818.56649409090073</v>
      </c>
      <c r="AN58" s="636">
        <f t="shared" si="68"/>
        <v>805.30497012120065</v>
      </c>
      <c r="AO58" s="636">
        <f t="shared" si="68"/>
        <v>792.04344615150069</v>
      </c>
      <c r="AP58" s="636">
        <f t="shared" si="68"/>
        <v>778.78192218180061</v>
      </c>
      <c r="AQ58" s="636">
        <f t="shared" si="68"/>
        <v>765.52039821210064</v>
      </c>
      <c r="AR58" s="636">
        <f t="shared" si="68"/>
        <v>752.25887424240068</v>
      </c>
      <c r="AS58" s="636">
        <f t="shared" si="68"/>
        <v>738.9973502727006</v>
      </c>
      <c r="AT58" s="636">
        <f t="shared" si="68"/>
        <v>725.73582630300064</v>
      </c>
      <c r="AU58" s="636">
        <f t="shared" si="68"/>
        <v>716.3797996836006</v>
      </c>
      <c r="AV58" s="636">
        <f t="shared" si="68"/>
        <v>707.02377306420067</v>
      </c>
      <c r="AW58" s="636">
        <f t="shared" si="68"/>
        <v>697.66774644480051</v>
      </c>
      <c r="AX58" s="636">
        <f t="shared" si="68"/>
        <v>688.31171982540059</v>
      </c>
      <c r="AY58" s="636">
        <f t="shared" si="68"/>
        <v>678.95569320600055</v>
      </c>
      <c r="AZ58" s="636">
        <f t="shared" si="68"/>
        <v>669.59966658660062</v>
      </c>
      <c r="BA58" s="636">
        <f t="shared" si="68"/>
        <v>660.24363996720058</v>
      </c>
      <c r="BB58" s="636">
        <f t="shared" si="68"/>
        <v>650.88761334780054</v>
      </c>
      <c r="BC58" s="636">
        <f t="shared" si="68"/>
        <v>641.53158672840061</v>
      </c>
      <c r="BD58" s="636">
        <f t="shared" si="68"/>
        <v>632.17556010900046</v>
      </c>
      <c r="BE58" s="636">
        <f t="shared" si="68"/>
        <v>620.88824359110049</v>
      </c>
      <c r="BF58" s="636">
        <f t="shared" si="68"/>
        <v>609.60092707320052</v>
      </c>
      <c r="BG58" s="636">
        <f t="shared" si="68"/>
        <v>598.31361055530056</v>
      </c>
      <c r="BH58" s="636">
        <f t="shared" si="68"/>
        <v>587.02629403740048</v>
      </c>
      <c r="BI58" s="636">
        <f t="shared" si="68"/>
        <v>575.73897751950051</v>
      </c>
      <c r="BJ58" s="636">
        <f t="shared" si="68"/>
        <v>564.45166100160043</v>
      </c>
      <c r="BK58" s="636">
        <f t="shared" si="68"/>
        <v>553.16434448370046</v>
      </c>
      <c r="BL58" s="636">
        <f t="shared" si="68"/>
        <v>541.87702796580038</v>
      </c>
      <c r="BM58" s="636">
        <f t="shared" si="68"/>
        <v>530.58971144790041</v>
      </c>
      <c r="BN58" s="636">
        <f t="shared" si="68"/>
        <v>519.30239493000045</v>
      </c>
    </row>
    <row r="59" spans="1:66" outlineLevel="1">
      <c r="A59" s="55" t="s">
        <v>259</v>
      </c>
      <c r="B59" s="55" t="s">
        <v>195</v>
      </c>
      <c r="C59" s="95" t="s">
        <v>166</v>
      </c>
      <c r="D59" s="631">
        <f t="shared" ref="D59:AH59" si="69">D29</f>
        <v>10097.623110892866</v>
      </c>
      <c r="E59" s="631">
        <f t="shared" si="69"/>
        <v>9914.3512514301601</v>
      </c>
      <c r="F59" s="631">
        <f t="shared" si="69"/>
        <v>9731.0793919674543</v>
      </c>
      <c r="G59" s="631">
        <f t="shared" si="69"/>
        <v>9547.8075325047503</v>
      </c>
      <c r="H59" s="631">
        <f t="shared" si="69"/>
        <v>9364.5356730420444</v>
      </c>
      <c r="I59" s="631">
        <f t="shared" si="69"/>
        <v>9181.2638135793386</v>
      </c>
      <c r="J59" s="631">
        <f t="shared" si="69"/>
        <v>8997.9919541166328</v>
      </c>
      <c r="K59" s="631">
        <f t="shared" si="69"/>
        <v>8814.7200946539269</v>
      </c>
      <c r="L59" s="631">
        <f t="shared" si="69"/>
        <v>8631.4482351912211</v>
      </c>
      <c r="M59" s="631">
        <f t="shared" si="69"/>
        <v>8448.1763757285153</v>
      </c>
      <c r="N59" s="631">
        <f t="shared" si="69"/>
        <v>8264.9045162658113</v>
      </c>
      <c r="O59" s="631">
        <f t="shared" si="69"/>
        <v>8081.6326568031054</v>
      </c>
      <c r="P59" s="631">
        <f t="shared" si="69"/>
        <v>7898.3607973403996</v>
      </c>
      <c r="Q59" s="631">
        <f t="shared" si="69"/>
        <v>7715.0889378776938</v>
      </c>
      <c r="R59" s="631">
        <f t="shared" si="69"/>
        <v>7531.8170784149879</v>
      </c>
      <c r="S59" s="631">
        <f t="shared" si="69"/>
        <v>7348.545218952283</v>
      </c>
      <c r="T59" s="631">
        <f t="shared" si="69"/>
        <v>7165.2733594895772</v>
      </c>
      <c r="U59" s="631">
        <f t="shared" si="69"/>
        <v>6982.0015000268722</v>
      </c>
      <c r="V59" s="631">
        <f t="shared" si="69"/>
        <v>6798.7296405641664</v>
      </c>
      <c r="W59" s="631">
        <f t="shared" si="69"/>
        <v>6615.4577811014606</v>
      </c>
      <c r="X59" s="631">
        <f t="shared" si="69"/>
        <v>6432.1859216387547</v>
      </c>
      <c r="Y59" s="631">
        <f t="shared" si="69"/>
        <v>6243.3603694650583</v>
      </c>
      <c r="Z59" s="631">
        <f t="shared" si="69"/>
        <v>6054.5348172913618</v>
      </c>
      <c r="AA59" s="631">
        <f t="shared" si="69"/>
        <v>5865.7092651176654</v>
      </c>
      <c r="AB59" s="631">
        <f t="shared" si="69"/>
        <v>5676.8837129439689</v>
      </c>
      <c r="AC59" s="631">
        <f t="shared" si="69"/>
        <v>5488.0581607702716</v>
      </c>
      <c r="AD59" s="631">
        <f t="shared" si="69"/>
        <v>5299.2326085965751</v>
      </c>
      <c r="AE59" s="631">
        <f t="shared" si="69"/>
        <v>5110.4070564228787</v>
      </c>
      <c r="AF59" s="631">
        <f t="shared" si="69"/>
        <v>4921.5815042491831</v>
      </c>
      <c r="AG59" s="631">
        <f t="shared" si="69"/>
        <v>4732.7559520754858</v>
      </c>
      <c r="AH59" s="631">
        <f t="shared" si="69"/>
        <v>4543.9303999017893</v>
      </c>
      <c r="AI59" s="191"/>
      <c r="AJ59" s="631">
        <f t="shared" ref="AJ59:BN59" si="70">AJ29</f>
        <v>10097.623110892866</v>
      </c>
      <c r="AK59" s="631">
        <f t="shared" si="70"/>
        <v>10024.314367107783</v>
      </c>
      <c r="AL59" s="631">
        <f t="shared" si="70"/>
        <v>9951.0056233227024</v>
      </c>
      <c r="AM59" s="631">
        <f t="shared" si="70"/>
        <v>9877.6968795376197</v>
      </c>
      <c r="AN59" s="631">
        <f t="shared" si="70"/>
        <v>9804.388135752537</v>
      </c>
      <c r="AO59" s="631">
        <f t="shared" si="70"/>
        <v>9731.0793919674543</v>
      </c>
      <c r="AP59" s="631">
        <f t="shared" si="70"/>
        <v>9657.7706481823734</v>
      </c>
      <c r="AQ59" s="631">
        <f t="shared" si="70"/>
        <v>9584.4619043972907</v>
      </c>
      <c r="AR59" s="631">
        <f t="shared" si="70"/>
        <v>9511.153160612208</v>
      </c>
      <c r="AS59" s="631">
        <f t="shared" si="70"/>
        <v>9437.8444168271253</v>
      </c>
      <c r="AT59" s="631">
        <f t="shared" si="70"/>
        <v>9364.5356730420444</v>
      </c>
      <c r="AU59" s="631">
        <f t="shared" si="70"/>
        <v>9291.2269292569617</v>
      </c>
      <c r="AV59" s="631">
        <f t="shared" si="70"/>
        <v>9217.918185471879</v>
      </c>
      <c r="AW59" s="631">
        <f t="shared" si="70"/>
        <v>9144.6094416867963</v>
      </c>
      <c r="AX59" s="631">
        <f t="shared" si="70"/>
        <v>9071.3006979017155</v>
      </c>
      <c r="AY59" s="631">
        <f t="shared" si="70"/>
        <v>8997.9919541166328</v>
      </c>
      <c r="AZ59" s="631">
        <f t="shared" si="70"/>
        <v>8924.6832103315501</v>
      </c>
      <c r="BA59" s="631">
        <f t="shared" si="70"/>
        <v>8851.3744665464692</v>
      </c>
      <c r="BB59" s="631">
        <f t="shared" si="70"/>
        <v>8778.0657227613865</v>
      </c>
      <c r="BC59" s="631">
        <f t="shared" si="70"/>
        <v>8704.7569789763038</v>
      </c>
      <c r="BD59" s="631">
        <f t="shared" si="70"/>
        <v>8631.4482351912211</v>
      </c>
      <c r="BE59" s="631">
        <f t="shared" si="70"/>
        <v>8555.9180143217436</v>
      </c>
      <c r="BF59" s="631">
        <f t="shared" si="70"/>
        <v>8480.3877934522643</v>
      </c>
      <c r="BG59" s="631">
        <f t="shared" si="70"/>
        <v>8404.8575725827868</v>
      </c>
      <c r="BH59" s="631">
        <f t="shared" si="70"/>
        <v>8329.3273517133075</v>
      </c>
      <c r="BI59" s="631">
        <f t="shared" si="70"/>
        <v>8253.7971308438282</v>
      </c>
      <c r="BJ59" s="631">
        <f t="shared" si="70"/>
        <v>8178.2669099743498</v>
      </c>
      <c r="BK59" s="631">
        <f t="shared" si="70"/>
        <v>8102.7366891048714</v>
      </c>
      <c r="BL59" s="631">
        <f t="shared" si="70"/>
        <v>8027.206468235393</v>
      </c>
      <c r="BM59" s="631">
        <f t="shared" si="70"/>
        <v>7951.6762473659146</v>
      </c>
      <c r="BN59" s="631">
        <f t="shared" si="70"/>
        <v>7876.1460264964353</v>
      </c>
    </row>
    <row r="60" spans="1:66" outlineLevel="1">
      <c r="A60"/>
      <c r="B60" t="s">
        <v>262</v>
      </c>
      <c r="C60" s="51" t="s">
        <v>166</v>
      </c>
      <c r="D60" s="101">
        <f>'Butadiene Recycling HC'!C148</f>
        <v>0</v>
      </c>
      <c r="E60" s="101">
        <f>'Butadiene Recycling HC'!D148</f>
        <v>10.933845936328451</v>
      </c>
      <c r="F60" s="101">
        <f>'Butadiene Recycling HC'!E148</f>
        <v>21.867691872656902</v>
      </c>
      <c r="G60" s="101">
        <f>'Butadiene Recycling HC'!F148</f>
        <v>32.801537808985351</v>
      </c>
      <c r="H60" s="101">
        <f>'Butadiene Recycling HC'!G148</f>
        <v>43.735383745313804</v>
      </c>
      <c r="I60" s="101">
        <f>'Butadiene Recycling HC'!H148</f>
        <v>54.66922968164225</v>
      </c>
      <c r="J60" s="101">
        <f>'Butadiene Recycling HC'!I148</f>
        <v>65.603075617970703</v>
      </c>
      <c r="K60" s="101">
        <f>'Butadiene Recycling HC'!J148</f>
        <v>76.536921554299155</v>
      </c>
      <c r="L60" s="101">
        <f>'Butadiene Recycling HC'!K148</f>
        <v>87.470767490627608</v>
      </c>
      <c r="M60" s="101">
        <f>'Butadiene Recycling HC'!L148</f>
        <v>98.404613426956061</v>
      </c>
      <c r="N60" s="101">
        <f>'Butadiene Recycling HC'!M148</f>
        <v>109.33845936328451</v>
      </c>
      <c r="O60" s="101">
        <f>'Butadiene Recycling HC'!N148</f>
        <v>120.27230529961297</v>
      </c>
      <c r="P60" s="101">
        <f>'Butadiene Recycling HC'!O148</f>
        <v>131.20615123594143</v>
      </c>
      <c r="Q60" s="101">
        <f>'Butadiene Recycling HC'!P148</f>
        <v>142.13999717226986</v>
      </c>
      <c r="R60" s="101">
        <f>'Butadiene Recycling HC'!Q148</f>
        <v>153.07384310859831</v>
      </c>
      <c r="S60" s="101">
        <f>'Butadiene Recycling HC'!R148</f>
        <v>164.00768904492676</v>
      </c>
      <c r="T60" s="101">
        <f>'Butadiene Recycling HC'!S148</f>
        <v>174.94153498125522</v>
      </c>
      <c r="U60" s="101">
        <f>'Butadiene Recycling HC'!T148</f>
        <v>185.87538091758367</v>
      </c>
      <c r="V60" s="101">
        <f>'Butadiene Recycling HC'!U148</f>
        <v>196.80922685391215</v>
      </c>
      <c r="W60" s="101">
        <f>'Butadiene Recycling HC'!V148</f>
        <v>207.74307279024057</v>
      </c>
      <c r="X60" s="101">
        <f>'Butadiene Recycling HC'!W148</f>
        <v>218.67691872656903</v>
      </c>
      <c r="Y60" s="101">
        <f>'Butadiene Recycling HC'!X148</f>
        <v>229.61076466289751</v>
      </c>
      <c r="Z60" s="101">
        <f>'Butadiene Recycling HC'!Y148</f>
        <v>240.54461059922593</v>
      </c>
      <c r="AA60" s="101">
        <f>'Butadiene Recycling HC'!Z148</f>
        <v>251.47845653555439</v>
      </c>
      <c r="AB60" s="101">
        <f>'Butadiene Recycling HC'!AA148</f>
        <v>262.41230247188287</v>
      </c>
      <c r="AC60" s="101">
        <f>'Butadiene Recycling HC'!AB148</f>
        <v>273.34614840821132</v>
      </c>
      <c r="AD60" s="101">
        <f>'Butadiene Recycling HC'!AC148</f>
        <v>284.27999434453977</v>
      </c>
      <c r="AE60" s="101">
        <f>'Butadiene Recycling HC'!AD148</f>
        <v>295.21384028086823</v>
      </c>
      <c r="AF60" s="101">
        <f>'Butadiene Recycling HC'!AE148</f>
        <v>306.14768621719662</v>
      </c>
      <c r="AG60" s="101">
        <f>'Butadiene Recycling HC'!AF148</f>
        <v>317.08153215352513</v>
      </c>
      <c r="AH60" s="101">
        <f>'Butadiene Recycling HC'!AG148</f>
        <v>328.01537808985358</v>
      </c>
      <c r="AI60" s="191"/>
      <c r="AJ60" s="101">
        <f>D60</f>
        <v>0</v>
      </c>
      <c r="AK60" s="101">
        <f>E60</f>
        <v>10.933845936328451</v>
      </c>
      <c r="AL60" s="101">
        <f t="shared" ref="AL60:BA63" si="71">F60</f>
        <v>21.867691872656902</v>
      </c>
      <c r="AM60" s="101">
        <f t="shared" si="71"/>
        <v>32.801537808985351</v>
      </c>
      <c r="AN60" s="101">
        <f t="shared" si="71"/>
        <v>43.735383745313804</v>
      </c>
      <c r="AO60" s="101">
        <f t="shared" si="71"/>
        <v>54.66922968164225</v>
      </c>
      <c r="AP60" s="101">
        <f t="shared" si="71"/>
        <v>65.603075617970703</v>
      </c>
      <c r="AQ60" s="101">
        <f t="shared" si="71"/>
        <v>76.536921554299155</v>
      </c>
      <c r="AR60" s="101">
        <f t="shared" si="71"/>
        <v>87.470767490627608</v>
      </c>
      <c r="AS60" s="101">
        <f t="shared" si="71"/>
        <v>98.404613426956061</v>
      </c>
      <c r="AT60" s="101">
        <f t="shared" si="71"/>
        <v>109.33845936328451</v>
      </c>
      <c r="AU60" s="101">
        <f t="shared" si="71"/>
        <v>120.27230529961297</v>
      </c>
      <c r="AV60" s="101">
        <f t="shared" si="71"/>
        <v>131.20615123594143</v>
      </c>
      <c r="AW60" s="101">
        <f t="shared" si="71"/>
        <v>142.13999717226986</v>
      </c>
      <c r="AX60" s="101">
        <f t="shared" si="71"/>
        <v>153.07384310859831</v>
      </c>
      <c r="AY60" s="101">
        <f t="shared" si="71"/>
        <v>164.00768904492676</v>
      </c>
      <c r="AZ60" s="101">
        <f t="shared" si="71"/>
        <v>174.94153498125522</v>
      </c>
      <c r="BA60" s="101">
        <f t="shared" si="71"/>
        <v>185.87538091758367</v>
      </c>
      <c r="BB60" s="101">
        <f t="shared" ref="BB60:BN63" si="72">V60</f>
        <v>196.80922685391215</v>
      </c>
      <c r="BC60" s="101">
        <f t="shared" si="72"/>
        <v>207.74307279024057</v>
      </c>
      <c r="BD60" s="101">
        <f t="shared" si="72"/>
        <v>218.67691872656903</v>
      </c>
      <c r="BE60" s="101">
        <f t="shared" si="72"/>
        <v>229.61076466289751</v>
      </c>
      <c r="BF60" s="101">
        <f t="shared" si="72"/>
        <v>240.54461059922593</v>
      </c>
      <c r="BG60" s="101">
        <f t="shared" si="72"/>
        <v>251.47845653555439</v>
      </c>
      <c r="BH60" s="101">
        <f t="shared" si="72"/>
        <v>262.41230247188287</v>
      </c>
      <c r="BI60" s="101">
        <f t="shared" si="72"/>
        <v>273.34614840821132</v>
      </c>
      <c r="BJ60" s="101">
        <f t="shared" si="72"/>
        <v>284.27999434453977</v>
      </c>
      <c r="BK60" s="101">
        <f t="shared" si="72"/>
        <v>295.21384028086823</v>
      </c>
      <c r="BL60" s="101">
        <f t="shared" si="72"/>
        <v>306.14768621719662</v>
      </c>
      <c r="BM60" s="101">
        <f t="shared" si="72"/>
        <v>317.08153215352513</v>
      </c>
      <c r="BN60" s="101">
        <f t="shared" si="72"/>
        <v>328.01537808985358</v>
      </c>
    </row>
    <row r="61" spans="1:66" outlineLevel="1">
      <c r="A61"/>
      <c r="B61" t="s">
        <v>264</v>
      </c>
      <c r="C61" s="51" t="s">
        <v>166</v>
      </c>
      <c r="D61" s="101">
        <f>'Butadiene Recycling HC'!C78</f>
        <v>0</v>
      </c>
      <c r="E61" s="101">
        <f>'Butadiene Recycling HC'!D78</f>
        <v>0</v>
      </c>
      <c r="F61" s="101">
        <f>'Butadiene Recycling HC'!E78</f>
        <v>0</v>
      </c>
      <c r="G61" s="101">
        <f>'Butadiene Recycling HC'!F78</f>
        <v>0</v>
      </c>
      <c r="H61" s="101">
        <f>'Butadiene Recycling HC'!G78</f>
        <v>0</v>
      </c>
      <c r="I61" s="101">
        <f>'Butadiene Recycling HC'!H78</f>
        <v>0</v>
      </c>
      <c r="J61" s="101">
        <f>'Butadiene Recycling HC'!I78</f>
        <v>0</v>
      </c>
      <c r="K61" s="101">
        <f>'Butadiene Recycling HC'!J78</f>
        <v>0</v>
      </c>
      <c r="L61" s="101">
        <f>'Butadiene Recycling HC'!K78</f>
        <v>0</v>
      </c>
      <c r="M61" s="101">
        <f>'Butadiene Recycling HC'!L78</f>
        <v>0</v>
      </c>
      <c r="N61" s="101">
        <f>'Butadiene Recycling HC'!M78</f>
        <v>0</v>
      </c>
      <c r="O61" s="101">
        <f>'Butadiene Recycling HC'!N78</f>
        <v>0</v>
      </c>
      <c r="P61" s="101">
        <f>'Butadiene Recycling HC'!O78</f>
        <v>0</v>
      </c>
      <c r="Q61" s="101">
        <f>'Butadiene Recycling HC'!P78</f>
        <v>0</v>
      </c>
      <c r="R61" s="101">
        <f>'Butadiene Recycling HC'!Q78</f>
        <v>0</v>
      </c>
      <c r="S61" s="101">
        <f>'Butadiene Recycling HC'!R78</f>
        <v>0</v>
      </c>
      <c r="T61" s="101">
        <f>'Butadiene Recycling HC'!S78</f>
        <v>0</v>
      </c>
      <c r="U61" s="101">
        <f>'Butadiene Recycling HC'!T78</f>
        <v>0</v>
      </c>
      <c r="V61" s="101">
        <f>'Butadiene Recycling HC'!U78</f>
        <v>0</v>
      </c>
      <c r="W61" s="101">
        <f>'Butadiene Recycling HC'!V78</f>
        <v>0</v>
      </c>
      <c r="X61" s="101">
        <f>'Butadiene Recycling HC'!W78</f>
        <v>0</v>
      </c>
      <c r="Y61" s="101">
        <f>'Butadiene Recycling HC'!X78</f>
        <v>0</v>
      </c>
      <c r="Z61" s="101">
        <f>'Butadiene Recycling HC'!Y78</f>
        <v>0</v>
      </c>
      <c r="AA61" s="101">
        <f>'Butadiene Recycling HC'!Z78</f>
        <v>0</v>
      </c>
      <c r="AB61" s="101">
        <f>'Butadiene Recycling HC'!AA78</f>
        <v>0</v>
      </c>
      <c r="AC61" s="101">
        <f>'Butadiene Recycling HC'!AB78</f>
        <v>0</v>
      </c>
      <c r="AD61" s="101">
        <f>'Butadiene Recycling HC'!AC78</f>
        <v>0</v>
      </c>
      <c r="AE61" s="101">
        <f>'Butadiene Recycling HC'!AD78</f>
        <v>0</v>
      </c>
      <c r="AF61" s="101">
        <f>'Butadiene Recycling HC'!AE78</f>
        <v>0</v>
      </c>
      <c r="AG61" s="101">
        <f>'Butadiene Recycling HC'!AF78</f>
        <v>0</v>
      </c>
      <c r="AH61" s="101">
        <f>'Butadiene Recycling HC'!AG78</f>
        <v>0</v>
      </c>
      <c r="AI61" s="191"/>
      <c r="AJ61" s="101">
        <f t="shared" ref="AJ61:AY63" si="73">D61</f>
        <v>0</v>
      </c>
      <c r="AK61" s="101">
        <f t="shared" si="73"/>
        <v>0</v>
      </c>
      <c r="AL61" s="101">
        <f t="shared" si="73"/>
        <v>0</v>
      </c>
      <c r="AM61" s="101">
        <f t="shared" si="73"/>
        <v>0</v>
      </c>
      <c r="AN61" s="101">
        <f t="shared" si="73"/>
        <v>0</v>
      </c>
      <c r="AO61" s="101">
        <f t="shared" si="73"/>
        <v>0</v>
      </c>
      <c r="AP61" s="101">
        <f t="shared" si="73"/>
        <v>0</v>
      </c>
      <c r="AQ61" s="101">
        <f t="shared" si="73"/>
        <v>0</v>
      </c>
      <c r="AR61" s="101">
        <f t="shared" si="73"/>
        <v>0</v>
      </c>
      <c r="AS61" s="101">
        <f t="shared" si="73"/>
        <v>0</v>
      </c>
      <c r="AT61" s="101">
        <f t="shared" si="73"/>
        <v>0</v>
      </c>
      <c r="AU61" s="101">
        <f t="shared" si="73"/>
        <v>0</v>
      </c>
      <c r="AV61" s="101">
        <f t="shared" si="73"/>
        <v>0</v>
      </c>
      <c r="AW61" s="101">
        <f t="shared" si="73"/>
        <v>0</v>
      </c>
      <c r="AX61" s="101">
        <f t="shared" si="73"/>
        <v>0</v>
      </c>
      <c r="AY61" s="101">
        <f t="shared" si="73"/>
        <v>0</v>
      </c>
      <c r="AZ61" s="101">
        <f t="shared" si="71"/>
        <v>0</v>
      </c>
      <c r="BA61" s="101">
        <f t="shared" si="71"/>
        <v>0</v>
      </c>
      <c r="BB61" s="101">
        <f t="shared" si="72"/>
        <v>0</v>
      </c>
      <c r="BC61" s="101">
        <f t="shared" si="72"/>
        <v>0</v>
      </c>
      <c r="BD61" s="101">
        <f t="shared" si="72"/>
        <v>0</v>
      </c>
      <c r="BE61" s="101">
        <f t="shared" si="72"/>
        <v>0</v>
      </c>
      <c r="BF61" s="101">
        <f t="shared" si="72"/>
        <v>0</v>
      </c>
      <c r="BG61" s="101">
        <f t="shared" si="72"/>
        <v>0</v>
      </c>
      <c r="BH61" s="101">
        <f t="shared" si="72"/>
        <v>0</v>
      </c>
      <c r="BI61" s="101">
        <f t="shared" si="72"/>
        <v>0</v>
      </c>
      <c r="BJ61" s="101">
        <f t="shared" si="72"/>
        <v>0</v>
      </c>
      <c r="BK61" s="101">
        <f t="shared" si="72"/>
        <v>0</v>
      </c>
      <c r="BL61" s="101">
        <f t="shared" si="72"/>
        <v>0</v>
      </c>
      <c r="BM61" s="101">
        <f t="shared" si="72"/>
        <v>0</v>
      </c>
      <c r="BN61" s="101">
        <f t="shared" si="72"/>
        <v>0</v>
      </c>
    </row>
    <row r="62" spans="1:66" outlineLevel="1">
      <c r="A62" s="169"/>
      <c r="B62" s="169" t="s">
        <v>265</v>
      </c>
      <c r="C62" s="165" t="s">
        <v>166</v>
      </c>
      <c r="D62" s="122">
        <f>'Butadiene Recycling HC'!C107</f>
        <v>0</v>
      </c>
      <c r="E62" s="122">
        <f>'Butadiene Recycling HC'!D107</f>
        <v>637.99643439202373</v>
      </c>
      <c r="F62" s="122">
        <f>'Butadiene Recycling HC'!E107</f>
        <v>1262.0475915295765</v>
      </c>
      <c r="G62" s="122">
        <f>'Butadiene Recycling HC'!F107</f>
        <v>1872.1534714126583</v>
      </c>
      <c r="H62" s="122">
        <f>'Butadiene Recycling HC'!G107</f>
        <v>2468.3140740412691</v>
      </c>
      <c r="I62" s="122">
        <f>'Butadiene Recycling HC'!H107</f>
        <v>3050.5293994154126</v>
      </c>
      <c r="J62" s="122">
        <f>'Butadiene Recycling HC'!I107</f>
        <v>3618.7994475350824</v>
      </c>
      <c r="K62" s="122">
        <f>'Butadiene Recycling HC'!J107</f>
        <v>4173.1242184002822</v>
      </c>
      <c r="L62" s="122">
        <f>'Butadiene Recycling HC'!K107</f>
        <v>4713.5037120110155</v>
      </c>
      <c r="M62" s="122">
        <f>'Butadiene Recycling HC'!L107</f>
        <v>5239.9379283672733</v>
      </c>
      <c r="N62" s="122">
        <f>'Butadiene Recycling HC'!M107</f>
        <v>5752.4268674690647</v>
      </c>
      <c r="O62" s="122">
        <f>'Butadiene Recycling HC'!N107</f>
        <v>6250.9705293163825</v>
      </c>
      <c r="P62" s="122">
        <f>'Butadiene Recycling HC'!O107</f>
        <v>6735.5689139092319</v>
      </c>
      <c r="Q62" s="122">
        <f>'Butadiene Recycling HC'!P107</f>
        <v>7139.069235892568</v>
      </c>
      <c r="R62" s="122">
        <f>'Butadiene Recycling HC'!Q107</f>
        <v>7523.6918360565305</v>
      </c>
      <c r="S62" s="122">
        <f>'Butadiene Recycling HC'!R107</f>
        <v>7889.6626278926378</v>
      </c>
      <c r="T62" s="122">
        <f>'Butadiene Recycling HC'!S107</f>
        <v>8237.207524892412</v>
      </c>
      <c r="U62" s="122">
        <f>'Butadiene Recycling HC'!T107</f>
        <v>8566.5524405473789</v>
      </c>
      <c r="V62" s="122">
        <f>'Butadiene Recycling HC'!U107</f>
        <v>8877.9232883490586</v>
      </c>
      <c r="W62" s="122">
        <f>'Butadiene Recycling HC'!V107</f>
        <v>9171.545981788975</v>
      </c>
      <c r="X62" s="122">
        <f>'Butadiene Recycling HC'!W107</f>
        <v>9447.6464343586467</v>
      </c>
      <c r="Y62" s="122">
        <f>'Butadiene Recycling HC'!X107</f>
        <v>9706.4505595495957</v>
      </c>
      <c r="Z62" s="122">
        <f>'Butadiene Recycling HC'!Y107</f>
        <v>9948.184270853355</v>
      </c>
      <c r="AA62" s="122">
        <f>'Butadiene Recycling HC'!Z107</f>
        <v>9996.2208701479649</v>
      </c>
      <c r="AB62" s="122">
        <f>'Butadiene Recycling HC'!AA107</f>
        <v>10020.786173295575</v>
      </c>
      <c r="AC62" s="122">
        <f>'Butadiene Recycling HC'!AB107</f>
        <v>10022.557920770761</v>
      </c>
      <c r="AD62" s="122">
        <f>'Butadiene Recycling HC'!AC107</f>
        <v>10002.213853048073</v>
      </c>
      <c r="AE62" s="122">
        <f>'Butadiene Recycling HC'!AD107</f>
        <v>9960.4317106020917</v>
      </c>
      <c r="AF62" s="122">
        <f>'Butadiene Recycling HC'!AE107</f>
        <v>9897.8892339073773</v>
      </c>
      <c r="AG62" s="122">
        <f>'Butadiene Recycling HC'!AF107</f>
        <v>9815.2641634385072</v>
      </c>
      <c r="AH62" s="122">
        <f>'Butadiene Recycling HC'!AG107</f>
        <v>9713.2342396700351</v>
      </c>
      <c r="AI62" s="191"/>
      <c r="AJ62" s="101">
        <f t="shared" si="73"/>
        <v>0</v>
      </c>
      <c r="AK62" s="101">
        <f t="shared" si="73"/>
        <v>637.99643439202373</v>
      </c>
      <c r="AL62" s="101">
        <f t="shared" si="73"/>
        <v>1262.0475915295765</v>
      </c>
      <c r="AM62" s="101">
        <f t="shared" si="73"/>
        <v>1872.1534714126583</v>
      </c>
      <c r="AN62" s="101">
        <f t="shared" si="73"/>
        <v>2468.3140740412691</v>
      </c>
      <c r="AO62" s="101">
        <f t="shared" si="73"/>
        <v>3050.5293994154126</v>
      </c>
      <c r="AP62" s="101">
        <f t="shared" si="73"/>
        <v>3618.7994475350824</v>
      </c>
      <c r="AQ62" s="101">
        <f t="shared" si="73"/>
        <v>4173.1242184002822</v>
      </c>
      <c r="AR62" s="101">
        <f t="shared" si="73"/>
        <v>4713.5037120110155</v>
      </c>
      <c r="AS62" s="101">
        <f t="shared" si="73"/>
        <v>5239.9379283672733</v>
      </c>
      <c r="AT62" s="101">
        <f t="shared" si="73"/>
        <v>5752.4268674690647</v>
      </c>
      <c r="AU62" s="101">
        <f t="shared" si="73"/>
        <v>6250.9705293163825</v>
      </c>
      <c r="AV62" s="101">
        <f t="shared" si="73"/>
        <v>6735.5689139092319</v>
      </c>
      <c r="AW62" s="101">
        <f t="shared" si="73"/>
        <v>7139.069235892568</v>
      </c>
      <c r="AX62" s="101">
        <f t="shared" si="73"/>
        <v>7523.6918360565305</v>
      </c>
      <c r="AY62" s="101">
        <f t="shared" si="73"/>
        <v>7889.6626278926378</v>
      </c>
      <c r="AZ62" s="101">
        <f t="shared" si="71"/>
        <v>8237.207524892412</v>
      </c>
      <c r="BA62" s="101">
        <f t="shared" si="71"/>
        <v>8566.5524405473789</v>
      </c>
      <c r="BB62" s="101">
        <f t="shared" si="72"/>
        <v>8877.9232883490586</v>
      </c>
      <c r="BC62" s="101">
        <f t="shared" si="72"/>
        <v>9171.545981788975</v>
      </c>
      <c r="BD62" s="101">
        <f t="shared" si="72"/>
        <v>9447.6464343586467</v>
      </c>
      <c r="BE62" s="101">
        <f t="shared" si="72"/>
        <v>9706.4505595495957</v>
      </c>
      <c r="BF62" s="101">
        <f t="shared" si="72"/>
        <v>9948.184270853355</v>
      </c>
      <c r="BG62" s="101">
        <f t="shared" si="72"/>
        <v>9996.2208701479649</v>
      </c>
      <c r="BH62" s="101">
        <f t="shared" si="72"/>
        <v>10020.786173295575</v>
      </c>
      <c r="BI62" s="101">
        <f t="shared" si="72"/>
        <v>10022.557920770761</v>
      </c>
      <c r="BJ62" s="101">
        <f t="shared" si="72"/>
        <v>10002.213853048073</v>
      </c>
      <c r="BK62" s="101">
        <f t="shared" si="72"/>
        <v>9960.4317106020917</v>
      </c>
      <c r="BL62" s="101">
        <f t="shared" si="72"/>
        <v>9897.8892339073773</v>
      </c>
      <c r="BM62" s="101">
        <f t="shared" si="72"/>
        <v>9815.2641634385072</v>
      </c>
      <c r="BN62" s="101">
        <f t="shared" si="72"/>
        <v>9713.2342396700351</v>
      </c>
    </row>
    <row r="63" spans="1:66" outlineLevel="1">
      <c r="A63" s="169"/>
      <c r="B63" s="169" t="s">
        <v>1187</v>
      </c>
      <c r="C63" s="165" t="s">
        <v>166</v>
      </c>
      <c r="D63" s="122">
        <f>'Butadiene Recycling HC'!C137</f>
        <v>0</v>
      </c>
      <c r="E63" s="122">
        <f>'Butadiene Recycling HC'!D137</f>
        <v>0</v>
      </c>
      <c r="F63" s="122">
        <f>'Butadiene Recycling HC'!E137</f>
        <v>0</v>
      </c>
      <c r="G63" s="122">
        <f>'Butadiene Recycling HC'!F137</f>
        <v>0</v>
      </c>
      <c r="H63" s="122">
        <f>'Butadiene Recycling HC'!G137</f>
        <v>0</v>
      </c>
      <c r="I63" s="122">
        <f>'Butadiene Recycling HC'!H137</f>
        <v>0</v>
      </c>
      <c r="J63" s="122">
        <f>'Butadiene Recycling HC'!I137</f>
        <v>0</v>
      </c>
      <c r="K63" s="122">
        <f>'Butadiene Recycling HC'!J137</f>
        <v>0</v>
      </c>
      <c r="L63" s="122">
        <f>'Butadiene Recycling HC'!K137</f>
        <v>0</v>
      </c>
      <c r="M63" s="122">
        <f>'Butadiene Recycling HC'!L137</f>
        <v>0</v>
      </c>
      <c r="N63" s="122">
        <f>'Butadiene Recycling HC'!M137</f>
        <v>0</v>
      </c>
      <c r="O63" s="122">
        <f>'Butadiene Recycling HC'!N137</f>
        <v>0</v>
      </c>
      <c r="P63" s="122">
        <f>'Butadiene Recycling HC'!O137</f>
        <v>0</v>
      </c>
      <c r="Q63" s="122">
        <f>'Butadiene Recycling HC'!P137</f>
        <v>0</v>
      </c>
      <c r="R63" s="122">
        <f>'Butadiene Recycling HC'!Q137</f>
        <v>0</v>
      </c>
      <c r="S63" s="122">
        <f>'Butadiene Recycling HC'!R137</f>
        <v>0</v>
      </c>
      <c r="T63" s="122">
        <f>'Butadiene Recycling HC'!S137</f>
        <v>0</v>
      </c>
      <c r="U63" s="122">
        <f>'Butadiene Recycling HC'!T137</f>
        <v>0</v>
      </c>
      <c r="V63" s="122">
        <f>'Butadiene Recycling HC'!U137</f>
        <v>0</v>
      </c>
      <c r="W63" s="122">
        <f>'Butadiene Recycling HC'!V137</f>
        <v>0</v>
      </c>
      <c r="X63" s="122">
        <f>'Butadiene Recycling HC'!W137</f>
        <v>0</v>
      </c>
      <c r="Y63" s="122">
        <f>'Butadiene Recycling HC'!X137</f>
        <v>0</v>
      </c>
      <c r="Z63" s="122">
        <f>'Butadiene Recycling HC'!Y137</f>
        <v>0</v>
      </c>
      <c r="AA63" s="122">
        <f>'Butadiene Recycling HC'!Z137</f>
        <v>0</v>
      </c>
      <c r="AB63" s="122">
        <f>'Butadiene Recycling HC'!AA137</f>
        <v>0</v>
      </c>
      <c r="AC63" s="122">
        <f>'Butadiene Recycling HC'!AB137</f>
        <v>0</v>
      </c>
      <c r="AD63" s="122">
        <f>'Butadiene Recycling HC'!AC137</f>
        <v>0</v>
      </c>
      <c r="AE63" s="122">
        <f>'Butadiene Recycling HC'!AD137</f>
        <v>0</v>
      </c>
      <c r="AF63" s="122">
        <f>'Butadiene Recycling HC'!AE137</f>
        <v>0</v>
      </c>
      <c r="AG63" s="122">
        <f>'Butadiene Recycling HC'!AF137</f>
        <v>0</v>
      </c>
      <c r="AH63" s="122">
        <f>'Butadiene Recycling HC'!AG137</f>
        <v>0</v>
      </c>
      <c r="AI63" s="191"/>
      <c r="AJ63" s="101">
        <f t="shared" si="73"/>
        <v>0</v>
      </c>
      <c r="AK63" s="101">
        <f t="shared" si="73"/>
        <v>0</v>
      </c>
      <c r="AL63" s="101">
        <f t="shared" si="73"/>
        <v>0</v>
      </c>
      <c r="AM63" s="101">
        <f t="shared" si="73"/>
        <v>0</v>
      </c>
      <c r="AN63" s="101">
        <f t="shared" si="73"/>
        <v>0</v>
      </c>
      <c r="AO63" s="101">
        <f t="shared" si="73"/>
        <v>0</v>
      </c>
      <c r="AP63" s="101">
        <f t="shared" si="73"/>
        <v>0</v>
      </c>
      <c r="AQ63" s="101">
        <f t="shared" si="73"/>
        <v>0</v>
      </c>
      <c r="AR63" s="101">
        <f t="shared" si="73"/>
        <v>0</v>
      </c>
      <c r="AS63" s="101">
        <f t="shared" si="73"/>
        <v>0</v>
      </c>
      <c r="AT63" s="101">
        <f t="shared" si="73"/>
        <v>0</v>
      </c>
      <c r="AU63" s="101">
        <f t="shared" si="73"/>
        <v>0</v>
      </c>
      <c r="AV63" s="101">
        <f t="shared" si="73"/>
        <v>0</v>
      </c>
      <c r="AW63" s="101">
        <f t="shared" si="73"/>
        <v>0</v>
      </c>
      <c r="AX63" s="101">
        <f t="shared" si="73"/>
        <v>0</v>
      </c>
      <c r="AY63" s="101">
        <f t="shared" si="73"/>
        <v>0</v>
      </c>
      <c r="AZ63" s="101">
        <f t="shared" si="71"/>
        <v>0</v>
      </c>
      <c r="BA63" s="101">
        <f t="shared" si="71"/>
        <v>0</v>
      </c>
      <c r="BB63" s="101">
        <f t="shared" si="72"/>
        <v>0</v>
      </c>
      <c r="BC63" s="101">
        <f t="shared" si="72"/>
        <v>0</v>
      </c>
      <c r="BD63" s="101">
        <f t="shared" si="72"/>
        <v>0</v>
      </c>
      <c r="BE63" s="101">
        <f t="shared" si="72"/>
        <v>0</v>
      </c>
      <c r="BF63" s="101">
        <f t="shared" si="72"/>
        <v>0</v>
      </c>
      <c r="BG63" s="101">
        <f t="shared" si="72"/>
        <v>0</v>
      </c>
      <c r="BH63" s="101">
        <f t="shared" si="72"/>
        <v>0</v>
      </c>
      <c r="BI63" s="101">
        <f t="shared" si="72"/>
        <v>0</v>
      </c>
      <c r="BJ63" s="101">
        <f t="shared" si="72"/>
        <v>0</v>
      </c>
      <c r="BK63" s="101">
        <f t="shared" si="72"/>
        <v>0</v>
      </c>
      <c r="BL63" s="101">
        <f t="shared" si="72"/>
        <v>0</v>
      </c>
      <c r="BM63" s="101">
        <f t="shared" si="72"/>
        <v>0</v>
      </c>
      <c r="BN63" s="101">
        <f t="shared" si="72"/>
        <v>0</v>
      </c>
    </row>
    <row r="64" spans="1:66" outlineLevel="1">
      <c r="A64" s="224"/>
      <c r="B64" s="224" t="s">
        <v>263</v>
      </c>
      <c r="C64" s="225" t="s">
        <v>166</v>
      </c>
      <c r="D64" s="620">
        <f>D59-D60-D61-D62-D63</f>
        <v>10097.623110892866</v>
      </c>
      <c r="E64" s="620">
        <f t="shared" ref="E64:AG64" si="74">E59-E60-E61-E62-E63</f>
        <v>9265.4209711018084</v>
      </c>
      <c r="F64" s="620">
        <f t="shared" si="74"/>
        <v>8447.1641085652227</v>
      </c>
      <c r="G64" s="620">
        <f t="shared" si="74"/>
        <v>7642.8525232831062</v>
      </c>
      <c r="H64" s="620">
        <f t="shared" si="74"/>
        <v>6852.4862152554615</v>
      </c>
      <c r="I64" s="620">
        <f t="shared" si="74"/>
        <v>6076.0651844822842</v>
      </c>
      <c r="J64" s="620">
        <f t="shared" si="74"/>
        <v>5313.5894309635805</v>
      </c>
      <c r="K64" s="620">
        <f t="shared" si="74"/>
        <v>4565.0589546993451</v>
      </c>
      <c r="L64" s="620">
        <f t="shared" si="74"/>
        <v>3830.473755689578</v>
      </c>
      <c r="M64" s="620">
        <f t="shared" si="74"/>
        <v>3109.8338339342863</v>
      </c>
      <c r="N64" s="620">
        <f t="shared" si="74"/>
        <v>2403.139189433462</v>
      </c>
      <c r="O64" s="620">
        <f t="shared" si="74"/>
        <v>1710.3898221871104</v>
      </c>
      <c r="P64" s="620">
        <f t="shared" si="74"/>
        <v>1031.5857321952262</v>
      </c>
      <c r="Q64" s="620">
        <f t="shared" si="74"/>
        <v>433.87970481285629</v>
      </c>
      <c r="R64" s="620">
        <f t="shared" si="74"/>
        <v>-144.94860075014094</v>
      </c>
      <c r="S64" s="620">
        <f t="shared" si="74"/>
        <v>-705.12509798528117</v>
      </c>
      <c r="T64" s="620">
        <f t="shared" si="74"/>
        <v>-1246.8757003840901</v>
      </c>
      <c r="U64" s="620">
        <f t="shared" si="74"/>
        <v>-1770.4263214380899</v>
      </c>
      <c r="V64" s="620">
        <f t="shared" si="74"/>
        <v>-2276.0028746388043</v>
      </c>
      <c r="W64" s="620">
        <f t="shared" si="74"/>
        <v>-2763.8312734777546</v>
      </c>
      <c r="X64" s="620">
        <f t="shared" si="74"/>
        <v>-3234.1374314464611</v>
      </c>
      <c r="Y64" s="620">
        <f t="shared" si="74"/>
        <v>-3692.7009547474354</v>
      </c>
      <c r="Z64" s="620">
        <f t="shared" si="74"/>
        <v>-4134.1940641612191</v>
      </c>
      <c r="AA64" s="620">
        <f t="shared" si="74"/>
        <v>-4381.9900615658535</v>
      </c>
      <c r="AB64" s="620">
        <f t="shared" si="74"/>
        <v>-4606.3147628234892</v>
      </c>
      <c r="AC64" s="620">
        <f t="shared" si="74"/>
        <v>-4807.8459084087008</v>
      </c>
      <c r="AD64" s="620">
        <f t="shared" si="74"/>
        <v>-4987.261238796038</v>
      </c>
      <c r="AE64" s="620">
        <f t="shared" si="74"/>
        <v>-5145.2384944600817</v>
      </c>
      <c r="AF64" s="620">
        <f t="shared" si="74"/>
        <v>-5282.4554158753908</v>
      </c>
      <c r="AG64" s="620">
        <f t="shared" si="74"/>
        <v>-5399.5897435165462</v>
      </c>
      <c r="AH64" s="620">
        <f>AH59-AH60-AH61-AH62-AH63</f>
        <v>-5497.3192178580994</v>
      </c>
      <c r="AI64" s="191"/>
      <c r="AJ64" s="620">
        <f>AJ59-AJ60-AJ61-AJ62-AJ63</f>
        <v>10097.623110892866</v>
      </c>
      <c r="AK64" s="620">
        <f t="shared" ref="AK64:BN64" si="75">AK59-AK60-AK61-AK62-AK63</f>
        <v>9375.3840867794315</v>
      </c>
      <c r="AL64" s="620">
        <f t="shared" si="75"/>
        <v>8667.090339920469</v>
      </c>
      <c r="AM64" s="620">
        <f t="shared" si="75"/>
        <v>7972.7418703159756</v>
      </c>
      <c r="AN64" s="620">
        <f t="shared" si="75"/>
        <v>7292.338677965954</v>
      </c>
      <c r="AO64" s="620">
        <f t="shared" si="75"/>
        <v>6625.8807628703998</v>
      </c>
      <c r="AP64" s="620">
        <f t="shared" si="75"/>
        <v>5973.3681250293212</v>
      </c>
      <c r="AQ64" s="620">
        <f t="shared" si="75"/>
        <v>5334.8007644427089</v>
      </c>
      <c r="AR64" s="620">
        <f t="shared" si="75"/>
        <v>4710.1786811105649</v>
      </c>
      <c r="AS64" s="620">
        <f t="shared" si="75"/>
        <v>4099.5018750328964</v>
      </c>
      <c r="AT64" s="620">
        <f t="shared" si="75"/>
        <v>3502.7703462096961</v>
      </c>
      <c r="AU64" s="620">
        <f t="shared" si="75"/>
        <v>2919.9840946409658</v>
      </c>
      <c r="AV64" s="620">
        <f t="shared" si="75"/>
        <v>2351.1431203267057</v>
      </c>
      <c r="AW64" s="620">
        <f t="shared" si="75"/>
        <v>1863.4002086219589</v>
      </c>
      <c r="AX64" s="620">
        <f t="shared" si="75"/>
        <v>1394.5350187365875</v>
      </c>
      <c r="AY64" s="620">
        <f t="shared" si="75"/>
        <v>944.32163717906769</v>
      </c>
      <c r="AZ64" s="620">
        <f t="shared" si="75"/>
        <v>512.53415045788279</v>
      </c>
      <c r="BA64" s="620">
        <f t="shared" si="75"/>
        <v>98.946645081507086</v>
      </c>
      <c r="BB64" s="620">
        <f t="shared" si="75"/>
        <v>-296.66679244158513</v>
      </c>
      <c r="BC64" s="620">
        <f t="shared" si="75"/>
        <v>-674.5320756029123</v>
      </c>
      <c r="BD64" s="620">
        <f t="shared" si="75"/>
        <v>-1034.8751178939947</v>
      </c>
      <c r="BE64" s="620">
        <f t="shared" si="75"/>
        <v>-1380.1433098907492</v>
      </c>
      <c r="BF64" s="620">
        <f t="shared" si="75"/>
        <v>-1708.3410880003157</v>
      </c>
      <c r="BG64" s="620">
        <f t="shared" si="75"/>
        <v>-1842.841754100732</v>
      </c>
      <c r="BH64" s="620">
        <f t="shared" si="75"/>
        <v>-1953.8711240541506</v>
      </c>
      <c r="BI64" s="620">
        <f t="shared" si="75"/>
        <v>-2042.1069383351442</v>
      </c>
      <c r="BJ64" s="620">
        <f t="shared" si="75"/>
        <v>-2108.2269374182633</v>
      </c>
      <c r="BK64" s="620">
        <f t="shared" si="75"/>
        <v>-2152.908861778089</v>
      </c>
      <c r="BL64" s="620">
        <f t="shared" si="75"/>
        <v>-2176.8304518891809</v>
      </c>
      <c r="BM64" s="620">
        <f t="shared" si="75"/>
        <v>-2180.6694482261173</v>
      </c>
      <c r="BN64" s="620">
        <f t="shared" si="75"/>
        <v>-2165.1035912634534</v>
      </c>
    </row>
    <row r="65" spans="1:67" outlineLevel="1">
      <c r="A65" s="167" t="s">
        <v>304</v>
      </c>
      <c r="B65" s="226" t="s">
        <v>195</v>
      </c>
      <c r="C65" s="227" t="s">
        <v>166</v>
      </c>
      <c r="D65" s="606">
        <f t="shared" ref="D65:AH65" si="76">D39+D42</f>
        <v>25253.845689000016</v>
      </c>
      <c r="E65" s="606">
        <f t="shared" si="76"/>
        <v>25087.170307452619</v>
      </c>
      <c r="F65" s="606">
        <f t="shared" si="76"/>
        <v>24920.494925905215</v>
      </c>
      <c r="G65" s="606">
        <f t="shared" si="76"/>
        <v>24753.819544357819</v>
      </c>
      <c r="H65" s="606">
        <f t="shared" si="76"/>
        <v>24587.144162810415</v>
      </c>
      <c r="I65" s="606">
        <f t="shared" si="76"/>
        <v>24420.468781263018</v>
      </c>
      <c r="J65" s="606">
        <f t="shared" si="76"/>
        <v>24253.793399715614</v>
      </c>
      <c r="K65" s="606">
        <f t="shared" si="76"/>
        <v>24087.118018168218</v>
      </c>
      <c r="L65" s="606">
        <f t="shared" si="76"/>
        <v>23920.442636620814</v>
      </c>
      <c r="M65" s="606">
        <f t="shared" si="76"/>
        <v>23753.767255073417</v>
      </c>
      <c r="N65" s="606">
        <f t="shared" si="76"/>
        <v>23587.091873526013</v>
      </c>
      <c r="O65" s="606">
        <f t="shared" si="76"/>
        <v>23420.416491978616</v>
      </c>
      <c r="P65" s="606">
        <f t="shared" si="76"/>
        <v>23253.741110431212</v>
      </c>
      <c r="Q65" s="606">
        <f t="shared" si="76"/>
        <v>23087.065728883816</v>
      </c>
      <c r="R65" s="606">
        <f t="shared" si="76"/>
        <v>22920.390347336415</v>
      </c>
      <c r="S65" s="606">
        <f t="shared" si="76"/>
        <v>22753.714965789015</v>
      </c>
      <c r="T65" s="606">
        <f t="shared" si="76"/>
        <v>22587.039584241615</v>
      </c>
      <c r="U65" s="606">
        <f t="shared" si="76"/>
        <v>22420.364202694214</v>
      </c>
      <c r="V65" s="606">
        <f t="shared" si="76"/>
        <v>22253.688821146814</v>
      </c>
      <c r="W65" s="606">
        <f t="shared" si="76"/>
        <v>22087.013439599414</v>
      </c>
      <c r="X65" s="606">
        <f t="shared" si="76"/>
        <v>21920.338058052013</v>
      </c>
      <c r="Y65" s="606">
        <f t="shared" si="76"/>
        <v>21748.611907366816</v>
      </c>
      <c r="Z65" s="606">
        <f t="shared" si="76"/>
        <v>21576.885756681611</v>
      </c>
      <c r="AA65" s="606">
        <f t="shared" si="76"/>
        <v>21405.159605996414</v>
      </c>
      <c r="AB65" s="606">
        <f t="shared" si="76"/>
        <v>21233.433455311213</v>
      </c>
      <c r="AC65" s="606">
        <f t="shared" si="76"/>
        <v>21061.707304626012</v>
      </c>
      <c r="AD65" s="606">
        <f t="shared" si="76"/>
        <v>20889.981153940815</v>
      </c>
      <c r="AE65" s="606">
        <f t="shared" si="76"/>
        <v>20718.255003255614</v>
      </c>
      <c r="AF65" s="606">
        <f t="shared" si="76"/>
        <v>20546.528852570413</v>
      </c>
      <c r="AG65" s="606">
        <f t="shared" si="76"/>
        <v>20374.802701885212</v>
      </c>
      <c r="AH65" s="606">
        <f t="shared" si="76"/>
        <v>20203.076551200014</v>
      </c>
      <c r="AI65" s="643"/>
      <c r="AJ65" s="606">
        <f t="shared" ref="AJ65:BN65" si="77">AJ39+AJ42</f>
        <v>25253.845689000016</v>
      </c>
      <c r="AK65" s="606">
        <f t="shared" si="77"/>
        <v>25170.507998226316</v>
      </c>
      <c r="AL65" s="606">
        <f t="shared" si="77"/>
        <v>25087.170307452619</v>
      </c>
      <c r="AM65" s="606">
        <f t="shared" si="77"/>
        <v>25003.832616678916</v>
      </c>
      <c r="AN65" s="606">
        <f t="shared" si="77"/>
        <v>24920.494925905215</v>
      </c>
      <c r="AO65" s="606">
        <f t="shared" si="77"/>
        <v>24837.157235131515</v>
      </c>
      <c r="AP65" s="606">
        <f t="shared" si="77"/>
        <v>24753.819544357819</v>
      </c>
      <c r="AQ65" s="606">
        <f t="shared" si="77"/>
        <v>24670.481853584115</v>
      </c>
      <c r="AR65" s="606">
        <f t="shared" si="77"/>
        <v>24587.144162810415</v>
      </c>
      <c r="AS65" s="606">
        <f t="shared" si="77"/>
        <v>24503.806472036715</v>
      </c>
      <c r="AT65" s="606">
        <f t="shared" si="77"/>
        <v>24420.468781263018</v>
      </c>
      <c r="AU65" s="606">
        <f t="shared" si="77"/>
        <v>24337.131090489314</v>
      </c>
      <c r="AV65" s="606">
        <f t="shared" si="77"/>
        <v>24253.793399715614</v>
      </c>
      <c r="AW65" s="606">
        <f t="shared" si="77"/>
        <v>24170.455708941918</v>
      </c>
      <c r="AX65" s="606">
        <f t="shared" si="77"/>
        <v>24087.118018168218</v>
      </c>
      <c r="AY65" s="606">
        <f t="shared" si="77"/>
        <v>24003.780327394514</v>
      </c>
      <c r="AZ65" s="606">
        <f t="shared" si="77"/>
        <v>23920.442636620814</v>
      </c>
      <c r="BA65" s="606">
        <f t="shared" si="77"/>
        <v>23837.104945847117</v>
      </c>
      <c r="BB65" s="606">
        <f t="shared" si="77"/>
        <v>23753.767255073417</v>
      </c>
      <c r="BC65" s="606">
        <f t="shared" si="77"/>
        <v>23670.429564299713</v>
      </c>
      <c r="BD65" s="606">
        <f t="shared" si="77"/>
        <v>23587.091873526013</v>
      </c>
      <c r="BE65" s="606">
        <f t="shared" si="77"/>
        <v>23501.228798183416</v>
      </c>
      <c r="BF65" s="606">
        <f t="shared" si="77"/>
        <v>23415.365722840816</v>
      </c>
      <c r="BG65" s="606">
        <f t="shared" si="77"/>
        <v>23329.502647498211</v>
      </c>
      <c r="BH65" s="606">
        <f t="shared" si="77"/>
        <v>23243.639572155615</v>
      </c>
      <c r="BI65" s="606">
        <f t="shared" si="77"/>
        <v>23157.776496813014</v>
      </c>
      <c r="BJ65" s="606">
        <f t="shared" si="77"/>
        <v>23071.913421470414</v>
      </c>
      <c r="BK65" s="606">
        <f t="shared" si="77"/>
        <v>22986.050346127817</v>
      </c>
      <c r="BL65" s="606">
        <f t="shared" si="77"/>
        <v>22900.187270785213</v>
      </c>
      <c r="BM65" s="606">
        <f t="shared" si="77"/>
        <v>22814.324195442616</v>
      </c>
      <c r="BN65" s="606">
        <f t="shared" si="77"/>
        <v>22728.461120100015</v>
      </c>
    </row>
    <row r="66" spans="1:67" outlineLevel="1">
      <c r="A66" s="167"/>
      <c r="B66" s="169" t="s">
        <v>262</v>
      </c>
      <c r="C66" s="165" t="s">
        <v>166</v>
      </c>
      <c r="D66" s="122">
        <f>'Butadiene Recycling HC'!C157</f>
        <v>0</v>
      </c>
      <c r="E66" s="122">
        <f>'Butadiene Recycling HC'!D157</f>
        <v>0</v>
      </c>
      <c r="F66" s="122">
        <f>'Butadiene Recycling HC'!E157</f>
        <v>0</v>
      </c>
      <c r="G66" s="122">
        <f>'Butadiene Recycling HC'!F157</f>
        <v>0</v>
      </c>
      <c r="H66" s="122">
        <f>'Butadiene Recycling HC'!G157</f>
        <v>0</v>
      </c>
      <c r="I66" s="122">
        <f>'Butadiene Recycling HC'!H157</f>
        <v>0</v>
      </c>
      <c r="J66" s="122">
        <f>'Butadiene Recycling HC'!I157</f>
        <v>0</v>
      </c>
      <c r="K66" s="122">
        <f>'Butadiene Recycling HC'!J157</f>
        <v>0</v>
      </c>
      <c r="L66" s="122">
        <f>'Butadiene Recycling HC'!K157</f>
        <v>0</v>
      </c>
      <c r="M66" s="122">
        <f>'Butadiene Recycling HC'!L157</f>
        <v>0</v>
      </c>
      <c r="N66" s="122">
        <f>'Butadiene Recycling HC'!M157</f>
        <v>0</v>
      </c>
      <c r="O66" s="122">
        <f>'Butadiene Recycling HC'!N157</f>
        <v>0</v>
      </c>
      <c r="P66" s="122">
        <f>'Butadiene Recycling HC'!O157</f>
        <v>0</v>
      </c>
      <c r="Q66" s="122">
        <f>'Butadiene Recycling HC'!P157</f>
        <v>0</v>
      </c>
      <c r="R66" s="122">
        <f>'Butadiene Recycling HC'!Q157</f>
        <v>0</v>
      </c>
      <c r="S66" s="122">
        <f>'Butadiene Recycling HC'!R157</f>
        <v>0</v>
      </c>
      <c r="T66" s="122">
        <f>'Butadiene Recycling HC'!S157</f>
        <v>0</v>
      </c>
      <c r="U66" s="122">
        <f>'Butadiene Recycling HC'!T157</f>
        <v>0</v>
      </c>
      <c r="V66" s="122">
        <f>'Butadiene Recycling HC'!U157</f>
        <v>0</v>
      </c>
      <c r="W66" s="122">
        <f>'Butadiene Recycling HC'!V157</f>
        <v>0</v>
      </c>
      <c r="X66" s="122">
        <f>'Butadiene Recycling HC'!W157</f>
        <v>0</v>
      </c>
      <c r="Y66" s="122">
        <f>'Butadiene Recycling HC'!X157</f>
        <v>0</v>
      </c>
      <c r="Z66" s="122">
        <f>'Butadiene Recycling HC'!Y157</f>
        <v>0</v>
      </c>
      <c r="AA66" s="122">
        <f>'Butadiene Recycling HC'!Z157</f>
        <v>0</v>
      </c>
      <c r="AB66" s="122">
        <f>'Butadiene Recycling HC'!AA157</f>
        <v>0</v>
      </c>
      <c r="AC66" s="122">
        <f>'Butadiene Recycling HC'!AB157</f>
        <v>0</v>
      </c>
      <c r="AD66" s="122">
        <f>'Butadiene Recycling HC'!AC157</f>
        <v>0</v>
      </c>
      <c r="AE66" s="122">
        <f>'Butadiene Recycling HC'!AD157</f>
        <v>0</v>
      </c>
      <c r="AF66" s="122">
        <f>'Butadiene Recycling HC'!AE157</f>
        <v>0</v>
      </c>
      <c r="AG66" s="122">
        <f>'Butadiene Recycling HC'!AF157</f>
        <v>0</v>
      </c>
      <c r="AH66" s="122">
        <f>'Butadiene Recycling HC'!AG157</f>
        <v>0</v>
      </c>
      <c r="AI66" s="191"/>
      <c r="AJ66" s="122">
        <f>D66</f>
        <v>0</v>
      </c>
      <c r="AK66" s="122">
        <f t="shared" ref="AK66:AZ69" si="78">E66</f>
        <v>0</v>
      </c>
      <c r="AL66" s="122">
        <f t="shared" si="78"/>
        <v>0</v>
      </c>
      <c r="AM66" s="122">
        <f t="shared" si="78"/>
        <v>0</v>
      </c>
      <c r="AN66" s="122">
        <f t="shared" si="78"/>
        <v>0</v>
      </c>
      <c r="AO66" s="122">
        <f t="shared" si="78"/>
        <v>0</v>
      </c>
      <c r="AP66" s="122">
        <f t="shared" si="78"/>
        <v>0</v>
      </c>
      <c r="AQ66" s="122">
        <f t="shared" si="78"/>
        <v>0</v>
      </c>
      <c r="AR66" s="122">
        <f t="shared" si="78"/>
        <v>0</v>
      </c>
      <c r="AS66" s="122">
        <f t="shared" si="78"/>
        <v>0</v>
      </c>
      <c r="AT66" s="122">
        <f t="shared" si="78"/>
        <v>0</v>
      </c>
      <c r="AU66" s="122">
        <f t="shared" si="78"/>
        <v>0</v>
      </c>
      <c r="AV66" s="122">
        <f t="shared" si="78"/>
        <v>0</v>
      </c>
      <c r="AW66" s="122">
        <f t="shared" si="78"/>
        <v>0</v>
      </c>
      <c r="AX66" s="122">
        <f t="shared" si="78"/>
        <v>0</v>
      </c>
      <c r="AY66" s="122">
        <f t="shared" si="78"/>
        <v>0</v>
      </c>
      <c r="AZ66" s="122">
        <f t="shared" si="78"/>
        <v>0</v>
      </c>
      <c r="BA66" s="122">
        <f t="shared" ref="BA66:BN69" si="79">U66</f>
        <v>0</v>
      </c>
      <c r="BB66" s="122">
        <f t="shared" si="79"/>
        <v>0</v>
      </c>
      <c r="BC66" s="122">
        <f t="shared" si="79"/>
        <v>0</v>
      </c>
      <c r="BD66" s="122">
        <f t="shared" si="79"/>
        <v>0</v>
      </c>
      <c r="BE66" s="122">
        <f t="shared" si="79"/>
        <v>0</v>
      </c>
      <c r="BF66" s="122">
        <f t="shared" si="79"/>
        <v>0</v>
      </c>
      <c r="BG66" s="122">
        <f t="shared" si="79"/>
        <v>0</v>
      </c>
      <c r="BH66" s="122">
        <f t="shared" si="79"/>
        <v>0</v>
      </c>
      <c r="BI66" s="122">
        <f t="shared" si="79"/>
        <v>0</v>
      </c>
      <c r="BJ66" s="122">
        <f t="shared" si="79"/>
        <v>0</v>
      </c>
      <c r="BK66" s="122">
        <f t="shared" si="79"/>
        <v>0</v>
      </c>
      <c r="BL66" s="122">
        <f t="shared" si="79"/>
        <v>0</v>
      </c>
      <c r="BM66" s="122">
        <f t="shared" si="79"/>
        <v>0</v>
      </c>
      <c r="BN66" s="122">
        <f t="shared" si="79"/>
        <v>0</v>
      </c>
    </row>
    <row r="67" spans="1:67" outlineLevel="1">
      <c r="A67"/>
      <c r="B67" t="s">
        <v>264</v>
      </c>
      <c r="C67" s="51" t="s">
        <v>166</v>
      </c>
      <c r="D67" s="101">
        <f>'Butadiene Recycling HC'!C75</f>
        <v>0</v>
      </c>
      <c r="E67" s="101">
        <f>'Butadiene Recycling HC'!D75</f>
        <v>0</v>
      </c>
      <c r="F67" s="101">
        <f>'Butadiene Recycling HC'!E75</f>
        <v>0</v>
      </c>
      <c r="G67" s="101">
        <f>'Butadiene Recycling HC'!F75</f>
        <v>0</v>
      </c>
      <c r="H67" s="101">
        <f>'Butadiene Recycling HC'!G75</f>
        <v>0</v>
      </c>
      <c r="I67" s="101">
        <f>'Butadiene Recycling HC'!H75</f>
        <v>0</v>
      </c>
      <c r="J67" s="101">
        <f>'Butadiene Recycling HC'!I75</f>
        <v>0</v>
      </c>
      <c r="K67" s="101">
        <f>'Butadiene Recycling HC'!J75</f>
        <v>0</v>
      </c>
      <c r="L67" s="101">
        <f>'Butadiene Recycling HC'!K75</f>
        <v>0</v>
      </c>
      <c r="M67" s="101">
        <f>'Butadiene Recycling HC'!L75</f>
        <v>0</v>
      </c>
      <c r="N67" s="101">
        <f>'Butadiene Recycling HC'!M75</f>
        <v>0</v>
      </c>
      <c r="O67" s="101">
        <f>'Butadiene Recycling HC'!N75</f>
        <v>0</v>
      </c>
      <c r="P67" s="101">
        <f>'Butadiene Recycling HC'!O75</f>
        <v>0</v>
      </c>
      <c r="Q67" s="101">
        <f>'Butadiene Recycling HC'!P75</f>
        <v>0</v>
      </c>
      <c r="R67" s="101">
        <f>'Butadiene Recycling HC'!Q75</f>
        <v>0</v>
      </c>
      <c r="S67" s="101">
        <f>'Butadiene Recycling HC'!R75</f>
        <v>0</v>
      </c>
      <c r="T67" s="101">
        <f>'Butadiene Recycling HC'!S75</f>
        <v>0</v>
      </c>
      <c r="U67" s="101">
        <f>'Butadiene Recycling HC'!T75</f>
        <v>0</v>
      </c>
      <c r="V67" s="101">
        <f>'Butadiene Recycling HC'!U75</f>
        <v>0</v>
      </c>
      <c r="W67" s="101">
        <f>'Butadiene Recycling HC'!V75</f>
        <v>0</v>
      </c>
      <c r="X67" s="101">
        <f>'Butadiene Recycling HC'!W75</f>
        <v>0</v>
      </c>
      <c r="Y67" s="101">
        <f>'Butadiene Recycling HC'!X75</f>
        <v>0</v>
      </c>
      <c r="Z67" s="101">
        <f>'Butadiene Recycling HC'!Y75</f>
        <v>0</v>
      </c>
      <c r="AA67" s="101">
        <f>'Butadiene Recycling HC'!Z75</f>
        <v>0</v>
      </c>
      <c r="AB67" s="101">
        <f>'Butadiene Recycling HC'!AA75</f>
        <v>0</v>
      </c>
      <c r="AC67" s="101">
        <f>'Butadiene Recycling HC'!AB75</f>
        <v>0</v>
      </c>
      <c r="AD67" s="101">
        <f>'Butadiene Recycling HC'!AC75</f>
        <v>0</v>
      </c>
      <c r="AE67" s="101">
        <f>'Butadiene Recycling HC'!AD75</f>
        <v>0</v>
      </c>
      <c r="AF67" s="101">
        <f>'Butadiene Recycling HC'!AE75</f>
        <v>0</v>
      </c>
      <c r="AG67" s="101">
        <f>'Butadiene Recycling HC'!AF75</f>
        <v>0</v>
      </c>
      <c r="AH67" s="101">
        <f>'Butadiene Recycling HC'!AG75</f>
        <v>0</v>
      </c>
      <c r="AI67" s="191"/>
      <c r="AJ67" s="122">
        <f t="shared" ref="AJ67:AJ69" si="80">D67</f>
        <v>0</v>
      </c>
      <c r="AK67" s="122">
        <f t="shared" si="78"/>
        <v>0</v>
      </c>
      <c r="AL67" s="122">
        <f t="shared" si="78"/>
        <v>0</v>
      </c>
      <c r="AM67" s="122">
        <f t="shared" si="78"/>
        <v>0</v>
      </c>
      <c r="AN67" s="122">
        <f t="shared" si="78"/>
        <v>0</v>
      </c>
      <c r="AO67" s="122">
        <f t="shared" si="78"/>
        <v>0</v>
      </c>
      <c r="AP67" s="122">
        <f t="shared" si="78"/>
        <v>0</v>
      </c>
      <c r="AQ67" s="122">
        <f t="shared" si="78"/>
        <v>0</v>
      </c>
      <c r="AR67" s="122">
        <f t="shared" si="78"/>
        <v>0</v>
      </c>
      <c r="AS67" s="122">
        <f t="shared" si="78"/>
        <v>0</v>
      </c>
      <c r="AT67" s="122">
        <f t="shared" si="78"/>
        <v>0</v>
      </c>
      <c r="AU67" s="122">
        <f t="shared" si="78"/>
        <v>0</v>
      </c>
      <c r="AV67" s="122">
        <f t="shared" si="78"/>
        <v>0</v>
      </c>
      <c r="AW67" s="122">
        <f t="shared" si="78"/>
        <v>0</v>
      </c>
      <c r="AX67" s="122">
        <f t="shared" si="78"/>
        <v>0</v>
      </c>
      <c r="AY67" s="122">
        <f t="shared" si="78"/>
        <v>0</v>
      </c>
      <c r="AZ67" s="122">
        <f t="shared" si="78"/>
        <v>0</v>
      </c>
      <c r="BA67" s="122">
        <f t="shared" si="79"/>
        <v>0</v>
      </c>
      <c r="BB67" s="122">
        <f t="shared" si="79"/>
        <v>0</v>
      </c>
      <c r="BC67" s="122">
        <f t="shared" si="79"/>
        <v>0</v>
      </c>
      <c r="BD67" s="122">
        <f t="shared" si="79"/>
        <v>0</v>
      </c>
      <c r="BE67" s="122">
        <f t="shared" si="79"/>
        <v>0</v>
      </c>
      <c r="BF67" s="122">
        <f t="shared" si="79"/>
        <v>0</v>
      </c>
      <c r="BG67" s="122">
        <f t="shared" si="79"/>
        <v>0</v>
      </c>
      <c r="BH67" s="122">
        <f t="shared" si="79"/>
        <v>0</v>
      </c>
      <c r="BI67" s="122">
        <f t="shared" si="79"/>
        <v>0</v>
      </c>
      <c r="BJ67" s="122">
        <f t="shared" si="79"/>
        <v>0</v>
      </c>
      <c r="BK67" s="122">
        <f t="shared" si="79"/>
        <v>0</v>
      </c>
      <c r="BL67" s="122">
        <f t="shared" si="79"/>
        <v>0</v>
      </c>
      <c r="BM67" s="122">
        <f t="shared" si="79"/>
        <v>0</v>
      </c>
      <c r="BN67" s="122">
        <f t="shared" si="79"/>
        <v>0</v>
      </c>
    </row>
    <row r="68" spans="1:67" outlineLevel="1">
      <c r="A68" s="169"/>
      <c r="B68" s="169" t="s">
        <v>265</v>
      </c>
      <c r="C68" s="165" t="s">
        <v>166</v>
      </c>
      <c r="D68" s="122">
        <f>'Butadiene Recycling HC'!C109</f>
        <v>0</v>
      </c>
      <c r="E68" s="122">
        <f>'Butadiene Recycling HC'!D109</f>
        <v>0</v>
      </c>
      <c r="F68" s="122">
        <f>'Butadiene Recycling HC'!E109</f>
        <v>0</v>
      </c>
      <c r="G68" s="122">
        <f>'Butadiene Recycling HC'!F109</f>
        <v>0</v>
      </c>
      <c r="H68" s="122">
        <f>'Butadiene Recycling HC'!G109</f>
        <v>0</v>
      </c>
      <c r="I68" s="122">
        <f>'Butadiene Recycling HC'!H109</f>
        <v>0</v>
      </c>
      <c r="J68" s="122">
        <f>'Butadiene Recycling HC'!I109</f>
        <v>0</v>
      </c>
      <c r="K68" s="122">
        <f>'Butadiene Recycling HC'!J109</f>
        <v>0</v>
      </c>
      <c r="L68" s="122">
        <f>'Butadiene Recycling HC'!K109</f>
        <v>0</v>
      </c>
      <c r="M68" s="122">
        <f>'Butadiene Recycling HC'!L109</f>
        <v>0</v>
      </c>
      <c r="N68" s="122">
        <f>'Butadiene Recycling HC'!M109</f>
        <v>0</v>
      </c>
      <c r="O68" s="122">
        <f>'Butadiene Recycling HC'!N109</f>
        <v>0</v>
      </c>
      <c r="P68" s="122">
        <f>'Butadiene Recycling HC'!O109</f>
        <v>0</v>
      </c>
      <c r="Q68" s="122">
        <f>'Butadiene Recycling HC'!P109</f>
        <v>0</v>
      </c>
      <c r="R68" s="122">
        <f>'Butadiene Recycling HC'!Q109</f>
        <v>0</v>
      </c>
      <c r="S68" s="122">
        <f>'Butadiene Recycling HC'!R109</f>
        <v>0</v>
      </c>
      <c r="T68" s="122">
        <f>'Butadiene Recycling HC'!S109</f>
        <v>0</v>
      </c>
      <c r="U68" s="122">
        <f>'Butadiene Recycling HC'!T109</f>
        <v>0</v>
      </c>
      <c r="V68" s="122">
        <f>'Butadiene Recycling HC'!U109</f>
        <v>0</v>
      </c>
      <c r="W68" s="122">
        <f>'Butadiene Recycling HC'!V109</f>
        <v>0</v>
      </c>
      <c r="X68" s="122">
        <f>'Butadiene Recycling HC'!W109</f>
        <v>0</v>
      </c>
      <c r="Y68" s="122">
        <f>'Butadiene Recycling HC'!X109</f>
        <v>0</v>
      </c>
      <c r="Z68" s="122">
        <f>'Butadiene Recycling HC'!Y109</f>
        <v>0</v>
      </c>
      <c r="AA68" s="122">
        <f>'Butadiene Recycling HC'!Z109</f>
        <v>0</v>
      </c>
      <c r="AB68" s="122">
        <f>'Butadiene Recycling HC'!AA109</f>
        <v>0</v>
      </c>
      <c r="AC68" s="122">
        <f>'Butadiene Recycling HC'!AB109</f>
        <v>0</v>
      </c>
      <c r="AD68" s="122">
        <f>'Butadiene Recycling HC'!AC109</f>
        <v>0</v>
      </c>
      <c r="AE68" s="122">
        <f>'Butadiene Recycling HC'!AD109</f>
        <v>0</v>
      </c>
      <c r="AF68" s="122">
        <f>'Butadiene Recycling HC'!AE109</f>
        <v>0</v>
      </c>
      <c r="AG68" s="122">
        <f>'Butadiene Recycling HC'!AF109</f>
        <v>0</v>
      </c>
      <c r="AH68" s="122">
        <f>'Butadiene Recycling HC'!AG109</f>
        <v>0</v>
      </c>
      <c r="AI68" s="191"/>
      <c r="AJ68" s="122">
        <f t="shared" si="80"/>
        <v>0</v>
      </c>
      <c r="AK68" s="122">
        <f t="shared" si="78"/>
        <v>0</v>
      </c>
      <c r="AL68" s="122">
        <f t="shared" si="78"/>
        <v>0</v>
      </c>
      <c r="AM68" s="122">
        <f t="shared" si="78"/>
        <v>0</v>
      </c>
      <c r="AN68" s="122">
        <f t="shared" si="78"/>
        <v>0</v>
      </c>
      <c r="AO68" s="122">
        <f t="shared" si="78"/>
        <v>0</v>
      </c>
      <c r="AP68" s="122">
        <f t="shared" si="78"/>
        <v>0</v>
      </c>
      <c r="AQ68" s="122">
        <f t="shared" si="78"/>
        <v>0</v>
      </c>
      <c r="AR68" s="122">
        <f t="shared" si="78"/>
        <v>0</v>
      </c>
      <c r="AS68" s="122">
        <f t="shared" si="78"/>
        <v>0</v>
      </c>
      <c r="AT68" s="122">
        <f t="shared" si="78"/>
        <v>0</v>
      </c>
      <c r="AU68" s="122">
        <f t="shared" si="78"/>
        <v>0</v>
      </c>
      <c r="AV68" s="122">
        <f t="shared" si="78"/>
        <v>0</v>
      </c>
      <c r="AW68" s="122">
        <f t="shared" si="78"/>
        <v>0</v>
      </c>
      <c r="AX68" s="122">
        <f t="shared" si="78"/>
        <v>0</v>
      </c>
      <c r="AY68" s="122">
        <f t="shared" si="78"/>
        <v>0</v>
      </c>
      <c r="AZ68" s="122">
        <f t="shared" si="78"/>
        <v>0</v>
      </c>
      <c r="BA68" s="122">
        <f t="shared" si="79"/>
        <v>0</v>
      </c>
      <c r="BB68" s="122">
        <f t="shared" si="79"/>
        <v>0</v>
      </c>
      <c r="BC68" s="122">
        <f t="shared" si="79"/>
        <v>0</v>
      </c>
      <c r="BD68" s="122">
        <f t="shared" si="79"/>
        <v>0</v>
      </c>
      <c r="BE68" s="122">
        <f t="shared" si="79"/>
        <v>0</v>
      </c>
      <c r="BF68" s="122">
        <f t="shared" si="79"/>
        <v>0</v>
      </c>
      <c r="BG68" s="122">
        <f t="shared" si="79"/>
        <v>0</v>
      </c>
      <c r="BH68" s="122">
        <f t="shared" si="79"/>
        <v>0</v>
      </c>
      <c r="BI68" s="122">
        <f t="shared" si="79"/>
        <v>0</v>
      </c>
      <c r="BJ68" s="122">
        <f t="shared" si="79"/>
        <v>0</v>
      </c>
      <c r="BK68" s="122">
        <f t="shared" si="79"/>
        <v>0</v>
      </c>
      <c r="BL68" s="122">
        <f t="shared" si="79"/>
        <v>0</v>
      </c>
      <c r="BM68" s="122">
        <f t="shared" si="79"/>
        <v>0</v>
      </c>
      <c r="BN68" s="122">
        <f t="shared" si="79"/>
        <v>0</v>
      </c>
    </row>
    <row r="69" spans="1:67" outlineLevel="1">
      <c r="A69" s="169"/>
      <c r="B69" s="169" t="s">
        <v>266</v>
      </c>
      <c r="C69" s="165" t="s">
        <v>166</v>
      </c>
      <c r="D69" s="122">
        <f>'Butadiene Recycling HC'!C139</f>
        <v>0</v>
      </c>
      <c r="E69" s="122">
        <f>'Butadiene Recycling HC'!D139</f>
        <v>0</v>
      </c>
      <c r="F69" s="122">
        <f>'Butadiene Recycling HC'!E139</f>
        <v>0</v>
      </c>
      <c r="G69" s="122">
        <f>'Butadiene Recycling HC'!F139</f>
        <v>0</v>
      </c>
      <c r="H69" s="122">
        <f>'Butadiene Recycling HC'!G139</f>
        <v>0</v>
      </c>
      <c r="I69" s="122">
        <f>'Butadiene Recycling HC'!H139</f>
        <v>0</v>
      </c>
      <c r="J69" s="122">
        <f>'Butadiene Recycling HC'!I139</f>
        <v>0</v>
      </c>
      <c r="K69" s="122">
        <f>'Butadiene Recycling HC'!J139</f>
        <v>0</v>
      </c>
      <c r="L69" s="122">
        <f>'Butadiene Recycling HC'!K139</f>
        <v>0</v>
      </c>
      <c r="M69" s="122">
        <f>'Butadiene Recycling HC'!L139</f>
        <v>0</v>
      </c>
      <c r="N69" s="122">
        <f>'Butadiene Recycling HC'!M139</f>
        <v>0</v>
      </c>
      <c r="O69" s="122">
        <f>'Butadiene Recycling HC'!N139</f>
        <v>0</v>
      </c>
      <c r="P69" s="122">
        <f>'Butadiene Recycling HC'!O139</f>
        <v>0</v>
      </c>
      <c r="Q69" s="122">
        <f>'Butadiene Recycling HC'!P139</f>
        <v>0</v>
      </c>
      <c r="R69" s="122">
        <f>'Butadiene Recycling HC'!Q139</f>
        <v>0</v>
      </c>
      <c r="S69" s="122">
        <f>'Butadiene Recycling HC'!R139</f>
        <v>0</v>
      </c>
      <c r="T69" s="122">
        <f>'Butadiene Recycling HC'!S139</f>
        <v>0</v>
      </c>
      <c r="U69" s="122">
        <f>'Butadiene Recycling HC'!T139</f>
        <v>0</v>
      </c>
      <c r="V69" s="122">
        <f>'Butadiene Recycling HC'!U139</f>
        <v>0</v>
      </c>
      <c r="W69" s="122">
        <f>'Butadiene Recycling HC'!V139</f>
        <v>0</v>
      </c>
      <c r="X69" s="122">
        <f>'Butadiene Recycling HC'!W139</f>
        <v>0</v>
      </c>
      <c r="Y69" s="122">
        <f>'Butadiene Recycling HC'!X139</f>
        <v>0</v>
      </c>
      <c r="Z69" s="122">
        <f>'Butadiene Recycling HC'!Y139</f>
        <v>0</v>
      </c>
      <c r="AA69" s="122">
        <f>'Butadiene Recycling HC'!Z139</f>
        <v>0</v>
      </c>
      <c r="AB69" s="122">
        <f>'Butadiene Recycling HC'!AA139</f>
        <v>0</v>
      </c>
      <c r="AC69" s="122">
        <f>'Butadiene Recycling HC'!AB139</f>
        <v>0</v>
      </c>
      <c r="AD69" s="122">
        <f>'Butadiene Recycling HC'!AC139</f>
        <v>0</v>
      </c>
      <c r="AE69" s="122">
        <f>'Butadiene Recycling HC'!AD139</f>
        <v>0</v>
      </c>
      <c r="AF69" s="122">
        <f>'Butadiene Recycling HC'!AE139</f>
        <v>0</v>
      </c>
      <c r="AG69" s="122">
        <f>'Butadiene Recycling HC'!AF139</f>
        <v>0</v>
      </c>
      <c r="AH69" s="122">
        <f>'Butadiene Recycling HC'!AG139</f>
        <v>0</v>
      </c>
      <c r="AI69" s="191"/>
      <c r="AJ69" s="122">
        <f t="shared" si="80"/>
        <v>0</v>
      </c>
      <c r="AK69" s="122">
        <f t="shared" si="78"/>
        <v>0</v>
      </c>
      <c r="AL69" s="122">
        <f t="shared" si="78"/>
        <v>0</v>
      </c>
      <c r="AM69" s="122">
        <f t="shared" si="78"/>
        <v>0</v>
      </c>
      <c r="AN69" s="122">
        <f t="shared" si="78"/>
        <v>0</v>
      </c>
      <c r="AO69" s="122">
        <f t="shared" si="78"/>
        <v>0</v>
      </c>
      <c r="AP69" s="122">
        <f t="shared" si="78"/>
        <v>0</v>
      </c>
      <c r="AQ69" s="122">
        <f t="shared" si="78"/>
        <v>0</v>
      </c>
      <c r="AR69" s="122">
        <f t="shared" si="78"/>
        <v>0</v>
      </c>
      <c r="AS69" s="122">
        <f t="shared" si="78"/>
        <v>0</v>
      </c>
      <c r="AT69" s="122">
        <f t="shared" si="78"/>
        <v>0</v>
      </c>
      <c r="AU69" s="122">
        <f t="shared" si="78"/>
        <v>0</v>
      </c>
      <c r="AV69" s="122">
        <f t="shared" si="78"/>
        <v>0</v>
      </c>
      <c r="AW69" s="122">
        <f t="shared" si="78"/>
        <v>0</v>
      </c>
      <c r="AX69" s="122">
        <f t="shared" si="78"/>
        <v>0</v>
      </c>
      <c r="AY69" s="122">
        <f t="shared" si="78"/>
        <v>0</v>
      </c>
      <c r="AZ69" s="122">
        <f t="shared" si="78"/>
        <v>0</v>
      </c>
      <c r="BA69" s="122">
        <f t="shared" si="79"/>
        <v>0</v>
      </c>
      <c r="BB69" s="122">
        <f t="shared" si="79"/>
        <v>0</v>
      </c>
      <c r="BC69" s="122">
        <f t="shared" si="79"/>
        <v>0</v>
      </c>
      <c r="BD69" s="122">
        <f t="shared" si="79"/>
        <v>0</v>
      </c>
      <c r="BE69" s="122">
        <f t="shared" si="79"/>
        <v>0</v>
      </c>
      <c r="BF69" s="122">
        <f t="shared" si="79"/>
        <v>0</v>
      </c>
      <c r="BG69" s="122">
        <f t="shared" si="79"/>
        <v>0</v>
      </c>
      <c r="BH69" s="122">
        <f t="shared" si="79"/>
        <v>0</v>
      </c>
      <c r="BI69" s="122">
        <f t="shared" si="79"/>
        <v>0</v>
      </c>
      <c r="BJ69" s="122">
        <f t="shared" si="79"/>
        <v>0</v>
      </c>
      <c r="BK69" s="122">
        <f t="shared" si="79"/>
        <v>0</v>
      </c>
      <c r="BL69" s="122">
        <f t="shared" si="79"/>
        <v>0</v>
      </c>
      <c r="BM69" s="122">
        <f t="shared" si="79"/>
        <v>0</v>
      </c>
      <c r="BN69" s="122">
        <f t="shared" si="79"/>
        <v>0</v>
      </c>
    </row>
    <row r="70" spans="1:67" outlineLevel="1">
      <c r="A70" s="167"/>
      <c r="B70" s="224" t="s">
        <v>263</v>
      </c>
      <c r="C70" s="168" t="s">
        <v>166</v>
      </c>
      <c r="D70" s="620">
        <f>D65-D66-D67-D68-D69</f>
        <v>25253.845689000016</v>
      </c>
      <c r="E70" s="620">
        <f t="shared" ref="E70:AH70" si="81">E65-E66-E67-E68-E69</f>
        <v>25087.170307452619</v>
      </c>
      <c r="F70" s="620">
        <f t="shared" si="81"/>
        <v>24920.494925905215</v>
      </c>
      <c r="G70" s="620">
        <f t="shared" si="81"/>
        <v>24753.819544357819</v>
      </c>
      <c r="H70" s="620">
        <f t="shared" si="81"/>
        <v>24587.144162810415</v>
      </c>
      <c r="I70" s="620">
        <f t="shared" si="81"/>
        <v>24420.468781263018</v>
      </c>
      <c r="J70" s="620">
        <f t="shared" si="81"/>
        <v>24253.793399715614</v>
      </c>
      <c r="K70" s="620">
        <f t="shared" si="81"/>
        <v>24087.118018168218</v>
      </c>
      <c r="L70" s="620">
        <f t="shared" si="81"/>
        <v>23920.442636620814</v>
      </c>
      <c r="M70" s="620">
        <f t="shared" si="81"/>
        <v>23753.767255073417</v>
      </c>
      <c r="N70" s="620">
        <f t="shared" si="81"/>
        <v>23587.091873526013</v>
      </c>
      <c r="O70" s="620">
        <f t="shared" si="81"/>
        <v>23420.416491978616</v>
      </c>
      <c r="P70" s="620">
        <f t="shared" si="81"/>
        <v>23253.741110431212</v>
      </c>
      <c r="Q70" s="620">
        <f t="shared" si="81"/>
        <v>23087.065728883816</v>
      </c>
      <c r="R70" s="620">
        <f t="shared" si="81"/>
        <v>22920.390347336415</v>
      </c>
      <c r="S70" s="620">
        <f t="shared" si="81"/>
        <v>22753.714965789015</v>
      </c>
      <c r="T70" s="620">
        <f t="shared" si="81"/>
        <v>22587.039584241615</v>
      </c>
      <c r="U70" s="620">
        <f t="shared" si="81"/>
        <v>22420.364202694214</v>
      </c>
      <c r="V70" s="620">
        <f t="shared" si="81"/>
        <v>22253.688821146814</v>
      </c>
      <c r="W70" s="620">
        <f t="shared" si="81"/>
        <v>22087.013439599414</v>
      </c>
      <c r="X70" s="620">
        <f t="shared" si="81"/>
        <v>21920.338058052013</v>
      </c>
      <c r="Y70" s="620">
        <f t="shared" si="81"/>
        <v>21748.611907366816</v>
      </c>
      <c r="Z70" s="620">
        <f t="shared" si="81"/>
        <v>21576.885756681611</v>
      </c>
      <c r="AA70" s="620">
        <f t="shared" si="81"/>
        <v>21405.159605996414</v>
      </c>
      <c r="AB70" s="620">
        <f t="shared" si="81"/>
        <v>21233.433455311213</v>
      </c>
      <c r="AC70" s="620">
        <f t="shared" si="81"/>
        <v>21061.707304626012</v>
      </c>
      <c r="AD70" s="620">
        <f t="shared" si="81"/>
        <v>20889.981153940815</v>
      </c>
      <c r="AE70" s="620">
        <f t="shared" si="81"/>
        <v>20718.255003255614</v>
      </c>
      <c r="AF70" s="620">
        <f t="shared" si="81"/>
        <v>20546.528852570413</v>
      </c>
      <c r="AG70" s="620">
        <f t="shared" si="81"/>
        <v>20374.802701885212</v>
      </c>
      <c r="AH70" s="620">
        <f t="shared" si="81"/>
        <v>20203.076551200014</v>
      </c>
      <c r="AI70" s="191"/>
      <c r="AJ70" s="620">
        <f>AJ65-AJ66-AJ67-AJ68-AJ69</f>
        <v>25253.845689000016</v>
      </c>
      <c r="AK70" s="620">
        <f t="shared" ref="AK70:BN70" si="82">AK65-AK66-AK67-AK68-AK69</f>
        <v>25170.507998226316</v>
      </c>
      <c r="AL70" s="620">
        <f t="shared" si="82"/>
        <v>25087.170307452619</v>
      </c>
      <c r="AM70" s="620">
        <f t="shared" si="82"/>
        <v>25003.832616678916</v>
      </c>
      <c r="AN70" s="620">
        <f t="shared" si="82"/>
        <v>24920.494925905215</v>
      </c>
      <c r="AO70" s="620">
        <f t="shared" si="82"/>
        <v>24837.157235131515</v>
      </c>
      <c r="AP70" s="620">
        <f t="shared" si="82"/>
        <v>24753.819544357819</v>
      </c>
      <c r="AQ70" s="620">
        <f t="shared" si="82"/>
        <v>24670.481853584115</v>
      </c>
      <c r="AR70" s="620">
        <f t="shared" si="82"/>
        <v>24587.144162810415</v>
      </c>
      <c r="AS70" s="620">
        <f t="shared" si="82"/>
        <v>24503.806472036715</v>
      </c>
      <c r="AT70" s="620">
        <f t="shared" si="82"/>
        <v>24420.468781263018</v>
      </c>
      <c r="AU70" s="620">
        <f t="shared" si="82"/>
        <v>24337.131090489314</v>
      </c>
      <c r="AV70" s="620">
        <f t="shared" si="82"/>
        <v>24253.793399715614</v>
      </c>
      <c r="AW70" s="620">
        <f t="shared" si="82"/>
        <v>24170.455708941918</v>
      </c>
      <c r="AX70" s="620">
        <f t="shared" si="82"/>
        <v>24087.118018168218</v>
      </c>
      <c r="AY70" s="620">
        <f t="shared" si="82"/>
        <v>24003.780327394514</v>
      </c>
      <c r="AZ70" s="620">
        <f t="shared" si="82"/>
        <v>23920.442636620814</v>
      </c>
      <c r="BA70" s="620">
        <f t="shared" si="82"/>
        <v>23837.104945847117</v>
      </c>
      <c r="BB70" s="620">
        <f t="shared" si="82"/>
        <v>23753.767255073417</v>
      </c>
      <c r="BC70" s="620">
        <f t="shared" si="82"/>
        <v>23670.429564299713</v>
      </c>
      <c r="BD70" s="620">
        <f t="shared" si="82"/>
        <v>23587.091873526013</v>
      </c>
      <c r="BE70" s="620">
        <f t="shared" si="82"/>
        <v>23501.228798183416</v>
      </c>
      <c r="BF70" s="620">
        <f t="shared" si="82"/>
        <v>23415.365722840816</v>
      </c>
      <c r="BG70" s="620">
        <f t="shared" si="82"/>
        <v>23329.502647498211</v>
      </c>
      <c r="BH70" s="620">
        <f t="shared" si="82"/>
        <v>23243.639572155615</v>
      </c>
      <c r="BI70" s="620">
        <f t="shared" si="82"/>
        <v>23157.776496813014</v>
      </c>
      <c r="BJ70" s="620">
        <f t="shared" si="82"/>
        <v>23071.913421470414</v>
      </c>
      <c r="BK70" s="620">
        <f t="shared" si="82"/>
        <v>22986.050346127817</v>
      </c>
      <c r="BL70" s="620">
        <f t="shared" si="82"/>
        <v>22900.187270785213</v>
      </c>
      <c r="BM70" s="620">
        <f t="shared" si="82"/>
        <v>22814.324195442616</v>
      </c>
      <c r="BN70" s="620">
        <f t="shared" si="82"/>
        <v>22728.461120100015</v>
      </c>
    </row>
    <row r="71" spans="1:67" outlineLevel="1">
      <c r="A71" s="55" t="s">
        <v>78</v>
      </c>
      <c r="B71" s="55" t="s">
        <v>260</v>
      </c>
      <c r="C71" s="95" t="s">
        <v>166</v>
      </c>
      <c r="D71" s="631">
        <f t="shared" ref="D71:AH71" si="83">D50+D61+D62+D67+D68+D57+D63+D69</f>
        <v>0</v>
      </c>
      <c r="E71" s="631">
        <f t="shared" si="83"/>
        <v>637.99643439202373</v>
      </c>
      <c r="F71" s="631">
        <f t="shared" si="83"/>
        <v>1262.0475915295765</v>
      </c>
      <c r="G71" s="631">
        <f t="shared" si="83"/>
        <v>1872.1534714126583</v>
      </c>
      <c r="H71" s="631">
        <f t="shared" si="83"/>
        <v>2468.3140740412691</v>
      </c>
      <c r="I71" s="631">
        <f t="shared" si="83"/>
        <v>3050.5293994154126</v>
      </c>
      <c r="J71" s="631">
        <f t="shared" si="83"/>
        <v>3618.7994475350824</v>
      </c>
      <c r="K71" s="631">
        <f t="shared" si="83"/>
        <v>4173.1242184002822</v>
      </c>
      <c r="L71" s="631">
        <f t="shared" si="83"/>
        <v>4713.5037120110155</v>
      </c>
      <c r="M71" s="631">
        <f t="shared" si="83"/>
        <v>5239.9379283672733</v>
      </c>
      <c r="N71" s="631">
        <f t="shared" si="83"/>
        <v>5752.4268674690647</v>
      </c>
      <c r="O71" s="631">
        <f t="shared" si="83"/>
        <v>6250.9705293163825</v>
      </c>
      <c r="P71" s="631">
        <f t="shared" si="83"/>
        <v>6735.5689139092319</v>
      </c>
      <c r="Q71" s="631">
        <f t="shared" si="83"/>
        <v>7139.069235892568</v>
      </c>
      <c r="R71" s="631">
        <f t="shared" si="83"/>
        <v>7523.6918360565305</v>
      </c>
      <c r="S71" s="631">
        <f t="shared" si="83"/>
        <v>7889.6626278926378</v>
      </c>
      <c r="T71" s="631">
        <f t="shared" si="83"/>
        <v>8237.207524892412</v>
      </c>
      <c r="U71" s="631">
        <f t="shared" si="83"/>
        <v>8566.5524405473789</v>
      </c>
      <c r="V71" s="631">
        <f t="shared" si="83"/>
        <v>8877.9232883490586</v>
      </c>
      <c r="W71" s="631">
        <f t="shared" si="83"/>
        <v>9171.545981788975</v>
      </c>
      <c r="X71" s="631">
        <f t="shared" si="83"/>
        <v>9447.6464343586467</v>
      </c>
      <c r="Y71" s="631">
        <f t="shared" si="83"/>
        <v>9706.4505595495957</v>
      </c>
      <c r="Z71" s="631">
        <f t="shared" si="83"/>
        <v>9948.184270853355</v>
      </c>
      <c r="AA71" s="631">
        <f t="shared" si="83"/>
        <v>9996.2208701479649</v>
      </c>
      <c r="AB71" s="631">
        <f t="shared" si="83"/>
        <v>10020.786173295575</v>
      </c>
      <c r="AC71" s="631">
        <f t="shared" si="83"/>
        <v>10022.557920770761</v>
      </c>
      <c r="AD71" s="631">
        <f t="shared" si="83"/>
        <v>10002.213853048073</v>
      </c>
      <c r="AE71" s="631">
        <f t="shared" si="83"/>
        <v>9960.4317106020917</v>
      </c>
      <c r="AF71" s="631">
        <f t="shared" si="83"/>
        <v>9897.8892339073773</v>
      </c>
      <c r="AG71" s="631">
        <f t="shared" si="83"/>
        <v>9815.2641634385072</v>
      </c>
      <c r="AH71" s="631">
        <f t="shared" si="83"/>
        <v>9713.2342396700351</v>
      </c>
      <c r="AI71" s="191"/>
      <c r="AJ71" s="631">
        <f t="shared" ref="AJ71:BN71" si="84">AJ50+AJ61+AJ62+AJ67+AJ68+AJ57+AJ63+AJ69</f>
        <v>0</v>
      </c>
      <c r="AK71" s="631">
        <f t="shared" si="84"/>
        <v>637.99643439202373</v>
      </c>
      <c r="AL71" s="631">
        <f t="shared" si="84"/>
        <v>1262.0475915295765</v>
      </c>
      <c r="AM71" s="631">
        <f t="shared" si="84"/>
        <v>1872.1534714126583</v>
      </c>
      <c r="AN71" s="631">
        <f t="shared" si="84"/>
        <v>2468.3140740412691</v>
      </c>
      <c r="AO71" s="631">
        <f t="shared" si="84"/>
        <v>3050.5293994154126</v>
      </c>
      <c r="AP71" s="631">
        <f t="shared" si="84"/>
        <v>3618.7994475350824</v>
      </c>
      <c r="AQ71" s="631">
        <f t="shared" si="84"/>
        <v>4173.1242184002822</v>
      </c>
      <c r="AR71" s="631">
        <f t="shared" si="84"/>
        <v>4713.5037120110155</v>
      </c>
      <c r="AS71" s="631">
        <f t="shared" si="84"/>
        <v>5239.9379283672733</v>
      </c>
      <c r="AT71" s="631">
        <f t="shared" si="84"/>
        <v>5752.4268674690647</v>
      </c>
      <c r="AU71" s="631">
        <f t="shared" si="84"/>
        <v>6250.9705293163825</v>
      </c>
      <c r="AV71" s="631">
        <f t="shared" si="84"/>
        <v>6735.5689139092319</v>
      </c>
      <c r="AW71" s="631">
        <f t="shared" si="84"/>
        <v>7139.069235892568</v>
      </c>
      <c r="AX71" s="631">
        <f t="shared" si="84"/>
        <v>7523.6918360565305</v>
      </c>
      <c r="AY71" s="631">
        <f t="shared" si="84"/>
        <v>7889.6626278926378</v>
      </c>
      <c r="AZ71" s="631">
        <f t="shared" si="84"/>
        <v>8237.207524892412</v>
      </c>
      <c r="BA71" s="631">
        <f t="shared" si="84"/>
        <v>8566.5524405473789</v>
      </c>
      <c r="BB71" s="631">
        <f t="shared" si="84"/>
        <v>8877.9232883490586</v>
      </c>
      <c r="BC71" s="631">
        <f t="shared" si="84"/>
        <v>9171.545981788975</v>
      </c>
      <c r="BD71" s="631">
        <f t="shared" si="84"/>
        <v>9447.6464343586467</v>
      </c>
      <c r="BE71" s="631">
        <f t="shared" si="84"/>
        <v>9706.4505595495957</v>
      </c>
      <c r="BF71" s="631">
        <f t="shared" si="84"/>
        <v>9948.184270853355</v>
      </c>
      <c r="BG71" s="631">
        <f t="shared" si="84"/>
        <v>9996.2208701479649</v>
      </c>
      <c r="BH71" s="631">
        <f t="shared" si="84"/>
        <v>10020.786173295575</v>
      </c>
      <c r="BI71" s="631">
        <f t="shared" si="84"/>
        <v>10022.557920770761</v>
      </c>
      <c r="BJ71" s="631">
        <f t="shared" si="84"/>
        <v>10002.213853048073</v>
      </c>
      <c r="BK71" s="631">
        <f t="shared" si="84"/>
        <v>9960.4317106020917</v>
      </c>
      <c r="BL71" s="631">
        <f t="shared" si="84"/>
        <v>9897.8892339073773</v>
      </c>
      <c r="BM71" s="631">
        <f t="shared" si="84"/>
        <v>9815.2641634385072</v>
      </c>
      <c r="BN71" s="631">
        <f t="shared" si="84"/>
        <v>9713.2342396700351</v>
      </c>
    </row>
    <row r="72" spans="1:67" outlineLevel="1">
      <c r="A72" s="63"/>
      <c r="B72" s="59" t="s">
        <v>261</v>
      </c>
      <c r="C72" s="60" t="s">
        <v>166</v>
      </c>
      <c r="D72" s="636">
        <f t="shared" ref="D72:AH72" si="85">D49+D53+D60+D66+IF(D58=0,0,D56)</f>
        <v>0</v>
      </c>
      <c r="E72" s="636">
        <f t="shared" si="85"/>
        <v>76.786544082438951</v>
      </c>
      <c r="F72" s="636">
        <f t="shared" si="85"/>
        <v>169.06784066984508</v>
      </c>
      <c r="G72" s="636">
        <f t="shared" si="85"/>
        <v>276.8438897622184</v>
      </c>
      <c r="H72" s="636">
        <f t="shared" si="85"/>
        <v>400.11469135955878</v>
      </c>
      <c r="I72" s="636">
        <f t="shared" si="85"/>
        <v>538.88024546186648</v>
      </c>
      <c r="J72" s="636">
        <f t="shared" si="85"/>
        <v>693.14055206914134</v>
      </c>
      <c r="K72" s="636">
        <f t="shared" si="85"/>
        <v>862.8956111813834</v>
      </c>
      <c r="L72" s="636">
        <f t="shared" si="85"/>
        <v>1048.1454227985923</v>
      </c>
      <c r="M72" s="636">
        <f t="shared" si="85"/>
        <v>1248.8899869207687</v>
      </c>
      <c r="N72" s="636">
        <f t="shared" si="85"/>
        <v>1465.1293035479121</v>
      </c>
      <c r="O72" s="636">
        <f t="shared" si="85"/>
        <v>1696.8633726800228</v>
      </c>
      <c r="P72" s="636">
        <f t="shared" si="85"/>
        <v>1944.0921943171006</v>
      </c>
      <c r="Q72" s="636">
        <f t="shared" si="85"/>
        <v>2195.6665192941964</v>
      </c>
      <c r="R72" s="636">
        <f t="shared" si="85"/>
        <v>2459.8489243845843</v>
      </c>
      <c r="S72" s="636">
        <f t="shared" si="85"/>
        <v>2736.3883945976836</v>
      </c>
      <c r="T72" s="636">
        <f t="shared" si="85"/>
        <v>3025.0339149429133</v>
      </c>
      <c r="U72" s="636">
        <f t="shared" si="85"/>
        <v>3325.5344704296936</v>
      </c>
      <c r="V72" s="636">
        <f t="shared" si="85"/>
        <v>3637.6390460674447</v>
      </c>
      <c r="W72" s="636">
        <f t="shared" si="85"/>
        <v>3961.0966268655848</v>
      </c>
      <c r="X72" s="636">
        <f t="shared" si="85"/>
        <v>4295.656197833533</v>
      </c>
      <c r="Y72" s="636">
        <f t="shared" si="85"/>
        <v>4641.0667439807112</v>
      </c>
      <c r="Z72" s="636">
        <f t="shared" si="85"/>
        <v>4997.0772503165363</v>
      </c>
      <c r="AA72" s="636">
        <f t="shared" si="85"/>
        <v>5304.7410298863615</v>
      </c>
      <c r="AB72" s="636">
        <f t="shared" si="85"/>
        <v>5613.3825283392525</v>
      </c>
      <c r="AC72" s="636">
        <f t="shared" si="85"/>
        <v>5922.2487007034651</v>
      </c>
      <c r="AD72" s="636">
        <f t="shared" si="85"/>
        <v>6230.586502007257</v>
      </c>
      <c r="AE72" s="636">
        <f t="shared" si="85"/>
        <v>6537.6428872788892</v>
      </c>
      <c r="AF72" s="636">
        <f t="shared" si="85"/>
        <v>6842.6648115466178</v>
      </c>
      <c r="AG72" s="636">
        <f t="shared" si="85"/>
        <v>7144.8992298387057</v>
      </c>
      <c r="AH72" s="636">
        <f t="shared" si="85"/>
        <v>7443.5930971834041</v>
      </c>
      <c r="AI72" s="191"/>
      <c r="AJ72" s="636">
        <f t="shared" ref="AJ72:BN72" si="86">AJ49+AJ53+AJ60+AJ66+IF(AJ58=0,0,AJ56)</f>
        <v>0</v>
      </c>
      <c r="AK72" s="636">
        <f t="shared" si="86"/>
        <v>76.786544082438951</v>
      </c>
      <c r="AL72" s="636">
        <f t="shared" si="86"/>
        <v>169.06784066984508</v>
      </c>
      <c r="AM72" s="636">
        <f t="shared" si="86"/>
        <v>276.8438897622184</v>
      </c>
      <c r="AN72" s="636">
        <f t="shared" si="86"/>
        <v>400.11469135955878</v>
      </c>
      <c r="AO72" s="636">
        <f t="shared" si="86"/>
        <v>538.88024546186648</v>
      </c>
      <c r="AP72" s="636">
        <f t="shared" si="86"/>
        <v>693.14055206914134</v>
      </c>
      <c r="AQ72" s="636">
        <f t="shared" si="86"/>
        <v>862.8956111813834</v>
      </c>
      <c r="AR72" s="636">
        <f t="shared" si="86"/>
        <v>1048.1454227985923</v>
      </c>
      <c r="AS72" s="636">
        <f t="shared" si="86"/>
        <v>1248.8899869207687</v>
      </c>
      <c r="AT72" s="636">
        <f t="shared" si="86"/>
        <v>1465.1293035479121</v>
      </c>
      <c r="AU72" s="636">
        <f t="shared" si="86"/>
        <v>1696.8633726800228</v>
      </c>
      <c r="AV72" s="636">
        <f t="shared" si="86"/>
        <v>1944.0921943171006</v>
      </c>
      <c r="AW72" s="636">
        <f t="shared" si="86"/>
        <v>2195.6665192941964</v>
      </c>
      <c r="AX72" s="636">
        <f t="shared" si="86"/>
        <v>2459.8489243845843</v>
      </c>
      <c r="AY72" s="636">
        <f t="shared" si="86"/>
        <v>2736.3883945976836</v>
      </c>
      <c r="AZ72" s="636">
        <f t="shared" si="86"/>
        <v>3025.0339149429133</v>
      </c>
      <c r="BA72" s="636">
        <f t="shared" si="86"/>
        <v>3325.5344704296936</v>
      </c>
      <c r="BB72" s="636">
        <f t="shared" si="86"/>
        <v>3637.6390460674447</v>
      </c>
      <c r="BC72" s="636">
        <f t="shared" si="86"/>
        <v>3961.0966268655848</v>
      </c>
      <c r="BD72" s="636">
        <f t="shared" si="86"/>
        <v>4295.656197833533</v>
      </c>
      <c r="BE72" s="636">
        <f t="shared" si="86"/>
        <v>4641.0667439807112</v>
      </c>
      <c r="BF72" s="636">
        <f t="shared" si="86"/>
        <v>4997.0772503165363</v>
      </c>
      <c r="BG72" s="636">
        <f t="shared" si="86"/>
        <v>5304.7410298863615</v>
      </c>
      <c r="BH72" s="636">
        <f t="shared" si="86"/>
        <v>5613.3825283392525</v>
      </c>
      <c r="BI72" s="636">
        <f t="shared" si="86"/>
        <v>5922.2487007034651</v>
      </c>
      <c r="BJ72" s="636">
        <f t="shared" si="86"/>
        <v>6230.586502007257</v>
      </c>
      <c r="BK72" s="636">
        <f t="shared" si="86"/>
        <v>6537.6428872788892</v>
      </c>
      <c r="BL72" s="636">
        <f t="shared" si="86"/>
        <v>6842.6648115466178</v>
      </c>
      <c r="BM72" s="636">
        <f t="shared" si="86"/>
        <v>7144.8992298387057</v>
      </c>
      <c r="BN72" s="636">
        <f t="shared" si="86"/>
        <v>7443.5930971834041</v>
      </c>
    </row>
    <row r="73" spans="1:67">
      <c r="A73" s="97" t="s">
        <v>1543</v>
      </c>
      <c r="B73" s="97"/>
      <c r="C73" s="98" t="s">
        <v>166</v>
      </c>
      <c r="D73" s="642">
        <f t="shared" ref="D73:AH73" si="87">D46-D71-D72</f>
        <v>80369.95000000007</v>
      </c>
      <c r="E73" s="642">
        <f t="shared" si="87"/>
        <v>79037.839732179506</v>
      </c>
      <c r="F73" s="642">
        <f t="shared" si="87"/>
        <v>77704.179989108467</v>
      </c>
      <c r="G73" s="642">
        <f t="shared" si="87"/>
        <v>76368.970770786895</v>
      </c>
      <c r="H73" s="642">
        <f t="shared" si="87"/>
        <v>75032.212077214863</v>
      </c>
      <c r="I73" s="642">
        <f t="shared" si="87"/>
        <v>73693.903908392313</v>
      </c>
      <c r="J73" s="642">
        <f t="shared" si="87"/>
        <v>72354.046264319273</v>
      </c>
      <c r="K73" s="642">
        <f t="shared" si="87"/>
        <v>71012.639144995745</v>
      </c>
      <c r="L73" s="642">
        <f t="shared" si="87"/>
        <v>69669.682550421683</v>
      </c>
      <c r="M73" s="642">
        <f t="shared" si="87"/>
        <v>68325.176480597162</v>
      </c>
      <c r="N73" s="642">
        <f t="shared" si="87"/>
        <v>66979.120935522136</v>
      </c>
      <c r="O73" s="642">
        <f t="shared" si="87"/>
        <v>65162.538014084297</v>
      </c>
      <c r="P73" s="642">
        <f t="shared" si="87"/>
        <v>63345.468221514006</v>
      </c>
      <c r="Q73" s="642">
        <f t="shared" si="87"/>
        <v>61603.978459531223</v>
      </c>
      <c r="R73" s="642">
        <f t="shared" si="87"/>
        <v>59868.758339254535</v>
      </c>
      <c r="S73" s="642">
        <f t="shared" si="87"/>
        <v>58139.832962182976</v>
      </c>
      <c r="T73" s="642">
        <f t="shared" si="87"/>
        <v>56417.227429815634</v>
      </c>
      <c r="U73" s="642">
        <f t="shared" si="87"/>
        <v>54700.966843651535</v>
      </c>
      <c r="V73" s="642">
        <f t="shared" si="87"/>
        <v>52991.076305189752</v>
      </c>
      <c r="W73" s="642">
        <f t="shared" si="87"/>
        <v>51287.580915929364</v>
      </c>
      <c r="X73" s="642">
        <f t="shared" si="87"/>
        <v>49590.505777369399</v>
      </c>
      <c r="Y73" s="642">
        <f t="shared" si="87"/>
        <v>47171.3990427932</v>
      </c>
      <c r="Z73" s="642">
        <f t="shared" si="87"/>
        <v>44762.128633893881</v>
      </c>
      <c r="AA73" s="642">
        <f t="shared" si="87"/>
        <v>42594.902063769718</v>
      </c>
      <c r="AB73" s="642">
        <f t="shared" si="87"/>
        <v>40450.169070909498</v>
      </c>
      <c r="AC73" s="642">
        <f t="shared" si="87"/>
        <v>38328.004959810358</v>
      </c>
      <c r="AD73" s="642">
        <f t="shared" si="87"/>
        <v>36228.485034969526</v>
      </c>
      <c r="AE73" s="642">
        <f t="shared" si="87"/>
        <v>34151.684600884146</v>
      </c>
      <c r="AF73" s="642">
        <f t="shared" si="87"/>
        <v>32097.678962051396</v>
      </c>
      <c r="AG73" s="642">
        <f t="shared" si="87"/>
        <v>30066.543422968451</v>
      </c>
      <c r="AH73" s="642">
        <f t="shared" si="87"/>
        <v>28058.353288132494</v>
      </c>
      <c r="AI73" s="191"/>
      <c r="AJ73" s="642">
        <f t="shared" ref="AJ73:BN73" si="88">AJ46-AJ71-AJ72</f>
        <v>80369.95000000007</v>
      </c>
      <c r="AK73" s="642">
        <f t="shared" si="88"/>
        <v>79363.609958018307</v>
      </c>
      <c r="AL73" s="642">
        <f t="shared" si="88"/>
        <v>78355.72044078607</v>
      </c>
      <c r="AM73" s="642">
        <f t="shared" si="88"/>
        <v>77346.281448303314</v>
      </c>
      <c r="AN73" s="642">
        <f t="shared" si="88"/>
        <v>76335.292980570084</v>
      </c>
      <c r="AO73" s="642">
        <f t="shared" si="88"/>
        <v>75322.755037586336</v>
      </c>
      <c r="AP73" s="642">
        <f t="shared" si="88"/>
        <v>74308.667619352098</v>
      </c>
      <c r="AQ73" s="642">
        <f t="shared" si="88"/>
        <v>73293.030725867371</v>
      </c>
      <c r="AR73" s="642">
        <f t="shared" si="88"/>
        <v>72275.84435713214</v>
      </c>
      <c r="AS73" s="642">
        <f t="shared" si="88"/>
        <v>71257.108513146421</v>
      </c>
      <c r="AT73" s="642">
        <f t="shared" si="88"/>
        <v>70236.823193910182</v>
      </c>
      <c r="AU73" s="642">
        <f t="shared" si="88"/>
        <v>68979.748255285289</v>
      </c>
      <c r="AV73" s="642">
        <f t="shared" si="88"/>
        <v>67722.048306992583</v>
      </c>
      <c r="AW73" s="642">
        <f t="shared" si="88"/>
        <v>66540.080818016024</v>
      </c>
      <c r="AX73" s="642">
        <f t="shared" si="88"/>
        <v>65364.382970745573</v>
      </c>
      <c r="AY73" s="642">
        <f t="shared" si="88"/>
        <v>64194.979866680253</v>
      </c>
      <c r="AZ73" s="642">
        <f t="shared" si="88"/>
        <v>63031.896607319162</v>
      </c>
      <c r="BA73" s="642">
        <f t="shared" si="88"/>
        <v>61875.158294161301</v>
      </c>
      <c r="BB73" s="642">
        <f t="shared" si="88"/>
        <v>60724.790028705756</v>
      </c>
      <c r="BC73" s="642">
        <f t="shared" si="88"/>
        <v>59580.816912451592</v>
      </c>
      <c r="BD73" s="642">
        <f t="shared" si="88"/>
        <v>58443.264046897864</v>
      </c>
      <c r="BE73" s="642">
        <f t="shared" si="88"/>
        <v>56947.193455577173</v>
      </c>
      <c r="BF73" s="642">
        <f t="shared" si="88"/>
        <v>55460.521626576156</v>
      </c>
      <c r="BG73" s="642">
        <f t="shared" si="88"/>
        <v>54215.89363635028</v>
      </c>
      <c r="BH73" s="642">
        <f t="shared" si="88"/>
        <v>52993.759223388362</v>
      </c>
      <c r="BI73" s="642">
        <f t="shared" si="88"/>
        <v>51794.193692187531</v>
      </c>
      <c r="BJ73" s="642">
        <f t="shared" si="88"/>
        <v>50617.272347244994</v>
      </c>
      <c r="BK73" s="642">
        <f t="shared" si="88"/>
        <v>49463.070493057916</v>
      </c>
      <c r="BL73" s="642">
        <f t="shared" si="88"/>
        <v>48331.663434123482</v>
      </c>
      <c r="BM73" s="642">
        <f t="shared" si="88"/>
        <v>47223.126474938836</v>
      </c>
      <c r="BN73" s="642">
        <f t="shared" si="88"/>
        <v>46137.534920001177</v>
      </c>
      <c r="BO73" s="41"/>
    </row>
    <row r="74" spans="1:67" hidden="1">
      <c r="A74" s="1" t="s">
        <v>843</v>
      </c>
      <c r="C74" s="56" t="s">
        <v>166</v>
      </c>
      <c r="D74" s="635">
        <f>'Butadiene Recycling HC'!C249</f>
        <v>0</v>
      </c>
      <c r="E74" s="635">
        <f>'Butadiene Recycling HC'!D249</f>
        <v>0</v>
      </c>
      <c r="F74" s="635">
        <f>'Butadiene Recycling HC'!E249</f>
        <v>0</v>
      </c>
      <c r="G74" s="635">
        <f>'Butadiene Recycling HC'!F249</f>
        <v>0</v>
      </c>
      <c r="H74" s="635">
        <f>'Butadiene Recycling HC'!G249</f>
        <v>0</v>
      </c>
      <c r="I74" s="635">
        <f>'Butadiene Recycling HC'!H249</f>
        <v>0</v>
      </c>
      <c r="J74" s="635">
        <f>'Butadiene Recycling HC'!I249</f>
        <v>0</v>
      </c>
      <c r="K74" s="635">
        <f>'Butadiene Recycling HC'!J249</f>
        <v>0</v>
      </c>
      <c r="L74" s="635">
        <f>'Butadiene Recycling HC'!K249</f>
        <v>0</v>
      </c>
      <c r="M74" s="635">
        <f>'Butadiene Recycling HC'!L249</f>
        <v>0</v>
      </c>
      <c r="N74" s="635">
        <f>'Butadiene Recycling HC'!M249</f>
        <v>0</v>
      </c>
      <c r="O74" s="635">
        <f>'Butadiene Recycling HC'!N249</f>
        <v>0</v>
      </c>
      <c r="P74" s="635">
        <f>'Butadiene Recycling HC'!O249</f>
        <v>0</v>
      </c>
      <c r="Q74" s="635">
        <f>'Butadiene Recycling HC'!P249</f>
        <v>0</v>
      </c>
      <c r="R74" s="635">
        <f>'Butadiene Recycling HC'!Q249</f>
        <v>0</v>
      </c>
      <c r="S74" s="635">
        <f>'Butadiene Recycling HC'!R249</f>
        <v>0</v>
      </c>
      <c r="T74" s="635">
        <f>'Butadiene Recycling HC'!S249</f>
        <v>0</v>
      </c>
      <c r="U74" s="635">
        <f>'Butadiene Recycling HC'!T249</f>
        <v>0</v>
      </c>
      <c r="V74" s="635">
        <f>'Butadiene Recycling HC'!U249</f>
        <v>0</v>
      </c>
      <c r="W74" s="635">
        <f>'Butadiene Recycling HC'!V249</f>
        <v>0</v>
      </c>
      <c r="X74" s="635">
        <f>'Butadiene Recycling HC'!W249</f>
        <v>0</v>
      </c>
      <c r="Y74" s="635">
        <f>'Butadiene Recycling HC'!X249</f>
        <v>0</v>
      </c>
      <c r="Z74" s="635">
        <f>'Butadiene Recycling HC'!Y249</f>
        <v>0</v>
      </c>
      <c r="AA74" s="635">
        <f>'Butadiene Recycling HC'!Z249</f>
        <v>0</v>
      </c>
      <c r="AB74" s="635">
        <f>'Butadiene Recycling HC'!AA249</f>
        <v>0</v>
      </c>
      <c r="AC74" s="635">
        <f>'Butadiene Recycling HC'!AB249</f>
        <v>0</v>
      </c>
      <c r="AD74" s="635">
        <f>'Butadiene Recycling HC'!AC249</f>
        <v>0</v>
      </c>
      <c r="AE74" s="635">
        <f>'Butadiene Recycling HC'!AD249</f>
        <v>0</v>
      </c>
      <c r="AF74" s="635">
        <f>'Butadiene Recycling HC'!AE249</f>
        <v>0</v>
      </c>
      <c r="AG74" s="635">
        <f>'Butadiene Recycling HC'!AF249</f>
        <v>0</v>
      </c>
      <c r="AH74" s="635">
        <f>'Butadiene Recycling HC'!AG249</f>
        <v>0</v>
      </c>
      <c r="AI74" s="635"/>
      <c r="AJ74" s="635">
        <f>'Butadiene Recycling LC'!C249</f>
        <v>0</v>
      </c>
      <c r="AK74" s="635">
        <f>'Butadiene Recycling LC'!D249</f>
        <v>0</v>
      </c>
      <c r="AL74" s="635">
        <f>'Butadiene Recycling LC'!E249</f>
        <v>0</v>
      </c>
      <c r="AM74" s="635">
        <f>'Butadiene Recycling LC'!F249</f>
        <v>0</v>
      </c>
      <c r="AN74" s="635">
        <f>'Butadiene Recycling LC'!G249</f>
        <v>0</v>
      </c>
      <c r="AO74" s="635">
        <f>'Butadiene Recycling LC'!H249</f>
        <v>0</v>
      </c>
      <c r="AP74" s="635">
        <f>'Butadiene Recycling LC'!I249</f>
        <v>0</v>
      </c>
      <c r="AQ74" s="635">
        <f>'Butadiene Recycling LC'!J249</f>
        <v>0</v>
      </c>
      <c r="AR74" s="635">
        <f>'Butadiene Recycling LC'!K249</f>
        <v>0</v>
      </c>
      <c r="AS74" s="635">
        <f>'Butadiene Recycling LC'!L249</f>
        <v>0</v>
      </c>
      <c r="AT74" s="635">
        <f>'Butadiene Recycling LC'!M249</f>
        <v>0</v>
      </c>
      <c r="AU74" s="635">
        <f>'Butadiene Recycling LC'!N249</f>
        <v>0</v>
      </c>
      <c r="AV74" s="635">
        <f>'Butadiene Recycling LC'!O249</f>
        <v>0</v>
      </c>
      <c r="AW74" s="635">
        <f>'Butadiene Recycling LC'!P249</f>
        <v>0</v>
      </c>
      <c r="AX74" s="635">
        <f>'Butadiene Recycling LC'!Q249</f>
        <v>0</v>
      </c>
      <c r="AY74" s="635">
        <f>'Butadiene Recycling LC'!R249</f>
        <v>0</v>
      </c>
      <c r="AZ74" s="635">
        <f>'Butadiene Recycling LC'!S249</f>
        <v>0</v>
      </c>
      <c r="BA74" s="635">
        <f>'Butadiene Recycling LC'!T249</f>
        <v>0</v>
      </c>
      <c r="BB74" s="635">
        <f>'Butadiene Recycling LC'!U249</f>
        <v>0</v>
      </c>
      <c r="BC74" s="635">
        <f>'Butadiene Recycling LC'!V249</f>
        <v>0</v>
      </c>
      <c r="BD74" s="635">
        <f>'Butadiene Recycling LC'!W249</f>
        <v>0</v>
      </c>
      <c r="BE74" s="635">
        <f>'Butadiene Recycling LC'!X249</f>
        <v>0</v>
      </c>
      <c r="BF74" s="635">
        <f>'Butadiene Recycling LC'!Y249</f>
        <v>0</v>
      </c>
      <c r="BG74" s="635">
        <f>'Butadiene Recycling LC'!Z249</f>
        <v>0</v>
      </c>
      <c r="BH74" s="635">
        <f>'Butadiene Recycling LC'!AA249</f>
        <v>0</v>
      </c>
      <c r="BI74" s="635">
        <f>'Butadiene Recycling LC'!AB249</f>
        <v>0</v>
      </c>
      <c r="BJ74" s="635">
        <f>'Butadiene Recycling LC'!AC249</f>
        <v>0</v>
      </c>
      <c r="BK74" s="635">
        <f>'Butadiene Recycling LC'!AD249</f>
        <v>0</v>
      </c>
      <c r="BL74" s="635">
        <f>'Butadiene Recycling LC'!AE249</f>
        <v>0</v>
      </c>
      <c r="BM74" s="635">
        <f>'Butadiene Recycling LC'!AF249</f>
        <v>0</v>
      </c>
      <c r="BN74" s="635">
        <f>'Butadiene Recycling LC'!AG249</f>
        <v>0</v>
      </c>
    </row>
    <row r="75" spans="1:67" hidden="1">
      <c r="A75" s="1" t="s">
        <v>844</v>
      </c>
      <c r="C75" s="262" t="s">
        <v>166</v>
      </c>
      <c r="D75" s="635">
        <f>'Butadiene Recycling HC'!C251</f>
        <v>0</v>
      </c>
      <c r="E75" s="635">
        <f>'Butadiene Recycling HC'!D251</f>
        <v>0.15248904940141958</v>
      </c>
      <c r="F75" s="635">
        <f>'Butadiene Recycling HC'!E251</f>
        <v>0.3023793122066355</v>
      </c>
      <c r="G75" s="635">
        <f>'Butadiene Recycling HC'!F251</f>
        <v>0.59775851773595579</v>
      </c>
      <c r="H75" s="635">
        <f>'Butadiene Recycling HC'!G251</f>
        <v>1.1769285779159731</v>
      </c>
      <c r="I75" s="635">
        <f>'Butadiene Recycling HC'!H251</f>
        <v>2.3048740406095929</v>
      </c>
      <c r="J75" s="635">
        <f>'Butadiene Recycling HC'!I251</f>
        <v>4.4621636005362353</v>
      </c>
      <c r="K75" s="635">
        <f>'Butadiene Recycling HC'!J251</f>
        <v>8.5526323486410742</v>
      </c>
      <c r="L75" s="635">
        <f>'Butadiene Recycling HC'!K251</f>
        <v>16.174692467443911</v>
      </c>
      <c r="M75" s="635">
        <f>'Butadiene Recycling HC'!L251</f>
        <v>30.049047977877144</v>
      </c>
      <c r="N75" s="635">
        <f>'Butadiene Recycling HC'!M251</f>
        <v>0</v>
      </c>
      <c r="O75" s="635">
        <f>'Butadiene Recycling HC'!N251</f>
        <v>95.982277533573296</v>
      </c>
      <c r="P75" s="635">
        <f>'Butadiene Recycling HC'!O251</f>
        <v>162.72668605570252</v>
      </c>
      <c r="Q75" s="635">
        <f>'Butadiene Recycling HC'!P251</f>
        <v>263.37159087640623</v>
      </c>
      <c r="R75" s="635">
        <f>'Butadiene Recycling HC'!Q251</f>
        <v>404.71349911729385</v>
      </c>
      <c r="S75" s="635">
        <f>'Butadiene Recycling HC'!R251</f>
        <v>587.89195162875137</v>
      </c>
      <c r="T75" s="635">
        <f>'Butadiene Recycling HC'!S251</f>
        <v>805.42534230984256</v>
      </c>
      <c r="U75" s="635">
        <f>'Butadiene Recycling HC'!T251</f>
        <v>1042.8418286073659</v>
      </c>
      <c r="V75" s="635">
        <f>'Butadiene Recycling HC'!U251</f>
        <v>1282.2593838112984</v>
      </c>
      <c r="W75" s="635">
        <f>'Butadiene Recycling HC'!V251</f>
        <v>1507.6915123541478</v>
      </c>
      <c r="X75" s="635">
        <f>'Butadiene Recycling HC'!W251</f>
        <v>0</v>
      </c>
      <c r="Y75" s="635">
        <f>'Butadiene Recycling HC'!X251</f>
        <v>1879.7865598952776</v>
      </c>
      <c r="Z75" s="635">
        <f>'Butadiene Recycling HC'!Y251</f>
        <v>2025.5603920139004</v>
      </c>
      <c r="AA75" s="635">
        <f>'Butadiene Recycling HC'!Z251</f>
        <v>2151.2272456857413</v>
      </c>
      <c r="AB75" s="635">
        <f>'Butadiene Recycling HC'!AA251</f>
        <v>2266.1767308053531</v>
      </c>
      <c r="AC75" s="635">
        <f>'Butadiene Recycling HC'!AB251</f>
        <v>2382.0028110554708</v>
      </c>
      <c r="AD75" s="635">
        <f>'Butadiene Recycling HC'!AC251</f>
        <v>2511.9380857957262</v>
      </c>
      <c r="AE75" s="635">
        <f>'Butadiene Recycling HC'!AD251</f>
        <v>2671.6562448140057</v>
      </c>
      <c r="AF75" s="635">
        <f>'Butadiene Recycling HC'!AE251</f>
        <v>2875.1424041938317</v>
      </c>
      <c r="AG75" s="635">
        <f>'Butadiene Recycling HC'!AF251</f>
        <v>3130.8115587059415</v>
      </c>
      <c r="AH75" s="635">
        <f>'Butadiene Recycling HC'!AG251</f>
        <v>0</v>
      </c>
      <c r="AI75" s="635"/>
      <c r="AJ75" s="635">
        <f>'Butadiene Recycling LC'!C251</f>
        <v>0</v>
      </c>
      <c r="AK75" s="635">
        <f>'Butadiene Recycling LC'!D251</f>
        <v>0.15250411500978978</v>
      </c>
      <c r="AL75" s="635">
        <f>'Butadiene Recycling LC'!E251</f>
        <v>0.30244099037677524</v>
      </c>
      <c r="AM75" s="635">
        <f>'Butadiene Recycling LC'!F251</f>
        <v>0.59794716544732196</v>
      </c>
      <c r="AN75" s="635">
        <f>'Butadiene Recycling LC'!G251</f>
        <v>1.1774390078187331</v>
      </c>
      <c r="AO75" s="635">
        <f>'Butadiene Recycling LC'!H251</f>
        <v>2.3061609351026484</v>
      </c>
      <c r="AP75" s="635">
        <f>'Butadiene Recycling LC'!I251</f>
        <v>4.4748724255287273</v>
      </c>
      <c r="AQ75" s="635">
        <f>'Butadiene Recycling LC'!J251</f>
        <v>8.5978669313484701</v>
      </c>
      <c r="AR75" s="635">
        <f>'Butadiene Recycling LC'!K251</f>
        <v>16.302237208714605</v>
      </c>
      <c r="AS75" s="635">
        <f>'Butadiene Recycling LC'!L251</f>
        <v>30.368842158726199</v>
      </c>
      <c r="AT75" s="635">
        <f>'Butadiene Recycling LC'!M251</f>
        <v>0</v>
      </c>
      <c r="AU75" s="635">
        <f>'Butadiene Recycling LC'!N251</f>
        <v>97.595360494579651</v>
      </c>
      <c r="AV75" s="635">
        <f>'Butadiene Recycling LC'!O251</f>
        <v>166.01515303780729</v>
      </c>
      <c r="AW75" s="635">
        <f>'Butadiene Recycling LC'!P251</f>
        <v>269.77710280185823</v>
      </c>
      <c r="AX75" s="635">
        <f>'Butadiene Recycling LC'!Q251</f>
        <v>416.26338837116435</v>
      </c>
      <c r="AY75" s="635">
        <f>'Butadiene Recycling LC'!R251</f>
        <v>607.21232428408541</v>
      </c>
      <c r="AZ75" s="635">
        <f>'Butadiene Recycling LC'!S251</f>
        <v>835.4684328391096</v>
      </c>
      <c r="BA75" s="635">
        <f>'Butadiene Recycling LC'!T251</f>
        <v>1086.488606512459</v>
      </c>
      <c r="BB75" s="635">
        <f>'Butadiene Recycling LC'!U251</f>
        <v>1341.9180373431598</v>
      </c>
      <c r="BC75" s="635">
        <f>'Butadiene Recycling LC'!V251</f>
        <v>1585.0701703863506</v>
      </c>
      <c r="BD75" s="635">
        <f>'Butadiene Recycling LC'!W251</f>
        <v>0</v>
      </c>
      <c r="BE75" s="635">
        <f>'Butadiene Recycling LC'!X251</f>
        <v>1995.3305835934741</v>
      </c>
      <c r="BF75" s="635">
        <f>'Butadiene Recycling LC'!Y251</f>
        <v>2160.6318851297847</v>
      </c>
      <c r="BG75" s="635">
        <f>'Butadiene Recycling LC'!Z251</f>
        <v>2305.8477976518284</v>
      </c>
      <c r="BH75" s="635">
        <f>'Butadiene Recycling LC'!AA251</f>
        <v>2440.5524024825786</v>
      </c>
      <c r="BI75" s="635">
        <f>'Butadiene Recycling LC'!AB251</f>
        <v>2577.0682576264985</v>
      </c>
      <c r="BJ75" s="635">
        <f>'Butadiene Recycling LC'!AC251</f>
        <v>2730.0809430954</v>
      </c>
      <c r="BK75" s="635">
        <f>'Butadiene Recycling LC'!AD251</f>
        <v>2916.5486029382782</v>
      </c>
      <c r="BL75" s="635">
        <f>'Butadiene Recycling LC'!AE251</f>
        <v>3152.1553473062991</v>
      </c>
      <c r="BM75" s="635">
        <f>'Butadiene Recycling LC'!AF251</f>
        <v>3446.6799891482983</v>
      </c>
      <c r="BN75" s="635">
        <f>'Butadiene Recycling LC'!AG251</f>
        <v>0</v>
      </c>
    </row>
    <row r="76" spans="1:67" s="99" customFormat="1">
      <c r="A76" s="97" t="s">
        <v>1544</v>
      </c>
      <c r="B76" s="97"/>
      <c r="C76" s="98" t="s">
        <v>166</v>
      </c>
      <c r="D76" s="642">
        <f t="shared" ref="D76:AH76" si="89">D73-D74-D75</f>
        <v>80369.95000000007</v>
      </c>
      <c r="E76" s="642">
        <f t="shared" si="89"/>
        <v>79037.687243130102</v>
      </c>
      <c r="F76" s="642">
        <f t="shared" si="89"/>
        <v>77703.877609796255</v>
      </c>
      <c r="G76" s="642">
        <f t="shared" si="89"/>
        <v>76368.373012269163</v>
      </c>
      <c r="H76" s="642">
        <f t="shared" si="89"/>
        <v>75031.035148636947</v>
      </c>
      <c r="I76" s="642">
        <f t="shared" si="89"/>
        <v>73691.599034351704</v>
      </c>
      <c r="J76" s="642">
        <f t="shared" si="89"/>
        <v>72349.584100718741</v>
      </c>
      <c r="K76" s="642">
        <f t="shared" si="89"/>
        <v>71004.086512647104</v>
      </c>
      <c r="L76" s="642">
        <f t="shared" si="89"/>
        <v>69653.507857954246</v>
      </c>
      <c r="M76" s="642">
        <f t="shared" si="89"/>
        <v>68295.12743261928</v>
      </c>
      <c r="N76" s="642">
        <f t="shared" si="89"/>
        <v>66979.120935522136</v>
      </c>
      <c r="O76" s="642">
        <f t="shared" si="89"/>
        <v>65066.555736550727</v>
      </c>
      <c r="P76" s="642">
        <f t="shared" si="89"/>
        <v>63182.741535458306</v>
      </c>
      <c r="Q76" s="642">
        <f t="shared" si="89"/>
        <v>61340.606868654817</v>
      </c>
      <c r="R76" s="642">
        <f t="shared" si="89"/>
        <v>59464.044840137241</v>
      </c>
      <c r="S76" s="642">
        <f t="shared" si="89"/>
        <v>57551.941010554227</v>
      </c>
      <c r="T76" s="642">
        <f t="shared" si="89"/>
        <v>55611.802087505792</v>
      </c>
      <c r="U76" s="642">
        <f t="shared" si="89"/>
        <v>53658.12501504417</v>
      </c>
      <c r="V76" s="642">
        <f t="shared" si="89"/>
        <v>51708.816921378457</v>
      </c>
      <c r="W76" s="642">
        <f t="shared" si="89"/>
        <v>49779.889403575216</v>
      </c>
      <c r="X76" s="642">
        <f t="shared" si="89"/>
        <v>49590.505777369399</v>
      </c>
      <c r="Y76" s="642">
        <f t="shared" si="89"/>
        <v>45291.612482897923</v>
      </c>
      <c r="Z76" s="642">
        <f t="shared" si="89"/>
        <v>42736.568241879977</v>
      </c>
      <c r="AA76" s="642">
        <f t="shared" si="89"/>
        <v>40443.674818083979</v>
      </c>
      <c r="AB76" s="642">
        <f t="shared" si="89"/>
        <v>38183.992340104145</v>
      </c>
      <c r="AC76" s="642">
        <f t="shared" si="89"/>
        <v>35946.002148754887</v>
      </c>
      <c r="AD76" s="642">
        <f t="shared" si="89"/>
        <v>33716.546949173797</v>
      </c>
      <c r="AE76" s="642">
        <f t="shared" si="89"/>
        <v>31480.028356070139</v>
      </c>
      <c r="AF76" s="642">
        <f t="shared" si="89"/>
        <v>29222.536557857566</v>
      </c>
      <c r="AG76" s="642">
        <f t="shared" si="89"/>
        <v>26935.73186426251</v>
      </c>
      <c r="AH76" s="642">
        <f t="shared" si="89"/>
        <v>28058.353288132494</v>
      </c>
      <c r="AI76" s="641"/>
      <c r="AJ76" s="642">
        <f t="shared" ref="AJ76:BN76" si="90">AJ73-AJ74-AJ75</f>
        <v>80369.95000000007</v>
      </c>
      <c r="AK76" s="642">
        <f t="shared" si="90"/>
        <v>79363.457453903291</v>
      </c>
      <c r="AL76" s="642">
        <f t="shared" si="90"/>
        <v>78355.417999795696</v>
      </c>
      <c r="AM76" s="642">
        <f t="shared" si="90"/>
        <v>77345.683501137872</v>
      </c>
      <c r="AN76" s="642">
        <f t="shared" si="90"/>
        <v>76334.115541562263</v>
      </c>
      <c r="AO76" s="642">
        <f t="shared" si="90"/>
        <v>75320.448876651237</v>
      </c>
      <c r="AP76" s="642">
        <f t="shared" si="90"/>
        <v>74304.192746926565</v>
      </c>
      <c r="AQ76" s="642">
        <f t="shared" si="90"/>
        <v>73284.432858936023</v>
      </c>
      <c r="AR76" s="642">
        <f t="shared" si="90"/>
        <v>72259.542119923426</v>
      </c>
      <c r="AS76" s="642">
        <f t="shared" si="90"/>
        <v>71226.739670987692</v>
      </c>
      <c r="AT76" s="642">
        <f t="shared" si="90"/>
        <v>70236.823193910182</v>
      </c>
      <c r="AU76" s="642">
        <f t="shared" si="90"/>
        <v>68882.152894790706</v>
      </c>
      <c r="AV76" s="642">
        <f t="shared" si="90"/>
        <v>67556.033153954777</v>
      </c>
      <c r="AW76" s="642">
        <f t="shared" si="90"/>
        <v>66270.303715214162</v>
      </c>
      <c r="AX76" s="642">
        <f t="shared" si="90"/>
        <v>64948.119582374406</v>
      </c>
      <c r="AY76" s="642">
        <f t="shared" si="90"/>
        <v>63587.76754239617</v>
      </c>
      <c r="AZ76" s="642">
        <f t="shared" si="90"/>
        <v>62196.428174480054</v>
      </c>
      <c r="BA76" s="642">
        <f t="shared" si="90"/>
        <v>60788.669687648842</v>
      </c>
      <c r="BB76" s="642">
        <f t="shared" si="90"/>
        <v>59382.871991362597</v>
      </c>
      <c r="BC76" s="642">
        <f t="shared" si="90"/>
        <v>57995.746742065239</v>
      </c>
      <c r="BD76" s="642">
        <f t="shared" si="90"/>
        <v>58443.264046897864</v>
      </c>
      <c r="BE76" s="642">
        <f t="shared" si="90"/>
        <v>54951.8628719837</v>
      </c>
      <c r="BF76" s="642">
        <f t="shared" si="90"/>
        <v>53299.889741446372</v>
      </c>
      <c r="BG76" s="642">
        <f t="shared" si="90"/>
        <v>51910.045838698454</v>
      </c>
      <c r="BH76" s="642">
        <f t="shared" si="90"/>
        <v>50553.206820905783</v>
      </c>
      <c r="BI76" s="642">
        <f t="shared" si="90"/>
        <v>49217.125434561036</v>
      </c>
      <c r="BJ76" s="642">
        <f t="shared" si="90"/>
        <v>47887.191404149591</v>
      </c>
      <c r="BK76" s="642">
        <f t="shared" si="90"/>
        <v>46546.521890119635</v>
      </c>
      <c r="BL76" s="642">
        <f t="shared" si="90"/>
        <v>45179.508086817186</v>
      </c>
      <c r="BM76" s="642">
        <f t="shared" si="90"/>
        <v>43776.44648579054</v>
      </c>
      <c r="BN76" s="642">
        <f t="shared" si="90"/>
        <v>46137.534920001177</v>
      </c>
    </row>
    <row r="77" spans="1:67" s="401" customFormat="1">
      <c r="A77" s="400" t="s">
        <v>723</v>
      </c>
      <c r="C77" s="404" t="s">
        <v>166</v>
      </c>
      <c r="D77" s="644">
        <f>'Butadiene Recycling HC'!C258</f>
        <v>83288.685423126662</v>
      </c>
      <c r="E77" s="644">
        <f>'Butadiene Recycling HC'!D258</f>
        <v>82894.04085143478</v>
      </c>
      <c r="F77" s="644">
        <f>'Butadiene Recycling HC'!E258</f>
        <v>82499.081065627834</v>
      </c>
      <c r="G77" s="644">
        <f>'Butadiene Recycling HC'!F258</f>
        <v>82103.806065705838</v>
      </c>
      <c r="H77" s="644">
        <f>'Butadiene Recycling HC'!G258</f>
        <v>81708.215851668792</v>
      </c>
      <c r="I77" s="644">
        <f>'Butadiene Recycling HC'!H258</f>
        <v>81312.310423516668</v>
      </c>
      <c r="J77" s="644">
        <f>'Butadiene Recycling HC'!I258</f>
        <v>80665.669424157692</v>
      </c>
      <c r="K77" s="644">
        <f>'Butadiene Recycling HC'!J258</f>
        <v>80016.394503673568</v>
      </c>
      <c r="L77" s="644">
        <f>'Butadiene Recycling HC'!K258</f>
        <v>79364.485662064253</v>
      </c>
      <c r="M77" s="644">
        <f>'Butadiene Recycling HC'!L258</f>
        <v>78709.942899329777</v>
      </c>
      <c r="N77" s="644">
        <f>'Butadiene Recycling HC'!M258</f>
        <v>78052.766215470154</v>
      </c>
      <c r="O77" s="644">
        <f>'Butadiene Recycling HC'!N258</f>
        <v>77365.886823508132</v>
      </c>
      <c r="P77" s="644">
        <f>'Butadiene Recycling HC'!O258</f>
        <v>76685.359790834875</v>
      </c>
      <c r="Q77" s="644">
        <f>'Butadiene Recycling HC'!P258</f>
        <v>75797.686688464251</v>
      </c>
      <c r="R77" s="644">
        <f>'Butadiene Recycling HC'!Q258</f>
        <v>74912.983111805035</v>
      </c>
      <c r="S77" s="644">
        <f>'Butadiene Recycling HC'!R258</f>
        <v>74031.249060857255</v>
      </c>
      <c r="T77" s="644">
        <f>'Butadiene Recycling HC'!S258</f>
        <v>73152.497167408947</v>
      </c>
      <c r="U77" s="644">
        <f>'Butadiene Recycling HC'!T258</f>
        <v>72276.714911457806</v>
      </c>
      <c r="V77" s="644">
        <f>'Butadiene Recycling HC'!U258</f>
        <v>71403.902293003805</v>
      </c>
      <c r="W77" s="644">
        <f>'Butadiene Recycling HC'!V258</f>
        <v>70534.059312046971</v>
      </c>
      <c r="X77" s="644">
        <f>'Butadiene Recycling HC'!W258</f>
        <v>69667.185968587277</v>
      </c>
      <c r="Y77" s="644">
        <f>'Butadiene Recycling HC'!X258</f>
        <v>68771.449203900964</v>
      </c>
      <c r="Z77" s="644">
        <f>'Butadiene Recycling HC'!Y258</f>
        <v>67908.964222738708</v>
      </c>
      <c r="AA77" s="644">
        <f>'Butadiene Recycling HC'!Z258</f>
        <v>66719.770342818927</v>
      </c>
      <c r="AB77" s="644">
        <f>'Butadiene Recycling HC'!AA258</f>
        <v>65545.247951331025</v>
      </c>
      <c r="AC77" s="644">
        <f>'Butadiene Recycling HC'!AB258</f>
        <v>64385.397048275008</v>
      </c>
      <c r="AD77" s="644">
        <f>'Butadiene Recycling HC'!AC258</f>
        <v>63231.921333898128</v>
      </c>
      <c r="AE77" s="644">
        <f>'Butadiene Recycling HC'!AD258</f>
        <v>62093.046800328084</v>
      </c>
      <c r="AF77" s="644">
        <f>'Butadiene Recycling HC'!AE258</f>
        <v>60968.77344756489</v>
      </c>
      <c r="AG77" s="644">
        <f>'Butadiene Recycling HC'!AF258</f>
        <v>59859.101275608562</v>
      </c>
      <c r="AH77" s="644">
        <f>'Butadiene Recycling HC'!AG258</f>
        <v>58764.030284459077</v>
      </c>
      <c r="AI77" s="634"/>
      <c r="AJ77" s="644">
        <f>'Butadiene Recycling LC'!C258</f>
        <v>83288.685423126662</v>
      </c>
      <c r="AK77" s="644">
        <f>'Butadiene Recycling LC'!D258</f>
        <v>82900.589953665913</v>
      </c>
      <c r="AL77" s="644">
        <f>'Butadiene Recycling LC'!E258</f>
        <v>82512.241346888492</v>
      </c>
      <c r="AM77" s="644">
        <f>'Butadiene Recycling LC'!F258</f>
        <v>82123.639602794428</v>
      </c>
      <c r="AN77" s="644">
        <f>'Butadiene Recycling LC'!G258</f>
        <v>81734.784721383709</v>
      </c>
      <c r="AO77" s="644">
        <f>'Butadiene Recycling LC'!H258</f>
        <v>81345.676702656347</v>
      </c>
      <c r="AP77" s="644">
        <f>'Butadiene Recycling LC'!I258</f>
        <v>80831.105368066404</v>
      </c>
      <c r="AQ77" s="644">
        <f>'Butadiene Recycling LC'!J258</f>
        <v>80315.121542654786</v>
      </c>
      <c r="AR77" s="644">
        <f>'Butadiene Recycling LC'!K258</f>
        <v>79797.725226421404</v>
      </c>
      <c r="AS77" s="644">
        <f>'Butadiene Recycling LC'!L258</f>
        <v>79278.916419366346</v>
      </c>
      <c r="AT77" s="644">
        <f>'Butadiene Recycling LC'!M258</f>
        <v>78758.695121489553</v>
      </c>
      <c r="AU77" s="644">
        <f>'Butadiene Recycling LC'!N258</f>
        <v>78217.030430427927</v>
      </c>
      <c r="AV77" s="644">
        <f>'Butadiene Recycling LC'!O258</f>
        <v>77681.803158136478</v>
      </c>
      <c r="AW77" s="644">
        <f>'Butadiene Recycling LC'!P258</f>
        <v>77039.093427368614</v>
      </c>
      <c r="AX77" s="644">
        <f>'Butadiene Recycling LC'!Q258</f>
        <v>76397.710954073307</v>
      </c>
      <c r="AY77" s="644">
        <f>'Butadiene Recycling LC'!R258</f>
        <v>75757.655738250454</v>
      </c>
      <c r="AZ77" s="644">
        <f>'Butadiene Recycling LC'!S258</f>
        <v>75118.934095794189</v>
      </c>
      <c r="BA77" s="644">
        <f>'Butadiene Recycling LC'!T258</f>
        <v>74481.539766703281</v>
      </c>
      <c r="BB77" s="644">
        <f>'Butadiene Recycling LC'!U258</f>
        <v>73845.472750977759</v>
      </c>
      <c r="BC77" s="644">
        <f>'Butadiene Recycling LC'!V258</f>
        <v>73210.733048617592</v>
      </c>
      <c r="BD77" s="644">
        <f>'Butadiene Recycling LC'!W258</f>
        <v>72577.320659622826</v>
      </c>
      <c r="BE77" s="644">
        <f>'Butadiene Recycling LC'!X258</f>
        <v>71917.748645228814</v>
      </c>
      <c r="BF77" s="644">
        <f>'Butadiene Recycling LC'!Y258</f>
        <v>71285.851210571098</v>
      </c>
      <c r="BG77" s="644">
        <f>'Butadiene Recycling LC'!Z258</f>
        <v>70490.439113154076</v>
      </c>
      <c r="BH77" s="644">
        <f>'Butadiene Recycling LC'!AA258</f>
        <v>69702.2025465724</v>
      </c>
      <c r="BI77" s="644">
        <f>'Butadiene Recycling LC'!AB258</f>
        <v>68921.141510826157</v>
      </c>
      <c r="BJ77" s="644">
        <f>'Butadiene Recycling LC'!AC258</f>
        <v>68143.107856038943</v>
      </c>
      <c r="BK77" s="644">
        <f>'Butadiene Recycling LC'!AD258</f>
        <v>67372.214578274565</v>
      </c>
      <c r="BL77" s="644">
        <f>'Butadiene Recycling LC'!AE258</f>
        <v>66608.46167753308</v>
      </c>
      <c r="BM77" s="644">
        <f>'Butadiene Recycling LC'!AF258</f>
        <v>65851.849153814459</v>
      </c>
      <c r="BN77" s="644">
        <f>'Butadiene Recycling LC'!AG258</f>
        <v>65102.377007118688</v>
      </c>
    </row>
    <row r="78" spans="1:67" s="403" customFormat="1">
      <c r="A78" s="402" t="s">
        <v>724</v>
      </c>
      <c r="C78" s="406" t="s">
        <v>166</v>
      </c>
      <c r="D78" s="645">
        <f>'Butadiene Recycling HC'!C259</f>
        <v>83288.685423126662</v>
      </c>
      <c r="E78" s="645">
        <f>'Butadiene Recycling HC'!D259</f>
        <v>82894.04085143478</v>
      </c>
      <c r="F78" s="645">
        <f>'Butadiene Recycling HC'!E259</f>
        <v>82499.081065627834</v>
      </c>
      <c r="G78" s="645">
        <f>'Butadiene Recycling HC'!F259</f>
        <v>82103.806065705838</v>
      </c>
      <c r="H78" s="645">
        <f>'Butadiene Recycling HC'!G259</f>
        <v>81708.215851668792</v>
      </c>
      <c r="I78" s="645">
        <f>'Butadiene Recycling HC'!H259</f>
        <v>81312.310423516668</v>
      </c>
      <c r="J78" s="645">
        <f>'Butadiene Recycling HC'!I259</f>
        <v>80665.669424157692</v>
      </c>
      <c r="K78" s="645">
        <f>'Butadiene Recycling HC'!J259</f>
        <v>80016.394503673568</v>
      </c>
      <c r="L78" s="645">
        <f>'Butadiene Recycling HC'!K259</f>
        <v>79364.485662064253</v>
      </c>
      <c r="M78" s="645">
        <f>'Butadiene Recycling HC'!L259</f>
        <v>78709.942899329777</v>
      </c>
      <c r="N78" s="645">
        <f>'Butadiene Recycling HC'!M259</f>
        <v>78052.766215470154</v>
      </c>
      <c r="O78" s="645">
        <f>'Butadiene Recycling HC'!N259</f>
        <v>77365.886823508132</v>
      </c>
      <c r="P78" s="645">
        <f>'Butadiene Recycling HC'!O259</f>
        <v>76685.359790834875</v>
      </c>
      <c r="Q78" s="645">
        <f>'Butadiene Recycling HC'!P259</f>
        <v>75797.686688464251</v>
      </c>
      <c r="R78" s="645">
        <f>'Butadiene Recycling HC'!Q259</f>
        <v>74912.983111805035</v>
      </c>
      <c r="S78" s="645">
        <f>'Butadiene Recycling HC'!R259</f>
        <v>74031.249060857255</v>
      </c>
      <c r="T78" s="645">
        <f>'Butadiene Recycling HC'!S259</f>
        <v>73152.497167408947</v>
      </c>
      <c r="U78" s="645">
        <f>'Butadiene Recycling HC'!T259</f>
        <v>72276.714911457806</v>
      </c>
      <c r="V78" s="645">
        <f>'Butadiene Recycling HC'!U259</f>
        <v>71403.902293003805</v>
      </c>
      <c r="W78" s="645">
        <f>'Butadiene Recycling HC'!V259</f>
        <v>70534.059312046971</v>
      </c>
      <c r="X78" s="645">
        <f>'Butadiene Recycling HC'!W259</f>
        <v>69667.185968587277</v>
      </c>
      <c r="Y78" s="645">
        <f>'Butadiene Recycling HC'!X259</f>
        <v>68771.449203900964</v>
      </c>
      <c r="Z78" s="645">
        <f>'Butadiene Recycling HC'!Y259</f>
        <v>67908.964222738708</v>
      </c>
      <c r="AA78" s="645">
        <f>'Butadiene Recycling HC'!Z259</f>
        <v>66719.770342818927</v>
      </c>
      <c r="AB78" s="645">
        <f>'Butadiene Recycling HC'!AA259</f>
        <v>65545.247951331025</v>
      </c>
      <c r="AC78" s="645">
        <f>'Butadiene Recycling HC'!AB259</f>
        <v>64385.397048275008</v>
      </c>
      <c r="AD78" s="645">
        <f>'Butadiene Recycling HC'!AC259</f>
        <v>63231.921333898128</v>
      </c>
      <c r="AE78" s="645">
        <f>'Butadiene Recycling HC'!AD259</f>
        <v>62093.046800328084</v>
      </c>
      <c r="AF78" s="645">
        <f>'Butadiene Recycling HC'!AE259</f>
        <v>60968.77344756489</v>
      </c>
      <c r="AG78" s="645">
        <f>'Butadiene Recycling HC'!AF259</f>
        <v>59859.101275608562</v>
      </c>
      <c r="AH78" s="645">
        <f>'Butadiene Recycling HC'!AG259</f>
        <v>58764.030284459077</v>
      </c>
      <c r="AI78" s="646"/>
      <c r="AJ78" s="645">
        <f>'Butadiene Recycling LC'!C259</f>
        <v>83288.685423126662</v>
      </c>
      <c r="AK78" s="645">
        <f>'Butadiene Recycling LC'!D259</f>
        <v>82900.589953665913</v>
      </c>
      <c r="AL78" s="645">
        <f>'Butadiene Recycling LC'!E259</f>
        <v>82512.241346888492</v>
      </c>
      <c r="AM78" s="645">
        <f>'Butadiene Recycling LC'!F259</f>
        <v>82123.639602794428</v>
      </c>
      <c r="AN78" s="645">
        <f>'Butadiene Recycling LC'!G259</f>
        <v>81734.784721383709</v>
      </c>
      <c r="AO78" s="645">
        <f>'Butadiene Recycling LC'!H259</f>
        <v>81345.676702656347</v>
      </c>
      <c r="AP78" s="645">
        <f>'Butadiene Recycling LC'!I259</f>
        <v>80831.105368066404</v>
      </c>
      <c r="AQ78" s="645">
        <f>'Butadiene Recycling LC'!J259</f>
        <v>80315.121542654786</v>
      </c>
      <c r="AR78" s="645">
        <f>'Butadiene Recycling LC'!K259</f>
        <v>79797.725226421404</v>
      </c>
      <c r="AS78" s="645">
        <f>'Butadiene Recycling LC'!L259</f>
        <v>79278.916419366346</v>
      </c>
      <c r="AT78" s="645">
        <f>'Butadiene Recycling LC'!M259</f>
        <v>78758.695121489553</v>
      </c>
      <c r="AU78" s="645">
        <f>'Butadiene Recycling LC'!N259</f>
        <v>78217.030430427927</v>
      </c>
      <c r="AV78" s="645">
        <f>'Butadiene Recycling LC'!O259</f>
        <v>77681.803158136478</v>
      </c>
      <c r="AW78" s="645">
        <f>'Butadiene Recycling LC'!P259</f>
        <v>77039.093427368614</v>
      </c>
      <c r="AX78" s="645">
        <f>'Butadiene Recycling LC'!Q259</f>
        <v>76397.710954073307</v>
      </c>
      <c r="AY78" s="645">
        <f>'Butadiene Recycling LC'!R259</f>
        <v>75757.655738250454</v>
      </c>
      <c r="AZ78" s="645">
        <f>'Butadiene Recycling LC'!S259</f>
        <v>75118.934095794189</v>
      </c>
      <c r="BA78" s="645">
        <f>'Butadiene Recycling LC'!T259</f>
        <v>74481.539766703281</v>
      </c>
      <c r="BB78" s="645">
        <f>'Butadiene Recycling LC'!U259</f>
        <v>73845.472750977759</v>
      </c>
      <c r="BC78" s="645">
        <f>'Butadiene Recycling LC'!V259</f>
        <v>73210.733048617592</v>
      </c>
      <c r="BD78" s="645">
        <f>'Butadiene Recycling LC'!W259</f>
        <v>72577.320659622826</v>
      </c>
      <c r="BE78" s="645">
        <f>'Butadiene Recycling LC'!X259</f>
        <v>71917.748645228814</v>
      </c>
      <c r="BF78" s="645">
        <f>'Butadiene Recycling LC'!Y259</f>
        <v>71285.851210571098</v>
      </c>
      <c r="BG78" s="645">
        <f>'Butadiene Recycling LC'!Z259</f>
        <v>70490.439113154076</v>
      </c>
      <c r="BH78" s="645">
        <f>'Butadiene Recycling LC'!AA259</f>
        <v>69702.2025465724</v>
      </c>
      <c r="BI78" s="645">
        <f>'Butadiene Recycling LC'!AB259</f>
        <v>68921.141510826157</v>
      </c>
      <c r="BJ78" s="645">
        <f>'Butadiene Recycling LC'!AC259</f>
        <v>68143.107856038943</v>
      </c>
      <c r="BK78" s="645">
        <f>'Butadiene Recycling LC'!AD259</f>
        <v>67372.214578274565</v>
      </c>
      <c r="BL78" s="645">
        <f>'Butadiene Recycling LC'!AE259</f>
        <v>66608.46167753308</v>
      </c>
      <c r="BM78" s="645">
        <f>'Butadiene Recycling LC'!AF259</f>
        <v>65851.849153814459</v>
      </c>
      <c r="BN78" s="645">
        <f>'Butadiene Recycling LC'!AG259</f>
        <v>65102.377007118688</v>
      </c>
    </row>
  </sheetData>
  <mergeCells count="2">
    <mergeCell ref="D1:AH1"/>
    <mergeCell ref="AJ1:BN1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25673-63A0-40CE-A139-6565BC8C6929}">
  <sheetPr>
    <tabColor theme="9"/>
  </sheetPr>
  <dimension ref="A1:CK126"/>
  <sheetViews>
    <sheetView zoomScale="80" zoomScaleNormal="80" workbookViewId="0">
      <pane xSplit="3" ySplit="3" topLeftCell="D89" activePane="bottomRight" state="frozen"/>
      <selection pane="topRight" activeCell="D1" sqref="D1"/>
      <selection pane="bottomLeft" activeCell="A4" sqref="A4"/>
      <selection pane="bottomRight" activeCell="AI120" sqref="AI120"/>
    </sheetView>
  </sheetViews>
  <sheetFormatPr defaultRowHeight="14.75" outlineLevelRow="2" outlineLevelCol="1"/>
  <cols>
    <col min="1" max="1" width="42.54296875" style="1" customWidth="1"/>
    <col min="2" max="2" width="26.36328125" style="1" customWidth="1"/>
    <col min="3" max="3" width="10.81640625" customWidth="1"/>
    <col min="4" max="4" width="18.81640625" customWidth="1"/>
    <col min="5" max="6" width="8.81640625" hidden="1" customWidth="1" outlineLevel="1"/>
    <col min="7" max="7" width="11.08984375" hidden="1" customWidth="1" outlineLevel="1"/>
    <col min="8" max="8" width="8.81640625" hidden="1" customWidth="1" outlineLevel="1"/>
    <col min="9" max="9" width="9.54296875" hidden="1" customWidth="1" outlineLevel="1"/>
    <col min="10" max="13" width="8.81640625" hidden="1" customWidth="1" outlineLevel="1"/>
    <col min="14" max="14" width="11.40625" customWidth="1" collapsed="1"/>
    <col min="15" max="15" width="11.36328125" hidden="1" customWidth="1" outlineLevel="1"/>
    <col min="16" max="23" width="8.81640625" hidden="1" customWidth="1" outlineLevel="1"/>
    <col min="24" max="24" width="13.58984375" bestFit="1" customWidth="1" collapsed="1"/>
    <col min="25" max="25" width="7.08984375" hidden="1" customWidth="1" outlineLevel="1"/>
    <col min="26" max="33" width="8.81640625" hidden="1" customWidth="1" outlineLevel="1"/>
    <col min="34" max="34" width="13.58984375" bestFit="1" customWidth="1" collapsed="1"/>
    <col min="35" max="35" width="16.36328125" bestFit="1" customWidth="1"/>
    <col min="36" max="36" width="18.81640625" customWidth="1"/>
    <col min="37" max="38" width="8.81640625" hidden="1" customWidth="1" outlineLevel="1"/>
    <col min="39" max="39" width="11.08984375" hidden="1" customWidth="1" outlineLevel="1"/>
    <col min="40" max="40" width="8.81640625" hidden="1" customWidth="1" outlineLevel="1"/>
    <col min="41" max="41" width="9.54296875" hidden="1" customWidth="1" outlineLevel="1"/>
    <col min="42" max="45" width="8.81640625" hidden="1" customWidth="1" outlineLevel="1"/>
    <col min="46" max="46" width="8.81640625" customWidth="1" collapsed="1"/>
    <col min="47" max="47" width="11.36328125" hidden="1" customWidth="1" outlineLevel="1"/>
    <col min="48" max="55" width="8.81640625" hidden="1" customWidth="1" outlineLevel="1"/>
    <col min="56" max="56" width="13.58984375" bestFit="1" customWidth="1" collapsed="1"/>
    <col min="57" max="57" width="7.08984375" hidden="1" customWidth="1" outlineLevel="1"/>
    <col min="58" max="65" width="8.81640625" hidden="1" customWidth="1" outlineLevel="1"/>
    <col min="66" max="66" width="13.58984375" bestFit="1" customWidth="1" collapsed="1"/>
    <col min="67" max="68" width="8.81640625" bestFit="1" customWidth="1"/>
    <col min="69" max="69" width="27" customWidth="1"/>
    <col min="70" max="70" width="37.36328125" bestFit="1" customWidth="1"/>
    <col min="71" max="97" width="8.81640625" bestFit="1" customWidth="1"/>
  </cols>
  <sheetData>
    <row r="1" spans="1:89">
      <c r="D1" s="683" t="s">
        <v>1188</v>
      </c>
      <c r="E1" s="683"/>
      <c r="F1" s="683"/>
      <c r="G1" s="683"/>
      <c r="H1" s="683"/>
      <c r="I1" s="683"/>
      <c r="J1" s="683"/>
      <c r="K1" s="683"/>
      <c r="L1" s="683"/>
      <c r="M1" s="683"/>
      <c r="N1" s="683"/>
      <c r="O1" s="683"/>
      <c r="P1" s="683"/>
      <c r="Q1" s="683"/>
      <c r="R1" s="683"/>
      <c r="S1" s="683"/>
      <c r="T1" s="683"/>
      <c r="U1" s="683"/>
      <c r="V1" s="683"/>
      <c r="W1" s="683"/>
      <c r="X1" s="683"/>
      <c r="Y1" s="683"/>
      <c r="Z1" s="683"/>
      <c r="AA1" s="683"/>
      <c r="AB1" s="683"/>
      <c r="AC1" s="683"/>
      <c r="AD1" s="683"/>
      <c r="AE1" s="683"/>
      <c r="AF1" s="683"/>
      <c r="AG1" s="683"/>
      <c r="AH1" s="683"/>
      <c r="AJ1" s="683" t="s">
        <v>1189</v>
      </c>
      <c r="AK1" s="683"/>
      <c r="AL1" s="683"/>
      <c r="AM1" s="683"/>
      <c r="AN1" s="683"/>
      <c r="AO1" s="683"/>
      <c r="AP1" s="683"/>
      <c r="AQ1" s="683"/>
      <c r="AR1" s="683"/>
      <c r="AS1" s="683"/>
      <c r="AT1" s="683"/>
      <c r="AU1" s="683"/>
      <c r="AV1" s="683"/>
      <c r="AW1" s="683"/>
      <c r="AX1" s="683"/>
      <c r="AY1" s="683"/>
      <c r="AZ1" s="683"/>
      <c r="BA1" s="683"/>
      <c r="BB1" s="683"/>
      <c r="BC1" s="683"/>
      <c r="BD1" s="683"/>
      <c r="BE1" s="683"/>
      <c r="BF1" s="683"/>
      <c r="BG1" s="683"/>
      <c r="BH1" s="683"/>
      <c r="BI1" s="683"/>
      <c r="BJ1" s="683"/>
      <c r="BK1" s="683"/>
      <c r="BL1" s="683"/>
      <c r="BM1" s="683"/>
      <c r="BN1" s="683"/>
    </row>
    <row r="2" spans="1:89" s="50" customFormat="1">
      <c r="A2" s="49" t="s">
        <v>1299</v>
      </c>
      <c r="B2" s="49"/>
      <c r="C2" s="49"/>
      <c r="AI2"/>
    </row>
    <row r="3" spans="1:89" s="1" customFormat="1" ht="15.5" thickBot="1">
      <c r="D3" s="1">
        <v>2020</v>
      </c>
      <c r="E3" s="1">
        <f>D3+1</f>
        <v>2021</v>
      </c>
      <c r="F3" s="1">
        <f t="shared" ref="F3:AH3" si="0">E3+1</f>
        <v>2022</v>
      </c>
      <c r="G3" s="1">
        <f t="shared" si="0"/>
        <v>2023</v>
      </c>
      <c r="H3" s="1">
        <f t="shared" si="0"/>
        <v>2024</v>
      </c>
      <c r="I3" s="1">
        <f t="shared" si="0"/>
        <v>2025</v>
      </c>
      <c r="J3" s="1">
        <f t="shared" si="0"/>
        <v>2026</v>
      </c>
      <c r="K3" s="1">
        <f t="shared" si="0"/>
        <v>2027</v>
      </c>
      <c r="L3" s="1">
        <f t="shared" si="0"/>
        <v>2028</v>
      </c>
      <c r="M3" s="1">
        <f t="shared" si="0"/>
        <v>2029</v>
      </c>
      <c r="N3" s="1">
        <f t="shared" si="0"/>
        <v>2030</v>
      </c>
      <c r="O3" s="1">
        <f t="shared" si="0"/>
        <v>2031</v>
      </c>
      <c r="P3" s="1">
        <f t="shared" si="0"/>
        <v>2032</v>
      </c>
      <c r="Q3" s="1">
        <f t="shared" si="0"/>
        <v>2033</v>
      </c>
      <c r="R3" s="1">
        <f>Q3+1</f>
        <v>2034</v>
      </c>
      <c r="S3" s="1">
        <f t="shared" si="0"/>
        <v>2035</v>
      </c>
      <c r="T3" s="1">
        <f t="shared" si="0"/>
        <v>2036</v>
      </c>
      <c r="U3" s="1">
        <f t="shared" si="0"/>
        <v>2037</v>
      </c>
      <c r="V3" s="1">
        <f t="shared" si="0"/>
        <v>2038</v>
      </c>
      <c r="W3" s="1">
        <f t="shared" si="0"/>
        <v>2039</v>
      </c>
      <c r="X3" s="1">
        <f t="shared" si="0"/>
        <v>2040</v>
      </c>
      <c r="Y3" s="1">
        <f t="shared" si="0"/>
        <v>2041</v>
      </c>
      <c r="Z3" s="1">
        <f t="shared" si="0"/>
        <v>2042</v>
      </c>
      <c r="AA3" s="1">
        <f t="shared" si="0"/>
        <v>2043</v>
      </c>
      <c r="AB3" s="1">
        <f t="shared" si="0"/>
        <v>2044</v>
      </c>
      <c r="AC3" s="1">
        <f>AB3+1</f>
        <v>2045</v>
      </c>
      <c r="AD3" s="1">
        <f t="shared" si="0"/>
        <v>2046</v>
      </c>
      <c r="AE3" s="1">
        <f t="shared" si="0"/>
        <v>2047</v>
      </c>
      <c r="AF3" s="1">
        <f t="shared" si="0"/>
        <v>2048</v>
      </c>
      <c r="AG3" s="1">
        <f>AF3+1</f>
        <v>2049</v>
      </c>
      <c r="AH3" s="1">
        <f t="shared" si="0"/>
        <v>2050</v>
      </c>
      <c r="AJ3" s="1">
        <v>2020</v>
      </c>
      <c r="AK3" s="1">
        <f>AJ3+1</f>
        <v>2021</v>
      </c>
      <c r="AL3" s="1">
        <f t="shared" ref="AL3:AW3" si="1">AK3+1</f>
        <v>2022</v>
      </c>
      <c r="AM3" s="1">
        <f t="shared" si="1"/>
        <v>2023</v>
      </c>
      <c r="AN3" s="1">
        <f t="shared" si="1"/>
        <v>2024</v>
      </c>
      <c r="AO3" s="1">
        <f t="shared" si="1"/>
        <v>2025</v>
      </c>
      <c r="AP3" s="1">
        <f t="shared" si="1"/>
        <v>2026</v>
      </c>
      <c r="AQ3" s="1">
        <f t="shared" si="1"/>
        <v>2027</v>
      </c>
      <c r="AR3" s="1">
        <f t="shared" si="1"/>
        <v>2028</v>
      </c>
      <c r="AS3" s="1">
        <f t="shared" si="1"/>
        <v>2029</v>
      </c>
      <c r="AT3" s="1">
        <f t="shared" si="1"/>
        <v>2030</v>
      </c>
      <c r="AU3" s="1">
        <f t="shared" si="1"/>
        <v>2031</v>
      </c>
      <c r="AV3" s="1">
        <f t="shared" si="1"/>
        <v>2032</v>
      </c>
      <c r="AW3" s="1">
        <f t="shared" si="1"/>
        <v>2033</v>
      </c>
      <c r="AX3" s="1">
        <f>AW3+1</f>
        <v>2034</v>
      </c>
      <c r="AY3" s="1">
        <f t="shared" ref="AY3:BH3" si="2">AX3+1</f>
        <v>2035</v>
      </c>
      <c r="AZ3" s="1">
        <f t="shared" si="2"/>
        <v>2036</v>
      </c>
      <c r="BA3" s="1">
        <f t="shared" si="2"/>
        <v>2037</v>
      </c>
      <c r="BB3" s="1">
        <f t="shared" si="2"/>
        <v>2038</v>
      </c>
      <c r="BC3" s="1">
        <f t="shared" si="2"/>
        <v>2039</v>
      </c>
      <c r="BD3" s="1">
        <f t="shared" si="2"/>
        <v>2040</v>
      </c>
      <c r="BE3" s="1">
        <f t="shared" si="2"/>
        <v>2041</v>
      </c>
      <c r="BF3" s="1">
        <f t="shared" si="2"/>
        <v>2042</v>
      </c>
      <c r="BG3" s="1">
        <f t="shared" si="2"/>
        <v>2043</v>
      </c>
      <c r="BH3" s="1">
        <f t="shared" si="2"/>
        <v>2044</v>
      </c>
      <c r="BI3" s="1">
        <f>BH3+1</f>
        <v>2045</v>
      </c>
      <c r="BJ3" s="1">
        <f t="shared" ref="BJ3:BL3" si="3">BI3+1</f>
        <v>2046</v>
      </c>
      <c r="BK3" s="1">
        <f t="shared" si="3"/>
        <v>2047</v>
      </c>
      <c r="BL3" s="1">
        <f t="shared" si="3"/>
        <v>2048</v>
      </c>
      <c r="BM3" s="1">
        <f>BL3+1</f>
        <v>2049</v>
      </c>
      <c r="BN3" s="1">
        <f t="shared" ref="BN3" si="4">BM3+1</f>
        <v>2050</v>
      </c>
    </row>
    <row r="4" spans="1:89" s="527" customFormat="1">
      <c r="A4" s="523" t="s">
        <v>1300</v>
      </c>
      <c r="B4" s="524"/>
      <c r="C4" s="525" t="s">
        <v>166</v>
      </c>
      <c r="D4" s="628">
        <f>'Yearly Demand - BTX'!N3</f>
        <v>4369539.7493458875</v>
      </c>
      <c r="E4" s="628">
        <f>'Yearly Demand - BTX'!O3</f>
        <v>4369539.7493458875</v>
      </c>
      <c r="F4" s="628">
        <f>'Yearly Demand - BTX'!P3</f>
        <v>4369539.7493458875</v>
      </c>
      <c r="G4" s="628">
        <f>'Yearly Demand - BTX'!Q3</f>
        <v>4369539.7493458875</v>
      </c>
      <c r="H4" s="628">
        <f>'Yearly Demand - BTX'!R3</f>
        <v>4369539.7493458875</v>
      </c>
      <c r="I4" s="628">
        <f>'Yearly Demand - BTX'!S3</f>
        <v>4369539.7493458875</v>
      </c>
      <c r="J4" s="628">
        <f>'Yearly Demand - BTX'!T3</f>
        <v>4369539.7493458875</v>
      </c>
      <c r="K4" s="628">
        <f>'Yearly Demand - BTX'!U3</f>
        <v>4369539.7493458875</v>
      </c>
      <c r="L4" s="628">
        <f>'Yearly Demand - BTX'!V3</f>
        <v>4369539.7493458875</v>
      </c>
      <c r="M4" s="628">
        <f>'Yearly Demand - BTX'!W3</f>
        <v>4369539.7493458875</v>
      </c>
      <c r="N4" s="628">
        <f>'Yearly Demand - BTX'!X3</f>
        <v>4369539.7493458875</v>
      </c>
      <c r="O4" s="628">
        <f>'Yearly Demand - BTX'!Y3</f>
        <v>4369539.7493458875</v>
      </c>
      <c r="P4" s="628">
        <f>'Yearly Demand - BTX'!Z3</f>
        <v>4369539.7493458875</v>
      </c>
      <c r="Q4" s="628">
        <f>'Yearly Demand - BTX'!AA3</f>
        <v>4369539.7493458875</v>
      </c>
      <c r="R4" s="628">
        <f>'Yearly Demand - BTX'!AB3</f>
        <v>4369539.7493458875</v>
      </c>
      <c r="S4" s="628">
        <f>'Yearly Demand - BTX'!AC3</f>
        <v>4369539.7493458875</v>
      </c>
      <c r="T4" s="628">
        <f>'Yearly Demand - BTX'!AD3</f>
        <v>4369539.7493458875</v>
      </c>
      <c r="U4" s="628">
        <f>'Yearly Demand - BTX'!AE3</f>
        <v>4369539.7493458875</v>
      </c>
      <c r="V4" s="628">
        <f>'Yearly Demand - BTX'!AF3</f>
        <v>4369539.7493458875</v>
      </c>
      <c r="W4" s="628">
        <f>'Yearly Demand - BTX'!AG3</f>
        <v>4369539.7493458875</v>
      </c>
      <c r="X4" s="628">
        <f>'Yearly Demand - BTX'!AH3</f>
        <v>4369539.7493458875</v>
      </c>
      <c r="Y4" s="628">
        <f>'Yearly Demand - BTX'!AI3</f>
        <v>4369539.7493458875</v>
      </c>
      <c r="Z4" s="628">
        <f>'Yearly Demand - BTX'!AJ3</f>
        <v>4369539.7493458875</v>
      </c>
      <c r="AA4" s="628">
        <f>'Yearly Demand - BTX'!AK3</f>
        <v>4369539.7493458875</v>
      </c>
      <c r="AB4" s="628">
        <f>'Yearly Demand - BTX'!AL3</f>
        <v>4369539.7493458875</v>
      </c>
      <c r="AC4" s="628">
        <f>'Yearly Demand - BTX'!AM3</f>
        <v>4369539.7493458875</v>
      </c>
      <c r="AD4" s="628">
        <f>'Yearly Demand - BTX'!AN3</f>
        <v>4369539.7493458875</v>
      </c>
      <c r="AE4" s="628">
        <f>'Yearly Demand - BTX'!AO3</f>
        <v>4369539.7493458875</v>
      </c>
      <c r="AF4" s="628">
        <f>'Yearly Demand - BTX'!AP3</f>
        <v>4369539.7493458875</v>
      </c>
      <c r="AG4" s="628">
        <f>'Yearly Demand - BTX'!AQ3</f>
        <v>4369539.7493458875</v>
      </c>
      <c r="AH4" s="628">
        <f>'Yearly Demand - BTX'!AR3</f>
        <v>4369539.7493458875</v>
      </c>
      <c r="AI4" s="629"/>
      <c r="AJ4" s="628">
        <f>D4</f>
        <v>4369539.7493458875</v>
      </c>
      <c r="AK4" s="628">
        <f t="shared" ref="AK4:BN7" si="5">E4</f>
        <v>4369539.7493458875</v>
      </c>
      <c r="AL4" s="628">
        <f t="shared" si="5"/>
        <v>4369539.7493458875</v>
      </c>
      <c r="AM4" s="628">
        <f t="shared" si="5"/>
        <v>4369539.7493458875</v>
      </c>
      <c r="AN4" s="628">
        <f t="shared" si="5"/>
        <v>4369539.7493458875</v>
      </c>
      <c r="AO4" s="628">
        <f t="shared" si="5"/>
        <v>4369539.7493458875</v>
      </c>
      <c r="AP4" s="628">
        <f t="shared" si="5"/>
        <v>4369539.7493458875</v>
      </c>
      <c r="AQ4" s="628">
        <f t="shared" si="5"/>
        <v>4369539.7493458875</v>
      </c>
      <c r="AR4" s="628">
        <f t="shared" si="5"/>
        <v>4369539.7493458875</v>
      </c>
      <c r="AS4" s="628">
        <f t="shared" si="5"/>
        <v>4369539.7493458875</v>
      </c>
      <c r="AT4" s="628">
        <f t="shared" si="5"/>
        <v>4369539.7493458875</v>
      </c>
      <c r="AU4" s="628">
        <f t="shared" si="5"/>
        <v>4369539.7493458875</v>
      </c>
      <c r="AV4" s="628">
        <f t="shared" si="5"/>
        <v>4369539.7493458875</v>
      </c>
      <c r="AW4" s="628">
        <f t="shared" si="5"/>
        <v>4369539.7493458875</v>
      </c>
      <c r="AX4" s="628">
        <f t="shared" si="5"/>
        <v>4369539.7493458875</v>
      </c>
      <c r="AY4" s="628">
        <f t="shared" si="5"/>
        <v>4369539.7493458875</v>
      </c>
      <c r="AZ4" s="628">
        <f t="shared" si="5"/>
        <v>4369539.7493458875</v>
      </c>
      <c r="BA4" s="628">
        <f t="shared" si="5"/>
        <v>4369539.7493458875</v>
      </c>
      <c r="BB4" s="628">
        <f t="shared" si="5"/>
        <v>4369539.7493458875</v>
      </c>
      <c r="BC4" s="628">
        <f t="shared" si="5"/>
        <v>4369539.7493458875</v>
      </c>
      <c r="BD4" s="628">
        <f t="shared" si="5"/>
        <v>4369539.7493458875</v>
      </c>
      <c r="BE4" s="628">
        <f t="shared" si="5"/>
        <v>4369539.7493458875</v>
      </c>
      <c r="BF4" s="628">
        <f t="shared" si="5"/>
        <v>4369539.7493458875</v>
      </c>
      <c r="BG4" s="628">
        <f t="shared" si="5"/>
        <v>4369539.7493458875</v>
      </c>
      <c r="BH4" s="628">
        <f t="shared" si="5"/>
        <v>4369539.7493458875</v>
      </c>
      <c r="BI4" s="628">
        <f t="shared" si="5"/>
        <v>4369539.7493458875</v>
      </c>
      <c r="BJ4" s="628">
        <f t="shared" si="5"/>
        <v>4369539.7493458875</v>
      </c>
      <c r="BK4" s="628">
        <f t="shared" si="5"/>
        <v>4369539.7493458875</v>
      </c>
      <c r="BL4" s="628">
        <f t="shared" si="5"/>
        <v>4369539.7493458875</v>
      </c>
      <c r="BM4" s="628">
        <f t="shared" si="5"/>
        <v>4369539.7493458875</v>
      </c>
      <c r="BN4" s="628">
        <f t="shared" si="5"/>
        <v>4369539.7493458875</v>
      </c>
    </row>
    <row r="5" spans="1:89" s="62" customFormat="1" ht="15" customHeight="1">
      <c r="A5" s="684"/>
      <c r="B5" s="55" t="s">
        <v>88</v>
      </c>
      <c r="C5" s="56" t="s">
        <v>166</v>
      </c>
      <c r="D5" s="630">
        <f>'Yearly Demand - BTX'!N7</f>
        <v>1554736.2216997449</v>
      </c>
      <c r="E5" s="630">
        <f>'Yearly Demand - BTX'!O7</f>
        <v>1554736.2216997449</v>
      </c>
      <c r="F5" s="630">
        <f>'Yearly Demand - BTX'!P7</f>
        <v>1554736.2216997449</v>
      </c>
      <c r="G5" s="630">
        <f>'Yearly Demand - BTX'!Q7</f>
        <v>1554736.2216997449</v>
      </c>
      <c r="H5" s="630">
        <f>'Yearly Demand - BTX'!R7</f>
        <v>1554736.2216997449</v>
      </c>
      <c r="I5" s="630">
        <f>'Yearly Demand - BTX'!S7</f>
        <v>1554736.2216997449</v>
      </c>
      <c r="J5" s="630">
        <f>'Yearly Demand - BTX'!T7</f>
        <v>1554736.2216997449</v>
      </c>
      <c r="K5" s="630">
        <f>'Yearly Demand - BTX'!U7</f>
        <v>1554736.2216997449</v>
      </c>
      <c r="L5" s="630">
        <f>'Yearly Demand - BTX'!V7</f>
        <v>1554736.2216997449</v>
      </c>
      <c r="M5" s="630">
        <f>'Yearly Demand - BTX'!W7</f>
        <v>1554736.2216997449</v>
      </c>
      <c r="N5" s="630">
        <f>'Yearly Demand - BTX'!X7</f>
        <v>1554736.2216997449</v>
      </c>
      <c r="O5" s="630">
        <f>'Yearly Demand - BTX'!Y7</f>
        <v>1554736.2216997449</v>
      </c>
      <c r="P5" s="630">
        <f>'Yearly Demand - BTX'!Z7</f>
        <v>1554736.2216997449</v>
      </c>
      <c r="Q5" s="630">
        <f>'Yearly Demand - BTX'!AA7</f>
        <v>1554736.2216997449</v>
      </c>
      <c r="R5" s="630">
        <f>'Yearly Demand - BTX'!AB7</f>
        <v>1554736.2216997449</v>
      </c>
      <c r="S5" s="630">
        <f>'Yearly Demand - BTX'!AC7</f>
        <v>1554736.2216997449</v>
      </c>
      <c r="T5" s="630">
        <f>'Yearly Demand - BTX'!AD7</f>
        <v>1554736.2216997449</v>
      </c>
      <c r="U5" s="630">
        <f>'Yearly Demand - BTX'!AE7</f>
        <v>1554736.2216997449</v>
      </c>
      <c r="V5" s="630">
        <f>'Yearly Demand - BTX'!AF7</f>
        <v>1554736.2216997449</v>
      </c>
      <c r="W5" s="630">
        <f>'Yearly Demand - BTX'!AG7</f>
        <v>1554736.2216997449</v>
      </c>
      <c r="X5" s="630">
        <f>'Yearly Demand - BTX'!AH7</f>
        <v>1554736.2216997449</v>
      </c>
      <c r="Y5" s="630">
        <f>'Yearly Demand - BTX'!AI7</f>
        <v>1554736.2216997449</v>
      </c>
      <c r="Z5" s="630">
        <f>'Yearly Demand - BTX'!AJ7</f>
        <v>1554736.2216997449</v>
      </c>
      <c r="AA5" s="630">
        <f>'Yearly Demand - BTX'!AK7</f>
        <v>1554736.2216997449</v>
      </c>
      <c r="AB5" s="630">
        <f>'Yearly Demand - BTX'!AL7</f>
        <v>1554736.2216997449</v>
      </c>
      <c r="AC5" s="630">
        <f>'Yearly Demand - BTX'!AM7</f>
        <v>1554736.2216997449</v>
      </c>
      <c r="AD5" s="630">
        <f>'Yearly Demand - BTX'!AN7</f>
        <v>1554736.2216997449</v>
      </c>
      <c r="AE5" s="630">
        <f>'Yearly Demand - BTX'!AO7</f>
        <v>1554736.2216997449</v>
      </c>
      <c r="AF5" s="630">
        <f>'Yearly Demand - BTX'!AP7</f>
        <v>1554736.2216997449</v>
      </c>
      <c r="AG5" s="630">
        <f>'Yearly Demand - BTX'!AQ7</f>
        <v>1554736.2216997449</v>
      </c>
      <c r="AH5" s="630">
        <f>'Yearly Demand - BTX'!AR7</f>
        <v>1554736.2216997449</v>
      </c>
      <c r="AI5" s="639"/>
      <c r="AJ5" s="630">
        <f>D5</f>
        <v>1554736.2216997449</v>
      </c>
      <c r="AK5" s="630">
        <f t="shared" si="5"/>
        <v>1554736.2216997449</v>
      </c>
      <c r="AL5" s="630">
        <f t="shared" si="5"/>
        <v>1554736.2216997449</v>
      </c>
      <c r="AM5" s="630">
        <f t="shared" si="5"/>
        <v>1554736.2216997449</v>
      </c>
      <c r="AN5" s="630">
        <f t="shared" si="5"/>
        <v>1554736.2216997449</v>
      </c>
      <c r="AO5" s="630">
        <f t="shared" si="5"/>
        <v>1554736.2216997449</v>
      </c>
      <c r="AP5" s="630">
        <f t="shared" si="5"/>
        <v>1554736.2216997449</v>
      </c>
      <c r="AQ5" s="630">
        <f t="shared" si="5"/>
        <v>1554736.2216997449</v>
      </c>
      <c r="AR5" s="630">
        <f t="shared" si="5"/>
        <v>1554736.2216997449</v>
      </c>
      <c r="AS5" s="630">
        <f t="shared" si="5"/>
        <v>1554736.2216997449</v>
      </c>
      <c r="AT5" s="630">
        <f t="shared" si="5"/>
        <v>1554736.2216997449</v>
      </c>
      <c r="AU5" s="630">
        <f t="shared" si="5"/>
        <v>1554736.2216997449</v>
      </c>
      <c r="AV5" s="630">
        <f t="shared" si="5"/>
        <v>1554736.2216997449</v>
      </c>
      <c r="AW5" s="630">
        <f t="shared" si="5"/>
        <v>1554736.2216997449</v>
      </c>
      <c r="AX5" s="630">
        <f t="shared" si="5"/>
        <v>1554736.2216997449</v>
      </c>
      <c r="AY5" s="630">
        <f t="shared" si="5"/>
        <v>1554736.2216997449</v>
      </c>
      <c r="AZ5" s="630">
        <f t="shared" si="5"/>
        <v>1554736.2216997449</v>
      </c>
      <c r="BA5" s="630">
        <f t="shared" si="5"/>
        <v>1554736.2216997449</v>
      </c>
      <c r="BB5" s="630">
        <f t="shared" si="5"/>
        <v>1554736.2216997449</v>
      </c>
      <c r="BC5" s="630">
        <f t="shared" si="5"/>
        <v>1554736.2216997449</v>
      </c>
      <c r="BD5" s="630">
        <f t="shared" si="5"/>
        <v>1554736.2216997449</v>
      </c>
      <c r="BE5" s="630">
        <f t="shared" si="5"/>
        <v>1554736.2216997449</v>
      </c>
      <c r="BF5" s="630">
        <f t="shared" si="5"/>
        <v>1554736.2216997449</v>
      </c>
      <c r="BG5" s="630">
        <f t="shared" si="5"/>
        <v>1554736.2216997449</v>
      </c>
      <c r="BH5" s="630">
        <f t="shared" si="5"/>
        <v>1554736.2216997449</v>
      </c>
      <c r="BI5" s="630">
        <f t="shared" si="5"/>
        <v>1554736.2216997449</v>
      </c>
      <c r="BJ5" s="630">
        <f t="shared" si="5"/>
        <v>1554736.2216997449</v>
      </c>
      <c r="BK5" s="630">
        <f t="shared" si="5"/>
        <v>1554736.2216997449</v>
      </c>
      <c r="BL5" s="630">
        <f t="shared" si="5"/>
        <v>1554736.2216997449</v>
      </c>
      <c r="BM5" s="630">
        <f t="shared" si="5"/>
        <v>1554736.2216997449</v>
      </c>
      <c r="BN5" s="630">
        <f t="shared" si="5"/>
        <v>1554736.2216997449</v>
      </c>
      <c r="BY5" s="528"/>
      <c r="BZ5" s="529" t="s">
        <v>1290</v>
      </c>
      <c r="CA5" s="530" t="s">
        <v>1291</v>
      </c>
      <c r="CB5" s="529" t="s">
        <v>1292</v>
      </c>
      <c r="CC5" s="531" t="s">
        <v>1293</v>
      </c>
      <c r="CD5" s="532" t="s">
        <v>1294</v>
      </c>
      <c r="CE5" s="532" t="s">
        <v>1295</v>
      </c>
      <c r="CF5" s="529" t="s">
        <v>1296</v>
      </c>
      <c r="CG5" s="529" t="s">
        <v>1297</v>
      </c>
      <c r="CH5" s="529" t="s">
        <v>1298</v>
      </c>
      <c r="CI5" s="529" t="s">
        <v>581</v>
      </c>
      <c r="CJ5" s="529" t="s">
        <v>1289</v>
      </c>
    </row>
    <row r="6" spans="1:89">
      <c r="A6" s="685"/>
      <c r="B6" s="1" t="s">
        <v>797</v>
      </c>
      <c r="C6" s="51" t="s">
        <v>166</v>
      </c>
      <c r="D6" s="196">
        <f>'Yearly Demand - BTX'!N8</f>
        <v>106314.03243491032</v>
      </c>
      <c r="E6" s="196">
        <f>'Yearly Demand - BTX'!O8</f>
        <v>106314.03243491032</v>
      </c>
      <c r="F6" s="196">
        <f>'Yearly Demand - BTX'!P8</f>
        <v>106314.03243491032</v>
      </c>
      <c r="G6" s="196">
        <f>'Yearly Demand - BTX'!Q8</f>
        <v>106314.03243491032</v>
      </c>
      <c r="H6" s="196">
        <f>'Yearly Demand - BTX'!R8</f>
        <v>106314.03243491032</v>
      </c>
      <c r="I6" s="196">
        <f>'Yearly Demand - BTX'!S8</f>
        <v>106314.03243491032</v>
      </c>
      <c r="J6" s="196">
        <f>'Yearly Demand - BTX'!T8</f>
        <v>106314.03243491032</v>
      </c>
      <c r="K6" s="196">
        <f>'Yearly Demand - BTX'!U8</f>
        <v>106314.03243491032</v>
      </c>
      <c r="L6" s="196">
        <f>'Yearly Demand - BTX'!V8</f>
        <v>106314.03243491032</v>
      </c>
      <c r="M6" s="196">
        <f>'Yearly Demand - BTX'!W8</f>
        <v>106314.03243491032</v>
      </c>
      <c r="N6" s="196">
        <f>'Yearly Demand - BTX'!X8</f>
        <v>106314.03243491032</v>
      </c>
      <c r="O6" s="196">
        <f>'Yearly Demand - BTX'!Y8</f>
        <v>106314.03243491032</v>
      </c>
      <c r="P6" s="196">
        <f>'Yearly Demand - BTX'!Z8</f>
        <v>106314.03243491032</v>
      </c>
      <c r="Q6" s="196">
        <f>'Yearly Demand - BTX'!AA8</f>
        <v>106314.03243491032</v>
      </c>
      <c r="R6" s="196">
        <f>'Yearly Demand - BTX'!AB8</f>
        <v>106314.03243491032</v>
      </c>
      <c r="S6" s="196">
        <f>'Yearly Demand - BTX'!AC8</f>
        <v>106314.03243491032</v>
      </c>
      <c r="T6" s="196">
        <f>'Yearly Demand - BTX'!AD8</f>
        <v>106314.03243491032</v>
      </c>
      <c r="U6" s="196">
        <f>'Yearly Demand - BTX'!AE8</f>
        <v>106314.03243491032</v>
      </c>
      <c r="V6" s="196">
        <f>'Yearly Demand - BTX'!AF8</f>
        <v>106314.03243491032</v>
      </c>
      <c r="W6" s="196">
        <f>'Yearly Demand - BTX'!AG8</f>
        <v>106314.03243491032</v>
      </c>
      <c r="X6" s="196">
        <f>'Yearly Demand - BTX'!AH8</f>
        <v>106314.03243491032</v>
      </c>
      <c r="Y6" s="196">
        <f>'Yearly Demand - BTX'!AI8</f>
        <v>106314.03243491032</v>
      </c>
      <c r="Z6" s="196">
        <f>'Yearly Demand - BTX'!AJ8</f>
        <v>106314.03243491032</v>
      </c>
      <c r="AA6" s="196">
        <f>'Yearly Demand - BTX'!AK8</f>
        <v>106314.03243491032</v>
      </c>
      <c r="AB6" s="196">
        <f>'Yearly Demand - BTX'!AL8</f>
        <v>106314.03243491032</v>
      </c>
      <c r="AC6" s="196">
        <f>'Yearly Demand - BTX'!AM8</f>
        <v>106314.03243491032</v>
      </c>
      <c r="AD6" s="196">
        <f>'Yearly Demand - BTX'!AN8</f>
        <v>106314.03243491032</v>
      </c>
      <c r="AE6" s="196">
        <f>'Yearly Demand - BTX'!AO8</f>
        <v>106314.03243491032</v>
      </c>
      <c r="AF6" s="196">
        <f>'Yearly Demand - BTX'!AP8</f>
        <v>106314.03243491032</v>
      </c>
      <c r="AG6" s="196">
        <f>'Yearly Demand - BTX'!AQ8</f>
        <v>106314.03243491032</v>
      </c>
      <c r="AH6" s="196">
        <f>'Yearly Demand - BTX'!AR8</f>
        <v>106314.03243491032</v>
      </c>
      <c r="AI6" s="635"/>
      <c r="AJ6" s="196">
        <f>D6</f>
        <v>106314.03243491032</v>
      </c>
      <c r="AK6" s="196">
        <f t="shared" si="5"/>
        <v>106314.03243491032</v>
      </c>
      <c r="AL6" s="196">
        <f t="shared" si="5"/>
        <v>106314.03243491032</v>
      </c>
      <c r="AM6" s="196">
        <f t="shared" si="5"/>
        <v>106314.03243491032</v>
      </c>
      <c r="AN6" s="196">
        <f t="shared" si="5"/>
        <v>106314.03243491032</v>
      </c>
      <c r="AO6" s="196">
        <f t="shared" si="5"/>
        <v>106314.03243491032</v>
      </c>
      <c r="AP6" s="196">
        <f t="shared" si="5"/>
        <v>106314.03243491032</v>
      </c>
      <c r="AQ6" s="196">
        <f t="shared" si="5"/>
        <v>106314.03243491032</v>
      </c>
      <c r="AR6" s="196">
        <f t="shared" si="5"/>
        <v>106314.03243491032</v>
      </c>
      <c r="AS6" s="196">
        <f t="shared" si="5"/>
        <v>106314.03243491032</v>
      </c>
      <c r="AT6" s="196">
        <f t="shared" si="5"/>
        <v>106314.03243491032</v>
      </c>
      <c r="AU6" s="196">
        <f t="shared" si="5"/>
        <v>106314.03243491032</v>
      </c>
      <c r="AV6" s="196">
        <f t="shared" si="5"/>
        <v>106314.03243491032</v>
      </c>
      <c r="AW6" s="196">
        <f t="shared" si="5"/>
        <v>106314.03243491032</v>
      </c>
      <c r="AX6" s="196">
        <f t="shared" si="5"/>
        <v>106314.03243491032</v>
      </c>
      <c r="AY6" s="196">
        <f t="shared" si="5"/>
        <v>106314.03243491032</v>
      </c>
      <c r="AZ6" s="196">
        <f t="shared" si="5"/>
        <v>106314.03243491032</v>
      </c>
      <c r="BA6" s="196">
        <f t="shared" si="5"/>
        <v>106314.03243491032</v>
      </c>
      <c r="BB6" s="196">
        <f t="shared" si="5"/>
        <v>106314.03243491032</v>
      </c>
      <c r="BC6" s="196">
        <f t="shared" si="5"/>
        <v>106314.03243491032</v>
      </c>
      <c r="BD6" s="196">
        <f t="shared" si="5"/>
        <v>106314.03243491032</v>
      </c>
      <c r="BE6" s="196">
        <f t="shared" si="5"/>
        <v>106314.03243491032</v>
      </c>
      <c r="BF6" s="196">
        <f t="shared" si="5"/>
        <v>106314.03243491032</v>
      </c>
      <c r="BG6" s="196">
        <f t="shared" si="5"/>
        <v>106314.03243491032</v>
      </c>
      <c r="BH6" s="196">
        <f t="shared" si="5"/>
        <v>106314.03243491032</v>
      </c>
      <c r="BI6" s="196">
        <f t="shared" si="5"/>
        <v>106314.03243491032</v>
      </c>
      <c r="BJ6" s="196">
        <f t="shared" si="5"/>
        <v>106314.03243491032</v>
      </c>
      <c r="BK6" s="196">
        <f t="shared" si="5"/>
        <v>106314.03243491032</v>
      </c>
      <c r="BL6" s="196">
        <f t="shared" si="5"/>
        <v>106314.03243491032</v>
      </c>
      <c r="BM6" s="196">
        <f t="shared" si="5"/>
        <v>106314.03243491032</v>
      </c>
      <c r="BN6" s="196">
        <f t="shared" si="5"/>
        <v>106314.03243491032</v>
      </c>
    </row>
    <row r="7" spans="1:89" s="63" customFormat="1">
      <c r="A7" s="686"/>
      <c r="B7" s="59" t="s">
        <v>1301</v>
      </c>
      <c r="C7" s="262" t="s">
        <v>166</v>
      </c>
      <c r="D7" s="599">
        <f>'Yearly Demand - BTX'!N9</f>
        <v>2708489.4952112325</v>
      </c>
      <c r="E7" s="599">
        <f>'Yearly Demand - BTX'!O9</f>
        <v>2708489.4952112325</v>
      </c>
      <c r="F7" s="599">
        <f>'Yearly Demand - BTX'!P9</f>
        <v>2708489.4952112325</v>
      </c>
      <c r="G7" s="599">
        <f>'Yearly Demand - BTX'!Q9</f>
        <v>2708489.4952112325</v>
      </c>
      <c r="H7" s="599">
        <f>'Yearly Demand - BTX'!R9</f>
        <v>2708489.4952112325</v>
      </c>
      <c r="I7" s="599">
        <f>'Yearly Demand - BTX'!S9</f>
        <v>2708489.4952112325</v>
      </c>
      <c r="J7" s="599">
        <f>'Yearly Demand - BTX'!T9</f>
        <v>2708489.4952112325</v>
      </c>
      <c r="K7" s="599">
        <f>'Yearly Demand - BTX'!U9</f>
        <v>2708489.4952112325</v>
      </c>
      <c r="L7" s="599">
        <f>'Yearly Demand - BTX'!V9</f>
        <v>2708489.4952112325</v>
      </c>
      <c r="M7" s="599">
        <f>'Yearly Demand - BTX'!W9</f>
        <v>2708489.4952112325</v>
      </c>
      <c r="N7" s="599">
        <f>'Yearly Demand - BTX'!X9</f>
        <v>2708489.4952112325</v>
      </c>
      <c r="O7" s="599">
        <f>'Yearly Demand - BTX'!Y9</f>
        <v>2708489.4952112325</v>
      </c>
      <c r="P7" s="599">
        <f>'Yearly Demand - BTX'!Z9</f>
        <v>2708489.4952112325</v>
      </c>
      <c r="Q7" s="599">
        <f>'Yearly Demand - BTX'!AA9</f>
        <v>2708489.4952112325</v>
      </c>
      <c r="R7" s="599">
        <f>'Yearly Demand - BTX'!AB9</f>
        <v>2708489.4952112325</v>
      </c>
      <c r="S7" s="599">
        <f>'Yearly Demand - BTX'!AC9</f>
        <v>2708489.4952112325</v>
      </c>
      <c r="T7" s="599">
        <f>'Yearly Demand - BTX'!AD9</f>
        <v>2708489.4952112325</v>
      </c>
      <c r="U7" s="599">
        <f>'Yearly Demand - BTX'!AE9</f>
        <v>2708489.4952112325</v>
      </c>
      <c r="V7" s="599">
        <f>'Yearly Demand - BTX'!AF9</f>
        <v>2708489.4952112325</v>
      </c>
      <c r="W7" s="599">
        <f>'Yearly Demand - BTX'!AG9</f>
        <v>2708489.4952112325</v>
      </c>
      <c r="X7" s="599">
        <f>'Yearly Demand - BTX'!AH9</f>
        <v>2708489.4952112325</v>
      </c>
      <c r="Y7" s="599">
        <f>'Yearly Demand - BTX'!AI9</f>
        <v>2708489.4952112325</v>
      </c>
      <c r="Z7" s="599">
        <f>'Yearly Demand - BTX'!AJ9</f>
        <v>2708489.4952112325</v>
      </c>
      <c r="AA7" s="599">
        <f>'Yearly Demand - BTX'!AK9</f>
        <v>2708489.4952112325</v>
      </c>
      <c r="AB7" s="599">
        <f>'Yearly Demand - BTX'!AL9</f>
        <v>2708489.4952112325</v>
      </c>
      <c r="AC7" s="599">
        <f>'Yearly Demand - BTX'!AM9</f>
        <v>2708489.4952112325</v>
      </c>
      <c r="AD7" s="599">
        <f>'Yearly Demand - BTX'!AN9</f>
        <v>2708489.4952112325</v>
      </c>
      <c r="AE7" s="599">
        <f>'Yearly Demand - BTX'!AO9</f>
        <v>2708489.4952112325</v>
      </c>
      <c r="AF7" s="599">
        <f>'Yearly Demand - BTX'!AP9</f>
        <v>2708489.4952112325</v>
      </c>
      <c r="AG7" s="599">
        <f>'Yearly Demand - BTX'!AQ9</f>
        <v>2708489.4952112325</v>
      </c>
      <c r="AH7" s="599">
        <f>'Yearly Demand - BTX'!AR9</f>
        <v>2708489.4952112325</v>
      </c>
      <c r="AI7" s="638"/>
      <c r="AJ7" s="599">
        <f>D7</f>
        <v>2708489.4952112325</v>
      </c>
      <c r="AK7" s="599">
        <f t="shared" si="5"/>
        <v>2708489.4952112325</v>
      </c>
      <c r="AL7" s="599">
        <f t="shared" si="5"/>
        <v>2708489.4952112325</v>
      </c>
      <c r="AM7" s="599">
        <f t="shared" si="5"/>
        <v>2708489.4952112325</v>
      </c>
      <c r="AN7" s="599">
        <f t="shared" si="5"/>
        <v>2708489.4952112325</v>
      </c>
      <c r="AO7" s="599">
        <f t="shared" si="5"/>
        <v>2708489.4952112325</v>
      </c>
      <c r="AP7" s="599">
        <f t="shared" si="5"/>
        <v>2708489.4952112325</v>
      </c>
      <c r="AQ7" s="599">
        <f t="shared" si="5"/>
        <v>2708489.4952112325</v>
      </c>
      <c r="AR7" s="599">
        <f t="shared" si="5"/>
        <v>2708489.4952112325</v>
      </c>
      <c r="AS7" s="599">
        <f t="shared" si="5"/>
        <v>2708489.4952112325</v>
      </c>
      <c r="AT7" s="599">
        <f t="shared" si="5"/>
        <v>2708489.4952112325</v>
      </c>
      <c r="AU7" s="599">
        <f t="shared" si="5"/>
        <v>2708489.4952112325</v>
      </c>
      <c r="AV7" s="599">
        <f t="shared" si="5"/>
        <v>2708489.4952112325</v>
      </c>
      <c r="AW7" s="599">
        <f t="shared" si="5"/>
        <v>2708489.4952112325</v>
      </c>
      <c r="AX7" s="599">
        <f t="shared" si="5"/>
        <v>2708489.4952112325</v>
      </c>
      <c r="AY7" s="599">
        <f t="shared" si="5"/>
        <v>2708489.4952112325</v>
      </c>
      <c r="AZ7" s="599">
        <f t="shared" si="5"/>
        <v>2708489.4952112325</v>
      </c>
      <c r="BA7" s="599">
        <f t="shared" si="5"/>
        <v>2708489.4952112325</v>
      </c>
      <c r="BB7" s="599">
        <f t="shared" si="5"/>
        <v>2708489.4952112325</v>
      </c>
      <c r="BC7" s="599">
        <f t="shared" si="5"/>
        <v>2708489.4952112325</v>
      </c>
      <c r="BD7" s="599">
        <f t="shared" si="5"/>
        <v>2708489.4952112325</v>
      </c>
      <c r="BE7" s="599">
        <f t="shared" si="5"/>
        <v>2708489.4952112325</v>
      </c>
      <c r="BF7" s="599">
        <f t="shared" si="5"/>
        <v>2708489.4952112325</v>
      </c>
      <c r="BG7" s="599">
        <f t="shared" si="5"/>
        <v>2708489.4952112325</v>
      </c>
      <c r="BH7" s="599">
        <f t="shared" si="5"/>
        <v>2708489.4952112325</v>
      </c>
      <c r="BI7" s="599">
        <f t="shared" si="5"/>
        <v>2708489.4952112325</v>
      </c>
      <c r="BJ7" s="599">
        <f t="shared" si="5"/>
        <v>2708489.4952112325</v>
      </c>
      <c r="BK7" s="599">
        <f t="shared" si="5"/>
        <v>2708489.4952112325</v>
      </c>
      <c r="BL7" s="599">
        <f t="shared" si="5"/>
        <v>2708489.4952112325</v>
      </c>
      <c r="BM7" s="599">
        <f t="shared" si="5"/>
        <v>2708489.4952112325</v>
      </c>
      <c r="BN7" s="599">
        <f t="shared" si="5"/>
        <v>2708489.4952112325</v>
      </c>
      <c r="BY7" s="533" t="s">
        <v>78</v>
      </c>
      <c r="BZ7" s="534" t="e">
        <f>#REF!</f>
        <v>#REF!</v>
      </c>
      <c r="CB7" s="535" t="s">
        <v>307</v>
      </c>
      <c r="CC7" s="536"/>
      <c r="CD7" s="537" t="s">
        <v>307</v>
      </c>
      <c r="CE7" s="535"/>
      <c r="CF7" s="538"/>
      <c r="CG7" s="536"/>
      <c r="CI7" s="538"/>
      <c r="CJ7" s="63" t="s">
        <v>307</v>
      </c>
      <c r="CK7" s="539"/>
    </row>
    <row r="8" spans="1:89">
      <c r="C8" s="51"/>
      <c r="D8" s="101"/>
      <c r="E8" s="101"/>
      <c r="F8" s="101"/>
      <c r="G8" s="101"/>
      <c r="H8" s="101"/>
      <c r="I8" s="101"/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/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/>
      <c r="AH8" s="101"/>
      <c r="AI8" s="191"/>
      <c r="AJ8" s="101"/>
      <c r="AK8" s="101"/>
      <c r="AL8" s="101"/>
      <c r="AM8" s="101"/>
      <c r="AN8" s="101"/>
      <c r="AO8" s="101"/>
      <c r="AP8" s="101"/>
      <c r="AQ8" s="101"/>
      <c r="AR8" s="101"/>
      <c r="AS8" s="101"/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/>
      <c r="BF8" s="101"/>
      <c r="BG8" s="101"/>
      <c r="BH8" s="101"/>
      <c r="BI8" s="101"/>
      <c r="BJ8" s="101"/>
      <c r="BK8" s="101"/>
      <c r="BL8" s="101"/>
      <c r="BM8" s="101"/>
      <c r="BN8" s="101"/>
      <c r="BY8" s="27" t="s">
        <v>164</v>
      </c>
      <c r="BZ8" s="516"/>
      <c r="CA8" s="517"/>
      <c r="CB8" s="514"/>
      <c r="CD8" s="516"/>
      <c r="CE8" s="518">
        <f>-BN10+AH17-AH21</f>
        <v>-117816.0402426965</v>
      </c>
      <c r="CF8" s="519">
        <f>-AH30</f>
        <v>-1284386.8277226803</v>
      </c>
      <c r="CG8" s="513">
        <f>-AH39</f>
        <v>-255223.25338698819</v>
      </c>
      <c r="CH8" s="519">
        <f>-AH55</f>
        <v>-125198.45641153428</v>
      </c>
      <c r="CJ8" s="516"/>
    </row>
    <row r="9" spans="1:89" outlineLevel="1">
      <c r="A9" s="55" t="s">
        <v>900</v>
      </c>
      <c r="B9" s="55" t="s">
        <v>901</v>
      </c>
      <c r="C9" s="62"/>
      <c r="D9" s="630">
        <f>'Demand - BTX'!M3</f>
        <v>43750.7454163523</v>
      </c>
      <c r="E9" s="630">
        <f>$D$9*(1+'Demand - BTX'!$L72)^(E3-$D$3)</f>
        <v>43750.7454163523</v>
      </c>
      <c r="F9" s="630">
        <f>$D$9*(1+'Demand - BTX'!$L72)^(F3-$D$3)</f>
        <v>43750.7454163523</v>
      </c>
      <c r="G9" s="630">
        <f>$D$9*(1+'Demand - BTX'!$L72)^(G3-$D$3)</f>
        <v>43750.7454163523</v>
      </c>
      <c r="H9" s="630">
        <f>$D$9*(1+'Demand - BTX'!$L72)^(H3-$D$3)</f>
        <v>43750.7454163523</v>
      </c>
      <c r="I9" s="630">
        <f>$D$9*(1+'Demand - BTX'!$L72)^(I3-$D$3)</f>
        <v>43750.7454163523</v>
      </c>
      <c r="J9" s="630">
        <f>$D$9*(1+'Demand - BTX'!$L72)^(J3-$D$3)</f>
        <v>43750.7454163523</v>
      </c>
      <c r="K9" s="630">
        <f>$D$9*(1+'Demand - BTX'!$L72)^(K3-$D$3)</f>
        <v>43750.7454163523</v>
      </c>
      <c r="L9" s="630">
        <f>$D$9*(1+'Demand - BTX'!$L72)^(L3-$D$3)</f>
        <v>43750.7454163523</v>
      </c>
      <c r="M9" s="630">
        <f>$D$9*(1+'Demand - BTX'!$L72)^(M3-$D$3)</f>
        <v>43750.7454163523</v>
      </c>
      <c r="N9" s="630">
        <f>$D$9*(1+'Demand - BTX'!$L72)^(N3-$D$3)</f>
        <v>43750.7454163523</v>
      </c>
      <c r="O9" s="630">
        <f>$D$9*(1+'Demand - BTX'!$L72)^(O3-$D$3)</f>
        <v>43750.7454163523</v>
      </c>
      <c r="P9" s="630">
        <f>$D$9*(1+'Demand - BTX'!$L72)^(P3-$D$3)</f>
        <v>43750.7454163523</v>
      </c>
      <c r="Q9" s="630">
        <f>$D$9*(1+'Demand - BTX'!$L72)^(Q3-$D$3)</f>
        <v>43750.7454163523</v>
      </c>
      <c r="R9" s="630">
        <f>$D$9*(1+'Demand - BTX'!$L72)^(R3-$D$3)</f>
        <v>43750.7454163523</v>
      </c>
      <c r="S9" s="630">
        <f>$D$9*(1+'Demand - BTX'!$L72)^(S3-$D$3)</f>
        <v>43750.7454163523</v>
      </c>
      <c r="T9" s="630">
        <f>$D$9*(1+'Demand - BTX'!$L72)^(T3-$D$3)</f>
        <v>43750.7454163523</v>
      </c>
      <c r="U9" s="630">
        <f>$D$9*(1+'Demand - BTX'!$L72)^(U3-$D$3)</f>
        <v>43750.7454163523</v>
      </c>
      <c r="V9" s="630">
        <f>$D$9*(1+'Demand - BTX'!$L72)^(V3-$D$3)</f>
        <v>43750.7454163523</v>
      </c>
      <c r="W9" s="630">
        <f>$D$9*(1+'Demand - BTX'!$L72)^(W3-$D$3)</f>
        <v>43750.7454163523</v>
      </c>
      <c r="X9" s="630">
        <f>$D$9*(1+'Demand - BTX'!$L72)^(X3-$D$3)</f>
        <v>43750.7454163523</v>
      </c>
      <c r="Y9" s="630">
        <f>$D$9*(1+'Demand - BTX'!$L72)^(Y3-$D$3)</f>
        <v>43750.7454163523</v>
      </c>
      <c r="Z9" s="630">
        <f>$D$9*(1+'Demand - BTX'!$L72)^(Z3-$D$3)</f>
        <v>43750.7454163523</v>
      </c>
      <c r="AA9" s="630">
        <f>$D$9*(1+'Demand - BTX'!$L72)^(AA3-$D$3)</f>
        <v>43750.7454163523</v>
      </c>
      <c r="AB9" s="630">
        <f>$D$9*(1+'Demand - BTX'!$L72)^(AB3-$D$3)</f>
        <v>43750.7454163523</v>
      </c>
      <c r="AC9" s="630">
        <f>$D$9*(1+'Demand - BTX'!$L72)^(AC3-$D$3)</f>
        <v>43750.7454163523</v>
      </c>
      <c r="AD9" s="630">
        <f>$D$9*(1+'Demand - BTX'!$L72)^(AD3-$D$3)</f>
        <v>43750.7454163523</v>
      </c>
      <c r="AE9" s="630">
        <f>$D$9*(1+'Demand - BTX'!$L72)^(AE3-$D$3)</f>
        <v>43750.7454163523</v>
      </c>
      <c r="AF9" s="630">
        <f>$D$9*(1+'Demand - BTX'!$L72)^(AF3-$D$3)</f>
        <v>43750.7454163523</v>
      </c>
      <c r="AG9" s="630">
        <f>$D$9*(1+'Demand - BTX'!$L72)^(AG3-$D$3)</f>
        <v>43750.7454163523</v>
      </c>
      <c r="AH9" s="630">
        <f>$D$9*(1+'Demand - BTX'!$L72)^(AH3-$D$3)</f>
        <v>43750.7454163523</v>
      </c>
      <c r="AI9" s="191"/>
      <c r="AJ9" s="630">
        <f t="shared" ref="AJ9:AJ15" si="6">D9</f>
        <v>43750.7454163523</v>
      </c>
      <c r="AK9" s="630">
        <f t="shared" ref="AK9:BN16" si="7">E9</f>
        <v>43750.7454163523</v>
      </c>
      <c r="AL9" s="630">
        <f t="shared" si="7"/>
        <v>43750.7454163523</v>
      </c>
      <c r="AM9" s="630">
        <f t="shared" si="7"/>
        <v>43750.7454163523</v>
      </c>
      <c r="AN9" s="630">
        <f t="shared" si="7"/>
        <v>43750.7454163523</v>
      </c>
      <c r="AO9" s="630">
        <f t="shared" si="7"/>
        <v>43750.7454163523</v>
      </c>
      <c r="AP9" s="630">
        <f t="shared" si="7"/>
        <v>43750.7454163523</v>
      </c>
      <c r="AQ9" s="630">
        <f t="shared" si="7"/>
        <v>43750.7454163523</v>
      </c>
      <c r="AR9" s="630">
        <f t="shared" si="7"/>
        <v>43750.7454163523</v>
      </c>
      <c r="AS9" s="630">
        <f t="shared" si="7"/>
        <v>43750.7454163523</v>
      </c>
      <c r="AT9" s="630">
        <f t="shared" si="7"/>
        <v>43750.7454163523</v>
      </c>
      <c r="AU9" s="630">
        <f t="shared" si="7"/>
        <v>43750.7454163523</v>
      </c>
      <c r="AV9" s="630">
        <f t="shared" si="7"/>
        <v>43750.7454163523</v>
      </c>
      <c r="AW9" s="630">
        <f t="shared" si="7"/>
        <v>43750.7454163523</v>
      </c>
      <c r="AX9" s="630">
        <f t="shared" si="7"/>
        <v>43750.7454163523</v>
      </c>
      <c r="AY9" s="630">
        <f t="shared" si="7"/>
        <v>43750.7454163523</v>
      </c>
      <c r="AZ9" s="630">
        <f t="shared" si="7"/>
        <v>43750.7454163523</v>
      </c>
      <c r="BA9" s="630">
        <f t="shared" si="7"/>
        <v>43750.7454163523</v>
      </c>
      <c r="BB9" s="630">
        <f t="shared" si="7"/>
        <v>43750.7454163523</v>
      </c>
      <c r="BC9" s="630">
        <f t="shared" si="7"/>
        <v>43750.7454163523</v>
      </c>
      <c r="BD9" s="630">
        <f t="shared" si="7"/>
        <v>43750.7454163523</v>
      </c>
      <c r="BE9" s="630">
        <f t="shared" si="7"/>
        <v>43750.7454163523</v>
      </c>
      <c r="BF9" s="630">
        <f t="shared" si="7"/>
        <v>43750.7454163523</v>
      </c>
      <c r="BG9" s="630">
        <f t="shared" si="7"/>
        <v>43750.7454163523</v>
      </c>
      <c r="BH9" s="630">
        <f t="shared" si="7"/>
        <v>43750.7454163523</v>
      </c>
      <c r="BI9" s="630">
        <f t="shared" si="7"/>
        <v>43750.7454163523</v>
      </c>
      <c r="BJ9" s="630">
        <f t="shared" si="7"/>
        <v>43750.7454163523</v>
      </c>
      <c r="BK9" s="630">
        <f t="shared" si="7"/>
        <v>43750.7454163523</v>
      </c>
      <c r="BL9" s="630">
        <f t="shared" si="7"/>
        <v>43750.7454163523</v>
      </c>
      <c r="BM9" s="630">
        <f t="shared" si="7"/>
        <v>43750.7454163523</v>
      </c>
      <c r="BN9" s="630">
        <f t="shared" si="7"/>
        <v>43750.7454163523</v>
      </c>
      <c r="BQ9" t="s">
        <v>902</v>
      </c>
      <c r="BY9" s="27" t="s">
        <v>167</v>
      </c>
      <c r="CF9" s="40">
        <f>-AH33</f>
        <v>-552911.06951057934</v>
      </c>
      <c r="CG9" s="40">
        <f>-AH40</f>
        <v>-83123.258006158299</v>
      </c>
      <c r="CH9" s="40">
        <f>-AH56</f>
        <v>-41732.81880384477</v>
      </c>
    </row>
    <row r="10" spans="1:89" outlineLevel="1">
      <c r="B10" s="1" t="s">
        <v>903</v>
      </c>
      <c r="D10" s="101">
        <f>D9*('R&amp;S - Transportation'!$D$19*(D3-$D$3)/10)</f>
        <v>0</v>
      </c>
      <c r="E10" s="101">
        <f>E9*'R&amp;S - Transportation'!$B$9*'R&amp;S - Transportation'!$D$19*(E3-$D$3)/10</f>
        <v>875.01490832704599</v>
      </c>
      <c r="F10" s="101">
        <f>F9*'R&amp;S - Transportation'!$B$9*'R&amp;S - Transportation'!$D$19*(F3-$D$3)/10</f>
        <v>1750.029816654092</v>
      </c>
      <c r="G10" s="101">
        <f>G9*'R&amp;S - Transportation'!$B$9*'R&amp;S - Transportation'!$D$19*(G3-$D$3)/10</f>
        <v>2625.0447249811382</v>
      </c>
      <c r="H10" s="101">
        <f>H9*'R&amp;S - Transportation'!$B$9*'R&amp;S - Transportation'!$D$19*(H3-$D$3)/10</f>
        <v>3500.0596333081839</v>
      </c>
      <c r="I10" s="101">
        <f>I9*'R&amp;S - Transportation'!$B$9*'R&amp;S - Transportation'!$D$19*(I3-$D$3)/10</f>
        <v>4375.0745416352302</v>
      </c>
      <c r="J10" s="101">
        <f>J9*'R&amp;S - Transportation'!$B$9*'R&amp;S - Transportation'!$D$19*(J3-$D$3)/10</f>
        <v>5250.0894499622764</v>
      </c>
      <c r="K10" s="101">
        <f>K9*'R&amp;S - Transportation'!$B$9*'R&amp;S - Transportation'!$D$19*(K3-$D$3)/10</f>
        <v>6125.1043582893226</v>
      </c>
      <c r="L10" s="101">
        <f>L9*'R&amp;S - Transportation'!$B$9*'R&amp;S - Transportation'!$D$19*(L3-$D$3)/10</f>
        <v>7000.1192666163679</v>
      </c>
      <c r="M10" s="101">
        <f>M9*'R&amp;S - Transportation'!$B$9*'R&amp;S - Transportation'!$D$19*(M3-$D$3)/10</f>
        <v>7875.1341749434141</v>
      </c>
      <c r="N10" s="101">
        <f>N9*'R&amp;S - Transportation'!$B$9*'R&amp;S - Transportation'!$D$19*(N3-$D$3)/10</f>
        <v>8750.1490832704603</v>
      </c>
      <c r="O10" s="101">
        <f>O9*'R&amp;S - Transportation'!$B$9*('R&amp;S - Transportation'!$D$19+('R&amp;S - Transportation'!$D$20-'R&amp;S - Transportation'!$D$19)*(O3-$N$3)/10)</f>
        <v>10937.686354088075</v>
      </c>
      <c r="P10" s="101">
        <f>P9*'R&amp;S - Transportation'!$B$9*('R&amp;S - Transportation'!$D$19+('R&amp;S - Transportation'!$D$20-'R&amp;S - Transportation'!$D$19)*(P3-$N$3)/10)</f>
        <v>13125.22362490569</v>
      </c>
      <c r="Q10" s="101">
        <f>Q9*'R&amp;S - Transportation'!$B$9*('R&amp;S - Transportation'!$D$19+('R&amp;S - Transportation'!$D$20-'R&amp;S - Transportation'!$D$19)*(Q3-$N$3)/10)</f>
        <v>15312.760895723304</v>
      </c>
      <c r="R10" s="101">
        <f>R9*'R&amp;S - Transportation'!$B$9*('R&amp;S - Transportation'!$D$19+('R&amp;S - Transportation'!$D$20-'R&amp;S - Transportation'!$D$19)*(R3-$N$3)/10)</f>
        <v>17500.298166540921</v>
      </c>
      <c r="S10" s="101">
        <f>S9*'R&amp;S - Transportation'!$B$9*('R&amp;S - Transportation'!$D$19+('R&amp;S - Transportation'!$D$20-'R&amp;S - Transportation'!$D$19)*(S3-$N$3)/10)</f>
        <v>19687.835437358532</v>
      </c>
      <c r="T10" s="101">
        <f>T9*'R&amp;S - Transportation'!$B$9*('R&amp;S - Transportation'!$D$19+('R&amp;S - Transportation'!$D$20-'R&amp;S - Transportation'!$D$19)*(T3-$N$3)/10)</f>
        <v>21875.372708176146</v>
      </c>
      <c r="U10" s="101">
        <f>U9*'R&amp;S - Transportation'!$B$9*('R&amp;S - Transportation'!$D$19+('R&amp;S - Transportation'!$D$20-'R&amp;S - Transportation'!$D$19)*(U3-$N$3)/10)</f>
        <v>24062.909978993768</v>
      </c>
      <c r="V10" s="101">
        <f>V9*'R&amp;S - Transportation'!$B$9*('R&amp;S - Transportation'!$D$19+('R&amp;S - Transportation'!$D$20-'R&amp;S - Transportation'!$D$19)*(V3-$N$3)/10)</f>
        <v>26250.447249811379</v>
      </c>
      <c r="W10" s="101">
        <f>W9*'R&amp;S - Transportation'!$B$9*('R&amp;S - Transportation'!$D$19+('R&amp;S - Transportation'!$D$20-'R&amp;S - Transportation'!$D$19)*(W3-$N$3)/10)</f>
        <v>28437.98452062899</v>
      </c>
      <c r="X10" s="101">
        <f>X9*'R&amp;S - Transportation'!$B$9*('R&amp;S - Transportation'!$D$19+('R&amp;S - Transportation'!$D$20-'R&amp;S - Transportation'!$D$19)*(X3-$N$3)/10)</f>
        <v>30625.521791446608</v>
      </c>
      <c r="Y10" s="101">
        <f>Y9*'R&amp;S - Transportation'!$B$9*('R&amp;S - Transportation'!$D$20+('R&amp;S - Transportation'!$D$21-'R&amp;S - Transportation'!$D$20)*(Y3-$X$3)/10)</f>
        <v>31938.044153937179</v>
      </c>
      <c r="Z10" s="101">
        <f>Z9*'R&amp;S - Transportation'!$B$9*('R&amp;S - Transportation'!$D$20+('R&amp;S - Transportation'!$D$21-'R&amp;S - Transportation'!$D$20)*(Z3-$X$3)/10)</f>
        <v>33250.566516427745</v>
      </c>
      <c r="AA10" s="101">
        <f>AA9*'R&amp;S - Transportation'!$B$9*('R&amp;S - Transportation'!$D$20+('R&amp;S - Transportation'!$D$21-'R&amp;S - Transportation'!$D$20)*(AA3-$X$3)/10)</f>
        <v>34563.088878918315</v>
      </c>
      <c r="AB10" s="101">
        <f>AB9*'R&amp;S - Transportation'!$B$9*('R&amp;S - Transportation'!$D$20+('R&amp;S - Transportation'!$D$21-'R&amp;S - Transportation'!$D$20)*(AB3-$X$3)/10)</f>
        <v>35875.611241408886</v>
      </c>
      <c r="AC10" s="101">
        <f>AC9*'R&amp;S - Transportation'!$B$9*('R&amp;S - Transportation'!$D$20+('R&amp;S - Transportation'!$D$21-'R&amp;S - Transportation'!$D$20)*(AC3-$X$3)/10)</f>
        <v>37188.133603899456</v>
      </c>
      <c r="AD10" s="101">
        <f>AD9*'R&amp;S - Transportation'!$B$9*('R&amp;S - Transportation'!$D$20+('R&amp;S - Transportation'!$D$21-'R&amp;S - Transportation'!$D$20)*(AD3-$X$3)/10)</f>
        <v>38500.655966390026</v>
      </c>
      <c r="AE10" s="101">
        <f>AE9*'R&amp;S - Transportation'!$B$9*('R&amp;S - Transportation'!$D$20+('R&amp;S - Transportation'!$D$21-'R&amp;S - Transportation'!$D$20)*(AE3-$X$3)/10)</f>
        <v>39813.178328880596</v>
      </c>
      <c r="AF10" s="101">
        <f>AF9*'R&amp;S - Transportation'!$B$9*('R&amp;S - Transportation'!$D$20+('R&amp;S - Transportation'!$D$21-'R&amp;S - Transportation'!$D$20)*(AF3-$X$3)/10)</f>
        <v>41125.700691371159</v>
      </c>
      <c r="AG10" s="101">
        <f>AG9*'R&amp;S - Transportation'!$B$9*('R&amp;S - Transportation'!$D$20+('R&amp;S - Transportation'!$D$21-'R&amp;S - Transportation'!$D$20)*(AG3-$X$3)/10)</f>
        <v>42438.22305386173</v>
      </c>
      <c r="AH10" s="101">
        <f>AH9*'R&amp;S - Transportation'!$B$9*('R&amp;S - Transportation'!$D$20+('R&amp;S - Transportation'!$D$21-'R&amp;S - Transportation'!$D$20)*(AH3-$X$3)/10)</f>
        <v>43750.7454163523</v>
      </c>
      <c r="AI10" s="191"/>
      <c r="AJ10" s="101">
        <f t="shared" si="6"/>
        <v>0</v>
      </c>
      <c r="AK10" s="101">
        <f t="shared" si="7"/>
        <v>875.01490832704599</v>
      </c>
      <c r="AL10" s="101">
        <f t="shared" si="7"/>
        <v>1750.029816654092</v>
      </c>
      <c r="AM10" s="101">
        <f t="shared" si="7"/>
        <v>2625.0447249811382</v>
      </c>
      <c r="AN10" s="101">
        <f t="shared" si="7"/>
        <v>3500.0596333081839</v>
      </c>
      <c r="AO10" s="101">
        <f t="shared" si="7"/>
        <v>4375.0745416352302</v>
      </c>
      <c r="AP10" s="101">
        <f t="shared" si="7"/>
        <v>5250.0894499622764</v>
      </c>
      <c r="AQ10" s="101">
        <f t="shared" si="7"/>
        <v>6125.1043582893226</v>
      </c>
      <c r="AR10" s="101">
        <f t="shared" si="7"/>
        <v>7000.1192666163679</v>
      </c>
      <c r="AS10" s="101">
        <f t="shared" si="7"/>
        <v>7875.1341749434141</v>
      </c>
      <c r="AT10" s="101">
        <f t="shared" si="7"/>
        <v>8750.1490832704603</v>
      </c>
      <c r="AU10" s="101">
        <f t="shared" si="7"/>
        <v>10937.686354088075</v>
      </c>
      <c r="AV10" s="101">
        <f t="shared" si="7"/>
        <v>13125.22362490569</v>
      </c>
      <c r="AW10" s="101">
        <f t="shared" si="7"/>
        <v>15312.760895723304</v>
      </c>
      <c r="AX10" s="101">
        <f t="shared" si="7"/>
        <v>17500.298166540921</v>
      </c>
      <c r="AY10" s="101">
        <f t="shared" si="7"/>
        <v>19687.835437358532</v>
      </c>
      <c r="AZ10" s="101">
        <f t="shared" si="7"/>
        <v>21875.372708176146</v>
      </c>
      <c r="BA10" s="101">
        <f t="shared" si="7"/>
        <v>24062.909978993768</v>
      </c>
      <c r="BB10" s="101">
        <f t="shared" si="7"/>
        <v>26250.447249811379</v>
      </c>
      <c r="BC10" s="101">
        <f t="shared" si="7"/>
        <v>28437.98452062899</v>
      </c>
      <c r="BD10" s="101">
        <f t="shared" si="7"/>
        <v>30625.521791446608</v>
      </c>
      <c r="BE10" s="101">
        <f t="shared" si="7"/>
        <v>31938.044153937179</v>
      </c>
      <c r="BF10" s="101">
        <f t="shared" si="7"/>
        <v>33250.566516427745</v>
      </c>
      <c r="BG10" s="101">
        <f t="shared" si="7"/>
        <v>34563.088878918315</v>
      </c>
      <c r="BH10" s="101">
        <f t="shared" si="7"/>
        <v>35875.611241408886</v>
      </c>
      <c r="BI10" s="101">
        <f t="shared" si="7"/>
        <v>37188.133603899456</v>
      </c>
      <c r="BJ10" s="101">
        <f t="shared" si="7"/>
        <v>38500.655966390026</v>
      </c>
      <c r="BK10" s="101">
        <f t="shared" si="7"/>
        <v>39813.178328880596</v>
      </c>
      <c r="BL10" s="101">
        <f t="shared" si="7"/>
        <v>41125.700691371159</v>
      </c>
      <c r="BM10" s="101">
        <f t="shared" si="7"/>
        <v>42438.22305386173</v>
      </c>
      <c r="BN10" s="101">
        <f t="shared" si="7"/>
        <v>43750.7454163523</v>
      </c>
      <c r="BQ10" t="s">
        <v>904</v>
      </c>
      <c r="BR10" s="41" t="e">
        <f>#REF!-#REF!</f>
        <v>#REF!</v>
      </c>
      <c r="BY10" s="27" t="s">
        <v>578</v>
      </c>
      <c r="CA10" s="512" t="e">
        <f>#REF!-#REF!</f>
        <v>#REF!</v>
      </c>
      <c r="CC10" s="511">
        <f>65</f>
        <v>65</v>
      </c>
      <c r="CI10" s="41">
        <f>AH63</f>
        <v>72.09114388838718</v>
      </c>
    </row>
    <row r="11" spans="1:89" outlineLevel="1">
      <c r="B11" s="1" t="s">
        <v>905</v>
      </c>
      <c r="D11" s="101">
        <f>D9-D10</f>
        <v>43750.7454163523</v>
      </c>
      <c r="E11" s="101">
        <f t="shared" ref="E11:AH11" si="8">E9-E10</f>
        <v>42875.730508025255</v>
      </c>
      <c r="F11" s="101">
        <f t="shared" si="8"/>
        <v>42000.715599698211</v>
      </c>
      <c r="G11" s="101">
        <f t="shared" si="8"/>
        <v>41125.700691371159</v>
      </c>
      <c r="H11" s="101">
        <f t="shared" si="8"/>
        <v>40250.685783044115</v>
      </c>
      <c r="I11" s="101">
        <f t="shared" si="8"/>
        <v>39375.670874717071</v>
      </c>
      <c r="J11" s="101">
        <f t="shared" si="8"/>
        <v>38500.655966390026</v>
      </c>
      <c r="K11" s="101">
        <f t="shared" si="8"/>
        <v>37625.641058062974</v>
      </c>
      <c r="L11" s="101">
        <f t="shared" si="8"/>
        <v>36750.62614973593</v>
      </c>
      <c r="M11" s="101">
        <f t="shared" si="8"/>
        <v>35875.611241408886</v>
      </c>
      <c r="N11" s="101">
        <f t="shared" si="8"/>
        <v>35000.596333081841</v>
      </c>
      <c r="O11" s="101">
        <f t="shared" si="8"/>
        <v>32813.059062264227</v>
      </c>
      <c r="P11" s="101">
        <f t="shared" si="8"/>
        <v>30625.521791446612</v>
      </c>
      <c r="Q11" s="101">
        <f t="shared" si="8"/>
        <v>28437.984520628997</v>
      </c>
      <c r="R11" s="101">
        <f t="shared" si="8"/>
        <v>26250.447249811379</v>
      </c>
      <c r="S11" s="101">
        <f t="shared" si="8"/>
        <v>24062.909978993768</v>
      </c>
      <c r="T11" s="101">
        <f t="shared" si="8"/>
        <v>21875.372708176154</v>
      </c>
      <c r="U11" s="101">
        <f t="shared" si="8"/>
        <v>19687.835437358532</v>
      </c>
      <c r="V11" s="101">
        <f t="shared" si="8"/>
        <v>17500.298166540921</v>
      </c>
      <c r="W11" s="101">
        <f t="shared" si="8"/>
        <v>15312.76089572331</v>
      </c>
      <c r="X11" s="101">
        <f t="shared" si="8"/>
        <v>13125.223624905691</v>
      </c>
      <c r="Y11" s="101">
        <f t="shared" si="8"/>
        <v>11812.701262415121</v>
      </c>
      <c r="Z11" s="101">
        <f t="shared" si="8"/>
        <v>10500.178899924555</v>
      </c>
      <c r="AA11" s="101">
        <f t="shared" si="8"/>
        <v>9187.6565374339843</v>
      </c>
      <c r="AB11" s="101">
        <f t="shared" si="8"/>
        <v>7875.1341749434141</v>
      </c>
      <c r="AC11" s="101">
        <f t="shared" si="8"/>
        <v>6562.6118124528439</v>
      </c>
      <c r="AD11" s="101">
        <f t="shared" si="8"/>
        <v>5250.0894499622736</v>
      </c>
      <c r="AE11" s="101">
        <f t="shared" si="8"/>
        <v>3937.5670874717034</v>
      </c>
      <c r="AF11" s="101">
        <f t="shared" si="8"/>
        <v>2625.0447249811405</v>
      </c>
      <c r="AG11" s="101">
        <f t="shared" si="8"/>
        <v>1312.5223624905702</v>
      </c>
      <c r="AH11" s="101">
        <f t="shared" si="8"/>
        <v>0</v>
      </c>
      <c r="AI11" s="191"/>
      <c r="AJ11" s="101">
        <f t="shared" si="6"/>
        <v>43750.7454163523</v>
      </c>
      <c r="AK11" s="101">
        <f t="shared" si="7"/>
        <v>42875.730508025255</v>
      </c>
      <c r="AL11" s="101">
        <f t="shared" si="7"/>
        <v>42000.715599698211</v>
      </c>
      <c r="AM11" s="101">
        <f t="shared" si="7"/>
        <v>41125.700691371159</v>
      </c>
      <c r="AN11" s="101">
        <f t="shared" si="7"/>
        <v>40250.685783044115</v>
      </c>
      <c r="AO11" s="101">
        <f t="shared" si="7"/>
        <v>39375.670874717071</v>
      </c>
      <c r="AP11" s="101">
        <f t="shared" si="7"/>
        <v>38500.655966390026</v>
      </c>
      <c r="AQ11" s="101">
        <f t="shared" si="7"/>
        <v>37625.641058062974</v>
      </c>
      <c r="AR11" s="101">
        <f t="shared" si="7"/>
        <v>36750.62614973593</v>
      </c>
      <c r="AS11" s="101">
        <f t="shared" si="7"/>
        <v>35875.611241408886</v>
      </c>
      <c r="AT11" s="101">
        <f t="shared" si="7"/>
        <v>35000.596333081841</v>
      </c>
      <c r="AU11" s="101">
        <f t="shared" si="7"/>
        <v>32813.059062264227</v>
      </c>
      <c r="AV11" s="101">
        <f t="shared" si="7"/>
        <v>30625.521791446612</v>
      </c>
      <c r="AW11" s="101">
        <f t="shared" si="7"/>
        <v>28437.984520628997</v>
      </c>
      <c r="AX11" s="101">
        <f t="shared" si="7"/>
        <v>26250.447249811379</v>
      </c>
      <c r="AY11" s="101">
        <f t="shared" si="7"/>
        <v>24062.909978993768</v>
      </c>
      <c r="AZ11" s="101">
        <f t="shared" si="7"/>
        <v>21875.372708176154</v>
      </c>
      <c r="BA11" s="101">
        <f t="shared" si="7"/>
        <v>19687.835437358532</v>
      </c>
      <c r="BB11" s="101">
        <f t="shared" si="7"/>
        <v>17500.298166540921</v>
      </c>
      <c r="BC11" s="101">
        <f t="shared" si="7"/>
        <v>15312.76089572331</v>
      </c>
      <c r="BD11" s="101">
        <f t="shared" si="7"/>
        <v>13125.223624905691</v>
      </c>
      <c r="BE11" s="101">
        <f t="shared" si="7"/>
        <v>11812.701262415121</v>
      </c>
      <c r="BF11" s="101">
        <f t="shared" si="7"/>
        <v>10500.178899924555</v>
      </c>
      <c r="BG11" s="101">
        <f t="shared" si="7"/>
        <v>9187.6565374339843</v>
      </c>
      <c r="BH11" s="101">
        <f t="shared" si="7"/>
        <v>7875.1341749434141</v>
      </c>
      <c r="BI11" s="101">
        <f t="shared" si="7"/>
        <v>6562.6118124528439</v>
      </c>
      <c r="BJ11" s="101">
        <f t="shared" si="7"/>
        <v>5250.0894499622736</v>
      </c>
      <c r="BK11" s="101">
        <f t="shared" si="7"/>
        <v>3937.5670874717034</v>
      </c>
      <c r="BL11" s="101">
        <f t="shared" si="7"/>
        <v>2625.0447249811405</v>
      </c>
      <c r="BM11" s="101">
        <f t="shared" si="7"/>
        <v>1312.5223624905702</v>
      </c>
      <c r="BN11" s="101">
        <f t="shared" si="7"/>
        <v>0</v>
      </c>
    </row>
    <row r="12" spans="1:89" outlineLevel="1">
      <c r="A12" s="1" t="s">
        <v>1344</v>
      </c>
      <c r="C12" s="1"/>
      <c r="D12" s="591">
        <f>D4-D10</f>
        <v>4369539.7493458875</v>
      </c>
      <c r="E12" s="591">
        <f t="shared" ref="E12:AH12" si="9">E4-E10</f>
        <v>4368664.7344375607</v>
      </c>
      <c r="F12" s="591">
        <f t="shared" si="9"/>
        <v>4367789.7195292329</v>
      </c>
      <c r="G12" s="591">
        <f t="shared" si="9"/>
        <v>4366914.7046209062</v>
      </c>
      <c r="H12" s="591">
        <f t="shared" si="9"/>
        <v>4366039.6897125794</v>
      </c>
      <c r="I12" s="591">
        <f t="shared" si="9"/>
        <v>4365164.6748042526</v>
      </c>
      <c r="J12" s="591">
        <f t="shared" si="9"/>
        <v>4364289.6598959249</v>
      </c>
      <c r="K12" s="591">
        <f t="shared" si="9"/>
        <v>4363414.6449875981</v>
      </c>
      <c r="L12" s="591">
        <f t="shared" si="9"/>
        <v>4362539.6300792713</v>
      </c>
      <c r="M12" s="591">
        <f t="shared" si="9"/>
        <v>4361664.6151709445</v>
      </c>
      <c r="N12" s="591">
        <f t="shared" si="9"/>
        <v>4360789.6002626168</v>
      </c>
      <c r="O12" s="591">
        <f t="shared" si="9"/>
        <v>4358602.0629917998</v>
      </c>
      <c r="P12" s="591">
        <f t="shared" si="9"/>
        <v>4356414.5257209819</v>
      </c>
      <c r="Q12" s="591">
        <f t="shared" si="9"/>
        <v>4354226.988450164</v>
      </c>
      <c r="R12" s="591">
        <f t="shared" si="9"/>
        <v>4352039.4511793461</v>
      </c>
      <c r="S12" s="591">
        <f t="shared" si="9"/>
        <v>4349851.9139085291</v>
      </c>
      <c r="T12" s="591">
        <f t="shared" si="9"/>
        <v>4347664.3766377112</v>
      </c>
      <c r="U12" s="591">
        <f t="shared" si="9"/>
        <v>4345476.8393668933</v>
      </c>
      <c r="V12" s="591">
        <f t="shared" si="9"/>
        <v>4343289.3020960763</v>
      </c>
      <c r="W12" s="591">
        <f t="shared" si="9"/>
        <v>4341101.7648252584</v>
      </c>
      <c r="X12" s="591">
        <f t="shared" si="9"/>
        <v>4338914.2275544405</v>
      </c>
      <c r="Y12" s="591">
        <f t="shared" si="9"/>
        <v>4337601.7051919503</v>
      </c>
      <c r="Z12" s="591">
        <f t="shared" si="9"/>
        <v>4336289.1828294601</v>
      </c>
      <c r="AA12" s="591">
        <f t="shared" si="9"/>
        <v>4334976.660466969</v>
      </c>
      <c r="AB12" s="591">
        <f t="shared" si="9"/>
        <v>4333664.1381044788</v>
      </c>
      <c r="AC12" s="591">
        <f t="shared" si="9"/>
        <v>4332351.6157419877</v>
      </c>
      <c r="AD12" s="591">
        <f t="shared" si="9"/>
        <v>4331039.0933794975</v>
      </c>
      <c r="AE12" s="591">
        <f t="shared" si="9"/>
        <v>4329726.5710170064</v>
      </c>
      <c r="AF12" s="591">
        <f t="shared" si="9"/>
        <v>4328414.0486545162</v>
      </c>
      <c r="AG12" s="591">
        <f t="shared" si="9"/>
        <v>4327101.526292026</v>
      </c>
      <c r="AH12" s="591">
        <f t="shared" si="9"/>
        <v>4325789.0039295349</v>
      </c>
      <c r="AI12" s="191"/>
      <c r="AJ12" s="591">
        <f t="shared" si="6"/>
        <v>4369539.7493458875</v>
      </c>
      <c r="AK12" s="591">
        <f t="shared" si="7"/>
        <v>4368664.7344375607</v>
      </c>
      <c r="AL12" s="591">
        <f t="shared" si="7"/>
        <v>4367789.7195292329</v>
      </c>
      <c r="AM12" s="591">
        <f t="shared" si="7"/>
        <v>4366914.7046209062</v>
      </c>
      <c r="AN12" s="591">
        <f t="shared" si="7"/>
        <v>4366039.6897125794</v>
      </c>
      <c r="AO12" s="591">
        <f t="shared" si="7"/>
        <v>4365164.6748042526</v>
      </c>
      <c r="AP12" s="591">
        <f t="shared" si="7"/>
        <v>4364289.6598959249</v>
      </c>
      <c r="AQ12" s="591">
        <f t="shared" si="7"/>
        <v>4363414.6449875981</v>
      </c>
      <c r="AR12" s="591">
        <f t="shared" si="7"/>
        <v>4362539.6300792713</v>
      </c>
      <c r="AS12" s="591">
        <f t="shared" si="7"/>
        <v>4361664.6151709445</v>
      </c>
      <c r="AT12" s="591">
        <f t="shared" si="7"/>
        <v>4360789.6002626168</v>
      </c>
      <c r="AU12" s="591">
        <f t="shared" si="7"/>
        <v>4358602.0629917998</v>
      </c>
      <c r="AV12" s="591">
        <f t="shared" si="7"/>
        <v>4356414.5257209819</v>
      </c>
      <c r="AW12" s="591">
        <f t="shared" si="7"/>
        <v>4354226.988450164</v>
      </c>
      <c r="AX12" s="591">
        <f t="shared" si="7"/>
        <v>4352039.4511793461</v>
      </c>
      <c r="AY12" s="591">
        <f t="shared" si="7"/>
        <v>4349851.9139085291</v>
      </c>
      <c r="AZ12" s="591">
        <f t="shared" si="7"/>
        <v>4347664.3766377112</v>
      </c>
      <c r="BA12" s="591">
        <f t="shared" si="7"/>
        <v>4345476.8393668933</v>
      </c>
      <c r="BB12" s="591">
        <f t="shared" si="7"/>
        <v>4343289.3020960763</v>
      </c>
      <c r="BC12" s="591">
        <f t="shared" si="7"/>
        <v>4341101.7648252584</v>
      </c>
      <c r="BD12" s="591">
        <f t="shared" si="7"/>
        <v>4338914.2275544405</v>
      </c>
      <c r="BE12" s="591">
        <f t="shared" si="7"/>
        <v>4337601.7051919503</v>
      </c>
      <c r="BF12" s="591">
        <f t="shared" si="7"/>
        <v>4336289.1828294601</v>
      </c>
      <c r="BG12" s="591">
        <f t="shared" si="7"/>
        <v>4334976.660466969</v>
      </c>
      <c r="BH12" s="591">
        <f t="shared" si="7"/>
        <v>4333664.1381044788</v>
      </c>
      <c r="BI12" s="591">
        <f t="shared" si="7"/>
        <v>4332351.6157419877</v>
      </c>
      <c r="BJ12" s="591">
        <f t="shared" si="7"/>
        <v>4331039.0933794975</v>
      </c>
      <c r="BK12" s="591">
        <f t="shared" si="7"/>
        <v>4329726.5710170064</v>
      </c>
      <c r="BL12" s="591">
        <f t="shared" si="7"/>
        <v>4328414.0486545162</v>
      </c>
      <c r="BM12" s="591">
        <f t="shared" si="7"/>
        <v>4327101.526292026</v>
      </c>
      <c r="BN12" s="591">
        <f t="shared" si="7"/>
        <v>4325789.0039295349</v>
      </c>
      <c r="BQ12" s="1" t="s">
        <v>907</v>
      </c>
      <c r="BR12" t="s">
        <v>908</v>
      </c>
      <c r="BS12" s="41" t="e">
        <f>#REF!</f>
        <v>#REF!</v>
      </c>
    </row>
    <row r="13" spans="1:89" s="62" customFormat="1" outlineLevel="1">
      <c r="A13" s="684"/>
      <c r="B13" s="55" t="s">
        <v>88</v>
      </c>
      <c r="C13" s="56" t="s">
        <v>166</v>
      </c>
      <c r="D13" s="630">
        <f>D5</f>
        <v>1554736.2216997449</v>
      </c>
      <c r="E13" s="630">
        <f t="shared" ref="E13:AH13" si="10">E5</f>
        <v>1554736.2216997449</v>
      </c>
      <c r="F13" s="630">
        <f t="shared" si="10"/>
        <v>1554736.2216997449</v>
      </c>
      <c r="G13" s="630">
        <f t="shared" si="10"/>
        <v>1554736.2216997449</v>
      </c>
      <c r="H13" s="630">
        <f t="shared" si="10"/>
        <v>1554736.2216997449</v>
      </c>
      <c r="I13" s="630">
        <f t="shared" si="10"/>
        <v>1554736.2216997449</v>
      </c>
      <c r="J13" s="630">
        <f t="shared" si="10"/>
        <v>1554736.2216997449</v>
      </c>
      <c r="K13" s="630">
        <f t="shared" si="10"/>
        <v>1554736.2216997449</v>
      </c>
      <c r="L13" s="630">
        <f t="shared" si="10"/>
        <v>1554736.2216997449</v>
      </c>
      <c r="M13" s="630">
        <f t="shared" si="10"/>
        <v>1554736.2216997449</v>
      </c>
      <c r="N13" s="630">
        <f t="shared" si="10"/>
        <v>1554736.2216997449</v>
      </c>
      <c r="O13" s="630">
        <f t="shared" si="10"/>
        <v>1554736.2216997449</v>
      </c>
      <c r="P13" s="630">
        <f t="shared" si="10"/>
        <v>1554736.2216997449</v>
      </c>
      <c r="Q13" s="630">
        <f t="shared" si="10"/>
        <v>1554736.2216997449</v>
      </c>
      <c r="R13" s="630">
        <f t="shared" si="10"/>
        <v>1554736.2216997449</v>
      </c>
      <c r="S13" s="630">
        <f t="shared" si="10"/>
        <v>1554736.2216997449</v>
      </c>
      <c r="T13" s="630">
        <f t="shared" si="10"/>
        <v>1554736.2216997449</v>
      </c>
      <c r="U13" s="630">
        <f t="shared" si="10"/>
        <v>1554736.2216997449</v>
      </c>
      <c r="V13" s="630">
        <f t="shared" si="10"/>
        <v>1554736.2216997449</v>
      </c>
      <c r="W13" s="630">
        <f t="shared" si="10"/>
        <v>1554736.2216997449</v>
      </c>
      <c r="X13" s="630">
        <f t="shared" si="10"/>
        <v>1554736.2216997449</v>
      </c>
      <c r="Y13" s="630">
        <f t="shared" si="10"/>
        <v>1554736.2216997449</v>
      </c>
      <c r="Z13" s="630">
        <f t="shared" si="10"/>
        <v>1554736.2216997449</v>
      </c>
      <c r="AA13" s="630">
        <f t="shared" si="10"/>
        <v>1554736.2216997449</v>
      </c>
      <c r="AB13" s="630">
        <f t="shared" si="10"/>
        <v>1554736.2216997449</v>
      </c>
      <c r="AC13" s="630">
        <f t="shared" si="10"/>
        <v>1554736.2216997449</v>
      </c>
      <c r="AD13" s="630">
        <f t="shared" si="10"/>
        <v>1554736.2216997449</v>
      </c>
      <c r="AE13" s="630">
        <f t="shared" si="10"/>
        <v>1554736.2216997449</v>
      </c>
      <c r="AF13" s="630">
        <f t="shared" si="10"/>
        <v>1554736.2216997449</v>
      </c>
      <c r="AG13" s="630">
        <f t="shared" si="10"/>
        <v>1554736.2216997449</v>
      </c>
      <c r="AH13" s="630">
        <f t="shared" si="10"/>
        <v>1554736.2216997449</v>
      </c>
      <c r="AI13" s="639"/>
      <c r="AJ13" s="630">
        <f t="shared" si="6"/>
        <v>1554736.2216997449</v>
      </c>
      <c r="AK13" s="630">
        <f t="shared" si="7"/>
        <v>1554736.2216997449</v>
      </c>
      <c r="AL13" s="630">
        <f t="shared" si="7"/>
        <v>1554736.2216997449</v>
      </c>
      <c r="AM13" s="630">
        <f t="shared" si="7"/>
        <v>1554736.2216997449</v>
      </c>
      <c r="AN13" s="630">
        <f t="shared" si="7"/>
        <v>1554736.2216997449</v>
      </c>
      <c r="AO13" s="630">
        <f t="shared" si="7"/>
        <v>1554736.2216997449</v>
      </c>
      <c r="AP13" s="630">
        <f t="shared" si="7"/>
        <v>1554736.2216997449</v>
      </c>
      <c r="AQ13" s="630">
        <f t="shared" si="7"/>
        <v>1554736.2216997449</v>
      </c>
      <c r="AR13" s="630">
        <f t="shared" si="7"/>
        <v>1554736.2216997449</v>
      </c>
      <c r="AS13" s="630">
        <f t="shared" si="7"/>
        <v>1554736.2216997449</v>
      </c>
      <c r="AT13" s="630">
        <f t="shared" si="7"/>
        <v>1554736.2216997449</v>
      </c>
      <c r="AU13" s="630">
        <f t="shared" si="7"/>
        <v>1554736.2216997449</v>
      </c>
      <c r="AV13" s="630">
        <f t="shared" si="7"/>
        <v>1554736.2216997449</v>
      </c>
      <c r="AW13" s="630">
        <f t="shared" si="7"/>
        <v>1554736.2216997449</v>
      </c>
      <c r="AX13" s="630">
        <f t="shared" si="7"/>
        <v>1554736.2216997449</v>
      </c>
      <c r="AY13" s="630">
        <f t="shared" si="7"/>
        <v>1554736.2216997449</v>
      </c>
      <c r="AZ13" s="630">
        <f t="shared" si="7"/>
        <v>1554736.2216997449</v>
      </c>
      <c r="BA13" s="630">
        <f t="shared" si="7"/>
        <v>1554736.2216997449</v>
      </c>
      <c r="BB13" s="630">
        <f t="shared" si="7"/>
        <v>1554736.2216997449</v>
      </c>
      <c r="BC13" s="630">
        <f t="shared" si="7"/>
        <v>1554736.2216997449</v>
      </c>
      <c r="BD13" s="630">
        <f t="shared" si="7"/>
        <v>1554736.2216997449</v>
      </c>
      <c r="BE13" s="630">
        <f t="shared" si="7"/>
        <v>1554736.2216997449</v>
      </c>
      <c r="BF13" s="630">
        <f t="shared" si="7"/>
        <v>1554736.2216997449</v>
      </c>
      <c r="BG13" s="630">
        <f t="shared" si="7"/>
        <v>1554736.2216997449</v>
      </c>
      <c r="BH13" s="630">
        <f t="shared" si="7"/>
        <v>1554736.2216997449</v>
      </c>
      <c r="BI13" s="630">
        <f t="shared" si="7"/>
        <v>1554736.2216997449</v>
      </c>
      <c r="BJ13" s="630">
        <f t="shared" si="7"/>
        <v>1554736.2216997449</v>
      </c>
      <c r="BK13" s="630">
        <f t="shared" si="7"/>
        <v>1554736.2216997449</v>
      </c>
      <c r="BL13" s="630">
        <f t="shared" si="7"/>
        <v>1554736.2216997449</v>
      </c>
      <c r="BM13" s="630">
        <f t="shared" si="7"/>
        <v>1554736.2216997449</v>
      </c>
      <c r="BN13" s="630">
        <f t="shared" si="7"/>
        <v>1554736.2216997449</v>
      </c>
    </row>
    <row r="14" spans="1:89" ht="14.5" customHeight="1" outlineLevel="1">
      <c r="A14" s="685"/>
      <c r="B14" s="1" t="s">
        <v>797</v>
      </c>
      <c r="C14" s="51" t="s">
        <v>166</v>
      </c>
      <c r="D14" s="196">
        <f>D6-D10</f>
        <v>106314.03243491032</v>
      </c>
      <c r="E14" s="196">
        <f t="shared" ref="E14:AH14" si="11">E6-E10</f>
        <v>105439.01752658327</v>
      </c>
      <c r="F14" s="196">
        <f t="shared" si="11"/>
        <v>104564.00261825623</v>
      </c>
      <c r="G14" s="196">
        <f t="shared" si="11"/>
        <v>103688.98770992918</v>
      </c>
      <c r="H14" s="196">
        <f t="shared" si="11"/>
        <v>102813.97280160214</v>
      </c>
      <c r="I14" s="196">
        <f t="shared" si="11"/>
        <v>101938.95789327509</v>
      </c>
      <c r="J14" s="196">
        <f t="shared" si="11"/>
        <v>101063.94298494804</v>
      </c>
      <c r="K14" s="196">
        <f t="shared" si="11"/>
        <v>100188.928076621</v>
      </c>
      <c r="L14" s="196">
        <f t="shared" si="11"/>
        <v>99313.913168293948</v>
      </c>
      <c r="M14" s="196">
        <f t="shared" si="11"/>
        <v>98438.898259966896</v>
      </c>
      <c r="N14" s="196">
        <f t="shared" si="11"/>
        <v>97563.883351639859</v>
      </c>
      <c r="O14" s="196">
        <f t="shared" si="11"/>
        <v>95376.346080822244</v>
      </c>
      <c r="P14" s="196">
        <f t="shared" si="11"/>
        <v>93188.80881000463</v>
      </c>
      <c r="Q14" s="196">
        <f t="shared" si="11"/>
        <v>91001.271539187015</v>
      </c>
      <c r="R14" s="196">
        <f t="shared" si="11"/>
        <v>88813.734268369401</v>
      </c>
      <c r="S14" s="196">
        <f t="shared" si="11"/>
        <v>86626.196997551786</v>
      </c>
      <c r="T14" s="196">
        <f t="shared" si="11"/>
        <v>84438.659726734171</v>
      </c>
      <c r="U14" s="196">
        <f t="shared" si="11"/>
        <v>82251.122455916542</v>
      </c>
      <c r="V14" s="196">
        <f t="shared" si="11"/>
        <v>80063.585185098942</v>
      </c>
      <c r="W14" s="196">
        <f t="shared" si="11"/>
        <v>77876.047914281327</v>
      </c>
      <c r="X14" s="196">
        <f t="shared" si="11"/>
        <v>75688.510643463713</v>
      </c>
      <c r="Y14" s="196">
        <f t="shared" si="11"/>
        <v>74375.988280973135</v>
      </c>
      <c r="Z14" s="196">
        <f t="shared" si="11"/>
        <v>73063.465918482572</v>
      </c>
      <c r="AA14" s="196">
        <f t="shared" si="11"/>
        <v>71750.943555992009</v>
      </c>
      <c r="AB14" s="196">
        <f t="shared" si="11"/>
        <v>70438.421193501432</v>
      </c>
      <c r="AC14" s="196">
        <f t="shared" si="11"/>
        <v>69125.898831010854</v>
      </c>
      <c r="AD14" s="196">
        <f t="shared" si="11"/>
        <v>67813.376468520291</v>
      </c>
      <c r="AE14" s="196">
        <f t="shared" si="11"/>
        <v>66500.854106029728</v>
      </c>
      <c r="AF14" s="196">
        <f t="shared" si="11"/>
        <v>65188.331743539158</v>
      </c>
      <c r="AG14" s="196">
        <f t="shared" si="11"/>
        <v>63875.809381048588</v>
      </c>
      <c r="AH14" s="196">
        <f t="shared" si="11"/>
        <v>62563.287018558018</v>
      </c>
      <c r="AI14" s="635"/>
      <c r="AJ14" s="196">
        <f t="shared" si="6"/>
        <v>106314.03243491032</v>
      </c>
      <c r="AK14" s="196">
        <f t="shared" si="7"/>
        <v>105439.01752658327</v>
      </c>
      <c r="AL14" s="196">
        <f t="shared" si="7"/>
        <v>104564.00261825623</v>
      </c>
      <c r="AM14" s="196">
        <f t="shared" si="7"/>
        <v>103688.98770992918</v>
      </c>
      <c r="AN14" s="196">
        <f t="shared" si="7"/>
        <v>102813.97280160214</v>
      </c>
      <c r="AO14" s="196">
        <f t="shared" si="7"/>
        <v>101938.95789327509</v>
      </c>
      <c r="AP14" s="196">
        <f t="shared" si="7"/>
        <v>101063.94298494804</v>
      </c>
      <c r="AQ14" s="196">
        <f t="shared" si="7"/>
        <v>100188.928076621</v>
      </c>
      <c r="AR14" s="196">
        <f t="shared" si="7"/>
        <v>99313.913168293948</v>
      </c>
      <c r="AS14" s="196">
        <f t="shared" si="7"/>
        <v>98438.898259966896</v>
      </c>
      <c r="AT14" s="196">
        <f t="shared" si="7"/>
        <v>97563.883351639859</v>
      </c>
      <c r="AU14" s="196">
        <f t="shared" si="7"/>
        <v>95376.346080822244</v>
      </c>
      <c r="AV14" s="196">
        <f t="shared" si="7"/>
        <v>93188.80881000463</v>
      </c>
      <c r="AW14" s="196">
        <f t="shared" si="7"/>
        <v>91001.271539187015</v>
      </c>
      <c r="AX14" s="196">
        <f t="shared" si="7"/>
        <v>88813.734268369401</v>
      </c>
      <c r="AY14" s="196">
        <f t="shared" si="7"/>
        <v>86626.196997551786</v>
      </c>
      <c r="AZ14" s="196">
        <f t="shared" si="7"/>
        <v>84438.659726734171</v>
      </c>
      <c r="BA14" s="196">
        <f t="shared" si="7"/>
        <v>82251.122455916542</v>
      </c>
      <c r="BB14" s="196">
        <f t="shared" si="7"/>
        <v>80063.585185098942</v>
      </c>
      <c r="BC14" s="196">
        <f t="shared" si="7"/>
        <v>77876.047914281327</v>
      </c>
      <c r="BD14" s="196">
        <f t="shared" si="7"/>
        <v>75688.510643463713</v>
      </c>
      <c r="BE14" s="196">
        <f t="shared" si="7"/>
        <v>74375.988280973135</v>
      </c>
      <c r="BF14" s="196">
        <f t="shared" si="7"/>
        <v>73063.465918482572</v>
      </c>
      <c r="BG14" s="196">
        <f t="shared" si="7"/>
        <v>71750.943555992009</v>
      </c>
      <c r="BH14" s="196">
        <f t="shared" si="7"/>
        <v>70438.421193501432</v>
      </c>
      <c r="BI14" s="196">
        <f t="shared" si="7"/>
        <v>69125.898831010854</v>
      </c>
      <c r="BJ14" s="196">
        <f t="shared" si="7"/>
        <v>67813.376468520291</v>
      </c>
      <c r="BK14" s="196">
        <f t="shared" si="7"/>
        <v>66500.854106029728</v>
      </c>
      <c r="BL14" s="196">
        <f t="shared" si="7"/>
        <v>65188.331743539158</v>
      </c>
      <c r="BM14" s="196">
        <f t="shared" si="7"/>
        <v>63875.809381048588</v>
      </c>
      <c r="BN14" s="196">
        <f t="shared" si="7"/>
        <v>62563.287018558018</v>
      </c>
      <c r="BY14" s="27"/>
      <c r="BZ14" s="132" t="s">
        <v>128</v>
      </c>
      <c r="CA14" s="132" t="s">
        <v>305</v>
      </c>
      <c r="CB14" s="132" t="s">
        <v>306</v>
      </c>
      <c r="CC14" s="132" t="s">
        <v>678</v>
      </c>
      <c r="CD14" s="132" t="s">
        <v>151</v>
      </c>
      <c r="CE14" s="247" t="s">
        <v>152</v>
      </c>
      <c r="CF14" s="132" t="s">
        <v>696</v>
      </c>
      <c r="CG14" s="132" t="s">
        <v>607</v>
      </c>
    </row>
    <row r="15" spans="1:89" s="63" customFormat="1" outlineLevel="1">
      <c r="A15" s="686"/>
      <c r="B15" s="59" t="s">
        <v>1301</v>
      </c>
      <c r="C15" s="262" t="s">
        <v>166</v>
      </c>
      <c r="D15" s="599">
        <f>D7</f>
        <v>2708489.4952112325</v>
      </c>
      <c r="E15" s="599">
        <f t="shared" ref="E15:AH15" si="12">E7</f>
        <v>2708489.4952112325</v>
      </c>
      <c r="F15" s="599">
        <f t="shared" si="12"/>
        <v>2708489.4952112325</v>
      </c>
      <c r="G15" s="599">
        <f t="shared" si="12"/>
        <v>2708489.4952112325</v>
      </c>
      <c r="H15" s="599">
        <f t="shared" si="12"/>
        <v>2708489.4952112325</v>
      </c>
      <c r="I15" s="599">
        <f t="shared" si="12"/>
        <v>2708489.4952112325</v>
      </c>
      <c r="J15" s="599">
        <f t="shared" si="12"/>
        <v>2708489.4952112325</v>
      </c>
      <c r="K15" s="599">
        <f t="shared" si="12"/>
        <v>2708489.4952112325</v>
      </c>
      <c r="L15" s="599">
        <f t="shared" si="12"/>
        <v>2708489.4952112325</v>
      </c>
      <c r="M15" s="599">
        <f t="shared" si="12"/>
        <v>2708489.4952112325</v>
      </c>
      <c r="N15" s="599">
        <f t="shared" si="12"/>
        <v>2708489.4952112325</v>
      </c>
      <c r="O15" s="599">
        <f t="shared" si="12"/>
        <v>2708489.4952112325</v>
      </c>
      <c r="P15" s="599">
        <f t="shared" si="12"/>
        <v>2708489.4952112325</v>
      </c>
      <c r="Q15" s="599">
        <f t="shared" si="12"/>
        <v>2708489.4952112325</v>
      </c>
      <c r="R15" s="599">
        <f t="shared" si="12"/>
        <v>2708489.4952112325</v>
      </c>
      <c r="S15" s="599">
        <f t="shared" si="12"/>
        <v>2708489.4952112325</v>
      </c>
      <c r="T15" s="599">
        <f t="shared" si="12"/>
        <v>2708489.4952112325</v>
      </c>
      <c r="U15" s="599">
        <f t="shared" si="12"/>
        <v>2708489.4952112325</v>
      </c>
      <c r="V15" s="599">
        <f t="shared" si="12"/>
        <v>2708489.4952112325</v>
      </c>
      <c r="W15" s="599">
        <f t="shared" si="12"/>
        <v>2708489.4952112325</v>
      </c>
      <c r="X15" s="599">
        <f t="shared" si="12"/>
        <v>2708489.4952112325</v>
      </c>
      <c r="Y15" s="599">
        <f t="shared" si="12"/>
        <v>2708489.4952112325</v>
      </c>
      <c r="Z15" s="599">
        <f t="shared" si="12"/>
        <v>2708489.4952112325</v>
      </c>
      <c r="AA15" s="599">
        <f t="shared" si="12"/>
        <v>2708489.4952112325</v>
      </c>
      <c r="AB15" s="599">
        <f t="shared" si="12"/>
        <v>2708489.4952112325</v>
      </c>
      <c r="AC15" s="599">
        <f t="shared" si="12"/>
        <v>2708489.4952112325</v>
      </c>
      <c r="AD15" s="599">
        <f t="shared" si="12"/>
        <v>2708489.4952112325</v>
      </c>
      <c r="AE15" s="599">
        <f t="shared" si="12"/>
        <v>2708489.4952112325</v>
      </c>
      <c r="AF15" s="599">
        <f t="shared" si="12"/>
        <v>2708489.4952112325</v>
      </c>
      <c r="AG15" s="599">
        <f t="shared" si="12"/>
        <v>2708489.4952112325</v>
      </c>
      <c r="AH15" s="599">
        <f t="shared" si="12"/>
        <v>2708489.4952112325</v>
      </c>
      <c r="AI15" s="638"/>
      <c r="AJ15" s="599">
        <f t="shared" si="6"/>
        <v>2708489.4952112325</v>
      </c>
      <c r="AK15" s="599">
        <f t="shared" si="7"/>
        <v>2708489.4952112325</v>
      </c>
      <c r="AL15" s="599">
        <f t="shared" si="7"/>
        <v>2708489.4952112325</v>
      </c>
      <c r="AM15" s="599">
        <f t="shared" si="7"/>
        <v>2708489.4952112325</v>
      </c>
      <c r="AN15" s="599">
        <f t="shared" si="7"/>
        <v>2708489.4952112325</v>
      </c>
      <c r="AO15" s="599">
        <f t="shared" si="7"/>
        <v>2708489.4952112325</v>
      </c>
      <c r="AP15" s="599">
        <f t="shared" si="7"/>
        <v>2708489.4952112325</v>
      </c>
      <c r="AQ15" s="599">
        <f t="shared" si="7"/>
        <v>2708489.4952112325</v>
      </c>
      <c r="AR15" s="599">
        <f t="shared" si="7"/>
        <v>2708489.4952112325</v>
      </c>
      <c r="AS15" s="599">
        <f t="shared" si="7"/>
        <v>2708489.4952112325</v>
      </c>
      <c r="AT15" s="599">
        <f t="shared" si="7"/>
        <v>2708489.4952112325</v>
      </c>
      <c r="AU15" s="599">
        <f t="shared" si="7"/>
        <v>2708489.4952112325</v>
      </c>
      <c r="AV15" s="599">
        <f t="shared" si="7"/>
        <v>2708489.4952112325</v>
      </c>
      <c r="AW15" s="599">
        <f t="shared" si="7"/>
        <v>2708489.4952112325</v>
      </c>
      <c r="AX15" s="599">
        <f t="shared" si="7"/>
        <v>2708489.4952112325</v>
      </c>
      <c r="AY15" s="599">
        <f t="shared" si="7"/>
        <v>2708489.4952112325</v>
      </c>
      <c r="AZ15" s="599">
        <f t="shared" si="7"/>
        <v>2708489.4952112325</v>
      </c>
      <c r="BA15" s="599">
        <f t="shared" si="7"/>
        <v>2708489.4952112325</v>
      </c>
      <c r="BB15" s="599">
        <f t="shared" si="7"/>
        <v>2708489.4952112325</v>
      </c>
      <c r="BC15" s="599">
        <f t="shared" si="7"/>
        <v>2708489.4952112325</v>
      </c>
      <c r="BD15" s="599">
        <f t="shared" si="7"/>
        <v>2708489.4952112325</v>
      </c>
      <c r="BE15" s="599">
        <f t="shared" si="7"/>
        <v>2708489.4952112325</v>
      </c>
      <c r="BF15" s="599">
        <f t="shared" si="7"/>
        <v>2708489.4952112325</v>
      </c>
      <c r="BG15" s="599">
        <f t="shared" si="7"/>
        <v>2708489.4952112325</v>
      </c>
      <c r="BH15" s="599">
        <f t="shared" si="7"/>
        <v>2708489.4952112325</v>
      </c>
      <c r="BI15" s="599">
        <f t="shared" si="7"/>
        <v>2708489.4952112325</v>
      </c>
      <c r="BJ15" s="599">
        <f t="shared" si="7"/>
        <v>2708489.4952112325</v>
      </c>
      <c r="BK15" s="599">
        <f t="shared" si="7"/>
        <v>2708489.4952112325</v>
      </c>
      <c r="BL15" s="599">
        <f t="shared" si="7"/>
        <v>2708489.4952112325</v>
      </c>
      <c r="BM15" s="599">
        <f t="shared" si="7"/>
        <v>2708489.4952112325</v>
      </c>
      <c r="BN15" s="599">
        <f t="shared" si="7"/>
        <v>2708489.4952112325</v>
      </c>
      <c r="BY15" s="131"/>
      <c r="CA15" s="132"/>
      <c r="CB15" s="132"/>
      <c r="CC15" s="132"/>
      <c r="CD15" s="132"/>
      <c r="CE15" s="132"/>
      <c r="CF15" s="132"/>
      <c r="CG15" s="132"/>
      <c r="CI15" s="132"/>
    </row>
    <row r="16" spans="1:89" s="1" customFormat="1" outlineLevel="1">
      <c r="A16" s="55" t="s">
        <v>1345</v>
      </c>
      <c r="B16" s="55" t="s">
        <v>910</v>
      </c>
      <c r="C16" s="95" t="s">
        <v>166</v>
      </c>
      <c r="D16" s="631">
        <f>SUM('R&amp;S - Transportation'!G4:I4)</f>
        <v>149929.74661203282</v>
      </c>
      <c r="E16" s="631">
        <f>D16*(1+'Demand - BTX'!$L$72)</f>
        <v>149929.74661203282</v>
      </c>
      <c r="F16" s="631">
        <f>E16*(1+'Demand - BTX'!$L$72)</f>
        <v>149929.74661203282</v>
      </c>
      <c r="G16" s="631">
        <f>F16*(1+'Demand - BTX'!$L$72)</f>
        <v>149929.74661203282</v>
      </c>
      <c r="H16" s="631">
        <f>G16*(1+'Demand - BTX'!$L$72)</f>
        <v>149929.74661203282</v>
      </c>
      <c r="I16" s="631">
        <f>H16*(1+'Demand - BTX'!$L$72)</f>
        <v>149929.74661203282</v>
      </c>
      <c r="J16" s="631">
        <f>I16*(1+'Demand - BTX'!$L$72)</f>
        <v>149929.74661203282</v>
      </c>
      <c r="K16" s="631">
        <f>J16*(1+'Demand - BTX'!$L$72)</f>
        <v>149929.74661203282</v>
      </c>
      <c r="L16" s="631">
        <f>K16*(1+'Demand - BTX'!$L$72)</f>
        <v>149929.74661203282</v>
      </c>
      <c r="M16" s="631">
        <f>L16*(1+'Demand - BTX'!$L$72)</f>
        <v>149929.74661203282</v>
      </c>
      <c r="N16" s="631">
        <f>M16*(1+'Demand - BTX'!$L$72)</f>
        <v>149929.74661203282</v>
      </c>
      <c r="O16" s="631">
        <f>N16*(1+'Demand - BTX'!$L$72)</f>
        <v>149929.74661203282</v>
      </c>
      <c r="P16" s="631">
        <f>O16*(1+'Demand - BTX'!$L$72)</f>
        <v>149929.74661203282</v>
      </c>
      <c r="Q16" s="631">
        <f>P16*(1+'Demand - BTX'!$L$72)</f>
        <v>149929.74661203282</v>
      </c>
      <c r="R16" s="631">
        <f>Q16*(1+'Demand - BTX'!$L$72)</f>
        <v>149929.74661203282</v>
      </c>
      <c r="S16" s="631">
        <f>R16*(1+'Demand - BTX'!$L$72)</f>
        <v>149929.74661203282</v>
      </c>
      <c r="T16" s="631">
        <f>S16*(1+'Demand - BTX'!$L$72)</f>
        <v>149929.74661203282</v>
      </c>
      <c r="U16" s="631">
        <f>T16*(1+'Demand - BTX'!$L$72)</f>
        <v>149929.74661203282</v>
      </c>
      <c r="V16" s="631">
        <f>U16*(1+'Demand - BTX'!$L$72)</f>
        <v>149929.74661203282</v>
      </c>
      <c r="W16" s="631">
        <f>V16*(1+'Demand - BTX'!$L$72)</f>
        <v>149929.74661203282</v>
      </c>
      <c r="X16" s="631">
        <f>W16*(1+'Demand - BTX'!$L$72)</f>
        <v>149929.74661203282</v>
      </c>
      <c r="Y16" s="631">
        <f>X16*(1+'Demand - BTX'!$L$72)</f>
        <v>149929.74661203282</v>
      </c>
      <c r="Z16" s="631">
        <f>Y16*(1+'Demand - BTX'!$L$72)</f>
        <v>149929.74661203282</v>
      </c>
      <c r="AA16" s="631">
        <f>Z16*(1+'Demand - BTX'!$L$72)</f>
        <v>149929.74661203282</v>
      </c>
      <c r="AB16" s="631">
        <f>AA16*(1+'Demand - BTX'!$L$72)</f>
        <v>149929.74661203282</v>
      </c>
      <c r="AC16" s="631">
        <f>AB16*(1+'Demand - BTX'!$L$72)</f>
        <v>149929.74661203282</v>
      </c>
      <c r="AD16" s="631">
        <f>AC16*(1+'Demand - BTX'!$L$72)</f>
        <v>149929.74661203282</v>
      </c>
      <c r="AE16" s="631">
        <f>AD16*(1+'Demand - BTX'!$L$72)</f>
        <v>149929.74661203282</v>
      </c>
      <c r="AF16" s="631">
        <f>AE16*(1+'Demand - BTX'!$L$72)</f>
        <v>149929.74661203282</v>
      </c>
      <c r="AG16" s="631">
        <f>AF16*(1+'Demand - BTX'!$L$72)</f>
        <v>149929.74661203282</v>
      </c>
      <c r="AH16" s="631">
        <f>AG16*(1+'Demand - BTX'!$L$72)</f>
        <v>149929.74661203282</v>
      </c>
      <c r="AI16" s="632"/>
      <c r="AJ16" s="631">
        <f>D16</f>
        <v>149929.74661203282</v>
      </c>
      <c r="AK16" s="631">
        <f t="shared" si="7"/>
        <v>149929.74661203282</v>
      </c>
      <c r="AL16" s="631">
        <f t="shared" si="7"/>
        <v>149929.74661203282</v>
      </c>
      <c r="AM16" s="631">
        <f t="shared" si="7"/>
        <v>149929.74661203282</v>
      </c>
      <c r="AN16" s="631">
        <f t="shared" si="7"/>
        <v>149929.74661203282</v>
      </c>
      <c r="AO16" s="631">
        <f t="shared" si="7"/>
        <v>149929.74661203282</v>
      </c>
      <c r="AP16" s="631">
        <f t="shared" si="7"/>
        <v>149929.74661203282</v>
      </c>
      <c r="AQ16" s="631">
        <f t="shared" si="7"/>
        <v>149929.74661203282</v>
      </c>
      <c r="AR16" s="631">
        <f t="shared" si="7"/>
        <v>149929.74661203282</v>
      </c>
      <c r="AS16" s="631">
        <f t="shared" si="7"/>
        <v>149929.74661203282</v>
      </c>
      <c r="AT16" s="631">
        <f t="shared" si="7"/>
        <v>149929.74661203282</v>
      </c>
      <c r="AU16" s="631">
        <f t="shared" si="7"/>
        <v>149929.74661203282</v>
      </c>
      <c r="AV16" s="631">
        <f t="shared" si="7"/>
        <v>149929.74661203282</v>
      </c>
      <c r="AW16" s="631">
        <f t="shared" si="7"/>
        <v>149929.74661203282</v>
      </c>
      <c r="AX16" s="631">
        <f t="shared" si="7"/>
        <v>149929.74661203282</v>
      </c>
      <c r="AY16" s="631">
        <f t="shared" si="7"/>
        <v>149929.74661203282</v>
      </c>
      <c r="AZ16" s="631">
        <f t="shared" ref="AZ16:BN16" si="13">T16</f>
        <v>149929.74661203282</v>
      </c>
      <c r="BA16" s="631">
        <f t="shared" si="13"/>
        <v>149929.74661203282</v>
      </c>
      <c r="BB16" s="631">
        <f t="shared" si="13"/>
        <v>149929.74661203282</v>
      </c>
      <c r="BC16" s="631">
        <f t="shared" si="13"/>
        <v>149929.74661203282</v>
      </c>
      <c r="BD16" s="631">
        <f t="shared" si="13"/>
        <v>149929.74661203282</v>
      </c>
      <c r="BE16" s="631">
        <f t="shared" si="13"/>
        <v>149929.74661203282</v>
      </c>
      <c r="BF16" s="631">
        <f t="shared" si="13"/>
        <v>149929.74661203282</v>
      </c>
      <c r="BG16" s="631">
        <f t="shared" si="13"/>
        <v>149929.74661203282</v>
      </c>
      <c r="BH16" s="631">
        <f t="shared" si="13"/>
        <v>149929.74661203282</v>
      </c>
      <c r="BI16" s="631">
        <f t="shared" si="13"/>
        <v>149929.74661203282</v>
      </c>
      <c r="BJ16" s="631">
        <f t="shared" si="13"/>
        <v>149929.74661203282</v>
      </c>
      <c r="BK16" s="631">
        <f t="shared" si="13"/>
        <v>149929.74661203282</v>
      </c>
      <c r="BL16" s="631">
        <f t="shared" si="13"/>
        <v>149929.74661203282</v>
      </c>
      <c r="BM16" s="631">
        <f t="shared" si="13"/>
        <v>149929.74661203282</v>
      </c>
      <c r="BN16" s="631">
        <f t="shared" si="13"/>
        <v>149929.74661203282</v>
      </c>
      <c r="BR16" s="1" t="s">
        <v>911</v>
      </c>
      <c r="BS16" s="228">
        <f>AH9</f>
        <v>43750.7454163523</v>
      </c>
      <c r="BY16" s="27" t="s">
        <v>1287</v>
      </c>
      <c r="BZ16" s="136">
        <f>D4</f>
        <v>4369539.7493458875</v>
      </c>
      <c r="CA16" s="130"/>
      <c r="CB16" s="136" t="s">
        <v>307</v>
      </c>
      <c r="CC16" s="130"/>
      <c r="CD16" s="130"/>
      <c r="CE16" s="130"/>
      <c r="CF16" s="130"/>
      <c r="CG16" s="521" t="s">
        <v>307</v>
      </c>
      <c r="CI16" s="133"/>
    </row>
    <row r="17" spans="1:85" outlineLevel="1">
      <c r="B17" s="1" t="s">
        <v>912</v>
      </c>
      <c r="C17" s="51" t="s">
        <v>166</v>
      </c>
      <c r="D17" s="101">
        <v>0</v>
      </c>
      <c r="E17" s="101">
        <f>E16*('R&amp;S - Transportation'!$B$8*'R&amp;S - Transportation'!$D$19*(E3-$D$3)/10)</f>
        <v>299.85949322406572</v>
      </c>
      <c r="F17" s="101">
        <f>F16*('R&amp;S - Transportation'!$B$8*'R&amp;S - Transportation'!$D$19*(F3-$D$3)/10)</f>
        <v>599.71898644813143</v>
      </c>
      <c r="G17" s="101">
        <f>G16*('R&amp;S - Transportation'!$B$8*'R&amp;S - Transportation'!$D$19*(G3-$D$3)/10)</f>
        <v>899.57847967219709</v>
      </c>
      <c r="H17" s="101">
        <f>H16*('R&amp;S - Transportation'!$B$8*'R&amp;S - Transportation'!$D$19*(H3-$D$3)/10)</f>
        <v>1199.4379728962629</v>
      </c>
      <c r="I17" s="101">
        <f>I16*('R&amp;S - Transportation'!$B$8*'R&amp;S - Transportation'!$D$19*(I3-$D$3)/10)</f>
        <v>1499.2974661203284</v>
      </c>
      <c r="J17" s="101">
        <f>J16*('R&amp;S - Transportation'!$B$8*'R&amp;S - Transportation'!$D$19*(J3-$D$3)/10)</f>
        <v>1799.1569593443942</v>
      </c>
      <c r="K17" s="101">
        <f>K16*('R&amp;S - Transportation'!$B$8*'R&amp;S - Transportation'!$D$19*(K3-$D$3)/10)</f>
        <v>2099.01645256846</v>
      </c>
      <c r="L17" s="101">
        <f>L16*('R&amp;S - Transportation'!$B$8*'R&amp;S - Transportation'!$D$19*(L3-$D$3)/10)</f>
        <v>2398.8759457925257</v>
      </c>
      <c r="M17" s="101">
        <f>M16*('R&amp;S - Transportation'!$B$8*'R&amp;S - Transportation'!$D$19*(M3-$D$3)/10)</f>
        <v>2698.7354390165915</v>
      </c>
      <c r="N17" s="101">
        <f>N16*('R&amp;S - Transportation'!$B$8*'R&amp;S - Transportation'!$D$19*(N3-$D$3)/10)</f>
        <v>2998.5949322406568</v>
      </c>
      <c r="O17" s="101">
        <f>O16*('R&amp;S - Transportation'!$B$8*('R&amp;S - Transportation'!$D$19+('R&amp;S - Transportation'!$D$20-'R&amp;S - Transportation'!$D$19)*(O3-$N$3)/10))</f>
        <v>3748.2436653008208</v>
      </c>
      <c r="P17" s="101">
        <f>P16*('R&amp;S - Transportation'!$B$8*('R&amp;S - Transportation'!$D$19+('R&amp;S - Transportation'!$D$20-'R&amp;S - Transportation'!$D$19)*(P3-$N$3)/10))</f>
        <v>4497.8923983609848</v>
      </c>
      <c r="Q17" s="101">
        <f>Q16*('R&amp;S - Transportation'!$B$8*('R&amp;S - Transportation'!$D$19+('R&amp;S - Transportation'!$D$20-'R&amp;S - Transportation'!$D$19)*(Q3-$N$3)/10))</f>
        <v>5247.5411314211478</v>
      </c>
      <c r="R17" s="101">
        <f>R16*('R&amp;S - Transportation'!$B$8*('R&amp;S - Transportation'!$D$19+('R&amp;S - Transportation'!$D$20-'R&amp;S - Transportation'!$D$19)*(R3-$N$3)/10))</f>
        <v>5997.1898644813136</v>
      </c>
      <c r="S17" s="101">
        <f>S16*('R&amp;S - Transportation'!$B$8*('R&amp;S - Transportation'!$D$19+('R&amp;S - Transportation'!$D$20-'R&amp;S - Transportation'!$D$19)*(S3-$N$3)/10))</f>
        <v>6746.8385975414767</v>
      </c>
      <c r="T17" s="101">
        <f>T16*('R&amp;S - Transportation'!$B$8*('R&amp;S - Transportation'!$D$19+('R&amp;S - Transportation'!$D$20-'R&amp;S - Transportation'!$D$19)*(T3-$N$3)/10))</f>
        <v>7496.4873306016407</v>
      </c>
      <c r="U17" s="101">
        <f>U16*('R&amp;S - Transportation'!$B$8*('R&amp;S - Transportation'!$D$19+('R&amp;S - Transportation'!$D$20-'R&amp;S - Transportation'!$D$19)*(U3-$N$3)/10))</f>
        <v>8246.1360636618065</v>
      </c>
      <c r="V17" s="101">
        <f>V16*('R&amp;S - Transportation'!$B$8*('R&amp;S - Transportation'!$D$19+('R&amp;S - Transportation'!$D$20-'R&amp;S - Transportation'!$D$19)*(V3-$N$3)/10))</f>
        <v>8995.7847967219695</v>
      </c>
      <c r="W17" s="101">
        <f>W16*('R&amp;S - Transportation'!$B$8*('R&amp;S - Transportation'!$D$19+('R&amp;S - Transportation'!$D$20-'R&amp;S - Transportation'!$D$19)*(W3-$N$3)/10))</f>
        <v>9745.4335297821308</v>
      </c>
      <c r="X17" s="101">
        <f>X16*('R&amp;S - Transportation'!$B$8*('R&amp;S - Transportation'!$D$19+('R&amp;S - Transportation'!$D$20-'R&amp;S - Transportation'!$D$19)*(X3-$N$3)/10))</f>
        <v>10495.082262842296</v>
      </c>
      <c r="Y17" s="101">
        <f>Y16*('R&amp;S - Transportation'!$B$8*('R&amp;S - Transportation'!$D$20+('R&amp;S - Transportation'!$D$21-'R&amp;S - Transportation'!$D$20)*(Y3-$X$3)/10))</f>
        <v>10944.871502678396</v>
      </c>
      <c r="Z17" s="101">
        <f>Z16*('R&amp;S - Transportation'!$B$8*('R&amp;S - Transportation'!$D$20+('R&amp;S - Transportation'!$D$21-'R&amp;S - Transportation'!$D$20)*(Z3-$X$3)/10))</f>
        <v>11394.660742514496</v>
      </c>
      <c r="AA17" s="101">
        <f>AA16*('R&amp;S - Transportation'!$B$8*('R&amp;S - Transportation'!$D$20+('R&amp;S - Transportation'!$D$21-'R&amp;S - Transportation'!$D$20)*(AA3-$X$3)/10))</f>
        <v>11844.449982350592</v>
      </c>
      <c r="AB17" s="101">
        <f>AB16*('R&amp;S - Transportation'!$B$8*('R&amp;S - Transportation'!$D$20+('R&amp;S - Transportation'!$D$21-'R&amp;S - Transportation'!$D$20)*(AB3-$X$3)/10))</f>
        <v>12294.239222186692</v>
      </c>
      <c r="AC17" s="101">
        <f>AC16*('R&amp;S - Transportation'!$B$8*('R&amp;S - Transportation'!$D$20+('R&amp;S - Transportation'!$D$21-'R&amp;S - Transportation'!$D$20)*(AC3-$X$3)/10))</f>
        <v>12744.02846202279</v>
      </c>
      <c r="AD17" s="101">
        <f>AD16*('R&amp;S - Transportation'!$B$8*('R&amp;S - Transportation'!$D$20+('R&amp;S - Transportation'!$D$21-'R&amp;S - Transportation'!$D$20)*(AD3-$X$3)/10))</f>
        <v>13193.817701858889</v>
      </c>
      <c r="AE17" s="101">
        <f>AE16*('R&amp;S - Transportation'!$B$8*('R&amp;S - Transportation'!$D$20+('R&amp;S - Transportation'!$D$21-'R&amp;S - Transportation'!$D$20)*(AE3-$X$3)/10))</f>
        <v>13643.606941694989</v>
      </c>
      <c r="AF17" s="101">
        <f>AF16*('R&amp;S - Transportation'!$B$8*('R&amp;S - Transportation'!$D$20+('R&amp;S - Transportation'!$D$21-'R&amp;S - Transportation'!$D$20)*(AF3-$X$3)/10))</f>
        <v>14093.396181531085</v>
      </c>
      <c r="AG17" s="101">
        <f>AG16*('R&amp;S - Transportation'!$B$8*('R&amp;S - Transportation'!$D$20+('R&amp;S - Transportation'!$D$21-'R&amp;S - Transportation'!$D$20)*(AG3-$X$3)/10))</f>
        <v>14543.185421367183</v>
      </c>
      <c r="AH17" s="101">
        <f>AH16*('R&amp;S - Transportation'!$B$8*('R&amp;S - Transportation'!$D$20+('R&amp;S - Transportation'!$D$21-'R&amp;S - Transportation'!$D$20)*(AH3-$X$3)/10))</f>
        <v>14992.974661203283</v>
      </c>
      <c r="AI17" s="191"/>
      <c r="AJ17" s="101">
        <v>0</v>
      </c>
      <c r="AK17" s="101">
        <f>AK16*('R&amp;S - Transportation'!$B$8*'R&amp;S - Transportation'!$D$19*(AK3-$D$3)/10)</f>
        <v>299.85949322406572</v>
      </c>
      <c r="AL17" s="101">
        <f>AL16*('R&amp;S - Transportation'!$B$8*'R&amp;S - Transportation'!$D$19*(AL3-$D$3)/10)</f>
        <v>599.71898644813143</v>
      </c>
      <c r="AM17" s="101">
        <f>AM16*('R&amp;S - Transportation'!$B$8*'R&amp;S - Transportation'!$D$19*(AM3-$D$3)/10)</f>
        <v>899.57847967219709</v>
      </c>
      <c r="AN17" s="101">
        <f>AN16*('R&amp;S - Transportation'!$B$8*'R&amp;S - Transportation'!$D$19*(AN3-$D$3)/10)</f>
        <v>1199.4379728962629</v>
      </c>
      <c r="AO17" s="101">
        <f>AO16*('R&amp;S - Transportation'!$B$8*'R&amp;S - Transportation'!$D$19*(AO3-$D$3)/10)</f>
        <v>1499.2974661203284</v>
      </c>
      <c r="AP17" s="101">
        <f>AP16*('R&amp;S - Transportation'!$B$8*'R&amp;S - Transportation'!$D$19*(AP3-$D$3)/10)</f>
        <v>1799.1569593443942</v>
      </c>
      <c r="AQ17" s="101">
        <f>AQ16*('R&amp;S - Transportation'!$B$8*'R&amp;S - Transportation'!$D$19*(AQ3-$D$3)/10)</f>
        <v>2099.01645256846</v>
      </c>
      <c r="AR17" s="101">
        <f>AR16*('R&amp;S - Transportation'!$B$8*'R&amp;S - Transportation'!$D$19*(AR3-$D$3)/10)</f>
        <v>2398.8759457925257</v>
      </c>
      <c r="AS17" s="101">
        <f>AS16*('R&amp;S - Transportation'!$B$8*'R&amp;S - Transportation'!$D$19*(AS3-$D$3)/10)</f>
        <v>2698.7354390165915</v>
      </c>
      <c r="AT17" s="101">
        <f>AT16*('R&amp;S - Transportation'!$B$8*'R&amp;S - Transportation'!$D$19*(AT3-$D$3)/10)</f>
        <v>2998.5949322406568</v>
      </c>
      <c r="AU17" s="101">
        <f>AU16*('R&amp;S - Transportation'!$B$8*('R&amp;S - Transportation'!$D$19+('R&amp;S - Transportation'!$D$20-'R&amp;S - Transportation'!$D$19)*(AU3-$N$3)/10))</f>
        <v>3748.2436653008208</v>
      </c>
      <c r="AV17" s="101">
        <f>AV16*('R&amp;S - Transportation'!$B$8*('R&amp;S - Transportation'!$D$19+('R&amp;S - Transportation'!$D$20-'R&amp;S - Transportation'!$D$19)*(AV3-$N$3)/10))</f>
        <v>4497.8923983609848</v>
      </c>
      <c r="AW17" s="101">
        <f>AW16*('R&amp;S - Transportation'!$B$8*('R&amp;S - Transportation'!$D$19+('R&amp;S - Transportation'!$D$20-'R&amp;S - Transportation'!$D$19)*(AW3-$N$3)/10))</f>
        <v>5247.5411314211478</v>
      </c>
      <c r="AX17" s="101">
        <f>AX16*('R&amp;S - Transportation'!$B$8*('R&amp;S - Transportation'!$D$19+('R&amp;S - Transportation'!$D$20-'R&amp;S - Transportation'!$D$19)*(AX3-$N$3)/10))</f>
        <v>5997.1898644813136</v>
      </c>
      <c r="AY17" s="101">
        <f>AY16*('R&amp;S - Transportation'!$B$8*('R&amp;S - Transportation'!$D$19+('R&amp;S - Transportation'!$D$20-'R&amp;S - Transportation'!$D$19)*(AY3-$N$3)/10))</f>
        <v>6746.8385975414767</v>
      </c>
      <c r="AZ17" s="101">
        <f>AZ16*('R&amp;S - Transportation'!$B$8*('R&amp;S - Transportation'!$D$19+('R&amp;S - Transportation'!$D$20-'R&amp;S - Transportation'!$D$19)*(AZ3-$N$3)/10))</f>
        <v>7496.4873306016407</v>
      </c>
      <c r="BA17" s="101">
        <f>BA16*('R&amp;S - Transportation'!$B$8*('R&amp;S - Transportation'!$D$19+('R&amp;S - Transportation'!$D$20-'R&amp;S - Transportation'!$D$19)*(BA3-$N$3)/10))</f>
        <v>8246.1360636618065</v>
      </c>
      <c r="BB17" s="101">
        <f>BB16*('R&amp;S - Transportation'!$B$8*('R&amp;S - Transportation'!$D$19+('R&amp;S - Transportation'!$D$20-'R&amp;S - Transportation'!$D$19)*(BB3-$N$3)/10))</f>
        <v>8995.7847967219695</v>
      </c>
      <c r="BC17" s="101">
        <f>BC16*('R&amp;S - Transportation'!$B$8*('R&amp;S - Transportation'!$D$19+('R&amp;S - Transportation'!$D$20-'R&amp;S - Transportation'!$D$19)*(BC3-$N$3)/10))</f>
        <v>9745.4335297821308</v>
      </c>
      <c r="BD17" s="101">
        <f>BD16*('R&amp;S - Transportation'!$B$8*('R&amp;S - Transportation'!$D$19+('R&amp;S - Transportation'!$D$20-'R&amp;S - Transportation'!$D$19)*(BD3-$N$3)/10))</f>
        <v>10495.082262842296</v>
      </c>
      <c r="BE17" s="101">
        <f>BE16*('R&amp;S - Transportation'!$B$8*('R&amp;S - Transportation'!$D$20+('R&amp;S - Transportation'!$D$21-'R&amp;S - Transportation'!$D$20)*(BE3-$X$3)/10))</f>
        <v>10944.871502678396</v>
      </c>
      <c r="BF17" s="101">
        <f>BF16*('R&amp;S - Transportation'!$B$8*('R&amp;S - Transportation'!$D$20+('R&amp;S - Transportation'!$D$21-'R&amp;S - Transportation'!$D$20)*(BF3-$X$3)/10))</f>
        <v>11394.660742514496</v>
      </c>
      <c r="BG17" s="101">
        <f>BG16*('R&amp;S - Transportation'!$B$8*('R&amp;S - Transportation'!$D$20+('R&amp;S - Transportation'!$D$21-'R&amp;S - Transportation'!$D$20)*(BG3-$X$3)/10))</f>
        <v>11844.449982350592</v>
      </c>
      <c r="BH17" s="101">
        <f>BH16*('R&amp;S - Transportation'!$B$8*('R&amp;S - Transportation'!$D$20+('R&amp;S - Transportation'!$D$21-'R&amp;S - Transportation'!$D$20)*(BH3-$X$3)/10))</f>
        <v>12294.239222186692</v>
      </c>
      <c r="BI17" s="101">
        <f>BI16*('R&amp;S - Transportation'!$B$8*('R&amp;S - Transportation'!$D$20+('R&amp;S - Transportation'!$D$21-'R&amp;S - Transportation'!$D$20)*(BI3-$X$3)/10))</f>
        <v>12744.02846202279</v>
      </c>
      <c r="BJ17" s="101">
        <f>BJ16*('R&amp;S - Transportation'!$B$8*('R&amp;S - Transportation'!$D$20+('R&amp;S - Transportation'!$D$21-'R&amp;S - Transportation'!$D$20)*(BJ3-$X$3)/10))</f>
        <v>13193.817701858889</v>
      </c>
      <c r="BK17" s="101">
        <f>BK16*('R&amp;S - Transportation'!$B$8*('R&amp;S - Transportation'!$D$20+('R&amp;S - Transportation'!$D$21-'R&amp;S - Transportation'!$D$20)*(BK3-$X$3)/10))</f>
        <v>13643.606941694989</v>
      </c>
      <c r="BL17" s="101">
        <f>BL16*('R&amp;S - Transportation'!$B$8*('R&amp;S - Transportation'!$D$20+('R&amp;S - Transportation'!$D$21-'R&amp;S - Transportation'!$D$20)*(BL3-$X$3)/10))</f>
        <v>14093.396181531085</v>
      </c>
      <c r="BM17" s="101">
        <f>BM16*('R&amp;S - Transportation'!$B$8*('R&amp;S - Transportation'!$D$20+('R&amp;S - Transportation'!$D$21-'R&amp;S - Transportation'!$D$20)*(BM3-$X$3)/10))</f>
        <v>14543.185421367183</v>
      </c>
      <c r="BN17" s="101">
        <f>BN16*('R&amp;S - Transportation'!$B$8*('R&amp;S - Transportation'!$D$20+('R&amp;S - Transportation'!$D$21-'R&amp;S - Transportation'!$D$20)*(BN3-$X$3)/10))</f>
        <v>14992.974661203283</v>
      </c>
      <c r="BR17" t="s">
        <v>913</v>
      </c>
      <c r="BS17" s="41" t="e">
        <f>#REF!</f>
        <v>#REF!</v>
      </c>
      <c r="BY17" s="27" t="s">
        <v>151</v>
      </c>
      <c r="BZ17" s="130"/>
      <c r="CA17" s="130"/>
      <c r="CB17" s="130"/>
      <c r="CC17" s="130"/>
      <c r="CD17" s="136">
        <f>AH67</f>
        <v>1766740.262713454</v>
      </c>
      <c r="CE17" s="130"/>
      <c r="CF17" s="130"/>
      <c r="CG17" s="130"/>
    </row>
    <row r="18" spans="1:85" outlineLevel="1">
      <c r="B18" s="1" t="s">
        <v>176</v>
      </c>
      <c r="C18" s="51" t="s">
        <v>166</v>
      </c>
      <c r="D18" s="101">
        <f>SUM(D16:D17)</f>
        <v>149929.74661203282</v>
      </c>
      <c r="E18" s="101">
        <f t="shared" ref="E18:AH18" si="14">SUM(E16:E17)</f>
        <v>150229.60610525688</v>
      </c>
      <c r="F18" s="101">
        <f t="shared" si="14"/>
        <v>150529.46559848095</v>
      </c>
      <c r="G18" s="101">
        <f t="shared" si="14"/>
        <v>150829.32509170502</v>
      </c>
      <c r="H18" s="101">
        <f t="shared" si="14"/>
        <v>151129.18458492908</v>
      </c>
      <c r="I18" s="101">
        <f t="shared" si="14"/>
        <v>151429.04407815315</v>
      </c>
      <c r="J18" s="101">
        <f t="shared" si="14"/>
        <v>151728.90357137722</v>
      </c>
      <c r="K18" s="101">
        <f t="shared" si="14"/>
        <v>152028.76306460128</v>
      </c>
      <c r="L18" s="101">
        <f t="shared" si="14"/>
        <v>152328.62255782535</v>
      </c>
      <c r="M18" s="101">
        <f t="shared" si="14"/>
        <v>152628.48205104942</v>
      </c>
      <c r="N18" s="101">
        <f t="shared" si="14"/>
        <v>152928.34154427348</v>
      </c>
      <c r="O18" s="101">
        <f>SUM(O16:O17)</f>
        <v>153677.99027733365</v>
      </c>
      <c r="P18" s="101">
        <f t="shared" si="14"/>
        <v>154427.63901039379</v>
      </c>
      <c r="Q18" s="101">
        <f t="shared" si="14"/>
        <v>155177.28774345396</v>
      </c>
      <c r="R18" s="101">
        <f t="shared" si="14"/>
        <v>155926.93647651412</v>
      </c>
      <c r="S18" s="101">
        <f t="shared" si="14"/>
        <v>156676.58520957429</v>
      </c>
      <c r="T18" s="101">
        <f t="shared" si="14"/>
        <v>157426.23394263446</v>
      </c>
      <c r="U18" s="101">
        <f t="shared" si="14"/>
        <v>158175.88267569462</v>
      </c>
      <c r="V18" s="101">
        <f t="shared" si="14"/>
        <v>158925.53140875479</v>
      </c>
      <c r="W18" s="101">
        <f t="shared" si="14"/>
        <v>159675.18014181496</v>
      </c>
      <c r="X18" s="101">
        <f t="shared" si="14"/>
        <v>160424.82887487512</v>
      </c>
      <c r="Y18" s="101">
        <f t="shared" si="14"/>
        <v>160874.61811471122</v>
      </c>
      <c r="Z18" s="101">
        <f t="shared" si="14"/>
        <v>161324.40735454732</v>
      </c>
      <c r="AA18" s="101">
        <f t="shared" si="14"/>
        <v>161774.19659438342</v>
      </c>
      <c r="AB18" s="101">
        <f t="shared" si="14"/>
        <v>162223.98583421952</v>
      </c>
      <c r="AC18" s="101">
        <f t="shared" si="14"/>
        <v>162673.77507405559</v>
      </c>
      <c r="AD18" s="101">
        <f t="shared" si="14"/>
        <v>163123.56431389169</v>
      </c>
      <c r="AE18" s="101">
        <f t="shared" si="14"/>
        <v>163573.35355372779</v>
      </c>
      <c r="AF18" s="101">
        <f t="shared" si="14"/>
        <v>164023.14279356389</v>
      </c>
      <c r="AG18" s="101">
        <f t="shared" si="14"/>
        <v>164472.93203339999</v>
      </c>
      <c r="AH18" s="101">
        <f t="shared" si="14"/>
        <v>164922.72127323609</v>
      </c>
      <c r="AI18" s="191"/>
      <c r="AJ18" s="101">
        <f>SUM(AJ16:AJ17)</f>
        <v>149929.74661203282</v>
      </c>
      <c r="AK18" s="101">
        <f t="shared" ref="AK18:AT18" si="15">SUM(AK16:AK17)</f>
        <v>150229.60610525688</v>
      </c>
      <c r="AL18" s="101">
        <f t="shared" si="15"/>
        <v>150529.46559848095</v>
      </c>
      <c r="AM18" s="101">
        <f t="shared" si="15"/>
        <v>150829.32509170502</v>
      </c>
      <c r="AN18" s="101">
        <f t="shared" si="15"/>
        <v>151129.18458492908</v>
      </c>
      <c r="AO18" s="101">
        <f t="shared" si="15"/>
        <v>151429.04407815315</v>
      </c>
      <c r="AP18" s="101">
        <f t="shared" si="15"/>
        <v>151728.90357137722</v>
      </c>
      <c r="AQ18" s="101">
        <f t="shared" si="15"/>
        <v>152028.76306460128</v>
      </c>
      <c r="AR18" s="101">
        <f t="shared" si="15"/>
        <v>152328.62255782535</v>
      </c>
      <c r="AS18" s="101">
        <f t="shared" si="15"/>
        <v>152628.48205104942</v>
      </c>
      <c r="AT18" s="101">
        <f t="shared" si="15"/>
        <v>152928.34154427348</v>
      </c>
      <c r="AU18" s="101">
        <f>SUM(AU16:AU17)</f>
        <v>153677.99027733365</v>
      </c>
      <c r="AV18" s="101">
        <f t="shared" ref="AV18:BN18" si="16">SUM(AV16:AV17)</f>
        <v>154427.63901039379</v>
      </c>
      <c r="AW18" s="101">
        <f t="shared" si="16"/>
        <v>155177.28774345396</v>
      </c>
      <c r="AX18" s="101">
        <f t="shared" si="16"/>
        <v>155926.93647651412</v>
      </c>
      <c r="AY18" s="101">
        <f t="shared" si="16"/>
        <v>156676.58520957429</v>
      </c>
      <c r="AZ18" s="101">
        <f t="shared" si="16"/>
        <v>157426.23394263446</v>
      </c>
      <c r="BA18" s="101">
        <f t="shared" si="16"/>
        <v>158175.88267569462</v>
      </c>
      <c r="BB18" s="101">
        <f t="shared" si="16"/>
        <v>158925.53140875479</v>
      </c>
      <c r="BC18" s="101">
        <f t="shared" si="16"/>
        <v>159675.18014181496</v>
      </c>
      <c r="BD18" s="101">
        <f t="shared" si="16"/>
        <v>160424.82887487512</v>
      </c>
      <c r="BE18" s="101">
        <f t="shared" si="16"/>
        <v>160874.61811471122</v>
      </c>
      <c r="BF18" s="101">
        <f t="shared" si="16"/>
        <v>161324.40735454732</v>
      </c>
      <c r="BG18" s="101">
        <f t="shared" si="16"/>
        <v>161774.19659438342</v>
      </c>
      <c r="BH18" s="101">
        <f t="shared" si="16"/>
        <v>162223.98583421952</v>
      </c>
      <c r="BI18" s="101">
        <f t="shared" si="16"/>
        <v>162673.77507405559</v>
      </c>
      <c r="BJ18" s="101">
        <f t="shared" si="16"/>
        <v>163123.56431389169</v>
      </c>
      <c r="BK18" s="101">
        <f t="shared" si="16"/>
        <v>163573.35355372779</v>
      </c>
      <c r="BL18" s="101">
        <f t="shared" si="16"/>
        <v>164023.14279356389</v>
      </c>
      <c r="BM18" s="101">
        <f t="shared" si="16"/>
        <v>164472.93203339999</v>
      </c>
      <c r="BN18" s="101">
        <f t="shared" si="16"/>
        <v>164922.72127323609</v>
      </c>
      <c r="BR18" t="s">
        <v>24</v>
      </c>
      <c r="BS18" s="41" t="e">
        <f>#REF!</f>
        <v>#REF!</v>
      </c>
      <c r="BY18" s="27" t="s">
        <v>152</v>
      </c>
      <c r="BZ18" s="130"/>
      <c r="CA18" s="130"/>
      <c r="CB18" s="130"/>
      <c r="CC18" s="130"/>
      <c r="CD18" s="130"/>
      <c r="CE18" s="136">
        <f>AH68</f>
        <v>682131.02961031254</v>
      </c>
      <c r="CF18" s="130"/>
      <c r="CG18" s="130"/>
    </row>
    <row r="19" spans="1:85" outlineLevel="1">
      <c r="B19" s="58" t="s">
        <v>134</v>
      </c>
      <c r="C19" s="51" t="s">
        <v>166</v>
      </c>
      <c r="D19" s="101">
        <v>0</v>
      </c>
      <c r="E19" s="101">
        <f>E18*'R&amp;S - Transportation'!$B$15*('R&amp;S - Transportation'!$B$10*'R&amp;S - Transportation'!$B$19*(E$3-$D$3)/10)</f>
        <v>495.75770014734769</v>
      </c>
      <c r="F19" s="101">
        <f>F18*'R&amp;S - Transportation'!$B$15*('R&amp;S - Transportation'!$B$10*'R&amp;S - Transportation'!$B$19*(F$3-$D$3)/10)</f>
        <v>993.49447294997424</v>
      </c>
      <c r="G19" s="101">
        <f>G18*'R&amp;S - Transportation'!$B$15*('R&amp;S - Transportation'!$B$10*'R&amp;S - Transportation'!$B$19*(G$3-$D$3)/10)</f>
        <v>1493.2103184078799</v>
      </c>
      <c r="H19" s="101">
        <f>H18*'R&amp;S - Transportation'!$B$15*('R&amp;S - Transportation'!$B$10*'R&amp;S - Transportation'!$B$19*(H$3-$D$3)/10)</f>
        <v>1994.9052365210639</v>
      </c>
      <c r="I19" s="101">
        <f>I18*'R&amp;S - Transportation'!$B$15*('R&amp;S - Transportation'!$B$10*'R&amp;S - Transportation'!$B$19*(I$3-$D$3)/10)</f>
        <v>2498.5792272895269</v>
      </c>
      <c r="J19" s="101">
        <f>J18*'R&amp;S - Transportation'!$B$15*('R&amp;S - Transportation'!$B$10*'R&amp;S - Transportation'!$B$19*(J$3-$D$3)/10)</f>
        <v>3004.2322907132693</v>
      </c>
      <c r="K19" s="101">
        <f>K18*'R&amp;S - Transportation'!$B$15*('R&amp;S - Transportation'!$B$10*'R&amp;S - Transportation'!$B$19*(K$3-$D$3)/10)</f>
        <v>3511.86442679229</v>
      </c>
      <c r="L19" s="101">
        <f>L18*'R&amp;S - Transportation'!$B$15*('R&amp;S - Transportation'!$B$10*'R&amp;S - Transportation'!$B$19*(L$3-$D$3)/10)</f>
        <v>4021.475635526589</v>
      </c>
      <c r="M19" s="101">
        <f>M18*'R&amp;S - Transportation'!$B$15*('R&amp;S - Transportation'!$B$10*'R&amp;S - Transportation'!$B$19*(M$3-$D$3)/10)</f>
        <v>4533.0659169161681</v>
      </c>
      <c r="N19" s="101">
        <f>N18*'R&amp;S - Transportation'!$B$15*('R&amp;S - Transportation'!$B$10*'R&amp;S - Transportation'!$B$19*(N$3-$D$3)/10)</f>
        <v>5046.6352709610255</v>
      </c>
      <c r="O19" s="101">
        <f>O18*('R&amp;S - Transportation'!$B$15*('R&amp;S - Transportation'!$B$10*('R&amp;S - Transportation'!$B$19+('R&amp;S - Transportation'!$B$20-'R&amp;S - Transportation'!$B$19)*(O3-$N$3)/10)))</f>
        <v>6592.7857828976139</v>
      </c>
      <c r="P19" s="101">
        <f>P18*('R&amp;S - Transportation'!$B$15*('R&amp;S - Transportation'!$B$10*('R&amp;S - Transportation'!$B$19+('R&amp;S - Transportation'!$B$20-'R&amp;S - Transportation'!$B$19)*(P3-$N$3)/10)))</f>
        <v>8153.779339748794</v>
      </c>
      <c r="Q19" s="101">
        <f>Q18*('R&amp;S - Transportation'!$B$15*('R&amp;S - Transportation'!$B$10*('R&amp;S - Transportation'!$B$19+('R&amp;S - Transportation'!$B$20-'R&amp;S - Transportation'!$B$19)*(Q3-$N$3)/10)))</f>
        <v>9729.615941514563</v>
      </c>
      <c r="R19" s="101">
        <f>R18*('R&amp;S - Transportation'!$B$15*('R&amp;S - Transportation'!$B$10*('R&amp;S - Transportation'!$B$19+('R&amp;S - Transportation'!$B$20-'R&amp;S - Transportation'!$B$19)*(R3-$N$3)/10)))</f>
        <v>11320.295588194927</v>
      </c>
      <c r="S19" s="101">
        <f>S18*('R&amp;S - Transportation'!$B$15*('R&amp;S - Transportation'!$B$10*('R&amp;S - Transportation'!$B$19+('R&amp;S - Transportation'!$B$20-'R&amp;S - Transportation'!$B$19)*(S3-$N$3)/10)))</f>
        <v>12925.818279789879</v>
      </c>
      <c r="T19" s="101">
        <f>T18*('R&amp;S - Transportation'!$B$15*('R&amp;S - Transportation'!$B$10*('R&amp;S - Transportation'!$B$19+('R&amp;S - Transportation'!$B$20-'R&amp;S - Transportation'!$B$19)*(T3-$N$3)/10)))</f>
        <v>14546.184016299425</v>
      </c>
      <c r="U19" s="101">
        <f>U18*('R&amp;S - Transportation'!$B$15*('R&amp;S - Transportation'!$B$10*('R&amp;S - Transportation'!$B$19+('R&amp;S - Transportation'!$B$20-'R&amp;S - Transportation'!$B$19)*(U3-$N$3)/10)))</f>
        <v>16181.392797723562</v>
      </c>
      <c r="V19" s="101">
        <f>V18*('R&amp;S - Transportation'!$B$15*('R&amp;S - Transportation'!$B$10*('R&amp;S - Transportation'!$B$19+('R&amp;S - Transportation'!$B$20-'R&amp;S - Transportation'!$B$19)*(V3-$N$3)/10)))</f>
        <v>17831.444624062293</v>
      </c>
      <c r="W19" s="101">
        <f>W18*('R&amp;S - Transportation'!$B$15*('R&amp;S - Transportation'!$B$10*('R&amp;S - Transportation'!$B$19+('R&amp;S - Transportation'!$B$20-'R&amp;S - Transportation'!$B$19)*(W3-$N$3)/10)))</f>
        <v>19496.339495315606</v>
      </c>
      <c r="X19" s="101">
        <f>X18*('R&amp;S - Transportation'!$B$15*('R&amp;S - Transportation'!$B$10*('R&amp;S - Transportation'!$B$19+('R&amp;S - Transportation'!$B$20-'R&amp;S - Transportation'!$B$19)*(X3-$N$3)/10)))</f>
        <v>21176.077411483519</v>
      </c>
      <c r="Y19" s="101">
        <f>Y18*('R&amp;S - Transportation'!$B$15*('R&amp;S - Transportation'!$B$10*('R&amp;S - Transportation'!$B$20+('R&amp;S - Transportation'!$B$21-'R&amp;S - Transportation'!$B$20)*(Y3-$X$3)/10)))</f>
        <v>24420.767029813167</v>
      </c>
      <c r="Z19" s="101">
        <f>Z18*('R&amp;S - Transportation'!$B$15*('R&amp;S - Transportation'!$B$10*('R&amp;S - Transportation'!$B$20+('R&amp;S - Transportation'!$B$21-'R&amp;S - Transportation'!$B$20)*(Z3-$X$3)/10)))</f>
        <v>27683.26830204032</v>
      </c>
      <c r="AA19" s="101">
        <f>AA18*('R&amp;S - Transportation'!$B$15*('R&amp;S - Transportation'!$B$10*('R&amp;S - Transportation'!$B$20+('R&amp;S - Transportation'!$B$21-'R&amp;S - Transportation'!$B$20)*(AA3-$X$3)/10)))</f>
        <v>30963.581228164992</v>
      </c>
      <c r="AB19" s="101">
        <f>AB18*('R&amp;S - Transportation'!$B$15*('R&amp;S - Transportation'!$B$10*('R&amp;S - Transportation'!$B$20+('R&amp;S - Transportation'!$B$21-'R&amp;S - Transportation'!$B$20)*(AB3-$X$3)/10)))</f>
        <v>34261.705808187166</v>
      </c>
      <c r="AC19" s="101">
        <f>AC18*('R&amp;S - Transportation'!$B$15*('R&amp;S - Transportation'!$B$10*('R&amp;S - Transportation'!$B$20+('R&amp;S - Transportation'!$B$21-'R&amp;S - Transportation'!$B$20)*(AC3-$X$3)/10)))</f>
        <v>37577.64204210684</v>
      </c>
      <c r="AD19" s="101">
        <f>AD18*('R&amp;S - Transportation'!$B$15*('R&amp;S - Transportation'!$B$10*('R&amp;S - Transportation'!$B$20+('R&amp;S - Transportation'!$B$21-'R&amp;S - Transportation'!$B$20)*(AD3-$X$3)/10)))</f>
        <v>40911.389929924044</v>
      </c>
      <c r="AE19" s="101">
        <f>AE18*('R&amp;S - Transportation'!$B$15*('R&amp;S - Transportation'!$B$10*('R&amp;S - Transportation'!$B$20+('R&amp;S - Transportation'!$B$21-'R&amp;S - Transportation'!$B$20)*(AE3-$X$3)/10)))</f>
        <v>44262.949471638742</v>
      </c>
      <c r="AF19" s="101">
        <f>AF18*('R&amp;S - Transportation'!$B$15*('R&amp;S - Transportation'!$B$10*('R&amp;S - Transportation'!$B$20+('R&amp;S - Transportation'!$B$21-'R&amp;S - Transportation'!$B$20)*(AF3-$X$3)/10)))</f>
        <v>47632.320667250955</v>
      </c>
      <c r="AG19" s="101">
        <f>AG18*('R&amp;S - Transportation'!$B$15*('R&amp;S - Transportation'!$B$10*('R&amp;S - Transportation'!$B$20+('R&amp;S - Transportation'!$B$21-'R&amp;S - Transportation'!$B$20)*(AG3-$X$3)/10)))</f>
        <v>51019.503516760677</v>
      </c>
      <c r="AH19" s="101">
        <f>AH18*('R&amp;S - Transportation'!$B$15*('R&amp;S - Transportation'!$B$10*('R&amp;S - Transportation'!$B$20+('R&amp;S - Transportation'!$B$21-'R&amp;S - Transportation'!$B$20)*(AH3-$X$3)/10)))</f>
        <v>54424.498020167914</v>
      </c>
      <c r="AI19" s="191"/>
      <c r="AJ19" s="101">
        <v>0</v>
      </c>
      <c r="AK19" s="101">
        <f>AK18*'R&amp;S - Transportation'!$B$16*('R&amp;S - Transportation'!$B$10*'R&amp;S - Transportation'!$B$19*(AK$3-$D$3)/10)</f>
        <v>247.87885007367385</v>
      </c>
      <c r="AL19" s="101">
        <f>AL18*'R&amp;S - Transportation'!$B$16*('R&amp;S - Transportation'!$B$10*'R&amp;S - Transportation'!$B$19*(AL$3-$D$3)/10)</f>
        <v>496.74723647498712</v>
      </c>
      <c r="AM19" s="101">
        <f>AM18*'R&amp;S - Transportation'!$B$16*('R&amp;S - Transportation'!$B$10*'R&amp;S - Transportation'!$B$19*(AM$3-$D$3)/10)</f>
        <v>746.60515920393993</v>
      </c>
      <c r="AN19" s="101">
        <f>AN18*'R&amp;S - Transportation'!$B$16*('R&amp;S - Transportation'!$B$10*'R&amp;S - Transportation'!$B$19*(AN$3-$D$3)/10)</f>
        <v>997.45261826053195</v>
      </c>
      <c r="AO19" s="101">
        <f>AO18*'R&amp;S - Transportation'!$B$16*('R&amp;S - Transportation'!$B$10*'R&amp;S - Transportation'!$B$19*(AO$3-$D$3)/10)</f>
        <v>1249.2896136447634</v>
      </c>
      <c r="AP19" s="101">
        <f>AP18*'R&amp;S - Transportation'!$B$16*('R&amp;S - Transportation'!$B$10*'R&amp;S - Transportation'!$B$19*(AP$3-$D$3)/10)</f>
        <v>1502.1161453566347</v>
      </c>
      <c r="AQ19" s="101">
        <f>AQ18*'R&amp;S - Transportation'!$B$16*('R&amp;S - Transportation'!$B$10*'R&amp;S - Transportation'!$B$19*(AQ$3-$D$3)/10)</f>
        <v>1755.932213396145</v>
      </c>
      <c r="AR19" s="101">
        <f>AR18*'R&amp;S - Transportation'!$B$16*('R&amp;S - Transportation'!$B$10*'R&amp;S - Transportation'!$B$19*(AR$3-$D$3)/10)</f>
        <v>2010.7378177632945</v>
      </c>
      <c r="AS19" s="101">
        <f>AS18*'R&amp;S - Transportation'!$B$16*('R&amp;S - Transportation'!$B$10*'R&amp;S - Transportation'!$B$19*(AS$3-$D$3)/10)</f>
        <v>2266.5329584580841</v>
      </c>
      <c r="AT19" s="101">
        <f>AT18*'R&amp;S - Transportation'!$B$16*('R&amp;S - Transportation'!$B$10*'R&amp;S - Transportation'!$B$19*(AT$3-$D$3)/10)</f>
        <v>2523.3176354805128</v>
      </c>
      <c r="AU19" s="101">
        <f>AU18*('R&amp;S - Transportation'!$B$16*('R&amp;S - Transportation'!$B$10*('R&amp;S - Transportation'!$B$19+('R&amp;S - Transportation'!$B$20-'R&amp;S - Transportation'!$B$19)*(AU3-$N$3)/10)))</f>
        <v>3296.3928914488069</v>
      </c>
      <c r="AV19" s="101">
        <f>AV18*('R&amp;S - Transportation'!$B$16*('R&amp;S - Transportation'!$B$10*('R&amp;S - Transportation'!$B$19+('R&amp;S - Transportation'!$B$20-'R&amp;S - Transportation'!$B$19)*(AV3-$N$3)/10)))</f>
        <v>4076.889669874397</v>
      </c>
      <c r="AW19" s="101">
        <f>AW18*('R&amp;S - Transportation'!$B$16*('R&amp;S - Transportation'!$B$10*('R&amp;S - Transportation'!$B$19+('R&amp;S - Transportation'!$B$20-'R&amp;S - Transportation'!$B$19)*(AW3-$N$3)/10)))</f>
        <v>4864.8079707572815</v>
      </c>
      <c r="AX19" s="101">
        <f>AX18*('R&amp;S - Transportation'!$B$16*('R&amp;S - Transportation'!$B$10*('R&amp;S - Transportation'!$B$19+('R&amp;S - Transportation'!$B$20-'R&amp;S - Transportation'!$B$19)*(AX3-$N$3)/10)))</f>
        <v>5660.1477940974637</v>
      </c>
      <c r="AY19" s="101">
        <f>AY18*('R&amp;S - Transportation'!$B$16*('R&amp;S - Transportation'!$B$10*('R&amp;S - Transportation'!$B$19+('R&amp;S - Transportation'!$B$20-'R&amp;S - Transportation'!$B$19)*(AY3-$N$3)/10)))</f>
        <v>6462.9091398949395</v>
      </c>
      <c r="AZ19" s="101">
        <f>AZ18*('R&amp;S - Transportation'!$B$16*('R&amp;S - Transportation'!$B$10*('R&amp;S - Transportation'!$B$19+('R&amp;S - Transportation'!$B$20-'R&amp;S - Transportation'!$B$19)*(AZ3-$N$3)/10)))</f>
        <v>7273.0920081497125</v>
      </c>
      <c r="BA19" s="101">
        <f>BA18*('R&amp;S - Transportation'!$B$16*('R&amp;S - Transportation'!$B$10*('R&amp;S - Transportation'!$B$19+('R&amp;S - Transportation'!$B$20-'R&amp;S - Transportation'!$B$19)*(BA3-$N$3)/10)))</f>
        <v>8090.6963988617808</v>
      </c>
      <c r="BB19" s="101">
        <f>BB18*('R&amp;S - Transportation'!$B$16*('R&amp;S - Transportation'!$B$10*('R&amp;S - Transportation'!$B$19+('R&amp;S - Transportation'!$B$20-'R&amp;S - Transportation'!$B$19)*(BB3-$N$3)/10)))</f>
        <v>8915.7223120311464</v>
      </c>
      <c r="BC19" s="101">
        <f>BC18*('R&amp;S - Transportation'!$B$16*('R&amp;S - Transportation'!$B$10*('R&amp;S - Transportation'!$B$19+('R&amp;S - Transportation'!$B$20-'R&amp;S - Transportation'!$B$19)*(BC3-$N$3)/10)))</f>
        <v>9748.1697476578029</v>
      </c>
      <c r="BD19" s="101">
        <f>BD18*('R&amp;S - Transportation'!$B$16*('R&amp;S - Transportation'!$B$10*('R&amp;S - Transportation'!$B$19+('R&amp;S - Transportation'!$B$20-'R&amp;S - Transportation'!$B$19)*(BD3-$N$3)/10)))</f>
        <v>10588.038705741759</v>
      </c>
      <c r="BE19" s="101">
        <f>BE18*('R&amp;S - Transportation'!$B$16*('R&amp;S - Transportation'!$B$10*('R&amp;S - Transportation'!$B$20+('R&amp;S - Transportation'!$B$21-'R&amp;S - Transportation'!$B$20)*(BE3-$X$3)/10)))</f>
        <v>12210.383514906584</v>
      </c>
      <c r="BF19" s="101">
        <f>BF18*('R&amp;S - Transportation'!$B$16*('R&amp;S - Transportation'!$B$10*('R&amp;S - Transportation'!$B$20+('R&amp;S - Transportation'!$B$21-'R&amp;S - Transportation'!$B$20)*(BF3-$X$3)/10)))</f>
        <v>13841.63415102016</v>
      </c>
      <c r="BG19" s="101">
        <f>BG18*('R&amp;S - Transportation'!$B$16*('R&amp;S - Transportation'!$B$10*('R&amp;S - Transportation'!$B$20+('R&amp;S - Transportation'!$B$21-'R&amp;S - Transportation'!$B$20)*(BG3-$X$3)/10)))</f>
        <v>15481.790614082496</v>
      </c>
      <c r="BH19" s="101">
        <f>BH18*('R&amp;S - Transportation'!$B$16*('R&amp;S - Transportation'!$B$10*('R&amp;S - Transportation'!$B$20+('R&amp;S - Transportation'!$B$21-'R&amp;S - Transportation'!$B$20)*(BH3-$X$3)/10)))</f>
        <v>17130.852904093583</v>
      </c>
      <c r="BI19" s="101">
        <f>BI18*('R&amp;S - Transportation'!$B$16*('R&amp;S - Transportation'!$B$10*('R&amp;S - Transportation'!$B$20+('R&amp;S - Transportation'!$B$21-'R&amp;S - Transportation'!$B$20)*(BI3-$X$3)/10)))</f>
        <v>18788.82102105342</v>
      </c>
      <c r="BJ19" s="101">
        <f>BJ18*('R&amp;S - Transportation'!$B$16*('R&amp;S - Transportation'!$B$10*('R&amp;S - Transportation'!$B$20+('R&amp;S - Transportation'!$B$21-'R&amp;S - Transportation'!$B$20)*(BJ3-$X$3)/10)))</f>
        <v>20455.694964962022</v>
      </c>
      <c r="BK19" s="101">
        <f>BK18*('R&amp;S - Transportation'!$B$16*('R&amp;S - Transportation'!$B$10*('R&amp;S - Transportation'!$B$20+('R&amp;S - Transportation'!$B$21-'R&amp;S - Transportation'!$B$20)*(BK3-$X$3)/10)))</f>
        <v>22131.474735819371</v>
      </c>
      <c r="BL19" s="101">
        <f>BL18*('R&amp;S - Transportation'!$B$16*('R&amp;S - Transportation'!$B$10*('R&amp;S - Transportation'!$B$20+('R&amp;S - Transportation'!$B$21-'R&amp;S - Transportation'!$B$20)*(BL3-$X$3)/10)))</f>
        <v>23816.160333625478</v>
      </c>
      <c r="BM19" s="101">
        <f>BM18*('R&amp;S - Transportation'!$B$16*('R&amp;S - Transportation'!$B$10*('R&amp;S - Transportation'!$B$20+('R&amp;S - Transportation'!$B$21-'R&amp;S - Transportation'!$B$20)*(BM3-$X$3)/10)))</f>
        <v>25509.751758380338</v>
      </c>
      <c r="BN19" s="101">
        <f>BN18*('R&amp;S - Transportation'!$B$16*('R&amp;S - Transportation'!$B$10*('R&amp;S - Transportation'!$B$20+('R&amp;S - Transportation'!$B$21-'R&amp;S - Transportation'!$B$20)*(BN3-$X$3)/10)))</f>
        <v>27212.249010083957</v>
      </c>
      <c r="BS19" s="416" t="e">
        <f>SUM(BS12:BS18)</f>
        <v>#REF!</v>
      </c>
      <c r="BY19" s="27" t="s">
        <v>621</v>
      </c>
      <c r="BZ19" s="130"/>
      <c r="CA19" s="130"/>
      <c r="CB19" s="130"/>
      <c r="CC19" s="130"/>
      <c r="CD19" s="130"/>
      <c r="CE19" s="130"/>
      <c r="CF19" s="136">
        <f>SUM(AH113:AH114)</f>
        <v>94069.440433826181</v>
      </c>
      <c r="CG19" s="130"/>
    </row>
    <row r="20" spans="1:85" outlineLevel="1">
      <c r="B20" s="58" t="s">
        <v>177</v>
      </c>
      <c r="C20" s="51" t="s">
        <v>166</v>
      </c>
      <c r="D20" s="101">
        <v>0</v>
      </c>
      <c r="E20" s="101">
        <f>E18*'R&amp;S - Transportation'!$B$15*('R&amp;S - Transportation'!$B$11*'R&amp;S - Transportation'!$B$19*(E$3-$D$3)/10)</f>
        <v>315.48217282103951</v>
      </c>
      <c r="F20" s="101">
        <f>F18*'R&amp;S - Transportation'!$B$15*('R&amp;S - Transportation'!$B$11*'R&amp;S - Transportation'!$B$19*(F$3-$D$3)/10)</f>
        <v>632.22375551362006</v>
      </c>
      <c r="G20" s="101">
        <f>G18*'R&amp;S - Transportation'!$B$15*('R&amp;S - Transportation'!$B$11*'R&amp;S - Transportation'!$B$19*(G$3-$D$3)/10)</f>
        <v>950.22474807774165</v>
      </c>
      <c r="H20" s="101">
        <f>H18*'R&amp;S - Transportation'!$B$15*('R&amp;S - Transportation'!$B$11*'R&amp;S - Transportation'!$B$19*(H$3-$D$3)/10)</f>
        <v>1269.4851505134045</v>
      </c>
      <c r="I20" s="101">
        <f>I18*'R&amp;S - Transportation'!$B$15*('R&amp;S - Transportation'!$B$11*'R&amp;S - Transportation'!$B$19*(I$3-$D$3)/10)</f>
        <v>1590.0049628206082</v>
      </c>
      <c r="J20" s="101">
        <f>J18*'R&amp;S - Transportation'!$B$15*('R&amp;S - Transportation'!$B$11*'R&amp;S - Transportation'!$B$19*(J$3-$D$3)/10)</f>
        <v>1911.7841849993529</v>
      </c>
      <c r="K20" s="101">
        <f>K18*'R&amp;S - Transportation'!$B$15*('R&amp;S - Transportation'!$B$11*'R&amp;S - Transportation'!$B$19*(K$3-$D$3)/10)</f>
        <v>2234.8228170496391</v>
      </c>
      <c r="L20" s="101">
        <f>L18*'R&amp;S - Transportation'!$B$15*('R&amp;S - Transportation'!$B$11*'R&amp;S - Transportation'!$B$19*(L$3-$D$3)/10)</f>
        <v>2559.1208589714661</v>
      </c>
      <c r="M20" s="101">
        <f>M18*'R&amp;S - Transportation'!$B$15*('R&amp;S - Transportation'!$B$11*'R&amp;S - Transportation'!$B$19*(M$3-$D$3)/10)</f>
        <v>2884.6783107648339</v>
      </c>
      <c r="N20" s="101">
        <f>N18*'R&amp;S - Transportation'!$B$15*('R&amp;S - Transportation'!$B$11*'R&amp;S - Transportation'!$B$19*(N$3-$D$3)/10)</f>
        <v>3211.4951724297434</v>
      </c>
      <c r="O20" s="101">
        <f>O18*('R&amp;S - Transportation'!$B$15*('R&amp;S - Transportation'!$B$11*('R&amp;S - Transportation'!$B$19+('R&amp;S - Transportation'!$B$20-'R&amp;S - Transportation'!$B$19)*(O3-$N$3)/10)))</f>
        <v>4195.4091345712086</v>
      </c>
      <c r="P20" s="101">
        <f>P18*('R&amp;S - Transportation'!$B$15*('R&amp;S - Transportation'!$B$11*('R&amp;S - Transportation'!$B$19+('R&amp;S - Transportation'!$B$20-'R&amp;S - Transportation'!$B$19)*(P3-$N$3)/10)))</f>
        <v>5188.7686707492321</v>
      </c>
      <c r="Q20" s="101">
        <f>Q18*('R&amp;S - Transportation'!$B$15*('R&amp;S - Transportation'!$B$11*('R&amp;S - Transportation'!$B$19+('R&amp;S - Transportation'!$B$20-'R&amp;S - Transportation'!$B$19)*(Q3-$N$3)/10)))</f>
        <v>6191.5737809638122</v>
      </c>
      <c r="R20" s="101">
        <f>R18*('R&amp;S - Transportation'!$B$15*('R&amp;S - Transportation'!$B$11*('R&amp;S - Transportation'!$B$19+('R&amp;S - Transportation'!$B$20-'R&amp;S - Transportation'!$B$19)*(R3-$N$3)/10)))</f>
        <v>7203.8244652149533</v>
      </c>
      <c r="S20" s="101">
        <f>S18*('R&amp;S - Transportation'!$B$15*('R&amp;S - Transportation'!$B$11*('R&amp;S - Transportation'!$B$19+('R&amp;S - Transportation'!$B$20-'R&amp;S - Transportation'!$B$19)*(S3-$N$3)/10)))</f>
        <v>8225.5207235026501</v>
      </c>
      <c r="T20" s="101">
        <f>T18*('R&amp;S - Transportation'!$B$15*('R&amp;S - Transportation'!$B$11*('R&amp;S - Transportation'!$B$19+('R&amp;S - Transportation'!$B$20-'R&amp;S - Transportation'!$B$19)*(T3-$N$3)/10)))</f>
        <v>9256.6625558269061</v>
      </c>
      <c r="U20" s="101">
        <f>U18*('R&amp;S - Transportation'!$B$15*('R&amp;S - Transportation'!$B$11*('R&amp;S - Transportation'!$B$19+('R&amp;S - Transportation'!$B$20-'R&amp;S - Transportation'!$B$19)*(U3-$N$3)/10)))</f>
        <v>10297.249962187721</v>
      </c>
      <c r="V20" s="101">
        <f>V18*('R&amp;S - Transportation'!$B$15*('R&amp;S - Transportation'!$B$11*('R&amp;S - Transportation'!$B$19+('R&amp;S - Transportation'!$B$20-'R&amp;S - Transportation'!$B$19)*(V3-$N$3)/10)))</f>
        <v>11347.282942585094</v>
      </c>
      <c r="W20" s="101">
        <f>W18*('R&amp;S - Transportation'!$B$15*('R&amp;S - Transportation'!$B$11*('R&amp;S - Transportation'!$B$19+('R&amp;S - Transportation'!$B$20-'R&amp;S - Transportation'!$B$19)*(W3-$N$3)/10)))</f>
        <v>12406.761497019021</v>
      </c>
      <c r="X20" s="101">
        <f>X18*('R&amp;S - Transportation'!$B$15*('R&amp;S - Transportation'!$B$11*('R&amp;S - Transportation'!$B$19+('R&amp;S - Transportation'!$B$20-'R&amp;S - Transportation'!$B$19)*(X3-$N$3)/10)))</f>
        <v>13475.685625489512</v>
      </c>
      <c r="Y20" s="101">
        <f>Y18*('R&amp;S - Transportation'!$B$15*('R&amp;S - Transportation'!$B$11*('R&amp;S - Transportation'!$B$20+('R&amp;S - Transportation'!$B$21-'R&amp;S - Transportation'!$B$20)*(Y3-$X$3)/10)))</f>
        <v>15540.488109881106</v>
      </c>
      <c r="Z20" s="101">
        <f>Z18*('R&amp;S - Transportation'!$B$15*('R&amp;S - Transportation'!$B$11*('R&amp;S - Transportation'!$B$20+('R&amp;S - Transportation'!$B$21-'R&amp;S - Transportation'!$B$20)*(Z3-$X$3)/10)))</f>
        <v>17616.625283116569</v>
      </c>
      <c r="AA20" s="101">
        <f>AA18*('R&amp;S - Transportation'!$B$15*('R&amp;S - Transportation'!$B$11*('R&amp;S - Transportation'!$B$20+('R&amp;S - Transportation'!$B$21-'R&amp;S - Transportation'!$B$20)*(AA3-$X$3)/10)))</f>
        <v>19704.097145195901</v>
      </c>
      <c r="AB20" s="101">
        <f>AB18*('R&amp;S - Transportation'!$B$15*('R&amp;S - Transportation'!$B$11*('R&amp;S - Transportation'!$B$20+('R&amp;S - Transportation'!$B$21-'R&amp;S - Transportation'!$B$20)*(AB3-$X$3)/10)))</f>
        <v>21802.903696119101</v>
      </c>
      <c r="AC20" s="101">
        <f>AC18*('R&amp;S - Transportation'!$B$15*('R&amp;S - Transportation'!$B$11*('R&amp;S - Transportation'!$B$20+('R&amp;S - Transportation'!$B$21-'R&amp;S - Transportation'!$B$20)*(AC3-$X$3)/10)))</f>
        <v>23913.04493588617</v>
      </c>
      <c r="AD20" s="101">
        <f>AD18*('R&amp;S - Transportation'!$B$15*('R&amp;S - Transportation'!$B$11*('R&amp;S - Transportation'!$B$20+('R&amp;S - Transportation'!$B$21-'R&amp;S - Transportation'!$B$20)*(AD3-$X$3)/10)))</f>
        <v>26034.520864497114</v>
      </c>
      <c r="AE20" s="101">
        <f>AE18*('R&amp;S - Transportation'!$B$15*('R&amp;S - Transportation'!$B$11*('R&amp;S - Transportation'!$B$20+('R&amp;S - Transportation'!$B$21-'R&amp;S - Transportation'!$B$20)*(AE3-$X$3)/10)))</f>
        <v>28167.331481951929</v>
      </c>
      <c r="AF20" s="101">
        <f>AF18*('R&amp;S - Transportation'!$B$15*('R&amp;S - Transportation'!$B$11*('R&amp;S - Transportation'!$B$20+('R&amp;S - Transportation'!$B$21-'R&amp;S - Transportation'!$B$20)*(AF3-$X$3)/10)))</f>
        <v>30311.476788250606</v>
      </c>
      <c r="AG20" s="101">
        <f>AG18*('R&amp;S - Transportation'!$B$15*('R&amp;S - Transportation'!$B$11*('R&amp;S - Transportation'!$B$20+('R&amp;S - Transportation'!$B$21-'R&amp;S - Transportation'!$B$20)*(AG3-$X$3)/10)))</f>
        <v>32466.956783393158</v>
      </c>
      <c r="AH20" s="101">
        <f>AH18*('R&amp;S - Transportation'!$B$15*('R&amp;S - Transportation'!$B$11*('R&amp;S - Transportation'!$B$20+('R&amp;S - Transportation'!$B$21-'R&amp;S - Transportation'!$B$20)*(AH3-$X$3)/10)))</f>
        <v>34633.771467379578</v>
      </c>
      <c r="AI20" s="191"/>
      <c r="AJ20" s="101">
        <v>0</v>
      </c>
      <c r="AK20" s="101">
        <f>AK18*'R&amp;S - Transportation'!$B$16*('R&amp;S - Transportation'!$B$11*'R&amp;S - Transportation'!$B$19*(AK$3-$D$3)/10)</f>
        <v>157.74108641051976</v>
      </c>
      <c r="AL20" s="101">
        <f>AL18*'R&amp;S - Transportation'!$B$16*('R&amp;S - Transportation'!$B$11*'R&amp;S - Transportation'!$B$19*(AL$3-$D$3)/10)</f>
        <v>316.11187775681003</v>
      </c>
      <c r="AM20" s="101">
        <f>AM18*'R&amp;S - Transportation'!$B$16*('R&amp;S - Transportation'!$B$11*'R&amp;S - Transportation'!$B$19*(AM$3-$D$3)/10)</f>
        <v>475.11237403887083</v>
      </c>
      <c r="AN20" s="101">
        <f>AN18*'R&amp;S - Transportation'!$B$16*('R&amp;S - Transportation'!$B$11*'R&amp;S - Transportation'!$B$19*(AN$3-$D$3)/10)</f>
        <v>634.74257525670225</v>
      </c>
      <c r="AO20" s="101">
        <f>AO18*'R&amp;S - Transportation'!$B$16*('R&amp;S - Transportation'!$B$11*'R&amp;S - Transportation'!$B$19*(AO$3-$D$3)/10)</f>
        <v>795.00248141030409</v>
      </c>
      <c r="AP20" s="101">
        <f>AP18*'R&amp;S - Transportation'!$B$16*('R&amp;S - Transportation'!$B$11*'R&amp;S - Transportation'!$B$19*(AP$3-$D$3)/10)</f>
        <v>955.89209249967644</v>
      </c>
      <c r="AQ20" s="101">
        <f>AQ18*'R&amp;S - Transportation'!$B$16*('R&amp;S - Transportation'!$B$11*'R&amp;S - Transportation'!$B$19*(AQ$3-$D$3)/10)</f>
        <v>1117.4114085248195</v>
      </c>
      <c r="AR20" s="101">
        <f>AR18*'R&amp;S - Transportation'!$B$16*('R&amp;S - Transportation'!$B$11*'R&amp;S - Transportation'!$B$19*(AR$3-$D$3)/10)</f>
        <v>1279.560429485733</v>
      </c>
      <c r="AS20" s="101">
        <f>AS18*'R&amp;S - Transportation'!$B$16*('R&amp;S - Transportation'!$B$11*'R&amp;S - Transportation'!$B$19*(AS$3-$D$3)/10)</f>
        <v>1442.3391553824169</v>
      </c>
      <c r="AT20" s="101">
        <f>AT18*'R&amp;S - Transportation'!$B$16*('R&amp;S - Transportation'!$B$11*'R&amp;S - Transportation'!$B$19*(AT$3-$D$3)/10)</f>
        <v>1605.7475862148717</v>
      </c>
      <c r="AU20" s="101">
        <f>AU18*('R&amp;S - Transportation'!$B$16*('R&amp;S - Transportation'!$B$11*('R&amp;S - Transportation'!$B$19+('R&amp;S - Transportation'!$B$20-'R&amp;S - Transportation'!$B$19)*(AU3-$N$3)/10)))</f>
        <v>2097.7045672856043</v>
      </c>
      <c r="AV20" s="101">
        <f>AV18*('R&amp;S - Transportation'!$B$16*('R&amp;S - Transportation'!$B$11*('R&amp;S - Transportation'!$B$19+('R&amp;S - Transportation'!$B$20-'R&amp;S - Transportation'!$B$19)*(AV3-$N$3)/10)))</f>
        <v>2594.3843353746161</v>
      </c>
      <c r="AW20" s="101">
        <f>AW18*('R&amp;S - Transportation'!$B$16*('R&amp;S - Transportation'!$B$11*('R&amp;S - Transportation'!$B$19+('R&amp;S - Transportation'!$B$20-'R&amp;S - Transportation'!$B$19)*(AW3-$N$3)/10)))</f>
        <v>3095.7868904819061</v>
      </c>
      <c r="AX20" s="101">
        <f>AX18*('R&amp;S - Transportation'!$B$16*('R&amp;S - Transportation'!$B$11*('R&amp;S - Transportation'!$B$19+('R&amp;S - Transportation'!$B$20-'R&amp;S - Transportation'!$B$19)*(AX3-$N$3)/10)))</f>
        <v>3601.9122326074767</v>
      </c>
      <c r="AY20" s="101">
        <f>AY18*('R&amp;S - Transportation'!$B$16*('R&amp;S - Transportation'!$B$11*('R&amp;S - Transportation'!$B$19+('R&amp;S - Transportation'!$B$20-'R&amp;S - Transportation'!$B$19)*(AY3-$N$3)/10)))</f>
        <v>4112.760361751325</v>
      </c>
      <c r="AZ20" s="101">
        <f>AZ18*('R&amp;S - Transportation'!$B$16*('R&amp;S - Transportation'!$B$11*('R&amp;S - Transportation'!$B$19+('R&amp;S - Transportation'!$B$20-'R&amp;S - Transportation'!$B$19)*(AZ3-$N$3)/10)))</f>
        <v>4628.3312779134531</v>
      </c>
      <c r="BA20" s="101">
        <f>BA18*('R&amp;S - Transportation'!$B$16*('R&amp;S - Transportation'!$B$11*('R&amp;S - Transportation'!$B$19+('R&amp;S - Transportation'!$B$20-'R&amp;S - Transportation'!$B$19)*(BA3-$N$3)/10)))</f>
        <v>5148.6249810938607</v>
      </c>
      <c r="BB20" s="101">
        <f>BB18*('R&amp;S - Transportation'!$B$16*('R&amp;S - Transportation'!$B$11*('R&amp;S - Transportation'!$B$19+('R&amp;S - Transportation'!$B$20-'R&amp;S - Transportation'!$B$19)*(BB3-$N$3)/10)))</f>
        <v>5673.6414712925471</v>
      </c>
      <c r="BC20" s="101">
        <f>BC18*('R&amp;S - Transportation'!$B$16*('R&amp;S - Transportation'!$B$11*('R&amp;S - Transportation'!$B$19+('R&amp;S - Transportation'!$B$20-'R&amp;S - Transportation'!$B$19)*(BC3-$N$3)/10)))</f>
        <v>6203.3807485095103</v>
      </c>
      <c r="BD20" s="101">
        <f>BD18*('R&amp;S - Transportation'!$B$16*('R&amp;S - Transportation'!$B$11*('R&amp;S - Transportation'!$B$19+('R&amp;S - Transportation'!$B$20-'R&amp;S - Transportation'!$B$19)*(BD3-$N$3)/10)))</f>
        <v>6737.842812744756</v>
      </c>
      <c r="BE20" s="101">
        <f>BE18*('R&amp;S - Transportation'!$B$16*('R&amp;S - Transportation'!$B$11*('R&amp;S - Transportation'!$B$20+('R&amp;S - Transportation'!$B$21-'R&amp;S - Transportation'!$B$20)*(BE3-$X$3)/10)))</f>
        <v>7770.2440549405528</v>
      </c>
      <c r="BF20" s="101">
        <f>BF18*('R&amp;S - Transportation'!$B$16*('R&amp;S - Transportation'!$B$11*('R&amp;S - Transportation'!$B$20+('R&amp;S - Transportation'!$B$21-'R&amp;S - Transportation'!$B$20)*(BF3-$X$3)/10)))</f>
        <v>8808.3126415582847</v>
      </c>
      <c r="BG20" s="101">
        <f>BG18*('R&amp;S - Transportation'!$B$16*('R&amp;S - Transportation'!$B$11*('R&amp;S - Transportation'!$B$20+('R&amp;S - Transportation'!$B$21-'R&amp;S - Transportation'!$B$20)*(BG3-$X$3)/10)))</f>
        <v>9852.0485725979506</v>
      </c>
      <c r="BH20" s="101">
        <f>BH18*('R&amp;S - Transportation'!$B$16*('R&amp;S - Transportation'!$B$11*('R&amp;S - Transportation'!$B$20+('R&amp;S - Transportation'!$B$21-'R&amp;S - Transportation'!$B$20)*(BH3-$X$3)/10)))</f>
        <v>10901.451848059551</v>
      </c>
      <c r="BI20" s="101">
        <f>BI18*('R&amp;S - Transportation'!$B$16*('R&amp;S - Transportation'!$B$11*('R&amp;S - Transportation'!$B$20+('R&amp;S - Transportation'!$B$21-'R&amp;S - Transportation'!$B$20)*(BI3-$X$3)/10)))</f>
        <v>11956.522467943085</v>
      </c>
      <c r="BJ20" s="101">
        <f>BJ18*('R&amp;S - Transportation'!$B$16*('R&amp;S - Transportation'!$B$11*('R&amp;S - Transportation'!$B$20+('R&amp;S - Transportation'!$B$21-'R&amp;S - Transportation'!$B$20)*(BJ3-$X$3)/10)))</f>
        <v>13017.260432248557</v>
      </c>
      <c r="BK20" s="101">
        <f>BK18*('R&amp;S - Transportation'!$B$16*('R&amp;S - Transportation'!$B$11*('R&amp;S - Transportation'!$B$20+('R&amp;S - Transportation'!$B$21-'R&amp;S - Transportation'!$B$20)*(BK3-$X$3)/10)))</f>
        <v>14083.665740975965</v>
      </c>
      <c r="BL20" s="101">
        <f>BL18*('R&amp;S - Transportation'!$B$16*('R&amp;S - Transportation'!$B$11*('R&amp;S - Transportation'!$B$20+('R&amp;S - Transportation'!$B$21-'R&amp;S - Transportation'!$B$20)*(BL3-$X$3)/10)))</f>
        <v>15155.738394125303</v>
      </c>
      <c r="BM20" s="101">
        <f>BM18*('R&amp;S - Transportation'!$B$16*('R&amp;S - Transportation'!$B$11*('R&amp;S - Transportation'!$B$20+('R&amp;S - Transportation'!$B$21-'R&amp;S - Transportation'!$B$20)*(BM3-$X$3)/10)))</f>
        <v>16233.478391696579</v>
      </c>
      <c r="BN20" s="101">
        <f>BN18*('R&amp;S - Transportation'!$B$16*('R&amp;S - Transportation'!$B$11*('R&amp;S - Transportation'!$B$20+('R&amp;S - Transportation'!$B$21-'R&amp;S - Transportation'!$B$20)*(BN3-$X$3)/10)))</f>
        <v>17316.885733689789</v>
      </c>
      <c r="BR20" t="s">
        <v>232</v>
      </c>
      <c r="BS20" s="41">
        <f>AH4</f>
        <v>4369539.7493458875</v>
      </c>
      <c r="BY20" s="27" t="s">
        <v>1288</v>
      </c>
      <c r="BZ20" s="130"/>
      <c r="CA20" s="130"/>
      <c r="CB20" s="130"/>
      <c r="CC20" s="130"/>
      <c r="CD20" s="130"/>
      <c r="CE20" s="130"/>
      <c r="CF20" s="136">
        <f>SUM(AH119:AH120)</f>
        <v>16997.30761804666</v>
      </c>
      <c r="CG20" s="130"/>
    </row>
    <row r="21" spans="1:85" outlineLevel="1">
      <c r="B21" s="1" t="s">
        <v>164</v>
      </c>
      <c r="C21" s="51" t="s">
        <v>166</v>
      </c>
      <c r="D21" s="101">
        <f>SUM(D19:D20)</f>
        <v>0</v>
      </c>
      <c r="E21" s="101">
        <f t="shared" ref="E21:AG21" si="17">SUM(E19:E20)</f>
        <v>811.2398729683872</v>
      </c>
      <c r="F21" s="101">
        <f t="shared" si="17"/>
        <v>1625.7182284635942</v>
      </c>
      <c r="G21" s="101">
        <f t="shared" si="17"/>
        <v>2443.4350664856215</v>
      </c>
      <c r="H21" s="101">
        <f t="shared" si="17"/>
        <v>3264.3903870344684</v>
      </c>
      <c r="I21" s="101">
        <f t="shared" si="17"/>
        <v>4088.5841901101348</v>
      </c>
      <c r="J21" s="101">
        <f t="shared" si="17"/>
        <v>4916.0164757126222</v>
      </c>
      <c r="K21" s="101">
        <f t="shared" si="17"/>
        <v>5746.6872438419286</v>
      </c>
      <c r="L21" s="101">
        <f t="shared" si="17"/>
        <v>6580.5964944980551</v>
      </c>
      <c r="M21" s="101">
        <f t="shared" si="17"/>
        <v>7417.7442276810016</v>
      </c>
      <c r="N21" s="101">
        <f t="shared" si="17"/>
        <v>8258.1304433907681</v>
      </c>
      <c r="O21" s="101">
        <f t="shared" si="17"/>
        <v>10788.194917468823</v>
      </c>
      <c r="P21" s="101">
        <f t="shared" si="17"/>
        <v>13342.548010498027</v>
      </c>
      <c r="Q21" s="101">
        <f t="shared" si="17"/>
        <v>15921.189722478375</v>
      </c>
      <c r="R21" s="101">
        <f t="shared" si="17"/>
        <v>18524.120053409883</v>
      </c>
      <c r="S21" s="101">
        <f t="shared" si="17"/>
        <v>21151.339003292531</v>
      </c>
      <c r="T21" s="101">
        <f t="shared" si="17"/>
        <v>23802.846572126331</v>
      </c>
      <c r="U21" s="101">
        <f t="shared" si="17"/>
        <v>26478.642759911283</v>
      </c>
      <c r="V21" s="101">
        <f t="shared" si="17"/>
        <v>29178.727566647387</v>
      </c>
      <c r="W21" s="101">
        <f t="shared" si="17"/>
        <v>31903.100992334628</v>
      </c>
      <c r="X21" s="101">
        <f t="shared" si="17"/>
        <v>34651.763036973032</v>
      </c>
      <c r="Y21" s="101">
        <f t="shared" si="17"/>
        <v>39961.255139694273</v>
      </c>
      <c r="Z21" s="101">
        <f t="shared" si="17"/>
        <v>45299.893585156889</v>
      </c>
      <c r="AA21" s="101">
        <f t="shared" si="17"/>
        <v>50667.67837336089</v>
      </c>
      <c r="AB21" s="101">
        <f t="shared" si="17"/>
        <v>56064.609504306267</v>
      </c>
      <c r="AC21" s="101">
        <f t="shared" si="17"/>
        <v>61490.686977993013</v>
      </c>
      <c r="AD21" s="101">
        <f t="shared" si="17"/>
        <v>66945.910794421157</v>
      </c>
      <c r="AE21" s="101">
        <f t="shared" si="17"/>
        <v>72430.280953590671</v>
      </c>
      <c r="AF21" s="101">
        <f t="shared" si="17"/>
        <v>77943.797455501568</v>
      </c>
      <c r="AG21" s="101">
        <f t="shared" si="17"/>
        <v>83486.460300153834</v>
      </c>
      <c r="AH21" s="101">
        <f>SUM(AH19:AH20)</f>
        <v>89058.269487547484</v>
      </c>
      <c r="AI21" s="191"/>
      <c r="AJ21" s="101">
        <f>SUM(AJ19:AJ20)</f>
        <v>0</v>
      </c>
      <c r="AK21" s="101">
        <f t="shared" ref="AK21:BM21" si="18">SUM(AK19:AK20)</f>
        <v>405.6199364841936</v>
      </c>
      <c r="AL21" s="101">
        <f t="shared" si="18"/>
        <v>812.85911423179709</v>
      </c>
      <c r="AM21" s="101">
        <f t="shared" si="18"/>
        <v>1221.7175332428108</v>
      </c>
      <c r="AN21" s="101">
        <f t="shared" si="18"/>
        <v>1632.1951935172342</v>
      </c>
      <c r="AO21" s="101">
        <f t="shared" si="18"/>
        <v>2044.2920950550674</v>
      </c>
      <c r="AP21" s="101">
        <f t="shared" si="18"/>
        <v>2458.0082378563111</v>
      </c>
      <c r="AQ21" s="101">
        <f t="shared" si="18"/>
        <v>2873.3436219209643</v>
      </c>
      <c r="AR21" s="101">
        <f t="shared" si="18"/>
        <v>3290.2982472490276</v>
      </c>
      <c r="AS21" s="101">
        <f t="shared" si="18"/>
        <v>3708.8721138405008</v>
      </c>
      <c r="AT21" s="101">
        <f t="shared" si="18"/>
        <v>4129.065221695384</v>
      </c>
      <c r="AU21" s="101">
        <f t="shared" si="18"/>
        <v>5394.0974587344117</v>
      </c>
      <c r="AV21" s="101">
        <f t="shared" si="18"/>
        <v>6671.2740052490135</v>
      </c>
      <c r="AW21" s="101">
        <f t="shared" si="18"/>
        <v>7960.5948612391876</v>
      </c>
      <c r="AX21" s="101">
        <f t="shared" si="18"/>
        <v>9262.0600267049413</v>
      </c>
      <c r="AY21" s="101">
        <f t="shared" si="18"/>
        <v>10575.669501646265</v>
      </c>
      <c r="AZ21" s="101">
        <f t="shared" si="18"/>
        <v>11901.423286063166</v>
      </c>
      <c r="BA21" s="101">
        <f t="shared" si="18"/>
        <v>13239.321379955642</v>
      </c>
      <c r="BB21" s="101">
        <f t="shared" si="18"/>
        <v>14589.363783323693</v>
      </c>
      <c r="BC21" s="101">
        <f t="shared" si="18"/>
        <v>15951.550496167314</v>
      </c>
      <c r="BD21" s="101">
        <f t="shared" si="18"/>
        <v>17325.881518486516</v>
      </c>
      <c r="BE21" s="101">
        <f t="shared" si="18"/>
        <v>19980.627569847136</v>
      </c>
      <c r="BF21" s="101">
        <f t="shared" si="18"/>
        <v>22649.946792578445</v>
      </c>
      <c r="BG21" s="101">
        <f t="shared" si="18"/>
        <v>25333.839186680445</v>
      </c>
      <c r="BH21" s="101">
        <f t="shared" si="18"/>
        <v>28032.304752153133</v>
      </c>
      <c r="BI21" s="101">
        <f t="shared" si="18"/>
        <v>30745.343488996506</v>
      </c>
      <c r="BJ21" s="101">
        <f t="shared" si="18"/>
        <v>33472.955397210579</v>
      </c>
      <c r="BK21" s="101">
        <f t="shared" si="18"/>
        <v>36215.140476795335</v>
      </c>
      <c r="BL21" s="101">
        <f t="shared" si="18"/>
        <v>38971.898727750784</v>
      </c>
      <c r="BM21" s="101">
        <f t="shared" si="18"/>
        <v>41743.230150076917</v>
      </c>
      <c r="BN21" s="101">
        <f>SUM(BN19:BN20)</f>
        <v>44529.134743773742</v>
      </c>
      <c r="BY21" s="27" t="s">
        <v>578</v>
      </c>
      <c r="BZ21" s="130"/>
      <c r="CA21" s="136">
        <f>AH4-D4</f>
        <v>0</v>
      </c>
      <c r="CB21" s="130"/>
      <c r="CC21" s="522">
        <f>AH17+AH69</f>
        <v>30058.040466294951</v>
      </c>
      <c r="CD21" s="130"/>
      <c r="CE21" s="130"/>
      <c r="CF21" s="130"/>
      <c r="CG21" s="130"/>
    </row>
    <row r="22" spans="1:85" outlineLevel="1">
      <c r="B22" s="1" t="s">
        <v>167</v>
      </c>
      <c r="C22" s="51" t="s">
        <v>166</v>
      </c>
      <c r="D22" s="101">
        <v>0</v>
      </c>
      <c r="E22" s="101">
        <v>0</v>
      </c>
      <c r="F22" s="101">
        <v>0</v>
      </c>
      <c r="G22" s="101">
        <v>0</v>
      </c>
      <c r="H22" s="101">
        <v>0</v>
      </c>
      <c r="I22" s="101">
        <v>0</v>
      </c>
      <c r="J22" s="101">
        <v>0</v>
      </c>
      <c r="K22" s="101">
        <v>0</v>
      </c>
      <c r="L22" s="101">
        <v>0</v>
      </c>
      <c r="M22" s="101">
        <v>0</v>
      </c>
      <c r="N22" s="101">
        <v>0</v>
      </c>
      <c r="O22" s="101">
        <v>0</v>
      </c>
      <c r="P22" s="101">
        <v>0</v>
      </c>
      <c r="Q22" s="101">
        <v>0</v>
      </c>
      <c r="R22" s="101">
        <v>0</v>
      </c>
      <c r="S22" s="101">
        <v>0</v>
      </c>
      <c r="T22" s="101">
        <v>0</v>
      </c>
      <c r="U22" s="101">
        <v>0</v>
      </c>
      <c r="V22" s="101">
        <v>0</v>
      </c>
      <c r="W22" s="101">
        <v>0</v>
      </c>
      <c r="X22" s="101">
        <v>0</v>
      </c>
      <c r="Y22" s="101">
        <v>0</v>
      </c>
      <c r="Z22" s="101">
        <v>0</v>
      </c>
      <c r="AA22" s="101">
        <v>0</v>
      </c>
      <c r="AB22" s="101">
        <v>0</v>
      </c>
      <c r="AC22" s="101">
        <v>0</v>
      </c>
      <c r="AD22" s="101">
        <v>0</v>
      </c>
      <c r="AE22" s="101">
        <v>0</v>
      </c>
      <c r="AF22" s="101">
        <v>0</v>
      </c>
      <c r="AG22" s="101">
        <v>0</v>
      </c>
      <c r="AH22" s="101">
        <v>0</v>
      </c>
      <c r="AI22" s="191"/>
      <c r="AJ22" s="101">
        <v>0</v>
      </c>
      <c r="AK22" s="101">
        <v>0</v>
      </c>
      <c r="AL22" s="101">
        <v>0</v>
      </c>
      <c r="AM22" s="101">
        <v>0</v>
      </c>
      <c r="AN22" s="101">
        <v>0</v>
      </c>
      <c r="AO22" s="101">
        <v>0</v>
      </c>
      <c r="AP22" s="101">
        <v>0</v>
      </c>
      <c r="AQ22" s="101">
        <v>0</v>
      </c>
      <c r="AR22" s="101">
        <v>0</v>
      </c>
      <c r="AS22" s="101">
        <v>0</v>
      </c>
      <c r="AT22" s="101">
        <v>0</v>
      </c>
      <c r="AU22" s="101">
        <v>0</v>
      </c>
      <c r="AV22" s="101">
        <v>0</v>
      </c>
      <c r="AW22" s="101">
        <v>0</v>
      </c>
      <c r="AX22" s="101">
        <v>0</v>
      </c>
      <c r="AY22" s="101">
        <v>0</v>
      </c>
      <c r="AZ22" s="101">
        <v>0</v>
      </c>
      <c r="BA22" s="101">
        <v>0</v>
      </c>
      <c r="BB22" s="101">
        <v>0</v>
      </c>
      <c r="BC22" s="101">
        <v>0</v>
      </c>
      <c r="BD22" s="101">
        <v>0</v>
      </c>
      <c r="BE22" s="101">
        <v>0</v>
      </c>
      <c r="BF22" s="101">
        <v>0</v>
      </c>
      <c r="BG22" s="101">
        <v>0</v>
      </c>
      <c r="BH22" s="101">
        <v>0</v>
      </c>
      <c r="BI22" s="101">
        <v>0</v>
      </c>
      <c r="BJ22" s="101">
        <v>0</v>
      </c>
      <c r="BK22" s="101">
        <v>0</v>
      </c>
      <c r="BL22" s="101">
        <v>0</v>
      </c>
      <c r="BM22" s="101">
        <v>0</v>
      </c>
      <c r="BN22" s="101">
        <v>0</v>
      </c>
      <c r="BQ22" t="s">
        <v>914</v>
      </c>
      <c r="BR22">
        <v>2020</v>
      </c>
      <c r="BS22">
        <v>2050</v>
      </c>
    </row>
    <row r="23" spans="1:85" outlineLevel="1">
      <c r="B23" s="1" t="s">
        <v>195</v>
      </c>
      <c r="C23" s="61" t="s">
        <v>166</v>
      </c>
      <c r="D23" s="633">
        <f>D18-D21-D22</f>
        <v>149929.74661203282</v>
      </c>
      <c r="E23" s="633">
        <f t="shared" ref="E23:AH23" si="19">E18-E21-E22</f>
        <v>149418.36623228851</v>
      </c>
      <c r="F23" s="633">
        <f t="shared" si="19"/>
        <v>148903.74737001734</v>
      </c>
      <c r="G23" s="633">
        <f t="shared" si="19"/>
        <v>148385.89002521939</v>
      </c>
      <c r="H23" s="633">
        <f t="shared" si="19"/>
        <v>147864.7941978946</v>
      </c>
      <c r="I23" s="633">
        <f t="shared" si="19"/>
        <v>147340.45988804303</v>
      </c>
      <c r="J23" s="633">
        <f t="shared" si="19"/>
        <v>146812.8870956646</v>
      </c>
      <c r="K23" s="633">
        <f t="shared" si="19"/>
        <v>146282.07582075935</v>
      </c>
      <c r="L23" s="633">
        <f t="shared" si="19"/>
        <v>145748.0260633273</v>
      </c>
      <c r="M23" s="633">
        <f t="shared" si="19"/>
        <v>145210.73782336843</v>
      </c>
      <c r="N23" s="633">
        <f t="shared" si="19"/>
        <v>144670.21110088271</v>
      </c>
      <c r="O23" s="633">
        <f t="shared" si="19"/>
        <v>142889.79535986483</v>
      </c>
      <c r="P23" s="633">
        <f t="shared" si="19"/>
        <v>141085.09099989576</v>
      </c>
      <c r="Q23" s="633">
        <f t="shared" si="19"/>
        <v>139256.09802097559</v>
      </c>
      <c r="R23" s="633">
        <f t="shared" si="19"/>
        <v>137402.81642310423</v>
      </c>
      <c r="S23" s="633">
        <f t="shared" si="19"/>
        <v>135525.24620628176</v>
      </c>
      <c r="T23" s="633">
        <f t="shared" si="19"/>
        <v>133623.38737050814</v>
      </c>
      <c r="U23" s="633">
        <f t="shared" si="19"/>
        <v>131697.23991578334</v>
      </c>
      <c r="V23" s="633">
        <f t="shared" si="19"/>
        <v>129746.8038421074</v>
      </c>
      <c r="W23" s="633">
        <f t="shared" si="19"/>
        <v>127772.07914948033</v>
      </c>
      <c r="X23" s="633">
        <f t="shared" si="19"/>
        <v>125773.06583790209</v>
      </c>
      <c r="Y23" s="633">
        <f t="shared" si="19"/>
        <v>120913.36297501695</v>
      </c>
      <c r="Z23" s="633">
        <f t="shared" si="19"/>
        <v>116024.51376939044</v>
      </c>
      <c r="AA23" s="633">
        <f t="shared" si="19"/>
        <v>111106.51822102253</v>
      </c>
      <c r="AB23" s="633">
        <f t="shared" si="19"/>
        <v>106159.37632991326</v>
      </c>
      <c r="AC23" s="633">
        <f t="shared" si="19"/>
        <v>101183.08809606258</v>
      </c>
      <c r="AD23" s="633">
        <f t="shared" si="19"/>
        <v>96177.653519470536</v>
      </c>
      <c r="AE23" s="633">
        <f t="shared" si="19"/>
        <v>91143.072600137122</v>
      </c>
      <c r="AF23" s="633">
        <f t="shared" si="19"/>
        <v>86079.345338062325</v>
      </c>
      <c r="AG23" s="633">
        <f t="shared" si="19"/>
        <v>80986.471733246159</v>
      </c>
      <c r="AH23" s="633">
        <f t="shared" si="19"/>
        <v>75864.451785688609</v>
      </c>
      <c r="AI23" s="191"/>
      <c r="AJ23" s="633">
        <f>AJ18-AJ21-AJ22</f>
        <v>149929.74661203282</v>
      </c>
      <c r="AK23" s="633">
        <f t="shared" ref="AK23:BN23" si="20">AK18-AK21-AK22</f>
        <v>149823.98616877268</v>
      </c>
      <c r="AL23" s="633">
        <f t="shared" si="20"/>
        <v>149716.60648424915</v>
      </c>
      <c r="AM23" s="633">
        <f t="shared" si="20"/>
        <v>149607.60755846222</v>
      </c>
      <c r="AN23" s="633">
        <f t="shared" si="20"/>
        <v>149496.98939141186</v>
      </c>
      <c r="AO23" s="633">
        <f t="shared" si="20"/>
        <v>149384.75198309807</v>
      </c>
      <c r="AP23" s="633">
        <f t="shared" si="20"/>
        <v>149270.89533352089</v>
      </c>
      <c r="AQ23" s="633">
        <f t="shared" si="20"/>
        <v>149155.41944268032</v>
      </c>
      <c r="AR23" s="633">
        <f t="shared" si="20"/>
        <v>149038.32431057631</v>
      </c>
      <c r="AS23" s="633">
        <f t="shared" si="20"/>
        <v>148919.60993720891</v>
      </c>
      <c r="AT23" s="633">
        <f t="shared" si="20"/>
        <v>148799.27632257811</v>
      </c>
      <c r="AU23" s="633">
        <f t="shared" si="20"/>
        <v>148283.89281859924</v>
      </c>
      <c r="AV23" s="633">
        <f t="shared" si="20"/>
        <v>147756.36500514476</v>
      </c>
      <c r="AW23" s="633">
        <f t="shared" si="20"/>
        <v>147216.69288221476</v>
      </c>
      <c r="AX23" s="633">
        <f t="shared" si="20"/>
        <v>146664.87644980918</v>
      </c>
      <c r="AY23" s="633">
        <f t="shared" si="20"/>
        <v>146100.91570792801</v>
      </c>
      <c r="AZ23" s="633">
        <f t="shared" si="20"/>
        <v>145524.8106565713</v>
      </c>
      <c r="BA23" s="633">
        <f t="shared" si="20"/>
        <v>144936.56129573897</v>
      </c>
      <c r="BB23" s="633">
        <f t="shared" si="20"/>
        <v>144336.16762543109</v>
      </c>
      <c r="BC23" s="633">
        <f t="shared" si="20"/>
        <v>143723.62964564766</v>
      </c>
      <c r="BD23" s="633">
        <f t="shared" si="20"/>
        <v>143098.94735638861</v>
      </c>
      <c r="BE23" s="633">
        <f t="shared" si="20"/>
        <v>140893.99054486409</v>
      </c>
      <c r="BF23" s="633">
        <f t="shared" si="20"/>
        <v>138674.46056196888</v>
      </c>
      <c r="BG23" s="633">
        <f t="shared" si="20"/>
        <v>136440.35740770298</v>
      </c>
      <c r="BH23" s="633">
        <f t="shared" si="20"/>
        <v>134191.68108206638</v>
      </c>
      <c r="BI23" s="633">
        <f t="shared" si="20"/>
        <v>131928.43158505909</v>
      </c>
      <c r="BJ23" s="633">
        <f t="shared" si="20"/>
        <v>129650.60891668111</v>
      </c>
      <c r="BK23" s="633">
        <f t="shared" si="20"/>
        <v>127358.21307693246</v>
      </c>
      <c r="BL23" s="633">
        <f t="shared" si="20"/>
        <v>125051.24406581311</v>
      </c>
      <c r="BM23" s="633">
        <f t="shared" si="20"/>
        <v>122729.70188332308</v>
      </c>
      <c r="BN23" s="633">
        <f t="shared" si="20"/>
        <v>120393.58652946235</v>
      </c>
      <c r="BR23" s="41" t="e">
        <f>SUM(D16,D27,D38,D45,#REF!,D54)</f>
        <v>#REF!</v>
      </c>
      <c r="BS23" s="41" t="e">
        <f>SUM(AH16,AH27,AH38,AH45,#REF!,AH54)</f>
        <v>#REF!</v>
      </c>
    </row>
    <row r="24" spans="1:85" s="62" customFormat="1" outlineLevel="1">
      <c r="A24" s="684"/>
      <c r="B24" s="55" t="s">
        <v>88</v>
      </c>
      <c r="C24" s="56" t="s">
        <v>166</v>
      </c>
      <c r="D24" s="639">
        <f>D23*'R&amp;S - Transportation'!$G$4/SUM('R&amp;S - Transportation'!$G$4:$I$4)</f>
        <v>87118.951257954774</v>
      </c>
      <c r="E24" s="639">
        <f>E23*'R&amp;S - Transportation'!$G$4/SUM('R&amp;S - Transportation'!$G$4:$I$4)</f>
        <v>86821.80593900416</v>
      </c>
      <c r="F24" s="639">
        <f>F23*'R&amp;S - Transportation'!$G$4/SUM('R&amp;S - Transportation'!$G$4:$I$4)</f>
        <v>86522.778850706323</v>
      </c>
      <c r="G24" s="639">
        <f>G23*'R&amp;S - Transportation'!$G$4/SUM('R&amp;S - Transportation'!$G$4:$I$4)</f>
        <v>86221.869993061351</v>
      </c>
      <c r="H24" s="639">
        <f>H23*'R&amp;S - Transportation'!$G$4/SUM('R&amp;S - Transportation'!$G$4:$I$4)</f>
        <v>85919.079366069214</v>
      </c>
      <c r="I24" s="639">
        <f>I23*'R&amp;S - Transportation'!$G$4/SUM('R&amp;S - Transportation'!$G$4:$I$4)</f>
        <v>85614.406969729913</v>
      </c>
      <c r="J24" s="639">
        <f>J23*'R&amp;S - Transportation'!$G$4/SUM('R&amp;S - Transportation'!$G$4:$I$4)</f>
        <v>85307.852804043403</v>
      </c>
      <c r="K24" s="639">
        <f>K23*'R&amp;S - Transportation'!$G$4/SUM('R&amp;S - Transportation'!$G$4:$I$4)</f>
        <v>84999.416869009743</v>
      </c>
      <c r="L24" s="639">
        <f>L23*'R&amp;S - Transportation'!$G$4/SUM('R&amp;S - Transportation'!$G$4:$I$4)</f>
        <v>84689.099164628904</v>
      </c>
      <c r="M24" s="639">
        <f>M23*'R&amp;S - Transportation'!$G$4/SUM('R&amp;S - Transportation'!$G$4:$I$4)</f>
        <v>84376.899690900915</v>
      </c>
      <c r="N24" s="639">
        <f>N23*'R&amp;S - Transportation'!$G$4/SUM('R&amp;S - Transportation'!$G$4:$I$4)</f>
        <v>84062.818447825717</v>
      </c>
      <c r="O24" s="639">
        <f>O23*'R&amp;S - Transportation'!$G$4/SUM('R&amp;S - Transportation'!$G$4:$I$4)</f>
        <v>83028.28090163751</v>
      </c>
      <c r="P24" s="639">
        <f>P23*'R&amp;S - Transportation'!$G$4/SUM('R&amp;S - Transportation'!$G$4:$I$4)</f>
        <v>81979.630085345503</v>
      </c>
      <c r="Q24" s="639">
        <f>Q23*'R&amp;S - Transportation'!$G$4/SUM('R&amp;S - Transportation'!$G$4:$I$4)</f>
        <v>80916.86599894971</v>
      </c>
      <c r="R24" s="639">
        <f>R23*'R&amp;S - Transportation'!$G$4/SUM('R&amp;S - Transportation'!$G$4:$I$4)</f>
        <v>79839.988642450131</v>
      </c>
      <c r="S24" s="639">
        <f>S23*'R&amp;S - Transportation'!$G$4/SUM('R&amp;S - Transportation'!$G$4:$I$4)</f>
        <v>78748.998015846766</v>
      </c>
      <c r="T24" s="639">
        <f>T23*'R&amp;S - Transportation'!$G$4/SUM('R&amp;S - Transportation'!$G$4:$I$4)</f>
        <v>77643.894119139615</v>
      </c>
      <c r="U24" s="639">
        <f>U23*'R&amp;S - Transportation'!$G$4/SUM('R&amp;S - Transportation'!$G$4:$I$4)</f>
        <v>76524.676952328664</v>
      </c>
      <c r="V24" s="639">
        <f>V23*'R&amp;S - Transportation'!$G$4/SUM('R&amp;S - Transportation'!$G$4:$I$4)</f>
        <v>75391.346515413941</v>
      </c>
      <c r="W24" s="639">
        <f>W23*'R&amp;S - Transportation'!$G$4/SUM('R&amp;S - Transportation'!$G$4:$I$4)</f>
        <v>74243.902808395418</v>
      </c>
      <c r="X24" s="639">
        <f>X23*'R&amp;S - Transportation'!$G$4/SUM('R&amp;S - Transportation'!$G$4:$I$4)</f>
        <v>73082.345831273095</v>
      </c>
      <c r="Y24" s="639">
        <f>Y23*'R&amp;S - Transportation'!$G$4/SUM('R&amp;S - Transportation'!$G$4:$I$4)</f>
        <v>70258.541840358754</v>
      </c>
      <c r="Z24" s="639">
        <f>Z23*'R&amp;S - Transportation'!$G$4/SUM('R&amp;S - Transportation'!$G$4:$I$4)</f>
        <v>67417.801925319887</v>
      </c>
      <c r="AA24" s="639">
        <f>AA23*'R&amp;S - Transportation'!$G$4/SUM('R&amp;S - Transportation'!$G$4:$I$4)</f>
        <v>64560.126086156444</v>
      </c>
      <c r="AB24" s="639">
        <f>AB23*'R&amp;S - Transportation'!$G$4/SUM('R&amp;S - Transportation'!$G$4:$I$4)</f>
        <v>61685.514322868468</v>
      </c>
      <c r="AC24" s="639">
        <f>AC23*'R&amp;S - Transportation'!$G$4/SUM('R&amp;S - Transportation'!$G$4:$I$4)</f>
        <v>58793.966635455938</v>
      </c>
      <c r="AD24" s="639">
        <f>AD23*'R&amp;S - Transportation'!$G$4/SUM('R&amp;S - Transportation'!$G$4:$I$4)</f>
        <v>55885.48302391886</v>
      </c>
      <c r="AE24" s="639">
        <f>AE23*'R&amp;S - Transportation'!$G$4/SUM('R&amp;S - Transportation'!$G$4:$I$4)</f>
        <v>52960.063488257249</v>
      </c>
      <c r="AF24" s="639">
        <f>AF23*'R&amp;S - Transportation'!$G$4/SUM('R&amp;S - Transportation'!$G$4:$I$4)</f>
        <v>50017.708028471076</v>
      </c>
      <c r="AG24" s="639">
        <f>AG23*'R&amp;S - Transportation'!$G$4/SUM('R&amp;S - Transportation'!$G$4:$I$4)</f>
        <v>47058.41664456037</v>
      </c>
      <c r="AH24" s="639">
        <f>AH23*'R&amp;S - Transportation'!$G$4/SUM('R&amp;S - Transportation'!$G$4:$I$4)</f>
        <v>44082.189336525116</v>
      </c>
      <c r="AI24" s="639"/>
      <c r="AJ24" s="639">
        <f>AJ23*'R&amp;S - Transportation'!$G$4/SUM('R&amp;S - Transportation'!$G$4:$I$4)</f>
        <v>87118.951257954774</v>
      </c>
      <c r="AK24" s="639">
        <f>AK23*'R&amp;S - Transportation'!$G$4/SUM('R&amp;S - Transportation'!$G$4:$I$4)</f>
        <v>87057.497549737411</v>
      </c>
      <c r="AL24" s="639">
        <f>AL23*'R&amp;S - Transportation'!$G$4/SUM('R&amp;S - Transportation'!$G$4:$I$4)</f>
        <v>86995.102956846458</v>
      </c>
      <c r="AM24" s="639">
        <f>AM23*'R&amp;S - Transportation'!$G$4/SUM('R&amp;S - Transportation'!$G$4:$I$4)</f>
        <v>86931.767479281931</v>
      </c>
      <c r="AN24" s="639">
        <f>AN23*'R&amp;S - Transportation'!$G$4/SUM('R&amp;S - Transportation'!$G$4:$I$4)</f>
        <v>86867.491117043828</v>
      </c>
      <c r="AO24" s="639">
        <f>AO23*'R&amp;S - Transportation'!$G$4/SUM('R&amp;S - Transportation'!$G$4:$I$4)</f>
        <v>86802.273870132107</v>
      </c>
      <c r="AP24" s="639">
        <f>AP23*'R&amp;S - Transportation'!$G$4/SUM('R&amp;S - Transportation'!$G$4:$I$4)</f>
        <v>86736.11573854681</v>
      </c>
      <c r="AQ24" s="639">
        <f>AQ23*'R&amp;S - Transportation'!$G$4/SUM('R&amp;S - Transportation'!$G$4:$I$4)</f>
        <v>86669.016722287954</v>
      </c>
      <c r="AR24" s="639">
        <f>AR23*'R&amp;S - Transportation'!$G$4/SUM('R&amp;S - Transportation'!$G$4:$I$4)</f>
        <v>86600.976821355478</v>
      </c>
      <c r="AS24" s="639">
        <f>AS23*'R&amp;S - Transportation'!$G$4/SUM('R&amp;S - Transportation'!$G$4:$I$4)</f>
        <v>86531.996035749442</v>
      </c>
      <c r="AT24" s="639">
        <f>AT23*'R&amp;S - Transportation'!$G$4/SUM('R&amp;S - Transportation'!$G$4:$I$4)</f>
        <v>86462.074365469802</v>
      </c>
      <c r="AU24" s="639">
        <f>AU23*'R&amp;S - Transportation'!$G$4/SUM('R&amp;S - Transportation'!$G$4:$I$4)</f>
        <v>86162.602970520587</v>
      </c>
      <c r="AV24" s="639">
        <f>AV23*'R&amp;S - Transportation'!$G$4/SUM('R&amp;S - Transportation'!$G$4:$I$4)</f>
        <v>85856.074940519451</v>
      </c>
      <c r="AW24" s="639">
        <f>AW23*'R&amp;S - Transportation'!$G$4/SUM('R&amp;S - Transportation'!$G$4:$I$4)</f>
        <v>85542.490275466451</v>
      </c>
      <c r="AX24" s="639">
        <f>AX23*'R&amp;S - Transportation'!$G$4/SUM('R&amp;S - Transportation'!$G$4:$I$4)</f>
        <v>85221.848975361543</v>
      </c>
      <c r="AY24" s="639">
        <f>AY23*'R&amp;S - Transportation'!$G$4/SUM('R&amp;S - Transportation'!$G$4:$I$4)</f>
        <v>84894.151040204757</v>
      </c>
      <c r="AZ24" s="639">
        <f>AZ23*'R&amp;S - Transportation'!$G$4/SUM('R&amp;S - Transportation'!$G$4:$I$4)</f>
        <v>84559.396469996063</v>
      </c>
      <c r="BA24" s="639">
        <f>BA23*'R&amp;S - Transportation'!$G$4/SUM('R&amp;S - Transportation'!$G$4:$I$4)</f>
        <v>84217.585264735477</v>
      </c>
      <c r="BB24" s="639">
        <f>BB23*'R&amp;S - Transportation'!$G$4/SUM('R&amp;S - Transportation'!$G$4:$I$4)</f>
        <v>83868.717424422997</v>
      </c>
      <c r="BC24" s="639">
        <f>BC23*'R&amp;S - Transportation'!$G$4/SUM('R&amp;S - Transportation'!$G$4:$I$4)</f>
        <v>83512.792949058639</v>
      </c>
      <c r="BD24" s="639">
        <f>BD23*'R&amp;S - Transportation'!$G$4/SUM('R&amp;S - Transportation'!$G$4:$I$4)</f>
        <v>83149.811838642359</v>
      </c>
      <c r="BE24" s="639">
        <f>BE23*'R&amp;S - Transportation'!$G$4/SUM('R&amp;S - Transportation'!$G$4:$I$4)</f>
        <v>81868.588270072127</v>
      </c>
      <c r="BF24" s="639">
        <f>BF23*'R&amp;S - Transportation'!$G$4/SUM('R&amp;S - Transportation'!$G$4:$I$4)</f>
        <v>80578.896739439617</v>
      </c>
      <c r="BG24" s="639">
        <f>BG23*'R&amp;S - Transportation'!$G$4/SUM('R&amp;S - Transportation'!$G$4:$I$4)</f>
        <v>79280.737246744829</v>
      </c>
      <c r="BH24" s="639">
        <f>BH23*'R&amp;S - Transportation'!$G$4/SUM('R&amp;S - Transportation'!$G$4:$I$4)</f>
        <v>77974.109791987765</v>
      </c>
      <c r="BI24" s="639">
        <f>BI23*'R&amp;S - Transportation'!$G$4/SUM('R&amp;S - Transportation'!$G$4:$I$4)</f>
        <v>76659.014375168437</v>
      </c>
      <c r="BJ24" s="639">
        <f>BJ23*'R&amp;S - Transportation'!$G$4/SUM('R&amp;S - Transportation'!$G$4:$I$4)</f>
        <v>75335.450996286818</v>
      </c>
      <c r="BK24" s="639">
        <f>BK23*'R&amp;S - Transportation'!$G$4/SUM('R&amp;S - Transportation'!$G$4:$I$4)</f>
        <v>74003.41965534295</v>
      </c>
      <c r="BL24" s="639">
        <f>BL23*'R&amp;S - Transportation'!$G$4/SUM('R&amp;S - Transportation'!$G$4:$I$4)</f>
        <v>72662.920352336791</v>
      </c>
      <c r="BM24" s="639">
        <f>BM23*'R&amp;S - Transportation'!$G$4/SUM('R&amp;S - Transportation'!$G$4:$I$4)</f>
        <v>71313.953087268383</v>
      </c>
      <c r="BN24" s="639">
        <f>BN23*'R&amp;S - Transportation'!$G$4/SUM('R&amp;S - Transportation'!$G$4:$I$4)</f>
        <v>69956.517860137683</v>
      </c>
    </row>
    <row r="25" spans="1:85" outlineLevel="1">
      <c r="A25" s="685"/>
      <c r="B25" s="1" t="s">
        <v>797</v>
      </c>
      <c r="C25" s="51" t="s">
        <v>166</v>
      </c>
      <c r="D25" s="635">
        <f>D23*'R&amp;S - Transportation'!$H$4/SUM('R&amp;S - Transportation'!$G$4:$I$4)</f>
        <v>7866.5635989003513</v>
      </c>
      <c r="E25" s="635">
        <f>E23*'R&amp;S - Transportation'!$H$4/SUM('R&amp;S - Transportation'!$G$4:$I$4)</f>
        <v>7839.7323237772243</v>
      </c>
      <c r="F25" s="635">
        <f>F23*'R&amp;S - Transportation'!$H$4/SUM('R&amp;S - Transportation'!$G$4:$I$4)</f>
        <v>7812.7311308803573</v>
      </c>
      <c r="G25" s="635">
        <f>G23*'R&amp;S - Transportation'!$H$4/SUM('R&amp;S - Transportation'!$G$4:$I$4)</f>
        <v>7785.5600202097548</v>
      </c>
      <c r="H25" s="635">
        <f>H23*'R&amp;S - Transportation'!$H$4/SUM('R&amp;S - Transportation'!$G$4:$I$4)</f>
        <v>7758.2189917654177</v>
      </c>
      <c r="I25" s="635">
        <f>I23*'R&amp;S - Transportation'!$H$4/SUM('R&amp;S - Transportation'!$G$4:$I$4)</f>
        <v>7730.7080455473442</v>
      </c>
      <c r="J25" s="635">
        <f>J23*'R&amp;S - Transportation'!$H$4/SUM('R&amp;S - Transportation'!$G$4:$I$4)</f>
        <v>7703.0271815555325</v>
      </c>
      <c r="K25" s="635">
        <f>K23*'R&amp;S - Transportation'!$H$4/SUM('R&amp;S - Transportation'!$G$4:$I$4)</f>
        <v>7675.1763997899861</v>
      </c>
      <c r="L25" s="635">
        <f>L23*'R&amp;S - Transportation'!$H$4/SUM('R&amp;S - Transportation'!$G$4:$I$4)</f>
        <v>7647.1557002507025</v>
      </c>
      <c r="M25" s="635">
        <f>M23*'R&amp;S - Transportation'!$H$4/SUM('R&amp;S - Transportation'!$G$4:$I$4)</f>
        <v>7618.9650829376842</v>
      </c>
      <c r="N25" s="635">
        <f>N23*'R&amp;S - Transportation'!$H$4/SUM('R&amp;S - Transportation'!$G$4:$I$4)</f>
        <v>7590.6045478509286</v>
      </c>
      <c r="O25" s="635">
        <f>O23*'R&amp;S - Transportation'!$H$4/SUM('R&amp;S - Transportation'!$G$4:$I$4)</f>
        <v>7497.1891051139874</v>
      </c>
      <c r="P25" s="635">
        <f>P23*'R&amp;S - Transportation'!$H$4/SUM('R&amp;S - Transportation'!$G$4:$I$4)</f>
        <v>7402.4992790740225</v>
      </c>
      <c r="Q25" s="635">
        <f>Q23*'R&amp;S - Transportation'!$H$4/SUM('R&amp;S - Transportation'!$G$4:$I$4)</f>
        <v>7306.5350697310369</v>
      </c>
      <c r="R25" s="635">
        <f>R23*'R&amp;S - Transportation'!$H$4/SUM('R&amp;S - Transportation'!$G$4:$I$4)</f>
        <v>7209.2964770850294</v>
      </c>
      <c r="S25" s="635">
        <f>S23*'R&amp;S - Transportation'!$H$4/SUM('R&amp;S - Transportation'!$G$4:$I$4)</f>
        <v>7110.7835011360003</v>
      </c>
      <c r="T25" s="635">
        <f>T23*'R&amp;S - Transportation'!$H$4/SUM('R&amp;S - Transportation'!$G$4:$I$4)</f>
        <v>7010.9961418839503</v>
      </c>
      <c r="U25" s="635">
        <f>U23*'R&amp;S - Transportation'!$H$4/SUM('R&amp;S - Transportation'!$G$4:$I$4)</f>
        <v>6909.9343993288767</v>
      </c>
      <c r="V25" s="635">
        <f>V23*'R&amp;S - Transportation'!$H$4/SUM('R&amp;S - Transportation'!$G$4:$I$4)</f>
        <v>6807.5982734707823</v>
      </c>
      <c r="W25" s="635">
        <f>W23*'R&amp;S - Transportation'!$H$4/SUM('R&amp;S - Transportation'!$G$4:$I$4)</f>
        <v>6703.9877643096661</v>
      </c>
      <c r="X25" s="635">
        <f>X23*'R&amp;S - Transportation'!$H$4/SUM('R&amp;S - Transportation'!$G$4:$I$4)</f>
        <v>6599.1028718455273</v>
      </c>
      <c r="Y25" s="635">
        <f>Y23*'R&amp;S - Transportation'!$H$4/SUM('R&amp;S - Transportation'!$G$4:$I$4)</f>
        <v>6344.1223726016506</v>
      </c>
      <c r="Z25" s="635">
        <f>Z23*'R&amp;S - Transportation'!$H$4/SUM('R&amp;S - Transportation'!$G$4:$I$4)</f>
        <v>6087.612613394148</v>
      </c>
      <c r="AA25" s="635">
        <f>AA23*'R&amp;S - Transportation'!$H$4/SUM('R&amp;S - Transportation'!$G$4:$I$4)</f>
        <v>5829.5735942230185</v>
      </c>
      <c r="AB25" s="635">
        <f>AB23*'R&amp;S - Transportation'!$H$4/SUM('R&amp;S - Transportation'!$G$4:$I$4)</f>
        <v>5570.0053150882632</v>
      </c>
      <c r="AC25" s="635">
        <f>AC23*'R&amp;S - Transportation'!$H$4/SUM('R&amp;S - Transportation'!$G$4:$I$4)</f>
        <v>5308.907775989881</v>
      </c>
      <c r="AD25" s="635">
        <f>AD23*'R&amp;S - Transportation'!$H$4/SUM('R&amp;S - Transportation'!$G$4:$I$4)</f>
        <v>5046.280976927872</v>
      </c>
      <c r="AE25" s="635">
        <f>AE23*'R&amp;S - Transportation'!$H$4/SUM('R&amp;S - Transportation'!$G$4:$I$4)</f>
        <v>4782.1249179022379</v>
      </c>
      <c r="AF25" s="635">
        <f>AF23*'R&amp;S - Transportation'!$H$4/SUM('R&amp;S - Transportation'!$G$4:$I$4)</f>
        <v>4516.439598912978</v>
      </c>
      <c r="AG25" s="635">
        <f>AG23*'R&amp;S - Transportation'!$H$4/SUM('R&amp;S - Transportation'!$G$4:$I$4)</f>
        <v>4249.2250199600912</v>
      </c>
      <c r="AH25" s="635">
        <f>AH23*'R&amp;S - Transportation'!$H$4/SUM('R&amp;S - Transportation'!$G$4:$I$4)</f>
        <v>3980.4811810435785</v>
      </c>
      <c r="AI25" s="635"/>
      <c r="AJ25" s="635">
        <f>AJ23*'R&amp;S - Transportation'!$H$4/SUM('R&amp;S - Transportation'!$G$4:$I$4)</f>
        <v>7866.5635989003513</v>
      </c>
      <c r="AK25" s="635">
        <f>AK23*'R&amp;S - Transportation'!$H$4/SUM('R&amp;S - Transportation'!$G$4:$I$4)</f>
        <v>7861.0145249376883</v>
      </c>
      <c r="AL25" s="635">
        <f>AL23*'R&amp;S - Transportation'!$H$4/SUM('R&amp;S - Transportation'!$G$4:$I$4)</f>
        <v>7855.3804920881548</v>
      </c>
      <c r="AM25" s="635">
        <f>AM23*'R&amp;S - Transportation'!$H$4/SUM('R&amp;S - Transportation'!$G$4:$I$4)</f>
        <v>7849.6615003517545</v>
      </c>
      <c r="AN25" s="635">
        <f>AN23*'R&amp;S - Transportation'!$H$4/SUM('R&amp;S - Transportation'!$G$4:$I$4)</f>
        <v>7843.8575497284864</v>
      </c>
      <c r="AO25" s="635">
        <f>AO23*'R&amp;S - Transportation'!$H$4/SUM('R&amp;S - Transportation'!$G$4:$I$4)</f>
        <v>7837.9686402183488</v>
      </c>
      <c r="AP25" s="635">
        <f>AP23*'R&amp;S - Transportation'!$H$4/SUM('R&amp;S - Transportation'!$G$4:$I$4)</f>
        <v>7831.9947718213434</v>
      </c>
      <c r="AQ25" s="635">
        <f>AQ23*'R&amp;S - Transportation'!$H$4/SUM('R&amp;S - Transportation'!$G$4:$I$4)</f>
        <v>7825.9359445374712</v>
      </c>
      <c r="AR25" s="635">
        <f>AR23*'R&amp;S - Transportation'!$H$4/SUM('R&amp;S - Transportation'!$G$4:$I$4)</f>
        <v>7819.7921583667294</v>
      </c>
      <c r="AS25" s="635">
        <f>AS23*'R&amp;S - Transportation'!$H$4/SUM('R&amp;S - Transportation'!$G$4:$I$4)</f>
        <v>7813.5634133091216</v>
      </c>
      <c r="AT25" s="635">
        <f>AT23*'R&amp;S - Transportation'!$H$4/SUM('R&amp;S - Transportation'!$G$4:$I$4)</f>
        <v>7807.2497093646434</v>
      </c>
      <c r="AU25" s="635">
        <f>AU23*'R&amp;S - Transportation'!$H$4/SUM('R&amp;S - Transportation'!$G$4:$I$4)</f>
        <v>7780.2083969934238</v>
      </c>
      <c r="AV25" s="635">
        <f>AV23*'R&amp;S - Transportation'!$H$4/SUM('R&amp;S - Transportation'!$G$4:$I$4)</f>
        <v>7752.5298929706905</v>
      </c>
      <c r="AW25" s="635">
        <f>AW23*'R&amp;S - Transportation'!$H$4/SUM('R&amp;S - Transportation'!$G$4:$I$4)</f>
        <v>7724.21419729645</v>
      </c>
      <c r="AX25" s="635">
        <f>AX23*'R&amp;S - Transportation'!$H$4/SUM('R&amp;S - Transportation'!$G$4:$I$4)</f>
        <v>7695.2613099706978</v>
      </c>
      <c r="AY25" s="635">
        <f>AY23*'R&amp;S - Transportation'!$H$4/SUM('R&amp;S - Transportation'!$G$4:$I$4)</f>
        <v>7665.6712309934337</v>
      </c>
      <c r="AZ25" s="635">
        <f>AZ23*'R&amp;S - Transportation'!$H$4/SUM('R&amp;S - Transportation'!$G$4:$I$4)</f>
        <v>7635.4439603646588</v>
      </c>
      <c r="BA25" s="635">
        <f>BA23*'R&amp;S - Transportation'!$H$4/SUM('R&amp;S - Transportation'!$G$4:$I$4)</f>
        <v>7604.5794980843739</v>
      </c>
      <c r="BB25" s="635">
        <f>BB23*'R&amp;S - Transportation'!$H$4/SUM('R&amp;S - Transportation'!$G$4:$I$4)</f>
        <v>7573.0778441525772</v>
      </c>
      <c r="BC25" s="635">
        <f>BC23*'R&amp;S - Transportation'!$H$4/SUM('R&amp;S - Transportation'!$G$4:$I$4)</f>
        <v>7540.9389985692715</v>
      </c>
      <c r="BD25" s="635">
        <f>BD23*'R&amp;S - Transportation'!$H$4/SUM('R&amp;S - Transportation'!$G$4:$I$4)</f>
        <v>7508.162961334453</v>
      </c>
      <c r="BE25" s="635">
        <f>BE23*'R&amp;S - Transportation'!$H$4/SUM('R&amp;S - Transportation'!$G$4:$I$4)</f>
        <v>7392.4725571108647</v>
      </c>
      <c r="BF25" s="635">
        <f>BF23*'R&amp;S - Transportation'!$H$4/SUM('R&amp;S - Transportation'!$G$4:$I$4)</f>
        <v>7276.0175229054639</v>
      </c>
      <c r="BG25" s="635">
        <f>BG23*'R&amp;S - Transportation'!$H$4/SUM('R&amp;S - Transportation'!$G$4:$I$4)</f>
        <v>7158.7978587182497</v>
      </c>
      <c r="BH25" s="635">
        <f>BH23*'R&amp;S - Transportation'!$H$4/SUM('R&amp;S - Transportation'!$G$4:$I$4)</f>
        <v>7040.8135645492221</v>
      </c>
      <c r="BI25" s="635">
        <f>BI23*'R&amp;S - Transportation'!$H$4/SUM('R&amp;S - Transportation'!$G$4:$I$4)</f>
        <v>6922.0646403983819</v>
      </c>
      <c r="BJ25" s="635">
        <f>BJ23*'R&amp;S - Transportation'!$H$4/SUM('R&amp;S - Transportation'!$G$4:$I$4)</f>
        <v>6802.5510862657266</v>
      </c>
      <c r="BK25" s="635">
        <f>BK23*'R&amp;S - Transportation'!$H$4/SUM('R&amp;S - Transportation'!$G$4:$I$4)</f>
        <v>6682.2729021512614</v>
      </c>
      <c r="BL25" s="635">
        <f>BL23*'R&amp;S - Transportation'!$H$4/SUM('R&amp;S - Transportation'!$G$4:$I$4)</f>
        <v>6561.230088054981</v>
      </c>
      <c r="BM25" s="635">
        <f>BM23*'R&amp;S - Transportation'!$H$4/SUM('R&amp;S - Transportation'!$G$4:$I$4)</f>
        <v>6439.422643976889</v>
      </c>
      <c r="BN25" s="635">
        <f>BN23*'R&amp;S - Transportation'!$H$4/SUM('R&amp;S - Transportation'!$G$4:$I$4)</f>
        <v>6316.8505699169827</v>
      </c>
    </row>
    <row r="26" spans="1:85" s="63" customFormat="1" outlineLevel="1">
      <c r="A26" s="686"/>
      <c r="B26" s="59" t="s">
        <v>1301</v>
      </c>
      <c r="C26" s="262" t="s">
        <v>166</v>
      </c>
      <c r="D26" s="638">
        <f>D23*'R&amp;S - Transportation'!$I$4/SUM('R&amp;S - Transportation'!$G$4:$I$4)</f>
        <v>54944.231755177709</v>
      </c>
      <c r="E26" s="638">
        <f>E23*'R&amp;S - Transportation'!$I$4/SUM('R&amp;S - Transportation'!$G$4:$I$4)</f>
        <v>54756.827969507154</v>
      </c>
      <c r="F26" s="638">
        <f>F23*'R&amp;S - Transportation'!$I$4/SUM('R&amp;S - Transportation'!$G$4:$I$4)</f>
        <v>54568.237388430673</v>
      </c>
      <c r="G26" s="638">
        <f>G23*'R&amp;S - Transportation'!$I$4/SUM('R&amp;S - Transportation'!$G$4:$I$4)</f>
        <v>54378.460011948293</v>
      </c>
      <c r="H26" s="638">
        <f>H23*'R&amp;S - Transportation'!$I$4/SUM('R&amp;S - Transportation'!$G$4:$I$4)</f>
        <v>54187.495840059993</v>
      </c>
      <c r="I26" s="638">
        <f>I23*'R&amp;S - Transportation'!$I$4/SUM('R&amp;S - Transportation'!$G$4:$I$4)</f>
        <v>53995.344872765796</v>
      </c>
      <c r="J26" s="638">
        <f>J23*'R&amp;S - Transportation'!$I$4/SUM('R&amp;S - Transportation'!$G$4:$I$4)</f>
        <v>53802.007110065671</v>
      </c>
      <c r="K26" s="638">
        <f>K23*'R&amp;S - Transportation'!$I$4/SUM('R&amp;S - Transportation'!$G$4:$I$4)</f>
        <v>53607.482551959634</v>
      </c>
      <c r="L26" s="638">
        <f>L23*'R&amp;S - Transportation'!$I$4/SUM('R&amp;S - Transportation'!$G$4:$I$4)</f>
        <v>53411.771198447699</v>
      </c>
      <c r="M26" s="638">
        <f>M23*'R&amp;S - Transportation'!$I$4/SUM('R&amp;S - Transportation'!$G$4:$I$4)</f>
        <v>53214.873049529851</v>
      </c>
      <c r="N26" s="638">
        <f>N23*'R&amp;S - Transportation'!$I$4/SUM('R&amp;S - Transportation'!$G$4:$I$4)</f>
        <v>53016.788105206077</v>
      </c>
      <c r="O26" s="638">
        <f>O23*'R&amp;S - Transportation'!$I$4/SUM('R&amp;S - Transportation'!$G$4:$I$4)</f>
        <v>52364.325353113345</v>
      </c>
      <c r="P26" s="638">
        <f>P23*'R&amp;S - Transportation'!$I$4/SUM('R&amp;S - Transportation'!$G$4:$I$4)</f>
        <v>51702.961635476262</v>
      </c>
      <c r="Q26" s="638">
        <f>Q23*'R&amp;S - Transportation'!$I$4/SUM('R&amp;S - Transportation'!$G$4:$I$4)</f>
        <v>51032.696952294857</v>
      </c>
      <c r="R26" s="638">
        <f>R23*'R&amp;S - Transportation'!$I$4/SUM('R&amp;S - Transportation'!$G$4:$I$4)</f>
        <v>50353.5313035691</v>
      </c>
      <c r="S26" s="638">
        <f>S23*'R&amp;S - Transportation'!$I$4/SUM('R&amp;S - Transportation'!$G$4:$I$4)</f>
        <v>49665.464689299013</v>
      </c>
      <c r="T26" s="638">
        <f>T23*'R&amp;S - Transportation'!$I$4/SUM('R&amp;S - Transportation'!$G$4:$I$4)</f>
        <v>48968.497109484582</v>
      </c>
      <c r="U26" s="638">
        <f>U23*'R&amp;S - Transportation'!$I$4/SUM('R&amp;S - Transportation'!$G$4:$I$4)</f>
        <v>48262.628564125815</v>
      </c>
      <c r="V26" s="638">
        <f>V23*'R&amp;S - Transportation'!$I$4/SUM('R&amp;S - Transportation'!$G$4:$I$4)</f>
        <v>47547.859053222703</v>
      </c>
      <c r="W26" s="638">
        <f>W23*'R&amp;S - Transportation'!$I$4/SUM('R&amp;S - Transportation'!$G$4:$I$4)</f>
        <v>46824.188576775261</v>
      </c>
      <c r="X26" s="638">
        <f>X23*'R&amp;S - Transportation'!$I$4/SUM('R&amp;S - Transportation'!$G$4:$I$4)</f>
        <v>46091.617134783475</v>
      </c>
      <c r="Y26" s="638">
        <f>Y23*'R&amp;S - Transportation'!$I$4/SUM('R&amp;S - Transportation'!$G$4:$I$4)</f>
        <v>44310.698762056549</v>
      </c>
      <c r="Z26" s="638">
        <f>Z23*'R&amp;S - Transportation'!$I$4/SUM('R&amp;S - Transportation'!$G$4:$I$4)</f>
        <v>42519.099230676424</v>
      </c>
      <c r="AA26" s="638">
        <f>AA23*'R&amp;S - Transportation'!$I$4/SUM('R&amp;S - Transportation'!$G$4:$I$4)</f>
        <v>40716.818540643078</v>
      </c>
      <c r="AB26" s="638">
        <f>AB23*'R&amp;S - Transportation'!$I$4/SUM('R&amp;S - Transportation'!$G$4:$I$4)</f>
        <v>38903.856691956535</v>
      </c>
      <c r="AC26" s="638">
        <f>AC23*'R&amp;S - Transportation'!$I$4/SUM('R&amp;S - Transportation'!$G$4:$I$4)</f>
        <v>37080.213684616778</v>
      </c>
      <c r="AD26" s="638">
        <f>AD23*'R&amp;S - Transportation'!$I$4/SUM('R&amp;S - Transportation'!$G$4:$I$4)</f>
        <v>35245.889518623815</v>
      </c>
      <c r="AE26" s="638">
        <f>AE23*'R&amp;S - Transportation'!$I$4/SUM('R&amp;S - Transportation'!$G$4:$I$4)</f>
        <v>33400.884193977647</v>
      </c>
      <c r="AF26" s="638">
        <f>AF23*'R&amp;S - Transportation'!$I$4/SUM('R&amp;S - Transportation'!$G$4:$I$4)</f>
        <v>31545.19771067828</v>
      </c>
      <c r="AG26" s="638">
        <f>AG23*'R&amp;S - Transportation'!$I$4/SUM('R&amp;S - Transportation'!$G$4:$I$4)</f>
        <v>29678.830068725703</v>
      </c>
      <c r="AH26" s="638">
        <f>AH23*'R&amp;S - Transportation'!$I$4/SUM('R&amp;S - Transportation'!$G$4:$I$4)</f>
        <v>27801.781268119921</v>
      </c>
      <c r="AI26" s="638"/>
      <c r="AJ26" s="638">
        <f>AJ23*'R&amp;S - Transportation'!$I$4/SUM('R&amp;S - Transportation'!$G$4:$I$4)</f>
        <v>54944.231755177709</v>
      </c>
      <c r="AK26" s="638">
        <f>AK23*'R&amp;S - Transportation'!$I$4/SUM('R&amp;S - Transportation'!$G$4:$I$4)</f>
        <v>54905.474094097604</v>
      </c>
      <c r="AL26" s="638">
        <f>AL23*'R&amp;S - Transportation'!$I$4/SUM('R&amp;S - Transportation'!$G$4:$I$4)</f>
        <v>54866.123035314551</v>
      </c>
      <c r="AM26" s="638">
        <f>AM23*'R&amp;S - Transportation'!$I$4/SUM('R&amp;S - Transportation'!$G$4:$I$4)</f>
        <v>54826.178578828542</v>
      </c>
      <c r="AN26" s="638">
        <f>AN23*'R&amp;S - Transportation'!$I$4/SUM('R&amp;S - Transportation'!$G$4:$I$4)</f>
        <v>54785.640724639568</v>
      </c>
      <c r="AO26" s="638">
        <f>AO23*'R&amp;S - Transportation'!$I$4/SUM('R&amp;S - Transportation'!$G$4:$I$4)</f>
        <v>54744.509472747632</v>
      </c>
      <c r="AP26" s="638">
        <f>AP23*'R&amp;S - Transportation'!$I$4/SUM('R&amp;S - Transportation'!$G$4:$I$4)</f>
        <v>54702.784823152753</v>
      </c>
      <c r="AQ26" s="638">
        <f>AQ23*'R&amp;S - Transportation'!$I$4/SUM('R&amp;S - Transportation'!$G$4:$I$4)</f>
        <v>54660.466775854919</v>
      </c>
      <c r="AR26" s="638">
        <f>AR23*'R&amp;S - Transportation'!$I$4/SUM('R&amp;S - Transportation'!$G$4:$I$4)</f>
        <v>54617.55533085412</v>
      </c>
      <c r="AS26" s="638">
        <f>AS23*'R&amp;S - Transportation'!$I$4/SUM('R&amp;S - Transportation'!$G$4:$I$4)</f>
        <v>54574.050488150373</v>
      </c>
      <c r="AT26" s="638">
        <f>AT23*'R&amp;S - Transportation'!$I$4/SUM('R&amp;S - Transportation'!$G$4:$I$4)</f>
        <v>54529.952247743669</v>
      </c>
      <c r="AU26" s="638">
        <f>AU23*'R&amp;S - Transportation'!$I$4/SUM('R&amp;S - Transportation'!$G$4:$I$4)</f>
        <v>54341.081451085251</v>
      </c>
      <c r="AV26" s="638">
        <f>AV23*'R&amp;S - Transportation'!$I$4/SUM('R&amp;S - Transportation'!$G$4:$I$4)</f>
        <v>54147.760171654641</v>
      </c>
      <c r="AW26" s="638">
        <f>AW23*'R&amp;S - Transportation'!$I$4/SUM('R&amp;S - Transportation'!$G$4:$I$4)</f>
        <v>53949.988409451886</v>
      </c>
      <c r="AX26" s="638">
        <f>AX23*'R&amp;S - Transportation'!$I$4/SUM('R&amp;S - Transportation'!$G$4:$I$4)</f>
        <v>53747.766164476954</v>
      </c>
      <c r="AY26" s="638">
        <f>AY23*'R&amp;S - Transportation'!$I$4/SUM('R&amp;S - Transportation'!$G$4:$I$4)</f>
        <v>53541.093436729854</v>
      </c>
      <c r="AZ26" s="638">
        <f>AZ23*'R&amp;S - Transportation'!$I$4/SUM('R&amp;S - Transportation'!$G$4:$I$4)</f>
        <v>53329.970226210586</v>
      </c>
      <c r="BA26" s="638">
        <f>BA23*'R&amp;S - Transportation'!$I$4/SUM('R&amp;S - Transportation'!$G$4:$I$4)</f>
        <v>53114.396532919141</v>
      </c>
      <c r="BB26" s="638">
        <f>BB23*'R&amp;S - Transportation'!$I$4/SUM('R&amp;S - Transportation'!$G$4:$I$4)</f>
        <v>52894.372356855529</v>
      </c>
      <c r="BC26" s="638">
        <f>BC23*'R&amp;S - Transportation'!$I$4/SUM('R&amp;S - Transportation'!$G$4:$I$4)</f>
        <v>52669.897698019769</v>
      </c>
      <c r="BD26" s="638">
        <f>BD23*'R&amp;S - Transportation'!$I$4/SUM('R&amp;S - Transportation'!$G$4:$I$4)</f>
        <v>52440.97255641182</v>
      </c>
      <c r="BE26" s="638">
        <f>BE23*'R&amp;S - Transportation'!$I$4/SUM('R&amp;S - Transportation'!$G$4:$I$4)</f>
        <v>51632.929717681123</v>
      </c>
      <c r="BF26" s="638">
        <f>BF23*'R&amp;S - Transportation'!$I$4/SUM('R&amp;S - Transportation'!$G$4:$I$4)</f>
        <v>50819.54629962382</v>
      </c>
      <c r="BG26" s="638">
        <f>BG23*'R&amp;S - Transportation'!$I$4/SUM('R&amp;S - Transportation'!$G$4:$I$4)</f>
        <v>50000.822302239918</v>
      </c>
      <c r="BH26" s="638">
        <f>BH23*'R&amp;S - Transportation'!$I$4/SUM('R&amp;S - Transportation'!$G$4:$I$4)</f>
        <v>49176.757725529409</v>
      </c>
      <c r="BI26" s="638">
        <f>BI23*'R&amp;S - Transportation'!$I$4/SUM('R&amp;S - Transportation'!$G$4:$I$4)</f>
        <v>48347.352569492301</v>
      </c>
      <c r="BJ26" s="638">
        <f>BJ23*'R&amp;S - Transportation'!$I$4/SUM('R&amp;S - Transportation'!$G$4:$I$4)</f>
        <v>47512.606834128579</v>
      </c>
      <c r="BK26" s="638">
        <f>BK23*'R&amp;S - Transportation'!$I$4/SUM('R&amp;S - Transportation'!$G$4:$I$4)</f>
        <v>46672.520519438265</v>
      </c>
      <c r="BL26" s="638">
        <f>BL23*'R&amp;S - Transportation'!$I$4/SUM('R&amp;S - Transportation'!$G$4:$I$4)</f>
        <v>45827.093625421345</v>
      </c>
      <c r="BM26" s="638">
        <f>BM23*'R&amp;S - Transportation'!$I$4/SUM('R&amp;S - Transportation'!$G$4:$I$4)</f>
        <v>44976.326152077825</v>
      </c>
      <c r="BN26" s="638">
        <f>BN23*'R&amp;S - Transportation'!$I$4/SUM('R&amp;S - Transportation'!$G$4:$I$4)</f>
        <v>44120.218099407699</v>
      </c>
    </row>
    <row r="27" spans="1:85" s="1" customFormat="1" outlineLevel="1">
      <c r="A27" s="1" t="s">
        <v>399</v>
      </c>
      <c r="B27" s="1" t="s">
        <v>174</v>
      </c>
      <c r="C27" s="61" t="s">
        <v>166</v>
      </c>
      <c r="D27" s="591">
        <f>SUM('R&amp;S - Packaging and hh goods'!L4:N4)</f>
        <v>2855341.1859065234</v>
      </c>
      <c r="E27" s="591">
        <f>D27*(1+'R&amp;S - Packaging and hh goods'!$E$5)</f>
        <v>2855341.1859065234</v>
      </c>
      <c r="F27" s="591">
        <f>E27*(1+'R&amp;S - Packaging and hh goods'!$E$5)</f>
        <v>2855341.1859065234</v>
      </c>
      <c r="G27" s="591">
        <f>F27*(1+'R&amp;S - Packaging and hh goods'!$E$5)</f>
        <v>2855341.1859065234</v>
      </c>
      <c r="H27" s="591">
        <f>G27*(1+'R&amp;S - Packaging and hh goods'!$E$5)</f>
        <v>2855341.1859065234</v>
      </c>
      <c r="I27" s="591">
        <f>H27*(1+'R&amp;S - Packaging and hh goods'!$E$5)</f>
        <v>2855341.1859065234</v>
      </c>
      <c r="J27" s="591">
        <f>I27*(1+'R&amp;S - Packaging and hh goods'!$E$5)</f>
        <v>2855341.1859065234</v>
      </c>
      <c r="K27" s="591">
        <f>J27*(1+'R&amp;S - Packaging and hh goods'!$E$5)</f>
        <v>2855341.1859065234</v>
      </c>
      <c r="L27" s="591">
        <f>K27*(1+'R&amp;S - Packaging and hh goods'!$E$5)</f>
        <v>2855341.1859065234</v>
      </c>
      <c r="M27" s="591">
        <f>L27*(1+'R&amp;S - Packaging and hh goods'!$E$5)</f>
        <v>2855341.1859065234</v>
      </c>
      <c r="N27" s="591">
        <f>M27*(1+'R&amp;S - Packaging and hh goods'!$E$5)</f>
        <v>2855341.1859065234</v>
      </c>
      <c r="O27" s="643">
        <f>N27*(1+'R&amp;S - Packaging and hh goods'!$E$5)</f>
        <v>2855341.1859065234</v>
      </c>
      <c r="P27" s="591">
        <f>O27*(1+'R&amp;S - Packaging and hh goods'!$E$5)</f>
        <v>2855341.1859065234</v>
      </c>
      <c r="Q27" s="591">
        <f>P27*(1+'R&amp;S - Packaging and hh goods'!$E$5)</f>
        <v>2855341.1859065234</v>
      </c>
      <c r="R27" s="591">
        <f>Q27*(1+'R&amp;S - Packaging and hh goods'!$E$5)</f>
        <v>2855341.1859065234</v>
      </c>
      <c r="S27" s="591">
        <f>R27*(1+'R&amp;S - Packaging and hh goods'!$E$5)</f>
        <v>2855341.1859065234</v>
      </c>
      <c r="T27" s="591">
        <f>S27*(1+'R&amp;S - Packaging and hh goods'!$E$5)</f>
        <v>2855341.1859065234</v>
      </c>
      <c r="U27" s="591">
        <f>T27*(1+'R&amp;S - Packaging and hh goods'!$E$5)</f>
        <v>2855341.1859065234</v>
      </c>
      <c r="V27" s="591">
        <f>U27*(1+'R&amp;S - Packaging and hh goods'!$E$5)</f>
        <v>2855341.1859065234</v>
      </c>
      <c r="W27" s="591">
        <f>V27*(1+'R&amp;S - Packaging and hh goods'!$E$5)</f>
        <v>2855341.1859065234</v>
      </c>
      <c r="X27" s="591">
        <f>W27*(1+'R&amp;S - Packaging and hh goods'!$E$5)</f>
        <v>2855341.1859065234</v>
      </c>
      <c r="Y27" s="643">
        <f>X27*(1+'R&amp;S - Packaging and hh goods'!$E$5)</f>
        <v>2855341.1859065234</v>
      </c>
      <c r="Z27" s="591">
        <f>Y27*(1+'R&amp;S - Packaging and hh goods'!$E$5)</f>
        <v>2855341.1859065234</v>
      </c>
      <c r="AA27" s="591">
        <f>Z27*(1+'R&amp;S - Packaging and hh goods'!$E$5)</f>
        <v>2855341.1859065234</v>
      </c>
      <c r="AB27" s="591">
        <f>AA27*(1+'R&amp;S - Packaging and hh goods'!$E$5)</f>
        <v>2855341.1859065234</v>
      </c>
      <c r="AC27" s="591">
        <f>AB27*(1+'R&amp;S - Packaging and hh goods'!$E$5)</f>
        <v>2855341.1859065234</v>
      </c>
      <c r="AD27" s="591">
        <f>AC27*(1+'R&amp;S - Packaging and hh goods'!$E$5)</f>
        <v>2855341.1859065234</v>
      </c>
      <c r="AE27" s="591">
        <f>AD27*(1+'R&amp;S - Packaging and hh goods'!$E$5)</f>
        <v>2855341.1859065234</v>
      </c>
      <c r="AF27" s="591">
        <f>AE27*(1+'R&amp;S - Packaging and hh goods'!$E$5)</f>
        <v>2855341.1859065234</v>
      </c>
      <c r="AG27" s="591">
        <f>AF27*(1+'R&amp;S - Packaging and hh goods'!$E$5)</f>
        <v>2855341.1859065234</v>
      </c>
      <c r="AH27" s="591">
        <f>AG27*(1+'R&amp;S - Packaging and hh goods'!$E$5)</f>
        <v>2855341.1859065234</v>
      </c>
      <c r="AI27" s="632"/>
      <c r="AJ27" s="591">
        <f>D27</f>
        <v>2855341.1859065234</v>
      </c>
      <c r="AK27" s="591">
        <f t="shared" ref="AK27:BN27" si="21">E27</f>
        <v>2855341.1859065234</v>
      </c>
      <c r="AL27" s="591">
        <f t="shared" si="21"/>
        <v>2855341.1859065234</v>
      </c>
      <c r="AM27" s="591">
        <f t="shared" si="21"/>
        <v>2855341.1859065234</v>
      </c>
      <c r="AN27" s="591">
        <f t="shared" si="21"/>
        <v>2855341.1859065234</v>
      </c>
      <c r="AO27" s="591">
        <f t="shared" si="21"/>
        <v>2855341.1859065234</v>
      </c>
      <c r="AP27" s="591">
        <f t="shared" si="21"/>
        <v>2855341.1859065234</v>
      </c>
      <c r="AQ27" s="591">
        <f t="shared" si="21"/>
        <v>2855341.1859065234</v>
      </c>
      <c r="AR27" s="591">
        <f t="shared" si="21"/>
        <v>2855341.1859065234</v>
      </c>
      <c r="AS27" s="591">
        <f t="shared" si="21"/>
        <v>2855341.1859065234</v>
      </c>
      <c r="AT27" s="591">
        <f t="shared" si="21"/>
        <v>2855341.1859065234</v>
      </c>
      <c r="AU27" s="591">
        <f t="shared" si="21"/>
        <v>2855341.1859065234</v>
      </c>
      <c r="AV27" s="591">
        <f t="shared" si="21"/>
        <v>2855341.1859065234</v>
      </c>
      <c r="AW27" s="591">
        <f t="shared" si="21"/>
        <v>2855341.1859065234</v>
      </c>
      <c r="AX27" s="591">
        <f t="shared" si="21"/>
        <v>2855341.1859065234</v>
      </c>
      <c r="AY27" s="591">
        <f t="shared" si="21"/>
        <v>2855341.1859065234</v>
      </c>
      <c r="AZ27" s="591">
        <f t="shared" si="21"/>
        <v>2855341.1859065234</v>
      </c>
      <c r="BA27" s="591">
        <f t="shared" si="21"/>
        <v>2855341.1859065234</v>
      </c>
      <c r="BB27" s="591">
        <f t="shared" si="21"/>
        <v>2855341.1859065234</v>
      </c>
      <c r="BC27" s="591">
        <f t="shared" si="21"/>
        <v>2855341.1859065234</v>
      </c>
      <c r="BD27" s="591">
        <f t="shared" si="21"/>
        <v>2855341.1859065234</v>
      </c>
      <c r="BE27" s="591">
        <f t="shared" si="21"/>
        <v>2855341.1859065234</v>
      </c>
      <c r="BF27" s="591">
        <f t="shared" si="21"/>
        <v>2855341.1859065234</v>
      </c>
      <c r="BG27" s="591">
        <f t="shared" si="21"/>
        <v>2855341.1859065234</v>
      </c>
      <c r="BH27" s="591">
        <f t="shared" si="21"/>
        <v>2855341.1859065234</v>
      </c>
      <c r="BI27" s="591">
        <f t="shared" si="21"/>
        <v>2855341.1859065234</v>
      </c>
      <c r="BJ27" s="591">
        <f t="shared" si="21"/>
        <v>2855341.1859065234</v>
      </c>
      <c r="BK27" s="591">
        <f t="shared" si="21"/>
        <v>2855341.1859065234</v>
      </c>
      <c r="BL27" s="591">
        <f t="shared" si="21"/>
        <v>2855341.1859065234</v>
      </c>
      <c r="BM27" s="591">
        <f t="shared" si="21"/>
        <v>2855341.1859065234</v>
      </c>
      <c r="BN27" s="591">
        <f t="shared" si="21"/>
        <v>2855341.1859065234</v>
      </c>
      <c r="BR27" s="228" t="e">
        <f>#REF!</f>
        <v>#REF!</v>
      </c>
      <c r="BS27" s="228" t="e">
        <f>#REF!</f>
        <v>#REF!</v>
      </c>
    </row>
    <row r="28" spans="1:85" outlineLevel="1">
      <c r="B28" s="58" t="s">
        <v>146</v>
      </c>
      <c r="C28" s="51" t="s">
        <v>166</v>
      </c>
      <c r="D28" s="101">
        <v>0</v>
      </c>
      <c r="E28" s="101">
        <f>E27*'R&amp;S - Packaging and hh goods'!$L$4/SUM('R&amp;S - Packaging and hh goods'!$L$4:$N$4)*'R&amp;S - Packaging and hh goods'!$E$7*('R&amp;S - Packaging and hh goods'!$H$14*'R&amp;S - Packaging and hh goods'!$Z$19*(E$3-$D$3)/10)+E27*'R&amp;S - Packaging and hh goods'!$M$4/SUM('R&amp;S - Packaging and hh goods'!$L$4:$N$4)*'R&amp;S - Packaging and hh goods'!$F$7*('R&amp;S - Packaging and hh goods'!$J$14*'R&amp;S - Packaging and hh goods'!$AE$19*(E$3-$D$3)/10)+E27*'R&amp;S - Packaging and hh goods'!$N$4/SUM('R&amp;S - Packaging and hh goods'!$L$4:$N$4)*'R&amp;S - Packaging and hh goods'!$G$7*('R&amp;S - Packaging and hh goods'!$L$14*'R&amp;S - Packaging and hh goods'!$AJ$19*(E$3-$D$3)/10)</f>
        <v>1514.7872549791523</v>
      </c>
      <c r="F28" s="101">
        <f>F27*'R&amp;S - Packaging and hh goods'!$L$4/SUM('R&amp;S - Packaging and hh goods'!$L$4:$N$4)*'R&amp;S - Packaging and hh goods'!$E$7*('R&amp;S - Packaging and hh goods'!$H$14*'R&amp;S - Packaging and hh goods'!$Z$19*(F$3-$D$3)/10)+F27*'R&amp;S - Packaging and hh goods'!$M$4/SUM('R&amp;S - Packaging and hh goods'!$L$4:$N$4)*'R&amp;S - Packaging and hh goods'!$F$7*('R&amp;S - Packaging and hh goods'!$J$14*'R&amp;S - Packaging and hh goods'!$AE$19*(F$3-$D$3)/10)+F27*'R&amp;S - Packaging and hh goods'!$N$4/SUM('R&amp;S - Packaging and hh goods'!$L$4:$N$4)*'R&amp;S - Packaging and hh goods'!$G$7*('R&amp;S - Packaging and hh goods'!$L$14*'R&amp;S - Packaging and hh goods'!$AJ$19*(F$3-$D$3)/10)</f>
        <v>3029.5745099583046</v>
      </c>
      <c r="G28" s="101">
        <f>G27*'R&amp;S - Packaging and hh goods'!$L$4/SUM('R&amp;S - Packaging and hh goods'!$L$4:$N$4)*'R&amp;S - Packaging and hh goods'!$E$7*('R&amp;S - Packaging and hh goods'!$H$14*'R&amp;S - Packaging and hh goods'!$Z$19*(G$3-$D$3)/10)+G27*'R&amp;S - Packaging and hh goods'!$M$4/SUM('R&amp;S - Packaging and hh goods'!$L$4:$N$4)*'R&amp;S - Packaging and hh goods'!$F$7*('R&amp;S - Packaging and hh goods'!$J$14*'R&amp;S - Packaging and hh goods'!$AE$19*(G$3-$D$3)/10)+G27*'R&amp;S - Packaging and hh goods'!$N$4/SUM('R&amp;S - Packaging and hh goods'!$L$4:$N$4)*'R&amp;S - Packaging and hh goods'!$G$7*('R&amp;S - Packaging and hh goods'!$L$14*'R&amp;S - Packaging and hh goods'!$AJ$19*(G$3-$D$3)/10)</f>
        <v>4544.3617649374564</v>
      </c>
      <c r="H28" s="101">
        <f>H27*'R&amp;S - Packaging and hh goods'!$L$4/SUM('R&amp;S - Packaging and hh goods'!$L$4:$N$4)*'R&amp;S - Packaging and hh goods'!$E$7*('R&amp;S - Packaging and hh goods'!$H$14*'R&amp;S - Packaging and hh goods'!$Z$19*(H$3-$D$3)/10)+H27*'R&amp;S - Packaging and hh goods'!$M$4/SUM('R&amp;S - Packaging and hh goods'!$L$4:$N$4)*'R&amp;S - Packaging and hh goods'!$F$7*('R&amp;S - Packaging and hh goods'!$J$14*'R&amp;S - Packaging and hh goods'!$AE$19*(H$3-$D$3)/10)+H27*'R&amp;S - Packaging and hh goods'!$N$4/SUM('R&amp;S - Packaging and hh goods'!$L$4:$N$4)*'R&amp;S - Packaging and hh goods'!$G$7*('R&amp;S - Packaging and hh goods'!$L$14*'R&amp;S - Packaging and hh goods'!$AJ$19*(H$3-$D$3)/10)</f>
        <v>6059.1490199166092</v>
      </c>
      <c r="I28" s="101">
        <f>I27*'R&amp;S - Packaging and hh goods'!$L$4/SUM('R&amp;S - Packaging and hh goods'!$L$4:$N$4)*'R&amp;S - Packaging and hh goods'!$E$7*('R&amp;S - Packaging and hh goods'!$H$14*'R&amp;S - Packaging and hh goods'!$Z$19*(I$3-$D$3)/10)+I27*'R&amp;S - Packaging and hh goods'!$M$4/SUM('R&amp;S - Packaging and hh goods'!$L$4:$N$4)*'R&amp;S - Packaging and hh goods'!$F$7*('R&amp;S - Packaging and hh goods'!$J$14*'R&amp;S - Packaging and hh goods'!$AE$19*(I$3-$D$3)/10)+I27*'R&amp;S - Packaging and hh goods'!$N$4/SUM('R&amp;S - Packaging and hh goods'!$L$4:$N$4)*'R&amp;S - Packaging and hh goods'!$G$7*('R&amp;S - Packaging and hh goods'!$L$14*'R&amp;S - Packaging and hh goods'!$AJ$19*(I$3-$D$3)/10)</f>
        <v>7573.9362748957601</v>
      </c>
      <c r="J28" s="101">
        <f>J27*'R&amp;S - Packaging and hh goods'!$L$4/SUM('R&amp;S - Packaging and hh goods'!$L$4:$N$4)*'R&amp;S - Packaging and hh goods'!$E$7*('R&amp;S - Packaging and hh goods'!$H$14*'R&amp;S - Packaging and hh goods'!$Z$19*(J$3-$D$3)/10)+J27*'R&amp;S - Packaging and hh goods'!$M$4/SUM('R&amp;S - Packaging and hh goods'!$L$4:$N$4)*'R&amp;S - Packaging and hh goods'!$F$7*('R&amp;S - Packaging and hh goods'!$J$14*'R&amp;S - Packaging and hh goods'!$AE$19*(J$3-$D$3)/10)+J27*'R&amp;S - Packaging and hh goods'!$N$4/SUM('R&amp;S - Packaging and hh goods'!$L$4:$N$4)*'R&amp;S - Packaging and hh goods'!$G$7*('R&amp;S - Packaging and hh goods'!$L$14*'R&amp;S - Packaging and hh goods'!$AJ$19*(J$3-$D$3)/10)</f>
        <v>9088.7235298749129</v>
      </c>
      <c r="K28" s="101">
        <f>K27*'R&amp;S - Packaging and hh goods'!$L$4/SUM('R&amp;S - Packaging and hh goods'!$L$4:$N$4)*'R&amp;S - Packaging and hh goods'!$E$7*('R&amp;S - Packaging and hh goods'!$H$14*'R&amp;S - Packaging and hh goods'!$Z$19*(K$3-$D$3)/10)+K27*'R&amp;S - Packaging and hh goods'!$M$4/SUM('R&amp;S - Packaging and hh goods'!$L$4:$N$4)*'R&amp;S - Packaging and hh goods'!$F$7*('R&amp;S - Packaging and hh goods'!$J$14*'R&amp;S - Packaging and hh goods'!$AE$19*(K$3-$D$3)/10)+K27*'R&amp;S - Packaging and hh goods'!$N$4/SUM('R&amp;S - Packaging and hh goods'!$L$4:$N$4)*'R&amp;S - Packaging and hh goods'!$G$7*('R&amp;S - Packaging and hh goods'!$L$14*'R&amp;S - Packaging and hh goods'!$AJ$19*(K$3-$D$3)/10)</f>
        <v>10603.510784854065</v>
      </c>
      <c r="L28" s="101">
        <f>L27*'R&amp;S - Packaging and hh goods'!$L$4/SUM('R&amp;S - Packaging and hh goods'!$L$4:$N$4)*'R&amp;S - Packaging and hh goods'!$E$7*('R&amp;S - Packaging and hh goods'!$H$14*'R&amp;S - Packaging and hh goods'!$Z$19*(L$3-$D$3)/10)+L27*'R&amp;S - Packaging and hh goods'!$M$4/SUM('R&amp;S - Packaging and hh goods'!$L$4:$N$4)*'R&amp;S - Packaging and hh goods'!$F$7*('R&amp;S - Packaging and hh goods'!$J$14*'R&amp;S - Packaging and hh goods'!$AE$19*(L$3-$D$3)/10)+L27*'R&amp;S - Packaging and hh goods'!$N$4/SUM('R&amp;S - Packaging and hh goods'!$L$4:$N$4)*'R&amp;S - Packaging and hh goods'!$G$7*('R&amp;S - Packaging and hh goods'!$L$14*'R&amp;S - Packaging and hh goods'!$AJ$19*(L$3-$D$3)/10)</f>
        <v>12118.298039833218</v>
      </c>
      <c r="M28" s="101">
        <f>M27*'R&amp;S - Packaging and hh goods'!$L$4/SUM('R&amp;S - Packaging and hh goods'!$L$4:$N$4)*'R&amp;S - Packaging and hh goods'!$E$7*('R&amp;S - Packaging and hh goods'!$H$14*'R&amp;S - Packaging and hh goods'!$Z$19*(M$3-$D$3)/10)+M27*'R&amp;S - Packaging and hh goods'!$M$4/SUM('R&amp;S - Packaging and hh goods'!$L$4:$N$4)*'R&amp;S - Packaging and hh goods'!$F$7*('R&amp;S - Packaging and hh goods'!$J$14*'R&amp;S - Packaging and hh goods'!$AE$19*(M$3-$D$3)/10)+M27*'R&amp;S - Packaging and hh goods'!$N$4/SUM('R&amp;S - Packaging and hh goods'!$L$4:$N$4)*'R&amp;S - Packaging and hh goods'!$G$7*('R&amp;S - Packaging and hh goods'!$L$14*'R&amp;S - Packaging and hh goods'!$AJ$19*(M$3-$D$3)/10)</f>
        <v>13633.08529481237</v>
      </c>
      <c r="N28" s="101">
        <f>N27*'R&amp;S - Packaging and hh goods'!$L$4/SUM('R&amp;S - Packaging and hh goods'!$L$4:$N$4)*'R&amp;S - Packaging and hh goods'!$E$7*('R&amp;S - Packaging and hh goods'!$H$14*'R&amp;S - Packaging and hh goods'!$Z$19*(N$3-$D$3)/10)+N27*'R&amp;S - Packaging and hh goods'!$M$4/SUM('R&amp;S - Packaging and hh goods'!$L$4:$N$4)*'R&amp;S - Packaging and hh goods'!$F$7*('R&amp;S - Packaging and hh goods'!$J$14*'R&amp;S - Packaging and hh goods'!$AE$19*(N$3-$D$3)/10)+N27*'R&amp;S - Packaging and hh goods'!$N$4/SUM('R&amp;S - Packaging and hh goods'!$L$4:$N$4)*'R&amp;S - Packaging and hh goods'!$G$7*('R&amp;S - Packaging and hh goods'!$L$14*'R&amp;S - Packaging and hh goods'!$AJ$19*(N$3-$D$3)/10)</f>
        <v>15147.87254979152</v>
      </c>
      <c r="O28" s="647">
        <f>O27*'R&amp;S - Packaging and hh goods'!$L$4/SUM('R&amp;S - Packaging and hh goods'!$L$4:$N$4)*('R&amp;S - Packaging and hh goods'!$E$7*'R&amp;S - Packaging and hh goods'!$H$14*('R&amp;S - Packaging and hh goods'!$Z$19+('R&amp;S - Packaging and hh goods'!$Z$20-'R&amp;S - Packaging and hh goods'!$Z$19)*(O$3-$N$3)/10))+O27*'R&amp;S - Packaging and hh goods'!$M$4/SUM('R&amp;S - Packaging and hh goods'!$L$4:$N$4)*('R&amp;S - Packaging and hh goods'!$F$7*'R&amp;S - Packaging and hh goods'!$J$14*('R&amp;S - Packaging and hh goods'!$AE$19+('R&amp;S - Packaging and hh goods'!$AE$20-'R&amp;S - Packaging and hh goods'!$AE$19)*(O$3-$N$3)/10))+O27*'R&amp;S - Packaging and hh goods'!$N$4/SUM('R&amp;S - Packaging and hh goods'!$L$4:$N$4)*('R&amp;S - Packaging and hh goods'!$G$7*'R&amp;S - Packaging and hh goods'!$L$14*('R&amp;S - Packaging and hh goods'!$AJ$19+('R&amp;S - Packaging and hh goods'!$AJ$20-'R&amp;S - Packaging and hh goods'!$AJ$19)*(O$3-$N$3)/10))</f>
        <v>26885.808998068533</v>
      </c>
      <c r="P28" s="647">
        <f>P27*'R&amp;S - Packaging and hh goods'!$L$4/SUM('R&amp;S - Packaging and hh goods'!$L$4:$N$4)*('R&amp;S - Packaging and hh goods'!$E$7*'R&amp;S - Packaging and hh goods'!$H$14*('R&amp;S - Packaging and hh goods'!$Z$19+('R&amp;S - Packaging and hh goods'!$Z$20-'R&amp;S - Packaging and hh goods'!$Z$19)*(P$3-$N$3)/10))+P27*'R&amp;S - Packaging and hh goods'!$M$4/SUM('R&amp;S - Packaging and hh goods'!$L$4:$N$4)*('R&amp;S - Packaging and hh goods'!$F$7*'R&amp;S - Packaging and hh goods'!$J$14*('R&amp;S - Packaging and hh goods'!$AE$19+('R&amp;S - Packaging and hh goods'!$AE$20-'R&amp;S - Packaging and hh goods'!$AE$19)*(P$3-$N$3)/10))+P27*'R&amp;S - Packaging and hh goods'!$N$4/SUM('R&amp;S - Packaging and hh goods'!$L$4:$N$4)*('R&amp;S - Packaging and hh goods'!$G$7*'R&amp;S - Packaging and hh goods'!$L$14*('R&amp;S - Packaging and hh goods'!$AJ$19+('R&amp;S - Packaging and hh goods'!$AJ$20-'R&amp;S - Packaging and hh goods'!$AJ$19)*(P$3-$N$3)/10))</f>
        <v>38623.745446345543</v>
      </c>
      <c r="Q28" s="647">
        <f>Q27*'R&amp;S - Packaging and hh goods'!$L$4/SUM('R&amp;S - Packaging and hh goods'!$L$4:$N$4)*('R&amp;S - Packaging and hh goods'!$E$7*'R&amp;S - Packaging and hh goods'!$H$14*('R&amp;S - Packaging and hh goods'!$Z$19+('R&amp;S - Packaging and hh goods'!$Z$20-'R&amp;S - Packaging and hh goods'!$Z$19)*(Q$3-$N$3)/10))+Q27*'R&amp;S - Packaging and hh goods'!$M$4/SUM('R&amp;S - Packaging and hh goods'!$L$4:$N$4)*('R&amp;S - Packaging and hh goods'!$F$7*'R&amp;S - Packaging and hh goods'!$J$14*('R&amp;S - Packaging and hh goods'!$AE$19+('R&amp;S - Packaging and hh goods'!$AE$20-'R&amp;S - Packaging and hh goods'!$AE$19)*(Q$3-$N$3)/10))+Q27*'R&amp;S - Packaging and hh goods'!$N$4/SUM('R&amp;S - Packaging and hh goods'!$L$4:$N$4)*('R&amp;S - Packaging and hh goods'!$G$7*'R&amp;S - Packaging and hh goods'!$L$14*('R&amp;S - Packaging and hh goods'!$AJ$19+('R&amp;S - Packaging and hh goods'!$AJ$20-'R&amp;S - Packaging and hh goods'!$AJ$19)*(Q$3-$N$3)/10))</f>
        <v>50361.681894622554</v>
      </c>
      <c r="R28" s="647">
        <f>R27*'R&amp;S - Packaging and hh goods'!$L$4/SUM('R&amp;S - Packaging and hh goods'!$L$4:$N$4)*('R&amp;S - Packaging and hh goods'!$E$7*'R&amp;S - Packaging and hh goods'!$H$14*('R&amp;S - Packaging and hh goods'!$Z$19+('R&amp;S - Packaging and hh goods'!$Z$20-'R&amp;S - Packaging and hh goods'!$Z$19)*(R$3-$N$3)/10))+R27*'R&amp;S - Packaging and hh goods'!$M$4/SUM('R&amp;S - Packaging and hh goods'!$L$4:$N$4)*('R&amp;S - Packaging and hh goods'!$F$7*'R&amp;S - Packaging and hh goods'!$J$14*('R&amp;S - Packaging and hh goods'!$AE$19+('R&amp;S - Packaging and hh goods'!$AE$20-'R&amp;S - Packaging and hh goods'!$AE$19)*(R$3-$N$3)/10))+R27*'R&amp;S - Packaging and hh goods'!$N$4/SUM('R&amp;S - Packaging and hh goods'!$L$4:$N$4)*('R&amp;S - Packaging and hh goods'!$G$7*'R&amp;S - Packaging and hh goods'!$L$14*('R&amp;S - Packaging and hh goods'!$AJ$19+('R&amp;S - Packaging and hh goods'!$AJ$20-'R&amp;S - Packaging and hh goods'!$AJ$19)*(R$3-$N$3)/10))</f>
        <v>62099.618342899565</v>
      </c>
      <c r="S28" s="647">
        <f>S27*'R&amp;S - Packaging and hh goods'!$L$4/SUM('R&amp;S - Packaging and hh goods'!$L$4:$N$4)*('R&amp;S - Packaging and hh goods'!$E$7*'R&amp;S - Packaging and hh goods'!$H$14*('R&amp;S - Packaging and hh goods'!$Z$19+('R&amp;S - Packaging and hh goods'!$Z$20-'R&amp;S - Packaging and hh goods'!$Z$19)*(S$3-$N$3)/10))+S27*'R&amp;S - Packaging and hh goods'!$M$4/SUM('R&amp;S - Packaging and hh goods'!$L$4:$N$4)*('R&amp;S - Packaging and hh goods'!$F$7*'R&amp;S - Packaging and hh goods'!$J$14*('R&amp;S - Packaging and hh goods'!$AE$19+('R&amp;S - Packaging and hh goods'!$AE$20-'R&amp;S - Packaging and hh goods'!$AE$19)*(S$3-$N$3)/10))+S27*'R&amp;S - Packaging and hh goods'!$N$4/SUM('R&amp;S - Packaging and hh goods'!$L$4:$N$4)*('R&amp;S - Packaging and hh goods'!$G$7*'R&amp;S - Packaging and hh goods'!$L$14*('R&amp;S - Packaging and hh goods'!$AJ$19+('R&amp;S - Packaging and hh goods'!$AJ$20-'R&amp;S - Packaging and hh goods'!$AJ$19)*(S$3-$N$3)/10))</f>
        <v>73837.55479117659</v>
      </c>
      <c r="T28" s="647">
        <f>T27*'R&amp;S - Packaging and hh goods'!$L$4/SUM('R&amp;S - Packaging and hh goods'!$L$4:$N$4)*('R&amp;S - Packaging and hh goods'!$E$7*'R&amp;S - Packaging and hh goods'!$H$14*('R&amp;S - Packaging and hh goods'!$Z$19+('R&amp;S - Packaging and hh goods'!$Z$20-'R&amp;S - Packaging and hh goods'!$Z$19)*(T$3-$N$3)/10))+T27*'R&amp;S - Packaging and hh goods'!$M$4/SUM('R&amp;S - Packaging and hh goods'!$L$4:$N$4)*('R&amp;S - Packaging and hh goods'!$F$7*'R&amp;S - Packaging and hh goods'!$J$14*('R&amp;S - Packaging and hh goods'!$AE$19+('R&amp;S - Packaging and hh goods'!$AE$20-'R&amp;S - Packaging and hh goods'!$AE$19)*(T$3-$N$3)/10))+T27*'R&amp;S - Packaging and hh goods'!$N$4/SUM('R&amp;S - Packaging and hh goods'!$L$4:$N$4)*('R&amp;S - Packaging and hh goods'!$G$7*'R&amp;S - Packaging and hh goods'!$L$14*('R&amp;S - Packaging and hh goods'!$AJ$19+('R&amp;S - Packaging and hh goods'!$AJ$20-'R&amp;S - Packaging and hh goods'!$AJ$19)*(T$3-$N$3)/10))</f>
        <v>85575.491239453593</v>
      </c>
      <c r="U28" s="647">
        <f>U27*'R&amp;S - Packaging and hh goods'!$L$4/SUM('R&amp;S - Packaging and hh goods'!$L$4:$N$4)*('R&amp;S - Packaging and hh goods'!$E$7*'R&amp;S - Packaging and hh goods'!$H$14*('R&amp;S - Packaging and hh goods'!$Z$19+('R&amp;S - Packaging and hh goods'!$Z$20-'R&amp;S - Packaging and hh goods'!$Z$19)*(U$3-$N$3)/10))+U27*'R&amp;S - Packaging and hh goods'!$M$4/SUM('R&amp;S - Packaging and hh goods'!$L$4:$N$4)*('R&amp;S - Packaging and hh goods'!$F$7*'R&amp;S - Packaging and hh goods'!$J$14*('R&amp;S - Packaging and hh goods'!$AE$19+('R&amp;S - Packaging and hh goods'!$AE$20-'R&amp;S - Packaging and hh goods'!$AE$19)*(U$3-$N$3)/10))+U27*'R&amp;S - Packaging and hh goods'!$N$4/SUM('R&amp;S - Packaging and hh goods'!$L$4:$N$4)*('R&amp;S - Packaging and hh goods'!$G$7*'R&amp;S - Packaging and hh goods'!$L$14*('R&amp;S - Packaging and hh goods'!$AJ$19+('R&amp;S - Packaging and hh goods'!$AJ$20-'R&amp;S - Packaging and hh goods'!$AJ$19)*(U$3-$N$3)/10))</f>
        <v>97313.427687730611</v>
      </c>
      <c r="V28" s="647">
        <f>V27*'R&amp;S - Packaging and hh goods'!$L$4/SUM('R&amp;S - Packaging and hh goods'!$L$4:$N$4)*('R&amp;S - Packaging and hh goods'!$E$7*'R&amp;S - Packaging and hh goods'!$H$14*('R&amp;S - Packaging and hh goods'!$Z$19+('R&amp;S - Packaging and hh goods'!$Z$20-'R&amp;S - Packaging and hh goods'!$Z$19)*(V$3-$N$3)/10))+V27*'R&amp;S - Packaging and hh goods'!$M$4/SUM('R&amp;S - Packaging and hh goods'!$L$4:$N$4)*('R&amp;S - Packaging and hh goods'!$F$7*'R&amp;S - Packaging and hh goods'!$J$14*('R&amp;S - Packaging and hh goods'!$AE$19+('R&amp;S - Packaging and hh goods'!$AE$20-'R&amp;S - Packaging and hh goods'!$AE$19)*(V$3-$N$3)/10))+V27*'R&amp;S - Packaging and hh goods'!$N$4/SUM('R&amp;S - Packaging and hh goods'!$L$4:$N$4)*('R&amp;S - Packaging and hh goods'!$G$7*'R&amp;S - Packaging and hh goods'!$L$14*('R&amp;S - Packaging and hh goods'!$AJ$19+('R&amp;S - Packaging and hh goods'!$AJ$20-'R&amp;S - Packaging and hh goods'!$AJ$19)*(V$3-$N$3)/10))</f>
        <v>109051.3641360076</v>
      </c>
      <c r="W28" s="647">
        <f>W27*'R&amp;S - Packaging and hh goods'!$L$4/SUM('R&amp;S - Packaging and hh goods'!$L$4:$N$4)*('R&amp;S - Packaging and hh goods'!$E$7*'R&amp;S - Packaging and hh goods'!$H$14*('R&amp;S - Packaging and hh goods'!$Z$19+('R&amp;S - Packaging and hh goods'!$Z$20-'R&amp;S - Packaging and hh goods'!$Z$19)*(W$3-$N$3)/10))+W27*'R&amp;S - Packaging and hh goods'!$M$4/SUM('R&amp;S - Packaging and hh goods'!$L$4:$N$4)*('R&amp;S - Packaging and hh goods'!$F$7*'R&amp;S - Packaging and hh goods'!$J$14*('R&amp;S - Packaging and hh goods'!$AE$19+('R&amp;S - Packaging and hh goods'!$AE$20-'R&amp;S - Packaging and hh goods'!$AE$19)*(W$3-$N$3)/10))+W27*'R&amp;S - Packaging and hh goods'!$N$4/SUM('R&amp;S - Packaging and hh goods'!$L$4:$N$4)*('R&amp;S - Packaging and hh goods'!$G$7*'R&amp;S - Packaging and hh goods'!$L$14*('R&amp;S - Packaging and hh goods'!$AJ$19+('R&amp;S - Packaging and hh goods'!$AJ$20-'R&amp;S - Packaging and hh goods'!$AJ$19)*(W$3-$N$3)/10))</f>
        <v>120789.30058428463</v>
      </c>
      <c r="X28" s="647">
        <f>X27*'R&amp;S - Packaging and hh goods'!$L$4/SUM('R&amp;S - Packaging and hh goods'!$L$4:$N$4)*('R&amp;S - Packaging and hh goods'!$E$7*'R&amp;S - Packaging and hh goods'!$H$14*('R&amp;S - Packaging and hh goods'!$Z$19+('R&amp;S - Packaging and hh goods'!$Z$20-'R&amp;S - Packaging and hh goods'!$Z$19)*(X$3-$N$3)/10))+X27*'R&amp;S - Packaging and hh goods'!$M$4/SUM('R&amp;S - Packaging and hh goods'!$L$4:$N$4)*('R&amp;S - Packaging and hh goods'!$F$7*'R&amp;S - Packaging and hh goods'!$J$14*('R&amp;S - Packaging and hh goods'!$AE$19+('R&amp;S - Packaging and hh goods'!$AE$20-'R&amp;S - Packaging and hh goods'!$AE$19)*(X$3-$N$3)/10))+X27*'R&amp;S - Packaging and hh goods'!$N$4/SUM('R&amp;S - Packaging and hh goods'!$L$4:$N$4)*('R&amp;S - Packaging and hh goods'!$G$7*'R&amp;S - Packaging and hh goods'!$L$14*('R&amp;S - Packaging and hh goods'!$AJ$19+('R&amp;S - Packaging and hh goods'!$AJ$20-'R&amp;S - Packaging and hh goods'!$AJ$19)*(X$3-$N$3)/10))</f>
        <v>132527.23703256162</v>
      </c>
      <c r="Y28" s="647">
        <f>Y27*'R&amp;S - Packaging and hh goods'!$L$4/SUM('R&amp;S - Packaging and hh goods'!$L$4:$N$4)*('R&amp;S - Packaging and hh goods'!$E7*'R&amp;S - Packaging and hh goods'!$H$14*('R&amp;S - Packaging and hh goods'!$Z$20+('R&amp;S - Packaging and hh goods'!$Z$21-'R&amp;S - Packaging and hh goods'!$Z$20)*(Y$3-$X$3)/10))+Y27*'R&amp;S - Packaging and hh goods'!$M$4/SUM('R&amp;S - Packaging and hh goods'!$L$4:$N$4)*('R&amp;S - Packaging and hh goods'!$F7*'R&amp;S - Packaging and hh goods'!$J$14*('R&amp;S - Packaging and hh goods'!$AE$20+('R&amp;S - Packaging and hh goods'!$AE$21-'R&amp;S - Packaging and hh goods'!$AE$20)*(Y$3-$X$3)/10))+Y27*'R&amp;S - Packaging and hh goods'!$N$4/SUM('R&amp;S - Packaging and hh goods'!$L$4:$N$4)*('R&amp;S - Packaging and hh goods'!$G7*'R&amp;S - Packaging and hh goods'!$L$14*('R&amp;S - Packaging and hh goods'!$AJ$20+('R&amp;S - Packaging and hh goods'!$AJ$21-'R&amp;S - Packaging and hh goods'!$AJ$20)*(Y$3-$X$3)/10))</f>
        <v>144520.96757895802</v>
      </c>
      <c r="Z28" s="647">
        <f>Z27*'R&amp;S - Packaging and hh goods'!$L$4/SUM('R&amp;S - Packaging and hh goods'!$L$4:$N$4)*('R&amp;S - Packaging and hh goods'!$E7*'R&amp;S - Packaging and hh goods'!$H$14*('R&amp;S - Packaging and hh goods'!$Z$20+('R&amp;S - Packaging and hh goods'!$Z$21-'R&amp;S - Packaging and hh goods'!$Z$20)*(Z$3-$X$3)/10))+Z27*'R&amp;S - Packaging and hh goods'!$M$4/SUM('R&amp;S - Packaging and hh goods'!$L$4:$N$4)*('R&amp;S - Packaging and hh goods'!$F7*'R&amp;S - Packaging and hh goods'!$J$14*('R&amp;S - Packaging and hh goods'!$AE$20+('R&amp;S - Packaging and hh goods'!$AE$21-'R&amp;S - Packaging and hh goods'!$AE$20)*(Z$3-$X$3)/10))+Z27*'R&amp;S - Packaging and hh goods'!$N$4/SUM('R&amp;S - Packaging and hh goods'!$L$4:$N$4)*('R&amp;S - Packaging and hh goods'!$G7*'R&amp;S - Packaging and hh goods'!$L$14*('R&amp;S - Packaging and hh goods'!$AJ$20+('R&amp;S - Packaging and hh goods'!$AJ$21-'R&amp;S - Packaging and hh goods'!$AJ$20)*(Z$3-$X$3)/10))</f>
        <v>156514.69812535436</v>
      </c>
      <c r="AA28" s="647">
        <f>AA27*'R&amp;S - Packaging and hh goods'!$L$4/SUM('R&amp;S - Packaging and hh goods'!$L$4:$N$4)*('R&amp;S - Packaging and hh goods'!$E7*'R&amp;S - Packaging and hh goods'!$H$14*('R&amp;S - Packaging and hh goods'!$Z$20+('R&amp;S - Packaging and hh goods'!$Z$21-'R&amp;S - Packaging and hh goods'!$Z$20)*(AA$3-$X$3)/10))+AA27*'R&amp;S - Packaging and hh goods'!$M$4/SUM('R&amp;S - Packaging and hh goods'!$L$4:$N$4)*('R&amp;S - Packaging and hh goods'!$F7*'R&amp;S - Packaging and hh goods'!$J$14*('R&amp;S - Packaging and hh goods'!$AE$20+('R&amp;S - Packaging and hh goods'!$AE$21-'R&amp;S - Packaging and hh goods'!$AE$20)*(AA$3-$X$3)/10))+AA27*'R&amp;S - Packaging and hh goods'!$N$4/SUM('R&amp;S - Packaging and hh goods'!$L$4:$N$4)*('R&amp;S - Packaging and hh goods'!$G7*'R&amp;S - Packaging and hh goods'!$L$14*('R&amp;S - Packaging and hh goods'!$AJ$20+('R&amp;S - Packaging and hh goods'!$AJ$21-'R&amp;S - Packaging and hh goods'!$AJ$20)*(AA$3-$X$3)/10))</f>
        <v>168508.42867175076</v>
      </c>
      <c r="AB28" s="647">
        <f>AB27*'R&amp;S - Packaging and hh goods'!$L$4/SUM('R&amp;S - Packaging and hh goods'!$L$4:$N$4)*('R&amp;S - Packaging and hh goods'!$E7*'R&amp;S - Packaging and hh goods'!$H$14*('R&amp;S - Packaging and hh goods'!$Z$20+('R&amp;S - Packaging and hh goods'!$Z$21-'R&amp;S - Packaging and hh goods'!$Z$20)*(AB$3-$X$3)/10))+AB27*'R&amp;S - Packaging and hh goods'!$M$4/SUM('R&amp;S - Packaging and hh goods'!$L$4:$N$4)*('R&amp;S - Packaging and hh goods'!$F7*'R&amp;S - Packaging and hh goods'!$J$14*('R&amp;S - Packaging and hh goods'!$AE$20+('R&amp;S - Packaging and hh goods'!$AE$21-'R&amp;S - Packaging and hh goods'!$AE$20)*(AB$3-$X$3)/10))+AB27*'R&amp;S - Packaging and hh goods'!$N$4/SUM('R&amp;S - Packaging and hh goods'!$L$4:$N$4)*('R&amp;S - Packaging and hh goods'!$G7*'R&amp;S - Packaging and hh goods'!$L$14*('R&amp;S - Packaging and hh goods'!$AJ$20+('R&amp;S - Packaging and hh goods'!$AJ$21-'R&amp;S - Packaging and hh goods'!$AJ$20)*(AB$3-$X$3)/10))</f>
        <v>180502.15921814711</v>
      </c>
      <c r="AC28" s="647">
        <f>AC27*'R&amp;S - Packaging and hh goods'!$L$4/SUM('R&amp;S - Packaging and hh goods'!$L$4:$N$4)*('R&amp;S - Packaging and hh goods'!$E7*'R&amp;S - Packaging and hh goods'!$H$14*('R&amp;S - Packaging and hh goods'!$Z$20+('R&amp;S - Packaging and hh goods'!$Z$21-'R&amp;S - Packaging and hh goods'!$Z$20)*(AC$3-$X$3)/10))+AC27*'R&amp;S - Packaging and hh goods'!$M$4/SUM('R&amp;S - Packaging and hh goods'!$L$4:$N$4)*('R&amp;S - Packaging and hh goods'!$F7*'R&amp;S - Packaging and hh goods'!$J$14*('R&amp;S - Packaging and hh goods'!$AE$20+('R&amp;S - Packaging and hh goods'!$AE$21-'R&amp;S - Packaging and hh goods'!$AE$20)*(AC$3-$X$3)/10))+AC27*'R&amp;S - Packaging and hh goods'!$N$4/SUM('R&amp;S - Packaging and hh goods'!$L$4:$N$4)*('R&amp;S - Packaging and hh goods'!$G7*'R&amp;S - Packaging and hh goods'!$L$14*('R&amp;S - Packaging and hh goods'!$AJ$20+('R&amp;S - Packaging and hh goods'!$AJ$21-'R&amp;S - Packaging and hh goods'!$AJ$20)*(AC$3-$X$3)/10))</f>
        <v>192495.88976454348</v>
      </c>
      <c r="AD28" s="647">
        <f>AD27*'R&amp;S - Packaging and hh goods'!$L$4/SUM('R&amp;S - Packaging and hh goods'!$L$4:$N$4)*('R&amp;S - Packaging and hh goods'!$E7*'R&amp;S - Packaging and hh goods'!$H$14*('R&amp;S - Packaging and hh goods'!$Z$20+('R&amp;S - Packaging and hh goods'!$Z$21-'R&amp;S - Packaging and hh goods'!$Z$20)*(AD$3-$X$3)/10))+AD27*'R&amp;S - Packaging and hh goods'!$M$4/SUM('R&amp;S - Packaging and hh goods'!$L$4:$N$4)*('R&amp;S - Packaging and hh goods'!$F7*'R&amp;S - Packaging and hh goods'!$J$14*('R&amp;S - Packaging and hh goods'!$AE$20+('R&amp;S - Packaging and hh goods'!$AE$21-'R&amp;S - Packaging and hh goods'!$AE$20)*(AD$3-$X$3)/10))+AD27*'R&amp;S - Packaging and hh goods'!$N$4/SUM('R&amp;S - Packaging and hh goods'!$L$4:$N$4)*('R&amp;S - Packaging and hh goods'!$G7*'R&amp;S - Packaging and hh goods'!$L$14*('R&amp;S - Packaging and hh goods'!$AJ$20+('R&amp;S - Packaging and hh goods'!$AJ$21-'R&amp;S - Packaging and hh goods'!$AJ$20)*(AD$3-$X$3)/10))</f>
        <v>204489.62031093988</v>
      </c>
      <c r="AE28" s="647">
        <f>AE27*'R&amp;S - Packaging and hh goods'!$L$4/SUM('R&amp;S - Packaging and hh goods'!$L$4:$N$4)*('R&amp;S - Packaging and hh goods'!$E7*'R&amp;S - Packaging and hh goods'!$H$14*('R&amp;S - Packaging and hh goods'!$Z$20+('R&amp;S - Packaging and hh goods'!$Z$21-'R&amp;S - Packaging and hh goods'!$Z$20)*(AE$3-$X$3)/10))+AE27*'R&amp;S - Packaging and hh goods'!$M$4/SUM('R&amp;S - Packaging and hh goods'!$L$4:$N$4)*('R&amp;S - Packaging and hh goods'!$F7*'R&amp;S - Packaging and hh goods'!$J$14*('R&amp;S - Packaging and hh goods'!$AE$20+('R&amp;S - Packaging and hh goods'!$AE$21-'R&amp;S - Packaging and hh goods'!$AE$20)*(AE$3-$X$3)/10))+AE27*'R&amp;S - Packaging and hh goods'!$N$4/SUM('R&amp;S - Packaging and hh goods'!$L$4:$N$4)*('R&amp;S - Packaging and hh goods'!$G7*'R&amp;S - Packaging and hh goods'!$L$14*('R&amp;S - Packaging and hh goods'!$AJ$20+('R&amp;S - Packaging and hh goods'!$AJ$21-'R&amp;S - Packaging and hh goods'!$AJ$20)*(AE$3-$X$3)/10))</f>
        <v>216483.35085733622</v>
      </c>
      <c r="AF28" s="647">
        <f>AF27*'R&amp;S - Packaging and hh goods'!$L$4/SUM('R&amp;S - Packaging and hh goods'!$L$4:$N$4)*('R&amp;S - Packaging and hh goods'!$E7*'R&amp;S - Packaging and hh goods'!$H$14*('R&amp;S - Packaging and hh goods'!$Z$20+('R&amp;S - Packaging and hh goods'!$Z$21-'R&amp;S - Packaging and hh goods'!$Z$20)*(AF$3-$X$3)/10))+AF27*'R&amp;S - Packaging and hh goods'!$M$4/SUM('R&amp;S - Packaging and hh goods'!$L$4:$N$4)*('R&amp;S - Packaging and hh goods'!$F7*'R&amp;S - Packaging and hh goods'!$J$14*('R&amp;S - Packaging and hh goods'!$AE$20+('R&amp;S - Packaging and hh goods'!$AE$21-'R&amp;S - Packaging and hh goods'!$AE$20)*(AF$3-$X$3)/10))+AF27*'R&amp;S - Packaging and hh goods'!$N$4/SUM('R&amp;S - Packaging and hh goods'!$L$4:$N$4)*('R&amp;S - Packaging and hh goods'!$G7*'R&amp;S - Packaging and hh goods'!$L$14*('R&amp;S - Packaging and hh goods'!$AJ$20+('R&amp;S - Packaging and hh goods'!$AJ$21-'R&amp;S - Packaging and hh goods'!$AJ$20)*(AF$3-$X$3)/10))</f>
        <v>228477.08140373259</v>
      </c>
      <c r="AG28" s="647">
        <f>AG27*'R&amp;S - Packaging and hh goods'!$L$4/SUM('R&amp;S - Packaging and hh goods'!$L$4:$N$4)*('R&amp;S - Packaging and hh goods'!$E7*'R&amp;S - Packaging and hh goods'!$H$14*('R&amp;S - Packaging and hh goods'!$Z$20+('R&amp;S - Packaging and hh goods'!$Z$21-'R&amp;S - Packaging and hh goods'!$Z$20)*(AG$3-$X$3)/10))+AG27*'R&amp;S - Packaging and hh goods'!$M$4/SUM('R&amp;S - Packaging and hh goods'!$L$4:$N$4)*('R&amp;S - Packaging and hh goods'!$F7*'R&amp;S - Packaging and hh goods'!$J$14*('R&amp;S - Packaging and hh goods'!$AE$20+('R&amp;S - Packaging and hh goods'!$AE$21-'R&amp;S - Packaging and hh goods'!$AE$20)*(AG$3-$X$3)/10))+AG27*'R&amp;S - Packaging and hh goods'!$N$4/SUM('R&amp;S - Packaging and hh goods'!$L$4:$N$4)*('R&amp;S - Packaging and hh goods'!$G7*'R&amp;S - Packaging and hh goods'!$L$14*('R&amp;S - Packaging and hh goods'!$AJ$20+('R&amp;S - Packaging and hh goods'!$AJ$21-'R&amp;S - Packaging and hh goods'!$AJ$20)*(AG$3-$X$3)/10))</f>
        <v>240470.81195012896</v>
      </c>
      <c r="AH28" s="647">
        <f>AH27*'R&amp;S - Packaging and hh goods'!$L$4/SUM('R&amp;S - Packaging and hh goods'!$L$4:$N$4)*('R&amp;S - Packaging and hh goods'!$E7*'R&amp;S - Packaging and hh goods'!$H$14*('R&amp;S - Packaging and hh goods'!$Z$20+('R&amp;S - Packaging and hh goods'!$Z$21-'R&amp;S - Packaging and hh goods'!$Z$20)*(AH$3-$X$3)/10))+AH27*'R&amp;S - Packaging and hh goods'!$M$4/SUM('R&amp;S - Packaging and hh goods'!$L$4:$N$4)*('R&amp;S - Packaging and hh goods'!$F7*'R&amp;S - Packaging and hh goods'!$J$14*('R&amp;S - Packaging and hh goods'!$AE$20+('R&amp;S - Packaging and hh goods'!$AE$21-'R&amp;S - Packaging and hh goods'!$AE$20)*(AH$3-$X$3)/10))+AH27*'R&amp;S - Packaging and hh goods'!$N$4/SUM('R&amp;S - Packaging and hh goods'!$L$4:$N$4)*('R&amp;S - Packaging and hh goods'!$G7*'R&amp;S - Packaging and hh goods'!$L$14*('R&amp;S - Packaging and hh goods'!$AJ$20+('R&amp;S - Packaging and hh goods'!$AJ$21-'R&amp;S - Packaging and hh goods'!$AJ$20)*(AH$3-$X$3)/10))</f>
        <v>252464.54249652536</v>
      </c>
      <c r="AI28" s="191"/>
      <c r="AJ28" s="101">
        <v>0</v>
      </c>
      <c r="AK28" s="101">
        <f>AK27*'R&amp;S - Packaging and hh goods'!$L$4/SUM('R&amp;S - Packaging and hh goods'!$L$4:$N$4)*'R&amp;S - Packaging and hh goods'!$E$7*('R&amp;S - Packaging and hh goods'!$H$15*'R&amp;S - Packaging and hh goods'!$Z$19*(AK$3-$D$3)/10)+AK27*'R&amp;S - Packaging and hh goods'!$M$4/SUM('R&amp;S - Packaging and hh goods'!$L$4:$N$4)*'R&amp;S - Packaging and hh goods'!$F$7*('R&amp;S - Packaging and hh goods'!$J$15*'R&amp;S - Packaging and hh goods'!$AE$19*(AK$3-$D$3)/10)+AK27*'R&amp;S - Packaging and hh goods'!$N$4/SUM('R&amp;S - Packaging and hh goods'!$L$4:$N$4)*'R&amp;S - Packaging and hh goods'!$G$7*('R&amp;S - Packaging and hh goods'!$L$15*'R&amp;S - Packaging and hh goods'!$AJ$19*(AK$3-$D$3)/10)</f>
        <v>1105.7946961347811</v>
      </c>
      <c r="AL28" s="101">
        <f>AL27*'R&amp;S - Packaging and hh goods'!$L$4/SUM('R&amp;S - Packaging and hh goods'!$L$4:$N$4)*'R&amp;S - Packaging and hh goods'!$E$7*('R&amp;S - Packaging and hh goods'!$H$15*'R&amp;S - Packaging and hh goods'!$Z$19*(AL$3-$D$3)/10)+AL27*'R&amp;S - Packaging and hh goods'!$M$4/SUM('R&amp;S - Packaging and hh goods'!$L$4:$N$4)*'R&amp;S - Packaging and hh goods'!$F$7*('R&amp;S - Packaging and hh goods'!$J$15*'R&amp;S - Packaging and hh goods'!$AE$19*(AL$3-$D$3)/10)+AL27*'R&amp;S - Packaging and hh goods'!$N$4/SUM('R&amp;S - Packaging and hh goods'!$L$4:$N$4)*'R&amp;S - Packaging and hh goods'!$G$7*('R&amp;S - Packaging and hh goods'!$L$15*'R&amp;S - Packaging and hh goods'!$AJ$19*(AL$3-$D$3)/10)</f>
        <v>2211.5893922695623</v>
      </c>
      <c r="AM28" s="101">
        <f>AM27*'R&amp;S - Packaging and hh goods'!$L$4/SUM('R&amp;S - Packaging and hh goods'!$L$4:$N$4)*'R&amp;S - Packaging and hh goods'!$E$7*('R&amp;S - Packaging and hh goods'!$H$15*'R&amp;S - Packaging and hh goods'!$Z$19*(AM$3-$D$3)/10)+AM27*'R&amp;S - Packaging and hh goods'!$M$4/SUM('R&amp;S - Packaging and hh goods'!$L$4:$N$4)*'R&amp;S - Packaging and hh goods'!$F$7*('R&amp;S - Packaging and hh goods'!$J$15*'R&amp;S - Packaging and hh goods'!$AE$19*(AM$3-$D$3)/10)+AM27*'R&amp;S - Packaging and hh goods'!$N$4/SUM('R&amp;S - Packaging and hh goods'!$L$4:$N$4)*'R&amp;S - Packaging and hh goods'!$G$7*('R&amp;S - Packaging and hh goods'!$L$15*'R&amp;S - Packaging and hh goods'!$AJ$19*(AM$3-$D$3)/10)</f>
        <v>3317.3840884043429</v>
      </c>
      <c r="AN28" s="101">
        <f>AN27*'R&amp;S - Packaging and hh goods'!$L$4/SUM('R&amp;S - Packaging and hh goods'!$L$4:$N$4)*'R&amp;S - Packaging and hh goods'!$E$7*('R&amp;S - Packaging and hh goods'!$H$15*'R&amp;S - Packaging and hh goods'!$Z$19*(AN$3-$D$3)/10)+AN27*'R&amp;S - Packaging and hh goods'!$M$4/SUM('R&amp;S - Packaging and hh goods'!$L$4:$N$4)*'R&amp;S - Packaging and hh goods'!$F$7*('R&amp;S - Packaging and hh goods'!$J$15*'R&amp;S - Packaging and hh goods'!$AE$19*(AN$3-$D$3)/10)+AN27*'R&amp;S - Packaging and hh goods'!$N$4/SUM('R&amp;S - Packaging and hh goods'!$L$4:$N$4)*'R&amp;S - Packaging and hh goods'!$G$7*('R&amp;S - Packaging and hh goods'!$L$15*'R&amp;S - Packaging and hh goods'!$AJ$19*(AN$3-$D$3)/10)</f>
        <v>4423.1787845391245</v>
      </c>
      <c r="AO28" s="101">
        <f>AO27*'R&amp;S - Packaging and hh goods'!$L$4/SUM('R&amp;S - Packaging and hh goods'!$L$4:$N$4)*'R&amp;S - Packaging and hh goods'!$E$7*('R&amp;S - Packaging and hh goods'!$H$15*'R&amp;S - Packaging and hh goods'!$Z$19*(AO$3-$D$3)/10)+AO27*'R&amp;S - Packaging and hh goods'!$M$4/SUM('R&amp;S - Packaging and hh goods'!$L$4:$N$4)*'R&amp;S - Packaging and hh goods'!$F$7*('R&amp;S - Packaging and hh goods'!$J$15*'R&amp;S - Packaging and hh goods'!$AE$19*(AO$3-$D$3)/10)+AO27*'R&amp;S - Packaging and hh goods'!$N$4/SUM('R&amp;S - Packaging and hh goods'!$L$4:$N$4)*'R&amp;S - Packaging and hh goods'!$G$7*('R&amp;S - Packaging and hh goods'!$L$15*'R&amp;S - Packaging and hh goods'!$AJ$19*(AO$3-$D$3)/10)</f>
        <v>5528.9734806739052</v>
      </c>
      <c r="AP28" s="101">
        <f>AP27*'R&amp;S - Packaging and hh goods'!$L$4/SUM('R&amp;S - Packaging and hh goods'!$L$4:$N$4)*'R&amp;S - Packaging and hh goods'!$E$7*('R&amp;S - Packaging and hh goods'!$H$15*'R&amp;S - Packaging and hh goods'!$Z$19*(AP$3-$D$3)/10)+AP27*'R&amp;S - Packaging and hh goods'!$M$4/SUM('R&amp;S - Packaging and hh goods'!$L$4:$N$4)*'R&amp;S - Packaging and hh goods'!$F$7*('R&amp;S - Packaging and hh goods'!$J$15*'R&amp;S - Packaging and hh goods'!$AE$19*(AP$3-$D$3)/10)+AP27*'R&amp;S - Packaging and hh goods'!$N$4/SUM('R&amp;S - Packaging and hh goods'!$L$4:$N$4)*'R&amp;S - Packaging and hh goods'!$G$7*('R&amp;S - Packaging and hh goods'!$L$15*'R&amp;S - Packaging and hh goods'!$AJ$19*(AP$3-$D$3)/10)</f>
        <v>6634.7681768086859</v>
      </c>
      <c r="AQ28" s="101">
        <f>AQ27*'R&amp;S - Packaging and hh goods'!$L$4/SUM('R&amp;S - Packaging and hh goods'!$L$4:$N$4)*'R&amp;S - Packaging and hh goods'!$E$7*('R&amp;S - Packaging and hh goods'!$H$15*'R&amp;S - Packaging and hh goods'!$Z$19*(AQ$3-$D$3)/10)+AQ27*'R&amp;S - Packaging and hh goods'!$M$4/SUM('R&amp;S - Packaging and hh goods'!$L$4:$N$4)*'R&amp;S - Packaging and hh goods'!$F$7*('R&amp;S - Packaging and hh goods'!$J$15*'R&amp;S - Packaging and hh goods'!$AE$19*(AQ$3-$D$3)/10)+AQ27*'R&amp;S - Packaging and hh goods'!$N$4/SUM('R&amp;S - Packaging and hh goods'!$L$4:$N$4)*'R&amp;S - Packaging and hh goods'!$G$7*('R&amp;S - Packaging and hh goods'!$L$15*'R&amp;S - Packaging and hh goods'!$AJ$19*(AQ$3-$D$3)/10)</f>
        <v>7740.5628729434684</v>
      </c>
      <c r="AR28" s="101">
        <f>AR27*'R&amp;S - Packaging and hh goods'!$L$4/SUM('R&amp;S - Packaging and hh goods'!$L$4:$N$4)*'R&amp;S - Packaging and hh goods'!$E$7*('R&amp;S - Packaging and hh goods'!$H$15*'R&amp;S - Packaging and hh goods'!$Z$19*(AR$3-$D$3)/10)+AR27*'R&amp;S - Packaging and hh goods'!$M$4/SUM('R&amp;S - Packaging and hh goods'!$L$4:$N$4)*'R&amp;S - Packaging and hh goods'!$F$7*('R&amp;S - Packaging and hh goods'!$J$15*'R&amp;S - Packaging and hh goods'!$AE$19*(AR$3-$D$3)/10)+AR27*'R&amp;S - Packaging and hh goods'!$N$4/SUM('R&amp;S - Packaging and hh goods'!$L$4:$N$4)*'R&amp;S - Packaging and hh goods'!$G$7*('R&amp;S - Packaging and hh goods'!$L$15*'R&amp;S - Packaging and hh goods'!$AJ$19*(AR$3-$D$3)/10)</f>
        <v>8846.3575690782491</v>
      </c>
      <c r="AS28" s="101">
        <f>AS27*'R&amp;S - Packaging and hh goods'!$L$4/SUM('R&amp;S - Packaging and hh goods'!$L$4:$N$4)*'R&amp;S - Packaging and hh goods'!$E$7*('R&amp;S - Packaging and hh goods'!$H$15*'R&amp;S - Packaging and hh goods'!$Z$19*(AS$3-$D$3)/10)+AS27*'R&amp;S - Packaging and hh goods'!$M$4/SUM('R&amp;S - Packaging and hh goods'!$L$4:$N$4)*'R&amp;S - Packaging and hh goods'!$F$7*('R&amp;S - Packaging and hh goods'!$J$15*'R&amp;S - Packaging and hh goods'!$AE$19*(AS$3-$D$3)/10)+AS27*'R&amp;S - Packaging and hh goods'!$N$4/SUM('R&amp;S - Packaging and hh goods'!$L$4:$N$4)*'R&amp;S - Packaging and hh goods'!$G$7*('R&amp;S - Packaging and hh goods'!$L$15*'R&amp;S - Packaging and hh goods'!$AJ$19*(AS$3-$D$3)/10)</f>
        <v>9952.1522652130298</v>
      </c>
      <c r="AT28" s="101">
        <f>AT27*'R&amp;S - Packaging and hh goods'!$L$4/SUM('R&amp;S - Packaging and hh goods'!$L$4:$N$4)*'R&amp;S - Packaging and hh goods'!$E$7*('R&amp;S - Packaging and hh goods'!$H$15*'R&amp;S - Packaging and hh goods'!$Z$19*(AT$3-$D$3)/10)+AT27*'R&amp;S - Packaging and hh goods'!$M$4/SUM('R&amp;S - Packaging and hh goods'!$L$4:$N$4)*'R&amp;S - Packaging and hh goods'!$F$7*('R&amp;S - Packaging and hh goods'!$J$15*'R&amp;S - Packaging and hh goods'!$AE$19*(AT$3-$D$3)/10)+AT27*'R&amp;S - Packaging and hh goods'!$N$4/SUM('R&amp;S - Packaging and hh goods'!$L$4:$N$4)*'R&amp;S - Packaging and hh goods'!$G$7*('R&amp;S - Packaging and hh goods'!$L$15*'R&amp;S - Packaging and hh goods'!$AJ$19*(AT$3-$D$3)/10)</f>
        <v>11057.94696134781</v>
      </c>
      <c r="AU28" s="647">
        <f>AU27*'R&amp;S - Packaging and hh goods'!$L$4/SUM('R&amp;S - Packaging and hh goods'!$L$4:$N$4)*('R&amp;S - Packaging and hh goods'!$E$7*'R&amp;S - Packaging and hh goods'!$H$15*('R&amp;S - Packaging and hh goods'!$Z$19+('R&amp;S - Packaging and hh goods'!$Z$20-'R&amp;S - Packaging and hh goods'!$Z$19)*(AU$3-$N$3)/10))+AU27*'R&amp;S - Packaging and hh goods'!$M$4/SUM('R&amp;S - Packaging and hh goods'!$L$4:$N$4)*('R&amp;S - Packaging and hh goods'!$F$7*'R&amp;S - Packaging and hh goods'!$J$15*('R&amp;S - Packaging and hh goods'!$AE$19+('R&amp;S - Packaging and hh goods'!$AE$20-'R&amp;S - Packaging and hh goods'!$AE$19)*(AU$3-$N$3)/10))+AU27*'R&amp;S - Packaging and hh goods'!$N$4/SUM('R&amp;S - Packaging and hh goods'!$L$4:$N$4)*('R&amp;S - Packaging and hh goods'!$G$7*'R&amp;S - Packaging and hh goods'!$L$15*('R&amp;S - Packaging and hh goods'!$AJ$19+('R&amp;S - Packaging and hh goods'!$AJ$20-'R&amp;S - Packaging and hh goods'!$AJ$19)*(AU$3-$N$3)/10))</f>
        <v>19626.640568590028</v>
      </c>
      <c r="AV28" s="647">
        <f>AV27*'R&amp;S - Packaging and hh goods'!$L$4/SUM('R&amp;S - Packaging and hh goods'!$L$4:$N$4)*('R&amp;S - Packaging and hh goods'!$E$7*'R&amp;S - Packaging and hh goods'!$H$15*('R&amp;S - Packaging and hh goods'!$Z$19+('R&amp;S - Packaging and hh goods'!$Z$20-'R&amp;S - Packaging and hh goods'!$Z$19)*(AV$3-$N$3)/10))+AV27*'R&amp;S - Packaging and hh goods'!$M$4/SUM('R&amp;S - Packaging and hh goods'!$L$4:$N$4)*('R&amp;S - Packaging and hh goods'!$F$7*'R&amp;S - Packaging and hh goods'!$J$15*('R&amp;S - Packaging and hh goods'!$AE$19+('R&amp;S - Packaging and hh goods'!$AE$20-'R&amp;S - Packaging and hh goods'!$AE$19)*(AV$3-$N$3)/10))+AV27*'R&amp;S - Packaging and hh goods'!$N$4/SUM('R&amp;S - Packaging and hh goods'!$L$4:$N$4)*('R&amp;S - Packaging and hh goods'!$G$7*'R&amp;S - Packaging and hh goods'!$L$15*('R&amp;S - Packaging and hh goods'!$AJ$19+('R&amp;S - Packaging and hh goods'!$AJ$20-'R&amp;S - Packaging and hh goods'!$AJ$19)*(AV$3-$N$3)/10))</f>
        <v>28195.334175832249</v>
      </c>
      <c r="AW28" s="647">
        <f>AW27*'R&amp;S - Packaging and hh goods'!$L$4/SUM('R&amp;S - Packaging and hh goods'!$L$4:$N$4)*('R&amp;S - Packaging and hh goods'!$E$7*'R&amp;S - Packaging and hh goods'!$H$15*('R&amp;S - Packaging and hh goods'!$Z$19+('R&amp;S - Packaging and hh goods'!$Z$20-'R&amp;S - Packaging and hh goods'!$Z$19)*(AW$3-$N$3)/10))+AW27*'R&amp;S - Packaging and hh goods'!$M$4/SUM('R&amp;S - Packaging and hh goods'!$L$4:$N$4)*('R&amp;S - Packaging and hh goods'!$F$7*'R&amp;S - Packaging and hh goods'!$J$15*('R&amp;S - Packaging and hh goods'!$AE$19+('R&amp;S - Packaging and hh goods'!$AE$20-'R&amp;S - Packaging and hh goods'!$AE$19)*(AW$3-$N$3)/10))+AW27*'R&amp;S - Packaging and hh goods'!$N$4/SUM('R&amp;S - Packaging and hh goods'!$L$4:$N$4)*('R&amp;S - Packaging and hh goods'!$G$7*'R&amp;S - Packaging and hh goods'!$L$15*('R&amp;S - Packaging and hh goods'!$AJ$19+('R&amp;S - Packaging and hh goods'!$AJ$20-'R&amp;S - Packaging and hh goods'!$AJ$19)*(AW$3-$N$3)/10))</f>
        <v>36764.027783074474</v>
      </c>
      <c r="AX28" s="647">
        <f>AX27*'R&amp;S - Packaging and hh goods'!$L$4/SUM('R&amp;S - Packaging and hh goods'!$L$4:$N$4)*('R&amp;S - Packaging and hh goods'!$E$7*'R&amp;S - Packaging and hh goods'!$H$15*('R&amp;S - Packaging and hh goods'!$Z$19+('R&amp;S - Packaging and hh goods'!$Z$20-'R&amp;S - Packaging and hh goods'!$Z$19)*(AX$3-$N$3)/10))+AX27*'R&amp;S - Packaging and hh goods'!$M$4/SUM('R&amp;S - Packaging and hh goods'!$L$4:$N$4)*('R&amp;S - Packaging and hh goods'!$F$7*'R&amp;S - Packaging and hh goods'!$J$15*('R&amp;S - Packaging and hh goods'!$AE$19+('R&amp;S - Packaging and hh goods'!$AE$20-'R&amp;S - Packaging and hh goods'!$AE$19)*(AX$3-$N$3)/10))+AX27*'R&amp;S - Packaging and hh goods'!$N$4/SUM('R&amp;S - Packaging and hh goods'!$L$4:$N$4)*('R&amp;S - Packaging and hh goods'!$G$7*'R&amp;S - Packaging and hh goods'!$L$15*('R&amp;S - Packaging and hh goods'!$AJ$19+('R&amp;S - Packaging and hh goods'!$AJ$20-'R&amp;S - Packaging and hh goods'!$AJ$19)*(AX$3-$N$3)/10))</f>
        <v>45332.721390316685</v>
      </c>
      <c r="AY28" s="647">
        <f>AY27*'R&amp;S - Packaging and hh goods'!$L$4/SUM('R&amp;S - Packaging and hh goods'!$L$4:$N$4)*('R&amp;S - Packaging and hh goods'!$E$7*'R&amp;S - Packaging and hh goods'!$H$15*('R&amp;S - Packaging and hh goods'!$Z$19+('R&amp;S - Packaging and hh goods'!$Z$20-'R&amp;S - Packaging and hh goods'!$Z$19)*(AY$3-$N$3)/10))+AY27*'R&amp;S - Packaging and hh goods'!$M$4/SUM('R&amp;S - Packaging and hh goods'!$L$4:$N$4)*('R&amp;S - Packaging and hh goods'!$F$7*'R&amp;S - Packaging and hh goods'!$J$15*('R&amp;S - Packaging and hh goods'!$AE$19+('R&amp;S - Packaging and hh goods'!$AE$20-'R&amp;S - Packaging and hh goods'!$AE$19)*(AY$3-$N$3)/10))+AY27*'R&amp;S - Packaging and hh goods'!$N$4/SUM('R&amp;S - Packaging and hh goods'!$L$4:$N$4)*('R&amp;S - Packaging and hh goods'!$G$7*'R&amp;S - Packaging and hh goods'!$L$15*('R&amp;S - Packaging and hh goods'!$AJ$19+('R&amp;S - Packaging and hh goods'!$AJ$20-'R&amp;S - Packaging and hh goods'!$AJ$19)*(AY$3-$N$3)/10))</f>
        <v>53901.41499755891</v>
      </c>
      <c r="AZ28" s="647">
        <f>AZ27*'R&amp;S - Packaging and hh goods'!$L$4/SUM('R&amp;S - Packaging and hh goods'!$L$4:$N$4)*('R&amp;S - Packaging and hh goods'!$E$7*'R&amp;S - Packaging and hh goods'!$H$15*('R&amp;S - Packaging and hh goods'!$Z$19+('R&amp;S - Packaging and hh goods'!$Z$20-'R&amp;S - Packaging and hh goods'!$Z$19)*(AZ$3-$N$3)/10))+AZ27*'R&amp;S - Packaging and hh goods'!$M$4/SUM('R&amp;S - Packaging and hh goods'!$L$4:$N$4)*('R&amp;S - Packaging and hh goods'!$F$7*'R&amp;S - Packaging and hh goods'!$J$15*('R&amp;S - Packaging and hh goods'!$AE$19+('R&amp;S - Packaging and hh goods'!$AE$20-'R&amp;S - Packaging and hh goods'!$AE$19)*(AZ$3-$N$3)/10))+AZ27*'R&amp;S - Packaging and hh goods'!$N$4/SUM('R&amp;S - Packaging and hh goods'!$L$4:$N$4)*('R&amp;S - Packaging and hh goods'!$G$7*'R&amp;S - Packaging and hh goods'!$L$15*('R&amp;S - Packaging and hh goods'!$AJ$19+('R&amp;S - Packaging and hh goods'!$AJ$20-'R&amp;S - Packaging and hh goods'!$AJ$19)*(AZ$3-$N$3)/10))</f>
        <v>62470.108604801128</v>
      </c>
      <c r="BA28" s="647">
        <f>BA27*'R&amp;S - Packaging and hh goods'!$L$4/SUM('R&amp;S - Packaging and hh goods'!$L$4:$N$4)*('R&amp;S - Packaging and hh goods'!$E$7*'R&amp;S - Packaging and hh goods'!$H$15*('R&amp;S - Packaging and hh goods'!$Z$19+('R&amp;S - Packaging and hh goods'!$Z$20-'R&amp;S - Packaging and hh goods'!$Z$19)*(BA$3-$N$3)/10))+BA27*'R&amp;S - Packaging and hh goods'!$M$4/SUM('R&amp;S - Packaging and hh goods'!$L$4:$N$4)*('R&amp;S - Packaging and hh goods'!$F$7*'R&amp;S - Packaging and hh goods'!$J$15*('R&amp;S - Packaging and hh goods'!$AE$19+('R&amp;S - Packaging and hh goods'!$AE$20-'R&amp;S - Packaging and hh goods'!$AE$19)*(BA$3-$N$3)/10))+BA27*'R&amp;S - Packaging and hh goods'!$N$4/SUM('R&amp;S - Packaging and hh goods'!$L$4:$N$4)*('R&amp;S - Packaging and hh goods'!$G$7*'R&amp;S - Packaging and hh goods'!$L$15*('R&amp;S - Packaging and hh goods'!$AJ$19+('R&amp;S - Packaging and hh goods'!$AJ$20-'R&amp;S - Packaging and hh goods'!$AJ$19)*(BA$3-$N$3)/10))</f>
        <v>71038.802212043345</v>
      </c>
      <c r="BB28" s="647">
        <f>BB27*'R&amp;S - Packaging and hh goods'!$L$4/SUM('R&amp;S - Packaging and hh goods'!$L$4:$N$4)*('R&amp;S - Packaging and hh goods'!$E$7*'R&amp;S - Packaging and hh goods'!$H$15*('R&amp;S - Packaging and hh goods'!$Z$19+('R&amp;S - Packaging and hh goods'!$Z$20-'R&amp;S - Packaging and hh goods'!$Z$19)*(BB$3-$N$3)/10))+BB27*'R&amp;S - Packaging and hh goods'!$M$4/SUM('R&amp;S - Packaging and hh goods'!$L$4:$N$4)*('R&amp;S - Packaging and hh goods'!$F$7*'R&amp;S - Packaging and hh goods'!$J$15*('R&amp;S - Packaging and hh goods'!$AE$19+('R&amp;S - Packaging and hh goods'!$AE$20-'R&amp;S - Packaging and hh goods'!$AE$19)*(BB$3-$N$3)/10))+BB27*'R&amp;S - Packaging and hh goods'!$N$4/SUM('R&amp;S - Packaging and hh goods'!$L$4:$N$4)*('R&amp;S - Packaging and hh goods'!$G$7*'R&amp;S - Packaging and hh goods'!$L$15*('R&amp;S - Packaging and hh goods'!$AJ$19+('R&amp;S - Packaging and hh goods'!$AJ$20-'R&amp;S - Packaging and hh goods'!$AJ$19)*(BB$3-$N$3)/10))</f>
        <v>79607.495819285556</v>
      </c>
      <c r="BC28" s="647">
        <f>BC27*'R&amp;S - Packaging and hh goods'!$L$4/SUM('R&amp;S - Packaging and hh goods'!$L$4:$N$4)*('R&amp;S - Packaging and hh goods'!$E$7*'R&amp;S - Packaging and hh goods'!$H$15*('R&amp;S - Packaging and hh goods'!$Z$19+('R&amp;S - Packaging and hh goods'!$Z$20-'R&amp;S - Packaging and hh goods'!$Z$19)*(BC$3-$N$3)/10))+BC27*'R&amp;S - Packaging and hh goods'!$M$4/SUM('R&amp;S - Packaging and hh goods'!$L$4:$N$4)*('R&amp;S - Packaging and hh goods'!$F$7*'R&amp;S - Packaging and hh goods'!$J$15*('R&amp;S - Packaging and hh goods'!$AE$19+('R&amp;S - Packaging and hh goods'!$AE$20-'R&amp;S - Packaging and hh goods'!$AE$19)*(BC$3-$N$3)/10))+BC27*'R&amp;S - Packaging and hh goods'!$N$4/SUM('R&amp;S - Packaging and hh goods'!$L$4:$N$4)*('R&amp;S - Packaging and hh goods'!$G$7*'R&amp;S - Packaging and hh goods'!$L$15*('R&amp;S - Packaging and hh goods'!$AJ$19+('R&amp;S - Packaging and hh goods'!$AJ$20-'R&amp;S - Packaging and hh goods'!$AJ$19)*(BC$3-$N$3)/10))</f>
        <v>88176.189426527781</v>
      </c>
      <c r="BD28" s="647">
        <f>BD27*'R&amp;S - Packaging and hh goods'!$L$4/SUM('R&amp;S - Packaging and hh goods'!$L$4:$N$4)*('R&amp;S - Packaging and hh goods'!$E$7*'R&amp;S - Packaging and hh goods'!$H$15*('R&amp;S - Packaging and hh goods'!$Z$19+('R&amp;S - Packaging and hh goods'!$Z$20-'R&amp;S - Packaging and hh goods'!$Z$19)*(BD$3-$N$3)/10))+BD27*'R&amp;S - Packaging and hh goods'!$M$4/SUM('R&amp;S - Packaging and hh goods'!$L$4:$N$4)*('R&amp;S - Packaging and hh goods'!$F$7*'R&amp;S - Packaging and hh goods'!$J$15*('R&amp;S - Packaging and hh goods'!$AE$19+('R&amp;S - Packaging and hh goods'!$AE$20-'R&amp;S - Packaging and hh goods'!$AE$19)*(BD$3-$N$3)/10))+BD27*'R&amp;S - Packaging and hh goods'!$N$4/SUM('R&amp;S - Packaging and hh goods'!$L$4:$N$4)*('R&amp;S - Packaging and hh goods'!$G$7*'R&amp;S - Packaging and hh goods'!$L$15*('R&amp;S - Packaging and hh goods'!$AJ$19+('R&amp;S - Packaging and hh goods'!$AJ$20-'R&amp;S - Packaging and hh goods'!$AJ$19)*(BD$3-$N$3)/10))</f>
        <v>96744.883033769991</v>
      </c>
      <c r="BE28" s="647">
        <f>BE27*'R&amp;S - Packaging and hh goods'!$L$4/SUM('R&amp;S - Packaging and hh goods'!$L$4:$N$4)*('R&amp;S - Packaging and hh goods'!$E7*'R&amp;S - Packaging and hh goods'!$H$15*('R&amp;S - Packaging and hh goods'!$Z$20+('R&amp;S - Packaging and hh goods'!$Z$21-'R&amp;S - Packaging and hh goods'!$Z$20)*(BE$3-$X$3)/10))+BE27*'R&amp;S - Packaging and hh goods'!$M$4/SUM('R&amp;S - Packaging and hh goods'!$L$4:$N$4)*('R&amp;S - Packaging and hh goods'!$F7*'R&amp;S - Packaging and hh goods'!$J$15*('R&amp;S - Packaging and hh goods'!$AE$20+('R&amp;S - Packaging and hh goods'!$AE$21-'R&amp;S - Packaging and hh goods'!$AE$20)*(BE$3-$X$3)/10))+BE27*'R&amp;S - Packaging and hh goods'!$N$4/SUM('R&amp;S - Packaging and hh goods'!$L$4:$N$4)*('R&amp;S - Packaging and hh goods'!$G7*'R&amp;S - Packaging and hh goods'!$L$15*('R&amp;S - Packaging and hh goods'!$AJ$20+('R&amp;S - Packaging and hh goods'!$AJ$21-'R&amp;S - Packaging and hh goods'!$AJ$20)*(BE$3-$X$3)/10))</f>
        <v>105500.30633263936</v>
      </c>
      <c r="BF28" s="647">
        <f>BF27*'R&amp;S - Packaging and hh goods'!$L$4/SUM('R&amp;S - Packaging and hh goods'!$L$4:$N$4)*('R&amp;S - Packaging and hh goods'!$E7*'R&amp;S - Packaging and hh goods'!$H$15*('R&amp;S - Packaging and hh goods'!$Z$20+('R&amp;S - Packaging and hh goods'!$Z$21-'R&amp;S - Packaging and hh goods'!$Z$20)*(BF$3-$X$3)/10))+BF27*'R&amp;S - Packaging and hh goods'!$M$4/SUM('R&amp;S - Packaging and hh goods'!$L$4:$N$4)*('R&amp;S - Packaging and hh goods'!$F7*'R&amp;S - Packaging and hh goods'!$J$15*('R&amp;S - Packaging and hh goods'!$AE$20+('R&amp;S - Packaging and hh goods'!$AE$21-'R&amp;S - Packaging and hh goods'!$AE$20)*(BF$3-$X$3)/10))+BF27*'R&amp;S - Packaging and hh goods'!$N$4/SUM('R&amp;S - Packaging and hh goods'!$L$4:$N$4)*('R&amp;S - Packaging and hh goods'!$G7*'R&amp;S - Packaging and hh goods'!$L$15*('R&amp;S - Packaging and hh goods'!$AJ$20+('R&amp;S - Packaging and hh goods'!$AJ$21-'R&amp;S - Packaging and hh goods'!$AJ$20)*(BF$3-$X$3)/10))</f>
        <v>114255.7296315087</v>
      </c>
      <c r="BG28" s="647">
        <f>BG27*'R&amp;S - Packaging and hh goods'!$L$4/SUM('R&amp;S - Packaging and hh goods'!$L$4:$N$4)*('R&amp;S - Packaging and hh goods'!$E7*'R&amp;S - Packaging and hh goods'!$H$15*('R&amp;S - Packaging and hh goods'!$Z$20+('R&amp;S - Packaging and hh goods'!$Z$21-'R&amp;S - Packaging and hh goods'!$Z$20)*(BG$3-$X$3)/10))+BG27*'R&amp;S - Packaging and hh goods'!$M$4/SUM('R&amp;S - Packaging and hh goods'!$L$4:$N$4)*('R&amp;S - Packaging and hh goods'!$F7*'R&amp;S - Packaging and hh goods'!$J$15*('R&amp;S - Packaging and hh goods'!$AE$20+('R&amp;S - Packaging and hh goods'!$AE$21-'R&amp;S - Packaging and hh goods'!$AE$20)*(BG$3-$X$3)/10))+BG27*'R&amp;S - Packaging and hh goods'!$N$4/SUM('R&amp;S - Packaging and hh goods'!$L$4:$N$4)*('R&amp;S - Packaging and hh goods'!$G7*'R&amp;S - Packaging and hh goods'!$L$15*('R&amp;S - Packaging and hh goods'!$AJ$20+('R&amp;S - Packaging and hh goods'!$AJ$21-'R&amp;S - Packaging and hh goods'!$AJ$20)*(BG$3-$X$3)/10))</f>
        <v>123011.15293037806</v>
      </c>
      <c r="BH28" s="647">
        <f>BH27*'R&amp;S - Packaging and hh goods'!$L$4/SUM('R&amp;S - Packaging and hh goods'!$L$4:$N$4)*('R&amp;S - Packaging and hh goods'!$E7*'R&amp;S - Packaging and hh goods'!$H$15*('R&amp;S - Packaging and hh goods'!$Z$20+('R&amp;S - Packaging and hh goods'!$Z$21-'R&amp;S - Packaging and hh goods'!$Z$20)*(BH$3-$X$3)/10))+BH27*'R&amp;S - Packaging and hh goods'!$M$4/SUM('R&amp;S - Packaging and hh goods'!$L$4:$N$4)*('R&amp;S - Packaging and hh goods'!$F7*'R&amp;S - Packaging and hh goods'!$J$15*('R&amp;S - Packaging and hh goods'!$AE$20+('R&amp;S - Packaging and hh goods'!$AE$21-'R&amp;S - Packaging and hh goods'!$AE$20)*(BH$3-$X$3)/10))+BH27*'R&amp;S - Packaging and hh goods'!$N$4/SUM('R&amp;S - Packaging and hh goods'!$L$4:$N$4)*('R&amp;S - Packaging and hh goods'!$G7*'R&amp;S - Packaging and hh goods'!$L$15*('R&amp;S - Packaging and hh goods'!$AJ$20+('R&amp;S - Packaging and hh goods'!$AJ$21-'R&amp;S - Packaging and hh goods'!$AJ$20)*(BH$3-$X$3)/10))</f>
        <v>131766.57622924741</v>
      </c>
      <c r="BI28" s="647">
        <f>BI27*'R&amp;S - Packaging and hh goods'!$L$4/SUM('R&amp;S - Packaging and hh goods'!$L$4:$N$4)*('R&amp;S - Packaging and hh goods'!$E7*'R&amp;S - Packaging and hh goods'!$H$15*('R&amp;S - Packaging and hh goods'!$Z$20+('R&amp;S - Packaging and hh goods'!$Z$21-'R&amp;S - Packaging and hh goods'!$Z$20)*(BI$3-$X$3)/10))+BI27*'R&amp;S - Packaging and hh goods'!$M$4/SUM('R&amp;S - Packaging and hh goods'!$L$4:$N$4)*('R&amp;S - Packaging and hh goods'!$F7*'R&amp;S - Packaging and hh goods'!$J$15*('R&amp;S - Packaging and hh goods'!$AE$20+('R&amp;S - Packaging and hh goods'!$AE$21-'R&amp;S - Packaging and hh goods'!$AE$20)*(BI$3-$X$3)/10))+BI27*'R&amp;S - Packaging and hh goods'!$N$4/SUM('R&amp;S - Packaging and hh goods'!$L$4:$N$4)*('R&amp;S - Packaging and hh goods'!$G7*'R&amp;S - Packaging and hh goods'!$L$15*('R&amp;S - Packaging and hh goods'!$AJ$20+('R&amp;S - Packaging and hh goods'!$AJ$21-'R&amp;S - Packaging and hh goods'!$AJ$20)*(BI$3-$X$3)/10))</f>
        <v>140521.99952811675</v>
      </c>
      <c r="BJ28" s="647">
        <f>BJ27*'R&amp;S - Packaging and hh goods'!$L$4/SUM('R&amp;S - Packaging and hh goods'!$L$4:$N$4)*('R&amp;S - Packaging and hh goods'!$E7*'R&amp;S - Packaging and hh goods'!$H$15*('R&amp;S - Packaging and hh goods'!$Z$20+('R&amp;S - Packaging and hh goods'!$Z$21-'R&amp;S - Packaging and hh goods'!$Z$20)*(BJ$3-$X$3)/10))+BJ27*'R&amp;S - Packaging and hh goods'!$M$4/SUM('R&amp;S - Packaging and hh goods'!$L$4:$N$4)*('R&amp;S - Packaging and hh goods'!$F7*'R&amp;S - Packaging and hh goods'!$J$15*('R&amp;S - Packaging and hh goods'!$AE$20+('R&amp;S - Packaging and hh goods'!$AE$21-'R&amp;S - Packaging and hh goods'!$AE$20)*(BJ$3-$X$3)/10))+BJ27*'R&amp;S - Packaging and hh goods'!$N$4/SUM('R&amp;S - Packaging and hh goods'!$L$4:$N$4)*('R&amp;S - Packaging and hh goods'!$G7*'R&amp;S - Packaging and hh goods'!$L$15*('R&amp;S - Packaging and hh goods'!$AJ$20+('R&amp;S - Packaging and hh goods'!$AJ$21-'R&amp;S - Packaging and hh goods'!$AJ$20)*(BJ$3-$X$3)/10))</f>
        <v>149277.42282698612</v>
      </c>
      <c r="BK28" s="647">
        <f>BK27*'R&amp;S - Packaging and hh goods'!$L$4/SUM('R&amp;S - Packaging and hh goods'!$L$4:$N$4)*('R&amp;S - Packaging and hh goods'!$E7*'R&amp;S - Packaging and hh goods'!$H$15*('R&amp;S - Packaging and hh goods'!$Z$20+('R&amp;S - Packaging and hh goods'!$Z$21-'R&amp;S - Packaging and hh goods'!$Z$20)*(BK$3-$X$3)/10))+BK27*'R&amp;S - Packaging and hh goods'!$M$4/SUM('R&amp;S - Packaging and hh goods'!$L$4:$N$4)*('R&amp;S - Packaging and hh goods'!$F7*'R&amp;S - Packaging and hh goods'!$J$15*('R&amp;S - Packaging and hh goods'!$AE$20+('R&amp;S - Packaging and hh goods'!$AE$21-'R&amp;S - Packaging and hh goods'!$AE$20)*(BK$3-$X$3)/10))+BK27*'R&amp;S - Packaging and hh goods'!$N$4/SUM('R&amp;S - Packaging and hh goods'!$L$4:$N$4)*('R&amp;S - Packaging and hh goods'!$G7*'R&amp;S - Packaging and hh goods'!$L$15*('R&amp;S - Packaging and hh goods'!$AJ$20+('R&amp;S - Packaging and hh goods'!$AJ$21-'R&amp;S - Packaging and hh goods'!$AJ$20)*(BK$3-$X$3)/10))</f>
        <v>158032.84612585546</v>
      </c>
      <c r="BL28" s="647">
        <f>BL27*'R&amp;S - Packaging and hh goods'!$L$4/SUM('R&amp;S - Packaging and hh goods'!$L$4:$N$4)*('R&amp;S - Packaging and hh goods'!$E7*'R&amp;S - Packaging and hh goods'!$H$15*('R&amp;S - Packaging and hh goods'!$Z$20+('R&amp;S - Packaging and hh goods'!$Z$21-'R&amp;S - Packaging and hh goods'!$Z$20)*(BL$3-$X$3)/10))+BL27*'R&amp;S - Packaging and hh goods'!$M$4/SUM('R&amp;S - Packaging and hh goods'!$L$4:$N$4)*('R&amp;S - Packaging and hh goods'!$F7*'R&amp;S - Packaging and hh goods'!$J$15*('R&amp;S - Packaging and hh goods'!$AE$20+('R&amp;S - Packaging and hh goods'!$AE$21-'R&amp;S - Packaging and hh goods'!$AE$20)*(BL$3-$X$3)/10))+BL27*'R&amp;S - Packaging and hh goods'!$N$4/SUM('R&amp;S - Packaging and hh goods'!$L$4:$N$4)*('R&amp;S - Packaging and hh goods'!$G7*'R&amp;S - Packaging and hh goods'!$L$15*('R&amp;S - Packaging and hh goods'!$AJ$20+('R&amp;S - Packaging and hh goods'!$AJ$21-'R&amp;S - Packaging and hh goods'!$AJ$20)*(BL$3-$X$3)/10))</f>
        <v>166788.2694247248</v>
      </c>
      <c r="BM28" s="647">
        <f>BM27*'R&amp;S - Packaging and hh goods'!$L$4/SUM('R&amp;S - Packaging and hh goods'!$L$4:$N$4)*('R&amp;S - Packaging and hh goods'!$E7*'R&amp;S - Packaging and hh goods'!$H$15*('R&amp;S - Packaging and hh goods'!$Z$20+('R&amp;S - Packaging and hh goods'!$Z$21-'R&amp;S - Packaging and hh goods'!$Z$20)*(BM$3-$X$3)/10))+BM27*'R&amp;S - Packaging and hh goods'!$M$4/SUM('R&amp;S - Packaging and hh goods'!$L$4:$N$4)*('R&amp;S - Packaging and hh goods'!$F7*'R&amp;S - Packaging and hh goods'!$J$15*('R&amp;S - Packaging and hh goods'!$AE$20+('R&amp;S - Packaging and hh goods'!$AE$21-'R&amp;S - Packaging and hh goods'!$AE$20)*(BM$3-$X$3)/10))+BM27*'R&amp;S - Packaging and hh goods'!$N$4/SUM('R&amp;S - Packaging and hh goods'!$L$4:$N$4)*('R&amp;S - Packaging and hh goods'!$G7*'R&amp;S - Packaging and hh goods'!$L$15*('R&amp;S - Packaging and hh goods'!$AJ$20+('R&amp;S - Packaging and hh goods'!$AJ$21-'R&amp;S - Packaging and hh goods'!$AJ$20)*(BM$3-$X$3)/10))</f>
        <v>175543.69272359414</v>
      </c>
      <c r="BN28" s="647">
        <f>BN27*'R&amp;S - Packaging and hh goods'!$L$4/SUM('R&amp;S - Packaging and hh goods'!$L$4:$N$4)*('R&amp;S - Packaging and hh goods'!$E7*'R&amp;S - Packaging and hh goods'!$H$15*('R&amp;S - Packaging and hh goods'!$Z$20+('R&amp;S - Packaging and hh goods'!$Z$21-'R&amp;S - Packaging and hh goods'!$Z$20)*(BN$3-$X$3)/10))+BN27*'R&amp;S - Packaging and hh goods'!$M$4/SUM('R&amp;S - Packaging and hh goods'!$L$4:$N$4)*('R&amp;S - Packaging and hh goods'!$F7*'R&amp;S - Packaging and hh goods'!$J$15*('R&amp;S - Packaging and hh goods'!$AE$20+('R&amp;S - Packaging and hh goods'!$AE$21-'R&amp;S - Packaging and hh goods'!$AE$20)*(BN$3-$X$3)/10))+BN27*'R&amp;S - Packaging and hh goods'!$N$4/SUM('R&amp;S - Packaging and hh goods'!$L$4:$N$4)*('R&amp;S - Packaging and hh goods'!$G7*'R&amp;S - Packaging and hh goods'!$L$15*('R&amp;S - Packaging and hh goods'!$AJ$20+('R&amp;S - Packaging and hh goods'!$AJ$21-'R&amp;S - Packaging and hh goods'!$AJ$20)*(BN$3-$X$3)/10))</f>
        <v>184299.11602246351</v>
      </c>
    </row>
    <row r="29" spans="1:85" outlineLevel="1">
      <c r="B29" s="58" t="s">
        <v>188</v>
      </c>
      <c r="C29" s="51" t="s">
        <v>166</v>
      </c>
      <c r="D29" s="101">
        <v>0</v>
      </c>
      <c r="E29" s="101">
        <f>E27*'R&amp;S - Packaging and hh goods'!$L$4/SUM('R&amp;S - Packaging and hh goods'!$L$4:$N$4)*'R&amp;S - Packaging and hh goods'!$E$8*('R&amp;S - Packaging and hh goods'!$H$14*'R&amp;S - Packaging and hh goods'!$AA$19*(E$3-$D$3)/10)+E27*'R&amp;S - Packaging and hh goods'!$M$4/SUM('R&amp;S - Packaging and hh goods'!$L$4:$N$4)*'R&amp;S - Packaging and hh goods'!$F$8*('R&amp;S - Packaging and hh goods'!$J$14*'R&amp;S - Packaging and hh goods'!$AF$19*(E$3-$D$3)/10)+E27*'R&amp;S - Packaging and hh goods'!$N$4/SUM('R&amp;S - Packaging and hh goods'!$L$4:$N$4)*'R&amp;S - Packaging and hh goods'!$G$8*('R&amp;S - Packaging and hh goods'!$L$14*'R&amp;S - Packaging and hh goods'!$AK$19*(E$3-$D$3)/10)</f>
        <v>19747.94430238162</v>
      </c>
      <c r="F29" s="101">
        <f>F27*'R&amp;S - Packaging and hh goods'!$L$4/SUM('R&amp;S - Packaging and hh goods'!$L$4:$N$4)*'R&amp;S - Packaging and hh goods'!$E$8*('R&amp;S - Packaging and hh goods'!$H$14*'R&amp;S - Packaging and hh goods'!$AA$19*(F$3-$D$3)/10)+F27*'R&amp;S - Packaging and hh goods'!$M$4/SUM('R&amp;S - Packaging and hh goods'!$L$4:$N$4)*'R&amp;S - Packaging and hh goods'!$F$8*('R&amp;S - Packaging and hh goods'!$J$14*'R&amp;S - Packaging and hh goods'!$AF$19*(F$3-$D$3)/10)+F27*'R&amp;S - Packaging and hh goods'!$N$4/SUM('R&amp;S - Packaging and hh goods'!$L$4:$N$4)*'R&amp;S - Packaging and hh goods'!$G$8*('R&amp;S - Packaging and hh goods'!$L$14*'R&amp;S - Packaging and hh goods'!$AK$19*(F$3-$D$3)/10)</f>
        <v>39495.88860476324</v>
      </c>
      <c r="G29" s="101">
        <f>G27*'R&amp;S - Packaging and hh goods'!$L$4/SUM('R&amp;S - Packaging and hh goods'!$L$4:$N$4)*'R&amp;S - Packaging and hh goods'!$E$8*('R&amp;S - Packaging and hh goods'!$H$14*'R&amp;S - Packaging and hh goods'!$AA$19*(G$3-$D$3)/10)+G27*'R&amp;S - Packaging and hh goods'!$M$4/SUM('R&amp;S - Packaging and hh goods'!$L$4:$N$4)*'R&amp;S - Packaging and hh goods'!$F$8*('R&amp;S - Packaging and hh goods'!$J$14*'R&amp;S - Packaging and hh goods'!$AF$19*(G$3-$D$3)/10)+G27*'R&amp;S - Packaging and hh goods'!$N$4/SUM('R&amp;S - Packaging and hh goods'!$L$4:$N$4)*'R&amp;S - Packaging and hh goods'!$G$8*('R&amp;S - Packaging and hh goods'!$L$14*'R&amp;S - Packaging and hh goods'!$AK$19*(G$3-$D$3)/10)</f>
        <v>59243.832907144868</v>
      </c>
      <c r="H29" s="101">
        <f>H27*'R&amp;S - Packaging and hh goods'!$L$4/SUM('R&amp;S - Packaging and hh goods'!$L$4:$N$4)*'R&amp;S - Packaging and hh goods'!$E$8*('R&amp;S - Packaging and hh goods'!$H$14*'R&amp;S - Packaging and hh goods'!$AA$19*(H$3-$D$3)/10)+H27*'R&amp;S - Packaging and hh goods'!$M$4/SUM('R&amp;S - Packaging and hh goods'!$L$4:$N$4)*'R&amp;S - Packaging and hh goods'!$F$8*('R&amp;S - Packaging and hh goods'!$J$14*'R&amp;S - Packaging and hh goods'!$AF$19*(H$3-$D$3)/10)+H27*'R&amp;S - Packaging and hh goods'!$N$4/SUM('R&amp;S - Packaging and hh goods'!$L$4:$N$4)*'R&amp;S - Packaging and hh goods'!$G$8*('R&amp;S - Packaging and hh goods'!$L$14*'R&amp;S - Packaging and hh goods'!$AK$19*(H$3-$D$3)/10)</f>
        <v>78991.777209526481</v>
      </c>
      <c r="I29" s="101">
        <f>I27*'R&amp;S - Packaging and hh goods'!$L$4/SUM('R&amp;S - Packaging and hh goods'!$L$4:$N$4)*'R&amp;S - Packaging and hh goods'!$E$8*('R&amp;S - Packaging and hh goods'!$H$14*'R&amp;S - Packaging and hh goods'!$AA$19*(I$3-$D$3)/10)+I27*'R&amp;S - Packaging and hh goods'!$M$4/SUM('R&amp;S - Packaging and hh goods'!$L$4:$N$4)*'R&amp;S - Packaging and hh goods'!$F$8*('R&amp;S - Packaging and hh goods'!$J$14*'R&amp;S - Packaging and hh goods'!$AF$19*(I$3-$D$3)/10)+I27*'R&amp;S - Packaging and hh goods'!$N$4/SUM('R&amp;S - Packaging and hh goods'!$L$4:$N$4)*'R&amp;S - Packaging and hh goods'!$G$8*('R&amp;S - Packaging and hh goods'!$L$14*'R&amp;S - Packaging and hh goods'!$AK$19*(I$3-$D$3)/10)</f>
        <v>98739.721511908108</v>
      </c>
      <c r="J29" s="101">
        <f>J27*'R&amp;S - Packaging and hh goods'!$L$4/SUM('R&amp;S - Packaging and hh goods'!$L$4:$N$4)*'R&amp;S - Packaging and hh goods'!$E$8*('R&amp;S - Packaging and hh goods'!$H$14*'R&amp;S - Packaging and hh goods'!$AA$19*(J$3-$D$3)/10)+J27*'R&amp;S - Packaging and hh goods'!$M$4/SUM('R&amp;S - Packaging and hh goods'!$L$4:$N$4)*'R&amp;S - Packaging and hh goods'!$F$8*('R&amp;S - Packaging and hh goods'!$J$14*'R&amp;S - Packaging and hh goods'!$AF$19*(J$3-$D$3)/10)+J27*'R&amp;S - Packaging and hh goods'!$N$4/SUM('R&amp;S - Packaging and hh goods'!$L$4:$N$4)*'R&amp;S - Packaging and hh goods'!$G$8*('R&amp;S - Packaging and hh goods'!$L$14*'R&amp;S - Packaging and hh goods'!$AK$19*(J$3-$D$3)/10)</f>
        <v>118487.66581428974</v>
      </c>
      <c r="K29" s="101">
        <f>K27*'R&amp;S - Packaging and hh goods'!$L$4/SUM('R&amp;S - Packaging and hh goods'!$L$4:$N$4)*'R&amp;S - Packaging and hh goods'!$E$8*('R&amp;S - Packaging and hh goods'!$H$14*'R&amp;S - Packaging and hh goods'!$AA$19*(K$3-$D$3)/10)+K27*'R&amp;S - Packaging and hh goods'!$M$4/SUM('R&amp;S - Packaging and hh goods'!$L$4:$N$4)*'R&amp;S - Packaging and hh goods'!$F$8*('R&amp;S - Packaging and hh goods'!$J$14*'R&amp;S - Packaging and hh goods'!$AF$19*(K$3-$D$3)/10)+K27*'R&amp;S - Packaging and hh goods'!$N$4/SUM('R&amp;S - Packaging and hh goods'!$L$4:$N$4)*'R&amp;S - Packaging and hh goods'!$G$8*('R&amp;S - Packaging and hh goods'!$L$14*'R&amp;S - Packaging and hh goods'!$AK$19*(K$3-$D$3)/10)</f>
        <v>138235.61011667133</v>
      </c>
      <c r="L29" s="101">
        <f>L27*'R&amp;S - Packaging and hh goods'!$L$4/SUM('R&amp;S - Packaging and hh goods'!$L$4:$N$4)*'R&amp;S - Packaging and hh goods'!$E$8*('R&amp;S - Packaging and hh goods'!$H$14*'R&amp;S - Packaging and hh goods'!$AA$19*(L$3-$D$3)/10)+L27*'R&amp;S - Packaging and hh goods'!$M$4/SUM('R&amp;S - Packaging and hh goods'!$L$4:$N$4)*'R&amp;S - Packaging and hh goods'!$F$8*('R&amp;S - Packaging and hh goods'!$J$14*'R&amp;S - Packaging and hh goods'!$AF$19*(L$3-$D$3)/10)+L27*'R&amp;S - Packaging and hh goods'!$N$4/SUM('R&amp;S - Packaging and hh goods'!$L$4:$N$4)*'R&amp;S - Packaging and hh goods'!$G$8*('R&amp;S - Packaging and hh goods'!$L$14*'R&amp;S - Packaging and hh goods'!$AK$19*(L$3-$D$3)/10)</f>
        <v>157983.55441905296</v>
      </c>
      <c r="M29" s="101">
        <f>M27*'R&amp;S - Packaging and hh goods'!$L$4/SUM('R&amp;S - Packaging and hh goods'!$L$4:$N$4)*'R&amp;S - Packaging and hh goods'!$E$8*('R&amp;S - Packaging and hh goods'!$H$14*'R&amp;S - Packaging and hh goods'!$AA$19*(M$3-$D$3)/10)+M27*'R&amp;S - Packaging and hh goods'!$M$4/SUM('R&amp;S - Packaging and hh goods'!$L$4:$N$4)*'R&amp;S - Packaging and hh goods'!$F$8*('R&amp;S - Packaging and hh goods'!$J$14*'R&amp;S - Packaging and hh goods'!$AF$19*(M$3-$D$3)/10)+M27*'R&amp;S - Packaging and hh goods'!$N$4/SUM('R&amp;S - Packaging and hh goods'!$L$4:$N$4)*'R&amp;S - Packaging and hh goods'!$G$8*('R&amp;S - Packaging and hh goods'!$L$14*'R&amp;S - Packaging and hh goods'!$AK$19*(M$3-$D$3)/10)</f>
        <v>177731.49872143459</v>
      </c>
      <c r="N29" s="101">
        <f>N27*'R&amp;S - Packaging and hh goods'!$L$4/SUM('R&amp;S - Packaging and hh goods'!$L$4:$N$4)*'R&amp;S - Packaging and hh goods'!$E$8*('R&amp;S - Packaging and hh goods'!$H$14*'R&amp;S - Packaging and hh goods'!$AA$19*(N$3-$D$3)/10)+N27*'R&amp;S - Packaging and hh goods'!$M$4/SUM('R&amp;S - Packaging and hh goods'!$L$4:$N$4)*'R&amp;S - Packaging and hh goods'!$F$8*('R&amp;S - Packaging and hh goods'!$J$14*'R&amp;S - Packaging and hh goods'!$AF$19*(N$3-$D$3)/10)+N27*'R&amp;S - Packaging and hh goods'!$N$4/SUM('R&amp;S - Packaging and hh goods'!$L$4:$N$4)*'R&amp;S - Packaging and hh goods'!$G$8*('R&amp;S - Packaging and hh goods'!$L$14*'R&amp;S - Packaging and hh goods'!$AK$19*(N$3-$D$3)/10)</f>
        <v>197479.44302381622</v>
      </c>
      <c r="O29" s="647">
        <f>O27*'R&amp;S - Packaging and hh goods'!$L$4/SUM('R&amp;S - Packaging and hh goods'!$L$4:$N$4)*('R&amp;S - Packaging and hh goods'!$E$8*'R&amp;S - Packaging and hh goods'!$H$14*('R&amp;S - Packaging and hh goods'!$AA$19+('R&amp;S - Packaging and hh goods'!$AA$20-'R&amp;S - Packaging and hh goods'!$AA$19)*(O$3-$N$3)/10))+O27*'R&amp;S - Packaging and hh goods'!$M$4/SUM('R&amp;S - Packaging and hh goods'!$L$4:$N$4)*('R&amp;S - Packaging and hh goods'!$F$8*'R&amp;S - Packaging and hh goods'!$J$14*('R&amp;S - Packaging and hh goods'!$AF$19+('R&amp;S - Packaging and hh goods'!$AF$20-'R&amp;S - Packaging and hh goods'!$AF$19)*(O$3-$N$3)/10))+O27*'R&amp;S - Packaging and hh goods'!$N$4/SUM('R&amp;S - Packaging and hh goods'!$L$4:$N$4)*('R&amp;S - Packaging and hh goods'!$G$8*'R&amp;S - Packaging and hh goods'!$L$14*('R&amp;S - Packaging and hh goods'!$AK$19+('R&amp;S - Packaging and hh goods'!$AK$20-'R&amp;S - Packaging and hh goods'!$AK$19)*(O$3-$N$3)/10))</f>
        <v>237724.41214763623</v>
      </c>
      <c r="P29" s="647">
        <f>P27*'R&amp;S - Packaging and hh goods'!$L$4/SUM('R&amp;S - Packaging and hh goods'!$L$4:$N$4)*('R&amp;S - Packaging and hh goods'!$E$8*'R&amp;S - Packaging and hh goods'!$H$14*('R&amp;S - Packaging and hh goods'!$AA$19+('R&amp;S - Packaging and hh goods'!$AA$20-'R&amp;S - Packaging and hh goods'!$AA$19)*(P$3-$N$3)/10))+P27*'R&amp;S - Packaging and hh goods'!$M$4/SUM('R&amp;S - Packaging and hh goods'!$L$4:$N$4)*('R&amp;S - Packaging and hh goods'!$F$8*'R&amp;S - Packaging and hh goods'!$J$14*('R&amp;S - Packaging and hh goods'!$AF$19+('R&amp;S - Packaging and hh goods'!$AF$20-'R&amp;S - Packaging and hh goods'!$AF$19)*(P$3-$N$3)/10))+P27*'R&amp;S - Packaging and hh goods'!$N$4/SUM('R&amp;S - Packaging and hh goods'!$L$4:$N$4)*('R&amp;S - Packaging and hh goods'!$G$8*'R&amp;S - Packaging and hh goods'!$L$14*('R&amp;S - Packaging and hh goods'!$AK$19+('R&amp;S - Packaging and hh goods'!$AK$20-'R&amp;S - Packaging and hh goods'!$AK$19)*(P$3-$N$3)/10))</f>
        <v>277969.38127145631</v>
      </c>
      <c r="Q29" s="647">
        <f>Q27*'R&amp;S - Packaging and hh goods'!$L$4/SUM('R&amp;S - Packaging and hh goods'!$L$4:$N$4)*('R&amp;S - Packaging and hh goods'!$E$8*'R&amp;S - Packaging and hh goods'!$H$14*('R&amp;S - Packaging and hh goods'!$AA$19+('R&amp;S - Packaging and hh goods'!$AA$20-'R&amp;S - Packaging and hh goods'!$AA$19)*(Q$3-$N$3)/10))+Q27*'R&amp;S - Packaging and hh goods'!$M$4/SUM('R&amp;S - Packaging and hh goods'!$L$4:$N$4)*('R&amp;S - Packaging and hh goods'!$F$8*'R&amp;S - Packaging and hh goods'!$J$14*('R&amp;S - Packaging and hh goods'!$AF$19+('R&amp;S - Packaging and hh goods'!$AF$20-'R&amp;S - Packaging and hh goods'!$AF$19)*(Q$3-$N$3)/10))+Q27*'R&amp;S - Packaging and hh goods'!$N$4/SUM('R&amp;S - Packaging and hh goods'!$L$4:$N$4)*('R&amp;S - Packaging and hh goods'!$G$8*'R&amp;S - Packaging and hh goods'!$L$14*('R&amp;S - Packaging and hh goods'!$AK$19+('R&amp;S - Packaging and hh goods'!$AK$20-'R&amp;S - Packaging and hh goods'!$AK$19)*(Q$3-$N$3)/10))</f>
        <v>318214.35039527633</v>
      </c>
      <c r="R29" s="647">
        <f>R27*'R&amp;S - Packaging and hh goods'!$L$4/SUM('R&amp;S - Packaging and hh goods'!$L$4:$N$4)*('R&amp;S - Packaging and hh goods'!$E$8*'R&amp;S - Packaging and hh goods'!$H$14*('R&amp;S - Packaging and hh goods'!$AA$19+('R&amp;S - Packaging and hh goods'!$AA$20-'R&amp;S - Packaging and hh goods'!$AA$19)*(R$3-$N$3)/10))+R27*'R&amp;S - Packaging and hh goods'!$M$4/SUM('R&amp;S - Packaging and hh goods'!$L$4:$N$4)*('R&amp;S - Packaging and hh goods'!$F$8*'R&amp;S - Packaging and hh goods'!$J$14*('R&amp;S - Packaging and hh goods'!$AF$19+('R&amp;S - Packaging and hh goods'!$AF$20-'R&amp;S - Packaging and hh goods'!$AF$19)*(R$3-$N$3)/10))+R27*'R&amp;S - Packaging and hh goods'!$N$4/SUM('R&amp;S - Packaging and hh goods'!$L$4:$N$4)*('R&amp;S - Packaging and hh goods'!$G$8*'R&amp;S - Packaging and hh goods'!$L$14*('R&amp;S - Packaging and hh goods'!$AK$19+('R&amp;S - Packaging and hh goods'!$AK$20-'R&amp;S - Packaging and hh goods'!$AK$19)*(R$3-$N$3)/10))</f>
        <v>358459.31951909635</v>
      </c>
      <c r="S29" s="647">
        <f>S27*'R&amp;S - Packaging and hh goods'!$L$4/SUM('R&amp;S - Packaging and hh goods'!$L$4:$N$4)*('R&amp;S - Packaging and hh goods'!$E$8*'R&amp;S - Packaging and hh goods'!$H$14*('R&amp;S - Packaging and hh goods'!$AA$19+('R&amp;S - Packaging and hh goods'!$AA$20-'R&amp;S - Packaging and hh goods'!$AA$19)*(S$3-$N$3)/10))+S27*'R&amp;S - Packaging and hh goods'!$M$4/SUM('R&amp;S - Packaging and hh goods'!$L$4:$N$4)*('R&amp;S - Packaging and hh goods'!$F$8*'R&amp;S - Packaging and hh goods'!$J$14*('R&amp;S - Packaging and hh goods'!$AF$19+('R&amp;S - Packaging and hh goods'!$AF$20-'R&amp;S - Packaging and hh goods'!$AF$19)*(S$3-$N$3)/10))+S27*'R&amp;S - Packaging and hh goods'!$N$4/SUM('R&amp;S - Packaging and hh goods'!$L$4:$N$4)*('R&amp;S - Packaging and hh goods'!$G$8*'R&amp;S - Packaging and hh goods'!$L$14*('R&amp;S - Packaging and hh goods'!$AK$19+('R&amp;S - Packaging and hh goods'!$AK$20-'R&amp;S - Packaging and hh goods'!$AK$19)*(S$3-$N$3)/10))</f>
        <v>398704.28864291642</v>
      </c>
      <c r="T29" s="647">
        <f>T27*'R&amp;S - Packaging and hh goods'!$L$4/SUM('R&amp;S - Packaging and hh goods'!$L$4:$N$4)*('R&amp;S - Packaging and hh goods'!$E$8*'R&amp;S - Packaging and hh goods'!$H$14*('R&amp;S - Packaging and hh goods'!$AA$19+('R&amp;S - Packaging and hh goods'!$AA$20-'R&amp;S - Packaging and hh goods'!$AA$19)*(T$3-$N$3)/10))+T27*'R&amp;S - Packaging and hh goods'!$M$4/SUM('R&amp;S - Packaging and hh goods'!$L$4:$N$4)*('R&amp;S - Packaging and hh goods'!$F$8*'R&amp;S - Packaging and hh goods'!$J$14*('R&amp;S - Packaging and hh goods'!$AF$19+('R&amp;S - Packaging and hh goods'!$AF$20-'R&amp;S - Packaging and hh goods'!$AF$19)*(T$3-$N$3)/10))+T27*'R&amp;S - Packaging and hh goods'!$N$4/SUM('R&amp;S - Packaging and hh goods'!$L$4:$N$4)*('R&amp;S - Packaging and hh goods'!$G$8*'R&amp;S - Packaging and hh goods'!$L$14*('R&amp;S - Packaging and hh goods'!$AK$19+('R&amp;S - Packaging and hh goods'!$AK$20-'R&amp;S - Packaging and hh goods'!$AK$19)*(T$3-$N$3)/10))</f>
        <v>438949.25776673644</v>
      </c>
      <c r="U29" s="647">
        <f>U27*'R&amp;S - Packaging and hh goods'!$L$4/SUM('R&amp;S - Packaging and hh goods'!$L$4:$N$4)*('R&amp;S - Packaging and hh goods'!$E$8*'R&amp;S - Packaging and hh goods'!$H$14*('R&amp;S - Packaging and hh goods'!$AA$19+('R&amp;S - Packaging and hh goods'!$AA$20-'R&amp;S - Packaging and hh goods'!$AA$19)*(U$3-$N$3)/10))+U27*'R&amp;S - Packaging and hh goods'!$M$4/SUM('R&amp;S - Packaging and hh goods'!$L$4:$N$4)*('R&amp;S - Packaging and hh goods'!$F$8*'R&amp;S - Packaging and hh goods'!$J$14*('R&amp;S - Packaging and hh goods'!$AF$19+('R&amp;S - Packaging and hh goods'!$AF$20-'R&amp;S - Packaging and hh goods'!$AF$19)*(U$3-$N$3)/10))+U27*'R&amp;S - Packaging and hh goods'!$N$4/SUM('R&amp;S - Packaging and hh goods'!$L$4:$N$4)*('R&amp;S - Packaging and hh goods'!$G$8*'R&amp;S - Packaging and hh goods'!$L$14*('R&amp;S - Packaging and hh goods'!$AK$19+('R&amp;S - Packaging and hh goods'!$AK$20-'R&amp;S - Packaging and hh goods'!$AK$19)*(U$3-$N$3)/10))</f>
        <v>479194.22689055646</v>
      </c>
      <c r="V29" s="647">
        <f>V27*'R&amp;S - Packaging and hh goods'!$L$4/SUM('R&amp;S - Packaging and hh goods'!$L$4:$N$4)*('R&amp;S - Packaging and hh goods'!$E$8*'R&amp;S - Packaging and hh goods'!$H$14*('R&amp;S - Packaging and hh goods'!$AA$19+('R&amp;S - Packaging and hh goods'!$AA$20-'R&amp;S - Packaging and hh goods'!$AA$19)*(V$3-$N$3)/10))+V27*'R&amp;S - Packaging and hh goods'!$M$4/SUM('R&amp;S - Packaging and hh goods'!$L$4:$N$4)*('R&amp;S - Packaging and hh goods'!$F$8*'R&amp;S - Packaging and hh goods'!$J$14*('R&amp;S - Packaging and hh goods'!$AF$19+('R&amp;S - Packaging and hh goods'!$AF$20-'R&amp;S - Packaging and hh goods'!$AF$19)*(V$3-$N$3)/10))+V27*'R&amp;S - Packaging and hh goods'!$N$4/SUM('R&amp;S - Packaging and hh goods'!$L$4:$N$4)*('R&amp;S - Packaging and hh goods'!$G$8*'R&amp;S - Packaging and hh goods'!$L$14*('R&amp;S - Packaging and hh goods'!$AK$19+('R&amp;S - Packaging and hh goods'!$AK$20-'R&amp;S - Packaging and hh goods'!$AK$19)*(V$3-$N$3)/10))</f>
        <v>519439.19601437647</v>
      </c>
      <c r="W29" s="647">
        <f>W27*'R&amp;S - Packaging and hh goods'!$L$4/SUM('R&amp;S - Packaging and hh goods'!$L$4:$N$4)*('R&amp;S - Packaging and hh goods'!$E$8*'R&amp;S - Packaging and hh goods'!$H$14*('R&amp;S - Packaging and hh goods'!$AA$19+('R&amp;S - Packaging and hh goods'!$AA$20-'R&amp;S - Packaging and hh goods'!$AA$19)*(W$3-$N$3)/10))+W27*'R&amp;S - Packaging and hh goods'!$M$4/SUM('R&amp;S - Packaging and hh goods'!$L$4:$N$4)*('R&amp;S - Packaging and hh goods'!$F$8*'R&amp;S - Packaging and hh goods'!$J$14*('R&amp;S - Packaging and hh goods'!$AF$19+('R&amp;S - Packaging and hh goods'!$AF$20-'R&amp;S - Packaging and hh goods'!$AF$19)*(W$3-$N$3)/10))+W27*'R&amp;S - Packaging and hh goods'!$N$4/SUM('R&amp;S - Packaging and hh goods'!$L$4:$N$4)*('R&amp;S - Packaging and hh goods'!$G$8*'R&amp;S - Packaging and hh goods'!$L$14*('R&amp;S - Packaging and hh goods'!$AK$19+('R&amp;S - Packaging and hh goods'!$AK$20-'R&amp;S - Packaging and hh goods'!$AK$19)*(W$3-$N$3)/10))</f>
        <v>559684.16513819655</v>
      </c>
      <c r="X29" s="647">
        <f>X27*'R&amp;S - Packaging and hh goods'!$L$4/SUM('R&amp;S - Packaging and hh goods'!$L$4:$N$4)*('R&amp;S - Packaging and hh goods'!$E$8*'R&amp;S - Packaging and hh goods'!$H$14*('R&amp;S - Packaging and hh goods'!$AA$19+('R&amp;S - Packaging and hh goods'!$AA$20-'R&amp;S - Packaging and hh goods'!$AA$19)*(X$3-$N$3)/10))+X27*'R&amp;S - Packaging and hh goods'!$M$4/SUM('R&amp;S - Packaging and hh goods'!$L$4:$N$4)*('R&amp;S - Packaging and hh goods'!$F$8*'R&amp;S - Packaging and hh goods'!$J$14*('R&amp;S - Packaging and hh goods'!$AF$19+('R&amp;S - Packaging and hh goods'!$AF$20-'R&amp;S - Packaging and hh goods'!$AF$19)*(X$3-$N$3)/10))+X27*'R&amp;S - Packaging and hh goods'!$N$4/SUM('R&amp;S - Packaging and hh goods'!$L$4:$N$4)*('R&amp;S - Packaging and hh goods'!$G$8*'R&amp;S - Packaging and hh goods'!$L$14*('R&amp;S - Packaging and hh goods'!$AK$19+('R&amp;S - Packaging and hh goods'!$AK$20-'R&amp;S - Packaging and hh goods'!$AK$19)*(X$3-$N$3)/10))</f>
        <v>599929.13426201651</v>
      </c>
      <c r="Y29" s="647">
        <f>Y27*'R&amp;S - Packaging and hh goods'!$L$4/SUM('R&amp;S - Packaging and hh goods'!$L$4:$N$4)*('R&amp;S - Packaging and hh goods'!$E8*'R&amp;S - Packaging and hh goods'!$H$14*('R&amp;S - Packaging and hh goods'!$AA$20+('R&amp;S - Packaging and hh goods'!$AA$21-'R&amp;S - Packaging and hh goods'!$AA$20)*(Y$3-$X$3)/10))+Y27*'R&amp;S - Packaging and hh goods'!$M$4/SUM('R&amp;S - Packaging and hh goods'!$L$4:$N$4)*('R&amp;S - Packaging and hh goods'!$F8*'R&amp;S - Packaging and hh goods'!$J$14*('R&amp;S - Packaging and hh goods'!$AF$20+('R&amp;S - Packaging and hh goods'!$AF$21-'R&amp;S - Packaging and hh goods'!$AF$20)*(Y$3-$X$3)/10))+Y27*'R&amp;S - Packaging and hh goods'!$N$4/SUM('R&amp;S - Packaging and hh goods'!$L$4:$N$4)*('R&amp;S - Packaging and hh goods'!$G8*'R&amp;S - Packaging and hh goods'!$L$14*('R&amp;S - Packaging and hh goods'!$AK$20+('R&amp;S - Packaging and hh goods'!$AK$21-'R&amp;S - Packaging and hh goods'!$AK$20)*(Y$3-$X$3)/10))</f>
        <v>643128.44935843046</v>
      </c>
      <c r="Z29" s="647">
        <f>Z27*'R&amp;S - Packaging and hh goods'!$L$4/SUM('R&amp;S - Packaging and hh goods'!$L$4:$N$4)*('R&amp;S - Packaging and hh goods'!$E8*'R&amp;S - Packaging and hh goods'!$H$14*('R&amp;S - Packaging and hh goods'!$AA$20+('R&amp;S - Packaging and hh goods'!$AA$21-'R&amp;S - Packaging and hh goods'!$AA$20)*(Z$3-$X$3)/10))+Z27*'R&amp;S - Packaging and hh goods'!$M$4/SUM('R&amp;S - Packaging and hh goods'!$L$4:$N$4)*('R&amp;S - Packaging and hh goods'!$F8*'R&amp;S - Packaging and hh goods'!$J$14*('R&amp;S - Packaging and hh goods'!$AF$20+('R&amp;S - Packaging and hh goods'!$AF$21-'R&amp;S - Packaging and hh goods'!$AF$20)*(Z$3-$X$3)/10))+Z27*'R&amp;S - Packaging and hh goods'!$N$4/SUM('R&amp;S - Packaging and hh goods'!$L$4:$N$4)*('R&amp;S - Packaging and hh goods'!$G8*'R&amp;S - Packaging and hh goods'!$L$14*('R&amp;S - Packaging and hh goods'!$AK$20+('R&amp;S - Packaging and hh goods'!$AK$21-'R&amp;S - Packaging and hh goods'!$AK$20)*(Z$3-$X$3)/10))</f>
        <v>686327.76445484417</v>
      </c>
      <c r="AA29" s="647">
        <f>AA27*'R&amp;S - Packaging and hh goods'!$L$4/SUM('R&amp;S - Packaging and hh goods'!$L$4:$N$4)*('R&amp;S - Packaging and hh goods'!$E8*'R&amp;S - Packaging and hh goods'!$H$14*('R&amp;S - Packaging and hh goods'!$AA$20+('R&amp;S - Packaging and hh goods'!$AA$21-'R&amp;S - Packaging and hh goods'!$AA$20)*(AA$3-$X$3)/10))+AA27*'R&amp;S - Packaging and hh goods'!$M$4/SUM('R&amp;S - Packaging and hh goods'!$L$4:$N$4)*('R&amp;S - Packaging and hh goods'!$F8*'R&amp;S - Packaging and hh goods'!$J$14*('R&amp;S - Packaging and hh goods'!$AF$20+('R&amp;S - Packaging and hh goods'!$AF$21-'R&amp;S - Packaging and hh goods'!$AF$20)*(AA$3-$X$3)/10))+AA27*'R&amp;S - Packaging and hh goods'!$N$4/SUM('R&amp;S - Packaging and hh goods'!$L$4:$N$4)*('R&amp;S - Packaging and hh goods'!$G8*'R&amp;S - Packaging and hh goods'!$L$14*('R&amp;S - Packaging and hh goods'!$AK$20+('R&amp;S - Packaging and hh goods'!$AK$21-'R&amp;S - Packaging and hh goods'!$AK$20)*(AA$3-$X$3)/10))</f>
        <v>729527.07955125801</v>
      </c>
      <c r="AB29" s="647">
        <f>AB27*'R&amp;S - Packaging and hh goods'!$L$4/SUM('R&amp;S - Packaging and hh goods'!$L$4:$N$4)*('R&amp;S - Packaging and hh goods'!$E8*'R&amp;S - Packaging and hh goods'!$H$14*('R&amp;S - Packaging and hh goods'!$AA$20+('R&amp;S - Packaging and hh goods'!$AA$21-'R&amp;S - Packaging and hh goods'!$AA$20)*(AB$3-$X$3)/10))+AB27*'R&amp;S - Packaging and hh goods'!$M$4/SUM('R&amp;S - Packaging and hh goods'!$L$4:$N$4)*('R&amp;S - Packaging and hh goods'!$F8*'R&amp;S - Packaging and hh goods'!$J$14*('R&amp;S - Packaging and hh goods'!$AF$20+('R&amp;S - Packaging and hh goods'!$AF$21-'R&amp;S - Packaging and hh goods'!$AF$20)*(AB$3-$X$3)/10))+AB27*'R&amp;S - Packaging and hh goods'!$N$4/SUM('R&amp;S - Packaging and hh goods'!$L$4:$N$4)*('R&amp;S - Packaging and hh goods'!$G8*'R&amp;S - Packaging and hh goods'!$L$14*('R&amp;S - Packaging and hh goods'!$AK$20+('R&amp;S - Packaging and hh goods'!$AK$21-'R&amp;S - Packaging and hh goods'!$AK$20)*(AB$3-$X$3)/10))</f>
        <v>772726.39464767172</v>
      </c>
      <c r="AC29" s="647">
        <f>AC27*'R&amp;S - Packaging and hh goods'!$L$4/SUM('R&amp;S - Packaging and hh goods'!$L$4:$N$4)*('R&amp;S - Packaging and hh goods'!$E8*'R&amp;S - Packaging and hh goods'!$H$14*('R&amp;S - Packaging and hh goods'!$AA$20+('R&amp;S - Packaging and hh goods'!$AA$21-'R&amp;S - Packaging and hh goods'!$AA$20)*(AC$3-$X$3)/10))+AC27*'R&amp;S - Packaging and hh goods'!$M$4/SUM('R&amp;S - Packaging and hh goods'!$L$4:$N$4)*('R&amp;S - Packaging and hh goods'!$F8*'R&amp;S - Packaging and hh goods'!$J$14*('R&amp;S - Packaging and hh goods'!$AF$20+('R&amp;S - Packaging and hh goods'!$AF$21-'R&amp;S - Packaging and hh goods'!$AF$20)*(AC$3-$X$3)/10))+AC27*'R&amp;S - Packaging and hh goods'!$N$4/SUM('R&amp;S - Packaging and hh goods'!$L$4:$N$4)*('R&amp;S - Packaging and hh goods'!$G8*'R&amp;S - Packaging and hh goods'!$L$14*('R&amp;S - Packaging and hh goods'!$AK$20+('R&amp;S - Packaging and hh goods'!$AK$21-'R&amp;S - Packaging and hh goods'!$AK$20)*(AC$3-$X$3)/10))</f>
        <v>815925.70974408579</v>
      </c>
      <c r="AD29" s="647">
        <f>AD27*'R&amp;S - Packaging and hh goods'!$L$4/SUM('R&amp;S - Packaging and hh goods'!$L$4:$N$4)*('R&amp;S - Packaging and hh goods'!$E8*'R&amp;S - Packaging and hh goods'!$H$14*('R&amp;S - Packaging and hh goods'!$AA$20+('R&amp;S - Packaging and hh goods'!$AA$21-'R&amp;S - Packaging and hh goods'!$AA$20)*(AD$3-$X$3)/10))+AD27*'R&amp;S - Packaging and hh goods'!$M$4/SUM('R&amp;S - Packaging and hh goods'!$L$4:$N$4)*('R&amp;S - Packaging and hh goods'!$F8*'R&amp;S - Packaging and hh goods'!$J$14*('R&amp;S - Packaging and hh goods'!$AF$20+('R&amp;S - Packaging and hh goods'!$AF$21-'R&amp;S - Packaging and hh goods'!$AF$20)*(AD$3-$X$3)/10))+AD27*'R&amp;S - Packaging and hh goods'!$N$4/SUM('R&amp;S - Packaging and hh goods'!$L$4:$N$4)*('R&amp;S - Packaging and hh goods'!$G8*'R&amp;S - Packaging and hh goods'!$L$14*('R&amp;S - Packaging and hh goods'!$AK$20+('R&amp;S - Packaging and hh goods'!$AK$21-'R&amp;S - Packaging and hh goods'!$AK$20)*(AD$3-$X$3)/10))</f>
        <v>859125.02484049962</v>
      </c>
      <c r="AE29" s="647">
        <f>AE27*'R&amp;S - Packaging and hh goods'!$L$4/SUM('R&amp;S - Packaging and hh goods'!$L$4:$N$4)*('R&amp;S - Packaging and hh goods'!$E8*'R&amp;S - Packaging and hh goods'!$H$14*('R&amp;S - Packaging and hh goods'!$AA$20+('R&amp;S - Packaging and hh goods'!$AA$21-'R&amp;S - Packaging and hh goods'!$AA$20)*(AE$3-$X$3)/10))+AE27*'R&amp;S - Packaging and hh goods'!$M$4/SUM('R&amp;S - Packaging and hh goods'!$L$4:$N$4)*('R&amp;S - Packaging and hh goods'!$F8*'R&amp;S - Packaging and hh goods'!$J$14*('R&amp;S - Packaging and hh goods'!$AF$20+('R&amp;S - Packaging and hh goods'!$AF$21-'R&amp;S - Packaging and hh goods'!$AF$20)*(AE$3-$X$3)/10))+AE27*'R&amp;S - Packaging and hh goods'!$N$4/SUM('R&amp;S - Packaging and hh goods'!$L$4:$N$4)*('R&amp;S - Packaging and hh goods'!$G8*'R&amp;S - Packaging and hh goods'!$L$14*('R&amp;S - Packaging and hh goods'!$AK$20+('R&amp;S - Packaging and hh goods'!$AK$21-'R&amp;S - Packaging and hh goods'!$AK$20)*(AE$3-$X$3)/10))</f>
        <v>902324.33993691334</v>
      </c>
      <c r="AF29" s="647">
        <f>AF27*'R&amp;S - Packaging and hh goods'!$L$4/SUM('R&amp;S - Packaging and hh goods'!$L$4:$N$4)*('R&amp;S - Packaging and hh goods'!$E8*'R&amp;S - Packaging and hh goods'!$H$14*('R&amp;S - Packaging and hh goods'!$AA$20+('R&amp;S - Packaging and hh goods'!$AA$21-'R&amp;S - Packaging and hh goods'!$AA$20)*(AF$3-$X$3)/10))+AF27*'R&amp;S - Packaging and hh goods'!$M$4/SUM('R&amp;S - Packaging and hh goods'!$L$4:$N$4)*('R&amp;S - Packaging and hh goods'!$F8*'R&amp;S - Packaging and hh goods'!$J$14*('R&amp;S - Packaging and hh goods'!$AF$20+('R&amp;S - Packaging and hh goods'!$AF$21-'R&amp;S - Packaging and hh goods'!$AF$20)*(AF$3-$X$3)/10))+AF27*'R&amp;S - Packaging and hh goods'!$N$4/SUM('R&amp;S - Packaging and hh goods'!$L$4:$N$4)*('R&amp;S - Packaging and hh goods'!$G8*'R&amp;S - Packaging and hh goods'!$L$14*('R&amp;S - Packaging and hh goods'!$AK$20+('R&amp;S - Packaging and hh goods'!$AK$21-'R&amp;S - Packaging and hh goods'!$AK$20)*(AF$3-$X$3)/10))</f>
        <v>945523.65503332706</v>
      </c>
      <c r="AG29" s="647">
        <f>AG27*'R&amp;S - Packaging and hh goods'!$L$4/SUM('R&amp;S - Packaging and hh goods'!$L$4:$N$4)*('R&amp;S - Packaging and hh goods'!$E8*'R&amp;S - Packaging and hh goods'!$H$14*('R&amp;S - Packaging and hh goods'!$AA$20+('R&amp;S - Packaging and hh goods'!$AA$21-'R&amp;S - Packaging and hh goods'!$AA$20)*(AG$3-$X$3)/10))+AG27*'R&amp;S - Packaging and hh goods'!$M$4/SUM('R&amp;S - Packaging and hh goods'!$L$4:$N$4)*('R&amp;S - Packaging and hh goods'!$F8*'R&amp;S - Packaging and hh goods'!$J$14*('R&amp;S - Packaging and hh goods'!$AF$20+('R&amp;S - Packaging and hh goods'!$AF$21-'R&amp;S - Packaging and hh goods'!$AF$20)*(AG$3-$X$3)/10))+AG27*'R&amp;S - Packaging and hh goods'!$N$4/SUM('R&amp;S - Packaging and hh goods'!$L$4:$N$4)*('R&amp;S - Packaging and hh goods'!$G8*'R&amp;S - Packaging and hh goods'!$L$14*('R&amp;S - Packaging and hh goods'!$AK$20+('R&amp;S - Packaging and hh goods'!$AK$21-'R&amp;S - Packaging and hh goods'!$AK$20)*(AG$3-$X$3)/10))</f>
        <v>988722.97012974101</v>
      </c>
      <c r="AH29" s="647">
        <f>AH27*'R&amp;S - Packaging and hh goods'!$L$4/SUM('R&amp;S - Packaging and hh goods'!$L$4:$N$4)*('R&amp;S - Packaging and hh goods'!$E8*'R&amp;S - Packaging and hh goods'!$H$14*('R&amp;S - Packaging and hh goods'!$AA$20+('R&amp;S - Packaging and hh goods'!$AA$21-'R&amp;S - Packaging and hh goods'!$AA$20)*(AH$3-$X$3)/10))+AH27*'R&amp;S - Packaging and hh goods'!$M$4/SUM('R&amp;S - Packaging and hh goods'!$L$4:$N$4)*('R&amp;S - Packaging and hh goods'!$F8*'R&amp;S - Packaging and hh goods'!$J$14*('R&amp;S - Packaging and hh goods'!$AF$20+('R&amp;S - Packaging and hh goods'!$AF$21-'R&amp;S - Packaging and hh goods'!$AF$20)*(AH$3-$X$3)/10))+AH27*'R&amp;S - Packaging and hh goods'!$N$4/SUM('R&amp;S - Packaging and hh goods'!$L$4:$N$4)*('R&amp;S - Packaging and hh goods'!$G8*'R&amp;S - Packaging and hh goods'!$L$14*('R&amp;S - Packaging and hh goods'!$AK$20+('R&amp;S - Packaging and hh goods'!$AK$21-'R&amp;S - Packaging and hh goods'!$AK$20)*(AH$3-$X$3)/10))</f>
        <v>1031922.2852261548</v>
      </c>
      <c r="AI29" s="191"/>
      <c r="AJ29" s="101">
        <v>0</v>
      </c>
      <c r="AK29" s="101">
        <f>AK27*'R&amp;S - Packaging and hh goods'!$L$4/SUM('R&amp;S - Packaging and hh goods'!$L$4:$N$4)*'R&amp;S - Packaging and hh goods'!$E$8*('R&amp;S - Packaging and hh goods'!$H$15*'R&amp;S - Packaging and hh goods'!$AA$19*(AK$3-$D$3)/10)+AK27*'R&amp;S - Packaging and hh goods'!$M$4/SUM('R&amp;S - Packaging and hh goods'!$L$4:$N$4)*'R&amp;S - Packaging and hh goods'!$F$8*('R&amp;S - Packaging and hh goods'!$J$15*'R&amp;S - Packaging and hh goods'!$AF$19*(AK$3-$D$3)/10)+AK27*'R&amp;S - Packaging and hh goods'!$N$4/SUM('R&amp;S - Packaging and hh goods'!$L$4:$N$4)*'R&amp;S - Packaging and hh goods'!$G$8*('R&amp;S - Packaging and hh goods'!$L$15*'R&amp;S - Packaging and hh goods'!$AK$19*(AK$3-$D$3)/10)</f>
        <v>14415.999340738583</v>
      </c>
      <c r="AL29" s="101">
        <f>AL27*'R&amp;S - Packaging and hh goods'!$L$4/SUM('R&amp;S - Packaging and hh goods'!$L$4:$N$4)*'R&amp;S - Packaging and hh goods'!$E$8*('R&amp;S - Packaging and hh goods'!$H$15*'R&amp;S - Packaging and hh goods'!$AA$19*(AL$3-$D$3)/10)+AL27*'R&amp;S - Packaging and hh goods'!$M$4/SUM('R&amp;S - Packaging and hh goods'!$L$4:$N$4)*'R&amp;S - Packaging and hh goods'!$F$8*('R&amp;S - Packaging and hh goods'!$J$15*'R&amp;S - Packaging and hh goods'!$AF$19*(AL$3-$D$3)/10)+AL27*'R&amp;S - Packaging and hh goods'!$N$4/SUM('R&amp;S - Packaging and hh goods'!$L$4:$N$4)*'R&amp;S - Packaging and hh goods'!$G$8*('R&amp;S - Packaging and hh goods'!$L$15*'R&amp;S - Packaging and hh goods'!$AK$19*(AL$3-$D$3)/10)</f>
        <v>28831.998681477166</v>
      </c>
      <c r="AM29" s="101">
        <f>AM27*'R&amp;S - Packaging and hh goods'!$L$4/SUM('R&amp;S - Packaging and hh goods'!$L$4:$N$4)*'R&amp;S - Packaging and hh goods'!$E$8*('R&amp;S - Packaging and hh goods'!$H$15*'R&amp;S - Packaging and hh goods'!$AA$19*(AM$3-$D$3)/10)+AM27*'R&amp;S - Packaging and hh goods'!$M$4/SUM('R&amp;S - Packaging and hh goods'!$L$4:$N$4)*'R&amp;S - Packaging and hh goods'!$F$8*('R&amp;S - Packaging and hh goods'!$J$15*'R&amp;S - Packaging and hh goods'!$AF$19*(AM$3-$D$3)/10)+AM27*'R&amp;S - Packaging and hh goods'!$N$4/SUM('R&amp;S - Packaging and hh goods'!$L$4:$N$4)*'R&amp;S - Packaging and hh goods'!$G$8*('R&amp;S - Packaging and hh goods'!$L$15*'R&amp;S - Packaging and hh goods'!$AK$19*(AM$3-$D$3)/10)</f>
        <v>43247.998022215746</v>
      </c>
      <c r="AN29" s="101">
        <f>AN27*'R&amp;S - Packaging and hh goods'!$L$4/SUM('R&amp;S - Packaging and hh goods'!$L$4:$N$4)*'R&amp;S - Packaging and hh goods'!$E$8*('R&amp;S - Packaging and hh goods'!$H$15*'R&amp;S - Packaging and hh goods'!$AA$19*(AN$3-$D$3)/10)+AN27*'R&amp;S - Packaging and hh goods'!$M$4/SUM('R&amp;S - Packaging and hh goods'!$L$4:$N$4)*'R&amp;S - Packaging and hh goods'!$F$8*('R&amp;S - Packaging and hh goods'!$J$15*'R&amp;S - Packaging and hh goods'!$AF$19*(AN$3-$D$3)/10)+AN27*'R&amp;S - Packaging and hh goods'!$N$4/SUM('R&amp;S - Packaging and hh goods'!$L$4:$N$4)*'R&amp;S - Packaging and hh goods'!$G$8*('R&amp;S - Packaging and hh goods'!$L$15*'R&amp;S - Packaging and hh goods'!$AK$19*(AN$3-$D$3)/10)</f>
        <v>57663.997362954331</v>
      </c>
      <c r="AO29" s="101">
        <f>AO27*'R&amp;S - Packaging and hh goods'!$L$4/SUM('R&amp;S - Packaging and hh goods'!$L$4:$N$4)*'R&amp;S - Packaging and hh goods'!$E$8*('R&amp;S - Packaging and hh goods'!$H$15*'R&amp;S - Packaging and hh goods'!$AA$19*(AO$3-$D$3)/10)+AO27*'R&amp;S - Packaging and hh goods'!$M$4/SUM('R&amp;S - Packaging and hh goods'!$L$4:$N$4)*'R&amp;S - Packaging and hh goods'!$F$8*('R&amp;S - Packaging and hh goods'!$J$15*'R&amp;S - Packaging and hh goods'!$AF$19*(AO$3-$D$3)/10)+AO27*'R&amp;S - Packaging and hh goods'!$N$4/SUM('R&amp;S - Packaging and hh goods'!$L$4:$N$4)*'R&amp;S - Packaging and hh goods'!$G$8*('R&amp;S - Packaging and hh goods'!$L$15*'R&amp;S - Packaging and hh goods'!$AK$19*(AO$3-$D$3)/10)</f>
        <v>72079.996703692901</v>
      </c>
      <c r="AP29" s="101">
        <f>AP27*'R&amp;S - Packaging and hh goods'!$L$4/SUM('R&amp;S - Packaging and hh goods'!$L$4:$N$4)*'R&amp;S - Packaging and hh goods'!$E$8*('R&amp;S - Packaging and hh goods'!$H$15*'R&amp;S - Packaging and hh goods'!$AA$19*(AP$3-$D$3)/10)+AP27*'R&amp;S - Packaging and hh goods'!$M$4/SUM('R&amp;S - Packaging and hh goods'!$L$4:$N$4)*'R&amp;S - Packaging and hh goods'!$F$8*('R&amp;S - Packaging and hh goods'!$J$15*'R&amp;S - Packaging and hh goods'!$AF$19*(AP$3-$D$3)/10)+AP27*'R&amp;S - Packaging and hh goods'!$N$4/SUM('R&amp;S - Packaging and hh goods'!$L$4:$N$4)*'R&amp;S - Packaging and hh goods'!$G$8*('R&amp;S - Packaging and hh goods'!$L$15*'R&amp;S - Packaging and hh goods'!$AK$19*(AP$3-$D$3)/10)</f>
        <v>86495.996044431493</v>
      </c>
      <c r="AQ29" s="101">
        <f>AQ27*'R&amp;S - Packaging and hh goods'!$L$4/SUM('R&amp;S - Packaging and hh goods'!$L$4:$N$4)*'R&amp;S - Packaging and hh goods'!$E$8*('R&amp;S - Packaging and hh goods'!$H$15*'R&amp;S - Packaging and hh goods'!$AA$19*(AQ$3-$D$3)/10)+AQ27*'R&amp;S - Packaging and hh goods'!$M$4/SUM('R&amp;S - Packaging and hh goods'!$L$4:$N$4)*'R&amp;S - Packaging and hh goods'!$F$8*('R&amp;S - Packaging and hh goods'!$J$15*'R&amp;S - Packaging and hh goods'!$AF$19*(AQ$3-$D$3)/10)+AQ27*'R&amp;S - Packaging and hh goods'!$N$4/SUM('R&amp;S - Packaging and hh goods'!$L$4:$N$4)*'R&amp;S - Packaging and hh goods'!$G$8*('R&amp;S - Packaging and hh goods'!$L$15*'R&amp;S - Packaging and hh goods'!$AK$19*(AQ$3-$D$3)/10)</f>
        <v>100911.99538517007</v>
      </c>
      <c r="AR29" s="101">
        <f>AR27*'R&amp;S - Packaging and hh goods'!$L$4/SUM('R&amp;S - Packaging and hh goods'!$L$4:$N$4)*'R&amp;S - Packaging and hh goods'!$E$8*('R&amp;S - Packaging and hh goods'!$H$15*'R&amp;S - Packaging and hh goods'!$AA$19*(AR$3-$D$3)/10)+AR27*'R&amp;S - Packaging and hh goods'!$M$4/SUM('R&amp;S - Packaging and hh goods'!$L$4:$N$4)*'R&amp;S - Packaging and hh goods'!$F$8*('R&amp;S - Packaging and hh goods'!$J$15*'R&amp;S - Packaging and hh goods'!$AF$19*(AR$3-$D$3)/10)+AR27*'R&amp;S - Packaging and hh goods'!$N$4/SUM('R&amp;S - Packaging and hh goods'!$L$4:$N$4)*'R&amp;S - Packaging and hh goods'!$G$8*('R&amp;S - Packaging and hh goods'!$L$15*'R&amp;S - Packaging and hh goods'!$AK$19*(AR$3-$D$3)/10)</f>
        <v>115327.99472590866</v>
      </c>
      <c r="AS29" s="101">
        <f>AS27*'R&amp;S - Packaging and hh goods'!$L$4/SUM('R&amp;S - Packaging and hh goods'!$L$4:$N$4)*'R&amp;S - Packaging and hh goods'!$E$8*('R&amp;S - Packaging and hh goods'!$H$15*'R&amp;S - Packaging and hh goods'!$AA$19*(AS$3-$D$3)/10)+AS27*'R&amp;S - Packaging and hh goods'!$M$4/SUM('R&amp;S - Packaging and hh goods'!$L$4:$N$4)*'R&amp;S - Packaging and hh goods'!$F$8*('R&amp;S - Packaging and hh goods'!$J$15*'R&amp;S - Packaging and hh goods'!$AF$19*(AS$3-$D$3)/10)+AS27*'R&amp;S - Packaging and hh goods'!$N$4/SUM('R&amp;S - Packaging and hh goods'!$L$4:$N$4)*'R&amp;S - Packaging and hh goods'!$G$8*('R&amp;S - Packaging and hh goods'!$L$15*'R&amp;S - Packaging and hh goods'!$AK$19*(AS$3-$D$3)/10)</f>
        <v>129743.99406664725</v>
      </c>
      <c r="AT29" s="101">
        <f>AT27*'R&amp;S - Packaging and hh goods'!$L$4/SUM('R&amp;S - Packaging and hh goods'!$L$4:$N$4)*'R&amp;S - Packaging and hh goods'!$E$8*('R&amp;S - Packaging and hh goods'!$H$15*'R&amp;S - Packaging and hh goods'!$AA$19*(AT$3-$D$3)/10)+AT27*'R&amp;S - Packaging and hh goods'!$M$4/SUM('R&amp;S - Packaging and hh goods'!$L$4:$N$4)*'R&amp;S - Packaging and hh goods'!$F$8*('R&amp;S - Packaging and hh goods'!$J$15*'R&amp;S - Packaging and hh goods'!$AF$19*(AT$3-$D$3)/10)+AT27*'R&amp;S - Packaging and hh goods'!$N$4/SUM('R&amp;S - Packaging and hh goods'!$L$4:$N$4)*'R&amp;S - Packaging and hh goods'!$G$8*('R&amp;S - Packaging and hh goods'!$L$15*'R&amp;S - Packaging and hh goods'!$AK$19*(AT$3-$D$3)/10)</f>
        <v>144159.9934073858</v>
      </c>
      <c r="AU29" s="647">
        <f>AU27*'R&amp;S - Packaging and hh goods'!$L$4/SUM('R&amp;S - Packaging and hh goods'!$L$4:$N$4)*('R&amp;S - Packaging and hh goods'!$E$8*'R&amp;S - Packaging and hh goods'!$H$15*('R&amp;S - Packaging and hh goods'!$AA$19+('R&amp;S - Packaging and hh goods'!$AA$20-'R&amp;S - Packaging and hh goods'!$AA$19)*(AU$3-$N$3)/10))+AU27*'R&amp;S - Packaging and hh goods'!$M$4/SUM('R&amp;S - Packaging and hh goods'!$L$4:$N$4)*('R&amp;S - Packaging and hh goods'!$F$8*'R&amp;S - Packaging and hh goods'!$J$15*('R&amp;S - Packaging and hh goods'!$AF$19+('R&amp;S - Packaging and hh goods'!$AF$20-'R&amp;S - Packaging and hh goods'!$AF$19)*(AU$3-$N$3)/10))+AU27*'R&amp;S - Packaging and hh goods'!$N$4/SUM('R&amp;S - Packaging and hh goods'!$L$4:$N$4)*('R&amp;S - Packaging and hh goods'!$G$8*'R&amp;S - Packaging and hh goods'!$L$15*('R&amp;S - Packaging and hh goods'!$AK$19+('R&amp;S - Packaging and hh goods'!$AK$20-'R&amp;S - Packaging and hh goods'!$AK$19)*(AU$3-$N$3)/10))</f>
        <v>173538.82086777446</v>
      </c>
      <c r="AV29" s="647">
        <f>AV27*'R&amp;S - Packaging and hh goods'!$L$4/SUM('R&amp;S - Packaging and hh goods'!$L$4:$N$4)*('R&amp;S - Packaging and hh goods'!$E$8*'R&amp;S - Packaging and hh goods'!$H$15*('R&amp;S - Packaging and hh goods'!$AA$19+('R&amp;S - Packaging and hh goods'!$AA$20-'R&amp;S - Packaging and hh goods'!$AA$19)*(AV$3-$N$3)/10))+AV27*'R&amp;S - Packaging and hh goods'!$M$4/SUM('R&amp;S - Packaging and hh goods'!$L$4:$N$4)*('R&amp;S - Packaging and hh goods'!$F$8*'R&amp;S - Packaging and hh goods'!$J$15*('R&amp;S - Packaging and hh goods'!$AF$19+('R&amp;S - Packaging and hh goods'!$AF$20-'R&amp;S - Packaging and hh goods'!$AF$19)*(AV$3-$N$3)/10))+AV27*'R&amp;S - Packaging and hh goods'!$N$4/SUM('R&amp;S - Packaging and hh goods'!$L$4:$N$4)*('R&amp;S - Packaging and hh goods'!$G$8*'R&amp;S - Packaging and hh goods'!$L$15*('R&amp;S - Packaging and hh goods'!$AK$19+('R&amp;S - Packaging and hh goods'!$AK$20-'R&amp;S - Packaging and hh goods'!$AK$19)*(AV$3-$N$3)/10))</f>
        <v>202917.64832816311</v>
      </c>
      <c r="AW29" s="647">
        <f>AW27*'R&amp;S - Packaging and hh goods'!$L$4/SUM('R&amp;S - Packaging and hh goods'!$L$4:$N$4)*('R&amp;S - Packaging and hh goods'!$E$8*'R&amp;S - Packaging and hh goods'!$H$15*('R&amp;S - Packaging and hh goods'!$AA$19+('R&amp;S - Packaging and hh goods'!$AA$20-'R&amp;S - Packaging and hh goods'!$AA$19)*(AW$3-$N$3)/10))+AW27*'R&amp;S - Packaging and hh goods'!$M$4/SUM('R&amp;S - Packaging and hh goods'!$L$4:$N$4)*('R&amp;S - Packaging and hh goods'!$F$8*'R&amp;S - Packaging and hh goods'!$J$15*('R&amp;S - Packaging and hh goods'!$AF$19+('R&amp;S - Packaging and hh goods'!$AF$20-'R&amp;S - Packaging and hh goods'!$AF$19)*(AW$3-$N$3)/10))+AW27*'R&amp;S - Packaging and hh goods'!$N$4/SUM('R&amp;S - Packaging and hh goods'!$L$4:$N$4)*('R&amp;S - Packaging and hh goods'!$G$8*'R&amp;S - Packaging and hh goods'!$L$15*('R&amp;S - Packaging and hh goods'!$AK$19+('R&amp;S - Packaging and hh goods'!$AK$20-'R&amp;S - Packaging and hh goods'!$AK$19)*(AW$3-$N$3)/10))</f>
        <v>232296.47578855167</v>
      </c>
      <c r="AX29" s="647">
        <f>AX27*'R&amp;S - Packaging and hh goods'!$L$4/SUM('R&amp;S - Packaging and hh goods'!$L$4:$N$4)*('R&amp;S - Packaging and hh goods'!$E$8*'R&amp;S - Packaging and hh goods'!$H$15*('R&amp;S - Packaging and hh goods'!$AA$19+('R&amp;S - Packaging and hh goods'!$AA$20-'R&amp;S - Packaging and hh goods'!$AA$19)*(AX$3-$N$3)/10))+AX27*'R&amp;S - Packaging and hh goods'!$M$4/SUM('R&amp;S - Packaging and hh goods'!$L$4:$N$4)*('R&amp;S - Packaging and hh goods'!$F$8*'R&amp;S - Packaging and hh goods'!$J$15*('R&amp;S - Packaging and hh goods'!$AF$19+('R&amp;S - Packaging and hh goods'!$AF$20-'R&amp;S - Packaging and hh goods'!$AF$19)*(AX$3-$N$3)/10))+AX27*'R&amp;S - Packaging and hh goods'!$N$4/SUM('R&amp;S - Packaging and hh goods'!$L$4:$N$4)*('R&amp;S - Packaging and hh goods'!$G$8*'R&amp;S - Packaging and hh goods'!$L$15*('R&amp;S - Packaging and hh goods'!$AK$19+('R&amp;S - Packaging and hh goods'!$AK$20-'R&amp;S - Packaging and hh goods'!$AK$19)*(AX$3-$N$3)/10))</f>
        <v>261675.3032489403</v>
      </c>
      <c r="AY29" s="647">
        <f>AY27*'R&amp;S - Packaging and hh goods'!$L$4/SUM('R&amp;S - Packaging and hh goods'!$L$4:$N$4)*('R&amp;S - Packaging and hh goods'!$E$8*'R&amp;S - Packaging and hh goods'!$H$15*('R&amp;S - Packaging and hh goods'!$AA$19+('R&amp;S - Packaging and hh goods'!$AA$20-'R&amp;S - Packaging and hh goods'!$AA$19)*(AY$3-$N$3)/10))+AY27*'R&amp;S - Packaging and hh goods'!$M$4/SUM('R&amp;S - Packaging and hh goods'!$L$4:$N$4)*('R&amp;S - Packaging and hh goods'!$F$8*'R&amp;S - Packaging and hh goods'!$J$15*('R&amp;S - Packaging and hh goods'!$AF$19+('R&amp;S - Packaging and hh goods'!$AF$20-'R&amp;S - Packaging and hh goods'!$AF$19)*(AY$3-$N$3)/10))+AY27*'R&amp;S - Packaging and hh goods'!$N$4/SUM('R&amp;S - Packaging and hh goods'!$L$4:$N$4)*('R&amp;S - Packaging and hh goods'!$G$8*'R&amp;S - Packaging and hh goods'!$L$15*('R&amp;S - Packaging and hh goods'!$AK$19+('R&amp;S - Packaging and hh goods'!$AK$20-'R&amp;S - Packaging and hh goods'!$AK$19)*(AY$3-$N$3)/10))</f>
        <v>291054.13070932898</v>
      </c>
      <c r="AZ29" s="647">
        <f>AZ27*'R&amp;S - Packaging and hh goods'!$L$4/SUM('R&amp;S - Packaging and hh goods'!$L$4:$N$4)*('R&amp;S - Packaging and hh goods'!$E$8*'R&amp;S - Packaging and hh goods'!$H$15*('R&amp;S - Packaging and hh goods'!$AA$19+('R&amp;S - Packaging and hh goods'!$AA$20-'R&amp;S - Packaging and hh goods'!$AA$19)*(AZ$3-$N$3)/10))+AZ27*'R&amp;S - Packaging and hh goods'!$M$4/SUM('R&amp;S - Packaging and hh goods'!$L$4:$N$4)*('R&amp;S - Packaging and hh goods'!$F$8*'R&amp;S - Packaging and hh goods'!$J$15*('R&amp;S - Packaging and hh goods'!$AF$19+('R&amp;S - Packaging and hh goods'!$AF$20-'R&amp;S - Packaging and hh goods'!$AF$19)*(AZ$3-$N$3)/10))+AZ27*'R&amp;S - Packaging and hh goods'!$N$4/SUM('R&amp;S - Packaging and hh goods'!$L$4:$N$4)*('R&amp;S - Packaging and hh goods'!$G$8*'R&amp;S - Packaging and hh goods'!$L$15*('R&amp;S - Packaging and hh goods'!$AK$19+('R&amp;S - Packaging and hh goods'!$AK$20-'R&amp;S - Packaging and hh goods'!$AK$19)*(AZ$3-$N$3)/10))</f>
        <v>320432.95816971757</v>
      </c>
      <c r="BA29" s="647">
        <f>BA27*'R&amp;S - Packaging and hh goods'!$L$4/SUM('R&amp;S - Packaging and hh goods'!$L$4:$N$4)*('R&amp;S - Packaging and hh goods'!$E$8*'R&amp;S - Packaging and hh goods'!$H$15*('R&amp;S - Packaging and hh goods'!$AA$19+('R&amp;S - Packaging and hh goods'!$AA$20-'R&amp;S - Packaging and hh goods'!$AA$19)*(BA$3-$N$3)/10))+BA27*'R&amp;S - Packaging and hh goods'!$M$4/SUM('R&amp;S - Packaging and hh goods'!$L$4:$N$4)*('R&amp;S - Packaging and hh goods'!$F$8*'R&amp;S - Packaging and hh goods'!$J$15*('R&amp;S - Packaging and hh goods'!$AF$19+('R&amp;S - Packaging and hh goods'!$AF$20-'R&amp;S - Packaging and hh goods'!$AF$19)*(BA$3-$N$3)/10))+BA27*'R&amp;S - Packaging and hh goods'!$N$4/SUM('R&amp;S - Packaging and hh goods'!$L$4:$N$4)*('R&amp;S - Packaging and hh goods'!$G$8*'R&amp;S - Packaging and hh goods'!$L$15*('R&amp;S - Packaging and hh goods'!$AK$19+('R&amp;S - Packaging and hh goods'!$AK$20-'R&amp;S - Packaging and hh goods'!$AK$19)*(BA$3-$N$3)/10))</f>
        <v>349811.78563010623</v>
      </c>
      <c r="BB29" s="647">
        <f>BB27*'R&amp;S - Packaging and hh goods'!$L$4/SUM('R&amp;S - Packaging and hh goods'!$L$4:$N$4)*('R&amp;S - Packaging and hh goods'!$E$8*'R&amp;S - Packaging and hh goods'!$H$15*('R&amp;S - Packaging and hh goods'!$AA$19+('R&amp;S - Packaging and hh goods'!$AA$20-'R&amp;S - Packaging and hh goods'!$AA$19)*(BB$3-$N$3)/10))+BB27*'R&amp;S - Packaging and hh goods'!$M$4/SUM('R&amp;S - Packaging and hh goods'!$L$4:$N$4)*('R&amp;S - Packaging and hh goods'!$F$8*'R&amp;S - Packaging and hh goods'!$J$15*('R&amp;S - Packaging and hh goods'!$AF$19+('R&amp;S - Packaging and hh goods'!$AF$20-'R&amp;S - Packaging and hh goods'!$AF$19)*(BB$3-$N$3)/10))+BB27*'R&amp;S - Packaging and hh goods'!$N$4/SUM('R&amp;S - Packaging and hh goods'!$L$4:$N$4)*('R&amp;S - Packaging and hh goods'!$G$8*'R&amp;S - Packaging and hh goods'!$L$15*('R&amp;S - Packaging and hh goods'!$AK$19+('R&amp;S - Packaging and hh goods'!$AK$20-'R&amp;S - Packaging and hh goods'!$AK$19)*(BB$3-$N$3)/10))</f>
        <v>379190.61309049482</v>
      </c>
      <c r="BC29" s="647">
        <f>BC27*'R&amp;S - Packaging and hh goods'!$L$4/SUM('R&amp;S - Packaging and hh goods'!$L$4:$N$4)*('R&amp;S - Packaging and hh goods'!$E$8*'R&amp;S - Packaging and hh goods'!$H$15*('R&amp;S - Packaging and hh goods'!$AA$19+('R&amp;S - Packaging and hh goods'!$AA$20-'R&amp;S - Packaging and hh goods'!$AA$19)*(BC$3-$N$3)/10))+BC27*'R&amp;S - Packaging and hh goods'!$M$4/SUM('R&amp;S - Packaging and hh goods'!$L$4:$N$4)*('R&amp;S - Packaging and hh goods'!$F$8*'R&amp;S - Packaging and hh goods'!$J$15*('R&amp;S - Packaging and hh goods'!$AF$19+('R&amp;S - Packaging and hh goods'!$AF$20-'R&amp;S - Packaging and hh goods'!$AF$19)*(BC$3-$N$3)/10))+BC27*'R&amp;S - Packaging and hh goods'!$N$4/SUM('R&amp;S - Packaging and hh goods'!$L$4:$N$4)*('R&amp;S - Packaging and hh goods'!$G$8*'R&amp;S - Packaging and hh goods'!$L$15*('R&amp;S - Packaging and hh goods'!$AK$19+('R&amp;S - Packaging and hh goods'!$AK$20-'R&amp;S - Packaging and hh goods'!$AK$19)*(BC$3-$N$3)/10))</f>
        <v>408569.44055088342</v>
      </c>
      <c r="BD29" s="647">
        <f>BD27*'R&amp;S - Packaging and hh goods'!$L$4/SUM('R&amp;S - Packaging and hh goods'!$L$4:$N$4)*('R&amp;S - Packaging and hh goods'!$E$8*'R&amp;S - Packaging and hh goods'!$H$15*('R&amp;S - Packaging and hh goods'!$AA$19+('R&amp;S - Packaging and hh goods'!$AA$20-'R&amp;S - Packaging and hh goods'!$AA$19)*(BD$3-$N$3)/10))+BD27*'R&amp;S - Packaging and hh goods'!$M$4/SUM('R&amp;S - Packaging and hh goods'!$L$4:$N$4)*('R&amp;S - Packaging and hh goods'!$F$8*'R&amp;S - Packaging and hh goods'!$J$15*('R&amp;S - Packaging and hh goods'!$AF$19+('R&amp;S - Packaging and hh goods'!$AF$20-'R&amp;S - Packaging and hh goods'!$AF$19)*(BD$3-$N$3)/10))+BD27*'R&amp;S - Packaging and hh goods'!$N$4/SUM('R&amp;S - Packaging and hh goods'!$L$4:$N$4)*('R&amp;S - Packaging and hh goods'!$G$8*'R&amp;S - Packaging and hh goods'!$L$15*('R&amp;S - Packaging and hh goods'!$AK$19+('R&amp;S - Packaging and hh goods'!$AK$20-'R&amp;S - Packaging and hh goods'!$AK$19)*(BD$3-$N$3)/10))</f>
        <v>437948.26801127207</v>
      </c>
      <c r="BE29" s="647">
        <f>BE27*'R&amp;S - Packaging and hh goods'!$L$4/SUM('R&amp;S - Packaging and hh goods'!$L$4:$N$4)*('R&amp;S - Packaging and hh goods'!$E8*'R&amp;S - Packaging and hh goods'!$H$15*('R&amp;S - Packaging and hh goods'!$AA$20+('R&amp;S - Packaging and hh goods'!$AA$21-'R&amp;S - Packaging and hh goods'!$AA$20)*(BE$3-$X$3)/10))+BE27*'R&amp;S - Packaging and hh goods'!$M$4/SUM('R&amp;S - Packaging and hh goods'!$L$4:$N$4)*('R&amp;S - Packaging and hh goods'!$F8*'R&amp;S - Packaging and hh goods'!$J$15*('R&amp;S - Packaging and hh goods'!$AF$20+('R&amp;S - Packaging and hh goods'!$AF$21-'R&amp;S - Packaging and hh goods'!$AF$20)*(BE$3-$X$3)/10))+BE27*'R&amp;S - Packaging and hh goods'!$N$4/SUM('R&amp;S - Packaging and hh goods'!$L$4:$N$4)*('R&amp;S - Packaging and hh goods'!$G8*'R&amp;S - Packaging and hh goods'!$L$15*('R&amp;S - Packaging and hh goods'!$AK$20+('R&amp;S - Packaging and hh goods'!$AK$21-'R&amp;S - Packaging and hh goods'!$AK$20)*(BE$3-$X$3)/10))</f>
        <v>469483.76803165418</v>
      </c>
      <c r="BF29" s="647">
        <f>BF27*'R&amp;S - Packaging and hh goods'!$L$4/SUM('R&amp;S - Packaging and hh goods'!$L$4:$N$4)*('R&amp;S - Packaging and hh goods'!$E8*'R&amp;S - Packaging and hh goods'!$H$15*('R&amp;S - Packaging and hh goods'!$AA$20+('R&amp;S - Packaging and hh goods'!$AA$21-'R&amp;S - Packaging and hh goods'!$AA$20)*(BF$3-$X$3)/10))+BF27*'R&amp;S - Packaging and hh goods'!$M$4/SUM('R&amp;S - Packaging and hh goods'!$L$4:$N$4)*('R&amp;S - Packaging and hh goods'!$F8*'R&amp;S - Packaging and hh goods'!$J$15*('R&amp;S - Packaging and hh goods'!$AF$20+('R&amp;S - Packaging and hh goods'!$AF$21-'R&amp;S - Packaging and hh goods'!$AF$20)*(BF$3-$X$3)/10))+BF27*'R&amp;S - Packaging and hh goods'!$N$4/SUM('R&amp;S - Packaging and hh goods'!$L$4:$N$4)*('R&amp;S - Packaging and hh goods'!$G8*'R&amp;S - Packaging and hh goods'!$L$15*('R&amp;S - Packaging and hh goods'!$AK$20+('R&amp;S - Packaging and hh goods'!$AK$21-'R&amp;S - Packaging and hh goods'!$AK$20)*(BF$3-$X$3)/10))</f>
        <v>501019.26805203618</v>
      </c>
      <c r="BG29" s="647">
        <f>BG27*'R&amp;S - Packaging and hh goods'!$L$4/SUM('R&amp;S - Packaging and hh goods'!$L$4:$N$4)*('R&amp;S - Packaging and hh goods'!$E8*'R&amp;S - Packaging and hh goods'!$H$15*('R&amp;S - Packaging and hh goods'!$AA$20+('R&amp;S - Packaging and hh goods'!$AA$21-'R&amp;S - Packaging and hh goods'!$AA$20)*(BG$3-$X$3)/10))+BG27*'R&amp;S - Packaging and hh goods'!$M$4/SUM('R&amp;S - Packaging and hh goods'!$L$4:$N$4)*('R&amp;S - Packaging and hh goods'!$F8*'R&amp;S - Packaging and hh goods'!$J$15*('R&amp;S - Packaging and hh goods'!$AF$20+('R&amp;S - Packaging and hh goods'!$AF$21-'R&amp;S - Packaging and hh goods'!$AF$20)*(BG$3-$X$3)/10))+BG27*'R&amp;S - Packaging and hh goods'!$N$4/SUM('R&amp;S - Packaging and hh goods'!$L$4:$N$4)*('R&amp;S - Packaging and hh goods'!$G8*'R&amp;S - Packaging and hh goods'!$L$15*('R&amp;S - Packaging and hh goods'!$AK$20+('R&amp;S - Packaging and hh goods'!$AK$21-'R&amp;S - Packaging and hh goods'!$AK$20)*(BG$3-$X$3)/10))</f>
        <v>532554.7680724184</v>
      </c>
      <c r="BH29" s="647">
        <f>BH27*'R&amp;S - Packaging and hh goods'!$L$4/SUM('R&amp;S - Packaging and hh goods'!$L$4:$N$4)*('R&amp;S - Packaging and hh goods'!$E8*'R&amp;S - Packaging and hh goods'!$H$15*('R&amp;S - Packaging and hh goods'!$AA$20+('R&amp;S - Packaging and hh goods'!$AA$21-'R&amp;S - Packaging and hh goods'!$AA$20)*(BH$3-$X$3)/10))+BH27*'R&amp;S - Packaging and hh goods'!$M$4/SUM('R&amp;S - Packaging and hh goods'!$L$4:$N$4)*('R&amp;S - Packaging and hh goods'!$F8*'R&amp;S - Packaging and hh goods'!$J$15*('R&amp;S - Packaging and hh goods'!$AF$20+('R&amp;S - Packaging and hh goods'!$AF$21-'R&amp;S - Packaging and hh goods'!$AF$20)*(BH$3-$X$3)/10))+BH27*'R&amp;S - Packaging and hh goods'!$N$4/SUM('R&amp;S - Packaging and hh goods'!$L$4:$N$4)*('R&amp;S - Packaging and hh goods'!$G8*'R&amp;S - Packaging and hh goods'!$L$15*('R&amp;S - Packaging and hh goods'!$AK$20+('R&amp;S - Packaging and hh goods'!$AK$21-'R&amp;S - Packaging and hh goods'!$AK$20)*(BH$3-$X$3)/10))</f>
        <v>564090.26809280051</v>
      </c>
      <c r="BI29" s="647">
        <f>BI27*'R&amp;S - Packaging and hh goods'!$L$4/SUM('R&amp;S - Packaging and hh goods'!$L$4:$N$4)*('R&amp;S - Packaging and hh goods'!$E8*'R&amp;S - Packaging and hh goods'!$H$15*('R&amp;S - Packaging and hh goods'!$AA$20+('R&amp;S - Packaging and hh goods'!$AA$21-'R&amp;S - Packaging and hh goods'!$AA$20)*(BI$3-$X$3)/10))+BI27*'R&amp;S - Packaging and hh goods'!$M$4/SUM('R&amp;S - Packaging and hh goods'!$L$4:$N$4)*('R&amp;S - Packaging and hh goods'!$F8*'R&amp;S - Packaging and hh goods'!$J$15*('R&amp;S - Packaging and hh goods'!$AF$20+('R&amp;S - Packaging and hh goods'!$AF$21-'R&amp;S - Packaging and hh goods'!$AF$20)*(BI$3-$X$3)/10))+BI27*'R&amp;S - Packaging and hh goods'!$N$4/SUM('R&amp;S - Packaging and hh goods'!$L$4:$N$4)*('R&amp;S - Packaging and hh goods'!$G8*'R&amp;S - Packaging and hh goods'!$L$15*('R&amp;S - Packaging and hh goods'!$AK$20+('R&amp;S - Packaging and hh goods'!$AK$21-'R&amp;S - Packaging and hh goods'!$AK$20)*(BI$3-$X$3)/10))</f>
        <v>595625.76811318251</v>
      </c>
      <c r="BJ29" s="647">
        <f>BJ27*'R&amp;S - Packaging and hh goods'!$L$4/SUM('R&amp;S - Packaging and hh goods'!$L$4:$N$4)*('R&amp;S - Packaging and hh goods'!$E8*'R&amp;S - Packaging and hh goods'!$H$15*('R&amp;S - Packaging and hh goods'!$AA$20+('R&amp;S - Packaging and hh goods'!$AA$21-'R&amp;S - Packaging and hh goods'!$AA$20)*(BJ$3-$X$3)/10))+BJ27*'R&amp;S - Packaging and hh goods'!$M$4/SUM('R&amp;S - Packaging and hh goods'!$L$4:$N$4)*('R&amp;S - Packaging and hh goods'!$F8*'R&amp;S - Packaging and hh goods'!$J$15*('R&amp;S - Packaging and hh goods'!$AF$20+('R&amp;S - Packaging and hh goods'!$AF$21-'R&amp;S - Packaging and hh goods'!$AF$20)*(BJ$3-$X$3)/10))+BJ27*'R&amp;S - Packaging and hh goods'!$N$4/SUM('R&amp;S - Packaging and hh goods'!$L$4:$N$4)*('R&amp;S - Packaging and hh goods'!$G8*'R&amp;S - Packaging and hh goods'!$L$15*('R&amp;S - Packaging and hh goods'!$AK$20+('R&amp;S - Packaging and hh goods'!$AK$21-'R&amp;S - Packaging and hh goods'!$AK$20)*(BJ$3-$X$3)/10))</f>
        <v>627161.26813356462</v>
      </c>
      <c r="BK29" s="647">
        <f>BK27*'R&amp;S - Packaging and hh goods'!$L$4/SUM('R&amp;S - Packaging and hh goods'!$L$4:$N$4)*('R&amp;S - Packaging and hh goods'!$E8*'R&amp;S - Packaging and hh goods'!$H$15*('R&amp;S - Packaging and hh goods'!$AA$20+('R&amp;S - Packaging and hh goods'!$AA$21-'R&amp;S - Packaging and hh goods'!$AA$20)*(BK$3-$X$3)/10))+BK27*'R&amp;S - Packaging and hh goods'!$M$4/SUM('R&amp;S - Packaging and hh goods'!$L$4:$N$4)*('R&amp;S - Packaging and hh goods'!$F8*'R&amp;S - Packaging and hh goods'!$J$15*('R&amp;S - Packaging and hh goods'!$AF$20+('R&amp;S - Packaging and hh goods'!$AF$21-'R&amp;S - Packaging and hh goods'!$AF$20)*(BK$3-$X$3)/10))+BK27*'R&amp;S - Packaging and hh goods'!$N$4/SUM('R&amp;S - Packaging and hh goods'!$L$4:$N$4)*('R&amp;S - Packaging and hh goods'!$G8*'R&amp;S - Packaging and hh goods'!$L$15*('R&amp;S - Packaging and hh goods'!$AK$20+('R&amp;S - Packaging and hh goods'!$AK$21-'R&amp;S - Packaging and hh goods'!$AK$20)*(BK$3-$X$3)/10))</f>
        <v>658696.76815394661</v>
      </c>
      <c r="BL29" s="647">
        <f>BL27*'R&amp;S - Packaging and hh goods'!$L$4/SUM('R&amp;S - Packaging and hh goods'!$L$4:$N$4)*('R&amp;S - Packaging and hh goods'!$E8*'R&amp;S - Packaging and hh goods'!$H$15*('R&amp;S - Packaging and hh goods'!$AA$20+('R&amp;S - Packaging and hh goods'!$AA$21-'R&amp;S - Packaging and hh goods'!$AA$20)*(BL$3-$X$3)/10))+BL27*'R&amp;S - Packaging and hh goods'!$M$4/SUM('R&amp;S - Packaging and hh goods'!$L$4:$N$4)*('R&amp;S - Packaging and hh goods'!$F8*'R&amp;S - Packaging and hh goods'!$J$15*('R&amp;S - Packaging and hh goods'!$AF$20+('R&amp;S - Packaging and hh goods'!$AF$21-'R&amp;S - Packaging and hh goods'!$AF$20)*(BL$3-$X$3)/10))+BL27*'R&amp;S - Packaging and hh goods'!$N$4/SUM('R&amp;S - Packaging and hh goods'!$L$4:$N$4)*('R&amp;S - Packaging and hh goods'!$G8*'R&amp;S - Packaging and hh goods'!$L$15*('R&amp;S - Packaging and hh goods'!$AK$20+('R&amp;S - Packaging and hh goods'!$AK$21-'R&amp;S - Packaging and hh goods'!$AK$20)*(BL$3-$X$3)/10))</f>
        <v>690232.26817432884</v>
      </c>
      <c r="BM29" s="647">
        <f>BM27*'R&amp;S - Packaging and hh goods'!$L$4/SUM('R&amp;S - Packaging and hh goods'!$L$4:$N$4)*('R&amp;S - Packaging and hh goods'!$E8*'R&amp;S - Packaging and hh goods'!$H$15*('R&amp;S - Packaging and hh goods'!$AA$20+('R&amp;S - Packaging and hh goods'!$AA$21-'R&amp;S - Packaging and hh goods'!$AA$20)*(BM$3-$X$3)/10))+BM27*'R&amp;S - Packaging and hh goods'!$M$4/SUM('R&amp;S - Packaging and hh goods'!$L$4:$N$4)*('R&amp;S - Packaging and hh goods'!$F8*'R&amp;S - Packaging and hh goods'!$J$15*('R&amp;S - Packaging and hh goods'!$AF$20+('R&amp;S - Packaging and hh goods'!$AF$21-'R&amp;S - Packaging and hh goods'!$AF$20)*(BM$3-$X$3)/10))+BM27*'R&amp;S - Packaging and hh goods'!$N$4/SUM('R&amp;S - Packaging and hh goods'!$L$4:$N$4)*('R&amp;S - Packaging and hh goods'!$G8*'R&amp;S - Packaging and hh goods'!$L$15*('R&amp;S - Packaging and hh goods'!$AK$20+('R&amp;S - Packaging and hh goods'!$AK$21-'R&amp;S - Packaging and hh goods'!$AK$20)*(BM$3-$X$3)/10))</f>
        <v>721767.76819471084</v>
      </c>
      <c r="BN29" s="647">
        <f>BN27*'R&amp;S - Packaging and hh goods'!$L$4/SUM('R&amp;S - Packaging and hh goods'!$L$4:$N$4)*('R&amp;S - Packaging and hh goods'!$E8*'R&amp;S - Packaging and hh goods'!$H$15*('R&amp;S - Packaging and hh goods'!$AA$20+('R&amp;S - Packaging and hh goods'!$AA$21-'R&amp;S - Packaging and hh goods'!$AA$20)*(BN$3-$X$3)/10))+BN27*'R&amp;S - Packaging and hh goods'!$M$4/SUM('R&amp;S - Packaging and hh goods'!$L$4:$N$4)*('R&amp;S - Packaging and hh goods'!$F8*'R&amp;S - Packaging and hh goods'!$J$15*('R&amp;S - Packaging and hh goods'!$AF$20+('R&amp;S - Packaging and hh goods'!$AF$21-'R&amp;S - Packaging and hh goods'!$AF$20)*(BN$3-$X$3)/10))+BN27*'R&amp;S - Packaging and hh goods'!$N$4/SUM('R&amp;S - Packaging and hh goods'!$L$4:$N$4)*('R&amp;S - Packaging and hh goods'!$G8*'R&amp;S - Packaging and hh goods'!$L$15*('R&amp;S - Packaging and hh goods'!$AK$20+('R&amp;S - Packaging and hh goods'!$AK$21-'R&amp;S - Packaging and hh goods'!$AK$20)*(BN$3-$X$3)/10))</f>
        <v>753303.26821509295</v>
      </c>
      <c r="BQ29" s="1" t="s">
        <v>915</v>
      </c>
      <c r="BR29" t="s">
        <v>908</v>
      </c>
      <c r="BS29" s="41" t="e">
        <f>#REF!</f>
        <v>#REF!</v>
      </c>
      <c r="BU29" t="str" cm="1">
        <f t="array" ref="BU29:BW33">'Sankey Methanol_detailed'!Q21:S25</f>
        <v>Fuel</v>
      </c>
      <c r="BV29" s="41">
        <v>28.587862624213781</v>
      </c>
      <c r="BW29" s="2">
        <v>0.27471012342412782</v>
      </c>
    </row>
    <row r="30" spans="1:85" outlineLevel="1">
      <c r="B30" s="1" t="s">
        <v>164</v>
      </c>
      <c r="C30" s="51" t="s">
        <v>166</v>
      </c>
      <c r="D30" s="101">
        <f>SUM(D28:D29)</f>
        <v>0</v>
      </c>
      <c r="E30" s="101">
        <f t="shared" ref="E30:Y30" si="22">SUM(E28:E29)</f>
        <v>21262.731557360774</v>
      </c>
      <c r="F30" s="101">
        <f t="shared" si="22"/>
        <v>42525.463114721548</v>
      </c>
      <c r="G30" s="101">
        <f t="shared" si="22"/>
        <v>63788.194672082325</v>
      </c>
      <c r="H30" s="101">
        <f t="shared" si="22"/>
        <v>85050.926229443096</v>
      </c>
      <c r="I30" s="101">
        <f t="shared" si="22"/>
        <v>106313.65778680387</v>
      </c>
      <c r="J30" s="101">
        <f t="shared" si="22"/>
        <v>127576.38934416465</v>
      </c>
      <c r="K30" s="101">
        <f t="shared" si="22"/>
        <v>148839.1209015254</v>
      </c>
      <c r="L30" s="101">
        <f t="shared" si="22"/>
        <v>170101.85245888619</v>
      </c>
      <c r="M30" s="101">
        <f t="shared" si="22"/>
        <v>191364.58401624695</v>
      </c>
      <c r="N30" s="101">
        <f t="shared" si="22"/>
        <v>212627.31557360775</v>
      </c>
      <c r="O30" s="647">
        <f t="shared" si="22"/>
        <v>264610.22114570474</v>
      </c>
      <c r="P30" s="647">
        <f t="shared" ref="P30:X30" si="23">SUM(P28:P29)</f>
        <v>316593.12671780185</v>
      </c>
      <c r="Q30" s="647">
        <f t="shared" si="23"/>
        <v>368576.0322898989</v>
      </c>
      <c r="R30" s="647">
        <f t="shared" si="23"/>
        <v>420558.93786199589</v>
      </c>
      <c r="S30" s="647">
        <f t="shared" si="23"/>
        <v>472541.843434093</v>
      </c>
      <c r="T30" s="647">
        <f t="shared" si="23"/>
        <v>524524.74900618999</v>
      </c>
      <c r="U30" s="647">
        <f t="shared" si="23"/>
        <v>576507.65457828704</v>
      </c>
      <c r="V30" s="647">
        <f t="shared" si="23"/>
        <v>628490.56015038409</v>
      </c>
      <c r="W30" s="647">
        <f t="shared" si="23"/>
        <v>680473.46572248114</v>
      </c>
      <c r="X30" s="647">
        <f t="shared" si="23"/>
        <v>732456.37129457807</v>
      </c>
      <c r="Y30" s="647">
        <f t="shared" si="22"/>
        <v>787649.41693738848</v>
      </c>
      <c r="Z30" s="647">
        <f t="shared" ref="Z30:AH30" si="24">SUM(Z28:Z29)</f>
        <v>842842.46258019854</v>
      </c>
      <c r="AA30" s="647">
        <f t="shared" si="24"/>
        <v>898035.50822300883</v>
      </c>
      <c r="AB30" s="647">
        <f t="shared" si="24"/>
        <v>953228.55386581877</v>
      </c>
      <c r="AC30" s="647">
        <f t="shared" si="24"/>
        <v>1008421.5995086293</v>
      </c>
      <c r="AD30" s="647">
        <f t="shared" si="24"/>
        <v>1063614.6451514396</v>
      </c>
      <c r="AE30" s="647">
        <f t="shared" si="24"/>
        <v>1118807.6907942495</v>
      </c>
      <c r="AF30" s="647">
        <f t="shared" si="24"/>
        <v>1174000.7364370597</v>
      </c>
      <c r="AG30" s="647">
        <f t="shared" si="24"/>
        <v>1229193.7820798699</v>
      </c>
      <c r="AH30" s="647">
        <f t="shared" si="24"/>
        <v>1284386.8277226803</v>
      </c>
      <c r="AI30" s="191"/>
      <c r="AJ30" s="101">
        <f>SUM(AJ28:AJ29)</f>
        <v>0</v>
      </c>
      <c r="AK30" s="101">
        <f t="shared" ref="AK30:BN30" si="25">SUM(AK28:AK29)</f>
        <v>15521.794036873363</v>
      </c>
      <c r="AL30" s="101">
        <f t="shared" si="25"/>
        <v>31043.588073746727</v>
      </c>
      <c r="AM30" s="101">
        <f t="shared" si="25"/>
        <v>46565.382110620092</v>
      </c>
      <c r="AN30" s="101">
        <f t="shared" si="25"/>
        <v>62087.176147493454</v>
      </c>
      <c r="AO30" s="101">
        <f t="shared" si="25"/>
        <v>77608.970184366801</v>
      </c>
      <c r="AP30" s="101">
        <f t="shared" si="25"/>
        <v>93130.764221240184</v>
      </c>
      <c r="AQ30" s="101">
        <f t="shared" si="25"/>
        <v>108652.55825811354</v>
      </c>
      <c r="AR30" s="101">
        <f t="shared" si="25"/>
        <v>124174.35229498691</v>
      </c>
      <c r="AS30" s="101">
        <f t="shared" si="25"/>
        <v>139696.14633186028</v>
      </c>
      <c r="AT30" s="101">
        <f t="shared" si="25"/>
        <v>155217.9403687336</v>
      </c>
      <c r="AU30" s="647">
        <f t="shared" si="25"/>
        <v>193165.46143636448</v>
      </c>
      <c r="AV30" s="647">
        <f t="shared" si="25"/>
        <v>231112.98250399536</v>
      </c>
      <c r="AW30" s="647">
        <f t="shared" si="25"/>
        <v>269060.50357162615</v>
      </c>
      <c r="AX30" s="647">
        <f t="shared" si="25"/>
        <v>307008.024639257</v>
      </c>
      <c r="AY30" s="647">
        <f t="shared" si="25"/>
        <v>344955.5457068879</v>
      </c>
      <c r="AZ30" s="647">
        <f t="shared" si="25"/>
        <v>382903.06677451869</v>
      </c>
      <c r="BA30" s="647">
        <f t="shared" si="25"/>
        <v>420850.58784214954</v>
      </c>
      <c r="BB30" s="647">
        <f t="shared" si="25"/>
        <v>458798.10890978039</v>
      </c>
      <c r="BC30" s="647">
        <f t="shared" si="25"/>
        <v>496745.62997741118</v>
      </c>
      <c r="BD30" s="647">
        <f t="shared" si="25"/>
        <v>534693.15104504209</v>
      </c>
      <c r="BE30" s="647">
        <f t="shared" si="25"/>
        <v>574984.0743642936</v>
      </c>
      <c r="BF30" s="647">
        <f t="shared" si="25"/>
        <v>615274.99768354488</v>
      </c>
      <c r="BG30" s="647">
        <f t="shared" si="25"/>
        <v>655565.9210027965</v>
      </c>
      <c r="BH30" s="647">
        <f t="shared" si="25"/>
        <v>695856.84432204789</v>
      </c>
      <c r="BI30" s="647">
        <f t="shared" si="25"/>
        <v>736147.76764129929</v>
      </c>
      <c r="BJ30" s="647">
        <f t="shared" si="25"/>
        <v>776438.69096055068</v>
      </c>
      <c r="BK30" s="647">
        <f t="shared" si="25"/>
        <v>816729.61427980207</v>
      </c>
      <c r="BL30" s="647">
        <f t="shared" si="25"/>
        <v>857020.5375990537</v>
      </c>
      <c r="BM30" s="647">
        <f t="shared" si="25"/>
        <v>897311.46091830498</v>
      </c>
      <c r="BN30" s="647">
        <f t="shared" si="25"/>
        <v>937602.38423755649</v>
      </c>
      <c r="BR30" t="s">
        <v>911</v>
      </c>
      <c r="BS30" s="41">
        <f>D9</f>
        <v>43750.7454163523</v>
      </c>
      <c r="BU30" t="str">
        <v>Major Polymers</v>
      </c>
      <c r="BV30" s="41">
        <v>28.851572700948026</v>
      </c>
      <c r="BW30" s="2">
        <v>0.27724419981452192</v>
      </c>
    </row>
    <row r="31" spans="1:85" outlineLevel="1">
      <c r="B31" s="58" t="s">
        <v>189</v>
      </c>
      <c r="C31" s="51" t="s">
        <v>166</v>
      </c>
      <c r="D31" s="101">
        <v>0</v>
      </c>
      <c r="E31" s="101">
        <f>E27*'R&amp;S - Packaging and hh goods'!$L$4/SUM('R&amp;S - Packaging and hh goods'!$L$4:$N$4)*'R&amp;S - Packaging and hh goods'!$E$9*('R&amp;S - Packaging and hh goods'!$I$14*'R&amp;S - Packaging and hh goods'!$AB$19*(E$3-$D$3)/10)+E27*'R&amp;S - Packaging and hh goods'!$M$4/SUM('R&amp;S - Packaging and hh goods'!$L$4:$N$4)*'R&amp;S - Packaging and hh goods'!$F$9*('R&amp;S - Packaging and hh goods'!$K$14*'R&amp;S - Packaging and hh goods'!$AG$19*(E$3-$D$3)/10)+E27*'R&amp;S - Packaging and hh goods'!$N$4/SUM('R&amp;S - Packaging and hh goods'!$L$4:$N$4)*'R&amp;S - Packaging and hh goods'!$G$9*('R&amp;S - Packaging and hh goods'!$M$14*'R&amp;S - Packaging and hh goods'!$AL$19*(E$3-$D$3)/10)</f>
        <v>5316.7843727309664</v>
      </c>
      <c r="F31" s="101">
        <f>F27*'R&amp;S - Packaging and hh goods'!$L$4/SUM('R&amp;S - Packaging and hh goods'!$L$4:$N$4)*'R&amp;S - Packaging and hh goods'!$E$9*('R&amp;S - Packaging and hh goods'!$I$14*'R&amp;S - Packaging and hh goods'!$AB$19*(F$3-$D$3)/10)+F27*'R&amp;S - Packaging and hh goods'!$M$4/SUM('R&amp;S - Packaging and hh goods'!$L$4:$N$4)*'R&amp;S - Packaging and hh goods'!$F$9*('R&amp;S - Packaging and hh goods'!$K$14*'R&amp;S - Packaging and hh goods'!$AG$19*(F$3-$D$3)/10)+F27*'R&amp;S - Packaging and hh goods'!$N$4/SUM('R&amp;S - Packaging and hh goods'!$L$4:$N$4)*'R&amp;S - Packaging and hh goods'!$G$9*('R&amp;S - Packaging and hh goods'!$M$14*'R&amp;S - Packaging and hh goods'!$AL$19*(F$3-$D$3)/10)</f>
        <v>10633.568745461933</v>
      </c>
      <c r="G31" s="101">
        <f>G27*'R&amp;S - Packaging and hh goods'!$L$4/SUM('R&amp;S - Packaging and hh goods'!$L$4:$N$4)*'R&amp;S - Packaging and hh goods'!$E$9*('R&amp;S - Packaging and hh goods'!$I$14*'R&amp;S - Packaging and hh goods'!$AB$19*(G$3-$D$3)/10)+G27*'R&amp;S - Packaging and hh goods'!$M$4/SUM('R&amp;S - Packaging and hh goods'!$L$4:$N$4)*'R&amp;S - Packaging and hh goods'!$F$9*('R&amp;S - Packaging and hh goods'!$K$14*'R&amp;S - Packaging and hh goods'!$AG$19*(G$3-$D$3)/10)+G27*'R&amp;S - Packaging and hh goods'!$N$4/SUM('R&amp;S - Packaging and hh goods'!$L$4:$N$4)*'R&amp;S - Packaging and hh goods'!$G$9*('R&amp;S - Packaging and hh goods'!$M$14*'R&amp;S - Packaging and hh goods'!$AL$19*(G$3-$D$3)/10)</f>
        <v>15950.353118192899</v>
      </c>
      <c r="H31" s="101">
        <f>H27*'R&amp;S - Packaging and hh goods'!$L$4/SUM('R&amp;S - Packaging and hh goods'!$L$4:$N$4)*'R&amp;S - Packaging and hh goods'!$E$9*('R&amp;S - Packaging and hh goods'!$I$14*'R&amp;S - Packaging and hh goods'!$AB$19*(H$3-$D$3)/10)+H27*'R&amp;S - Packaging and hh goods'!$M$4/SUM('R&amp;S - Packaging and hh goods'!$L$4:$N$4)*'R&amp;S - Packaging and hh goods'!$F$9*('R&amp;S - Packaging and hh goods'!$K$14*'R&amp;S - Packaging and hh goods'!$AG$19*(H$3-$D$3)/10)+H27*'R&amp;S - Packaging and hh goods'!$N$4/SUM('R&amp;S - Packaging and hh goods'!$L$4:$N$4)*'R&amp;S - Packaging and hh goods'!$G$9*('R&amp;S - Packaging and hh goods'!$M$14*'R&amp;S - Packaging and hh goods'!$AL$19*(H$3-$D$3)/10)</f>
        <v>21267.137490923866</v>
      </c>
      <c r="I31" s="101">
        <f>I27*'R&amp;S - Packaging and hh goods'!$L$4/SUM('R&amp;S - Packaging and hh goods'!$L$4:$N$4)*'R&amp;S - Packaging and hh goods'!$E$9*('R&amp;S - Packaging and hh goods'!$I$14*'R&amp;S - Packaging and hh goods'!$AB$19*(I$3-$D$3)/10)+I27*'R&amp;S - Packaging and hh goods'!$M$4/SUM('R&amp;S - Packaging and hh goods'!$L$4:$N$4)*'R&amp;S - Packaging and hh goods'!$F$9*('R&amp;S - Packaging and hh goods'!$K$14*'R&amp;S - Packaging and hh goods'!$AG$19*(I$3-$D$3)/10)+I27*'R&amp;S - Packaging and hh goods'!$N$4/SUM('R&amp;S - Packaging and hh goods'!$L$4:$N$4)*'R&amp;S - Packaging and hh goods'!$G$9*('R&amp;S - Packaging and hh goods'!$M$14*'R&amp;S - Packaging and hh goods'!$AL$19*(I$3-$D$3)/10)</f>
        <v>26583.921863654836</v>
      </c>
      <c r="J31" s="101">
        <f>J27*'R&amp;S - Packaging and hh goods'!$L$4/SUM('R&amp;S - Packaging and hh goods'!$L$4:$N$4)*'R&amp;S - Packaging and hh goods'!$E$9*('R&amp;S - Packaging and hh goods'!$I$14*'R&amp;S - Packaging and hh goods'!$AB$19*(J$3-$D$3)/10)+J27*'R&amp;S - Packaging and hh goods'!$M$4/SUM('R&amp;S - Packaging and hh goods'!$L$4:$N$4)*'R&amp;S - Packaging and hh goods'!$F$9*('R&amp;S - Packaging and hh goods'!$K$14*'R&amp;S - Packaging and hh goods'!$AG$19*(J$3-$D$3)/10)+J27*'R&amp;S - Packaging and hh goods'!$N$4/SUM('R&amp;S - Packaging and hh goods'!$L$4:$N$4)*'R&amp;S - Packaging and hh goods'!$G$9*('R&amp;S - Packaging and hh goods'!$M$14*'R&amp;S - Packaging and hh goods'!$AL$19*(J$3-$D$3)/10)</f>
        <v>31900.706236385799</v>
      </c>
      <c r="K31" s="101">
        <f>K27*'R&amp;S - Packaging and hh goods'!$L$4/SUM('R&amp;S - Packaging and hh goods'!$L$4:$N$4)*'R&amp;S - Packaging and hh goods'!$E$9*('R&amp;S - Packaging and hh goods'!$I$14*'R&amp;S - Packaging and hh goods'!$AB$19*(K$3-$D$3)/10)+K27*'R&amp;S - Packaging and hh goods'!$M$4/SUM('R&amp;S - Packaging and hh goods'!$L$4:$N$4)*'R&amp;S - Packaging and hh goods'!$F$9*('R&amp;S - Packaging and hh goods'!$K$14*'R&amp;S - Packaging and hh goods'!$AG$19*(K$3-$D$3)/10)+K27*'R&amp;S - Packaging and hh goods'!$N$4/SUM('R&amp;S - Packaging and hh goods'!$L$4:$N$4)*'R&amp;S - Packaging and hh goods'!$G$9*('R&amp;S - Packaging and hh goods'!$M$14*'R&amp;S - Packaging and hh goods'!$AL$19*(K$3-$D$3)/10)</f>
        <v>37217.490609116765</v>
      </c>
      <c r="L31" s="101">
        <f>L27*'R&amp;S - Packaging and hh goods'!$L$4/SUM('R&amp;S - Packaging and hh goods'!$L$4:$N$4)*'R&amp;S - Packaging and hh goods'!$E$9*('R&amp;S - Packaging and hh goods'!$I$14*'R&amp;S - Packaging and hh goods'!$AB$19*(L$3-$D$3)/10)+L27*'R&amp;S - Packaging and hh goods'!$M$4/SUM('R&amp;S - Packaging and hh goods'!$L$4:$N$4)*'R&amp;S - Packaging and hh goods'!$F$9*('R&amp;S - Packaging and hh goods'!$K$14*'R&amp;S - Packaging and hh goods'!$AG$19*(L$3-$D$3)/10)+L27*'R&amp;S - Packaging and hh goods'!$N$4/SUM('R&amp;S - Packaging and hh goods'!$L$4:$N$4)*'R&amp;S - Packaging and hh goods'!$G$9*('R&amp;S - Packaging and hh goods'!$M$14*'R&amp;S - Packaging and hh goods'!$AL$19*(L$3-$D$3)/10)</f>
        <v>42534.274981847731</v>
      </c>
      <c r="M31" s="101">
        <f>M27*'R&amp;S - Packaging and hh goods'!$L$4/SUM('R&amp;S - Packaging and hh goods'!$L$4:$N$4)*'R&amp;S - Packaging and hh goods'!$E$9*('R&amp;S - Packaging and hh goods'!$I$14*'R&amp;S - Packaging and hh goods'!$AB$19*(M$3-$D$3)/10)+M27*'R&amp;S - Packaging and hh goods'!$M$4/SUM('R&amp;S - Packaging and hh goods'!$L$4:$N$4)*'R&amp;S - Packaging and hh goods'!$F$9*('R&amp;S - Packaging and hh goods'!$K$14*'R&amp;S - Packaging and hh goods'!$AG$19*(M$3-$D$3)/10)+M27*'R&amp;S - Packaging and hh goods'!$N$4/SUM('R&amp;S - Packaging and hh goods'!$L$4:$N$4)*'R&amp;S - Packaging and hh goods'!$G$9*('R&amp;S - Packaging and hh goods'!$M$14*'R&amp;S - Packaging and hh goods'!$AL$19*(M$3-$D$3)/10)</f>
        <v>47851.059354578698</v>
      </c>
      <c r="N31" s="101">
        <f>N27*'R&amp;S - Packaging and hh goods'!$L$4/SUM('R&amp;S - Packaging and hh goods'!$L$4:$N$4)*'R&amp;S - Packaging and hh goods'!$E$9*('R&amp;S - Packaging and hh goods'!$I$14*'R&amp;S - Packaging and hh goods'!$AB$19*(N$3-$D$3)/10)+N27*'R&amp;S - Packaging and hh goods'!$M$4/SUM('R&amp;S - Packaging and hh goods'!$L$4:$N$4)*'R&amp;S - Packaging and hh goods'!$F$9*('R&amp;S - Packaging and hh goods'!$K$14*'R&amp;S - Packaging and hh goods'!$AG$19*(N$3-$D$3)/10)+N27*'R&amp;S - Packaging and hh goods'!$N$4/SUM('R&amp;S - Packaging and hh goods'!$L$4:$N$4)*'R&amp;S - Packaging and hh goods'!$G$9*('R&amp;S - Packaging and hh goods'!$M$14*'R&amp;S - Packaging and hh goods'!$AL$19*(N$3-$D$3)/10)</f>
        <v>53167.843727309672</v>
      </c>
      <c r="O31" s="647">
        <f>O27*'R&amp;S - Packaging and hh goods'!$L$4/SUM('R&amp;S - Packaging and hh goods'!$L$4:$N$4)*('R&amp;S - Packaging and hh goods'!$E$9*'R&amp;S - Packaging and hh goods'!$I$14*('R&amp;S - Packaging and hh goods'!$AB$19+('R&amp;S - Packaging and hh goods'!$AB$20-'R&amp;S - Packaging and hh goods'!$AB$19)*(O$3-$N$3)/10))+O27*'R&amp;S - Packaging and hh goods'!$M$4/SUM('R&amp;S - Packaging and hh goods'!$L$4:$N$4)*('R&amp;S - Packaging and hh goods'!$F$9*'R&amp;S - Packaging and hh goods'!$K$14*('R&amp;S - Packaging and hh goods'!$AG$19+('R&amp;S - Packaging and hh goods'!$AG$20-'R&amp;S - Packaging and hh goods'!$AG$19)*(O$3-$N$3)/10))+O27*'R&amp;S - Packaging and hh goods'!$N$4/SUM('R&amp;S - Packaging and hh goods'!$L$4:$N$4)*('R&amp;S - Packaging and hh goods'!$G$9*'R&amp;S - Packaging and hh goods'!$M$14*('R&amp;S - Packaging and hh goods'!$AL$19+('R&amp;S - Packaging and hh goods'!$AL$20-'R&amp;S - Packaging and hh goods'!$AL$19)*(O$3-$N$3)/10))</f>
        <v>62505.654272608372</v>
      </c>
      <c r="P31" s="647">
        <f>P27*'R&amp;S - Packaging and hh goods'!$L$4/SUM('R&amp;S - Packaging and hh goods'!$L$4:$N$4)*('R&amp;S - Packaging and hh goods'!$E$9*'R&amp;S - Packaging and hh goods'!$I$14*('R&amp;S - Packaging and hh goods'!$AB$19+('R&amp;S - Packaging and hh goods'!$AB$20-'R&amp;S - Packaging and hh goods'!$AB$19)*(P$3-$N$3)/10))+P27*'R&amp;S - Packaging and hh goods'!$M$4/SUM('R&amp;S - Packaging and hh goods'!$L$4:$N$4)*('R&amp;S - Packaging and hh goods'!$F$9*'R&amp;S - Packaging and hh goods'!$K$14*('R&amp;S - Packaging and hh goods'!$AG$19+('R&amp;S - Packaging and hh goods'!$AG$20-'R&amp;S - Packaging and hh goods'!$AG$19)*(P$3-$N$3)/10))+P27*'R&amp;S - Packaging and hh goods'!$N$4/SUM('R&amp;S - Packaging and hh goods'!$L$4:$N$4)*('R&amp;S - Packaging and hh goods'!$G$9*'R&amp;S - Packaging and hh goods'!$M$14*('R&amp;S - Packaging and hh goods'!$AL$19+('R&amp;S - Packaging and hh goods'!$AL$20-'R&amp;S - Packaging and hh goods'!$AL$19)*(P$3-$N$3)/10))</f>
        <v>71843.464817907079</v>
      </c>
      <c r="Q31" s="647">
        <f>Q27*'R&amp;S - Packaging and hh goods'!$L$4/SUM('R&amp;S - Packaging and hh goods'!$L$4:$N$4)*('R&amp;S - Packaging and hh goods'!$E$9*'R&amp;S - Packaging and hh goods'!$I$14*('R&amp;S - Packaging and hh goods'!$AB$19+('R&amp;S - Packaging and hh goods'!$AB$20-'R&amp;S - Packaging and hh goods'!$AB$19)*(Q$3-$N$3)/10))+Q27*'R&amp;S - Packaging and hh goods'!$M$4/SUM('R&amp;S - Packaging and hh goods'!$L$4:$N$4)*('R&amp;S - Packaging and hh goods'!$F$9*'R&amp;S - Packaging and hh goods'!$K$14*('R&amp;S - Packaging and hh goods'!$AG$19+('R&amp;S - Packaging and hh goods'!$AG$20-'R&amp;S - Packaging and hh goods'!$AG$19)*(Q$3-$N$3)/10))+Q27*'R&amp;S - Packaging and hh goods'!$N$4/SUM('R&amp;S - Packaging and hh goods'!$L$4:$N$4)*('R&amp;S - Packaging and hh goods'!$G$9*'R&amp;S - Packaging and hh goods'!$M$14*('R&amp;S - Packaging and hh goods'!$AL$19+('R&amp;S - Packaging and hh goods'!$AL$20-'R&amp;S - Packaging and hh goods'!$AL$19)*(Q$3-$N$3)/10))</f>
        <v>81181.275363205757</v>
      </c>
      <c r="R31" s="647">
        <f>R27*'R&amp;S - Packaging and hh goods'!$L$4/SUM('R&amp;S - Packaging and hh goods'!$L$4:$N$4)*('R&amp;S - Packaging and hh goods'!$E$9*'R&amp;S - Packaging and hh goods'!$I$14*('R&amp;S - Packaging and hh goods'!$AB$19+('R&amp;S - Packaging and hh goods'!$AB$20-'R&amp;S - Packaging and hh goods'!$AB$19)*(R$3-$N$3)/10))+R27*'R&amp;S - Packaging and hh goods'!$M$4/SUM('R&amp;S - Packaging and hh goods'!$L$4:$N$4)*('R&amp;S - Packaging and hh goods'!$F$9*'R&amp;S - Packaging and hh goods'!$K$14*('R&amp;S - Packaging and hh goods'!$AG$19+('R&amp;S - Packaging and hh goods'!$AG$20-'R&amp;S - Packaging and hh goods'!$AG$19)*(R$3-$N$3)/10))+R27*'R&amp;S - Packaging and hh goods'!$N$4/SUM('R&amp;S - Packaging and hh goods'!$L$4:$N$4)*('R&amp;S - Packaging and hh goods'!$G$9*'R&amp;S - Packaging and hh goods'!$M$14*('R&amp;S - Packaging and hh goods'!$AL$19+('R&amp;S - Packaging and hh goods'!$AL$20-'R&amp;S - Packaging and hh goods'!$AL$19)*(R$3-$N$3)/10))</f>
        <v>90519.085908504494</v>
      </c>
      <c r="S31" s="647">
        <f>S27*'R&amp;S - Packaging and hh goods'!$L$4/SUM('R&amp;S - Packaging and hh goods'!$L$4:$N$4)*('R&amp;S - Packaging and hh goods'!$E$9*'R&amp;S - Packaging and hh goods'!$I$14*('R&amp;S - Packaging and hh goods'!$AB$19+('R&amp;S - Packaging and hh goods'!$AB$20-'R&amp;S - Packaging and hh goods'!$AB$19)*(S$3-$N$3)/10))+S27*'R&amp;S - Packaging and hh goods'!$M$4/SUM('R&amp;S - Packaging and hh goods'!$L$4:$N$4)*('R&amp;S - Packaging and hh goods'!$F$9*'R&amp;S - Packaging and hh goods'!$K$14*('R&amp;S - Packaging and hh goods'!$AG$19+('R&amp;S - Packaging and hh goods'!$AG$20-'R&amp;S - Packaging and hh goods'!$AG$19)*(S$3-$N$3)/10))+S27*'R&amp;S - Packaging and hh goods'!$N$4/SUM('R&amp;S - Packaging and hh goods'!$L$4:$N$4)*('R&amp;S - Packaging and hh goods'!$G$9*'R&amp;S - Packaging and hh goods'!$M$14*('R&amp;S - Packaging and hh goods'!$AL$19+('R&amp;S - Packaging and hh goods'!$AL$20-'R&amp;S - Packaging and hh goods'!$AL$19)*(S$3-$N$3)/10))</f>
        <v>99856.896453803201</v>
      </c>
      <c r="T31" s="647">
        <f>T27*'R&amp;S - Packaging and hh goods'!$L$4/SUM('R&amp;S - Packaging and hh goods'!$L$4:$N$4)*('R&amp;S - Packaging and hh goods'!$E$9*'R&amp;S - Packaging and hh goods'!$I$14*('R&amp;S - Packaging and hh goods'!$AB$19+('R&amp;S - Packaging and hh goods'!$AB$20-'R&amp;S - Packaging and hh goods'!$AB$19)*(T$3-$N$3)/10))+T27*'R&amp;S - Packaging and hh goods'!$M$4/SUM('R&amp;S - Packaging and hh goods'!$L$4:$N$4)*('R&amp;S - Packaging and hh goods'!$F$9*'R&amp;S - Packaging and hh goods'!$K$14*('R&amp;S - Packaging and hh goods'!$AG$19+('R&amp;S - Packaging and hh goods'!$AG$20-'R&amp;S - Packaging and hh goods'!$AG$19)*(T$3-$N$3)/10))+T27*'R&amp;S - Packaging and hh goods'!$N$4/SUM('R&amp;S - Packaging and hh goods'!$L$4:$N$4)*('R&amp;S - Packaging and hh goods'!$G$9*'R&amp;S - Packaging and hh goods'!$M$14*('R&amp;S - Packaging and hh goods'!$AL$19+('R&amp;S - Packaging and hh goods'!$AL$20-'R&amp;S - Packaging and hh goods'!$AL$19)*(T$3-$N$3)/10))</f>
        <v>109194.70699910188</v>
      </c>
      <c r="U31" s="647">
        <f>U27*'R&amp;S - Packaging and hh goods'!$L$4/SUM('R&amp;S - Packaging and hh goods'!$L$4:$N$4)*('R&amp;S - Packaging and hh goods'!$E$9*'R&amp;S - Packaging and hh goods'!$I$14*('R&amp;S - Packaging and hh goods'!$AB$19+('R&amp;S - Packaging and hh goods'!$AB$20-'R&amp;S - Packaging and hh goods'!$AB$19)*(U$3-$N$3)/10))+U27*'R&amp;S - Packaging and hh goods'!$M$4/SUM('R&amp;S - Packaging and hh goods'!$L$4:$N$4)*('R&amp;S - Packaging and hh goods'!$F$9*'R&amp;S - Packaging and hh goods'!$K$14*('R&amp;S - Packaging and hh goods'!$AG$19+('R&amp;S - Packaging and hh goods'!$AG$20-'R&amp;S - Packaging and hh goods'!$AG$19)*(U$3-$N$3)/10))+U27*'R&amp;S - Packaging and hh goods'!$N$4/SUM('R&amp;S - Packaging and hh goods'!$L$4:$N$4)*('R&amp;S - Packaging and hh goods'!$G$9*'R&amp;S - Packaging and hh goods'!$M$14*('R&amp;S - Packaging and hh goods'!$AL$19+('R&amp;S - Packaging and hh goods'!$AL$20-'R&amp;S - Packaging and hh goods'!$AL$19)*(U$3-$N$3)/10))</f>
        <v>118532.51754440062</v>
      </c>
      <c r="V31" s="647">
        <f>V27*'R&amp;S - Packaging and hh goods'!$L$4/SUM('R&amp;S - Packaging and hh goods'!$L$4:$N$4)*('R&amp;S - Packaging and hh goods'!$E$9*'R&amp;S - Packaging and hh goods'!$I$14*('R&amp;S - Packaging and hh goods'!$AB$19+('R&amp;S - Packaging and hh goods'!$AB$20-'R&amp;S - Packaging and hh goods'!$AB$19)*(V$3-$N$3)/10))+V27*'R&amp;S - Packaging and hh goods'!$M$4/SUM('R&amp;S - Packaging and hh goods'!$L$4:$N$4)*('R&amp;S - Packaging and hh goods'!$F$9*'R&amp;S - Packaging and hh goods'!$K$14*('R&amp;S - Packaging and hh goods'!$AG$19+('R&amp;S - Packaging and hh goods'!$AG$20-'R&amp;S - Packaging and hh goods'!$AG$19)*(V$3-$N$3)/10))+V27*'R&amp;S - Packaging and hh goods'!$N$4/SUM('R&amp;S - Packaging and hh goods'!$L$4:$N$4)*('R&amp;S - Packaging and hh goods'!$G$9*'R&amp;S - Packaging and hh goods'!$M$14*('R&amp;S - Packaging and hh goods'!$AL$19+('R&amp;S - Packaging and hh goods'!$AL$20-'R&amp;S - Packaging and hh goods'!$AL$19)*(V$3-$N$3)/10))</f>
        <v>127870.32808969932</v>
      </c>
      <c r="W31" s="647">
        <f>W27*'R&amp;S - Packaging and hh goods'!$L$4/SUM('R&amp;S - Packaging and hh goods'!$L$4:$N$4)*('R&amp;S - Packaging and hh goods'!$E$9*'R&amp;S - Packaging and hh goods'!$I$14*('R&amp;S - Packaging and hh goods'!$AB$19+('R&amp;S - Packaging and hh goods'!$AB$20-'R&amp;S - Packaging and hh goods'!$AB$19)*(W$3-$N$3)/10))+W27*'R&amp;S - Packaging and hh goods'!$M$4/SUM('R&amp;S - Packaging and hh goods'!$L$4:$N$4)*('R&amp;S - Packaging and hh goods'!$F$9*'R&amp;S - Packaging and hh goods'!$K$14*('R&amp;S - Packaging and hh goods'!$AG$19+('R&amp;S - Packaging and hh goods'!$AG$20-'R&amp;S - Packaging and hh goods'!$AG$19)*(W$3-$N$3)/10))+W27*'R&amp;S - Packaging and hh goods'!$N$4/SUM('R&amp;S - Packaging and hh goods'!$L$4:$N$4)*('R&amp;S - Packaging and hh goods'!$G$9*'R&amp;S - Packaging and hh goods'!$M$14*('R&amp;S - Packaging and hh goods'!$AL$19+('R&amp;S - Packaging and hh goods'!$AL$20-'R&amp;S - Packaging and hh goods'!$AL$19)*(W$3-$N$3)/10))</f>
        <v>137208.13863499803</v>
      </c>
      <c r="X31" s="647">
        <f>X27*'R&amp;S - Packaging and hh goods'!$L$4/SUM('R&amp;S - Packaging and hh goods'!$L$4:$N$4)*('R&amp;S - Packaging and hh goods'!$E$9*'R&amp;S - Packaging and hh goods'!$I$14*('R&amp;S - Packaging and hh goods'!$AB$19+('R&amp;S - Packaging and hh goods'!$AB$20-'R&amp;S - Packaging and hh goods'!$AB$19)*(X$3-$N$3)/10))+X27*'R&amp;S - Packaging and hh goods'!$M$4/SUM('R&amp;S - Packaging and hh goods'!$L$4:$N$4)*('R&amp;S - Packaging and hh goods'!$F$9*'R&amp;S - Packaging and hh goods'!$K$14*('R&amp;S - Packaging and hh goods'!$AG$19+('R&amp;S - Packaging and hh goods'!$AG$20-'R&amp;S - Packaging and hh goods'!$AG$19)*(X$3-$N$3)/10))+X27*'R&amp;S - Packaging and hh goods'!$N$4/SUM('R&amp;S - Packaging and hh goods'!$L$4:$N$4)*('R&amp;S - Packaging and hh goods'!$G$9*'R&amp;S - Packaging and hh goods'!$M$14*('R&amp;S - Packaging and hh goods'!$AL$19+('R&amp;S - Packaging and hh goods'!$AL$20-'R&amp;S - Packaging and hh goods'!$AL$19)*(X$3-$N$3)/10))</f>
        <v>146545.94918029671</v>
      </c>
      <c r="Y31" s="647">
        <f>Y27*'R&amp;S - Packaging and hh goods'!$L$4/SUM('R&amp;S - Packaging and hh goods'!$L$4:$N$4)*('R&amp;S - Packaging and hh goods'!$E9*'R&amp;S - Packaging and hh goods'!$I$14*('R&amp;S - Packaging and hh goods'!$AB$20+('R&amp;S - Packaging and hh goods'!$AB$21-'R&amp;S - Packaging and hh goods'!$AB$20)*(Y$3-$X$3)/10))+Y27*'R&amp;S - Packaging and hh goods'!$M$4/SUM('R&amp;S - Packaging and hh goods'!$L$4:$N$4)*('R&amp;S - Packaging and hh goods'!$F9*'R&amp;S - Packaging and hh goods'!$K$14*('R&amp;S - Packaging and hh goods'!$AG$20+('R&amp;S - Packaging and hh goods'!$AG$21-'R&amp;S - Packaging and hh goods'!$AG$20)*(Y$3-$X$3)/10))+Y27*'R&amp;S - Packaging and hh goods'!$N$4/SUM('R&amp;S - Packaging and hh goods'!$L$4:$N$4)*('R&amp;S - Packaging and hh goods'!$G9*'R&amp;S - Packaging and hh goods'!$M$14*('R&amp;S - Packaging and hh goods'!$AL$20+('R&amp;S - Packaging and hh goods'!$AL$21-'R&amp;S - Packaging and hh goods'!$AL$20)*(Y$3-$X$3)/10))</f>
        <v>154591.12010297633</v>
      </c>
      <c r="Z31" s="647">
        <f>Z27*'R&amp;S - Packaging and hh goods'!$L$4/SUM('R&amp;S - Packaging and hh goods'!$L$4:$N$4)*('R&amp;S - Packaging and hh goods'!$E9*'R&amp;S - Packaging and hh goods'!$I$14*('R&amp;S - Packaging and hh goods'!$AB$20+('R&amp;S - Packaging and hh goods'!$AB$21-'R&amp;S - Packaging and hh goods'!$AB$20)*(Z$3-$X$3)/10))+Z27*'R&amp;S - Packaging and hh goods'!$M$4/SUM('R&amp;S - Packaging and hh goods'!$L$4:$N$4)*('R&amp;S - Packaging and hh goods'!$F9*'R&amp;S - Packaging and hh goods'!$K$14*('R&amp;S - Packaging and hh goods'!$AG$20+('R&amp;S - Packaging and hh goods'!$AG$21-'R&amp;S - Packaging and hh goods'!$AG$20)*(Z$3-$X$3)/10))+Z27*'R&amp;S - Packaging and hh goods'!$N$4/SUM('R&amp;S - Packaging and hh goods'!$L$4:$N$4)*('R&amp;S - Packaging and hh goods'!$G9*'R&amp;S - Packaging and hh goods'!$M$14*('R&amp;S - Packaging and hh goods'!$AL$20+('R&amp;S - Packaging and hh goods'!$AL$21-'R&amp;S - Packaging and hh goods'!$AL$20)*(Z$3-$X$3)/10))</f>
        <v>162636.29102565587</v>
      </c>
      <c r="AA31" s="647">
        <f>AA27*'R&amp;S - Packaging and hh goods'!$L$4/SUM('R&amp;S - Packaging and hh goods'!$L$4:$N$4)*('R&amp;S - Packaging and hh goods'!$E9*'R&amp;S - Packaging and hh goods'!$I$14*('R&amp;S - Packaging and hh goods'!$AB$20+('R&amp;S - Packaging and hh goods'!$AB$21-'R&amp;S - Packaging and hh goods'!$AB$20)*(AA$3-$X$3)/10))+AA27*'R&amp;S - Packaging and hh goods'!$M$4/SUM('R&amp;S - Packaging and hh goods'!$L$4:$N$4)*('R&amp;S - Packaging and hh goods'!$F9*'R&amp;S - Packaging and hh goods'!$K$14*('R&amp;S - Packaging and hh goods'!$AG$20+('R&amp;S - Packaging and hh goods'!$AG$21-'R&amp;S - Packaging and hh goods'!$AG$20)*(AA$3-$X$3)/10))+AA27*'R&amp;S - Packaging and hh goods'!$N$4/SUM('R&amp;S - Packaging and hh goods'!$L$4:$N$4)*('R&amp;S - Packaging and hh goods'!$G9*'R&amp;S - Packaging and hh goods'!$M$14*('R&amp;S - Packaging and hh goods'!$AL$20+('R&amp;S - Packaging and hh goods'!$AL$21-'R&amp;S - Packaging and hh goods'!$AL$20)*(AA$3-$X$3)/10))</f>
        <v>170681.46194833549</v>
      </c>
      <c r="AB31" s="647">
        <f>AB27*'R&amp;S - Packaging and hh goods'!$L$4/SUM('R&amp;S - Packaging and hh goods'!$L$4:$N$4)*('R&amp;S - Packaging and hh goods'!$E9*'R&amp;S - Packaging and hh goods'!$I$14*('R&amp;S - Packaging and hh goods'!$AB$20+('R&amp;S - Packaging and hh goods'!$AB$21-'R&amp;S - Packaging and hh goods'!$AB$20)*(AB$3-$X$3)/10))+AB27*'R&amp;S - Packaging and hh goods'!$M$4/SUM('R&amp;S - Packaging and hh goods'!$L$4:$N$4)*('R&amp;S - Packaging and hh goods'!$F9*'R&amp;S - Packaging and hh goods'!$K$14*('R&amp;S - Packaging and hh goods'!$AG$20+('R&amp;S - Packaging and hh goods'!$AG$21-'R&amp;S - Packaging and hh goods'!$AG$20)*(AB$3-$X$3)/10))+AB27*'R&amp;S - Packaging and hh goods'!$N$4/SUM('R&amp;S - Packaging and hh goods'!$L$4:$N$4)*('R&amp;S - Packaging and hh goods'!$G9*'R&amp;S - Packaging and hh goods'!$M$14*('R&amp;S - Packaging and hh goods'!$AL$20+('R&amp;S - Packaging and hh goods'!$AL$21-'R&amp;S - Packaging and hh goods'!$AL$20)*(AB$3-$X$3)/10))</f>
        <v>178726.63287101506</v>
      </c>
      <c r="AC31" s="647">
        <f>AC27*'R&amp;S - Packaging and hh goods'!$L$4/SUM('R&amp;S - Packaging and hh goods'!$L$4:$N$4)*('R&amp;S - Packaging and hh goods'!$E9*'R&amp;S - Packaging and hh goods'!$I$14*('R&amp;S - Packaging and hh goods'!$AB$20+('R&amp;S - Packaging and hh goods'!$AB$21-'R&amp;S - Packaging and hh goods'!$AB$20)*(AC$3-$X$3)/10))+AC27*'R&amp;S - Packaging and hh goods'!$M$4/SUM('R&amp;S - Packaging and hh goods'!$L$4:$N$4)*('R&amp;S - Packaging and hh goods'!$F9*'R&amp;S - Packaging and hh goods'!$K$14*('R&amp;S - Packaging and hh goods'!$AG$20+('R&amp;S - Packaging and hh goods'!$AG$21-'R&amp;S - Packaging and hh goods'!$AG$20)*(AC$3-$X$3)/10))+AC27*'R&amp;S - Packaging and hh goods'!$N$4/SUM('R&amp;S - Packaging and hh goods'!$L$4:$N$4)*('R&amp;S - Packaging and hh goods'!$G9*'R&amp;S - Packaging and hh goods'!$M$14*('R&amp;S - Packaging and hh goods'!$AL$20+('R&amp;S - Packaging and hh goods'!$AL$21-'R&amp;S - Packaging and hh goods'!$AL$20)*(AC$3-$X$3)/10))</f>
        <v>186771.80379369465</v>
      </c>
      <c r="AD31" s="647">
        <f>AD27*'R&amp;S - Packaging and hh goods'!$L$4/SUM('R&amp;S - Packaging and hh goods'!$L$4:$N$4)*('R&amp;S - Packaging and hh goods'!$E9*'R&amp;S - Packaging and hh goods'!$I$14*('R&amp;S - Packaging and hh goods'!$AB$20+('R&amp;S - Packaging and hh goods'!$AB$21-'R&amp;S - Packaging and hh goods'!$AB$20)*(AD$3-$X$3)/10))+AD27*'R&amp;S - Packaging and hh goods'!$M$4/SUM('R&amp;S - Packaging and hh goods'!$L$4:$N$4)*('R&amp;S - Packaging and hh goods'!$F9*'R&amp;S - Packaging and hh goods'!$K$14*('R&amp;S - Packaging and hh goods'!$AG$20+('R&amp;S - Packaging and hh goods'!$AG$21-'R&amp;S - Packaging and hh goods'!$AG$20)*(AD$3-$X$3)/10))+AD27*'R&amp;S - Packaging and hh goods'!$N$4/SUM('R&amp;S - Packaging and hh goods'!$L$4:$N$4)*('R&amp;S - Packaging and hh goods'!$G9*'R&amp;S - Packaging and hh goods'!$M$14*('R&amp;S - Packaging and hh goods'!$AL$20+('R&amp;S - Packaging and hh goods'!$AL$21-'R&amp;S - Packaging and hh goods'!$AL$20)*(AD$3-$X$3)/10))</f>
        <v>194816.97471637427</v>
      </c>
      <c r="AE31" s="647">
        <f>AE27*'R&amp;S - Packaging and hh goods'!$L$4/SUM('R&amp;S - Packaging and hh goods'!$L$4:$N$4)*('R&amp;S - Packaging and hh goods'!$E9*'R&amp;S - Packaging and hh goods'!$I$14*('R&amp;S - Packaging and hh goods'!$AB$20+('R&amp;S - Packaging and hh goods'!$AB$21-'R&amp;S - Packaging and hh goods'!$AB$20)*(AE$3-$X$3)/10))+AE27*'R&amp;S - Packaging and hh goods'!$M$4/SUM('R&amp;S - Packaging and hh goods'!$L$4:$N$4)*('R&amp;S - Packaging and hh goods'!$F9*'R&amp;S - Packaging and hh goods'!$K$14*('R&amp;S - Packaging and hh goods'!$AG$20+('R&amp;S - Packaging and hh goods'!$AG$21-'R&amp;S - Packaging and hh goods'!$AG$20)*(AE$3-$X$3)/10))+AE27*'R&amp;S - Packaging and hh goods'!$N$4/SUM('R&amp;S - Packaging and hh goods'!$L$4:$N$4)*('R&amp;S - Packaging and hh goods'!$G9*'R&amp;S - Packaging and hh goods'!$M$14*('R&amp;S - Packaging and hh goods'!$AL$20+('R&amp;S - Packaging and hh goods'!$AL$21-'R&amp;S - Packaging and hh goods'!$AL$20)*(AE$3-$X$3)/10))</f>
        <v>202862.14563905381</v>
      </c>
      <c r="AF31" s="647">
        <f>AF27*'R&amp;S - Packaging and hh goods'!$L$4/SUM('R&amp;S - Packaging and hh goods'!$L$4:$N$4)*('R&amp;S - Packaging and hh goods'!$E9*'R&amp;S - Packaging and hh goods'!$I$14*('R&amp;S - Packaging and hh goods'!$AB$20+('R&amp;S - Packaging and hh goods'!$AB$21-'R&amp;S - Packaging and hh goods'!$AB$20)*(AF$3-$X$3)/10))+AF27*'R&amp;S - Packaging and hh goods'!$M$4/SUM('R&amp;S - Packaging and hh goods'!$L$4:$N$4)*('R&amp;S - Packaging and hh goods'!$F9*'R&amp;S - Packaging and hh goods'!$K$14*('R&amp;S - Packaging and hh goods'!$AG$20+('R&amp;S - Packaging and hh goods'!$AG$21-'R&amp;S - Packaging and hh goods'!$AG$20)*(AF$3-$X$3)/10))+AF27*'R&amp;S - Packaging and hh goods'!$N$4/SUM('R&amp;S - Packaging and hh goods'!$L$4:$N$4)*('R&amp;S - Packaging and hh goods'!$G9*'R&amp;S - Packaging and hh goods'!$M$14*('R&amp;S - Packaging and hh goods'!$AL$20+('R&amp;S - Packaging and hh goods'!$AL$21-'R&amp;S - Packaging and hh goods'!$AL$20)*(AF$3-$X$3)/10))</f>
        <v>210907.3165617334</v>
      </c>
      <c r="AG31" s="647">
        <f>AG27*'R&amp;S - Packaging and hh goods'!$L$4/SUM('R&amp;S - Packaging and hh goods'!$L$4:$N$4)*('R&amp;S - Packaging and hh goods'!$E9*'R&amp;S - Packaging and hh goods'!$I$14*('R&amp;S - Packaging and hh goods'!$AB$20+('R&amp;S - Packaging and hh goods'!$AB$21-'R&amp;S - Packaging and hh goods'!$AB$20)*(AG$3-$X$3)/10))+AG27*'R&amp;S - Packaging and hh goods'!$M$4/SUM('R&amp;S - Packaging and hh goods'!$L$4:$N$4)*('R&amp;S - Packaging and hh goods'!$F9*'R&amp;S - Packaging and hh goods'!$K$14*('R&amp;S - Packaging and hh goods'!$AG$20+('R&amp;S - Packaging and hh goods'!$AG$21-'R&amp;S - Packaging and hh goods'!$AG$20)*(AG$3-$X$3)/10))+AG27*'R&amp;S - Packaging and hh goods'!$N$4/SUM('R&amp;S - Packaging and hh goods'!$L$4:$N$4)*('R&amp;S - Packaging and hh goods'!$G9*'R&amp;S - Packaging and hh goods'!$M$14*('R&amp;S - Packaging and hh goods'!$AL$20+('R&amp;S - Packaging and hh goods'!$AL$21-'R&amp;S - Packaging and hh goods'!$AL$20)*(AG$3-$X$3)/10))</f>
        <v>218952.48748441302</v>
      </c>
      <c r="AH31" s="647">
        <f>AH27*'R&amp;S - Packaging and hh goods'!$L$4/SUM('R&amp;S - Packaging and hh goods'!$L$4:$N$4)*('R&amp;S - Packaging and hh goods'!$E9*'R&amp;S - Packaging and hh goods'!$I$14*('R&amp;S - Packaging and hh goods'!$AB$20+('R&amp;S - Packaging and hh goods'!$AB$21-'R&amp;S - Packaging and hh goods'!$AB$20)*(AH$3-$X$3)/10))+AH27*'R&amp;S - Packaging and hh goods'!$M$4/SUM('R&amp;S - Packaging and hh goods'!$L$4:$N$4)*('R&amp;S - Packaging and hh goods'!$F9*'R&amp;S - Packaging and hh goods'!$K$14*('R&amp;S - Packaging and hh goods'!$AG$20+('R&amp;S - Packaging and hh goods'!$AG$21-'R&amp;S - Packaging and hh goods'!$AG$20)*(AH$3-$X$3)/10))+AH27*'R&amp;S - Packaging and hh goods'!$N$4/SUM('R&amp;S - Packaging and hh goods'!$L$4:$N$4)*('R&amp;S - Packaging and hh goods'!$G9*'R&amp;S - Packaging and hh goods'!$M$14*('R&amp;S - Packaging and hh goods'!$AL$20+('R&amp;S - Packaging and hh goods'!$AL$21-'R&amp;S - Packaging and hh goods'!$AL$20)*(AH$3-$X$3)/10))</f>
        <v>226997.65840709256</v>
      </c>
      <c r="AI31" s="191"/>
      <c r="AJ31" s="101">
        <v>0</v>
      </c>
      <c r="AK31" s="101">
        <f>AK27*'R&amp;S - Packaging and hh goods'!$L$4/SUM('R&amp;S - Packaging and hh goods'!$L$4:$N$4)*'R&amp;S - Packaging and hh goods'!$E$9*('R&amp;S - Packaging and hh goods'!$I$15*'R&amp;S - Packaging and hh goods'!$AB$19*(AK$3-$D$3)/10)+AK27*'R&amp;S - Packaging and hh goods'!$M$4/SUM('R&amp;S - Packaging and hh goods'!$L$4:$N$4)*'R&amp;S - Packaging and hh goods'!$F$9*('R&amp;S - Packaging and hh goods'!$K$15*'R&amp;S - Packaging and hh goods'!$AG$19*(AK$3-$D$3)/10)+AK27*'R&amp;S - Packaging and hh goods'!$N$4/SUM('R&amp;S - Packaging and hh goods'!$L$4:$N$4)*'R&amp;S - Packaging and hh goods'!$G$9*('R&amp;S - Packaging and hh goods'!$M$15*'R&amp;S - Packaging and hh goods'!$AL$19*(AK$3-$D$3)/10)</f>
        <v>4343.6917793232788</v>
      </c>
      <c r="AL31" s="101">
        <f>AL27*'R&amp;S - Packaging and hh goods'!$L$4/SUM('R&amp;S - Packaging and hh goods'!$L$4:$N$4)*'R&amp;S - Packaging and hh goods'!$E$9*('R&amp;S - Packaging and hh goods'!$I$15*'R&amp;S - Packaging and hh goods'!$AB$19*(AL$3-$D$3)/10)+AL27*'R&amp;S - Packaging and hh goods'!$M$4/SUM('R&amp;S - Packaging and hh goods'!$L$4:$N$4)*'R&amp;S - Packaging and hh goods'!$F$9*('R&amp;S - Packaging and hh goods'!$K$15*'R&amp;S - Packaging and hh goods'!$AG$19*(AL$3-$D$3)/10)+AL27*'R&amp;S - Packaging and hh goods'!$N$4/SUM('R&amp;S - Packaging and hh goods'!$L$4:$N$4)*'R&amp;S - Packaging and hh goods'!$G$9*('R&amp;S - Packaging and hh goods'!$M$15*'R&amp;S - Packaging and hh goods'!$AL$19*(AL$3-$D$3)/10)</f>
        <v>8687.3835586465575</v>
      </c>
      <c r="AM31" s="101">
        <f>AM27*'R&amp;S - Packaging and hh goods'!$L$4/SUM('R&amp;S - Packaging and hh goods'!$L$4:$N$4)*'R&amp;S - Packaging and hh goods'!$E$9*('R&amp;S - Packaging and hh goods'!$I$15*'R&amp;S - Packaging and hh goods'!$AB$19*(AM$3-$D$3)/10)+AM27*'R&amp;S - Packaging and hh goods'!$M$4/SUM('R&amp;S - Packaging and hh goods'!$L$4:$N$4)*'R&amp;S - Packaging and hh goods'!$F$9*('R&amp;S - Packaging and hh goods'!$K$15*'R&amp;S - Packaging and hh goods'!$AG$19*(AM$3-$D$3)/10)+AM27*'R&amp;S - Packaging and hh goods'!$N$4/SUM('R&amp;S - Packaging and hh goods'!$L$4:$N$4)*'R&amp;S - Packaging and hh goods'!$G$9*('R&amp;S - Packaging and hh goods'!$M$15*'R&amp;S - Packaging and hh goods'!$AL$19*(AM$3-$D$3)/10)</f>
        <v>13031.075337969836</v>
      </c>
      <c r="AN31" s="101">
        <f>AN27*'R&amp;S - Packaging and hh goods'!$L$4/SUM('R&amp;S - Packaging and hh goods'!$L$4:$N$4)*'R&amp;S - Packaging and hh goods'!$E$9*('R&amp;S - Packaging and hh goods'!$I$15*'R&amp;S - Packaging and hh goods'!$AB$19*(AN$3-$D$3)/10)+AN27*'R&amp;S - Packaging and hh goods'!$M$4/SUM('R&amp;S - Packaging and hh goods'!$L$4:$N$4)*'R&amp;S - Packaging and hh goods'!$F$9*('R&amp;S - Packaging and hh goods'!$K$15*'R&amp;S - Packaging and hh goods'!$AG$19*(AN$3-$D$3)/10)+AN27*'R&amp;S - Packaging and hh goods'!$N$4/SUM('R&amp;S - Packaging and hh goods'!$L$4:$N$4)*'R&amp;S - Packaging and hh goods'!$G$9*('R&amp;S - Packaging and hh goods'!$M$15*'R&amp;S - Packaging and hh goods'!$AL$19*(AN$3-$D$3)/10)</f>
        <v>17374.767117293115</v>
      </c>
      <c r="AO31" s="101">
        <f>AO27*'R&amp;S - Packaging and hh goods'!$L$4/SUM('R&amp;S - Packaging and hh goods'!$L$4:$N$4)*'R&amp;S - Packaging and hh goods'!$E$9*('R&amp;S - Packaging and hh goods'!$I$15*'R&amp;S - Packaging and hh goods'!$AB$19*(AO$3-$D$3)/10)+AO27*'R&amp;S - Packaging and hh goods'!$M$4/SUM('R&amp;S - Packaging and hh goods'!$L$4:$N$4)*'R&amp;S - Packaging and hh goods'!$F$9*('R&amp;S - Packaging and hh goods'!$K$15*'R&amp;S - Packaging and hh goods'!$AG$19*(AO$3-$D$3)/10)+AO27*'R&amp;S - Packaging and hh goods'!$N$4/SUM('R&amp;S - Packaging and hh goods'!$L$4:$N$4)*'R&amp;S - Packaging and hh goods'!$G$9*('R&amp;S - Packaging and hh goods'!$M$15*'R&amp;S - Packaging and hh goods'!$AL$19*(AO$3-$D$3)/10)</f>
        <v>21718.458896616394</v>
      </c>
      <c r="AP31" s="101">
        <f>AP27*'R&amp;S - Packaging and hh goods'!$L$4/SUM('R&amp;S - Packaging and hh goods'!$L$4:$N$4)*'R&amp;S - Packaging and hh goods'!$E$9*('R&amp;S - Packaging and hh goods'!$I$15*'R&amp;S - Packaging and hh goods'!$AB$19*(AP$3-$D$3)/10)+AP27*'R&amp;S - Packaging and hh goods'!$M$4/SUM('R&amp;S - Packaging and hh goods'!$L$4:$N$4)*'R&amp;S - Packaging and hh goods'!$F$9*('R&amp;S - Packaging and hh goods'!$K$15*'R&amp;S - Packaging and hh goods'!$AG$19*(AP$3-$D$3)/10)+AP27*'R&amp;S - Packaging and hh goods'!$N$4/SUM('R&amp;S - Packaging and hh goods'!$L$4:$N$4)*'R&amp;S - Packaging and hh goods'!$G$9*('R&amp;S - Packaging and hh goods'!$M$15*'R&amp;S - Packaging and hh goods'!$AL$19*(AP$3-$D$3)/10)</f>
        <v>26062.150675939673</v>
      </c>
      <c r="AQ31" s="101">
        <f>AQ27*'R&amp;S - Packaging and hh goods'!$L$4/SUM('R&amp;S - Packaging and hh goods'!$L$4:$N$4)*'R&amp;S - Packaging and hh goods'!$E$9*('R&amp;S - Packaging and hh goods'!$I$15*'R&amp;S - Packaging and hh goods'!$AB$19*(AQ$3-$D$3)/10)+AQ27*'R&amp;S - Packaging and hh goods'!$M$4/SUM('R&amp;S - Packaging and hh goods'!$L$4:$N$4)*'R&amp;S - Packaging and hh goods'!$F$9*('R&amp;S - Packaging and hh goods'!$K$15*'R&amp;S - Packaging and hh goods'!$AG$19*(AQ$3-$D$3)/10)+AQ27*'R&amp;S - Packaging and hh goods'!$N$4/SUM('R&amp;S - Packaging and hh goods'!$L$4:$N$4)*'R&amp;S - Packaging and hh goods'!$G$9*('R&amp;S - Packaging and hh goods'!$M$15*'R&amp;S - Packaging and hh goods'!$AL$19*(AQ$3-$D$3)/10)</f>
        <v>30405.842455262948</v>
      </c>
      <c r="AR31" s="101">
        <f>AR27*'R&amp;S - Packaging and hh goods'!$L$4/SUM('R&amp;S - Packaging and hh goods'!$L$4:$N$4)*'R&amp;S - Packaging and hh goods'!$E$9*('R&amp;S - Packaging and hh goods'!$I$15*'R&amp;S - Packaging and hh goods'!$AB$19*(AR$3-$D$3)/10)+AR27*'R&amp;S - Packaging and hh goods'!$M$4/SUM('R&amp;S - Packaging and hh goods'!$L$4:$N$4)*'R&amp;S - Packaging and hh goods'!$F$9*('R&amp;S - Packaging and hh goods'!$K$15*'R&amp;S - Packaging and hh goods'!$AG$19*(AR$3-$D$3)/10)+AR27*'R&amp;S - Packaging and hh goods'!$N$4/SUM('R&amp;S - Packaging and hh goods'!$L$4:$N$4)*'R&amp;S - Packaging and hh goods'!$G$9*('R&amp;S - Packaging and hh goods'!$M$15*'R&amp;S - Packaging and hh goods'!$AL$19*(AR$3-$D$3)/10)</f>
        <v>34749.53423458623</v>
      </c>
      <c r="AS31" s="101">
        <f>AS27*'R&amp;S - Packaging and hh goods'!$L$4/SUM('R&amp;S - Packaging and hh goods'!$L$4:$N$4)*'R&amp;S - Packaging and hh goods'!$E$9*('R&amp;S - Packaging and hh goods'!$I$15*'R&amp;S - Packaging and hh goods'!$AB$19*(AS$3-$D$3)/10)+AS27*'R&amp;S - Packaging and hh goods'!$M$4/SUM('R&amp;S - Packaging and hh goods'!$L$4:$N$4)*'R&amp;S - Packaging and hh goods'!$F$9*('R&amp;S - Packaging and hh goods'!$K$15*'R&amp;S - Packaging and hh goods'!$AG$19*(AS$3-$D$3)/10)+AS27*'R&amp;S - Packaging and hh goods'!$N$4/SUM('R&amp;S - Packaging and hh goods'!$L$4:$N$4)*'R&amp;S - Packaging and hh goods'!$G$9*('R&amp;S - Packaging and hh goods'!$M$15*'R&amp;S - Packaging and hh goods'!$AL$19*(AS$3-$D$3)/10)</f>
        <v>39093.226013909509</v>
      </c>
      <c r="AT31" s="101">
        <f>AT27*'R&amp;S - Packaging and hh goods'!$L$4/SUM('R&amp;S - Packaging and hh goods'!$L$4:$N$4)*'R&amp;S - Packaging and hh goods'!$E$9*('R&amp;S - Packaging and hh goods'!$I$15*'R&amp;S - Packaging and hh goods'!$AB$19*(AT$3-$D$3)/10)+AT27*'R&amp;S - Packaging and hh goods'!$M$4/SUM('R&amp;S - Packaging and hh goods'!$L$4:$N$4)*'R&amp;S - Packaging and hh goods'!$F$9*('R&amp;S - Packaging and hh goods'!$K$15*'R&amp;S - Packaging and hh goods'!$AG$19*(AT$3-$D$3)/10)+AT27*'R&amp;S - Packaging and hh goods'!$N$4/SUM('R&amp;S - Packaging and hh goods'!$L$4:$N$4)*'R&amp;S - Packaging and hh goods'!$G$9*('R&amp;S - Packaging and hh goods'!$M$15*'R&amp;S - Packaging and hh goods'!$AL$19*(AT$3-$D$3)/10)</f>
        <v>43436.917793232788</v>
      </c>
      <c r="AU31" s="647">
        <f>AU27*'R&amp;S - Packaging and hh goods'!$L$4/SUM('R&amp;S - Packaging and hh goods'!$L$4:$N$4)*('R&amp;S - Packaging and hh goods'!$E$9*'R&amp;S - Packaging and hh goods'!$I$15*('R&amp;S - Packaging and hh goods'!$AB$19+('R&amp;S - Packaging and hh goods'!$AB$20-'R&amp;S - Packaging and hh goods'!$AB$19)*(AU$3-$N$3)/10))+AU27*'R&amp;S - Packaging and hh goods'!$M$4/SUM('R&amp;S - Packaging and hh goods'!$L$4:$N$4)*('R&amp;S - Packaging and hh goods'!$F$9*'R&amp;S - Packaging and hh goods'!$K$15*('R&amp;S - Packaging and hh goods'!$AG$19+('R&amp;S - Packaging and hh goods'!$AG$20-'R&amp;S - Packaging and hh goods'!$AG$19)*(AU$3-$N$3)/10))+AU27*'R&amp;S - Packaging and hh goods'!$N$4/SUM('R&amp;S - Packaging and hh goods'!$L$4:$N$4)*('R&amp;S - Packaging and hh goods'!$G$9*'R&amp;S - Packaging and hh goods'!$M$15*('R&amp;S - Packaging and hh goods'!$AL$19+('R&amp;S - Packaging and hh goods'!$AL$20-'R&amp;S - Packaging and hh goods'!$AL$19)*(AU$3-$N$3)/10))</f>
        <v>51067.960937867087</v>
      </c>
      <c r="AV31" s="647">
        <f>AV27*'R&amp;S - Packaging and hh goods'!$L$4/SUM('R&amp;S - Packaging and hh goods'!$L$4:$N$4)*('R&amp;S - Packaging and hh goods'!$E$9*'R&amp;S - Packaging and hh goods'!$I$15*('R&amp;S - Packaging and hh goods'!$AB$19+('R&amp;S - Packaging and hh goods'!$AB$20-'R&amp;S - Packaging and hh goods'!$AB$19)*(AV$3-$N$3)/10))+AV27*'R&amp;S - Packaging and hh goods'!$M$4/SUM('R&amp;S - Packaging and hh goods'!$L$4:$N$4)*('R&amp;S - Packaging and hh goods'!$F$9*'R&amp;S - Packaging and hh goods'!$K$15*('R&amp;S - Packaging and hh goods'!$AG$19+('R&amp;S - Packaging and hh goods'!$AG$20-'R&amp;S - Packaging and hh goods'!$AG$19)*(AV$3-$N$3)/10))+AV27*'R&amp;S - Packaging and hh goods'!$N$4/SUM('R&amp;S - Packaging and hh goods'!$L$4:$N$4)*('R&amp;S - Packaging and hh goods'!$G$9*'R&amp;S - Packaging and hh goods'!$M$15*('R&amp;S - Packaging and hh goods'!$AL$19+('R&amp;S - Packaging and hh goods'!$AL$20-'R&amp;S - Packaging and hh goods'!$AL$19)*(AV$3-$N$3)/10))</f>
        <v>58699.004082501378</v>
      </c>
      <c r="AW31" s="647">
        <f>AW27*'R&amp;S - Packaging and hh goods'!$L$4/SUM('R&amp;S - Packaging and hh goods'!$L$4:$N$4)*('R&amp;S - Packaging and hh goods'!$E$9*'R&amp;S - Packaging and hh goods'!$I$15*('R&amp;S - Packaging and hh goods'!$AB$19+('R&amp;S - Packaging and hh goods'!$AB$20-'R&amp;S - Packaging and hh goods'!$AB$19)*(AW$3-$N$3)/10))+AW27*'R&amp;S - Packaging and hh goods'!$M$4/SUM('R&amp;S - Packaging and hh goods'!$L$4:$N$4)*('R&amp;S - Packaging and hh goods'!$F$9*'R&amp;S - Packaging and hh goods'!$K$15*('R&amp;S - Packaging and hh goods'!$AG$19+('R&amp;S - Packaging and hh goods'!$AG$20-'R&amp;S - Packaging and hh goods'!$AG$19)*(AW$3-$N$3)/10))+AW27*'R&amp;S - Packaging and hh goods'!$N$4/SUM('R&amp;S - Packaging and hh goods'!$L$4:$N$4)*('R&amp;S - Packaging and hh goods'!$G$9*'R&amp;S - Packaging and hh goods'!$M$15*('R&amp;S - Packaging and hh goods'!$AL$19+('R&amp;S - Packaging and hh goods'!$AL$20-'R&amp;S - Packaging and hh goods'!$AL$19)*(AW$3-$N$3)/10))</f>
        <v>66330.04722713567</v>
      </c>
      <c r="AX31" s="647">
        <f>AX27*'R&amp;S - Packaging and hh goods'!$L$4/SUM('R&amp;S - Packaging and hh goods'!$L$4:$N$4)*('R&amp;S - Packaging and hh goods'!$E$9*'R&amp;S - Packaging and hh goods'!$I$15*('R&amp;S - Packaging and hh goods'!$AB$19+('R&amp;S - Packaging and hh goods'!$AB$20-'R&amp;S - Packaging and hh goods'!$AB$19)*(AX$3-$N$3)/10))+AX27*'R&amp;S - Packaging and hh goods'!$M$4/SUM('R&amp;S - Packaging and hh goods'!$L$4:$N$4)*('R&amp;S - Packaging and hh goods'!$F$9*'R&amp;S - Packaging and hh goods'!$K$15*('R&amp;S - Packaging and hh goods'!$AG$19+('R&amp;S - Packaging and hh goods'!$AG$20-'R&amp;S - Packaging and hh goods'!$AG$19)*(AX$3-$N$3)/10))+AX27*'R&amp;S - Packaging and hh goods'!$N$4/SUM('R&amp;S - Packaging and hh goods'!$L$4:$N$4)*('R&amp;S - Packaging and hh goods'!$G$9*'R&amp;S - Packaging and hh goods'!$M$15*('R&amp;S - Packaging and hh goods'!$AL$19+('R&amp;S - Packaging and hh goods'!$AL$20-'R&amp;S - Packaging and hh goods'!$AL$19)*(AX$3-$N$3)/10))</f>
        <v>73961.090371769969</v>
      </c>
      <c r="AY31" s="647">
        <f>AY27*'R&amp;S - Packaging and hh goods'!$L$4/SUM('R&amp;S - Packaging and hh goods'!$L$4:$N$4)*('R&amp;S - Packaging and hh goods'!$E$9*'R&amp;S - Packaging and hh goods'!$I$15*('R&amp;S - Packaging and hh goods'!$AB$19+('R&amp;S - Packaging and hh goods'!$AB$20-'R&amp;S - Packaging and hh goods'!$AB$19)*(AY$3-$N$3)/10))+AY27*'R&amp;S - Packaging and hh goods'!$M$4/SUM('R&amp;S - Packaging and hh goods'!$L$4:$N$4)*('R&amp;S - Packaging and hh goods'!$F$9*'R&amp;S - Packaging and hh goods'!$K$15*('R&amp;S - Packaging and hh goods'!$AG$19+('R&amp;S - Packaging and hh goods'!$AG$20-'R&amp;S - Packaging and hh goods'!$AG$19)*(AY$3-$N$3)/10))+AY27*'R&amp;S - Packaging and hh goods'!$N$4/SUM('R&amp;S - Packaging and hh goods'!$L$4:$N$4)*('R&amp;S - Packaging and hh goods'!$G$9*'R&amp;S - Packaging and hh goods'!$M$15*('R&amp;S - Packaging and hh goods'!$AL$19+('R&amp;S - Packaging and hh goods'!$AL$20-'R&amp;S - Packaging and hh goods'!$AL$19)*(AY$3-$N$3)/10))</f>
        <v>81592.133516404268</v>
      </c>
      <c r="AZ31" s="647">
        <f>AZ27*'R&amp;S - Packaging and hh goods'!$L$4/SUM('R&amp;S - Packaging and hh goods'!$L$4:$N$4)*('R&amp;S - Packaging and hh goods'!$E$9*'R&amp;S - Packaging and hh goods'!$I$15*('R&amp;S - Packaging and hh goods'!$AB$19+('R&amp;S - Packaging and hh goods'!$AB$20-'R&amp;S - Packaging and hh goods'!$AB$19)*(AZ$3-$N$3)/10))+AZ27*'R&amp;S - Packaging and hh goods'!$M$4/SUM('R&amp;S - Packaging and hh goods'!$L$4:$N$4)*('R&amp;S - Packaging and hh goods'!$F$9*'R&amp;S - Packaging and hh goods'!$K$15*('R&amp;S - Packaging and hh goods'!$AG$19+('R&amp;S - Packaging and hh goods'!$AG$20-'R&amp;S - Packaging and hh goods'!$AG$19)*(AZ$3-$N$3)/10))+AZ27*'R&amp;S - Packaging and hh goods'!$N$4/SUM('R&amp;S - Packaging and hh goods'!$L$4:$N$4)*('R&amp;S - Packaging and hh goods'!$G$9*'R&amp;S - Packaging and hh goods'!$M$15*('R&amp;S - Packaging and hh goods'!$AL$19+('R&amp;S - Packaging and hh goods'!$AL$20-'R&amp;S - Packaging and hh goods'!$AL$19)*(AZ$3-$N$3)/10))</f>
        <v>89223.176661038568</v>
      </c>
      <c r="BA31" s="647">
        <f>BA27*'R&amp;S - Packaging and hh goods'!$L$4/SUM('R&amp;S - Packaging and hh goods'!$L$4:$N$4)*('R&amp;S - Packaging and hh goods'!$E$9*'R&amp;S - Packaging and hh goods'!$I$15*('R&amp;S - Packaging and hh goods'!$AB$19+('R&amp;S - Packaging and hh goods'!$AB$20-'R&amp;S - Packaging and hh goods'!$AB$19)*(BA$3-$N$3)/10))+BA27*'R&amp;S - Packaging and hh goods'!$M$4/SUM('R&amp;S - Packaging and hh goods'!$L$4:$N$4)*('R&amp;S - Packaging and hh goods'!$F$9*'R&amp;S - Packaging and hh goods'!$K$15*('R&amp;S - Packaging and hh goods'!$AG$19+('R&amp;S - Packaging and hh goods'!$AG$20-'R&amp;S - Packaging and hh goods'!$AG$19)*(BA$3-$N$3)/10))+BA27*'R&amp;S - Packaging and hh goods'!$N$4/SUM('R&amp;S - Packaging and hh goods'!$L$4:$N$4)*('R&amp;S - Packaging and hh goods'!$G$9*'R&amp;S - Packaging and hh goods'!$M$15*('R&amp;S - Packaging and hh goods'!$AL$19+('R&amp;S - Packaging and hh goods'!$AL$20-'R&amp;S - Packaging and hh goods'!$AL$19)*(BA$3-$N$3)/10))</f>
        <v>96854.219805672852</v>
      </c>
      <c r="BB31" s="647">
        <f>BB27*'R&amp;S - Packaging and hh goods'!$L$4/SUM('R&amp;S - Packaging and hh goods'!$L$4:$N$4)*('R&amp;S - Packaging and hh goods'!$E$9*'R&amp;S - Packaging and hh goods'!$I$15*('R&amp;S - Packaging and hh goods'!$AB$19+('R&amp;S - Packaging and hh goods'!$AB$20-'R&amp;S - Packaging and hh goods'!$AB$19)*(BB$3-$N$3)/10))+BB27*'R&amp;S - Packaging and hh goods'!$M$4/SUM('R&amp;S - Packaging and hh goods'!$L$4:$N$4)*('R&amp;S - Packaging and hh goods'!$F$9*'R&amp;S - Packaging and hh goods'!$K$15*('R&amp;S - Packaging and hh goods'!$AG$19+('R&amp;S - Packaging and hh goods'!$AG$20-'R&amp;S - Packaging and hh goods'!$AG$19)*(BB$3-$N$3)/10))+BB27*'R&amp;S - Packaging and hh goods'!$N$4/SUM('R&amp;S - Packaging and hh goods'!$L$4:$N$4)*('R&amp;S - Packaging and hh goods'!$G$9*'R&amp;S - Packaging and hh goods'!$M$15*('R&amp;S - Packaging and hh goods'!$AL$19+('R&amp;S - Packaging and hh goods'!$AL$20-'R&amp;S - Packaging and hh goods'!$AL$19)*(BB$3-$N$3)/10))</f>
        <v>104485.26295030715</v>
      </c>
      <c r="BC31" s="647">
        <f>BC27*'R&amp;S - Packaging and hh goods'!$L$4/SUM('R&amp;S - Packaging and hh goods'!$L$4:$N$4)*('R&amp;S - Packaging and hh goods'!$E$9*'R&amp;S - Packaging and hh goods'!$I$15*('R&amp;S - Packaging and hh goods'!$AB$19+('R&amp;S - Packaging and hh goods'!$AB$20-'R&amp;S - Packaging and hh goods'!$AB$19)*(BC$3-$N$3)/10))+BC27*'R&amp;S - Packaging and hh goods'!$M$4/SUM('R&amp;S - Packaging and hh goods'!$L$4:$N$4)*('R&amp;S - Packaging and hh goods'!$F$9*'R&amp;S - Packaging and hh goods'!$K$15*('R&amp;S - Packaging and hh goods'!$AG$19+('R&amp;S - Packaging and hh goods'!$AG$20-'R&amp;S - Packaging and hh goods'!$AG$19)*(BC$3-$N$3)/10))+BC27*'R&amp;S - Packaging and hh goods'!$N$4/SUM('R&amp;S - Packaging and hh goods'!$L$4:$N$4)*('R&amp;S - Packaging and hh goods'!$G$9*'R&amp;S - Packaging and hh goods'!$M$15*('R&amp;S - Packaging and hh goods'!$AL$19+('R&amp;S - Packaging and hh goods'!$AL$20-'R&amp;S - Packaging and hh goods'!$AL$19)*(BC$3-$N$3)/10))</f>
        <v>112116.30609494145</v>
      </c>
      <c r="BD31" s="647">
        <f>BD27*'R&amp;S - Packaging and hh goods'!$L$4/SUM('R&amp;S - Packaging and hh goods'!$L$4:$N$4)*('R&amp;S - Packaging and hh goods'!$E$9*'R&amp;S - Packaging and hh goods'!$I$15*('R&amp;S - Packaging and hh goods'!$AB$19+('R&amp;S - Packaging and hh goods'!$AB$20-'R&amp;S - Packaging and hh goods'!$AB$19)*(BD$3-$N$3)/10))+BD27*'R&amp;S - Packaging and hh goods'!$M$4/SUM('R&amp;S - Packaging and hh goods'!$L$4:$N$4)*('R&amp;S - Packaging and hh goods'!$F$9*'R&amp;S - Packaging and hh goods'!$K$15*('R&amp;S - Packaging and hh goods'!$AG$19+('R&amp;S - Packaging and hh goods'!$AG$20-'R&amp;S - Packaging and hh goods'!$AG$19)*(BD$3-$N$3)/10))+BD27*'R&amp;S - Packaging and hh goods'!$N$4/SUM('R&amp;S - Packaging and hh goods'!$L$4:$N$4)*('R&amp;S - Packaging and hh goods'!$G$9*'R&amp;S - Packaging and hh goods'!$M$15*('R&amp;S - Packaging and hh goods'!$AL$19+('R&amp;S - Packaging and hh goods'!$AL$20-'R&amp;S - Packaging and hh goods'!$AL$19)*(BD$3-$N$3)/10))</f>
        <v>119747.34923957575</v>
      </c>
      <c r="BE31" s="647">
        <f>BE27*'R&amp;S - Packaging and hh goods'!$L$4/SUM('R&amp;S - Packaging and hh goods'!$L$4:$N$4)*('R&amp;S - Packaging and hh goods'!$E9*'R&amp;S - Packaging and hh goods'!$I$15*('R&amp;S - Packaging and hh goods'!$AB$20+('R&amp;S - Packaging and hh goods'!$AB$21-'R&amp;S - Packaging and hh goods'!$AB$20)*(BE$3-$X$3)/10))+BE27*'R&amp;S - Packaging and hh goods'!$M$4/SUM('R&amp;S - Packaging and hh goods'!$L$4:$N$4)*('R&amp;S - Packaging and hh goods'!$F9*'R&amp;S - Packaging and hh goods'!$K$15*('R&amp;S - Packaging and hh goods'!$AG$20+('R&amp;S - Packaging and hh goods'!$AG$21-'R&amp;S - Packaging and hh goods'!$AG$20)*(BE$3-$X$3)/10))+BE27*'R&amp;S - Packaging and hh goods'!$N$4/SUM('R&amp;S - Packaging and hh goods'!$L$4:$N$4)*('R&amp;S - Packaging and hh goods'!$G9*'R&amp;S - Packaging and hh goods'!$M$15*('R&amp;S - Packaging and hh goods'!$AL$20+('R&amp;S - Packaging and hh goods'!$AL$21-'R&amp;S - Packaging and hh goods'!$AL$20)*(BE$3-$X$3)/10))</f>
        <v>126324.60920378394</v>
      </c>
      <c r="BF31" s="647">
        <f>BF27*'R&amp;S - Packaging and hh goods'!$L$4/SUM('R&amp;S - Packaging and hh goods'!$L$4:$N$4)*('R&amp;S - Packaging and hh goods'!$E9*'R&amp;S - Packaging and hh goods'!$I$15*('R&amp;S - Packaging and hh goods'!$AB$20+('R&amp;S - Packaging and hh goods'!$AB$21-'R&amp;S - Packaging and hh goods'!$AB$20)*(BF$3-$X$3)/10))+BF27*'R&amp;S - Packaging and hh goods'!$M$4/SUM('R&amp;S - Packaging and hh goods'!$L$4:$N$4)*('R&amp;S - Packaging and hh goods'!$F9*'R&amp;S - Packaging and hh goods'!$K$15*('R&amp;S - Packaging and hh goods'!$AG$20+('R&amp;S - Packaging and hh goods'!$AG$21-'R&amp;S - Packaging and hh goods'!$AG$20)*(BF$3-$X$3)/10))+BF27*'R&amp;S - Packaging and hh goods'!$N$4/SUM('R&amp;S - Packaging and hh goods'!$L$4:$N$4)*('R&amp;S - Packaging and hh goods'!$G9*'R&amp;S - Packaging and hh goods'!$M$15*('R&amp;S - Packaging and hh goods'!$AL$20+('R&amp;S - Packaging and hh goods'!$AL$21-'R&amp;S - Packaging and hh goods'!$AL$20)*(BF$3-$X$3)/10))</f>
        <v>132901.86916799212</v>
      </c>
      <c r="BG31" s="647">
        <f>BG27*'R&amp;S - Packaging and hh goods'!$L$4/SUM('R&amp;S - Packaging and hh goods'!$L$4:$N$4)*('R&amp;S - Packaging and hh goods'!$E9*'R&amp;S - Packaging and hh goods'!$I$15*('R&amp;S - Packaging and hh goods'!$AB$20+('R&amp;S - Packaging and hh goods'!$AB$21-'R&amp;S - Packaging and hh goods'!$AB$20)*(BG$3-$X$3)/10))+BG27*'R&amp;S - Packaging and hh goods'!$M$4/SUM('R&amp;S - Packaging and hh goods'!$L$4:$N$4)*('R&amp;S - Packaging and hh goods'!$F9*'R&amp;S - Packaging and hh goods'!$K$15*('R&amp;S - Packaging and hh goods'!$AG$20+('R&amp;S - Packaging and hh goods'!$AG$21-'R&amp;S - Packaging and hh goods'!$AG$20)*(BG$3-$X$3)/10))+BG27*'R&amp;S - Packaging and hh goods'!$N$4/SUM('R&amp;S - Packaging and hh goods'!$L$4:$N$4)*('R&amp;S - Packaging and hh goods'!$G9*'R&amp;S - Packaging and hh goods'!$M$15*('R&amp;S - Packaging and hh goods'!$AL$20+('R&amp;S - Packaging and hh goods'!$AL$21-'R&amp;S - Packaging and hh goods'!$AL$20)*(BG$3-$X$3)/10))</f>
        <v>139479.12913220032</v>
      </c>
      <c r="BH31" s="647">
        <f>BH27*'R&amp;S - Packaging and hh goods'!$L$4/SUM('R&amp;S - Packaging and hh goods'!$L$4:$N$4)*('R&amp;S - Packaging and hh goods'!$E9*'R&amp;S - Packaging and hh goods'!$I$15*('R&amp;S - Packaging and hh goods'!$AB$20+('R&amp;S - Packaging and hh goods'!$AB$21-'R&amp;S - Packaging and hh goods'!$AB$20)*(BH$3-$X$3)/10))+BH27*'R&amp;S - Packaging and hh goods'!$M$4/SUM('R&amp;S - Packaging and hh goods'!$L$4:$N$4)*('R&amp;S - Packaging and hh goods'!$F9*'R&amp;S - Packaging and hh goods'!$K$15*('R&amp;S - Packaging and hh goods'!$AG$20+('R&amp;S - Packaging and hh goods'!$AG$21-'R&amp;S - Packaging and hh goods'!$AG$20)*(BH$3-$X$3)/10))+BH27*'R&amp;S - Packaging and hh goods'!$N$4/SUM('R&amp;S - Packaging and hh goods'!$L$4:$N$4)*('R&amp;S - Packaging and hh goods'!$G9*'R&amp;S - Packaging and hh goods'!$M$15*('R&amp;S - Packaging and hh goods'!$AL$20+('R&amp;S - Packaging and hh goods'!$AL$21-'R&amp;S - Packaging and hh goods'!$AL$20)*(BH$3-$X$3)/10))</f>
        <v>146056.38909640853</v>
      </c>
      <c r="BI31" s="647">
        <f>BI27*'R&amp;S - Packaging and hh goods'!$L$4/SUM('R&amp;S - Packaging and hh goods'!$L$4:$N$4)*('R&amp;S - Packaging and hh goods'!$E9*'R&amp;S - Packaging and hh goods'!$I$15*('R&amp;S - Packaging and hh goods'!$AB$20+('R&amp;S - Packaging and hh goods'!$AB$21-'R&amp;S - Packaging and hh goods'!$AB$20)*(BI$3-$X$3)/10))+BI27*'R&amp;S - Packaging and hh goods'!$M$4/SUM('R&amp;S - Packaging and hh goods'!$L$4:$N$4)*('R&amp;S - Packaging and hh goods'!$F9*'R&amp;S - Packaging and hh goods'!$K$15*('R&amp;S - Packaging and hh goods'!$AG$20+('R&amp;S - Packaging and hh goods'!$AG$21-'R&amp;S - Packaging and hh goods'!$AG$20)*(BI$3-$X$3)/10))+BI27*'R&amp;S - Packaging and hh goods'!$N$4/SUM('R&amp;S - Packaging and hh goods'!$L$4:$N$4)*('R&amp;S - Packaging and hh goods'!$G9*'R&amp;S - Packaging and hh goods'!$M$15*('R&amp;S - Packaging and hh goods'!$AL$20+('R&amp;S - Packaging and hh goods'!$AL$21-'R&amp;S - Packaging and hh goods'!$AL$20)*(BI$3-$X$3)/10))</f>
        <v>152633.64906061674</v>
      </c>
      <c r="BJ31" s="647">
        <f>BJ27*'R&amp;S - Packaging and hh goods'!$L$4/SUM('R&amp;S - Packaging and hh goods'!$L$4:$N$4)*('R&amp;S - Packaging and hh goods'!$E9*'R&amp;S - Packaging and hh goods'!$I$15*('R&amp;S - Packaging and hh goods'!$AB$20+('R&amp;S - Packaging and hh goods'!$AB$21-'R&amp;S - Packaging and hh goods'!$AB$20)*(BJ$3-$X$3)/10))+BJ27*'R&amp;S - Packaging and hh goods'!$M$4/SUM('R&amp;S - Packaging and hh goods'!$L$4:$N$4)*('R&amp;S - Packaging and hh goods'!$F9*'R&amp;S - Packaging and hh goods'!$K$15*('R&amp;S - Packaging and hh goods'!$AG$20+('R&amp;S - Packaging and hh goods'!$AG$21-'R&amp;S - Packaging and hh goods'!$AG$20)*(BJ$3-$X$3)/10))+BJ27*'R&amp;S - Packaging and hh goods'!$N$4/SUM('R&amp;S - Packaging and hh goods'!$L$4:$N$4)*('R&amp;S - Packaging and hh goods'!$G9*'R&amp;S - Packaging and hh goods'!$M$15*('R&amp;S - Packaging and hh goods'!$AL$20+('R&amp;S - Packaging and hh goods'!$AL$21-'R&amp;S - Packaging and hh goods'!$AL$20)*(BJ$3-$X$3)/10))</f>
        <v>159210.90902482494</v>
      </c>
      <c r="BK31" s="647">
        <f>BK27*'R&amp;S - Packaging and hh goods'!$L$4/SUM('R&amp;S - Packaging and hh goods'!$L$4:$N$4)*('R&amp;S - Packaging and hh goods'!$E9*'R&amp;S - Packaging and hh goods'!$I$15*('R&amp;S - Packaging and hh goods'!$AB$20+('R&amp;S - Packaging and hh goods'!$AB$21-'R&amp;S - Packaging and hh goods'!$AB$20)*(BK$3-$X$3)/10))+BK27*'R&amp;S - Packaging and hh goods'!$M$4/SUM('R&amp;S - Packaging and hh goods'!$L$4:$N$4)*('R&amp;S - Packaging and hh goods'!$F9*'R&amp;S - Packaging and hh goods'!$K$15*('R&amp;S - Packaging and hh goods'!$AG$20+('R&amp;S - Packaging and hh goods'!$AG$21-'R&amp;S - Packaging and hh goods'!$AG$20)*(BK$3-$X$3)/10))+BK27*'R&amp;S - Packaging and hh goods'!$N$4/SUM('R&amp;S - Packaging and hh goods'!$L$4:$N$4)*('R&amp;S - Packaging and hh goods'!$G9*'R&amp;S - Packaging and hh goods'!$M$15*('R&amp;S - Packaging and hh goods'!$AL$20+('R&amp;S - Packaging and hh goods'!$AL$21-'R&amp;S - Packaging and hh goods'!$AL$20)*(BK$3-$X$3)/10))</f>
        <v>165788.16898903315</v>
      </c>
      <c r="BL31" s="647">
        <f>BL27*'R&amp;S - Packaging and hh goods'!$L$4/SUM('R&amp;S - Packaging and hh goods'!$L$4:$N$4)*('R&amp;S - Packaging and hh goods'!$E9*'R&amp;S - Packaging and hh goods'!$I$15*('R&amp;S - Packaging and hh goods'!$AB$20+('R&amp;S - Packaging and hh goods'!$AB$21-'R&amp;S - Packaging and hh goods'!$AB$20)*(BL$3-$X$3)/10))+BL27*'R&amp;S - Packaging and hh goods'!$M$4/SUM('R&amp;S - Packaging and hh goods'!$L$4:$N$4)*('R&amp;S - Packaging and hh goods'!$F9*'R&amp;S - Packaging and hh goods'!$K$15*('R&amp;S - Packaging and hh goods'!$AG$20+('R&amp;S - Packaging and hh goods'!$AG$21-'R&amp;S - Packaging and hh goods'!$AG$20)*(BL$3-$X$3)/10))+BL27*'R&amp;S - Packaging and hh goods'!$N$4/SUM('R&amp;S - Packaging and hh goods'!$L$4:$N$4)*('R&amp;S - Packaging and hh goods'!$G9*'R&amp;S - Packaging and hh goods'!$M$15*('R&amp;S - Packaging and hh goods'!$AL$20+('R&amp;S - Packaging and hh goods'!$AL$21-'R&amp;S - Packaging and hh goods'!$AL$20)*(BL$3-$X$3)/10))</f>
        <v>172365.42895324132</v>
      </c>
      <c r="BM31" s="647">
        <f>BM27*'R&amp;S - Packaging and hh goods'!$L$4/SUM('R&amp;S - Packaging and hh goods'!$L$4:$N$4)*('R&amp;S - Packaging and hh goods'!$E9*'R&amp;S - Packaging and hh goods'!$I$15*('R&amp;S - Packaging and hh goods'!$AB$20+('R&amp;S - Packaging and hh goods'!$AB$21-'R&amp;S - Packaging and hh goods'!$AB$20)*(BM$3-$X$3)/10))+BM27*'R&amp;S - Packaging and hh goods'!$M$4/SUM('R&amp;S - Packaging and hh goods'!$L$4:$N$4)*('R&amp;S - Packaging and hh goods'!$F9*'R&amp;S - Packaging and hh goods'!$K$15*('R&amp;S - Packaging and hh goods'!$AG$20+('R&amp;S - Packaging and hh goods'!$AG$21-'R&amp;S - Packaging and hh goods'!$AG$20)*(BM$3-$X$3)/10))+BM27*'R&amp;S - Packaging and hh goods'!$N$4/SUM('R&amp;S - Packaging and hh goods'!$L$4:$N$4)*('R&amp;S - Packaging and hh goods'!$G9*'R&amp;S - Packaging and hh goods'!$M$15*('R&amp;S - Packaging and hh goods'!$AL$20+('R&amp;S - Packaging and hh goods'!$AL$21-'R&amp;S - Packaging and hh goods'!$AL$20)*(BM$3-$X$3)/10))</f>
        <v>178942.68891744953</v>
      </c>
      <c r="BN31" s="647">
        <f>BN27*'R&amp;S - Packaging and hh goods'!$L$4/SUM('R&amp;S - Packaging and hh goods'!$L$4:$N$4)*('R&amp;S - Packaging and hh goods'!$E9*'R&amp;S - Packaging and hh goods'!$I$15*('R&amp;S - Packaging and hh goods'!$AB$20+('R&amp;S - Packaging and hh goods'!$AB$21-'R&amp;S - Packaging and hh goods'!$AB$20)*(BN$3-$X$3)/10))+BN27*'R&amp;S - Packaging and hh goods'!$M$4/SUM('R&amp;S - Packaging and hh goods'!$L$4:$N$4)*('R&amp;S - Packaging and hh goods'!$F9*'R&amp;S - Packaging and hh goods'!$K$15*('R&amp;S - Packaging and hh goods'!$AG$20+('R&amp;S - Packaging and hh goods'!$AG$21-'R&amp;S - Packaging and hh goods'!$AG$20)*(BN$3-$X$3)/10))+BN27*'R&amp;S - Packaging and hh goods'!$N$4/SUM('R&amp;S - Packaging and hh goods'!$L$4:$N$4)*('R&amp;S - Packaging and hh goods'!$G9*'R&amp;S - Packaging and hh goods'!$M$15*('R&amp;S - Packaging and hh goods'!$AL$20+('R&amp;S - Packaging and hh goods'!$AL$21-'R&amp;S - Packaging and hh goods'!$AL$20)*(BN$3-$X$3)/10))</f>
        <v>185519.94888165771</v>
      </c>
      <c r="BR31" t="s">
        <v>913</v>
      </c>
      <c r="BS31" s="41" t="e">
        <f>#REF!</f>
        <v>#REF!</v>
      </c>
      <c r="BU31" t="str">
        <v>Minor Polymers</v>
      </c>
      <c r="BV31" s="41">
        <v>22.580763290736638</v>
      </c>
      <c r="BW31" s="2">
        <v>0.21698594092708512</v>
      </c>
    </row>
    <row r="32" spans="1:85" outlineLevel="1">
      <c r="B32" s="58" t="s">
        <v>180</v>
      </c>
      <c r="C32" s="51" t="s">
        <v>166</v>
      </c>
      <c r="D32" s="101">
        <v>0</v>
      </c>
      <c r="E32" s="101">
        <f>E31*'R&amp;S - Packaging and hh goods'!$L$4/SUM('R&amp;S - Packaging and hh goods'!$L$4:$N$4)*'R&amp;S - Packaging and hh goods'!$E$10*('R&amp;S - Packaging and hh goods'!$I$14*'R&amp;S - Packaging and hh goods'!$AC$19*(E$3-$D$3)/10)+E31*'R&amp;S - Packaging and hh goods'!$M$4/SUM('R&amp;S - Packaging and hh goods'!$L$4:$N$4)*'R&amp;S - Packaging and hh goods'!$F$10*('R&amp;S - Packaging and hh goods'!$K$14*'R&amp;S - Packaging and hh goods'!$AH$19*(E$3-$D$3)/10)+E31*'R&amp;S - Packaging and hh goods'!$N$4/SUM('R&amp;S - Packaging and hh goods'!$L$4:$N$4)*'R&amp;S - Packaging and hh goods'!$G$10*('R&amp;S - Packaging and hh goods'!$M$14*'R&amp;S - Packaging and hh goods'!$AM$19*(E$3-$D$3)/10)</f>
        <v>13.354313123067142</v>
      </c>
      <c r="F32" s="101">
        <f>F27*'R&amp;S - Packaging and hh goods'!$L$4/SUM('R&amp;S - Packaging and hh goods'!$L$4:$N$4)*'R&amp;S - Packaging and hh goods'!$E$10*('R&amp;S - Packaging and hh goods'!$I$14*'R&amp;S - Packaging and hh goods'!$AC$19*(F$3-$D$3)/10)+F27*'R&amp;S - Packaging and hh goods'!$M$4/SUM('R&amp;S - Packaging and hh goods'!$L$4:$N$4)*'R&amp;S - Packaging and hh goods'!$F$10*('R&amp;S - Packaging and hh goods'!$K$14*'R&amp;S - Packaging and hh goods'!$AH$19*(F$3-$D$3)/10)+F27*'R&amp;S - Packaging and hh goods'!$N$4/SUM('R&amp;S - Packaging and hh goods'!$L$4:$N$4)*'R&amp;S - Packaging and hh goods'!$G$10*('R&amp;S - Packaging and hh goods'!$M$14*'R&amp;S - Packaging and hh goods'!$AM$19*(F$3-$D$3)/10)</f>
        <v>14343.677530108122</v>
      </c>
      <c r="G32" s="101">
        <f>G27*'R&amp;S - Packaging and hh goods'!$L$4/SUM('R&amp;S - Packaging and hh goods'!$L$4:$N$4)*'R&amp;S - Packaging and hh goods'!$E$10*('R&amp;S - Packaging and hh goods'!$I$14*'R&amp;S - Packaging and hh goods'!$AC$19*(G$3-$D$3)/10)+G27*'R&amp;S - Packaging and hh goods'!$M$4/SUM('R&amp;S - Packaging and hh goods'!$L$4:$N$4)*'R&amp;S - Packaging and hh goods'!$F$10*('R&amp;S - Packaging and hh goods'!$K$14*'R&amp;S - Packaging and hh goods'!$AH$19*(G$3-$D$3)/10)+G27*'R&amp;S - Packaging and hh goods'!$N$4/SUM('R&amp;S - Packaging and hh goods'!$L$4:$N$4)*'R&amp;S - Packaging and hh goods'!$G$10*('R&amp;S - Packaging and hh goods'!$M$14*'R&amp;S - Packaging and hh goods'!$AM$19*(G$3-$D$3)/10)</f>
        <v>21515.516295162182</v>
      </c>
      <c r="H32" s="101">
        <f>H27*'R&amp;S - Packaging and hh goods'!$L$4/SUM('R&amp;S - Packaging and hh goods'!$L$4:$N$4)*'R&amp;S - Packaging and hh goods'!$E$10*('R&amp;S - Packaging and hh goods'!$I$14*'R&amp;S - Packaging and hh goods'!$AC$19*(H$3-$D$3)/10)+H27*'R&amp;S - Packaging and hh goods'!$M$4/SUM('R&amp;S - Packaging and hh goods'!$L$4:$N$4)*'R&amp;S - Packaging and hh goods'!$F$10*('R&amp;S - Packaging and hh goods'!$K$14*'R&amp;S - Packaging and hh goods'!$AH$19*(H$3-$D$3)/10)+H27*'R&amp;S - Packaging and hh goods'!$N$4/SUM('R&amp;S - Packaging and hh goods'!$L$4:$N$4)*'R&amp;S - Packaging and hh goods'!$G$10*('R&amp;S - Packaging and hh goods'!$M$14*'R&amp;S - Packaging and hh goods'!$AM$19*(H$3-$D$3)/10)</f>
        <v>28687.355060216243</v>
      </c>
      <c r="I32" s="101">
        <f>I27*'R&amp;S - Packaging and hh goods'!$L$4/SUM('R&amp;S - Packaging and hh goods'!$L$4:$N$4)*'R&amp;S - Packaging and hh goods'!$E$10*('R&amp;S - Packaging and hh goods'!$I$14*'R&amp;S - Packaging and hh goods'!$AC$19*(I$3-$D$3)/10)+I27*'R&amp;S - Packaging and hh goods'!$M$4/SUM('R&amp;S - Packaging and hh goods'!$L$4:$N$4)*'R&amp;S - Packaging and hh goods'!$F$10*('R&amp;S - Packaging and hh goods'!$K$14*'R&amp;S - Packaging and hh goods'!$AH$19*(I$3-$D$3)/10)+I27*'R&amp;S - Packaging and hh goods'!$N$4/SUM('R&amp;S - Packaging and hh goods'!$L$4:$N$4)*'R&amp;S - Packaging and hh goods'!$G$10*('R&amp;S - Packaging and hh goods'!$M$14*'R&amp;S - Packaging and hh goods'!$AM$19*(I$3-$D$3)/10)</f>
        <v>35859.193825270311</v>
      </c>
      <c r="J32" s="101">
        <f>J27*'R&amp;S - Packaging and hh goods'!$L$4/SUM('R&amp;S - Packaging and hh goods'!$L$4:$N$4)*'R&amp;S - Packaging and hh goods'!$E$10*('R&amp;S - Packaging and hh goods'!$I$14*'R&amp;S - Packaging and hh goods'!$AC$19*(J$3-$D$3)/10)+J27*'R&amp;S - Packaging and hh goods'!$M$4/SUM('R&amp;S - Packaging and hh goods'!$L$4:$N$4)*'R&amp;S - Packaging and hh goods'!$F$10*('R&amp;S - Packaging and hh goods'!$K$14*'R&amp;S - Packaging and hh goods'!$AH$19*(J$3-$D$3)/10)+J27*'R&amp;S - Packaging and hh goods'!$N$4/SUM('R&amp;S - Packaging and hh goods'!$L$4:$N$4)*'R&amp;S - Packaging and hh goods'!$G$10*('R&amp;S - Packaging and hh goods'!$M$14*'R&amp;S - Packaging and hh goods'!$AM$19*(J$3-$D$3)/10)</f>
        <v>43031.032590324365</v>
      </c>
      <c r="K32" s="101">
        <f>K27*'R&amp;S - Packaging and hh goods'!$L$4/SUM('R&amp;S - Packaging and hh goods'!$L$4:$N$4)*'R&amp;S - Packaging and hh goods'!$E$10*('R&amp;S - Packaging and hh goods'!$I$14*'R&amp;S - Packaging and hh goods'!$AC$19*(K$3-$D$3)/10)+K27*'R&amp;S - Packaging and hh goods'!$M$4/SUM('R&amp;S - Packaging and hh goods'!$L$4:$N$4)*'R&amp;S - Packaging and hh goods'!$F$10*('R&amp;S - Packaging and hh goods'!$K$14*'R&amp;S - Packaging and hh goods'!$AH$19*(K$3-$D$3)/10)+K27*'R&amp;S - Packaging and hh goods'!$N$4/SUM('R&amp;S - Packaging and hh goods'!$L$4:$N$4)*'R&amp;S - Packaging and hh goods'!$G$10*('R&amp;S - Packaging and hh goods'!$M$14*'R&amp;S - Packaging and hh goods'!$AM$19*(K$3-$D$3)/10)</f>
        <v>50202.871355378426</v>
      </c>
      <c r="L32" s="101">
        <f>L27*'R&amp;S - Packaging and hh goods'!$L$4/SUM('R&amp;S - Packaging and hh goods'!$L$4:$N$4)*'R&amp;S - Packaging and hh goods'!$E$10*('R&amp;S - Packaging and hh goods'!$I$14*'R&amp;S - Packaging and hh goods'!$AC$19*(L$3-$D$3)/10)+L27*'R&amp;S - Packaging and hh goods'!$M$4/SUM('R&amp;S - Packaging and hh goods'!$L$4:$N$4)*'R&amp;S - Packaging and hh goods'!$F$10*('R&amp;S - Packaging and hh goods'!$K$14*'R&amp;S - Packaging and hh goods'!$AH$19*(L$3-$D$3)/10)+L27*'R&amp;S - Packaging and hh goods'!$N$4/SUM('R&amp;S - Packaging and hh goods'!$L$4:$N$4)*'R&amp;S - Packaging and hh goods'!$G$10*('R&amp;S - Packaging and hh goods'!$M$14*'R&amp;S - Packaging and hh goods'!$AM$19*(L$3-$D$3)/10)</f>
        <v>57374.710120432486</v>
      </c>
      <c r="M32" s="101">
        <f>M27*'R&amp;S - Packaging and hh goods'!$L$4/SUM('R&amp;S - Packaging and hh goods'!$L$4:$N$4)*'R&amp;S - Packaging and hh goods'!$E$10*('R&amp;S - Packaging and hh goods'!$I$14*'R&amp;S - Packaging and hh goods'!$AC$19*(M$3-$D$3)/10)+M27*'R&amp;S - Packaging and hh goods'!$M$4/SUM('R&amp;S - Packaging and hh goods'!$L$4:$N$4)*'R&amp;S - Packaging and hh goods'!$F$10*('R&amp;S - Packaging and hh goods'!$K$14*'R&amp;S - Packaging and hh goods'!$AH$19*(M$3-$D$3)/10)+M27*'R&amp;S - Packaging and hh goods'!$N$4/SUM('R&amp;S - Packaging and hh goods'!$L$4:$N$4)*'R&amp;S - Packaging and hh goods'!$G$10*('R&amp;S - Packaging and hh goods'!$M$14*'R&amp;S - Packaging and hh goods'!$AM$19*(M$3-$D$3)/10)</f>
        <v>64546.548885486554</v>
      </c>
      <c r="N32" s="101">
        <f>N27*'R&amp;S - Packaging and hh goods'!$L$4/SUM('R&amp;S - Packaging and hh goods'!$L$4:$N$4)*'R&amp;S - Packaging and hh goods'!$E$10*('R&amp;S - Packaging and hh goods'!$I$14*'R&amp;S - Packaging and hh goods'!$AC$19*(N$3-$D$3)/10)+N27*'R&amp;S - Packaging and hh goods'!$M$4/SUM('R&amp;S - Packaging and hh goods'!$L$4:$N$4)*'R&amp;S - Packaging and hh goods'!$F$10*('R&amp;S - Packaging and hh goods'!$K$14*'R&amp;S - Packaging and hh goods'!$AH$19*(N$3-$D$3)/10)+N27*'R&amp;S - Packaging and hh goods'!$N$4/SUM('R&amp;S - Packaging and hh goods'!$L$4:$N$4)*'R&amp;S - Packaging and hh goods'!$G$10*('R&amp;S - Packaging and hh goods'!$M$14*'R&amp;S - Packaging and hh goods'!$AM$19*(N$3-$D$3)/10)</f>
        <v>71718.387650540622</v>
      </c>
      <c r="O32" s="647">
        <f>O27*'R&amp;S - Packaging and hh goods'!$L$4/SUM('R&amp;S - Packaging and hh goods'!$L$4:$N$4)*('R&amp;S - Packaging and hh goods'!$E$10*'R&amp;S - Packaging and hh goods'!$I$14*('R&amp;S - Packaging and hh goods'!$AC$19+('R&amp;S - Packaging and hh goods'!$AC$20-'R&amp;S - Packaging and hh goods'!$AC$19)*(O$3-$N$3)/10))+O27*'R&amp;S - Packaging and hh goods'!$M$4/SUM('R&amp;S - Packaging and hh goods'!$L$4:$N$4)*('R&amp;S - Packaging and hh goods'!$F$10*'R&amp;S - Packaging and hh goods'!$K$14*('R&amp;S - Packaging and hh goods'!$AH$19+('R&amp;S - Packaging and hh goods'!$AH$20-'R&amp;S - Packaging and hh goods'!$AH$19)*(O$3-$N$3)/10))+O27*'R&amp;S - Packaging and hh goods'!$N$4/SUM('R&amp;S - Packaging and hh goods'!$L$4:$N$4)*('R&amp;S - Packaging and hh goods'!$G$10*'R&amp;S - Packaging and hh goods'!$M$14*('R&amp;S - Packaging and hh goods'!$AM$19+('R&amp;S - Packaging and hh goods'!$AM$20-'R&amp;S - Packaging and hh goods'!$AM$19)*(O$3-$N$3)/10))</f>
        <v>84780.028488572236</v>
      </c>
      <c r="P32" s="647">
        <f>P27*'R&amp;S - Packaging and hh goods'!$L$4/SUM('R&amp;S - Packaging and hh goods'!$L$4:$N$4)*('R&amp;S - Packaging and hh goods'!$E$10*'R&amp;S - Packaging and hh goods'!$I$14*('R&amp;S - Packaging and hh goods'!$AC$19+('R&amp;S - Packaging and hh goods'!$AC$20-'R&amp;S - Packaging and hh goods'!$AC$19)*(P$3-$N$3)/10))+P27*'R&amp;S - Packaging and hh goods'!$M$4/SUM('R&amp;S - Packaging and hh goods'!$L$4:$N$4)*('R&amp;S - Packaging and hh goods'!$F$10*'R&amp;S - Packaging and hh goods'!$K$14*('R&amp;S - Packaging and hh goods'!$AH$19+('R&amp;S - Packaging and hh goods'!$AH$20-'R&amp;S - Packaging and hh goods'!$AH$19)*(P$3-$N$3)/10))+P27*'R&amp;S - Packaging and hh goods'!$N$4/SUM('R&amp;S - Packaging and hh goods'!$L$4:$N$4)*('R&amp;S - Packaging and hh goods'!$G$10*'R&amp;S - Packaging and hh goods'!$M$14*('R&amp;S - Packaging and hh goods'!$AM$19+('R&amp;S - Packaging and hh goods'!$AM$20-'R&amp;S - Packaging and hh goods'!$AM$19)*(P$3-$N$3)/10))</f>
        <v>97841.669326603849</v>
      </c>
      <c r="Q32" s="647">
        <f>Q27*'R&amp;S - Packaging and hh goods'!$L$4/SUM('R&amp;S - Packaging and hh goods'!$L$4:$N$4)*('R&amp;S - Packaging and hh goods'!$E$10*'R&amp;S - Packaging and hh goods'!$I$14*('R&amp;S - Packaging and hh goods'!$AC$19+('R&amp;S - Packaging and hh goods'!$AC$20-'R&amp;S - Packaging and hh goods'!$AC$19)*(Q$3-$N$3)/10))+Q27*'R&amp;S - Packaging and hh goods'!$M$4/SUM('R&amp;S - Packaging and hh goods'!$L$4:$N$4)*('R&amp;S - Packaging and hh goods'!$F$10*'R&amp;S - Packaging and hh goods'!$K$14*('R&amp;S - Packaging and hh goods'!$AH$19+('R&amp;S - Packaging and hh goods'!$AH$20-'R&amp;S - Packaging and hh goods'!$AH$19)*(Q$3-$N$3)/10))+Q27*'R&amp;S - Packaging and hh goods'!$N$4/SUM('R&amp;S - Packaging and hh goods'!$L$4:$N$4)*('R&amp;S - Packaging and hh goods'!$G$10*'R&amp;S - Packaging and hh goods'!$M$14*('R&amp;S - Packaging and hh goods'!$AM$19+('R&amp;S - Packaging and hh goods'!$AM$20-'R&amp;S - Packaging and hh goods'!$AM$19)*(Q$3-$N$3)/10))</f>
        <v>110903.31016463549</v>
      </c>
      <c r="R32" s="647">
        <f>R27*'R&amp;S - Packaging and hh goods'!$L$4/SUM('R&amp;S - Packaging and hh goods'!$L$4:$N$4)*('R&amp;S - Packaging and hh goods'!$E$10*'R&amp;S - Packaging and hh goods'!$I$14*('R&amp;S - Packaging and hh goods'!$AC$19+('R&amp;S - Packaging and hh goods'!$AC$20-'R&amp;S - Packaging and hh goods'!$AC$19)*(R$3-$N$3)/10))+R27*'R&amp;S - Packaging and hh goods'!$M$4/SUM('R&amp;S - Packaging and hh goods'!$L$4:$N$4)*('R&amp;S - Packaging and hh goods'!$F$10*'R&amp;S - Packaging and hh goods'!$K$14*('R&amp;S - Packaging and hh goods'!$AH$19+('R&amp;S - Packaging and hh goods'!$AH$20-'R&amp;S - Packaging and hh goods'!$AH$19)*(R$3-$N$3)/10))+R27*'R&amp;S - Packaging and hh goods'!$N$4/SUM('R&amp;S - Packaging and hh goods'!$L$4:$N$4)*('R&amp;S - Packaging and hh goods'!$G$10*'R&amp;S - Packaging and hh goods'!$M$14*('R&amp;S - Packaging and hh goods'!$AM$19+('R&amp;S - Packaging and hh goods'!$AM$20-'R&amp;S - Packaging and hh goods'!$AM$19)*(R$3-$N$3)/10))</f>
        <v>123964.95100266711</v>
      </c>
      <c r="S32" s="647">
        <f>S27*'R&amp;S - Packaging and hh goods'!$L$4/SUM('R&amp;S - Packaging and hh goods'!$L$4:$N$4)*('R&amp;S - Packaging and hh goods'!$E$10*'R&amp;S - Packaging and hh goods'!$I$14*('R&amp;S - Packaging and hh goods'!$AC$19+('R&amp;S - Packaging and hh goods'!$AC$20-'R&amp;S - Packaging and hh goods'!$AC$19)*(S$3-$N$3)/10))+S27*'R&amp;S - Packaging and hh goods'!$M$4/SUM('R&amp;S - Packaging and hh goods'!$L$4:$N$4)*('R&amp;S - Packaging and hh goods'!$F$10*'R&amp;S - Packaging and hh goods'!$K$14*('R&amp;S - Packaging and hh goods'!$AH$19+('R&amp;S - Packaging and hh goods'!$AH$20-'R&amp;S - Packaging and hh goods'!$AH$19)*(S$3-$N$3)/10))+S27*'R&amp;S - Packaging and hh goods'!$N$4/SUM('R&amp;S - Packaging and hh goods'!$L$4:$N$4)*('R&amp;S - Packaging and hh goods'!$G$10*'R&amp;S - Packaging and hh goods'!$M$14*('R&amp;S - Packaging and hh goods'!$AM$19+('R&amp;S - Packaging and hh goods'!$AM$20-'R&amp;S - Packaging and hh goods'!$AM$19)*(S$3-$N$3)/10))</f>
        <v>137026.59184069873</v>
      </c>
      <c r="T32" s="647">
        <f>T27*'R&amp;S - Packaging and hh goods'!$L$4/SUM('R&amp;S - Packaging and hh goods'!$L$4:$N$4)*('R&amp;S - Packaging and hh goods'!$E$10*'R&amp;S - Packaging and hh goods'!$I$14*('R&amp;S - Packaging and hh goods'!$AC$19+('R&amp;S - Packaging and hh goods'!$AC$20-'R&amp;S - Packaging and hh goods'!$AC$19)*(T$3-$N$3)/10))+T27*'R&amp;S - Packaging and hh goods'!$M$4/SUM('R&amp;S - Packaging and hh goods'!$L$4:$N$4)*('R&amp;S - Packaging and hh goods'!$F$10*'R&amp;S - Packaging and hh goods'!$K$14*('R&amp;S - Packaging and hh goods'!$AH$19+('R&amp;S - Packaging and hh goods'!$AH$20-'R&amp;S - Packaging and hh goods'!$AH$19)*(T$3-$N$3)/10))+T27*'R&amp;S - Packaging and hh goods'!$N$4/SUM('R&amp;S - Packaging and hh goods'!$L$4:$N$4)*('R&amp;S - Packaging and hh goods'!$G$10*'R&amp;S - Packaging and hh goods'!$M$14*('R&amp;S - Packaging and hh goods'!$AM$19+('R&amp;S - Packaging and hh goods'!$AM$20-'R&amp;S - Packaging and hh goods'!$AM$19)*(T$3-$N$3)/10))</f>
        <v>150088.23267873036</v>
      </c>
      <c r="U32" s="647">
        <f>U27*'R&amp;S - Packaging and hh goods'!$L$4/SUM('R&amp;S - Packaging and hh goods'!$L$4:$N$4)*('R&amp;S - Packaging and hh goods'!$E$10*'R&amp;S - Packaging and hh goods'!$I$14*('R&amp;S - Packaging and hh goods'!$AC$19+('R&amp;S - Packaging and hh goods'!$AC$20-'R&amp;S - Packaging and hh goods'!$AC$19)*(U$3-$N$3)/10))+U27*'R&amp;S - Packaging and hh goods'!$M$4/SUM('R&amp;S - Packaging and hh goods'!$L$4:$N$4)*('R&amp;S - Packaging and hh goods'!$F$10*'R&amp;S - Packaging and hh goods'!$K$14*('R&amp;S - Packaging and hh goods'!$AH$19+('R&amp;S - Packaging and hh goods'!$AH$20-'R&amp;S - Packaging and hh goods'!$AH$19)*(U$3-$N$3)/10))+U27*'R&amp;S - Packaging and hh goods'!$N$4/SUM('R&amp;S - Packaging and hh goods'!$L$4:$N$4)*('R&amp;S - Packaging and hh goods'!$G$10*'R&amp;S - Packaging and hh goods'!$M$14*('R&amp;S - Packaging and hh goods'!$AM$19+('R&amp;S - Packaging and hh goods'!$AM$20-'R&amp;S - Packaging and hh goods'!$AM$19)*(U$3-$N$3)/10))</f>
        <v>163149.87351676196</v>
      </c>
      <c r="V32" s="647">
        <f>V27*'R&amp;S - Packaging and hh goods'!$L$4/SUM('R&amp;S - Packaging and hh goods'!$L$4:$N$4)*('R&amp;S - Packaging and hh goods'!$E$10*'R&amp;S - Packaging and hh goods'!$I$14*('R&amp;S - Packaging and hh goods'!$AC$19+('R&amp;S - Packaging and hh goods'!$AC$20-'R&amp;S - Packaging and hh goods'!$AC$19)*(V$3-$N$3)/10))+V27*'R&amp;S - Packaging and hh goods'!$M$4/SUM('R&amp;S - Packaging and hh goods'!$L$4:$N$4)*('R&amp;S - Packaging and hh goods'!$F$10*'R&amp;S - Packaging and hh goods'!$K$14*('R&amp;S - Packaging and hh goods'!$AH$19+('R&amp;S - Packaging and hh goods'!$AH$20-'R&amp;S - Packaging and hh goods'!$AH$19)*(V$3-$N$3)/10))+V27*'R&amp;S - Packaging and hh goods'!$N$4/SUM('R&amp;S - Packaging and hh goods'!$L$4:$N$4)*('R&amp;S - Packaging and hh goods'!$G$10*'R&amp;S - Packaging and hh goods'!$M$14*('R&amp;S - Packaging and hh goods'!$AM$19+('R&amp;S - Packaging and hh goods'!$AM$20-'R&amp;S - Packaging and hh goods'!$AM$19)*(V$3-$N$3)/10))</f>
        <v>176211.51435479362</v>
      </c>
      <c r="W32" s="647">
        <f>W27*'R&amp;S - Packaging and hh goods'!$L$4/SUM('R&amp;S - Packaging and hh goods'!$L$4:$N$4)*('R&amp;S - Packaging and hh goods'!$E$10*'R&amp;S - Packaging and hh goods'!$I$14*('R&amp;S - Packaging and hh goods'!$AC$19+('R&amp;S - Packaging and hh goods'!$AC$20-'R&amp;S - Packaging and hh goods'!$AC$19)*(W$3-$N$3)/10))+W27*'R&amp;S - Packaging and hh goods'!$M$4/SUM('R&amp;S - Packaging and hh goods'!$L$4:$N$4)*('R&amp;S - Packaging and hh goods'!$F$10*'R&amp;S - Packaging and hh goods'!$K$14*('R&amp;S - Packaging and hh goods'!$AH$19+('R&amp;S - Packaging and hh goods'!$AH$20-'R&amp;S - Packaging and hh goods'!$AH$19)*(W$3-$N$3)/10))+W27*'R&amp;S - Packaging and hh goods'!$N$4/SUM('R&amp;S - Packaging and hh goods'!$L$4:$N$4)*('R&amp;S - Packaging and hh goods'!$G$10*'R&amp;S - Packaging and hh goods'!$M$14*('R&amp;S - Packaging and hh goods'!$AM$19+('R&amp;S - Packaging and hh goods'!$AM$20-'R&amp;S - Packaging and hh goods'!$AM$19)*(W$3-$N$3)/10))</f>
        <v>189273.15519282522</v>
      </c>
      <c r="X32" s="647">
        <f>X27*'R&amp;S - Packaging and hh goods'!$L$4/SUM('R&amp;S - Packaging and hh goods'!$L$4:$N$4)*('R&amp;S - Packaging and hh goods'!$E$10*'R&amp;S - Packaging and hh goods'!$I$14*('R&amp;S - Packaging and hh goods'!$AC$19+('R&amp;S - Packaging and hh goods'!$AC$20-'R&amp;S - Packaging and hh goods'!$AC$19)*(X$3-$N$3)/10))+X27*'R&amp;S - Packaging and hh goods'!$M$4/SUM('R&amp;S - Packaging and hh goods'!$L$4:$N$4)*('R&amp;S - Packaging and hh goods'!$F$10*'R&amp;S - Packaging and hh goods'!$K$14*('R&amp;S - Packaging and hh goods'!$AH$19+('R&amp;S - Packaging and hh goods'!$AH$20-'R&amp;S - Packaging and hh goods'!$AH$19)*(X$3-$N$3)/10))+X27*'R&amp;S - Packaging and hh goods'!$N$4/SUM('R&amp;S - Packaging and hh goods'!$L$4:$N$4)*('R&amp;S - Packaging and hh goods'!$G$10*'R&amp;S - Packaging and hh goods'!$M$14*('R&amp;S - Packaging and hh goods'!$AM$19+('R&amp;S - Packaging and hh goods'!$AM$20-'R&amp;S - Packaging and hh goods'!$AM$19)*(X$3-$N$3)/10))</f>
        <v>202334.79603085684</v>
      </c>
      <c r="Y32" s="647">
        <f>Y27*'R&amp;S - Packaging and hh goods'!$L$4/SUM('R&amp;S - Packaging and hh goods'!$L$4:$N$4)*('R&amp;S - Packaging and hh goods'!$E10*'R&amp;S - Packaging and hh goods'!$I$14*('R&amp;S - Packaging and hh goods'!$AC$20+('R&amp;S - Packaging and hh goods'!$AC$21-'R&amp;S - Packaging and hh goods'!$AC$20)*(Y$3-$X$3)/10))+Y27*'R&amp;S - Packaging and hh goods'!$M$4/SUM('R&amp;S - Packaging and hh goods'!$L$4:$N$4)*('R&amp;S - Packaging and hh goods'!$F10*'R&amp;S - Packaging and hh goods'!$K$14*('R&amp;S - Packaging and hh goods'!$AH$20+('R&amp;S - Packaging and hh goods'!$AH$21-'R&amp;S - Packaging and hh goods'!$AH$20)*(Y$3-$X$3)/10))+Y27*'R&amp;S - Packaging and hh goods'!$N$4/SUM('R&amp;S - Packaging and hh goods'!$L$4:$N$4)*('R&amp;S - Packaging and hh goods'!$G10*'R&amp;S - Packaging and hh goods'!$M$14*('R&amp;S - Packaging and hh goods'!$AM$20+('R&amp;S - Packaging and hh goods'!$AM$21-'R&amp;S - Packaging and hh goods'!$AM$20)*(Y$3-$X$3)/10))</f>
        <v>214692.65753811985</v>
      </c>
      <c r="Z32" s="647">
        <f>Z27*'R&amp;S - Packaging and hh goods'!$L$4/SUM('R&amp;S - Packaging and hh goods'!$L$4:$N$4)*('R&amp;S - Packaging and hh goods'!$E10*'R&amp;S - Packaging and hh goods'!$I$14*('R&amp;S - Packaging and hh goods'!$AC$20+('R&amp;S - Packaging and hh goods'!$AC$21-'R&amp;S - Packaging and hh goods'!$AC$20)*(Z$3-$X$3)/10))+Z27*'R&amp;S - Packaging and hh goods'!$M$4/SUM('R&amp;S - Packaging and hh goods'!$L$4:$N$4)*('R&amp;S - Packaging and hh goods'!$F10*'R&amp;S - Packaging and hh goods'!$K$14*('R&amp;S - Packaging and hh goods'!$AH$20+('R&amp;S - Packaging and hh goods'!$AH$21-'R&amp;S - Packaging and hh goods'!$AH$20)*(Z$3-$X$3)/10))+Z27*'R&amp;S - Packaging and hh goods'!$N$4/SUM('R&amp;S - Packaging and hh goods'!$L$4:$N$4)*('R&amp;S - Packaging and hh goods'!$G10*'R&amp;S - Packaging and hh goods'!$M$14*('R&amp;S - Packaging and hh goods'!$AM$20+('R&amp;S - Packaging and hh goods'!$AM$21-'R&amp;S - Packaging and hh goods'!$AM$20)*(Z$3-$X$3)/10))</f>
        <v>227050.51904538283</v>
      </c>
      <c r="AA32" s="647">
        <f>AA27*'R&amp;S - Packaging and hh goods'!$L$4/SUM('R&amp;S - Packaging and hh goods'!$L$4:$N$4)*('R&amp;S - Packaging and hh goods'!$E10*'R&amp;S - Packaging and hh goods'!$I$14*('R&amp;S - Packaging and hh goods'!$AC$20+('R&amp;S - Packaging and hh goods'!$AC$21-'R&amp;S - Packaging and hh goods'!$AC$20)*(AA$3-$X$3)/10))+AA27*'R&amp;S - Packaging and hh goods'!$M$4/SUM('R&amp;S - Packaging and hh goods'!$L$4:$N$4)*('R&amp;S - Packaging and hh goods'!$F10*'R&amp;S - Packaging and hh goods'!$K$14*('R&amp;S - Packaging and hh goods'!$AH$20+('R&amp;S - Packaging and hh goods'!$AH$21-'R&amp;S - Packaging and hh goods'!$AH$20)*(AA$3-$X$3)/10))+AA27*'R&amp;S - Packaging and hh goods'!$N$4/SUM('R&amp;S - Packaging and hh goods'!$L$4:$N$4)*('R&amp;S - Packaging and hh goods'!$G10*'R&amp;S - Packaging and hh goods'!$M$14*('R&amp;S - Packaging and hh goods'!$AM$20+('R&amp;S - Packaging and hh goods'!$AM$21-'R&amp;S - Packaging and hh goods'!$AM$20)*(AA$3-$X$3)/10))</f>
        <v>239408.38055264586</v>
      </c>
      <c r="AB32" s="647">
        <f>AB27*'R&amp;S - Packaging and hh goods'!$L$4/SUM('R&amp;S - Packaging and hh goods'!$L$4:$N$4)*('R&amp;S - Packaging and hh goods'!$E10*'R&amp;S - Packaging and hh goods'!$I$14*('R&amp;S - Packaging and hh goods'!$AC$20+('R&amp;S - Packaging and hh goods'!$AC$21-'R&amp;S - Packaging and hh goods'!$AC$20)*(AB$3-$X$3)/10))+AB27*'R&amp;S - Packaging and hh goods'!$M$4/SUM('R&amp;S - Packaging and hh goods'!$L$4:$N$4)*('R&amp;S - Packaging and hh goods'!$F10*'R&amp;S - Packaging and hh goods'!$K$14*('R&amp;S - Packaging and hh goods'!$AH$20+('R&amp;S - Packaging and hh goods'!$AH$21-'R&amp;S - Packaging and hh goods'!$AH$20)*(AB$3-$X$3)/10))+AB27*'R&amp;S - Packaging and hh goods'!$N$4/SUM('R&amp;S - Packaging and hh goods'!$L$4:$N$4)*('R&amp;S - Packaging and hh goods'!$G10*'R&amp;S - Packaging and hh goods'!$M$14*('R&amp;S - Packaging and hh goods'!$AM$20+('R&amp;S - Packaging and hh goods'!$AM$21-'R&amp;S - Packaging and hh goods'!$AM$20)*(AB$3-$X$3)/10))</f>
        <v>251766.24205990887</v>
      </c>
      <c r="AC32" s="647">
        <f>AC27*'R&amp;S - Packaging and hh goods'!$L$4/SUM('R&amp;S - Packaging and hh goods'!$L$4:$N$4)*('R&amp;S - Packaging and hh goods'!$E10*'R&amp;S - Packaging and hh goods'!$I$14*('R&amp;S - Packaging and hh goods'!$AC$20+('R&amp;S - Packaging and hh goods'!$AC$21-'R&amp;S - Packaging and hh goods'!$AC$20)*(AC$3-$X$3)/10))+AC27*'R&amp;S - Packaging and hh goods'!$M$4/SUM('R&amp;S - Packaging and hh goods'!$L$4:$N$4)*('R&amp;S - Packaging and hh goods'!$F10*'R&amp;S - Packaging and hh goods'!$K$14*('R&amp;S - Packaging and hh goods'!$AH$20+('R&amp;S - Packaging and hh goods'!$AH$21-'R&amp;S - Packaging and hh goods'!$AH$20)*(AC$3-$X$3)/10))+AC27*'R&amp;S - Packaging and hh goods'!$N$4/SUM('R&amp;S - Packaging and hh goods'!$L$4:$N$4)*('R&amp;S - Packaging and hh goods'!$G10*'R&amp;S - Packaging and hh goods'!$M$14*('R&amp;S - Packaging and hh goods'!$AM$20+('R&amp;S - Packaging and hh goods'!$AM$21-'R&amp;S - Packaging and hh goods'!$AM$20)*(AC$3-$X$3)/10))</f>
        <v>264124.1035671719</v>
      </c>
      <c r="AD32" s="647">
        <f>AD27*'R&amp;S - Packaging and hh goods'!$L$4/SUM('R&amp;S - Packaging and hh goods'!$L$4:$N$4)*('R&amp;S - Packaging and hh goods'!$E10*'R&amp;S - Packaging and hh goods'!$I$14*('R&amp;S - Packaging and hh goods'!$AC$20+('R&amp;S - Packaging and hh goods'!$AC$21-'R&amp;S - Packaging and hh goods'!$AC$20)*(AD$3-$X$3)/10))+AD27*'R&amp;S - Packaging and hh goods'!$M$4/SUM('R&amp;S - Packaging and hh goods'!$L$4:$N$4)*('R&amp;S - Packaging and hh goods'!$F10*'R&amp;S - Packaging and hh goods'!$K$14*('R&amp;S - Packaging and hh goods'!$AH$20+('R&amp;S - Packaging and hh goods'!$AH$21-'R&amp;S - Packaging and hh goods'!$AH$20)*(AD$3-$X$3)/10))+AD27*'R&amp;S - Packaging and hh goods'!$N$4/SUM('R&amp;S - Packaging and hh goods'!$L$4:$N$4)*('R&amp;S - Packaging and hh goods'!$G10*'R&amp;S - Packaging and hh goods'!$M$14*('R&amp;S - Packaging and hh goods'!$AM$20+('R&amp;S - Packaging and hh goods'!$AM$21-'R&amp;S - Packaging and hh goods'!$AM$20)*(AD$3-$X$3)/10))</f>
        <v>276481.96507443488</v>
      </c>
      <c r="AE32" s="647">
        <f>AE27*'R&amp;S - Packaging and hh goods'!$L$4/SUM('R&amp;S - Packaging and hh goods'!$L$4:$N$4)*('R&amp;S - Packaging and hh goods'!$E10*'R&amp;S - Packaging and hh goods'!$I$14*('R&amp;S - Packaging and hh goods'!$AC$20+('R&amp;S - Packaging and hh goods'!$AC$21-'R&amp;S - Packaging and hh goods'!$AC$20)*(AE$3-$X$3)/10))+AE27*'R&amp;S - Packaging and hh goods'!$M$4/SUM('R&amp;S - Packaging and hh goods'!$L$4:$N$4)*('R&amp;S - Packaging and hh goods'!$F10*'R&amp;S - Packaging and hh goods'!$K$14*('R&amp;S - Packaging and hh goods'!$AH$20+('R&amp;S - Packaging and hh goods'!$AH$21-'R&amp;S - Packaging and hh goods'!$AH$20)*(AE$3-$X$3)/10))+AE27*'R&amp;S - Packaging and hh goods'!$N$4/SUM('R&amp;S - Packaging and hh goods'!$L$4:$N$4)*('R&amp;S - Packaging and hh goods'!$G10*'R&amp;S - Packaging and hh goods'!$M$14*('R&amp;S - Packaging and hh goods'!$AM$20+('R&amp;S - Packaging and hh goods'!$AM$21-'R&amp;S - Packaging and hh goods'!$AM$20)*(AE$3-$X$3)/10))</f>
        <v>288839.82658169791</v>
      </c>
      <c r="AF32" s="647">
        <f>AF27*'R&amp;S - Packaging and hh goods'!$L$4/SUM('R&amp;S - Packaging and hh goods'!$L$4:$N$4)*('R&amp;S - Packaging and hh goods'!$E10*'R&amp;S - Packaging and hh goods'!$I$14*('R&amp;S - Packaging and hh goods'!$AC$20+('R&amp;S - Packaging and hh goods'!$AC$21-'R&amp;S - Packaging and hh goods'!$AC$20)*(AF$3-$X$3)/10))+AF27*'R&amp;S - Packaging and hh goods'!$M$4/SUM('R&amp;S - Packaging and hh goods'!$L$4:$N$4)*('R&amp;S - Packaging and hh goods'!$F10*'R&amp;S - Packaging and hh goods'!$K$14*('R&amp;S - Packaging and hh goods'!$AH$20+('R&amp;S - Packaging and hh goods'!$AH$21-'R&amp;S - Packaging and hh goods'!$AH$20)*(AF$3-$X$3)/10))+AF27*'R&amp;S - Packaging and hh goods'!$N$4/SUM('R&amp;S - Packaging and hh goods'!$L$4:$N$4)*('R&amp;S - Packaging and hh goods'!$G10*'R&amp;S - Packaging and hh goods'!$M$14*('R&amp;S - Packaging and hh goods'!$AM$20+('R&amp;S - Packaging and hh goods'!$AM$21-'R&amp;S - Packaging and hh goods'!$AM$20)*(AF$3-$X$3)/10))</f>
        <v>301197.68808896083</v>
      </c>
      <c r="AG32" s="647">
        <f>AG27*'R&amp;S - Packaging and hh goods'!$L$4/SUM('R&amp;S - Packaging and hh goods'!$L$4:$N$4)*('R&amp;S - Packaging and hh goods'!$E10*'R&amp;S - Packaging and hh goods'!$I$14*('R&amp;S - Packaging and hh goods'!$AC$20+('R&amp;S - Packaging and hh goods'!$AC$21-'R&amp;S - Packaging and hh goods'!$AC$20)*(AG$3-$X$3)/10))+AG27*'R&amp;S - Packaging and hh goods'!$M$4/SUM('R&amp;S - Packaging and hh goods'!$L$4:$N$4)*('R&amp;S - Packaging and hh goods'!$F10*'R&amp;S - Packaging and hh goods'!$K$14*('R&amp;S - Packaging and hh goods'!$AH$20+('R&amp;S - Packaging and hh goods'!$AH$21-'R&amp;S - Packaging and hh goods'!$AH$20)*(AG$3-$X$3)/10))+AG27*'R&amp;S - Packaging and hh goods'!$N$4/SUM('R&amp;S - Packaging and hh goods'!$L$4:$N$4)*('R&amp;S - Packaging and hh goods'!$G10*'R&amp;S - Packaging and hh goods'!$M$14*('R&amp;S - Packaging and hh goods'!$AM$20+('R&amp;S - Packaging and hh goods'!$AM$21-'R&amp;S - Packaging and hh goods'!$AM$20)*(AG$3-$X$3)/10))</f>
        <v>313555.54959622386</v>
      </c>
      <c r="AH32" s="647">
        <f>AH27*'R&amp;S - Packaging and hh goods'!$L$4/SUM('R&amp;S - Packaging and hh goods'!$L$4:$N$4)*('R&amp;S - Packaging and hh goods'!$E10*'R&amp;S - Packaging and hh goods'!$I$14*('R&amp;S - Packaging and hh goods'!$AC$20+('R&amp;S - Packaging and hh goods'!$AC$21-'R&amp;S - Packaging and hh goods'!$AC$20)*(AH$3-$X$3)/10))+AH27*'R&amp;S - Packaging and hh goods'!$M$4/SUM('R&amp;S - Packaging and hh goods'!$L$4:$N$4)*('R&amp;S - Packaging and hh goods'!$F10*'R&amp;S - Packaging and hh goods'!$K$14*('R&amp;S - Packaging and hh goods'!$AH$20+('R&amp;S - Packaging and hh goods'!$AH$21-'R&amp;S - Packaging and hh goods'!$AH$20)*(AH$3-$X$3)/10))+AH27*'R&amp;S - Packaging and hh goods'!$N$4/SUM('R&amp;S - Packaging and hh goods'!$L$4:$N$4)*('R&amp;S - Packaging and hh goods'!$G10*'R&amp;S - Packaging and hh goods'!$M$14*('R&amp;S - Packaging and hh goods'!$AM$20+('R&amp;S - Packaging and hh goods'!$AM$21-'R&amp;S - Packaging and hh goods'!$AM$20)*(AH$3-$X$3)/10))</f>
        <v>325913.41110348684</v>
      </c>
      <c r="AI32" s="191"/>
      <c r="AJ32" s="101">
        <v>0</v>
      </c>
      <c r="AK32" s="101">
        <f>AK31*'R&amp;S - Packaging and hh goods'!$L$4/SUM('R&amp;S - Packaging and hh goods'!$L$4:$N$4)*'R&amp;S - Packaging and hh goods'!$E$10*('R&amp;S - Packaging and hh goods'!$I$15*'R&amp;S - Packaging and hh goods'!$AC$19*(AK$3-$D$3)/10)+AK31*'R&amp;S - Packaging and hh goods'!$M$4/SUM('R&amp;S - Packaging and hh goods'!$L$4:$N$4)*'R&amp;S - Packaging and hh goods'!$F$10*('R&amp;S - Packaging and hh goods'!$K$15*'R&amp;S - Packaging and hh goods'!$AH$19*(AK$3-$D$3)/10)+AK31*'R&amp;S - Packaging and hh goods'!$N$4/SUM('R&amp;S - Packaging and hh goods'!$L$4:$N$4)*'R&amp;S - Packaging and hh goods'!$G$10*('R&amp;S - Packaging and hh goods'!$M$15*'R&amp;S - Packaging and hh goods'!$AM$19*(AK$3-$D$3)/10)</f>
        <v>8.9373538094531586</v>
      </c>
      <c r="AL32" s="101">
        <f>AL27*'R&amp;S - Packaging and hh goods'!$L$4/SUM('R&amp;S - Packaging and hh goods'!$L$4:$N$4)*'R&amp;S - Packaging and hh goods'!$E$10*('R&amp;S - Packaging and hh goods'!$I$15*'R&amp;S - Packaging and hh goods'!$AC$19*(AL$3-$D$3)/10)+AL27*'R&amp;S - Packaging and hh goods'!$M$4/SUM('R&amp;S - Packaging and hh goods'!$L$4:$N$4)*'R&amp;S - Packaging and hh goods'!$F$10*('R&amp;S - Packaging and hh goods'!$K$15*'R&amp;S - Packaging and hh goods'!$AH$19*(AL$3-$D$3)/10)+AL27*'R&amp;S - Packaging and hh goods'!$N$4/SUM('R&amp;S - Packaging and hh goods'!$L$4:$N$4)*'R&amp;S - Packaging and hh goods'!$G$10*('R&amp;S - Packaging and hh goods'!$M$15*'R&amp;S - Packaging and hh goods'!$AM$19*(AL$3-$D$3)/10)</f>
        <v>11750.002404234079</v>
      </c>
      <c r="AM32" s="101">
        <f>AM27*'R&amp;S - Packaging and hh goods'!$L$4/SUM('R&amp;S - Packaging and hh goods'!$L$4:$N$4)*'R&amp;S - Packaging and hh goods'!$E$10*('R&amp;S - Packaging and hh goods'!$I$15*'R&amp;S - Packaging and hh goods'!$AC$19*(AM$3-$D$3)/10)+AM27*'R&amp;S - Packaging and hh goods'!$M$4/SUM('R&amp;S - Packaging and hh goods'!$L$4:$N$4)*'R&amp;S - Packaging and hh goods'!$F$10*('R&amp;S - Packaging and hh goods'!$K$15*'R&amp;S - Packaging and hh goods'!$AH$19*(AM$3-$D$3)/10)+AM27*'R&amp;S - Packaging and hh goods'!$N$4/SUM('R&amp;S - Packaging and hh goods'!$L$4:$N$4)*'R&amp;S - Packaging and hh goods'!$G$10*('R&amp;S - Packaging and hh goods'!$M$15*'R&amp;S - Packaging and hh goods'!$AM$19*(AM$3-$D$3)/10)</f>
        <v>17625.003606351118</v>
      </c>
      <c r="AN32" s="101">
        <f>AN27*'R&amp;S - Packaging and hh goods'!$L$4/SUM('R&amp;S - Packaging and hh goods'!$L$4:$N$4)*'R&amp;S - Packaging and hh goods'!$E$10*('R&amp;S - Packaging and hh goods'!$I$15*'R&amp;S - Packaging and hh goods'!$AC$19*(AN$3-$D$3)/10)+AN27*'R&amp;S - Packaging and hh goods'!$M$4/SUM('R&amp;S - Packaging and hh goods'!$L$4:$N$4)*'R&amp;S - Packaging and hh goods'!$F$10*('R&amp;S - Packaging and hh goods'!$K$15*'R&amp;S - Packaging and hh goods'!$AH$19*(AN$3-$D$3)/10)+AN27*'R&amp;S - Packaging and hh goods'!$N$4/SUM('R&amp;S - Packaging and hh goods'!$L$4:$N$4)*'R&amp;S - Packaging and hh goods'!$G$10*('R&amp;S - Packaging and hh goods'!$M$15*'R&amp;S - Packaging and hh goods'!$AM$19*(AN$3-$D$3)/10)</f>
        <v>23500.004808468158</v>
      </c>
      <c r="AO32" s="101">
        <f>AO27*'R&amp;S - Packaging and hh goods'!$L$4/SUM('R&amp;S - Packaging and hh goods'!$L$4:$N$4)*'R&amp;S - Packaging and hh goods'!$E$10*('R&amp;S - Packaging and hh goods'!$I$15*'R&amp;S - Packaging and hh goods'!$AC$19*(AO$3-$D$3)/10)+AO27*'R&amp;S - Packaging and hh goods'!$M$4/SUM('R&amp;S - Packaging and hh goods'!$L$4:$N$4)*'R&amp;S - Packaging and hh goods'!$F$10*('R&amp;S - Packaging and hh goods'!$K$15*'R&amp;S - Packaging and hh goods'!$AH$19*(AO$3-$D$3)/10)+AO27*'R&amp;S - Packaging and hh goods'!$N$4/SUM('R&amp;S - Packaging and hh goods'!$L$4:$N$4)*'R&amp;S - Packaging and hh goods'!$G$10*('R&amp;S - Packaging and hh goods'!$M$15*'R&amp;S - Packaging and hh goods'!$AM$19*(AO$3-$D$3)/10)</f>
        <v>29375.006010585199</v>
      </c>
      <c r="AP32" s="101">
        <f>AP27*'R&amp;S - Packaging and hh goods'!$L$4/SUM('R&amp;S - Packaging and hh goods'!$L$4:$N$4)*'R&amp;S - Packaging and hh goods'!$E$10*('R&amp;S - Packaging and hh goods'!$I$15*'R&amp;S - Packaging and hh goods'!$AC$19*(AP$3-$D$3)/10)+AP27*'R&amp;S - Packaging and hh goods'!$M$4/SUM('R&amp;S - Packaging and hh goods'!$L$4:$N$4)*'R&amp;S - Packaging and hh goods'!$F$10*('R&amp;S - Packaging and hh goods'!$K$15*'R&amp;S - Packaging and hh goods'!$AH$19*(AP$3-$D$3)/10)+AP27*'R&amp;S - Packaging and hh goods'!$N$4/SUM('R&amp;S - Packaging and hh goods'!$L$4:$N$4)*'R&amp;S - Packaging and hh goods'!$G$10*('R&amp;S - Packaging and hh goods'!$M$15*'R&amp;S - Packaging and hh goods'!$AM$19*(AP$3-$D$3)/10)</f>
        <v>35250.007212702236</v>
      </c>
      <c r="AQ32" s="101">
        <f>AQ27*'R&amp;S - Packaging and hh goods'!$L$4/SUM('R&amp;S - Packaging and hh goods'!$L$4:$N$4)*'R&amp;S - Packaging and hh goods'!$E$10*('R&amp;S - Packaging and hh goods'!$I$15*'R&amp;S - Packaging and hh goods'!$AC$19*(AQ$3-$D$3)/10)+AQ27*'R&amp;S - Packaging and hh goods'!$M$4/SUM('R&amp;S - Packaging and hh goods'!$L$4:$N$4)*'R&amp;S - Packaging and hh goods'!$F$10*('R&amp;S - Packaging and hh goods'!$K$15*'R&amp;S - Packaging and hh goods'!$AH$19*(AQ$3-$D$3)/10)+AQ27*'R&amp;S - Packaging and hh goods'!$N$4/SUM('R&amp;S - Packaging and hh goods'!$L$4:$N$4)*'R&amp;S - Packaging and hh goods'!$G$10*('R&amp;S - Packaging and hh goods'!$M$15*'R&amp;S - Packaging and hh goods'!$AM$19*(AQ$3-$D$3)/10)</f>
        <v>41125.008414819284</v>
      </c>
      <c r="AR32" s="101">
        <f>AR27*'R&amp;S - Packaging and hh goods'!$L$4/SUM('R&amp;S - Packaging and hh goods'!$L$4:$N$4)*'R&amp;S - Packaging and hh goods'!$E$10*('R&amp;S - Packaging and hh goods'!$I$15*'R&amp;S - Packaging and hh goods'!$AC$19*(AR$3-$D$3)/10)+AR27*'R&amp;S - Packaging and hh goods'!$M$4/SUM('R&amp;S - Packaging and hh goods'!$L$4:$N$4)*'R&amp;S - Packaging and hh goods'!$F$10*('R&amp;S - Packaging and hh goods'!$K$15*'R&amp;S - Packaging and hh goods'!$AH$19*(AR$3-$D$3)/10)+AR27*'R&amp;S - Packaging and hh goods'!$N$4/SUM('R&amp;S - Packaging and hh goods'!$L$4:$N$4)*'R&amp;S - Packaging and hh goods'!$G$10*('R&amp;S - Packaging and hh goods'!$M$15*'R&amp;S - Packaging and hh goods'!$AM$19*(AR$3-$D$3)/10)</f>
        <v>47000.009616936317</v>
      </c>
      <c r="AS32" s="101">
        <f>AS27*'R&amp;S - Packaging and hh goods'!$L$4/SUM('R&amp;S - Packaging and hh goods'!$L$4:$N$4)*'R&amp;S - Packaging and hh goods'!$E$10*('R&amp;S - Packaging and hh goods'!$I$15*'R&amp;S - Packaging and hh goods'!$AC$19*(AS$3-$D$3)/10)+AS27*'R&amp;S - Packaging and hh goods'!$M$4/SUM('R&amp;S - Packaging and hh goods'!$L$4:$N$4)*'R&amp;S - Packaging and hh goods'!$F$10*('R&amp;S - Packaging and hh goods'!$K$15*'R&amp;S - Packaging and hh goods'!$AH$19*(AS$3-$D$3)/10)+AS27*'R&amp;S - Packaging and hh goods'!$N$4/SUM('R&amp;S - Packaging and hh goods'!$L$4:$N$4)*'R&amp;S - Packaging and hh goods'!$G$10*('R&amp;S - Packaging and hh goods'!$M$15*'R&amp;S - Packaging and hh goods'!$AM$19*(AS$3-$D$3)/10)</f>
        <v>52875.010819053357</v>
      </c>
      <c r="AT32" s="101">
        <f>AT27*'R&amp;S - Packaging and hh goods'!$L$4/SUM('R&amp;S - Packaging and hh goods'!$L$4:$N$4)*'R&amp;S - Packaging and hh goods'!$E$10*('R&amp;S - Packaging and hh goods'!$I$15*'R&amp;S - Packaging and hh goods'!$AC$19*(AT$3-$D$3)/10)+AT27*'R&amp;S - Packaging and hh goods'!$M$4/SUM('R&amp;S - Packaging and hh goods'!$L$4:$N$4)*'R&amp;S - Packaging and hh goods'!$F$10*('R&amp;S - Packaging and hh goods'!$K$15*'R&amp;S - Packaging and hh goods'!$AH$19*(AT$3-$D$3)/10)+AT27*'R&amp;S - Packaging and hh goods'!$N$4/SUM('R&amp;S - Packaging and hh goods'!$L$4:$N$4)*'R&amp;S - Packaging and hh goods'!$G$10*('R&amp;S - Packaging and hh goods'!$M$15*'R&amp;S - Packaging and hh goods'!$AM$19*(AT$3-$D$3)/10)</f>
        <v>58750.012021170398</v>
      </c>
      <c r="AU32" s="647">
        <f>AU27*'R&amp;S - Packaging and hh goods'!$L$4/SUM('R&amp;S - Packaging and hh goods'!$L$4:$N$4)*('R&amp;S - Packaging and hh goods'!$E$10*'R&amp;S - Packaging and hh goods'!$I$15*('R&amp;S - Packaging and hh goods'!$AC$19+('R&amp;S - Packaging and hh goods'!$AC$20-'R&amp;S - Packaging and hh goods'!$AC$19)*(AU$3-$N$3)/10))+AU27*'R&amp;S - Packaging and hh goods'!$M$4/SUM('R&amp;S - Packaging and hh goods'!$L$4:$N$4)*('R&amp;S - Packaging and hh goods'!$F$10*'R&amp;S - Packaging and hh goods'!$K$15*('R&amp;S - Packaging and hh goods'!$AH$19+('R&amp;S - Packaging and hh goods'!$AH$20-'R&amp;S - Packaging and hh goods'!$AH$19)*(AU$3-$N$3)/10))+AU27*'R&amp;S - Packaging and hh goods'!$N$4/SUM('R&amp;S - Packaging and hh goods'!$L$4:$N$4)*('R&amp;S - Packaging and hh goods'!$G$10*'R&amp;S - Packaging and hh goods'!$M$15*('R&amp;S - Packaging and hh goods'!$AM$19+('R&amp;S - Packaging and hh goods'!$AM$20-'R&amp;S - Packaging and hh goods'!$AM$19)*(AU$3-$N$3)/10))</f>
        <v>69449.281300195158</v>
      </c>
      <c r="AV32" s="647">
        <f>AV27*'R&amp;S - Packaging and hh goods'!$L$4/SUM('R&amp;S - Packaging and hh goods'!$L$4:$N$4)*('R&amp;S - Packaging and hh goods'!$E$10*'R&amp;S - Packaging and hh goods'!$I$15*('R&amp;S - Packaging and hh goods'!$AC$19+('R&amp;S - Packaging and hh goods'!$AC$20-'R&amp;S - Packaging and hh goods'!$AC$19)*(AV$3-$N$3)/10))+AV27*'R&amp;S - Packaging and hh goods'!$M$4/SUM('R&amp;S - Packaging and hh goods'!$L$4:$N$4)*('R&amp;S - Packaging and hh goods'!$F$10*'R&amp;S - Packaging and hh goods'!$K$15*('R&amp;S - Packaging and hh goods'!$AH$19+('R&amp;S - Packaging and hh goods'!$AH$20-'R&amp;S - Packaging and hh goods'!$AH$19)*(AV$3-$N$3)/10))+AV27*'R&amp;S - Packaging and hh goods'!$N$4/SUM('R&amp;S - Packaging and hh goods'!$L$4:$N$4)*('R&amp;S - Packaging and hh goods'!$G$10*'R&amp;S - Packaging and hh goods'!$M$15*('R&amp;S - Packaging and hh goods'!$AM$19+('R&amp;S - Packaging and hh goods'!$AM$20-'R&amp;S - Packaging and hh goods'!$AM$19)*(AV$3-$N$3)/10))</f>
        <v>80148.550579219896</v>
      </c>
      <c r="AW32" s="647">
        <f>AW27*'R&amp;S - Packaging and hh goods'!$L$4/SUM('R&amp;S - Packaging and hh goods'!$L$4:$N$4)*('R&amp;S - Packaging and hh goods'!$E$10*'R&amp;S - Packaging and hh goods'!$I$15*('R&amp;S - Packaging and hh goods'!$AC$19+('R&amp;S - Packaging and hh goods'!$AC$20-'R&amp;S - Packaging and hh goods'!$AC$19)*(AW$3-$N$3)/10))+AW27*'R&amp;S - Packaging and hh goods'!$M$4/SUM('R&amp;S - Packaging and hh goods'!$L$4:$N$4)*('R&amp;S - Packaging and hh goods'!$F$10*'R&amp;S - Packaging and hh goods'!$K$15*('R&amp;S - Packaging and hh goods'!$AH$19+('R&amp;S - Packaging and hh goods'!$AH$20-'R&amp;S - Packaging and hh goods'!$AH$19)*(AW$3-$N$3)/10))+AW27*'R&amp;S - Packaging and hh goods'!$N$4/SUM('R&amp;S - Packaging and hh goods'!$L$4:$N$4)*('R&amp;S - Packaging and hh goods'!$G$10*'R&amp;S - Packaging and hh goods'!$M$15*('R&amp;S - Packaging and hh goods'!$AM$19+('R&amp;S - Packaging and hh goods'!$AM$20-'R&amp;S - Packaging and hh goods'!$AM$19)*(AW$3-$N$3)/10))</f>
        <v>90847.819858244635</v>
      </c>
      <c r="AX32" s="647">
        <f>AX27*'R&amp;S - Packaging and hh goods'!$L$4/SUM('R&amp;S - Packaging and hh goods'!$L$4:$N$4)*('R&amp;S - Packaging and hh goods'!$E$10*'R&amp;S - Packaging and hh goods'!$I$15*('R&amp;S - Packaging and hh goods'!$AC$19+('R&amp;S - Packaging and hh goods'!$AC$20-'R&amp;S - Packaging and hh goods'!$AC$19)*(AX$3-$N$3)/10))+AX27*'R&amp;S - Packaging and hh goods'!$M$4/SUM('R&amp;S - Packaging and hh goods'!$L$4:$N$4)*('R&amp;S - Packaging and hh goods'!$F$10*'R&amp;S - Packaging and hh goods'!$K$15*('R&amp;S - Packaging and hh goods'!$AH$19+('R&amp;S - Packaging and hh goods'!$AH$20-'R&amp;S - Packaging and hh goods'!$AH$19)*(AX$3-$N$3)/10))+AX27*'R&amp;S - Packaging and hh goods'!$N$4/SUM('R&amp;S - Packaging and hh goods'!$L$4:$N$4)*('R&amp;S - Packaging and hh goods'!$G$10*'R&amp;S - Packaging and hh goods'!$M$15*('R&amp;S - Packaging and hh goods'!$AM$19+('R&amp;S - Packaging and hh goods'!$AM$20-'R&amp;S - Packaging and hh goods'!$AM$19)*(AX$3-$N$3)/10))</f>
        <v>101547.08913726936</v>
      </c>
      <c r="AY32" s="647">
        <f>AY27*'R&amp;S - Packaging and hh goods'!$L$4/SUM('R&amp;S - Packaging and hh goods'!$L$4:$N$4)*('R&amp;S - Packaging and hh goods'!$E$10*'R&amp;S - Packaging and hh goods'!$I$15*('R&amp;S - Packaging and hh goods'!$AC$19+('R&amp;S - Packaging and hh goods'!$AC$20-'R&amp;S - Packaging and hh goods'!$AC$19)*(AY$3-$N$3)/10))+AY27*'R&amp;S - Packaging and hh goods'!$M$4/SUM('R&amp;S - Packaging and hh goods'!$L$4:$N$4)*('R&amp;S - Packaging and hh goods'!$F$10*'R&amp;S - Packaging and hh goods'!$K$15*('R&amp;S - Packaging and hh goods'!$AH$19+('R&amp;S - Packaging and hh goods'!$AH$20-'R&amp;S - Packaging and hh goods'!$AH$19)*(AY$3-$N$3)/10))+AY27*'R&amp;S - Packaging and hh goods'!$N$4/SUM('R&amp;S - Packaging and hh goods'!$L$4:$N$4)*('R&amp;S - Packaging and hh goods'!$G$10*'R&amp;S - Packaging and hh goods'!$M$15*('R&amp;S - Packaging and hh goods'!$AM$19+('R&amp;S - Packaging and hh goods'!$AM$20-'R&amp;S - Packaging and hh goods'!$AM$19)*(AY$3-$N$3)/10))</f>
        <v>112246.35841629413</v>
      </c>
      <c r="AZ32" s="647">
        <f>AZ27*'R&amp;S - Packaging and hh goods'!$L$4/SUM('R&amp;S - Packaging and hh goods'!$L$4:$N$4)*('R&amp;S - Packaging and hh goods'!$E$10*'R&amp;S - Packaging and hh goods'!$I$15*('R&amp;S - Packaging and hh goods'!$AC$19+('R&amp;S - Packaging and hh goods'!$AC$20-'R&amp;S - Packaging and hh goods'!$AC$19)*(AZ$3-$N$3)/10))+AZ27*'R&amp;S - Packaging and hh goods'!$M$4/SUM('R&amp;S - Packaging and hh goods'!$L$4:$N$4)*('R&amp;S - Packaging and hh goods'!$F$10*'R&amp;S - Packaging and hh goods'!$K$15*('R&amp;S - Packaging and hh goods'!$AH$19+('R&amp;S - Packaging and hh goods'!$AH$20-'R&amp;S - Packaging and hh goods'!$AH$19)*(AZ$3-$N$3)/10))+AZ27*'R&amp;S - Packaging and hh goods'!$N$4/SUM('R&amp;S - Packaging and hh goods'!$L$4:$N$4)*('R&amp;S - Packaging and hh goods'!$G$10*'R&amp;S - Packaging and hh goods'!$M$15*('R&amp;S - Packaging and hh goods'!$AM$19+('R&amp;S - Packaging and hh goods'!$AM$20-'R&amp;S - Packaging and hh goods'!$AM$19)*(AZ$3-$N$3)/10))</f>
        <v>122945.62769531886</v>
      </c>
      <c r="BA32" s="647">
        <f>BA27*'R&amp;S - Packaging and hh goods'!$L$4/SUM('R&amp;S - Packaging and hh goods'!$L$4:$N$4)*('R&amp;S - Packaging and hh goods'!$E$10*'R&amp;S - Packaging and hh goods'!$I$15*('R&amp;S - Packaging and hh goods'!$AC$19+('R&amp;S - Packaging and hh goods'!$AC$20-'R&amp;S - Packaging and hh goods'!$AC$19)*(BA$3-$N$3)/10))+BA27*'R&amp;S - Packaging and hh goods'!$M$4/SUM('R&amp;S - Packaging and hh goods'!$L$4:$N$4)*('R&amp;S - Packaging and hh goods'!$F$10*'R&amp;S - Packaging and hh goods'!$K$15*('R&amp;S - Packaging and hh goods'!$AH$19+('R&amp;S - Packaging and hh goods'!$AH$20-'R&amp;S - Packaging and hh goods'!$AH$19)*(BA$3-$N$3)/10))+BA27*'R&amp;S - Packaging and hh goods'!$N$4/SUM('R&amp;S - Packaging and hh goods'!$L$4:$N$4)*('R&amp;S - Packaging and hh goods'!$G$10*'R&amp;S - Packaging and hh goods'!$M$15*('R&amp;S - Packaging and hh goods'!$AM$19+('R&amp;S - Packaging and hh goods'!$AM$20-'R&amp;S - Packaging and hh goods'!$AM$19)*(BA$3-$N$3)/10))</f>
        <v>133644.89697434357</v>
      </c>
      <c r="BB32" s="647">
        <f>BB27*'R&amp;S - Packaging and hh goods'!$L$4/SUM('R&amp;S - Packaging and hh goods'!$L$4:$N$4)*('R&amp;S - Packaging and hh goods'!$E$10*'R&amp;S - Packaging and hh goods'!$I$15*('R&amp;S - Packaging and hh goods'!$AC$19+('R&amp;S - Packaging and hh goods'!$AC$20-'R&amp;S - Packaging and hh goods'!$AC$19)*(BB$3-$N$3)/10))+BB27*'R&amp;S - Packaging and hh goods'!$M$4/SUM('R&amp;S - Packaging and hh goods'!$L$4:$N$4)*('R&amp;S - Packaging and hh goods'!$F$10*'R&amp;S - Packaging and hh goods'!$K$15*('R&amp;S - Packaging and hh goods'!$AH$19+('R&amp;S - Packaging and hh goods'!$AH$20-'R&amp;S - Packaging and hh goods'!$AH$19)*(BB$3-$N$3)/10))+BB27*'R&amp;S - Packaging and hh goods'!$N$4/SUM('R&amp;S - Packaging and hh goods'!$L$4:$N$4)*('R&amp;S - Packaging and hh goods'!$G$10*'R&amp;S - Packaging and hh goods'!$M$15*('R&amp;S - Packaging and hh goods'!$AM$19+('R&amp;S - Packaging and hh goods'!$AM$20-'R&amp;S - Packaging and hh goods'!$AM$19)*(BB$3-$N$3)/10))</f>
        <v>144344.16625336834</v>
      </c>
      <c r="BC32" s="647">
        <f>BC27*'R&amp;S - Packaging and hh goods'!$L$4/SUM('R&amp;S - Packaging and hh goods'!$L$4:$N$4)*('R&amp;S - Packaging and hh goods'!$E$10*'R&amp;S - Packaging and hh goods'!$I$15*('R&amp;S - Packaging and hh goods'!$AC$19+('R&amp;S - Packaging and hh goods'!$AC$20-'R&amp;S - Packaging and hh goods'!$AC$19)*(BC$3-$N$3)/10))+BC27*'R&amp;S - Packaging and hh goods'!$M$4/SUM('R&amp;S - Packaging and hh goods'!$L$4:$N$4)*('R&amp;S - Packaging and hh goods'!$F$10*'R&amp;S - Packaging and hh goods'!$K$15*('R&amp;S - Packaging and hh goods'!$AH$19+('R&amp;S - Packaging and hh goods'!$AH$20-'R&amp;S - Packaging and hh goods'!$AH$19)*(BC$3-$N$3)/10))+BC27*'R&amp;S - Packaging and hh goods'!$N$4/SUM('R&amp;S - Packaging and hh goods'!$L$4:$N$4)*('R&amp;S - Packaging and hh goods'!$G$10*'R&amp;S - Packaging and hh goods'!$M$15*('R&amp;S - Packaging and hh goods'!$AM$19+('R&amp;S - Packaging and hh goods'!$AM$20-'R&amp;S - Packaging and hh goods'!$AM$19)*(BC$3-$N$3)/10))</f>
        <v>155043.43553239305</v>
      </c>
      <c r="BD32" s="647">
        <f>BD27*'R&amp;S - Packaging and hh goods'!$L$4/SUM('R&amp;S - Packaging and hh goods'!$L$4:$N$4)*('R&amp;S - Packaging and hh goods'!$E$10*'R&amp;S - Packaging and hh goods'!$I$15*('R&amp;S - Packaging and hh goods'!$AC$19+('R&amp;S - Packaging and hh goods'!$AC$20-'R&amp;S - Packaging and hh goods'!$AC$19)*(BD$3-$N$3)/10))+BD27*'R&amp;S - Packaging and hh goods'!$M$4/SUM('R&amp;S - Packaging and hh goods'!$L$4:$N$4)*('R&amp;S - Packaging and hh goods'!$F$10*'R&amp;S - Packaging and hh goods'!$K$15*('R&amp;S - Packaging and hh goods'!$AH$19+('R&amp;S - Packaging and hh goods'!$AH$20-'R&amp;S - Packaging and hh goods'!$AH$19)*(BD$3-$N$3)/10))+BD27*'R&amp;S - Packaging and hh goods'!$N$4/SUM('R&amp;S - Packaging and hh goods'!$L$4:$N$4)*('R&amp;S - Packaging and hh goods'!$G$10*'R&amp;S - Packaging and hh goods'!$M$15*('R&amp;S - Packaging and hh goods'!$AM$19+('R&amp;S - Packaging and hh goods'!$AM$20-'R&amp;S - Packaging and hh goods'!$AM$19)*(BD$3-$N$3)/10))</f>
        <v>165742.70481141782</v>
      </c>
      <c r="BE32" s="647">
        <f>BE27*'R&amp;S - Packaging and hh goods'!$L$4/SUM('R&amp;S - Packaging and hh goods'!$L$4:$N$4)*('R&amp;S - Packaging and hh goods'!$E10*'R&amp;S - Packaging and hh goods'!$I$15*('R&amp;S - Packaging and hh goods'!$AC$20+('R&amp;S - Packaging and hh goods'!$AC$21-'R&amp;S - Packaging and hh goods'!$AC$20)*(BE$3-$X$3)/10))+BE27*'R&amp;S - Packaging and hh goods'!$M$4/SUM('R&amp;S - Packaging and hh goods'!$L$4:$N$4)*('R&amp;S - Packaging and hh goods'!$F10*'R&amp;S - Packaging and hh goods'!$K$15*('R&amp;S - Packaging and hh goods'!$AH$20+('R&amp;S - Packaging and hh goods'!$AH$21-'R&amp;S - Packaging and hh goods'!$AH$20)*(BE$3-$X$3)/10))+BE27*'R&amp;S - Packaging and hh goods'!$N$4/SUM('R&amp;S - Packaging and hh goods'!$L$4:$N$4)*('R&amp;S - Packaging and hh goods'!$G10*'R&amp;S - Packaging and hh goods'!$M$15*('R&amp;S - Packaging and hh goods'!$AM$20+('R&amp;S - Packaging and hh goods'!$AM$21-'R&amp;S - Packaging and hh goods'!$AM$20)*(BE$3-$X$3)/10))</f>
        <v>175866.48592609249</v>
      </c>
      <c r="BF32" s="647">
        <f>BF27*'R&amp;S - Packaging and hh goods'!$L$4/SUM('R&amp;S - Packaging and hh goods'!$L$4:$N$4)*('R&amp;S - Packaging and hh goods'!$E10*'R&amp;S - Packaging and hh goods'!$I$15*('R&amp;S - Packaging and hh goods'!$AC$20+('R&amp;S - Packaging and hh goods'!$AC$21-'R&amp;S - Packaging and hh goods'!$AC$20)*(BF$3-$X$3)/10))+BF27*'R&amp;S - Packaging and hh goods'!$M$4/SUM('R&amp;S - Packaging and hh goods'!$L$4:$N$4)*('R&amp;S - Packaging and hh goods'!$F10*'R&amp;S - Packaging and hh goods'!$K$15*('R&amp;S - Packaging and hh goods'!$AH$20+('R&amp;S - Packaging and hh goods'!$AH$21-'R&amp;S - Packaging and hh goods'!$AH$20)*(BF$3-$X$3)/10))+BF27*'R&amp;S - Packaging and hh goods'!$N$4/SUM('R&amp;S - Packaging and hh goods'!$L$4:$N$4)*('R&amp;S - Packaging and hh goods'!$G10*'R&amp;S - Packaging and hh goods'!$M$15*('R&amp;S - Packaging and hh goods'!$AM$20+('R&amp;S - Packaging and hh goods'!$AM$21-'R&amp;S - Packaging and hh goods'!$AM$20)*(BF$3-$X$3)/10))</f>
        <v>185990.2670407671</v>
      </c>
      <c r="BG32" s="647">
        <f>BG27*'R&amp;S - Packaging and hh goods'!$L$4/SUM('R&amp;S - Packaging and hh goods'!$L$4:$N$4)*('R&amp;S - Packaging and hh goods'!$E10*'R&amp;S - Packaging and hh goods'!$I$15*('R&amp;S - Packaging and hh goods'!$AC$20+('R&amp;S - Packaging and hh goods'!$AC$21-'R&amp;S - Packaging and hh goods'!$AC$20)*(BG$3-$X$3)/10))+BG27*'R&amp;S - Packaging and hh goods'!$M$4/SUM('R&amp;S - Packaging and hh goods'!$L$4:$N$4)*('R&amp;S - Packaging and hh goods'!$F10*'R&amp;S - Packaging and hh goods'!$K$15*('R&amp;S - Packaging and hh goods'!$AH$20+('R&amp;S - Packaging and hh goods'!$AH$21-'R&amp;S - Packaging and hh goods'!$AH$20)*(BG$3-$X$3)/10))+BG27*'R&amp;S - Packaging and hh goods'!$N$4/SUM('R&amp;S - Packaging and hh goods'!$L$4:$N$4)*('R&amp;S - Packaging and hh goods'!$G10*'R&amp;S - Packaging and hh goods'!$M$15*('R&amp;S - Packaging and hh goods'!$AM$20+('R&amp;S - Packaging and hh goods'!$AM$21-'R&amp;S - Packaging and hh goods'!$AM$20)*(BG$3-$X$3)/10))</f>
        <v>196114.04815544176</v>
      </c>
      <c r="BH32" s="647">
        <f>BH27*'R&amp;S - Packaging and hh goods'!$L$4/SUM('R&amp;S - Packaging and hh goods'!$L$4:$N$4)*('R&amp;S - Packaging and hh goods'!$E10*'R&amp;S - Packaging and hh goods'!$I$15*('R&amp;S - Packaging and hh goods'!$AC$20+('R&amp;S - Packaging and hh goods'!$AC$21-'R&amp;S - Packaging and hh goods'!$AC$20)*(BH$3-$X$3)/10))+BH27*'R&amp;S - Packaging and hh goods'!$M$4/SUM('R&amp;S - Packaging and hh goods'!$L$4:$N$4)*('R&amp;S - Packaging and hh goods'!$F10*'R&amp;S - Packaging and hh goods'!$K$15*('R&amp;S - Packaging and hh goods'!$AH$20+('R&amp;S - Packaging and hh goods'!$AH$21-'R&amp;S - Packaging and hh goods'!$AH$20)*(BH$3-$X$3)/10))+BH27*'R&amp;S - Packaging and hh goods'!$N$4/SUM('R&amp;S - Packaging and hh goods'!$L$4:$N$4)*('R&amp;S - Packaging and hh goods'!$G10*'R&amp;S - Packaging and hh goods'!$M$15*('R&amp;S - Packaging and hh goods'!$AM$20+('R&amp;S - Packaging and hh goods'!$AM$21-'R&amp;S - Packaging and hh goods'!$AM$20)*(BH$3-$X$3)/10))</f>
        <v>206237.82927011637</v>
      </c>
      <c r="BI32" s="647">
        <f>BI27*'R&amp;S - Packaging and hh goods'!$L$4/SUM('R&amp;S - Packaging and hh goods'!$L$4:$N$4)*('R&amp;S - Packaging and hh goods'!$E10*'R&amp;S - Packaging and hh goods'!$I$15*('R&amp;S - Packaging and hh goods'!$AC$20+('R&amp;S - Packaging and hh goods'!$AC$21-'R&amp;S - Packaging and hh goods'!$AC$20)*(BI$3-$X$3)/10))+BI27*'R&amp;S - Packaging and hh goods'!$M$4/SUM('R&amp;S - Packaging and hh goods'!$L$4:$N$4)*('R&amp;S - Packaging and hh goods'!$F10*'R&amp;S - Packaging and hh goods'!$K$15*('R&amp;S - Packaging and hh goods'!$AH$20+('R&amp;S - Packaging and hh goods'!$AH$21-'R&amp;S - Packaging and hh goods'!$AH$20)*(BI$3-$X$3)/10))+BI27*'R&amp;S - Packaging and hh goods'!$N$4/SUM('R&amp;S - Packaging and hh goods'!$L$4:$N$4)*('R&amp;S - Packaging and hh goods'!$G10*'R&amp;S - Packaging and hh goods'!$M$15*('R&amp;S - Packaging and hh goods'!$AM$20+('R&amp;S - Packaging and hh goods'!$AM$21-'R&amp;S - Packaging and hh goods'!$AM$20)*(BI$3-$X$3)/10))</f>
        <v>216361.61038479104</v>
      </c>
      <c r="BJ32" s="647">
        <f>BJ27*'R&amp;S - Packaging and hh goods'!$L$4/SUM('R&amp;S - Packaging and hh goods'!$L$4:$N$4)*('R&amp;S - Packaging and hh goods'!$E10*'R&amp;S - Packaging and hh goods'!$I$15*('R&amp;S - Packaging and hh goods'!$AC$20+('R&amp;S - Packaging and hh goods'!$AC$21-'R&amp;S - Packaging and hh goods'!$AC$20)*(BJ$3-$X$3)/10))+BJ27*'R&amp;S - Packaging and hh goods'!$M$4/SUM('R&amp;S - Packaging and hh goods'!$L$4:$N$4)*('R&amp;S - Packaging and hh goods'!$F10*'R&amp;S - Packaging and hh goods'!$K$15*('R&amp;S - Packaging and hh goods'!$AH$20+('R&amp;S - Packaging and hh goods'!$AH$21-'R&amp;S - Packaging and hh goods'!$AH$20)*(BJ$3-$X$3)/10))+BJ27*'R&amp;S - Packaging and hh goods'!$N$4/SUM('R&amp;S - Packaging and hh goods'!$L$4:$N$4)*('R&amp;S - Packaging and hh goods'!$G10*'R&amp;S - Packaging and hh goods'!$M$15*('R&amp;S - Packaging and hh goods'!$AM$20+('R&amp;S - Packaging and hh goods'!$AM$21-'R&amp;S - Packaging and hh goods'!$AM$20)*(BJ$3-$X$3)/10))</f>
        <v>226485.39149946568</v>
      </c>
      <c r="BK32" s="647">
        <f>BK27*'R&amp;S - Packaging and hh goods'!$L$4/SUM('R&amp;S - Packaging and hh goods'!$L$4:$N$4)*('R&amp;S - Packaging and hh goods'!$E10*'R&amp;S - Packaging and hh goods'!$I$15*('R&amp;S - Packaging and hh goods'!$AC$20+('R&amp;S - Packaging and hh goods'!$AC$21-'R&amp;S - Packaging and hh goods'!$AC$20)*(BK$3-$X$3)/10))+BK27*'R&amp;S - Packaging and hh goods'!$M$4/SUM('R&amp;S - Packaging and hh goods'!$L$4:$N$4)*('R&amp;S - Packaging and hh goods'!$F10*'R&amp;S - Packaging and hh goods'!$K$15*('R&amp;S - Packaging and hh goods'!$AH$20+('R&amp;S - Packaging and hh goods'!$AH$21-'R&amp;S - Packaging and hh goods'!$AH$20)*(BK$3-$X$3)/10))+BK27*'R&amp;S - Packaging and hh goods'!$N$4/SUM('R&amp;S - Packaging and hh goods'!$L$4:$N$4)*('R&amp;S - Packaging and hh goods'!$G10*'R&amp;S - Packaging and hh goods'!$M$15*('R&amp;S - Packaging and hh goods'!$AM$20+('R&amp;S - Packaging and hh goods'!$AM$21-'R&amp;S - Packaging and hh goods'!$AM$20)*(BK$3-$X$3)/10))</f>
        <v>236609.17261414032</v>
      </c>
      <c r="BL32" s="647">
        <f>BL27*'R&amp;S - Packaging and hh goods'!$L$4/SUM('R&amp;S - Packaging and hh goods'!$L$4:$N$4)*('R&amp;S - Packaging and hh goods'!$E10*'R&amp;S - Packaging and hh goods'!$I$15*('R&amp;S - Packaging and hh goods'!$AC$20+('R&amp;S - Packaging and hh goods'!$AC$21-'R&amp;S - Packaging and hh goods'!$AC$20)*(BL$3-$X$3)/10))+BL27*'R&amp;S - Packaging and hh goods'!$M$4/SUM('R&amp;S - Packaging and hh goods'!$L$4:$N$4)*('R&amp;S - Packaging and hh goods'!$F10*'R&amp;S - Packaging and hh goods'!$K$15*('R&amp;S - Packaging and hh goods'!$AH$20+('R&amp;S - Packaging and hh goods'!$AH$21-'R&amp;S - Packaging and hh goods'!$AH$20)*(BL$3-$X$3)/10))+BL27*'R&amp;S - Packaging and hh goods'!$N$4/SUM('R&amp;S - Packaging and hh goods'!$L$4:$N$4)*('R&amp;S - Packaging and hh goods'!$G10*'R&amp;S - Packaging and hh goods'!$M$15*('R&amp;S - Packaging and hh goods'!$AM$20+('R&amp;S - Packaging and hh goods'!$AM$21-'R&amp;S - Packaging and hh goods'!$AM$20)*(BL$3-$X$3)/10))</f>
        <v>246732.95372881493</v>
      </c>
      <c r="BM32" s="647">
        <f>BM27*'R&amp;S - Packaging and hh goods'!$L$4/SUM('R&amp;S - Packaging and hh goods'!$L$4:$N$4)*('R&amp;S - Packaging and hh goods'!$E10*'R&amp;S - Packaging and hh goods'!$I$15*('R&amp;S - Packaging and hh goods'!$AC$20+('R&amp;S - Packaging and hh goods'!$AC$21-'R&amp;S - Packaging and hh goods'!$AC$20)*(BM$3-$X$3)/10))+BM27*'R&amp;S - Packaging and hh goods'!$M$4/SUM('R&amp;S - Packaging and hh goods'!$L$4:$N$4)*('R&amp;S - Packaging and hh goods'!$F10*'R&amp;S - Packaging and hh goods'!$K$15*('R&amp;S - Packaging and hh goods'!$AH$20+('R&amp;S - Packaging and hh goods'!$AH$21-'R&amp;S - Packaging and hh goods'!$AH$20)*(BM$3-$X$3)/10))+BM27*'R&amp;S - Packaging and hh goods'!$N$4/SUM('R&amp;S - Packaging and hh goods'!$L$4:$N$4)*('R&amp;S - Packaging and hh goods'!$G10*'R&amp;S - Packaging and hh goods'!$M$15*('R&amp;S - Packaging and hh goods'!$AM$20+('R&amp;S - Packaging and hh goods'!$AM$21-'R&amp;S - Packaging and hh goods'!$AM$20)*(BM$3-$X$3)/10))</f>
        <v>256856.7348434896</v>
      </c>
      <c r="BN32" s="647">
        <f>BN27*'R&amp;S - Packaging and hh goods'!$L$4/SUM('R&amp;S - Packaging and hh goods'!$L$4:$N$4)*('R&amp;S - Packaging and hh goods'!$E10*'R&amp;S - Packaging and hh goods'!$I$15*('R&amp;S - Packaging and hh goods'!$AC$20+('R&amp;S - Packaging and hh goods'!$AC$21-'R&amp;S - Packaging and hh goods'!$AC$20)*(BN$3-$X$3)/10))+BN27*'R&amp;S - Packaging and hh goods'!$M$4/SUM('R&amp;S - Packaging and hh goods'!$L$4:$N$4)*('R&amp;S - Packaging and hh goods'!$F10*'R&amp;S - Packaging and hh goods'!$K$15*('R&amp;S - Packaging and hh goods'!$AH$20+('R&amp;S - Packaging and hh goods'!$AH$21-'R&amp;S - Packaging and hh goods'!$AH$20)*(BN$3-$X$3)/10))+BN27*'R&amp;S - Packaging and hh goods'!$N$4/SUM('R&amp;S - Packaging and hh goods'!$L$4:$N$4)*('R&amp;S - Packaging and hh goods'!$G10*'R&amp;S - Packaging and hh goods'!$M$15*('R&amp;S - Packaging and hh goods'!$AM$20+('R&amp;S - Packaging and hh goods'!$AM$21-'R&amp;S - Packaging and hh goods'!$AM$20)*(BN$3-$X$3)/10))</f>
        <v>266980.51595816424</v>
      </c>
      <c r="BR32" t="s">
        <v>24</v>
      </c>
      <c r="BS32" s="41" t="e">
        <f>#REF!</f>
        <v>#REF!</v>
      </c>
      <c r="BU32" t="str">
        <v>Other</v>
      </c>
      <c r="BV32" s="41">
        <v>24.045360628442481</v>
      </c>
      <c r="BW32" s="2">
        <v>0.23105973583426512</v>
      </c>
    </row>
    <row r="33" spans="1:75" outlineLevel="1">
      <c r="B33" s="1" t="s">
        <v>167</v>
      </c>
      <c r="C33" s="51" t="s">
        <v>166</v>
      </c>
      <c r="D33" s="101">
        <f>SUM(D31:D32)</f>
        <v>0</v>
      </c>
      <c r="E33" s="101">
        <f t="shared" ref="E33:Y33" si="26">SUM(E31:E32)</f>
        <v>5330.1386858540336</v>
      </c>
      <c r="F33" s="101">
        <f t="shared" si="26"/>
        <v>24977.246275570054</v>
      </c>
      <c r="G33" s="101">
        <f t="shared" si="26"/>
        <v>37465.869413355082</v>
      </c>
      <c r="H33" s="101">
        <f t="shared" si="26"/>
        <v>49954.492551140109</v>
      </c>
      <c r="I33" s="101">
        <f t="shared" si="26"/>
        <v>62443.115688925143</v>
      </c>
      <c r="J33" s="101">
        <f t="shared" si="26"/>
        <v>74931.738826710163</v>
      </c>
      <c r="K33" s="101">
        <f t="shared" si="26"/>
        <v>87420.361964495183</v>
      </c>
      <c r="L33" s="101">
        <f t="shared" si="26"/>
        <v>99908.985102280218</v>
      </c>
      <c r="M33" s="101">
        <f t="shared" si="26"/>
        <v>112397.60824006525</v>
      </c>
      <c r="N33" s="101">
        <f t="shared" si="26"/>
        <v>124886.23137785029</v>
      </c>
      <c r="O33" s="647">
        <f t="shared" si="26"/>
        <v>147285.68276118062</v>
      </c>
      <c r="P33" s="647">
        <f t="shared" ref="P33:X33" si="27">SUM(P31:P32)</f>
        <v>169685.13414451093</v>
      </c>
      <c r="Q33" s="647">
        <f t="shared" si="27"/>
        <v>192084.58552784123</v>
      </c>
      <c r="R33" s="647">
        <f t="shared" si="27"/>
        <v>214484.0369111716</v>
      </c>
      <c r="S33" s="647">
        <f t="shared" si="27"/>
        <v>236883.48829450193</v>
      </c>
      <c r="T33" s="647">
        <f t="shared" si="27"/>
        <v>259282.93967783224</v>
      </c>
      <c r="U33" s="647">
        <f t="shared" si="27"/>
        <v>281682.39106116258</v>
      </c>
      <c r="V33" s="647">
        <f t="shared" si="27"/>
        <v>304081.84244449297</v>
      </c>
      <c r="W33" s="647">
        <f t="shared" si="27"/>
        <v>326481.29382782325</v>
      </c>
      <c r="X33" s="647">
        <f t="shared" si="27"/>
        <v>348880.74521115352</v>
      </c>
      <c r="Y33" s="647">
        <f t="shared" si="26"/>
        <v>369283.77764109615</v>
      </c>
      <c r="Z33" s="647">
        <f t="shared" ref="Z33:AH33" si="28">SUM(Z31:Z32)</f>
        <v>389686.81007103866</v>
      </c>
      <c r="AA33" s="647">
        <f t="shared" si="28"/>
        <v>410089.84250098135</v>
      </c>
      <c r="AB33" s="647">
        <f t="shared" si="28"/>
        <v>430492.87493092392</v>
      </c>
      <c r="AC33" s="647">
        <f t="shared" si="28"/>
        <v>450895.90736086655</v>
      </c>
      <c r="AD33" s="647">
        <f t="shared" si="28"/>
        <v>471298.93979080918</v>
      </c>
      <c r="AE33" s="647">
        <f t="shared" si="28"/>
        <v>491701.97222075169</v>
      </c>
      <c r="AF33" s="647">
        <f t="shared" si="28"/>
        <v>512105.0046506942</v>
      </c>
      <c r="AG33" s="647">
        <f t="shared" si="28"/>
        <v>532508.03708063695</v>
      </c>
      <c r="AH33" s="647">
        <f t="shared" si="28"/>
        <v>552911.06951057934</v>
      </c>
      <c r="AI33" s="191"/>
      <c r="AJ33" s="101">
        <f>SUM(AJ31:AJ32)</f>
        <v>0</v>
      </c>
      <c r="AK33" s="101">
        <f t="shared" ref="AK33:BN33" si="29">SUM(AK31:AK32)</f>
        <v>4352.629133132732</v>
      </c>
      <c r="AL33" s="101">
        <f t="shared" si="29"/>
        <v>20437.385962880639</v>
      </c>
      <c r="AM33" s="101">
        <f t="shared" si="29"/>
        <v>30656.078944320954</v>
      </c>
      <c r="AN33" s="101">
        <f t="shared" si="29"/>
        <v>40874.771925761277</v>
      </c>
      <c r="AO33" s="101">
        <f t="shared" si="29"/>
        <v>51093.464907201589</v>
      </c>
      <c r="AP33" s="101">
        <f t="shared" si="29"/>
        <v>61312.157888641908</v>
      </c>
      <c r="AQ33" s="101">
        <f t="shared" si="29"/>
        <v>71530.850870082228</v>
      </c>
      <c r="AR33" s="101">
        <f t="shared" si="29"/>
        <v>81749.543851522554</v>
      </c>
      <c r="AS33" s="101">
        <f t="shared" si="29"/>
        <v>91968.236832962866</v>
      </c>
      <c r="AT33" s="101">
        <f t="shared" si="29"/>
        <v>102186.92981440318</v>
      </c>
      <c r="AU33" s="647">
        <f t="shared" si="29"/>
        <v>120517.24223806224</v>
      </c>
      <c r="AV33" s="647">
        <f t="shared" si="29"/>
        <v>138847.55466172128</v>
      </c>
      <c r="AW33" s="647">
        <f t="shared" si="29"/>
        <v>157177.86708538031</v>
      </c>
      <c r="AX33" s="647">
        <f t="shared" si="29"/>
        <v>175508.17950903933</v>
      </c>
      <c r="AY33" s="647">
        <f t="shared" si="29"/>
        <v>193838.49193269841</v>
      </c>
      <c r="AZ33" s="647">
        <f t="shared" si="29"/>
        <v>212168.80435635743</v>
      </c>
      <c r="BA33" s="647">
        <f t="shared" si="29"/>
        <v>230499.11678001643</v>
      </c>
      <c r="BB33" s="647">
        <f t="shared" si="29"/>
        <v>248829.42920367548</v>
      </c>
      <c r="BC33" s="647">
        <f t="shared" si="29"/>
        <v>267159.7416273345</v>
      </c>
      <c r="BD33" s="647">
        <f t="shared" si="29"/>
        <v>285490.05405099358</v>
      </c>
      <c r="BE33" s="647">
        <f t="shared" si="29"/>
        <v>302191.0951298764</v>
      </c>
      <c r="BF33" s="647">
        <f t="shared" si="29"/>
        <v>318892.13620875921</v>
      </c>
      <c r="BG33" s="647">
        <f t="shared" si="29"/>
        <v>335593.17728764209</v>
      </c>
      <c r="BH33" s="647">
        <f t="shared" si="29"/>
        <v>352294.2183665249</v>
      </c>
      <c r="BI33" s="647">
        <f t="shared" si="29"/>
        <v>368995.25944540778</v>
      </c>
      <c r="BJ33" s="647">
        <f t="shared" si="29"/>
        <v>385696.30052429065</v>
      </c>
      <c r="BK33" s="647">
        <f t="shared" si="29"/>
        <v>402397.34160317347</v>
      </c>
      <c r="BL33" s="647">
        <f t="shared" si="29"/>
        <v>419098.38268205628</v>
      </c>
      <c r="BM33" s="647">
        <f t="shared" si="29"/>
        <v>435799.42376093916</v>
      </c>
      <c r="BN33" s="647">
        <f t="shared" si="29"/>
        <v>452500.46483982191</v>
      </c>
      <c r="BS33" s="416" t="e">
        <f>SUM(BS29:BS32)</f>
        <v>#REF!</v>
      </c>
      <c r="BU33" t="str">
        <v>Total</v>
      </c>
      <c r="BV33" s="41">
        <v>104.06555924434093</v>
      </c>
      <c r="BW33" s="2">
        <v>0</v>
      </c>
    </row>
    <row r="34" spans="1:75" outlineLevel="1">
      <c r="B34" s="1" t="s">
        <v>195</v>
      </c>
      <c r="C34" s="61" t="s">
        <v>166</v>
      </c>
      <c r="D34" s="591">
        <f>D27-D30-D33</f>
        <v>2855341.1859065234</v>
      </c>
      <c r="E34" s="591">
        <f t="shared" ref="E34:AG34" si="30">E27-E30-E33</f>
        <v>2828748.3156633084</v>
      </c>
      <c r="F34" s="591">
        <f t="shared" si="30"/>
        <v>2787838.4765162314</v>
      </c>
      <c r="G34" s="591">
        <f t="shared" si="30"/>
        <v>2754087.1218210859</v>
      </c>
      <c r="H34" s="591">
        <f t="shared" si="30"/>
        <v>2720335.7671259404</v>
      </c>
      <c r="I34" s="591">
        <f t="shared" si="30"/>
        <v>2686584.4124307944</v>
      </c>
      <c r="J34" s="591">
        <f t="shared" si="30"/>
        <v>2652833.0577356485</v>
      </c>
      <c r="K34" s="591">
        <f t="shared" si="30"/>
        <v>2619081.7030405025</v>
      </c>
      <c r="L34" s="591">
        <f t="shared" si="30"/>
        <v>2585330.348345357</v>
      </c>
      <c r="M34" s="591">
        <f t="shared" si="30"/>
        <v>2551578.993650211</v>
      </c>
      <c r="N34" s="591">
        <f t="shared" si="30"/>
        <v>2517827.6389550655</v>
      </c>
      <c r="O34" s="643">
        <f t="shared" si="30"/>
        <v>2443445.2819996378</v>
      </c>
      <c r="P34" s="591">
        <f t="shared" si="30"/>
        <v>2369062.9250442106</v>
      </c>
      <c r="Q34" s="591">
        <f t="shared" si="30"/>
        <v>2294680.568088783</v>
      </c>
      <c r="R34" s="591">
        <f t="shared" si="30"/>
        <v>2220298.2111333562</v>
      </c>
      <c r="S34" s="591">
        <f t="shared" si="30"/>
        <v>2145915.8541779285</v>
      </c>
      <c r="T34" s="591">
        <f t="shared" si="30"/>
        <v>2071533.4972225013</v>
      </c>
      <c r="U34" s="591">
        <f t="shared" si="30"/>
        <v>1997151.1402670736</v>
      </c>
      <c r="V34" s="591">
        <f t="shared" si="30"/>
        <v>1922768.7833116464</v>
      </c>
      <c r="W34" s="591">
        <f t="shared" si="30"/>
        <v>1848386.4263562188</v>
      </c>
      <c r="X34" s="591">
        <f>X27-X30-X33</f>
        <v>1774004.0694007918</v>
      </c>
      <c r="Y34" s="643">
        <f t="shared" si="30"/>
        <v>1698407.9913280387</v>
      </c>
      <c r="Z34" s="591">
        <f t="shared" si="30"/>
        <v>1622811.9132552864</v>
      </c>
      <c r="AA34" s="591">
        <f t="shared" si="30"/>
        <v>1547215.8351825331</v>
      </c>
      <c r="AB34" s="591">
        <f t="shared" si="30"/>
        <v>1471619.7571097808</v>
      </c>
      <c r="AC34" s="591">
        <f t="shared" si="30"/>
        <v>1396023.6790370275</v>
      </c>
      <c r="AD34" s="591">
        <f t="shared" si="30"/>
        <v>1320427.6009642747</v>
      </c>
      <c r="AE34" s="591">
        <f t="shared" si="30"/>
        <v>1244831.5228915222</v>
      </c>
      <c r="AF34" s="591">
        <f t="shared" si="30"/>
        <v>1169235.4448187696</v>
      </c>
      <c r="AG34" s="591">
        <f t="shared" si="30"/>
        <v>1093639.3667460165</v>
      </c>
      <c r="AH34" s="591">
        <f>AH27-AH30-AH33</f>
        <v>1018043.2886732637</v>
      </c>
      <c r="AI34" s="191"/>
      <c r="AJ34" s="591">
        <f>AJ27-AJ30-AJ33</f>
        <v>2855341.1859065234</v>
      </c>
      <c r="AK34" s="591">
        <f t="shared" ref="AK34:BC34" si="31">AK27-AK30-AK33</f>
        <v>2835466.7627365175</v>
      </c>
      <c r="AL34" s="591">
        <f t="shared" si="31"/>
        <v>2803860.2118698959</v>
      </c>
      <c r="AM34" s="591">
        <f t="shared" si="31"/>
        <v>2778119.7248515827</v>
      </c>
      <c r="AN34" s="591">
        <f t="shared" si="31"/>
        <v>2752379.2378332685</v>
      </c>
      <c r="AO34" s="591">
        <f t="shared" si="31"/>
        <v>2726638.7508149552</v>
      </c>
      <c r="AP34" s="591">
        <f t="shared" si="31"/>
        <v>2700898.263796641</v>
      </c>
      <c r="AQ34" s="591">
        <f t="shared" si="31"/>
        <v>2675157.7767783278</v>
      </c>
      <c r="AR34" s="591">
        <f t="shared" si="31"/>
        <v>2649417.2897600136</v>
      </c>
      <c r="AS34" s="591">
        <f t="shared" si="31"/>
        <v>2623676.8027417003</v>
      </c>
      <c r="AT34" s="591">
        <f t="shared" si="31"/>
        <v>2597936.3157233866</v>
      </c>
      <c r="AU34" s="643">
        <f t="shared" si="31"/>
        <v>2541658.4822320966</v>
      </c>
      <c r="AV34" s="591">
        <f t="shared" si="31"/>
        <v>2485380.6487408066</v>
      </c>
      <c r="AW34" s="591">
        <f t="shared" si="31"/>
        <v>2429102.8152495166</v>
      </c>
      <c r="AX34" s="591">
        <f t="shared" si="31"/>
        <v>2372824.9817582271</v>
      </c>
      <c r="AY34" s="591">
        <f t="shared" si="31"/>
        <v>2316547.1482669371</v>
      </c>
      <c r="AZ34" s="591">
        <f t="shared" si="31"/>
        <v>2260269.3147756471</v>
      </c>
      <c r="BA34" s="591">
        <f t="shared" si="31"/>
        <v>2203991.4812843571</v>
      </c>
      <c r="BB34" s="591">
        <f t="shared" si="31"/>
        <v>2147713.6477930672</v>
      </c>
      <c r="BC34" s="591">
        <f t="shared" si="31"/>
        <v>2091435.8143017776</v>
      </c>
      <c r="BD34" s="591">
        <f>BD27-BD30-BD33</f>
        <v>2035157.9808104876</v>
      </c>
      <c r="BE34" s="643">
        <f t="shared" ref="BE34:BM34" si="32">BE27-BE30-BE33</f>
        <v>1978166.0164123531</v>
      </c>
      <c r="BF34" s="591">
        <f t="shared" si="32"/>
        <v>1921174.0520142191</v>
      </c>
      <c r="BG34" s="591">
        <f t="shared" si="32"/>
        <v>1864182.0876160848</v>
      </c>
      <c r="BH34" s="591">
        <f t="shared" si="32"/>
        <v>1807190.1232179508</v>
      </c>
      <c r="BI34" s="591">
        <f t="shared" si="32"/>
        <v>1750198.1588198161</v>
      </c>
      <c r="BJ34" s="591">
        <f t="shared" si="32"/>
        <v>1693206.194421682</v>
      </c>
      <c r="BK34" s="591">
        <f t="shared" si="32"/>
        <v>1636214.230023548</v>
      </c>
      <c r="BL34" s="591">
        <f t="shared" si="32"/>
        <v>1579222.2656254135</v>
      </c>
      <c r="BM34" s="591">
        <f t="shared" si="32"/>
        <v>1522230.3012272792</v>
      </c>
      <c r="BN34" s="591">
        <f>BN27-BN30-BN33</f>
        <v>1465238.336829145</v>
      </c>
      <c r="BR34" t="s">
        <v>232</v>
      </c>
      <c r="BS34" s="41">
        <f>D4</f>
        <v>4369539.7493458875</v>
      </c>
    </row>
    <row r="35" spans="1:75" s="62" customFormat="1" outlineLevel="1">
      <c r="A35" s="684"/>
      <c r="B35" s="55" t="s">
        <v>88</v>
      </c>
      <c r="C35" s="56" t="s">
        <v>166</v>
      </c>
      <c r="D35" s="639">
        <f>D27*'R&amp;S - Packaging and hh goods'!$L$4/SUM('R&amp;S - Packaging and hh goods'!$L$4:$N$4)</f>
        <v>312187.37987787981</v>
      </c>
      <c r="E35" s="639">
        <f>E27*'R&amp;S - Packaging and hh goods'!$L$4/SUM('R&amp;S - Packaging and hh goods'!$L$4:$N$4)-E27*'R&amp;S - Packaging and hh goods'!$L$4/SUM('R&amp;S - Packaging and hh goods'!$L$4:$N$4)*'R&amp;S - Packaging and hh goods'!$E$7*('R&amp;S - Packaging and hh goods'!$H$14*'R&amp;S - Packaging and hh goods'!$Z$19*(E$3-$D$3)/10)-E27*'R&amp;S - Packaging and hh goods'!$L$4/SUM('R&amp;S - Packaging and hh goods'!$L$4:$N$4)*'R&amp;S - Packaging and hh goods'!$E$8*('R&amp;S - Packaging and hh goods'!$H$14*'R&amp;S - Packaging and hh goods'!$AA$19*(E$3-$D$3)/10)-E27*'R&amp;S - Packaging and hh goods'!$L$4/SUM('R&amp;S - Packaging and hh goods'!$L$4:$N$4)*'R&amp;S - Packaging and hh goods'!$E$9*('R&amp;S - Packaging and hh goods'!$H$14*'R&amp;S - Packaging and hh goods'!$AB$19*(E$3-$D$3)/10)-E31*'R&amp;S - Packaging and hh goods'!$L$4/SUM('R&amp;S - Packaging and hh goods'!$L$4:$N$4)*'R&amp;S - Packaging and hh goods'!$E$10*('R&amp;S - Packaging and hh goods'!$H$14*'R&amp;S - Packaging and hh goods'!$AC$19*(E$3-$D$3)/10)</f>
        <v>310100.79388806556</v>
      </c>
      <c r="F35" s="639">
        <f>F27*'R&amp;S - Packaging and hh goods'!$L$4/SUM('R&amp;S - Packaging and hh goods'!$L$4:$N$4)-F27*'R&amp;S - Packaging and hh goods'!$L$4/SUM('R&amp;S - Packaging and hh goods'!$L$4:$N$4)*'R&amp;S - Packaging and hh goods'!$E$7*('R&amp;S - Packaging and hh goods'!$H$14*'R&amp;S - Packaging and hh goods'!$Z$19*(F$3-$D$3)/10)-F27*'R&amp;S - Packaging and hh goods'!$L$4/SUM('R&amp;S - Packaging and hh goods'!$L$4:$N$4)*'R&amp;S - Packaging and hh goods'!$E$8*('R&amp;S - Packaging and hh goods'!$H$14*'R&amp;S - Packaging and hh goods'!$AA$19*(F$3-$D$3)/10)-F27*'R&amp;S - Packaging and hh goods'!$L$4/SUM('R&amp;S - Packaging and hh goods'!$L$4:$N$4)*'R&amp;S - Packaging and hh goods'!$E$9*('R&amp;S - Packaging and hh goods'!$H$14*'R&amp;S - Packaging and hh goods'!$AB$19*(F$3-$D$3)/10)-F31*'R&amp;S - Packaging and hh goods'!$L$4/SUM('R&amp;S - Packaging and hh goods'!$L$4:$N$4)*'R&amp;S - Packaging and hh goods'!$E$10*('R&amp;S - Packaging and hh goods'!$H$14*'R&amp;S - Packaging and hh goods'!$AC$19*(F$3-$D$3)/10)</f>
        <v>308013.10806331085</v>
      </c>
      <c r="G35" s="639">
        <f>G27*'R&amp;S - Packaging and hh goods'!$L$4/SUM('R&amp;S - Packaging and hh goods'!$L$4:$N$4)-G27*'R&amp;S - Packaging and hh goods'!$L$4/SUM('R&amp;S - Packaging and hh goods'!$L$4:$N$4)*'R&amp;S - Packaging and hh goods'!$E$7*('R&amp;S - Packaging and hh goods'!$H$14*'R&amp;S - Packaging and hh goods'!$Z$19*(G$3-$D$3)/10)-G27*'R&amp;S - Packaging and hh goods'!$L$4/SUM('R&amp;S - Packaging and hh goods'!$L$4:$N$4)*'R&amp;S - Packaging and hh goods'!$E$8*('R&amp;S - Packaging and hh goods'!$H$14*'R&amp;S - Packaging and hh goods'!$AA$19*(G$3-$D$3)/10)-G27*'R&amp;S - Packaging and hh goods'!$L$4/SUM('R&amp;S - Packaging and hh goods'!$L$4:$N$4)*'R&amp;S - Packaging and hh goods'!$E$9*('R&amp;S - Packaging and hh goods'!$H$14*'R&amp;S - Packaging and hh goods'!$AB$19*(G$3-$D$3)/10)-G31*'R&amp;S - Packaging and hh goods'!$L$4/SUM('R&amp;S - Packaging and hh goods'!$L$4:$N$4)*'R&amp;S - Packaging and hh goods'!$E$10*('R&amp;S - Packaging and hh goods'!$H$14*'R&amp;S - Packaging and hh goods'!$AC$19*(G$3-$D$3)/10)</f>
        <v>305924.32240361563</v>
      </c>
      <c r="H35" s="639">
        <f>H27*'R&amp;S - Packaging and hh goods'!$L$4/SUM('R&amp;S - Packaging and hh goods'!$L$4:$N$4)-H27*'R&amp;S - Packaging and hh goods'!$L$4/SUM('R&amp;S - Packaging and hh goods'!$L$4:$N$4)*'R&amp;S - Packaging and hh goods'!$E$7*('R&amp;S - Packaging and hh goods'!$H$14*'R&amp;S - Packaging and hh goods'!$Z$19*(H$3-$D$3)/10)-H27*'R&amp;S - Packaging and hh goods'!$L$4/SUM('R&amp;S - Packaging and hh goods'!$L$4:$N$4)*'R&amp;S - Packaging and hh goods'!$E$8*('R&amp;S - Packaging and hh goods'!$H$14*'R&amp;S - Packaging and hh goods'!$AA$19*(H$3-$D$3)/10)-H27*'R&amp;S - Packaging and hh goods'!$L$4/SUM('R&amp;S - Packaging and hh goods'!$L$4:$N$4)*'R&amp;S - Packaging and hh goods'!$E$9*('R&amp;S - Packaging and hh goods'!$H$14*'R&amp;S - Packaging and hh goods'!$AB$19*(H$3-$D$3)/10)-H31*'R&amp;S - Packaging and hh goods'!$L$4/SUM('R&amp;S - Packaging and hh goods'!$L$4:$N$4)*'R&amp;S - Packaging and hh goods'!$E$10*('R&amp;S - Packaging and hh goods'!$H$14*'R&amp;S - Packaging and hh goods'!$AC$19*(H$3-$D$3)/10)</f>
        <v>303834.43690897996</v>
      </c>
      <c r="I35" s="639">
        <f>I27*'R&amp;S - Packaging and hh goods'!$L$4/SUM('R&amp;S - Packaging and hh goods'!$L$4:$N$4)-I27*'R&amp;S - Packaging and hh goods'!$L$4/SUM('R&amp;S - Packaging and hh goods'!$L$4:$N$4)*'R&amp;S - Packaging and hh goods'!$E$7*('R&amp;S - Packaging and hh goods'!$H$14*'R&amp;S - Packaging and hh goods'!$Z$19*(I$3-$D$3)/10)-I27*'R&amp;S - Packaging and hh goods'!$L$4/SUM('R&amp;S - Packaging and hh goods'!$L$4:$N$4)*'R&amp;S - Packaging and hh goods'!$E$8*('R&amp;S - Packaging and hh goods'!$H$14*'R&amp;S - Packaging and hh goods'!$AA$19*(I$3-$D$3)/10)-I27*'R&amp;S - Packaging and hh goods'!$L$4/SUM('R&amp;S - Packaging and hh goods'!$L$4:$N$4)*'R&amp;S - Packaging and hh goods'!$E$9*('R&amp;S - Packaging and hh goods'!$H$14*'R&amp;S - Packaging and hh goods'!$AB$19*(I$3-$D$3)/10)-I31*'R&amp;S - Packaging and hh goods'!$L$4/SUM('R&amp;S - Packaging and hh goods'!$L$4:$N$4)*'R&amp;S - Packaging and hh goods'!$E$10*('R&amp;S - Packaging and hh goods'!$H$14*'R&amp;S - Packaging and hh goods'!$AC$19*(I$3-$D$3)/10)</f>
        <v>301743.45157940377</v>
      </c>
      <c r="J35" s="639">
        <f>J27*'R&amp;S - Packaging and hh goods'!$L$4/SUM('R&amp;S - Packaging and hh goods'!$L$4:$N$4)-J27*'R&amp;S - Packaging and hh goods'!$L$4/SUM('R&amp;S - Packaging and hh goods'!$L$4:$N$4)*'R&amp;S - Packaging and hh goods'!$E$7*('R&amp;S - Packaging and hh goods'!$H$14*'R&amp;S - Packaging and hh goods'!$Z$19*(J$3-$D$3)/10)-J27*'R&amp;S - Packaging and hh goods'!$L$4/SUM('R&amp;S - Packaging and hh goods'!$L$4:$N$4)*'R&amp;S - Packaging and hh goods'!$E$8*('R&amp;S - Packaging and hh goods'!$H$14*'R&amp;S - Packaging and hh goods'!$AA$19*(J$3-$D$3)/10)-J27*'R&amp;S - Packaging and hh goods'!$L$4/SUM('R&amp;S - Packaging and hh goods'!$L$4:$N$4)*'R&amp;S - Packaging and hh goods'!$E$9*('R&amp;S - Packaging and hh goods'!$H$14*'R&amp;S - Packaging and hh goods'!$AB$19*(J$3-$D$3)/10)-J31*'R&amp;S - Packaging and hh goods'!$L$4/SUM('R&amp;S - Packaging and hh goods'!$L$4:$N$4)*'R&amp;S - Packaging and hh goods'!$E$10*('R&amp;S - Packaging and hh goods'!$H$14*'R&amp;S - Packaging and hh goods'!$AC$19*(J$3-$D$3)/10)</f>
        <v>299651.36641488719</v>
      </c>
      <c r="K35" s="639">
        <f>K27*'R&amp;S - Packaging and hh goods'!$L$4/SUM('R&amp;S - Packaging and hh goods'!$L$4:$N$4)-K27*'R&amp;S - Packaging and hh goods'!$L$4/SUM('R&amp;S - Packaging and hh goods'!$L$4:$N$4)*'R&amp;S - Packaging and hh goods'!$E$7*('R&amp;S - Packaging and hh goods'!$H$14*'R&amp;S - Packaging and hh goods'!$Z$19*(K$3-$D$3)/10)-K27*'R&amp;S - Packaging and hh goods'!$L$4/SUM('R&amp;S - Packaging and hh goods'!$L$4:$N$4)*'R&amp;S - Packaging and hh goods'!$E$8*('R&amp;S - Packaging and hh goods'!$H$14*'R&amp;S - Packaging and hh goods'!$AA$19*(K$3-$D$3)/10)-K27*'R&amp;S - Packaging and hh goods'!$L$4/SUM('R&amp;S - Packaging and hh goods'!$L$4:$N$4)*'R&amp;S - Packaging and hh goods'!$E$9*('R&amp;S - Packaging and hh goods'!$H$14*'R&amp;S - Packaging and hh goods'!$AB$19*(K$3-$D$3)/10)-K31*'R&amp;S - Packaging and hh goods'!$L$4/SUM('R&amp;S - Packaging and hh goods'!$L$4:$N$4)*'R&amp;S - Packaging and hh goods'!$E$10*('R&amp;S - Packaging and hh goods'!$H$14*'R&amp;S - Packaging and hh goods'!$AC$19*(K$3-$D$3)/10)</f>
        <v>297558.18141542998</v>
      </c>
      <c r="L35" s="639">
        <f>L27*'R&amp;S - Packaging and hh goods'!$L$4/SUM('R&amp;S - Packaging and hh goods'!$L$4:$N$4)-L27*'R&amp;S - Packaging and hh goods'!$L$4/SUM('R&amp;S - Packaging and hh goods'!$L$4:$N$4)*'R&amp;S - Packaging and hh goods'!$E$7*('R&amp;S - Packaging and hh goods'!$H$14*'R&amp;S - Packaging and hh goods'!$Z$19*(L$3-$D$3)/10)-L27*'R&amp;S - Packaging and hh goods'!$L$4/SUM('R&amp;S - Packaging and hh goods'!$L$4:$N$4)*'R&amp;S - Packaging and hh goods'!$E$8*('R&amp;S - Packaging and hh goods'!$H$14*'R&amp;S - Packaging and hh goods'!$AA$19*(L$3-$D$3)/10)-L27*'R&amp;S - Packaging and hh goods'!$L$4/SUM('R&amp;S - Packaging and hh goods'!$L$4:$N$4)*'R&amp;S - Packaging and hh goods'!$E$9*('R&amp;S - Packaging and hh goods'!$H$14*'R&amp;S - Packaging and hh goods'!$AB$19*(L$3-$D$3)/10)-L31*'R&amp;S - Packaging and hh goods'!$L$4/SUM('R&amp;S - Packaging and hh goods'!$L$4:$N$4)*'R&amp;S - Packaging and hh goods'!$E$10*('R&amp;S - Packaging and hh goods'!$H$14*'R&amp;S - Packaging and hh goods'!$AC$19*(L$3-$D$3)/10)</f>
        <v>295463.89658103231</v>
      </c>
      <c r="M35" s="639">
        <f>M27*'R&amp;S - Packaging and hh goods'!$L$4/SUM('R&amp;S - Packaging and hh goods'!$L$4:$N$4)-M27*'R&amp;S - Packaging and hh goods'!$L$4/SUM('R&amp;S - Packaging and hh goods'!$L$4:$N$4)*'R&amp;S - Packaging and hh goods'!$E$7*('R&amp;S - Packaging and hh goods'!$H$14*'R&amp;S - Packaging and hh goods'!$Z$19*(M$3-$D$3)/10)-M27*'R&amp;S - Packaging and hh goods'!$L$4/SUM('R&amp;S - Packaging and hh goods'!$L$4:$N$4)*'R&amp;S - Packaging and hh goods'!$E$8*('R&amp;S - Packaging and hh goods'!$H$14*'R&amp;S - Packaging and hh goods'!$AA$19*(M$3-$D$3)/10)-M27*'R&amp;S - Packaging and hh goods'!$L$4/SUM('R&amp;S - Packaging and hh goods'!$L$4:$N$4)*'R&amp;S - Packaging and hh goods'!$E$9*('R&amp;S - Packaging and hh goods'!$H$14*'R&amp;S - Packaging and hh goods'!$AB$19*(M$3-$D$3)/10)-M31*'R&amp;S - Packaging and hh goods'!$L$4/SUM('R&amp;S - Packaging and hh goods'!$L$4:$N$4)*'R&amp;S - Packaging and hh goods'!$E$10*('R&amp;S - Packaging and hh goods'!$H$14*'R&amp;S - Packaging and hh goods'!$AC$19*(M$3-$D$3)/10)</f>
        <v>293368.51191169419</v>
      </c>
      <c r="N35" s="639">
        <f>N27*'R&amp;S - Packaging and hh goods'!$L$4/SUM('R&amp;S - Packaging and hh goods'!$L$4:$N$4)-N27*'R&amp;S - Packaging and hh goods'!$L$4/SUM('R&amp;S - Packaging and hh goods'!$L$4:$N$4)*'R&amp;S - Packaging and hh goods'!$E$7*('R&amp;S - Packaging and hh goods'!$H$14*'R&amp;S - Packaging and hh goods'!$Z$19*(N$3-$D$3)/10)-N27*'R&amp;S - Packaging and hh goods'!$L$4/SUM('R&amp;S - Packaging and hh goods'!$L$4:$N$4)*'R&amp;S - Packaging and hh goods'!$E$8*('R&amp;S - Packaging and hh goods'!$H$14*'R&amp;S - Packaging and hh goods'!$AA$19*(N$3-$D$3)/10)-N27*'R&amp;S - Packaging and hh goods'!$L$4/SUM('R&amp;S - Packaging and hh goods'!$L$4:$N$4)*'R&amp;S - Packaging and hh goods'!$E$9*('R&amp;S - Packaging and hh goods'!$H$14*'R&amp;S - Packaging and hh goods'!$AB$19*(N$3-$D$3)/10)-N31*'R&amp;S - Packaging and hh goods'!$L$4/SUM('R&amp;S - Packaging and hh goods'!$L$4:$N$4)*'R&amp;S - Packaging and hh goods'!$E$10*('R&amp;S - Packaging and hh goods'!$H$14*'R&amp;S - Packaging and hh goods'!$AC$19*(N$3-$D$3)/10)</f>
        <v>291272.02740741562</v>
      </c>
      <c r="O35" s="639">
        <f>O27*'R&amp;S - Packaging and hh goods'!$L$4/SUM('R&amp;S - Packaging and hh goods'!$L$4:$N$4)-O27*'R&amp;S - Packaging and hh goods'!$L$4/SUM('R&amp;S - Packaging and hh goods'!$L$4:$N$4)*('R&amp;S - Packaging and hh goods'!$E$7*'R&amp;S - Packaging and hh goods'!$H$14*('R&amp;S - Packaging and hh goods'!$Z$19+('R&amp;S - Packaging and hh goods'!$Z$20-'R&amp;S - Packaging and hh goods'!$Z$19)*(O$3-$N$3)/10))-O27*'R&amp;S - Packaging and hh goods'!$L$4/SUM('R&amp;S - Packaging and hh goods'!$L$4:$N$4)*('R&amp;S - Packaging and hh goods'!$E$8*'R&amp;S - Packaging and hh goods'!$H$14*('R&amp;S - Packaging and hh goods'!$AA$19+('R&amp;S - Packaging and hh goods'!$AA$20-'R&amp;S - Packaging and hh goods'!$AA$19)*(O$3-$N$3)/10))-O27*'R&amp;S - Packaging and hh goods'!$L$4/SUM('R&amp;S - Packaging and hh goods'!$L$4:$N$4)*('R&amp;S - Packaging and hh goods'!$E$9*'R&amp;S - Packaging and hh goods'!$I$14*('R&amp;S - Packaging and hh goods'!$AB$19+('R&amp;S - Packaging and hh goods'!$AB$20-'R&amp;S - Packaging and hh goods'!$AB$19)*(O$3-$N$3)/10))-O27*'R&amp;S - Packaging and hh goods'!$L$4/SUM('R&amp;S - Packaging and hh goods'!$L$4:$N$4)*('R&amp;S - Packaging and hh goods'!$E$10*'R&amp;S - Packaging and hh goods'!$I$14*('R&amp;S - Packaging and hh goods'!$AC$19+('R&amp;S - Packaging and hh goods'!$AC$20-'R&amp;S - Packaging and hh goods'!$AC$19)*(O$3-$N$3)/10))</f>
        <v>282669.43873566651</v>
      </c>
      <c r="P35" s="639">
        <f>P27*'R&amp;S - Packaging and hh goods'!$L$4/SUM('R&amp;S - Packaging and hh goods'!$L$4:$N$4)-P27*'R&amp;S - Packaging and hh goods'!$L$4/SUM('R&amp;S - Packaging and hh goods'!$L$4:$N$4)*('R&amp;S - Packaging and hh goods'!$E$7*'R&amp;S - Packaging and hh goods'!$H$14*('R&amp;S - Packaging and hh goods'!$Z$19+('R&amp;S - Packaging and hh goods'!$Z$20-'R&amp;S - Packaging and hh goods'!$Z$19)*(P$3-$N$3)/10))-P27*'R&amp;S - Packaging and hh goods'!$L$4/SUM('R&amp;S - Packaging and hh goods'!$L$4:$N$4)*('R&amp;S - Packaging and hh goods'!$E$8*'R&amp;S - Packaging and hh goods'!$H$14*('R&amp;S - Packaging and hh goods'!$AA$19+('R&amp;S - Packaging and hh goods'!$AA$20-'R&amp;S - Packaging and hh goods'!$AA$19)*(P$3-$N$3)/10))-P27*'R&amp;S - Packaging and hh goods'!$L$4/SUM('R&amp;S - Packaging and hh goods'!$L$4:$N$4)*('R&amp;S - Packaging and hh goods'!$E$9*'R&amp;S - Packaging and hh goods'!$I$14*('R&amp;S - Packaging and hh goods'!$AB$19+('R&amp;S - Packaging and hh goods'!$AB$20-'R&amp;S - Packaging and hh goods'!$AB$19)*(P$3-$N$3)/10))-P27*'R&amp;S - Packaging and hh goods'!$L$4/SUM('R&amp;S - Packaging and hh goods'!$L$4:$N$4)*('R&amp;S - Packaging and hh goods'!$E$10*'R&amp;S - Packaging and hh goods'!$I$14*('R&amp;S - Packaging and hh goods'!$AC$19+('R&amp;S - Packaging and hh goods'!$AC$20-'R&amp;S - Packaging and hh goods'!$AC$19)*(P$3-$N$3)/10))</f>
        <v>276965.15093053784</v>
      </c>
      <c r="Q35" s="639">
        <f>Q27*'R&amp;S - Packaging and hh goods'!$L$4/SUM('R&amp;S - Packaging and hh goods'!$L$4:$N$4)-Q27*'R&amp;S - Packaging and hh goods'!$L$4/SUM('R&amp;S - Packaging and hh goods'!$L$4:$N$4)*('R&amp;S - Packaging and hh goods'!$E$7*'R&amp;S - Packaging and hh goods'!$H$14*('R&amp;S - Packaging and hh goods'!$Z$19+('R&amp;S - Packaging and hh goods'!$Z$20-'R&amp;S - Packaging and hh goods'!$Z$19)*(Q$3-$N$3)/10))-Q27*'R&amp;S - Packaging and hh goods'!$L$4/SUM('R&amp;S - Packaging and hh goods'!$L$4:$N$4)*('R&amp;S - Packaging and hh goods'!$E$8*'R&amp;S - Packaging and hh goods'!$H$14*('R&amp;S - Packaging and hh goods'!$AA$19+('R&amp;S - Packaging and hh goods'!$AA$20-'R&amp;S - Packaging and hh goods'!$AA$19)*(Q$3-$N$3)/10))-Q27*'R&amp;S - Packaging and hh goods'!$L$4/SUM('R&amp;S - Packaging and hh goods'!$L$4:$N$4)*('R&amp;S - Packaging and hh goods'!$E$9*'R&amp;S - Packaging and hh goods'!$I$14*('R&amp;S - Packaging and hh goods'!$AB$19+('R&amp;S - Packaging and hh goods'!$AB$20-'R&amp;S - Packaging and hh goods'!$AB$19)*(Q$3-$N$3)/10))-Q27*'R&amp;S - Packaging and hh goods'!$L$4/SUM('R&amp;S - Packaging and hh goods'!$L$4:$N$4)*('R&amp;S - Packaging and hh goods'!$E$10*'R&amp;S - Packaging and hh goods'!$I$14*('R&amp;S - Packaging and hh goods'!$AC$19+('R&amp;S - Packaging and hh goods'!$AC$20-'R&amp;S - Packaging and hh goods'!$AC$19)*(Q$3-$N$3)/10))</f>
        <v>271260.86312540929</v>
      </c>
      <c r="R35" s="639">
        <f>R27*'R&amp;S - Packaging and hh goods'!$L$4/SUM('R&amp;S - Packaging and hh goods'!$L$4:$N$4)-R27*'R&amp;S - Packaging and hh goods'!$L$4/SUM('R&amp;S - Packaging and hh goods'!$L$4:$N$4)*('R&amp;S - Packaging and hh goods'!$E$7*'R&amp;S - Packaging and hh goods'!$H$14*('R&amp;S - Packaging and hh goods'!$Z$19+('R&amp;S - Packaging and hh goods'!$Z$20-'R&amp;S - Packaging and hh goods'!$Z$19)*(R$3-$N$3)/10))-R27*'R&amp;S - Packaging and hh goods'!$L$4/SUM('R&amp;S - Packaging and hh goods'!$L$4:$N$4)*('R&amp;S - Packaging and hh goods'!$E$8*'R&amp;S - Packaging and hh goods'!$H$14*('R&amp;S - Packaging and hh goods'!$AA$19+('R&amp;S - Packaging and hh goods'!$AA$20-'R&amp;S - Packaging and hh goods'!$AA$19)*(R$3-$N$3)/10))-R27*'R&amp;S - Packaging and hh goods'!$L$4/SUM('R&amp;S - Packaging and hh goods'!$L$4:$N$4)*('R&amp;S - Packaging and hh goods'!$E$9*'R&amp;S - Packaging and hh goods'!$I$14*('R&amp;S - Packaging and hh goods'!$AB$19+('R&amp;S - Packaging and hh goods'!$AB$20-'R&amp;S - Packaging and hh goods'!$AB$19)*(R$3-$N$3)/10))-R27*'R&amp;S - Packaging and hh goods'!$L$4/SUM('R&amp;S - Packaging and hh goods'!$L$4:$N$4)*('R&amp;S - Packaging and hh goods'!$E$10*'R&amp;S - Packaging and hh goods'!$I$14*('R&amp;S - Packaging and hh goods'!$AC$19+('R&amp;S - Packaging and hh goods'!$AC$20-'R&amp;S - Packaging and hh goods'!$AC$19)*(R$3-$N$3)/10))</f>
        <v>265556.57532028062</v>
      </c>
      <c r="S35" s="639">
        <f>S27*'R&amp;S - Packaging and hh goods'!$L$4/SUM('R&amp;S - Packaging and hh goods'!$L$4:$N$4)-S27*'R&amp;S - Packaging and hh goods'!$L$4/SUM('R&amp;S - Packaging and hh goods'!$L$4:$N$4)*('R&amp;S - Packaging and hh goods'!$E$7*'R&amp;S - Packaging and hh goods'!$H$14*('R&amp;S - Packaging and hh goods'!$Z$19+('R&amp;S - Packaging and hh goods'!$Z$20-'R&amp;S - Packaging and hh goods'!$Z$19)*(S$3-$N$3)/10))-S27*'R&amp;S - Packaging and hh goods'!$L$4/SUM('R&amp;S - Packaging and hh goods'!$L$4:$N$4)*('R&amp;S - Packaging and hh goods'!$E$8*'R&amp;S - Packaging and hh goods'!$H$14*('R&amp;S - Packaging and hh goods'!$AA$19+('R&amp;S - Packaging and hh goods'!$AA$20-'R&amp;S - Packaging and hh goods'!$AA$19)*(S$3-$N$3)/10))-S27*'R&amp;S - Packaging and hh goods'!$L$4/SUM('R&amp;S - Packaging and hh goods'!$L$4:$N$4)*('R&amp;S - Packaging and hh goods'!$E$9*'R&amp;S - Packaging and hh goods'!$I$14*('R&amp;S - Packaging and hh goods'!$AB$19+('R&amp;S - Packaging and hh goods'!$AB$20-'R&amp;S - Packaging and hh goods'!$AB$19)*(S$3-$N$3)/10))-S27*'R&amp;S - Packaging and hh goods'!$L$4/SUM('R&amp;S - Packaging and hh goods'!$L$4:$N$4)*('R&amp;S - Packaging and hh goods'!$E$10*'R&amp;S - Packaging and hh goods'!$I$14*('R&amp;S - Packaging and hh goods'!$AC$19+('R&amp;S - Packaging and hh goods'!$AC$20-'R&amp;S - Packaging and hh goods'!$AC$19)*(S$3-$N$3)/10))</f>
        <v>259852.28751515204</v>
      </c>
      <c r="T35" s="639">
        <f>T27*'R&amp;S - Packaging and hh goods'!$L$4/SUM('R&amp;S - Packaging and hh goods'!$L$4:$N$4)-T27*'R&amp;S - Packaging and hh goods'!$L$4/SUM('R&amp;S - Packaging and hh goods'!$L$4:$N$4)*('R&amp;S - Packaging and hh goods'!$E$7*'R&amp;S - Packaging and hh goods'!$H$14*('R&amp;S - Packaging and hh goods'!$Z$19+('R&amp;S - Packaging and hh goods'!$Z$20-'R&amp;S - Packaging and hh goods'!$Z$19)*(T$3-$N$3)/10))-T27*'R&amp;S - Packaging and hh goods'!$L$4/SUM('R&amp;S - Packaging and hh goods'!$L$4:$N$4)*('R&amp;S - Packaging and hh goods'!$E$8*'R&amp;S - Packaging and hh goods'!$H$14*('R&amp;S - Packaging and hh goods'!$AA$19+('R&amp;S - Packaging and hh goods'!$AA$20-'R&amp;S - Packaging and hh goods'!$AA$19)*(T$3-$N$3)/10))-T27*'R&amp;S - Packaging and hh goods'!$L$4/SUM('R&amp;S - Packaging and hh goods'!$L$4:$N$4)*('R&amp;S - Packaging and hh goods'!$E$9*'R&amp;S - Packaging and hh goods'!$I$14*('R&amp;S - Packaging and hh goods'!$AB$19+('R&amp;S - Packaging and hh goods'!$AB$20-'R&amp;S - Packaging and hh goods'!$AB$19)*(T$3-$N$3)/10))-T27*'R&amp;S - Packaging and hh goods'!$L$4/SUM('R&amp;S - Packaging and hh goods'!$L$4:$N$4)*('R&amp;S - Packaging and hh goods'!$E$10*'R&amp;S - Packaging and hh goods'!$I$14*('R&amp;S - Packaging and hh goods'!$AC$19+('R&amp;S - Packaging and hh goods'!$AC$20-'R&amp;S - Packaging and hh goods'!$AC$19)*(T$3-$N$3)/10))</f>
        <v>254147.9997100234</v>
      </c>
      <c r="U35" s="639">
        <f>U27*'R&amp;S - Packaging and hh goods'!$L$4/SUM('R&amp;S - Packaging and hh goods'!$L$4:$N$4)-U27*'R&amp;S - Packaging and hh goods'!$L$4/SUM('R&amp;S - Packaging and hh goods'!$L$4:$N$4)*('R&amp;S - Packaging and hh goods'!$E$7*'R&amp;S - Packaging and hh goods'!$H$14*('R&amp;S - Packaging and hh goods'!$Z$19+('R&amp;S - Packaging and hh goods'!$Z$20-'R&amp;S - Packaging and hh goods'!$Z$19)*(U$3-$N$3)/10))-U27*'R&amp;S - Packaging and hh goods'!$L$4/SUM('R&amp;S - Packaging and hh goods'!$L$4:$N$4)*('R&amp;S - Packaging and hh goods'!$E$8*'R&amp;S - Packaging and hh goods'!$H$14*('R&amp;S - Packaging and hh goods'!$AA$19+('R&amp;S - Packaging and hh goods'!$AA$20-'R&amp;S - Packaging and hh goods'!$AA$19)*(U$3-$N$3)/10))-U27*'R&amp;S - Packaging and hh goods'!$L$4/SUM('R&amp;S - Packaging and hh goods'!$L$4:$N$4)*('R&amp;S - Packaging and hh goods'!$E$9*'R&amp;S - Packaging and hh goods'!$I$14*('R&amp;S - Packaging and hh goods'!$AB$19+('R&amp;S - Packaging and hh goods'!$AB$20-'R&amp;S - Packaging and hh goods'!$AB$19)*(U$3-$N$3)/10))-U27*'R&amp;S - Packaging and hh goods'!$L$4/SUM('R&amp;S - Packaging and hh goods'!$L$4:$N$4)*('R&amp;S - Packaging and hh goods'!$E$10*'R&amp;S - Packaging and hh goods'!$I$14*('R&amp;S - Packaging and hh goods'!$AC$19+('R&amp;S - Packaging and hh goods'!$AC$20-'R&amp;S - Packaging and hh goods'!$AC$19)*(U$3-$N$3)/10))</f>
        <v>248443.71190489474</v>
      </c>
      <c r="V35" s="639">
        <f>V27*'R&amp;S - Packaging and hh goods'!$L$4/SUM('R&amp;S - Packaging and hh goods'!$L$4:$N$4)-V27*'R&amp;S - Packaging and hh goods'!$L$4/SUM('R&amp;S - Packaging and hh goods'!$L$4:$N$4)*('R&amp;S - Packaging and hh goods'!$E$7*'R&amp;S - Packaging and hh goods'!$H$14*('R&amp;S - Packaging and hh goods'!$Z$19+('R&amp;S - Packaging and hh goods'!$Z$20-'R&amp;S - Packaging and hh goods'!$Z$19)*(V$3-$N$3)/10))-V27*'R&amp;S - Packaging and hh goods'!$L$4/SUM('R&amp;S - Packaging and hh goods'!$L$4:$N$4)*('R&amp;S - Packaging and hh goods'!$E$8*'R&amp;S - Packaging and hh goods'!$H$14*('R&amp;S - Packaging and hh goods'!$AA$19+('R&amp;S - Packaging and hh goods'!$AA$20-'R&amp;S - Packaging and hh goods'!$AA$19)*(V$3-$N$3)/10))-V27*'R&amp;S - Packaging and hh goods'!$L$4/SUM('R&amp;S - Packaging and hh goods'!$L$4:$N$4)*('R&amp;S - Packaging and hh goods'!$E$9*'R&amp;S - Packaging and hh goods'!$I$14*('R&amp;S - Packaging and hh goods'!$AB$19+('R&amp;S - Packaging and hh goods'!$AB$20-'R&amp;S - Packaging and hh goods'!$AB$19)*(V$3-$N$3)/10))-V27*'R&amp;S - Packaging and hh goods'!$L$4/SUM('R&amp;S - Packaging and hh goods'!$L$4:$N$4)*('R&amp;S - Packaging and hh goods'!$E$10*'R&amp;S - Packaging and hh goods'!$I$14*('R&amp;S - Packaging and hh goods'!$AC$19+('R&amp;S - Packaging and hh goods'!$AC$20-'R&amp;S - Packaging and hh goods'!$AC$19)*(V$3-$N$3)/10))</f>
        <v>242739.42409976613</v>
      </c>
      <c r="W35" s="639">
        <f>W27*'R&amp;S - Packaging and hh goods'!$L$4/SUM('R&amp;S - Packaging and hh goods'!$L$4:$N$4)-W27*'R&amp;S - Packaging and hh goods'!$L$4/SUM('R&amp;S - Packaging and hh goods'!$L$4:$N$4)*('R&amp;S - Packaging and hh goods'!$E$7*'R&amp;S - Packaging and hh goods'!$H$14*('R&amp;S - Packaging and hh goods'!$Z$19+('R&amp;S - Packaging and hh goods'!$Z$20-'R&amp;S - Packaging and hh goods'!$Z$19)*(W$3-$N$3)/10))-W27*'R&amp;S - Packaging and hh goods'!$L$4/SUM('R&amp;S - Packaging and hh goods'!$L$4:$N$4)*('R&amp;S - Packaging and hh goods'!$E$8*'R&amp;S - Packaging and hh goods'!$H$14*('R&amp;S - Packaging and hh goods'!$AA$19+('R&amp;S - Packaging and hh goods'!$AA$20-'R&amp;S - Packaging and hh goods'!$AA$19)*(W$3-$N$3)/10))-W27*'R&amp;S - Packaging and hh goods'!$L$4/SUM('R&amp;S - Packaging and hh goods'!$L$4:$N$4)*('R&amp;S - Packaging and hh goods'!$E$9*'R&amp;S - Packaging and hh goods'!$I$14*('R&amp;S - Packaging and hh goods'!$AB$19+('R&amp;S - Packaging and hh goods'!$AB$20-'R&amp;S - Packaging and hh goods'!$AB$19)*(W$3-$N$3)/10))-W27*'R&amp;S - Packaging and hh goods'!$L$4/SUM('R&amp;S - Packaging and hh goods'!$L$4:$N$4)*('R&amp;S - Packaging and hh goods'!$E$10*'R&amp;S - Packaging and hh goods'!$I$14*('R&amp;S - Packaging and hh goods'!$AC$19+('R&amp;S - Packaging and hh goods'!$AC$20-'R&amp;S - Packaging and hh goods'!$AC$19)*(W$3-$N$3)/10))</f>
        <v>237035.13629463752</v>
      </c>
      <c r="X35" s="639">
        <f>X27*'R&amp;S - Packaging and hh goods'!$L$4/SUM('R&amp;S - Packaging and hh goods'!$L$4:$N$4)-X27*'R&amp;S - Packaging and hh goods'!$L$4/SUM('R&amp;S - Packaging and hh goods'!$L$4:$N$4)*('R&amp;S - Packaging and hh goods'!$E$7*'R&amp;S - Packaging and hh goods'!$H$14*('R&amp;S - Packaging and hh goods'!$Z$19+('R&amp;S - Packaging and hh goods'!$Z$20-'R&amp;S - Packaging and hh goods'!$Z$19)*(X$3-$N$3)/10))-X27*'R&amp;S - Packaging and hh goods'!$L$4/SUM('R&amp;S - Packaging and hh goods'!$L$4:$N$4)*('R&amp;S - Packaging and hh goods'!$E$8*'R&amp;S - Packaging and hh goods'!$H$14*('R&amp;S - Packaging and hh goods'!$AA$19+('R&amp;S - Packaging and hh goods'!$AA$20-'R&amp;S - Packaging and hh goods'!$AA$19)*(X$3-$N$3)/10))-X27*'R&amp;S - Packaging and hh goods'!$L$4/SUM('R&amp;S - Packaging and hh goods'!$L$4:$N$4)*('R&amp;S - Packaging and hh goods'!$E$9*'R&amp;S - Packaging and hh goods'!$I$14*('R&amp;S - Packaging and hh goods'!$AB$19+('R&amp;S - Packaging and hh goods'!$AB$20-'R&amp;S - Packaging and hh goods'!$AB$19)*(X$3-$N$3)/10))-X27*'R&amp;S - Packaging and hh goods'!$L$4/SUM('R&amp;S - Packaging and hh goods'!$L$4:$N$4)*('R&amp;S - Packaging and hh goods'!$E$10*'R&amp;S - Packaging and hh goods'!$I$14*('R&amp;S - Packaging and hh goods'!$AC$19+('R&amp;S - Packaging and hh goods'!$AC$20-'R&amp;S - Packaging and hh goods'!$AC$19)*(X$3-$N$3)/10))</f>
        <v>231330.84848950896</v>
      </c>
      <c r="Y35" s="639">
        <f>Y27*'R&amp;S - Packaging and hh goods'!$L$4/SUM('R&amp;S - Packaging and hh goods'!$L$4:$N$4)-Y27*'R&amp;S - Packaging and hh goods'!$L$4/SUM('R&amp;S - Packaging and hh goods'!$L$4:$N$4)*('R&amp;S - Packaging and hh goods'!$E7*'R&amp;S - Packaging and hh goods'!$H$14*('R&amp;S - Packaging and hh goods'!$Z$20+('R&amp;S - Packaging and hh goods'!$Z$21-'R&amp;S - Packaging and hh goods'!$Z$20)*(Y$3-$X$3)/10))-Y27*'R&amp;S - Packaging and hh goods'!$L$4/SUM('R&amp;S - Packaging and hh goods'!$L$4:$N$4)*('R&amp;S - Packaging and hh goods'!$E8*'R&amp;S - Packaging and hh goods'!$H$14*('R&amp;S - Packaging and hh goods'!$AA$20+('R&amp;S - Packaging and hh goods'!$AA$21-'R&amp;S - Packaging and hh goods'!$AA$20)*(Y$3-$X$3)/10))-Y27*'R&amp;S - Packaging and hh goods'!$L$4/SUM('R&amp;S - Packaging and hh goods'!$L$4:$N$4)*('R&amp;S - Packaging and hh goods'!$E9*'R&amp;S - Packaging and hh goods'!$I$14*('R&amp;S - Packaging and hh goods'!$AB$20+('R&amp;S - Packaging and hh goods'!$AB$21-'R&amp;S - Packaging and hh goods'!$AB$20)*(Y$3-$X$3)/10))-Y27*'R&amp;S - Packaging and hh goods'!$L$4/SUM('R&amp;S - Packaging and hh goods'!$L$4:$N$4)*('R&amp;S - Packaging and hh goods'!$E10*'R&amp;S - Packaging and hh goods'!$I$14*('R&amp;S - Packaging and hh goods'!$AC$20+('R&amp;S - Packaging and hh goods'!$AC$21-'R&amp;S - Packaging and hh goods'!$AC$20)*(Y$3-$X$3)/10))</f>
        <v>226179.75672152391</v>
      </c>
      <c r="Z35" s="639">
        <f>Z27*'R&amp;S - Packaging and hh goods'!$L$4/SUM('R&amp;S - Packaging and hh goods'!$L$4:$N$4)-Z27*'R&amp;S - Packaging and hh goods'!$L$4/SUM('R&amp;S - Packaging and hh goods'!$L$4:$N$4)*('R&amp;S - Packaging and hh goods'!$E7*'R&amp;S - Packaging and hh goods'!$H$14*('R&amp;S - Packaging and hh goods'!$Z$20+('R&amp;S - Packaging and hh goods'!$Z$21-'R&amp;S - Packaging and hh goods'!$Z$20)*(Z$3-$X$3)/10))-Z27*'R&amp;S - Packaging and hh goods'!$L$4/SUM('R&amp;S - Packaging and hh goods'!$L$4:$N$4)*('R&amp;S - Packaging and hh goods'!$E8*'R&amp;S - Packaging and hh goods'!$H$14*('R&amp;S - Packaging and hh goods'!$AA$20+('R&amp;S - Packaging and hh goods'!$AA$21-'R&amp;S - Packaging and hh goods'!$AA$20)*(Z$3-$X$3)/10))-Z27*'R&amp;S - Packaging and hh goods'!$L$4/SUM('R&amp;S - Packaging and hh goods'!$L$4:$N$4)*('R&amp;S - Packaging and hh goods'!$E9*'R&amp;S - Packaging and hh goods'!$I$14*('R&amp;S - Packaging and hh goods'!$AB$20+('R&amp;S - Packaging and hh goods'!$AB$21-'R&amp;S - Packaging and hh goods'!$AB$20)*(Z$3-$X$3)/10))-Z27*'R&amp;S - Packaging and hh goods'!$L$4/SUM('R&amp;S - Packaging and hh goods'!$L$4:$N$4)*('R&amp;S - Packaging and hh goods'!$E10*'R&amp;S - Packaging and hh goods'!$I$14*('R&amp;S - Packaging and hh goods'!$AC$20+('R&amp;S - Packaging and hh goods'!$AC$21-'R&amp;S - Packaging and hh goods'!$AC$20)*(Z$3-$X$3)/10))</f>
        <v>221028.66495353892</v>
      </c>
      <c r="AA35" s="639">
        <f>AA27*'R&amp;S - Packaging and hh goods'!$L$4/SUM('R&amp;S - Packaging and hh goods'!$L$4:$N$4)-AA27*'R&amp;S - Packaging and hh goods'!$L$4/SUM('R&amp;S - Packaging and hh goods'!$L$4:$N$4)*('R&amp;S - Packaging and hh goods'!$E7*'R&amp;S - Packaging and hh goods'!$H$14*('R&amp;S - Packaging and hh goods'!$Z$20+('R&amp;S - Packaging and hh goods'!$Z$21-'R&amp;S - Packaging and hh goods'!$Z$20)*(AA$3-$X$3)/10))-AA27*'R&amp;S - Packaging and hh goods'!$L$4/SUM('R&amp;S - Packaging and hh goods'!$L$4:$N$4)*('R&amp;S - Packaging and hh goods'!$E8*'R&amp;S - Packaging and hh goods'!$H$14*('R&amp;S - Packaging and hh goods'!$AA$20+('R&amp;S - Packaging and hh goods'!$AA$21-'R&amp;S - Packaging and hh goods'!$AA$20)*(AA$3-$X$3)/10))-AA27*'R&amp;S - Packaging and hh goods'!$L$4/SUM('R&amp;S - Packaging and hh goods'!$L$4:$N$4)*('R&amp;S - Packaging and hh goods'!$E9*'R&amp;S - Packaging and hh goods'!$I$14*('R&amp;S - Packaging and hh goods'!$AB$20+('R&amp;S - Packaging and hh goods'!$AB$21-'R&amp;S - Packaging and hh goods'!$AB$20)*(AA$3-$X$3)/10))-AA27*'R&amp;S - Packaging and hh goods'!$L$4/SUM('R&amp;S - Packaging and hh goods'!$L$4:$N$4)*('R&amp;S - Packaging and hh goods'!$E10*'R&amp;S - Packaging and hh goods'!$I$14*('R&amp;S - Packaging and hh goods'!$AC$20+('R&amp;S - Packaging and hh goods'!$AC$21-'R&amp;S - Packaging and hh goods'!$AC$20)*(AA$3-$X$3)/10))</f>
        <v>215877.57318555386</v>
      </c>
      <c r="AB35" s="639">
        <f>AB27*'R&amp;S - Packaging and hh goods'!$L$4/SUM('R&amp;S - Packaging and hh goods'!$L$4:$N$4)-AB27*'R&amp;S - Packaging and hh goods'!$L$4/SUM('R&amp;S - Packaging and hh goods'!$L$4:$N$4)*('R&amp;S - Packaging and hh goods'!$E7*'R&amp;S - Packaging and hh goods'!$H$14*('R&amp;S - Packaging and hh goods'!$Z$20+('R&amp;S - Packaging and hh goods'!$Z$21-'R&amp;S - Packaging and hh goods'!$Z$20)*(AB$3-$X$3)/10))-AB27*'R&amp;S - Packaging and hh goods'!$L$4/SUM('R&amp;S - Packaging and hh goods'!$L$4:$N$4)*('R&amp;S - Packaging and hh goods'!$E8*'R&amp;S - Packaging and hh goods'!$H$14*('R&amp;S - Packaging and hh goods'!$AA$20+('R&amp;S - Packaging and hh goods'!$AA$21-'R&amp;S - Packaging and hh goods'!$AA$20)*(AB$3-$X$3)/10))-AB27*'R&amp;S - Packaging and hh goods'!$L$4/SUM('R&amp;S - Packaging and hh goods'!$L$4:$N$4)*('R&amp;S - Packaging and hh goods'!$E9*'R&amp;S - Packaging and hh goods'!$I$14*('R&amp;S - Packaging and hh goods'!$AB$20+('R&amp;S - Packaging and hh goods'!$AB$21-'R&amp;S - Packaging and hh goods'!$AB$20)*(AB$3-$X$3)/10))-AB27*'R&amp;S - Packaging and hh goods'!$L$4/SUM('R&amp;S - Packaging and hh goods'!$L$4:$N$4)*('R&amp;S - Packaging and hh goods'!$E10*'R&amp;S - Packaging and hh goods'!$I$14*('R&amp;S - Packaging and hh goods'!$AC$20+('R&amp;S - Packaging and hh goods'!$AC$21-'R&amp;S - Packaging and hh goods'!$AC$20)*(AB$3-$X$3)/10))</f>
        <v>210726.48141756887</v>
      </c>
      <c r="AC35" s="639">
        <f>AC27*'R&amp;S - Packaging and hh goods'!$L$4/SUM('R&amp;S - Packaging and hh goods'!$L$4:$N$4)-AC27*'R&amp;S - Packaging and hh goods'!$L$4/SUM('R&amp;S - Packaging and hh goods'!$L$4:$N$4)*('R&amp;S - Packaging and hh goods'!$E7*'R&amp;S - Packaging and hh goods'!$H$14*('R&amp;S - Packaging and hh goods'!$Z$20+('R&amp;S - Packaging and hh goods'!$Z$21-'R&amp;S - Packaging and hh goods'!$Z$20)*(AC$3-$X$3)/10))-AC27*'R&amp;S - Packaging and hh goods'!$L$4/SUM('R&amp;S - Packaging and hh goods'!$L$4:$N$4)*('R&amp;S - Packaging and hh goods'!$E8*'R&amp;S - Packaging and hh goods'!$H$14*('R&amp;S - Packaging and hh goods'!$AA$20+('R&amp;S - Packaging and hh goods'!$AA$21-'R&amp;S - Packaging and hh goods'!$AA$20)*(AC$3-$X$3)/10))-AC27*'R&amp;S - Packaging and hh goods'!$L$4/SUM('R&amp;S - Packaging and hh goods'!$L$4:$N$4)*('R&amp;S - Packaging and hh goods'!$E9*'R&amp;S - Packaging and hh goods'!$I$14*('R&amp;S - Packaging and hh goods'!$AB$20+('R&amp;S - Packaging and hh goods'!$AB$21-'R&amp;S - Packaging and hh goods'!$AB$20)*(AC$3-$X$3)/10))-AC27*'R&amp;S - Packaging and hh goods'!$L$4/SUM('R&amp;S - Packaging and hh goods'!$L$4:$N$4)*('R&amp;S - Packaging and hh goods'!$E10*'R&amp;S - Packaging and hh goods'!$I$14*('R&amp;S - Packaging and hh goods'!$AC$20+('R&amp;S - Packaging and hh goods'!$AC$21-'R&amp;S - Packaging and hh goods'!$AC$20)*(AC$3-$X$3)/10))</f>
        <v>205575.38964958387</v>
      </c>
      <c r="AD35" s="639">
        <f>AD27*'R&amp;S - Packaging and hh goods'!$L$4/SUM('R&amp;S - Packaging and hh goods'!$L$4:$N$4)-AD27*'R&amp;S - Packaging and hh goods'!$L$4/SUM('R&amp;S - Packaging and hh goods'!$L$4:$N$4)*('R&amp;S - Packaging and hh goods'!$E7*'R&amp;S - Packaging and hh goods'!$H$14*('R&amp;S - Packaging and hh goods'!$Z$20+('R&amp;S - Packaging and hh goods'!$Z$21-'R&amp;S - Packaging and hh goods'!$Z$20)*(AD$3-$X$3)/10))-AD27*'R&amp;S - Packaging and hh goods'!$L$4/SUM('R&amp;S - Packaging and hh goods'!$L$4:$N$4)*('R&amp;S - Packaging and hh goods'!$E8*'R&amp;S - Packaging and hh goods'!$H$14*('R&amp;S - Packaging and hh goods'!$AA$20+('R&amp;S - Packaging and hh goods'!$AA$21-'R&amp;S - Packaging and hh goods'!$AA$20)*(AD$3-$X$3)/10))-AD27*'R&amp;S - Packaging and hh goods'!$L$4/SUM('R&amp;S - Packaging and hh goods'!$L$4:$N$4)*('R&amp;S - Packaging and hh goods'!$E9*'R&amp;S - Packaging and hh goods'!$I$14*('R&amp;S - Packaging and hh goods'!$AB$20+('R&amp;S - Packaging and hh goods'!$AB$21-'R&amp;S - Packaging and hh goods'!$AB$20)*(AD$3-$X$3)/10))-AD27*'R&amp;S - Packaging and hh goods'!$L$4/SUM('R&amp;S - Packaging and hh goods'!$L$4:$N$4)*('R&amp;S - Packaging and hh goods'!$E10*'R&amp;S - Packaging and hh goods'!$I$14*('R&amp;S - Packaging and hh goods'!$AC$20+('R&amp;S - Packaging and hh goods'!$AC$21-'R&amp;S - Packaging and hh goods'!$AC$20)*(AD$3-$X$3)/10))</f>
        <v>200424.29788159885</v>
      </c>
      <c r="AE35" s="639">
        <f>AE27*'R&amp;S - Packaging and hh goods'!$L$4/SUM('R&amp;S - Packaging and hh goods'!$L$4:$N$4)-AE27*'R&amp;S - Packaging and hh goods'!$L$4/SUM('R&amp;S - Packaging and hh goods'!$L$4:$N$4)*('R&amp;S - Packaging and hh goods'!$E7*'R&amp;S - Packaging and hh goods'!$H$14*('R&amp;S - Packaging and hh goods'!$Z$20+('R&amp;S - Packaging and hh goods'!$Z$21-'R&amp;S - Packaging and hh goods'!$Z$20)*(AE$3-$X$3)/10))-AE27*'R&amp;S - Packaging and hh goods'!$L$4/SUM('R&amp;S - Packaging and hh goods'!$L$4:$N$4)*('R&amp;S - Packaging and hh goods'!$E8*'R&amp;S - Packaging and hh goods'!$H$14*('R&amp;S - Packaging and hh goods'!$AA$20+('R&amp;S - Packaging and hh goods'!$AA$21-'R&amp;S - Packaging and hh goods'!$AA$20)*(AE$3-$X$3)/10))-AE27*'R&amp;S - Packaging and hh goods'!$L$4/SUM('R&amp;S - Packaging and hh goods'!$L$4:$N$4)*('R&amp;S - Packaging and hh goods'!$E9*'R&amp;S - Packaging and hh goods'!$I$14*('R&amp;S - Packaging and hh goods'!$AB$20+('R&amp;S - Packaging and hh goods'!$AB$21-'R&amp;S - Packaging and hh goods'!$AB$20)*(AE$3-$X$3)/10))-AE27*'R&amp;S - Packaging and hh goods'!$L$4/SUM('R&amp;S - Packaging and hh goods'!$L$4:$N$4)*('R&amp;S - Packaging and hh goods'!$E10*'R&amp;S - Packaging and hh goods'!$I$14*('R&amp;S - Packaging and hh goods'!$AC$20+('R&amp;S - Packaging and hh goods'!$AC$21-'R&amp;S - Packaging and hh goods'!$AC$20)*(AE$3-$X$3)/10))</f>
        <v>195273.20611361382</v>
      </c>
      <c r="AF35" s="639">
        <f>AF27*'R&amp;S - Packaging and hh goods'!$L$4/SUM('R&amp;S - Packaging and hh goods'!$L$4:$N$4)-AF27*'R&amp;S - Packaging and hh goods'!$L$4/SUM('R&amp;S - Packaging and hh goods'!$L$4:$N$4)*('R&amp;S - Packaging and hh goods'!$E7*'R&amp;S - Packaging and hh goods'!$H$14*('R&amp;S - Packaging and hh goods'!$Z$20+('R&amp;S - Packaging and hh goods'!$Z$21-'R&amp;S - Packaging and hh goods'!$Z$20)*(AF$3-$X$3)/10))-AF27*'R&amp;S - Packaging and hh goods'!$L$4/SUM('R&amp;S - Packaging and hh goods'!$L$4:$N$4)*('R&amp;S - Packaging and hh goods'!$E8*'R&amp;S - Packaging and hh goods'!$H$14*('R&amp;S - Packaging and hh goods'!$AA$20+('R&amp;S - Packaging and hh goods'!$AA$21-'R&amp;S - Packaging and hh goods'!$AA$20)*(AF$3-$X$3)/10))-AF27*'R&amp;S - Packaging and hh goods'!$L$4/SUM('R&amp;S - Packaging and hh goods'!$L$4:$N$4)*('R&amp;S - Packaging and hh goods'!$E9*'R&amp;S - Packaging and hh goods'!$I$14*('R&amp;S - Packaging and hh goods'!$AB$20+('R&amp;S - Packaging and hh goods'!$AB$21-'R&amp;S - Packaging and hh goods'!$AB$20)*(AF$3-$X$3)/10))-AF27*'R&amp;S - Packaging and hh goods'!$L$4/SUM('R&amp;S - Packaging and hh goods'!$L$4:$N$4)*('R&amp;S - Packaging and hh goods'!$E10*'R&amp;S - Packaging and hh goods'!$I$14*('R&amp;S - Packaging and hh goods'!$AC$20+('R&amp;S - Packaging and hh goods'!$AC$21-'R&amp;S - Packaging and hh goods'!$AC$20)*(AF$3-$X$3)/10))</f>
        <v>190122.1143456288</v>
      </c>
      <c r="AG35" s="639">
        <f>AG27*'R&amp;S - Packaging and hh goods'!$L$4/SUM('R&amp;S - Packaging and hh goods'!$L$4:$N$4)-AG27*'R&amp;S - Packaging and hh goods'!$L$4/SUM('R&amp;S - Packaging and hh goods'!$L$4:$N$4)*('R&amp;S - Packaging and hh goods'!$E7*'R&amp;S - Packaging and hh goods'!$H$14*('R&amp;S - Packaging and hh goods'!$Z$20+('R&amp;S - Packaging and hh goods'!$Z$21-'R&amp;S - Packaging and hh goods'!$Z$20)*(AG$3-$X$3)/10))-AG27*'R&amp;S - Packaging and hh goods'!$L$4/SUM('R&amp;S - Packaging and hh goods'!$L$4:$N$4)*('R&amp;S - Packaging and hh goods'!$E8*'R&amp;S - Packaging and hh goods'!$H$14*('R&amp;S - Packaging and hh goods'!$AA$20+('R&amp;S - Packaging and hh goods'!$AA$21-'R&amp;S - Packaging and hh goods'!$AA$20)*(AG$3-$X$3)/10))-AG27*'R&amp;S - Packaging and hh goods'!$L$4/SUM('R&amp;S - Packaging and hh goods'!$L$4:$N$4)*('R&amp;S - Packaging and hh goods'!$E9*'R&amp;S - Packaging and hh goods'!$I$14*('R&amp;S - Packaging and hh goods'!$AB$20+('R&amp;S - Packaging and hh goods'!$AB$21-'R&amp;S - Packaging and hh goods'!$AB$20)*(AG$3-$X$3)/10))-AG27*'R&amp;S - Packaging and hh goods'!$L$4/SUM('R&amp;S - Packaging and hh goods'!$L$4:$N$4)*('R&amp;S - Packaging and hh goods'!$E10*'R&amp;S - Packaging and hh goods'!$I$14*('R&amp;S - Packaging and hh goods'!$AC$20+('R&amp;S - Packaging and hh goods'!$AC$21-'R&amp;S - Packaging and hh goods'!$AC$20)*(AG$3-$X$3)/10))</f>
        <v>184971.02257764377</v>
      </c>
      <c r="AH35" s="639">
        <f>AH27*'R&amp;S - Packaging and hh goods'!$L$4/SUM('R&amp;S - Packaging and hh goods'!$L$4:$N$4)-AH27*'R&amp;S - Packaging and hh goods'!$L$4/SUM('R&amp;S - Packaging and hh goods'!$L$4:$N$4)*('R&amp;S - Packaging and hh goods'!$E7*'R&amp;S - Packaging and hh goods'!$H$14*('R&amp;S - Packaging and hh goods'!$Z$20+('R&amp;S - Packaging and hh goods'!$Z$21-'R&amp;S - Packaging and hh goods'!$Z$20)*(AH$3-$X$3)/10))-AH27*'R&amp;S - Packaging and hh goods'!$L$4/SUM('R&amp;S - Packaging and hh goods'!$L$4:$N$4)*('R&amp;S - Packaging and hh goods'!$E8*'R&amp;S - Packaging and hh goods'!$H$14*('R&amp;S - Packaging and hh goods'!$AA$20+('R&amp;S - Packaging and hh goods'!$AA$21-'R&amp;S - Packaging and hh goods'!$AA$20)*(AH$3-$X$3)/10))-AH27*'R&amp;S - Packaging and hh goods'!$L$4/SUM('R&amp;S - Packaging and hh goods'!$L$4:$N$4)*('R&amp;S - Packaging and hh goods'!$E9*'R&amp;S - Packaging and hh goods'!$I$14*('R&amp;S - Packaging and hh goods'!$AB$20+('R&amp;S - Packaging and hh goods'!$AB$21-'R&amp;S - Packaging and hh goods'!$AB$20)*(AH$3-$X$3)/10))-AH27*'R&amp;S - Packaging and hh goods'!$L$4/SUM('R&amp;S - Packaging and hh goods'!$L$4:$N$4)*('R&amp;S - Packaging and hh goods'!$E10*'R&amp;S - Packaging and hh goods'!$I$14*('R&amp;S - Packaging and hh goods'!$AC$20+('R&amp;S - Packaging and hh goods'!$AC$21-'R&amp;S - Packaging and hh goods'!$AC$20)*(AH$3-$X$3)/10))</f>
        <v>179819.93080965881</v>
      </c>
      <c r="AI35" s="639"/>
      <c r="AJ35" s="639">
        <f>AJ27*'R&amp;S - Packaging and hh goods'!$L$4/SUM('R&amp;S - Packaging and hh goods'!$L$4:$N$4)</f>
        <v>312187.37987787981</v>
      </c>
      <c r="AK35" s="639">
        <f>AK27*'R&amp;S - Packaging and hh goods'!$L$4/SUM('R&amp;S - Packaging and hh goods'!$L$4:$N$4)-AK27*'R&amp;S - Packaging and hh goods'!$L$4/SUM('R&amp;S - Packaging and hh goods'!$L$4:$N$4)*'R&amp;S - Packaging and hh goods'!$E$7*('R&amp;S - Packaging and hh goods'!$H$15*'R&amp;S - Packaging and hh goods'!$Z$19*(AK$3-$D$3)/10)-AK27*'R&amp;S - Packaging and hh goods'!$L$4/SUM('R&amp;S - Packaging and hh goods'!$L$4:$N$4)*'R&amp;S - Packaging and hh goods'!$E$8*('R&amp;S - Packaging and hh goods'!$H$15*'R&amp;S - Packaging and hh goods'!$AA$19*(AK$3-$D$3)/10)-AK27*'R&amp;S - Packaging and hh goods'!$L$4/SUM('R&amp;S - Packaging and hh goods'!$L$4:$N$4)*'R&amp;S - Packaging and hh goods'!$E$9*('R&amp;S - Packaging and hh goods'!$H$15*'R&amp;S - Packaging and hh goods'!$AB$19*(AK$3-$D$3)/10)-AK31*'R&amp;S - Packaging and hh goods'!$L$4/SUM('R&amp;S - Packaging and hh goods'!$L$4:$N$4)*'R&amp;S - Packaging and hh goods'!$E$10*('R&amp;S - Packaging and hh goods'!$H$15*'R&amp;S - Packaging and hh goods'!$AC$19*(AK$3-$D$3)/10)</f>
        <v>310664.24557793036</v>
      </c>
      <c r="AL35" s="639">
        <f>AL27*'R&amp;S - Packaging and hh goods'!$L$4/SUM('R&amp;S - Packaging and hh goods'!$L$4:$N$4)-AL27*'R&amp;S - Packaging and hh goods'!$L$4/SUM('R&amp;S - Packaging and hh goods'!$L$4:$N$4)*'R&amp;S - Packaging and hh goods'!$E$7*('R&amp;S - Packaging and hh goods'!$H$15*'R&amp;S - Packaging and hh goods'!$Z$19*(AL$3-$D$3)/10)-AL27*'R&amp;S - Packaging and hh goods'!$L$4/SUM('R&amp;S - Packaging and hh goods'!$L$4:$N$4)*'R&amp;S - Packaging and hh goods'!$E$8*('R&amp;S - Packaging and hh goods'!$H$15*'R&amp;S - Packaging and hh goods'!$AA$19*(AL$3-$D$3)/10)-AL27*'R&amp;S - Packaging and hh goods'!$L$4/SUM('R&amp;S - Packaging and hh goods'!$L$4:$N$4)*'R&amp;S - Packaging and hh goods'!$E$9*('R&amp;S - Packaging and hh goods'!$H$15*'R&amp;S - Packaging and hh goods'!$AB$19*(AL$3-$D$3)/10)-AL31*'R&amp;S - Packaging and hh goods'!$L$4/SUM('R&amp;S - Packaging and hh goods'!$L$4:$N$4)*'R&amp;S - Packaging and hh goods'!$E$10*('R&amp;S - Packaging and hh goods'!$H$15*'R&amp;S - Packaging and hh goods'!$AC$19*(AL$3-$D$3)/10)</f>
        <v>309140.45534370403</v>
      </c>
      <c r="AM35" s="639">
        <f>AM27*'R&amp;S - Packaging and hh goods'!$L$4/SUM('R&amp;S - Packaging and hh goods'!$L$4:$N$4)-AM27*'R&amp;S - Packaging and hh goods'!$L$4/SUM('R&amp;S - Packaging and hh goods'!$L$4:$N$4)*'R&amp;S - Packaging and hh goods'!$E$7*('R&amp;S - Packaging and hh goods'!$H$15*'R&amp;S - Packaging and hh goods'!$Z$19*(AM$3-$D$3)/10)-AM27*'R&amp;S - Packaging and hh goods'!$L$4/SUM('R&amp;S - Packaging and hh goods'!$L$4:$N$4)*'R&amp;S - Packaging and hh goods'!$E$8*('R&amp;S - Packaging and hh goods'!$H$15*'R&amp;S - Packaging and hh goods'!$AA$19*(AM$3-$D$3)/10)-AM27*'R&amp;S - Packaging and hh goods'!$L$4/SUM('R&amp;S - Packaging and hh goods'!$L$4:$N$4)*'R&amp;S - Packaging and hh goods'!$E$9*('R&amp;S - Packaging and hh goods'!$H$15*'R&amp;S - Packaging and hh goods'!$AB$19*(AM$3-$D$3)/10)-AM31*'R&amp;S - Packaging and hh goods'!$L$4/SUM('R&amp;S - Packaging and hh goods'!$L$4:$N$4)*'R&amp;S - Packaging and hh goods'!$E$10*('R&amp;S - Packaging and hh goods'!$H$15*'R&amp;S - Packaging and hh goods'!$AC$19*(AM$3-$D$3)/10)</f>
        <v>307616.00917520089</v>
      </c>
      <c r="AN35" s="639">
        <f>AN27*'R&amp;S - Packaging and hh goods'!$L$4/SUM('R&amp;S - Packaging and hh goods'!$L$4:$N$4)-AN27*'R&amp;S - Packaging and hh goods'!$L$4/SUM('R&amp;S - Packaging and hh goods'!$L$4:$N$4)*'R&amp;S - Packaging and hh goods'!$E$7*('R&amp;S - Packaging and hh goods'!$H$15*'R&amp;S - Packaging and hh goods'!$Z$19*(AN$3-$D$3)/10)-AN27*'R&amp;S - Packaging and hh goods'!$L$4/SUM('R&amp;S - Packaging and hh goods'!$L$4:$N$4)*'R&amp;S - Packaging and hh goods'!$E$8*('R&amp;S - Packaging and hh goods'!$H$15*'R&amp;S - Packaging and hh goods'!$AA$19*(AN$3-$D$3)/10)-AN27*'R&amp;S - Packaging and hh goods'!$L$4/SUM('R&amp;S - Packaging and hh goods'!$L$4:$N$4)*'R&amp;S - Packaging and hh goods'!$E$9*('R&amp;S - Packaging and hh goods'!$H$15*'R&amp;S - Packaging and hh goods'!$AB$19*(AN$3-$D$3)/10)-AN31*'R&amp;S - Packaging and hh goods'!$L$4/SUM('R&amp;S - Packaging and hh goods'!$L$4:$N$4)*'R&amp;S - Packaging and hh goods'!$E$10*('R&amp;S - Packaging and hh goods'!$H$15*'R&amp;S - Packaging and hh goods'!$AC$19*(AN$3-$D$3)/10)</f>
        <v>306090.90707242099</v>
      </c>
      <c r="AO35" s="639">
        <f>AO27*'R&amp;S - Packaging and hh goods'!$L$4/SUM('R&amp;S - Packaging and hh goods'!$L$4:$N$4)-AO27*'R&amp;S - Packaging and hh goods'!$L$4/SUM('R&amp;S - Packaging and hh goods'!$L$4:$N$4)*'R&amp;S - Packaging and hh goods'!$E$7*('R&amp;S - Packaging and hh goods'!$H$15*'R&amp;S - Packaging and hh goods'!$Z$19*(AO$3-$D$3)/10)-AO27*'R&amp;S - Packaging and hh goods'!$L$4/SUM('R&amp;S - Packaging and hh goods'!$L$4:$N$4)*'R&amp;S - Packaging and hh goods'!$E$8*('R&amp;S - Packaging and hh goods'!$H$15*'R&amp;S - Packaging and hh goods'!$AA$19*(AO$3-$D$3)/10)-AO27*'R&amp;S - Packaging and hh goods'!$L$4/SUM('R&amp;S - Packaging and hh goods'!$L$4:$N$4)*'R&amp;S - Packaging and hh goods'!$E$9*('R&amp;S - Packaging and hh goods'!$H$15*'R&amp;S - Packaging and hh goods'!$AB$19*(AO$3-$D$3)/10)-AO31*'R&amp;S - Packaging and hh goods'!$L$4/SUM('R&amp;S - Packaging and hh goods'!$L$4:$N$4)*'R&amp;S - Packaging and hh goods'!$E$10*('R&amp;S - Packaging and hh goods'!$H$15*'R&amp;S - Packaging and hh goods'!$AC$19*(AO$3-$D$3)/10)</f>
        <v>304565.14903536433</v>
      </c>
      <c r="AP35" s="639">
        <f>AP27*'R&amp;S - Packaging and hh goods'!$L$4/SUM('R&amp;S - Packaging and hh goods'!$L$4:$N$4)-AP27*'R&amp;S - Packaging and hh goods'!$L$4/SUM('R&amp;S - Packaging and hh goods'!$L$4:$N$4)*'R&amp;S - Packaging and hh goods'!$E$7*('R&amp;S - Packaging and hh goods'!$H$15*'R&amp;S - Packaging and hh goods'!$Z$19*(AP$3-$D$3)/10)-AP27*'R&amp;S - Packaging and hh goods'!$L$4/SUM('R&amp;S - Packaging and hh goods'!$L$4:$N$4)*'R&amp;S - Packaging and hh goods'!$E$8*('R&amp;S - Packaging and hh goods'!$H$15*'R&amp;S - Packaging and hh goods'!$AA$19*(AP$3-$D$3)/10)-AP27*'R&amp;S - Packaging and hh goods'!$L$4/SUM('R&amp;S - Packaging and hh goods'!$L$4:$N$4)*'R&amp;S - Packaging and hh goods'!$E$9*('R&amp;S - Packaging and hh goods'!$H$15*'R&amp;S - Packaging and hh goods'!$AB$19*(AP$3-$D$3)/10)-AP31*'R&amp;S - Packaging and hh goods'!$L$4/SUM('R&amp;S - Packaging and hh goods'!$L$4:$N$4)*'R&amp;S - Packaging and hh goods'!$E$10*('R&amp;S - Packaging and hh goods'!$H$15*'R&amp;S - Packaging and hh goods'!$AC$19*(AP$3-$D$3)/10)</f>
        <v>303038.7350640308</v>
      </c>
      <c r="AQ35" s="639">
        <f>AQ27*'R&amp;S - Packaging and hh goods'!$L$4/SUM('R&amp;S - Packaging and hh goods'!$L$4:$N$4)-AQ27*'R&amp;S - Packaging and hh goods'!$L$4/SUM('R&amp;S - Packaging and hh goods'!$L$4:$N$4)*'R&amp;S - Packaging and hh goods'!$E$7*('R&amp;S - Packaging and hh goods'!$H$15*'R&amp;S - Packaging and hh goods'!$Z$19*(AQ$3-$D$3)/10)-AQ27*'R&amp;S - Packaging and hh goods'!$L$4/SUM('R&amp;S - Packaging and hh goods'!$L$4:$N$4)*'R&amp;S - Packaging and hh goods'!$E$8*('R&amp;S - Packaging and hh goods'!$H$15*'R&amp;S - Packaging and hh goods'!$AA$19*(AQ$3-$D$3)/10)-AQ27*'R&amp;S - Packaging and hh goods'!$L$4/SUM('R&amp;S - Packaging and hh goods'!$L$4:$N$4)*'R&amp;S - Packaging and hh goods'!$E$9*('R&amp;S - Packaging and hh goods'!$H$15*'R&amp;S - Packaging and hh goods'!$AB$19*(AQ$3-$D$3)/10)-AQ31*'R&amp;S - Packaging and hh goods'!$L$4/SUM('R&amp;S - Packaging and hh goods'!$L$4:$N$4)*'R&amp;S - Packaging and hh goods'!$E$10*('R&amp;S - Packaging and hh goods'!$H$15*'R&amp;S - Packaging and hh goods'!$AC$19*(AQ$3-$D$3)/10)</f>
        <v>301511.66515842045</v>
      </c>
      <c r="AR35" s="639">
        <f>AR27*'R&amp;S - Packaging and hh goods'!$L$4/SUM('R&amp;S - Packaging and hh goods'!$L$4:$N$4)-AR27*'R&amp;S - Packaging and hh goods'!$L$4/SUM('R&amp;S - Packaging and hh goods'!$L$4:$N$4)*'R&amp;S - Packaging and hh goods'!$E$7*('R&amp;S - Packaging and hh goods'!$H$15*'R&amp;S - Packaging and hh goods'!$Z$19*(AR$3-$D$3)/10)-AR27*'R&amp;S - Packaging and hh goods'!$L$4/SUM('R&amp;S - Packaging and hh goods'!$L$4:$N$4)*'R&amp;S - Packaging and hh goods'!$E$8*('R&amp;S - Packaging and hh goods'!$H$15*'R&amp;S - Packaging and hh goods'!$AA$19*(AR$3-$D$3)/10)-AR27*'R&amp;S - Packaging and hh goods'!$L$4/SUM('R&amp;S - Packaging and hh goods'!$L$4:$N$4)*'R&amp;S - Packaging and hh goods'!$E$9*('R&amp;S - Packaging and hh goods'!$H$15*'R&amp;S - Packaging and hh goods'!$AB$19*(AR$3-$D$3)/10)-AR31*'R&amp;S - Packaging and hh goods'!$L$4/SUM('R&amp;S - Packaging and hh goods'!$L$4:$N$4)*'R&amp;S - Packaging and hh goods'!$E$10*('R&amp;S - Packaging and hh goods'!$H$15*'R&amp;S - Packaging and hh goods'!$AC$19*(AR$3-$D$3)/10)</f>
        <v>299983.9393185334</v>
      </c>
      <c r="AS35" s="639">
        <f>AS27*'R&amp;S - Packaging and hh goods'!$L$4/SUM('R&amp;S - Packaging and hh goods'!$L$4:$N$4)-AS27*'R&amp;S - Packaging and hh goods'!$L$4/SUM('R&amp;S - Packaging and hh goods'!$L$4:$N$4)*'R&amp;S - Packaging and hh goods'!$E$7*('R&amp;S - Packaging and hh goods'!$H$15*'R&amp;S - Packaging and hh goods'!$Z$19*(AS$3-$D$3)/10)-AS27*'R&amp;S - Packaging and hh goods'!$L$4/SUM('R&amp;S - Packaging and hh goods'!$L$4:$N$4)*'R&amp;S - Packaging and hh goods'!$E$8*('R&amp;S - Packaging and hh goods'!$H$15*'R&amp;S - Packaging and hh goods'!$AA$19*(AS$3-$D$3)/10)-AS27*'R&amp;S - Packaging and hh goods'!$L$4/SUM('R&amp;S - Packaging and hh goods'!$L$4:$N$4)*'R&amp;S - Packaging and hh goods'!$E$9*('R&amp;S - Packaging and hh goods'!$H$15*'R&amp;S - Packaging and hh goods'!$AB$19*(AS$3-$D$3)/10)-AS31*'R&amp;S - Packaging and hh goods'!$L$4/SUM('R&amp;S - Packaging and hh goods'!$L$4:$N$4)*'R&amp;S - Packaging and hh goods'!$E$10*('R&amp;S - Packaging and hh goods'!$H$15*'R&amp;S - Packaging and hh goods'!$AC$19*(AS$3-$D$3)/10)</f>
        <v>298455.55754436954</v>
      </c>
      <c r="AT35" s="639">
        <f>AT27*'R&amp;S - Packaging and hh goods'!$L$4/SUM('R&amp;S - Packaging and hh goods'!$L$4:$N$4)-AT27*'R&amp;S - Packaging and hh goods'!$L$4/SUM('R&amp;S - Packaging and hh goods'!$L$4:$N$4)*'R&amp;S - Packaging and hh goods'!$E$7*('R&amp;S - Packaging and hh goods'!$H$15*'R&amp;S - Packaging and hh goods'!$Z$19*(AT$3-$D$3)/10)-AT27*'R&amp;S - Packaging and hh goods'!$L$4/SUM('R&amp;S - Packaging and hh goods'!$L$4:$N$4)*'R&amp;S - Packaging and hh goods'!$E$8*('R&amp;S - Packaging and hh goods'!$H$15*'R&amp;S - Packaging and hh goods'!$AA$19*(AT$3-$D$3)/10)-AT27*'R&amp;S - Packaging and hh goods'!$L$4/SUM('R&amp;S - Packaging and hh goods'!$L$4:$N$4)*'R&amp;S - Packaging and hh goods'!$E$9*('R&amp;S - Packaging and hh goods'!$H$15*'R&amp;S - Packaging and hh goods'!$AB$19*(AT$3-$D$3)/10)-AT31*'R&amp;S - Packaging and hh goods'!$L$4/SUM('R&amp;S - Packaging and hh goods'!$L$4:$N$4)*'R&amp;S - Packaging and hh goods'!$E$10*('R&amp;S - Packaging and hh goods'!$H$15*'R&amp;S - Packaging and hh goods'!$AC$19*(AT$3-$D$3)/10)</f>
        <v>296926.51983592886</v>
      </c>
      <c r="AU35" s="639">
        <f>AU27*'R&amp;S - Packaging and hh goods'!$L$4/SUM('R&amp;S - Packaging and hh goods'!$L$4:$N$4)-AU27*'R&amp;S - Packaging and hh goods'!$L$4/SUM('R&amp;S - Packaging and hh goods'!$L$4:$N$4)*('R&amp;S - Packaging and hh goods'!$E$7*'R&amp;S - Packaging and hh goods'!$H$15*('R&amp;S - Packaging and hh goods'!$Z$19+('R&amp;S - Packaging and hh goods'!$Z$20-'R&amp;S - Packaging and hh goods'!$Z$19)*(AU$3-$N$3)/10))-AU27*'R&amp;S - Packaging and hh goods'!$L$4/SUM('R&amp;S - Packaging and hh goods'!$L$4:$N$4)*('R&amp;S - Packaging and hh goods'!$E$8*'R&amp;S - Packaging and hh goods'!$H$15*('R&amp;S - Packaging and hh goods'!$AA$19+('R&amp;S - Packaging and hh goods'!$AA$20-'R&amp;S - Packaging and hh goods'!$AA$19)*(AU$3-$N$3)/10))-AU27*'R&amp;S - Packaging and hh goods'!$L$4/SUM('R&amp;S - Packaging and hh goods'!$L$4:$N$4)*('R&amp;S - Packaging and hh goods'!$E$9*'R&amp;S - Packaging and hh goods'!$I$15*('R&amp;S - Packaging and hh goods'!$AB$19+('R&amp;S - Packaging and hh goods'!$AB$20-'R&amp;S - Packaging and hh goods'!$AB$19)*(AU$3-$N$3)/10))-AU27*'R&amp;S - Packaging and hh goods'!$L$4/SUM('R&amp;S - Packaging and hh goods'!$L$4:$N$4)*('R&amp;S - Packaging and hh goods'!$E$10*'R&amp;S - Packaging and hh goods'!$I$15*('R&amp;S - Packaging and hh goods'!$AC$19+('R&amp;S - Packaging and hh goods'!$AC$20-'R&amp;S - Packaging and hh goods'!$AC$19)*(AU$3-$N$3)/10))</f>
        <v>289739.72115269362</v>
      </c>
      <c r="AV35" s="639">
        <f>AV27*'R&amp;S - Packaging and hh goods'!$L$4/SUM('R&amp;S - Packaging and hh goods'!$L$4:$N$4)-AV27*'R&amp;S - Packaging and hh goods'!$L$4/SUM('R&amp;S - Packaging and hh goods'!$L$4:$N$4)*('R&amp;S - Packaging and hh goods'!$E$7*'R&amp;S - Packaging and hh goods'!$H$15*('R&amp;S - Packaging and hh goods'!$Z$19+('R&amp;S - Packaging and hh goods'!$Z$20-'R&amp;S - Packaging and hh goods'!$Z$19)*(AV$3-$N$3)/10))-AV27*'R&amp;S - Packaging and hh goods'!$L$4/SUM('R&amp;S - Packaging and hh goods'!$L$4:$N$4)*('R&amp;S - Packaging and hh goods'!$E$8*'R&amp;S - Packaging and hh goods'!$H$15*('R&amp;S - Packaging and hh goods'!$AA$19+('R&amp;S - Packaging and hh goods'!$AA$20-'R&amp;S - Packaging and hh goods'!$AA$19)*(AV$3-$N$3)/10))-AV27*'R&amp;S - Packaging and hh goods'!$L$4/SUM('R&amp;S - Packaging and hh goods'!$L$4:$N$4)*('R&amp;S - Packaging and hh goods'!$E$9*'R&amp;S - Packaging and hh goods'!$I$15*('R&amp;S - Packaging and hh goods'!$AB$19+('R&amp;S - Packaging and hh goods'!$AB$20-'R&amp;S - Packaging and hh goods'!$AB$19)*(AV$3-$N$3)/10))-AV27*'R&amp;S - Packaging and hh goods'!$L$4/SUM('R&amp;S - Packaging and hh goods'!$L$4:$N$4)*('R&amp;S - Packaging and hh goods'!$E$10*'R&amp;S - Packaging and hh goods'!$I$15*('R&amp;S - Packaging and hh goods'!$AC$19+('R&amp;S - Packaging and hh goods'!$AC$20-'R&amp;S - Packaging and hh goods'!$AC$19)*(AV$3-$N$3)/10))</f>
        <v>285445.25906759826</v>
      </c>
      <c r="AW35" s="639">
        <f>AW27*'R&amp;S - Packaging and hh goods'!$L$4/SUM('R&amp;S - Packaging and hh goods'!$L$4:$N$4)-AW27*'R&amp;S - Packaging and hh goods'!$L$4/SUM('R&amp;S - Packaging and hh goods'!$L$4:$N$4)*('R&amp;S - Packaging and hh goods'!$E$7*'R&amp;S - Packaging and hh goods'!$H$15*('R&amp;S - Packaging and hh goods'!$Z$19+('R&amp;S - Packaging and hh goods'!$Z$20-'R&amp;S - Packaging and hh goods'!$Z$19)*(AW$3-$N$3)/10))-AW27*'R&amp;S - Packaging and hh goods'!$L$4/SUM('R&amp;S - Packaging and hh goods'!$L$4:$N$4)*('R&amp;S - Packaging and hh goods'!$E$8*'R&amp;S - Packaging and hh goods'!$H$15*('R&amp;S - Packaging and hh goods'!$AA$19+('R&amp;S - Packaging and hh goods'!$AA$20-'R&amp;S - Packaging and hh goods'!$AA$19)*(AW$3-$N$3)/10))-AW27*'R&amp;S - Packaging and hh goods'!$L$4/SUM('R&amp;S - Packaging and hh goods'!$L$4:$N$4)*('R&amp;S - Packaging and hh goods'!$E$9*'R&amp;S - Packaging and hh goods'!$I$15*('R&amp;S - Packaging and hh goods'!$AB$19+('R&amp;S - Packaging and hh goods'!$AB$20-'R&amp;S - Packaging and hh goods'!$AB$19)*(AW$3-$N$3)/10))-AW27*'R&amp;S - Packaging and hh goods'!$L$4/SUM('R&amp;S - Packaging and hh goods'!$L$4:$N$4)*('R&amp;S - Packaging and hh goods'!$E$10*'R&amp;S - Packaging and hh goods'!$I$15*('R&amp;S - Packaging and hh goods'!$AC$19+('R&amp;S - Packaging and hh goods'!$AC$20-'R&amp;S - Packaging and hh goods'!$AC$19)*(AW$3-$N$3)/10))</f>
        <v>281150.79698250291</v>
      </c>
      <c r="AX35" s="639">
        <f>AX27*'R&amp;S - Packaging and hh goods'!$L$4/SUM('R&amp;S - Packaging and hh goods'!$L$4:$N$4)-AX27*'R&amp;S - Packaging and hh goods'!$L$4/SUM('R&amp;S - Packaging and hh goods'!$L$4:$N$4)*('R&amp;S - Packaging and hh goods'!$E$7*'R&amp;S - Packaging and hh goods'!$H$15*('R&amp;S - Packaging and hh goods'!$Z$19+('R&amp;S - Packaging and hh goods'!$Z$20-'R&amp;S - Packaging and hh goods'!$Z$19)*(AX$3-$N$3)/10))-AX27*'R&amp;S - Packaging and hh goods'!$L$4/SUM('R&amp;S - Packaging and hh goods'!$L$4:$N$4)*('R&amp;S - Packaging and hh goods'!$E$8*'R&amp;S - Packaging and hh goods'!$H$15*('R&amp;S - Packaging and hh goods'!$AA$19+('R&amp;S - Packaging and hh goods'!$AA$20-'R&amp;S - Packaging and hh goods'!$AA$19)*(AX$3-$N$3)/10))-AX27*'R&amp;S - Packaging and hh goods'!$L$4/SUM('R&amp;S - Packaging and hh goods'!$L$4:$N$4)*('R&amp;S - Packaging and hh goods'!$E$9*'R&amp;S - Packaging and hh goods'!$I$15*('R&amp;S - Packaging and hh goods'!$AB$19+('R&amp;S - Packaging and hh goods'!$AB$20-'R&amp;S - Packaging and hh goods'!$AB$19)*(AX$3-$N$3)/10))-AX27*'R&amp;S - Packaging and hh goods'!$L$4/SUM('R&amp;S - Packaging and hh goods'!$L$4:$N$4)*('R&amp;S - Packaging and hh goods'!$E$10*'R&amp;S - Packaging and hh goods'!$I$15*('R&amp;S - Packaging and hh goods'!$AC$19+('R&amp;S - Packaging and hh goods'!$AC$20-'R&amp;S - Packaging and hh goods'!$AC$19)*(AX$3-$N$3)/10))</f>
        <v>276856.33489740768</v>
      </c>
      <c r="AY35" s="639">
        <f>AY27*'R&amp;S - Packaging and hh goods'!$L$4/SUM('R&amp;S - Packaging and hh goods'!$L$4:$N$4)-AY27*'R&amp;S - Packaging and hh goods'!$L$4/SUM('R&amp;S - Packaging and hh goods'!$L$4:$N$4)*('R&amp;S - Packaging and hh goods'!$E$7*'R&amp;S - Packaging and hh goods'!$H$15*('R&amp;S - Packaging and hh goods'!$Z$19+('R&amp;S - Packaging and hh goods'!$Z$20-'R&amp;S - Packaging and hh goods'!$Z$19)*(AY$3-$N$3)/10))-AY27*'R&amp;S - Packaging and hh goods'!$L$4/SUM('R&amp;S - Packaging and hh goods'!$L$4:$N$4)*('R&amp;S - Packaging and hh goods'!$E$8*'R&amp;S - Packaging and hh goods'!$H$15*('R&amp;S - Packaging and hh goods'!$AA$19+('R&amp;S - Packaging and hh goods'!$AA$20-'R&amp;S - Packaging and hh goods'!$AA$19)*(AY$3-$N$3)/10))-AY27*'R&amp;S - Packaging and hh goods'!$L$4/SUM('R&amp;S - Packaging and hh goods'!$L$4:$N$4)*('R&amp;S - Packaging and hh goods'!$E$9*'R&amp;S - Packaging and hh goods'!$I$15*('R&amp;S - Packaging and hh goods'!$AB$19+('R&amp;S - Packaging and hh goods'!$AB$20-'R&amp;S - Packaging and hh goods'!$AB$19)*(AY$3-$N$3)/10))-AY27*'R&amp;S - Packaging and hh goods'!$L$4/SUM('R&amp;S - Packaging and hh goods'!$L$4:$N$4)*('R&amp;S - Packaging and hh goods'!$E$10*'R&amp;S - Packaging and hh goods'!$I$15*('R&amp;S - Packaging and hh goods'!$AC$19+('R&amp;S - Packaging and hh goods'!$AC$20-'R&amp;S - Packaging and hh goods'!$AC$19)*(AY$3-$N$3)/10))</f>
        <v>272561.87281231233</v>
      </c>
      <c r="AZ35" s="639">
        <f>AZ27*'R&amp;S - Packaging and hh goods'!$L$4/SUM('R&amp;S - Packaging and hh goods'!$L$4:$N$4)-AZ27*'R&amp;S - Packaging and hh goods'!$L$4/SUM('R&amp;S - Packaging and hh goods'!$L$4:$N$4)*('R&amp;S - Packaging and hh goods'!$E$7*'R&amp;S - Packaging and hh goods'!$H$15*('R&amp;S - Packaging and hh goods'!$Z$19+('R&amp;S - Packaging and hh goods'!$Z$20-'R&amp;S - Packaging and hh goods'!$Z$19)*(AZ$3-$N$3)/10))-AZ27*'R&amp;S - Packaging and hh goods'!$L$4/SUM('R&amp;S - Packaging and hh goods'!$L$4:$N$4)*('R&amp;S - Packaging and hh goods'!$E$8*'R&amp;S - Packaging and hh goods'!$H$15*('R&amp;S - Packaging and hh goods'!$AA$19+('R&amp;S - Packaging and hh goods'!$AA$20-'R&amp;S - Packaging and hh goods'!$AA$19)*(AZ$3-$N$3)/10))-AZ27*'R&amp;S - Packaging and hh goods'!$L$4/SUM('R&amp;S - Packaging and hh goods'!$L$4:$N$4)*('R&amp;S - Packaging and hh goods'!$E$9*'R&amp;S - Packaging and hh goods'!$I$15*('R&amp;S - Packaging and hh goods'!$AB$19+('R&amp;S - Packaging and hh goods'!$AB$20-'R&amp;S - Packaging and hh goods'!$AB$19)*(AZ$3-$N$3)/10))-AZ27*'R&amp;S - Packaging and hh goods'!$L$4/SUM('R&amp;S - Packaging and hh goods'!$L$4:$N$4)*('R&amp;S - Packaging and hh goods'!$E$10*'R&amp;S - Packaging and hh goods'!$I$15*('R&amp;S - Packaging and hh goods'!$AC$19+('R&amp;S - Packaging and hh goods'!$AC$20-'R&amp;S - Packaging and hh goods'!$AC$19)*(AZ$3-$N$3)/10))</f>
        <v>268267.41072721709</v>
      </c>
      <c r="BA35" s="639">
        <f>BA27*'R&amp;S - Packaging and hh goods'!$L$4/SUM('R&amp;S - Packaging and hh goods'!$L$4:$N$4)-BA27*'R&amp;S - Packaging and hh goods'!$L$4/SUM('R&amp;S - Packaging and hh goods'!$L$4:$N$4)*('R&amp;S - Packaging and hh goods'!$E$7*'R&amp;S - Packaging and hh goods'!$H$15*('R&amp;S - Packaging and hh goods'!$Z$19+('R&amp;S - Packaging and hh goods'!$Z$20-'R&amp;S - Packaging and hh goods'!$Z$19)*(BA$3-$N$3)/10))-BA27*'R&amp;S - Packaging and hh goods'!$L$4/SUM('R&amp;S - Packaging and hh goods'!$L$4:$N$4)*('R&amp;S - Packaging and hh goods'!$E$8*'R&amp;S - Packaging and hh goods'!$H$15*('R&amp;S - Packaging and hh goods'!$AA$19+('R&amp;S - Packaging and hh goods'!$AA$20-'R&amp;S - Packaging and hh goods'!$AA$19)*(BA$3-$N$3)/10))-BA27*'R&amp;S - Packaging and hh goods'!$L$4/SUM('R&amp;S - Packaging and hh goods'!$L$4:$N$4)*('R&amp;S - Packaging and hh goods'!$E$9*'R&amp;S - Packaging and hh goods'!$I$15*('R&amp;S - Packaging and hh goods'!$AB$19+('R&amp;S - Packaging and hh goods'!$AB$20-'R&amp;S - Packaging and hh goods'!$AB$19)*(BA$3-$N$3)/10))-BA27*'R&amp;S - Packaging and hh goods'!$L$4/SUM('R&amp;S - Packaging and hh goods'!$L$4:$N$4)*('R&amp;S - Packaging and hh goods'!$E$10*'R&amp;S - Packaging and hh goods'!$I$15*('R&amp;S - Packaging and hh goods'!$AC$19+('R&amp;S - Packaging and hh goods'!$AC$20-'R&amp;S - Packaging and hh goods'!$AC$19)*(BA$3-$N$3)/10))</f>
        <v>263972.94864212169</v>
      </c>
      <c r="BB35" s="639">
        <f>BB27*'R&amp;S - Packaging and hh goods'!$L$4/SUM('R&amp;S - Packaging and hh goods'!$L$4:$N$4)-BB27*'R&amp;S - Packaging and hh goods'!$L$4/SUM('R&amp;S - Packaging and hh goods'!$L$4:$N$4)*('R&amp;S - Packaging and hh goods'!$E$7*'R&amp;S - Packaging and hh goods'!$H$15*('R&amp;S - Packaging and hh goods'!$Z$19+('R&amp;S - Packaging and hh goods'!$Z$20-'R&amp;S - Packaging and hh goods'!$Z$19)*(BB$3-$N$3)/10))-BB27*'R&amp;S - Packaging and hh goods'!$L$4/SUM('R&amp;S - Packaging and hh goods'!$L$4:$N$4)*('R&amp;S - Packaging and hh goods'!$E$8*'R&amp;S - Packaging and hh goods'!$H$15*('R&amp;S - Packaging and hh goods'!$AA$19+('R&amp;S - Packaging and hh goods'!$AA$20-'R&amp;S - Packaging and hh goods'!$AA$19)*(BB$3-$N$3)/10))-BB27*'R&amp;S - Packaging and hh goods'!$L$4/SUM('R&amp;S - Packaging and hh goods'!$L$4:$N$4)*('R&amp;S - Packaging and hh goods'!$E$9*'R&amp;S - Packaging and hh goods'!$I$15*('R&amp;S - Packaging and hh goods'!$AB$19+('R&amp;S - Packaging and hh goods'!$AB$20-'R&amp;S - Packaging and hh goods'!$AB$19)*(BB$3-$N$3)/10))-BB27*'R&amp;S - Packaging and hh goods'!$L$4/SUM('R&amp;S - Packaging and hh goods'!$L$4:$N$4)*('R&amp;S - Packaging and hh goods'!$E$10*'R&amp;S - Packaging and hh goods'!$I$15*('R&amp;S - Packaging and hh goods'!$AC$19+('R&amp;S - Packaging and hh goods'!$AC$20-'R&amp;S - Packaging and hh goods'!$AC$19)*(BB$3-$N$3)/10))</f>
        <v>259678.48655702639</v>
      </c>
      <c r="BC35" s="639">
        <f>BC27*'R&amp;S - Packaging and hh goods'!$L$4/SUM('R&amp;S - Packaging and hh goods'!$L$4:$N$4)-BC27*'R&amp;S - Packaging and hh goods'!$L$4/SUM('R&amp;S - Packaging and hh goods'!$L$4:$N$4)*('R&amp;S - Packaging and hh goods'!$E$7*'R&amp;S - Packaging and hh goods'!$H$15*('R&amp;S - Packaging and hh goods'!$Z$19+('R&amp;S - Packaging and hh goods'!$Z$20-'R&amp;S - Packaging and hh goods'!$Z$19)*(BC$3-$N$3)/10))-BC27*'R&amp;S - Packaging and hh goods'!$L$4/SUM('R&amp;S - Packaging and hh goods'!$L$4:$N$4)*('R&amp;S - Packaging and hh goods'!$E$8*'R&amp;S - Packaging and hh goods'!$H$15*('R&amp;S - Packaging and hh goods'!$AA$19+('R&amp;S - Packaging and hh goods'!$AA$20-'R&amp;S - Packaging and hh goods'!$AA$19)*(BC$3-$N$3)/10))-BC27*'R&amp;S - Packaging and hh goods'!$L$4/SUM('R&amp;S - Packaging and hh goods'!$L$4:$N$4)*('R&amp;S - Packaging and hh goods'!$E$9*'R&amp;S - Packaging and hh goods'!$I$15*('R&amp;S - Packaging and hh goods'!$AB$19+('R&amp;S - Packaging and hh goods'!$AB$20-'R&amp;S - Packaging and hh goods'!$AB$19)*(BC$3-$N$3)/10))-BC27*'R&amp;S - Packaging and hh goods'!$L$4/SUM('R&amp;S - Packaging and hh goods'!$L$4:$N$4)*('R&amp;S - Packaging and hh goods'!$E$10*'R&amp;S - Packaging and hh goods'!$I$15*('R&amp;S - Packaging and hh goods'!$AC$19+('R&amp;S - Packaging and hh goods'!$AC$20-'R&amp;S - Packaging and hh goods'!$AC$19)*(BC$3-$N$3)/10))</f>
        <v>255384.02447193113</v>
      </c>
      <c r="BD35" s="639">
        <f>BD27*'R&amp;S - Packaging and hh goods'!$L$4/SUM('R&amp;S - Packaging and hh goods'!$L$4:$N$4)-BD27*'R&amp;S - Packaging and hh goods'!$L$4/SUM('R&amp;S - Packaging and hh goods'!$L$4:$N$4)*('R&amp;S - Packaging and hh goods'!$E$7*'R&amp;S - Packaging and hh goods'!$H$15*('R&amp;S - Packaging and hh goods'!$Z$19+('R&amp;S - Packaging and hh goods'!$Z$20-'R&amp;S - Packaging and hh goods'!$Z$19)*(BD$3-$N$3)/10))-BD27*'R&amp;S - Packaging and hh goods'!$L$4/SUM('R&amp;S - Packaging and hh goods'!$L$4:$N$4)*('R&amp;S - Packaging and hh goods'!$E$8*'R&amp;S - Packaging and hh goods'!$H$15*('R&amp;S - Packaging and hh goods'!$AA$19+('R&amp;S - Packaging and hh goods'!$AA$20-'R&amp;S - Packaging and hh goods'!$AA$19)*(BD$3-$N$3)/10))-BD27*'R&amp;S - Packaging and hh goods'!$L$4/SUM('R&amp;S - Packaging and hh goods'!$L$4:$N$4)*('R&amp;S - Packaging and hh goods'!$E$9*'R&amp;S - Packaging and hh goods'!$I$15*('R&amp;S - Packaging and hh goods'!$AB$19+('R&amp;S - Packaging and hh goods'!$AB$20-'R&amp;S - Packaging and hh goods'!$AB$19)*(BD$3-$N$3)/10))-BD27*'R&amp;S - Packaging and hh goods'!$L$4/SUM('R&amp;S - Packaging and hh goods'!$L$4:$N$4)*('R&amp;S - Packaging and hh goods'!$E$10*'R&amp;S - Packaging and hh goods'!$I$15*('R&amp;S - Packaging and hh goods'!$AC$19+('R&amp;S - Packaging and hh goods'!$AC$20-'R&amp;S - Packaging and hh goods'!$AC$19)*(BD$3-$N$3)/10))</f>
        <v>251089.56238683578</v>
      </c>
      <c r="BE35" s="639">
        <f>BE27*'R&amp;S - Packaging and hh goods'!$L$4/SUM('R&amp;S - Packaging and hh goods'!$L$4:$N$4)-BE27*'R&amp;S - Packaging and hh goods'!$L$4/SUM('R&amp;S - Packaging and hh goods'!$L$4:$N$4)*('R&amp;S - Packaging and hh goods'!$E7*'R&amp;S - Packaging and hh goods'!$H$15*('R&amp;S - Packaging and hh goods'!$Z$20+('R&amp;S - Packaging and hh goods'!$Z$21-'R&amp;S - Packaging and hh goods'!$Z$20)*(BE$3-$X$3)/10))-BE27*'R&amp;S - Packaging and hh goods'!$L$4/SUM('R&amp;S - Packaging and hh goods'!$L$4:$N$4)*('R&amp;S - Packaging and hh goods'!$E8*'R&amp;S - Packaging and hh goods'!$H$15*('R&amp;S - Packaging and hh goods'!$AA$20+('R&amp;S - Packaging and hh goods'!$AA$21-'R&amp;S - Packaging and hh goods'!$AA$20)*(BE$3-$X$3)/10))-BE27*'R&amp;S - Packaging and hh goods'!$L$4/SUM('R&amp;S - Packaging and hh goods'!$L$4:$N$4)*('R&amp;S - Packaging and hh goods'!$E9*'R&amp;S - Packaging and hh goods'!$I$15*('R&amp;S - Packaging and hh goods'!$AB$20+('R&amp;S - Packaging and hh goods'!$AB$21-'R&amp;S - Packaging and hh goods'!$AB$20)*(BE$3-$X$3)/10))-BE27*'R&amp;S - Packaging and hh goods'!$L$4/SUM('R&amp;S - Packaging and hh goods'!$L$4:$N$4)*('R&amp;S - Packaging and hh goods'!$E10*'R&amp;S - Packaging and hh goods'!$I$15*('R&amp;S - Packaging and hh goods'!$AC$20+('R&amp;S - Packaging and hh goods'!$AC$21-'R&amp;S - Packaging and hh goods'!$AC$20)*(BE$3-$X$3)/10))</f>
        <v>247226.20609836144</v>
      </c>
      <c r="BF35" s="639">
        <f>BF27*'R&amp;S - Packaging and hh goods'!$L$4/SUM('R&amp;S - Packaging and hh goods'!$L$4:$N$4)-BF27*'R&amp;S - Packaging and hh goods'!$L$4/SUM('R&amp;S - Packaging and hh goods'!$L$4:$N$4)*('R&amp;S - Packaging and hh goods'!$E7*'R&amp;S - Packaging and hh goods'!$H$15*('R&amp;S - Packaging and hh goods'!$Z$20+('R&amp;S - Packaging and hh goods'!$Z$21-'R&amp;S - Packaging and hh goods'!$Z$20)*(BF$3-$X$3)/10))-BF27*'R&amp;S - Packaging and hh goods'!$L$4/SUM('R&amp;S - Packaging and hh goods'!$L$4:$N$4)*('R&amp;S - Packaging and hh goods'!$E8*'R&amp;S - Packaging and hh goods'!$H$15*('R&amp;S - Packaging and hh goods'!$AA$20+('R&amp;S - Packaging and hh goods'!$AA$21-'R&amp;S - Packaging and hh goods'!$AA$20)*(BF$3-$X$3)/10))-BF27*'R&amp;S - Packaging and hh goods'!$L$4/SUM('R&amp;S - Packaging and hh goods'!$L$4:$N$4)*('R&amp;S - Packaging and hh goods'!$E9*'R&amp;S - Packaging and hh goods'!$I$15*('R&amp;S - Packaging and hh goods'!$AB$20+('R&amp;S - Packaging and hh goods'!$AB$21-'R&amp;S - Packaging and hh goods'!$AB$20)*(BF$3-$X$3)/10))-BF27*'R&amp;S - Packaging and hh goods'!$L$4/SUM('R&amp;S - Packaging and hh goods'!$L$4:$N$4)*('R&amp;S - Packaging and hh goods'!$E10*'R&amp;S - Packaging and hh goods'!$I$15*('R&amp;S - Packaging and hh goods'!$AC$20+('R&amp;S - Packaging and hh goods'!$AC$21-'R&amp;S - Packaging and hh goods'!$AC$20)*(BF$3-$X$3)/10))</f>
        <v>243362.84980988706</v>
      </c>
      <c r="BG35" s="639">
        <f>BG27*'R&amp;S - Packaging and hh goods'!$L$4/SUM('R&amp;S - Packaging and hh goods'!$L$4:$N$4)-BG27*'R&amp;S - Packaging and hh goods'!$L$4/SUM('R&amp;S - Packaging and hh goods'!$L$4:$N$4)*('R&amp;S - Packaging and hh goods'!$E7*'R&amp;S - Packaging and hh goods'!$H$15*('R&amp;S - Packaging and hh goods'!$Z$20+('R&amp;S - Packaging and hh goods'!$Z$21-'R&amp;S - Packaging and hh goods'!$Z$20)*(BG$3-$X$3)/10))-BG27*'R&amp;S - Packaging and hh goods'!$L$4/SUM('R&amp;S - Packaging and hh goods'!$L$4:$N$4)*('R&amp;S - Packaging and hh goods'!$E8*'R&amp;S - Packaging and hh goods'!$H$15*('R&amp;S - Packaging and hh goods'!$AA$20+('R&amp;S - Packaging and hh goods'!$AA$21-'R&amp;S - Packaging and hh goods'!$AA$20)*(BG$3-$X$3)/10))-BG27*'R&amp;S - Packaging and hh goods'!$L$4/SUM('R&amp;S - Packaging and hh goods'!$L$4:$N$4)*('R&amp;S - Packaging and hh goods'!$E9*'R&amp;S - Packaging and hh goods'!$I$15*('R&amp;S - Packaging and hh goods'!$AB$20+('R&amp;S - Packaging and hh goods'!$AB$21-'R&amp;S - Packaging and hh goods'!$AB$20)*(BG$3-$X$3)/10))-BG27*'R&amp;S - Packaging and hh goods'!$L$4/SUM('R&amp;S - Packaging and hh goods'!$L$4:$N$4)*('R&amp;S - Packaging and hh goods'!$E10*'R&amp;S - Packaging and hh goods'!$I$15*('R&amp;S - Packaging and hh goods'!$AC$20+('R&amp;S - Packaging and hh goods'!$AC$21-'R&amp;S - Packaging and hh goods'!$AC$20)*(BG$3-$X$3)/10))</f>
        <v>239499.49352141278</v>
      </c>
      <c r="BH35" s="639">
        <f>BH27*'R&amp;S - Packaging and hh goods'!$L$4/SUM('R&amp;S - Packaging and hh goods'!$L$4:$N$4)-BH27*'R&amp;S - Packaging and hh goods'!$L$4/SUM('R&amp;S - Packaging and hh goods'!$L$4:$N$4)*('R&amp;S - Packaging and hh goods'!$E7*'R&amp;S - Packaging and hh goods'!$H$15*('R&amp;S - Packaging and hh goods'!$Z$20+('R&amp;S - Packaging and hh goods'!$Z$21-'R&amp;S - Packaging and hh goods'!$Z$20)*(BH$3-$X$3)/10))-BH27*'R&amp;S - Packaging and hh goods'!$L$4/SUM('R&amp;S - Packaging and hh goods'!$L$4:$N$4)*('R&amp;S - Packaging and hh goods'!$E8*'R&amp;S - Packaging and hh goods'!$H$15*('R&amp;S - Packaging and hh goods'!$AA$20+('R&amp;S - Packaging and hh goods'!$AA$21-'R&amp;S - Packaging and hh goods'!$AA$20)*(BH$3-$X$3)/10))-BH27*'R&amp;S - Packaging and hh goods'!$L$4/SUM('R&amp;S - Packaging and hh goods'!$L$4:$N$4)*('R&amp;S - Packaging and hh goods'!$E9*'R&amp;S - Packaging and hh goods'!$I$15*('R&amp;S - Packaging and hh goods'!$AB$20+('R&amp;S - Packaging and hh goods'!$AB$21-'R&amp;S - Packaging and hh goods'!$AB$20)*(BH$3-$X$3)/10))-BH27*'R&amp;S - Packaging and hh goods'!$L$4/SUM('R&amp;S - Packaging and hh goods'!$L$4:$N$4)*('R&amp;S - Packaging and hh goods'!$E10*'R&amp;S - Packaging and hh goods'!$I$15*('R&amp;S - Packaging and hh goods'!$AC$20+('R&amp;S - Packaging and hh goods'!$AC$21-'R&amp;S - Packaging and hh goods'!$AC$20)*(BH$3-$X$3)/10))</f>
        <v>235636.13723293837</v>
      </c>
      <c r="BI35" s="639">
        <f>BI27*'R&amp;S - Packaging and hh goods'!$L$4/SUM('R&amp;S - Packaging and hh goods'!$L$4:$N$4)-BI27*'R&amp;S - Packaging and hh goods'!$L$4/SUM('R&amp;S - Packaging and hh goods'!$L$4:$N$4)*('R&amp;S - Packaging and hh goods'!$E7*'R&amp;S - Packaging and hh goods'!$H$15*('R&amp;S - Packaging and hh goods'!$Z$20+('R&amp;S - Packaging and hh goods'!$Z$21-'R&amp;S - Packaging and hh goods'!$Z$20)*(BI$3-$X$3)/10))-BI27*'R&amp;S - Packaging and hh goods'!$L$4/SUM('R&amp;S - Packaging and hh goods'!$L$4:$N$4)*('R&amp;S - Packaging and hh goods'!$E8*'R&amp;S - Packaging and hh goods'!$H$15*('R&amp;S - Packaging and hh goods'!$AA$20+('R&amp;S - Packaging and hh goods'!$AA$21-'R&amp;S - Packaging and hh goods'!$AA$20)*(BI$3-$X$3)/10))-BI27*'R&amp;S - Packaging and hh goods'!$L$4/SUM('R&amp;S - Packaging and hh goods'!$L$4:$N$4)*('R&amp;S - Packaging and hh goods'!$E9*'R&amp;S - Packaging and hh goods'!$I$15*('R&amp;S - Packaging and hh goods'!$AB$20+('R&amp;S - Packaging and hh goods'!$AB$21-'R&amp;S - Packaging and hh goods'!$AB$20)*(BI$3-$X$3)/10))-BI27*'R&amp;S - Packaging and hh goods'!$L$4/SUM('R&amp;S - Packaging and hh goods'!$L$4:$N$4)*('R&amp;S - Packaging and hh goods'!$E10*'R&amp;S - Packaging and hh goods'!$I$15*('R&amp;S - Packaging and hh goods'!$AC$20+('R&amp;S - Packaging and hh goods'!$AC$21-'R&amp;S - Packaging and hh goods'!$AC$20)*(BI$3-$X$3)/10))</f>
        <v>231772.78094446406</v>
      </c>
      <c r="BJ35" s="639">
        <f>BJ27*'R&amp;S - Packaging and hh goods'!$L$4/SUM('R&amp;S - Packaging and hh goods'!$L$4:$N$4)-BJ27*'R&amp;S - Packaging and hh goods'!$L$4/SUM('R&amp;S - Packaging and hh goods'!$L$4:$N$4)*('R&amp;S - Packaging and hh goods'!$E7*'R&amp;S - Packaging and hh goods'!$H$15*('R&amp;S - Packaging and hh goods'!$Z$20+('R&amp;S - Packaging and hh goods'!$Z$21-'R&amp;S - Packaging and hh goods'!$Z$20)*(BJ$3-$X$3)/10))-BJ27*'R&amp;S - Packaging and hh goods'!$L$4/SUM('R&amp;S - Packaging and hh goods'!$L$4:$N$4)*('R&amp;S - Packaging and hh goods'!$E8*'R&amp;S - Packaging and hh goods'!$H$15*('R&amp;S - Packaging and hh goods'!$AA$20+('R&amp;S - Packaging and hh goods'!$AA$21-'R&amp;S - Packaging and hh goods'!$AA$20)*(BJ$3-$X$3)/10))-BJ27*'R&amp;S - Packaging and hh goods'!$L$4/SUM('R&amp;S - Packaging and hh goods'!$L$4:$N$4)*('R&amp;S - Packaging and hh goods'!$E9*'R&amp;S - Packaging and hh goods'!$I$15*('R&amp;S - Packaging and hh goods'!$AB$20+('R&amp;S - Packaging and hh goods'!$AB$21-'R&amp;S - Packaging and hh goods'!$AB$20)*(BJ$3-$X$3)/10))-BJ27*'R&amp;S - Packaging and hh goods'!$L$4/SUM('R&amp;S - Packaging and hh goods'!$L$4:$N$4)*('R&amp;S - Packaging and hh goods'!$E10*'R&amp;S - Packaging and hh goods'!$I$15*('R&amp;S - Packaging and hh goods'!$AC$20+('R&amp;S - Packaging and hh goods'!$AC$21-'R&amp;S - Packaging and hh goods'!$AC$20)*(BJ$3-$X$3)/10))</f>
        <v>227909.42465598974</v>
      </c>
      <c r="BK35" s="639">
        <f>BK27*'R&amp;S - Packaging and hh goods'!$L$4/SUM('R&amp;S - Packaging and hh goods'!$L$4:$N$4)-BK27*'R&amp;S - Packaging and hh goods'!$L$4/SUM('R&amp;S - Packaging and hh goods'!$L$4:$N$4)*('R&amp;S - Packaging and hh goods'!$E7*'R&amp;S - Packaging and hh goods'!$H$15*('R&amp;S - Packaging and hh goods'!$Z$20+('R&amp;S - Packaging and hh goods'!$Z$21-'R&amp;S - Packaging and hh goods'!$Z$20)*(BK$3-$X$3)/10))-BK27*'R&amp;S - Packaging and hh goods'!$L$4/SUM('R&amp;S - Packaging and hh goods'!$L$4:$N$4)*('R&amp;S - Packaging and hh goods'!$E8*'R&amp;S - Packaging and hh goods'!$H$15*('R&amp;S - Packaging and hh goods'!$AA$20+('R&amp;S - Packaging and hh goods'!$AA$21-'R&amp;S - Packaging and hh goods'!$AA$20)*(BK$3-$X$3)/10))-BK27*'R&amp;S - Packaging and hh goods'!$L$4/SUM('R&amp;S - Packaging and hh goods'!$L$4:$N$4)*('R&amp;S - Packaging and hh goods'!$E9*'R&amp;S - Packaging and hh goods'!$I$15*('R&amp;S - Packaging and hh goods'!$AB$20+('R&amp;S - Packaging and hh goods'!$AB$21-'R&amp;S - Packaging and hh goods'!$AB$20)*(BK$3-$X$3)/10))-BK27*'R&amp;S - Packaging and hh goods'!$L$4/SUM('R&amp;S - Packaging and hh goods'!$L$4:$N$4)*('R&amp;S - Packaging and hh goods'!$E10*'R&amp;S - Packaging and hh goods'!$I$15*('R&amp;S - Packaging and hh goods'!$AC$20+('R&amp;S - Packaging and hh goods'!$AC$21-'R&amp;S - Packaging and hh goods'!$AC$20)*(BK$3-$X$3)/10))</f>
        <v>224046.0683675154</v>
      </c>
      <c r="BL35" s="639">
        <f>BL27*'R&amp;S - Packaging and hh goods'!$L$4/SUM('R&amp;S - Packaging and hh goods'!$L$4:$N$4)-BL27*'R&amp;S - Packaging and hh goods'!$L$4/SUM('R&amp;S - Packaging and hh goods'!$L$4:$N$4)*('R&amp;S - Packaging and hh goods'!$E7*'R&amp;S - Packaging and hh goods'!$H$15*('R&amp;S - Packaging and hh goods'!$Z$20+('R&amp;S - Packaging and hh goods'!$Z$21-'R&amp;S - Packaging and hh goods'!$Z$20)*(BL$3-$X$3)/10))-BL27*'R&amp;S - Packaging and hh goods'!$L$4/SUM('R&amp;S - Packaging and hh goods'!$L$4:$N$4)*('R&amp;S - Packaging and hh goods'!$E8*'R&amp;S - Packaging and hh goods'!$H$15*('R&amp;S - Packaging and hh goods'!$AA$20+('R&amp;S - Packaging and hh goods'!$AA$21-'R&amp;S - Packaging and hh goods'!$AA$20)*(BL$3-$X$3)/10))-BL27*'R&amp;S - Packaging and hh goods'!$L$4/SUM('R&amp;S - Packaging and hh goods'!$L$4:$N$4)*('R&amp;S - Packaging and hh goods'!$E9*'R&amp;S - Packaging and hh goods'!$I$15*('R&amp;S - Packaging and hh goods'!$AB$20+('R&amp;S - Packaging and hh goods'!$AB$21-'R&amp;S - Packaging and hh goods'!$AB$20)*(BL$3-$X$3)/10))-BL27*'R&amp;S - Packaging and hh goods'!$L$4/SUM('R&amp;S - Packaging and hh goods'!$L$4:$N$4)*('R&amp;S - Packaging and hh goods'!$E10*'R&amp;S - Packaging and hh goods'!$I$15*('R&amp;S - Packaging and hh goods'!$AC$20+('R&amp;S - Packaging and hh goods'!$AC$21-'R&amp;S - Packaging and hh goods'!$AC$20)*(BL$3-$X$3)/10))</f>
        <v>220182.712079041</v>
      </c>
      <c r="BM35" s="639">
        <f>BM27*'R&amp;S - Packaging and hh goods'!$L$4/SUM('R&amp;S - Packaging and hh goods'!$L$4:$N$4)-BM27*'R&amp;S - Packaging and hh goods'!$L$4/SUM('R&amp;S - Packaging and hh goods'!$L$4:$N$4)*('R&amp;S - Packaging and hh goods'!$E7*'R&amp;S - Packaging and hh goods'!$H$15*('R&amp;S - Packaging and hh goods'!$Z$20+('R&amp;S - Packaging and hh goods'!$Z$21-'R&amp;S - Packaging and hh goods'!$Z$20)*(BM$3-$X$3)/10))-BM27*'R&amp;S - Packaging and hh goods'!$L$4/SUM('R&amp;S - Packaging and hh goods'!$L$4:$N$4)*('R&amp;S - Packaging and hh goods'!$E8*'R&amp;S - Packaging and hh goods'!$H$15*('R&amp;S - Packaging and hh goods'!$AA$20+('R&amp;S - Packaging and hh goods'!$AA$21-'R&amp;S - Packaging and hh goods'!$AA$20)*(BM$3-$X$3)/10))-BM27*'R&amp;S - Packaging and hh goods'!$L$4/SUM('R&amp;S - Packaging and hh goods'!$L$4:$N$4)*('R&amp;S - Packaging and hh goods'!$E9*'R&amp;S - Packaging and hh goods'!$I$15*('R&amp;S - Packaging and hh goods'!$AB$20+('R&amp;S - Packaging and hh goods'!$AB$21-'R&amp;S - Packaging and hh goods'!$AB$20)*(BM$3-$X$3)/10))-BM27*'R&amp;S - Packaging and hh goods'!$L$4/SUM('R&amp;S - Packaging and hh goods'!$L$4:$N$4)*('R&amp;S - Packaging and hh goods'!$E10*'R&amp;S - Packaging and hh goods'!$I$15*('R&amp;S - Packaging and hh goods'!$AC$20+('R&amp;S - Packaging and hh goods'!$AC$21-'R&amp;S - Packaging and hh goods'!$AC$20)*(BM$3-$X$3)/10))</f>
        <v>216319.35579056665</v>
      </c>
      <c r="BN35" s="639">
        <f>BN27*'R&amp;S - Packaging and hh goods'!$L$4/SUM('R&amp;S - Packaging and hh goods'!$L$4:$N$4)-BN27*'R&amp;S - Packaging and hh goods'!$L$4/SUM('R&amp;S - Packaging and hh goods'!$L$4:$N$4)*('R&amp;S - Packaging and hh goods'!$E7*'R&amp;S - Packaging and hh goods'!$H$15*('R&amp;S - Packaging and hh goods'!$Z$20+('R&amp;S - Packaging and hh goods'!$Z$21-'R&amp;S - Packaging and hh goods'!$Z$20)*(BN$3-$X$3)/10))-BN27*'R&amp;S - Packaging and hh goods'!$L$4/SUM('R&amp;S - Packaging and hh goods'!$L$4:$N$4)*('R&amp;S - Packaging and hh goods'!$E8*'R&amp;S - Packaging and hh goods'!$H$15*('R&amp;S - Packaging and hh goods'!$AA$20+('R&amp;S - Packaging and hh goods'!$AA$21-'R&amp;S - Packaging and hh goods'!$AA$20)*(BN$3-$X$3)/10))-BN27*'R&amp;S - Packaging and hh goods'!$L$4/SUM('R&amp;S - Packaging and hh goods'!$L$4:$N$4)*('R&amp;S - Packaging and hh goods'!$E9*'R&amp;S - Packaging and hh goods'!$I$15*('R&amp;S - Packaging and hh goods'!$AB$20+('R&amp;S - Packaging and hh goods'!$AB$21-'R&amp;S - Packaging and hh goods'!$AB$20)*(BN$3-$X$3)/10))-BN27*'R&amp;S - Packaging and hh goods'!$L$4/SUM('R&amp;S - Packaging and hh goods'!$L$4:$N$4)*('R&amp;S - Packaging and hh goods'!$E10*'R&amp;S - Packaging and hh goods'!$I$15*('R&amp;S - Packaging and hh goods'!$AC$20+('R&amp;S - Packaging and hh goods'!$AC$21-'R&amp;S - Packaging and hh goods'!$AC$20)*(BN$3-$X$3)/10))</f>
        <v>212455.99950209234</v>
      </c>
    </row>
    <row r="36" spans="1:75" outlineLevel="1">
      <c r="A36" s="685"/>
      <c r="B36" s="1" t="s">
        <v>797</v>
      </c>
      <c r="C36" s="51" t="s">
        <v>166</v>
      </c>
      <c r="D36" s="635">
        <f>D27*'R&amp;S - Packaging and hh goods'!$M$4/SUM('R&amp;S - Packaging and hh goods'!$L$4:$N$4)</f>
        <v>16766.545936057693</v>
      </c>
      <c r="E36" s="635">
        <f>E27*'R&amp;S - Packaging and hh goods'!$M$4/SUM('R&amp;S - Packaging and hh goods'!$L$4:$N$4)-E27*'R&amp;S - Packaging and hh goods'!$M$4/SUM('R&amp;S - Packaging and hh goods'!$L$4:$N$4)*'R&amp;S - Packaging and hh goods'!$F$7*('R&amp;S - Packaging and hh goods'!$J$14*'R&amp;S - Packaging and hh goods'!$AE$19*(E$3-$D$3)/10)-E27*'R&amp;S - Packaging and hh goods'!$M$4/SUM('R&amp;S - Packaging and hh goods'!$L$4:$N$4)*'R&amp;S - Packaging and hh goods'!$F$8*('R&amp;S - Packaging and hh goods'!$J$14*'R&amp;S - Packaging and hh goods'!$AF$19*(E$3-$D$3)/10)-E27*'R&amp;S - Packaging and hh goods'!$M$4/SUM('R&amp;S - Packaging and hh goods'!$L$4:$N$4)*'R&amp;S - Packaging and hh goods'!$F$9*('R&amp;S - Packaging and hh goods'!$J$14*'R&amp;S - Packaging and hh goods'!$AG$19*(E$3-$D$3)/10)-+E31*'R&amp;S - Packaging and hh goods'!$M$4/SUM('R&amp;S - Packaging and hh goods'!$L$4:$N$4)*'R&amp;S - Packaging and hh goods'!$F$10*('R&amp;S - Packaging and hh goods'!$J$14*'R&amp;S - Packaging and hh goods'!$AH$19*(E$3-$D$3)/10)</f>
        <v>16629.890974323</v>
      </c>
      <c r="F36" s="635">
        <f>F27*'R&amp;S - Packaging and hh goods'!$M$4/SUM('R&amp;S - Packaging and hh goods'!$L$4:$N$4)-F27*'R&amp;S - Packaging and hh goods'!$M$4/SUM('R&amp;S - Packaging and hh goods'!$L$4:$N$4)*'R&amp;S - Packaging and hh goods'!$F$7*('R&amp;S - Packaging and hh goods'!$J$14*'R&amp;S - Packaging and hh goods'!$AE$19*(F$3-$D$3)/10)-F27*'R&amp;S - Packaging and hh goods'!$M$4/SUM('R&amp;S - Packaging and hh goods'!$L$4:$N$4)*'R&amp;S - Packaging and hh goods'!$F$8*('R&amp;S - Packaging and hh goods'!$J$14*'R&amp;S - Packaging and hh goods'!$AF$19*(F$3-$D$3)/10)-F27*'R&amp;S - Packaging and hh goods'!$M$4/SUM('R&amp;S - Packaging and hh goods'!$L$4:$N$4)*'R&amp;S - Packaging and hh goods'!$F$9*('R&amp;S - Packaging and hh goods'!$J$14*'R&amp;S - Packaging and hh goods'!$AG$19*(F$3-$D$3)/10)-+F31*'R&amp;S - Packaging and hh goods'!$M$4/SUM('R&amp;S - Packaging and hh goods'!$L$4:$N$4)*'R&amp;S - Packaging and hh goods'!$F$10*('R&amp;S - Packaging and hh goods'!$J$14*'R&amp;S - Packaging and hh goods'!$AH$19*(F$3-$D$3)/10)</f>
        <v>16493.086655509178</v>
      </c>
      <c r="G36" s="635">
        <f>G27*'R&amp;S - Packaging and hh goods'!$M$4/SUM('R&amp;S - Packaging and hh goods'!$L$4:$N$4)-G27*'R&amp;S - Packaging and hh goods'!$M$4/SUM('R&amp;S - Packaging and hh goods'!$L$4:$N$4)*'R&amp;S - Packaging and hh goods'!$F$7*('R&amp;S - Packaging and hh goods'!$J$14*'R&amp;S - Packaging and hh goods'!$AE$19*(G$3-$D$3)/10)-G27*'R&amp;S - Packaging and hh goods'!$M$4/SUM('R&amp;S - Packaging and hh goods'!$L$4:$N$4)*'R&amp;S - Packaging and hh goods'!$F$8*('R&amp;S - Packaging and hh goods'!$J$14*'R&amp;S - Packaging and hh goods'!$AF$19*(G$3-$D$3)/10)-G27*'R&amp;S - Packaging and hh goods'!$M$4/SUM('R&amp;S - Packaging and hh goods'!$L$4:$N$4)*'R&amp;S - Packaging and hh goods'!$F$9*('R&amp;S - Packaging and hh goods'!$J$14*'R&amp;S - Packaging and hh goods'!$AG$19*(G$3-$D$3)/10)-+G31*'R&amp;S - Packaging and hh goods'!$M$4/SUM('R&amp;S - Packaging and hh goods'!$L$4:$N$4)*'R&amp;S - Packaging and hh goods'!$F$10*('R&amp;S - Packaging and hh goods'!$J$14*'R&amp;S - Packaging and hh goods'!$AH$19*(G$3-$D$3)/10)</f>
        <v>16356.132979616219</v>
      </c>
      <c r="H36" s="635">
        <f>H27*'R&amp;S - Packaging and hh goods'!$M$4/SUM('R&amp;S - Packaging and hh goods'!$L$4:$N$4)-H27*'R&amp;S - Packaging and hh goods'!$M$4/SUM('R&amp;S - Packaging and hh goods'!$L$4:$N$4)*'R&amp;S - Packaging and hh goods'!$F$7*('R&amp;S - Packaging and hh goods'!$J$14*'R&amp;S - Packaging and hh goods'!$AE$19*(H$3-$D$3)/10)-H27*'R&amp;S - Packaging and hh goods'!$M$4/SUM('R&amp;S - Packaging and hh goods'!$L$4:$N$4)*'R&amp;S - Packaging and hh goods'!$F$8*('R&amp;S - Packaging and hh goods'!$J$14*'R&amp;S - Packaging and hh goods'!$AF$19*(H$3-$D$3)/10)-H27*'R&amp;S - Packaging and hh goods'!$M$4/SUM('R&amp;S - Packaging and hh goods'!$L$4:$N$4)*'R&amp;S - Packaging and hh goods'!$F$9*('R&amp;S - Packaging and hh goods'!$J$14*'R&amp;S - Packaging and hh goods'!$AG$19*(H$3-$D$3)/10)-+H31*'R&amp;S - Packaging and hh goods'!$M$4/SUM('R&amp;S - Packaging and hh goods'!$L$4:$N$4)*'R&amp;S - Packaging and hh goods'!$F$10*('R&amp;S - Packaging and hh goods'!$J$14*'R&amp;S - Packaging and hh goods'!$AH$19*(H$3-$D$3)/10)</f>
        <v>16219.029946644128</v>
      </c>
      <c r="I36" s="635">
        <f>I27*'R&amp;S - Packaging and hh goods'!$M$4/SUM('R&amp;S - Packaging and hh goods'!$L$4:$N$4)-I27*'R&amp;S - Packaging and hh goods'!$M$4/SUM('R&amp;S - Packaging and hh goods'!$L$4:$N$4)*'R&amp;S - Packaging and hh goods'!$F$7*('R&amp;S - Packaging and hh goods'!$J$14*'R&amp;S - Packaging and hh goods'!$AE$19*(I$3-$D$3)/10)-I27*'R&amp;S - Packaging and hh goods'!$M$4/SUM('R&amp;S - Packaging and hh goods'!$L$4:$N$4)*'R&amp;S - Packaging and hh goods'!$F$8*('R&amp;S - Packaging and hh goods'!$J$14*'R&amp;S - Packaging and hh goods'!$AF$19*(I$3-$D$3)/10)-I27*'R&amp;S - Packaging and hh goods'!$M$4/SUM('R&amp;S - Packaging and hh goods'!$L$4:$N$4)*'R&amp;S - Packaging and hh goods'!$F$9*('R&amp;S - Packaging and hh goods'!$J$14*'R&amp;S - Packaging and hh goods'!$AG$19*(I$3-$D$3)/10)-+I31*'R&amp;S - Packaging and hh goods'!$M$4/SUM('R&amp;S - Packaging and hh goods'!$L$4:$N$4)*'R&amp;S - Packaging and hh goods'!$F$10*('R&amp;S - Packaging and hh goods'!$J$14*'R&amp;S - Packaging and hh goods'!$AH$19*(I$3-$D$3)/10)</f>
        <v>16081.77755659291</v>
      </c>
      <c r="J36" s="635">
        <f>J27*'R&amp;S - Packaging and hh goods'!$M$4/SUM('R&amp;S - Packaging and hh goods'!$L$4:$N$4)-J27*'R&amp;S - Packaging and hh goods'!$M$4/SUM('R&amp;S - Packaging and hh goods'!$L$4:$N$4)*'R&amp;S - Packaging and hh goods'!$F$7*('R&amp;S - Packaging and hh goods'!$J$14*'R&amp;S - Packaging and hh goods'!$AE$19*(J$3-$D$3)/10)-J27*'R&amp;S - Packaging and hh goods'!$M$4/SUM('R&amp;S - Packaging and hh goods'!$L$4:$N$4)*'R&amp;S - Packaging and hh goods'!$F$8*('R&amp;S - Packaging and hh goods'!$J$14*'R&amp;S - Packaging and hh goods'!$AF$19*(J$3-$D$3)/10)-J27*'R&amp;S - Packaging and hh goods'!$M$4/SUM('R&amp;S - Packaging and hh goods'!$L$4:$N$4)*'R&amp;S - Packaging and hh goods'!$F$9*('R&amp;S - Packaging and hh goods'!$J$14*'R&amp;S - Packaging and hh goods'!$AG$19*(J$3-$D$3)/10)-+J31*'R&amp;S - Packaging and hh goods'!$M$4/SUM('R&amp;S - Packaging and hh goods'!$L$4:$N$4)*'R&amp;S - Packaging and hh goods'!$F$10*('R&amp;S - Packaging and hh goods'!$J$14*'R&amp;S - Packaging and hh goods'!$AH$19*(J$3-$D$3)/10)</f>
        <v>15944.375809462554</v>
      </c>
      <c r="K36" s="635">
        <f>K27*'R&amp;S - Packaging and hh goods'!$M$4/SUM('R&amp;S - Packaging and hh goods'!$L$4:$N$4)-K27*'R&amp;S - Packaging and hh goods'!$M$4/SUM('R&amp;S - Packaging and hh goods'!$L$4:$N$4)*'R&amp;S - Packaging and hh goods'!$F$7*('R&amp;S - Packaging and hh goods'!$J$14*'R&amp;S - Packaging and hh goods'!$AE$19*(K$3-$D$3)/10)-K27*'R&amp;S - Packaging and hh goods'!$M$4/SUM('R&amp;S - Packaging and hh goods'!$L$4:$N$4)*'R&amp;S - Packaging and hh goods'!$F$8*('R&amp;S - Packaging and hh goods'!$J$14*'R&amp;S - Packaging and hh goods'!$AF$19*(K$3-$D$3)/10)-K27*'R&amp;S - Packaging and hh goods'!$M$4/SUM('R&amp;S - Packaging and hh goods'!$L$4:$N$4)*'R&amp;S - Packaging and hh goods'!$F$9*('R&amp;S - Packaging and hh goods'!$J$14*'R&amp;S - Packaging and hh goods'!$AG$19*(K$3-$D$3)/10)-+K31*'R&amp;S - Packaging and hh goods'!$M$4/SUM('R&amp;S - Packaging and hh goods'!$L$4:$N$4)*'R&amp;S - Packaging and hh goods'!$F$10*('R&amp;S - Packaging and hh goods'!$J$14*'R&amp;S - Packaging and hh goods'!$AH$19*(K$3-$D$3)/10)</f>
        <v>15806.824705253068</v>
      </c>
      <c r="L36" s="635">
        <f>L27*'R&amp;S - Packaging and hh goods'!$M$4/SUM('R&amp;S - Packaging and hh goods'!$L$4:$N$4)-L27*'R&amp;S - Packaging and hh goods'!$M$4/SUM('R&amp;S - Packaging and hh goods'!$L$4:$N$4)*'R&amp;S - Packaging and hh goods'!$F$7*('R&amp;S - Packaging and hh goods'!$J$14*'R&amp;S - Packaging and hh goods'!$AE$19*(L$3-$D$3)/10)-L27*'R&amp;S - Packaging and hh goods'!$M$4/SUM('R&amp;S - Packaging and hh goods'!$L$4:$N$4)*'R&amp;S - Packaging and hh goods'!$F$8*('R&amp;S - Packaging and hh goods'!$J$14*'R&amp;S - Packaging and hh goods'!$AF$19*(L$3-$D$3)/10)-L27*'R&amp;S - Packaging and hh goods'!$M$4/SUM('R&amp;S - Packaging and hh goods'!$L$4:$N$4)*'R&amp;S - Packaging and hh goods'!$F$9*('R&amp;S - Packaging and hh goods'!$J$14*'R&amp;S - Packaging and hh goods'!$AG$19*(L$3-$D$3)/10)-+L31*'R&amp;S - Packaging and hh goods'!$M$4/SUM('R&amp;S - Packaging and hh goods'!$L$4:$N$4)*'R&amp;S - Packaging and hh goods'!$F$10*('R&amp;S - Packaging and hh goods'!$J$14*'R&amp;S - Packaging and hh goods'!$AH$19*(L$3-$D$3)/10)</f>
        <v>15669.12424396445</v>
      </c>
      <c r="M36" s="635">
        <f>M27*'R&amp;S - Packaging and hh goods'!$M$4/SUM('R&amp;S - Packaging and hh goods'!$L$4:$N$4)-M27*'R&amp;S - Packaging and hh goods'!$M$4/SUM('R&amp;S - Packaging and hh goods'!$L$4:$N$4)*'R&amp;S - Packaging and hh goods'!$F$7*('R&amp;S - Packaging and hh goods'!$J$14*'R&amp;S - Packaging and hh goods'!$AE$19*(M$3-$D$3)/10)-M27*'R&amp;S - Packaging and hh goods'!$M$4/SUM('R&amp;S - Packaging and hh goods'!$L$4:$N$4)*'R&amp;S - Packaging and hh goods'!$F$8*('R&amp;S - Packaging and hh goods'!$J$14*'R&amp;S - Packaging and hh goods'!$AF$19*(M$3-$D$3)/10)-M27*'R&amp;S - Packaging and hh goods'!$M$4/SUM('R&amp;S - Packaging and hh goods'!$L$4:$N$4)*'R&amp;S - Packaging and hh goods'!$F$9*('R&amp;S - Packaging and hh goods'!$J$14*'R&amp;S - Packaging and hh goods'!$AG$19*(M$3-$D$3)/10)-+M31*'R&amp;S - Packaging and hh goods'!$M$4/SUM('R&amp;S - Packaging and hh goods'!$L$4:$N$4)*'R&amp;S - Packaging and hh goods'!$F$10*('R&amp;S - Packaging and hh goods'!$J$14*'R&amp;S - Packaging and hh goods'!$AH$19*(M$3-$D$3)/10)</f>
        <v>15531.274425596699</v>
      </c>
      <c r="N36" s="635">
        <f>N27*'R&amp;S - Packaging and hh goods'!$M$4/SUM('R&amp;S - Packaging and hh goods'!$L$4:$N$4)-N27*'R&amp;S - Packaging and hh goods'!$M$4/SUM('R&amp;S - Packaging and hh goods'!$L$4:$N$4)*'R&amp;S - Packaging and hh goods'!$F$7*('R&amp;S - Packaging and hh goods'!$J$14*'R&amp;S - Packaging and hh goods'!$AE$19*(N$3-$D$3)/10)-N27*'R&amp;S - Packaging and hh goods'!$M$4/SUM('R&amp;S - Packaging and hh goods'!$L$4:$N$4)*'R&amp;S - Packaging and hh goods'!$F$8*('R&amp;S - Packaging and hh goods'!$J$14*'R&amp;S - Packaging and hh goods'!$AF$19*(N$3-$D$3)/10)-N27*'R&amp;S - Packaging and hh goods'!$M$4/SUM('R&amp;S - Packaging and hh goods'!$L$4:$N$4)*'R&amp;S - Packaging and hh goods'!$F$9*('R&amp;S - Packaging and hh goods'!$J$14*'R&amp;S - Packaging and hh goods'!$AG$19*(N$3-$D$3)/10)-+N31*'R&amp;S - Packaging and hh goods'!$M$4/SUM('R&amp;S - Packaging and hh goods'!$L$4:$N$4)*'R&amp;S - Packaging and hh goods'!$F$10*('R&amp;S - Packaging and hh goods'!$J$14*'R&amp;S - Packaging and hh goods'!$AH$19*(N$3-$D$3)/10)</f>
        <v>15393.275250149814</v>
      </c>
      <c r="O36" s="635">
        <f>O27*'R&amp;S - Packaging and hh goods'!$M$4/SUM('R&amp;S - Packaging and hh goods'!$L$4:$N$4)-O27*'R&amp;S - Packaging and hh goods'!$M$4/SUM('R&amp;S - Packaging and hh goods'!$L$4:$N$4)*('R&amp;S - Packaging and hh goods'!$F$7*'R&amp;S - Packaging and hh goods'!$J$14*('R&amp;S - Packaging and hh goods'!$AE$19+('R&amp;S - Packaging and hh goods'!$AE$20-'R&amp;S - Packaging and hh goods'!$AE$19)*(O$3-$N$3)/10))-O27*'R&amp;S - Packaging and hh goods'!$M$4/SUM('R&amp;S - Packaging and hh goods'!$L$4:$N$4)*('R&amp;S - Packaging and hh goods'!$F$8*'R&amp;S - Packaging and hh goods'!$J$14*('R&amp;S - Packaging and hh goods'!$AF$19+('R&amp;S - Packaging and hh goods'!$AF$20-'R&amp;S - Packaging and hh goods'!$AF$19)*(O$3-$N$3)/10))-O27*'R&amp;S - Packaging and hh goods'!$M$4/SUM('R&amp;S - Packaging and hh goods'!$L$4:$N$4)*('R&amp;S - Packaging and hh goods'!$F$9*'R&amp;S - Packaging and hh goods'!$K$14*('R&amp;S - Packaging and hh goods'!$AG$19+('R&amp;S - Packaging and hh goods'!$AG$20-'R&amp;S - Packaging and hh goods'!$AG$19)*(O$3-$N$3)/10))-O27*'R&amp;S - Packaging and hh goods'!$M$4/SUM('R&amp;S - Packaging and hh goods'!$L$4:$N$4)*('R&amp;S - Packaging and hh goods'!$F$10*'R&amp;S - Packaging and hh goods'!$K$14*('R&amp;S - Packaging and hh goods'!$AH$19+('R&amp;S - Packaging and hh goods'!$AH$20-'R&amp;S - Packaging and hh goods'!$AH$19)*(O$3-$N$3)/10))</f>
        <v>14602.286653539495</v>
      </c>
      <c r="P36" s="635">
        <f>P27*'R&amp;S - Packaging and hh goods'!$M$4/SUM('R&amp;S - Packaging and hh goods'!$L$4:$N$4)-P27*'R&amp;S - Packaging and hh goods'!$M$4/SUM('R&amp;S - Packaging and hh goods'!$L$4:$N$4)*('R&amp;S - Packaging and hh goods'!$F$7*'R&amp;S - Packaging and hh goods'!$J$14*('R&amp;S - Packaging and hh goods'!$AE$19+('R&amp;S - Packaging and hh goods'!$AE$20-'R&amp;S - Packaging and hh goods'!$AE$19)*(P$3-$N$3)/10))-P27*'R&amp;S - Packaging and hh goods'!$M$4/SUM('R&amp;S - Packaging and hh goods'!$L$4:$N$4)*('R&amp;S - Packaging and hh goods'!$F$8*'R&amp;S - Packaging and hh goods'!$J$14*('R&amp;S - Packaging and hh goods'!$AF$19+('R&amp;S - Packaging and hh goods'!$AF$20-'R&amp;S - Packaging and hh goods'!$AF$19)*(P$3-$N$3)/10))-P27*'R&amp;S - Packaging and hh goods'!$M$4/SUM('R&amp;S - Packaging and hh goods'!$L$4:$N$4)*('R&amp;S - Packaging and hh goods'!$F$9*'R&amp;S - Packaging and hh goods'!$K$14*('R&amp;S - Packaging and hh goods'!$AG$19+('R&amp;S - Packaging and hh goods'!$AG$20-'R&amp;S - Packaging and hh goods'!$AG$19)*(P$3-$N$3)/10))-P27*'R&amp;S - Packaging and hh goods'!$M$4/SUM('R&amp;S - Packaging and hh goods'!$L$4:$N$4)*('R&amp;S - Packaging and hh goods'!$F$10*'R&amp;S - Packaging and hh goods'!$K$14*('R&amp;S - Packaging and hh goods'!$AH$19+('R&amp;S - Packaging and hh goods'!$AH$20-'R&amp;S - Packaging and hh goods'!$AH$19)*(P$3-$N$3)/10))</f>
        <v>14204.885981763056</v>
      </c>
      <c r="Q36" s="635">
        <f>Q27*'R&amp;S - Packaging and hh goods'!$M$4/SUM('R&amp;S - Packaging and hh goods'!$L$4:$N$4)-Q27*'R&amp;S - Packaging and hh goods'!$M$4/SUM('R&amp;S - Packaging and hh goods'!$L$4:$N$4)*('R&amp;S - Packaging and hh goods'!$F$7*'R&amp;S - Packaging and hh goods'!$J$14*('R&amp;S - Packaging and hh goods'!$AE$19+('R&amp;S - Packaging and hh goods'!$AE$20-'R&amp;S - Packaging and hh goods'!$AE$19)*(Q$3-$N$3)/10))-Q27*'R&amp;S - Packaging and hh goods'!$M$4/SUM('R&amp;S - Packaging and hh goods'!$L$4:$N$4)*('R&amp;S - Packaging and hh goods'!$F$8*'R&amp;S - Packaging and hh goods'!$J$14*('R&amp;S - Packaging and hh goods'!$AF$19+('R&amp;S - Packaging and hh goods'!$AF$20-'R&amp;S - Packaging and hh goods'!$AF$19)*(Q$3-$N$3)/10))-Q27*'R&amp;S - Packaging and hh goods'!$M$4/SUM('R&amp;S - Packaging and hh goods'!$L$4:$N$4)*('R&amp;S - Packaging and hh goods'!$F$9*'R&amp;S - Packaging and hh goods'!$K$14*('R&amp;S - Packaging and hh goods'!$AG$19+('R&amp;S - Packaging and hh goods'!$AG$20-'R&amp;S - Packaging and hh goods'!$AG$19)*(Q$3-$N$3)/10))-Q27*'R&amp;S - Packaging and hh goods'!$M$4/SUM('R&amp;S - Packaging and hh goods'!$L$4:$N$4)*('R&amp;S - Packaging and hh goods'!$F$10*'R&amp;S - Packaging and hh goods'!$K$14*('R&amp;S - Packaging and hh goods'!$AH$19+('R&amp;S - Packaging and hh goods'!$AH$20-'R&amp;S - Packaging and hh goods'!$AH$19)*(Q$3-$N$3)/10))</f>
        <v>13807.485309986616</v>
      </c>
      <c r="R36" s="635">
        <f>R27*'R&amp;S - Packaging and hh goods'!$M$4/SUM('R&amp;S - Packaging and hh goods'!$L$4:$N$4)-R27*'R&amp;S - Packaging and hh goods'!$M$4/SUM('R&amp;S - Packaging and hh goods'!$L$4:$N$4)*('R&amp;S - Packaging and hh goods'!$F$7*'R&amp;S - Packaging and hh goods'!$J$14*('R&amp;S - Packaging and hh goods'!$AE$19+('R&amp;S - Packaging and hh goods'!$AE$20-'R&amp;S - Packaging and hh goods'!$AE$19)*(R$3-$N$3)/10))-R27*'R&amp;S - Packaging and hh goods'!$M$4/SUM('R&amp;S - Packaging and hh goods'!$L$4:$N$4)*('R&amp;S - Packaging and hh goods'!$F$8*'R&amp;S - Packaging and hh goods'!$J$14*('R&amp;S - Packaging and hh goods'!$AF$19+('R&amp;S - Packaging and hh goods'!$AF$20-'R&amp;S - Packaging and hh goods'!$AF$19)*(R$3-$N$3)/10))-R27*'R&amp;S - Packaging and hh goods'!$M$4/SUM('R&amp;S - Packaging and hh goods'!$L$4:$N$4)*('R&amp;S - Packaging and hh goods'!$F$9*'R&amp;S - Packaging and hh goods'!$K$14*('R&amp;S - Packaging and hh goods'!$AG$19+('R&amp;S - Packaging and hh goods'!$AG$20-'R&amp;S - Packaging and hh goods'!$AG$19)*(R$3-$N$3)/10))-R27*'R&amp;S - Packaging and hh goods'!$M$4/SUM('R&amp;S - Packaging and hh goods'!$L$4:$N$4)*('R&amp;S - Packaging and hh goods'!$F$10*'R&amp;S - Packaging and hh goods'!$K$14*('R&amp;S - Packaging and hh goods'!$AH$19+('R&amp;S - Packaging and hh goods'!$AH$20-'R&amp;S - Packaging and hh goods'!$AH$19)*(R$3-$N$3)/10))</f>
        <v>13410.084638210174</v>
      </c>
      <c r="S36" s="635">
        <f>S27*'R&amp;S - Packaging and hh goods'!$M$4/SUM('R&amp;S - Packaging and hh goods'!$L$4:$N$4)-S27*'R&amp;S - Packaging and hh goods'!$M$4/SUM('R&amp;S - Packaging and hh goods'!$L$4:$N$4)*('R&amp;S - Packaging and hh goods'!$F$7*'R&amp;S - Packaging and hh goods'!$J$14*('R&amp;S - Packaging and hh goods'!$AE$19+('R&amp;S - Packaging and hh goods'!$AE$20-'R&amp;S - Packaging and hh goods'!$AE$19)*(S$3-$N$3)/10))-S27*'R&amp;S - Packaging and hh goods'!$M$4/SUM('R&amp;S - Packaging and hh goods'!$L$4:$N$4)*('R&amp;S - Packaging and hh goods'!$F$8*'R&amp;S - Packaging and hh goods'!$J$14*('R&amp;S - Packaging and hh goods'!$AF$19+('R&amp;S - Packaging and hh goods'!$AF$20-'R&amp;S - Packaging and hh goods'!$AF$19)*(S$3-$N$3)/10))-S27*'R&amp;S - Packaging and hh goods'!$M$4/SUM('R&amp;S - Packaging and hh goods'!$L$4:$N$4)*('R&amp;S - Packaging and hh goods'!$F$9*'R&amp;S - Packaging and hh goods'!$K$14*('R&amp;S - Packaging and hh goods'!$AG$19+('R&amp;S - Packaging and hh goods'!$AG$20-'R&amp;S - Packaging and hh goods'!$AG$19)*(S$3-$N$3)/10))-S27*'R&amp;S - Packaging and hh goods'!$M$4/SUM('R&amp;S - Packaging and hh goods'!$L$4:$N$4)*('R&amp;S - Packaging and hh goods'!$F$10*'R&amp;S - Packaging and hh goods'!$K$14*('R&amp;S - Packaging and hh goods'!$AH$19+('R&amp;S - Packaging and hh goods'!$AH$20-'R&amp;S - Packaging and hh goods'!$AH$19)*(S$3-$N$3)/10))</f>
        <v>13012.683966433735</v>
      </c>
      <c r="T36" s="635">
        <f>T27*'R&amp;S - Packaging and hh goods'!$M$4/SUM('R&amp;S - Packaging and hh goods'!$L$4:$N$4)-T27*'R&amp;S - Packaging and hh goods'!$M$4/SUM('R&amp;S - Packaging and hh goods'!$L$4:$N$4)*('R&amp;S - Packaging and hh goods'!$F$7*'R&amp;S - Packaging and hh goods'!$J$14*('R&amp;S - Packaging and hh goods'!$AE$19+('R&amp;S - Packaging and hh goods'!$AE$20-'R&amp;S - Packaging and hh goods'!$AE$19)*(T$3-$N$3)/10))-T27*'R&amp;S - Packaging and hh goods'!$M$4/SUM('R&amp;S - Packaging and hh goods'!$L$4:$N$4)*('R&amp;S - Packaging and hh goods'!$F$8*'R&amp;S - Packaging and hh goods'!$J$14*('R&amp;S - Packaging and hh goods'!$AF$19+('R&amp;S - Packaging and hh goods'!$AF$20-'R&amp;S - Packaging and hh goods'!$AF$19)*(T$3-$N$3)/10))-T27*'R&amp;S - Packaging and hh goods'!$M$4/SUM('R&amp;S - Packaging and hh goods'!$L$4:$N$4)*('R&amp;S - Packaging and hh goods'!$F$9*'R&amp;S - Packaging and hh goods'!$K$14*('R&amp;S - Packaging and hh goods'!$AG$19+('R&amp;S - Packaging and hh goods'!$AG$20-'R&amp;S - Packaging and hh goods'!$AG$19)*(T$3-$N$3)/10))-T27*'R&amp;S - Packaging and hh goods'!$M$4/SUM('R&amp;S - Packaging and hh goods'!$L$4:$N$4)*('R&amp;S - Packaging and hh goods'!$F$10*'R&amp;S - Packaging and hh goods'!$K$14*('R&amp;S - Packaging and hh goods'!$AH$19+('R&amp;S - Packaging and hh goods'!$AH$20-'R&amp;S - Packaging and hh goods'!$AH$19)*(T$3-$N$3)/10))</f>
        <v>12615.283294657294</v>
      </c>
      <c r="U36" s="635">
        <f>U27*'R&amp;S - Packaging and hh goods'!$M$4/SUM('R&amp;S - Packaging and hh goods'!$L$4:$N$4)-U27*'R&amp;S - Packaging and hh goods'!$M$4/SUM('R&amp;S - Packaging and hh goods'!$L$4:$N$4)*('R&amp;S - Packaging and hh goods'!$F$7*'R&amp;S - Packaging and hh goods'!$J$14*('R&amp;S - Packaging and hh goods'!$AE$19+('R&amp;S - Packaging and hh goods'!$AE$20-'R&amp;S - Packaging and hh goods'!$AE$19)*(U$3-$N$3)/10))-U27*'R&amp;S - Packaging and hh goods'!$M$4/SUM('R&amp;S - Packaging and hh goods'!$L$4:$N$4)*('R&amp;S - Packaging and hh goods'!$F$8*'R&amp;S - Packaging and hh goods'!$J$14*('R&amp;S - Packaging and hh goods'!$AF$19+('R&amp;S - Packaging and hh goods'!$AF$20-'R&amp;S - Packaging and hh goods'!$AF$19)*(U$3-$N$3)/10))-U27*'R&amp;S - Packaging and hh goods'!$M$4/SUM('R&amp;S - Packaging and hh goods'!$L$4:$N$4)*('R&amp;S - Packaging and hh goods'!$F$9*'R&amp;S - Packaging and hh goods'!$K$14*('R&amp;S - Packaging and hh goods'!$AG$19+('R&amp;S - Packaging and hh goods'!$AG$20-'R&amp;S - Packaging and hh goods'!$AG$19)*(U$3-$N$3)/10))-U27*'R&amp;S - Packaging and hh goods'!$M$4/SUM('R&amp;S - Packaging and hh goods'!$L$4:$N$4)*('R&amp;S - Packaging and hh goods'!$F$10*'R&amp;S - Packaging and hh goods'!$K$14*('R&amp;S - Packaging and hh goods'!$AH$19+('R&amp;S - Packaging and hh goods'!$AH$20-'R&amp;S - Packaging and hh goods'!$AH$19)*(U$3-$N$3)/10))</f>
        <v>12217.882622880856</v>
      </c>
      <c r="V36" s="635">
        <f>V27*'R&amp;S - Packaging and hh goods'!$M$4/SUM('R&amp;S - Packaging and hh goods'!$L$4:$N$4)-V27*'R&amp;S - Packaging and hh goods'!$M$4/SUM('R&amp;S - Packaging and hh goods'!$L$4:$N$4)*('R&amp;S - Packaging and hh goods'!$F$7*'R&amp;S - Packaging and hh goods'!$J$14*('R&amp;S - Packaging and hh goods'!$AE$19+('R&amp;S - Packaging and hh goods'!$AE$20-'R&amp;S - Packaging and hh goods'!$AE$19)*(V$3-$N$3)/10))-V27*'R&amp;S - Packaging and hh goods'!$M$4/SUM('R&amp;S - Packaging and hh goods'!$L$4:$N$4)*('R&amp;S - Packaging and hh goods'!$F$8*'R&amp;S - Packaging and hh goods'!$J$14*('R&amp;S - Packaging and hh goods'!$AF$19+('R&amp;S - Packaging and hh goods'!$AF$20-'R&amp;S - Packaging and hh goods'!$AF$19)*(V$3-$N$3)/10))-V27*'R&amp;S - Packaging and hh goods'!$M$4/SUM('R&amp;S - Packaging and hh goods'!$L$4:$N$4)*('R&amp;S - Packaging and hh goods'!$F$9*'R&amp;S - Packaging and hh goods'!$K$14*('R&amp;S - Packaging and hh goods'!$AG$19+('R&amp;S - Packaging and hh goods'!$AG$20-'R&amp;S - Packaging and hh goods'!$AG$19)*(V$3-$N$3)/10))-V27*'R&amp;S - Packaging and hh goods'!$M$4/SUM('R&amp;S - Packaging and hh goods'!$L$4:$N$4)*('R&amp;S - Packaging and hh goods'!$F$10*'R&amp;S - Packaging and hh goods'!$K$14*('R&amp;S - Packaging and hh goods'!$AH$19+('R&amp;S - Packaging and hh goods'!$AH$20-'R&amp;S - Packaging and hh goods'!$AH$19)*(V$3-$N$3)/10))</f>
        <v>11820.481951104419</v>
      </c>
      <c r="W36" s="635">
        <f>W27*'R&amp;S - Packaging and hh goods'!$M$4/SUM('R&amp;S - Packaging and hh goods'!$L$4:$N$4)-W27*'R&amp;S - Packaging and hh goods'!$M$4/SUM('R&amp;S - Packaging and hh goods'!$L$4:$N$4)*('R&amp;S - Packaging and hh goods'!$F$7*'R&amp;S - Packaging and hh goods'!$J$14*('R&amp;S - Packaging and hh goods'!$AE$19+('R&amp;S - Packaging and hh goods'!$AE$20-'R&amp;S - Packaging and hh goods'!$AE$19)*(W$3-$N$3)/10))-W27*'R&amp;S - Packaging and hh goods'!$M$4/SUM('R&amp;S - Packaging and hh goods'!$L$4:$N$4)*('R&amp;S - Packaging and hh goods'!$F$8*'R&amp;S - Packaging and hh goods'!$J$14*('R&amp;S - Packaging and hh goods'!$AF$19+('R&amp;S - Packaging and hh goods'!$AF$20-'R&amp;S - Packaging and hh goods'!$AF$19)*(W$3-$N$3)/10))-W27*'R&amp;S - Packaging and hh goods'!$M$4/SUM('R&amp;S - Packaging and hh goods'!$L$4:$N$4)*('R&amp;S - Packaging and hh goods'!$F$9*'R&amp;S - Packaging and hh goods'!$K$14*('R&amp;S - Packaging and hh goods'!$AG$19+('R&amp;S - Packaging and hh goods'!$AG$20-'R&amp;S - Packaging and hh goods'!$AG$19)*(W$3-$N$3)/10))-W27*'R&amp;S - Packaging and hh goods'!$M$4/SUM('R&amp;S - Packaging and hh goods'!$L$4:$N$4)*('R&amp;S - Packaging and hh goods'!$F$10*'R&amp;S - Packaging and hh goods'!$K$14*('R&amp;S - Packaging and hh goods'!$AH$19+('R&amp;S - Packaging and hh goods'!$AH$20-'R&amp;S - Packaging and hh goods'!$AH$19)*(W$3-$N$3)/10))</f>
        <v>11423.081279327978</v>
      </c>
      <c r="X36" s="635">
        <f>X27*'R&amp;S - Packaging and hh goods'!$M$4/SUM('R&amp;S - Packaging and hh goods'!$L$4:$N$4)-X27*'R&amp;S - Packaging and hh goods'!$M$4/SUM('R&amp;S - Packaging and hh goods'!$L$4:$N$4)*('R&amp;S - Packaging and hh goods'!$F$7*'R&amp;S - Packaging and hh goods'!$J$14*('R&amp;S - Packaging and hh goods'!$AE$19+('R&amp;S - Packaging and hh goods'!$AE$20-'R&amp;S - Packaging and hh goods'!$AE$19)*(X$3-$N$3)/10))-X27*'R&amp;S - Packaging and hh goods'!$M$4/SUM('R&amp;S - Packaging and hh goods'!$L$4:$N$4)*('R&amp;S - Packaging and hh goods'!$F$8*'R&amp;S - Packaging and hh goods'!$J$14*('R&amp;S - Packaging and hh goods'!$AF$19+('R&amp;S - Packaging and hh goods'!$AF$20-'R&amp;S - Packaging and hh goods'!$AF$19)*(X$3-$N$3)/10))-X27*'R&amp;S - Packaging and hh goods'!$M$4/SUM('R&amp;S - Packaging and hh goods'!$L$4:$N$4)*('R&amp;S - Packaging and hh goods'!$F$9*'R&amp;S - Packaging and hh goods'!$K$14*('R&amp;S - Packaging and hh goods'!$AG$19+('R&amp;S - Packaging and hh goods'!$AG$20-'R&amp;S - Packaging and hh goods'!$AG$19)*(X$3-$N$3)/10))-X27*'R&amp;S - Packaging and hh goods'!$M$4/SUM('R&amp;S - Packaging and hh goods'!$L$4:$N$4)*('R&amp;S - Packaging and hh goods'!$F$10*'R&amp;S - Packaging and hh goods'!$K$14*('R&amp;S - Packaging and hh goods'!$AH$19+('R&amp;S - Packaging and hh goods'!$AH$20-'R&amp;S - Packaging and hh goods'!$AH$19)*(X$3-$N$3)/10))</f>
        <v>11025.680607551538</v>
      </c>
      <c r="Y36" s="635">
        <f>Y27*'R&amp;S - Packaging and hh goods'!$M$4/SUM('R&amp;S - Packaging and hh goods'!$L$4:$N$4)-Y27*'R&amp;S - Packaging and hh goods'!$M$4/SUM('R&amp;S - Packaging and hh goods'!$L$4:$N$4)*('R&amp;S - Packaging and hh goods'!$F7*'R&amp;S - Packaging and hh goods'!$J$14*('R&amp;S - Packaging and hh goods'!$AE$20+('R&amp;S - Packaging and hh goods'!$AE$21-'R&amp;S - Packaging and hh goods'!$AE$20)*(Y$3-$X$3)/10))-Y27*'R&amp;S - Packaging and hh goods'!$M$4/SUM('R&amp;S - Packaging and hh goods'!$L$4:$N$4)*('R&amp;S - Packaging and hh goods'!$F8*'R&amp;S - Packaging and hh goods'!$J$14*('R&amp;S - Packaging and hh goods'!$AF$20+('R&amp;S - Packaging and hh goods'!$AF$21-'R&amp;S - Packaging and hh goods'!$AF$20)*(Y$3-$X$3)/10))-Y27*'R&amp;S - Packaging and hh goods'!$M$4/SUM('R&amp;S - Packaging and hh goods'!$L$4:$N$4)*('R&amp;S - Packaging and hh goods'!$F9*'R&amp;S - Packaging and hh goods'!$K$14*('R&amp;S - Packaging and hh goods'!$AG$20+('R&amp;S - Packaging and hh goods'!$AG$21-'R&amp;S - Packaging and hh goods'!$AG$20)*(Y$3-$X$3)/10))-Y27*'R&amp;S - Packaging and hh goods'!$M$4/SUM('R&amp;S - Packaging and hh goods'!$L$4:$N$4)*('R&amp;S - Packaging and hh goods'!$F10*'R&amp;S - Packaging and hh goods'!$K$14*('R&amp;S - Packaging and hh goods'!$AH$20+('R&amp;S - Packaging and hh goods'!$AH$21-'R&amp;S - Packaging and hh goods'!$AH$20)*(Y$3-$X$3)/10))</f>
        <v>10627.307476110807</v>
      </c>
      <c r="Z36" s="635">
        <f>Z27*'R&amp;S - Packaging and hh goods'!$M$4/SUM('R&amp;S - Packaging and hh goods'!$L$4:$N$4)-Z27*'R&amp;S - Packaging and hh goods'!$M$4/SUM('R&amp;S - Packaging and hh goods'!$L$4:$N$4)*('R&amp;S - Packaging and hh goods'!$F7*'R&amp;S - Packaging and hh goods'!$J$14*('R&amp;S - Packaging and hh goods'!$AE$20+('R&amp;S - Packaging and hh goods'!$AE$21-'R&amp;S - Packaging and hh goods'!$AE$20)*(Z$3-$X$3)/10))-Z27*'R&amp;S - Packaging and hh goods'!$M$4/SUM('R&amp;S - Packaging and hh goods'!$L$4:$N$4)*('R&amp;S - Packaging and hh goods'!$F8*'R&amp;S - Packaging and hh goods'!$J$14*('R&amp;S - Packaging and hh goods'!$AF$20+('R&amp;S - Packaging and hh goods'!$AF$21-'R&amp;S - Packaging and hh goods'!$AF$20)*(Z$3-$X$3)/10))-Z27*'R&amp;S - Packaging and hh goods'!$M$4/SUM('R&amp;S - Packaging and hh goods'!$L$4:$N$4)*('R&amp;S - Packaging and hh goods'!$F9*'R&amp;S - Packaging and hh goods'!$K$14*('R&amp;S - Packaging and hh goods'!$AG$20+('R&amp;S - Packaging and hh goods'!$AG$21-'R&amp;S - Packaging and hh goods'!$AG$20)*(Z$3-$X$3)/10))-Z27*'R&amp;S - Packaging and hh goods'!$M$4/SUM('R&amp;S - Packaging and hh goods'!$L$4:$N$4)*('R&amp;S - Packaging and hh goods'!$F10*'R&amp;S - Packaging and hh goods'!$K$14*('R&amp;S - Packaging and hh goods'!$AH$20+('R&amp;S - Packaging and hh goods'!$AH$21-'R&amp;S - Packaging and hh goods'!$AH$20)*(Z$3-$X$3)/10))</f>
        <v>10228.934344670077</v>
      </c>
      <c r="AA36" s="635">
        <f>AA27*'R&amp;S - Packaging and hh goods'!$M$4/SUM('R&amp;S - Packaging and hh goods'!$L$4:$N$4)-AA27*'R&amp;S - Packaging and hh goods'!$M$4/SUM('R&amp;S - Packaging and hh goods'!$L$4:$N$4)*('R&amp;S - Packaging and hh goods'!$F7*'R&amp;S - Packaging and hh goods'!$J$14*('R&amp;S - Packaging and hh goods'!$AE$20+('R&amp;S - Packaging and hh goods'!$AE$21-'R&amp;S - Packaging and hh goods'!$AE$20)*(AA$3-$X$3)/10))-AA27*'R&amp;S - Packaging and hh goods'!$M$4/SUM('R&amp;S - Packaging and hh goods'!$L$4:$N$4)*('R&amp;S - Packaging and hh goods'!$F8*'R&amp;S - Packaging and hh goods'!$J$14*('R&amp;S - Packaging and hh goods'!$AF$20+('R&amp;S - Packaging and hh goods'!$AF$21-'R&amp;S - Packaging and hh goods'!$AF$20)*(AA$3-$X$3)/10))-AA27*'R&amp;S - Packaging and hh goods'!$M$4/SUM('R&amp;S - Packaging and hh goods'!$L$4:$N$4)*('R&amp;S - Packaging and hh goods'!$F9*'R&amp;S - Packaging and hh goods'!$K$14*('R&amp;S - Packaging and hh goods'!$AG$20+('R&amp;S - Packaging and hh goods'!$AG$21-'R&amp;S - Packaging and hh goods'!$AG$20)*(AA$3-$X$3)/10))-AA27*'R&amp;S - Packaging and hh goods'!$M$4/SUM('R&amp;S - Packaging and hh goods'!$L$4:$N$4)*('R&amp;S - Packaging and hh goods'!$F10*'R&amp;S - Packaging and hh goods'!$K$14*('R&amp;S - Packaging and hh goods'!$AH$20+('R&amp;S - Packaging and hh goods'!$AH$21-'R&amp;S - Packaging and hh goods'!$AH$20)*(AA$3-$X$3)/10))</f>
        <v>9830.5612132293445</v>
      </c>
      <c r="AB36" s="635">
        <f>AB27*'R&amp;S - Packaging and hh goods'!$M$4/SUM('R&amp;S - Packaging and hh goods'!$L$4:$N$4)-AB27*'R&amp;S - Packaging and hh goods'!$M$4/SUM('R&amp;S - Packaging and hh goods'!$L$4:$N$4)*('R&amp;S - Packaging and hh goods'!$F7*'R&amp;S - Packaging and hh goods'!$J$14*('R&amp;S - Packaging and hh goods'!$AE$20+('R&amp;S - Packaging and hh goods'!$AE$21-'R&amp;S - Packaging and hh goods'!$AE$20)*(AB$3-$X$3)/10))-AB27*'R&amp;S - Packaging and hh goods'!$M$4/SUM('R&amp;S - Packaging and hh goods'!$L$4:$N$4)*('R&amp;S - Packaging and hh goods'!$F8*'R&amp;S - Packaging and hh goods'!$J$14*('R&amp;S - Packaging and hh goods'!$AF$20+('R&amp;S - Packaging and hh goods'!$AF$21-'R&amp;S - Packaging and hh goods'!$AF$20)*(AB$3-$X$3)/10))-AB27*'R&amp;S - Packaging and hh goods'!$M$4/SUM('R&amp;S - Packaging and hh goods'!$L$4:$N$4)*('R&amp;S - Packaging and hh goods'!$F9*'R&amp;S - Packaging and hh goods'!$K$14*('R&amp;S - Packaging and hh goods'!$AG$20+('R&amp;S - Packaging and hh goods'!$AG$21-'R&amp;S - Packaging and hh goods'!$AG$20)*(AB$3-$X$3)/10))-AB27*'R&amp;S - Packaging and hh goods'!$M$4/SUM('R&amp;S - Packaging and hh goods'!$L$4:$N$4)*('R&amp;S - Packaging and hh goods'!$F10*'R&amp;S - Packaging and hh goods'!$K$14*('R&amp;S - Packaging and hh goods'!$AH$20+('R&amp;S - Packaging and hh goods'!$AH$21-'R&amp;S - Packaging and hh goods'!$AH$20)*(AB$3-$X$3)/10))</f>
        <v>9432.1880817886158</v>
      </c>
      <c r="AC36" s="635">
        <f>AC27*'R&amp;S - Packaging and hh goods'!$M$4/SUM('R&amp;S - Packaging and hh goods'!$L$4:$N$4)-AC27*'R&amp;S - Packaging and hh goods'!$M$4/SUM('R&amp;S - Packaging and hh goods'!$L$4:$N$4)*('R&amp;S - Packaging and hh goods'!$F7*'R&amp;S - Packaging and hh goods'!$J$14*('R&amp;S - Packaging and hh goods'!$AE$20+('R&amp;S - Packaging and hh goods'!$AE$21-'R&amp;S - Packaging and hh goods'!$AE$20)*(AC$3-$X$3)/10))-AC27*'R&amp;S - Packaging and hh goods'!$M$4/SUM('R&amp;S - Packaging and hh goods'!$L$4:$N$4)*('R&amp;S - Packaging and hh goods'!$F8*'R&amp;S - Packaging and hh goods'!$J$14*('R&amp;S - Packaging and hh goods'!$AF$20+('R&amp;S - Packaging and hh goods'!$AF$21-'R&amp;S - Packaging and hh goods'!$AF$20)*(AC$3-$X$3)/10))-AC27*'R&amp;S - Packaging and hh goods'!$M$4/SUM('R&amp;S - Packaging and hh goods'!$L$4:$N$4)*('R&amp;S - Packaging and hh goods'!$F9*'R&amp;S - Packaging and hh goods'!$K$14*('R&amp;S - Packaging and hh goods'!$AG$20+('R&amp;S - Packaging and hh goods'!$AG$21-'R&amp;S - Packaging and hh goods'!$AG$20)*(AC$3-$X$3)/10))-AC27*'R&amp;S - Packaging and hh goods'!$M$4/SUM('R&amp;S - Packaging and hh goods'!$L$4:$N$4)*('R&amp;S - Packaging and hh goods'!$F10*'R&amp;S - Packaging and hh goods'!$K$14*('R&amp;S - Packaging and hh goods'!$AH$20+('R&amp;S - Packaging and hh goods'!$AH$21-'R&amp;S - Packaging and hh goods'!$AH$20)*(AC$3-$X$3)/10))</f>
        <v>9033.8149503478835</v>
      </c>
      <c r="AD36" s="635">
        <f>AD27*'R&amp;S - Packaging and hh goods'!$M$4/SUM('R&amp;S - Packaging and hh goods'!$L$4:$N$4)-AD27*'R&amp;S - Packaging and hh goods'!$M$4/SUM('R&amp;S - Packaging and hh goods'!$L$4:$N$4)*('R&amp;S - Packaging and hh goods'!$F7*'R&amp;S - Packaging and hh goods'!$J$14*('R&amp;S - Packaging and hh goods'!$AE$20+('R&amp;S - Packaging and hh goods'!$AE$21-'R&amp;S - Packaging and hh goods'!$AE$20)*(AD$3-$X$3)/10))-AD27*'R&amp;S - Packaging and hh goods'!$M$4/SUM('R&amp;S - Packaging and hh goods'!$L$4:$N$4)*('R&amp;S - Packaging and hh goods'!$F8*'R&amp;S - Packaging and hh goods'!$J$14*('R&amp;S - Packaging and hh goods'!$AF$20+('R&amp;S - Packaging and hh goods'!$AF$21-'R&amp;S - Packaging and hh goods'!$AF$20)*(AD$3-$X$3)/10))-AD27*'R&amp;S - Packaging and hh goods'!$M$4/SUM('R&amp;S - Packaging and hh goods'!$L$4:$N$4)*('R&amp;S - Packaging and hh goods'!$F9*'R&amp;S - Packaging and hh goods'!$K$14*('R&amp;S - Packaging and hh goods'!$AG$20+('R&amp;S - Packaging and hh goods'!$AG$21-'R&amp;S - Packaging and hh goods'!$AG$20)*(AD$3-$X$3)/10))-AD27*'R&amp;S - Packaging and hh goods'!$M$4/SUM('R&amp;S - Packaging and hh goods'!$L$4:$N$4)*('R&amp;S - Packaging and hh goods'!$F10*'R&amp;S - Packaging and hh goods'!$K$14*('R&amp;S - Packaging and hh goods'!$AH$20+('R&amp;S - Packaging and hh goods'!$AH$21-'R&amp;S - Packaging and hh goods'!$AH$20)*(AD$3-$X$3)/10))</f>
        <v>8635.441818907153</v>
      </c>
      <c r="AE36" s="635">
        <f>AE27*'R&amp;S - Packaging and hh goods'!$M$4/SUM('R&amp;S - Packaging and hh goods'!$L$4:$N$4)-AE27*'R&amp;S - Packaging and hh goods'!$M$4/SUM('R&amp;S - Packaging and hh goods'!$L$4:$N$4)*('R&amp;S - Packaging and hh goods'!$F7*'R&amp;S - Packaging and hh goods'!$J$14*('R&amp;S - Packaging and hh goods'!$AE$20+('R&amp;S - Packaging and hh goods'!$AE$21-'R&amp;S - Packaging and hh goods'!$AE$20)*(AE$3-$X$3)/10))-AE27*'R&amp;S - Packaging and hh goods'!$M$4/SUM('R&amp;S - Packaging and hh goods'!$L$4:$N$4)*('R&amp;S - Packaging and hh goods'!$F8*'R&amp;S - Packaging and hh goods'!$J$14*('R&amp;S - Packaging and hh goods'!$AF$20+('R&amp;S - Packaging and hh goods'!$AF$21-'R&amp;S - Packaging and hh goods'!$AF$20)*(AE$3-$X$3)/10))-AE27*'R&amp;S - Packaging and hh goods'!$M$4/SUM('R&amp;S - Packaging and hh goods'!$L$4:$N$4)*('R&amp;S - Packaging and hh goods'!$F9*'R&amp;S - Packaging and hh goods'!$K$14*('R&amp;S - Packaging and hh goods'!$AG$20+('R&amp;S - Packaging and hh goods'!$AG$21-'R&amp;S - Packaging and hh goods'!$AG$20)*(AE$3-$X$3)/10))-AE27*'R&amp;S - Packaging and hh goods'!$M$4/SUM('R&amp;S - Packaging and hh goods'!$L$4:$N$4)*('R&amp;S - Packaging and hh goods'!$F10*'R&amp;S - Packaging and hh goods'!$K$14*('R&amp;S - Packaging and hh goods'!$AH$20+('R&amp;S - Packaging and hh goods'!$AH$21-'R&amp;S - Packaging and hh goods'!$AH$20)*(AE$3-$X$3)/10))</f>
        <v>8237.0686874664225</v>
      </c>
      <c r="AF36" s="635">
        <f>AF27*'R&amp;S - Packaging and hh goods'!$M$4/SUM('R&amp;S - Packaging and hh goods'!$L$4:$N$4)-AF27*'R&amp;S - Packaging and hh goods'!$M$4/SUM('R&amp;S - Packaging and hh goods'!$L$4:$N$4)*('R&amp;S - Packaging and hh goods'!$F7*'R&amp;S - Packaging and hh goods'!$J$14*('R&amp;S - Packaging and hh goods'!$AE$20+('R&amp;S - Packaging and hh goods'!$AE$21-'R&amp;S - Packaging and hh goods'!$AE$20)*(AF$3-$X$3)/10))-AF27*'R&amp;S - Packaging and hh goods'!$M$4/SUM('R&amp;S - Packaging and hh goods'!$L$4:$N$4)*('R&amp;S - Packaging and hh goods'!$F8*'R&amp;S - Packaging and hh goods'!$J$14*('R&amp;S - Packaging and hh goods'!$AF$20+('R&amp;S - Packaging and hh goods'!$AF$21-'R&amp;S - Packaging and hh goods'!$AF$20)*(AF$3-$X$3)/10))-AF27*'R&amp;S - Packaging and hh goods'!$M$4/SUM('R&amp;S - Packaging and hh goods'!$L$4:$N$4)*('R&amp;S - Packaging and hh goods'!$F9*'R&amp;S - Packaging and hh goods'!$K$14*('R&amp;S - Packaging and hh goods'!$AG$20+('R&amp;S - Packaging and hh goods'!$AG$21-'R&amp;S - Packaging and hh goods'!$AG$20)*(AF$3-$X$3)/10))-AF27*'R&amp;S - Packaging and hh goods'!$M$4/SUM('R&amp;S - Packaging and hh goods'!$L$4:$N$4)*('R&amp;S - Packaging and hh goods'!$F10*'R&amp;S - Packaging and hh goods'!$K$14*('R&amp;S - Packaging and hh goods'!$AH$20+('R&amp;S - Packaging and hh goods'!$AH$21-'R&amp;S - Packaging and hh goods'!$AH$20)*(AF$3-$X$3)/10))</f>
        <v>7838.6955560256938</v>
      </c>
      <c r="AG36" s="635">
        <f>AG27*'R&amp;S - Packaging and hh goods'!$M$4/SUM('R&amp;S - Packaging and hh goods'!$L$4:$N$4)-AG27*'R&amp;S - Packaging and hh goods'!$M$4/SUM('R&amp;S - Packaging and hh goods'!$L$4:$N$4)*('R&amp;S - Packaging and hh goods'!$F7*'R&amp;S - Packaging and hh goods'!$J$14*('R&amp;S - Packaging and hh goods'!$AE$20+('R&amp;S - Packaging and hh goods'!$AE$21-'R&amp;S - Packaging and hh goods'!$AE$20)*(AG$3-$X$3)/10))-AG27*'R&amp;S - Packaging and hh goods'!$M$4/SUM('R&amp;S - Packaging and hh goods'!$L$4:$N$4)*('R&amp;S - Packaging and hh goods'!$F8*'R&amp;S - Packaging and hh goods'!$J$14*('R&amp;S - Packaging and hh goods'!$AF$20+('R&amp;S - Packaging and hh goods'!$AF$21-'R&amp;S - Packaging and hh goods'!$AF$20)*(AG$3-$X$3)/10))-AG27*'R&amp;S - Packaging and hh goods'!$M$4/SUM('R&amp;S - Packaging and hh goods'!$L$4:$N$4)*('R&amp;S - Packaging and hh goods'!$F9*'R&amp;S - Packaging and hh goods'!$K$14*('R&amp;S - Packaging and hh goods'!$AG$20+('R&amp;S - Packaging and hh goods'!$AG$21-'R&amp;S - Packaging and hh goods'!$AG$20)*(AG$3-$X$3)/10))-AG27*'R&amp;S - Packaging and hh goods'!$M$4/SUM('R&amp;S - Packaging and hh goods'!$L$4:$N$4)*('R&amp;S - Packaging and hh goods'!$F10*'R&amp;S - Packaging and hh goods'!$K$14*('R&amp;S - Packaging and hh goods'!$AH$20+('R&amp;S - Packaging and hh goods'!$AH$21-'R&amp;S - Packaging and hh goods'!$AH$20)*(AG$3-$X$3)/10))</f>
        <v>7440.3224245849624</v>
      </c>
      <c r="AH36" s="635">
        <f>AH27*'R&amp;S - Packaging and hh goods'!$M$4/SUM('R&amp;S - Packaging and hh goods'!$L$4:$N$4)-AH27*'R&amp;S - Packaging and hh goods'!$M$4/SUM('R&amp;S - Packaging and hh goods'!$L$4:$N$4)*('R&amp;S - Packaging and hh goods'!$F7*'R&amp;S - Packaging and hh goods'!$J$14*('R&amp;S - Packaging and hh goods'!$AE$20+('R&amp;S - Packaging and hh goods'!$AE$21-'R&amp;S - Packaging and hh goods'!$AE$20)*(AH$3-$X$3)/10))-AH27*'R&amp;S - Packaging and hh goods'!$M$4/SUM('R&amp;S - Packaging and hh goods'!$L$4:$N$4)*('R&amp;S - Packaging and hh goods'!$F8*'R&amp;S - Packaging and hh goods'!$J$14*('R&amp;S - Packaging and hh goods'!$AF$20+('R&amp;S - Packaging and hh goods'!$AF$21-'R&amp;S - Packaging and hh goods'!$AF$20)*(AH$3-$X$3)/10))-AH27*'R&amp;S - Packaging and hh goods'!$M$4/SUM('R&amp;S - Packaging and hh goods'!$L$4:$N$4)*('R&amp;S - Packaging and hh goods'!$F9*'R&amp;S - Packaging and hh goods'!$K$14*('R&amp;S - Packaging and hh goods'!$AG$20+('R&amp;S - Packaging and hh goods'!$AG$21-'R&amp;S - Packaging and hh goods'!$AG$20)*(AH$3-$X$3)/10))-AH27*'R&amp;S - Packaging and hh goods'!$M$4/SUM('R&amp;S - Packaging and hh goods'!$L$4:$N$4)*('R&amp;S - Packaging and hh goods'!$F10*'R&amp;S - Packaging and hh goods'!$K$14*('R&amp;S - Packaging and hh goods'!$AH$20+('R&amp;S - Packaging and hh goods'!$AH$21-'R&amp;S - Packaging and hh goods'!$AH$20)*(AH$3-$X$3)/10))</f>
        <v>7041.949293144231</v>
      </c>
      <c r="AI36" s="635"/>
      <c r="AJ36" s="635">
        <f>AJ27*'R&amp;S - Packaging and hh goods'!$M$4/SUM('R&amp;S - Packaging and hh goods'!$L$4:$N$4)</f>
        <v>16766.545936057693</v>
      </c>
      <c r="AK36" s="635">
        <f>AK27*'R&amp;S - Packaging and hh goods'!$M$4/SUM('R&amp;S - Packaging and hh goods'!$L$4:$N$4)-AK27*'R&amp;S - Packaging and hh goods'!$M$4/SUM('R&amp;S - Packaging and hh goods'!$L$4:$N$4)*'R&amp;S - Packaging and hh goods'!$F$7*('R&amp;S - Packaging and hh goods'!$J$15*'R&amp;S - Packaging and hh goods'!$AE$19*(AK$3-$D$3)/10)-AK27*'R&amp;S - Packaging and hh goods'!$M$4/SUM('R&amp;S - Packaging and hh goods'!$L$4:$N$4)*'R&amp;S - Packaging and hh goods'!$F$8*('R&amp;S - Packaging and hh goods'!$J$15*'R&amp;S - Packaging and hh goods'!$AF$19*(AK$3-$D$3)/10)-AK27*'R&amp;S - Packaging and hh goods'!$M$4/SUM('R&amp;S - Packaging and hh goods'!$L$4:$N$4)*'R&amp;S - Packaging and hh goods'!$F$9*('R&amp;S - Packaging and hh goods'!$J$15*'R&amp;S - Packaging and hh goods'!$AG$19*(AK$3-$D$3)/10)-+AK31*'R&amp;S - Packaging and hh goods'!$M$4/SUM('R&amp;S - Packaging and hh goods'!$L$4:$N$4)*'R&amp;S - Packaging and hh goods'!$F$10*('R&amp;S - Packaging and hh goods'!$J$15*'R&amp;S - Packaging and hh goods'!$AH$19*(AK$3-$D$3)/10)</f>
        <v>16666.79779153868</v>
      </c>
      <c r="AL36" s="635">
        <f>AL27*'R&amp;S - Packaging and hh goods'!$M$4/SUM('R&amp;S - Packaging and hh goods'!$L$4:$N$4)-AL27*'R&amp;S - Packaging and hh goods'!$M$4/SUM('R&amp;S - Packaging and hh goods'!$L$4:$N$4)*'R&amp;S - Packaging and hh goods'!$F$7*('R&amp;S - Packaging and hh goods'!$J$15*'R&amp;S - Packaging and hh goods'!$AE$19*(AL$3-$D$3)/10)-AL27*'R&amp;S - Packaging and hh goods'!$M$4/SUM('R&amp;S - Packaging and hh goods'!$L$4:$N$4)*'R&amp;S - Packaging and hh goods'!$F$8*('R&amp;S - Packaging and hh goods'!$J$15*'R&amp;S - Packaging and hh goods'!$AF$19*(AL$3-$D$3)/10)-AL27*'R&amp;S - Packaging and hh goods'!$M$4/SUM('R&amp;S - Packaging and hh goods'!$L$4:$N$4)*'R&amp;S - Packaging and hh goods'!$F$9*('R&amp;S - Packaging and hh goods'!$J$15*'R&amp;S - Packaging and hh goods'!$AG$19*(AL$3-$D$3)/10)-+AL31*'R&amp;S - Packaging and hh goods'!$M$4/SUM('R&amp;S - Packaging and hh goods'!$L$4:$N$4)*'R&amp;S - Packaging and hh goods'!$F$10*('R&amp;S - Packaging and hh goods'!$J$15*'R&amp;S - Packaging and hh goods'!$AH$19*(AL$3-$D$3)/10)</f>
        <v>16566.960571446525</v>
      </c>
      <c r="AM36" s="635">
        <f>AM27*'R&amp;S - Packaging and hh goods'!$M$4/SUM('R&amp;S - Packaging and hh goods'!$L$4:$N$4)-AM27*'R&amp;S - Packaging and hh goods'!$M$4/SUM('R&amp;S - Packaging and hh goods'!$L$4:$N$4)*'R&amp;S - Packaging and hh goods'!$F$7*('R&amp;S - Packaging and hh goods'!$J$15*'R&amp;S - Packaging and hh goods'!$AE$19*(AM$3-$D$3)/10)-AM27*'R&amp;S - Packaging and hh goods'!$M$4/SUM('R&amp;S - Packaging and hh goods'!$L$4:$N$4)*'R&amp;S - Packaging and hh goods'!$F$8*('R&amp;S - Packaging and hh goods'!$J$15*'R&amp;S - Packaging and hh goods'!$AF$19*(AM$3-$D$3)/10)-AM27*'R&amp;S - Packaging and hh goods'!$M$4/SUM('R&amp;S - Packaging and hh goods'!$L$4:$N$4)*'R&amp;S - Packaging and hh goods'!$F$9*('R&amp;S - Packaging and hh goods'!$J$15*'R&amp;S - Packaging and hh goods'!$AG$19*(AM$3-$D$3)/10)-+AM31*'R&amp;S - Packaging and hh goods'!$M$4/SUM('R&amp;S - Packaging and hh goods'!$L$4:$N$4)*'R&amp;S - Packaging and hh goods'!$F$10*('R&amp;S - Packaging and hh goods'!$J$15*'R&amp;S - Packaging and hh goods'!$AH$19*(AM$3-$D$3)/10)</f>
        <v>16467.034275781232</v>
      </c>
      <c r="AN36" s="635">
        <f>AN27*'R&amp;S - Packaging and hh goods'!$M$4/SUM('R&amp;S - Packaging and hh goods'!$L$4:$N$4)-AN27*'R&amp;S - Packaging and hh goods'!$M$4/SUM('R&amp;S - Packaging and hh goods'!$L$4:$N$4)*'R&amp;S - Packaging and hh goods'!$F$7*('R&amp;S - Packaging and hh goods'!$J$15*'R&amp;S - Packaging and hh goods'!$AE$19*(AN$3-$D$3)/10)-AN27*'R&amp;S - Packaging and hh goods'!$M$4/SUM('R&amp;S - Packaging and hh goods'!$L$4:$N$4)*'R&amp;S - Packaging and hh goods'!$F$8*('R&amp;S - Packaging and hh goods'!$J$15*'R&amp;S - Packaging and hh goods'!$AF$19*(AN$3-$D$3)/10)-AN27*'R&amp;S - Packaging and hh goods'!$M$4/SUM('R&amp;S - Packaging and hh goods'!$L$4:$N$4)*'R&amp;S - Packaging and hh goods'!$F$9*('R&amp;S - Packaging and hh goods'!$J$15*'R&amp;S - Packaging and hh goods'!$AG$19*(AN$3-$D$3)/10)-+AN31*'R&amp;S - Packaging and hh goods'!$M$4/SUM('R&amp;S - Packaging and hh goods'!$L$4:$N$4)*'R&amp;S - Packaging and hh goods'!$F$10*('R&amp;S - Packaging and hh goods'!$J$15*'R&amp;S - Packaging and hh goods'!$AH$19*(AN$3-$D$3)/10)</f>
        <v>16367.018904542791</v>
      </c>
      <c r="AO36" s="635">
        <f>AO27*'R&amp;S - Packaging and hh goods'!$M$4/SUM('R&amp;S - Packaging and hh goods'!$L$4:$N$4)-AO27*'R&amp;S - Packaging and hh goods'!$M$4/SUM('R&amp;S - Packaging and hh goods'!$L$4:$N$4)*'R&amp;S - Packaging and hh goods'!$F$7*('R&amp;S - Packaging and hh goods'!$J$15*'R&amp;S - Packaging and hh goods'!$AE$19*(AO$3-$D$3)/10)-AO27*'R&amp;S - Packaging and hh goods'!$M$4/SUM('R&amp;S - Packaging and hh goods'!$L$4:$N$4)*'R&amp;S - Packaging and hh goods'!$F$8*('R&amp;S - Packaging and hh goods'!$J$15*'R&amp;S - Packaging and hh goods'!$AF$19*(AO$3-$D$3)/10)-AO27*'R&amp;S - Packaging and hh goods'!$M$4/SUM('R&amp;S - Packaging and hh goods'!$L$4:$N$4)*'R&amp;S - Packaging and hh goods'!$F$9*('R&amp;S - Packaging and hh goods'!$J$15*'R&amp;S - Packaging and hh goods'!$AG$19*(AO$3-$D$3)/10)-+AO31*'R&amp;S - Packaging and hh goods'!$M$4/SUM('R&amp;S - Packaging and hh goods'!$L$4:$N$4)*'R&amp;S - Packaging and hh goods'!$F$10*('R&amp;S - Packaging and hh goods'!$J$15*'R&amp;S - Packaging and hh goods'!$AH$19*(AO$3-$D$3)/10)</f>
        <v>16266.914457731211</v>
      </c>
      <c r="AP36" s="635">
        <f>AP27*'R&amp;S - Packaging and hh goods'!$M$4/SUM('R&amp;S - Packaging and hh goods'!$L$4:$N$4)-AP27*'R&amp;S - Packaging and hh goods'!$M$4/SUM('R&amp;S - Packaging and hh goods'!$L$4:$N$4)*'R&amp;S - Packaging and hh goods'!$F$7*('R&amp;S - Packaging and hh goods'!$J$15*'R&amp;S - Packaging and hh goods'!$AE$19*(AP$3-$D$3)/10)-AP27*'R&amp;S - Packaging and hh goods'!$M$4/SUM('R&amp;S - Packaging and hh goods'!$L$4:$N$4)*'R&amp;S - Packaging and hh goods'!$F$8*('R&amp;S - Packaging and hh goods'!$J$15*'R&amp;S - Packaging and hh goods'!$AF$19*(AP$3-$D$3)/10)-AP27*'R&amp;S - Packaging and hh goods'!$M$4/SUM('R&amp;S - Packaging and hh goods'!$L$4:$N$4)*'R&amp;S - Packaging and hh goods'!$F$9*('R&amp;S - Packaging and hh goods'!$J$15*'R&amp;S - Packaging and hh goods'!$AG$19*(AP$3-$D$3)/10)-+AP31*'R&amp;S - Packaging and hh goods'!$M$4/SUM('R&amp;S - Packaging and hh goods'!$L$4:$N$4)*'R&amp;S - Packaging and hh goods'!$F$10*('R&amp;S - Packaging and hh goods'!$J$15*'R&amp;S - Packaging and hh goods'!$AH$19*(AP$3-$D$3)/10)</f>
        <v>16166.72093534649</v>
      </c>
      <c r="AQ36" s="635">
        <f>AQ27*'R&amp;S - Packaging and hh goods'!$M$4/SUM('R&amp;S - Packaging and hh goods'!$L$4:$N$4)-AQ27*'R&amp;S - Packaging and hh goods'!$M$4/SUM('R&amp;S - Packaging and hh goods'!$L$4:$N$4)*'R&amp;S - Packaging and hh goods'!$F$7*('R&amp;S - Packaging and hh goods'!$J$15*'R&amp;S - Packaging and hh goods'!$AE$19*(AQ$3-$D$3)/10)-AQ27*'R&amp;S - Packaging and hh goods'!$M$4/SUM('R&amp;S - Packaging and hh goods'!$L$4:$N$4)*'R&amp;S - Packaging and hh goods'!$F$8*('R&amp;S - Packaging and hh goods'!$J$15*'R&amp;S - Packaging and hh goods'!$AF$19*(AQ$3-$D$3)/10)-AQ27*'R&amp;S - Packaging and hh goods'!$M$4/SUM('R&amp;S - Packaging and hh goods'!$L$4:$N$4)*'R&amp;S - Packaging and hh goods'!$F$9*('R&amp;S - Packaging and hh goods'!$J$15*'R&amp;S - Packaging and hh goods'!$AG$19*(AQ$3-$D$3)/10)-+AQ31*'R&amp;S - Packaging and hh goods'!$M$4/SUM('R&amp;S - Packaging and hh goods'!$L$4:$N$4)*'R&amp;S - Packaging and hh goods'!$F$10*('R&amp;S - Packaging and hh goods'!$J$15*'R&amp;S - Packaging and hh goods'!$AH$19*(AQ$3-$D$3)/10)</f>
        <v>16066.438337388628</v>
      </c>
      <c r="AR36" s="635">
        <f>AR27*'R&amp;S - Packaging and hh goods'!$M$4/SUM('R&amp;S - Packaging and hh goods'!$L$4:$N$4)-AR27*'R&amp;S - Packaging and hh goods'!$M$4/SUM('R&amp;S - Packaging and hh goods'!$L$4:$N$4)*'R&amp;S - Packaging and hh goods'!$F$7*('R&amp;S - Packaging and hh goods'!$J$15*'R&amp;S - Packaging and hh goods'!$AE$19*(AR$3-$D$3)/10)-AR27*'R&amp;S - Packaging and hh goods'!$M$4/SUM('R&amp;S - Packaging and hh goods'!$L$4:$N$4)*'R&amp;S - Packaging and hh goods'!$F$8*('R&amp;S - Packaging and hh goods'!$J$15*'R&amp;S - Packaging and hh goods'!$AF$19*(AR$3-$D$3)/10)-AR27*'R&amp;S - Packaging and hh goods'!$M$4/SUM('R&amp;S - Packaging and hh goods'!$L$4:$N$4)*'R&amp;S - Packaging and hh goods'!$F$9*('R&amp;S - Packaging and hh goods'!$J$15*'R&amp;S - Packaging and hh goods'!$AG$19*(AR$3-$D$3)/10)-+AR31*'R&amp;S - Packaging and hh goods'!$M$4/SUM('R&amp;S - Packaging and hh goods'!$L$4:$N$4)*'R&amp;S - Packaging and hh goods'!$F$10*('R&amp;S - Packaging and hh goods'!$J$15*'R&amp;S - Packaging and hh goods'!$AH$19*(AR$3-$D$3)/10)</f>
        <v>15966.066663857624</v>
      </c>
      <c r="AS36" s="635">
        <f>AS27*'R&amp;S - Packaging and hh goods'!$M$4/SUM('R&amp;S - Packaging and hh goods'!$L$4:$N$4)-AS27*'R&amp;S - Packaging and hh goods'!$M$4/SUM('R&amp;S - Packaging and hh goods'!$L$4:$N$4)*'R&amp;S - Packaging and hh goods'!$F$7*('R&amp;S - Packaging and hh goods'!$J$15*'R&amp;S - Packaging and hh goods'!$AE$19*(AS$3-$D$3)/10)-AS27*'R&amp;S - Packaging and hh goods'!$M$4/SUM('R&amp;S - Packaging and hh goods'!$L$4:$N$4)*'R&amp;S - Packaging and hh goods'!$F$8*('R&amp;S - Packaging and hh goods'!$J$15*'R&amp;S - Packaging and hh goods'!$AF$19*(AS$3-$D$3)/10)-AS27*'R&amp;S - Packaging and hh goods'!$M$4/SUM('R&amp;S - Packaging and hh goods'!$L$4:$N$4)*'R&amp;S - Packaging and hh goods'!$F$9*('R&amp;S - Packaging and hh goods'!$J$15*'R&amp;S - Packaging and hh goods'!$AG$19*(AS$3-$D$3)/10)-+AS31*'R&amp;S - Packaging and hh goods'!$M$4/SUM('R&amp;S - Packaging and hh goods'!$L$4:$N$4)*'R&amp;S - Packaging and hh goods'!$F$10*('R&amp;S - Packaging and hh goods'!$J$15*'R&amp;S - Packaging and hh goods'!$AH$19*(AS$3-$D$3)/10)</f>
        <v>15865.605914753476</v>
      </c>
      <c r="AT36" s="635">
        <f>AT27*'R&amp;S - Packaging and hh goods'!$M$4/SUM('R&amp;S - Packaging and hh goods'!$L$4:$N$4)-AT27*'R&amp;S - Packaging and hh goods'!$M$4/SUM('R&amp;S - Packaging and hh goods'!$L$4:$N$4)*'R&amp;S - Packaging and hh goods'!$F$7*('R&amp;S - Packaging and hh goods'!$J$15*'R&amp;S - Packaging and hh goods'!$AE$19*(AT$3-$D$3)/10)-AT27*'R&amp;S - Packaging and hh goods'!$M$4/SUM('R&amp;S - Packaging and hh goods'!$L$4:$N$4)*'R&amp;S - Packaging and hh goods'!$F$8*('R&amp;S - Packaging and hh goods'!$J$15*'R&amp;S - Packaging and hh goods'!$AF$19*(AT$3-$D$3)/10)-AT27*'R&amp;S - Packaging and hh goods'!$M$4/SUM('R&amp;S - Packaging and hh goods'!$L$4:$N$4)*'R&amp;S - Packaging and hh goods'!$F$9*('R&amp;S - Packaging and hh goods'!$J$15*'R&amp;S - Packaging and hh goods'!$AG$19*(AT$3-$D$3)/10)-+AT31*'R&amp;S - Packaging and hh goods'!$M$4/SUM('R&amp;S - Packaging and hh goods'!$L$4:$N$4)*'R&amp;S - Packaging and hh goods'!$F$10*('R&amp;S - Packaging and hh goods'!$J$15*'R&amp;S - Packaging and hh goods'!$AH$19*(AT$3-$D$3)/10)</f>
        <v>15765.056090076185</v>
      </c>
      <c r="AU36" s="635">
        <f>AU27*'R&amp;S - Packaging and hh goods'!$M$4/SUM('R&amp;S - Packaging and hh goods'!$L$4:$N$4)-AU27*'R&amp;S - Packaging and hh goods'!$M$4/SUM('R&amp;S - Packaging and hh goods'!$L$4:$N$4)*('R&amp;S - Packaging and hh goods'!$F$7*'R&amp;S - Packaging and hh goods'!$J$15*('R&amp;S - Packaging and hh goods'!$AE$19+('R&amp;S - Packaging and hh goods'!$AE$20-'R&amp;S - Packaging and hh goods'!$AE$19)*(AU$3-$N$3)/10))-AU27*'R&amp;S - Packaging and hh goods'!$M$4/SUM('R&amp;S - Packaging and hh goods'!$L$4:$N$4)*('R&amp;S - Packaging and hh goods'!$F$8*'R&amp;S - Packaging and hh goods'!$J$15*('R&amp;S - Packaging and hh goods'!$AF$19+('R&amp;S - Packaging and hh goods'!$AF$20-'R&amp;S - Packaging and hh goods'!$AF$19)*(AU$3-$N$3)/10))-AU27*'R&amp;S - Packaging and hh goods'!$M$4/SUM('R&amp;S - Packaging and hh goods'!$L$4:$N$4)*('R&amp;S - Packaging and hh goods'!$F$9*'R&amp;S - Packaging and hh goods'!$K$15*('R&amp;S - Packaging and hh goods'!$AG$19+('R&amp;S - Packaging and hh goods'!$AG$20-'R&amp;S - Packaging and hh goods'!$AG$19)*(AU$3-$N$3)/10))-AU27*'R&amp;S - Packaging and hh goods'!$M$4/SUM('R&amp;S - Packaging and hh goods'!$L$4:$N$4)*('R&amp;S - Packaging and hh goods'!$F$10*'R&amp;S - Packaging and hh goods'!$K$15*('R&amp;S - Packaging and hh goods'!$AH$19+('R&amp;S - Packaging and hh goods'!$AH$20-'R&amp;S - Packaging and hh goods'!$AH$19)*(AU$3-$N$3)/10))</f>
        <v>15103.583406859687</v>
      </c>
      <c r="AV36" s="635">
        <f>AV27*'R&amp;S - Packaging and hh goods'!$M$4/SUM('R&amp;S - Packaging and hh goods'!$L$4:$N$4)-AV27*'R&amp;S - Packaging and hh goods'!$M$4/SUM('R&amp;S - Packaging and hh goods'!$L$4:$N$4)*('R&amp;S - Packaging and hh goods'!$F$7*'R&amp;S - Packaging and hh goods'!$J$15*('R&amp;S - Packaging and hh goods'!$AE$19+('R&amp;S - Packaging and hh goods'!$AE$20-'R&amp;S - Packaging and hh goods'!$AE$19)*(AV$3-$N$3)/10))-AV27*'R&amp;S - Packaging and hh goods'!$M$4/SUM('R&amp;S - Packaging and hh goods'!$L$4:$N$4)*('R&amp;S - Packaging and hh goods'!$F$8*'R&amp;S - Packaging and hh goods'!$J$15*('R&amp;S - Packaging and hh goods'!$AF$19+('R&amp;S - Packaging and hh goods'!$AF$20-'R&amp;S - Packaging and hh goods'!$AF$19)*(AV$3-$N$3)/10))-AV27*'R&amp;S - Packaging and hh goods'!$M$4/SUM('R&amp;S - Packaging and hh goods'!$L$4:$N$4)*('R&amp;S - Packaging and hh goods'!$F$9*'R&amp;S - Packaging and hh goods'!$K$15*('R&amp;S - Packaging and hh goods'!$AG$19+('R&amp;S - Packaging and hh goods'!$AG$20-'R&amp;S - Packaging and hh goods'!$AG$19)*(AV$3-$N$3)/10))-AV27*'R&amp;S - Packaging and hh goods'!$M$4/SUM('R&amp;S - Packaging and hh goods'!$L$4:$N$4)*('R&amp;S - Packaging and hh goods'!$F$10*'R&amp;S - Packaging and hh goods'!$K$15*('R&amp;S - Packaging and hh goods'!$AH$19+('R&amp;S - Packaging and hh goods'!$AH$20-'R&amp;S - Packaging and hh goods'!$AH$19)*(AV$3-$N$3)/10))</f>
        <v>14801.606680965509</v>
      </c>
      <c r="AW36" s="635">
        <f>AW27*'R&amp;S - Packaging and hh goods'!$M$4/SUM('R&amp;S - Packaging and hh goods'!$L$4:$N$4)-AW27*'R&amp;S - Packaging and hh goods'!$M$4/SUM('R&amp;S - Packaging and hh goods'!$L$4:$N$4)*('R&amp;S - Packaging and hh goods'!$F$7*'R&amp;S - Packaging and hh goods'!$J$15*('R&amp;S - Packaging and hh goods'!$AE$19+('R&amp;S - Packaging and hh goods'!$AE$20-'R&amp;S - Packaging and hh goods'!$AE$19)*(AW$3-$N$3)/10))-AW27*'R&amp;S - Packaging and hh goods'!$M$4/SUM('R&amp;S - Packaging and hh goods'!$L$4:$N$4)*('R&amp;S - Packaging and hh goods'!$F$8*'R&amp;S - Packaging and hh goods'!$J$15*('R&amp;S - Packaging and hh goods'!$AF$19+('R&amp;S - Packaging and hh goods'!$AF$20-'R&amp;S - Packaging and hh goods'!$AF$19)*(AW$3-$N$3)/10))-AW27*'R&amp;S - Packaging and hh goods'!$M$4/SUM('R&amp;S - Packaging and hh goods'!$L$4:$N$4)*('R&amp;S - Packaging and hh goods'!$F$9*'R&amp;S - Packaging and hh goods'!$K$15*('R&amp;S - Packaging and hh goods'!$AG$19+('R&amp;S - Packaging and hh goods'!$AG$20-'R&amp;S - Packaging and hh goods'!$AG$19)*(AW$3-$N$3)/10))-AW27*'R&amp;S - Packaging and hh goods'!$M$4/SUM('R&amp;S - Packaging and hh goods'!$L$4:$N$4)*('R&amp;S - Packaging and hh goods'!$F$10*'R&amp;S - Packaging and hh goods'!$K$15*('R&amp;S - Packaging and hh goods'!$AH$19+('R&amp;S - Packaging and hh goods'!$AH$20-'R&amp;S - Packaging and hh goods'!$AH$19)*(AW$3-$N$3)/10))</f>
        <v>14499.629955071334</v>
      </c>
      <c r="AX36" s="635">
        <f>AX27*'R&amp;S - Packaging and hh goods'!$M$4/SUM('R&amp;S - Packaging and hh goods'!$L$4:$N$4)-AX27*'R&amp;S - Packaging and hh goods'!$M$4/SUM('R&amp;S - Packaging and hh goods'!$L$4:$N$4)*('R&amp;S - Packaging and hh goods'!$F$7*'R&amp;S - Packaging and hh goods'!$J$15*('R&amp;S - Packaging and hh goods'!$AE$19+('R&amp;S - Packaging and hh goods'!$AE$20-'R&amp;S - Packaging and hh goods'!$AE$19)*(AX$3-$N$3)/10))-AX27*'R&amp;S - Packaging and hh goods'!$M$4/SUM('R&amp;S - Packaging and hh goods'!$L$4:$N$4)*('R&amp;S - Packaging and hh goods'!$F$8*'R&amp;S - Packaging and hh goods'!$J$15*('R&amp;S - Packaging and hh goods'!$AF$19+('R&amp;S - Packaging and hh goods'!$AF$20-'R&amp;S - Packaging and hh goods'!$AF$19)*(AX$3-$N$3)/10))-AX27*'R&amp;S - Packaging and hh goods'!$M$4/SUM('R&amp;S - Packaging and hh goods'!$L$4:$N$4)*('R&amp;S - Packaging and hh goods'!$F$9*'R&amp;S - Packaging and hh goods'!$K$15*('R&amp;S - Packaging and hh goods'!$AG$19+('R&amp;S - Packaging and hh goods'!$AG$20-'R&amp;S - Packaging and hh goods'!$AG$19)*(AX$3-$N$3)/10))-AX27*'R&amp;S - Packaging and hh goods'!$M$4/SUM('R&amp;S - Packaging and hh goods'!$L$4:$N$4)*('R&amp;S - Packaging and hh goods'!$F$10*'R&amp;S - Packaging and hh goods'!$K$15*('R&amp;S - Packaging and hh goods'!$AH$19+('R&amp;S - Packaging and hh goods'!$AH$20-'R&amp;S - Packaging and hh goods'!$AH$19)*(AX$3-$N$3)/10))</f>
        <v>14197.65322917716</v>
      </c>
      <c r="AY36" s="635">
        <f>AY27*'R&amp;S - Packaging and hh goods'!$M$4/SUM('R&amp;S - Packaging and hh goods'!$L$4:$N$4)-AY27*'R&amp;S - Packaging and hh goods'!$M$4/SUM('R&amp;S - Packaging and hh goods'!$L$4:$N$4)*('R&amp;S - Packaging and hh goods'!$F$7*'R&amp;S - Packaging and hh goods'!$J$15*('R&amp;S - Packaging and hh goods'!$AE$19+('R&amp;S - Packaging and hh goods'!$AE$20-'R&amp;S - Packaging and hh goods'!$AE$19)*(AY$3-$N$3)/10))-AY27*'R&amp;S - Packaging and hh goods'!$M$4/SUM('R&amp;S - Packaging and hh goods'!$L$4:$N$4)*('R&amp;S - Packaging and hh goods'!$F$8*'R&amp;S - Packaging and hh goods'!$J$15*('R&amp;S - Packaging and hh goods'!$AF$19+('R&amp;S - Packaging and hh goods'!$AF$20-'R&amp;S - Packaging and hh goods'!$AF$19)*(AY$3-$N$3)/10))-AY27*'R&amp;S - Packaging and hh goods'!$M$4/SUM('R&amp;S - Packaging and hh goods'!$L$4:$N$4)*('R&amp;S - Packaging and hh goods'!$F$9*'R&amp;S - Packaging and hh goods'!$K$15*('R&amp;S - Packaging and hh goods'!$AG$19+('R&amp;S - Packaging and hh goods'!$AG$20-'R&amp;S - Packaging and hh goods'!$AG$19)*(AY$3-$N$3)/10))-AY27*'R&amp;S - Packaging and hh goods'!$M$4/SUM('R&amp;S - Packaging and hh goods'!$L$4:$N$4)*('R&amp;S - Packaging and hh goods'!$F$10*'R&amp;S - Packaging and hh goods'!$K$15*('R&amp;S - Packaging and hh goods'!$AH$19+('R&amp;S - Packaging and hh goods'!$AH$20-'R&amp;S - Packaging and hh goods'!$AH$19)*(AY$3-$N$3)/10))</f>
        <v>13895.676503282981</v>
      </c>
      <c r="AZ36" s="635">
        <f>AZ27*'R&amp;S - Packaging and hh goods'!$M$4/SUM('R&amp;S - Packaging and hh goods'!$L$4:$N$4)-AZ27*'R&amp;S - Packaging and hh goods'!$M$4/SUM('R&amp;S - Packaging and hh goods'!$L$4:$N$4)*('R&amp;S - Packaging and hh goods'!$F$7*'R&amp;S - Packaging and hh goods'!$J$15*('R&amp;S - Packaging and hh goods'!$AE$19+('R&amp;S - Packaging and hh goods'!$AE$20-'R&amp;S - Packaging and hh goods'!$AE$19)*(AZ$3-$N$3)/10))-AZ27*'R&amp;S - Packaging and hh goods'!$M$4/SUM('R&amp;S - Packaging and hh goods'!$L$4:$N$4)*('R&amp;S - Packaging and hh goods'!$F$8*'R&amp;S - Packaging and hh goods'!$J$15*('R&amp;S - Packaging and hh goods'!$AF$19+('R&amp;S - Packaging and hh goods'!$AF$20-'R&amp;S - Packaging and hh goods'!$AF$19)*(AZ$3-$N$3)/10))-AZ27*'R&amp;S - Packaging and hh goods'!$M$4/SUM('R&amp;S - Packaging and hh goods'!$L$4:$N$4)*('R&amp;S - Packaging and hh goods'!$F$9*'R&amp;S - Packaging and hh goods'!$K$15*('R&amp;S - Packaging and hh goods'!$AG$19+('R&amp;S - Packaging and hh goods'!$AG$20-'R&amp;S - Packaging and hh goods'!$AG$19)*(AZ$3-$N$3)/10))-AZ27*'R&amp;S - Packaging and hh goods'!$M$4/SUM('R&amp;S - Packaging and hh goods'!$L$4:$N$4)*('R&amp;S - Packaging and hh goods'!$F$10*'R&amp;S - Packaging and hh goods'!$K$15*('R&amp;S - Packaging and hh goods'!$AH$19+('R&amp;S - Packaging and hh goods'!$AH$20-'R&amp;S - Packaging and hh goods'!$AH$19)*(AZ$3-$N$3)/10))</f>
        <v>13593.699777388805</v>
      </c>
      <c r="BA36" s="635">
        <f>BA27*'R&amp;S - Packaging and hh goods'!$M$4/SUM('R&amp;S - Packaging and hh goods'!$L$4:$N$4)-BA27*'R&amp;S - Packaging and hh goods'!$M$4/SUM('R&amp;S - Packaging and hh goods'!$L$4:$N$4)*('R&amp;S - Packaging and hh goods'!$F$7*'R&amp;S - Packaging and hh goods'!$J$15*('R&amp;S - Packaging and hh goods'!$AE$19+('R&amp;S - Packaging and hh goods'!$AE$20-'R&amp;S - Packaging and hh goods'!$AE$19)*(BA$3-$N$3)/10))-BA27*'R&amp;S - Packaging and hh goods'!$M$4/SUM('R&amp;S - Packaging and hh goods'!$L$4:$N$4)*('R&amp;S - Packaging and hh goods'!$F$8*'R&amp;S - Packaging and hh goods'!$J$15*('R&amp;S - Packaging and hh goods'!$AF$19+('R&amp;S - Packaging and hh goods'!$AF$20-'R&amp;S - Packaging and hh goods'!$AF$19)*(BA$3-$N$3)/10))-BA27*'R&amp;S - Packaging and hh goods'!$M$4/SUM('R&amp;S - Packaging and hh goods'!$L$4:$N$4)*('R&amp;S - Packaging and hh goods'!$F$9*'R&amp;S - Packaging and hh goods'!$K$15*('R&amp;S - Packaging and hh goods'!$AG$19+('R&amp;S - Packaging and hh goods'!$AG$20-'R&amp;S - Packaging and hh goods'!$AG$19)*(BA$3-$N$3)/10))-BA27*'R&amp;S - Packaging and hh goods'!$M$4/SUM('R&amp;S - Packaging and hh goods'!$L$4:$N$4)*('R&amp;S - Packaging and hh goods'!$F$10*'R&amp;S - Packaging and hh goods'!$K$15*('R&amp;S - Packaging and hh goods'!$AH$19+('R&amp;S - Packaging and hh goods'!$AH$20-'R&amp;S - Packaging and hh goods'!$AH$19)*(BA$3-$N$3)/10))</f>
        <v>13291.723051494628</v>
      </c>
      <c r="BB36" s="635">
        <f>BB27*'R&amp;S - Packaging and hh goods'!$M$4/SUM('R&amp;S - Packaging and hh goods'!$L$4:$N$4)-BB27*'R&amp;S - Packaging and hh goods'!$M$4/SUM('R&amp;S - Packaging and hh goods'!$L$4:$N$4)*('R&amp;S - Packaging and hh goods'!$F$7*'R&amp;S - Packaging and hh goods'!$J$15*('R&amp;S - Packaging and hh goods'!$AE$19+('R&amp;S - Packaging and hh goods'!$AE$20-'R&amp;S - Packaging and hh goods'!$AE$19)*(BB$3-$N$3)/10))-BB27*'R&amp;S - Packaging and hh goods'!$M$4/SUM('R&amp;S - Packaging and hh goods'!$L$4:$N$4)*('R&amp;S - Packaging and hh goods'!$F$8*'R&amp;S - Packaging and hh goods'!$J$15*('R&amp;S - Packaging and hh goods'!$AF$19+('R&amp;S - Packaging and hh goods'!$AF$20-'R&amp;S - Packaging and hh goods'!$AF$19)*(BB$3-$N$3)/10))-BB27*'R&amp;S - Packaging and hh goods'!$M$4/SUM('R&amp;S - Packaging and hh goods'!$L$4:$N$4)*('R&amp;S - Packaging and hh goods'!$F$9*'R&amp;S - Packaging and hh goods'!$K$15*('R&amp;S - Packaging and hh goods'!$AG$19+('R&amp;S - Packaging and hh goods'!$AG$20-'R&amp;S - Packaging and hh goods'!$AG$19)*(BB$3-$N$3)/10))-BB27*'R&amp;S - Packaging and hh goods'!$M$4/SUM('R&amp;S - Packaging and hh goods'!$L$4:$N$4)*('R&amp;S - Packaging and hh goods'!$F$10*'R&amp;S - Packaging and hh goods'!$K$15*('R&amp;S - Packaging and hh goods'!$AH$19+('R&amp;S - Packaging and hh goods'!$AH$20-'R&amp;S - Packaging and hh goods'!$AH$19)*(BB$3-$N$3)/10))</f>
        <v>12989.746325600454</v>
      </c>
      <c r="BC36" s="635">
        <f>BC27*'R&amp;S - Packaging and hh goods'!$M$4/SUM('R&amp;S - Packaging and hh goods'!$L$4:$N$4)-BC27*'R&amp;S - Packaging and hh goods'!$M$4/SUM('R&amp;S - Packaging and hh goods'!$L$4:$N$4)*('R&amp;S - Packaging and hh goods'!$F$7*'R&amp;S - Packaging and hh goods'!$J$15*('R&amp;S - Packaging and hh goods'!$AE$19+('R&amp;S - Packaging and hh goods'!$AE$20-'R&amp;S - Packaging and hh goods'!$AE$19)*(BC$3-$N$3)/10))-BC27*'R&amp;S - Packaging and hh goods'!$M$4/SUM('R&amp;S - Packaging and hh goods'!$L$4:$N$4)*('R&amp;S - Packaging and hh goods'!$F$8*'R&amp;S - Packaging and hh goods'!$J$15*('R&amp;S - Packaging and hh goods'!$AF$19+('R&amp;S - Packaging and hh goods'!$AF$20-'R&amp;S - Packaging and hh goods'!$AF$19)*(BC$3-$N$3)/10))-BC27*'R&amp;S - Packaging and hh goods'!$M$4/SUM('R&amp;S - Packaging and hh goods'!$L$4:$N$4)*('R&amp;S - Packaging and hh goods'!$F$9*'R&amp;S - Packaging and hh goods'!$K$15*('R&amp;S - Packaging and hh goods'!$AG$19+('R&amp;S - Packaging and hh goods'!$AG$20-'R&amp;S - Packaging and hh goods'!$AG$19)*(BC$3-$N$3)/10))-BC27*'R&amp;S - Packaging and hh goods'!$M$4/SUM('R&amp;S - Packaging and hh goods'!$L$4:$N$4)*('R&amp;S - Packaging and hh goods'!$F$10*'R&amp;S - Packaging and hh goods'!$K$15*('R&amp;S - Packaging and hh goods'!$AH$19+('R&amp;S - Packaging and hh goods'!$AH$20-'R&amp;S - Packaging and hh goods'!$AH$19)*(BC$3-$N$3)/10))</f>
        <v>12687.769599706276</v>
      </c>
      <c r="BD36" s="635">
        <f>BD27*'R&amp;S - Packaging and hh goods'!$M$4/SUM('R&amp;S - Packaging and hh goods'!$L$4:$N$4)-BD27*'R&amp;S - Packaging and hh goods'!$M$4/SUM('R&amp;S - Packaging and hh goods'!$L$4:$N$4)*('R&amp;S - Packaging and hh goods'!$F$7*'R&amp;S - Packaging and hh goods'!$J$15*('R&amp;S - Packaging and hh goods'!$AE$19+('R&amp;S - Packaging and hh goods'!$AE$20-'R&amp;S - Packaging and hh goods'!$AE$19)*(BD$3-$N$3)/10))-BD27*'R&amp;S - Packaging and hh goods'!$M$4/SUM('R&amp;S - Packaging and hh goods'!$L$4:$N$4)*('R&amp;S - Packaging and hh goods'!$F$8*'R&amp;S - Packaging and hh goods'!$J$15*('R&amp;S - Packaging and hh goods'!$AF$19+('R&amp;S - Packaging and hh goods'!$AF$20-'R&amp;S - Packaging and hh goods'!$AF$19)*(BD$3-$N$3)/10))-BD27*'R&amp;S - Packaging and hh goods'!$M$4/SUM('R&amp;S - Packaging and hh goods'!$L$4:$N$4)*('R&amp;S - Packaging and hh goods'!$F$9*'R&amp;S - Packaging and hh goods'!$K$15*('R&amp;S - Packaging and hh goods'!$AG$19+('R&amp;S - Packaging and hh goods'!$AG$20-'R&amp;S - Packaging and hh goods'!$AG$19)*(BD$3-$N$3)/10))-BD27*'R&amp;S - Packaging and hh goods'!$M$4/SUM('R&amp;S - Packaging and hh goods'!$L$4:$N$4)*('R&amp;S - Packaging and hh goods'!$F$10*'R&amp;S - Packaging and hh goods'!$K$15*('R&amp;S - Packaging and hh goods'!$AH$19+('R&amp;S - Packaging and hh goods'!$AH$20-'R&amp;S - Packaging and hh goods'!$AH$19)*(BD$3-$N$3)/10))</f>
        <v>12385.792873812099</v>
      </c>
      <c r="BE36" s="635">
        <f>BE27*'R&amp;S - Packaging and hh goods'!$M$4/SUM('R&amp;S - Packaging and hh goods'!$L$4:$N$4)-BE27*'R&amp;S - Packaging and hh goods'!$M$4/SUM('R&amp;S - Packaging and hh goods'!$L$4:$N$4)*('R&amp;S - Packaging and hh goods'!$F7*'R&amp;S - Packaging and hh goods'!$J$15*('R&amp;S - Packaging and hh goods'!$AE$20+('R&amp;S - Packaging and hh goods'!$AE$21-'R&amp;S - Packaging and hh goods'!$AE$20)*(BE$3-$X$3)/10))-BE27*'R&amp;S - Packaging and hh goods'!$M$4/SUM('R&amp;S - Packaging and hh goods'!$L$4:$N$4)*('R&amp;S - Packaging and hh goods'!$F8*'R&amp;S - Packaging and hh goods'!$J$15*('R&amp;S - Packaging and hh goods'!$AF$20+('R&amp;S - Packaging and hh goods'!$AF$21-'R&amp;S - Packaging and hh goods'!$AF$20)*(BE$3-$X$3)/10))-BE27*'R&amp;S - Packaging and hh goods'!$M$4/SUM('R&amp;S - Packaging and hh goods'!$L$4:$N$4)*('R&amp;S - Packaging and hh goods'!$F9*'R&amp;S - Packaging and hh goods'!$K$15*('R&amp;S - Packaging and hh goods'!$AG$20+('R&amp;S - Packaging and hh goods'!$AG$21-'R&amp;S - Packaging and hh goods'!$AG$20)*(BE$3-$X$3)/10))-BE27*'R&amp;S - Packaging and hh goods'!$M$4/SUM('R&amp;S - Packaging and hh goods'!$L$4:$N$4)*('R&amp;S - Packaging and hh goods'!$F10*'R&amp;S - Packaging and hh goods'!$K$15*('R&amp;S - Packaging and hh goods'!$AH$20+('R&amp;S - Packaging and hh goods'!$AH$21-'R&amp;S - Packaging and hh goods'!$AH$20)*(BE$3-$X$3)/10))</f>
        <v>12084.245539159347</v>
      </c>
      <c r="BF36" s="635">
        <f>BF27*'R&amp;S - Packaging and hh goods'!$M$4/SUM('R&amp;S - Packaging and hh goods'!$L$4:$N$4)-BF27*'R&amp;S - Packaging and hh goods'!$M$4/SUM('R&amp;S - Packaging and hh goods'!$L$4:$N$4)*('R&amp;S - Packaging and hh goods'!$F7*'R&amp;S - Packaging and hh goods'!$J$15*('R&amp;S - Packaging and hh goods'!$AE$20+('R&amp;S - Packaging and hh goods'!$AE$21-'R&amp;S - Packaging and hh goods'!$AE$20)*(BF$3-$X$3)/10))-BF27*'R&amp;S - Packaging and hh goods'!$M$4/SUM('R&amp;S - Packaging and hh goods'!$L$4:$N$4)*('R&amp;S - Packaging and hh goods'!$F8*'R&amp;S - Packaging and hh goods'!$J$15*('R&amp;S - Packaging and hh goods'!$AF$20+('R&amp;S - Packaging and hh goods'!$AF$21-'R&amp;S - Packaging and hh goods'!$AF$20)*(BF$3-$X$3)/10))-BF27*'R&amp;S - Packaging and hh goods'!$M$4/SUM('R&amp;S - Packaging and hh goods'!$L$4:$N$4)*('R&amp;S - Packaging and hh goods'!$F9*'R&amp;S - Packaging and hh goods'!$K$15*('R&amp;S - Packaging and hh goods'!$AG$20+('R&amp;S - Packaging and hh goods'!$AG$21-'R&amp;S - Packaging and hh goods'!$AG$20)*(BF$3-$X$3)/10))-BF27*'R&amp;S - Packaging and hh goods'!$M$4/SUM('R&amp;S - Packaging and hh goods'!$L$4:$N$4)*('R&amp;S - Packaging and hh goods'!$F10*'R&amp;S - Packaging and hh goods'!$K$15*('R&amp;S - Packaging and hh goods'!$AH$20+('R&amp;S - Packaging and hh goods'!$AH$21-'R&amp;S - Packaging and hh goods'!$AH$20)*(BF$3-$X$3)/10))</f>
        <v>11782.698204506592</v>
      </c>
      <c r="BG36" s="635">
        <f>BG27*'R&amp;S - Packaging and hh goods'!$M$4/SUM('R&amp;S - Packaging and hh goods'!$L$4:$N$4)-BG27*'R&amp;S - Packaging and hh goods'!$M$4/SUM('R&amp;S - Packaging and hh goods'!$L$4:$N$4)*('R&amp;S - Packaging and hh goods'!$F7*'R&amp;S - Packaging and hh goods'!$J$15*('R&amp;S - Packaging and hh goods'!$AE$20+('R&amp;S - Packaging and hh goods'!$AE$21-'R&amp;S - Packaging and hh goods'!$AE$20)*(BG$3-$X$3)/10))-BG27*'R&amp;S - Packaging and hh goods'!$M$4/SUM('R&amp;S - Packaging and hh goods'!$L$4:$N$4)*('R&amp;S - Packaging and hh goods'!$F8*'R&amp;S - Packaging and hh goods'!$J$15*('R&amp;S - Packaging and hh goods'!$AF$20+('R&amp;S - Packaging and hh goods'!$AF$21-'R&amp;S - Packaging and hh goods'!$AF$20)*(BG$3-$X$3)/10))-BG27*'R&amp;S - Packaging and hh goods'!$M$4/SUM('R&amp;S - Packaging and hh goods'!$L$4:$N$4)*('R&amp;S - Packaging and hh goods'!$F9*'R&amp;S - Packaging and hh goods'!$K$15*('R&amp;S - Packaging and hh goods'!$AG$20+('R&amp;S - Packaging and hh goods'!$AG$21-'R&amp;S - Packaging and hh goods'!$AG$20)*(BG$3-$X$3)/10))-BG27*'R&amp;S - Packaging and hh goods'!$M$4/SUM('R&amp;S - Packaging and hh goods'!$L$4:$N$4)*('R&amp;S - Packaging and hh goods'!$F10*'R&amp;S - Packaging and hh goods'!$K$15*('R&amp;S - Packaging and hh goods'!$AH$20+('R&amp;S - Packaging and hh goods'!$AH$21-'R&amp;S - Packaging and hh goods'!$AH$20)*(BG$3-$X$3)/10))</f>
        <v>11481.150869853838</v>
      </c>
      <c r="BH36" s="635">
        <f>BH27*'R&amp;S - Packaging and hh goods'!$M$4/SUM('R&amp;S - Packaging and hh goods'!$L$4:$N$4)-BH27*'R&amp;S - Packaging and hh goods'!$M$4/SUM('R&amp;S - Packaging and hh goods'!$L$4:$N$4)*('R&amp;S - Packaging and hh goods'!$F7*'R&amp;S - Packaging and hh goods'!$J$15*('R&amp;S - Packaging and hh goods'!$AE$20+('R&amp;S - Packaging and hh goods'!$AE$21-'R&amp;S - Packaging and hh goods'!$AE$20)*(BH$3-$X$3)/10))-BH27*'R&amp;S - Packaging and hh goods'!$M$4/SUM('R&amp;S - Packaging and hh goods'!$L$4:$N$4)*('R&amp;S - Packaging and hh goods'!$F8*'R&amp;S - Packaging and hh goods'!$J$15*('R&amp;S - Packaging and hh goods'!$AF$20+('R&amp;S - Packaging and hh goods'!$AF$21-'R&amp;S - Packaging and hh goods'!$AF$20)*(BH$3-$X$3)/10))-BH27*'R&amp;S - Packaging and hh goods'!$M$4/SUM('R&amp;S - Packaging and hh goods'!$L$4:$N$4)*('R&amp;S - Packaging and hh goods'!$F9*'R&amp;S - Packaging and hh goods'!$K$15*('R&amp;S - Packaging and hh goods'!$AG$20+('R&amp;S - Packaging and hh goods'!$AG$21-'R&amp;S - Packaging and hh goods'!$AG$20)*(BH$3-$X$3)/10))-BH27*'R&amp;S - Packaging and hh goods'!$M$4/SUM('R&amp;S - Packaging and hh goods'!$L$4:$N$4)*('R&amp;S - Packaging and hh goods'!$F10*'R&amp;S - Packaging and hh goods'!$K$15*('R&amp;S - Packaging and hh goods'!$AH$20+('R&amp;S - Packaging and hh goods'!$AH$21-'R&amp;S - Packaging and hh goods'!$AH$20)*(BH$3-$X$3)/10))</f>
        <v>11179.603535201088</v>
      </c>
      <c r="BI36" s="635">
        <f>BI27*'R&amp;S - Packaging and hh goods'!$M$4/SUM('R&amp;S - Packaging and hh goods'!$L$4:$N$4)-BI27*'R&amp;S - Packaging and hh goods'!$M$4/SUM('R&amp;S - Packaging and hh goods'!$L$4:$N$4)*('R&amp;S - Packaging and hh goods'!$F7*'R&amp;S - Packaging and hh goods'!$J$15*('R&amp;S - Packaging and hh goods'!$AE$20+('R&amp;S - Packaging and hh goods'!$AE$21-'R&amp;S - Packaging and hh goods'!$AE$20)*(BI$3-$X$3)/10))-BI27*'R&amp;S - Packaging and hh goods'!$M$4/SUM('R&amp;S - Packaging and hh goods'!$L$4:$N$4)*('R&amp;S - Packaging and hh goods'!$F8*'R&amp;S - Packaging and hh goods'!$J$15*('R&amp;S - Packaging and hh goods'!$AF$20+('R&amp;S - Packaging and hh goods'!$AF$21-'R&amp;S - Packaging and hh goods'!$AF$20)*(BI$3-$X$3)/10))-BI27*'R&amp;S - Packaging and hh goods'!$M$4/SUM('R&amp;S - Packaging and hh goods'!$L$4:$N$4)*('R&amp;S - Packaging and hh goods'!$F9*'R&amp;S - Packaging and hh goods'!$K$15*('R&amp;S - Packaging and hh goods'!$AG$20+('R&amp;S - Packaging and hh goods'!$AG$21-'R&amp;S - Packaging and hh goods'!$AG$20)*(BI$3-$X$3)/10))-BI27*'R&amp;S - Packaging and hh goods'!$M$4/SUM('R&amp;S - Packaging and hh goods'!$L$4:$N$4)*('R&amp;S - Packaging and hh goods'!$F10*'R&amp;S - Packaging and hh goods'!$K$15*('R&amp;S - Packaging and hh goods'!$AH$20+('R&amp;S - Packaging and hh goods'!$AH$21-'R&amp;S - Packaging and hh goods'!$AH$20)*(BI$3-$X$3)/10))</f>
        <v>10878.056200548332</v>
      </c>
      <c r="BJ36" s="635">
        <f>BJ27*'R&amp;S - Packaging and hh goods'!$M$4/SUM('R&amp;S - Packaging and hh goods'!$L$4:$N$4)-BJ27*'R&amp;S - Packaging and hh goods'!$M$4/SUM('R&amp;S - Packaging and hh goods'!$L$4:$N$4)*('R&amp;S - Packaging and hh goods'!$F7*'R&amp;S - Packaging and hh goods'!$J$15*('R&amp;S - Packaging and hh goods'!$AE$20+('R&amp;S - Packaging and hh goods'!$AE$21-'R&amp;S - Packaging and hh goods'!$AE$20)*(BJ$3-$X$3)/10))-BJ27*'R&amp;S - Packaging and hh goods'!$M$4/SUM('R&amp;S - Packaging and hh goods'!$L$4:$N$4)*('R&amp;S - Packaging and hh goods'!$F8*'R&amp;S - Packaging and hh goods'!$J$15*('R&amp;S - Packaging and hh goods'!$AF$20+('R&amp;S - Packaging and hh goods'!$AF$21-'R&amp;S - Packaging and hh goods'!$AF$20)*(BJ$3-$X$3)/10))-BJ27*'R&amp;S - Packaging and hh goods'!$M$4/SUM('R&amp;S - Packaging and hh goods'!$L$4:$N$4)*('R&amp;S - Packaging and hh goods'!$F9*'R&amp;S - Packaging and hh goods'!$K$15*('R&amp;S - Packaging and hh goods'!$AG$20+('R&amp;S - Packaging and hh goods'!$AG$21-'R&amp;S - Packaging and hh goods'!$AG$20)*(BJ$3-$X$3)/10))-BJ27*'R&amp;S - Packaging and hh goods'!$M$4/SUM('R&amp;S - Packaging and hh goods'!$L$4:$N$4)*('R&amp;S - Packaging and hh goods'!$F10*'R&amp;S - Packaging and hh goods'!$K$15*('R&amp;S - Packaging and hh goods'!$AH$20+('R&amp;S - Packaging and hh goods'!$AH$21-'R&amp;S - Packaging and hh goods'!$AH$20)*(BJ$3-$X$3)/10))</f>
        <v>10576.508865895577</v>
      </c>
      <c r="BK36" s="635">
        <f>BK27*'R&amp;S - Packaging and hh goods'!$M$4/SUM('R&amp;S - Packaging and hh goods'!$L$4:$N$4)-BK27*'R&amp;S - Packaging and hh goods'!$M$4/SUM('R&amp;S - Packaging and hh goods'!$L$4:$N$4)*('R&amp;S - Packaging and hh goods'!$F7*'R&amp;S - Packaging and hh goods'!$J$15*('R&amp;S - Packaging and hh goods'!$AE$20+('R&amp;S - Packaging and hh goods'!$AE$21-'R&amp;S - Packaging and hh goods'!$AE$20)*(BK$3-$X$3)/10))-BK27*'R&amp;S - Packaging and hh goods'!$M$4/SUM('R&amp;S - Packaging and hh goods'!$L$4:$N$4)*('R&amp;S - Packaging and hh goods'!$F8*'R&amp;S - Packaging and hh goods'!$J$15*('R&amp;S - Packaging and hh goods'!$AF$20+('R&amp;S - Packaging and hh goods'!$AF$21-'R&amp;S - Packaging and hh goods'!$AF$20)*(BK$3-$X$3)/10))-BK27*'R&amp;S - Packaging and hh goods'!$M$4/SUM('R&amp;S - Packaging and hh goods'!$L$4:$N$4)*('R&amp;S - Packaging and hh goods'!$F9*'R&amp;S - Packaging and hh goods'!$K$15*('R&amp;S - Packaging and hh goods'!$AG$20+('R&amp;S - Packaging and hh goods'!$AG$21-'R&amp;S - Packaging and hh goods'!$AG$20)*(BK$3-$X$3)/10))-BK27*'R&amp;S - Packaging and hh goods'!$M$4/SUM('R&amp;S - Packaging and hh goods'!$L$4:$N$4)*('R&amp;S - Packaging and hh goods'!$F10*'R&amp;S - Packaging and hh goods'!$K$15*('R&amp;S - Packaging and hh goods'!$AH$20+('R&amp;S - Packaging and hh goods'!$AH$21-'R&amp;S - Packaging and hh goods'!$AH$20)*(BK$3-$X$3)/10))</f>
        <v>10274.961531242825</v>
      </c>
      <c r="BL36" s="635">
        <f>BL27*'R&amp;S - Packaging and hh goods'!$M$4/SUM('R&amp;S - Packaging and hh goods'!$L$4:$N$4)-BL27*'R&amp;S - Packaging and hh goods'!$M$4/SUM('R&amp;S - Packaging and hh goods'!$L$4:$N$4)*('R&amp;S - Packaging and hh goods'!$F7*'R&amp;S - Packaging and hh goods'!$J$15*('R&amp;S - Packaging and hh goods'!$AE$20+('R&amp;S - Packaging and hh goods'!$AE$21-'R&amp;S - Packaging and hh goods'!$AE$20)*(BL$3-$X$3)/10))-BL27*'R&amp;S - Packaging and hh goods'!$M$4/SUM('R&amp;S - Packaging and hh goods'!$L$4:$N$4)*('R&amp;S - Packaging and hh goods'!$F8*'R&amp;S - Packaging and hh goods'!$J$15*('R&amp;S - Packaging and hh goods'!$AF$20+('R&amp;S - Packaging and hh goods'!$AF$21-'R&amp;S - Packaging and hh goods'!$AF$20)*(BL$3-$X$3)/10))-BL27*'R&amp;S - Packaging and hh goods'!$M$4/SUM('R&amp;S - Packaging and hh goods'!$L$4:$N$4)*('R&amp;S - Packaging and hh goods'!$F9*'R&amp;S - Packaging and hh goods'!$K$15*('R&amp;S - Packaging and hh goods'!$AG$20+('R&amp;S - Packaging and hh goods'!$AG$21-'R&amp;S - Packaging and hh goods'!$AG$20)*(BL$3-$X$3)/10))-BL27*'R&amp;S - Packaging and hh goods'!$M$4/SUM('R&amp;S - Packaging and hh goods'!$L$4:$N$4)*('R&amp;S - Packaging and hh goods'!$F10*'R&amp;S - Packaging and hh goods'!$K$15*('R&amp;S - Packaging and hh goods'!$AH$20+('R&amp;S - Packaging and hh goods'!$AH$21-'R&amp;S - Packaging and hh goods'!$AH$20)*(BL$3-$X$3)/10))</f>
        <v>9973.4141965900708</v>
      </c>
      <c r="BM36" s="635">
        <f>BM27*'R&amp;S - Packaging and hh goods'!$M$4/SUM('R&amp;S - Packaging and hh goods'!$L$4:$N$4)-BM27*'R&amp;S - Packaging and hh goods'!$M$4/SUM('R&amp;S - Packaging and hh goods'!$L$4:$N$4)*('R&amp;S - Packaging and hh goods'!$F7*'R&amp;S - Packaging and hh goods'!$J$15*('R&amp;S - Packaging and hh goods'!$AE$20+('R&amp;S - Packaging and hh goods'!$AE$21-'R&amp;S - Packaging and hh goods'!$AE$20)*(BM$3-$X$3)/10))-BM27*'R&amp;S - Packaging and hh goods'!$M$4/SUM('R&amp;S - Packaging and hh goods'!$L$4:$N$4)*('R&amp;S - Packaging and hh goods'!$F8*'R&amp;S - Packaging and hh goods'!$J$15*('R&amp;S - Packaging and hh goods'!$AF$20+('R&amp;S - Packaging and hh goods'!$AF$21-'R&amp;S - Packaging and hh goods'!$AF$20)*(BM$3-$X$3)/10))-BM27*'R&amp;S - Packaging and hh goods'!$M$4/SUM('R&amp;S - Packaging and hh goods'!$L$4:$N$4)*('R&amp;S - Packaging and hh goods'!$F9*'R&amp;S - Packaging and hh goods'!$K$15*('R&amp;S - Packaging and hh goods'!$AG$20+('R&amp;S - Packaging and hh goods'!$AG$21-'R&amp;S - Packaging and hh goods'!$AG$20)*(BM$3-$X$3)/10))-BM27*'R&amp;S - Packaging and hh goods'!$M$4/SUM('R&amp;S - Packaging and hh goods'!$L$4:$N$4)*('R&amp;S - Packaging and hh goods'!$F10*'R&amp;S - Packaging and hh goods'!$K$15*('R&amp;S - Packaging and hh goods'!$AH$20+('R&amp;S - Packaging and hh goods'!$AH$21-'R&amp;S - Packaging and hh goods'!$AH$20)*(BM$3-$X$3)/10))</f>
        <v>9671.8668619373148</v>
      </c>
      <c r="BN36" s="635">
        <f>BN27*'R&amp;S - Packaging and hh goods'!$M$4/SUM('R&amp;S - Packaging and hh goods'!$L$4:$N$4)-BN27*'R&amp;S - Packaging and hh goods'!$M$4/SUM('R&amp;S - Packaging and hh goods'!$L$4:$N$4)*('R&amp;S - Packaging and hh goods'!$F7*'R&amp;S - Packaging and hh goods'!$J$15*('R&amp;S - Packaging and hh goods'!$AE$20+('R&amp;S - Packaging and hh goods'!$AE$21-'R&amp;S - Packaging and hh goods'!$AE$20)*(BN$3-$X$3)/10))-BN27*'R&amp;S - Packaging and hh goods'!$M$4/SUM('R&amp;S - Packaging and hh goods'!$L$4:$N$4)*('R&amp;S - Packaging and hh goods'!$F8*'R&amp;S - Packaging and hh goods'!$J$15*('R&amp;S - Packaging and hh goods'!$AF$20+('R&amp;S - Packaging and hh goods'!$AF$21-'R&amp;S - Packaging and hh goods'!$AF$20)*(BN$3-$X$3)/10))-BN27*'R&amp;S - Packaging and hh goods'!$M$4/SUM('R&amp;S - Packaging and hh goods'!$L$4:$N$4)*('R&amp;S - Packaging and hh goods'!$F9*'R&amp;S - Packaging and hh goods'!$K$15*('R&amp;S - Packaging and hh goods'!$AG$20+('R&amp;S - Packaging and hh goods'!$AG$21-'R&amp;S - Packaging and hh goods'!$AG$20)*(BN$3-$X$3)/10))-BN27*'R&amp;S - Packaging and hh goods'!$M$4/SUM('R&amp;S - Packaging and hh goods'!$L$4:$N$4)*('R&amp;S - Packaging and hh goods'!$F10*'R&amp;S - Packaging and hh goods'!$K$15*('R&amp;S - Packaging and hh goods'!$AH$20+('R&amp;S - Packaging and hh goods'!$AH$21-'R&amp;S - Packaging and hh goods'!$AH$20)*(BN$3-$X$3)/10))</f>
        <v>9370.3195272845624</v>
      </c>
    </row>
    <row r="37" spans="1:75" s="63" customFormat="1" outlineLevel="1">
      <c r="A37" s="686"/>
      <c r="B37" s="59" t="s">
        <v>1301</v>
      </c>
      <c r="C37" s="262" t="s">
        <v>166</v>
      </c>
      <c r="D37" s="638">
        <f>D27*'R&amp;S - Packaging and hh goods'!$N$4/SUM('R&amp;S - Packaging and hh goods'!$L$4:$N$4)</f>
        <v>2526387.2600925858</v>
      </c>
      <c r="E37" s="638">
        <f>E27*'R&amp;S - Packaging and hh goods'!$N$4/SUM('R&amp;S - Packaging and hh goods'!$L$4:$N$4)-E27*'R&amp;S - Packaging and hh goods'!$N$4/SUM('R&amp;S - Packaging and hh goods'!$L$4:$N$4)*'R&amp;S - Packaging and hh goods'!$G$7*('R&amp;S - Packaging and hh goods'!$L$14*'R&amp;S - Packaging and hh goods'!$AJ$19*(E$3-$D$3)/10)-E27*'R&amp;S - Packaging and hh goods'!$N$4/SUM('R&amp;S - Packaging and hh goods'!$L$4:$N$4)*'R&amp;S - Packaging and hh goods'!$G$8*('R&amp;S - Packaging and hh goods'!$L$14*'R&amp;S - Packaging and hh goods'!$AK$19*(E$3-$D$3)/10)-E27*'R&amp;S - Packaging and hh goods'!$N$4/SUM('R&amp;S - Packaging and hh goods'!$L$4:$N$4)*'R&amp;S - Packaging and hh goods'!$G$9*('R&amp;S - Packaging and hh goods'!$L$14*'R&amp;S - Packaging and hh goods'!$AL$19*(E$3-$D$3)/10)-E31*'R&amp;S - Packaging and hh goods'!$N$4/SUM('R&amp;S - Packaging and hh goods'!$L$4:$N$4)*'R&amp;S - Packaging and hh goods'!$G$10*('R&amp;S - Packaging and hh goods'!$L$14*'R&amp;S - Packaging and hh goods'!$AM$19*(E$3-$D$3)/10)</f>
        <v>2502017.6308009205</v>
      </c>
      <c r="F37" s="638">
        <f>F27*'R&amp;S - Packaging and hh goods'!$N$4/SUM('R&amp;S - Packaging and hh goods'!$L$4:$N$4)-F27*'R&amp;S - Packaging and hh goods'!$N$4/SUM('R&amp;S - Packaging and hh goods'!$L$4:$N$4)*'R&amp;S - Packaging and hh goods'!$G$7*('R&amp;S - Packaging and hh goods'!$L$14*'R&amp;S - Packaging and hh goods'!$AJ$19*(F$3-$D$3)/10)-F27*'R&amp;S - Packaging and hh goods'!$N$4/SUM('R&amp;S - Packaging and hh goods'!$L$4:$N$4)*'R&amp;S - Packaging and hh goods'!$G$8*('R&amp;S - Packaging and hh goods'!$L$14*'R&amp;S - Packaging and hh goods'!$AK$19*(F$3-$D$3)/10)-F27*'R&amp;S - Packaging and hh goods'!$N$4/SUM('R&amp;S - Packaging and hh goods'!$L$4:$N$4)*'R&amp;S - Packaging and hh goods'!$G$9*('R&amp;S - Packaging and hh goods'!$L$14*'R&amp;S - Packaging and hh goods'!$AL$19*(F$3-$D$3)/10)-F31*'R&amp;S - Packaging and hh goods'!$N$4/SUM('R&amp;S - Packaging and hh goods'!$L$4:$N$4)*'R&amp;S - Packaging and hh goods'!$G$10*('R&amp;S - Packaging and hh goods'!$L$14*'R&amp;S - Packaging and hh goods'!$AM$19*(F$3-$D$3)/10)</f>
        <v>2477622.5420750272</v>
      </c>
      <c r="G37" s="638">
        <f>G27*'R&amp;S - Packaging and hh goods'!$N$4/SUM('R&amp;S - Packaging and hh goods'!$L$4:$N$4)-G27*'R&amp;S - Packaging and hh goods'!$N$4/SUM('R&amp;S - Packaging and hh goods'!$L$4:$N$4)*'R&amp;S - Packaging and hh goods'!$G$7*('R&amp;S - Packaging and hh goods'!$L$14*'R&amp;S - Packaging and hh goods'!$AJ$19*(G$3-$D$3)/10)-G27*'R&amp;S - Packaging and hh goods'!$N$4/SUM('R&amp;S - Packaging and hh goods'!$L$4:$N$4)*'R&amp;S - Packaging and hh goods'!$G$8*('R&amp;S - Packaging and hh goods'!$L$14*'R&amp;S - Packaging and hh goods'!$AK$19*(G$3-$D$3)/10)-G27*'R&amp;S - Packaging and hh goods'!$N$4/SUM('R&amp;S - Packaging and hh goods'!$L$4:$N$4)*'R&amp;S - Packaging and hh goods'!$G$9*('R&amp;S - Packaging and hh goods'!$L$14*'R&amp;S - Packaging and hh goods'!$AL$19*(G$3-$D$3)/10)-G31*'R&amp;S - Packaging and hh goods'!$N$4/SUM('R&amp;S - Packaging and hh goods'!$L$4:$N$4)*'R&amp;S - Packaging and hh goods'!$G$10*('R&amp;S - Packaging and hh goods'!$L$14*'R&amp;S - Packaging and hh goods'!$AM$19*(G$3-$D$3)/10)</f>
        <v>2453201.9939149092</v>
      </c>
      <c r="H37" s="638">
        <f>H27*'R&amp;S - Packaging and hh goods'!$N$4/SUM('R&amp;S - Packaging and hh goods'!$L$4:$N$4)-H27*'R&amp;S - Packaging and hh goods'!$N$4/SUM('R&amp;S - Packaging and hh goods'!$L$4:$N$4)*'R&amp;S - Packaging and hh goods'!$G$7*('R&amp;S - Packaging and hh goods'!$L$14*'R&amp;S - Packaging and hh goods'!$AJ$19*(H$3-$D$3)/10)-H27*'R&amp;S - Packaging and hh goods'!$N$4/SUM('R&amp;S - Packaging and hh goods'!$L$4:$N$4)*'R&amp;S - Packaging and hh goods'!$G$8*('R&amp;S - Packaging and hh goods'!$L$14*'R&amp;S - Packaging and hh goods'!$AK$19*(H$3-$D$3)/10)-H27*'R&amp;S - Packaging and hh goods'!$N$4/SUM('R&amp;S - Packaging and hh goods'!$L$4:$N$4)*'R&amp;S - Packaging and hh goods'!$G$9*('R&amp;S - Packaging and hh goods'!$L$14*'R&amp;S - Packaging and hh goods'!$AL$19*(H$3-$D$3)/10)-H31*'R&amp;S - Packaging and hh goods'!$N$4/SUM('R&amp;S - Packaging and hh goods'!$L$4:$N$4)*'R&amp;S - Packaging and hh goods'!$G$10*('R&amp;S - Packaging and hh goods'!$L$14*'R&amp;S - Packaging and hh goods'!$AM$19*(H$3-$D$3)/10)</f>
        <v>2428755.9863205631</v>
      </c>
      <c r="I37" s="638">
        <f>I27*'R&amp;S - Packaging and hh goods'!$N$4/SUM('R&amp;S - Packaging and hh goods'!$L$4:$N$4)-I27*'R&amp;S - Packaging and hh goods'!$N$4/SUM('R&amp;S - Packaging and hh goods'!$L$4:$N$4)*'R&amp;S - Packaging and hh goods'!$G$7*('R&amp;S - Packaging and hh goods'!$L$14*'R&amp;S - Packaging and hh goods'!$AJ$19*(I$3-$D$3)/10)-I27*'R&amp;S - Packaging and hh goods'!$N$4/SUM('R&amp;S - Packaging and hh goods'!$L$4:$N$4)*'R&amp;S - Packaging and hh goods'!$G$8*('R&amp;S - Packaging and hh goods'!$L$14*'R&amp;S - Packaging and hh goods'!$AK$19*(I$3-$D$3)/10)-I27*'R&amp;S - Packaging and hh goods'!$N$4/SUM('R&amp;S - Packaging and hh goods'!$L$4:$N$4)*'R&amp;S - Packaging and hh goods'!$G$9*('R&amp;S - Packaging and hh goods'!$L$14*'R&amp;S - Packaging and hh goods'!$AL$19*(I$3-$D$3)/10)-I31*'R&amp;S - Packaging and hh goods'!$N$4/SUM('R&amp;S - Packaging and hh goods'!$L$4:$N$4)*'R&amp;S - Packaging and hh goods'!$G$10*('R&amp;S - Packaging and hh goods'!$L$14*'R&amp;S - Packaging and hh goods'!$AM$19*(I$3-$D$3)/10)</f>
        <v>2404284.5192919914</v>
      </c>
      <c r="J37" s="638">
        <f>J27*'R&amp;S - Packaging and hh goods'!$N$4/SUM('R&amp;S - Packaging and hh goods'!$L$4:$N$4)-J27*'R&amp;S - Packaging and hh goods'!$N$4/SUM('R&amp;S - Packaging and hh goods'!$L$4:$N$4)*'R&amp;S - Packaging and hh goods'!$G$7*('R&amp;S - Packaging and hh goods'!$L$14*'R&amp;S - Packaging and hh goods'!$AJ$19*(J$3-$D$3)/10)-J27*'R&amp;S - Packaging and hh goods'!$N$4/SUM('R&amp;S - Packaging and hh goods'!$L$4:$N$4)*'R&amp;S - Packaging and hh goods'!$G$8*('R&amp;S - Packaging and hh goods'!$L$14*'R&amp;S - Packaging and hh goods'!$AK$19*(J$3-$D$3)/10)-J27*'R&amp;S - Packaging and hh goods'!$N$4/SUM('R&amp;S - Packaging and hh goods'!$L$4:$N$4)*'R&amp;S - Packaging and hh goods'!$G$9*('R&amp;S - Packaging and hh goods'!$L$14*'R&amp;S - Packaging and hh goods'!$AL$19*(J$3-$D$3)/10)-J31*'R&amp;S - Packaging and hh goods'!$N$4/SUM('R&amp;S - Packaging and hh goods'!$L$4:$N$4)*'R&amp;S - Packaging and hh goods'!$G$10*('R&amp;S - Packaging and hh goods'!$L$14*'R&amp;S - Packaging and hh goods'!$AM$19*(J$3-$D$3)/10)</f>
        <v>2379787.592829193</v>
      </c>
      <c r="K37" s="638">
        <f>K27*'R&amp;S - Packaging and hh goods'!$N$4/SUM('R&amp;S - Packaging and hh goods'!$L$4:$N$4)-K27*'R&amp;S - Packaging and hh goods'!$N$4/SUM('R&amp;S - Packaging and hh goods'!$L$4:$N$4)*'R&amp;S - Packaging and hh goods'!$G$7*('R&amp;S - Packaging and hh goods'!$L$14*'R&amp;S - Packaging and hh goods'!$AJ$19*(K$3-$D$3)/10)-K27*'R&amp;S - Packaging and hh goods'!$N$4/SUM('R&amp;S - Packaging and hh goods'!$L$4:$N$4)*'R&amp;S - Packaging and hh goods'!$G$8*('R&amp;S - Packaging and hh goods'!$L$14*'R&amp;S - Packaging and hh goods'!$AK$19*(K$3-$D$3)/10)-K27*'R&amp;S - Packaging and hh goods'!$N$4/SUM('R&amp;S - Packaging and hh goods'!$L$4:$N$4)*'R&amp;S - Packaging and hh goods'!$G$9*('R&amp;S - Packaging and hh goods'!$L$14*'R&amp;S - Packaging and hh goods'!$AL$19*(K$3-$D$3)/10)-K31*'R&amp;S - Packaging and hh goods'!$N$4/SUM('R&amp;S - Packaging and hh goods'!$L$4:$N$4)*'R&amp;S - Packaging and hh goods'!$G$10*('R&amp;S - Packaging and hh goods'!$L$14*'R&amp;S - Packaging and hh goods'!$AM$19*(K$3-$D$3)/10)</f>
        <v>2355265.206932168</v>
      </c>
      <c r="L37" s="638">
        <f>L27*'R&amp;S - Packaging and hh goods'!$N$4/SUM('R&amp;S - Packaging and hh goods'!$L$4:$N$4)-L27*'R&amp;S - Packaging and hh goods'!$N$4/SUM('R&amp;S - Packaging and hh goods'!$L$4:$N$4)*'R&amp;S - Packaging and hh goods'!$G$7*('R&amp;S - Packaging and hh goods'!$L$14*'R&amp;S - Packaging and hh goods'!$AJ$19*(L$3-$D$3)/10)-L27*'R&amp;S - Packaging and hh goods'!$N$4/SUM('R&amp;S - Packaging and hh goods'!$L$4:$N$4)*'R&amp;S - Packaging and hh goods'!$G$8*('R&amp;S - Packaging and hh goods'!$L$14*'R&amp;S - Packaging and hh goods'!$AK$19*(L$3-$D$3)/10)-L27*'R&amp;S - Packaging and hh goods'!$N$4/SUM('R&amp;S - Packaging and hh goods'!$L$4:$N$4)*'R&amp;S - Packaging and hh goods'!$G$9*('R&amp;S - Packaging and hh goods'!$L$14*'R&amp;S - Packaging and hh goods'!$AL$19*(L$3-$D$3)/10)-L31*'R&amp;S - Packaging and hh goods'!$N$4/SUM('R&amp;S - Packaging and hh goods'!$L$4:$N$4)*'R&amp;S - Packaging and hh goods'!$G$10*('R&amp;S - Packaging and hh goods'!$L$14*'R&amp;S - Packaging and hh goods'!$AM$19*(L$3-$D$3)/10)</f>
        <v>2330717.3616009164</v>
      </c>
      <c r="M37" s="638">
        <f>M27*'R&amp;S - Packaging and hh goods'!$N$4/SUM('R&amp;S - Packaging and hh goods'!$L$4:$N$4)-M27*'R&amp;S - Packaging and hh goods'!$N$4/SUM('R&amp;S - Packaging and hh goods'!$L$4:$N$4)*'R&amp;S - Packaging and hh goods'!$G$7*('R&amp;S - Packaging and hh goods'!$L$14*'R&amp;S - Packaging and hh goods'!$AJ$19*(M$3-$D$3)/10)-M27*'R&amp;S - Packaging and hh goods'!$N$4/SUM('R&amp;S - Packaging and hh goods'!$L$4:$N$4)*'R&amp;S - Packaging and hh goods'!$G$8*('R&amp;S - Packaging and hh goods'!$L$14*'R&amp;S - Packaging and hh goods'!$AK$19*(M$3-$D$3)/10)-M27*'R&amp;S - Packaging and hh goods'!$N$4/SUM('R&amp;S - Packaging and hh goods'!$L$4:$N$4)*'R&amp;S - Packaging and hh goods'!$G$9*('R&amp;S - Packaging and hh goods'!$L$14*'R&amp;S - Packaging and hh goods'!$AL$19*(M$3-$D$3)/10)-M31*'R&amp;S - Packaging and hh goods'!$N$4/SUM('R&amp;S - Packaging and hh goods'!$L$4:$N$4)*'R&amp;S - Packaging and hh goods'!$G$10*('R&amp;S - Packaging and hh goods'!$L$14*'R&amp;S - Packaging and hh goods'!$AM$19*(M$3-$D$3)/10)</f>
        <v>2306144.0568354386</v>
      </c>
      <c r="N37" s="638">
        <f>N27*'R&amp;S - Packaging and hh goods'!$N$4/SUM('R&amp;S - Packaging and hh goods'!$L$4:$N$4)-N27*'R&amp;S - Packaging and hh goods'!$N$4/SUM('R&amp;S - Packaging and hh goods'!$L$4:$N$4)*'R&amp;S - Packaging and hh goods'!$G$7*('R&amp;S - Packaging and hh goods'!$L$14*'R&amp;S - Packaging and hh goods'!$AJ$19*(N$3-$D$3)/10)-N27*'R&amp;S - Packaging and hh goods'!$N$4/SUM('R&amp;S - Packaging and hh goods'!$L$4:$N$4)*'R&amp;S - Packaging and hh goods'!$G$8*('R&amp;S - Packaging and hh goods'!$L$14*'R&amp;S - Packaging and hh goods'!$AK$19*(N$3-$D$3)/10)-N27*'R&amp;S - Packaging and hh goods'!$N$4/SUM('R&amp;S - Packaging and hh goods'!$L$4:$N$4)*'R&amp;S - Packaging and hh goods'!$G$9*('R&amp;S - Packaging and hh goods'!$L$14*'R&amp;S - Packaging and hh goods'!$AL$19*(N$3-$D$3)/10)-N31*'R&amp;S - Packaging and hh goods'!$N$4/SUM('R&amp;S - Packaging and hh goods'!$L$4:$N$4)*'R&amp;S - Packaging and hh goods'!$G$10*('R&amp;S - Packaging and hh goods'!$L$14*'R&amp;S - Packaging and hh goods'!$AM$19*(N$3-$D$3)/10)</f>
        <v>2281545.2926357337</v>
      </c>
      <c r="O37" s="638">
        <f>O27*'R&amp;S - Packaging and hh goods'!$N$4/SUM('R&amp;S - Packaging and hh goods'!$L$4:$N$4)-O27*'R&amp;S - Packaging and hh goods'!$N$4/SUM('R&amp;S - Packaging and hh goods'!$L$4:$N$4)*('R&amp;S - Packaging and hh goods'!$G$7*'R&amp;S - Packaging and hh goods'!$L$14*('R&amp;S - Packaging and hh goods'!$AJ$19+('R&amp;S - Packaging and hh goods'!$AJ$20-'R&amp;S - Packaging and hh goods'!$AJ$19)*(O$3-$N$3)/10))-O27*'R&amp;S - Packaging and hh goods'!$N$4/SUM('R&amp;S - Packaging and hh goods'!$L$4:$N$4)*('R&amp;S - Packaging and hh goods'!$G$8*'R&amp;S - Packaging and hh goods'!$L$14*('R&amp;S - Packaging and hh goods'!$AK$19+('R&amp;S - Packaging and hh goods'!$AK$20-'R&amp;S - Packaging and hh goods'!$AK$19)*(O$3-$N$3)/10))-O27*'R&amp;S - Packaging and hh goods'!$N$4/SUM('R&amp;S - Packaging and hh goods'!$L$4:$N$4)*('R&amp;S - Packaging and hh goods'!$G$9*'R&amp;S - Packaging and hh goods'!$M$14*('R&amp;S - Packaging and hh goods'!$AL$19+('R&amp;S - Packaging and hh goods'!$AL$20-'R&amp;S - Packaging and hh goods'!$AL$19)*(O$3-$N$3)/10))-O27*'R&amp;S - Packaging and hh goods'!$N$4/SUM('R&amp;S - Packaging and hh goods'!$L$4:$N$4)*('R&amp;S - Packaging and hh goods'!$G$10*'R&amp;S - Packaging and hh goods'!$M$14*('R&amp;S - Packaging and hh goods'!$AM$19+('R&amp;S - Packaging and hh goods'!$AM$20-'R&amp;S - Packaging and hh goods'!$AM$19)*(O$3-$N$3)/10))</f>
        <v>2146173.556610432</v>
      </c>
      <c r="P37" s="638">
        <f>P27*'R&amp;S - Packaging and hh goods'!$N$4/SUM('R&amp;S - Packaging and hh goods'!$L$4:$N$4)-P27*'R&amp;S - Packaging and hh goods'!$N$4/SUM('R&amp;S - Packaging and hh goods'!$L$4:$N$4)*('R&amp;S - Packaging and hh goods'!$G$7*'R&amp;S - Packaging and hh goods'!$L$14*('R&amp;S - Packaging and hh goods'!$AJ$19+('R&amp;S - Packaging and hh goods'!$AJ$20-'R&amp;S - Packaging and hh goods'!$AJ$19)*(P$3-$N$3)/10))-P27*'R&amp;S - Packaging and hh goods'!$N$4/SUM('R&amp;S - Packaging and hh goods'!$L$4:$N$4)*('R&amp;S - Packaging and hh goods'!$G$8*'R&amp;S - Packaging and hh goods'!$L$14*('R&amp;S - Packaging and hh goods'!$AK$19+('R&amp;S - Packaging and hh goods'!$AK$20-'R&amp;S - Packaging and hh goods'!$AK$19)*(P$3-$N$3)/10))-P27*'R&amp;S - Packaging and hh goods'!$N$4/SUM('R&amp;S - Packaging and hh goods'!$L$4:$N$4)*('R&amp;S - Packaging and hh goods'!$G$9*'R&amp;S - Packaging and hh goods'!$M$14*('R&amp;S - Packaging and hh goods'!$AL$19+('R&amp;S - Packaging and hh goods'!$AL$20-'R&amp;S - Packaging and hh goods'!$AL$19)*(P$3-$N$3)/10))-P27*'R&amp;S - Packaging and hh goods'!$N$4/SUM('R&amp;S - Packaging and hh goods'!$L$4:$N$4)*('R&amp;S - Packaging and hh goods'!$G$10*'R&amp;S - Packaging and hh goods'!$M$14*('R&amp;S - Packaging and hh goods'!$AM$19+('R&amp;S - Packaging and hh goods'!$AM$20-'R&amp;S - Packaging and hh goods'!$AM$19)*(P$3-$N$3)/10))</f>
        <v>2077892.8881319098</v>
      </c>
      <c r="Q37" s="638">
        <f>Q27*'R&amp;S - Packaging and hh goods'!$N$4/SUM('R&amp;S - Packaging and hh goods'!$L$4:$N$4)-Q27*'R&amp;S - Packaging and hh goods'!$N$4/SUM('R&amp;S - Packaging and hh goods'!$L$4:$N$4)*('R&amp;S - Packaging and hh goods'!$G$7*'R&amp;S - Packaging and hh goods'!$L$14*('R&amp;S - Packaging and hh goods'!$AJ$19+('R&amp;S - Packaging and hh goods'!$AJ$20-'R&amp;S - Packaging and hh goods'!$AJ$19)*(Q$3-$N$3)/10))-Q27*'R&amp;S - Packaging and hh goods'!$N$4/SUM('R&amp;S - Packaging and hh goods'!$L$4:$N$4)*('R&amp;S - Packaging and hh goods'!$G$8*'R&amp;S - Packaging and hh goods'!$L$14*('R&amp;S - Packaging and hh goods'!$AK$19+('R&amp;S - Packaging and hh goods'!$AK$20-'R&amp;S - Packaging and hh goods'!$AK$19)*(Q$3-$N$3)/10))-Q27*'R&amp;S - Packaging and hh goods'!$N$4/SUM('R&amp;S - Packaging and hh goods'!$L$4:$N$4)*('R&amp;S - Packaging and hh goods'!$G$9*'R&amp;S - Packaging and hh goods'!$M$14*('R&amp;S - Packaging and hh goods'!$AL$19+('R&amp;S - Packaging and hh goods'!$AL$20-'R&amp;S - Packaging and hh goods'!$AL$19)*(Q$3-$N$3)/10))-Q27*'R&amp;S - Packaging and hh goods'!$N$4/SUM('R&amp;S - Packaging and hh goods'!$L$4:$N$4)*('R&amp;S - Packaging and hh goods'!$G$10*'R&amp;S - Packaging and hh goods'!$M$14*('R&amp;S - Packaging and hh goods'!$AM$19+('R&amp;S - Packaging and hh goods'!$AM$20-'R&amp;S - Packaging and hh goods'!$AM$19)*(Q$3-$N$3)/10))</f>
        <v>2009612.2196533871</v>
      </c>
      <c r="R37" s="638">
        <f>R27*'R&amp;S - Packaging and hh goods'!$N$4/SUM('R&amp;S - Packaging and hh goods'!$L$4:$N$4)-R27*'R&amp;S - Packaging and hh goods'!$N$4/SUM('R&amp;S - Packaging and hh goods'!$L$4:$N$4)*('R&amp;S - Packaging and hh goods'!$G$7*'R&amp;S - Packaging and hh goods'!$L$14*('R&amp;S - Packaging and hh goods'!$AJ$19+('R&amp;S - Packaging and hh goods'!$AJ$20-'R&amp;S - Packaging and hh goods'!$AJ$19)*(R$3-$N$3)/10))-R27*'R&amp;S - Packaging and hh goods'!$N$4/SUM('R&amp;S - Packaging and hh goods'!$L$4:$N$4)*('R&amp;S - Packaging and hh goods'!$G$8*'R&amp;S - Packaging and hh goods'!$L$14*('R&amp;S - Packaging and hh goods'!$AK$19+('R&amp;S - Packaging and hh goods'!$AK$20-'R&amp;S - Packaging and hh goods'!$AK$19)*(R$3-$N$3)/10))-R27*'R&amp;S - Packaging and hh goods'!$N$4/SUM('R&amp;S - Packaging and hh goods'!$L$4:$N$4)*('R&amp;S - Packaging and hh goods'!$G$9*'R&amp;S - Packaging and hh goods'!$M$14*('R&amp;S - Packaging and hh goods'!$AL$19+('R&amp;S - Packaging and hh goods'!$AL$20-'R&amp;S - Packaging and hh goods'!$AL$19)*(R$3-$N$3)/10))-R27*'R&amp;S - Packaging and hh goods'!$N$4/SUM('R&amp;S - Packaging and hh goods'!$L$4:$N$4)*('R&amp;S - Packaging and hh goods'!$G$10*'R&amp;S - Packaging and hh goods'!$M$14*('R&amp;S - Packaging and hh goods'!$AM$19+('R&amp;S - Packaging and hh goods'!$AM$20-'R&amp;S - Packaging and hh goods'!$AM$19)*(R$3-$N$3)/10))</f>
        <v>1941331.5511748651</v>
      </c>
      <c r="S37" s="638">
        <f>S27*'R&amp;S - Packaging and hh goods'!$N$4/SUM('R&amp;S - Packaging and hh goods'!$L$4:$N$4)-S27*'R&amp;S - Packaging and hh goods'!$N$4/SUM('R&amp;S - Packaging and hh goods'!$L$4:$N$4)*('R&amp;S - Packaging and hh goods'!$G$7*'R&amp;S - Packaging and hh goods'!$L$14*('R&amp;S - Packaging and hh goods'!$AJ$19+('R&amp;S - Packaging and hh goods'!$AJ$20-'R&amp;S - Packaging and hh goods'!$AJ$19)*(S$3-$N$3)/10))-S27*'R&amp;S - Packaging and hh goods'!$N$4/SUM('R&amp;S - Packaging and hh goods'!$L$4:$N$4)*('R&amp;S - Packaging and hh goods'!$G$8*'R&amp;S - Packaging and hh goods'!$L$14*('R&amp;S - Packaging and hh goods'!$AK$19+('R&amp;S - Packaging and hh goods'!$AK$20-'R&amp;S - Packaging and hh goods'!$AK$19)*(S$3-$N$3)/10))-S27*'R&amp;S - Packaging and hh goods'!$N$4/SUM('R&amp;S - Packaging and hh goods'!$L$4:$N$4)*('R&amp;S - Packaging and hh goods'!$G$9*'R&amp;S - Packaging and hh goods'!$M$14*('R&amp;S - Packaging and hh goods'!$AL$19+('R&amp;S - Packaging and hh goods'!$AL$20-'R&amp;S - Packaging and hh goods'!$AL$19)*(S$3-$N$3)/10))-S27*'R&amp;S - Packaging and hh goods'!$N$4/SUM('R&amp;S - Packaging and hh goods'!$L$4:$N$4)*('R&amp;S - Packaging and hh goods'!$G$10*'R&amp;S - Packaging and hh goods'!$M$14*('R&amp;S - Packaging and hh goods'!$AM$19+('R&amp;S - Packaging and hh goods'!$AM$20-'R&amp;S - Packaging and hh goods'!$AM$19)*(S$3-$N$3)/10))</f>
        <v>1873050.8826963424</v>
      </c>
      <c r="T37" s="638">
        <f>T27*'R&amp;S - Packaging and hh goods'!$N$4/SUM('R&amp;S - Packaging and hh goods'!$L$4:$N$4)-T27*'R&amp;S - Packaging and hh goods'!$N$4/SUM('R&amp;S - Packaging and hh goods'!$L$4:$N$4)*('R&amp;S - Packaging and hh goods'!$G$7*'R&amp;S - Packaging and hh goods'!$L$14*('R&amp;S - Packaging and hh goods'!$AJ$19+('R&amp;S - Packaging and hh goods'!$AJ$20-'R&amp;S - Packaging and hh goods'!$AJ$19)*(T$3-$N$3)/10))-T27*'R&amp;S - Packaging and hh goods'!$N$4/SUM('R&amp;S - Packaging and hh goods'!$L$4:$N$4)*('R&amp;S - Packaging and hh goods'!$G$8*'R&amp;S - Packaging and hh goods'!$L$14*('R&amp;S - Packaging and hh goods'!$AK$19+('R&amp;S - Packaging and hh goods'!$AK$20-'R&amp;S - Packaging and hh goods'!$AK$19)*(T$3-$N$3)/10))-T27*'R&amp;S - Packaging and hh goods'!$N$4/SUM('R&amp;S - Packaging and hh goods'!$L$4:$N$4)*('R&amp;S - Packaging and hh goods'!$G$9*'R&amp;S - Packaging and hh goods'!$M$14*('R&amp;S - Packaging and hh goods'!$AL$19+('R&amp;S - Packaging and hh goods'!$AL$20-'R&amp;S - Packaging and hh goods'!$AL$19)*(T$3-$N$3)/10))-T27*'R&amp;S - Packaging and hh goods'!$N$4/SUM('R&amp;S - Packaging and hh goods'!$L$4:$N$4)*('R&amp;S - Packaging and hh goods'!$G$10*'R&amp;S - Packaging and hh goods'!$M$14*('R&amp;S - Packaging and hh goods'!$AM$19+('R&amp;S - Packaging and hh goods'!$AM$20-'R&amp;S - Packaging and hh goods'!$AM$19)*(T$3-$N$3)/10))</f>
        <v>1804770.2142178202</v>
      </c>
      <c r="U37" s="638">
        <f>U27*'R&amp;S - Packaging and hh goods'!$N$4/SUM('R&amp;S - Packaging and hh goods'!$L$4:$N$4)-U27*'R&amp;S - Packaging and hh goods'!$N$4/SUM('R&amp;S - Packaging and hh goods'!$L$4:$N$4)*('R&amp;S - Packaging and hh goods'!$G$7*'R&amp;S - Packaging and hh goods'!$L$14*('R&amp;S - Packaging and hh goods'!$AJ$19+('R&amp;S - Packaging and hh goods'!$AJ$20-'R&amp;S - Packaging and hh goods'!$AJ$19)*(U$3-$N$3)/10))-U27*'R&amp;S - Packaging and hh goods'!$N$4/SUM('R&amp;S - Packaging and hh goods'!$L$4:$N$4)*('R&amp;S - Packaging and hh goods'!$G$8*'R&amp;S - Packaging and hh goods'!$L$14*('R&amp;S - Packaging and hh goods'!$AK$19+('R&amp;S - Packaging and hh goods'!$AK$20-'R&amp;S - Packaging and hh goods'!$AK$19)*(U$3-$N$3)/10))-U27*'R&amp;S - Packaging and hh goods'!$N$4/SUM('R&amp;S - Packaging and hh goods'!$L$4:$N$4)*('R&amp;S - Packaging and hh goods'!$G$9*'R&amp;S - Packaging and hh goods'!$M$14*('R&amp;S - Packaging and hh goods'!$AL$19+('R&amp;S - Packaging and hh goods'!$AL$20-'R&amp;S - Packaging and hh goods'!$AL$19)*(U$3-$N$3)/10))-U27*'R&amp;S - Packaging and hh goods'!$N$4/SUM('R&amp;S - Packaging and hh goods'!$L$4:$N$4)*('R&amp;S - Packaging and hh goods'!$G$10*'R&amp;S - Packaging and hh goods'!$M$14*('R&amp;S - Packaging and hh goods'!$AM$19+('R&amp;S - Packaging and hh goods'!$AM$20-'R&amp;S - Packaging and hh goods'!$AM$19)*(U$3-$N$3)/10))</f>
        <v>1736489.5457392982</v>
      </c>
      <c r="V37" s="638">
        <f>V27*'R&amp;S - Packaging and hh goods'!$N$4/SUM('R&amp;S - Packaging and hh goods'!$L$4:$N$4)-V27*'R&amp;S - Packaging and hh goods'!$N$4/SUM('R&amp;S - Packaging and hh goods'!$L$4:$N$4)*('R&amp;S - Packaging and hh goods'!$G$7*'R&amp;S - Packaging and hh goods'!$L$14*('R&amp;S - Packaging and hh goods'!$AJ$19+('R&amp;S - Packaging and hh goods'!$AJ$20-'R&amp;S - Packaging and hh goods'!$AJ$19)*(V$3-$N$3)/10))-V27*'R&amp;S - Packaging and hh goods'!$N$4/SUM('R&amp;S - Packaging and hh goods'!$L$4:$N$4)*('R&amp;S - Packaging and hh goods'!$G$8*'R&amp;S - Packaging and hh goods'!$L$14*('R&amp;S - Packaging and hh goods'!$AK$19+('R&amp;S - Packaging and hh goods'!$AK$20-'R&amp;S - Packaging and hh goods'!$AK$19)*(V$3-$N$3)/10))-V27*'R&amp;S - Packaging and hh goods'!$N$4/SUM('R&amp;S - Packaging and hh goods'!$L$4:$N$4)*('R&amp;S - Packaging and hh goods'!$G$9*'R&amp;S - Packaging and hh goods'!$M$14*('R&amp;S - Packaging and hh goods'!$AL$19+('R&amp;S - Packaging and hh goods'!$AL$20-'R&amp;S - Packaging and hh goods'!$AL$19)*(V$3-$N$3)/10))-V27*'R&amp;S - Packaging and hh goods'!$N$4/SUM('R&amp;S - Packaging and hh goods'!$L$4:$N$4)*('R&amp;S - Packaging and hh goods'!$G$10*'R&amp;S - Packaging and hh goods'!$M$14*('R&amp;S - Packaging and hh goods'!$AM$19+('R&amp;S - Packaging and hh goods'!$AM$20-'R&amp;S - Packaging and hh goods'!$AM$19)*(V$3-$N$3)/10))</f>
        <v>1668208.8772607758</v>
      </c>
      <c r="W37" s="638">
        <f>W27*'R&amp;S - Packaging and hh goods'!$N$4/SUM('R&amp;S - Packaging and hh goods'!$L$4:$N$4)-W27*'R&amp;S - Packaging and hh goods'!$N$4/SUM('R&amp;S - Packaging and hh goods'!$L$4:$N$4)*('R&amp;S - Packaging and hh goods'!$G$7*'R&amp;S - Packaging and hh goods'!$L$14*('R&amp;S - Packaging and hh goods'!$AJ$19+('R&amp;S - Packaging and hh goods'!$AJ$20-'R&amp;S - Packaging and hh goods'!$AJ$19)*(W$3-$N$3)/10))-W27*'R&amp;S - Packaging and hh goods'!$N$4/SUM('R&amp;S - Packaging and hh goods'!$L$4:$N$4)*('R&amp;S - Packaging and hh goods'!$G$8*'R&amp;S - Packaging and hh goods'!$L$14*('R&amp;S - Packaging and hh goods'!$AK$19+('R&amp;S - Packaging and hh goods'!$AK$20-'R&amp;S - Packaging and hh goods'!$AK$19)*(W$3-$N$3)/10))-W27*'R&amp;S - Packaging and hh goods'!$N$4/SUM('R&amp;S - Packaging and hh goods'!$L$4:$N$4)*('R&amp;S - Packaging and hh goods'!$G$9*'R&amp;S - Packaging and hh goods'!$M$14*('R&amp;S - Packaging and hh goods'!$AL$19+('R&amp;S - Packaging and hh goods'!$AL$20-'R&amp;S - Packaging and hh goods'!$AL$19)*(W$3-$N$3)/10))-W27*'R&amp;S - Packaging and hh goods'!$N$4/SUM('R&amp;S - Packaging and hh goods'!$L$4:$N$4)*('R&amp;S - Packaging and hh goods'!$G$10*'R&amp;S - Packaging and hh goods'!$M$14*('R&amp;S - Packaging and hh goods'!$AM$19+('R&amp;S - Packaging and hh goods'!$AM$20-'R&amp;S - Packaging and hh goods'!$AM$19)*(W$3-$N$3)/10))</f>
        <v>1599928.2087822531</v>
      </c>
      <c r="X37" s="638">
        <f>X27*'R&amp;S - Packaging and hh goods'!$N$4/SUM('R&amp;S - Packaging and hh goods'!$L$4:$N$4)-X27*'R&amp;S - Packaging and hh goods'!$N$4/SUM('R&amp;S - Packaging and hh goods'!$L$4:$N$4)*('R&amp;S - Packaging and hh goods'!$G$7*'R&amp;S - Packaging and hh goods'!$L$14*('R&amp;S - Packaging and hh goods'!$AJ$19+('R&amp;S - Packaging and hh goods'!$AJ$20-'R&amp;S - Packaging and hh goods'!$AJ$19)*(X$3-$N$3)/10))-X27*'R&amp;S - Packaging and hh goods'!$N$4/SUM('R&amp;S - Packaging and hh goods'!$L$4:$N$4)*('R&amp;S - Packaging and hh goods'!$G$8*'R&amp;S - Packaging and hh goods'!$L$14*('R&amp;S - Packaging and hh goods'!$AK$19+('R&amp;S - Packaging and hh goods'!$AK$20-'R&amp;S - Packaging and hh goods'!$AK$19)*(X$3-$N$3)/10))-X27*'R&amp;S - Packaging and hh goods'!$N$4/SUM('R&amp;S - Packaging and hh goods'!$L$4:$N$4)*('R&amp;S - Packaging and hh goods'!$G$9*'R&amp;S - Packaging and hh goods'!$M$14*('R&amp;S - Packaging and hh goods'!$AL$19+('R&amp;S - Packaging and hh goods'!$AL$20-'R&amp;S - Packaging and hh goods'!$AL$19)*(X$3-$N$3)/10))-X27*'R&amp;S - Packaging and hh goods'!$N$4/SUM('R&amp;S - Packaging and hh goods'!$L$4:$N$4)*('R&amp;S - Packaging and hh goods'!$G$10*'R&amp;S - Packaging and hh goods'!$M$14*('R&amp;S - Packaging and hh goods'!$AM$19+('R&amp;S - Packaging and hh goods'!$AM$20-'R&amp;S - Packaging and hh goods'!$AM$19)*(X$3-$N$3)/10))</f>
        <v>1531647.5403037313</v>
      </c>
      <c r="Y37" s="638">
        <f>Y27*'R&amp;S - Packaging and hh goods'!$N$4/SUM('R&amp;S - Packaging and hh goods'!$L$4:$N$4)-Y27*'R&amp;S - Packaging and hh goods'!$N$4/SUM('R&amp;S - Packaging and hh goods'!$L$4:$N$4)*('R&amp;S - Packaging and hh goods'!$G7*'R&amp;S - Packaging and hh goods'!$L$14*('R&amp;S - Packaging and hh goods'!$AJ$20+('R&amp;S - Packaging and hh goods'!$AJ$21-'R&amp;S - Packaging and hh goods'!$AJ$20)*(Y$3-$X$3)/10))-Y27*'R&amp;S - Packaging and hh goods'!$N$4/SUM('R&amp;S - Packaging and hh goods'!$L$4:$N$4)*('R&amp;S - Packaging and hh goods'!$G8*'R&amp;S - Packaging and hh goods'!$L$14*('R&amp;S - Packaging and hh goods'!$AK$20+('R&amp;S - Packaging and hh goods'!$AK$21-'R&amp;S - Packaging and hh goods'!$AK$20)*(Y$3-$X$3)/10))-Y27*'R&amp;S - Packaging and hh goods'!$N$4/SUM('R&amp;S - Packaging and hh goods'!$L$4:$N$4)*('R&amp;S - Packaging and hh goods'!$G9*'R&amp;S - Packaging and hh goods'!$M$14*('R&amp;S - Packaging and hh goods'!$AL$20+('R&amp;S - Packaging and hh goods'!$AL$21-'R&amp;S - Packaging and hh goods'!$AL$20)*(Y$3-$X$3)/10))-Y27*'R&amp;S - Packaging and hh goods'!$N$4/SUM('R&amp;S - Packaging and hh goods'!$L$4:$N$4)*('R&amp;S - Packaging and hh goods'!$G10*'R&amp;S - Packaging and hh goods'!$M$14*('R&amp;S - Packaging and hh goods'!$AM$20+('R&amp;S - Packaging and hh goods'!$AM$21-'R&amp;S - Packaging and hh goods'!$AM$20)*(Y$3-$X$3)/10))</f>
        <v>1461600.9271304042</v>
      </c>
      <c r="Z37" s="638">
        <f>Z27*'R&amp;S - Packaging and hh goods'!$N$4/SUM('R&amp;S - Packaging and hh goods'!$L$4:$N$4)-Z27*'R&amp;S - Packaging and hh goods'!$N$4/SUM('R&amp;S - Packaging and hh goods'!$L$4:$N$4)*('R&amp;S - Packaging and hh goods'!$G7*'R&amp;S - Packaging and hh goods'!$L$14*('R&amp;S - Packaging and hh goods'!$AJ$20+('R&amp;S - Packaging and hh goods'!$AJ$21-'R&amp;S - Packaging and hh goods'!$AJ$20)*(Z$3-$X$3)/10))-Z27*'R&amp;S - Packaging and hh goods'!$N$4/SUM('R&amp;S - Packaging and hh goods'!$L$4:$N$4)*('R&amp;S - Packaging and hh goods'!$G8*'R&amp;S - Packaging and hh goods'!$L$14*('R&amp;S - Packaging and hh goods'!$AK$20+('R&amp;S - Packaging and hh goods'!$AK$21-'R&amp;S - Packaging and hh goods'!$AK$20)*(Z$3-$X$3)/10))-Z27*'R&amp;S - Packaging and hh goods'!$N$4/SUM('R&amp;S - Packaging and hh goods'!$L$4:$N$4)*('R&amp;S - Packaging and hh goods'!$G9*'R&amp;S - Packaging and hh goods'!$M$14*('R&amp;S - Packaging and hh goods'!$AL$20+('R&amp;S - Packaging and hh goods'!$AL$21-'R&amp;S - Packaging and hh goods'!$AL$20)*(Z$3-$X$3)/10))-Z27*'R&amp;S - Packaging and hh goods'!$N$4/SUM('R&amp;S - Packaging and hh goods'!$L$4:$N$4)*('R&amp;S - Packaging and hh goods'!$G10*'R&amp;S - Packaging and hh goods'!$M$14*('R&amp;S - Packaging and hh goods'!$AM$20+('R&amp;S - Packaging and hh goods'!$AM$21-'R&amp;S - Packaging and hh goods'!$AM$20)*(Z$3-$X$3)/10))</f>
        <v>1391554.313957077</v>
      </c>
      <c r="AA37" s="638">
        <f>AA27*'R&amp;S - Packaging and hh goods'!$N$4/SUM('R&amp;S - Packaging and hh goods'!$L$4:$N$4)-AA27*'R&amp;S - Packaging and hh goods'!$N$4/SUM('R&amp;S - Packaging and hh goods'!$L$4:$N$4)*('R&amp;S - Packaging and hh goods'!$G7*'R&amp;S - Packaging and hh goods'!$L$14*('R&amp;S - Packaging and hh goods'!$AJ$20+('R&amp;S - Packaging and hh goods'!$AJ$21-'R&amp;S - Packaging and hh goods'!$AJ$20)*(AA$3-$X$3)/10))-AA27*'R&amp;S - Packaging and hh goods'!$N$4/SUM('R&amp;S - Packaging and hh goods'!$L$4:$N$4)*('R&amp;S - Packaging and hh goods'!$G8*'R&amp;S - Packaging and hh goods'!$L$14*('R&amp;S - Packaging and hh goods'!$AK$20+('R&amp;S - Packaging and hh goods'!$AK$21-'R&amp;S - Packaging and hh goods'!$AK$20)*(AA$3-$X$3)/10))-AA27*'R&amp;S - Packaging and hh goods'!$N$4/SUM('R&amp;S - Packaging and hh goods'!$L$4:$N$4)*('R&amp;S - Packaging and hh goods'!$G9*'R&amp;S - Packaging and hh goods'!$M$14*('R&amp;S - Packaging and hh goods'!$AL$20+('R&amp;S - Packaging and hh goods'!$AL$21-'R&amp;S - Packaging and hh goods'!$AL$20)*(AA$3-$X$3)/10))-AA27*'R&amp;S - Packaging and hh goods'!$N$4/SUM('R&amp;S - Packaging and hh goods'!$L$4:$N$4)*('R&amp;S - Packaging and hh goods'!$G10*'R&amp;S - Packaging and hh goods'!$M$14*('R&amp;S - Packaging and hh goods'!$AM$20+('R&amp;S - Packaging and hh goods'!$AM$21-'R&amp;S - Packaging and hh goods'!$AM$20)*(AA$3-$X$3)/10))</f>
        <v>1321507.7007837496</v>
      </c>
      <c r="AB37" s="638">
        <f>AB27*'R&amp;S - Packaging and hh goods'!$N$4/SUM('R&amp;S - Packaging and hh goods'!$L$4:$N$4)-AB27*'R&amp;S - Packaging and hh goods'!$N$4/SUM('R&amp;S - Packaging and hh goods'!$L$4:$N$4)*('R&amp;S - Packaging and hh goods'!$G7*'R&amp;S - Packaging and hh goods'!$L$14*('R&amp;S - Packaging and hh goods'!$AJ$20+('R&amp;S - Packaging and hh goods'!$AJ$21-'R&amp;S - Packaging and hh goods'!$AJ$20)*(AB$3-$X$3)/10))-AB27*'R&amp;S - Packaging and hh goods'!$N$4/SUM('R&amp;S - Packaging and hh goods'!$L$4:$N$4)*('R&amp;S - Packaging and hh goods'!$G8*'R&amp;S - Packaging and hh goods'!$L$14*('R&amp;S - Packaging and hh goods'!$AK$20+('R&amp;S - Packaging and hh goods'!$AK$21-'R&amp;S - Packaging and hh goods'!$AK$20)*(AB$3-$X$3)/10))-AB27*'R&amp;S - Packaging and hh goods'!$N$4/SUM('R&amp;S - Packaging and hh goods'!$L$4:$N$4)*('R&amp;S - Packaging and hh goods'!$G9*'R&amp;S - Packaging and hh goods'!$M$14*('R&amp;S - Packaging and hh goods'!$AL$20+('R&amp;S - Packaging and hh goods'!$AL$21-'R&amp;S - Packaging and hh goods'!$AL$20)*(AB$3-$X$3)/10))-AB27*'R&amp;S - Packaging and hh goods'!$N$4/SUM('R&amp;S - Packaging and hh goods'!$L$4:$N$4)*('R&amp;S - Packaging and hh goods'!$G10*'R&amp;S - Packaging and hh goods'!$M$14*('R&amp;S - Packaging and hh goods'!$AM$20+('R&amp;S - Packaging and hh goods'!$AM$21-'R&amp;S - Packaging and hh goods'!$AM$20)*(AB$3-$X$3)/10))</f>
        <v>1251461.0876104229</v>
      </c>
      <c r="AC37" s="638">
        <f>AC27*'R&amp;S - Packaging and hh goods'!$N$4/SUM('R&amp;S - Packaging and hh goods'!$L$4:$N$4)-AC27*'R&amp;S - Packaging and hh goods'!$N$4/SUM('R&amp;S - Packaging and hh goods'!$L$4:$N$4)*('R&amp;S - Packaging and hh goods'!$G7*'R&amp;S - Packaging and hh goods'!$L$14*('R&amp;S - Packaging and hh goods'!$AJ$20+('R&amp;S - Packaging and hh goods'!$AJ$21-'R&amp;S - Packaging and hh goods'!$AJ$20)*(AC$3-$X$3)/10))-AC27*'R&amp;S - Packaging and hh goods'!$N$4/SUM('R&amp;S - Packaging and hh goods'!$L$4:$N$4)*('R&amp;S - Packaging and hh goods'!$G8*'R&amp;S - Packaging and hh goods'!$L$14*('R&amp;S - Packaging and hh goods'!$AK$20+('R&amp;S - Packaging and hh goods'!$AK$21-'R&amp;S - Packaging and hh goods'!$AK$20)*(AC$3-$X$3)/10))-AC27*'R&amp;S - Packaging and hh goods'!$N$4/SUM('R&amp;S - Packaging and hh goods'!$L$4:$N$4)*('R&amp;S - Packaging and hh goods'!$G9*'R&amp;S - Packaging and hh goods'!$M$14*('R&amp;S - Packaging and hh goods'!$AL$20+('R&amp;S - Packaging and hh goods'!$AL$21-'R&amp;S - Packaging and hh goods'!$AL$20)*(AC$3-$X$3)/10))-AC27*'R&amp;S - Packaging and hh goods'!$N$4/SUM('R&amp;S - Packaging and hh goods'!$L$4:$N$4)*('R&amp;S - Packaging and hh goods'!$G10*'R&amp;S - Packaging and hh goods'!$M$14*('R&amp;S - Packaging and hh goods'!$AM$20+('R&amp;S - Packaging and hh goods'!$AM$21-'R&amp;S - Packaging and hh goods'!$AM$20)*(AC$3-$X$3)/10))</f>
        <v>1181414.4744370959</v>
      </c>
      <c r="AD37" s="638">
        <f>AD27*'R&amp;S - Packaging and hh goods'!$N$4/SUM('R&amp;S - Packaging and hh goods'!$L$4:$N$4)-AD27*'R&amp;S - Packaging and hh goods'!$N$4/SUM('R&amp;S - Packaging and hh goods'!$L$4:$N$4)*('R&amp;S - Packaging and hh goods'!$G7*'R&amp;S - Packaging and hh goods'!$L$14*('R&amp;S - Packaging and hh goods'!$AJ$20+('R&amp;S - Packaging and hh goods'!$AJ$21-'R&amp;S - Packaging and hh goods'!$AJ$20)*(AD$3-$X$3)/10))-AD27*'R&amp;S - Packaging and hh goods'!$N$4/SUM('R&amp;S - Packaging and hh goods'!$L$4:$N$4)*('R&amp;S - Packaging and hh goods'!$G8*'R&amp;S - Packaging and hh goods'!$L$14*('R&amp;S - Packaging and hh goods'!$AK$20+('R&amp;S - Packaging and hh goods'!$AK$21-'R&amp;S - Packaging and hh goods'!$AK$20)*(AD$3-$X$3)/10))-AD27*'R&amp;S - Packaging and hh goods'!$N$4/SUM('R&amp;S - Packaging and hh goods'!$L$4:$N$4)*('R&amp;S - Packaging and hh goods'!$G9*'R&amp;S - Packaging and hh goods'!$M$14*('R&amp;S - Packaging and hh goods'!$AL$20+('R&amp;S - Packaging and hh goods'!$AL$21-'R&amp;S - Packaging and hh goods'!$AL$20)*(AD$3-$X$3)/10))-AD27*'R&amp;S - Packaging and hh goods'!$N$4/SUM('R&amp;S - Packaging and hh goods'!$L$4:$N$4)*('R&amp;S - Packaging and hh goods'!$G10*'R&amp;S - Packaging and hh goods'!$M$14*('R&amp;S - Packaging and hh goods'!$AM$20+('R&amp;S - Packaging and hh goods'!$AM$21-'R&amp;S - Packaging and hh goods'!$AM$20)*(AD$3-$X$3)/10))</f>
        <v>1111367.8612637685</v>
      </c>
      <c r="AE37" s="638">
        <f>AE27*'R&amp;S - Packaging and hh goods'!$N$4/SUM('R&amp;S - Packaging and hh goods'!$L$4:$N$4)-AE27*'R&amp;S - Packaging and hh goods'!$N$4/SUM('R&amp;S - Packaging and hh goods'!$L$4:$N$4)*('R&amp;S - Packaging and hh goods'!$G7*'R&amp;S - Packaging and hh goods'!$L$14*('R&amp;S - Packaging and hh goods'!$AJ$20+('R&amp;S - Packaging and hh goods'!$AJ$21-'R&amp;S - Packaging and hh goods'!$AJ$20)*(AE$3-$X$3)/10))-AE27*'R&amp;S - Packaging and hh goods'!$N$4/SUM('R&amp;S - Packaging and hh goods'!$L$4:$N$4)*('R&amp;S - Packaging and hh goods'!$G8*'R&amp;S - Packaging and hh goods'!$L$14*('R&amp;S - Packaging and hh goods'!$AK$20+('R&amp;S - Packaging and hh goods'!$AK$21-'R&amp;S - Packaging and hh goods'!$AK$20)*(AE$3-$X$3)/10))-AE27*'R&amp;S - Packaging and hh goods'!$N$4/SUM('R&amp;S - Packaging and hh goods'!$L$4:$N$4)*('R&amp;S - Packaging and hh goods'!$G9*'R&amp;S - Packaging and hh goods'!$M$14*('R&amp;S - Packaging and hh goods'!$AL$20+('R&amp;S - Packaging and hh goods'!$AL$21-'R&amp;S - Packaging and hh goods'!$AL$20)*(AE$3-$X$3)/10))-AE27*'R&amp;S - Packaging and hh goods'!$N$4/SUM('R&amp;S - Packaging and hh goods'!$L$4:$N$4)*('R&amp;S - Packaging and hh goods'!$G10*'R&amp;S - Packaging and hh goods'!$M$14*('R&amp;S - Packaging and hh goods'!$AM$20+('R&amp;S - Packaging and hh goods'!$AM$21-'R&amp;S - Packaging and hh goods'!$AM$20)*(AE$3-$X$3)/10))</f>
        <v>1041321.2480904418</v>
      </c>
      <c r="AF37" s="638">
        <f>AF27*'R&amp;S - Packaging and hh goods'!$N$4/SUM('R&amp;S - Packaging and hh goods'!$L$4:$N$4)-AF27*'R&amp;S - Packaging and hh goods'!$N$4/SUM('R&amp;S - Packaging and hh goods'!$L$4:$N$4)*('R&amp;S - Packaging and hh goods'!$G7*'R&amp;S - Packaging and hh goods'!$L$14*('R&amp;S - Packaging and hh goods'!$AJ$20+('R&amp;S - Packaging and hh goods'!$AJ$21-'R&amp;S - Packaging and hh goods'!$AJ$20)*(AF$3-$X$3)/10))-AF27*'R&amp;S - Packaging and hh goods'!$N$4/SUM('R&amp;S - Packaging and hh goods'!$L$4:$N$4)*('R&amp;S - Packaging and hh goods'!$G8*'R&amp;S - Packaging and hh goods'!$L$14*('R&amp;S - Packaging and hh goods'!$AK$20+('R&amp;S - Packaging and hh goods'!$AK$21-'R&amp;S - Packaging and hh goods'!$AK$20)*(AF$3-$X$3)/10))-AF27*'R&amp;S - Packaging and hh goods'!$N$4/SUM('R&amp;S - Packaging and hh goods'!$L$4:$N$4)*('R&amp;S - Packaging and hh goods'!$G9*'R&amp;S - Packaging and hh goods'!$M$14*('R&amp;S - Packaging and hh goods'!$AL$20+('R&amp;S - Packaging and hh goods'!$AL$21-'R&amp;S - Packaging and hh goods'!$AL$20)*(AF$3-$X$3)/10))-AF27*'R&amp;S - Packaging and hh goods'!$N$4/SUM('R&amp;S - Packaging and hh goods'!$L$4:$N$4)*('R&amp;S - Packaging and hh goods'!$G10*'R&amp;S - Packaging and hh goods'!$M$14*('R&amp;S - Packaging and hh goods'!$AM$20+('R&amp;S - Packaging and hh goods'!$AM$21-'R&amp;S - Packaging and hh goods'!$AM$20)*(AF$3-$X$3)/10))</f>
        <v>971274.63491711509</v>
      </c>
      <c r="AG37" s="638">
        <f>AG27*'R&amp;S - Packaging and hh goods'!$N$4/SUM('R&amp;S - Packaging and hh goods'!$L$4:$N$4)-AG27*'R&amp;S - Packaging and hh goods'!$N$4/SUM('R&amp;S - Packaging and hh goods'!$L$4:$N$4)*('R&amp;S - Packaging and hh goods'!$G7*'R&amp;S - Packaging and hh goods'!$L$14*('R&amp;S - Packaging and hh goods'!$AJ$20+('R&amp;S - Packaging and hh goods'!$AJ$21-'R&amp;S - Packaging and hh goods'!$AJ$20)*(AG$3-$X$3)/10))-AG27*'R&amp;S - Packaging and hh goods'!$N$4/SUM('R&amp;S - Packaging and hh goods'!$L$4:$N$4)*('R&amp;S - Packaging and hh goods'!$G8*'R&amp;S - Packaging and hh goods'!$L$14*('R&amp;S - Packaging and hh goods'!$AK$20+('R&amp;S - Packaging and hh goods'!$AK$21-'R&amp;S - Packaging and hh goods'!$AK$20)*(AG$3-$X$3)/10))-AG27*'R&amp;S - Packaging and hh goods'!$N$4/SUM('R&amp;S - Packaging and hh goods'!$L$4:$N$4)*('R&amp;S - Packaging and hh goods'!$G9*'R&amp;S - Packaging and hh goods'!$M$14*('R&amp;S - Packaging and hh goods'!$AL$20+('R&amp;S - Packaging and hh goods'!$AL$21-'R&amp;S - Packaging and hh goods'!$AL$20)*(AG$3-$X$3)/10))-AG27*'R&amp;S - Packaging and hh goods'!$N$4/SUM('R&amp;S - Packaging and hh goods'!$L$4:$N$4)*('R&amp;S - Packaging and hh goods'!$G10*'R&amp;S - Packaging and hh goods'!$M$14*('R&amp;S - Packaging and hh goods'!$AM$20+('R&amp;S - Packaging and hh goods'!$AM$21-'R&amp;S - Packaging and hh goods'!$AM$20)*(AG$3-$X$3)/10))</f>
        <v>901228.02174378769</v>
      </c>
      <c r="AH37" s="638">
        <f>AH27*'R&amp;S - Packaging and hh goods'!$N$4/SUM('R&amp;S - Packaging and hh goods'!$L$4:$N$4)-AH27*'R&amp;S - Packaging and hh goods'!$N$4/SUM('R&amp;S - Packaging and hh goods'!$L$4:$N$4)*('R&amp;S - Packaging and hh goods'!$G7*'R&amp;S - Packaging and hh goods'!$L$14*('R&amp;S - Packaging and hh goods'!$AJ$20+('R&amp;S - Packaging and hh goods'!$AJ$21-'R&amp;S - Packaging and hh goods'!$AJ$20)*(AH$3-$X$3)/10))-AH27*'R&amp;S - Packaging and hh goods'!$N$4/SUM('R&amp;S - Packaging and hh goods'!$L$4:$N$4)*('R&amp;S - Packaging and hh goods'!$G8*'R&amp;S - Packaging and hh goods'!$L$14*('R&amp;S - Packaging and hh goods'!$AK$20+('R&amp;S - Packaging and hh goods'!$AK$21-'R&amp;S - Packaging and hh goods'!$AK$20)*(AH$3-$X$3)/10))-AH27*'R&amp;S - Packaging and hh goods'!$N$4/SUM('R&amp;S - Packaging and hh goods'!$L$4:$N$4)*('R&amp;S - Packaging and hh goods'!$G9*'R&amp;S - Packaging and hh goods'!$M$14*('R&amp;S - Packaging and hh goods'!$AL$20+('R&amp;S - Packaging and hh goods'!$AL$21-'R&amp;S - Packaging and hh goods'!$AL$20)*(AH$3-$X$3)/10))-AH27*'R&amp;S - Packaging and hh goods'!$N$4/SUM('R&amp;S - Packaging and hh goods'!$L$4:$N$4)*('R&amp;S - Packaging and hh goods'!$G10*'R&amp;S - Packaging and hh goods'!$M$14*('R&amp;S - Packaging and hh goods'!$AM$20+('R&amp;S - Packaging and hh goods'!$AM$21-'R&amp;S - Packaging and hh goods'!$AM$20)*(AH$3-$X$3)/10))</f>
        <v>831181.40857046098</v>
      </c>
      <c r="AI37" s="638"/>
      <c r="AJ37" s="638">
        <f>AJ27*'R&amp;S - Packaging and hh goods'!$N$4/SUM('R&amp;S - Packaging and hh goods'!$L$4:$N$4)</f>
        <v>2526387.2600925858</v>
      </c>
      <c r="AK37" s="638">
        <f>AK27*'R&amp;S - Packaging and hh goods'!$N$4/SUM('R&amp;S - Packaging and hh goods'!$L$4:$N$4)-AK27*'R&amp;S - Packaging and hh goods'!$N$4/SUM('R&amp;S - Packaging and hh goods'!$L$4:$N$4)*'R&amp;S - Packaging and hh goods'!$G$7*('R&amp;S - Packaging and hh goods'!$L$15*'R&amp;S - Packaging and hh goods'!$AJ$19*(AK$3-$D$3)/10)-AK27*'R&amp;S - Packaging and hh goods'!$N$4/SUM('R&amp;S - Packaging and hh goods'!$L$4:$N$4)*'R&amp;S - Packaging and hh goods'!$G$8*('R&amp;S - Packaging and hh goods'!$L$15*'R&amp;S - Packaging and hh goods'!$AK$19*(AK$3-$D$3)/10)-AK27*'R&amp;S - Packaging and hh goods'!$N$4/SUM('R&amp;S - Packaging and hh goods'!$L$4:$N$4)*'R&amp;S - Packaging and hh goods'!$G$9*('R&amp;S - Packaging and hh goods'!$L$15*'R&amp;S - Packaging and hh goods'!$AL$19*(AK$3-$D$3)/10)-AK31*'R&amp;S - Packaging and hh goods'!$N$4/SUM('R&amp;S - Packaging and hh goods'!$L$4:$N$4)*'R&amp;S - Packaging and hh goods'!$G$10*('R&amp;S - Packaging and hh goods'!$L$15*'R&amp;S - Packaging and hh goods'!$AM$19*(AK$3-$D$3)/10)</f>
        <v>2508599.131484156</v>
      </c>
      <c r="AL37" s="638">
        <f>AL27*'R&amp;S - Packaging and hh goods'!$N$4/SUM('R&amp;S - Packaging and hh goods'!$L$4:$N$4)-AL27*'R&amp;S - Packaging and hh goods'!$N$4/SUM('R&amp;S - Packaging and hh goods'!$L$4:$N$4)*'R&amp;S - Packaging and hh goods'!$G$7*('R&amp;S - Packaging and hh goods'!$L$15*'R&amp;S - Packaging and hh goods'!$AJ$19*(AL$3-$D$3)/10)-AL27*'R&amp;S - Packaging and hh goods'!$N$4/SUM('R&amp;S - Packaging and hh goods'!$L$4:$N$4)*'R&amp;S - Packaging and hh goods'!$G$8*('R&amp;S - Packaging and hh goods'!$L$15*'R&amp;S - Packaging and hh goods'!$AK$19*(AL$3-$D$3)/10)-AL27*'R&amp;S - Packaging and hh goods'!$N$4/SUM('R&amp;S - Packaging and hh goods'!$L$4:$N$4)*'R&amp;S - Packaging and hh goods'!$G$9*('R&amp;S - Packaging and hh goods'!$L$15*'R&amp;S - Packaging and hh goods'!$AL$19*(AL$3-$D$3)/10)-AL31*'R&amp;S - Packaging and hh goods'!$N$4/SUM('R&amp;S - Packaging and hh goods'!$L$4:$N$4)*'R&amp;S - Packaging and hh goods'!$G$10*('R&amp;S - Packaging and hh goods'!$L$15*'R&amp;S - Packaging and hh goods'!$AM$19*(AL$3-$D$3)/10)</f>
        <v>2490795.8190377136</v>
      </c>
      <c r="AM37" s="638">
        <f>AM27*'R&amp;S - Packaging and hh goods'!$N$4/SUM('R&amp;S - Packaging and hh goods'!$L$4:$N$4)-AM27*'R&amp;S - Packaging and hh goods'!$N$4/SUM('R&amp;S - Packaging and hh goods'!$L$4:$N$4)*'R&amp;S - Packaging and hh goods'!$G$7*('R&amp;S - Packaging and hh goods'!$L$15*'R&amp;S - Packaging and hh goods'!$AJ$19*(AM$3-$D$3)/10)-AM27*'R&amp;S - Packaging and hh goods'!$N$4/SUM('R&amp;S - Packaging and hh goods'!$L$4:$N$4)*'R&amp;S - Packaging and hh goods'!$G$8*('R&amp;S - Packaging and hh goods'!$L$15*'R&amp;S - Packaging and hh goods'!$AK$19*(AM$3-$D$3)/10)-AM27*'R&amp;S - Packaging and hh goods'!$N$4/SUM('R&amp;S - Packaging and hh goods'!$L$4:$N$4)*'R&amp;S - Packaging and hh goods'!$G$9*('R&amp;S - Packaging and hh goods'!$L$15*'R&amp;S - Packaging and hh goods'!$AL$19*(AM$3-$D$3)/10)-AM31*'R&amp;S - Packaging and hh goods'!$N$4/SUM('R&amp;S - Packaging and hh goods'!$L$4:$N$4)*'R&amp;S - Packaging and hh goods'!$G$10*('R&amp;S - Packaging and hh goods'!$L$15*'R&amp;S - Packaging and hh goods'!$AM$19*(AM$3-$D$3)/10)</f>
        <v>2472977.322753259</v>
      </c>
      <c r="AN37" s="638">
        <f>AN27*'R&amp;S - Packaging and hh goods'!$N$4/SUM('R&amp;S - Packaging and hh goods'!$L$4:$N$4)-AN27*'R&amp;S - Packaging and hh goods'!$N$4/SUM('R&amp;S - Packaging and hh goods'!$L$4:$N$4)*'R&amp;S - Packaging and hh goods'!$G$7*('R&amp;S - Packaging and hh goods'!$L$15*'R&amp;S - Packaging and hh goods'!$AJ$19*(AN$3-$D$3)/10)-AN27*'R&amp;S - Packaging and hh goods'!$N$4/SUM('R&amp;S - Packaging and hh goods'!$L$4:$N$4)*'R&amp;S - Packaging and hh goods'!$G$8*('R&amp;S - Packaging and hh goods'!$L$15*'R&amp;S - Packaging and hh goods'!$AK$19*(AN$3-$D$3)/10)-AN27*'R&amp;S - Packaging and hh goods'!$N$4/SUM('R&amp;S - Packaging and hh goods'!$L$4:$N$4)*'R&amp;S - Packaging and hh goods'!$G$9*('R&amp;S - Packaging and hh goods'!$L$15*'R&amp;S - Packaging and hh goods'!$AL$19*(AN$3-$D$3)/10)-AN31*'R&amp;S - Packaging and hh goods'!$N$4/SUM('R&amp;S - Packaging and hh goods'!$L$4:$N$4)*'R&amp;S - Packaging and hh goods'!$G$10*('R&amp;S - Packaging and hh goods'!$L$15*'R&amp;S - Packaging and hh goods'!$AM$19*(AN$3-$D$3)/10)</f>
        <v>2455143.6426307908</v>
      </c>
      <c r="AO37" s="638">
        <f>AO27*'R&amp;S - Packaging and hh goods'!$N$4/SUM('R&amp;S - Packaging and hh goods'!$L$4:$N$4)-AO27*'R&amp;S - Packaging and hh goods'!$N$4/SUM('R&amp;S - Packaging and hh goods'!$L$4:$N$4)*'R&amp;S - Packaging and hh goods'!$G$7*('R&amp;S - Packaging and hh goods'!$L$15*'R&amp;S - Packaging and hh goods'!$AJ$19*(AO$3-$D$3)/10)-AO27*'R&amp;S - Packaging and hh goods'!$N$4/SUM('R&amp;S - Packaging and hh goods'!$L$4:$N$4)*'R&amp;S - Packaging and hh goods'!$G$8*('R&amp;S - Packaging and hh goods'!$L$15*'R&amp;S - Packaging and hh goods'!$AK$19*(AO$3-$D$3)/10)-AO27*'R&amp;S - Packaging and hh goods'!$N$4/SUM('R&amp;S - Packaging and hh goods'!$L$4:$N$4)*'R&amp;S - Packaging and hh goods'!$G$9*('R&amp;S - Packaging and hh goods'!$L$15*'R&amp;S - Packaging and hh goods'!$AL$19*(AO$3-$D$3)/10)-AO31*'R&amp;S - Packaging and hh goods'!$N$4/SUM('R&amp;S - Packaging and hh goods'!$L$4:$N$4)*'R&amp;S - Packaging and hh goods'!$G$10*('R&amp;S - Packaging and hh goods'!$L$15*'R&amp;S - Packaging and hh goods'!$AM$19*(AO$3-$D$3)/10)</f>
        <v>2437294.7786703105</v>
      </c>
      <c r="AP37" s="638">
        <f>AP27*'R&amp;S - Packaging and hh goods'!$N$4/SUM('R&amp;S - Packaging and hh goods'!$L$4:$N$4)-AP27*'R&amp;S - Packaging and hh goods'!$N$4/SUM('R&amp;S - Packaging and hh goods'!$L$4:$N$4)*'R&amp;S - Packaging and hh goods'!$G$7*('R&amp;S - Packaging and hh goods'!$L$15*'R&amp;S - Packaging and hh goods'!$AJ$19*(AP$3-$D$3)/10)-AP27*'R&amp;S - Packaging and hh goods'!$N$4/SUM('R&amp;S - Packaging and hh goods'!$L$4:$N$4)*'R&amp;S - Packaging and hh goods'!$G$8*('R&amp;S - Packaging and hh goods'!$L$15*'R&amp;S - Packaging and hh goods'!$AK$19*(AP$3-$D$3)/10)-AP27*'R&amp;S - Packaging and hh goods'!$N$4/SUM('R&amp;S - Packaging and hh goods'!$L$4:$N$4)*'R&amp;S - Packaging and hh goods'!$G$9*('R&amp;S - Packaging and hh goods'!$L$15*'R&amp;S - Packaging and hh goods'!$AL$19*(AP$3-$D$3)/10)-AP31*'R&amp;S - Packaging and hh goods'!$N$4/SUM('R&amp;S - Packaging and hh goods'!$L$4:$N$4)*'R&amp;S - Packaging and hh goods'!$G$10*('R&amp;S - Packaging and hh goods'!$L$15*'R&amp;S - Packaging and hh goods'!$AM$19*(AP$3-$D$3)/10)</f>
        <v>2419430.7308718171</v>
      </c>
      <c r="AQ37" s="638">
        <f>AQ27*'R&amp;S - Packaging and hh goods'!$N$4/SUM('R&amp;S - Packaging and hh goods'!$L$4:$N$4)-AQ27*'R&amp;S - Packaging and hh goods'!$N$4/SUM('R&amp;S - Packaging and hh goods'!$L$4:$N$4)*'R&amp;S - Packaging and hh goods'!$G$7*('R&amp;S - Packaging and hh goods'!$L$15*'R&amp;S - Packaging and hh goods'!$AJ$19*(AQ$3-$D$3)/10)-AQ27*'R&amp;S - Packaging and hh goods'!$N$4/SUM('R&amp;S - Packaging and hh goods'!$L$4:$N$4)*'R&amp;S - Packaging and hh goods'!$G$8*('R&amp;S - Packaging and hh goods'!$L$15*'R&amp;S - Packaging and hh goods'!$AK$19*(AQ$3-$D$3)/10)-AQ27*'R&amp;S - Packaging and hh goods'!$N$4/SUM('R&amp;S - Packaging and hh goods'!$L$4:$N$4)*'R&amp;S - Packaging and hh goods'!$G$9*('R&amp;S - Packaging and hh goods'!$L$15*'R&amp;S - Packaging and hh goods'!$AL$19*(AQ$3-$D$3)/10)-AQ31*'R&amp;S - Packaging and hh goods'!$N$4/SUM('R&amp;S - Packaging and hh goods'!$L$4:$N$4)*'R&amp;S - Packaging and hh goods'!$G$10*('R&amp;S - Packaging and hh goods'!$L$15*'R&amp;S - Packaging and hh goods'!$AM$19*(AQ$3-$D$3)/10)</f>
        <v>2401551.4992353115</v>
      </c>
      <c r="AR37" s="638">
        <f>AR27*'R&amp;S - Packaging and hh goods'!$N$4/SUM('R&amp;S - Packaging and hh goods'!$L$4:$N$4)-AR27*'R&amp;S - Packaging and hh goods'!$N$4/SUM('R&amp;S - Packaging and hh goods'!$L$4:$N$4)*'R&amp;S - Packaging and hh goods'!$G$7*('R&amp;S - Packaging and hh goods'!$L$15*'R&amp;S - Packaging and hh goods'!$AJ$19*(AR$3-$D$3)/10)-AR27*'R&amp;S - Packaging and hh goods'!$N$4/SUM('R&amp;S - Packaging and hh goods'!$L$4:$N$4)*'R&amp;S - Packaging and hh goods'!$G$8*('R&amp;S - Packaging and hh goods'!$L$15*'R&amp;S - Packaging and hh goods'!$AK$19*(AR$3-$D$3)/10)-AR27*'R&amp;S - Packaging and hh goods'!$N$4/SUM('R&amp;S - Packaging and hh goods'!$L$4:$N$4)*'R&amp;S - Packaging and hh goods'!$G$9*('R&amp;S - Packaging and hh goods'!$L$15*'R&amp;S - Packaging and hh goods'!$AL$19*(AR$3-$D$3)/10)-AR31*'R&amp;S - Packaging and hh goods'!$N$4/SUM('R&amp;S - Packaging and hh goods'!$L$4:$N$4)*'R&amp;S - Packaging and hh goods'!$G$10*('R&amp;S - Packaging and hh goods'!$L$15*'R&amp;S - Packaging and hh goods'!$AM$19*(AR$3-$D$3)/10)</f>
        <v>2383657.0837607929</v>
      </c>
      <c r="AS37" s="638">
        <f>AS27*'R&amp;S - Packaging and hh goods'!$N$4/SUM('R&amp;S - Packaging and hh goods'!$L$4:$N$4)-AS27*'R&amp;S - Packaging and hh goods'!$N$4/SUM('R&amp;S - Packaging and hh goods'!$L$4:$N$4)*'R&amp;S - Packaging and hh goods'!$G$7*('R&amp;S - Packaging and hh goods'!$L$15*'R&amp;S - Packaging and hh goods'!$AJ$19*(AS$3-$D$3)/10)-AS27*'R&amp;S - Packaging and hh goods'!$N$4/SUM('R&amp;S - Packaging and hh goods'!$L$4:$N$4)*'R&amp;S - Packaging and hh goods'!$G$8*('R&amp;S - Packaging and hh goods'!$L$15*'R&amp;S - Packaging and hh goods'!$AK$19*(AS$3-$D$3)/10)-AS27*'R&amp;S - Packaging and hh goods'!$N$4/SUM('R&amp;S - Packaging and hh goods'!$L$4:$N$4)*'R&amp;S - Packaging and hh goods'!$G$9*('R&amp;S - Packaging and hh goods'!$L$15*'R&amp;S - Packaging and hh goods'!$AL$19*(AS$3-$D$3)/10)-AS31*'R&amp;S - Packaging and hh goods'!$N$4/SUM('R&amp;S - Packaging and hh goods'!$L$4:$N$4)*'R&amp;S - Packaging and hh goods'!$G$10*('R&amp;S - Packaging and hh goods'!$L$15*'R&amp;S - Packaging and hh goods'!$AM$19*(AS$3-$D$3)/10)</f>
        <v>2365747.484448262</v>
      </c>
      <c r="AT37" s="638">
        <f>AT27*'R&amp;S - Packaging and hh goods'!$N$4/SUM('R&amp;S - Packaging and hh goods'!$L$4:$N$4)-AT27*'R&amp;S - Packaging and hh goods'!$N$4/SUM('R&amp;S - Packaging and hh goods'!$L$4:$N$4)*'R&amp;S - Packaging and hh goods'!$G$7*('R&amp;S - Packaging and hh goods'!$L$15*'R&amp;S - Packaging and hh goods'!$AJ$19*(AT$3-$D$3)/10)-AT27*'R&amp;S - Packaging and hh goods'!$N$4/SUM('R&amp;S - Packaging and hh goods'!$L$4:$N$4)*'R&amp;S - Packaging and hh goods'!$G$8*('R&amp;S - Packaging and hh goods'!$L$15*'R&amp;S - Packaging and hh goods'!$AK$19*(AT$3-$D$3)/10)-AT27*'R&amp;S - Packaging and hh goods'!$N$4/SUM('R&amp;S - Packaging and hh goods'!$L$4:$N$4)*'R&amp;S - Packaging and hh goods'!$G$9*('R&amp;S - Packaging and hh goods'!$L$15*'R&amp;S - Packaging and hh goods'!$AL$19*(AT$3-$D$3)/10)-AT31*'R&amp;S - Packaging and hh goods'!$N$4/SUM('R&amp;S - Packaging and hh goods'!$L$4:$N$4)*'R&amp;S - Packaging and hh goods'!$G$10*('R&amp;S - Packaging and hh goods'!$L$15*'R&amp;S - Packaging and hh goods'!$AM$19*(AT$3-$D$3)/10)</f>
        <v>2347822.7012977186</v>
      </c>
      <c r="AU37" s="638">
        <f>AU27*'R&amp;S - Packaging and hh goods'!$N$4/SUM('R&amp;S - Packaging and hh goods'!$L$4:$N$4)-AU27*'R&amp;S - Packaging and hh goods'!$N$4/SUM('R&amp;S - Packaging and hh goods'!$L$4:$N$4)*('R&amp;S - Packaging and hh goods'!$G$7*'R&amp;S - Packaging and hh goods'!$L$15*('R&amp;S - Packaging and hh goods'!$AJ$19+('R&amp;S - Packaging and hh goods'!$AJ$20-'R&amp;S - Packaging and hh goods'!$AJ$19)*(AU$3-$N$3)/10))-AU27*'R&amp;S - Packaging and hh goods'!$N$4/SUM('R&amp;S - Packaging and hh goods'!$L$4:$N$4)*('R&amp;S - Packaging and hh goods'!$G$8*'R&amp;S - Packaging and hh goods'!$L$15*('R&amp;S - Packaging and hh goods'!$AK$19+('R&amp;S - Packaging and hh goods'!$AK$20-'R&amp;S - Packaging and hh goods'!$AK$19)*(AU$3-$N$3)/10))-AU27*'R&amp;S - Packaging and hh goods'!$N$4/SUM('R&amp;S - Packaging and hh goods'!$L$4:$N$4)*('R&amp;S - Packaging and hh goods'!$G$9*'R&amp;S - Packaging and hh goods'!$M$15*('R&amp;S - Packaging and hh goods'!$AL$19+('R&amp;S - Packaging and hh goods'!$AL$20-'R&amp;S - Packaging and hh goods'!$AL$19)*(AU$3-$N$3)/10))-AU27*'R&amp;S - Packaging and hh goods'!$N$4/SUM('R&amp;S - Packaging and hh goods'!$L$4:$N$4)*('R&amp;S - Packaging and hh goods'!$G$10*'R&amp;S - Packaging and hh goods'!$M$15*('R&amp;S - Packaging and hh goods'!$AM$19+('R&amp;S - Packaging and hh goods'!$AM$20-'R&amp;S - Packaging and hh goods'!$AM$19)*(AU$3-$N$3)/10))</f>
        <v>2236815.1776725431</v>
      </c>
      <c r="AV37" s="638">
        <f>AV27*'R&amp;S - Packaging and hh goods'!$N$4/SUM('R&amp;S - Packaging and hh goods'!$L$4:$N$4)-AV27*'R&amp;S - Packaging and hh goods'!$N$4/SUM('R&amp;S - Packaging and hh goods'!$L$4:$N$4)*('R&amp;S - Packaging and hh goods'!$G$7*'R&amp;S - Packaging and hh goods'!$L$15*('R&amp;S - Packaging and hh goods'!$AJ$19+('R&amp;S - Packaging and hh goods'!$AJ$20-'R&amp;S - Packaging and hh goods'!$AJ$19)*(AV$3-$N$3)/10))-AV27*'R&amp;S - Packaging and hh goods'!$N$4/SUM('R&amp;S - Packaging and hh goods'!$L$4:$N$4)*('R&amp;S - Packaging and hh goods'!$G$8*'R&amp;S - Packaging and hh goods'!$L$15*('R&amp;S - Packaging and hh goods'!$AK$19+('R&amp;S - Packaging and hh goods'!$AK$20-'R&amp;S - Packaging and hh goods'!$AK$19)*(AV$3-$N$3)/10))-AV27*'R&amp;S - Packaging and hh goods'!$N$4/SUM('R&amp;S - Packaging and hh goods'!$L$4:$N$4)*('R&amp;S - Packaging and hh goods'!$G$9*'R&amp;S - Packaging and hh goods'!$M$15*('R&amp;S - Packaging and hh goods'!$AL$19+('R&amp;S - Packaging and hh goods'!$AL$20-'R&amp;S - Packaging and hh goods'!$AL$19)*(AV$3-$N$3)/10))-AV27*'R&amp;S - Packaging and hh goods'!$N$4/SUM('R&amp;S - Packaging and hh goods'!$L$4:$N$4)*('R&amp;S - Packaging and hh goods'!$G$10*'R&amp;S - Packaging and hh goods'!$M$15*('R&amp;S - Packaging and hh goods'!$AM$19+('R&amp;S - Packaging and hh goods'!$AM$20-'R&amp;S - Packaging and hh goods'!$AM$19)*(AV$3-$N$3)/10))</f>
        <v>2185133.7829922433</v>
      </c>
      <c r="AW37" s="638">
        <f>AW27*'R&amp;S - Packaging and hh goods'!$N$4/SUM('R&amp;S - Packaging and hh goods'!$L$4:$N$4)-AW27*'R&amp;S - Packaging and hh goods'!$N$4/SUM('R&amp;S - Packaging and hh goods'!$L$4:$N$4)*('R&amp;S - Packaging and hh goods'!$G$7*'R&amp;S - Packaging and hh goods'!$L$15*('R&amp;S - Packaging and hh goods'!$AJ$19+('R&amp;S - Packaging and hh goods'!$AJ$20-'R&amp;S - Packaging and hh goods'!$AJ$19)*(AW$3-$N$3)/10))-AW27*'R&amp;S - Packaging and hh goods'!$N$4/SUM('R&amp;S - Packaging and hh goods'!$L$4:$N$4)*('R&amp;S - Packaging and hh goods'!$G$8*'R&amp;S - Packaging and hh goods'!$L$15*('R&amp;S - Packaging and hh goods'!$AK$19+('R&amp;S - Packaging and hh goods'!$AK$20-'R&amp;S - Packaging and hh goods'!$AK$19)*(AW$3-$N$3)/10))-AW27*'R&amp;S - Packaging and hh goods'!$N$4/SUM('R&amp;S - Packaging and hh goods'!$L$4:$N$4)*('R&amp;S - Packaging and hh goods'!$G$9*'R&amp;S - Packaging and hh goods'!$M$15*('R&amp;S - Packaging and hh goods'!$AL$19+('R&amp;S - Packaging and hh goods'!$AL$20-'R&amp;S - Packaging and hh goods'!$AL$19)*(AW$3-$N$3)/10))-AW27*'R&amp;S - Packaging and hh goods'!$N$4/SUM('R&amp;S - Packaging and hh goods'!$L$4:$N$4)*('R&amp;S - Packaging and hh goods'!$G$10*'R&amp;S - Packaging and hh goods'!$M$15*('R&amp;S - Packaging and hh goods'!$AM$19+('R&amp;S - Packaging and hh goods'!$AM$20-'R&amp;S - Packaging and hh goods'!$AM$19)*(AW$3-$N$3)/10))</f>
        <v>2133452.3883119421</v>
      </c>
      <c r="AX37" s="638">
        <f>AX27*'R&amp;S - Packaging and hh goods'!$N$4/SUM('R&amp;S - Packaging and hh goods'!$L$4:$N$4)-AX27*'R&amp;S - Packaging and hh goods'!$N$4/SUM('R&amp;S - Packaging and hh goods'!$L$4:$N$4)*('R&amp;S - Packaging and hh goods'!$G$7*'R&amp;S - Packaging and hh goods'!$L$15*('R&amp;S - Packaging and hh goods'!$AJ$19+('R&amp;S - Packaging and hh goods'!$AJ$20-'R&amp;S - Packaging and hh goods'!$AJ$19)*(AX$3-$N$3)/10))-AX27*'R&amp;S - Packaging and hh goods'!$N$4/SUM('R&amp;S - Packaging and hh goods'!$L$4:$N$4)*('R&amp;S - Packaging and hh goods'!$G$8*'R&amp;S - Packaging and hh goods'!$L$15*('R&amp;S - Packaging and hh goods'!$AK$19+('R&amp;S - Packaging and hh goods'!$AK$20-'R&amp;S - Packaging and hh goods'!$AK$19)*(AX$3-$N$3)/10))-AX27*'R&amp;S - Packaging and hh goods'!$N$4/SUM('R&amp;S - Packaging and hh goods'!$L$4:$N$4)*('R&amp;S - Packaging and hh goods'!$G$9*'R&amp;S - Packaging and hh goods'!$M$15*('R&amp;S - Packaging and hh goods'!$AL$19+('R&amp;S - Packaging and hh goods'!$AL$20-'R&amp;S - Packaging and hh goods'!$AL$19)*(AX$3-$N$3)/10))-AX27*'R&amp;S - Packaging and hh goods'!$N$4/SUM('R&amp;S - Packaging and hh goods'!$L$4:$N$4)*('R&amp;S - Packaging and hh goods'!$G$10*'R&amp;S - Packaging and hh goods'!$M$15*('R&amp;S - Packaging and hh goods'!$AM$19+('R&amp;S - Packaging and hh goods'!$AM$20-'R&amp;S - Packaging and hh goods'!$AM$19)*(AX$3-$N$3)/10))</f>
        <v>2081770.9936316423</v>
      </c>
      <c r="AY37" s="638">
        <f>AY27*'R&amp;S - Packaging and hh goods'!$N$4/SUM('R&amp;S - Packaging and hh goods'!$L$4:$N$4)-AY27*'R&amp;S - Packaging and hh goods'!$N$4/SUM('R&amp;S - Packaging and hh goods'!$L$4:$N$4)*('R&amp;S - Packaging and hh goods'!$G$7*'R&amp;S - Packaging and hh goods'!$L$15*('R&amp;S - Packaging and hh goods'!$AJ$19+('R&amp;S - Packaging and hh goods'!$AJ$20-'R&amp;S - Packaging and hh goods'!$AJ$19)*(AY$3-$N$3)/10))-AY27*'R&amp;S - Packaging and hh goods'!$N$4/SUM('R&amp;S - Packaging and hh goods'!$L$4:$N$4)*('R&amp;S - Packaging and hh goods'!$G$8*'R&amp;S - Packaging and hh goods'!$L$15*('R&amp;S - Packaging and hh goods'!$AK$19+('R&amp;S - Packaging and hh goods'!$AK$20-'R&amp;S - Packaging and hh goods'!$AK$19)*(AY$3-$N$3)/10))-AY27*'R&amp;S - Packaging and hh goods'!$N$4/SUM('R&amp;S - Packaging and hh goods'!$L$4:$N$4)*('R&amp;S - Packaging and hh goods'!$G$9*'R&amp;S - Packaging and hh goods'!$M$15*('R&amp;S - Packaging and hh goods'!$AL$19+('R&amp;S - Packaging and hh goods'!$AL$20-'R&amp;S - Packaging and hh goods'!$AL$19)*(AY$3-$N$3)/10))-AY27*'R&amp;S - Packaging and hh goods'!$N$4/SUM('R&amp;S - Packaging and hh goods'!$L$4:$N$4)*('R&amp;S - Packaging and hh goods'!$G$10*'R&amp;S - Packaging and hh goods'!$M$15*('R&amp;S - Packaging and hh goods'!$AM$19+('R&amp;S - Packaging and hh goods'!$AM$20-'R&amp;S - Packaging and hh goods'!$AM$19)*(AY$3-$N$3)/10))</f>
        <v>2030089.5989513414</v>
      </c>
      <c r="AZ37" s="638">
        <f>AZ27*'R&amp;S - Packaging and hh goods'!$N$4/SUM('R&amp;S - Packaging and hh goods'!$L$4:$N$4)-AZ27*'R&amp;S - Packaging and hh goods'!$N$4/SUM('R&amp;S - Packaging and hh goods'!$L$4:$N$4)*('R&amp;S - Packaging and hh goods'!$G$7*'R&amp;S - Packaging and hh goods'!$L$15*('R&amp;S - Packaging and hh goods'!$AJ$19+('R&amp;S - Packaging and hh goods'!$AJ$20-'R&amp;S - Packaging and hh goods'!$AJ$19)*(AZ$3-$N$3)/10))-AZ27*'R&amp;S - Packaging and hh goods'!$N$4/SUM('R&amp;S - Packaging and hh goods'!$L$4:$N$4)*('R&amp;S - Packaging and hh goods'!$G$8*'R&amp;S - Packaging and hh goods'!$L$15*('R&amp;S - Packaging and hh goods'!$AK$19+('R&amp;S - Packaging and hh goods'!$AK$20-'R&amp;S - Packaging and hh goods'!$AK$19)*(AZ$3-$N$3)/10))-AZ27*'R&amp;S - Packaging and hh goods'!$N$4/SUM('R&amp;S - Packaging and hh goods'!$L$4:$N$4)*('R&amp;S - Packaging and hh goods'!$G$9*'R&amp;S - Packaging and hh goods'!$M$15*('R&amp;S - Packaging and hh goods'!$AL$19+('R&amp;S - Packaging and hh goods'!$AL$20-'R&amp;S - Packaging and hh goods'!$AL$19)*(AZ$3-$N$3)/10))-AZ27*'R&amp;S - Packaging and hh goods'!$N$4/SUM('R&amp;S - Packaging and hh goods'!$L$4:$N$4)*('R&amp;S - Packaging and hh goods'!$G$10*'R&amp;S - Packaging and hh goods'!$M$15*('R&amp;S - Packaging and hh goods'!$AM$19+('R&amp;S - Packaging and hh goods'!$AM$20-'R&amp;S - Packaging and hh goods'!$AM$19)*(AZ$3-$N$3)/10))</f>
        <v>1978408.2042710413</v>
      </c>
      <c r="BA37" s="638">
        <f>BA27*'R&amp;S - Packaging and hh goods'!$N$4/SUM('R&amp;S - Packaging and hh goods'!$L$4:$N$4)-BA27*'R&amp;S - Packaging and hh goods'!$N$4/SUM('R&amp;S - Packaging and hh goods'!$L$4:$N$4)*('R&amp;S - Packaging and hh goods'!$G$7*'R&amp;S - Packaging and hh goods'!$L$15*('R&amp;S - Packaging and hh goods'!$AJ$19+('R&amp;S - Packaging and hh goods'!$AJ$20-'R&amp;S - Packaging and hh goods'!$AJ$19)*(BA$3-$N$3)/10))-BA27*'R&amp;S - Packaging and hh goods'!$N$4/SUM('R&amp;S - Packaging and hh goods'!$L$4:$N$4)*('R&amp;S - Packaging and hh goods'!$G$8*'R&amp;S - Packaging and hh goods'!$L$15*('R&amp;S - Packaging and hh goods'!$AK$19+('R&amp;S - Packaging and hh goods'!$AK$20-'R&amp;S - Packaging and hh goods'!$AK$19)*(BA$3-$N$3)/10))-BA27*'R&amp;S - Packaging and hh goods'!$N$4/SUM('R&amp;S - Packaging and hh goods'!$L$4:$N$4)*('R&amp;S - Packaging and hh goods'!$G$9*'R&amp;S - Packaging and hh goods'!$M$15*('R&amp;S - Packaging and hh goods'!$AL$19+('R&amp;S - Packaging and hh goods'!$AL$20-'R&amp;S - Packaging and hh goods'!$AL$19)*(BA$3-$N$3)/10))-BA27*'R&amp;S - Packaging and hh goods'!$N$4/SUM('R&amp;S - Packaging and hh goods'!$L$4:$N$4)*('R&amp;S - Packaging and hh goods'!$G$10*'R&amp;S - Packaging and hh goods'!$M$15*('R&amp;S - Packaging and hh goods'!$AM$19+('R&amp;S - Packaging and hh goods'!$AM$20-'R&amp;S - Packaging and hh goods'!$AM$19)*(BA$3-$N$3)/10))</f>
        <v>1926726.8095907408</v>
      </c>
      <c r="BB37" s="638">
        <f>BB27*'R&amp;S - Packaging and hh goods'!$N$4/SUM('R&amp;S - Packaging and hh goods'!$L$4:$N$4)-BB27*'R&amp;S - Packaging and hh goods'!$N$4/SUM('R&amp;S - Packaging and hh goods'!$L$4:$N$4)*('R&amp;S - Packaging and hh goods'!$G$7*'R&amp;S - Packaging and hh goods'!$L$15*('R&amp;S - Packaging and hh goods'!$AJ$19+('R&amp;S - Packaging and hh goods'!$AJ$20-'R&amp;S - Packaging and hh goods'!$AJ$19)*(BB$3-$N$3)/10))-BB27*'R&amp;S - Packaging and hh goods'!$N$4/SUM('R&amp;S - Packaging and hh goods'!$L$4:$N$4)*('R&amp;S - Packaging and hh goods'!$G$8*'R&amp;S - Packaging and hh goods'!$L$15*('R&amp;S - Packaging and hh goods'!$AK$19+('R&amp;S - Packaging and hh goods'!$AK$20-'R&amp;S - Packaging and hh goods'!$AK$19)*(BB$3-$N$3)/10))-BB27*'R&amp;S - Packaging and hh goods'!$N$4/SUM('R&amp;S - Packaging and hh goods'!$L$4:$N$4)*('R&amp;S - Packaging and hh goods'!$G$9*'R&amp;S - Packaging and hh goods'!$M$15*('R&amp;S - Packaging and hh goods'!$AL$19+('R&amp;S - Packaging and hh goods'!$AL$20-'R&amp;S - Packaging and hh goods'!$AL$19)*(BB$3-$N$3)/10))-BB27*'R&amp;S - Packaging and hh goods'!$N$4/SUM('R&amp;S - Packaging and hh goods'!$L$4:$N$4)*('R&amp;S - Packaging and hh goods'!$G$10*'R&amp;S - Packaging and hh goods'!$M$15*('R&amp;S - Packaging and hh goods'!$AM$19+('R&amp;S - Packaging and hh goods'!$AM$20-'R&amp;S - Packaging and hh goods'!$AM$19)*(BB$3-$N$3)/10))</f>
        <v>1875045.4149104406</v>
      </c>
      <c r="BC37" s="638">
        <f>BC27*'R&amp;S - Packaging and hh goods'!$N$4/SUM('R&amp;S - Packaging and hh goods'!$L$4:$N$4)-BC27*'R&amp;S - Packaging and hh goods'!$N$4/SUM('R&amp;S - Packaging and hh goods'!$L$4:$N$4)*('R&amp;S - Packaging and hh goods'!$G$7*'R&amp;S - Packaging and hh goods'!$L$15*('R&amp;S - Packaging and hh goods'!$AJ$19+('R&amp;S - Packaging and hh goods'!$AJ$20-'R&amp;S - Packaging and hh goods'!$AJ$19)*(BC$3-$N$3)/10))-BC27*'R&amp;S - Packaging and hh goods'!$N$4/SUM('R&amp;S - Packaging and hh goods'!$L$4:$N$4)*('R&amp;S - Packaging and hh goods'!$G$8*'R&amp;S - Packaging and hh goods'!$L$15*('R&amp;S - Packaging and hh goods'!$AK$19+('R&amp;S - Packaging and hh goods'!$AK$20-'R&amp;S - Packaging and hh goods'!$AK$19)*(BC$3-$N$3)/10))-BC27*'R&amp;S - Packaging and hh goods'!$N$4/SUM('R&amp;S - Packaging and hh goods'!$L$4:$N$4)*('R&amp;S - Packaging and hh goods'!$G$9*'R&amp;S - Packaging and hh goods'!$M$15*('R&amp;S - Packaging and hh goods'!$AL$19+('R&amp;S - Packaging and hh goods'!$AL$20-'R&amp;S - Packaging and hh goods'!$AL$19)*(BC$3-$N$3)/10))-BC27*'R&amp;S - Packaging and hh goods'!$N$4/SUM('R&amp;S - Packaging and hh goods'!$L$4:$N$4)*('R&amp;S - Packaging and hh goods'!$G$10*'R&amp;S - Packaging and hh goods'!$M$15*('R&amp;S - Packaging and hh goods'!$AM$19+('R&amp;S - Packaging and hh goods'!$AM$20-'R&amp;S - Packaging and hh goods'!$AM$19)*(BC$3-$N$3)/10))</f>
        <v>1823364.0202301403</v>
      </c>
      <c r="BD37" s="638">
        <f>BD27*'R&amp;S - Packaging and hh goods'!$N$4/SUM('R&amp;S - Packaging and hh goods'!$L$4:$N$4)-BD27*'R&amp;S - Packaging and hh goods'!$N$4/SUM('R&amp;S - Packaging and hh goods'!$L$4:$N$4)*('R&amp;S - Packaging and hh goods'!$G$7*'R&amp;S - Packaging and hh goods'!$L$15*('R&amp;S - Packaging and hh goods'!$AJ$19+('R&amp;S - Packaging and hh goods'!$AJ$20-'R&amp;S - Packaging and hh goods'!$AJ$19)*(BD$3-$N$3)/10))-BD27*'R&amp;S - Packaging and hh goods'!$N$4/SUM('R&amp;S - Packaging and hh goods'!$L$4:$N$4)*('R&amp;S - Packaging and hh goods'!$G$8*'R&amp;S - Packaging and hh goods'!$L$15*('R&amp;S - Packaging and hh goods'!$AK$19+('R&amp;S - Packaging and hh goods'!$AK$20-'R&amp;S - Packaging and hh goods'!$AK$19)*(BD$3-$N$3)/10))-BD27*'R&amp;S - Packaging and hh goods'!$N$4/SUM('R&amp;S - Packaging and hh goods'!$L$4:$N$4)*('R&amp;S - Packaging and hh goods'!$G$9*'R&amp;S - Packaging and hh goods'!$M$15*('R&amp;S - Packaging and hh goods'!$AL$19+('R&amp;S - Packaging and hh goods'!$AL$20-'R&amp;S - Packaging and hh goods'!$AL$19)*(BD$3-$N$3)/10))-BD27*'R&amp;S - Packaging and hh goods'!$N$4/SUM('R&amp;S - Packaging and hh goods'!$L$4:$N$4)*('R&amp;S - Packaging and hh goods'!$G$10*'R&amp;S - Packaging and hh goods'!$M$15*('R&amp;S - Packaging and hh goods'!$AM$19+('R&amp;S - Packaging and hh goods'!$AM$20-'R&amp;S - Packaging and hh goods'!$AM$19)*(BD$3-$N$3)/10))</f>
        <v>1771682.6255498398</v>
      </c>
      <c r="BE37" s="638">
        <f>BE27*'R&amp;S - Packaging and hh goods'!$N$4/SUM('R&amp;S - Packaging and hh goods'!$L$4:$N$4)-BE27*'R&amp;S - Packaging and hh goods'!$N$4/SUM('R&amp;S - Packaging and hh goods'!$L$4:$N$4)*('R&amp;S - Packaging and hh goods'!$G7*'R&amp;S - Packaging and hh goods'!$L$15*('R&amp;S - Packaging and hh goods'!$AJ$20+('R&amp;S - Packaging and hh goods'!$AJ$21-'R&amp;S - Packaging and hh goods'!$AJ$20)*(BE$3-$X$3)/10))-BE27*'R&amp;S - Packaging and hh goods'!$N$4/SUM('R&amp;S - Packaging and hh goods'!$L$4:$N$4)*('R&amp;S - Packaging and hh goods'!$G8*'R&amp;S - Packaging and hh goods'!$L$15*('R&amp;S - Packaging and hh goods'!$AK$20+('R&amp;S - Packaging and hh goods'!$AK$21-'R&amp;S - Packaging and hh goods'!$AK$20)*(BE$3-$X$3)/10))-BE27*'R&amp;S - Packaging and hh goods'!$N$4/SUM('R&amp;S - Packaging and hh goods'!$L$4:$N$4)*('R&amp;S - Packaging and hh goods'!$G9*'R&amp;S - Packaging and hh goods'!$M$15*('R&amp;S - Packaging and hh goods'!$AL$20+('R&amp;S - Packaging and hh goods'!$AL$21-'R&amp;S - Packaging and hh goods'!$AL$20)*(BE$3-$X$3)/10))-BE27*'R&amp;S - Packaging and hh goods'!$N$4/SUM('R&amp;S - Packaging and hh goods'!$L$4:$N$4)*('R&amp;S - Packaging and hh goods'!$G10*'R&amp;S - Packaging and hh goods'!$M$15*('R&amp;S - Packaging and hh goods'!$AM$20+('R&amp;S - Packaging and hh goods'!$AM$21-'R&amp;S - Packaging and hh goods'!$AM$20)*(BE$3-$X$3)/10))</f>
        <v>1718855.5647748325</v>
      </c>
      <c r="BF37" s="638">
        <f>BF27*'R&amp;S - Packaging and hh goods'!$N$4/SUM('R&amp;S - Packaging and hh goods'!$L$4:$N$4)-BF27*'R&amp;S - Packaging and hh goods'!$N$4/SUM('R&amp;S - Packaging and hh goods'!$L$4:$N$4)*('R&amp;S - Packaging and hh goods'!$G7*'R&amp;S - Packaging and hh goods'!$L$15*('R&amp;S - Packaging and hh goods'!$AJ$20+('R&amp;S - Packaging and hh goods'!$AJ$21-'R&amp;S - Packaging and hh goods'!$AJ$20)*(BF$3-$X$3)/10))-BF27*'R&amp;S - Packaging and hh goods'!$N$4/SUM('R&amp;S - Packaging and hh goods'!$L$4:$N$4)*('R&amp;S - Packaging and hh goods'!$G8*'R&amp;S - Packaging and hh goods'!$L$15*('R&amp;S - Packaging and hh goods'!$AK$20+('R&amp;S - Packaging and hh goods'!$AK$21-'R&amp;S - Packaging and hh goods'!$AK$20)*(BF$3-$X$3)/10))-BF27*'R&amp;S - Packaging and hh goods'!$N$4/SUM('R&amp;S - Packaging and hh goods'!$L$4:$N$4)*('R&amp;S - Packaging and hh goods'!$G9*'R&amp;S - Packaging and hh goods'!$M$15*('R&amp;S - Packaging and hh goods'!$AL$20+('R&amp;S - Packaging and hh goods'!$AL$21-'R&amp;S - Packaging and hh goods'!$AL$20)*(BF$3-$X$3)/10))-BF27*'R&amp;S - Packaging and hh goods'!$N$4/SUM('R&amp;S - Packaging and hh goods'!$L$4:$N$4)*('R&amp;S - Packaging and hh goods'!$G10*'R&amp;S - Packaging and hh goods'!$M$15*('R&amp;S - Packaging and hh goods'!$AM$20+('R&amp;S - Packaging and hh goods'!$AM$21-'R&amp;S - Packaging and hh goods'!$AM$20)*(BF$3-$X$3)/10))</f>
        <v>1666028.5039998256</v>
      </c>
      <c r="BG37" s="638">
        <f>BG27*'R&amp;S - Packaging and hh goods'!$N$4/SUM('R&amp;S - Packaging and hh goods'!$L$4:$N$4)-BG27*'R&amp;S - Packaging and hh goods'!$N$4/SUM('R&amp;S - Packaging and hh goods'!$L$4:$N$4)*('R&amp;S - Packaging and hh goods'!$G7*'R&amp;S - Packaging and hh goods'!$L$15*('R&amp;S - Packaging and hh goods'!$AJ$20+('R&amp;S - Packaging and hh goods'!$AJ$21-'R&amp;S - Packaging and hh goods'!$AJ$20)*(BG$3-$X$3)/10))-BG27*'R&amp;S - Packaging and hh goods'!$N$4/SUM('R&amp;S - Packaging and hh goods'!$L$4:$N$4)*('R&amp;S - Packaging and hh goods'!$G8*'R&amp;S - Packaging and hh goods'!$L$15*('R&amp;S - Packaging and hh goods'!$AK$20+('R&amp;S - Packaging and hh goods'!$AK$21-'R&amp;S - Packaging and hh goods'!$AK$20)*(BG$3-$X$3)/10))-BG27*'R&amp;S - Packaging and hh goods'!$N$4/SUM('R&amp;S - Packaging and hh goods'!$L$4:$N$4)*('R&amp;S - Packaging and hh goods'!$G9*'R&amp;S - Packaging and hh goods'!$M$15*('R&amp;S - Packaging and hh goods'!$AL$20+('R&amp;S - Packaging and hh goods'!$AL$21-'R&amp;S - Packaging and hh goods'!$AL$20)*(BG$3-$X$3)/10))-BG27*'R&amp;S - Packaging and hh goods'!$N$4/SUM('R&amp;S - Packaging and hh goods'!$L$4:$N$4)*('R&amp;S - Packaging and hh goods'!$G10*'R&amp;S - Packaging and hh goods'!$M$15*('R&amp;S - Packaging and hh goods'!$AM$20+('R&amp;S - Packaging and hh goods'!$AM$21-'R&amp;S - Packaging and hh goods'!$AM$20)*(BG$3-$X$3)/10))</f>
        <v>1613201.4432248182</v>
      </c>
      <c r="BH37" s="638">
        <f>BH27*'R&amp;S - Packaging and hh goods'!$N$4/SUM('R&amp;S - Packaging and hh goods'!$L$4:$N$4)-BH27*'R&amp;S - Packaging and hh goods'!$N$4/SUM('R&amp;S - Packaging and hh goods'!$L$4:$N$4)*('R&amp;S - Packaging and hh goods'!$G7*'R&amp;S - Packaging and hh goods'!$L$15*('R&amp;S - Packaging and hh goods'!$AJ$20+('R&amp;S - Packaging and hh goods'!$AJ$21-'R&amp;S - Packaging and hh goods'!$AJ$20)*(BH$3-$X$3)/10))-BH27*'R&amp;S - Packaging and hh goods'!$N$4/SUM('R&amp;S - Packaging and hh goods'!$L$4:$N$4)*('R&amp;S - Packaging and hh goods'!$G8*'R&amp;S - Packaging and hh goods'!$L$15*('R&amp;S - Packaging and hh goods'!$AK$20+('R&amp;S - Packaging and hh goods'!$AK$21-'R&amp;S - Packaging and hh goods'!$AK$20)*(BH$3-$X$3)/10))-BH27*'R&amp;S - Packaging and hh goods'!$N$4/SUM('R&amp;S - Packaging and hh goods'!$L$4:$N$4)*('R&amp;S - Packaging and hh goods'!$G9*'R&amp;S - Packaging and hh goods'!$M$15*('R&amp;S - Packaging and hh goods'!$AL$20+('R&amp;S - Packaging and hh goods'!$AL$21-'R&amp;S - Packaging and hh goods'!$AL$20)*(BH$3-$X$3)/10))-BH27*'R&amp;S - Packaging and hh goods'!$N$4/SUM('R&amp;S - Packaging and hh goods'!$L$4:$N$4)*('R&amp;S - Packaging and hh goods'!$G10*'R&amp;S - Packaging and hh goods'!$M$15*('R&amp;S - Packaging and hh goods'!$AM$20+('R&amp;S - Packaging and hh goods'!$AM$21-'R&amp;S - Packaging and hh goods'!$AM$20)*(BH$3-$X$3)/10))</f>
        <v>1560374.3824498109</v>
      </c>
      <c r="BI37" s="638">
        <f>BI27*'R&amp;S - Packaging and hh goods'!$N$4/SUM('R&amp;S - Packaging and hh goods'!$L$4:$N$4)-BI27*'R&amp;S - Packaging and hh goods'!$N$4/SUM('R&amp;S - Packaging and hh goods'!$L$4:$N$4)*('R&amp;S - Packaging and hh goods'!$G7*'R&amp;S - Packaging and hh goods'!$L$15*('R&amp;S - Packaging and hh goods'!$AJ$20+('R&amp;S - Packaging and hh goods'!$AJ$21-'R&amp;S - Packaging and hh goods'!$AJ$20)*(BI$3-$X$3)/10))-BI27*'R&amp;S - Packaging and hh goods'!$N$4/SUM('R&amp;S - Packaging and hh goods'!$L$4:$N$4)*('R&amp;S - Packaging and hh goods'!$G8*'R&amp;S - Packaging and hh goods'!$L$15*('R&amp;S - Packaging and hh goods'!$AK$20+('R&amp;S - Packaging and hh goods'!$AK$21-'R&amp;S - Packaging and hh goods'!$AK$20)*(BI$3-$X$3)/10))-BI27*'R&amp;S - Packaging and hh goods'!$N$4/SUM('R&amp;S - Packaging and hh goods'!$L$4:$N$4)*('R&amp;S - Packaging and hh goods'!$G9*'R&amp;S - Packaging and hh goods'!$M$15*('R&amp;S - Packaging and hh goods'!$AL$20+('R&amp;S - Packaging and hh goods'!$AL$21-'R&amp;S - Packaging and hh goods'!$AL$20)*(BI$3-$X$3)/10))-BI27*'R&amp;S - Packaging and hh goods'!$N$4/SUM('R&amp;S - Packaging and hh goods'!$L$4:$N$4)*('R&amp;S - Packaging and hh goods'!$G10*'R&amp;S - Packaging and hh goods'!$M$15*('R&amp;S - Packaging and hh goods'!$AM$20+('R&amp;S - Packaging and hh goods'!$AM$21-'R&amp;S - Packaging and hh goods'!$AM$20)*(BI$3-$X$3)/10))</f>
        <v>1507547.321674804</v>
      </c>
      <c r="BJ37" s="638">
        <f>BJ27*'R&amp;S - Packaging and hh goods'!$N$4/SUM('R&amp;S - Packaging and hh goods'!$L$4:$N$4)-BJ27*'R&amp;S - Packaging and hh goods'!$N$4/SUM('R&amp;S - Packaging and hh goods'!$L$4:$N$4)*('R&amp;S - Packaging and hh goods'!$G7*'R&amp;S - Packaging and hh goods'!$L$15*('R&amp;S - Packaging and hh goods'!$AJ$20+('R&amp;S - Packaging and hh goods'!$AJ$21-'R&amp;S - Packaging and hh goods'!$AJ$20)*(BJ$3-$X$3)/10))-BJ27*'R&amp;S - Packaging and hh goods'!$N$4/SUM('R&amp;S - Packaging and hh goods'!$L$4:$N$4)*('R&amp;S - Packaging and hh goods'!$G8*'R&amp;S - Packaging and hh goods'!$L$15*('R&amp;S - Packaging and hh goods'!$AK$20+('R&amp;S - Packaging and hh goods'!$AK$21-'R&amp;S - Packaging and hh goods'!$AK$20)*(BJ$3-$X$3)/10))-BJ27*'R&amp;S - Packaging and hh goods'!$N$4/SUM('R&amp;S - Packaging and hh goods'!$L$4:$N$4)*('R&amp;S - Packaging and hh goods'!$G9*'R&amp;S - Packaging and hh goods'!$M$15*('R&amp;S - Packaging and hh goods'!$AL$20+('R&amp;S - Packaging and hh goods'!$AL$21-'R&amp;S - Packaging and hh goods'!$AL$20)*(BJ$3-$X$3)/10))-BJ27*'R&amp;S - Packaging and hh goods'!$N$4/SUM('R&amp;S - Packaging and hh goods'!$L$4:$N$4)*('R&amp;S - Packaging and hh goods'!$G10*'R&amp;S - Packaging and hh goods'!$M$15*('R&amp;S - Packaging and hh goods'!$AM$20+('R&amp;S - Packaging and hh goods'!$AM$21-'R&amp;S - Packaging and hh goods'!$AM$20)*(BJ$3-$X$3)/10))</f>
        <v>1454720.2608997966</v>
      </c>
      <c r="BK37" s="638">
        <f>BK27*'R&amp;S - Packaging and hh goods'!$N$4/SUM('R&amp;S - Packaging and hh goods'!$L$4:$N$4)-BK27*'R&amp;S - Packaging and hh goods'!$N$4/SUM('R&amp;S - Packaging and hh goods'!$L$4:$N$4)*('R&amp;S - Packaging and hh goods'!$G7*'R&amp;S - Packaging and hh goods'!$L$15*('R&amp;S - Packaging and hh goods'!$AJ$20+('R&amp;S - Packaging and hh goods'!$AJ$21-'R&amp;S - Packaging and hh goods'!$AJ$20)*(BK$3-$X$3)/10))-BK27*'R&amp;S - Packaging and hh goods'!$N$4/SUM('R&amp;S - Packaging and hh goods'!$L$4:$N$4)*('R&amp;S - Packaging and hh goods'!$G8*'R&amp;S - Packaging and hh goods'!$L$15*('R&amp;S - Packaging and hh goods'!$AK$20+('R&amp;S - Packaging and hh goods'!$AK$21-'R&amp;S - Packaging and hh goods'!$AK$20)*(BK$3-$X$3)/10))-BK27*'R&amp;S - Packaging and hh goods'!$N$4/SUM('R&amp;S - Packaging and hh goods'!$L$4:$N$4)*('R&amp;S - Packaging and hh goods'!$G9*'R&amp;S - Packaging and hh goods'!$M$15*('R&amp;S - Packaging and hh goods'!$AL$20+('R&amp;S - Packaging and hh goods'!$AL$21-'R&amp;S - Packaging and hh goods'!$AL$20)*(BK$3-$X$3)/10))-BK27*'R&amp;S - Packaging and hh goods'!$N$4/SUM('R&amp;S - Packaging and hh goods'!$L$4:$N$4)*('R&amp;S - Packaging and hh goods'!$G10*'R&amp;S - Packaging and hh goods'!$M$15*('R&amp;S - Packaging and hh goods'!$AM$20+('R&amp;S - Packaging and hh goods'!$AM$21-'R&amp;S - Packaging and hh goods'!$AM$20)*(BK$3-$X$3)/10))</f>
        <v>1401893.2001247895</v>
      </c>
      <c r="BL37" s="638">
        <f>BL27*'R&amp;S - Packaging and hh goods'!$N$4/SUM('R&amp;S - Packaging and hh goods'!$L$4:$N$4)-BL27*'R&amp;S - Packaging and hh goods'!$N$4/SUM('R&amp;S - Packaging and hh goods'!$L$4:$N$4)*('R&amp;S - Packaging and hh goods'!$G7*'R&amp;S - Packaging and hh goods'!$L$15*('R&amp;S - Packaging and hh goods'!$AJ$20+('R&amp;S - Packaging and hh goods'!$AJ$21-'R&amp;S - Packaging and hh goods'!$AJ$20)*(BL$3-$X$3)/10))-BL27*'R&amp;S - Packaging and hh goods'!$N$4/SUM('R&amp;S - Packaging and hh goods'!$L$4:$N$4)*('R&amp;S - Packaging and hh goods'!$G8*'R&amp;S - Packaging and hh goods'!$L$15*('R&amp;S - Packaging and hh goods'!$AK$20+('R&amp;S - Packaging and hh goods'!$AK$21-'R&amp;S - Packaging and hh goods'!$AK$20)*(BL$3-$X$3)/10))-BL27*'R&amp;S - Packaging and hh goods'!$N$4/SUM('R&amp;S - Packaging and hh goods'!$L$4:$N$4)*('R&amp;S - Packaging and hh goods'!$G9*'R&amp;S - Packaging and hh goods'!$M$15*('R&amp;S - Packaging and hh goods'!$AL$20+('R&amp;S - Packaging and hh goods'!$AL$21-'R&amp;S - Packaging and hh goods'!$AL$20)*(BL$3-$X$3)/10))-BL27*'R&amp;S - Packaging and hh goods'!$N$4/SUM('R&amp;S - Packaging and hh goods'!$L$4:$N$4)*('R&amp;S - Packaging and hh goods'!$G10*'R&amp;S - Packaging and hh goods'!$M$15*('R&amp;S - Packaging and hh goods'!$AM$20+('R&amp;S - Packaging and hh goods'!$AM$21-'R&amp;S - Packaging and hh goods'!$AM$20)*(BL$3-$X$3)/10))</f>
        <v>1349066.1393497824</v>
      </c>
      <c r="BM37" s="638">
        <f>BM27*'R&amp;S - Packaging and hh goods'!$N$4/SUM('R&amp;S - Packaging and hh goods'!$L$4:$N$4)-BM27*'R&amp;S - Packaging and hh goods'!$N$4/SUM('R&amp;S - Packaging and hh goods'!$L$4:$N$4)*('R&amp;S - Packaging and hh goods'!$G7*'R&amp;S - Packaging and hh goods'!$L$15*('R&amp;S - Packaging and hh goods'!$AJ$20+('R&amp;S - Packaging and hh goods'!$AJ$21-'R&amp;S - Packaging and hh goods'!$AJ$20)*(BM$3-$X$3)/10))-BM27*'R&amp;S - Packaging and hh goods'!$N$4/SUM('R&amp;S - Packaging and hh goods'!$L$4:$N$4)*('R&amp;S - Packaging and hh goods'!$G8*'R&amp;S - Packaging and hh goods'!$L$15*('R&amp;S - Packaging and hh goods'!$AK$20+('R&amp;S - Packaging and hh goods'!$AK$21-'R&amp;S - Packaging and hh goods'!$AK$20)*(BM$3-$X$3)/10))-BM27*'R&amp;S - Packaging and hh goods'!$N$4/SUM('R&amp;S - Packaging and hh goods'!$L$4:$N$4)*('R&amp;S - Packaging and hh goods'!$G9*'R&amp;S - Packaging and hh goods'!$M$15*('R&amp;S - Packaging and hh goods'!$AL$20+('R&amp;S - Packaging and hh goods'!$AL$21-'R&amp;S - Packaging and hh goods'!$AL$20)*(BM$3-$X$3)/10))-BM27*'R&amp;S - Packaging and hh goods'!$N$4/SUM('R&amp;S - Packaging and hh goods'!$L$4:$N$4)*('R&amp;S - Packaging and hh goods'!$G10*'R&amp;S - Packaging and hh goods'!$M$15*('R&amp;S - Packaging and hh goods'!$AM$20+('R&amp;S - Packaging and hh goods'!$AM$21-'R&amp;S - Packaging and hh goods'!$AM$20)*(BM$3-$X$3)/10))</f>
        <v>1296239.0785747755</v>
      </c>
      <c r="BN37" s="638">
        <f>BN27*'R&amp;S - Packaging and hh goods'!$N$4/SUM('R&amp;S - Packaging and hh goods'!$L$4:$N$4)-BN27*'R&amp;S - Packaging and hh goods'!$N$4/SUM('R&amp;S - Packaging and hh goods'!$L$4:$N$4)*('R&amp;S - Packaging and hh goods'!$G7*'R&amp;S - Packaging and hh goods'!$L$15*('R&amp;S - Packaging and hh goods'!$AJ$20+('R&amp;S - Packaging and hh goods'!$AJ$21-'R&amp;S - Packaging and hh goods'!$AJ$20)*(BN$3-$X$3)/10))-BN27*'R&amp;S - Packaging and hh goods'!$N$4/SUM('R&amp;S - Packaging and hh goods'!$L$4:$N$4)*('R&amp;S - Packaging and hh goods'!$G8*'R&amp;S - Packaging and hh goods'!$L$15*('R&amp;S - Packaging and hh goods'!$AK$20+('R&amp;S - Packaging and hh goods'!$AK$21-'R&amp;S - Packaging and hh goods'!$AK$20)*(BN$3-$X$3)/10))-BN27*'R&amp;S - Packaging and hh goods'!$N$4/SUM('R&amp;S - Packaging and hh goods'!$L$4:$N$4)*('R&amp;S - Packaging and hh goods'!$G9*'R&amp;S - Packaging and hh goods'!$M$15*('R&amp;S - Packaging and hh goods'!$AL$20+('R&amp;S - Packaging and hh goods'!$AL$21-'R&amp;S - Packaging and hh goods'!$AL$20)*(BN$3-$X$3)/10))-BN27*'R&amp;S - Packaging and hh goods'!$N$4/SUM('R&amp;S - Packaging and hh goods'!$L$4:$N$4)*('R&amp;S - Packaging and hh goods'!$G10*'R&amp;S - Packaging and hh goods'!$M$15*('R&amp;S - Packaging and hh goods'!$AM$20+('R&amp;S - Packaging and hh goods'!$AM$21-'R&amp;S - Packaging and hh goods'!$AM$20)*(BN$3-$X$3)/10))</f>
        <v>1243412.0177997679</v>
      </c>
    </row>
    <row r="38" spans="1:75" s="1" customFormat="1" outlineLevel="1">
      <c r="A38" s="55" t="s">
        <v>256</v>
      </c>
      <c r="B38" s="55" t="s">
        <v>174</v>
      </c>
      <c r="C38" s="95" t="s">
        <v>166</v>
      </c>
      <c r="D38" s="631">
        <f>SUM('R&amp;S - Buildings'!L4:N4)</f>
        <v>464042.27888543304</v>
      </c>
      <c r="E38" s="631">
        <f>D38*(1+'R&amp;S - Buildings'!$E$5)</f>
        <v>464042.27888543304</v>
      </c>
      <c r="F38" s="631">
        <f>E38*(1+'R&amp;S - Buildings'!$E$5)</f>
        <v>464042.27888543304</v>
      </c>
      <c r="G38" s="631">
        <f>F38*(1+'R&amp;S - Buildings'!$E$5)</f>
        <v>464042.27888543304</v>
      </c>
      <c r="H38" s="631">
        <f>G38*(1+'R&amp;S - Buildings'!$E$5)</f>
        <v>464042.27888543304</v>
      </c>
      <c r="I38" s="631">
        <f>H38*(1+'R&amp;S - Buildings'!$E$5)</f>
        <v>464042.27888543304</v>
      </c>
      <c r="J38" s="631">
        <f>I38*(1+'R&amp;S - Buildings'!$E$5)</f>
        <v>464042.27888543304</v>
      </c>
      <c r="K38" s="631">
        <f>J38*(1+'R&amp;S - Buildings'!$E$5)</f>
        <v>464042.27888543304</v>
      </c>
      <c r="L38" s="631">
        <f>K38*(1+'R&amp;S - Buildings'!$E$5)</f>
        <v>464042.27888543304</v>
      </c>
      <c r="M38" s="631">
        <f>L38*(1+'R&amp;S - Buildings'!$E$5)</f>
        <v>464042.27888543304</v>
      </c>
      <c r="N38" s="631">
        <f>M38*(1+'R&amp;S - Buildings'!$E$5)</f>
        <v>464042.27888543304</v>
      </c>
      <c r="O38" s="631">
        <f>N38*(1+'R&amp;S - Buildings'!$E$5)</f>
        <v>464042.27888543304</v>
      </c>
      <c r="P38" s="631">
        <f>O38*(1+'R&amp;S - Buildings'!$E$5)</f>
        <v>464042.27888543304</v>
      </c>
      <c r="Q38" s="631">
        <f>P38*(1+'R&amp;S - Buildings'!$E$5)</f>
        <v>464042.27888543304</v>
      </c>
      <c r="R38" s="631">
        <f>Q38*(1+'R&amp;S - Buildings'!$E$5)</f>
        <v>464042.27888543304</v>
      </c>
      <c r="S38" s="631">
        <f>R38*(1+'R&amp;S - Buildings'!$E$5)</f>
        <v>464042.27888543304</v>
      </c>
      <c r="T38" s="631">
        <f>S38*(1+'R&amp;S - Buildings'!$E$5)</f>
        <v>464042.27888543304</v>
      </c>
      <c r="U38" s="631">
        <f>T38*(1+'R&amp;S - Buildings'!$E$5)</f>
        <v>464042.27888543304</v>
      </c>
      <c r="V38" s="631">
        <f>U38*(1+'R&amp;S - Buildings'!$E$5)</f>
        <v>464042.27888543304</v>
      </c>
      <c r="W38" s="631">
        <f>V38*(1+'R&amp;S - Buildings'!$E$5)</f>
        <v>464042.27888543304</v>
      </c>
      <c r="X38" s="631">
        <f>W38*(1+'R&amp;S - Buildings'!$E$5)</f>
        <v>464042.27888543304</v>
      </c>
      <c r="Y38" s="631">
        <f>X38*(1+'R&amp;S - Buildings'!$E$5)</f>
        <v>464042.27888543304</v>
      </c>
      <c r="Z38" s="631">
        <f>Y38*(1+'R&amp;S - Buildings'!$E$5)</f>
        <v>464042.27888543304</v>
      </c>
      <c r="AA38" s="631">
        <f>Z38*(1+'R&amp;S - Buildings'!$E$5)</f>
        <v>464042.27888543304</v>
      </c>
      <c r="AB38" s="631">
        <f>AA38*(1+'R&amp;S - Buildings'!$E$5)</f>
        <v>464042.27888543304</v>
      </c>
      <c r="AC38" s="631">
        <f>AB38*(1+'R&amp;S - Buildings'!$E$5)</f>
        <v>464042.27888543304</v>
      </c>
      <c r="AD38" s="631">
        <f>AC38*(1+'R&amp;S - Buildings'!$E$5)</f>
        <v>464042.27888543304</v>
      </c>
      <c r="AE38" s="631">
        <f>AD38*(1+'R&amp;S - Buildings'!$E$5)</f>
        <v>464042.27888543304</v>
      </c>
      <c r="AF38" s="631">
        <f>AE38*(1+'R&amp;S - Buildings'!$E$5)</f>
        <v>464042.27888543304</v>
      </c>
      <c r="AG38" s="631">
        <f>AF38*(1+'R&amp;S - Buildings'!$E$5)</f>
        <v>464042.27888543304</v>
      </c>
      <c r="AH38" s="631">
        <f>AG38*(1+'R&amp;S - Buildings'!$E$5)</f>
        <v>464042.27888543304</v>
      </c>
      <c r="AI38" s="632"/>
      <c r="AJ38" s="631">
        <f>D38</f>
        <v>464042.27888543304</v>
      </c>
      <c r="AK38" s="631">
        <f t="shared" ref="AK38:BN38" si="33">E38</f>
        <v>464042.27888543304</v>
      </c>
      <c r="AL38" s="631">
        <f t="shared" si="33"/>
        <v>464042.27888543304</v>
      </c>
      <c r="AM38" s="631">
        <f t="shared" si="33"/>
        <v>464042.27888543304</v>
      </c>
      <c r="AN38" s="631">
        <f t="shared" si="33"/>
        <v>464042.27888543304</v>
      </c>
      <c r="AO38" s="631">
        <f t="shared" si="33"/>
        <v>464042.27888543304</v>
      </c>
      <c r="AP38" s="631">
        <f t="shared" si="33"/>
        <v>464042.27888543304</v>
      </c>
      <c r="AQ38" s="631">
        <f t="shared" si="33"/>
        <v>464042.27888543304</v>
      </c>
      <c r="AR38" s="631">
        <f t="shared" si="33"/>
        <v>464042.27888543304</v>
      </c>
      <c r="AS38" s="631">
        <f t="shared" si="33"/>
        <v>464042.27888543304</v>
      </c>
      <c r="AT38" s="631">
        <f t="shared" si="33"/>
        <v>464042.27888543304</v>
      </c>
      <c r="AU38" s="631">
        <f t="shared" si="33"/>
        <v>464042.27888543304</v>
      </c>
      <c r="AV38" s="631">
        <f t="shared" si="33"/>
        <v>464042.27888543304</v>
      </c>
      <c r="AW38" s="631">
        <f t="shared" si="33"/>
        <v>464042.27888543304</v>
      </c>
      <c r="AX38" s="631">
        <f t="shared" si="33"/>
        <v>464042.27888543304</v>
      </c>
      <c r="AY38" s="631">
        <f t="shared" si="33"/>
        <v>464042.27888543304</v>
      </c>
      <c r="AZ38" s="631">
        <f t="shared" si="33"/>
        <v>464042.27888543304</v>
      </c>
      <c r="BA38" s="631">
        <f t="shared" si="33"/>
        <v>464042.27888543304</v>
      </c>
      <c r="BB38" s="631">
        <f t="shared" si="33"/>
        <v>464042.27888543304</v>
      </c>
      <c r="BC38" s="631">
        <f t="shared" si="33"/>
        <v>464042.27888543304</v>
      </c>
      <c r="BD38" s="631">
        <f t="shared" si="33"/>
        <v>464042.27888543304</v>
      </c>
      <c r="BE38" s="631">
        <f t="shared" si="33"/>
        <v>464042.27888543304</v>
      </c>
      <c r="BF38" s="631">
        <f t="shared" si="33"/>
        <v>464042.27888543304</v>
      </c>
      <c r="BG38" s="631">
        <f t="shared" si="33"/>
        <v>464042.27888543304</v>
      </c>
      <c r="BH38" s="631">
        <f t="shared" si="33"/>
        <v>464042.27888543304</v>
      </c>
      <c r="BI38" s="631">
        <f t="shared" si="33"/>
        <v>464042.27888543304</v>
      </c>
      <c r="BJ38" s="631">
        <f t="shared" si="33"/>
        <v>464042.27888543304</v>
      </c>
      <c r="BK38" s="631">
        <f t="shared" si="33"/>
        <v>464042.27888543304</v>
      </c>
      <c r="BL38" s="631">
        <f t="shared" si="33"/>
        <v>464042.27888543304</v>
      </c>
      <c r="BM38" s="631">
        <f t="shared" si="33"/>
        <v>464042.27888543304</v>
      </c>
      <c r="BN38" s="631">
        <f t="shared" si="33"/>
        <v>464042.27888543304</v>
      </c>
    </row>
    <row r="39" spans="1:75" outlineLevel="1">
      <c r="B39" s="1" t="s">
        <v>164</v>
      </c>
      <c r="C39" s="51" t="s">
        <v>166</v>
      </c>
      <c r="D39" s="101">
        <v>0</v>
      </c>
      <c r="E39" s="101">
        <f>E38*'R&amp;S - Buildings'!$E$7*'R&amp;S - Buildings'!$B$11*'R&amp;S - Buildings'!$B$15*('Yearly BTX'!E$3-'Yearly BTX'!$D$3)/10</f>
        <v>8422.3673617706118</v>
      </c>
      <c r="F39" s="101">
        <f>F38*'R&amp;S - Buildings'!$E$7*'R&amp;S - Buildings'!$B$11*'R&amp;S - Buildings'!$B$15*('Yearly BTX'!F$3-'Yearly BTX'!$D$3)/10</f>
        <v>16844.734723541224</v>
      </c>
      <c r="G39" s="101">
        <f>G38*'R&amp;S - Buildings'!$E$7*'R&amp;S - Buildings'!$B$11*'R&amp;S - Buildings'!$B$15*('Yearly BTX'!G$3-'Yearly BTX'!$D$3)/10</f>
        <v>25267.102085311832</v>
      </c>
      <c r="H39" s="101">
        <f>H38*'R&amp;S - Buildings'!$E$7*'R&amp;S - Buildings'!$B$11*'R&amp;S - Buildings'!$B$15*('Yearly BTX'!H$3-'Yearly BTX'!$D$3)/10</f>
        <v>33689.469447082447</v>
      </c>
      <c r="I39" s="101">
        <f>I38*'R&amp;S - Buildings'!$E$7*'R&amp;S - Buildings'!$B$11*'R&amp;S - Buildings'!$B$15*('Yearly BTX'!I$3-'Yearly BTX'!$D$3)/10</f>
        <v>42111.836808853055</v>
      </c>
      <c r="J39" s="101">
        <f>J38*'R&amp;S - Buildings'!$E$7*'R&amp;S - Buildings'!$B$11*'R&amp;S - Buildings'!$B$15*('Yearly BTX'!J$3-'Yearly BTX'!$D$3)/10</f>
        <v>50534.204170623663</v>
      </c>
      <c r="K39" s="101">
        <f>K38*'R&amp;S - Buildings'!$E$7*'R&amp;S - Buildings'!$B$11*'R&amp;S - Buildings'!$B$15*('Yearly BTX'!K$3-'Yearly BTX'!$D$3)/10</f>
        <v>58956.571532394271</v>
      </c>
      <c r="L39" s="101">
        <f>L38*'R&amp;S - Buildings'!$E$7*'R&amp;S - Buildings'!$B$11*'R&amp;S - Buildings'!$B$15*('Yearly BTX'!L$3-'Yearly BTX'!$D$3)/10</f>
        <v>67378.938894164894</v>
      </c>
      <c r="M39" s="101">
        <f>M38*'R&amp;S - Buildings'!$E$7*'R&amp;S - Buildings'!$B$11*'R&amp;S - Buildings'!$B$15*('Yearly BTX'!M$3-'Yearly BTX'!$D$3)/10</f>
        <v>75801.306255935502</v>
      </c>
      <c r="N39" s="101">
        <f>N38*'R&amp;S - Buildings'!$E$7*'R&amp;S - Buildings'!$B$11*'R&amp;S - Buildings'!$B$15*('Yearly BTX'!N$3-'Yearly BTX'!$D$3)/10</f>
        <v>84223.67361770611</v>
      </c>
      <c r="O39" s="101">
        <f>O38*'R&amp;S - Buildings'!$E$7*('R&amp;S - Buildings'!$B$11*('R&amp;S - Buildings'!$B$15+('R&amp;S - Buildings'!$B$16-'R&amp;S - Buildings'!$B$15)*('Yearly BTX'!O$3-'Yearly BTX'!$N$3)/10))</f>
        <v>92646.040979476704</v>
      </c>
      <c r="P39" s="101">
        <f>P38*'R&amp;S - Buildings'!$E$7*('R&amp;S - Buildings'!$B$11*('R&amp;S - Buildings'!$B$15+('R&amp;S - Buildings'!$B$16-'R&amp;S - Buildings'!$B$15)*('Yearly BTX'!P$3-'Yearly BTX'!$N$3)/10))</f>
        <v>101068.40834124733</v>
      </c>
      <c r="Q39" s="101">
        <f>Q38*'R&amp;S - Buildings'!$E$7*('R&amp;S - Buildings'!$B$11*('R&amp;S - Buildings'!$B$15+('R&amp;S - Buildings'!$B$16-'R&amp;S - Buildings'!$B$15)*('Yearly BTX'!Q$3-'Yearly BTX'!$N$3)/10))</f>
        <v>109490.77570301795</v>
      </c>
      <c r="R39" s="101">
        <f>R38*'R&amp;S - Buildings'!$E$7*('R&amp;S - Buildings'!$B$11*('R&amp;S - Buildings'!$B$15+('R&amp;S - Buildings'!$B$16-'R&amp;S - Buildings'!$B$15)*('Yearly BTX'!R$3-'Yearly BTX'!$N$3)/10))</f>
        <v>117913.14306478854</v>
      </c>
      <c r="S39" s="101">
        <f>S38*'R&amp;S - Buildings'!$E$7*('R&amp;S - Buildings'!$B$11*('R&amp;S - Buildings'!$B$15+('R&amp;S - Buildings'!$B$16-'R&amp;S - Buildings'!$B$15)*('Yearly BTX'!S$3-'Yearly BTX'!$N$3)/10))</f>
        <v>126335.51042655915</v>
      </c>
      <c r="T39" s="101">
        <f>T38*'R&amp;S - Buildings'!$E$7*('R&amp;S - Buildings'!$B$11*('R&amp;S - Buildings'!$B$15+('R&amp;S - Buildings'!$B$16-'R&amp;S - Buildings'!$B$15)*('Yearly BTX'!T$3-'Yearly BTX'!$N$3)/10))</f>
        <v>134757.87778832976</v>
      </c>
      <c r="U39" s="101">
        <f>U38*'R&amp;S - Buildings'!$E$7*('R&amp;S - Buildings'!$B$11*('R&amp;S - Buildings'!$B$15+('R&amp;S - Buildings'!$B$16-'R&amp;S - Buildings'!$B$15)*('Yearly BTX'!U$3-'Yearly BTX'!$N$3)/10))</f>
        <v>143180.24515010038</v>
      </c>
      <c r="V39" s="101">
        <f>V38*'R&amp;S - Buildings'!$E$7*('R&amp;S - Buildings'!$B$11*('R&amp;S - Buildings'!$B$15+('R&amp;S - Buildings'!$B$16-'R&amp;S - Buildings'!$B$15)*('Yearly BTX'!V$3-'Yearly BTX'!$N$3)/10))</f>
        <v>151602.612511871</v>
      </c>
      <c r="W39" s="101">
        <f>W38*'R&amp;S - Buildings'!$E$7*('R&amp;S - Buildings'!$B$11*('R&amp;S - Buildings'!$B$15+('R&amp;S - Buildings'!$B$16-'R&amp;S - Buildings'!$B$15)*('Yearly BTX'!W$3-'Yearly BTX'!$N$3)/10))</f>
        <v>160024.9798736416</v>
      </c>
      <c r="X39" s="101">
        <f>X38*'R&amp;S - Buildings'!$E$7*('R&amp;S - Buildings'!$B$11*('R&amp;S - Buildings'!$B$15+('R&amp;S - Buildings'!$B$16-'R&amp;S - Buildings'!$B$15)*('Yearly BTX'!X$3-'Yearly BTX'!$N$3)/10))</f>
        <v>168447.34723541222</v>
      </c>
      <c r="Y39" s="101">
        <f>Y38*'R&amp;S - Buildings'!$E$7*('R&amp;S - Buildings'!$B$11*('R&amp;S - Buildings'!$B$16+('R&amp;S - Buildings'!$B$17-'R&amp;S - Buildings'!$B$16)*('Yearly BTX'!Y$3-'Yearly BTX'!$X$3)/10))</f>
        <v>177124.93785056981</v>
      </c>
      <c r="Z39" s="101">
        <f>Z38*'R&amp;S - Buildings'!$E$7*('R&amp;S - Buildings'!$B$11*('R&amp;S - Buildings'!$B$16+('R&amp;S - Buildings'!$B$17-'R&amp;S - Buildings'!$B$16)*('Yearly BTX'!Z$3-'Yearly BTX'!$X$3)/10))</f>
        <v>185802.5284657274</v>
      </c>
      <c r="AA39" s="101">
        <f>AA38*'R&amp;S - Buildings'!$E$7*('R&amp;S - Buildings'!$B$11*('R&amp;S - Buildings'!$B$16+('R&amp;S - Buildings'!$B$17-'R&amp;S - Buildings'!$B$16)*('Yearly BTX'!AA$3-'Yearly BTX'!$X$3)/10))</f>
        <v>194480.11908088499</v>
      </c>
      <c r="AB39" s="101">
        <f>AB38*'R&amp;S - Buildings'!$E$7*('R&amp;S - Buildings'!$B$11*('R&amp;S - Buildings'!$B$16+('R&amp;S - Buildings'!$B$17-'R&amp;S - Buildings'!$B$16)*('Yearly BTX'!AB$3-'Yearly BTX'!$X$3)/10))</f>
        <v>203157.70969604261</v>
      </c>
      <c r="AC39" s="101">
        <f>AC38*'R&amp;S - Buildings'!$E$7*('R&amp;S - Buildings'!$B$11*('R&amp;S - Buildings'!$B$16+('R&amp;S - Buildings'!$B$17-'R&amp;S - Buildings'!$B$16)*('Yearly BTX'!AC$3-'Yearly BTX'!$X$3)/10))</f>
        <v>211835.3003112002</v>
      </c>
      <c r="AD39" s="101">
        <f>AD38*'R&amp;S - Buildings'!$E$7*('R&amp;S - Buildings'!$B$11*('R&amp;S - Buildings'!$B$16+('R&amp;S - Buildings'!$B$17-'R&amp;S - Buildings'!$B$16)*('Yearly BTX'!AD$3-'Yearly BTX'!$X$3)/10))</f>
        <v>220512.89092635782</v>
      </c>
      <c r="AE39" s="101">
        <f>AE38*'R&amp;S - Buildings'!$E$7*('R&amp;S - Buildings'!$B$11*('R&amp;S - Buildings'!$B$16+('R&amp;S - Buildings'!$B$17-'R&amp;S - Buildings'!$B$16)*('Yearly BTX'!AE$3-'Yearly BTX'!$X$3)/10))</f>
        <v>229190.48154151539</v>
      </c>
      <c r="AF39" s="101">
        <f>AF38*'R&amp;S - Buildings'!$E$7*('R&amp;S - Buildings'!$B$11*('R&amp;S - Buildings'!$B$16+('R&amp;S - Buildings'!$B$17-'R&amp;S - Buildings'!$B$16)*('Yearly BTX'!AF$3-'Yearly BTX'!$X$3)/10))</f>
        <v>237868.07215667298</v>
      </c>
      <c r="AG39" s="101">
        <f>AG38*'R&amp;S - Buildings'!$E$7*('R&amp;S - Buildings'!$B$11*('R&amp;S - Buildings'!$B$16+('R&amp;S - Buildings'!$B$17-'R&amp;S - Buildings'!$B$16)*('Yearly BTX'!AG$3-'Yearly BTX'!$X$3)/10))</f>
        <v>246545.66277183057</v>
      </c>
      <c r="AH39" s="101">
        <f>AH38*'R&amp;S - Buildings'!$E$7*('R&amp;S - Buildings'!$B$11*('R&amp;S - Buildings'!$B$16+('R&amp;S - Buildings'!$B$17-'R&amp;S - Buildings'!$B$16)*('Yearly BTX'!AH$3-'Yearly BTX'!$X$3)/10))</f>
        <v>255223.25338698819</v>
      </c>
      <c r="AI39" s="191"/>
      <c r="AJ39" s="101">
        <v>0</v>
      </c>
      <c r="AK39" s="101">
        <f>AK38*'R&amp;S - Buildings'!$E$7*'R&amp;S - Buildings'!$B$12*'R&amp;S - Buildings'!$B$15*('Yearly BTX'!AK$3-'Yearly BTX'!$D$3)/10</f>
        <v>3368.9469447082438</v>
      </c>
      <c r="AL39" s="101">
        <f>AL38*'R&amp;S - Buildings'!$E$7*'R&amp;S - Buildings'!$B$12*'R&amp;S - Buildings'!$B$15*('Yearly BTX'!AL$3-'Yearly BTX'!$D$3)/10</f>
        <v>6737.8938894164876</v>
      </c>
      <c r="AM39" s="101">
        <f>AM38*'R&amp;S - Buildings'!$E$7*'R&amp;S - Buildings'!$B$12*'R&amp;S - Buildings'!$B$15*('Yearly BTX'!AM$3-'Yearly BTX'!$D$3)/10</f>
        <v>10106.840834124732</v>
      </c>
      <c r="AN39" s="101">
        <f>AN38*'R&amp;S - Buildings'!$E$7*'R&amp;S - Buildings'!$B$12*'R&amp;S - Buildings'!$B$15*('Yearly BTX'!AN$3-'Yearly BTX'!$D$3)/10</f>
        <v>13475.787778832975</v>
      </c>
      <c r="AO39" s="101">
        <f>AO38*'R&amp;S - Buildings'!$E$7*'R&amp;S - Buildings'!$B$12*'R&amp;S - Buildings'!$B$15*('Yearly BTX'!AO$3-'Yearly BTX'!$D$3)/10</f>
        <v>16844.73472354122</v>
      </c>
      <c r="AP39" s="101">
        <f>AP38*'R&amp;S - Buildings'!$E$7*'R&amp;S - Buildings'!$B$12*'R&amp;S - Buildings'!$B$15*('Yearly BTX'!AP$3-'Yearly BTX'!$D$3)/10</f>
        <v>20213.681668249465</v>
      </c>
      <c r="AQ39" s="101">
        <f>AQ38*'R&amp;S - Buildings'!$E$7*'R&amp;S - Buildings'!$B$12*'R&amp;S - Buildings'!$B$15*('Yearly BTX'!AQ$3-'Yearly BTX'!$D$3)/10</f>
        <v>23582.628612957709</v>
      </c>
      <c r="AR39" s="101">
        <f>AR38*'R&amp;S - Buildings'!$E$7*'R&amp;S - Buildings'!$B$12*'R&amp;S - Buildings'!$B$15*('Yearly BTX'!AR$3-'Yearly BTX'!$D$3)/10</f>
        <v>26951.57555766595</v>
      </c>
      <c r="AS39" s="101">
        <f>AS38*'R&amp;S - Buildings'!$E$7*'R&amp;S - Buildings'!$B$12*'R&amp;S - Buildings'!$B$15*('Yearly BTX'!AS$3-'Yearly BTX'!$D$3)/10</f>
        <v>30320.522502374195</v>
      </c>
      <c r="AT39" s="101">
        <f>AT38*'R&amp;S - Buildings'!$E$7*'R&amp;S - Buildings'!$B$12*'R&amp;S - Buildings'!$B$15*('Yearly BTX'!AT$3-'Yearly BTX'!$D$3)/10</f>
        <v>33689.46944708244</v>
      </c>
      <c r="AU39" s="101">
        <f>AU38*'R&amp;S - Buildings'!$E$7*('R&amp;S - Buildings'!$B$12*('R&amp;S - Buildings'!$B$15+('R&amp;S - Buildings'!$B$16-'R&amp;S - Buildings'!$B$15)*('Yearly BTX'!AU$3-'Yearly BTX'!$N$3)/10))</f>
        <v>37058.416391790684</v>
      </c>
      <c r="AV39" s="101">
        <f>AV38*'R&amp;S - Buildings'!$E$7*('R&amp;S - Buildings'!$B$12*('R&amp;S - Buildings'!$B$15+('R&amp;S - Buildings'!$B$16-'R&amp;S - Buildings'!$B$15)*('Yearly BTX'!AV$3-'Yearly BTX'!$N$3)/10))</f>
        <v>40427.363336498922</v>
      </c>
      <c r="AW39" s="101">
        <f>AW38*'R&amp;S - Buildings'!$E$7*('R&amp;S - Buildings'!$B$12*('R&amp;S - Buildings'!$B$15+('R&amp;S - Buildings'!$B$16-'R&amp;S - Buildings'!$B$15)*('Yearly BTX'!AW$3-'Yearly BTX'!$N$3)/10))</f>
        <v>43796.310281207174</v>
      </c>
      <c r="AX39" s="101">
        <f>AX38*'R&amp;S - Buildings'!$E$7*('R&amp;S - Buildings'!$B$12*('R&amp;S - Buildings'!$B$15+('R&amp;S - Buildings'!$B$16-'R&amp;S - Buildings'!$B$15)*('Yearly BTX'!AX$3-'Yearly BTX'!$N$3)/10))</f>
        <v>47165.257225915419</v>
      </c>
      <c r="AY39" s="101">
        <f>AY38*'R&amp;S - Buildings'!$E$7*('R&amp;S - Buildings'!$B$12*('R&amp;S - Buildings'!$B$15+('R&amp;S - Buildings'!$B$16-'R&amp;S - Buildings'!$B$15)*('Yearly BTX'!AY$3-'Yearly BTX'!$N$3)/10))</f>
        <v>50534.204170623656</v>
      </c>
      <c r="AZ39" s="101">
        <f>AZ38*'R&amp;S - Buildings'!$E$7*('R&amp;S - Buildings'!$B$12*('R&amp;S - Buildings'!$B$15+('R&amp;S - Buildings'!$B$16-'R&amp;S - Buildings'!$B$15)*('Yearly BTX'!AZ$3-'Yearly BTX'!$N$3)/10))</f>
        <v>53903.151115331908</v>
      </c>
      <c r="BA39" s="101">
        <f>BA38*'R&amp;S - Buildings'!$E$7*('R&amp;S - Buildings'!$B$12*('R&amp;S - Buildings'!$B$15+('R&amp;S - Buildings'!$B$16-'R&amp;S - Buildings'!$B$15)*('Yearly BTX'!BA$3-'Yearly BTX'!$N$3)/10))</f>
        <v>57272.098060040153</v>
      </c>
      <c r="BB39" s="101">
        <f>BB38*'R&amp;S - Buildings'!$E$7*('R&amp;S - Buildings'!$B$12*('R&amp;S - Buildings'!$B$15+('R&amp;S - Buildings'!$B$16-'R&amp;S - Buildings'!$B$15)*('Yearly BTX'!BB$3-'Yearly BTX'!$N$3)/10))</f>
        <v>60641.045004748397</v>
      </c>
      <c r="BC39" s="101">
        <f>BC38*'R&amp;S - Buildings'!$E$7*('R&amp;S - Buildings'!$B$12*('R&amp;S - Buildings'!$B$15+('R&amp;S - Buildings'!$B$16-'R&amp;S - Buildings'!$B$15)*('Yearly BTX'!BC$3-'Yearly BTX'!$N$3)/10))</f>
        <v>64009.991949456627</v>
      </c>
      <c r="BD39" s="101">
        <f>BD38*'R&amp;S - Buildings'!$E$7*('R&amp;S - Buildings'!$B$12*('R&amp;S - Buildings'!$B$15+('R&amp;S - Buildings'!$B$16-'R&amp;S - Buildings'!$B$15)*('Yearly BTX'!BD$3-'Yearly BTX'!$N$3)/10))</f>
        <v>67378.938894164879</v>
      </c>
      <c r="BE39" s="101">
        <f>BE38*'R&amp;S - Buildings'!$E$7*('R&amp;S - Buildings'!$B$12*('R&amp;S - Buildings'!$B$16+('R&amp;S - Buildings'!$B$17-'R&amp;S - Buildings'!$B$16)*('Yearly BTX'!BE$3-'Yearly BTX'!$X$3)/10))</f>
        <v>70849.975140227922</v>
      </c>
      <c r="BF39" s="101">
        <f>BF38*'R&amp;S - Buildings'!$E$7*('R&amp;S - Buildings'!$B$12*('R&amp;S - Buildings'!$B$16+('R&amp;S - Buildings'!$B$17-'R&amp;S - Buildings'!$B$16)*('Yearly BTX'!BF$3-'Yearly BTX'!$X$3)/10))</f>
        <v>74321.011386290949</v>
      </c>
      <c r="BG39" s="101">
        <f>BG38*'R&amp;S - Buildings'!$E$7*('R&amp;S - Buildings'!$B$12*('R&amp;S - Buildings'!$B$16+('R&amp;S - Buildings'!$B$17-'R&amp;S - Buildings'!$B$16)*('Yearly BTX'!BG$3-'Yearly BTX'!$X$3)/10))</f>
        <v>77792.047632353992</v>
      </c>
      <c r="BH39" s="101">
        <f>BH38*'R&amp;S - Buildings'!$E$7*('R&amp;S - Buildings'!$B$12*('R&amp;S - Buildings'!$B$16+('R&amp;S - Buildings'!$B$17-'R&amp;S - Buildings'!$B$16)*('Yearly BTX'!BH$3-'Yearly BTX'!$X$3)/10))</f>
        <v>81263.083878417048</v>
      </c>
      <c r="BI39" s="101">
        <f>BI38*'R&amp;S - Buildings'!$E$7*('R&amp;S - Buildings'!$B$12*('R&amp;S - Buildings'!$B$16+('R&amp;S - Buildings'!$B$17-'R&amp;S - Buildings'!$B$16)*('Yearly BTX'!BI$3-'Yearly BTX'!$X$3)/10))</f>
        <v>84734.120124480076</v>
      </c>
      <c r="BJ39" s="101">
        <f>BJ38*'R&amp;S - Buildings'!$E$7*('R&amp;S - Buildings'!$B$12*('R&amp;S - Buildings'!$B$16+('R&amp;S - Buildings'!$B$17-'R&amp;S - Buildings'!$B$16)*('Yearly BTX'!BJ$3-'Yearly BTX'!$X$3)/10))</f>
        <v>88205.156370543118</v>
      </c>
      <c r="BK39" s="101">
        <f>BK38*'R&amp;S - Buildings'!$E$7*('R&amp;S - Buildings'!$B$12*('R&amp;S - Buildings'!$B$16+('R&amp;S - Buildings'!$B$17-'R&amp;S - Buildings'!$B$16)*('Yearly BTX'!BK$3-'Yearly BTX'!$X$3)/10))</f>
        <v>91676.192616606146</v>
      </c>
      <c r="BL39" s="101">
        <f>BL38*'R&amp;S - Buildings'!$E$7*('R&amp;S - Buildings'!$B$12*('R&amp;S - Buildings'!$B$16+('R&amp;S - Buildings'!$B$17-'R&amp;S - Buildings'!$B$16)*('Yearly BTX'!BL$3-'Yearly BTX'!$X$3)/10))</f>
        <v>95147.228862669188</v>
      </c>
      <c r="BM39" s="101">
        <f>BM38*'R&amp;S - Buildings'!$E$7*('R&amp;S - Buildings'!$B$12*('R&amp;S - Buildings'!$B$16+('R&amp;S - Buildings'!$B$17-'R&amp;S - Buildings'!$B$16)*('Yearly BTX'!BM$3-'Yearly BTX'!$X$3)/10))</f>
        <v>98618.26510873223</v>
      </c>
      <c r="BN39" s="101">
        <f>BN38*'R&amp;S - Buildings'!$E$7*('R&amp;S - Buildings'!$B$12*('R&amp;S - Buildings'!$B$16+('R&amp;S - Buildings'!$B$17-'R&amp;S - Buildings'!$B$16)*('Yearly BTX'!BN$3-'Yearly BTX'!$X$3)/10))</f>
        <v>102089.30135479527</v>
      </c>
    </row>
    <row r="40" spans="1:75" outlineLevel="1">
      <c r="B40" s="1" t="s">
        <v>167</v>
      </c>
      <c r="C40" s="51" t="s">
        <v>166</v>
      </c>
      <c r="D40" s="101">
        <v>0</v>
      </c>
      <c r="E40" s="101">
        <f>E38*'R&amp;S - Buildings'!$E$8*'R&amp;S - Buildings'!$C$11*'R&amp;S - Buildings'!$B$15*('Yearly BTX'!E$3-'Yearly BTX'!$D$3)/10</f>
        <v>2743.0675142032242</v>
      </c>
      <c r="F40" s="101">
        <f>F38*'R&amp;S - Buildings'!$E$8*'R&amp;S - Buildings'!$C$11*'R&amp;S - Buildings'!$B$15*('Yearly BTX'!F$3-'Yearly BTX'!$D$3)/10</f>
        <v>5486.1350284064483</v>
      </c>
      <c r="G40" s="101">
        <f>G38*'R&amp;S - Buildings'!$E$8*'R&amp;S - Buildings'!$C$11*'R&amp;S - Buildings'!$B$15*('Yearly BTX'!G$3-'Yearly BTX'!$D$3)/10</f>
        <v>8229.2025426096716</v>
      </c>
      <c r="H40" s="101">
        <f>H38*'R&amp;S - Buildings'!$E$8*'R&amp;S - Buildings'!$C$11*'R&amp;S - Buildings'!$B$15*('Yearly BTX'!H$3-'Yearly BTX'!$D$3)/10</f>
        <v>10972.270056812897</v>
      </c>
      <c r="I40" s="101">
        <f>I38*'R&amp;S - Buildings'!$E$8*'R&amp;S - Buildings'!$C$11*'R&amp;S - Buildings'!$B$15*('Yearly BTX'!I$3-'Yearly BTX'!$D$3)/10</f>
        <v>13715.33757101612</v>
      </c>
      <c r="J40" s="101">
        <f>J38*'R&amp;S - Buildings'!$E$8*'R&amp;S - Buildings'!$C$11*'R&amp;S - Buildings'!$B$15*('Yearly BTX'!J$3-'Yearly BTX'!$D$3)/10</f>
        <v>16458.405085219343</v>
      </c>
      <c r="K40" s="101">
        <f>K38*'R&amp;S - Buildings'!$E$8*'R&amp;S - Buildings'!$C$11*'R&amp;S - Buildings'!$B$15*('Yearly BTX'!K$3-'Yearly BTX'!$D$3)/10</f>
        <v>19201.472599422566</v>
      </c>
      <c r="L40" s="101">
        <f>L38*'R&amp;S - Buildings'!$E$8*'R&amp;S - Buildings'!$C$11*'R&amp;S - Buildings'!$B$15*('Yearly BTX'!L$3-'Yearly BTX'!$D$3)/10</f>
        <v>21944.540113625793</v>
      </c>
      <c r="M40" s="101">
        <f>M38*'R&amp;S - Buildings'!$E$8*'R&amp;S - Buildings'!$C$11*'R&amp;S - Buildings'!$B$15*('Yearly BTX'!M$3-'Yearly BTX'!$D$3)/10</f>
        <v>24687.607627829017</v>
      </c>
      <c r="N40" s="101">
        <f>N38*'R&amp;S - Buildings'!$E$8*'R&amp;S - Buildings'!$C$11*'R&amp;S - Buildings'!$B$15*('Yearly BTX'!N$3-'Yearly BTX'!$D$3)/10</f>
        <v>27430.67514203224</v>
      </c>
      <c r="O40" s="101">
        <f>O38*'R&amp;S - Buildings'!$E$8*'R&amp;S - Buildings'!$C$11*('R&amp;S - Buildings'!$B$15+('R&amp;S - Buildings'!$B$16-'R&amp;S - Buildings'!$B$15)*('Yearly BTX'!O$3-'Yearly BTX'!$N$3)/10)</f>
        <v>30173.742656235463</v>
      </c>
      <c r="P40" s="101">
        <f>P38*'R&amp;S - Buildings'!$E$8*'R&amp;S - Buildings'!$C$11*('R&amp;S - Buildings'!$B$15+('R&amp;S - Buildings'!$B$16-'R&amp;S - Buildings'!$B$15)*('Yearly BTX'!P$3-'Yearly BTX'!$N$3)/10)</f>
        <v>32916.810170438686</v>
      </c>
      <c r="Q40" s="101">
        <f>Q38*'R&amp;S - Buildings'!$E$8*'R&amp;S - Buildings'!$C$11*('R&amp;S - Buildings'!$B$15+('R&amp;S - Buildings'!$B$16-'R&amp;S - Buildings'!$B$15)*('Yearly BTX'!Q$3-'Yearly BTX'!$N$3)/10)</f>
        <v>35659.877684641913</v>
      </c>
      <c r="R40" s="101">
        <f>R38*'R&amp;S - Buildings'!$E$8*'R&amp;S - Buildings'!$C$11*('R&amp;S - Buildings'!$B$15+('R&amp;S - Buildings'!$B$16-'R&amp;S - Buildings'!$B$15)*('Yearly BTX'!R$3-'Yearly BTX'!$N$3)/10)</f>
        <v>38402.945198845133</v>
      </c>
      <c r="S40" s="101">
        <f>S38*'R&amp;S - Buildings'!$E$8*'R&amp;S - Buildings'!$C$11*('R&amp;S - Buildings'!$B$15+('R&amp;S - Buildings'!$B$16-'R&amp;S - Buildings'!$B$15)*('Yearly BTX'!S$3-'Yearly BTX'!$N$3)/10)</f>
        <v>41146.01271304836</v>
      </c>
      <c r="T40" s="101">
        <f>T38*'R&amp;S - Buildings'!$E$8*'R&amp;S - Buildings'!$C$11*('R&amp;S - Buildings'!$B$15+('R&amp;S - Buildings'!$B$16-'R&amp;S - Buildings'!$B$15)*('Yearly BTX'!T$3-'Yearly BTX'!$N$3)/10)</f>
        <v>43889.080227251587</v>
      </c>
      <c r="U40" s="101">
        <f>U38*'R&amp;S - Buildings'!$E$8*'R&amp;S - Buildings'!$C$11*('R&amp;S - Buildings'!$B$15+('R&amp;S - Buildings'!$B$16-'R&amp;S - Buildings'!$B$15)*('Yearly BTX'!U$3-'Yearly BTX'!$N$3)/10)</f>
        <v>46632.147741454814</v>
      </c>
      <c r="V40" s="101">
        <f>V38*'R&amp;S - Buildings'!$E$8*'R&amp;S - Buildings'!$C$11*('R&amp;S - Buildings'!$B$15+('R&amp;S - Buildings'!$B$16-'R&amp;S - Buildings'!$B$15)*('Yearly BTX'!V$3-'Yearly BTX'!$N$3)/10)</f>
        <v>49375.21525565804</v>
      </c>
      <c r="W40" s="101">
        <f>W38*'R&amp;S - Buildings'!$E$8*'R&amp;S - Buildings'!$C$11*('R&amp;S - Buildings'!$B$15+('R&amp;S - Buildings'!$B$16-'R&amp;S - Buildings'!$B$15)*('Yearly BTX'!W$3-'Yearly BTX'!$N$3)/10)</f>
        <v>52118.282769861253</v>
      </c>
      <c r="X40" s="101">
        <f>X38*'R&amp;S - Buildings'!$E$8*'R&amp;S - Buildings'!$C$11*('R&amp;S - Buildings'!$B$15+('R&amp;S - Buildings'!$B$16-'R&amp;S - Buildings'!$B$15)*('Yearly BTX'!X$3-'Yearly BTX'!$N$3)/10)</f>
        <v>54861.35028406448</v>
      </c>
      <c r="Y40" s="101">
        <f>Y38*'R&amp;S - Buildings'!$E$8*'R&amp;S - Buildings'!$C$11*('R&amp;S - Buildings'!$B$16+('R&amp;S - Buildings'!$B$17-'R&amp;S - Buildings'!$B$16)*('Yearly BTX'!Y$3-'Yearly BTX'!$X$3)/10)</f>
        <v>57687.541056273862</v>
      </c>
      <c r="Z40" s="101">
        <f>Z38*'R&amp;S - Buildings'!$E$8*'R&amp;S - Buildings'!$C$11*('R&amp;S - Buildings'!$B$16+('R&amp;S - Buildings'!$B$17-'R&amp;S - Buildings'!$B$16)*('Yearly BTX'!Z$3-'Yearly BTX'!$X$3)/10)</f>
        <v>60513.731828483244</v>
      </c>
      <c r="AA40" s="101">
        <f>AA38*'R&amp;S - Buildings'!$E$8*'R&amp;S - Buildings'!$C$11*('R&amp;S - Buildings'!$B$16+('R&amp;S - Buildings'!$B$17-'R&amp;S - Buildings'!$B$16)*('Yearly BTX'!AA$3-'Yearly BTX'!$X$3)/10)</f>
        <v>63339.922600692626</v>
      </c>
      <c r="AB40" s="101">
        <f>AB38*'R&amp;S - Buildings'!$E$8*'R&amp;S - Buildings'!$C$11*('R&amp;S - Buildings'!$B$16+('R&amp;S - Buildings'!$B$17-'R&amp;S - Buildings'!$B$16)*('Yearly BTX'!AB$3-'Yearly BTX'!$X$3)/10)</f>
        <v>66166.113372902008</v>
      </c>
      <c r="AC40" s="101">
        <f>AC38*'R&amp;S - Buildings'!$E$8*'R&amp;S - Buildings'!$C$11*('R&amp;S - Buildings'!$B$16+('R&amp;S - Buildings'!$B$17-'R&amp;S - Buildings'!$B$16)*('Yearly BTX'!AC$3-'Yearly BTX'!$X$3)/10)</f>
        <v>68992.304145111397</v>
      </c>
      <c r="AD40" s="101">
        <f>AD38*'R&amp;S - Buildings'!$E$8*'R&amp;S - Buildings'!$C$11*('R&amp;S - Buildings'!$B$16+('R&amp;S - Buildings'!$B$17-'R&amp;S - Buildings'!$B$16)*('Yearly BTX'!AD$3-'Yearly BTX'!$X$3)/10)</f>
        <v>71818.494917320786</v>
      </c>
      <c r="AE40" s="101">
        <f>AE38*'R&amp;S - Buildings'!$E$8*'R&amp;S - Buildings'!$C$11*('R&amp;S - Buildings'!$B$16+('R&amp;S - Buildings'!$B$17-'R&amp;S - Buildings'!$B$16)*('Yearly BTX'!AE$3-'Yearly BTX'!$X$3)/10)</f>
        <v>74644.685689530161</v>
      </c>
      <c r="AF40" s="101">
        <f>AF38*'R&amp;S - Buildings'!$E$8*'R&amp;S - Buildings'!$C$11*('R&amp;S - Buildings'!$B$16+('R&amp;S - Buildings'!$B$17-'R&amp;S - Buildings'!$B$16)*('Yearly BTX'!AF$3-'Yearly BTX'!$X$3)/10)</f>
        <v>77470.876461739535</v>
      </c>
      <c r="AG40" s="101">
        <f>AG38*'R&amp;S - Buildings'!$E$8*'R&amp;S - Buildings'!$C$11*('R&amp;S - Buildings'!$B$16+('R&amp;S - Buildings'!$B$17-'R&amp;S - Buildings'!$B$16)*('Yearly BTX'!AG$3-'Yearly BTX'!$X$3)/10)</f>
        <v>80297.06723394891</v>
      </c>
      <c r="AH40" s="101">
        <f>AH38*'R&amp;S - Buildings'!$E$8*'R&amp;S - Buildings'!$C$11*('R&amp;S - Buildings'!$B$16+('R&amp;S - Buildings'!$B$17-'R&amp;S - Buildings'!$B$16)*('Yearly BTX'!AH$3-'Yearly BTX'!$X$3)/10)</f>
        <v>83123.258006158299</v>
      </c>
      <c r="AI40" s="191"/>
      <c r="AJ40" s="101">
        <v>0</v>
      </c>
      <c r="AK40" s="101">
        <f>AK38*'R&amp;S - Buildings'!$E$8*'R&amp;S - Buildings'!$C$12*'R&amp;S - Buildings'!$B$15*('Yearly BTX'!AK$3-'Yearly BTX'!$D$3)/10</f>
        <v>1371.5337571016121</v>
      </c>
      <c r="AL40" s="101">
        <f>AL38*'R&amp;S - Buildings'!$E$8*'R&amp;S - Buildings'!$C$12*'R&amp;S - Buildings'!$B$15*('Yearly BTX'!AL$3-'Yearly BTX'!$D$3)/10</f>
        <v>2743.0675142032242</v>
      </c>
      <c r="AM40" s="101">
        <f>AM38*'R&amp;S - Buildings'!$E$8*'R&amp;S - Buildings'!$C$12*'R&amp;S - Buildings'!$B$15*('Yearly BTX'!AM$3-'Yearly BTX'!$D$3)/10</f>
        <v>4114.6012713048358</v>
      </c>
      <c r="AN40" s="101">
        <f>AN38*'R&amp;S - Buildings'!$E$8*'R&amp;S - Buildings'!$C$12*'R&amp;S - Buildings'!$B$15*('Yearly BTX'!AN$3-'Yearly BTX'!$D$3)/10</f>
        <v>5486.1350284064483</v>
      </c>
      <c r="AO40" s="101">
        <f>AO38*'R&amp;S - Buildings'!$E$8*'R&amp;S - Buildings'!$C$12*'R&amp;S - Buildings'!$B$15*('Yearly BTX'!AO$3-'Yearly BTX'!$D$3)/10</f>
        <v>6857.66878550806</v>
      </c>
      <c r="AP40" s="101">
        <f>AP38*'R&amp;S - Buildings'!$E$8*'R&amp;S - Buildings'!$C$12*'R&amp;S - Buildings'!$B$15*('Yearly BTX'!AP$3-'Yearly BTX'!$D$3)/10</f>
        <v>8229.2025426096716</v>
      </c>
      <c r="AQ40" s="101">
        <f>AQ38*'R&amp;S - Buildings'!$E$8*'R&amp;S - Buildings'!$C$12*'R&amp;S - Buildings'!$B$15*('Yearly BTX'!AQ$3-'Yearly BTX'!$D$3)/10</f>
        <v>9600.7362997112832</v>
      </c>
      <c r="AR40" s="101">
        <f>AR38*'R&amp;S - Buildings'!$E$8*'R&amp;S - Buildings'!$C$12*'R&amp;S - Buildings'!$B$15*('Yearly BTX'!AR$3-'Yearly BTX'!$D$3)/10</f>
        <v>10972.270056812897</v>
      </c>
      <c r="AS40" s="101">
        <f>AS38*'R&amp;S - Buildings'!$E$8*'R&amp;S - Buildings'!$C$12*'R&amp;S - Buildings'!$B$15*('Yearly BTX'!AS$3-'Yearly BTX'!$D$3)/10</f>
        <v>12343.803813914508</v>
      </c>
      <c r="AT40" s="101">
        <f>AT38*'R&amp;S - Buildings'!$E$8*'R&amp;S - Buildings'!$C$12*'R&amp;S - Buildings'!$B$15*('Yearly BTX'!AT$3-'Yearly BTX'!$D$3)/10</f>
        <v>13715.33757101612</v>
      </c>
      <c r="AU40" s="101">
        <f>AU38*'R&amp;S - Buildings'!$E$8*'R&amp;S - Buildings'!$C$12*('R&amp;S - Buildings'!$B$15+('R&amp;S - Buildings'!$B$16-'R&amp;S - Buildings'!$B$15)*('Yearly BTX'!AU$3-'Yearly BTX'!$N$3)/10)</f>
        <v>15086.871328117732</v>
      </c>
      <c r="AV40" s="101">
        <f>AV38*'R&amp;S - Buildings'!$E$8*'R&amp;S - Buildings'!$C$12*('R&amp;S - Buildings'!$B$15+('R&amp;S - Buildings'!$B$16-'R&amp;S - Buildings'!$B$15)*('Yearly BTX'!AV$3-'Yearly BTX'!$N$3)/10)</f>
        <v>16458.405085219343</v>
      </c>
      <c r="AW40" s="101">
        <f>AW38*'R&amp;S - Buildings'!$E$8*'R&amp;S - Buildings'!$C$12*('R&amp;S - Buildings'!$B$15+('R&amp;S - Buildings'!$B$16-'R&amp;S - Buildings'!$B$15)*('Yearly BTX'!AW$3-'Yearly BTX'!$N$3)/10)</f>
        <v>17829.938842320957</v>
      </c>
      <c r="AX40" s="101">
        <f>AX38*'R&amp;S - Buildings'!$E$8*'R&amp;S - Buildings'!$C$12*('R&amp;S - Buildings'!$B$15+('R&amp;S - Buildings'!$B$16-'R&amp;S - Buildings'!$B$15)*('Yearly BTX'!AX$3-'Yearly BTX'!$N$3)/10)</f>
        <v>19201.472599422566</v>
      </c>
      <c r="AY40" s="101">
        <f>AY38*'R&amp;S - Buildings'!$E$8*'R&amp;S - Buildings'!$C$12*('R&amp;S - Buildings'!$B$15+('R&amp;S - Buildings'!$B$16-'R&amp;S - Buildings'!$B$15)*('Yearly BTX'!AY$3-'Yearly BTX'!$N$3)/10)</f>
        <v>20573.00635652418</v>
      </c>
      <c r="AZ40" s="101">
        <f>AZ38*'R&amp;S - Buildings'!$E$8*'R&amp;S - Buildings'!$C$12*('R&amp;S - Buildings'!$B$15+('R&amp;S - Buildings'!$B$16-'R&amp;S - Buildings'!$B$15)*('Yearly BTX'!AZ$3-'Yearly BTX'!$N$3)/10)</f>
        <v>21944.540113625793</v>
      </c>
      <c r="BA40" s="101">
        <f>BA38*'R&amp;S - Buildings'!$E$8*'R&amp;S - Buildings'!$C$12*('R&amp;S - Buildings'!$B$15+('R&amp;S - Buildings'!$B$16-'R&amp;S - Buildings'!$B$15)*('Yearly BTX'!BA$3-'Yearly BTX'!$N$3)/10)</f>
        <v>23316.073870727407</v>
      </c>
      <c r="BB40" s="101">
        <f>BB38*'R&amp;S - Buildings'!$E$8*'R&amp;S - Buildings'!$C$12*('R&amp;S - Buildings'!$B$15+('R&amp;S - Buildings'!$B$16-'R&amp;S - Buildings'!$B$15)*('Yearly BTX'!BB$3-'Yearly BTX'!$N$3)/10)</f>
        <v>24687.60762782902</v>
      </c>
      <c r="BC40" s="101">
        <f>BC38*'R&amp;S - Buildings'!$E$8*'R&amp;S - Buildings'!$C$12*('R&amp;S - Buildings'!$B$15+('R&amp;S - Buildings'!$B$16-'R&amp;S - Buildings'!$B$15)*('Yearly BTX'!BC$3-'Yearly BTX'!$N$3)/10)</f>
        <v>26059.141384930626</v>
      </c>
      <c r="BD40" s="101">
        <f>BD38*'R&amp;S - Buildings'!$E$8*'R&amp;S - Buildings'!$C$12*('R&amp;S - Buildings'!$B$15+('R&amp;S - Buildings'!$B$16-'R&amp;S - Buildings'!$B$15)*('Yearly BTX'!BD$3-'Yearly BTX'!$N$3)/10)</f>
        <v>27430.67514203224</v>
      </c>
      <c r="BE40" s="101">
        <f>BE38*'R&amp;S - Buildings'!$E$8*'R&amp;S - Buildings'!$C$12*('R&amp;S - Buildings'!$B$16+('R&amp;S - Buildings'!$B$17-'R&amp;S - Buildings'!$B$16)*('Yearly BTX'!BE$3-'Yearly BTX'!$X$3)/10)</f>
        <v>28843.770528136931</v>
      </c>
      <c r="BF40" s="101">
        <f>BF38*'R&amp;S - Buildings'!$E$8*'R&amp;S - Buildings'!$C$12*('R&amp;S - Buildings'!$B$16+('R&amp;S - Buildings'!$B$17-'R&amp;S - Buildings'!$B$16)*('Yearly BTX'!BF$3-'Yearly BTX'!$X$3)/10)</f>
        <v>30256.865914241622</v>
      </c>
      <c r="BG40" s="101">
        <f>BG38*'R&amp;S - Buildings'!$E$8*'R&amp;S - Buildings'!$C$12*('R&amp;S - Buildings'!$B$16+('R&amp;S - Buildings'!$B$17-'R&amp;S - Buildings'!$B$16)*('Yearly BTX'!BG$3-'Yearly BTX'!$X$3)/10)</f>
        <v>31669.961300346313</v>
      </c>
      <c r="BH40" s="101">
        <f>BH38*'R&amp;S - Buildings'!$E$8*'R&amp;S - Buildings'!$C$12*('R&amp;S - Buildings'!$B$16+('R&amp;S - Buildings'!$B$17-'R&amp;S - Buildings'!$B$16)*('Yearly BTX'!BH$3-'Yearly BTX'!$X$3)/10)</f>
        <v>33083.056686451004</v>
      </c>
      <c r="BI40" s="101">
        <f>BI38*'R&amp;S - Buildings'!$E$8*'R&amp;S - Buildings'!$C$12*('R&amp;S - Buildings'!$B$16+('R&amp;S - Buildings'!$B$17-'R&amp;S - Buildings'!$B$16)*('Yearly BTX'!BI$3-'Yearly BTX'!$X$3)/10)</f>
        <v>34496.152072555698</v>
      </c>
      <c r="BJ40" s="101">
        <f>BJ38*'R&amp;S - Buildings'!$E$8*'R&amp;S - Buildings'!$C$12*('R&amp;S - Buildings'!$B$16+('R&amp;S - Buildings'!$B$17-'R&amp;S - Buildings'!$B$16)*('Yearly BTX'!BJ$3-'Yearly BTX'!$X$3)/10)</f>
        <v>35909.247458660393</v>
      </c>
      <c r="BK40" s="101">
        <f>BK38*'R&amp;S - Buildings'!$E$8*'R&amp;S - Buildings'!$C$12*('R&amp;S - Buildings'!$B$16+('R&amp;S - Buildings'!$B$17-'R&amp;S - Buildings'!$B$16)*('Yearly BTX'!BK$3-'Yearly BTX'!$X$3)/10)</f>
        <v>37322.34284476508</v>
      </c>
      <c r="BL40" s="101">
        <f>BL38*'R&amp;S - Buildings'!$E$8*'R&amp;S - Buildings'!$C$12*('R&amp;S - Buildings'!$B$16+('R&amp;S - Buildings'!$B$17-'R&amp;S - Buildings'!$B$16)*('Yearly BTX'!BL$3-'Yearly BTX'!$X$3)/10)</f>
        <v>38735.438230869768</v>
      </c>
      <c r="BM40" s="101">
        <f>BM38*'R&amp;S - Buildings'!$E$8*'R&amp;S - Buildings'!$C$12*('R&amp;S - Buildings'!$B$16+('R&amp;S - Buildings'!$B$17-'R&amp;S - Buildings'!$B$16)*('Yearly BTX'!BM$3-'Yearly BTX'!$X$3)/10)</f>
        <v>40148.533616974455</v>
      </c>
      <c r="BN40" s="101">
        <f>BN38*'R&amp;S - Buildings'!$E$8*'R&amp;S - Buildings'!$C$12*('R&amp;S - Buildings'!$B$16+('R&amp;S - Buildings'!$B$17-'R&amp;S - Buildings'!$B$16)*('Yearly BTX'!BN$3-'Yearly BTX'!$X$3)/10)</f>
        <v>41561.62900307915</v>
      </c>
    </row>
    <row r="41" spans="1:75" outlineLevel="1">
      <c r="B41" s="1" t="s">
        <v>195</v>
      </c>
      <c r="C41" s="61" t="s">
        <v>166</v>
      </c>
      <c r="D41" s="633">
        <f>D38-D39-D40</f>
        <v>464042.27888543304</v>
      </c>
      <c r="E41" s="633">
        <f t="shared" ref="E41:AG41" si="34">E38-E39-E40</f>
        <v>452876.84400945925</v>
      </c>
      <c r="F41" s="633">
        <f t="shared" si="34"/>
        <v>441711.40913348534</v>
      </c>
      <c r="G41" s="633">
        <f t="shared" si="34"/>
        <v>430545.97425751155</v>
      </c>
      <c r="H41" s="633">
        <f t="shared" si="34"/>
        <v>419380.5393815377</v>
      </c>
      <c r="I41" s="633">
        <f t="shared" si="34"/>
        <v>408215.10450556391</v>
      </c>
      <c r="J41" s="633">
        <f t="shared" si="34"/>
        <v>397049.66962959</v>
      </c>
      <c r="K41" s="633">
        <f t="shared" si="34"/>
        <v>385884.23475361621</v>
      </c>
      <c r="L41" s="633">
        <f t="shared" si="34"/>
        <v>374718.7998776423</v>
      </c>
      <c r="M41" s="633">
        <f t="shared" si="34"/>
        <v>363553.36500166851</v>
      </c>
      <c r="N41" s="633">
        <f t="shared" si="34"/>
        <v>352387.93012569472</v>
      </c>
      <c r="O41" s="633">
        <f t="shared" si="34"/>
        <v>341222.49524972087</v>
      </c>
      <c r="P41" s="633">
        <f t="shared" si="34"/>
        <v>330057.06037374708</v>
      </c>
      <c r="Q41" s="633">
        <f t="shared" si="34"/>
        <v>318891.62549777317</v>
      </c>
      <c r="R41" s="633">
        <f t="shared" si="34"/>
        <v>307726.19062179938</v>
      </c>
      <c r="S41" s="633">
        <f t="shared" si="34"/>
        <v>296560.75574582553</v>
      </c>
      <c r="T41" s="633">
        <f t="shared" si="34"/>
        <v>285395.32086985168</v>
      </c>
      <c r="U41" s="633">
        <f t="shared" si="34"/>
        <v>274229.88599387783</v>
      </c>
      <c r="V41" s="633">
        <f t="shared" si="34"/>
        <v>263064.45111790404</v>
      </c>
      <c r="W41" s="633">
        <f t="shared" si="34"/>
        <v>251899.01624193022</v>
      </c>
      <c r="X41" s="633">
        <f t="shared" si="34"/>
        <v>240733.58136595634</v>
      </c>
      <c r="Y41" s="633">
        <f t="shared" si="34"/>
        <v>229229.79997858941</v>
      </c>
      <c r="Z41" s="633">
        <f t="shared" si="34"/>
        <v>217726.01859122241</v>
      </c>
      <c r="AA41" s="633">
        <f t="shared" si="34"/>
        <v>206222.23720385539</v>
      </c>
      <c r="AB41" s="633">
        <f t="shared" si="34"/>
        <v>194718.45581648842</v>
      </c>
      <c r="AC41" s="633">
        <f t="shared" si="34"/>
        <v>183214.67442912143</v>
      </c>
      <c r="AD41" s="633">
        <f t="shared" si="34"/>
        <v>171710.89304175443</v>
      </c>
      <c r="AE41" s="633">
        <f t="shared" si="34"/>
        <v>160207.1116543875</v>
      </c>
      <c r="AF41" s="633">
        <f t="shared" si="34"/>
        <v>148703.33026702053</v>
      </c>
      <c r="AG41" s="633">
        <f t="shared" si="34"/>
        <v>137199.54887965356</v>
      </c>
      <c r="AH41" s="633">
        <f>AH38-AH39-AH40</f>
        <v>125695.76749228656</v>
      </c>
      <c r="AI41" s="191"/>
      <c r="AJ41" s="633">
        <f>AJ38-AJ39-AJ40</f>
        <v>464042.27888543304</v>
      </c>
      <c r="AK41" s="633">
        <f t="shared" ref="AK41:BM41" si="35">AK38-AK39-AK40</f>
        <v>459301.79818362318</v>
      </c>
      <c r="AL41" s="633">
        <f t="shared" si="35"/>
        <v>454561.31748181337</v>
      </c>
      <c r="AM41" s="633">
        <f t="shared" si="35"/>
        <v>449820.8367800035</v>
      </c>
      <c r="AN41" s="633">
        <f t="shared" si="35"/>
        <v>445080.35607819364</v>
      </c>
      <c r="AO41" s="633">
        <f t="shared" si="35"/>
        <v>440339.87537638372</v>
      </c>
      <c r="AP41" s="633">
        <f t="shared" si="35"/>
        <v>435599.39467457391</v>
      </c>
      <c r="AQ41" s="633">
        <f t="shared" si="35"/>
        <v>430858.91397276404</v>
      </c>
      <c r="AR41" s="633">
        <f t="shared" si="35"/>
        <v>426118.43327095418</v>
      </c>
      <c r="AS41" s="633">
        <f t="shared" si="35"/>
        <v>421377.95256914431</v>
      </c>
      <c r="AT41" s="633">
        <f t="shared" si="35"/>
        <v>416637.47186733451</v>
      </c>
      <c r="AU41" s="633">
        <f t="shared" si="35"/>
        <v>411896.99116552464</v>
      </c>
      <c r="AV41" s="633">
        <f t="shared" si="35"/>
        <v>407156.51046371477</v>
      </c>
      <c r="AW41" s="633">
        <f t="shared" si="35"/>
        <v>402416.02976190497</v>
      </c>
      <c r="AX41" s="633">
        <f t="shared" si="35"/>
        <v>397675.54906009504</v>
      </c>
      <c r="AY41" s="633">
        <f t="shared" si="35"/>
        <v>392935.06835828518</v>
      </c>
      <c r="AZ41" s="633">
        <f t="shared" si="35"/>
        <v>388194.58765647531</v>
      </c>
      <c r="BA41" s="633">
        <f t="shared" si="35"/>
        <v>383454.10695466551</v>
      </c>
      <c r="BB41" s="633">
        <f t="shared" si="35"/>
        <v>378713.62625285564</v>
      </c>
      <c r="BC41" s="633">
        <f t="shared" si="35"/>
        <v>373973.14555104577</v>
      </c>
      <c r="BD41" s="633">
        <f t="shared" si="35"/>
        <v>369232.66484923591</v>
      </c>
      <c r="BE41" s="633">
        <f t="shared" si="35"/>
        <v>364348.53321706818</v>
      </c>
      <c r="BF41" s="633">
        <f t="shared" si="35"/>
        <v>359464.40158490045</v>
      </c>
      <c r="BG41" s="633">
        <f t="shared" si="35"/>
        <v>354580.26995273272</v>
      </c>
      <c r="BH41" s="633">
        <f t="shared" si="35"/>
        <v>349696.13832056499</v>
      </c>
      <c r="BI41" s="633">
        <f t="shared" si="35"/>
        <v>344812.00668839732</v>
      </c>
      <c r="BJ41" s="633">
        <f t="shared" si="35"/>
        <v>339927.87505622953</v>
      </c>
      <c r="BK41" s="633">
        <f t="shared" si="35"/>
        <v>335043.7434240618</v>
      </c>
      <c r="BL41" s="633">
        <f t="shared" si="35"/>
        <v>330159.61179189407</v>
      </c>
      <c r="BM41" s="633">
        <f t="shared" si="35"/>
        <v>325275.48015972634</v>
      </c>
      <c r="BN41" s="633">
        <f>BN38-BN39-BN40</f>
        <v>320391.34852755861</v>
      </c>
    </row>
    <row r="42" spans="1:75" s="62" customFormat="1" outlineLevel="1">
      <c r="A42" s="684"/>
      <c r="B42" s="55" t="s">
        <v>88</v>
      </c>
      <c r="C42" s="56" t="s">
        <v>166</v>
      </c>
      <c r="D42" s="639">
        <f>D$41*'R&amp;S - Buildings'!$L$4/SUM('R&amp;S - Buildings'!$L$4:$N$4)</f>
        <v>433459.0800517234</v>
      </c>
      <c r="E42" s="639">
        <f>E$41*'R&amp;S - Buildings'!$L$4/SUM('R&amp;S - Buildings'!$L$4:$N$4)</f>
        <v>423029.51501006063</v>
      </c>
      <c r="F42" s="639">
        <f>F$41*'R&amp;S - Buildings'!$L$4/SUM('R&amp;S - Buildings'!$L$4:$N$4)</f>
        <v>412599.94996839773</v>
      </c>
      <c r="G42" s="639">
        <f>G$41*'R&amp;S - Buildings'!$L$4/SUM('R&amp;S - Buildings'!$L$4:$N$4)</f>
        <v>402170.38492673496</v>
      </c>
      <c r="H42" s="639">
        <f>H$41*'R&amp;S - Buildings'!$L$4/SUM('R&amp;S - Buildings'!$L$4:$N$4)</f>
        <v>391740.81988507218</v>
      </c>
      <c r="I42" s="639">
        <f>I$41*'R&amp;S - Buildings'!$L$4/SUM('R&amp;S - Buildings'!$L$4:$N$4)</f>
        <v>381311.25484340941</v>
      </c>
      <c r="J42" s="639">
        <f>J$41*'R&amp;S - Buildings'!$L$4/SUM('R&amp;S - Buildings'!$L$4:$N$4)</f>
        <v>370881.68980174657</v>
      </c>
      <c r="K42" s="639">
        <f>K$41*'R&amp;S - Buildings'!$L$4/SUM('R&amp;S - Buildings'!$L$4:$N$4)</f>
        <v>360452.12476008385</v>
      </c>
      <c r="L42" s="639">
        <f>L$41*'R&amp;S - Buildings'!$L$4/SUM('R&amp;S - Buildings'!$L$4:$N$4)</f>
        <v>350022.55971842096</v>
      </c>
      <c r="M42" s="639">
        <f>M$41*'R&amp;S - Buildings'!$L$4/SUM('R&amp;S - Buildings'!$L$4:$N$4)</f>
        <v>339592.99467675824</v>
      </c>
      <c r="N42" s="639">
        <f>N$41*'R&amp;S - Buildings'!$L$4/SUM('R&amp;S - Buildings'!$L$4:$N$4)</f>
        <v>329163.42963509547</v>
      </c>
      <c r="O42" s="639">
        <f>O$41*'R&amp;S - Buildings'!$L$4/SUM('R&amp;S - Buildings'!$L$4:$N$4)</f>
        <v>318733.86459343269</v>
      </c>
      <c r="P42" s="639">
        <f>P$41*'R&amp;S - Buildings'!$L$4/SUM('R&amp;S - Buildings'!$L$4:$N$4)</f>
        <v>308304.29955176992</v>
      </c>
      <c r="Q42" s="639">
        <f>Q$41*'R&amp;S - Buildings'!$L$4/SUM('R&amp;S - Buildings'!$L$4:$N$4)</f>
        <v>297874.73451010708</v>
      </c>
      <c r="R42" s="639">
        <f>R$41*'R&amp;S - Buildings'!$L$4/SUM('R&amp;S - Buildings'!$L$4:$N$4)</f>
        <v>287445.16946844436</v>
      </c>
      <c r="S42" s="639">
        <f>S$41*'R&amp;S - Buildings'!$L$4/SUM('R&amp;S - Buildings'!$L$4:$N$4)</f>
        <v>277015.60442678153</v>
      </c>
      <c r="T42" s="639">
        <f>T$41*'R&amp;S - Buildings'!$L$4/SUM('R&amp;S - Buildings'!$L$4:$N$4)</f>
        <v>266586.03938511875</v>
      </c>
      <c r="U42" s="639">
        <f>U$41*'R&amp;S - Buildings'!$L$4/SUM('R&amp;S - Buildings'!$L$4:$N$4)</f>
        <v>256156.47434345595</v>
      </c>
      <c r="V42" s="639">
        <f>V$41*'R&amp;S - Buildings'!$L$4/SUM('R&amp;S - Buildings'!$L$4:$N$4)</f>
        <v>245726.9093017932</v>
      </c>
      <c r="W42" s="639">
        <f>W$41*'R&amp;S - Buildings'!$L$4/SUM('R&amp;S - Buildings'!$L$4:$N$4)</f>
        <v>235297.34426013043</v>
      </c>
      <c r="X42" s="639">
        <f>X$41*'R&amp;S - Buildings'!$L$4/SUM('R&amp;S - Buildings'!$L$4:$N$4)</f>
        <v>224867.77921846759</v>
      </c>
      <c r="Y42" s="639">
        <f>Y$41*'R&amp;S - Buildings'!$L$4/SUM('R&amp;S - Buildings'!$L$4:$N$4)</f>
        <v>214122.1667512999</v>
      </c>
      <c r="Z42" s="639">
        <f>Z$41*'R&amp;S - Buildings'!$L$4/SUM('R&amp;S - Buildings'!$L$4:$N$4)</f>
        <v>203376.5542841322</v>
      </c>
      <c r="AA42" s="639">
        <f>AA$41*'R&amp;S - Buildings'!$L$4/SUM('R&amp;S - Buildings'!$L$4:$N$4)</f>
        <v>192630.94181696442</v>
      </c>
      <c r="AB42" s="639">
        <f>AB$41*'R&amp;S - Buildings'!$L$4/SUM('R&amp;S - Buildings'!$L$4:$N$4)</f>
        <v>181885.32934979672</v>
      </c>
      <c r="AC42" s="639">
        <f>AC$41*'R&amp;S - Buildings'!$L$4/SUM('R&amp;S - Buildings'!$L$4:$N$4)</f>
        <v>171139.716882629</v>
      </c>
      <c r="AD42" s="639">
        <f>AD$41*'R&amp;S - Buildings'!$L$4/SUM('R&amp;S - Buildings'!$L$4:$N$4)</f>
        <v>160394.10441546125</v>
      </c>
      <c r="AE42" s="639">
        <f>AE$41*'R&amp;S - Buildings'!$L$4/SUM('R&amp;S - Buildings'!$L$4:$N$4)</f>
        <v>149648.49194829358</v>
      </c>
      <c r="AF42" s="639">
        <f>AF$41*'R&amp;S - Buildings'!$L$4/SUM('R&amp;S - Buildings'!$L$4:$N$4)</f>
        <v>138902.87948112586</v>
      </c>
      <c r="AG42" s="639">
        <f>AG$41*'R&amp;S - Buildings'!$L$4/SUM('R&amp;S - Buildings'!$L$4:$N$4)</f>
        <v>128157.26701395818</v>
      </c>
      <c r="AH42" s="639">
        <f>AH$41*'R&amp;S - Buildings'!$L$4/SUM('R&amp;S - Buildings'!$L$4:$N$4)</f>
        <v>117411.65454679042</v>
      </c>
      <c r="AI42" s="639"/>
      <c r="AJ42" s="639">
        <f>AJ$41*'R&amp;S - Buildings'!$L$4/SUM('R&amp;S - Buildings'!$L$4:$N$4)</f>
        <v>433459.0800517234</v>
      </c>
      <c r="AK42" s="639">
        <f>AK$41*'R&amp;S - Buildings'!$L$4/SUM('R&amp;S - Buildings'!$L$4:$N$4)</f>
        <v>429031.02576118585</v>
      </c>
      <c r="AL42" s="639">
        <f>AL$41*'R&amp;S - Buildings'!$L$4/SUM('R&amp;S - Buildings'!$L$4:$N$4)</f>
        <v>424602.97147064836</v>
      </c>
      <c r="AM42" s="639">
        <f>AM$41*'R&amp;S - Buildings'!$L$4/SUM('R&amp;S - Buildings'!$L$4:$N$4)</f>
        <v>420174.91718011082</v>
      </c>
      <c r="AN42" s="639">
        <f>AN$41*'R&amp;S - Buildings'!$L$4/SUM('R&amp;S - Buildings'!$L$4:$N$4)</f>
        <v>415746.86288957327</v>
      </c>
      <c r="AO42" s="639">
        <f>AO$41*'R&amp;S - Buildings'!$L$4/SUM('R&amp;S - Buildings'!$L$4:$N$4)</f>
        <v>411318.80859903572</v>
      </c>
      <c r="AP42" s="639">
        <f>AP$41*'R&amp;S - Buildings'!$L$4/SUM('R&amp;S - Buildings'!$L$4:$N$4)</f>
        <v>406890.75430849823</v>
      </c>
      <c r="AQ42" s="639">
        <f>AQ$41*'R&amp;S - Buildings'!$L$4/SUM('R&amp;S - Buildings'!$L$4:$N$4)</f>
        <v>402462.70001796068</v>
      </c>
      <c r="AR42" s="639">
        <f>AR$41*'R&amp;S - Buildings'!$L$4/SUM('R&amp;S - Buildings'!$L$4:$N$4)</f>
        <v>398034.64572742325</v>
      </c>
      <c r="AS42" s="639">
        <f>AS$41*'R&amp;S - Buildings'!$L$4/SUM('R&amp;S - Buildings'!$L$4:$N$4)</f>
        <v>393606.5914368857</v>
      </c>
      <c r="AT42" s="639">
        <f>AT$41*'R&amp;S - Buildings'!$L$4/SUM('R&amp;S - Buildings'!$L$4:$N$4)</f>
        <v>389178.53714634822</v>
      </c>
      <c r="AU42" s="639">
        <f>AU$41*'R&amp;S - Buildings'!$L$4/SUM('R&amp;S - Buildings'!$L$4:$N$4)</f>
        <v>384750.48285581067</v>
      </c>
      <c r="AV42" s="639">
        <f>AV$41*'R&amp;S - Buildings'!$L$4/SUM('R&amp;S - Buildings'!$L$4:$N$4)</f>
        <v>380322.42856527312</v>
      </c>
      <c r="AW42" s="639">
        <f>AW$41*'R&amp;S - Buildings'!$L$4/SUM('R&amp;S - Buildings'!$L$4:$N$4)</f>
        <v>375894.37427473575</v>
      </c>
      <c r="AX42" s="639">
        <f>AX$41*'R&amp;S - Buildings'!$L$4/SUM('R&amp;S - Buildings'!$L$4:$N$4)</f>
        <v>371466.31998419814</v>
      </c>
      <c r="AY42" s="639">
        <f>AY$41*'R&amp;S - Buildings'!$L$4/SUM('R&amp;S - Buildings'!$L$4:$N$4)</f>
        <v>367038.26569366059</v>
      </c>
      <c r="AZ42" s="639">
        <f>AZ$41*'R&amp;S - Buildings'!$L$4/SUM('R&amp;S - Buildings'!$L$4:$N$4)</f>
        <v>362610.2114031231</v>
      </c>
      <c r="BA42" s="639">
        <f>BA$41*'R&amp;S - Buildings'!$L$4/SUM('R&amp;S - Buildings'!$L$4:$N$4)</f>
        <v>358182.15711258561</v>
      </c>
      <c r="BB42" s="639">
        <f>BB$41*'R&amp;S - Buildings'!$L$4/SUM('R&amp;S - Buildings'!$L$4:$N$4)</f>
        <v>353754.10282204807</v>
      </c>
      <c r="BC42" s="639">
        <f>BC$41*'R&amp;S - Buildings'!$L$4/SUM('R&amp;S - Buildings'!$L$4:$N$4)</f>
        <v>349326.04853151052</v>
      </c>
      <c r="BD42" s="639">
        <f>BD$41*'R&amp;S - Buildings'!$L$4/SUM('R&amp;S - Buildings'!$L$4:$N$4)</f>
        <v>344897.99424097297</v>
      </c>
      <c r="BE42" s="639">
        <f>BE$41*'R&amp;S - Buildings'!$L$4/SUM('R&amp;S - Buildings'!$L$4:$N$4)</f>
        <v>340335.75648708589</v>
      </c>
      <c r="BF42" s="639">
        <f>BF$41*'R&amp;S - Buildings'!$L$4/SUM('R&amp;S - Buildings'!$L$4:$N$4)</f>
        <v>335773.51873319875</v>
      </c>
      <c r="BG42" s="639">
        <f>BG$41*'R&amp;S - Buildings'!$L$4/SUM('R&amp;S - Buildings'!$L$4:$N$4)</f>
        <v>331211.28097931162</v>
      </c>
      <c r="BH42" s="639">
        <f>BH$41*'R&amp;S - Buildings'!$L$4/SUM('R&amp;S - Buildings'!$L$4:$N$4)</f>
        <v>326649.04322542448</v>
      </c>
      <c r="BI42" s="639">
        <f>BI$41*'R&amp;S - Buildings'!$L$4/SUM('R&amp;S - Buildings'!$L$4:$N$4)</f>
        <v>322086.8054715374</v>
      </c>
      <c r="BJ42" s="639">
        <f>BJ$41*'R&amp;S - Buildings'!$L$4/SUM('R&amp;S - Buildings'!$L$4:$N$4)</f>
        <v>317524.56771765021</v>
      </c>
      <c r="BK42" s="639">
        <f>BK$41*'R&amp;S - Buildings'!$L$4/SUM('R&amp;S - Buildings'!$L$4:$N$4)</f>
        <v>312962.32996376307</v>
      </c>
      <c r="BL42" s="639">
        <f>BL$41*'R&amp;S - Buildings'!$L$4/SUM('R&amp;S - Buildings'!$L$4:$N$4)</f>
        <v>308400.09220987593</v>
      </c>
      <c r="BM42" s="639">
        <f>BM$41*'R&amp;S - Buildings'!$L$4/SUM('R&amp;S - Buildings'!$L$4:$N$4)</f>
        <v>303837.8544559888</v>
      </c>
      <c r="BN42" s="639">
        <f>BN$41*'R&amp;S - Buildings'!$L$4/SUM('R&amp;S - Buildings'!$L$4:$N$4)</f>
        <v>299275.61670210166</v>
      </c>
    </row>
    <row r="43" spans="1:75" outlineLevel="1">
      <c r="A43" s="685"/>
      <c r="B43" s="1" t="s">
        <v>797</v>
      </c>
      <c r="C43" s="51" t="s">
        <v>166</v>
      </c>
      <c r="D43" s="635">
        <f>D$41*'R&amp;S - Buildings'!$M$4/SUM('R&amp;S - Buildings'!$L$4:$N$4)</f>
        <v>18095.873434805668</v>
      </c>
      <c r="E43" s="635">
        <f>E$41*'R&amp;S - Buildings'!$M$4/SUM('R&amp;S - Buildings'!$L$4:$N$4)</f>
        <v>17660.464193980715</v>
      </c>
      <c r="F43" s="635">
        <f>F$41*'R&amp;S - Buildings'!$M$4/SUM('R&amp;S - Buildings'!$L$4:$N$4)</f>
        <v>17225.054953155763</v>
      </c>
      <c r="G43" s="635">
        <f>G$41*'R&amp;S - Buildings'!$M$4/SUM('R&amp;S - Buildings'!$L$4:$N$4)</f>
        <v>16789.645712330806</v>
      </c>
      <c r="H43" s="635">
        <f>H$41*'R&amp;S - Buildings'!$M$4/SUM('R&amp;S - Buildings'!$L$4:$N$4)</f>
        <v>16354.236471505856</v>
      </c>
      <c r="I43" s="635">
        <f>I$41*'R&amp;S - Buildings'!$M$4/SUM('R&amp;S - Buildings'!$L$4:$N$4)</f>
        <v>15918.827230680905</v>
      </c>
      <c r="J43" s="635">
        <f>J$41*'R&amp;S - Buildings'!$M$4/SUM('R&amp;S - Buildings'!$L$4:$N$4)</f>
        <v>15483.417989855947</v>
      </c>
      <c r="K43" s="635">
        <f>K$41*'R&amp;S - Buildings'!$M$4/SUM('R&amp;S - Buildings'!$L$4:$N$4)</f>
        <v>15048.008749030996</v>
      </c>
      <c r="L43" s="635">
        <f>L$41*'R&amp;S - Buildings'!$M$4/SUM('R&amp;S - Buildings'!$L$4:$N$4)</f>
        <v>14612.599508206038</v>
      </c>
      <c r="M43" s="635">
        <f>M$41*'R&amp;S - Buildings'!$M$4/SUM('R&amp;S - Buildings'!$L$4:$N$4)</f>
        <v>14177.190267381087</v>
      </c>
      <c r="N43" s="635">
        <f>N$41*'R&amp;S - Buildings'!$M$4/SUM('R&amp;S - Buildings'!$L$4:$N$4)</f>
        <v>13741.781026556137</v>
      </c>
      <c r="O43" s="635">
        <f>O$41*'R&amp;S - Buildings'!$M$4/SUM('R&amp;S - Buildings'!$L$4:$N$4)</f>
        <v>13306.371785731182</v>
      </c>
      <c r="P43" s="635">
        <f>P$41*'R&amp;S - Buildings'!$M$4/SUM('R&amp;S - Buildings'!$L$4:$N$4)</f>
        <v>12870.962544906231</v>
      </c>
      <c r="Q43" s="635">
        <f>Q$41*'R&amp;S - Buildings'!$M$4/SUM('R&amp;S - Buildings'!$L$4:$N$4)</f>
        <v>12435.553304081275</v>
      </c>
      <c r="R43" s="635">
        <f>R$41*'R&amp;S - Buildings'!$M$4/SUM('R&amp;S - Buildings'!$L$4:$N$4)</f>
        <v>12000.144063256323</v>
      </c>
      <c r="S43" s="635">
        <f>S$41*'R&amp;S - Buildings'!$M$4/SUM('R&amp;S - Buildings'!$L$4:$N$4)</f>
        <v>11564.73482243137</v>
      </c>
      <c r="T43" s="635">
        <f>T$41*'R&amp;S - Buildings'!$M$4/SUM('R&amp;S - Buildings'!$L$4:$N$4)</f>
        <v>11129.325581606417</v>
      </c>
      <c r="U43" s="635">
        <f>U$41*'R&amp;S - Buildings'!$M$4/SUM('R&amp;S - Buildings'!$L$4:$N$4)</f>
        <v>10693.916340781461</v>
      </c>
      <c r="V43" s="635">
        <f>V$41*'R&amp;S - Buildings'!$M$4/SUM('R&amp;S - Buildings'!$L$4:$N$4)</f>
        <v>10258.507099956511</v>
      </c>
      <c r="W43" s="635">
        <f>W$41*'R&amp;S - Buildings'!$M$4/SUM('R&amp;S - Buildings'!$L$4:$N$4)</f>
        <v>9823.0978591315579</v>
      </c>
      <c r="X43" s="635">
        <f>X$41*'R&amp;S - Buildings'!$M$4/SUM('R&amp;S - Buildings'!$L$4:$N$4)</f>
        <v>9387.6886183066017</v>
      </c>
      <c r="Y43" s="635">
        <f>Y$41*'R&amp;S - Buildings'!$M$4/SUM('R&amp;S - Buildings'!$L$4:$N$4)</f>
        <v>8939.0851580627132</v>
      </c>
      <c r="Z43" s="635">
        <f>Z$41*'R&amp;S - Buildings'!$M$4/SUM('R&amp;S - Buildings'!$L$4:$N$4)</f>
        <v>8490.4816978188228</v>
      </c>
      <c r="AA43" s="635">
        <f>AA$41*'R&amp;S - Buildings'!$M$4/SUM('R&amp;S - Buildings'!$L$4:$N$4)</f>
        <v>8041.8782375749279</v>
      </c>
      <c r="AB43" s="635">
        <f>AB$41*'R&amp;S - Buildings'!$M$4/SUM('R&amp;S - Buildings'!$L$4:$N$4)</f>
        <v>7593.2747773310384</v>
      </c>
      <c r="AC43" s="635">
        <f>AC$41*'R&amp;S - Buildings'!$M$4/SUM('R&amp;S - Buildings'!$L$4:$N$4)</f>
        <v>7144.6713170871462</v>
      </c>
      <c r="AD43" s="635">
        <f>AD$41*'R&amp;S - Buildings'!$M$4/SUM('R&amp;S - Buildings'!$L$4:$N$4)</f>
        <v>6696.067856843255</v>
      </c>
      <c r="AE43" s="635">
        <f>AE$41*'R&amp;S - Buildings'!$M$4/SUM('R&amp;S - Buildings'!$L$4:$N$4)</f>
        <v>6247.4643965993646</v>
      </c>
      <c r="AF43" s="635">
        <f>AF$41*'R&amp;S - Buildings'!$M$4/SUM('R&amp;S - Buildings'!$L$4:$N$4)</f>
        <v>5798.8609363554742</v>
      </c>
      <c r="AG43" s="635">
        <f>AG$41*'R&amp;S - Buildings'!$M$4/SUM('R&amp;S - Buildings'!$L$4:$N$4)</f>
        <v>5350.2574761115839</v>
      </c>
      <c r="AH43" s="635">
        <f>AH$41*'R&amp;S - Buildings'!$M$4/SUM('R&amp;S - Buildings'!$L$4:$N$4)</f>
        <v>4901.6540158676917</v>
      </c>
      <c r="AI43" s="635"/>
      <c r="AJ43" s="635">
        <f>AJ$41*'R&amp;S - Buildings'!$M$4/SUM('R&amp;S - Buildings'!$L$4:$N$4)</f>
        <v>18095.873434805668</v>
      </c>
      <c r="AK43" s="635">
        <f>AK$41*'R&amp;S - Buildings'!$M$4/SUM('R&amp;S - Buildings'!$L$4:$N$4)</f>
        <v>17911.012824677364</v>
      </c>
      <c r="AL43" s="635">
        <f>AL$41*'R&amp;S - Buildings'!$M$4/SUM('R&amp;S - Buildings'!$L$4:$N$4)</f>
        <v>17726.15221454906</v>
      </c>
      <c r="AM43" s="635">
        <f>AM$41*'R&amp;S - Buildings'!$M$4/SUM('R&amp;S - Buildings'!$L$4:$N$4)</f>
        <v>17541.291604420756</v>
      </c>
      <c r="AN43" s="635">
        <f>AN$41*'R&amp;S - Buildings'!$M$4/SUM('R&amp;S - Buildings'!$L$4:$N$4)</f>
        <v>17356.430994292452</v>
      </c>
      <c r="AO43" s="635">
        <f>AO$41*'R&amp;S - Buildings'!$M$4/SUM('R&amp;S - Buildings'!$L$4:$N$4)</f>
        <v>17171.570384164144</v>
      </c>
      <c r="AP43" s="635">
        <f>AP$41*'R&amp;S - Buildings'!$M$4/SUM('R&amp;S - Buildings'!$L$4:$N$4)</f>
        <v>16986.70977403584</v>
      </c>
      <c r="AQ43" s="635">
        <f>AQ$41*'R&amp;S - Buildings'!$M$4/SUM('R&amp;S - Buildings'!$L$4:$N$4)</f>
        <v>16801.849163907536</v>
      </c>
      <c r="AR43" s="635">
        <f>AR$41*'R&amp;S - Buildings'!$M$4/SUM('R&amp;S - Buildings'!$L$4:$N$4)</f>
        <v>16616.988553779232</v>
      </c>
      <c r="AS43" s="635">
        <f>AS$41*'R&amp;S - Buildings'!$M$4/SUM('R&amp;S - Buildings'!$L$4:$N$4)</f>
        <v>16432.127943650929</v>
      </c>
      <c r="AT43" s="635">
        <f>AT$41*'R&amp;S - Buildings'!$M$4/SUM('R&amp;S - Buildings'!$L$4:$N$4)</f>
        <v>16247.267333522625</v>
      </c>
      <c r="AU43" s="635">
        <f>AU$41*'R&amp;S - Buildings'!$M$4/SUM('R&amp;S - Buildings'!$L$4:$N$4)</f>
        <v>16062.406723394321</v>
      </c>
      <c r="AV43" s="635">
        <f>AV$41*'R&amp;S - Buildings'!$M$4/SUM('R&amp;S - Buildings'!$L$4:$N$4)</f>
        <v>15877.546113266017</v>
      </c>
      <c r="AW43" s="635">
        <f>AW$41*'R&amp;S - Buildings'!$M$4/SUM('R&amp;S - Buildings'!$L$4:$N$4)</f>
        <v>15692.685503137713</v>
      </c>
      <c r="AX43" s="635">
        <f>AX$41*'R&amp;S - Buildings'!$M$4/SUM('R&amp;S - Buildings'!$L$4:$N$4)</f>
        <v>15507.824893009407</v>
      </c>
      <c r="AY43" s="635">
        <f>AY$41*'R&amp;S - Buildings'!$M$4/SUM('R&amp;S - Buildings'!$L$4:$N$4)</f>
        <v>15322.964282881103</v>
      </c>
      <c r="AZ43" s="635">
        <f>AZ$41*'R&amp;S - Buildings'!$M$4/SUM('R&amp;S - Buildings'!$L$4:$N$4)</f>
        <v>15138.103672752799</v>
      </c>
      <c r="BA43" s="635">
        <f>BA$41*'R&amp;S - Buildings'!$M$4/SUM('R&amp;S - Buildings'!$L$4:$N$4)</f>
        <v>14953.243062624493</v>
      </c>
      <c r="BB43" s="635">
        <f>BB$41*'R&amp;S - Buildings'!$M$4/SUM('R&amp;S - Buildings'!$L$4:$N$4)</f>
        <v>14768.382452496189</v>
      </c>
      <c r="BC43" s="635">
        <f>BC$41*'R&amp;S - Buildings'!$M$4/SUM('R&amp;S - Buildings'!$L$4:$N$4)</f>
        <v>14583.521842367885</v>
      </c>
      <c r="BD43" s="635">
        <f>BD$41*'R&amp;S - Buildings'!$M$4/SUM('R&amp;S - Buildings'!$L$4:$N$4)</f>
        <v>14398.661232239581</v>
      </c>
      <c r="BE43" s="635">
        <f>BE$41*'R&amp;S - Buildings'!$M$4/SUM('R&amp;S - Buildings'!$L$4:$N$4)</f>
        <v>14208.198785440722</v>
      </c>
      <c r="BF43" s="635">
        <f>BF$41*'R&amp;S - Buildings'!$M$4/SUM('R&amp;S - Buildings'!$L$4:$N$4)</f>
        <v>14017.736338641864</v>
      </c>
      <c r="BG43" s="635">
        <f>BG$41*'R&amp;S - Buildings'!$M$4/SUM('R&amp;S - Buildings'!$L$4:$N$4)</f>
        <v>13827.273891843004</v>
      </c>
      <c r="BH43" s="635">
        <f>BH$41*'R&amp;S - Buildings'!$M$4/SUM('R&amp;S - Buildings'!$L$4:$N$4)</f>
        <v>13636.811445044144</v>
      </c>
      <c r="BI43" s="635">
        <f>BI$41*'R&amp;S - Buildings'!$M$4/SUM('R&amp;S - Buildings'!$L$4:$N$4)</f>
        <v>13446.348998245288</v>
      </c>
      <c r="BJ43" s="635">
        <f>BJ$41*'R&amp;S - Buildings'!$M$4/SUM('R&amp;S - Buildings'!$L$4:$N$4)</f>
        <v>13255.886551446427</v>
      </c>
      <c r="BK43" s="635">
        <f>BK$41*'R&amp;S - Buildings'!$M$4/SUM('R&amp;S - Buildings'!$L$4:$N$4)</f>
        <v>13065.424104647569</v>
      </c>
      <c r="BL43" s="635">
        <f>BL$41*'R&amp;S - Buildings'!$M$4/SUM('R&amp;S - Buildings'!$L$4:$N$4)</f>
        <v>12874.961657848709</v>
      </c>
      <c r="BM43" s="635">
        <f>BM$41*'R&amp;S - Buildings'!$M$4/SUM('R&amp;S - Buildings'!$L$4:$N$4)</f>
        <v>12684.49921104985</v>
      </c>
      <c r="BN43" s="635">
        <f>BN$41*'R&amp;S - Buildings'!$M$4/SUM('R&amp;S - Buildings'!$L$4:$N$4)</f>
        <v>12494.036764250992</v>
      </c>
    </row>
    <row r="44" spans="1:75" s="63" customFormat="1" outlineLevel="1">
      <c r="A44" s="686"/>
      <c r="B44" s="59" t="s">
        <v>1301</v>
      </c>
      <c r="C44" s="262" t="s">
        <v>166</v>
      </c>
      <c r="D44" s="638">
        <f>D$41*'R&amp;S - Buildings'!$N$4/SUM('R&amp;S - Buildings'!$L$4:$N$4)</f>
        <v>12487.325398904024</v>
      </c>
      <c r="E44" s="638">
        <f>E$41*'R&amp;S - Buildings'!$N$4/SUM('R&amp;S - Buildings'!$L$4:$N$4)</f>
        <v>12186.864805417932</v>
      </c>
      <c r="F44" s="638">
        <f>F$41*'R&amp;S - Buildings'!$N$4/SUM('R&amp;S - Buildings'!$L$4:$N$4)</f>
        <v>11886.404211931836</v>
      </c>
      <c r="G44" s="638">
        <f>G$41*'R&amp;S - Buildings'!$N$4/SUM('R&amp;S - Buildings'!$L$4:$N$4)</f>
        <v>11585.943618445741</v>
      </c>
      <c r="H44" s="638">
        <f>H$41*'R&amp;S - Buildings'!$N$4/SUM('R&amp;S - Buildings'!$L$4:$N$4)</f>
        <v>11285.483024959647</v>
      </c>
      <c r="I44" s="638">
        <f>I$41*'R&amp;S - Buildings'!$N$4/SUM('R&amp;S - Buildings'!$L$4:$N$4)</f>
        <v>10985.022431473553</v>
      </c>
      <c r="J44" s="638">
        <f>J$41*'R&amp;S - Buildings'!$N$4/SUM('R&amp;S - Buildings'!$L$4:$N$4)</f>
        <v>10684.561837987458</v>
      </c>
      <c r="K44" s="638">
        <f>K$41*'R&amp;S - Buildings'!$N$4/SUM('R&amp;S - Buildings'!$L$4:$N$4)</f>
        <v>10384.101244501364</v>
      </c>
      <c r="L44" s="638">
        <f>L$41*'R&amp;S - Buildings'!$N$4/SUM('R&amp;S - Buildings'!$L$4:$N$4)</f>
        <v>10083.640651015268</v>
      </c>
      <c r="M44" s="638">
        <f>M$41*'R&amp;S - Buildings'!$N$4/SUM('R&amp;S - Buildings'!$L$4:$N$4)</f>
        <v>9783.1800575291763</v>
      </c>
      <c r="N44" s="638">
        <f>N$41*'R&amp;S - Buildings'!$N$4/SUM('R&amp;S - Buildings'!$L$4:$N$4)</f>
        <v>9482.7194640430826</v>
      </c>
      <c r="O44" s="638">
        <f>O$41*'R&amp;S - Buildings'!$N$4/SUM('R&amp;S - Buildings'!$L$4:$N$4)</f>
        <v>9182.2588705569888</v>
      </c>
      <c r="P44" s="638">
        <f>P$41*'R&amp;S - Buildings'!$N$4/SUM('R&amp;S - Buildings'!$L$4:$N$4)</f>
        <v>8881.798277070895</v>
      </c>
      <c r="Q44" s="638">
        <f>Q$41*'R&amp;S - Buildings'!$N$4/SUM('R&amp;S - Buildings'!$L$4:$N$4)</f>
        <v>8581.3376835847994</v>
      </c>
      <c r="R44" s="638">
        <f>R$41*'R&amp;S - Buildings'!$N$4/SUM('R&amp;S - Buildings'!$L$4:$N$4)</f>
        <v>8280.8770900987056</v>
      </c>
      <c r="S44" s="638">
        <f>S$41*'R&amp;S - Buildings'!$N$4/SUM('R&amp;S - Buildings'!$L$4:$N$4)</f>
        <v>7980.4164966126109</v>
      </c>
      <c r="T44" s="638">
        <f>T$41*'R&amp;S - Buildings'!$N$4/SUM('R&amp;S - Buildings'!$L$4:$N$4)</f>
        <v>7679.9559031265162</v>
      </c>
      <c r="U44" s="638">
        <f>U$41*'R&amp;S - Buildings'!$N$4/SUM('R&amp;S - Buildings'!$L$4:$N$4)</f>
        <v>7379.4953096404215</v>
      </c>
      <c r="V44" s="638">
        <f>V$41*'R&amp;S - Buildings'!$N$4/SUM('R&amp;S - Buildings'!$L$4:$N$4)</f>
        <v>7079.0347161543277</v>
      </c>
      <c r="W44" s="638">
        <f>W$41*'R&amp;S - Buildings'!$N$4/SUM('R&amp;S - Buildings'!$L$4:$N$4)</f>
        <v>6778.5741226682339</v>
      </c>
      <c r="X44" s="638">
        <f>X$41*'R&amp;S - Buildings'!$N$4/SUM('R&amp;S - Buildings'!$L$4:$N$4)</f>
        <v>6478.1135291821392</v>
      </c>
      <c r="Y44" s="638">
        <f>Y$41*'R&amp;S - Buildings'!$N$4/SUM('R&amp;S - Buildings'!$L$4:$N$4)</f>
        <v>6168.5480692267711</v>
      </c>
      <c r="Z44" s="638">
        <f>Z$41*'R&amp;S - Buildings'!$N$4/SUM('R&amp;S - Buildings'!$L$4:$N$4)</f>
        <v>5858.9826092714002</v>
      </c>
      <c r="AA44" s="638">
        <f>AA$41*'R&amp;S - Buildings'!$N$4/SUM('R&amp;S - Buildings'!$L$4:$N$4)</f>
        <v>5549.4171493160293</v>
      </c>
      <c r="AB44" s="638">
        <f>AB$41*'R&amp;S - Buildings'!$N$4/SUM('R&amp;S - Buildings'!$L$4:$N$4)</f>
        <v>5239.8516893606593</v>
      </c>
      <c r="AC44" s="638">
        <f>AC$41*'R&amp;S - Buildings'!$N$4/SUM('R&amp;S - Buildings'!$L$4:$N$4)</f>
        <v>4930.2862294052902</v>
      </c>
      <c r="AD44" s="638">
        <f>AD$41*'R&amp;S - Buildings'!$N$4/SUM('R&amp;S - Buildings'!$L$4:$N$4)</f>
        <v>4620.7207694499202</v>
      </c>
      <c r="AE44" s="638">
        <f>AE$41*'R&amp;S - Buildings'!$N$4/SUM('R&amp;S - Buildings'!$L$4:$N$4)</f>
        <v>4311.1553094945511</v>
      </c>
      <c r="AF44" s="638">
        <f>AF$41*'R&amp;S - Buildings'!$N$4/SUM('R&amp;S - Buildings'!$L$4:$N$4)</f>
        <v>4001.5898495391816</v>
      </c>
      <c r="AG44" s="638">
        <f>AG$41*'R&amp;S - Buildings'!$N$4/SUM('R&amp;S - Buildings'!$L$4:$N$4)</f>
        <v>3692.0243895838121</v>
      </c>
      <c r="AH44" s="638">
        <f>AH$41*'R&amp;S - Buildings'!$N$4/SUM('R&amp;S - Buildings'!$L$4:$N$4)</f>
        <v>3382.4589296284416</v>
      </c>
      <c r="AI44" s="638"/>
      <c r="AJ44" s="638">
        <f>AJ$41*'R&amp;S - Buildings'!$N$4/SUM('R&amp;S - Buildings'!$L$4:$N$4)</f>
        <v>12487.325398904024</v>
      </c>
      <c r="AK44" s="638">
        <f>AK$41*'R&amp;S - Buildings'!$N$4/SUM('R&amp;S - Buildings'!$L$4:$N$4)</f>
        <v>12359.759597759987</v>
      </c>
      <c r="AL44" s="638">
        <f>AL$41*'R&amp;S - Buildings'!$N$4/SUM('R&amp;S - Buildings'!$L$4:$N$4)</f>
        <v>12232.193796615953</v>
      </c>
      <c r="AM44" s="638">
        <f>AM$41*'R&amp;S - Buildings'!$N$4/SUM('R&amp;S - Buildings'!$L$4:$N$4)</f>
        <v>12104.627995471916</v>
      </c>
      <c r="AN44" s="638">
        <f>AN$41*'R&amp;S - Buildings'!$N$4/SUM('R&amp;S - Buildings'!$L$4:$N$4)</f>
        <v>11977.062194327878</v>
      </c>
      <c r="AO44" s="638">
        <f>AO$41*'R&amp;S - Buildings'!$N$4/SUM('R&amp;S - Buildings'!$L$4:$N$4)</f>
        <v>11849.496393183841</v>
      </c>
      <c r="AP44" s="638">
        <f>AP$41*'R&amp;S - Buildings'!$N$4/SUM('R&amp;S - Buildings'!$L$4:$N$4)</f>
        <v>11721.930592039807</v>
      </c>
      <c r="AQ44" s="638">
        <f>AQ$41*'R&amp;S - Buildings'!$N$4/SUM('R&amp;S - Buildings'!$L$4:$N$4)</f>
        <v>11594.364790895768</v>
      </c>
      <c r="AR44" s="638">
        <f>AR$41*'R&amp;S - Buildings'!$N$4/SUM('R&amp;S - Buildings'!$L$4:$N$4)</f>
        <v>11466.798989751733</v>
      </c>
      <c r="AS44" s="638">
        <f>AS$41*'R&amp;S - Buildings'!$N$4/SUM('R&amp;S - Buildings'!$L$4:$N$4)</f>
        <v>11339.233188607697</v>
      </c>
      <c r="AT44" s="638">
        <f>AT$41*'R&amp;S - Buildings'!$N$4/SUM('R&amp;S - Buildings'!$L$4:$N$4)</f>
        <v>11211.66738746366</v>
      </c>
      <c r="AU44" s="638">
        <f>AU$41*'R&amp;S - Buildings'!$N$4/SUM('R&amp;S - Buildings'!$L$4:$N$4)</f>
        <v>11084.101586319624</v>
      </c>
      <c r="AV44" s="638">
        <f>AV$41*'R&amp;S - Buildings'!$N$4/SUM('R&amp;S - Buildings'!$L$4:$N$4)</f>
        <v>10956.535785175589</v>
      </c>
      <c r="AW44" s="638">
        <f>AW$41*'R&amp;S - Buildings'!$N$4/SUM('R&amp;S - Buildings'!$L$4:$N$4)</f>
        <v>10828.969984031555</v>
      </c>
      <c r="AX44" s="638">
        <f>AX$41*'R&amp;S - Buildings'!$N$4/SUM('R&amp;S - Buildings'!$L$4:$N$4)</f>
        <v>10701.404182887516</v>
      </c>
      <c r="AY44" s="638">
        <f>AY$41*'R&amp;S - Buildings'!$N$4/SUM('R&amp;S - Buildings'!$L$4:$N$4)</f>
        <v>10573.838381743479</v>
      </c>
      <c r="AZ44" s="638">
        <f>AZ$41*'R&amp;S - Buildings'!$N$4/SUM('R&amp;S - Buildings'!$L$4:$N$4)</f>
        <v>10446.272580599441</v>
      </c>
      <c r="BA44" s="638">
        <f>BA$41*'R&amp;S - Buildings'!$N$4/SUM('R&amp;S - Buildings'!$L$4:$N$4)</f>
        <v>10318.706779455408</v>
      </c>
      <c r="BB44" s="638">
        <f>BB$41*'R&amp;S - Buildings'!$N$4/SUM('R&amp;S - Buildings'!$L$4:$N$4)</f>
        <v>10191.14097831137</v>
      </c>
      <c r="BC44" s="638">
        <f>BC$41*'R&amp;S - Buildings'!$N$4/SUM('R&amp;S - Buildings'!$L$4:$N$4)</f>
        <v>10063.575177167333</v>
      </c>
      <c r="BD44" s="638">
        <f>BD$41*'R&amp;S - Buildings'!$N$4/SUM('R&amp;S - Buildings'!$L$4:$N$4)</f>
        <v>9936.0093760232976</v>
      </c>
      <c r="BE44" s="638">
        <f>BE$41*'R&amp;S - Buildings'!$N$4/SUM('R&amp;S - Buildings'!$L$4:$N$4)</f>
        <v>9804.5779445415646</v>
      </c>
      <c r="BF44" s="638">
        <f>BF$41*'R&amp;S - Buildings'!$N$4/SUM('R&amp;S - Buildings'!$L$4:$N$4)</f>
        <v>9673.1465130598281</v>
      </c>
      <c r="BG44" s="638">
        <f>BG$41*'R&amp;S - Buildings'!$N$4/SUM('R&amp;S - Buildings'!$L$4:$N$4)</f>
        <v>9541.7150815780951</v>
      </c>
      <c r="BH44" s="638">
        <f>BH$41*'R&amp;S - Buildings'!$N$4/SUM('R&amp;S - Buildings'!$L$4:$N$4)</f>
        <v>9410.2836500963604</v>
      </c>
      <c r="BI44" s="638">
        <f>BI$41*'R&amp;S - Buildings'!$N$4/SUM('R&amp;S - Buildings'!$L$4:$N$4)</f>
        <v>9278.8522186146274</v>
      </c>
      <c r="BJ44" s="638">
        <f>BJ$41*'R&amp;S - Buildings'!$N$4/SUM('R&amp;S - Buildings'!$L$4:$N$4)</f>
        <v>9147.4207871328927</v>
      </c>
      <c r="BK44" s="638">
        <f>BK$41*'R&amp;S - Buildings'!$N$4/SUM('R&amp;S - Buildings'!$L$4:$N$4)</f>
        <v>9015.9893556511579</v>
      </c>
      <c r="BL44" s="638">
        <f>BL$41*'R&amp;S - Buildings'!$N$4/SUM('R&amp;S - Buildings'!$L$4:$N$4)</f>
        <v>8884.5579241694231</v>
      </c>
      <c r="BM44" s="638">
        <f>BM$41*'R&amp;S - Buildings'!$N$4/SUM('R&amp;S - Buildings'!$L$4:$N$4)</f>
        <v>8753.1264926876884</v>
      </c>
      <c r="BN44" s="638">
        <f>BN$41*'R&amp;S - Buildings'!$N$4/SUM('R&amp;S - Buildings'!$L$4:$N$4)</f>
        <v>8621.6950612059536</v>
      </c>
    </row>
    <row r="45" spans="1:75" outlineLevel="1">
      <c r="A45" s="1" t="s">
        <v>257</v>
      </c>
      <c r="B45" s="55" t="s">
        <v>174</v>
      </c>
      <c r="C45" s="56" t="s">
        <v>166</v>
      </c>
      <c r="D45" s="591">
        <f>SUM('R&amp;S - Apparel'!G4:I4)</f>
        <v>21819.41644865062</v>
      </c>
      <c r="E45" s="591">
        <f>D45*(1+'Demand - BTX'!$L$75)</f>
        <v>21819.41644865062</v>
      </c>
      <c r="F45" s="591">
        <f>E45*(1+'Demand - BTX'!$L$75)</f>
        <v>21819.41644865062</v>
      </c>
      <c r="G45" s="591">
        <f>F45*(1+'Demand - BTX'!$L$75)</f>
        <v>21819.41644865062</v>
      </c>
      <c r="H45" s="591">
        <f>G45*(1+'Demand - BTX'!$L$75)</f>
        <v>21819.41644865062</v>
      </c>
      <c r="I45" s="591">
        <f>H45*(1+'Demand - BTX'!$L$75)</f>
        <v>21819.41644865062</v>
      </c>
      <c r="J45" s="591">
        <f>I45*(1+'Demand - BTX'!$L$75)</f>
        <v>21819.41644865062</v>
      </c>
      <c r="K45" s="591">
        <f>J45*(1+'Demand - BTX'!$L$75)</f>
        <v>21819.41644865062</v>
      </c>
      <c r="L45" s="591">
        <f>K45*(1+'Demand - BTX'!$L$75)</f>
        <v>21819.41644865062</v>
      </c>
      <c r="M45" s="591">
        <f>L45*(1+'Demand - BTX'!$L$75)</f>
        <v>21819.41644865062</v>
      </c>
      <c r="N45" s="591">
        <f>M45*(1+'Demand - BTX'!$L$75)</f>
        <v>21819.41644865062</v>
      </c>
      <c r="O45" s="591">
        <f>N45*(1+'Demand - BTX'!$L$75)</f>
        <v>21819.41644865062</v>
      </c>
      <c r="P45" s="591">
        <f>O45*(1+'Demand - BTX'!$L$75)</f>
        <v>21819.41644865062</v>
      </c>
      <c r="Q45" s="591">
        <f>P45*(1+'Demand - BTX'!$L$75)</f>
        <v>21819.41644865062</v>
      </c>
      <c r="R45" s="591">
        <f>Q45*(1+'Demand - BTX'!$L$75)</f>
        <v>21819.41644865062</v>
      </c>
      <c r="S45" s="591">
        <f>R45*(1+'Demand - BTX'!$L$75)</f>
        <v>21819.41644865062</v>
      </c>
      <c r="T45" s="591">
        <f>S45*(1+'Demand - BTX'!$L$75)</f>
        <v>21819.41644865062</v>
      </c>
      <c r="U45" s="591">
        <f>T45*(1+'Demand - BTX'!$L$75)</f>
        <v>21819.41644865062</v>
      </c>
      <c r="V45" s="591">
        <f>U45*(1+'Demand - BTX'!$L$75)</f>
        <v>21819.41644865062</v>
      </c>
      <c r="W45" s="591">
        <f>V45*(1+'Demand - BTX'!$L$75)</f>
        <v>21819.41644865062</v>
      </c>
      <c r="X45" s="591">
        <f>W45*(1+'Demand - BTX'!$L$75)</f>
        <v>21819.41644865062</v>
      </c>
      <c r="Y45" s="591">
        <f>X45*(1+'Demand - BTX'!$L$75)</f>
        <v>21819.41644865062</v>
      </c>
      <c r="Z45" s="591">
        <f>Y45*(1+'Demand - BTX'!$L$75)</f>
        <v>21819.41644865062</v>
      </c>
      <c r="AA45" s="591">
        <f>Z45*(1+'Demand - BTX'!$L$75)</f>
        <v>21819.41644865062</v>
      </c>
      <c r="AB45" s="591">
        <f>AA45*(1+'Demand - BTX'!$L$75)</f>
        <v>21819.41644865062</v>
      </c>
      <c r="AC45" s="591">
        <f>AB45*(1+'Demand - BTX'!$L$75)</f>
        <v>21819.41644865062</v>
      </c>
      <c r="AD45" s="591">
        <f>AC45*(1+'Demand - BTX'!$L$75)</f>
        <v>21819.41644865062</v>
      </c>
      <c r="AE45" s="591">
        <f>AD45*(1+'Demand - BTX'!$L$75)</f>
        <v>21819.41644865062</v>
      </c>
      <c r="AF45" s="591">
        <f>AE45*(1+'Demand - BTX'!$L$75)</f>
        <v>21819.41644865062</v>
      </c>
      <c r="AG45" s="591">
        <f>AF45*(1+'Demand - BTX'!$L$75)</f>
        <v>21819.41644865062</v>
      </c>
      <c r="AH45" s="591">
        <f>AG45*(1+'Demand - BTX'!$L$75)</f>
        <v>21819.41644865062</v>
      </c>
      <c r="AI45" s="191"/>
      <c r="AJ45" s="591">
        <f>D45</f>
        <v>21819.41644865062</v>
      </c>
      <c r="AK45" s="591">
        <f>AJ45*(1+'Demand - BTX'!$L$75)</f>
        <v>21819.41644865062</v>
      </c>
      <c r="AL45" s="591">
        <f>AK45*(1+'Demand - BTX'!$L$75)</f>
        <v>21819.41644865062</v>
      </c>
      <c r="AM45" s="591">
        <f>AL45*(1+'Demand - BTX'!$L$75)</f>
        <v>21819.41644865062</v>
      </c>
      <c r="AN45" s="591">
        <f>AM45*(1+'Demand - BTX'!$L$75)</f>
        <v>21819.41644865062</v>
      </c>
      <c r="AO45" s="591">
        <f>AN45*(1+'Demand - BTX'!$L$75)</f>
        <v>21819.41644865062</v>
      </c>
      <c r="AP45" s="591">
        <f>AO45*(1+'Demand - BTX'!$L$75)</f>
        <v>21819.41644865062</v>
      </c>
      <c r="AQ45" s="591">
        <f>AP45*(1+'Demand - BTX'!$L$75)</f>
        <v>21819.41644865062</v>
      </c>
      <c r="AR45" s="591">
        <f>AQ45*(1+'Demand - BTX'!$L$75)</f>
        <v>21819.41644865062</v>
      </c>
      <c r="AS45" s="591">
        <f>AR45*(1+'Demand - BTX'!$L$75)</f>
        <v>21819.41644865062</v>
      </c>
      <c r="AT45" s="591">
        <f>AS45*(1+'Demand - BTX'!$L$75)</f>
        <v>21819.41644865062</v>
      </c>
      <c r="AU45" s="591">
        <f>AT45*(1+'Demand - BTX'!$L$75)</f>
        <v>21819.41644865062</v>
      </c>
      <c r="AV45" s="591">
        <f>AU45*(1+'Demand - BTX'!$L$75)</f>
        <v>21819.41644865062</v>
      </c>
      <c r="AW45" s="591">
        <f>AV45*(1+'Demand - BTX'!$L$75)</f>
        <v>21819.41644865062</v>
      </c>
      <c r="AX45" s="591">
        <f>AW45*(1+'Demand - BTX'!$L$75)</f>
        <v>21819.41644865062</v>
      </c>
      <c r="AY45" s="591">
        <f>AX45*(1+'Demand - BTX'!$L$75)</f>
        <v>21819.41644865062</v>
      </c>
      <c r="AZ45" s="591">
        <f>AY45*(1+'Demand - BTX'!$L$75)</f>
        <v>21819.41644865062</v>
      </c>
      <c r="BA45" s="591">
        <f>AZ45*(1+'Demand - BTX'!$L$75)</f>
        <v>21819.41644865062</v>
      </c>
      <c r="BB45" s="591">
        <f>BA45*(1+'Demand - BTX'!$L$75)</f>
        <v>21819.41644865062</v>
      </c>
      <c r="BC45" s="591">
        <f>BB45*(1+'Demand - BTX'!$L$75)</f>
        <v>21819.41644865062</v>
      </c>
      <c r="BD45" s="591">
        <f>BC45*(1+'Demand - BTX'!$L$75)</f>
        <v>21819.41644865062</v>
      </c>
      <c r="BE45" s="591">
        <f>BD45*(1+'Demand - BTX'!$L$75)</f>
        <v>21819.41644865062</v>
      </c>
      <c r="BF45" s="591">
        <f>BE45*(1+'Demand - BTX'!$L$75)</f>
        <v>21819.41644865062</v>
      </c>
      <c r="BG45" s="591">
        <f>BF45*(1+'Demand - BTX'!$L$75)</f>
        <v>21819.41644865062</v>
      </c>
      <c r="BH45" s="591">
        <f>BG45*(1+'Demand - BTX'!$L$75)</f>
        <v>21819.41644865062</v>
      </c>
      <c r="BI45" s="591">
        <f>BH45*(1+'Demand - BTX'!$L$75)</f>
        <v>21819.41644865062</v>
      </c>
      <c r="BJ45" s="591">
        <f>BI45*(1+'Demand - BTX'!$L$75)</f>
        <v>21819.41644865062</v>
      </c>
      <c r="BK45" s="591">
        <f>BJ45*(1+'Demand - BTX'!$L$75)</f>
        <v>21819.41644865062</v>
      </c>
      <c r="BL45" s="591">
        <f>BK45*(1+'Demand - BTX'!$L$75)</f>
        <v>21819.41644865062</v>
      </c>
      <c r="BM45" s="591">
        <f>BL45*(1+'Demand - BTX'!$L$75)</f>
        <v>21819.41644865062</v>
      </c>
      <c r="BN45" s="591">
        <f>BM45*(1+'Demand - BTX'!$L$75)</f>
        <v>21819.41644865062</v>
      </c>
    </row>
    <row r="46" spans="1:75" outlineLevel="1">
      <c r="B46" s="58" t="s">
        <v>196</v>
      </c>
      <c r="C46" s="51" t="s">
        <v>166</v>
      </c>
      <c r="D46" s="101">
        <f>D45*'R&amp;S - Apparel'!$C$7*'R&amp;S - Apparel'!$B$13*'R&amp;S - Apparel'!$B$17*(D$3-$D$3)/10</f>
        <v>0</v>
      </c>
      <c r="E46" s="101">
        <f>E45*'R&amp;S - Apparel'!$C$7*'R&amp;S - Apparel'!$B$13*'R&amp;S - Apparel'!$B$17*(E$3-$D$3)/10</f>
        <v>381.83978785138584</v>
      </c>
      <c r="F46" s="101">
        <f>F45*'R&amp;S - Apparel'!$C$7*'R&amp;S - Apparel'!$B$13*'R&amp;S - Apparel'!$B$17*(F$3-$D$3)/10</f>
        <v>763.67957570277167</v>
      </c>
      <c r="G46" s="101">
        <f>G45*'R&amp;S - Apparel'!$C$7*'R&amp;S - Apparel'!$B$13*'R&amp;S - Apparel'!$B$17*(G$3-$D$3)/10</f>
        <v>1145.5193635541575</v>
      </c>
      <c r="H46" s="101">
        <f>H45*'R&amp;S - Apparel'!$C$7*'R&amp;S - Apparel'!$B$13*'R&amp;S - Apparel'!$B$17*(H$3-$D$3)/10</f>
        <v>1527.3591514055433</v>
      </c>
      <c r="I46" s="101">
        <f>I45*'R&amp;S - Apparel'!$C$7*'R&amp;S - Apparel'!$B$13*'R&amp;S - Apparel'!$B$17*(I$3-$D$3)/10</f>
        <v>1909.1989392569292</v>
      </c>
      <c r="J46" s="101">
        <f>J45*'R&amp;S - Apparel'!$C$7*'R&amp;S - Apparel'!$B$13*'R&amp;S - Apparel'!$B$17*(J$3-$D$3)/10</f>
        <v>2291.038727108315</v>
      </c>
      <c r="K46" s="101">
        <f>K45*'R&amp;S - Apparel'!$C$7*'R&amp;S - Apparel'!$B$13*'R&amp;S - Apparel'!$B$17*(K$3-$D$3)/10</f>
        <v>2672.8785149597011</v>
      </c>
      <c r="L46" s="101">
        <f>L45*'R&amp;S - Apparel'!$C$7*'R&amp;S - Apparel'!$B$13*'R&amp;S - Apparel'!$B$17*(L$3-$D$3)/10</f>
        <v>3054.7183028110867</v>
      </c>
      <c r="M46" s="101">
        <f>M45*'R&amp;S - Apparel'!$C$7*'R&amp;S - Apparel'!$B$13*'R&amp;S - Apparel'!$B$17*(M$3-$D$3)/10</f>
        <v>3436.5580906624723</v>
      </c>
      <c r="N46" s="101">
        <f>N45*'R&amp;S - Apparel'!$C$7*'R&amp;S - Apparel'!$B$13*'R&amp;S - Apparel'!$B$17*(N$3-$D$3)/10</f>
        <v>3818.3978785138584</v>
      </c>
      <c r="O46" s="101">
        <f>O45*'R&amp;S - Apparel'!$C$7*'R&amp;S - Apparel'!$B$13*('R&amp;S - Apparel'!$B$17+('R&amp;S - Apparel'!$B$18-'R&amp;S - Apparel'!$B$17)*(O$3-$N$3)/10)</f>
        <v>3927.4949607571116</v>
      </c>
      <c r="P46" s="101">
        <f>P45*'R&amp;S - Apparel'!$C$7*'R&amp;S - Apparel'!$B$13*('R&amp;S - Apparel'!$B$17+('R&amp;S - Apparel'!$B$18-'R&amp;S - Apparel'!$B$17)*(P$3-$N$3)/10)</f>
        <v>4036.5920430003648</v>
      </c>
      <c r="Q46" s="101">
        <f>Q45*'R&amp;S - Apparel'!$C$7*'R&amp;S - Apparel'!$B$13*('R&amp;S - Apparel'!$B$17+('R&amp;S - Apparel'!$B$18-'R&amp;S - Apparel'!$B$17)*(Q$3-$N$3)/10)</f>
        <v>4145.689125243618</v>
      </c>
      <c r="R46" s="101">
        <f>R45*'R&amp;S - Apparel'!$C$7*'R&amp;S - Apparel'!$B$13*('R&amp;S - Apparel'!$B$17+('R&amp;S - Apparel'!$B$18-'R&amp;S - Apparel'!$B$17)*(R$3-$N$3)/10)</f>
        <v>4254.7862074868708</v>
      </c>
      <c r="S46" s="101">
        <f>S45*'R&amp;S - Apparel'!$C$7*'R&amp;S - Apparel'!$B$13*('R&amp;S - Apparel'!$B$17+('R&amp;S - Apparel'!$B$18-'R&amp;S - Apparel'!$B$17)*(S$3-$N$3)/10)</f>
        <v>4363.8832897301245</v>
      </c>
      <c r="T46" s="101">
        <f>T45*'R&amp;S - Apparel'!$C$7*'R&amp;S - Apparel'!$B$13*('R&amp;S - Apparel'!$B$17+('R&amp;S - Apparel'!$B$18-'R&amp;S - Apparel'!$B$17)*(T$3-$N$3)/10)</f>
        <v>4472.9803719733764</v>
      </c>
      <c r="U46" s="101">
        <f>U45*'R&amp;S - Apparel'!$C$7*'R&amp;S - Apparel'!$B$13*('R&amp;S - Apparel'!$B$17+('R&amp;S - Apparel'!$B$18-'R&amp;S - Apparel'!$B$17)*(U$3-$N$3)/10)</f>
        <v>4582.07745421663</v>
      </c>
      <c r="V46" s="101">
        <f>V45*'R&amp;S - Apparel'!$C$7*'R&amp;S - Apparel'!$B$13*('R&amp;S - Apparel'!$B$17+('R&amp;S - Apparel'!$B$18-'R&amp;S - Apparel'!$B$17)*(V$3-$N$3)/10)</f>
        <v>4691.1745364598828</v>
      </c>
      <c r="W46" s="101">
        <f>W45*'R&amp;S - Apparel'!$C$7*'R&amp;S - Apparel'!$B$13*('R&amp;S - Apparel'!$B$17+('R&amp;S - Apparel'!$B$18-'R&amp;S - Apparel'!$B$17)*(W$3-$N$3)/10)</f>
        <v>4800.2716187031365</v>
      </c>
      <c r="X46" s="101">
        <f>X45*'R&amp;S - Apparel'!$C$7*'R&amp;S - Apparel'!$B$13*('R&amp;S - Apparel'!$B$17+('R&amp;S - Apparel'!$B$18-'R&amp;S - Apparel'!$B$17)*(X$3-$N$3)/10)</f>
        <v>4909.3687009463893</v>
      </c>
      <c r="Y46" s="101">
        <f>Y45*'R&amp;S - Apparel'!$C$7*'R&amp;S - Apparel'!$B$13*('R&amp;S - Apparel'!$B$18+('R&amp;S - Apparel'!$B$19-'R&amp;S - Apparel'!$B$18)*(Y$3-$X$3)/10)</f>
        <v>4963.9172420680161</v>
      </c>
      <c r="Z46" s="101">
        <f>Z45*'R&amp;S - Apparel'!$C$7*'R&amp;S - Apparel'!$B$13*('R&amp;S - Apparel'!$B$18+('R&amp;S - Apparel'!$B$19-'R&amp;S - Apparel'!$B$18)*(Z$3-$X$3)/10)</f>
        <v>5018.4657831896429</v>
      </c>
      <c r="AA46" s="101">
        <f>AA45*'R&amp;S - Apparel'!$C$7*'R&amp;S - Apparel'!$B$13*('R&amp;S - Apparel'!$B$18+('R&amp;S - Apparel'!$B$19-'R&amp;S - Apparel'!$B$18)*(AA$3-$X$3)/10)</f>
        <v>5073.0143243112698</v>
      </c>
      <c r="AB46" s="101">
        <f>AB45*'R&amp;S - Apparel'!$C$7*'R&amp;S - Apparel'!$B$13*('R&amp;S - Apparel'!$B$18+('R&amp;S - Apparel'!$B$19-'R&amp;S - Apparel'!$B$18)*(AB$3-$X$3)/10)</f>
        <v>5127.5628654328957</v>
      </c>
      <c r="AC46" s="101">
        <f>AC45*'R&amp;S - Apparel'!$C$7*'R&amp;S - Apparel'!$B$13*('R&amp;S - Apparel'!$B$18+('R&amp;S - Apparel'!$B$19-'R&amp;S - Apparel'!$B$18)*(AC$3-$X$3)/10)</f>
        <v>5182.1114065545216</v>
      </c>
      <c r="AD46" s="101">
        <f>AD45*'R&amp;S - Apparel'!$C$7*'R&amp;S - Apparel'!$B$13*('R&amp;S - Apparel'!$B$18+('R&amp;S - Apparel'!$B$19-'R&amp;S - Apparel'!$B$18)*(AD$3-$X$3)/10)</f>
        <v>5236.6599476761485</v>
      </c>
      <c r="AE46" s="101">
        <f>AE45*'R&amp;S - Apparel'!$C$7*'R&amp;S - Apparel'!$B$13*('R&amp;S - Apparel'!$B$18+('R&amp;S - Apparel'!$B$19-'R&amp;S - Apparel'!$B$18)*(AE$3-$X$3)/10)</f>
        <v>5291.2084887977753</v>
      </c>
      <c r="AF46" s="101">
        <f>AF45*'R&amp;S - Apparel'!$C$7*'R&amp;S - Apparel'!$B$13*('R&amp;S - Apparel'!$B$18+('R&amp;S - Apparel'!$B$19-'R&amp;S - Apparel'!$B$18)*(AF$3-$X$3)/10)</f>
        <v>5345.7570299194022</v>
      </c>
      <c r="AG46" s="101">
        <f>AG45*'R&amp;S - Apparel'!$C$7*'R&amp;S - Apparel'!$B$13*('R&amp;S - Apparel'!$B$18+('R&amp;S - Apparel'!$B$19-'R&amp;S - Apparel'!$B$18)*(AG$3-$X$3)/10)</f>
        <v>5400.3055710410281</v>
      </c>
      <c r="AH46" s="101">
        <f>AH45*'R&amp;S - Apparel'!$C$7*'R&amp;S - Apparel'!$B$13*('R&amp;S - Apparel'!$B$18+('R&amp;S - Apparel'!$B$19-'R&amp;S - Apparel'!$B$18)*(AH$3-$X$3)/10)</f>
        <v>5454.8541121626549</v>
      </c>
      <c r="AI46" s="191"/>
      <c r="AJ46" s="101">
        <f>AJ45*'R&amp;S - Apparel'!$C$7*'R&amp;S - Apparel'!$B$14*'R&amp;S - Apparel'!$B$17*(AJ$3-$D$3)/10</f>
        <v>0</v>
      </c>
      <c r="AK46" s="101">
        <f>AK45*'R&amp;S - Apparel'!$C$7*'R&amp;S - Apparel'!$B$14*'R&amp;S - Apparel'!$B$17*(AK$3-$D$3)/10</f>
        <v>190.91989392569292</v>
      </c>
      <c r="AL46" s="101">
        <f>AL45*'R&amp;S - Apparel'!$C$7*'R&amp;S - Apparel'!$B$14*'R&amp;S - Apparel'!$B$17*(AL$3-$D$3)/10</f>
        <v>381.83978785138584</v>
      </c>
      <c r="AM46" s="101">
        <f>AM45*'R&amp;S - Apparel'!$C$7*'R&amp;S - Apparel'!$B$14*'R&amp;S - Apparel'!$B$17*(AM$3-$D$3)/10</f>
        <v>572.75968177707875</v>
      </c>
      <c r="AN46" s="101">
        <f>AN45*'R&amp;S - Apparel'!$C$7*'R&amp;S - Apparel'!$B$14*'R&amp;S - Apparel'!$B$17*(AN$3-$D$3)/10</f>
        <v>763.67957570277167</v>
      </c>
      <c r="AO46" s="101">
        <f>AO45*'R&amp;S - Apparel'!$C$7*'R&amp;S - Apparel'!$B$14*'R&amp;S - Apparel'!$B$17*(AO$3-$D$3)/10</f>
        <v>954.59946962846459</v>
      </c>
      <c r="AP46" s="101">
        <f>AP45*'R&amp;S - Apparel'!$C$7*'R&amp;S - Apparel'!$B$14*'R&amp;S - Apparel'!$B$17*(AP$3-$D$3)/10</f>
        <v>1145.5193635541575</v>
      </c>
      <c r="AQ46" s="101">
        <f>AQ45*'R&amp;S - Apparel'!$C$7*'R&amp;S - Apparel'!$B$14*'R&amp;S - Apparel'!$B$17*(AQ$3-$D$3)/10</f>
        <v>1336.4392574798505</v>
      </c>
      <c r="AR46" s="101">
        <f>AR45*'R&amp;S - Apparel'!$C$7*'R&amp;S - Apparel'!$B$14*'R&amp;S - Apparel'!$B$17*(AR$3-$D$3)/10</f>
        <v>1527.3591514055433</v>
      </c>
      <c r="AS46" s="101">
        <f>AS45*'R&amp;S - Apparel'!$C$7*'R&amp;S - Apparel'!$B$14*'R&amp;S - Apparel'!$B$17*(AS$3-$D$3)/10</f>
        <v>1718.2790453312361</v>
      </c>
      <c r="AT46" s="101">
        <f>AT45*'R&amp;S - Apparel'!$C$7*'R&amp;S - Apparel'!$B$14*'R&amp;S - Apparel'!$B$17*(AT$3-$D$3)/10</f>
        <v>1909.1989392569292</v>
      </c>
      <c r="AU46" s="101">
        <f>AU45*'R&amp;S - Apparel'!$C$7*'R&amp;S - Apparel'!$B$14*('R&amp;S - Apparel'!$B$17+('R&amp;S - Apparel'!$B$18-'R&amp;S - Apparel'!$B$17)*(AU$3-$N$3)/10)</f>
        <v>1963.7474803785558</v>
      </c>
      <c r="AV46" s="101">
        <f>AV45*'R&amp;S - Apparel'!$C$7*'R&amp;S - Apparel'!$B$14*('R&amp;S - Apparel'!$B$17+('R&amp;S - Apparel'!$B$18-'R&amp;S - Apparel'!$B$17)*(AV$3-$N$3)/10)</f>
        <v>2018.2960215001824</v>
      </c>
      <c r="AW46" s="101">
        <f>AW45*'R&amp;S - Apparel'!$C$7*'R&amp;S - Apparel'!$B$14*('R&amp;S - Apparel'!$B$17+('R&amp;S - Apparel'!$B$18-'R&amp;S - Apparel'!$B$17)*(AW$3-$N$3)/10)</f>
        <v>2072.844562621809</v>
      </c>
      <c r="AX46" s="101">
        <f>AX45*'R&amp;S - Apparel'!$C$7*'R&amp;S - Apparel'!$B$14*('R&amp;S - Apparel'!$B$17+('R&amp;S - Apparel'!$B$18-'R&amp;S - Apparel'!$B$17)*(AX$3-$N$3)/10)</f>
        <v>2127.3931037434354</v>
      </c>
      <c r="AY46" s="101">
        <f>AY45*'R&amp;S - Apparel'!$C$7*'R&amp;S - Apparel'!$B$14*('R&amp;S - Apparel'!$B$17+('R&amp;S - Apparel'!$B$18-'R&amp;S - Apparel'!$B$17)*(AY$3-$N$3)/10)</f>
        <v>2181.9416448650622</v>
      </c>
      <c r="AZ46" s="101">
        <f>AZ45*'R&amp;S - Apparel'!$C$7*'R&amp;S - Apparel'!$B$14*('R&amp;S - Apparel'!$B$17+('R&amp;S - Apparel'!$B$18-'R&amp;S - Apparel'!$B$17)*(AZ$3-$N$3)/10)</f>
        <v>2236.4901859866882</v>
      </c>
      <c r="BA46" s="101">
        <f>BA45*'R&amp;S - Apparel'!$C$7*'R&amp;S - Apparel'!$B$14*('R&amp;S - Apparel'!$B$17+('R&amp;S - Apparel'!$B$18-'R&amp;S - Apparel'!$B$17)*(BA$3-$N$3)/10)</f>
        <v>2291.038727108315</v>
      </c>
      <c r="BB46" s="101">
        <f>BB45*'R&amp;S - Apparel'!$C$7*'R&amp;S - Apparel'!$B$14*('R&amp;S - Apparel'!$B$17+('R&amp;S - Apparel'!$B$18-'R&amp;S - Apparel'!$B$17)*(BB$3-$N$3)/10)</f>
        <v>2345.5872682299414</v>
      </c>
      <c r="BC46" s="101">
        <f>BC45*'R&amp;S - Apparel'!$C$7*'R&amp;S - Apparel'!$B$14*('R&amp;S - Apparel'!$B$17+('R&amp;S - Apparel'!$B$18-'R&amp;S - Apparel'!$B$17)*(BC$3-$N$3)/10)</f>
        <v>2400.1358093515682</v>
      </c>
      <c r="BD46" s="101">
        <f>BD45*'R&amp;S - Apparel'!$C$7*'R&amp;S - Apparel'!$B$14*('R&amp;S - Apparel'!$B$17+('R&amp;S - Apparel'!$B$18-'R&amp;S - Apparel'!$B$17)*(BD$3-$N$3)/10)</f>
        <v>2454.6843504731946</v>
      </c>
      <c r="BE46" s="101">
        <f>BE45*'R&amp;S - Apparel'!$C$7*'R&amp;S - Apparel'!$B$14*('R&amp;S - Apparel'!$B$18+('R&amp;S - Apparel'!$B$19-'R&amp;S - Apparel'!$B$18)*(BE$3-$X$3)/10)</f>
        <v>2481.958621034008</v>
      </c>
      <c r="BF46" s="101">
        <f>BF45*'R&amp;S - Apparel'!$C$7*'R&amp;S - Apparel'!$B$14*('R&amp;S - Apparel'!$B$18+('R&amp;S - Apparel'!$B$19-'R&amp;S - Apparel'!$B$18)*(BF$3-$X$3)/10)</f>
        <v>2509.2328915948215</v>
      </c>
      <c r="BG46" s="101">
        <f>BG45*'R&amp;S - Apparel'!$C$7*'R&amp;S - Apparel'!$B$14*('R&amp;S - Apparel'!$B$18+('R&amp;S - Apparel'!$B$19-'R&amp;S - Apparel'!$B$18)*(BG$3-$X$3)/10)</f>
        <v>2536.5071621556349</v>
      </c>
      <c r="BH46" s="101">
        <f>BH45*'R&amp;S - Apparel'!$C$7*'R&amp;S - Apparel'!$B$14*('R&amp;S - Apparel'!$B$18+('R&amp;S - Apparel'!$B$19-'R&amp;S - Apparel'!$B$18)*(BH$3-$X$3)/10)</f>
        <v>2563.7814327164479</v>
      </c>
      <c r="BI46" s="101">
        <f>BI45*'R&amp;S - Apparel'!$C$7*'R&amp;S - Apparel'!$B$14*('R&amp;S - Apparel'!$B$18+('R&amp;S - Apparel'!$B$19-'R&amp;S - Apparel'!$B$18)*(BI$3-$X$3)/10)</f>
        <v>2591.0557032772608</v>
      </c>
      <c r="BJ46" s="101">
        <f>BJ45*'R&amp;S - Apparel'!$C$7*'R&amp;S - Apparel'!$B$14*('R&amp;S - Apparel'!$B$18+('R&amp;S - Apparel'!$B$19-'R&amp;S - Apparel'!$B$18)*(BJ$3-$X$3)/10)</f>
        <v>2618.3299738380742</v>
      </c>
      <c r="BK46" s="101">
        <f>BK45*'R&amp;S - Apparel'!$C$7*'R&amp;S - Apparel'!$B$14*('R&amp;S - Apparel'!$B$18+('R&amp;S - Apparel'!$B$19-'R&amp;S - Apparel'!$B$18)*(BK$3-$X$3)/10)</f>
        <v>2645.6042443988877</v>
      </c>
      <c r="BL46" s="101">
        <f>BL45*'R&amp;S - Apparel'!$C$7*'R&amp;S - Apparel'!$B$14*('R&amp;S - Apparel'!$B$18+('R&amp;S - Apparel'!$B$19-'R&amp;S - Apparel'!$B$18)*(BL$3-$X$3)/10)</f>
        <v>2672.8785149597011</v>
      </c>
      <c r="BM46" s="101">
        <f>BM45*'R&amp;S - Apparel'!$C$7*'R&amp;S - Apparel'!$B$14*('R&amp;S - Apparel'!$B$18+('R&amp;S - Apparel'!$B$19-'R&amp;S - Apparel'!$B$18)*(BM$3-$X$3)/10)</f>
        <v>2700.152785520514</v>
      </c>
      <c r="BN46" s="101">
        <f>BN45*'R&amp;S - Apparel'!$C$7*'R&amp;S - Apparel'!$B$14*('R&amp;S - Apparel'!$B$18+('R&amp;S - Apparel'!$B$19-'R&amp;S - Apparel'!$B$18)*(BN$3-$X$3)/10)</f>
        <v>2727.4270560813275</v>
      </c>
    </row>
    <row r="47" spans="1:75" outlineLevel="1">
      <c r="B47" s="58" t="s">
        <v>200</v>
      </c>
      <c r="C47" s="51" t="s">
        <v>166</v>
      </c>
      <c r="D47" s="101">
        <f>D45*'R&amp;S - Apparel'!$C$8*'R&amp;S - Apparel'!$B$13*'R&amp;S - Apparel'!$C$17*(D$3-$D$3)/10</f>
        <v>0</v>
      </c>
      <c r="E47" s="101">
        <f>E45*'R&amp;S - Apparel'!$C$8*'R&amp;S - Apparel'!$B$13*'R&amp;S - Apparel'!$C$17*(E$3-$D$3)/10</f>
        <v>148.37203185082424</v>
      </c>
      <c r="F47" s="101">
        <f>F45*'R&amp;S - Apparel'!$C$8*'R&amp;S - Apparel'!$B$13*'R&amp;S - Apparel'!$C$17*(F$3-$D$3)/10</f>
        <v>296.74406370164849</v>
      </c>
      <c r="G47" s="101">
        <f>G45*'R&amp;S - Apparel'!$C$8*'R&amp;S - Apparel'!$B$13*'R&amp;S - Apparel'!$C$17*(G$3-$D$3)/10</f>
        <v>445.1160955524727</v>
      </c>
      <c r="H47" s="101">
        <f>H45*'R&amp;S - Apparel'!$C$8*'R&amp;S - Apparel'!$B$13*'R&amp;S - Apparel'!$C$17*(H$3-$D$3)/10</f>
        <v>593.48812740329697</v>
      </c>
      <c r="I47" s="101">
        <f>I45*'R&amp;S - Apparel'!$C$8*'R&amp;S - Apparel'!$B$13*'R&amp;S - Apparel'!$C$17*(I$3-$D$3)/10</f>
        <v>741.86015925412119</v>
      </c>
      <c r="J47" s="101">
        <f>J45*'R&amp;S - Apparel'!$C$8*'R&amp;S - Apparel'!$B$13*'R&amp;S - Apparel'!$C$17*(J$3-$D$3)/10</f>
        <v>890.2321911049454</v>
      </c>
      <c r="K47" s="101">
        <f>K45*'R&amp;S - Apparel'!$C$8*'R&amp;S - Apparel'!$B$13*'R&amp;S - Apparel'!$C$17*(K$3-$D$3)/10</f>
        <v>1038.6042229557697</v>
      </c>
      <c r="L47" s="101">
        <f>L45*'R&amp;S - Apparel'!$C$8*'R&amp;S - Apparel'!$B$13*'R&amp;S - Apparel'!$C$17*(L$3-$D$3)/10</f>
        <v>1186.9762548065939</v>
      </c>
      <c r="M47" s="101">
        <f>M45*'R&amp;S - Apparel'!$C$8*'R&amp;S - Apparel'!$B$13*'R&amp;S - Apparel'!$C$17*(M$3-$D$3)/10</f>
        <v>1335.3482866574182</v>
      </c>
      <c r="N47" s="101">
        <f>N45*'R&amp;S - Apparel'!$C$8*'R&amp;S - Apparel'!$B$13*'R&amp;S - Apparel'!$C$17*(N$3-$D$3)/10</f>
        <v>1483.7203185082424</v>
      </c>
      <c r="O47" s="101">
        <f>O45*'R&amp;S - Apparel'!$C$8*'R&amp;S - Apparel'!$B$13*('R&amp;S - Apparel'!$C$17+('R&amp;S - Apparel'!$C$18-'R&amp;S - Apparel'!$C$17)*(O$3-$N$3)/10)</f>
        <v>1706.2783662844786</v>
      </c>
      <c r="P47" s="101">
        <f>P45*'R&amp;S - Apparel'!$C$8*'R&amp;S - Apparel'!$B$13*('R&amp;S - Apparel'!$C$17+('R&amp;S - Apparel'!$C$18-'R&amp;S - Apparel'!$C$17)*(P$3-$N$3)/10)</f>
        <v>1928.836414060715</v>
      </c>
      <c r="Q47" s="101">
        <f>Q45*'R&amp;S - Apparel'!$C$8*'R&amp;S - Apparel'!$B$13*('R&amp;S - Apparel'!$C$17+('R&amp;S - Apparel'!$C$18-'R&amp;S - Apparel'!$C$17)*(Q$3-$N$3)/10)</f>
        <v>2151.3944618369515</v>
      </c>
      <c r="R47" s="101">
        <f>R45*'R&amp;S - Apparel'!$C$8*'R&amp;S - Apparel'!$B$13*('R&amp;S - Apparel'!$C$17+('R&amp;S - Apparel'!$C$18-'R&amp;S - Apparel'!$C$17)*(R$3-$N$3)/10)</f>
        <v>2373.9525096131874</v>
      </c>
      <c r="S47" s="101">
        <f>S45*'R&amp;S - Apparel'!$C$8*'R&amp;S - Apparel'!$B$13*('R&amp;S - Apparel'!$C$17+('R&amp;S - Apparel'!$C$18-'R&amp;S - Apparel'!$C$17)*(S$3-$N$3)/10)</f>
        <v>2596.5105573894239</v>
      </c>
      <c r="T47" s="101">
        <f>T45*'R&amp;S - Apparel'!$C$8*'R&amp;S - Apparel'!$B$13*('R&amp;S - Apparel'!$C$17+('R&amp;S - Apparel'!$C$18-'R&amp;S - Apparel'!$C$17)*(T$3-$N$3)/10)</f>
        <v>2819.0686051656603</v>
      </c>
      <c r="U47" s="101">
        <f>U45*'R&amp;S - Apparel'!$C$8*'R&amp;S - Apparel'!$B$13*('R&amp;S - Apparel'!$C$17+('R&amp;S - Apparel'!$C$18-'R&amp;S - Apparel'!$C$17)*(U$3-$N$3)/10)</f>
        <v>3041.6266529418967</v>
      </c>
      <c r="V47" s="101">
        <f>V45*'R&amp;S - Apparel'!$C$8*'R&amp;S - Apparel'!$B$13*('R&amp;S - Apparel'!$C$17+('R&amp;S - Apparel'!$C$18-'R&amp;S - Apparel'!$C$17)*(V$3-$N$3)/10)</f>
        <v>3264.1847007181327</v>
      </c>
      <c r="W47" s="101">
        <f>W45*'R&amp;S - Apparel'!$C$8*'R&amp;S - Apparel'!$B$13*('R&amp;S - Apparel'!$C$17+('R&amp;S - Apparel'!$C$18-'R&amp;S - Apparel'!$C$17)*(W$3-$N$3)/10)</f>
        <v>3486.7427484943692</v>
      </c>
      <c r="X47" s="101">
        <f>X45*'R&amp;S - Apparel'!$C$8*'R&amp;S - Apparel'!$B$13*('R&amp;S - Apparel'!$C$17+('R&amp;S - Apparel'!$C$18-'R&amp;S - Apparel'!$C$17)*(X$3-$N$3)/10)</f>
        <v>3709.3007962706056</v>
      </c>
      <c r="Y47" s="101">
        <f>Y45*'R&amp;S - Apparel'!$C$8*'R&amp;S - Apparel'!$B$13*('R&amp;S - Apparel'!$C$18+('R&amp;S - Apparel'!$C$19-'R&amp;S - Apparel'!$C$18)*(Y$3-$X$3)/10)</f>
        <v>4080.2308758976665</v>
      </c>
      <c r="Z47" s="101">
        <f>Z45*'R&amp;S - Apparel'!$C$8*'R&amp;S - Apparel'!$B$13*('R&amp;S - Apparel'!$C$18+('R&amp;S - Apparel'!$C$19-'R&amp;S - Apparel'!$C$18)*(Z$3-$X$3)/10)</f>
        <v>4451.1609555247269</v>
      </c>
      <c r="AA47" s="101">
        <f>AA45*'R&amp;S - Apparel'!$C$8*'R&amp;S - Apparel'!$B$13*('R&amp;S - Apparel'!$C$18+('R&amp;S - Apparel'!$C$19-'R&amp;S - Apparel'!$C$18)*(AA$3-$X$3)/10)</f>
        <v>4822.0910351517878</v>
      </c>
      <c r="AB47" s="101">
        <f>AB45*'R&amp;S - Apparel'!$C$8*'R&amp;S - Apparel'!$B$13*('R&amp;S - Apparel'!$C$18+('R&amp;S - Apparel'!$C$19-'R&amp;S - Apparel'!$C$18)*(AB$3-$X$3)/10)</f>
        <v>5193.0211147788477</v>
      </c>
      <c r="AC47" s="101">
        <f>AC45*'R&amp;S - Apparel'!$C$8*'R&amp;S - Apparel'!$B$13*('R&amp;S - Apparel'!$C$18+('R&amp;S - Apparel'!$C$19-'R&amp;S - Apparel'!$C$18)*(AC$3-$X$3)/10)</f>
        <v>5563.9511944059086</v>
      </c>
      <c r="AD47" s="101">
        <f>AD45*'R&amp;S - Apparel'!$C$8*'R&amp;S - Apparel'!$B$13*('R&amp;S - Apparel'!$C$18+('R&amp;S - Apparel'!$C$19-'R&amp;S - Apparel'!$C$18)*(AD$3-$X$3)/10)</f>
        <v>5934.8812740329695</v>
      </c>
      <c r="AE47" s="101">
        <f>AE45*'R&amp;S - Apparel'!$C$8*'R&amp;S - Apparel'!$B$13*('R&amp;S - Apparel'!$C$18+('R&amp;S - Apparel'!$C$19-'R&amp;S - Apparel'!$C$18)*(AE$3-$X$3)/10)</f>
        <v>6305.8113536600295</v>
      </c>
      <c r="AF47" s="101">
        <f>AF45*'R&amp;S - Apparel'!$C$8*'R&amp;S - Apparel'!$B$13*('R&amp;S - Apparel'!$C$18+('R&amp;S - Apparel'!$C$19-'R&amp;S - Apparel'!$C$18)*(AF$3-$X$3)/10)</f>
        <v>6676.7414332870903</v>
      </c>
      <c r="AG47" s="101">
        <f>AG45*'R&amp;S - Apparel'!$C$8*'R&amp;S - Apparel'!$B$13*('R&amp;S - Apparel'!$C$18+('R&amp;S - Apparel'!$C$19-'R&amp;S - Apparel'!$C$18)*(AG$3-$X$3)/10)</f>
        <v>7047.6715129141503</v>
      </c>
      <c r="AH47" s="101">
        <f>AH45*'R&amp;S - Apparel'!$C$8*'R&amp;S - Apparel'!$B$13*('R&amp;S - Apparel'!$C$18+('R&amp;S - Apparel'!$C$19-'R&amp;S - Apparel'!$C$18)*(AH$3-$X$3)/10)</f>
        <v>7418.6015925412112</v>
      </c>
      <c r="AI47" s="191"/>
      <c r="AJ47" s="101">
        <f>AJ45*'R&amp;S - Apparel'!$C$8*'R&amp;S - Apparel'!$B$14*'R&amp;S - Apparel'!$C$17*(AJ$3-$D$3)/10</f>
        <v>0</v>
      </c>
      <c r="AK47" s="101">
        <f>AK45*'R&amp;S - Apparel'!$C$8*'R&amp;S - Apparel'!$B$14*'R&amp;S - Apparel'!$C$17*(AK$3-$D$3)/10</f>
        <v>74.186015925412121</v>
      </c>
      <c r="AL47" s="101">
        <f>AL45*'R&amp;S - Apparel'!$C$8*'R&amp;S - Apparel'!$B$14*'R&amp;S - Apparel'!$C$17*(AL$3-$D$3)/10</f>
        <v>148.37203185082424</v>
      </c>
      <c r="AM47" s="101">
        <f>AM45*'R&amp;S - Apparel'!$C$8*'R&amp;S - Apparel'!$B$14*'R&amp;S - Apparel'!$C$17*(AM$3-$D$3)/10</f>
        <v>222.55804777623635</v>
      </c>
      <c r="AN47" s="101">
        <f>AN45*'R&amp;S - Apparel'!$C$8*'R&amp;S - Apparel'!$B$14*'R&amp;S - Apparel'!$C$17*(AN$3-$D$3)/10</f>
        <v>296.74406370164849</v>
      </c>
      <c r="AO47" s="101">
        <f>AO45*'R&amp;S - Apparel'!$C$8*'R&amp;S - Apparel'!$B$14*'R&amp;S - Apparel'!$C$17*(AO$3-$D$3)/10</f>
        <v>370.93007962706059</v>
      </c>
      <c r="AP47" s="101">
        <f>AP45*'R&amp;S - Apparel'!$C$8*'R&amp;S - Apparel'!$B$14*'R&amp;S - Apparel'!$C$17*(AP$3-$D$3)/10</f>
        <v>445.1160955524727</v>
      </c>
      <c r="AQ47" s="101">
        <f>AQ45*'R&amp;S - Apparel'!$C$8*'R&amp;S - Apparel'!$B$14*'R&amp;S - Apparel'!$C$17*(AQ$3-$D$3)/10</f>
        <v>519.30211147788486</v>
      </c>
      <c r="AR47" s="101">
        <f>AR45*'R&amp;S - Apparel'!$C$8*'R&amp;S - Apparel'!$B$14*'R&amp;S - Apparel'!$C$17*(AR$3-$D$3)/10</f>
        <v>593.48812740329697</v>
      </c>
      <c r="AS47" s="101">
        <f>AS45*'R&amp;S - Apparel'!$C$8*'R&amp;S - Apparel'!$B$14*'R&amp;S - Apparel'!$C$17*(AS$3-$D$3)/10</f>
        <v>667.67414332870908</v>
      </c>
      <c r="AT47" s="101">
        <f>AT45*'R&amp;S - Apparel'!$C$8*'R&amp;S - Apparel'!$B$14*'R&amp;S - Apparel'!$C$17*(AT$3-$D$3)/10</f>
        <v>741.86015925412119</v>
      </c>
      <c r="AU47" s="101">
        <f>AU45*'R&amp;S - Apparel'!$C$8*'R&amp;S - Apparel'!$B$14*('R&amp;S - Apparel'!$C$17+('R&amp;S - Apparel'!$C$18-'R&amp;S - Apparel'!$C$17)*(AU$3-$N$3)/10)</f>
        <v>853.13918314223929</v>
      </c>
      <c r="AV47" s="101">
        <f>AV45*'R&amp;S - Apparel'!$C$8*'R&amp;S - Apparel'!$B$14*('R&amp;S - Apparel'!$C$17+('R&amp;S - Apparel'!$C$18-'R&amp;S - Apparel'!$C$17)*(AV$3-$N$3)/10)</f>
        <v>964.41820703035751</v>
      </c>
      <c r="AW47" s="101">
        <f>AW45*'R&amp;S - Apparel'!$C$8*'R&amp;S - Apparel'!$B$14*('R&amp;S - Apparel'!$C$17+('R&amp;S - Apparel'!$C$18-'R&amp;S - Apparel'!$C$17)*(AW$3-$N$3)/10)</f>
        <v>1075.6972309184757</v>
      </c>
      <c r="AX47" s="101">
        <f>AX45*'R&amp;S - Apparel'!$C$8*'R&amp;S - Apparel'!$B$14*('R&amp;S - Apparel'!$C$17+('R&amp;S - Apparel'!$C$18-'R&amp;S - Apparel'!$C$17)*(AX$3-$N$3)/10)</f>
        <v>1186.9762548065937</v>
      </c>
      <c r="AY47" s="101">
        <f>AY45*'R&amp;S - Apparel'!$C$8*'R&amp;S - Apparel'!$B$14*('R&amp;S - Apparel'!$C$17+('R&amp;S - Apparel'!$C$18-'R&amp;S - Apparel'!$C$17)*(AY$3-$N$3)/10)</f>
        <v>1298.2552786947119</v>
      </c>
      <c r="AZ47" s="101">
        <f>AZ45*'R&amp;S - Apparel'!$C$8*'R&amp;S - Apparel'!$B$14*('R&amp;S - Apparel'!$C$17+('R&amp;S - Apparel'!$C$18-'R&amp;S - Apparel'!$C$17)*(AZ$3-$N$3)/10)</f>
        <v>1409.5343025828302</v>
      </c>
      <c r="BA47" s="101">
        <f>BA45*'R&amp;S - Apparel'!$C$8*'R&amp;S - Apparel'!$B$14*('R&amp;S - Apparel'!$C$17+('R&amp;S - Apparel'!$C$18-'R&amp;S - Apparel'!$C$17)*(BA$3-$N$3)/10)</f>
        <v>1520.8133264709484</v>
      </c>
      <c r="BB47" s="101">
        <f>BB45*'R&amp;S - Apparel'!$C$8*'R&amp;S - Apparel'!$B$14*('R&amp;S - Apparel'!$C$17+('R&amp;S - Apparel'!$C$18-'R&amp;S - Apparel'!$C$17)*(BB$3-$N$3)/10)</f>
        <v>1632.0923503590664</v>
      </c>
      <c r="BC47" s="101">
        <f>BC45*'R&amp;S - Apparel'!$C$8*'R&amp;S - Apparel'!$B$14*('R&amp;S - Apparel'!$C$17+('R&amp;S - Apparel'!$C$18-'R&amp;S - Apparel'!$C$17)*(BC$3-$N$3)/10)</f>
        <v>1743.3713742471846</v>
      </c>
      <c r="BD47" s="101">
        <f>BD45*'R&amp;S - Apparel'!$C$8*'R&amp;S - Apparel'!$B$14*('R&amp;S - Apparel'!$C$17+('R&amp;S - Apparel'!$C$18-'R&amp;S - Apparel'!$C$17)*(BD$3-$N$3)/10)</f>
        <v>1854.6503981353028</v>
      </c>
      <c r="BE47" s="101">
        <f>BE45*'R&amp;S - Apparel'!$C$8*'R&amp;S - Apparel'!$B$14*('R&amp;S - Apparel'!$C$18+('R&amp;S - Apparel'!$C$19-'R&amp;S - Apparel'!$C$18)*(BE$3-$X$3)/10)</f>
        <v>2040.1154379488332</v>
      </c>
      <c r="BF47" s="101">
        <f>BF45*'R&amp;S - Apparel'!$C$8*'R&amp;S - Apparel'!$B$14*('R&amp;S - Apparel'!$C$18+('R&amp;S - Apparel'!$C$19-'R&amp;S - Apparel'!$C$18)*(BF$3-$X$3)/10)</f>
        <v>2225.5804777623634</v>
      </c>
      <c r="BG47" s="101">
        <f>BG45*'R&amp;S - Apparel'!$C$8*'R&amp;S - Apparel'!$B$14*('R&amp;S - Apparel'!$C$18+('R&amp;S - Apparel'!$C$19-'R&amp;S - Apparel'!$C$18)*(BG$3-$X$3)/10)</f>
        <v>2411.0455175758939</v>
      </c>
      <c r="BH47" s="101">
        <f>BH45*'R&amp;S - Apparel'!$C$8*'R&amp;S - Apparel'!$B$14*('R&amp;S - Apparel'!$C$18+('R&amp;S - Apparel'!$C$19-'R&amp;S - Apparel'!$C$18)*(BH$3-$X$3)/10)</f>
        <v>2596.5105573894239</v>
      </c>
      <c r="BI47" s="101">
        <f>BI45*'R&amp;S - Apparel'!$C$8*'R&amp;S - Apparel'!$B$14*('R&amp;S - Apparel'!$C$18+('R&amp;S - Apparel'!$C$19-'R&amp;S - Apparel'!$C$18)*(BI$3-$X$3)/10)</f>
        <v>2781.9755972029543</v>
      </c>
      <c r="BJ47" s="101">
        <f>BJ45*'R&amp;S - Apparel'!$C$8*'R&amp;S - Apparel'!$B$14*('R&amp;S - Apparel'!$C$18+('R&amp;S - Apparel'!$C$19-'R&amp;S - Apparel'!$C$18)*(BJ$3-$X$3)/10)</f>
        <v>2967.4406370164847</v>
      </c>
      <c r="BK47" s="101">
        <f>BK45*'R&amp;S - Apparel'!$C$8*'R&amp;S - Apparel'!$B$14*('R&amp;S - Apparel'!$C$18+('R&amp;S - Apparel'!$C$19-'R&amp;S - Apparel'!$C$18)*(BK$3-$X$3)/10)</f>
        <v>3152.9056768300147</v>
      </c>
      <c r="BL47" s="101">
        <f>BL45*'R&amp;S - Apparel'!$C$8*'R&amp;S - Apparel'!$B$14*('R&amp;S - Apparel'!$C$18+('R&amp;S - Apparel'!$C$19-'R&amp;S - Apparel'!$C$18)*(BL$3-$X$3)/10)</f>
        <v>3338.3707166435452</v>
      </c>
      <c r="BM47" s="101">
        <f>BM45*'R&amp;S - Apparel'!$C$8*'R&amp;S - Apparel'!$B$14*('R&amp;S - Apparel'!$C$18+('R&amp;S - Apparel'!$C$19-'R&amp;S - Apparel'!$C$18)*(BM$3-$X$3)/10)</f>
        <v>3523.8357564570751</v>
      </c>
      <c r="BN47" s="101">
        <f>BN45*'R&amp;S - Apparel'!$C$8*'R&amp;S - Apparel'!$B$14*('R&amp;S - Apparel'!$C$18+('R&amp;S - Apparel'!$C$19-'R&amp;S - Apparel'!$C$18)*(BN$3-$X$3)/10)</f>
        <v>3709.3007962706056</v>
      </c>
    </row>
    <row r="48" spans="1:75" outlineLevel="1">
      <c r="B48" s="1" t="s">
        <v>164</v>
      </c>
      <c r="C48" s="51" t="s">
        <v>166</v>
      </c>
      <c r="D48" s="101">
        <f>SUM(D46:D47)</f>
        <v>0</v>
      </c>
      <c r="E48" s="101">
        <f>SUM(E46:E47)</f>
        <v>530.21181970221005</v>
      </c>
      <c r="F48" s="101">
        <f t="shared" ref="F48:AH48" si="36">SUM(F46:F47)</f>
        <v>1060.4236394044201</v>
      </c>
      <c r="G48" s="101">
        <f t="shared" si="36"/>
        <v>1590.6354591066302</v>
      </c>
      <c r="H48" s="101">
        <f t="shared" si="36"/>
        <v>2120.8472788088402</v>
      </c>
      <c r="I48" s="101">
        <f t="shared" si="36"/>
        <v>2651.0590985110503</v>
      </c>
      <c r="J48" s="101">
        <f t="shared" si="36"/>
        <v>3181.2709182132603</v>
      </c>
      <c r="K48" s="101">
        <f t="shared" si="36"/>
        <v>3711.4827379154708</v>
      </c>
      <c r="L48" s="101">
        <f t="shared" si="36"/>
        <v>4241.6945576176804</v>
      </c>
      <c r="M48" s="101">
        <f t="shared" si="36"/>
        <v>4771.9063773198905</v>
      </c>
      <c r="N48" s="101">
        <f t="shared" si="36"/>
        <v>5302.1181970221005</v>
      </c>
      <c r="O48" s="101">
        <f>SUM(O46:O47)</f>
        <v>5633.7733270415902</v>
      </c>
      <c r="P48" s="101">
        <f t="shared" si="36"/>
        <v>5965.4284570610798</v>
      </c>
      <c r="Q48" s="101">
        <f t="shared" si="36"/>
        <v>6297.0835870805695</v>
      </c>
      <c r="R48" s="101">
        <f t="shared" si="36"/>
        <v>6628.7387171000582</v>
      </c>
      <c r="S48" s="101">
        <f t="shared" si="36"/>
        <v>6960.3938471195488</v>
      </c>
      <c r="T48" s="101">
        <f t="shared" si="36"/>
        <v>7292.0489771390367</v>
      </c>
      <c r="U48" s="101">
        <f t="shared" si="36"/>
        <v>7623.7041071585263</v>
      </c>
      <c r="V48" s="101">
        <f t="shared" si="36"/>
        <v>7955.359237178016</v>
      </c>
      <c r="W48" s="101">
        <f t="shared" si="36"/>
        <v>8287.0143671975056</v>
      </c>
      <c r="X48" s="101">
        <f t="shared" si="36"/>
        <v>8618.6694972169953</v>
      </c>
      <c r="Y48" s="101">
        <f t="shared" si="36"/>
        <v>9044.1481179656821</v>
      </c>
      <c r="Z48" s="101">
        <f t="shared" si="36"/>
        <v>9469.6267387143707</v>
      </c>
      <c r="AA48" s="101">
        <f t="shared" si="36"/>
        <v>9895.1053594630575</v>
      </c>
      <c r="AB48" s="101">
        <f t="shared" si="36"/>
        <v>10320.583980211744</v>
      </c>
      <c r="AC48" s="101">
        <f t="shared" si="36"/>
        <v>10746.062600960431</v>
      </c>
      <c r="AD48" s="101">
        <f t="shared" si="36"/>
        <v>11171.541221709118</v>
      </c>
      <c r="AE48" s="101">
        <f t="shared" si="36"/>
        <v>11597.019842457805</v>
      </c>
      <c r="AF48" s="101">
        <f t="shared" si="36"/>
        <v>12022.498463206492</v>
      </c>
      <c r="AG48" s="101">
        <f t="shared" si="36"/>
        <v>12447.977083955178</v>
      </c>
      <c r="AH48" s="101">
        <f t="shared" si="36"/>
        <v>12873.455704703865</v>
      </c>
      <c r="AI48" s="191"/>
      <c r="AJ48" s="101">
        <f>SUM(AJ46:AJ47)</f>
        <v>0</v>
      </c>
      <c r="AK48" s="101">
        <f>SUM(AK46:AK47)</f>
        <v>265.10590985110503</v>
      </c>
      <c r="AL48" s="101">
        <f t="shared" ref="AL48:AT48" si="37">SUM(AL46:AL47)</f>
        <v>530.21181970221005</v>
      </c>
      <c r="AM48" s="101">
        <f t="shared" si="37"/>
        <v>795.31772955331508</v>
      </c>
      <c r="AN48" s="101">
        <f t="shared" si="37"/>
        <v>1060.4236394044201</v>
      </c>
      <c r="AO48" s="101">
        <f t="shared" si="37"/>
        <v>1325.5295492555251</v>
      </c>
      <c r="AP48" s="101">
        <f t="shared" si="37"/>
        <v>1590.6354591066302</v>
      </c>
      <c r="AQ48" s="101">
        <f t="shared" si="37"/>
        <v>1855.7413689577354</v>
      </c>
      <c r="AR48" s="101">
        <f t="shared" si="37"/>
        <v>2120.8472788088402</v>
      </c>
      <c r="AS48" s="101">
        <f t="shared" si="37"/>
        <v>2385.9531886599452</v>
      </c>
      <c r="AT48" s="101">
        <f t="shared" si="37"/>
        <v>2651.0590985110503</v>
      </c>
      <c r="AU48" s="101">
        <f>SUM(AU46:AU47)</f>
        <v>2816.8866635207951</v>
      </c>
      <c r="AV48" s="101">
        <f t="shared" ref="AV48:BN48" si="38">SUM(AV46:AV47)</f>
        <v>2982.7142285305399</v>
      </c>
      <c r="AW48" s="101">
        <f t="shared" si="38"/>
        <v>3148.5417935402847</v>
      </c>
      <c r="AX48" s="101">
        <f t="shared" si="38"/>
        <v>3314.3693585500291</v>
      </c>
      <c r="AY48" s="101">
        <f t="shared" si="38"/>
        <v>3480.1969235597744</v>
      </c>
      <c r="AZ48" s="101">
        <f t="shared" si="38"/>
        <v>3646.0244885695183</v>
      </c>
      <c r="BA48" s="101">
        <f t="shared" si="38"/>
        <v>3811.8520535792632</v>
      </c>
      <c r="BB48" s="101">
        <f t="shared" si="38"/>
        <v>3977.679618589008</v>
      </c>
      <c r="BC48" s="101">
        <f t="shared" si="38"/>
        <v>4143.5071835987528</v>
      </c>
      <c r="BD48" s="101">
        <f t="shared" si="38"/>
        <v>4309.3347486084976</v>
      </c>
      <c r="BE48" s="101">
        <f t="shared" si="38"/>
        <v>4522.0740589828411</v>
      </c>
      <c r="BF48" s="101">
        <f t="shared" si="38"/>
        <v>4734.8133693571854</v>
      </c>
      <c r="BG48" s="101">
        <f t="shared" si="38"/>
        <v>4947.5526797315288</v>
      </c>
      <c r="BH48" s="101">
        <f t="shared" si="38"/>
        <v>5160.2919901058722</v>
      </c>
      <c r="BI48" s="101">
        <f t="shared" si="38"/>
        <v>5373.0313004802156</v>
      </c>
      <c r="BJ48" s="101">
        <f t="shared" si="38"/>
        <v>5585.770610854559</v>
      </c>
      <c r="BK48" s="101">
        <f t="shared" si="38"/>
        <v>5798.5099212289024</v>
      </c>
      <c r="BL48" s="101">
        <f t="shared" si="38"/>
        <v>6011.2492316032458</v>
      </c>
      <c r="BM48" s="101">
        <f t="shared" si="38"/>
        <v>6223.9885419775892</v>
      </c>
      <c r="BN48" s="101">
        <f t="shared" si="38"/>
        <v>6436.7278523519326</v>
      </c>
    </row>
    <row r="49" spans="1:66" outlineLevel="1">
      <c r="B49" s="1" t="s">
        <v>167</v>
      </c>
      <c r="C49" s="51" t="s">
        <v>166</v>
      </c>
      <c r="D49" s="101">
        <f>D45*'R&amp;S - Apparel'!$C$10*'R&amp;S - Apparel'!$B$13*'R&amp;S - Apparel'!$D$17*(D$3-$D$3)/10</f>
        <v>0</v>
      </c>
      <c r="E49" s="101">
        <f>E45*'R&amp;S - Apparel'!$C$10*'R&amp;S - Apparel'!$B$13*'R&amp;S - Apparel'!$D$17*(E$3-$D$3)/10</f>
        <v>144.00814856109412</v>
      </c>
      <c r="F49" s="101">
        <f>F45*'R&amp;S - Apparel'!$C$10*'R&amp;S - Apparel'!$B$13*'R&amp;S - Apparel'!$D$17*(F$3-$D$3)/10</f>
        <v>288.01629712218823</v>
      </c>
      <c r="G49" s="101">
        <f>G45*'R&amp;S - Apparel'!$C$10*'R&amp;S - Apparel'!$B$13*'R&amp;S - Apparel'!$D$17*(G$3-$D$3)/10</f>
        <v>432.02444568328235</v>
      </c>
      <c r="H49" s="101">
        <f>H45*'R&amp;S - Apparel'!$C$10*'R&amp;S - Apparel'!$B$13*'R&amp;S - Apparel'!$D$17*(H$3-$D$3)/10</f>
        <v>576.03259424437647</v>
      </c>
      <c r="I49" s="101">
        <f>I45*'R&amp;S - Apparel'!$C$10*'R&amp;S - Apparel'!$B$13*'R&amp;S - Apparel'!$D$17*(I$3-$D$3)/10</f>
        <v>720.04074280547059</v>
      </c>
      <c r="J49" s="101">
        <f>J45*'R&amp;S - Apparel'!$C$10*'R&amp;S - Apparel'!$B$13*'R&amp;S - Apparel'!$D$17*(J$3-$D$3)/10</f>
        <v>864.0488913665647</v>
      </c>
      <c r="K49" s="101">
        <f>K45*'R&amp;S - Apparel'!$C$10*'R&amp;S - Apparel'!$B$13*'R&amp;S - Apparel'!$D$17*(K$3-$D$3)/10</f>
        <v>1008.0570399276588</v>
      </c>
      <c r="L49" s="101">
        <f>L45*'R&amp;S - Apparel'!$C$10*'R&amp;S - Apparel'!$B$13*'R&amp;S - Apparel'!$D$17*(L$3-$D$3)/10</f>
        <v>1152.0651884887529</v>
      </c>
      <c r="M49" s="101">
        <f>M45*'R&amp;S - Apparel'!$C$10*'R&amp;S - Apparel'!$B$13*'R&amp;S - Apparel'!$D$17*(M$3-$D$3)/10</f>
        <v>1296.0733370498469</v>
      </c>
      <c r="N49" s="101">
        <f>N45*'R&amp;S - Apparel'!$C$10*'R&amp;S - Apparel'!$B$13*'R&amp;S - Apparel'!$D$17*(N$3-$D$3)/10</f>
        <v>1440.0814856109412</v>
      </c>
      <c r="O49" s="101">
        <f>O45*'R&amp;S - Apparel'!$C$10*'R&amp;S - Apparel'!$B$13*('R&amp;S - Apparel'!$D$17+('R&amp;S - Apparel'!$D$18-'R&amp;S - Apparel'!$D$17)*(O$3-$N$3)/10)</f>
        <v>1584.0896341720352</v>
      </c>
      <c r="P49" s="101">
        <f>P45*'R&amp;S - Apparel'!$C$10*'R&amp;S - Apparel'!$B$13*('R&amp;S - Apparel'!$D$17+('R&amp;S - Apparel'!$D$18-'R&amp;S - Apparel'!$D$17)*(P$3-$N$3)/10)</f>
        <v>1728.0977827331294</v>
      </c>
      <c r="Q49" s="101">
        <f>Q45*'R&amp;S - Apparel'!$C$10*'R&amp;S - Apparel'!$B$13*('R&amp;S - Apparel'!$D$17+('R&amp;S - Apparel'!$D$18-'R&amp;S - Apparel'!$D$17)*(Q$3-$N$3)/10)</f>
        <v>1872.1059312942236</v>
      </c>
      <c r="R49" s="101">
        <f>R45*'R&amp;S - Apparel'!$C$10*'R&amp;S - Apparel'!$B$13*('R&amp;S - Apparel'!$D$17+('R&amp;S - Apparel'!$D$18-'R&amp;S - Apparel'!$D$17)*(R$3-$N$3)/10)</f>
        <v>2016.1140798553176</v>
      </c>
      <c r="S49" s="101">
        <f>S45*'R&amp;S - Apparel'!$C$10*'R&amp;S - Apparel'!$B$13*('R&amp;S - Apparel'!$D$17+('R&amp;S - Apparel'!$D$18-'R&amp;S - Apparel'!$D$17)*(S$3-$N$3)/10)</f>
        <v>2160.1222284164114</v>
      </c>
      <c r="T49" s="101">
        <f>T45*'R&amp;S - Apparel'!$C$10*'R&amp;S - Apparel'!$B$13*('R&amp;S - Apparel'!$D$17+('R&amp;S - Apparel'!$D$18-'R&amp;S - Apparel'!$D$17)*(T$3-$N$3)/10)</f>
        <v>2304.1303769775059</v>
      </c>
      <c r="U49" s="101">
        <f>U45*'R&amp;S - Apparel'!$C$10*'R&amp;S - Apparel'!$B$13*('R&amp;S - Apparel'!$D$17+('R&amp;S - Apparel'!$D$18-'R&amp;S - Apparel'!$D$17)*(U$3-$N$3)/10)</f>
        <v>2448.1385255385999</v>
      </c>
      <c r="V49" s="101">
        <f>V45*'R&amp;S - Apparel'!$C$10*'R&amp;S - Apparel'!$B$13*('R&amp;S - Apparel'!$D$17+('R&amp;S - Apparel'!$D$18-'R&amp;S - Apparel'!$D$17)*(V$3-$N$3)/10)</f>
        <v>2592.1466740996943</v>
      </c>
      <c r="W49" s="101">
        <f>W45*'R&amp;S - Apparel'!$C$10*'R&amp;S - Apparel'!$B$13*('R&amp;S - Apparel'!$D$17+('R&amp;S - Apparel'!$D$18-'R&amp;S - Apparel'!$D$17)*(W$3-$N$3)/10)</f>
        <v>2736.1548226607879</v>
      </c>
      <c r="X49" s="101">
        <f>X45*'R&amp;S - Apparel'!$C$10*'R&amp;S - Apparel'!$B$13*('R&amp;S - Apparel'!$D$17+('R&amp;S - Apparel'!$D$18-'R&amp;S - Apparel'!$D$17)*(X$3-$N$3)/10)</f>
        <v>2880.1629712218823</v>
      </c>
      <c r="Y49" s="101">
        <f>Y45*'R&amp;S - Apparel'!$C$10*'R&amp;S - Apparel'!$B$13*('R&amp;S - Apparel'!$D$18+('R&amp;S - Apparel'!$D$19-'R&amp;S - Apparel'!$D$18)*(Y$3-$X$3)/10)</f>
        <v>3028.5350030727068</v>
      </c>
      <c r="Z49" s="101">
        <f>Z45*'R&amp;S - Apparel'!$C$10*'R&amp;S - Apparel'!$B$13*('R&amp;S - Apparel'!$D$18+('R&amp;S - Apparel'!$D$19-'R&amp;S - Apparel'!$D$18)*(Z$3-$X$3)/10)</f>
        <v>3176.9070349235303</v>
      </c>
      <c r="AA49" s="101">
        <f>AA45*'R&amp;S - Apparel'!$C$10*'R&amp;S - Apparel'!$B$13*('R&amp;S - Apparel'!$D$18+('R&amp;S - Apparel'!$D$19-'R&amp;S - Apparel'!$D$18)*(AA$3-$X$3)/10)</f>
        <v>3325.2790667743548</v>
      </c>
      <c r="AB49" s="101">
        <f>AB45*'R&amp;S - Apparel'!$C$10*'R&amp;S - Apparel'!$B$13*('R&amp;S - Apparel'!$D$18+('R&amp;S - Apparel'!$D$19-'R&amp;S - Apparel'!$D$18)*(AB$3-$X$3)/10)</f>
        <v>3473.6510986251792</v>
      </c>
      <c r="AC49" s="101">
        <f>AC45*'R&amp;S - Apparel'!$C$10*'R&amp;S - Apparel'!$B$13*('R&amp;S - Apparel'!$D$18+('R&amp;S - Apparel'!$D$19-'R&amp;S - Apparel'!$D$18)*(AC$3-$X$3)/10)</f>
        <v>3622.0231304760036</v>
      </c>
      <c r="AD49" s="101">
        <f>AD45*'R&amp;S - Apparel'!$C$10*'R&amp;S - Apparel'!$B$13*('R&amp;S - Apparel'!$D$18+('R&amp;S - Apparel'!$D$19-'R&amp;S - Apparel'!$D$18)*(AD$3-$X$3)/10)</f>
        <v>3770.3951623268281</v>
      </c>
      <c r="AE49" s="101">
        <f>AE45*'R&amp;S - Apparel'!$C$10*'R&amp;S - Apparel'!$B$13*('R&amp;S - Apparel'!$D$18+('R&amp;S - Apparel'!$D$19-'R&amp;S - Apparel'!$D$18)*(AE$3-$X$3)/10)</f>
        <v>3918.7671941776521</v>
      </c>
      <c r="AF49" s="101">
        <f>AF45*'R&amp;S - Apparel'!$C$10*'R&amp;S - Apparel'!$B$13*('R&amp;S - Apparel'!$D$18+('R&amp;S - Apparel'!$D$19-'R&amp;S - Apparel'!$D$18)*(AF$3-$X$3)/10)</f>
        <v>4067.1392260284756</v>
      </c>
      <c r="AG49" s="101">
        <f>AG45*'R&amp;S - Apparel'!$C$10*'R&amp;S - Apparel'!$B$13*('R&amp;S - Apparel'!$D$18+('R&amp;S - Apparel'!$D$19-'R&amp;S - Apparel'!$D$18)*(AG$3-$X$3)/10)</f>
        <v>4215.5112578793005</v>
      </c>
      <c r="AH49" s="101">
        <f>AH45*'R&amp;S - Apparel'!$C$10*'R&amp;S - Apparel'!$B$13*('R&amp;S - Apparel'!$D$18+('R&amp;S - Apparel'!$D$19-'R&amp;S - Apparel'!$D$18)*(AH$3-$X$3)/10)</f>
        <v>4363.8832897301245</v>
      </c>
      <c r="AI49" s="191"/>
      <c r="AJ49" s="101">
        <f>AJ45*'R&amp;S - Apparel'!$C$10*'R&amp;S - Apparel'!$B$14*'R&amp;S - Apparel'!$D$17*(AJ$3-$D$3)/10</f>
        <v>0</v>
      </c>
      <c r="AK49" s="101">
        <f>AK45*'R&amp;S - Apparel'!$C$10*'R&amp;S - Apparel'!$B$14*'R&amp;S - Apparel'!$D$17*(AK$3-$D$3)/10</f>
        <v>72.004074280547059</v>
      </c>
      <c r="AL49" s="101">
        <f>AL45*'R&amp;S - Apparel'!$C$10*'R&amp;S - Apparel'!$B$14*'R&amp;S - Apparel'!$D$17*(AL$3-$D$3)/10</f>
        <v>144.00814856109412</v>
      </c>
      <c r="AM49" s="101">
        <f>AM45*'R&amp;S - Apparel'!$C$10*'R&amp;S - Apparel'!$B$14*'R&amp;S - Apparel'!$D$17*(AM$3-$D$3)/10</f>
        <v>216.01222284164118</v>
      </c>
      <c r="AN49" s="101">
        <f>AN45*'R&amp;S - Apparel'!$C$10*'R&amp;S - Apparel'!$B$14*'R&amp;S - Apparel'!$D$17*(AN$3-$D$3)/10</f>
        <v>288.01629712218823</v>
      </c>
      <c r="AO49" s="101">
        <f>AO45*'R&amp;S - Apparel'!$C$10*'R&amp;S - Apparel'!$B$14*'R&amp;S - Apparel'!$D$17*(AO$3-$D$3)/10</f>
        <v>360.02037140273529</v>
      </c>
      <c r="AP49" s="101">
        <f>AP45*'R&amp;S - Apparel'!$C$10*'R&amp;S - Apparel'!$B$14*'R&amp;S - Apparel'!$D$17*(AP$3-$D$3)/10</f>
        <v>432.02444568328235</v>
      </c>
      <c r="AQ49" s="101">
        <f>AQ45*'R&amp;S - Apparel'!$C$10*'R&amp;S - Apparel'!$B$14*'R&amp;S - Apparel'!$D$17*(AQ$3-$D$3)/10</f>
        <v>504.02851996382941</v>
      </c>
      <c r="AR49" s="101">
        <f>AR45*'R&amp;S - Apparel'!$C$10*'R&amp;S - Apparel'!$B$14*'R&amp;S - Apparel'!$D$17*(AR$3-$D$3)/10</f>
        <v>576.03259424437647</v>
      </c>
      <c r="AS49" s="101">
        <f>AS45*'R&amp;S - Apparel'!$C$10*'R&amp;S - Apparel'!$B$14*'R&amp;S - Apparel'!$D$17*(AS$3-$D$3)/10</f>
        <v>648.03666852492347</v>
      </c>
      <c r="AT49" s="101">
        <f>AT45*'R&amp;S - Apparel'!$C$10*'R&amp;S - Apparel'!$B$14*'R&amp;S - Apparel'!$D$17*(AT$3-$D$3)/10</f>
        <v>720.04074280547059</v>
      </c>
      <c r="AU49" s="101">
        <f>AU45*'R&amp;S - Apparel'!$C$10*'R&amp;S - Apparel'!$B$14*('R&amp;S - Apparel'!$D$17+('R&amp;S - Apparel'!$D$18-'R&amp;S - Apparel'!$D$17)*(AU$3-$N$3)/10)</f>
        <v>792.04481708601759</v>
      </c>
      <c r="AV49" s="101">
        <f>AV45*'R&amp;S - Apparel'!$C$10*'R&amp;S - Apparel'!$B$14*('R&amp;S - Apparel'!$D$17+('R&amp;S - Apparel'!$D$18-'R&amp;S - Apparel'!$D$17)*(AV$3-$N$3)/10)</f>
        <v>864.0488913665647</v>
      </c>
      <c r="AW49" s="101">
        <f>AW45*'R&amp;S - Apparel'!$C$10*'R&amp;S - Apparel'!$B$14*('R&amp;S - Apparel'!$D$17+('R&amp;S - Apparel'!$D$18-'R&amp;S - Apparel'!$D$17)*(AW$3-$N$3)/10)</f>
        <v>936.05296564711182</v>
      </c>
      <c r="AX49" s="101">
        <f>AX45*'R&amp;S - Apparel'!$C$10*'R&amp;S - Apparel'!$B$14*('R&amp;S - Apparel'!$D$17+('R&amp;S - Apparel'!$D$18-'R&amp;S - Apparel'!$D$17)*(AX$3-$N$3)/10)</f>
        <v>1008.0570399276588</v>
      </c>
      <c r="AY49" s="101">
        <f>AY45*'R&amp;S - Apparel'!$C$10*'R&amp;S - Apparel'!$B$14*('R&amp;S - Apparel'!$D$17+('R&amp;S - Apparel'!$D$18-'R&amp;S - Apparel'!$D$17)*(AY$3-$N$3)/10)</f>
        <v>1080.0611142082057</v>
      </c>
      <c r="AZ49" s="101">
        <f>AZ45*'R&amp;S - Apparel'!$C$10*'R&amp;S - Apparel'!$B$14*('R&amp;S - Apparel'!$D$17+('R&amp;S - Apparel'!$D$18-'R&amp;S - Apparel'!$D$17)*(AZ$3-$N$3)/10)</f>
        <v>1152.0651884887529</v>
      </c>
      <c r="BA49" s="101">
        <f>BA45*'R&amp;S - Apparel'!$C$10*'R&amp;S - Apparel'!$B$14*('R&amp;S - Apparel'!$D$17+('R&amp;S - Apparel'!$D$18-'R&amp;S - Apparel'!$D$17)*(BA$3-$N$3)/10)</f>
        <v>1224.0692627692999</v>
      </c>
      <c r="BB49" s="101">
        <f>BB45*'R&amp;S - Apparel'!$C$10*'R&amp;S - Apparel'!$B$14*('R&amp;S - Apparel'!$D$17+('R&amp;S - Apparel'!$D$18-'R&amp;S - Apparel'!$D$17)*(BB$3-$N$3)/10)</f>
        <v>1296.0733370498472</v>
      </c>
      <c r="BC49" s="101">
        <f>BC45*'R&amp;S - Apparel'!$C$10*'R&amp;S - Apparel'!$B$14*('R&amp;S - Apparel'!$D$17+('R&amp;S - Apparel'!$D$18-'R&amp;S - Apparel'!$D$17)*(BC$3-$N$3)/10)</f>
        <v>1368.0774113303939</v>
      </c>
      <c r="BD49" s="101">
        <f>BD45*'R&amp;S - Apparel'!$C$10*'R&amp;S - Apparel'!$B$14*('R&amp;S - Apparel'!$D$17+('R&amp;S - Apparel'!$D$18-'R&amp;S - Apparel'!$D$17)*(BD$3-$N$3)/10)</f>
        <v>1440.0814856109412</v>
      </c>
      <c r="BE49" s="101">
        <f>BE45*'R&amp;S - Apparel'!$C$10*'R&amp;S - Apparel'!$B$14*('R&amp;S - Apparel'!$D$18+('R&amp;S - Apparel'!$D$19-'R&amp;S - Apparel'!$D$18)*(BE$3-$X$3)/10)</f>
        <v>1514.2675015363534</v>
      </c>
      <c r="BF49" s="101">
        <f>BF45*'R&amp;S - Apparel'!$C$10*'R&amp;S - Apparel'!$B$14*('R&amp;S - Apparel'!$D$18+('R&amp;S - Apparel'!$D$19-'R&amp;S - Apparel'!$D$18)*(BF$3-$X$3)/10)</f>
        <v>1588.4535174617652</v>
      </c>
      <c r="BG49" s="101">
        <f>BG45*'R&amp;S - Apparel'!$C$10*'R&amp;S - Apparel'!$B$14*('R&amp;S - Apparel'!$D$18+('R&amp;S - Apparel'!$D$19-'R&amp;S - Apparel'!$D$18)*(BG$3-$X$3)/10)</f>
        <v>1662.6395333871774</v>
      </c>
      <c r="BH49" s="101">
        <f>BH45*'R&amp;S - Apparel'!$C$10*'R&amp;S - Apparel'!$B$14*('R&amp;S - Apparel'!$D$18+('R&amp;S - Apparel'!$D$19-'R&amp;S - Apparel'!$D$18)*(BH$3-$X$3)/10)</f>
        <v>1736.8255493125896</v>
      </c>
      <c r="BI49" s="101">
        <f>BI45*'R&amp;S - Apparel'!$C$10*'R&amp;S - Apparel'!$B$14*('R&amp;S - Apparel'!$D$18+('R&amp;S - Apparel'!$D$19-'R&amp;S - Apparel'!$D$18)*(BI$3-$X$3)/10)</f>
        <v>1811.0115652380018</v>
      </c>
      <c r="BJ49" s="101">
        <f>BJ45*'R&amp;S - Apparel'!$C$10*'R&amp;S - Apparel'!$B$14*('R&amp;S - Apparel'!$D$18+('R&amp;S - Apparel'!$D$19-'R&amp;S - Apparel'!$D$18)*(BJ$3-$X$3)/10)</f>
        <v>1885.197581163414</v>
      </c>
      <c r="BK49" s="101">
        <f>BK45*'R&amp;S - Apparel'!$C$10*'R&amp;S - Apparel'!$B$14*('R&amp;S - Apparel'!$D$18+('R&amp;S - Apparel'!$D$19-'R&amp;S - Apparel'!$D$18)*(BK$3-$X$3)/10)</f>
        <v>1959.383597088826</v>
      </c>
      <c r="BL49" s="101">
        <f>BL45*'R&amp;S - Apparel'!$C$10*'R&amp;S - Apparel'!$B$14*('R&amp;S - Apparel'!$D$18+('R&amp;S - Apparel'!$D$19-'R&amp;S - Apparel'!$D$18)*(BL$3-$X$3)/10)</f>
        <v>2033.5696130142378</v>
      </c>
      <c r="BM49" s="101">
        <f>BM45*'R&amp;S - Apparel'!$C$10*'R&amp;S - Apparel'!$B$14*('R&amp;S - Apparel'!$D$18+('R&amp;S - Apparel'!$D$19-'R&amp;S - Apparel'!$D$18)*(BM$3-$X$3)/10)</f>
        <v>2107.7556289396503</v>
      </c>
      <c r="BN49" s="101">
        <f>BN45*'R&amp;S - Apparel'!$C$10*'R&amp;S - Apparel'!$B$14*('R&amp;S - Apparel'!$D$18+('R&amp;S - Apparel'!$D$19-'R&amp;S - Apparel'!$D$18)*(BN$3-$X$3)/10)</f>
        <v>2181.9416448650622</v>
      </c>
    </row>
    <row r="50" spans="1:66" outlineLevel="1">
      <c r="B50" s="1" t="s">
        <v>195</v>
      </c>
      <c r="C50" s="51" t="s">
        <v>166</v>
      </c>
      <c r="D50" s="591">
        <f>D45-D48-D49</f>
        <v>21819.41644865062</v>
      </c>
      <c r="E50" s="591">
        <f t="shared" ref="E50:AG50" si="39">E45-E48-E49</f>
        <v>21145.196480387316</v>
      </c>
      <c r="F50" s="591">
        <f t="shared" si="39"/>
        <v>20470.976512124013</v>
      </c>
      <c r="G50" s="591">
        <f t="shared" si="39"/>
        <v>19796.756543860709</v>
      </c>
      <c r="H50" s="591">
        <f t="shared" si="39"/>
        <v>19122.536575597402</v>
      </c>
      <c r="I50" s="591">
        <f t="shared" si="39"/>
        <v>18448.316607334098</v>
      </c>
      <c r="J50" s="591">
        <f t="shared" si="39"/>
        <v>17774.096639070794</v>
      </c>
      <c r="K50" s="591">
        <f t="shared" si="39"/>
        <v>17099.876670807491</v>
      </c>
      <c r="L50" s="591">
        <f t="shared" si="39"/>
        <v>16425.656702544187</v>
      </c>
      <c r="M50" s="591">
        <f t="shared" si="39"/>
        <v>15751.436734280882</v>
      </c>
      <c r="N50" s="591">
        <f t="shared" si="39"/>
        <v>15077.216766017578</v>
      </c>
      <c r="O50" s="591">
        <f t="shared" si="39"/>
        <v>14601.553487436995</v>
      </c>
      <c r="P50" s="591">
        <f t="shared" si="39"/>
        <v>14125.89020885641</v>
      </c>
      <c r="Q50" s="591">
        <f t="shared" si="39"/>
        <v>13650.226930275827</v>
      </c>
      <c r="R50" s="591">
        <f t="shared" si="39"/>
        <v>13174.563651695244</v>
      </c>
      <c r="S50" s="591">
        <f t="shared" si="39"/>
        <v>12698.900373114659</v>
      </c>
      <c r="T50" s="591">
        <f t="shared" si="39"/>
        <v>12223.237094534077</v>
      </c>
      <c r="U50" s="591">
        <f t="shared" si="39"/>
        <v>11747.573815953494</v>
      </c>
      <c r="V50" s="591">
        <f t="shared" si="39"/>
        <v>11271.910537372909</v>
      </c>
      <c r="W50" s="591">
        <f t="shared" si="39"/>
        <v>10796.247258792326</v>
      </c>
      <c r="X50" s="591">
        <f t="shared" si="39"/>
        <v>10320.583980211743</v>
      </c>
      <c r="Y50" s="591">
        <f t="shared" si="39"/>
        <v>9746.7333276122299</v>
      </c>
      <c r="Z50" s="591">
        <f t="shared" si="39"/>
        <v>9172.8826750127191</v>
      </c>
      <c r="AA50" s="591">
        <f t="shared" si="39"/>
        <v>8599.0320224132083</v>
      </c>
      <c r="AB50" s="591">
        <f t="shared" si="39"/>
        <v>8025.1813698136957</v>
      </c>
      <c r="AC50" s="591">
        <f t="shared" si="39"/>
        <v>7451.3307172141849</v>
      </c>
      <c r="AD50" s="591">
        <f t="shared" si="39"/>
        <v>6877.4800646146741</v>
      </c>
      <c r="AE50" s="591">
        <f t="shared" si="39"/>
        <v>6303.6294120151633</v>
      </c>
      <c r="AF50" s="591">
        <f t="shared" si="39"/>
        <v>5729.7787594156525</v>
      </c>
      <c r="AG50" s="591">
        <f t="shared" si="39"/>
        <v>5155.9281068161408</v>
      </c>
      <c r="AH50" s="591">
        <f>AH45-AH48-AH49</f>
        <v>4582.07745421663</v>
      </c>
      <c r="AI50" s="191"/>
      <c r="AJ50" s="591">
        <f>AJ45-AJ48-AJ49</f>
        <v>21819.41644865062</v>
      </c>
      <c r="AK50" s="591">
        <f t="shared" ref="AK50:BM50" si="40">AK45-AK48-AK49</f>
        <v>21482.30646451897</v>
      </c>
      <c r="AL50" s="591">
        <f t="shared" si="40"/>
        <v>21145.196480387316</v>
      </c>
      <c r="AM50" s="591">
        <f t="shared" si="40"/>
        <v>20808.086496255662</v>
      </c>
      <c r="AN50" s="591">
        <f t="shared" si="40"/>
        <v>20470.976512124013</v>
      </c>
      <c r="AO50" s="591">
        <f t="shared" si="40"/>
        <v>20133.866527992363</v>
      </c>
      <c r="AP50" s="591">
        <f t="shared" si="40"/>
        <v>19796.756543860709</v>
      </c>
      <c r="AQ50" s="591">
        <f t="shared" si="40"/>
        <v>19459.646559729052</v>
      </c>
      <c r="AR50" s="591">
        <f t="shared" si="40"/>
        <v>19122.536575597402</v>
      </c>
      <c r="AS50" s="591">
        <f t="shared" si="40"/>
        <v>18785.426591465752</v>
      </c>
      <c r="AT50" s="591">
        <f t="shared" si="40"/>
        <v>18448.316607334098</v>
      </c>
      <c r="AU50" s="591">
        <f t="shared" si="40"/>
        <v>18210.484968043806</v>
      </c>
      <c r="AV50" s="591">
        <f t="shared" si="40"/>
        <v>17972.653328753517</v>
      </c>
      <c r="AW50" s="591">
        <f t="shared" si="40"/>
        <v>17734.821689463224</v>
      </c>
      <c r="AX50" s="591">
        <f t="shared" si="40"/>
        <v>17496.990050172932</v>
      </c>
      <c r="AY50" s="591">
        <f t="shared" si="40"/>
        <v>17259.158410882639</v>
      </c>
      <c r="AZ50" s="591">
        <f t="shared" si="40"/>
        <v>17021.32677159235</v>
      </c>
      <c r="BA50" s="591">
        <f t="shared" si="40"/>
        <v>16783.495132302058</v>
      </c>
      <c r="BB50" s="591">
        <f t="shared" si="40"/>
        <v>16545.663493011765</v>
      </c>
      <c r="BC50" s="591">
        <f t="shared" si="40"/>
        <v>16307.831853721471</v>
      </c>
      <c r="BD50" s="591">
        <f t="shared" si="40"/>
        <v>16070.000214431182</v>
      </c>
      <c r="BE50" s="591">
        <f t="shared" si="40"/>
        <v>15783.074888131425</v>
      </c>
      <c r="BF50" s="591">
        <f t="shared" si="40"/>
        <v>15496.149561831668</v>
      </c>
      <c r="BG50" s="591">
        <f t="shared" si="40"/>
        <v>15209.224235531914</v>
      </c>
      <c r="BH50" s="591">
        <f t="shared" si="40"/>
        <v>14922.29890923216</v>
      </c>
      <c r="BI50" s="591">
        <f t="shared" si="40"/>
        <v>14635.373582932403</v>
      </c>
      <c r="BJ50" s="591">
        <f t="shared" si="40"/>
        <v>14348.448256632646</v>
      </c>
      <c r="BK50" s="591">
        <f t="shared" si="40"/>
        <v>14061.522930332891</v>
      </c>
      <c r="BL50" s="591">
        <f t="shared" si="40"/>
        <v>13774.597604033137</v>
      </c>
      <c r="BM50" s="591">
        <f t="shared" si="40"/>
        <v>13487.67227773338</v>
      </c>
      <c r="BN50" s="591">
        <f>BN45-BN48-BN49</f>
        <v>13200.746951433624</v>
      </c>
    </row>
    <row r="51" spans="1:66" s="62" customFormat="1" outlineLevel="1">
      <c r="A51" s="684"/>
      <c r="B51" s="55" t="s">
        <v>88</v>
      </c>
      <c r="C51" s="56" t="s">
        <v>166</v>
      </c>
      <c r="D51" s="639">
        <f>D$50*'R&amp;S - Apparel'!$G$4/SUM('R&amp;S - Apparel'!$G$4:$I$4)</f>
        <v>0</v>
      </c>
      <c r="E51" s="639">
        <f>E$50*'R&amp;S - Apparel'!$G$4/SUM('R&amp;S - Apparel'!$G$4:$I$4)</f>
        <v>0</v>
      </c>
      <c r="F51" s="639">
        <f>F$50*'R&amp;S - Apparel'!$G$4/SUM('R&amp;S - Apparel'!$G$4:$I$4)</f>
        <v>0</v>
      </c>
      <c r="G51" s="639">
        <f>G$50*'R&amp;S - Apparel'!$G$4/SUM('R&amp;S - Apparel'!$G$4:$I$4)</f>
        <v>0</v>
      </c>
      <c r="H51" s="639">
        <f>H$50*'R&amp;S - Apparel'!$G$4/SUM('R&amp;S - Apparel'!$G$4:$I$4)</f>
        <v>0</v>
      </c>
      <c r="I51" s="639">
        <f>I$50*'R&amp;S - Apparel'!$G$4/SUM('R&amp;S - Apparel'!$G$4:$I$4)</f>
        <v>0</v>
      </c>
      <c r="J51" s="639">
        <f>J$50*'R&amp;S - Apparel'!$G$4/SUM('R&amp;S - Apparel'!$G$4:$I$4)</f>
        <v>0</v>
      </c>
      <c r="K51" s="639">
        <f>K$50*'R&amp;S - Apparel'!$G$4/SUM('R&amp;S - Apparel'!$G$4:$I$4)</f>
        <v>0</v>
      </c>
      <c r="L51" s="639">
        <f>L$50*'R&amp;S - Apparel'!$G$4/SUM('R&amp;S - Apparel'!$G$4:$I$4)</f>
        <v>0</v>
      </c>
      <c r="M51" s="639">
        <f>M$50*'R&amp;S - Apparel'!$G$4/SUM('R&amp;S - Apparel'!$G$4:$I$4)</f>
        <v>0</v>
      </c>
      <c r="N51" s="639">
        <f>N$50*'R&amp;S - Apparel'!$G$4/SUM('R&amp;S - Apparel'!$G$4:$I$4)</f>
        <v>0</v>
      </c>
      <c r="O51" s="639">
        <f>O$50*'R&amp;S - Apparel'!$G$4/SUM('R&amp;S - Apparel'!$G$4:$I$4)</f>
        <v>0</v>
      </c>
      <c r="P51" s="639">
        <f>P$50*'R&amp;S - Apparel'!$G$4/SUM('R&amp;S - Apparel'!$G$4:$I$4)</f>
        <v>0</v>
      </c>
      <c r="Q51" s="639">
        <f>Q$50*'R&amp;S - Apparel'!$G$4/SUM('R&amp;S - Apparel'!$G$4:$I$4)</f>
        <v>0</v>
      </c>
      <c r="R51" s="639">
        <f>R$50*'R&amp;S - Apparel'!$G$4/SUM('R&amp;S - Apparel'!$G$4:$I$4)</f>
        <v>0</v>
      </c>
      <c r="S51" s="639">
        <f>S$50*'R&amp;S - Apparel'!$G$4/SUM('R&amp;S - Apparel'!$G$4:$I$4)</f>
        <v>0</v>
      </c>
      <c r="T51" s="639">
        <f>T$50*'R&amp;S - Apparel'!$G$4/SUM('R&amp;S - Apparel'!$G$4:$I$4)</f>
        <v>0</v>
      </c>
      <c r="U51" s="639">
        <f>U$50*'R&amp;S - Apparel'!$G$4/SUM('R&amp;S - Apparel'!$G$4:$I$4)</f>
        <v>0</v>
      </c>
      <c r="V51" s="639">
        <f>V$50*'R&amp;S - Apparel'!$G$4/SUM('R&amp;S - Apparel'!$G$4:$I$4)</f>
        <v>0</v>
      </c>
      <c r="W51" s="639">
        <f>W$50*'R&amp;S - Apparel'!$G$4/SUM('R&amp;S - Apparel'!$G$4:$I$4)</f>
        <v>0</v>
      </c>
      <c r="X51" s="639">
        <f>X$50*'R&amp;S - Apparel'!$G$4/SUM('R&amp;S - Apparel'!$G$4:$I$4)</f>
        <v>0</v>
      </c>
      <c r="Y51" s="639">
        <f>Y$50*'R&amp;S - Apparel'!$G$4/SUM('R&amp;S - Apparel'!$G$4:$I$4)</f>
        <v>0</v>
      </c>
      <c r="Z51" s="639">
        <f>Z$50*'R&amp;S - Apparel'!$G$4/SUM('R&amp;S - Apparel'!$G$4:$I$4)</f>
        <v>0</v>
      </c>
      <c r="AA51" s="639">
        <f>AA$50*'R&amp;S - Apparel'!$G$4/SUM('R&amp;S - Apparel'!$G$4:$I$4)</f>
        <v>0</v>
      </c>
      <c r="AB51" s="639">
        <f>AB$50*'R&amp;S - Apparel'!$G$4/SUM('R&amp;S - Apparel'!$G$4:$I$4)</f>
        <v>0</v>
      </c>
      <c r="AC51" s="639">
        <f>AC$50*'R&amp;S - Apparel'!$G$4/SUM('R&amp;S - Apparel'!$G$4:$I$4)</f>
        <v>0</v>
      </c>
      <c r="AD51" s="639">
        <f>AD$50*'R&amp;S - Apparel'!$G$4/SUM('R&amp;S - Apparel'!$G$4:$I$4)</f>
        <v>0</v>
      </c>
      <c r="AE51" s="639">
        <f>AE$50*'R&amp;S - Apparel'!$G$4/SUM('R&amp;S - Apparel'!$G$4:$I$4)</f>
        <v>0</v>
      </c>
      <c r="AF51" s="639">
        <f>AF$50*'R&amp;S - Apparel'!$G$4/SUM('R&amp;S - Apparel'!$G$4:$I$4)</f>
        <v>0</v>
      </c>
      <c r="AG51" s="639">
        <f>AG$50*'R&amp;S - Apparel'!$G$4/SUM('R&amp;S - Apparel'!$G$4:$I$4)</f>
        <v>0</v>
      </c>
      <c r="AH51" s="639">
        <f>AH$50*'R&amp;S - Apparel'!$G$4/SUM('R&amp;S - Apparel'!$G$4:$I$4)</f>
        <v>0</v>
      </c>
      <c r="AI51" s="639"/>
      <c r="AJ51" s="639">
        <f>AJ$50*'R&amp;S - Apparel'!$G$4/SUM('R&amp;S - Apparel'!$G$4:$I$4)</f>
        <v>0</v>
      </c>
      <c r="AK51" s="639">
        <f>AK$50*'R&amp;S - Apparel'!$G$4/SUM('R&amp;S - Apparel'!$G$4:$I$4)</f>
        <v>0</v>
      </c>
      <c r="AL51" s="639">
        <f>AL$50*'R&amp;S - Apparel'!$G$4/SUM('R&amp;S - Apparel'!$G$4:$I$4)</f>
        <v>0</v>
      </c>
      <c r="AM51" s="639">
        <f>AM$50*'R&amp;S - Apparel'!$G$4/SUM('R&amp;S - Apparel'!$G$4:$I$4)</f>
        <v>0</v>
      </c>
      <c r="AN51" s="639">
        <f>AN$50*'R&amp;S - Apparel'!$G$4/SUM('R&amp;S - Apparel'!$G$4:$I$4)</f>
        <v>0</v>
      </c>
      <c r="AO51" s="639">
        <f>AO$50*'R&amp;S - Apparel'!$G$4/SUM('R&amp;S - Apparel'!$G$4:$I$4)</f>
        <v>0</v>
      </c>
      <c r="AP51" s="639">
        <f>AP$50*'R&amp;S - Apparel'!$G$4/SUM('R&amp;S - Apparel'!$G$4:$I$4)</f>
        <v>0</v>
      </c>
      <c r="AQ51" s="639">
        <f>AQ$50*'R&amp;S - Apparel'!$G$4/SUM('R&amp;S - Apparel'!$G$4:$I$4)</f>
        <v>0</v>
      </c>
      <c r="AR51" s="639">
        <f>AR$50*'R&amp;S - Apparel'!$G$4/SUM('R&amp;S - Apparel'!$G$4:$I$4)</f>
        <v>0</v>
      </c>
      <c r="AS51" s="639">
        <f>AS$50*'R&amp;S - Apparel'!$G$4/SUM('R&amp;S - Apparel'!$G$4:$I$4)</f>
        <v>0</v>
      </c>
      <c r="AT51" s="639">
        <f>AT$50*'R&amp;S - Apparel'!$G$4/SUM('R&amp;S - Apparel'!$G$4:$I$4)</f>
        <v>0</v>
      </c>
      <c r="AU51" s="639">
        <f>AU$50*'R&amp;S - Apparel'!$G$4/SUM('R&amp;S - Apparel'!$G$4:$I$4)</f>
        <v>0</v>
      </c>
      <c r="AV51" s="639">
        <f>AV$50*'R&amp;S - Apparel'!$G$4/SUM('R&amp;S - Apparel'!$G$4:$I$4)</f>
        <v>0</v>
      </c>
      <c r="AW51" s="639">
        <f>AW$50*'R&amp;S - Apparel'!$G$4/SUM('R&amp;S - Apparel'!$G$4:$I$4)</f>
        <v>0</v>
      </c>
      <c r="AX51" s="639">
        <f>AX$50*'R&amp;S - Apparel'!$G$4/SUM('R&amp;S - Apparel'!$G$4:$I$4)</f>
        <v>0</v>
      </c>
      <c r="AY51" s="639">
        <f>AY$50*'R&amp;S - Apparel'!$G$4/SUM('R&amp;S - Apparel'!$G$4:$I$4)</f>
        <v>0</v>
      </c>
      <c r="AZ51" s="639">
        <f>AZ$50*'R&amp;S - Apparel'!$G$4/SUM('R&amp;S - Apparel'!$G$4:$I$4)</f>
        <v>0</v>
      </c>
      <c r="BA51" s="639">
        <f>BA$50*'R&amp;S - Apparel'!$G$4/SUM('R&amp;S - Apparel'!$G$4:$I$4)</f>
        <v>0</v>
      </c>
      <c r="BB51" s="639">
        <f>BB$50*'R&amp;S - Apparel'!$G$4/SUM('R&amp;S - Apparel'!$G$4:$I$4)</f>
        <v>0</v>
      </c>
      <c r="BC51" s="639">
        <f>BC$50*'R&amp;S - Apparel'!$G$4/SUM('R&amp;S - Apparel'!$G$4:$I$4)</f>
        <v>0</v>
      </c>
      <c r="BD51" s="639">
        <f>BD$50*'R&amp;S - Apparel'!$G$4/SUM('R&amp;S - Apparel'!$G$4:$I$4)</f>
        <v>0</v>
      </c>
      <c r="BE51" s="639">
        <f>BE$50*'R&amp;S - Apparel'!$G$4/SUM('R&amp;S - Apparel'!$G$4:$I$4)</f>
        <v>0</v>
      </c>
      <c r="BF51" s="639">
        <f>BF$50*'R&amp;S - Apparel'!$G$4/SUM('R&amp;S - Apparel'!$G$4:$I$4)</f>
        <v>0</v>
      </c>
      <c r="BG51" s="639">
        <f>BG$50*'R&amp;S - Apparel'!$G$4/SUM('R&amp;S - Apparel'!$G$4:$I$4)</f>
        <v>0</v>
      </c>
      <c r="BH51" s="639">
        <f>BH$50*'R&amp;S - Apparel'!$G$4/SUM('R&amp;S - Apparel'!$G$4:$I$4)</f>
        <v>0</v>
      </c>
      <c r="BI51" s="639">
        <f>BI$50*'R&amp;S - Apparel'!$G$4/SUM('R&amp;S - Apparel'!$G$4:$I$4)</f>
        <v>0</v>
      </c>
      <c r="BJ51" s="639">
        <f>BJ$50*'R&amp;S - Apparel'!$G$4/SUM('R&amp;S - Apparel'!$G$4:$I$4)</f>
        <v>0</v>
      </c>
      <c r="BK51" s="639">
        <f>BK$50*'R&amp;S - Apparel'!$G$4/SUM('R&amp;S - Apparel'!$G$4:$I$4)</f>
        <v>0</v>
      </c>
      <c r="BL51" s="639">
        <f>BL$50*'R&amp;S - Apparel'!$G$4/SUM('R&amp;S - Apparel'!$G$4:$I$4)</f>
        <v>0</v>
      </c>
      <c r="BM51" s="639">
        <f>BM$50*'R&amp;S - Apparel'!$G$4/SUM('R&amp;S - Apparel'!$G$4:$I$4)</f>
        <v>0</v>
      </c>
      <c r="BN51" s="639">
        <f>BN$50*'R&amp;S - Apparel'!$G$4/SUM('R&amp;S - Apparel'!$G$4:$I$4)</f>
        <v>0</v>
      </c>
    </row>
    <row r="52" spans="1:66" outlineLevel="1">
      <c r="A52" s="685"/>
      <c r="B52" s="1" t="s">
        <v>797</v>
      </c>
      <c r="C52" s="51" t="s">
        <v>166</v>
      </c>
      <c r="D52" s="635">
        <f>D$50*'R&amp;S - Apparel'!$H$4/SUM('R&amp;S - Apparel'!$G$4:$I$4)</f>
        <v>2047.0756011223905</v>
      </c>
      <c r="E52" s="635">
        <f>E$50*'R&amp;S - Apparel'!$H$4/SUM('R&amp;S - Apparel'!$G$4:$I$4)</f>
        <v>1983.8209650477088</v>
      </c>
      <c r="F52" s="635">
        <f>F$50*'R&amp;S - Apparel'!$H$4/SUM('R&amp;S - Apparel'!$G$4:$I$4)</f>
        <v>1920.5663289730269</v>
      </c>
      <c r="G52" s="635">
        <f>G$50*'R&amp;S - Apparel'!$H$4/SUM('R&amp;S - Apparel'!$G$4:$I$4)</f>
        <v>1857.3116928983452</v>
      </c>
      <c r="H52" s="635">
        <f>H$50*'R&amp;S - Apparel'!$H$4/SUM('R&amp;S - Apparel'!$G$4:$I$4)</f>
        <v>1794.0570568236628</v>
      </c>
      <c r="I52" s="635">
        <f>I$50*'R&amp;S - Apparel'!$H$4/SUM('R&amp;S - Apparel'!$G$4:$I$4)</f>
        <v>1730.8024207489811</v>
      </c>
      <c r="J52" s="635">
        <f>J$50*'R&amp;S - Apparel'!$H$4/SUM('R&amp;S - Apparel'!$G$4:$I$4)</f>
        <v>1667.5477846742992</v>
      </c>
      <c r="K52" s="635">
        <f>K$50*'R&amp;S - Apparel'!$H$4/SUM('R&amp;S - Apparel'!$G$4:$I$4)</f>
        <v>1604.2931485996173</v>
      </c>
      <c r="L52" s="635">
        <f>L$50*'R&amp;S - Apparel'!$H$4/SUM('R&amp;S - Apparel'!$G$4:$I$4)</f>
        <v>1541.0385125249356</v>
      </c>
      <c r="M52" s="635">
        <f>M$50*'R&amp;S - Apparel'!$H$4/SUM('R&amp;S - Apparel'!$G$4:$I$4)</f>
        <v>1477.7838764502535</v>
      </c>
      <c r="N52" s="635">
        <f>N$50*'R&amp;S - Apparel'!$H$4/SUM('R&amp;S - Apparel'!$G$4:$I$4)</f>
        <v>1414.5292403755718</v>
      </c>
      <c r="O52" s="635">
        <f>O$50*'R&amp;S - Apparel'!$H$4/SUM('R&amp;S - Apparel'!$G$4:$I$4)</f>
        <v>1369.9029922711038</v>
      </c>
      <c r="P52" s="635">
        <f>P$50*'R&amp;S - Apparel'!$H$4/SUM('R&amp;S - Apparel'!$G$4:$I$4)</f>
        <v>1325.2767441666356</v>
      </c>
      <c r="Q52" s="635">
        <f>Q$50*'R&amp;S - Apparel'!$H$4/SUM('R&amp;S - Apparel'!$G$4:$I$4)</f>
        <v>1280.6504960621673</v>
      </c>
      <c r="R52" s="635">
        <f>R$50*'R&amp;S - Apparel'!$H$4/SUM('R&amp;S - Apparel'!$G$4:$I$4)</f>
        <v>1236.0242479576993</v>
      </c>
      <c r="S52" s="635">
        <f>S$50*'R&amp;S - Apparel'!$H$4/SUM('R&amp;S - Apparel'!$G$4:$I$4)</f>
        <v>1191.3979998532311</v>
      </c>
      <c r="T52" s="635">
        <f>T$50*'R&amp;S - Apparel'!$H$4/SUM('R&amp;S - Apparel'!$G$4:$I$4)</f>
        <v>1146.7717517487631</v>
      </c>
      <c r="U52" s="635">
        <f>U$50*'R&amp;S - Apparel'!$H$4/SUM('R&amp;S - Apparel'!$G$4:$I$4)</f>
        <v>1102.1455036442951</v>
      </c>
      <c r="V52" s="635">
        <f>V$50*'R&amp;S - Apparel'!$H$4/SUM('R&amp;S - Apparel'!$G$4:$I$4)</f>
        <v>1057.5192555398269</v>
      </c>
      <c r="W52" s="635">
        <f>W$50*'R&amp;S - Apparel'!$H$4/SUM('R&amp;S - Apparel'!$G$4:$I$4)</f>
        <v>1012.8930074353588</v>
      </c>
      <c r="X52" s="635">
        <f>X$50*'R&amp;S - Apparel'!$H$4/SUM('R&amp;S - Apparel'!$G$4:$I$4)</f>
        <v>968.26675933089064</v>
      </c>
      <c r="Y52" s="635">
        <f>Y$50*'R&amp;S - Apparel'!$H$4/SUM('R&amp;S - Apparel'!$G$4:$I$4)</f>
        <v>914.42867102137166</v>
      </c>
      <c r="Z52" s="635">
        <f>Z$50*'R&amp;S - Apparel'!$H$4/SUM('R&amp;S - Apparel'!$G$4:$I$4)</f>
        <v>860.5905827118529</v>
      </c>
      <c r="AA52" s="635">
        <f>AA$50*'R&amp;S - Apparel'!$H$4/SUM('R&amp;S - Apparel'!$G$4:$I$4)</f>
        <v>806.75249440233392</v>
      </c>
      <c r="AB52" s="635">
        <f>AB$50*'R&amp;S - Apparel'!$H$4/SUM('R&amp;S - Apparel'!$G$4:$I$4)</f>
        <v>752.91440609281506</v>
      </c>
      <c r="AC52" s="635">
        <f>AC$50*'R&amp;S - Apparel'!$H$4/SUM('R&amp;S - Apparel'!$G$4:$I$4)</f>
        <v>699.07631778329619</v>
      </c>
      <c r="AD52" s="635">
        <f>AD$50*'R&amp;S - Apparel'!$H$4/SUM('R&amp;S - Apparel'!$G$4:$I$4)</f>
        <v>645.23822947377732</v>
      </c>
      <c r="AE52" s="635">
        <f>AE$50*'R&amp;S - Apparel'!$H$4/SUM('R&amp;S - Apparel'!$G$4:$I$4)</f>
        <v>591.40014116425857</v>
      </c>
      <c r="AF52" s="635">
        <f>AF$50*'R&amp;S - Apparel'!$H$4/SUM('R&amp;S - Apparel'!$G$4:$I$4)</f>
        <v>537.5620528547397</v>
      </c>
      <c r="AG52" s="635">
        <f>AG$50*'R&amp;S - Apparel'!$H$4/SUM('R&amp;S - Apparel'!$G$4:$I$4)</f>
        <v>483.72396454522084</v>
      </c>
      <c r="AH52" s="635">
        <f>AH$50*'R&amp;S - Apparel'!$H$4/SUM('R&amp;S - Apparel'!$G$4:$I$4)</f>
        <v>429.88587623570197</v>
      </c>
      <c r="AI52" s="635"/>
      <c r="AJ52" s="635">
        <f>AJ$50*'R&amp;S - Apparel'!$H$4/SUM('R&amp;S - Apparel'!$G$4:$I$4)</f>
        <v>2047.0756011223905</v>
      </c>
      <c r="AK52" s="635">
        <f>AK$50*'R&amp;S - Apparel'!$H$4/SUM('R&amp;S - Apparel'!$G$4:$I$4)</f>
        <v>2015.4482830850498</v>
      </c>
      <c r="AL52" s="635">
        <f>AL$50*'R&amp;S - Apparel'!$H$4/SUM('R&amp;S - Apparel'!$G$4:$I$4)</f>
        <v>1983.8209650477088</v>
      </c>
      <c r="AM52" s="635">
        <f>AM$50*'R&amp;S - Apparel'!$H$4/SUM('R&amp;S - Apparel'!$G$4:$I$4)</f>
        <v>1952.1936470103676</v>
      </c>
      <c r="AN52" s="635">
        <f>AN$50*'R&amp;S - Apparel'!$H$4/SUM('R&amp;S - Apparel'!$G$4:$I$4)</f>
        <v>1920.5663289730269</v>
      </c>
      <c r="AO52" s="635">
        <f>AO$50*'R&amp;S - Apparel'!$H$4/SUM('R&amp;S - Apparel'!$G$4:$I$4)</f>
        <v>1888.9390109356862</v>
      </c>
      <c r="AP52" s="635">
        <f>AP$50*'R&amp;S - Apparel'!$H$4/SUM('R&amp;S - Apparel'!$G$4:$I$4)</f>
        <v>1857.3116928983452</v>
      </c>
      <c r="AQ52" s="635">
        <f>AQ$50*'R&amp;S - Apparel'!$H$4/SUM('R&amp;S - Apparel'!$G$4:$I$4)</f>
        <v>1825.6843748610036</v>
      </c>
      <c r="AR52" s="635">
        <f>AR$50*'R&amp;S - Apparel'!$H$4/SUM('R&amp;S - Apparel'!$G$4:$I$4)</f>
        <v>1794.0570568236628</v>
      </c>
      <c r="AS52" s="635">
        <f>AS$50*'R&amp;S - Apparel'!$H$4/SUM('R&amp;S - Apparel'!$G$4:$I$4)</f>
        <v>1762.4297387863221</v>
      </c>
      <c r="AT52" s="635">
        <f>AT$50*'R&amp;S - Apparel'!$H$4/SUM('R&amp;S - Apparel'!$G$4:$I$4)</f>
        <v>1730.8024207489811</v>
      </c>
      <c r="AU52" s="635">
        <f>AU$50*'R&amp;S - Apparel'!$H$4/SUM('R&amp;S - Apparel'!$G$4:$I$4)</f>
        <v>1708.4892966967468</v>
      </c>
      <c r="AV52" s="635">
        <f>AV$50*'R&amp;S - Apparel'!$H$4/SUM('R&amp;S - Apparel'!$G$4:$I$4)</f>
        <v>1686.1761726445131</v>
      </c>
      <c r="AW52" s="635">
        <f>AW$50*'R&amp;S - Apparel'!$H$4/SUM('R&amp;S - Apparel'!$G$4:$I$4)</f>
        <v>1663.8630485922793</v>
      </c>
      <c r="AX52" s="635">
        <f>AX$50*'R&amp;S - Apparel'!$H$4/SUM('R&amp;S - Apparel'!$G$4:$I$4)</f>
        <v>1641.5499245400449</v>
      </c>
      <c r="AY52" s="635">
        <f>AY$50*'R&amp;S - Apparel'!$H$4/SUM('R&amp;S - Apparel'!$G$4:$I$4)</f>
        <v>1619.2368004878108</v>
      </c>
      <c r="AZ52" s="635">
        <f>AZ$50*'R&amp;S - Apparel'!$H$4/SUM('R&amp;S - Apparel'!$G$4:$I$4)</f>
        <v>1596.9236764355769</v>
      </c>
      <c r="BA52" s="635">
        <f>BA$50*'R&amp;S - Apparel'!$H$4/SUM('R&amp;S - Apparel'!$G$4:$I$4)</f>
        <v>1574.6105523833428</v>
      </c>
      <c r="BB52" s="635">
        <f>BB$50*'R&amp;S - Apparel'!$H$4/SUM('R&amp;S - Apparel'!$G$4:$I$4)</f>
        <v>1552.2974283311089</v>
      </c>
      <c r="BC52" s="635">
        <f>BC$50*'R&amp;S - Apparel'!$H$4/SUM('R&amp;S - Apparel'!$G$4:$I$4)</f>
        <v>1529.9843042788746</v>
      </c>
      <c r="BD52" s="635">
        <f>BD$50*'R&amp;S - Apparel'!$H$4/SUM('R&amp;S - Apparel'!$G$4:$I$4)</f>
        <v>1507.6711802266407</v>
      </c>
      <c r="BE52" s="635">
        <f>BE$50*'R&amp;S - Apparel'!$H$4/SUM('R&amp;S - Apparel'!$G$4:$I$4)</f>
        <v>1480.7521360718811</v>
      </c>
      <c r="BF52" s="635">
        <f>BF$50*'R&amp;S - Apparel'!$H$4/SUM('R&amp;S - Apparel'!$G$4:$I$4)</f>
        <v>1453.8330919171215</v>
      </c>
      <c r="BG52" s="635">
        <f>BG$50*'R&amp;S - Apparel'!$H$4/SUM('R&amp;S - Apparel'!$G$4:$I$4)</f>
        <v>1426.9140477623623</v>
      </c>
      <c r="BH52" s="635">
        <f>BH$50*'R&amp;S - Apparel'!$H$4/SUM('R&amp;S - Apparel'!$G$4:$I$4)</f>
        <v>1399.9950036076029</v>
      </c>
      <c r="BI52" s="635">
        <f>BI$50*'R&amp;S - Apparel'!$H$4/SUM('R&amp;S - Apparel'!$G$4:$I$4)</f>
        <v>1373.0759594528433</v>
      </c>
      <c r="BJ52" s="635">
        <f>BJ$50*'R&amp;S - Apparel'!$H$4/SUM('R&amp;S - Apparel'!$G$4:$I$4)</f>
        <v>1346.156915298084</v>
      </c>
      <c r="BK52" s="635">
        <f>BK$50*'R&amp;S - Apparel'!$H$4/SUM('R&amp;S - Apparel'!$G$4:$I$4)</f>
        <v>1319.2378711433246</v>
      </c>
      <c r="BL52" s="635">
        <f>BL$50*'R&amp;S - Apparel'!$H$4/SUM('R&amp;S - Apparel'!$G$4:$I$4)</f>
        <v>1292.3188269885652</v>
      </c>
      <c r="BM52" s="635">
        <f>BM$50*'R&amp;S - Apparel'!$H$4/SUM('R&amp;S - Apparel'!$G$4:$I$4)</f>
        <v>1265.3997828338056</v>
      </c>
      <c r="BN52" s="635">
        <f>BN$50*'R&amp;S - Apparel'!$H$4/SUM('R&amp;S - Apparel'!$G$4:$I$4)</f>
        <v>1238.4807386790462</v>
      </c>
    </row>
    <row r="53" spans="1:66" s="63" customFormat="1" outlineLevel="1">
      <c r="A53" s="686"/>
      <c r="B53" s="59" t="s">
        <v>1301</v>
      </c>
      <c r="C53" s="262" t="s">
        <v>166</v>
      </c>
      <c r="D53" s="638">
        <f>D$50*'R&amp;S - Apparel'!$I$4/SUM('R&amp;S - Apparel'!$G$4:$I$4)</f>
        <v>19772.34084752823</v>
      </c>
      <c r="E53" s="638">
        <f>E$50*'R&amp;S - Apparel'!$I$4/SUM('R&amp;S - Apparel'!$G$4:$I$4)</f>
        <v>19161.375515339609</v>
      </c>
      <c r="F53" s="638">
        <f>F$50*'R&amp;S - Apparel'!$I$4/SUM('R&amp;S - Apparel'!$G$4:$I$4)</f>
        <v>18550.410183150987</v>
      </c>
      <c r="G53" s="638">
        <f>G$50*'R&amp;S - Apparel'!$I$4/SUM('R&amp;S - Apparel'!$G$4:$I$4)</f>
        <v>17939.444850962365</v>
      </c>
      <c r="H53" s="638">
        <f>H$50*'R&amp;S - Apparel'!$I$4/SUM('R&amp;S - Apparel'!$G$4:$I$4)</f>
        <v>17328.47951877374</v>
      </c>
      <c r="I53" s="638">
        <f>I$50*'R&amp;S - Apparel'!$I$4/SUM('R&amp;S - Apparel'!$G$4:$I$4)</f>
        <v>16717.514186585118</v>
      </c>
      <c r="J53" s="638">
        <f>J$50*'R&amp;S - Apparel'!$I$4/SUM('R&amp;S - Apparel'!$G$4:$I$4)</f>
        <v>16106.548854396497</v>
      </c>
      <c r="K53" s="638">
        <f>K$50*'R&amp;S - Apparel'!$I$4/SUM('R&amp;S - Apparel'!$G$4:$I$4)</f>
        <v>15495.583522207875</v>
      </c>
      <c r="L53" s="638">
        <f>L$50*'R&amp;S - Apparel'!$I$4/SUM('R&amp;S - Apparel'!$G$4:$I$4)</f>
        <v>14884.618190019251</v>
      </c>
      <c r="M53" s="638">
        <f>M$50*'R&amp;S - Apparel'!$I$4/SUM('R&amp;S - Apparel'!$G$4:$I$4)</f>
        <v>14273.65285783063</v>
      </c>
      <c r="N53" s="638">
        <f>N$50*'R&amp;S - Apparel'!$I$4/SUM('R&amp;S - Apparel'!$G$4:$I$4)</f>
        <v>13662.687525642006</v>
      </c>
      <c r="O53" s="638">
        <f>O$50*'R&amp;S - Apparel'!$I$4/SUM('R&amp;S - Apparel'!$G$4:$I$4)</f>
        <v>13231.650495165892</v>
      </c>
      <c r="P53" s="638">
        <f>P$50*'R&amp;S - Apparel'!$I$4/SUM('R&amp;S - Apparel'!$G$4:$I$4)</f>
        <v>12800.613464689775</v>
      </c>
      <c r="Q53" s="638">
        <f>Q$50*'R&amp;S - Apparel'!$I$4/SUM('R&amp;S - Apparel'!$G$4:$I$4)</f>
        <v>12369.576434213659</v>
      </c>
      <c r="R53" s="638">
        <f>R$50*'R&amp;S - Apparel'!$I$4/SUM('R&amp;S - Apparel'!$G$4:$I$4)</f>
        <v>11938.539403737544</v>
      </c>
      <c r="S53" s="638">
        <f>S$50*'R&amp;S - Apparel'!$I$4/SUM('R&amp;S - Apparel'!$G$4:$I$4)</f>
        <v>11507.502373261428</v>
      </c>
      <c r="T53" s="638">
        <f>T$50*'R&amp;S - Apparel'!$I$4/SUM('R&amp;S - Apparel'!$G$4:$I$4)</f>
        <v>11076.465342785314</v>
      </c>
      <c r="U53" s="638">
        <f>U$50*'R&amp;S - Apparel'!$I$4/SUM('R&amp;S - Apparel'!$G$4:$I$4)</f>
        <v>10645.428312309201</v>
      </c>
      <c r="V53" s="638">
        <f>V$50*'R&amp;S - Apparel'!$I$4/SUM('R&amp;S - Apparel'!$G$4:$I$4)</f>
        <v>10214.391281833083</v>
      </c>
      <c r="W53" s="638">
        <f>W$50*'R&amp;S - Apparel'!$I$4/SUM('R&amp;S - Apparel'!$G$4:$I$4)</f>
        <v>9783.3542513569682</v>
      </c>
      <c r="X53" s="638">
        <f>X$50*'R&amp;S - Apparel'!$I$4/SUM('R&amp;S - Apparel'!$G$4:$I$4)</f>
        <v>9352.3172208808519</v>
      </c>
      <c r="Y53" s="638">
        <f>Y$50*'R&amp;S - Apparel'!$I$4/SUM('R&amp;S - Apparel'!$G$4:$I$4)</f>
        <v>8832.3046565908589</v>
      </c>
      <c r="Z53" s="638">
        <f>Z$50*'R&amp;S - Apparel'!$I$4/SUM('R&amp;S - Apparel'!$G$4:$I$4)</f>
        <v>8312.2920923008678</v>
      </c>
      <c r="AA53" s="638">
        <f>AA$50*'R&amp;S - Apparel'!$I$4/SUM('R&amp;S - Apparel'!$G$4:$I$4)</f>
        <v>7792.2795280108749</v>
      </c>
      <c r="AB53" s="638">
        <f>AB$50*'R&amp;S - Apparel'!$I$4/SUM('R&amp;S - Apparel'!$G$4:$I$4)</f>
        <v>7272.2669637208819</v>
      </c>
      <c r="AC53" s="638">
        <f>AC$50*'R&amp;S - Apparel'!$I$4/SUM('R&amp;S - Apparel'!$G$4:$I$4)</f>
        <v>6752.2543994308899</v>
      </c>
      <c r="AD53" s="638">
        <f>AD$50*'R&amp;S - Apparel'!$I$4/SUM('R&amp;S - Apparel'!$G$4:$I$4)</f>
        <v>6232.2418351408978</v>
      </c>
      <c r="AE53" s="638">
        <f>AE$50*'R&amp;S - Apparel'!$I$4/SUM('R&amp;S - Apparel'!$G$4:$I$4)</f>
        <v>5712.2292708509049</v>
      </c>
      <c r="AF53" s="638">
        <f>AF$50*'R&amp;S - Apparel'!$I$4/SUM('R&amp;S - Apparel'!$G$4:$I$4)</f>
        <v>5192.2167065609128</v>
      </c>
      <c r="AG53" s="638">
        <f>AG$50*'R&amp;S - Apparel'!$I$4/SUM('R&amp;S - Apparel'!$G$4:$I$4)</f>
        <v>4672.2041422709199</v>
      </c>
      <c r="AH53" s="638">
        <f>AH$50*'R&amp;S - Apparel'!$I$4/SUM('R&amp;S - Apparel'!$G$4:$I$4)</f>
        <v>4152.1915779809278</v>
      </c>
      <c r="AI53" s="638"/>
      <c r="AJ53" s="638">
        <f>AJ$50*'R&amp;S - Apparel'!$I$4/SUM('R&amp;S - Apparel'!$G$4:$I$4)</f>
        <v>19772.34084752823</v>
      </c>
      <c r="AK53" s="638">
        <f>AK$50*'R&amp;S - Apparel'!$I$4/SUM('R&amp;S - Apparel'!$G$4:$I$4)</f>
        <v>19466.858181433923</v>
      </c>
      <c r="AL53" s="638">
        <f>AL$50*'R&amp;S - Apparel'!$I$4/SUM('R&amp;S - Apparel'!$G$4:$I$4)</f>
        <v>19161.375515339609</v>
      </c>
      <c r="AM53" s="638">
        <f>AM$50*'R&amp;S - Apparel'!$I$4/SUM('R&amp;S - Apparel'!$G$4:$I$4)</f>
        <v>18855.892849245294</v>
      </c>
      <c r="AN53" s="638">
        <f>AN$50*'R&amp;S - Apparel'!$I$4/SUM('R&amp;S - Apparel'!$G$4:$I$4)</f>
        <v>18550.410183150987</v>
      </c>
      <c r="AO53" s="638">
        <f>AO$50*'R&amp;S - Apparel'!$I$4/SUM('R&amp;S - Apparel'!$G$4:$I$4)</f>
        <v>18244.927517056676</v>
      </c>
      <c r="AP53" s="638">
        <f>AP$50*'R&amp;S - Apparel'!$I$4/SUM('R&amp;S - Apparel'!$G$4:$I$4)</f>
        <v>17939.444850962365</v>
      </c>
      <c r="AQ53" s="638">
        <f>AQ$50*'R&amp;S - Apparel'!$I$4/SUM('R&amp;S - Apparel'!$G$4:$I$4)</f>
        <v>17633.962184868047</v>
      </c>
      <c r="AR53" s="638">
        <f>AR$50*'R&amp;S - Apparel'!$I$4/SUM('R&amp;S - Apparel'!$G$4:$I$4)</f>
        <v>17328.47951877374</v>
      </c>
      <c r="AS53" s="638">
        <f>AS$50*'R&amp;S - Apparel'!$I$4/SUM('R&amp;S - Apparel'!$G$4:$I$4)</f>
        <v>17022.996852679429</v>
      </c>
      <c r="AT53" s="638">
        <f>AT$50*'R&amp;S - Apparel'!$I$4/SUM('R&amp;S - Apparel'!$G$4:$I$4)</f>
        <v>16717.514186585118</v>
      </c>
      <c r="AU53" s="638">
        <f>AU$50*'R&amp;S - Apparel'!$I$4/SUM('R&amp;S - Apparel'!$G$4:$I$4)</f>
        <v>16501.99567134706</v>
      </c>
      <c r="AV53" s="638">
        <f>AV$50*'R&amp;S - Apparel'!$I$4/SUM('R&amp;S - Apparel'!$G$4:$I$4)</f>
        <v>16286.477156109006</v>
      </c>
      <c r="AW53" s="638">
        <f>AW$50*'R&amp;S - Apparel'!$I$4/SUM('R&amp;S - Apparel'!$G$4:$I$4)</f>
        <v>16070.958640870946</v>
      </c>
      <c r="AX53" s="638">
        <f>AX$50*'R&amp;S - Apparel'!$I$4/SUM('R&amp;S - Apparel'!$G$4:$I$4)</f>
        <v>15855.440125632889</v>
      </c>
      <c r="AY53" s="638">
        <f>AY$50*'R&amp;S - Apparel'!$I$4/SUM('R&amp;S - Apparel'!$G$4:$I$4)</f>
        <v>15639.921610394829</v>
      </c>
      <c r="AZ53" s="638">
        <f>AZ$50*'R&amp;S - Apparel'!$I$4/SUM('R&amp;S - Apparel'!$G$4:$I$4)</f>
        <v>15424.403095156775</v>
      </c>
      <c r="BA53" s="638">
        <f>BA$50*'R&amp;S - Apparel'!$I$4/SUM('R&amp;S - Apparel'!$G$4:$I$4)</f>
        <v>15208.884579918715</v>
      </c>
      <c r="BB53" s="638">
        <f>BB$50*'R&amp;S - Apparel'!$I$4/SUM('R&amp;S - Apparel'!$G$4:$I$4)</f>
        <v>14993.366064680658</v>
      </c>
      <c r="BC53" s="638">
        <f>BC$50*'R&amp;S - Apparel'!$I$4/SUM('R&amp;S - Apparel'!$G$4:$I$4)</f>
        <v>14777.847549442598</v>
      </c>
      <c r="BD53" s="638">
        <f>BD$50*'R&amp;S - Apparel'!$I$4/SUM('R&amp;S - Apparel'!$G$4:$I$4)</f>
        <v>14562.329034204542</v>
      </c>
      <c r="BE53" s="638">
        <f>BE$50*'R&amp;S - Apparel'!$I$4/SUM('R&amp;S - Apparel'!$G$4:$I$4)</f>
        <v>14302.322752059545</v>
      </c>
      <c r="BF53" s="638">
        <f>BF$50*'R&amp;S - Apparel'!$I$4/SUM('R&amp;S - Apparel'!$G$4:$I$4)</f>
        <v>14042.316469914547</v>
      </c>
      <c r="BG53" s="638">
        <f>BG$50*'R&amp;S - Apparel'!$I$4/SUM('R&amp;S - Apparel'!$G$4:$I$4)</f>
        <v>13782.310187769552</v>
      </c>
      <c r="BH53" s="638">
        <f>BH$50*'R&amp;S - Apparel'!$I$4/SUM('R&amp;S - Apparel'!$G$4:$I$4)</f>
        <v>13522.303905624558</v>
      </c>
      <c r="BI53" s="638">
        <f>BI$50*'R&amp;S - Apparel'!$I$4/SUM('R&amp;S - Apparel'!$G$4:$I$4)</f>
        <v>13262.297623479561</v>
      </c>
      <c r="BJ53" s="638">
        <f>BJ$50*'R&amp;S - Apparel'!$I$4/SUM('R&amp;S - Apparel'!$G$4:$I$4)</f>
        <v>13002.291341334563</v>
      </c>
      <c r="BK53" s="638">
        <f>BK$50*'R&amp;S - Apparel'!$I$4/SUM('R&amp;S - Apparel'!$G$4:$I$4)</f>
        <v>12742.285059189568</v>
      </c>
      <c r="BL53" s="638">
        <f>BL$50*'R&amp;S - Apparel'!$I$4/SUM('R&amp;S - Apparel'!$G$4:$I$4)</f>
        <v>12482.278777044574</v>
      </c>
      <c r="BM53" s="638">
        <f>BM$50*'R&amp;S - Apparel'!$I$4/SUM('R&amp;S - Apparel'!$G$4:$I$4)</f>
        <v>12222.272494899575</v>
      </c>
      <c r="BN53" s="638">
        <f>BN$50*'R&amp;S - Apparel'!$I$4/SUM('R&amp;S - Apparel'!$G$4:$I$4)</f>
        <v>11962.266212754579</v>
      </c>
    </row>
    <row r="54" spans="1:66" outlineLevel="1">
      <c r="A54" s="55" t="s">
        <v>303</v>
      </c>
      <c r="B54" s="55" t="s">
        <v>916</v>
      </c>
      <c r="C54" s="56" t="s">
        <v>166</v>
      </c>
      <c r="D54" s="101">
        <f>D4-D16-D27-D38-D45-D9</f>
        <v>834656.37607689528</v>
      </c>
      <c r="E54" s="101">
        <f t="shared" ref="E54:AH54" si="41">E4-E16-E27-E38-E45-E9</f>
        <v>834656.37607689528</v>
      </c>
      <c r="F54" s="101">
        <f t="shared" si="41"/>
        <v>834656.37607689528</v>
      </c>
      <c r="G54" s="101">
        <f t="shared" si="41"/>
        <v>834656.37607689528</v>
      </c>
      <c r="H54" s="101">
        <f t="shared" si="41"/>
        <v>834656.37607689528</v>
      </c>
      <c r="I54" s="101">
        <f t="shared" si="41"/>
        <v>834656.37607689528</v>
      </c>
      <c r="J54" s="101">
        <f t="shared" si="41"/>
        <v>834656.37607689528</v>
      </c>
      <c r="K54" s="101">
        <f t="shared" si="41"/>
        <v>834656.37607689528</v>
      </c>
      <c r="L54" s="101">
        <f t="shared" si="41"/>
        <v>834656.37607689528</v>
      </c>
      <c r="M54" s="101">
        <f t="shared" si="41"/>
        <v>834656.37607689528</v>
      </c>
      <c r="N54" s="101">
        <f t="shared" si="41"/>
        <v>834656.37607689528</v>
      </c>
      <c r="O54" s="101">
        <f t="shared" si="41"/>
        <v>834656.37607689528</v>
      </c>
      <c r="P54" s="101">
        <f t="shared" si="41"/>
        <v>834656.37607689528</v>
      </c>
      <c r="Q54" s="101">
        <f t="shared" si="41"/>
        <v>834656.37607689528</v>
      </c>
      <c r="R54" s="101">
        <f t="shared" si="41"/>
        <v>834656.37607689528</v>
      </c>
      <c r="S54" s="101">
        <f t="shared" si="41"/>
        <v>834656.37607689528</v>
      </c>
      <c r="T54" s="101">
        <f t="shared" si="41"/>
        <v>834656.37607689528</v>
      </c>
      <c r="U54" s="101">
        <f t="shared" si="41"/>
        <v>834656.37607689528</v>
      </c>
      <c r="V54" s="101">
        <f t="shared" si="41"/>
        <v>834656.37607689528</v>
      </c>
      <c r="W54" s="101">
        <f t="shared" si="41"/>
        <v>834656.37607689528</v>
      </c>
      <c r="X54" s="101">
        <f t="shared" si="41"/>
        <v>834656.37607689528</v>
      </c>
      <c r="Y54" s="101">
        <f t="shared" si="41"/>
        <v>834656.37607689528</v>
      </c>
      <c r="Z54" s="101">
        <f t="shared" si="41"/>
        <v>834656.37607689528</v>
      </c>
      <c r="AA54" s="101">
        <f t="shared" si="41"/>
        <v>834656.37607689528</v>
      </c>
      <c r="AB54" s="101">
        <f t="shared" si="41"/>
        <v>834656.37607689528</v>
      </c>
      <c r="AC54" s="101">
        <f t="shared" si="41"/>
        <v>834656.37607689528</v>
      </c>
      <c r="AD54" s="101">
        <f t="shared" si="41"/>
        <v>834656.37607689528</v>
      </c>
      <c r="AE54" s="101">
        <f t="shared" si="41"/>
        <v>834656.37607689528</v>
      </c>
      <c r="AF54" s="101">
        <f t="shared" si="41"/>
        <v>834656.37607689528</v>
      </c>
      <c r="AG54" s="101">
        <f t="shared" si="41"/>
        <v>834656.37607689528</v>
      </c>
      <c r="AH54" s="101">
        <f t="shared" si="41"/>
        <v>834656.37607689528</v>
      </c>
      <c r="AI54" s="191"/>
      <c r="AJ54" s="101">
        <f>AJ4-AJ16-AJ27-AJ38-AJ45-AJ9</f>
        <v>834656.37607689528</v>
      </c>
      <c r="AK54" s="101">
        <f t="shared" ref="AK54:BN54" si="42">AK4-AK16-AK27-AK38-AK45-AK9</f>
        <v>834656.37607689528</v>
      </c>
      <c r="AL54" s="101">
        <f t="shared" si="42"/>
        <v>834656.37607689528</v>
      </c>
      <c r="AM54" s="101">
        <f t="shared" si="42"/>
        <v>834656.37607689528</v>
      </c>
      <c r="AN54" s="101">
        <f t="shared" si="42"/>
        <v>834656.37607689528</v>
      </c>
      <c r="AO54" s="101">
        <f t="shared" si="42"/>
        <v>834656.37607689528</v>
      </c>
      <c r="AP54" s="101">
        <f t="shared" si="42"/>
        <v>834656.37607689528</v>
      </c>
      <c r="AQ54" s="101">
        <f t="shared" si="42"/>
        <v>834656.37607689528</v>
      </c>
      <c r="AR54" s="101">
        <f t="shared" si="42"/>
        <v>834656.37607689528</v>
      </c>
      <c r="AS54" s="101">
        <f t="shared" si="42"/>
        <v>834656.37607689528</v>
      </c>
      <c r="AT54" s="101">
        <f t="shared" si="42"/>
        <v>834656.37607689528</v>
      </c>
      <c r="AU54" s="101">
        <f t="shared" si="42"/>
        <v>834656.37607689528</v>
      </c>
      <c r="AV54" s="101">
        <f t="shared" si="42"/>
        <v>834656.37607689528</v>
      </c>
      <c r="AW54" s="101">
        <f t="shared" si="42"/>
        <v>834656.37607689528</v>
      </c>
      <c r="AX54" s="101">
        <f t="shared" si="42"/>
        <v>834656.37607689528</v>
      </c>
      <c r="AY54" s="101">
        <f t="shared" si="42"/>
        <v>834656.37607689528</v>
      </c>
      <c r="AZ54" s="101">
        <f t="shared" si="42"/>
        <v>834656.37607689528</v>
      </c>
      <c r="BA54" s="101">
        <f t="shared" si="42"/>
        <v>834656.37607689528</v>
      </c>
      <c r="BB54" s="101">
        <f t="shared" si="42"/>
        <v>834656.37607689528</v>
      </c>
      <c r="BC54" s="101">
        <f t="shared" si="42"/>
        <v>834656.37607689528</v>
      </c>
      <c r="BD54" s="101">
        <f t="shared" si="42"/>
        <v>834656.37607689528</v>
      </c>
      <c r="BE54" s="101">
        <f t="shared" si="42"/>
        <v>834656.37607689528</v>
      </c>
      <c r="BF54" s="101">
        <f t="shared" si="42"/>
        <v>834656.37607689528</v>
      </c>
      <c r="BG54" s="101">
        <f t="shared" si="42"/>
        <v>834656.37607689528</v>
      </c>
      <c r="BH54" s="101">
        <f t="shared" si="42"/>
        <v>834656.37607689528</v>
      </c>
      <c r="BI54" s="101">
        <f t="shared" si="42"/>
        <v>834656.37607689528</v>
      </c>
      <c r="BJ54" s="101">
        <f t="shared" si="42"/>
        <v>834656.37607689528</v>
      </c>
      <c r="BK54" s="101">
        <f t="shared" si="42"/>
        <v>834656.37607689528</v>
      </c>
      <c r="BL54" s="101">
        <f t="shared" si="42"/>
        <v>834656.37607689528</v>
      </c>
      <c r="BM54" s="101">
        <f t="shared" si="42"/>
        <v>834656.37607689528</v>
      </c>
      <c r="BN54" s="101">
        <f t="shared" si="42"/>
        <v>834656.37607689528</v>
      </c>
    </row>
    <row r="55" spans="1:66" outlineLevel="1">
      <c r="B55" s="1" t="s">
        <v>164</v>
      </c>
      <c r="C55" s="51" t="s">
        <v>166</v>
      </c>
      <c r="D55" s="101">
        <v>0</v>
      </c>
      <c r="E55" s="101">
        <f>E54*'R&amp;S - Others'!$D$7*'R&amp;S - Others'!$B$11*'R&amp;S - Others'!$B$15*(E$3-$D$3)/10</f>
        <v>4131.549061580632</v>
      </c>
      <c r="F55" s="101">
        <f>F54*'R&amp;S - Others'!$D$7*'R&amp;S - Others'!$B$11*'R&amp;S - Others'!$B$15*(F$3-$D$3)/10</f>
        <v>8263.0981231612641</v>
      </c>
      <c r="G55" s="101">
        <f>G54*'R&amp;S - Others'!$D$7*'R&amp;S - Others'!$B$11*'R&amp;S - Others'!$B$15*(G$3-$D$3)/10</f>
        <v>12394.647184741896</v>
      </c>
      <c r="H55" s="101">
        <f>H54*'R&amp;S - Others'!$D$7*'R&amp;S - Others'!$B$11*'R&amp;S - Others'!$B$15*(H$3-$D$3)/10</f>
        <v>16526.196246322528</v>
      </c>
      <c r="I55" s="101">
        <f>I54*'R&amp;S - Others'!$D$7*'R&amp;S - Others'!$B$11*'R&amp;S - Others'!$B$15*(I$3-$D$3)/10</f>
        <v>20657.745307903158</v>
      </c>
      <c r="J55" s="101">
        <f>J54*'R&amp;S - Others'!$D$7*'R&amp;S - Others'!$B$11*'R&amp;S - Others'!$B$15*(J$3-$D$3)/10</f>
        <v>24789.294369483792</v>
      </c>
      <c r="K55" s="101">
        <f>K54*'R&amp;S - Others'!$D$7*'R&amp;S - Others'!$B$11*'R&amp;S - Others'!$B$15*(K$3-$D$3)/10</f>
        <v>28920.843431064422</v>
      </c>
      <c r="L55" s="101">
        <f>L54*'R&amp;S - Others'!$D$7*'R&amp;S - Others'!$B$11*'R&amp;S - Others'!$B$15*(L$3-$D$3)/10</f>
        <v>33052.392492645056</v>
      </c>
      <c r="M55" s="101">
        <f>M54*'R&amp;S - Others'!$D$7*'R&amp;S - Others'!$B$11*'R&amp;S - Others'!$B$15*(M$3-$D$3)/10</f>
        <v>37183.941554225683</v>
      </c>
      <c r="N55" s="101">
        <f>N54*'R&amp;S - Others'!$D$7*'R&amp;S - Others'!$B$11*'R&amp;S - Others'!$B$15*(N$3-$D$3)/10</f>
        <v>41315.490615806317</v>
      </c>
      <c r="O55" s="101">
        <f>O54*'R&amp;S - Others'!$D$7*'R&amp;S - Others'!$B$11*('R&amp;S - Others'!$B$15+('R&amp;S - Others'!$B$16-'R&amp;S - Others'!$B$15)*(O$3-$N$3)/10)</f>
        <v>45447.039677386943</v>
      </c>
      <c r="P55" s="101">
        <f>P54*'R&amp;S - Others'!$D$7*'R&amp;S - Others'!$B$11*('R&amp;S - Others'!$B$15+('R&amp;S - Others'!$B$16-'R&amp;S - Others'!$B$15)*(P$3-$N$3)/10)</f>
        <v>49578.588738967577</v>
      </c>
      <c r="Q55" s="101">
        <f>Q54*'R&amp;S - Others'!$D$7*'R&amp;S - Others'!$B$11*('R&amp;S - Others'!$B$15+('R&amp;S - Others'!$B$16-'R&amp;S - Others'!$B$15)*(Q$3-$N$3)/10)</f>
        <v>53710.137800548211</v>
      </c>
      <c r="R55" s="101">
        <f>R54*'R&amp;S - Others'!$D$7*'R&amp;S - Others'!$B$11*('R&amp;S - Others'!$B$15+('R&amp;S - Others'!$B$16-'R&amp;S - Others'!$B$15)*(R$3-$N$3)/10)</f>
        <v>57841.686862128838</v>
      </c>
      <c r="S55" s="101">
        <f>S54*'R&amp;S - Others'!$D$7*'R&amp;S - Others'!$B$11*('R&amp;S - Others'!$B$15+('R&amp;S - Others'!$B$16-'R&amp;S - Others'!$B$15)*(S$3-$N$3)/10)</f>
        <v>61973.235923709472</v>
      </c>
      <c r="T55" s="101">
        <f>T54*'R&amp;S - Others'!$D$7*'R&amp;S - Others'!$B$11*('R&amp;S - Others'!$B$15+('R&amp;S - Others'!$B$16-'R&amp;S - Others'!$B$15)*(T$3-$N$3)/10)</f>
        <v>66104.784985290098</v>
      </c>
      <c r="U55" s="101">
        <f>U54*'R&amp;S - Others'!$D$7*'R&amp;S - Others'!$B$11*('R&amp;S - Others'!$B$15+('R&amp;S - Others'!$B$16-'R&amp;S - Others'!$B$15)*(U$3-$N$3)/10)</f>
        <v>70236.334046870732</v>
      </c>
      <c r="V55" s="101">
        <f>V54*'R&amp;S - Others'!$D$7*'R&amp;S - Others'!$B$11*('R&amp;S - Others'!$B$15+('R&amp;S - Others'!$B$16-'R&amp;S - Others'!$B$15)*(V$3-$N$3)/10)</f>
        <v>74367.883108451366</v>
      </c>
      <c r="W55" s="101">
        <f>W54*'R&amp;S - Others'!$D$7*'R&amp;S - Others'!$B$11*('R&amp;S - Others'!$B$15+('R&amp;S - Others'!$B$16-'R&amp;S - Others'!$B$15)*(W$3-$N$3)/10)</f>
        <v>78499.432170032</v>
      </c>
      <c r="X55" s="101">
        <f>X54*'R&amp;S - Others'!$D$7*'R&amp;S - Others'!$B$11*('R&amp;S - Others'!$B$15+('R&amp;S - Others'!$B$16-'R&amp;S - Others'!$B$15)*(X$3-$N$3)/10)</f>
        <v>82630.981231612634</v>
      </c>
      <c r="Y55" s="101">
        <f>Y54*'R&amp;S - Others'!$D$7*'R&amp;S - Others'!$B$11*('R&amp;S - Others'!$B$16+('R&amp;S - Others'!$B$17-'R&amp;S - Others'!$B$16)*(Y$3-$X$3)/10)</f>
        <v>86887.728749604794</v>
      </c>
      <c r="Z55" s="101">
        <f>Z54*'R&amp;S - Others'!$D$7*'R&amp;S - Others'!$B$11*('R&amp;S - Others'!$B$16+('R&amp;S - Others'!$B$17-'R&amp;S - Others'!$B$16)*(Z$3-$X$3)/10)</f>
        <v>91144.476267596954</v>
      </c>
      <c r="AA55" s="101">
        <f>AA54*'R&amp;S - Others'!$D$7*'R&amp;S - Others'!$B$11*('R&amp;S - Others'!$B$16+('R&amp;S - Others'!$B$17-'R&amp;S - Others'!$B$16)*(AA$3-$X$3)/10)</f>
        <v>95401.223785589129</v>
      </c>
      <c r="AB55" s="101">
        <f>AB54*'R&amp;S - Others'!$D$7*'R&amp;S - Others'!$B$11*('R&amp;S - Others'!$B$16+('R&amp;S - Others'!$B$17-'R&amp;S - Others'!$B$16)*(AB$3-$X$3)/10)</f>
        <v>99657.971303581289</v>
      </c>
      <c r="AC55" s="101">
        <f>AC54*'R&amp;S - Others'!$D$7*'R&amp;S - Others'!$B$11*('R&amp;S - Others'!$B$16+('R&amp;S - Others'!$B$17-'R&amp;S - Others'!$B$16)*(AC$3-$X$3)/10)</f>
        <v>103914.71882157346</v>
      </c>
      <c r="AD55" s="101">
        <f>AD54*'R&amp;S - Others'!$D$7*'R&amp;S - Others'!$B$11*('R&amp;S - Others'!$B$16+('R&amp;S - Others'!$B$17-'R&amp;S - Others'!$B$16)*(AD$3-$X$3)/10)</f>
        <v>108171.46633956562</v>
      </c>
      <c r="AE55" s="101">
        <f>AE54*'R&amp;S - Others'!$D$7*'R&amp;S - Others'!$B$11*('R&amp;S - Others'!$B$16+('R&amp;S - Others'!$B$17-'R&amp;S - Others'!$B$16)*(AE$3-$X$3)/10)</f>
        <v>112428.21385755778</v>
      </c>
      <c r="AF55" s="101">
        <f>AF54*'R&amp;S - Others'!$D$7*'R&amp;S - Others'!$B$11*('R&amp;S - Others'!$B$16+('R&amp;S - Others'!$B$17-'R&amp;S - Others'!$B$16)*(AF$3-$X$3)/10)</f>
        <v>116684.96137554994</v>
      </c>
      <c r="AG55" s="101">
        <f>AG54*'R&amp;S - Others'!$D$7*'R&amp;S - Others'!$B$11*('R&amp;S - Others'!$B$16+('R&amp;S - Others'!$B$17-'R&amp;S - Others'!$B$16)*(AG$3-$X$3)/10)</f>
        <v>120941.70889354211</v>
      </c>
      <c r="AH55" s="101">
        <f>AH54*'R&amp;S - Others'!$D$7*'R&amp;S - Others'!$B$11*('R&amp;S - Others'!$B$16+('R&amp;S - Others'!$B$17-'R&amp;S - Others'!$B$16)*(AH$3-$X$3)/10)</f>
        <v>125198.45641153428</v>
      </c>
      <c r="AI55" s="191"/>
      <c r="AJ55" s="101">
        <v>0</v>
      </c>
      <c r="AK55" s="101">
        <f>AK54*'R&amp;S - Others'!$D$7*'R&amp;S - Others'!$B$12*'R&amp;S - Others'!$B$15*(AK$3-$D$3)/10</f>
        <v>2065.774530790316</v>
      </c>
      <c r="AL55" s="101">
        <f>AL54*'R&amp;S - Others'!$D$7*'R&amp;S - Others'!$B$12*'R&amp;S - Others'!$B$15*(AL$3-$D$3)/10</f>
        <v>4131.549061580632</v>
      </c>
      <c r="AM55" s="101">
        <f>AM54*'R&amp;S - Others'!$D$7*'R&amp;S - Others'!$B$12*'R&amp;S - Others'!$B$15*(AM$3-$D$3)/10</f>
        <v>6197.3235923709481</v>
      </c>
      <c r="AN55" s="101">
        <f>AN54*'R&amp;S - Others'!$D$7*'R&amp;S - Others'!$B$12*'R&amp;S - Others'!$B$15*(AN$3-$D$3)/10</f>
        <v>8263.0981231612641</v>
      </c>
      <c r="AO55" s="101">
        <f>AO54*'R&amp;S - Others'!$D$7*'R&amp;S - Others'!$B$12*'R&amp;S - Others'!$B$15*(AO$3-$D$3)/10</f>
        <v>10328.872653951579</v>
      </c>
      <c r="AP55" s="101">
        <f>AP54*'R&amp;S - Others'!$D$7*'R&amp;S - Others'!$B$12*'R&amp;S - Others'!$B$15*(AP$3-$D$3)/10</f>
        <v>12394.647184741896</v>
      </c>
      <c r="AQ55" s="101">
        <f>AQ54*'R&amp;S - Others'!$D$7*'R&amp;S - Others'!$B$12*'R&amp;S - Others'!$B$15*(AQ$3-$D$3)/10</f>
        <v>14460.421715532211</v>
      </c>
      <c r="AR55" s="101">
        <f>AR54*'R&amp;S - Others'!$D$7*'R&amp;S - Others'!$B$12*'R&amp;S - Others'!$B$15*(AR$3-$D$3)/10</f>
        <v>16526.196246322528</v>
      </c>
      <c r="AS55" s="101">
        <f>AS54*'R&amp;S - Others'!$D$7*'R&amp;S - Others'!$B$12*'R&amp;S - Others'!$B$15*(AS$3-$D$3)/10</f>
        <v>18591.970777112841</v>
      </c>
      <c r="AT55" s="101">
        <f>AT54*'R&amp;S - Others'!$D$7*'R&amp;S - Others'!$B$12*'R&amp;S - Others'!$B$15*(AT$3-$D$3)/10</f>
        <v>20657.745307903158</v>
      </c>
      <c r="AU55" s="101">
        <f>AU54*'R&amp;S - Others'!$D$7*'R&amp;S - Others'!$B$12*('R&amp;S - Others'!$B$15+('R&amp;S - Others'!$B$16-'R&amp;S - Others'!$B$15)*(AU$3-$N$3)/10)</f>
        <v>22723.519838693472</v>
      </c>
      <c r="AV55" s="101">
        <f>AV54*'R&amp;S - Others'!$D$7*'R&amp;S - Others'!$B$12*('R&amp;S - Others'!$B$15+('R&amp;S - Others'!$B$16-'R&amp;S - Others'!$B$15)*(AV$3-$N$3)/10)</f>
        <v>24789.294369483789</v>
      </c>
      <c r="AW55" s="101">
        <f>AW54*'R&amp;S - Others'!$D$7*'R&amp;S - Others'!$B$12*('R&amp;S - Others'!$B$15+('R&amp;S - Others'!$B$16-'R&amp;S - Others'!$B$15)*(AW$3-$N$3)/10)</f>
        <v>26855.068900274106</v>
      </c>
      <c r="AX55" s="101">
        <f>AX54*'R&amp;S - Others'!$D$7*'R&amp;S - Others'!$B$12*('R&amp;S - Others'!$B$15+('R&amp;S - Others'!$B$16-'R&amp;S - Others'!$B$15)*(AX$3-$N$3)/10)</f>
        <v>28920.843431064419</v>
      </c>
      <c r="AY55" s="101">
        <f>AY54*'R&amp;S - Others'!$D$7*'R&amp;S - Others'!$B$12*('R&amp;S - Others'!$B$15+('R&amp;S - Others'!$B$16-'R&amp;S - Others'!$B$15)*(AY$3-$N$3)/10)</f>
        <v>30986.617961854736</v>
      </c>
      <c r="AZ55" s="101">
        <f>AZ54*'R&amp;S - Others'!$D$7*'R&amp;S - Others'!$B$12*('R&amp;S - Others'!$B$15+('R&amp;S - Others'!$B$16-'R&amp;S - Others'!$B$15)*(AZ$3-$N$3)/10)</f>
        <v>33052.392492645049</v>
      </c>
      <c r="BA55" s="101">
        <f>BA54*'R&amp;S - Others'!$D$7*'R&amp;S - Others'!$B$12*('R&amp;S - Others'!$B$15+('R&amp;S - Others'!$B$16-'R&amp;S - Others'!$B$15)*(BA$3-$N$3)/10)</f>
        <v>35118.167023435366</v>
      </c>
      <c r="BB55" s="101">
        <f>BB54*'R&amp;S - Others'!$D$7*'R&amp;S - Others'!$B$12*('R&amp;S - Others'!$B$15+('R&amp;S - Others'!$B$16-'R&amp;S - Others'!$B$15)*(BB$3-$N$3)/10)</f>
        <v>37183.941554225683</v>
      </c>
      <c r="BC55" s="101">
        <f>BC54*'R&amp;S - Others'!$D$7*'R&amp;S - Others'!$B$12*('R&amp;S - Others'!$B$15+('R&amp;S - Others'!$B$16-'R&amp;S - Others'!$B$15)*(BC$3-$N$3)/10)</f>
        <v>39249.716085016</v>
      </c>
      <c r="BD55" s="101">
        <f>BD54*'R&amp;S - Others'!$D$7*'R&amp;S - Others'!$B$12*('R&amp;S - Others'!$B$15+('R&amp;S - Others'!$B$16-'R&amp;S - Others'!$B$15)*(BD$3-$N$3)/10)</f>
        <v>41315.490615806317</v>
      </c>
      <c r="BE55" s="101">
        <f>BE54*'R&amp;S - Others'!$D$7*'R&amp;S - Others'!$B$12*('R&amp;S - Others'!$B$16+('R&amp;S - Others'!$B$17-'R&amp;S - Others'!$B$16)*(BE$3-$X$3)/10)</f>
        <v>43443.864374802397</v>
      </c>
      <c r="BF55" s="101">
        <f>BF54*'R&amp;S - Others'!$D$7*'R&amp;S - Others'!$B$12*('R&amp;S - Others'!$B$16+('R&amp;S - Others'!$B$17-'R&amp;S - Others'!$B$16)*(BF$3-$X$3)/10)</f>
        <v>45572.238133798477</v>
      </c>
      <c r="BG55" s="101">
        <f>BG54*'R&amp;S - Others'!$D$7*'R&amp;S - Others'!$B$12*('R&amp;S - Others'!$B$16+('R&amp;S - Others'!$B$17-'R&amp;S - Others'!$B$16)*(BG$3-$X$3)/10)</f>
        <v>47700.611892794564</v>
      </c>
      <c r="BH55" s="101">
        <f>BH54*'R&amp;S - Others'!$D$7*'R&amp;S - Others'!$B$12*('R&amp;S - Others'!$B$16+('R&amp;S - Others'!$B$17-'R&amp;S - Others'!$B$16)*(BH$3-$X$3)/10)</f>
        <v>49828.985651790645</v>
      </c>
      <c r="BI55" s="101">
        <f>BI54*'R&amp;S - Others'!$D$7*'R&amp;S - Others'!$B$12*('R&amp;S - Others'!$B$16+('R&amp;S - Others'!$B$17-'R&amp;S - Others'!$B$16)*(BI$3-$X$3)/10)</f>
        <v>51957.359410786732</v>
      </c>
      <c r="BJ55" s="101">
        <f>BJ54*'R&amp;S - Others'!$D$7*'R&amp;S - Others'!$B$12*('R&amp;S - Others'!$B$16+('R&amp;S - Others'!$B$17-'R&amp;S - Others'!$B$16)*(BJ$3-$X$3)/10)</f>
        <v>54085.733169782812</v>
      </c>
      <c r="BK55" s="101">
        <f>BK54*'R&amp;S - Others'!$D$7*'R&amp;S - Others'!$B$12*('R&amp;S - Others'!$B$16+('R&amp;S - Others'!$B$17-'R&amp;S - Others'!$B$16)*(BK$3-$X$3)/10)</f>
        <v>56214.106928778892</v>
      </c>
      <c r="BL55" s="101">
        <f>BL54*'R&amp;S - Others'!$D$7*'R&amp;S - Others'!$B$12*('R&amp;S - Others'!$B$16+('R&amp;S - Others'!$B$17-'R&amp;S - Others'!$B$16)*(BL$3-$X$3)/10)</f>
        <v>58342.480687774972</v>
      </c>
      <c r="BM55" s="101">
        <f>BM54*'R&amp;S - Others'!$D$7*'R&amp;S - Others'!$B$12*('R&amp;S - Others'!$B$16+('R&amp;S - Others'!$B$17-'R&amp;S - Others'!$B$16)*(BM$3-$X$3)/10)</f>
        <v>60470.854446771053</v>
      </c>
      <c r="BN55" s="101">
        <f>BN54*'R&amp;S - Others'!$D$7*'R&amp;S - Others'!$B$12*('R&amp;S - Others'!$B$16+('R&amp;S - Others'!$B$17-'R&amp;S - Others'!$B$16)*(BN$3-$X$3)/10)</f>
        <v>62599.22820576714</v>
      </c>
    </row>
    <row r="56" spans="1:66" outlineLevel="1">
      <c r="B56" s="1" t="s">
        <v>167</v>
      </c>
      <c r="C56" s="51" t="s">
        <v>166</v>
      </c>
      <c r="D56" s="101">
        <v>0</v>
      </c>
      <c r="E56" s="101">
        <f>E54*'R&amp;S - Others'!$D$8*'R&amp;S - Others'!$B$11*'R&amp;S - Others'!$C$15*(E$3-$D$3)/10</f>
        <v>1377.1830205268775</v>
      </c>
      <c r="F56" s="101">
        <f>F54*'R&amp;S - Others'!$D$8*'R&amp;S - Others'!$B$11*'R&amp;S - Others'!$C$15*(F$3-$D$3)/10</f>
        <v>2754.366041053755</v>
      </c>
      <c r="G56" s="101">
        <f>G54*'R&amp;S - Others'!$D$8*'R&amp;S - Others'!$B$11*'R&amp;S - Others'!$C$15*(G$3-$D$3)/10</f>
        <v>4131.549061580632</v>
      </c>
      <c r="H56" s="101">
        <f>H54*'R&amp;S - Others'!$D$8*'R&amp;S - Others'!$B$11*'R&amp;S - Others'!$C$15*(H$3-$D$3)/10</f>
        <v>5508.73208210751</v>
      </c>
      <c r="I56" s="101">
        <f>I54*'R&amp;S - Others'!$D$8*'R&amp;S - Others'!$B$11*'R&amp;S - Others'!$C$15*(I$3-$D$3)/10</f>
        <v>6885.915102634387</v>
      </c>
      <c r="J56" s="101">
        <f>J54*'R&amp;S - Others'!$D$8*'R&amp;S - Others'!$B$11*'R&amp;S - Others'!$C$15*(J$3-$D$3)/10</f>
        <v>8263.0981231612641</v>
      </c>
      <c r="K56" s="101">
        <f>K54*'R&amp;S - Others'!$D$8*'R&amp;S - Others'!$B$11*'R&amp;S - Others'!$C$15*(K$3-$D$3)/10</f>
        <v>9640.281143688142</v>
      </c>
      <c r="L56" s="101">
        <f>L54*'R&amp;S - Others'!$D$8*'R&amp;S - Others'!$B$11*'R&amp;S - Others'!$C$15*(L$3-$D$3)/10</f>
        <v>11017.46416421502</v>
      </c>
      <c r="M56" s="101">
        <f>M54*'R&amp;S - Others'!$D$8*'R&amp;S - Others'!$B$11*'R&amp;S - Others'!$C$15*(M$3-$D$3)/10</f>
        <v>12394.647184741898</v>
      </c>
      <c r="N56" s="101">
        <f>N54*'R&amp;S - Others'!$D$8*'R&amp;S - Others'!$B$11*'R&amp;S - Others'!$C$15*(N$3-$D$3)/10</f>
        <v>13771.830205268774</v>
      </c>
      <c r="O56" s="101">
        <f>O54*'R&amp;S - Others'!$D$8*'R&amp;S - Others'!$B$11*'R&amp;S - Others'!$C$15*(O$3-$D$3)/10</f>
        <v>15149.013225795652</v>
      </c>
      <c r="P56" s="101">
        <f>P54*'R&amp;S - Others'!$D$8*'R&amp;S - Others'!$B$11*'R&amp;S - Others'!$C$15*(P$3-$D$3)/10</f>
        <v>16526.196246322528</v>
      </c>
      <c r="Q56" s="101">
        <f>Q54*'R&amp;S - Others'!$D$8*'R&amp;S - Others'!$B$11*'R&amp;S - Others'!$C$15*(Q$3-$D$3)/10</f>
        <v>17903.379266849406</v>
      </c>
      <c r="R56" s="101">
        <f>R54*'R&amp;S - Others'!$D$8*'R&amp;S - Others'!$B$11*'R&amp;S - Others'!$C$15*(R$3-$D$3)/10</f>
        <v>19280.562287376284</v>
      </c>
      <c r="S56" s="101">
        <f>S54*'R&amp;S - Others'!$D$8*'R&amp;S - Others'!$B$11*'R&amp;S - Others'!$C$15*(S$3-$D$3)/10</f>
        <v>20657.745307903162</v>
      </c>
      <c r="T56" s="101">
        <f>T54*'R&amp;S - Others'!$D$8*'R&amp;S - Others'!$B$11*'R&amp;S - Others'!$C$15*(T$3-$D$3)/10</f>
        <v>22034.92832843004</v>
      </c>
      <c r="U56" s="101">
        <f>U54*'R&amp;S - Others'!$D$8*'R&amp;S - Others'!$B$11*'R&amp;S - Others'!$C$15*(U$3-$D$3)/10</f>
        <v>23412.111348956918</v>
      </c>
      <c r="V56" s="101">
        <f>V54*'R&amp;S - Others'!$D$8*'R&amp;S - Others'!$B$11*'R&amp;S - Others'!$C$15*(V$3-$D$3)/10</f>
        <v>24789.294369483796</v>
      </c>
      <c r="W56" s="101">
        <f>W54*'R&amp;S - Others'!$D$8*'R&amp;S - Others'!$B$11*'R&amp;S - Others'!$C$15*(W$3-$D$3)/10</f>
        <v>26166.47739001067</v>
      </c>
      <c r="X56" s="101">
        <f>X54*'R&amp;S - Others'!$D$8*'R&amp;S - Others'!$B$11*'R&amp;S - Others'!$C$15*(X$3-$D$3)/10</f>
        <v>27543.660410537548</v>
      </c>
      <c r="Y56" s="101">
        <f>Y54*'R&amp;S - Others'!$D$8*'R&amp;S - Others'!$B$11*('R&amp;S - Others'!$C$16+('R&amp;S - Others'!$C$17-'R&amp;S - Others'!$C$16)*(Y$3-$X$3)/10)</f>
        <v>28962.576249868274</v>
      </c>
      <c r="Z56" s="101">
        <f>Z54*'R&amp;S - Others'!$D$8*'R&amp;S - Others'!$B$11*('R&amp;S - Others'!$C$16+('R&amp;S - Others'!$C$17-'R&amp;S - Others'!$C$16)*(Z$3-$X$3)/10)</f>
        <v>30381.492089198993</v>
      </c>
      <c r="AA56" s="101">
        <f>AA54*'R&amp;S - Others'!$D$8*'R&amp;S - Others'!$B$11*('R&amp;S - Others'!$C$16+('R&amp;S - Others'!$C$17-'R&amp;S - Others'!$C$16)*(AA$3-$X$3)/10)</f>
        <v>31800.407928529716</v>
      </c>
      <c r="AB56" s="101">
        <f>AB54*'R&amp;S - Others'!$D$8*'R&amp;S - Others'!$B$11*('R&amp;S - Others'!$C$16+('R&amp;S - Others'!$C$17-'R&amp;S - Others'!$C$16)*(AB$3-$X$3)/10)</f>
        <v>33219.323767860442</v>
      </c>
      <c r="AC56" s="101">
        <f>AC54*'R&amp;S - Others'!$D$8*'R&amp;S - Others'!$B$11*('R&amp;S - Others'!$C$16+('R&amp;S - Others'!$C$17-'R&amp;S - Others'!$C$16)*(AC$3-$X$3)/10)</f>
        <v>34638.239607191164</v>
      </c>
      <c r="AD56" s="101">
        <f>AD54*'R&amp;S - Others'!$D$8*'R&amp;S - Others'!$B$11*('R&amp;S - Others'!$C$16+('R&amp;S - Others'!$C$17-'R&amp;S - Others'!$C$16)*(AD$3-$X$3)/10)</f>
        <v>36057.155446521887</v>
      </c>
      <c r="AE56" s="101">
        <f>AE54*'R&amp;S - Others'!$D$8*'R&amp;S - Others'!$B$11*('R&amp;S - Others'!$C$16+('R&amp;S - Others'!$C$17-'R&amp;S - Others'!$C$16)*(AE$3-$X$3)/10)</f>
        <v>37476.071285852602</v>
      </c>
      <c r="AF56" s="101">
        <f>AF54*'R&amp;S - Others'!$D$8*'R&amp;S - Others'!$B$11*('R&amp;S - Others'!$C$16+('R&amp;S - Others'!$C$17-'R&amp;S - Others'!$C$16)*(AF$3-$X$3)/10)</f>
        <v>38894.987125183325</v>
      </c>
      <c r="AG56" s="101">
        <f>AG54*'R&amp;S - Others'!$D$8*'R&amp;S - Others'!$B$11*('R&amp;S - Others'!$C$16+('R&amp;S - Others'!$C$17-'R&amp;S - Others'!$C$16)*(AG$3-$X$3)/10)</f>
        <v>40313.902964514047</v>
      </c>
      <c r="AH56" s="101">
        <f>AH54*'R&amp;S - Others'!$D$8*'R&amp;S - Others'!$B$11*('R&amp;S - Others'!$C$16+('R&amp;S - Others'!$C$17-'R&amp;S - Others'!$C$16)*(AH$3-$X$3)/10)</f>
        <v>41732.81880384477</v>
      </c>
      <c r="AI56" s="191"/>
      <c r="AJ56" s="101">
        <v>0</v>
      </c>
      <c r="AK56" s="101">
        <f>AK54*'R&amp;S - Others'!$D$8*'R&amp;S - Others'!$B$12*'R&amp;S - Others'!$C$15*(AK$3-$D$3)/10</f>
        <v>688.59151026343875</v>
      </c>
      <c r="AL56" s="101">
        <f>AL54*'R&amp;S - Others'!$D$8*'R&amp;S - Others'!$B$12*'R&amp;S - Others'!$C$15*(AL$3-$D$3)/10</f>
        <v>1377.1830205268775</v>
      </c>
      <c r="AM56" s="101">
        <f>AM54*'R&amp;S - Others'!$D$8*'R&amp;S - Others'!$B$12*'R&amp;S - Others'!$C$15*(AM$3-$D$3)/10</f>
        <v>2065.774530790316</v>
      </c>
      <c r="AN56" s="101">
        <f>AN54*'R&amp;S - Others'!$D$8*'R&amp;S - Others'!$B$12*'R&amp;S - Others'!$C$15*(AN$3-$D$3)/10</f>
        <v>2754.366041053755</v>
      </c>
      <c r="AO56" s="101">
        <f>AO54*'R&amp;S - Others'!$D$8*'R&amp;S - Others'!$B$12*'R&amp;S - Others'!$C$15*(AO$3-$D$3)/10</f>
        <v>3442.9575513171935</v>
      </c>
      <c r="AP56" s="101">
        <f>AP54*'R&amp;S - Others'!$D$8*'R&amp;S - Others'!$B$12*'R&amp;S - Others'!$C$15*(AP$3-$D$3)/10</f>
        <v>4131.549061580632</v>
      </c>
      <c r="AQ56" s="101">
        <f>AQ54*'R&amp;S - Others'!$D$8*'R&amp;S - Others'!$B$12*'R&amp;S - Others'!$C$15*(AQ$3-$D$3)/10</f>
        <v>4820.140571844071</v>
      </c>
      <c r="AR56" s="101">
        <f>AR54*'R&amp;S - Others'!$D$8*'R&amp;S - Others'!$B$12*'R&amp;S - Others'!$C$15*(AR$3-$D$3)/10</f>
        <v>5508.73208210751</v>
      </c>
      <c r="AS56" s="101">
        <f>AS54*'R&amp;S - Others'!$D$8*'R&amp;S - Others'!$B$12*'R&amp;S - Others'!$C$15*(AS$3-$D$3)/10</f>
        <v>6197.323592370949</v>
      </c>
      <c r="AT56" s="101">
        <f>AT54*'R&amp;S - Others'!$D$8*'R&amp;S - Others'!$B$12*'R&amp;S - Others'!$C$15*(AT$3-$D$3)/10</f>
        <v>6885.915102634387</v>
      </c>
      <c r="AU56" s="101">
        <f>AU54*'R&amp;S - Others'!$D$8*'R&amp;S - Others'!$B$12*'R&amp;S - Others'!$C$15*(AU$3-$D$3)/10</f>
        <v>7574.506612897826</v>
      </c>
      <c r="AV56" s="101">
        <f>AV54*'R&amp;S - Others'!$D$8*'R&amp;S - Others'!$B$12*'R&amp;S - Others'!$C$15*(AV$3-$D$3)/10</f>
        <v>8263.0981231612641</v>
      </c>
      <c r="AW56" s="101">
        <f>AW54*'R&amp;S - Others'!$D$8*'R&amp;S - Others'!$B$12*'R&amp;S - Others'!$C$15*(AW$3-$D$3)/10</f>
        <v>8951.6896334247031</v>
      </c>
      <c r="AX56" s="101">
        <f>AX54*'R&amp;S - Others'!$D$8*'R&amp;S - Others'!$B$12*'R&amp;S - Others'!$C$15*(AX$3-$D$3)/10</f>
        <v>9640.281143688142</v>
      </c>
      <c r="AY56" s="101">
        <f>AY54*'R&amp;S - Others'!$D$8*'R&amp;S - Others'!$B$12*'R&amp;S - Others'!$C$15*(AY$3-$D$3)/10</f>
        <v>10328.872653951581</v>
      </c>
      <c r="AZ56" s="101">
        <f>AZ54*'R&amp;S - Others'!$D$8*'R&amp;S - Others'!$B$12*'R&amp;S - Others'!$C$15*(AZ$3-$D$3)/10</f>
        <v>11017.46416421502</v>
      </c>
      <c r="BA56" s="101">
        <f>BA54*'R&amp;S - Others'!$D$8*'R&amp;S - Others'!$B$12*'R&amp;S - Others'!$C$15*(BA$3-$D$3)/10</f>
        <v>11706.055674478459</v>
      </c>
      <c r="BB56" s="101">
        <f>BB54*'R&amp;S - Others'!$D$8*'R&amp;S - Others'!$B$12*'R&amp;S - Others'!$C$15*(BB$3-$D$3)/10</f>
        <v>12394.647184741898</v>
      </c>
      <c r="BC56" s="101">
        <f>BC54*'R&amp;S - Others'!$D$8*'R&amp;S - Others'!$B$12*'R&amp;S - Others'!$C$15*(BC$3-$D$3)/10</f>
        <v>13083.238695005335</v>
      </c>
      <c r="BD56" s="101">
        <f>BD54*'R&amp;S - Others'!$D$8*'R&amp;S - Others'!$B$12*'R&amp;S - Others'!$C$15*(BD$3-$D$3)/10</f>
        <v>13771.830205268774</v>
      </c>
      <c r="BE56" s="101">
        <f>BE54*'R&amp;S - Others'!$D$8*'R&amp;S - Others'!$B$12*('R&amp;S - Others'!$C$16+('R&amp;S - Others'!$C$17-'R&amp;S - Others'!$C$16)*(BE$3-$X$3)/10)</f>
        <v>14481.288124934137</v>
      </c>
      <c r="BF56" s="101">
        <f>BF54*'R&amp;S - Others'!$D$8*'R&amp;S - Others'!$B$12*('R&amp;S - Others'!$C$16+('R&amp;S - Others'!$C$17-'R&amp;S - Others'!$C$16)*(BF$3-$X$3)/10)</f>
        <v>15190.746044599497</v>
      </c>
      <c r="BG56" s="101">
        <f>BG54*'R&amp;S - Others'!$D$8*'R&amp;S - Others'!$B$12*('R&amp;S - Others'!$C$16+('R&amp;S - Others'!$C$17-'R&amp;S - Others'!$C$16)*(BG$3-$X$3)/10)</f>
        <v>15900.203964264858</v>
      </c>
      <c r="BH56" s="101">
        <f>BH54*'R&amp;S - Others'!$D$8*'R&amp;S - Others'!$B$12*('R&amp;S - Others'!$C$16+('R&amp;S - Others'!$C$17-'R&amp;S - Others'!$C$16)*(BH$3-$X$3)/10)</f>
        <v>16609.661883930221</v>
      </c>
      <c r="BI56" s="101">
        <f>BI54*'R&amp;S - Others'!$D$8*'R&amp;S - Others'!$B$12*('R&amp;S - Others'!$C$16+('R&amp;S - Others'!$C$17-'R&amp;S - Others'!$C$16)*(BI$3-$X$3)/10)</f>
        <v>17319.119803595582</v>
      </c>
      <c r="BJ56" s="101">
        <f>BJ54*'R&amp;S - Others'!$D$8*'R&amp;S - Others'!$B$12*('R&amp;S - Others'!$C$16+('R&amp;S - Others'!$C$17-'R&amp;S - Others'!$C$16)*(BJ$3-$X$3)/10)</f>
        <v>18028.577723260943</v>
      </c>
      <c r="BK56" s="101">
        <f>BK54*'R&amp;S - Others'!$D$8*'R&amp;S - Others'!$B$12*('R&amp;S - Others'!$C$16+('R&amp;S - Others'!$C$17-'R&amp;S - Others'!$C$16)*(BK$3-$X$3)/10)</f>
        <v>18738.035642926301</v>
      </c>
      <c r="BL56" s="101">
        <f>BL54*'R&amp;S - Others'!$D$8*'R&amp;S - Others'!$B$12*('R&amp;S - Others'!$C$16+('R&amp;S - Others'!$C$17-'R&amp;S - Others'!$C$16)*(BL$3-$X$3)/10)</f>
        <v>19447.493562591662</v>
      </c>
      <c r="BM56" s="101">
        <f>BM54*'R&amp;S - Others'!$D$8*'R&amp;S - Others'!$B$12*('R&amp;S - Others'!$C$16+('R&amp;S - Others'!$C$17-'R&amp;S - Others'!$C$16)*(BM$3-$X$3)/10)</f>
        <v>20156.951482257024</v>
      </c>
      <c r="BN56" s="101">
        <f>BN54*'R&amp;S - Others'!$D$8*'R&amp;S - Others'!$B$12*('R&amp;S - Others'!$C$16+('R&amp;S - Others'!$C$17-'R&amp;S - Others'!$C$16)*(BN$3-$X$3)/10)</f>
        <v>20866.409401922385</v>
      </c>
    </row>
    <row r="57" spans="1:66" outlineLevel="1">
      <c r="A57" s="167"/>
      <c r="B57" s="167" t="s">
        <v>195</v>
      </c>
      <c r="C57" s="168" t="s">
        <v>166</v>
      </c>
      <c r="D57" s="606">
        <f>D54-D55-D56</f>
        <v>834656.37607689528</v>
      </c>
      <c r="E57" s="606">
        <f t="shared" ref="E57:AH57" si="43">E54-E55-E56</f>
        <v>829147.64399478771</v>
      </c>
      <c r="F57" s="606">
        <f t="shared" si="43"/>
        <v>823638.91191268025</v>
      </c>
      <c r="G57" s="606">
        <f t="shared" si="43"/>
        <v>818130.17983057268</v>
      </c>
      <c r="H57" s="606">
        <f t="shared" si="43"/>
        <v>812621.44774846535</v>
      </c>
      <c r="I57" s="606">
        <f t="shared" si="43"/>
        <v>807112.71566635778</v>
      </c>
      <c r="J57" s="606">
        <f t="shared" si="43"/>
        <v>801603.98358425021</v>
      </c>
      <c r="K57" s="606">
        <f t="shared" si="43"/>
        <v>796095.25150214275</v>
      </c>
      <c r="L57" s="606">
        <f t="shared" si="43"/>
        <v>790586.51942003518</v>
      </c>
      <c r="M57" s="606">
        <f t="shared" si="43"/>
        <v>785077.78733792773</v>
      </c>
      <c r="N57" s="606">
        <f t="shared" si="43"/>
        <v>779569.05525582016</v>
      </c>
      <c r="O57" s="606">
        <f t="shared" si="43"/>
        <v>774060.32317371259</v>
      </c>
      <c r="P57" s="606">
        <f t="shared" si="43"/>
        <v>768551.59109160525</v>
      </c>
      <c r="Q57" s="606">
        <f t="shared" si="43"/>
        <v>763042.85900949768</v>
      </c>
      <c r="R57" s="606">
        <f t="shared" si="43"/>
        <v>757534.12692739023</v>
      </c>
      <c r="S57" s="606">
        <f t="shared" si="43"/>
        <v>752025.39484528266</v>
      </c>
      <c r="T57" s="606">
        <f t="shared" si="43"/>
        <v>746516.66276317509</v>
      </c>
      <c r="U57" s="606">
        <f t="shared" si="43"/>
        <v>741007.93068106764</v>
      </c>
      <c r="V57" s="606">
        <f t="shared" si="43"/>
        <v>735499.19859896007</v>
      </c>
      <c r="W57" s="606">
        <f t="shared" si="43"/>
        <v>729990.4665168525</v>
      </c>
      <c r="X57" s="606">
        <f t="shared" si="43"/>
        <v>724481.73443474516</v>
      </c>
      <c r="Y57" s="606">
        <f t="shared" si="43"/>
        <v>718806.07107742224</v>
      </c>
      <c r="Z57" s="606">
        <f t="shared" si="43"/>
        <v>713130.40772009932</v>
      </c>
      <c r="AA57" s="606">
        <f t="shared" si="43"/>
        <v>707454.74436277652</v>
      </c>
      <c r="AB57" s="606">
        <f t="shared" si="43"/>
        <v>701779.0810054536</v>
      </c>
      <c r="AC57" s="606">
        <f t="shared" si="43"/>
        <v>696103.41764813068</v>
      </c>
      <c r="AD57" s="606">
        <f t="shared" si="43"/>
        <v>690427.75429080776</v>
      </c>
      <c r="AE57" s="606">
        <f t="shared" si="43"/>
        <v>684752.09093348496</v>
      </c>
      <c r="AF57" s="606">
        <f t="shared" si="43"/>
        <v>679076.42757616204</v>
      </c>
      <c r="AG57" s="606">
        <f t="shared" si="43"/>
        <v>673400.76421883912</v>
      </c>
      <c r="AH57" s="606">
        <f t="shared" si="43"/>
        <v>667725.10086151632</v>
      </c>
      <c r="AI57" s="191"/>
      <c r="AJ57" s="606">
        <f>AJ54-AJ55-AJ56</f>
        <v>834656.37607689528</v>
      </c>
      <c r="AK57" s="606">
        <f t="shared" ref="AK57:BN57" si="44">AK54-AK55-AK56</f>
        <v>831902.01003584161</v>
      </c>
      <c r="AL57" s="606">
        <f t="shared" si="44"/>
        <v>829147.64399478771</v>
      </c>
      <c r="AM57" s="606">
        <f t="shared" si="44"/>
        <v>826393.27795373404</v>
      </c>
      <c r="AN57" s="606">
        <f t="shared" si="44"/>
        <v>823638.91191268025</v>
      </c>
      <c r="AO57" s="606">
        <f t="shared" si="44"/>
        <v>820884.54587162647</v>
      </c>
      <c r="AP57" s="606">
        <f t="shared" si="44"/>
        <v>818130.17983057268</v>
      </c>
      <c r="AQ57" s="606">
        <f t="shared" si="44"/>
        <v>815375.81378951902</v>
      </c>
      <c r="AR57" s="606">
        <f t="shared" si="44"/>
        <v>812621.44774846535</v>
      </c>
      <c r="AS57" s="606">
        <f t="shared" si="44"/>
        <v>809867.08170741145</v>
      </c>
      <c r="AT57" s="606">
        <f t="shared" si="44"/>
        <v>807112.71566635778</v>
      </c>
      <c r="AU57" s="606">
        <f t="shared" si="44"/>
        <v>804358.34962530399</v>
      </c>
      <c r="AV57" s="606">
        <f t="shared" si="44"/>
        <v>801603.98358425021</v>
      </c>
      <c r="AW57" s="606">
        <f t="shared" si="44"/>
        <v>798849.61754319642</v>
      </c>
      <c r="AX57" s="606">
        <f t="shared" si="44"/>
        <v>796095.25150214275</v>
      </c>
      <c r="AY57" s="606">
        <f t="shared" si="44"/>
        <v>793340.88546108885</v>
      </c>
      <c r="AZ57" s="606">
        <f t="shared" si="44"/>
        <v>790586.51942003518</v>
      </c>
      <c r="BA57" s="606">
        <f t="shared" si="44"/>
        <v>787832.15337898151</v>
      </c>
      <c r="BB57" s="606">
        <f t="shared" si="44"/>
        <v>785077.78733792773</v>
      </c>
      <c r="BC57" s="606">
        <f t="shared" si="44"/>
        <v>782323.42129687394</v>
      </c>
      <c r="BD57" s="606">
        <f t="shared" si="44"/>
        <v>779569.05525582016</v>
      </c>
      <c r="BE57" s="606">
        <f t="shared" si="44"/>
        <v>776731.22357715864</v>
      </c>
      <c r="BF57" s="606">
        <f t="shared" si="44"/>
        <v>773893.39189849736</v>
      </c>
      <c r="BG57" s="606">
        <f t="shared" si="44"/>
        <v>771055.56021983584</v>
      </c>
      <c r="BH57" s="606">
        <f t="shared" si="44"/>
        <v>768217.72854117444</v>
      </c>
      <c r="BI57" s="606">
        <f t="shared" si="44"/>
        <v>765379.89686251292</v>
      </c>
      <c r="BJ57" s="606">
        <f t="shared" si="44"/>
        <v>762542.06518385152</v>
      </c>
      <c r="BK57" s="606">
        <f t="shared" si="44"/>
        <v>759704.23350519</v>
      </c>
      <c r="BL57" s="606">
        <f t="shared" si="44"/>
        <v>756866.40182652872</v>
      </c>
      <c r="BM57" s="606">
        <f t="shared" si="44"/>
        <v>754028.5701478672</v>
      </c>
      <c r="BN57" s="606">
        <f t="shared" si="44"/>
        <v>751190.7384692058</v>
      </c>
    </row>
    <row r="58" spans="1:66" s="62" customFormat="1" outlineLevel="1">
      <c r="A58" s="684"/>
      <c r="B58" s="55" t="s">
        <v>88</v>
      </c>
      <c r="C58" s="56" t="s">
        <v>166</v>
      </c>
      <c r="D58" s="639">
        <f>D5-D24-D35-D42-D51</f>
        <v>721970.81051218696</v>
      </c>
      <c r="E58" s="639">
        <f>E$57*$D58/SUM($D$58:$D$60)</f>
        <v>717205.80316280609</v>
      </c>
      <c r="F58" s="639">
        <f t="shared" ref="F58:AH60" si="45">F$57*$D58/SUM($D$58:$D$60)</f>
        <v>712440.79581342568</v>
      </c>
      <c r="G58" s="639">
        <f t="shared" si="45"/>
        <v>707675.78846404527</v>
      </c>
      <c r="H58" s="639">
        <f t="shared" si="45"/>
        <v>702910.78111466486</v>
      </c>
      <c r="I58" s="639">
        <f t="shared" si="45"/>
        <v>698145.77376528445</v>
      </c>
      <c r="J58" s="639">
        <f t="shared" si="45"/>
        <v>693380.76641590393</v>
      </c>
      <c r="K58" s="639">
        <f t="shared" si="45"/>
        <v>688615.75906652352</v>
      </c>
      <c r="L58" s="639">
        <f t="shared" si="45"/>
        <v>683850.75171714311</v>
      </c>
      <c r="M58" s="639">
        <f t="shared" si="45"/>
        <v>679085.7443677627</v>
      </c>
      <c r="N58" s="639">
        <f t="shared" si="45"/>
        <v>674320.73701838218</v>
      </c>
      <c r="O58" s="639">
        <f t="shared" si="45"/>
        <v>669555.72966900177</v>
      </c>
      <c r="P58" s="639">
        <f t="shared" si="45"/>
        <v>664790.72231962148</v>
      </c>
      <c r="Q58" s="639">
        <f t="shared" si="45"/>
        <v>660025.71497024095</v>
      </c>
      <c r="R58" s="639">
        <f t="shared" si="45"/>
        <v>655260.70762086066</v>
      </c>
      <c r="S58" s="639">
        <f t="shared" si="45"/>
        <v>650495.70027148013</v>
      </c>
      <c r="T58" s="639">
        <f t="shared" si="45"/>
        <v>645730.69292209961</v>
      </c>
      <c r="U58" s="639">
        <f t="shared" si="45"/>
        <v>640965.6855727192</v>
      </c>
      <c r="V58" s="639">
        <f t="shared" si="45"/>
        <v>636200.67822333879</v>
      </c>
      <c r="W58" s="639">
        <f t="shared" si="45"/>
        <v>631435.67087395827</v>
      </c>
      <c r="X58" s="639">
        <f t="shared" si="45"/>
        <v>626670.66352457798</v>
      </c>
      <c r="Y58" s="639">
        <f t="shared" si="45"/>
        <v>621761.26201309508</v>
      </c>
      <c r="Z58" s="639">
        <f t="shared" si="45"/>
        <v>616851.86050161219</v>
      </c>
      <c r="AA58" s="639">
        <f t="shared" si="45"/>
        <v>611942.45899012941</v>
      </c>
      <c r="AB58" s="639">
        <f t="shared" si="45"/>
        <v>607033.05747864651</v>
      </c>
      <c r="AC58" s="639">
        <f t="shared" si="45"/>
        <v>602123.65596716362</v>
      </c>
      <c r="AD58" s="639">
        <f t="shared" si="45"/>
        <v>597214.25445568073</v>
      </c>
      <c r="AE58" s="639">
        <f t="shared" si="45"/>
        <v>592304.85294419795</v>
      </c>
      <c r="AF58" s="639">
        <f t="shared" si="45"/>
        <v>587395.45143271505</v>
      </c>
      <c r="AG58" s="639">
        <f t="shared" si="45"/>
        <v>582486.04992123216</v>
      </c>
      <c r="AH58" s="639">
        <f t="shared" si="45"/>
        <v>577576.64840974938</v>
      </c>
      <c r="AI58" s="639"/>
      <c r="AJ58" s="639">
        <f>AJ5-AJ24-AJ35-AJ42-AJ51</f>
        <v>721970.81051218696</v>
      </c>
      <c r="AK58" s="639">
        <f>AK$57*$D58/SUM($D$58:$D$60)</f>
        <v>719588.30683749646</v>
      </c>
      <c r="AL58" s="639">
        <f t="shared" ref="AL58:BN60" si="46">AL$57*$D58/SUM($D$58:$D$60)</f>
        <v>717205.80316280609</v>
      </c>
      <c r="AM58" s="639">
        <f t="shared" si="46"/>
        <v>714823.29948811582</v>
      </c>
      <c r="AN58" s="639">
        <f t="shared" si="46"/>
        <v>712440.79581342568</v>
      </c>
      <c r="AO58" s="639">
        <f t="shared" si="46"/>
        <v>710058.29213873553</v>
      </c>
      <c r="AP58" s="639">
        <f t="shared" si="46"/>
        <v>707675.78846404527</v>
      </c>
      <c r="AQ58" s="639">
        <f t="shared" si="46"/>
        <v>705293.28478935512</v>
      </c>
      <c r="AR58" s="639">
        <f t="shared" si="46"/>
        <v>702910.78111466486</v>
      </c>
      <c r="AS58" s="639">
        <f t="shared" si="46"/>
        <v>700528.27743997448</v>
      </c>
      <c r="AT58" s="639">
        <f>AT$57*$D58/SUM($D$58:$D$60)</f>
        <v>698145.77376528445</v>
      </c>
      <c r="AU58" s="639">
        <f t="shared" si="46"/>
        <v>695763.27009059431</v>
      </c>
      <c r="AV58" s="639">
        <f t="shared" si="46"/>
        <v>693380.76641590393</v>
      </c>
      <c r="AW58" s="639">
        <f t="shared" si="46"/>
        <v>690998.26274121366</v>
      </c>
      <c r="AX58" s="639">
        <f t="shared" si="46"/>
        <v>688615.75906652352</v>
      </c>
      <c r="AY58" s="639">
        <f t="shared" si="46"/>
        <v>686233.25539183314</v>
      </c>
      <c r="AZ58" s="639">
        <f t="shared" si="46"/>
        <v>683850.75171714311</v>
      </c>
      <c r="BA58" s="639">
        <f t="shared" si="46"/>
        <v>681468.24804245285</v>
      </c>
      <c r="BB58" s="639">
        <f t="shared" si="46"/>
        <v>679085.7443677627</v>
      </c>
      <c r="BC58" s="639">
        <f t="shared" si="46"/>
        <v>676703.24069307244</v>
      </c>
      <c r="BD58" s="639">
        <f t="shared" si="46"/>
        <v>674320.73701838218</v>
      </c>
      <c r="BE58" s="639">
        <f t="shared" si="46"/>
        <v>671866.03626264073</v>
      </c>
      <c r="BF58" s="639">
        <f t="shared" si="46"/>
        <v>669411.3355068994</v>
      </c>
      <c r="BG58" s="639">
        <f t="shared" si="46"/>
        <v>666956.63475115795</v>
      </c>
      <c r="BH58" s="639">
        <f t="shared" si="46"/>
        <v>664501.9339954165</v>
      </c>
      <c r="BI58" s="639">
        <f t="shared" si="46"/>
        <v>662047.23323967506</v>
      </c>
      <c r="BJ58" s="639">
        <f t="shared" si="46"/>
        <v>659592.53248393373</v>
      </c>
      <c r="BK58" s="639">
        <f t="shared" si="46"/>
        <v>657137.83172819205</v>
      </c>
      <c r="BL58" s="639">
        <f t="shared" si="46"/>
        <v>654683.13097245083</v>
      </c>
      <c r="BM58" s="639">
        <f t="shared" si="46"/>
        <v>652228.43021670938</v>
      </c>
      <c r="BN58" s="639">
        <f t="shared" si="46"/>
        <v>649773.72946096794</v>
      </c>
    </row>
    <row r="59" spans="1:66" outlineLevel="1">
      <c r="A59" s="685"/>
      <c r="B59" s="1" t="s">
        <v>797</v>
      </c>
      <c r="C59" s="51" t="s">
        <v>166</v>
      </c>
      <c r="D59" s="635">
        <f>D6-D9-D25-D36-D43-D52</f>
        <v>17787.228447671918</v>
      </c>
      <c r="E59" s="635">
        <f t="shared" ref="E59:T60" si="47">E$57*$D59/SUM($D$58:$D$60)</f>
        <v>17669.832739917274</v>
      </c>
      <c r="F59" s="635">
        <f t="shared" si="47"/>
        <v>17552.437032162637</v>
      </c>
      <c r="G59" s="635">
        <f t="shared" si="47"/>
        <v>17435.041324408005</v>
      </c>
      <c r="H59" s="635">
        <f t="shared" si="47"/>
        <v>17317.645616653372</v>
      </c>
      <c r="I59" s="635">
        <f t="shared" si="47"/>
        <v>17200.249908898735</v>
      </c>
      <c r="J59" s="635">
        <f t="shared" si="47"/>
        <v>17082.854201144099</v>
      </c>
      <c r="K59" s="635">
        <f t="shared" si="47"/>
        <v>16965.458493389466</v>
      </c>
      <c r="L59" s="635">
        <f t="shared" si="47"/>
        <v>16848.062785634829</v>
      </c>
      <c r="M59" s="635">
        <f t="shared" si="47"/>
        <v>16730.667077880196</v>
      </c>
      <c r="N59" s="635">
        <f t="shared" si="47"/>
        <v>16613.27137012556</v>
      </c>
      <c r="O59" s="635">
        <f t="shared" si="47"/>
        <v>16495.875662370923</v>
      </c>
      <c r="P59" s="635">
        <f t="shared" si="47"/>
        <v>16378.479954616296</v>
      </c>
      <c r="Q59" s="635">
        <f t="shared" si="47"/>
        <v>16261.084246861659</v>
      </c>
      <c r="R59" s="635">
        <f t="shared" si="47"/>
        <v>16143.688539107026</v>
      </c>
      <c r="S59" s="635">
        <f t="shared" si="47"/>
        <v>16026.29283135239</v>
      </c>
      <c r="T59" s="635">
        <f t="shared" si="47"/>
        <v>15908.897123597753</v>
      </c>
      <c r="U59" s="635">
        <f t="shared" si="45"/>
        <v>15791.50141584312</v>
      </c>
      <c r="V59" s="635">
        <f t="shared" si="45"/>
        <v>15674.105708088484</v>
      </c>
      <c r="W59" s="635">
        <f t="shared" si="45"/>
        <v>15556.710000333849</v>
      </c>
      <c r="X59" s="635">
        <f t="shared" si="45"/>
        <v>15439.314292579218</v>
      </c>
      <c r="Y59" s="635">
        <f t="shared" si="45"/>
        <v>15318.361139135048</v>
      </c>
      <c r="Z59" s="635">
        <f t="shared" si="45"/>
        <v>15197.407985690877</v>
      </c>
      <c r="AA59" s="635">
        <f t="shared" si="45"/>
        <v>15076.454832246711</v>
      </c>
      <c r="AB59" s="635">
        <f t="shared" si="45"/>
        <v>14955.501678802542</v>
      </c>
      <c r="AC59" s="635">
        <f t="shared" si="45"/>
        <v>14834.54852535837</v>
      </c>
      <c r="AD59" s="635">
        <f t="shared" si="45"/>
        <v>14713.595371914202</v>
      </c>
      <c r="AE59" s="635">
        <f t="shared" si="45"/>
        <v>14592.642218470035</v>
      </c>
      <c r="AF59" s="635">
        <f t="shared" si="45"/>
        <v>14471.689065025865</v>
      </c>
      <c r="AG59" s="635">
        <f t="shared" si="45"/>
        <v>14350.735911581696</v>
      </c>
      <c r="AH59" s="635">
        <f t="shared" si="45"/>
        <v>14229.78275813753</v>
      </c>
      <c r="AI59" s="635"/>
      <c r="AJ59" s="635">
        <f>AJ6-AJ9-AJ25-AJ36-AJ43-AJ52</f>
        <v>17787.228447671918</v>
      </c>
      <c r="AK59" s="635">
        <f t="shared" ref="AK59:AZ60" si="48">AK$57*$D59/SUM($D$58:$D$60)</f>
        <v>17728.530593794592</v>
      </c>
      <c r="AL59" s="635">
        <f t="shared" si="48"/>
        <v>17669.832739917274</v>
      </c>
      <c r="AM59" s="635">
        <f t="shared" si="48"/>
        <v>17611.134886039956</v>
      </c>
      <c r="AN59" s="635">
        <f t="shared" si="48"/>
        <v>17552.437032162637</v>
      </c>
      <c r="AO59" s="635">
        <f t="shared" si="48"/>
        <v>17493.739178285319</v>
      </c>
      <c r="AP59" s="635">
        <f t="shared" si="48"/>
        <v>17435.041324408005</v>
      </c>
      <c r="AQ59" s="635">
        <f t="shared" si="48"/>
        <v>17376.343470530686</v>
      </c>
      <c r="AR59" s="635">
        <f t="shared" si="48"/>
        <v>17317.645616653372</v>
      </c>
      <c r="AS59" s="635">
        <f t="shared" si="48"/>
        <v>17258.94776277605</v>
      </c>
      <c r="AT59" s="635">
        <f t="shared" si="48"/>
        <v>17200.249908898735</v>
      </c>
      <c r="AU59" s="635">
        <f t="shared" si="48"/>
        <v>17141.552055021421</v>
      </c>
      <c r="AV59" s="635">
        <f t="shared" si="48"/>
        <v>17082.854201144099</v>
      </c>
      <c r="AW59" s="635">
        <f t="shared" si="48"/>
        <v>17024.156347266784</v>
      </c>
      <c r="AX59" s="635">
        <f t="shared" si="48"/>
        <v>16965.458493389466</v>
      </c>
      <c r="AY59" s="635">
        <f t="shared" si="48"/>
        <v>16906.760639512147</v>
      </c>
      <c r="AZ59" s="635">
        <f t="shared" si="48"/>
        <v>16848.062785634829</v>
      </c>
      <c r="BA59" s="635">
        <f t="shared" si="46"/>
        <v>16789.364931757515</v>
      </c>
      <c r="BB59" s="635">
        <f t="shared" si="46"/>
        <v>16730.667077880196</v>
      </c>
      <c r="BC59" s="635">
        <f t="shared" si="46"/>
        <v>16671.969224002878</v>
      </c>
      <c r="BD59" s="635">
        <f t="shared" si="46"/>
        <v>16613.27137012556</v>
      </c>
      <c r="BE59" s="635">
        <f t="shared" si="46"/>
        <v>16552.794793403475</v>
      </c>
      <c r="BF59" s="635">
        <f t="shared" si="46"/>
        <v>16492.318216681393</v>
      </c>
      <c r="BG59" s="635">
        <f t="shared" si="46"/>
        <v>16431.841639959308</v>
      </c>
      <c r="BH59" s="635">
        <f t="shared" si="46"/>
        <v>16371.365063237225</v>
      </c>
      <c r="BI59" s="635">
        <f t="shared" si="46"/>
        <v>16310.888486515138</v>
      </c>
      <c r="BJ59" s="635">
        <f t="shared" si="46"/>
        <v>16250.411909793054</v>
      </c>
      <c r="BK59" s="635">
        <f t="shared" si="46"/>
        <v>16189.935333070969</v>
      </c>
      <c r="BL59" s="635">
        <f t="shared" si="46"/>
        <v>16129.458756348888</v>
      </c>
      <c r="BM59" s="635">
        <f t="shared" si="46"/>
        <v>16068.982179626801</v>
      </c>
      <c r="BN59" s="635">
        <f>BN$57*$D59/SUM($D$58:$D$60)</f>
        <v>16008.505602904719</v>
      </c>
    </row>
    <row r="60" spans="1:66" s="63" customFormat="1" outlineLevel="1">
      <c r="A60" s="686"/>
      <c r="B60" s="59" t="s">
        <v>1301</v>
      </c>
      <c r="C60" s="262" t="s">
        <v>166</v>
      </c>
      <c r="D60" s="638">
        <f>D7-D26-D37-D44-D53</f>
        <v>94898.337117036892</v>
      </c>
      <c r="E60" s="638">
        <f t="shared" si="47"/>
        <v>94272.008092064396</v>
      </c>
      <c r="F60" s="638">
        <f t="shared" si="45"/>
        <v>93645.679067091958</v>
      </c>
      <c r="G60" s="638">
        <f t="shared" si="45"/>
        <v>93019.350042119506</v>
      </c>
      <c r="H60" s="638">
        <f t="shared" si="45"/>
        <v>92393.021017147083</v>
      </c>
      <c r="I60" s="638">
        <f t="shared" si="45"/>
        <v>91766.691992174616</v>
      </c>
      <c r="J60" s="638">
        <f t="shared" si="45"/>
        <v>91140.362967202178</v>
      </c>
      <c r="K60" s="638">
        <f t="shared" si="45"/>
        <v>90514.03394222974</v>
      </c>
      <c r="L60" s="638">
        <f t="shared" si="45"/>
        <v>89887.704917257288</v>
      </c>
      <c r="M60" s="638">
        <f t="shared" si="45"/>
        <v>89261.37589228485</v>
      </c>
      <c r="N60" s="638">
        <f t="shared" si="45"/>
        <v>88635.046867312412</v>
      </c>
      <c r="O60" s="638">
        <f t="shared" si="45"/>
        <v>88008.71784233996</v>
      </c>
      <c r="P60" s="638">
        <f t="shared" si="45"/>
        <v>87382.388817367537</v>
      </c>
      <c r="Q60" s="638">
        <f t="shared" si="45"/>
        <v>86756.059792395085</v>
      </c>
      <c r="R60" s="638">
        <f t="shared" si="45"/>
        <v>86129.730767422647</v>
      </c>
      <c r="S60" s="638">
        <f t="shared" si="45"/>
        <v>85503.401742450194</v>
      </c>
      <c r="T60" s="638">
        <f t="shared" si="45"/>
        <v>84877.072717477742</v>
      </c>
      <c r="U60" s="638">
        <f t="shared" si="45"/>
        <v>84250.743692505304</v>
      </c>
      <c r="V60" s="638">
        <f t="shared" si="45"/>
        <v>83624.414667532852</v>
      </c>
      <c r="W60" s="638">
        <f t="shared" si="45"/>
        <v>82998.085642560414</v>
      </c>
      <c r="X60" s="638">
        <f t="shared" si="45"/>
        <v>82371.756617587991</v>
      </c>
      <c r="Y60" s="638">
        <f t="shared" si="45"/>
        <v>81726.447925192129</v>
      </c>
      <c r="Z60" s="638">
        <f t="shared" si="45"/>
        <v>81081.139232796282</v>
      </c>
      <c r="AA60" s="638">
        <f t="shared" si="45"/>
        <v>80435.830540400435</v>
      </c>
      <c r="AB60" s="638">
        <f t="shared" si="45"/>
        <v>79790.521848004588</v>
      </c>
      <c r="AC60" s="638">
        <f t="shared" si="45"/>
        <v>79145.213155608726</v>
      </c>
      <c r="AD60" s="638">
        <f t="shared" si="45"/>
        <v>78499.904463212864</v>
      </c>
      <c r="AE60" s="638">
        <f t="shared" si="45"/>
        <v>77854.595770817032</v>
      </c>
      <c r="AF60" s="638">
        <f t="shared" si="45"/>
        <v>77209.28707842117</v>
      </c>
      <c r="AG60" s="638">
        <f t="shared" si="45"/>
        <v>76563.978386025323</v>
      </c>
      <c r="AH60" s="638">
        <f t="shared" si="45"/>
        <v>75918.669693629476</v>
      </c>
      <c r="AI60" s="638"/>
      <c r="AJ60" s="638">
        <f>AJ7-AJ26-AJ37-AJ44-AJ53</f>
        <v>94898.337117036892</v>
      </c>
      <c r="AK60" s="638">
        <f t="shared" si="48"/>
        <v>94585.172604550637</v>
      </c>
      <c r="AL60" s="638">
        <f t="shared" si="46"/>
        <v>94272.008092064396</v>
      </c>
      <c r="AM60" s="638">
        <f t="shared" si="46"/>
        <v>93958.84357957817</v>
      </c>
      <c r="AN60" s="638">
        <f t="shared" si="46"/>
        <v>93645.679067091958</v>
      </c>
      <c r="AO60" s="638">
        <f t="shared" si="46"/>
        <v>93332.514554605717</v>
      </c>
      <c r="AP60" s="638">
        <f t="shared" si="46"/>
        <v>93019.350042119506</v>
      </c>
      <c r="AQ60" s="638">
        <f t="shared" si="46"/>
        <v>92706.185529633294</v>
      </c>
      <c r="AR60" s="638">
        <f t="shared" si="46"/>
        <v>92393.021017147083</v>
      </c>
      <c r="AS60" s="638">
        <f t="shared" si="46"/>
        <v>92079.856504660842</v>
      </c>
      <c r="AT60" s="638">
        <f t="shared" si="46"/>
        <v>91766.691992174616</v>
      </c>
      <c r="AU60" s="638">
        <f t="shared" si="46"/>
        <v>91453.527479688404</v>
      </c>
      <c r="AV60" s="638">
        <f t="shared" si="46"/>
        <v>91140.362967202178</v>
      </c>
      <c r="AW60" s="638">
        <f t="shared" si="46"/>
        <v>90827.198454715952</v>
      </c>
      <c r="AX60" s="638">
        <f t="shared" si="46"/>
        <v>90514.03394222974</v>
      </c>
      <c r="AY60" s="638">
        <f t="shared" si="46"/>
        <v>90200.869429743514</v>
      </c>
      <c r="AZ60" s="638">
        <f t="shared" si="46"/>
        <v>89887.704917257288</v>
      </c>
      <c r="BA60" s="638">
        <f t="shared" si="46"/>
        <v>89574.540404771091</v>
      </c>
      <c r="BB60" s="638">
        <f t="shared" si="46"/>
        <v>89261.37589228485</v>
      </c>
      <c r="BC60" s="638">
        <f t="shared" si="46"/>
        <v>88948.211379798624</v>
      </c>
      <c r="BD60" s="638">
        <f t="shared" si="46"/>
        <v>88635.046867312412</v>
      </c>
      <c r="BE60" s="638">
        <f t="shared" si="46"/>
        <v>88312.392521114481</v>
      </c>
      <c r="BF60" s="638">
        <f t="shared" si="46"/>
        <v>87989.738174916565</v>
      </c>
      <c r="BG60" s="638">
        <f t="shared" si="46"/>
        <v>87667.08382871862</v>
      </c>
      <c r="BH60" s="638">
        <f t="shared" si="46"/>
        <v>87344.429482520703</v>
      </c>
      <c r="BI60" s="638">
        <f t="shared" si="46"/>
        <v>87021.775136322773</v>
      </c>
      <c r="BJ60" s="638">
        <f t="shared" si="46"/>
        <v>86699.120790124856</v>
      </c>
      <c r="BK60" s="638">
        <f t="shared" si="46"/>
        <v>86376.466443926925</v>
      </c>
      <c r="BL60" s="638">
        <f t="shared" si="46"/>
        <v>86053.812097729024</v>
      </c>
      <c r="BM60" s="638">
        <f t="shared" si="46"/>
        <v>85731.157751531093</v>
      </c>
      <c r="BN60" s="638">
        <f t="shared" si="46"/>
        <v>85408.503405333147</v>
      </c>
    </row>
    <row r="61" spans="1:66" s="62" customFormat="1" outlineLevel="2">
      <c r="B61" s="55" t="s">
        <v>193</v>
      </c>
      <c r="C61" s="56" t="s">
        <v>166</v>
      </c>
      <c r="D61" s="630">
        <f>SUM('Demand - Wind'!D41:D42)</f>
        <v>0</v>
      </c>
      <c r="E61" s="630">
        <f>SUM('Demand - Wind'!E41:E42)</f>
        <v>16.726765302995585</v>
      </c>
      <c r="F61" s="630">
        <f>SUM('Demand - Wind'!F41:F42)</f>
        <v>17.590988209549149</v>
      </c>
      <c r="G61" s="630">
        <f>SUM('Demand - Wind'!G41:G42)</f>
        <v>18.499862979070912</v>
      </c>
      <c r="H61" s="630">
        <f>SUM('Demand - Wind'!H41:H42)</f>
        <v>19.455696642364551</v>
      </c>
      <c r="I61" s="630">
        <f>SUM('Demand - Wind'!I41:I42)</f>
        <v>20.460915427749018</v>
      </c>
      <c r="J61" s="630">
        <f>SUM('Demand - Wind'!J41:J42)</f>
        <v>21.518070919644863</v>
      </c>
      <c r="K61" s="630">
        <f>SUM('Demand - Wind'!K41:K42)</f>
        <v>22.629846535356386</v>
      </c>
      <c r="L61" s="630">
        <f>SUM('Demand - Wind'!L41:L42)</f>
        <v>23.799064336489966</v>
      </c>
      <c r="M61" s="630">
        <f>SUM('Demand - Wind'!M41:M42)</f>
        <v>25.028692192298564</v>
      </c>
      <c r="N61" s="630">
        <f>SUM('Demand - Wind'!N41:N42)</f>
        <v>26.321851313135173</v>
      </c>
      <c r="O61" s="630">
        <f>SUM('Demand - Wind'!O41:O42)</f>
        <v>27.681824173137755</v>
      </c>
      <c r="P61" s="630">
        <f>SUM('Demand - Wind'!P41:P42)</f>
        <v>29.112062842256151</v>
      </c>
      <c r="Q61" s="630">
        <f>SUM('Demand - Wind'!Q41:Q42)</f>
        <v>30.616197748770183</v>
      </c>
      <c r="R61" s="630">
        <f>SUM('Demand - Wind'!R41:R42)</f>
        <v>32.198046894541463</v>
      </c>
      <c r="S61" s="630">
        <f>SUM('Demand - Wind'!S41:S42)</f>
        <v>33.861625546390208</v>
      </c>
      <c r="T61" s="630">
        <f>SUM('Demand - Wind'!T41:T42)</f>
        <v>35.611156428197248</v>
      </c>
      <c r="U61" s="630">
        <f>SUM('Demand - Wind'!U41:U42)</f>
        <v>37.451080439601697</v>
      </c>
      <c r="V61" s="630">
        <f>SUM('Demand - Wind'!V41:V42)</f>
        <v>39.386067928502783</v>
      </c>
      <c r="W61" s="630">
        <f>SUM('Demand - Wind'!W41:W42)</f>
        <v>41.421030545978468</v>
      </c>
      <c r="X61" s="630">
        <f>SUM('Demand - Wind'!X41:X42)</f>
        <v>43.561133713712678</v>
      </c>
      <c r="Y61" s="630">
        <f>SUM('Demand - Wind'!Y41:Y42)</f>
        <v>45.811809735578677</v>
      </c>
      <c r="Z61" s="630">
        <f>SUM('Demand - Wind'!Z41:Z42)</f>
        <v>48.178771586658684</v>
      </c>
      <c r="AA61" s="630">
        <f>SUM('Demand - Wind'!AA41:AA42)</f>
        <v>50.668027414702337</v>
      </c>
      <c r="AB61" s="630">
        <f>SUM('Demand - Wind'!AB41:AB42)</f>
        <v>53.285895790832718</v>
      </c>
      <c r="AC61" s="630">
        <f>SUM('Demand - Wind'!AC41:AC42)</f>
        <v>56.039021748211695</v>
      </c>
      <c r="AD61" s="630">
        <f>SUM('Demand - Wind'!AD41:AD42)</f>
        <v>58.934393649375416</v>
      </c>
      <c r="AE61" s="630">
        <f>SUM('Demand - Wind'!AE41:AE42)</f>
        <v>61.979360925057456</v>
      </c>
      <c r="AF61" s="630">
        <f>SUM('Demand - Wind'!AF41:AF42)</f>
        <v>65.181652729521858</v>
      </c>
      <c r="AG61" s="630">
        <f>SUM('Demand - Wind'!AG41:AG42)</f>
        <v>68.549397559765822</v>
      </c>
      <c r="AH61" s="630">
        <f>SUM('Demand - Wind'!AH41:AH42)</f>
        <v>72.09114388838718</v>
      </c>
      <c r="AI61" s="639"/>
      <c r="AJ61" s="630">
        <f>D61</f>
        <v>0</v>
      </c>
      <c r="AK61" s="630">
        <f t="shared" ref="AK61:BN62" si="49">E61</f>
        <v>16.726765302995585</v>
      </c>
      <c r="AL61" s="630">
        <f t="shared" si="49"/>
        <v>17.590988209549149</v>
      </c>
      <c r="AM61" s="630">
        <f t="shared" si="49"/>
        <v>18.499862979070912</v>
      </c>
      <c r="AN61" s="630">
        <f t="shared" si="49"/>
        <v>19.455696642364551</v>
      </c>
      <c r="AO61" s="630">
        <f t="shared" si="49"/>
        <v>20.460915427749018</v>
      </c>
      <c r="AP61" s="630">
        <f t="shared" si="49"/>
        <v>21.518070919644863</v>
      </c>
      <c r="AQ61" s="630">
        <f t="shared" si="49"/>
        <v>22.629846535356386</v>
      </c>
      <c r="AR61" s="630">
        <f t="shared" si="49"/>
        <v>23.799064336489966</v>
      </c>
      <c r="AS61" s="630">
        <f t="shared" si="49"/>
        <v>25.028692192298564</v>
      </c>
      <c r="AT61" s="630">
        <f t="shared" si="49"/>
        <v>26.321851313135173</v>
      </c>
      <c r="AU61" s="630">
        <f t="shared" si="49"/>
        <v>27.681824173137755</v>
      </c>
      <c r="AV61" s="630">
        <f t="shared" si="49"/>
        <v>29.112062842256151</v>
      </c>
      <c r="AW61" s="630">
        <f t="shared" si="49"/>
        <v>30.616197748770183</v>
      </c>
      <c r="AX61" s="630">
        <f t="shared" si="49"/>
        <v>32.198046894541463</v>
      </c>
      <c r="AY61" s="630">
        <f t="shared" si="49"/>
        <v>33.861625546390208</v>
      </c>
      <c r="AZ61" s="630">
        <f t="shared" si="49"/>
        <v>35.611156428197248</v>
      </c>
      <c r="BA61" s="630">
        <f t="shared" si="49"/>
        <v>37.451080439601697</v>
      </c>
      <c r="BB61" s="630">
        <f t="shared" si="49"/>
        <v>39.386067928502783</v>
      </c>
      <c r="BC61" s="630">
        <f t="shared" si="49"/>
        <v>41.421030545978468</v>
      </c>
      <c r="BD61" s="630">
        <f t="shared" si="49"/>
        <v>43.561133713712678</v>
      </c>
      <c r="BE61" s="630">
        <f t="shared" si="49"/>
        <v>45.811809735578677</v>
      </c>
      <c r="BF61" s="630">
        <f t="shared" si="49"/>
        <v>48.178771586658684</v>
      </c>
      <c r="BG61" s="630">
        <f t="shared" si="49"/>
        <v>50.668027414702337</v>
      </c>
      <c r="BH61" s="630">
        <f t="shared" si="49"/>
        <v>53.285895790832718</v>
      </c>
      <c r="BI61" s="630">
        <f t="shared" si="49"/>
        <v>56.039021748211695</v>
      </c>
      <c r="BJ61" s="630">
        <f t="shared" si="49"/>
        <v>58.934393649375416</v>
      </c>
      <c r="BK61" s="630">
        <f t="shared" si="49"/>
        <v>61.979360925057456</v>
      </c>
      <c r="BL61" s="630">
        <f t="shared" si="49"/>
        <v>65.181652729521858</v>
      </c>
      <c r="BM61" s="630">
        <f t="shared" si="49"/>
        <v>68.549397559765822</v>
      </c>
      <c r="BN61" s="630">
        <f t="shared" si="49"/>
        <v>72.09114388838718</v>
      </c>
    </row>
    <row r="62" spans="1:66" outlineLevel="2">
      <c r="B62" s="1" t="s">
        <v>194</v>
      </c>
      <c r="C62" s="51" t="s">
        <v>166</v>
      </c>
      <c r="D62" s="101">
        <v>0</v>
      </c>
      <c r="E62" s="101">
        <v>0</v>
      </c>
      <c r="F62" s="101">
        <v>0</v>
      </c>
      <c r="G62" s="101">
        <v>0</v>
      </c>
      <c r="H62" s="101">
        <v>0</v>
      </c>
      <c r="I62" s="101">
        <v>0</v>
      </c>
      <c r="J62" s="101">
        <v>0</v>
      </c>
      <c r="K62" s="101">
        <v>0</v>
      </c>
      <c r="L62" s="101">
        <v>0</v>
      </c>
      <c r="M62" s="101">
        <v>0</v>
      </c>
      <c r="N62" s="101">
        <v>0</v>
      </c>
      <c r="O62" s="101">
        <v>0</v>
      </c>
      <c r="P62" s="101">
        <v>0</v>
      </c>
      <c r="Q62" s="101">
        <v>0</v>
      </c>
      <c r="R62" s="101">
        <v>0</v>
      </c>
      <c r="S62" s="101">
        <v>0</v>
      </c>
      <c r="T62" s="101">
        <v>0</v>
      </c>
      <c r="U62" s="101">
        <v>0</v>
      </c>
      <c r="V62" s="101">
        <v>0</v>
      </c>
      <c r="W62" s="101">
        <v>0</v>
      </c>
      <c r="X62" s="101">
        <v>0</v>
      </c>
      <c r="Y62" s="101">
        <v>0</v>
      </c>
      <c r="Z62" s="101">
        <v>0</v>
      </c>
      <c r="AA62" s="101">
        <v>0</v>
      </c>
      <c r="AB62" s="101">
        <v>0</v>
      </c>
      <c r="AC62" s="101">
        <v>0</v>
      </c>
      <c r="AD62" s="101">
        <v>0</v>
      </c>
      <c r="AE62" s="101">
        <v>0</v>
      </c>
      <c r="AF62" s="101">
        <v>0</v>
      </c>
      <c r="AG62" s="101">
        <v>0</v>
      </c>
      <c r="AH62" s="101">
        <v>0</v>
      </c>
      <c r="AI62" s="191"/>
      <c r="AJ62" s="101">
        <f>D62</f>
        <v>0</v>
      </c>
      <c r="AK62" s="101">
        <f t="shared" si="49"/>
        <v>0</v>
      </c>
      <c r="AL62" s="101">
        <f t="shared" si="49"/>
        <v>0</v>
      </c>
      <c r="AM62" s="101">
        <f t="shared" si="49"/>
        <v>0</v>
      </c>
      <c r="AN62" s="101">
        <f t="shared" si="49"/>
        <v>0</v>
      </c>
      <c r="AO62" s="101">
        <f t="shared" si="49"/>
        <v>0</v>
      </c>
      <c r="AP62" s="101">
        <f t="shared" si="49"/>
        <v>0</v>
      </c>
      <c r="AQ62" s="101">
        <f t="shared" si="49"/>
        <v>0</v>
      </c>
      <c r="AR62" s="101">
        <f t="shared" si="49"/>
        <v>0</v>
      </c>
      <c r="AS62" s="101">
        <f t="shared" si="49"/>
        <v>0</v>
      </c>
      <c r="AT62" s="101">
        <f t="shared" si="49"/>
        <v>0</v>
      </c>
      <c r="AU62" s="101">
        <f t="shared" si="49"/>
        <v>0</v>
      </c>
      <c r="AV62" s="101">
        <f t="shared" si="49"/>
        <v>0</v>
      </c>
      <c r="AW62" s="101">
        <f t="shared" si="49"/>
        <v>0</v>
      </c>
      <c r="AX62" s="101">
        <f t="shared" si="49"/>
        <v>0</v>
      </c>
      <c r="AY62" s="101">
        <f t="shared" si="49"/>
        <v>0</v>
      </c>
      <c r="AZ62" s="101">
        <f t="shared" si="49"/>
        <v>0</v>
      </c>
      <c r="BA62" s="101">
        <f t="shared" si="49"/>
        <v>0</v>
      </c>
      <c r="BB62" s="101">
        <f t="shared" si="49"/>
        <v>0</v>
      </c>
      <c r="BC62" s="101">
        <f t="shared" si="49"/>
        <v>0</v>
      </c>
      <c r="BD62" s="101">
        <f t="shared" si="49"/>
        <v>0</v>
      </c>
      <c r="BE62" s="101">
        <f t="shared" si="49"/>
        <v>0</v>
      </c>
      <c r="BF62" s="101">
        <f t="shared" si="49"/>
        <v>0</v>
      </c>
      <c r="BG62" s="101">
        <f t="shared" si="49"/>
        <v>0</v>
      </c>
      <c r="BH62" s="101">
        <f t="shared" si="49"/>
        <v>0</v>
      </c>
      <c r="BI62" s="101">
        <f t="shared" si="49"/>
        <v>0</v>
      </c>
      <c r="BJ62" s="101">
        <f t="shared" si="49"/>
        <v>0</v>
      </c>
      <c r="BK62" s="101">
        <f t="shared" si="49"/>
        <v>0</v>
      </c>
      <c r="BL62" s="101">
        <f t="shared" si="49"/>
        <v>0</v>
      </c>
      <c r="BM62" s="101">
        <f t="shared" si="49"/>
        <v>0</v>
      </c>
      <c r="BN62" s="101">
        <f t="shared" si="49"/>
        <v>0</v>
      </c>
    </row>
    <row r="63" spans="1:66" s="180" customFormat="1" ht="15.65" customHeight="1" outlineLevel="1">
      <c r="A63" s="177" t="s">
        <v>192</v>
      </c>
      <c r="B63" s="178" t="s">
        <v>225</v>
      </c>
      <c r="C63" s="179" t="s">
        <v>166</v>
      </c>
      <c r="D63" s="640">
        <f>D61+D62</f>
        <v>0</v>
      </c>
      <c r="E63" s="640">
        <f t="shared" ref="E63:AH63" si="50">E61+E62</f>
        <v>16.726765302995585</v>
      </c>
      <c r="F63" s="640">
        <f t="shared" si="50"/>
        <v>17.590988209549149</v>
      </c>
      <c r="G63" s="640">
        <f t="shared" si="50"/>
        <v>18.499862979070912</v>
      </c>
      <c r="H63" s="640">
        <f t="shared" si="50"/>
        <v>19.455696642364551</v>
      </c>
      <c r="I63" s="640">
        <f t="shared" si="50"/>
        <v>20.460915427749018</v>
      </c>
      <c r="J63" s="640">
        <f t="shared" si="50"/>
        <v>21.518070919644863</v>
      </c>
      <c r="K63" s="640">
        <f t="shared" si="50"/>
        <v>22.629846535356386</v>
      </c>
      <c r="L63" s="640">
        <f t="shared" si="50"/>
        <v>23.799064336489966</v>
      </c>
      <c r="M63" s="640">
        <f t="shared" si="50"/>
        <v>25.028692192298564</v>
      </c>
      <c r="N63" s="640">
        <f t="shared" si="50"/>
        <v>26.321851313135173</v>
      </c>
      <c r="O63" s="640">
        <f t="shared" si="50"/>
        <v>27.681824173137755</v>
      </c>
      <c r="P63" s="640">
        <f t="shared" si="50"/>
        <v>29.112062842256151</v>
      </c>
      <c r="Q63" s="640">
        <f t="shared" si="50"/>
        <v>30.616197748770183</v>
      </c>
      <c r="R63" s="640">
        <f t="shared" si="50"/>
        <v>32.198046894541463</v>
      </c>
      <c r="S63" s="640">
        <f t="shared" si="50"/>
        <v>33.861625546390208</v>
      </c>
      <c r="T63" s="640">
        <f t="shared" si="50"/>
        <v>35.611156428197248</v>
      </c>
      <c r="U63" s="640">
        <f t="shared" si="50"/>
        <v>37.451080439601697</v>
      </c>
      <c r="V63" s="640">
        <f t="shared" si="50"/>
        <v>39.386067928502783</v>
      </c>
      <c r="W63" s="640">
        <f t="shared" si="50"/>
        <v>41.421030545978468</v>
      </c>
      <c r="X63" s="640">
        <f t="shared" si="50"/>
        <v>43.561133713712678</v>
      </c>
      <c r="Y63" s="640">
        <f t="shared" si="50"/>
        <v>45.811809735578677</v>
      </c>
      <c r="Z63" s="640">
        <f t="shared" si="50"/>
        <v>48.178771586658684</v>
      </c>
      <c r="AA63" s="640">
        <f t="shared" si="50"/>
        <v>50.668027414702337</v>
      </c>
      <c r="AB63" s="640">
        <f t="shared" si="50"/>
        <v>53.285895790832718</v>
      </c>
      <c r="AC63" s="640">
        <f t="shared" si="50"/>
        <v>56.039021748211695</v>
      </c>
      <c r="AD63" s="640">
        <f t="shared" si="50"/>
        <v>58.934393649375416</v>
      </c>
      <c r="AE63" s="640">
        <f t="shared" si="50"/>
        <v>61.979360925057456</v>
      </c>
      <c r="AF63" s="640">
        <f t="shared" si="50"/>
        <v>65.181652729521858</v>
      </c>
      <c r="AG63" s="640">
        <f t="shared" si="50"/>
        <v>68.549397559765822</v>
      </c>
      <c r="AH63" s="640">
        <f t="shared" si="50"/>
        <v>72.09114388838718</v>
      </c>
      <c r="AI63" s="641"/>
      <c r="AJ63" s="640">
        <f>AJ61+AJ62</f>
        <v>0</v>
      </c>
      <c r="AK63" s="640">
        <f t="shared" ref="AK63:BN63" si="51">AK61+AK62</f>
        <v>16.726765302995585</v>
      </c>
      <c r="AL63" s="640">
        <f t="shared" si="51"/>
        <v>17.590988209549149</v>
      </c>
      <c r="AM63" s="640">
        <f t="shared" si="51"/>
        <v>18.499862979070912</v>
      </c>
      <c r="AN63" s="640">
        <f t="shared" si="51"/>
        <v>19.455696642364551</v>
      </c>
      <c r="AO63" s="640">
        <f t="shared" si="51"/>
        <v>20.460915427749018</v>
      </c>
      <c r="AP63" s="640">
        <f t="shared" si="51"/>
        <v>21.518070919644863</v>
      </c>
      <c r="AQ63" s="640">
        <f t="shared" si="51"/>
        <v>22.629846535356386</v>
      </c>
      <c r="AR63" s="640">
        <f t="shared" si="51"/>
        <v>23.799064336489966</v>
      </c>
      <c r="AS63" s="640">
        <f t="shared" si="51"/>
        <v>25.028692192298564</v>
      </c>
      <c r="AT63" s="640">
        <f t="shared" si="51"/>
        <v>26.321851313135173</v>
      </c>
      <c r="AU63" s="640">
        <f t="shared" si="51"/>
        <v>27.681824173137755</v>
      </c>
      <c r="AV63" s="640">
        <f t="shared" si="51"/>
        <v>29.112062842256151</v>
      </c>
      <c r="AW63" s="640">
        <f t="shared" si="51"/>
        <v>30.616197748770183</v>
      </c>
      <c r="AX63" s="640">
        <f t="shared" si="51"/>
        <v>32.198046894541463</v>
      </c>
      <c r="AY63" s="640">
        <f t="shared" si="51"/>
        <v>33.861625546390208</v>
      </c>
      <c r="AZ63" s="640">
        <f t="shared" si="51"/>
        <v>35.611156428197248</v>
      </c>
      <c r="BA63" s="640">
        <f t="shared" si="51"/>
        <v>37.451080439601697</v>
      </c>
      <c r="BB63" s="640">
        <f t="shared" si="51"/>
        <v>39.386067928502783</v>
      </c>
      <c r="BC63" s="640">
        <f t="shared" si="51"/>
        <v>41.421030545978468</v>
      </c>
      <c r="BD63" s="640">
        <f t="shared" si="51"/>
        <v>43.561133713712678</v>
      </c>
      <c r="BE63" s="640">
        <f t="shared" si="51"/>
        <v>45.811809735578677</v>
      </c>
      <c r="BF63" s="640">
        <f t="shared" si="51"/>
        <v>48.178771586658684</v>
      </c>
      <c r="BG63" s="640">
        <f t="shared" si="51"/>
        <v>50.668027414702337</v>
      </c>
      <c r="BH63" s="640">
        <f t="shared" si="51"/>
        <v>53.285895790832718</v>
      </c>
      <c r="BI63" s="640">
        <f t="shared" si="51"/>
        <v>56.039021748211695</v>
      </c>
      <c r="BJ63" s="640">
        <f t="shared" si="51"/>
        <v>58.934393649375416</v>
      </c>
      <c r="BK63" s="640">
        <f t="shared" si="51"/>
        <v>61.979360925057456</v>
      </c>
      <c r="BL63" s="640">
        <f t="shared" si="51"/>
        <v>65.181652729521858</v>
      </c>
      <c r="BM63" s="640">
        <f t="shared" si="51"/>
        <v>68.549397559765822</v>
      </c>
      <c r="BN63" s="640">
        <f t="shared" si="51"/>
        <v>72.09114388838718</v>
      </c>
    </row>
    <row r="64" spans="1:66" outlineLevel="1">
      <c r="A64" s="685"/>
      <c r="B64" s="55" t="s">
        <v>88</v>
      </c>
      <c r="C64" s="51" t="s">
        <v>166</v>
      </c>
      <c r="D64" s="635">
        <f>'Demand - Wind'!D41</f>
        <v>0</v>
      </c>
      <c r="E64" s="635">
        <f>'Demand - Wind'!E41</f>
        <v>8.1993947563703848</v>
      </c>
      <c r="F64" s="635">
        <f>'Demand - Wind'!F41</f>
        <v>8.6230334360535039</v>
      </c>
      <c r="G64" s="635">
        <f>'Demand - Wind'!G41</f>
        <v>9.0685602838582895</v>
      </c>
      <c r="H64" s="635">
        <f>'Demand - Wind'!H41</f>
        <v>9.5371061972375255</v>
      </c>
      <c r="I64" s="635">
        <f>'Demand - Wind'!I41</f>
        <v>10.029860503798538</v>
      </c>
      <c r="J64" s="635">
        <f>'Demand - Wind'!J41</f>
        <v>10.548073980218071</v>
      </c>
      <c r="K64" s="635">
        <f>'Demand - Wind'!K41</f>
        <v>11.093062027135485</v>
      </c>
      <c r="L64" s="635">
        <f>'Demand - Wind'!L41</f>
        <v>11.666208008083316</v>
      </c>
      <c r="M64" s="635">
        <f>'Demand - Wind'!M41</f>
        <v>12.268966760930669</v>
      </c>
      <c r="N64" s="635">
        <f>'Demand - Wind'!N41</f>
        <v>12.902868290752536</v>
      </c>
      <c r="O64" s="635">
        <f>'Demand - Wind'!O41</f>
        <v>13.569521653498899</v>
      </c>
      <c r="P64" s="635">
        <f>'Demand - Wind'!P41</f>
        <v>14.270619040321641</v>
      </c>
      <c r="Q64" s="635">
        <f>'Demand - Wind'!Q41</f>
        <v>15.007940072926559</v>
      </c>
      <c r="R64" s="635">
        <f>'Demand - Wind'!R41</f>
        <v>15.78335632085366</v>
      </c>
      <c r="S64" s="635">
        <f>'Demand - Wind'!S41</f>
        <v>16.598836052152063</v>
      </c>
      <c r="T64" s="635">
        <f>'Demand - Wind'!T41</f>
        <v>17.456449229508454</v>
      </c>
      <c r="U64" s="635">
        <f>'Demand - Wind'!U41</f>
        <v>18.358372764510637</v>
      </c>
      <c r="V64" s="635">
        <f>'Demand - Wind'!V41</f>
        <v>19.306896043383716</v>
      </c>
      <c r="W64" s="635">
        <f>'Demand - Wind'!W41</f>
        <v>20.304426738224738</v>
      </c>
      <c r="X64" s="635">
        <f>'Demand - Wind'!X41</f>
        <v>21.353496918486609</v>
      </c>
      <c r="Y64" s="635">
        <f>'Demand - Wind'!Y41</f>
        <v>22.456769478224842</v>
      </c>
      <c r="Z64" s="635">
        <f>'Demand - Wind'!Z41</f>
        <v>23.617044895420925</v>
      </c>
      <c r="AA64" s="635">
        <f>'Demand - Wind'!AA41</f>
        <v>24.837268340540362</v>
      </c>
      <c r="AB64" s="635">
        <f>'Demand - Wind'!AB41</f>
        <v>26.120537152368978</v>
      </c>
      <c r="AC64" s="635">
        <f>'Demand - Wind'!AC41</f>
        <v>27.470108700103768</v>
      </c>
      <c r="AD64" s="635">
        <f>'Demand - Wind'!AD41</f>
        <v>28.889408651654616</v>
      </c>
      <c r="AE64" s="635">
        <f>'Demand - Wind'!AE41</f>
        <v>30.382039669145811</v>
      </c>
      <c r="AF64" s="635">
        <f>'Demand - Wind'!AF41</f>
        <v>31.951790553687182</v>
      </c>
      <c r="AG64" s="635">
        <f>'Demand - Wind'!AG41</f>
        <v>33.602645862630304</v>
      </c>
      <c r="AH64" s="635">
        <f>'Demand - Wind'!AH41</f>
        <v>35.338796023719205</v>
      </c>
      <c r="AI64" s="635"/>
      <c r="AJ64" s="635">
        <f>D64</f>
        <v>0</v>
      </c>
      <c r="AK64" s="635">
        <f t="shared" ref="AK64:BN66" si="52">E64</f>
        <v>8.1993947563703848</v>
      </c>
      <c r="AL64" s="635">
        <f t="shared" si="52"/>
        <v>8.6230334360535039</v>
      </c>
      <c r="AM64" s="635">
        <f t="shared" si="52"/>
        <v>9.0685602838582895</v>
      </c>
      <c r="AN64" s="635">
        <f t="shared" si="52"/>
        <v>9.5371061972375255</v>
      </c>
      <c r="AO64" s="635">
        <f t="shared" si="52"/>
        <v>10.029860503798538</v>
      </c>
      <c r="AP64" s="635">
        <f t="shared" si="52"/>
        <v>10.548073980218071</v>
      </c>
      <c r="AQ64" s="635">
        <f t="shared" si="52"/>
        <v>11.093062027135485</v>
      </c>
      <c r="AR64" s="635">
        <f t="shared" si="52"/>
        <v>11.666208008083316</v>
      </c>
      <c r="AS64" s="635">
        <f t="shared" si="52"/>
        <v>12.268966760930669</v>
      </c>
      <c r="AT64" s="635">
        <f t="shared" si="52"/>
        <v>12.902868290752536</v>
      </c>
      <c r="AU64" s="635">
        <f t="shared" si="52"/>
        <v>13.569521653498899</v>
      </c>
      <c r="AV64" s="635">
        <f t="shared" si="52"/>
        <v>14.270619040321641</v>
      </c>
      <c r="AW64" s="635">
        <f t="shared" si="52"/>
        <v>15.007940072926559</v>
      </c>
      <c r="AX64" s="635">
        <f t="shared" si="52"/>
        <v>15.78335632085366</v>
      </c>
      <c r="AY64" s="635">
        <f t="shared" si="52"/>
        <v>16.598836052152063</v>
      </c>
      <c r="AZ64" s="635">
        <f t="shared" si="52"/>
        <v>17.456449229508454</v>
      </c>
      <c r="BA64" s="635">
        <f t="shared" si="52"/>
        <v>18.358372764510637</v>
      </c>
      <c r="BB64" s="635">
        <f t="shared" si="52"/>
        <v>19.306896043383716</v>
      </c>
      <c r="BC64" s="635">
        <f t="shared" si="52"/>
        <v>20.304426738224738</v>
      </c>
      <c r="BD64" s="635">
        <f t="shared" si="52"/>
        <v>21.353496918486609</v>
      </c>
      <c r="BE64" s="635">
        <f t="shared" si="52"/>
        <v>22.456769478224842</v>
      </c>
      <c r="BF64" s="635">
        <f t="shared" si="52"/>
        <v>23.617044895420925</v>
      </c>
      <c r="BG64" s="635">
        <f t="shared" si="52"/>
        <v>24.837268340540362</v>
      </c>
      <c r="BH64" s="635">
        <f t="shared" si="52"/>
        <v>26.120537152368978</v>
      </c>
      <c r="BI64" s="635">
        <f t="shared" si="52"/>
        <v>27.470108700103768</v>
      </c>
      <c r="BJ64" s="635">
        <f t="shared" si="52"/>
        <v>28.889408651654616</v>
      </c>
      <c r="BK64" s="635">
        <f t="shared" si="52"/>
        <v>30.382039669145811</v>
      </c>
      <c r="BL64" s="635">
        <f t="shared" si="52"/>
        <v>31.951790553687182</v>
      </c>
      <c r="BM64" s="635">
        <f t="shared" si="52"/>
        <v>33.602645862630304</v>
      </c>
      <c r="BN64" s="635">
        <f t="shared" si="52"/>
        <v>35.338796023719205</v>
      </c>
    </row>
    <row r="65" spans="1:66" outlineLevel="1">
      <c r="A65" s="685"/>
      <c r="B65" s="1" t="s">
        <v>797</v>
      </c>
      <c r="C65" s="51" t="s">
        <v>166</v>
      </c>
      <c r="D65" s="635">
        <v>0</v>
      </c>
      <c r="E65" s="635">
        <v>0</v>
      </c>
      <c r="F65" s="635">
        <v>0</v>
      </c>
      <c r="G65" s="635">
        <v>0</v>
      </c>
      <c r="H65" s="635">
        <v>0</v>
      </c>
      <c r="I65" s="635">
        <v>0</v>
      </c>
      <c r="J65" s="635">
        <v>0</v>
      </c>
      <c r="K65" s="635">
        <v>0</v>
      </c>
      <c r="L65" s="635">
        <v>0</v>
      </c>
      <c r="M65" s="635">
        <v>0</v>
      </c>
      <c r="N65" s="635">
        <v>0</v>
      </c>
      <c r="O65" s="635">
        <v>0</v>
      </c>
      <c r="P65" s="635">
        <v>0</v>
      </c>
      <c r="Q65" s="635">
        <v>0</v>
      </c>
      <c r="R65" s="635">
        <v>0</v>
      </c>
      <c r="S65" s="635">
        <v>0</v>
      </c>
      <c r="T65" s="635">
        <v>0</v>
      </c>
      <c r="U65" s="635">
        <v>0</v>
      </c>
      <c r="V65" s="635">
        <v>0</v>
      </c>
      <c r="W65" s="635">
        <v>0</v>
      </c>
      <c r="X65" s="635">
        <v>0</v>
      </c>
      <c r="Y65" s="635">
        <v>0</v>
      </c>
      <c r="Z65" s="635">
        <v>0</v>
      </c>
      <c r="AA65" s="635">
        <v>0</v>
      </c>
      <c r="AB65" s="635">
        <v>0</v>
      </c>
      <c r="AC65" s="635">
        <v>0</v>
      </c>
      <c r="AD65" s="635">
        <v>0</v>
      </c>
      <c r="AE65" s="635">
        <v>0</v>
      </c>
      <c r="AF65" s="635">
        <v>0</v>
      </c>
      <c r="AG65" s="635">
        <v>0</v>
      </c>
      <c r="AH65" s="635">
        <v>0</v>
      </c>
      <c r="AI65" s="635"/>
      <c r="AJ65" s="635">
        <f t="shared" ref="AJ65:AJ66" si="53">D65</f>
        <v>0</v>
      </c>
      <c r="AK65" s="635">
        <f t="shared" si="52"/>
        <v>0</v>
      </c>
      <c r="AL65" s="635">
        <f t="shared" si="52"/>
        <v>0</v>
      </c>
      <c r="AM65" s="635">
        <f t="shared" si="52"/>
        <v>0</v>
      </c>
      <c r="AN65" s="635">
        <f t="shared" si="52"/>
        <v>0</v>
      </c>
      <c r="AO65" s="635">
        <f t="shared" si="52"/>
        <v>0</v>
      </c>
      <c r="AP65" s="635">
        <f t="shared" si="52"/>
        <v>0</v>
      </c>
      <c r="AQ65" s="635">
        <f t="shared" si="52"/>
        <v>0</v>
      </c>
      <c r="AR65" s="635">
        <f t="shared" si="52"/>
        <v>0</v>
      </c>
      <c r="AS65" s="635">
        <f t="shared" si="52"/>
        <v>0</v>
      </c>
      <c r="AT65" s="635">
        <f t="shared" si="52"/>
        <v>0</v>
      </c>
      <c r="AU65" s="635">
        <f t="shared" si="52"/>
        <v>0</v>
      </c>
      <c r="AV65" s="635">
        <f t="shared" si="52"/>
        <v>0</v>
      </c>
      <c r="AW65" s="635">
        <f t="shared" si="52"/>
        <v>0</v>
      </c>
      <c r="AX65" s="635">
        <f t="shared" si="52"/>
        <v>0</v>
      </c>
      <c r="AY65" s="635">
        <f t="shared" si="52"/>
        <v>0</v>
      </c>
      <c r="AZ65" s="635">
        <f t="shared" si="52"/>
        <v>0</v>
      </c>
      <c r="BA65" s="635">
        <f t="shared" si="52"/>
        <v>0</v>
      </c>
      <c r="BB65" s="635">
        <f t="shared" si="52"/>
        <v>0</v>
      </c>
      <c r="BC65" s="635">
        <f t="shared" si="52"/>
        <v>0</v>
      </c>
      <c r="BD65" s="635">
        <f t="shared" si="52"/>
        <v>0</v>
      </c>
      <c r="BE65" s="635">
        <f t="shared" si="52"/>
        <v>0</v>
      </c>
      <c r="BF65" s="635">
        <f t="shared" si="52"/>
        <v>0</v>
      </c>
      <c r="BG65" s="635">
        <f t="shared" si="52"/>
        <v>0</v>
      </c>
      <c r="BH65" s="635">
        <f t="shared" si="52"/>
        <v>0</v>
      </c>
      <c r="BI65" s="635">
        <f t="shared" si="52"/>
        <v>0</v>
      </c>
      <c r="BJ65" s="635">
        <f t="shared" si="52"/>
        <v>0</v>
      </c>
      <c r="BK65" s="635">
        <f t="shared" si="52"/>
        <v>0</v>
      </c>
      <c r="BL65" s="635">
        <f t="shared" si="52"/>
        <v>0</v>
      </c>
      <c r="BM65" s="635">
        <f t="shared" si="52"/>
        <v>0</v>
      </c>
      <c r="BN65" s="635">
        <f t="shared" si="52"/>
        <v>0</v>
      </c>
    </row>
    <row r="66" spans="1:66" s="63" customFormat="1" outlineLevel="1">
      <c r="A66" s="686"/>
      <c r="B66" s="59" t="s">
        <v>1301</v>
      </c>
      <c r="C66" s="262" t="s">
        <v>166</v>
      </c>
      <c r="D66" s="638">
        <f>'Demand - Wind'!D42</f>
        <v>0</v>
      </c>
      <c r="E66" s="638">
        <f>'Demand - Wind'!E42</f>
        <v>8.5273705466251997</v>
      </c>
      <c r="F66" s="638">
        <f>'Demand - Wind'!F42</f>
        <v>8.9679547734956451</v>
      </c>
      <c r="G66" s="638">
        <f>'Demand - Wind'!G42</f>
        <v>9.4313026952126204</v>
      </c>
      <c r="H66" s="638">
        <f>'Demand - Wind'!H42</f>
        <v>9.9185904451270268</v>
      </c>
      <c r="I66" s="638">
        <f>'Demand - Wind'!I42</f>
        <v>10.43105492395048</v>
      </c>
      <c r="J66" s="638">
        <f>'Demand - Wind'!J42</f>
        <v>10.969996939426792</v>
      </c>
      <c r="K66" s="638">
        <f>'Demand - Wind'!K42</f>
        <v>11.536784508220903</v>
      </c>
      <c r="L66" s="638">
        <f>'Demand - Wind'!L42</f>
        <v>12.13285632840665</v>
      </c>
      <c r="M66" s="638">
        <f>'Demand - Wind'!M42</f>
        <v>12.759725431367897</v>
      </c>
      <c r="N66" s="638">
        <f>'Demand - Wind'!N42</f>
        <v>13.418983022382637</v>
      </c>
      <c r="O66" s="638">
        <f>'Demand - Wind'!O42</f>
        <v>14.112302519638854</v>
      </c>
      <c r="P66" s="638">
        <f>'Demand - Wind'!P42</f>
        <v>14.841443801934508</v>
      </c>
      <c r="Q66" s="638">
        <f>'Demand - Wind'!Q42</f>
        <v>15.608257675843623</v>
      </c>
      <c r="R66" s="638">
        <f>'Demand - Wind'!R42</f>
        <v>16.414690573687807</v>
      </c>
      <c r="S66" s="638">
        <f>'Demand - Wind'!S42</f>
        <v>17.262789494238145</v>
      </c>
      <c r="T66" s="638">
        <f>'Demand - Wind'!T42</f>
        <v>18.154707198688794</v>
      </c>
      <c r="U66" s="638">
        <f>'Demand - Wind'!U42</f>
        <v>19.092707675091063</v>
      </c>
      <c r="V66" s="638">
        <f>'Demand - Wind'!V42</f>
        <v>20.079171885119067</v>
      </c>
      <c r="W66" s="638">
        <f>'Demand - Wind'!W42</f>
        <v>21.11660380775373</v>
      </c>
      <c r="X66" s="638">
        <f>'Demand - Wind'!X42</f>
        <v>22.207636795226072</v>
      </c>
      <c r="Y66" s="638">
        <f>'Demand - Wind'!Y42</f>
        <v>23.355040257353835</v>
      </c>
      <c r="Z66" s="638">
        <f>'Demand - Wind'!Z42</f>
        <v>24.561726691237762</v>
      </c>
      <c r="AA66" s="638">
        <f>'Demand - Wind'!AA42</f>
        <v>25.830759074161978</v>
      </c>
      <c r="AB66" s="638">
        <f>'Demand - Wind'!AB42</f>
        <v>27.16535863846374</v>
      </c>
      <c r="AC66" s="638">
        <f>'Demand - Wind'!AC42</f>
        <v>28.568913048107923</v>
      </c>
      <c r="AD66" s="638">
        <f>'Demand - Wind'!AD42</f>
        <v>30.0449849977208</v>
      </c>
      <c r="AE66" s="638">
        <f>'Demand - Wind'!AE42</f>
        <v>31.597321255911645</v>
      </c>
      <c r="AF66" s="638">
        <f>'Demand - Wind'!AF42</f>
        <v>33.229862175834668</v>
      </c>
      <c r="AG66" s="638">
        <f>'Demand - Wind'!AG42</f>
        <v>34.946751697135518</v>
      </c>
      <c r="AH66" s="638">
        <f>'Demand - Wind'!AH42</f>
        <v>36.752347864667975</v>
      </c>
      <c r="AI66" s="638"/>
      <c r="AJ66" s="638">
        <f t="shared" si="53"/>
        <v>0</v>
      </c>
      <c r="AK66" s="638">
        <f t="shared" si="52"/>
        <v>8.5273705466251997</v>
      </c>
      <c r="AL66" s="638">
        <f t="shared" si="52"/>
        <v>8.9679547734956451</v>
      </c>
      <c r="AM66" s="638">
        <f t="shared" si="52"/>
        <v>9.4313026952126204</v>
      </c>
      <c r="AN66" s="638">
        <f t="shared" si="52"/>
        <v>9.9185904451270268</v>
      </c>
      <c r="AO66" s="638">
        <f t="shared" si="52"/>
        <v>10.43105492395048</v>
      </c>
      <c r="AP66" s="638">
        <f t="shared" si="52"/>
        <v>10.969996939426792</v>
      </c>
      <c r="AQ66" s="638">
        <f t="shared" si="52"/>
        <v>11.536784508220903</v>
      </c>
      <c r="AR66" s="638">
        <f t="shared" si="52"/>
        <v>12.13285632840665</v>
      </c>
      <c r="AS66" s="638">
        <f t="shared" si="52"/>
        <v>12.759725431367897</v>
      </c>
      <c r="AT66" s="638">
        <f t="shared" si="52"/>
        <v>13.418983022382637</v>
      </c>
      <c r="AU66" s="638">
        <f t="shared" si="52"/>
        <v>14.112302519638854</v>
      </c>
      <c r="AV66" s="638">
        <f t="shared" si="52"/>
        <v>14.841443801934508</v>
      </c>
      <c r="AW66" s="638">
        <f t="shared" si="52"/>
        <v>15.608257675843623</v>
      </c>
      <c r="AX66" s="638">
        <f t="shared" si="52"/>
        <v>16.414690573687807</v>
      </c>
      <c r="AY66" s="638">
        <f t="shared" si="52"/>
        <v>17.262789494238145</v>
      </c>
      <c r="AZ66" s="638">
        <f t="shared" si="52"/>
        <v>18.154707198688794</v>
      </c>
      <c r="BA66" s="638">
        <f t="shared" si="52"/>
        <v>19.092707675091063</v>
      </c>
      <c r="BB66" s="638">
        <f t="shared" si="52"/>
        <v>20.079171885119067</v>
      </c>
      <c r="BC66" s="638">
        <f t="shared" si="52"/>
        <v>21.11660380775373</v>
      </c>
      <c r="BD66" s="638">
        <f t="shared" si="52"/>
        <v>22.207636795226072</v>
      </c>
      <c r="BE66" s="638">
        <f t="shared" si="52"/>
        <v>23.355040257353835</v>
      </c>
      <c r="BF66" s="638">
        <f t="shared" si="52"/>
        <v>24.561726691237762</v>
      </c>
      <c r="BG66" s="638">
        <f t="shared" si="52"/>
        <v>25.830759074161978</v>
      </c>
      <c r="BH66" s="638">
        <f t="shared" si="52"/>
        <v>27.16535863846374</v>
      </c>
      <c r="BI66" s="638">
        <f t="shared" si="52"/>
        <v>28.568913048107923</v>
      </c>
      <c r="BJ66" s="638">
        <f t="shared" si="52"/>
        <v>30.0449849977208</v>
      </c>
      <c r="BK66" s="638">
        <f t="shared" si="52"/>
        <v>31.597321255911645</v>
      </c>
      <c r="BL66" s="638">
        <f t="shared" si="52"/>
        <v>33.229862175834668</v>
      </c>
      <c r="BM66" s="638">
        <f t="shared" si="52"/>
        <v>34.946751697135518</v>
      </c>
      <c r="BN66" s="638">
        <f t="shared" si="52"/>
        <v>36.752347864667975</v>
      </c>
    </row>
    <row r="67" spans="1:66" outlineLevel="1">
      <c r="A67" s="1" t="s">
        <v>78</v>
      </c>
      <c r="B67" s="1" t="s">
        <v>164</v>
      </c>
      <c r="C67" s="51" t="s">
        <v>166</v>
      </c>
      <c r="D67" s="591">
        <f t="shared" ref="D67:AH67" si="54">D21+D30+D39+D48+D55</f>
        <v>0</v>
      </c>
      <c r="E67" s="591">
        <f t="shared" si="54"/>
        <v>35158.099673382618</v>
      </c>
      <c r="F67" s="591">
        <f t="shared" si="54"/>
        <v>70319.437829292045</v>
      </c>
      <c r="G67" s="591">
        <f t="shared" si="54"/>
        <v>105484.01446772832</v>
      </c>
      <c r="H67" s="591">
        <f t="shared" si="54"/>
        <v>140651.82958869138</v>
      </c>
      <c r="I67" s="591">
        <f t="shared" si="54"/>
        <v>175822.8831921813</v>
      </c>
      <c r="J67" s="591">
        <f t="shared" si="54"/>
        <v>210997.17527819803</v>
      </c>
      <c r="K67" s="591">
        <f t="shared" si="54"/>
        <v>246174.7058467415</v>
      </c>
      <c r="L67" s="591">
        <f t="shared" si="54"/>
        <v>281355.47489781189</v>
      </c>
      <c r="M67" s="591">
        <f t="shared" si="54"/>
        <v>316539.48243140901</v>
      </c>
      <c r="N67" s="591">
        <f t="shared" si="54"/>
        <v>351726.7284475331</v>
      </c>
      <c r="O67" s="591">
        <f t="shared" si="54"/>
        <v>419125.27004707878</v>
      </c>
      <c r="P67" s="591">
        <f t="shared" si="54"/>
        <v>486548.10026557581</v>
      </c>
      <c r="Q67" s="591">
        <f t="shared" si="54"/>
        <v>553995.21910302399</v>
      </c>
      <c r="R67" s="591">
        <f t="shared" si="54"/>
        <v>621466.62655942317</v>
      </c>
      <c r="S67" s="591">
        <f t="shared" si="54"/>
        <v>688962.32263477368</v>
      </c>
      <c r="T67" s="591">
        <f t="shared" si="54"/>
        <v>756482.30732907529</v>
      </c>
      <c r="U67" s="591">
        <f t="shared" si="54"/>
        <v>824026.5806423279</v>
      </c>
      <c r="V67" s="591">
        <f t="shared" si="54"/>
        <v>891595.14257453184</v>
      </c>
      <c r="W67" s="591">
        <f t="shared" si="54"/>
        <v>959187.99312568689</v>
      </c>
      <c r="X67" s="591">
        <f t="shared" si="54"/>
        <v>1026805.132295793</v>
      </c>
      <c r="Y67" s="591">
        <f t="shared" si="54"/>
        <v>1100667.4867952231</v>
      </c>
      <c r="Z67" s="591">
        <f t="shared" si="54"/>
        <v>1174558.9876373941</v>
      </c>
      <c r="AA67" s="591">
        <f t="shared" si="54"/>
        <v>1248479.6348223069</v>
      </c>
      <c r="AB67" s="591">
        <f t="shared" si="54"/>
        <v>1322429.4283499606</v>
      </c>
      <c r="AC67" s="591">
        <f t="shared" si="54"/>
        <v>1396408.3682203568</v>
      </c>
      <c r="AD67" s="591">
        <f t="shared" si="54"/>
        <v>1470416.4544334933</v>
      </c>
      <c r="AE67" s="591">
        <f t="shared" si="54"/>
        <v>1544453.6869893712</v>
      </c>
      <c r="AF67" s="591">
        <f t="shared" si="54"/>
        <v>1618520.0658879906</v>
      </c>
      <c r="AG67" s="591">
        <f t="shared" si="54"/>
        <v>1692615.5911293516</v>
      </c>
      <c r="AH67" s="591">
        <f t="shared" si="54"/>
        <v>1766740.262713454</v>
      </c>
      <c r="AI67" s="191"/>
      <c r="AJ67" s="591">
        <f t="shared" ref="AJ67:BN67" si="55">AJ21+AJ30+AJ39+AJ48+AJ55</f>
        <v>0</v>
      </c>
      <c r="AK67" s="591">
        <f t="shared" si="55"/>
        <v>21627.241358707222</v>
      </c>
      <c r="AL67" s="591">
        <f t="shared" si="55"/>
        <v>43256.101958677857</v>
      </c>
      <c r="AM67" s="591">
        <f t="shared" si="55"/>
        <v>64886.581799911903</v>
      </c>
      <c r="AN67" s="591">
        <f t="shared" si="55"/>
        <v>86518.68088240936</v>
      </c>
      <c r="AO67" s="591">
        <f t="shared" si="55"/>
        <v>108152.39920617019</v>
      </c>
      <c r="AP67" s="591">
        <f t="shared" si="55"/>
        <v>129787.7367711945</v>
      </c>
      <c r="AQ67" s="591">
        <f t="shared" si="55"/>
        <v>151424.69357748219</v>
      </c>
      <c r="AR67" s="591">
        <f t="shared" si="55"/>
        <v>173063.26962503325</v>
      </c>
      <c r="AS67" s="591">
        <f t="shared" si="55"/>
        <v>194703.46491384777</v>
      </c>
      <c r="AT67" s="591">
        <f t="shared" si="55"/>
        <v>216345.27944392562</v>
      </c>
      <c r="AU67" s="591">
        <f t="shared" si="55"/>
        <v>261158.38178910385</v>
      </c>
      <c r="AV67" s="591">
        <f t="shared" si="55"/>
        <v>305983.6284437576</v>
      </c>
      <c r="AW67" s="591">
        <f t="shared" si="55"/>
        <v>350821.01940788695</v>
      </c>
      <c r="AX67" s="591">
        <f t="shared" si="55"/>
        <v>395670.55468149175</v>
      </c>
      <c r="AY67" s="591">
        <f t="shared" si="55"/>
        <v>440532.23426457233</v>
      </c>
      <c r="AZ67" s="591">
        <f t="shared" si="55"/>
        <v>485406.0581571284</v>
      </c>
      <c r="BA67" s="591">
        <f t="shared" si="55"/>
        <v>530292.02635915997</v>
      </c>
      <c r="BB67" s="591">
        <f t="shared" si="55"/>
        <v>575190.13887066708</v>
      </c>
      <c r="BC67" s="591">
        <f t="shared" si="55"/>
        <v>620100.39569164987</v>
      </c>
      <c r="BD67" s="591">
        <f t="shared" si="55"/>
        <v>665022.79682210833</v>
      </c>
      <c r="BE67" s="591">
        <f t="shared" si="55"/>
        <v>713780.61550815403</v>
      </c>
      <c r="BF67" s="591">
        <f t="shared" si="55"/>
        <v>762553.00736556994</v>
      </c>
      <c r="BG67" s="591">
        <f t="shared" si="55"/>
        <v>811339.97239435697</v>
      </c>
      <c r="BH67" s="591">
        <f t="shared" si="55"/>
        <v>860141.51059451455</v>
      </c>
      <c r="BI67" s="591">
        <f t="shared" si="55"/>
        <v>908957.62196604291</v>
      </c>
      <c r="BJ67" s="591">
        <f t="shared" si="55"/>
        <v>957788.30650894181</v>
      </c>
      <c r="BK67" s="591">
        <f t="shared" si="55"/>
        <v>1006633.5642232114</v>
      </c>
      <c r="BL67" s="591">
        <f t="shared" si="55"/>
        <v>1055493.3951088518</v>
      </c>
      <c r="BM67" s="591">
        <f t="shared" si="55"/>
        <v>1104367.7991658628</v>
      </c>
      <c r="BN67" s="591">
        <f t="shared" si="55"/>
        <v>1153256.7763942447</v>
      </c>
    </row>
    <row r="68" spans="1:66" outlineLevel="1">
      <c r="B68" s="1" t="s">
        <v>167</v>
      </c>
      <c r="C68" s="51" t="s">
        <v>166</v>
      </c>
      <c r="D68" s="591">
        <f t="shared" ref="D68:AH68" si="56">D22+D33+D40+D49+D56</f>
        <v>0</v>
      </c>
      <c r="E68" s="591">
        <f t="shared" si="56"/>
        <v>9594.3973691452302</v>
      </c>
      <c r="F68" s="591">
        <f t="shared" si="56"/>
        <v>33505.763642152444</v>
      </c>
      <c r="G68" s="591">
        <f t="shared" si="56"/>
        <v>50258.64546322867</v>
      </c>
      <c r="H68" s="591">
        <f t="shared" si="56"/>
        <v>67011.527284304888</v>
      </c>
      <c r="I68" s="591">
        <f t="shared" si="56"/>
        <v>83764.409105381128</v>
      </c>
      <c r="J68" s="591">
        <f t="shared" si="56"/>
        <v>100517.29092645734</v>
      </c>
      <c r="K68" s="591">
        <f t="shared" si="56"/>
        <v>117270.17274753355</v>
      </c>
      <c r="L68" s="591">
        <f t="shared" si="56"/>
        <v>134023.05456860978</v>
      </c>
      <c r="M68" s="591">
        <f t="shared" si="56"/>
        <v>150775.93638968599</v>
      </c>
      <c r="N68" s="591">
        <f t="shared" si="56"/>
        <v>167528.81821076226</v>
      </c>
      <c r="O68" s="591">
        <f t="shared" si="56"/>
        <v>194192.52827738377</v>
      </c>
      <c r="P68" s="591">
        <f t="shared" si="56"/>
        <v>220856.23834400528</v>
      </c>
      <c r="Q68" s="591">
        <f t="shared" si="56"/>
        <v>247519.94841062679</v>
      </c>
      <c r="R68" s="591">
        <f t="shared" si="56"/>
        <v>274183.65847724833</v>
      </c>
      <c r="S68" s="591">
        <f t="shared" si="56"/>
        <v>300847.36854386987</v>
      </c>
      <c r="T68" s="591">
        <f t="shared" si="56"/>
        <v>327511.07861049136</v>
      </c>
      <c r="U68" s="591">
        <f t="shared" si="56"/>
        <v>354174.78867711296</v>
      </c>
      <c r="V68" s="591">
        <f t="shared" si="56"/>
        <v>380838.49874373444</v>
      </c>
      <c r="W68" s="591">
        <f t="shared" si="56"/>
        <v>407502.20881035598</v>
      </c>
      <c r="X68" s="591">
        <f t="shared" si="56"/>
        <v>434165.91887697746</v>
      </c>
      <c r="Y68" s="591">
        <f t="shared" si="56"/>
        <v>458962.42995031097</v>
      </c>
      <c r="Z68" s="591">
        <f t="shared" si="56"/>
        <v>483758.94102364447</v>
      </c>
      <c r="AA68" s="591">
        <f t="shared" si="56"/>
        <v>508555.45209697803</v>
      </c>
      <c r="AB68" s="591">
        <f t="shared" si="56"/>
        <v>533351.96317031153</v>
      </c>
      <c r="AC68" s="591">
        <f t="shared" si="56"/>
        <v>558148.47424364509</v>
      </c>
      <c r="AD68" s="591">
        <f t="shared" si="56"/>
        <v>582944.98531697877</v>
      </c>
      <c r="AE68" s="591">
        <f t="shared" si="56"/>
        <v>607741.49639031198</v>
      </c>
      <c r="AF68" s="591">
        <f t="shared" si="56"/>
        <v>632538.00746364554</v>
      </c>
      <c r="AG68" s="591">
        <f t="shared" si="56"/>
        <v>657334.51853697933</v>
      </c>
      <c r="AH68" s="591">
        <f t="shared" si="56"/>
        <v>682131.02961031254</v>
      </c>
      <c r="AI68" s="191"/>
      <c r="AJ68" s="591">
        <f t="shared" ref="AJ68:BN68" si="57">AJ22+AJ33+AJ40+AJ49+AJ56</f>
        <v>0</v>
      </c>
      <c r="AK68" s="591">
        <f t="shared" si="57"/>
        <v>6484.7584747783294</v>
      </c>
      <c r="AL68" s="591">
        <f t="shared" si="57"/>
        <v>24701.644646171833</v>
      </c>
      <c r="AM68" s="591">
        <f t="shared" si="57"/>
        <v>37052.466969257752</v>
      </c>
      <c r="AN68" s="591">
        <f t="shared" si="57"/>
        <v>49403.289292343667</v>
      </c>
      <c r="AO68" s="591">
        <f t="shared" si="57"/>
        <v>61754.111615429581</v>
      </c>
      <c r="AP68" s="591">
        <f t="shared" si="57"/>
        <v>74104.933938515504</v>
      </c>
      <c r="AQ68" s="591">
        <f t="shared" si="57"/>
        <v>86455.756261601404</v>
      </c>
      <c r="AR68" s="591">
        <f t="shared" si="57"/>
        <v>98806.578584687333</v>
      </c>
      <c r="AS68" s="591">
        <f t="shared" si="57"/>
        <v>111157.40090777323</v>
      </c>
      <c r="AT68" s="591">
        <f t="shared" si="57"/>
        <v>123508.22323085916</v>
      </c>
      <c r="AU68" s="591">
        <f t="shared" si="57"/>
        <v>143970.6649961638</v>
      </c>
      <c r="AV68" s="591">
        <f t="shared" si="57"/>
        <v>164433.10676146846</v>
      </c>
      <c r="AW68" s="591">
        <f t="shared" si="57"/>
        <v>184895.54852677308</v>
      </c>
      <c r="AX68" s="591">
        <f t="shared" si="57"/>
        <v>205357.99029207768</v>
      </c>
      <c r="AY68" s="591">
        <f t="shared" si="57"/>
        <v>225820.43205738239</v>
      </c>
      <c r="AZ68" s="591">
        <f t="shared" si="57"/>
        <v>246282.87382268699</v>
      </c>
      <c r="BA68" s="591">
        <f t="shared" si="57"/>
        <v>266745.31558799162</v>
      </c>
      <c r="BB68" s="591">
        <f t="shared" si="57"/>
        <v>287207.75735329627</v>
      </c>
      <c r="BC68" s="591">
        <f t="shared" si="57"/>
        <v>307670.19911860093</v>
      </c>
      <c r="BD68" s="591">
        <f t="shared" si="57"/>
        <v>328132.64088390552</v>
      </c>
      <c r="BE68" s="591">
        <f t="shared" si="57"/>
        <v>347030.4212844838</v>
      </c>
      <c r="BF68" s="591">
        <f t="shared" si="57"/>
        <v>365928.20168506214</v>
      </c>
      <c r="BG68" s="591">
        <f t="shared" si="57"/>
        <v>384825.98208564043</v>
      </c>
      <c r="BH68" s="591">
        <f t="shared" si="57"/>
        <v>403723.76248621871</v>
      </c>
      <c r="BI68" s="591">
        <f t="shared" si="57"/>
        <v>422621.54288679705</v>
      </c>
      <c r="BJ68" s="591">
        <f t="shared" si="57"/>
        <v>441519.32328737545</v>
      </c>
      <c r="BK68" s="591">
        <f t="shared" si="57"/>
        <v>460417.10368795367</v>
      </c>
      <c r="BL68" s="591">
        <f t="shared" si="57"/>
        <v>479314.88408853195</v>
      </c>
      <c r="BM68" s="591">
        <f t="shared" si="57"/>
        <v>498212.66448911035</v>
      </c>
      <c r="BN68" s="591">
        <f t="shared" si="57"/>
        <v>517110.44488968852</v>
      </c>
    </row>
    <row r="69" spans="1:66" outlineLevel="1">
      <c r="B69" s="1" t="s">
        <v>244</v>
      </c>
      <c r="C69" s="51" t="s">
        <v>166</v>
      </c>
      <c r="D69" s="591">
        <f t="shared" ref="D69:AH69" si="58">D17+D63</f>
        <v>0</v>
      </c>
      <c r="E69" s="591">
        <f t="shared" si="58"/>
        <v>316.58625852706132</v>
      </c>
      <c r="F69" s="591">
        <f t="shared" si="58"/>
        <v>617.30997465768053</v>
      </c>
      <c r="G69" s="591">
        <f t="shared" si="58"/>
        <v>918.07834265126803</v>
      </c>
      <c r="H69" s="591">
        <f t="shared" si="58"/>
        <v>1218.8936695386274</v>
      </c>
      <c r="I69" s="591">
        <f t="shared" si="58"/>
        <v>1519.7583815480775</v>
      </c>
      <c r="J69" s="591">
        <f t="shared" si="58"/>
        <v>1820.6750302640392</v>
      </c>
      <c r="K69" s="591">
        <f t="shared" si="58"/>
        <v>2121.6462991038165</v>
      </c>
      <c r="L69" s="591">
        <f t="shared" si="58"/>
        <v>2422.6750101290158</v>
      </c>
      <c r="M69" s="591">
        <f t="shared" si="58"/>
        <v>2723.7641312088899</v>
      </c>
      <c r="N69" s="591">
        <f t="shared" si="58"/>
        <v>3024.9167835537919</v>
      </c>
      <c r="O69" s="591">
        <f t="shared" si="58"/>
        <v>3775.9254894739584</v>
      </c>
      <c r="P69" s="591">
        <f t="shared" si="58"/>
        <v>4527.0044612032407</v>
      </c>
      <c r="Q69" s="591">
        <f t="shared" si="58"/>
        <v>5278.1573291699178</v>
      </c>
      <c r="R69" s="591">
        <f t="shared" si="58"/>
        <v>6029.3879113758549</v>
      </c>
      <c r="S69" s="591">
        <f t="shared" si="58"/>
        <v>6780.700223087867</v>
      </c>
      <c r="T69" s="591">
        <f t="shared" si="58"/>
        <v>7532.098487029838</v>
      </c>
      <c r="U69" s="591">
        <f t="shared" si="58"/>
        <v>8283.5871441014078</v>
      </c>
      <c r="V69" s="591">
        <f t="shared" si="58"/>
        <v>9035.1708646504721</v>
      </c>
      <c r="W69" s="591">
        <f t="shared" si="58"/>
        <v>9786.8545603281091</v>
      </c>
      <c r="X69" s="591">
        <f t="shared" si="58"/>
        <v>10538.643396556008</v>
      </c>
      <c r="Y69" s="591">
        <f t="shared" si="58"/>
        <v>10990.683312413974</v>
      </c>
      <c r="Z69" s="591">
        <f t="shared" si="58"/>
        <v>11442.839514101155</v>
      </c>
      <c r="AA69" s="591">
        <f t="shared" si="58"/>
        <v>11895.118009765294</v>
      </c>
      <c r="AB69" s="591">
        <f t="shared" si="58"/>
        <v>12347.525117977524</v>
      </c>
      <c r="AC69" s="591">
        <f t="shared" si="58"/>
        <v>12800.067483771001</v>
      </c>
      <c r="AD69" s="591">
        <f t="shared" si="58"/>
        <v>13252.752095508264</v>
      </c>
      <c r="AE69" s="591">
        <f t="shared" si="58"/>
        <v>13705.586302620046</v>
      </c>
      <c r="AF69" s="591">
        <f t="shared" si="58"/>
        <v>14158.577834260606</v>
      </c>
      <c r="AG69" s="591">
        <f t="shared" si="58"/>
        <v>14611.734818926949</v>
      </c>
      <c r="AH69" s="591">
        <f t="shared" si="58"/>
        <v>15065.06580509167</v>
      </c>
      <c r="AI69" s="191"/>
      <c r="AJ69" s="591">
        <f t="shared" ref="AJ69:BN69" si="59">AJ17+AJ63</f>
        <v>0</v>
      </c>
      <c r="AK69" s="591">
        <f t="shared" si="59"/>
        <v>316.58625852706132</v>
      </c>
      <c r="AL69" s="591">
        <f t="shared" si="59"/>
        <v>617.30997465768053</v>
      </c>
      <c r="AM69" s="591">
        <f t="shared" si="59"/>
        <v>918.07834265126803</v>
      </c>
      <c r="AN69" s="591">
        <f t="shared" si="59"/>
        <v>1218.8936695386274</v>
      </c>
      <c r="AO69" s="591">
        <f t="shared" si="59"/>
        <v>1519.7583815480775</v>
      </c>
      <c r="AP69" s="591">
        <f t="shared" si="59"/>
        <v>1820.6750302640392</v>
      </c>
      <c r="AQ69" s="591">
        <f t="shared" si="59"/>
        <v>2121.6462991038165</v>
      </c>
      <c r="AR69" s="591">
        <f t="shared" si="59"/>
        <v>2422.6750101290158</v>
      </c>
      <c r="AS69" s="591">
        <f t="shared" si="59"/>
        <v>2723.7641312088899</v>
      </c>
      <c r="AT69" s="591">
        <f t="shared" si="59"/>
        <v>3024.9167835537919</v>
      </c>
      <c r="AU69" s="591">
        <f t="shared" si="59"/>
        <v>3775.9254894739584</v>
      </c>
      <c r="AV69" s="591">
        <f t="shared" si="59"/>
        <v>4527.0044612032407</v>
      </c>
      <c r="AW69" s="591">
        <f t="shared" si="59"/>
        <v>5278.1573291699178</v>
      </c>
      <c r="AX69" s="591">
        <f t="shared" si="59"/>
        <v>6029.3879113758549</v>
      </c>
      <c r="AY69" s="591">
        <f t="shared" si="59"/>
        <v>6780.700223087867</v>
      </c>
      <c r="AZ69" s="591">
        <f t="shared" si="59"/>
        <v>7532.098487029838</v>
      </c>
      <c r="BA69" s="591">
        <f t="shared" si="59"/>
        <v>8283.5871441014078</v>
      </c>
      <c r="BB69" s="591">
        <f t="shared" si="59"/>
        <v>9035.1708646504721</v>
      </c>
      <c r="BC69" s="591">
        <f t="shared" si="59"/>
        <v>9786.8545603281091</v>
      </c>
      <c r="BD69" s="591">
        <f t="shared" si="59"/>
        <v>10538.643396556008</v>
      </c>
      <c r="BE69" s="591">
        <f t="shared" si="59"/>
        <v>10990.683312413974</v>
      </c>
      <c r="BF69" s="591">
        <f t="shared" si="59"/>
        <v>11442.839514101155</v>
      </c>
      <c r="BG69" s="591">
        <f t="shared" si="59"/>
        <v>11895.118009765294</v>
      </c>
      <c r="BH69" s="591">
        <f t="shared" si="59"/>
        <v>12347.525117977524</v>
      </c>
      <c r="BI69" s="591">
        <f t="shared" si="59"/>
        <v>12800.067483771001</v>
      </c>
      <c r="BJ69" s="591">
        <f t="shared" si="59"/>
        <v>13252.752095508264</v>
      </c>
      <c r="BK69" s="591">
        <f t="shared" si="59"/>
        <v>13705.586302620046</v>
      </c>
      <c r="BL69" s="591">
        <f t="shared" si="59"/>
        <v>14158.577834260606</v>
      </c>
      <c r="BM69" s="591">
        <f t="shared" si="59"/>
        <v>14611.734818926949</v>
      </c>
      <c r="BN69" s="591">
        <f t="shared" si="59"/>
        <v>15065.06580509167</v>
      </c>
    </row>
    <row r="70" spans="1:66">
      <c r="A70" s="64" t="s">
        <v>1346</v>
      </c>
      <c r="B70" s="64"/>
      <c r="C70" s="65" t="s">
        <v>166</v>
      </c>
      <c r="D70" s="648">
        <f t="shared" ref="D70:AH70" si="60">D12+D69-D67-D68</f>
        <v>4369539.7493458875</v>
      </c>
      <c r="E70" s="648">
        <f t="shared" si="60"/>
        <v>4324228.8236535592</v>
      </c>
      <c r="F70" s="648">
        <f t="shared" si="60"/>
        <v>4264581.8280324452</v>
      </c>
      <c r="G70" s="648">
        <f t="shared" si="60"/>
        <v>4212090.1230326006</v>
      </c>
      <c r="H70" s="648">
        <f t="shared" si="60"/>
        <v>4159595.2265091208</v>
      </c>
      <c r="I70" s="648">
        <f t="shared" si="60"/>
        <v>4107097.1408882388</v>
      </c>
      <c r="J70" s="648">
        <f t="shared" si="60"/>
        <v>4054595.8687215336</v>
      </c>
      <c r="K70" s="648">
        <f t="shared" si="60"/>
        <v>4002091.4126924272</v>
      </c>
      <c r="L70" s="648">
        <f t="shared" si="60"/>
        <v>3949583.7756229783</v>
      </c>
      <c r="M70" s="648">
        <f t="shared" si="60"/>
        <v>3897072.9604810583</v>
      </c>
      <c r="N70" s="648">
        <f t="shared" si="60"/>
        <v>3844558.9703878746</v>
      </c>
      <c r="O70" s="648">
        <f t="shared" si="60"/>
        <v>3749060.1901568114</v>
      </c>
      <c r="P70" s="648">
        <f t="shared" si="60"/>
        <v>3653537.1915726047</v>
      </c>
      <c r="Q70" s="648">
        <f t="shared" si="60"/>
        <v>3557989.9782656832</v>
      </c>
      <c r="R70" s="648">
        <f t="shared" si="60"/>
        <v>3462418.5540540502</v>
      </c>
      <c r="S70" s="648">
        <f t="shared" si="60"/>
        <v>3366822.9229529737</v>
      </c>
      <c r="T70" s="648">
        <f t="shared" si="60"/>
        <v>3271203.0891851741</v>
      </c>
      <c r="U70" s="648">
        <f t="shared" si="60"/>
        <v>3175559.0571915535</v>
      </c>
      <c r="V70" s="648">
        <f t="shared" si="60"/>
        <v>3079890.8316424601</v>
      </c>
      <c r="W70" s="648">
        <f t="shared" si="60"/>
        <v>2984198.4174495433</v>
      </c>
      <c r="X70" s="648">
        <f t="shared" si="60"/>
        <v>2888481.8197782263</v>
      </c>
      <c r="Y70" s="648">
        <f t="shared" si="60"/>
        <v>2788962.4717588304</v>
      </c>
      <c r="Z70" s="648">
        <f t="shared" si="60"/>
        <v>2689414.0936825224</v>
      </c>
      <c r="AA70" s="648">
        <f t="shared" si="60"/>
        <v>2589836.6915574493</v>
      </c>
      <c r="AB70" s="648">
        <f t="shared" si="60"/>
        <v>2490230.2717021843</v>
      </c>
      <c r="AC70" s="648">
        <f t="shared" si="60"/>
        <v>2390594.8407617565</v>
      </c>
      <c r="AD70" s="648">
        <f t="shared" si="60"/>
        <v>2290930.4057245338</v>
      </c>
      <c r="AE70" s="648">
        <f t="shared" si="60"/>
        <v>2191236.9739399436</v>
      </c>
      <c r="AF70" s="648">
        <f t="shared" si="60"/>
        <v>2091514.5531371408</v>
      </c>
      <c r="AG70" s="648">
        <f t="shared" si="60"/>
        <v>1991763.1514446223</v>
      </c>
      <c r="AH70" s="648">
        <f t="shared" si="60"/>
        <v>1891982.7774108602</v>
      </c>
      <c r="AI70" s="191"/>
      <c r="AJ70" s="648">
        <f t="shared" ref="AJ70:BN70" si="61">AJ12+AJ69-AJ67-AJ68</f>
        <v>4369539.7493458875</v>
      </c>
      <c r="AK70" s="648">
        <f t="shared" si="61"/>
        <v>4340869.3208626015</v>
      </c>
      <c r="AL70" s="648">
        <f t="shared" si="61"/>
        <v>4300449.2828990407</v>
      </c>
      <c r="AM70" s="648">
        <f t="shared" si="61"/>
        <v>4265893.7341943868</v>
      </c>
      <c r="AN70" s="648">
        <f t="shared" si="61"/>
        <v>4231336.6132073645</v>
      </c>
      <c r="AO70" s="648">
        <f t="shared" si="61"/>
        <v>4196777.9223642014</v>
      </c>
      <c r="AP70" s="648">
        <f t="shared" si="61"/>
        <v>4162217.6642164793</v>
      </c>
      <c r="AQ70" s="648">
        <f t="shared" si="61"/>
        <v>4127655.8414476183</v>
      </c>
      <c r="AR70" s="648">
        <f t="shared" si="61"/>
        <v>4093092.4568796796</v>
      </c>
      <c r="AS70" s="648">
        <f t="shared" si="61"/>
        <v>4058527.5134805324</v>
      </c>
      <c r="AT70" s="648">
        <f t="shared" si="61"/>
        <v>4023961.0143713853</v>
      </c>
      <c r="AU70" s="648">
        <f t="shared" si="61"/>
        <v>3957248.9416960059</v>
      </c>
      <c r="AV70" s="648">
        <f t="shared" si="61"/>
        <v>3890524.7949769595</v>
      </c>
      <c r="AW70" s="648">
        <f t="shared" si="61"/>
        <v>3823788.5778446738</v>
      </c>
      <c r="AX70" s="648">
        <f t="shared" si="61"/>
        <v>3757040.2941171522</v>
      </c>
      <c r="AY70" s="648">
        <f t="shared" si="61"/>
        <v>3690279.9478096627</v>
      </c>
      <c r="AZ70" s="648">
        <f t="shared" si="61"/>
        <v>3623507.5431449255</v>
      </c>
      <c r="BA70" s="648">
        <f t="shared" si="61"/>
        <v>3556723.084563843</v>
      </c>
      <c r="BB70" s="648">
        <f t="shared" si="61"/>
        <v>3489926.5767367631</v>
      </c>
      <c r="BC70" s="648">
        <f t="shared" si="61"/>
        <v>3423118.024575335</v>
      </c>
      <c r="BD70" s="648">
        <f t="shared" si="61"/>
        <v>3356297.4332449832</v>
      </c>
      <c r="BE70" s="648">
        <f t="shared" si="61"/>
        <v>3287781.3517117267</v>
      </c>
      <c r="BF70" s="648">
        <f t="shared" si="61"/>
        <v>3219250.813292929</v>
      </c>
      <c r="BG70" s="648">
        <f t="shared" si="61"/>
        <v>3150705.8239967371</v>
      </c>
      <c r="BH70" s="648">
        <f t="shared" si="61"/>
        <v>3082146.3901417227</v>
      </c>
      <c r="BI70" s="648">
        <f t="shared" si="61"/>
        <v>3013572.5183729185</v>
      </c>
      <c r="BJ70" s="648">
        <f t="shared" si="61"/>
        <v>2944984.2156786891</v>
      </c>
      <c r="BK70" s="648">
        <f t="shared" si="61"/>
        <v>2876381.4894084618</v>
      </c>
      <c r="BL70" s="648">
        <f t="shared" si="61"/>
        <v>2807764.3472913932</v>
      </c>
      <c r="BM70" s="648">
        <f t="shared" si="61"/>
        <v>2739132.79745598</v>
      </c>
      <c r="BN70" s="648">
        <f t="shared" si="61"/>
        <v>2670486.8484506933</v>
      </c>
    </row>
    <row r="71" spans="1:66" s="62" customFormat="1">
      <c r="A71" s="684"/>
      <c r="B71" s="55" t="s">
        <v>88</v>
      </c>
      <c r="C71" s="56" t="s">
        <v>166</v>
      </c>
      <c r="D71" s="639">
        <f>D24+D35+D42+D51+D58+D64</f>
        <v>1554736.2216997449</v>
      </c>
      <c r="E71" s="639">
        <f t="shared" ref="E71:AH71" si="62">E24+E35+E42+E51+E58+E64</f>
        <v>1537166.1173946927</v>
      </c>
      <c r="F71" s="639">
        <f t="shared" si="62"/>
        <v>1519585.2557292767</v>
      </c>
      <c r="G71" s="639">
        <f t="shared" si="62"/>
        <v>1502001.4343477411</v>
      </c>
      <c r="H71" s="639">
        <f t="shared" si="62"/>
        <v>1484414.6543809837</v>
      </c>
      <c r="I71" s="639">
        <f t="shared" si="62"/>
        <v>1466824.9170183314</v>
      </c>
      <c r="J71" s="639">
        <f t="shared" si="62"/>
        <v>1449232.2235105613</v>
      </c>
      <c r="K71" s="639">
        <f t="shared" si="62"/>
        <v>1431636.5751730741</v>
      </c>
      <c r="L71" s="639">
        <f t="shared" si="62"/>
        <v>1414037.9733892332</v>
      </c>
      <c r="M71" s="639">
        <f t="shared" si="62"/>
        <v>1396436.4196138771</v>
      </c>
      <c r="N71" s="639">
        <f t="shared" si="62"/>
        <v>1378831.9153770097</v>
      </c>
      <c r="O71" s="639">
        <f t="shared" si="62"/>
        <v>1354000.8834213919</v>
      </c>
      <c r="P71" s="639">
        <f t="shared" si="62"/>
        <v>1332054.0735063152</v>
      </c>
      <c r="Q71" s="639">
        <f t="shared" si="62"/>
        <v>1310093.1865447802</v>
      </c>
      <c r="R71" s="639">
        <f t="shared" si="62"/>
        <v>1288118.2244083567</v>
      </c>
      <c r="S71" s="639">
        <f t="shared" si="62"/>
        <v>1266129.1890653127</v>
      </c>
      <c r="T71" s="639">
        <f t="shared" si="62"/>
        <v>1244126.0825856109</v>
      </c>
      <c r="U71" s="639">
        <f t="shared" si="62"/>
        <v>1222108.9071461631</v>
      </c>
      <c r="V71" s="639">
        <f t="shared" si="62"/>
        <v>1200077.6650363556</v>
      </c>
      <c r="W71" s="639">
        <f t="shared" si="62"/>
        <v>1178032.35866386</v>
      </c>
      <c r="X71" s="639">
        <f t="shared" si="62"/>
        <v>1155972.9905607463</v>
      </c>
      <c r="Y71" s="639">
        <f t="shared" si="62"/>
        <v>1132344.1840957559</v>
      </c>
      <c r="Z71" s="639">
        <f t="shared" si="62"/>
        <v>1108698.4987094987</v>
      </c>
      <c r="AA71" s="639">
        <f t="shared" si="62"/>
        <v>1085035.9373471448</v>
      </c>
      <c r="AB71" s="639">
        <f t="shared" si="62"/>
        <v>1061356.5031060327</v>
      </c>
      <c r="AC71" s="639">
        <f t="shared" si="62"/>
        <v>1037660.1992435325</v>
      </c>
      <c r="AD71" s="639">
        <f t="shared" si="62"/>
        <v>1013947.0291853113</v>
      </c>
      <c r="AE71" s="639">
        <f t="shared" si="62"/>
        <v>990216.99653403182</v>
      </c>
      <c r="AF71" s="639">
        <f t="shared" si="62"/>
        <v>966470.10507849441</v>
      </c>
      <c r="AG71" s="639">
        <f t="shared" si="62"/>
        <v>942706.35880325711</v>
      </c>
      <c r="AH71" s="639">
        <f t="shared" si="62"/>
        <v>918925.76189874741</v>
      </c>
      <c r="AI71" s="639"/>
      <c r="AJ71" s="639">
        <f>AJ24+AJ35+AJ42+AJ51+AJ58+AJ64</f>
        <v>1554736.2216997449</v>
      </c>
      <c r="AK71" s="639">
        <f t="shared" ref="AK71:BN71" si="63">AK24+AK35+AK42+AK51+AK58+AK64</f>
        <v>1546349.2751211065</v>
      </c>
      <c r="AL71" s="639">
        <f t="shared" si="63"/>
        <v>1537952.955967441</v>
      </c>
      <c r="AM71" s="639">
        <f t="shared" si="63"/>
        <v>1529555.0618829934</v>
      </c>
      <c r="AN71" s="639">
        <f t="shared" si="63"/>
        <v>1521155.593998661</v>
      </c>
      <c r="AO71" s="639">
        <f t="shared" si="63"/>
        <v>1512754.5535037715</v>
      </c>
      <c r="AP71" s="639">
        <f t="shared" si="63"/>
        <v>1504351.9416491014</v>
      </c>
      <c r="AQ71" s="639">
        <f t="shared" si="63"/>
        <v>1495947.7597500512</v>
      </c>
      <c r="AR71" s="639">
        <f t="shared" si="63"/>
        <v>1487542.009189985</v>
      </c>
      <c r="AS71" s="639">
        <f t="shared" si="63"/>
        <v>1479134.6914237402</v>
      </c>
      <c r="AT71" s="639">
        <f t="shared" si="63"/>
        <v>1470725.8079813218</v>
      </c>
      <c r="AU71" s="639">
        <f t="shared" si="63"/>
        <v>1456429.6465912727</v>
      </c>
      <c r="AV71" s="639">
        <f t="shared" si="63"/>
        <v>1445018.7996083351</v>
      </c>
      <c r="AW71" s="639">
        <f t="shared" si="63"/>
        <v>1433600.9322139919</v>
      </c>
      <c r="AX71" s="639">
        <f t="shared" si="63"/>
        <v>1422176.0462798118</v>
      </c>
      <c r="AY71" s="639">
        <f t="shared" si="63"/>
        <v>1410744.1437740631</v>
      </c>
      <c r="AZ71" s="639">
        <f t="shared" si="63"/>
        <v>1399305.226766709</v>
      </c>
      <c r="BA71" s="639">
        <f t="shared" si="63"/>
        <v>1387859.2974346599</v>
      </c>
      <c r="BB71" s="639">
        <f t="shared" si="63"/>
        <v>1376406.3580673037</v>
      </c>
      <c r="BC71" s="639">
        <f t="shared" si="63"/>
        <v>1364946.411072311</v>
      </c>
      <c r="BD71" s="639">
        <f t="shared" si="63"/>
        <v>1353479.4589817517</v>
      </c>
      <c r="BE71" s="639">
        <f t="shared" si="63"/>
        <v>1341319.0438876385</v>
      </c>
      <c r="BF71" s="639">
        <f t="shared" si="63"/>
        <v>1329150.2178343204</v>
      </c>
      <c r="BG71" s="639">
        <f t="shared" si="63"/>
        <v>1316972.9837669677</v>
      </c>
      <c r="BH71" s="639">
        <f t="shared" si="63"/>
        <v>1304787.3447829194</v>
      </c>
      <c r="BI71" s="639">
        <f t="shared" si="63"/>
        <v>1292593.3041395452</v>
      </c>
      <c r="BJ71" s="639">
        <f t="shared" si="63"/>
        <v>1280390.8652625121</v>
      </c>
      <c r="BK71" s="639">
        <f t="shared" si="63"/>
        <v>1268180.0317544828</v>
      </c>
      <c r="BL71" s="639">
        <f t="shared" si="63"/>
        <v>1255960.8074042583</v>
      </c>
      <c r="BM71" s="639">
        <f t="shared" si="63"/>
        <v>1243733.1961963959</v>
      </c>
      <c r="BN71" s="639">
        <f t="shared" si="63"/>
        <v>1231497.2023213233</v>
      </c>
    </row>
    <row r="72" spans="1:66">
      <c r="A72" s="685"/>
      <c r="B72" s="1" t="s">
        <v>797</v>
      </c>
      <c r="C72" s="51" t="s">
        <v>166</v>
      </c>
      <c r="D72" s="635">
        <f>D25+D36+D43+D52+D59+D65+D11</f>
        <v>106314.03243491033</v>
      </c>
      <c r="E72" s="635">
        <f t="shared" ref="E72:AH72" si="64">E25+E36+E43+E52+E59+E65+E11</f>
        <v>104659.47170507118</v>
      </c>
      <c r="F72" s="635">
        <f t="shared" si="64"/>
        <v>103004.59170037918</v>
      </c>
      <c r="G72" s="635">
        <f t="shared" si="64"/>
        <v>101349.39242083428</v>
      </c>
      <c r="H72" s="635">
        <f t="shared" si="64"/>
        <v>99693.873866436552</v>
      </c>
      <c r="I72" s="635">
        <f t="shared" si="64"/>
        <v>98038.036037185957</v>
      </c>
      <c r="J72" s="635">
        <f t="shared" si="64"/>
        <v>96381.878933082466</v>
      </c>
      <c r="K72" s="635">
        <f t="shared" si="64"/>
        <v>94725.402554126107</v>
      </c>
      <c r="L72" s="635">
        <f t="shared" si="64"/>
        <v>93068.606900316896</v>
      </c>
      <c r="M72" s="635">
        <f t="shared" si="64"/>
        <v>91411.491971654803</v>
      </c>
      <c r="N72" s="635">
        <f t="shared" si="64"/>
        <v>89754.057768139843</v>
      </c>
      <c r="O72" s="635">
        <f t="shared" si="64"/>
        <v>86084.685261290928</v>
      </c>
      <c r="P72" s="635">
        <f t="shared" si="64"/>
        <v>82807.626295972848</v>
      </c>
      <c r="Q72" s="635">
        <f t="shared" si="64"/>
        <v>79529.292947351758</v>
      </c>
      <c r="R72" s="635">
        <f t="shared" si="64"/>
        <v>76249.685215427628</v>
      </c>
      <c r="S72" s="635">
        <f t="shared" si="64"/>
        <v>72968.803100200486</v>
      </c>
      <c r="T72" s="635">
        <f t="shared" si="64"/>
        <v>69686.646601670334</v>
      </c>
      <c r="U72" s="635">
        <f t="shared" si="64"/>
        <v>66403.215719837142</v>
      </c>
      <c r="V72" s="635">
        <f t="shared" si="64"/>
        <v>63118.51045470094</v>
      </c>
      <c r="W72" s="635">
        <f t="shared" si="64"/>
        <v>59832.530806261719</v>
      </c>
      <c r="X72" s="635">
        <f t="shared" si="64"/>
        <v>56545.276774519472</v>
      </c>
      <c r="Y72" s="635">
        <f t="shared" si="64"/>
        <v>53956.006079346713</v>
      </c>
      <c r="Z72" s="635">
        <f t="shared" si="64"/>
        <v>51365.20612421033</v>
      </c>
      <c r="AA72" s="635">
        <f t="shared" si="64"/>
        <v>48772.876909110324</v>
      </c>
      <c r="AB72" s="635">
        <f t="shared" si="64"/>
        <v>46179.018434046688</v>
      </c>
      <c r="AC72" s="635">
        <f t="shared" si="64"/>
        <v>43583.630699019421</v>
      </c>
      <c r="AD72" s="635">
        <f t="shared" si="64"/>
        <v>40986.713704028531</v>
      </c>
      <c r="AE72" s="635">
        <f t="shared" si="64"/>
        <v>38388.267449074025</v>
      </c>
      <c r="AF72" s="635">
        <f t="shared" si="64"/>
        <v>35788.291934155888</v>
      </c>
      <c r="AG72" s="635">
        <f t="shared" si="64"/>
        <v>33186.787159274121</v>
      </c>
      <c r="AH72" s="635">
        <f t="shared" si="64"/>
        <v>30583.753124428731</v>
      </c>
      <c r="AI72" s="635"/>
      <c r="AJ72" s="635">
        <f>AJ25+AJ36+AJ43+AJ52+AJ59+AJ65+AJ11</f>
        <v>106314.03243491033</v>
      </c>
      <c r="AK72" s="635">
        <f t="shared" ref="AK72:BN72" si="65">AK25+AK36+AK43+AK52+AK59+AK65+AK11</f>
        <v>105058.53452605863</v>
      </c>
      <c r="AL72" s="635">
        <f t="shared" si="65"/>
        <v>103802.86258274692</v>
      </c>
      <c r="AM72" s="635">
        <f t="shared" si="65"/>
        <v>102547.01660497522</v>
      </c>
      <c r="AN72" s="635">
        <f t="shared" si="65"/>
        <v>101290.99659274351</v>
      </c>
      <c r="AO72" s="635">
        <f t="shared" si="65"/>
        <v>100034.80254605177</v>
      </c>
      <c r="AP72" s="635">
        <f t="shared" si="65"/>
        <v>98778.434464900056</v>
      </c>
      <c r="AQ72" s="635">
        <f t="shared" si="65"/>
        <v>97521.892349288304</v>
      </c>
      <c r="AR72" s="635">
        <f t="shared" si="65"/>
        <v>96265.176199216541</v>
      </c>
      <c r="AS72" s="635">
        <f t="shared" si="65"/>
        <v>95008.286014684782</v>
      </c>
      <c r="AT72" s="635">
        <f t="shared" si="65"/>
        <v>93751.221795693011</v>
      </c>
      <c r="AU72" s="635">
        <f t="shared" si="65"/>
        <v>90609.298941229819</v>
      </c>
      <c r="AV72" s="635">
        <f t="shared" si="65"/>
        <v>87826.234852437454</v>
      </c>
      <c r="AW72" s="635">
        <f t="shared" si="65"/>
        <v>85042.533571993554</v>
      </c>
      <c r="AX72" s="635">
        <f t="shared" si="65"/>
        <v>82258.195099898148</v>
      </c>
      <c r="AY72" s="635">
        <f t="shared" si="65"/>
        <v>79473.219436151237</v>
      </c>
      <c r="AZ72" s="635">
        <f t="shared" si="65"/>
        <v>76687.606580752821</v>
      </c>
      <c r="BA72" s="635">
        <f t="shared" si="65"/>
        <v>73901.356533702885</v>
      </c>
      <c r="BB72" s="635">
        <f t="shared" si="65"/>
        <v>71114.469295001443</v>
      </c>
      <c r="BC72" s="635">
        <f t="shared" si="65"/>
        <v>68326.944864648511</v>
      </c>
      <c r="BD72" s="635">
        <f t="shared" si="65"/>
        <v>65538.783242644029</v>
      </c>
      <c r="BE72" s="635">
        <f t="shared" si="65"/>
        <v>63531.165073601413</v>
      </c>
      <c r="BF72" s="635">
        <f t="shared" si="65"/>
        <v>61522.782274576988</v>
      </c>
      <c r="BG72" s="635">
        <f t="shared" si="65"/>
        <v>59513.634845570748</v>
      </c>
      <c r="BH72" s="635">
        <f t="shared" si="65"/>
        <v>57503.722786582694</v>
      </c>
      <c r="BI72" s="635">
        <f t="shared" si="65"/>
        <v>55493.046097612823</v>
      </c>
      <c r="BJ72" s="635">
        <f t="shared" si="65"/>
        <v>53481.604778661145</v>
      </c>
      <c r="BK72" s="635">
        <f t="shared" si="65"/>
        <v>51469.398829727652</v>
      </c>
      <c r="BL72" s="635">
        <f t="shared" si="65"/>
        <v>49456.428250812358</v>
      </c>
      <c r="BM72" s="635">
        <f t="shared" si="65"/>
        <v>47442.693041915227</v>
      </c>
      <c r="BN72" s="635">
        <f t="shared" si="65"/>
        <v>45428.193203036302</v>
      </c>
    </row>
    <row r="73" spans="1:66" s="63" customFormat="1">
      <c r="A73" s="686"/>
      <c r="B73" s="59" t="s">
        <v>1301</v>
      </c>
      <c r="C73" s="262" t="s">
        <v>166</v>
      </c>
      <c r="D73" s="638">
        <f t="shared" ref="D73" si="66">D26+D37+D44+D53+D60+D66</f>
        <v>2708489.495211232</v>
      </c>
      <c r="E73" s="638">
        <f t="shared" ref="E73:AH73" si="67">E26+E37+E44+E53+E60+E66</f>
        <v>2682403.2345537962</v>
      </c>
      <c r="F73" s="638">
        <f t="shared" si="67"/>
        <v>2656282.240880406</v>
      </c>
      <c r="G73" s="638">
        <f t="shared" si="67"/>
        <v>2630134.6237410801</v>
      </c>
      <c r="H73" s="638">
        <f t="shared" si="67"/>
        <v>2603960.3843119489</v>
      </c>
      <c r="I73" s="638">
        <f t="shared" si="67"/>
        <v>2577759.5238299151</v>
      </c>
      <c r="J73" s="638">
        <f t="shared" si="67"/>
        <v>2551532.0435957843</v>
      </c>
      <c r="K73" s="638">
        <f t="shared" si="67"/>
        <v>2525277.944977575</v>
      </c>
      <c r="L73" s="638">
        <f t="shared" si="67"/>
        <v>2498997.2294139843</v>
      </c>
      <c r="M73" s="638">
        <f t="shared" si="67"/>
        <v>2472689.8984180447</v>
      </c>
      <c r="N73" s="638">
        <f t="shared" si="67"/>
        <v>2446355.9535809597</v>
      </c>
      <c r="O73" s="638">
        <f t="shared" si="67"/>
        <v>2308974.6214741282</v>
      </c>
      <c r="P73" s="638">
        <f t="shared" si="67"/>
        <v>2238675.4917703159</v>
      </c>
      <c r="Q73" s="638">
        <f t="shared" si="67"/>
        <v>2168367.4987735515</v>
      </c>
      <c r="R73" s="638">
        <f t="shared" si="67"/>
        <v>2098050.6444302672</v>
      </c>
      <c r="S73" s="638">
        <f t="shared" si="67"/>
        <v>2027724.9307874597</v>
      </c>
      <c r="T73" s="638">
        <f t="shared" si="67"/>
        <v>1957390.3599978932</v>
      </c>
      <c r="U73" s="638">
        <f t="shared" si="67"/>
        <v>1887046.9343255542</v>
      </c>
      <c r="V73" s="638">
        <f t="shared" si="67"/>
        <v>1816694.6561514037</v>
      </c>
      <c r="W73" s="638">
        <f t="shared" si="67"/>
        <v>1746333.5279794219</v>
      </c>
      <c r="X73" s="638">
        <f t="shared" si="67"/>
        <v>1675963.5524429609</v>
      </c>
      <c r="Y73" s="638">
        <f t="shared" si="67"/>
        <v>1602662.2815837278</v>
      </c>
      <c r="Z73" s="638">
        <f t="shared" si="67"/>
        <v>1529350.3888488133</v>
      </c>
      <c r="AA73" s="638">
        <f t="shared" si="67"/>
        <v>1456027.877301194</v>
      </c>
      <c r="AB73" s="638">
        <f t="shared" si="67"/>
        <v>1382694.7501621037</v>
      </c>
      <c r="AC73" s="638">
        <f t="shared" si="67"/>
        <v>1309351.0108192058</v>
      </c>
      <c r="AD73" s="638">
        <f t="shared" si="67"/>
        <v>1235996.6628351936</v>
      </c>
      <c r="AE73" s="638">
        <f t="shared" si="67"/>
        <v>1162631.7099568378</v>
      </c>
      <c r="AF73" s="638">
        <f t="shared" si="67"/>
        <v>1089256.1561244905</v>
      </c>
      <c r="AG73" s="638">
        <f t="shared" si="67"/>
        <v>1015870.0054820906</v>
      </c>
      <c r="AH73" s="638">
        <f t="shared" si="67"/>
        <v>942473.26238768443</v>
      </c>
      <c r="AI73" s="638"/>
      <c r="AJ73" s="638">
        <f t="shared" ref="AJ73:BN73" si="68">AJ26+AJ37+AJ44+AJ53+AJ60+AJ66</f>
        <v>2708489.495211232</v>
      </c>
      <c r="AK73" s="638">
        <f t="shared" si="68"/>
        <v>2689924.9233325445</v>
      </c>
      <c r="AL73" s="638">
        <f t="shared" si="68"/>
        <v>2671336.4874318214</v>
      </c>
      <c r="AM73" s="638">
        <f t="shared" si="68"/>
        <v>2652732.2970590778</v>
      </c>
      <c r="AN73" s="638">
        <f t="shared" si="68"/>
        <v>2634112.3533904459</v>
      </c>
      <c r="AO73" s="638">
        <f t="shared" si="68"/>
        <v>2615476.6576628285</v>
      </c>
      <c r="AP73" s="638">
        <f t="shared" si="68"/>
        <v>2596825.2111770306</v>
      </c>
      <c r="AQ73" s="638">
        <f t="shared" si="68"/>
        <v>2578158.015301072</v>
      </c>
      <c r="AR73" s="638">
        <f t="shared" si="68"/>
        <v>2559475.0714736483</v>
      </c>
      <c r="AS73" s="638">
        <f t="shared" si="68"/>
        <v>2540776.3812077921</v>
      </c>
      <c r="AT73" s="638">
        <f t="shared" si="68"/>
        <v>2522061.9460947081</v>
      </c>
      <c r="AU73" s="638">
        <f t="shared" si="68"/>
        <v>2410209.9961635037</v>
      </c>
      <c r="AV73" s="638">
        <f t="shared" si="68"/>
        <v>2357679.7605161862</v>
      </c>
      <c r="AW73" s="638">
        <f t="shared" si="68"/>
        <v>2305145.1120586884</v>
      </c>
      <c r="AX73" s="638">
        <f t="shared" si="68"/>
        <v>2252606.0527374432</v>
      </c>
      <c r="AY73" s="638">
        <f t="shared" si="68"/>
        <v>2200062.5845994474</v>
      </c>
      <c r="AZ73" s="638">
        <f t="shared" si="68"/>
        <v>2147514.7097974638</v>
      </c>
      <c r="BA73" s="638">
        <f t="shared" si="68"/>
        <v>2094962.4305954801</v>
      </c>
      <c r="BB73" s="638">
        <f t="shared" si="68"/>
        <v>2042405.7493744581</v>
      </c>
      <c r="BC73" s="638">
        <f t="shared" si="68"/>
        <v>1989844.6686383765</v>
      </c>
      <c r="BD73" s="638">
        <f t="shared" si="68"/>
        <v>1937279.191020587</v>
      </c>
      <c r="BE73" s="638">
        <f t="shared" si="68"/>
        <v>1882931.1427504865</v>
      </c>
      <c r="BF73" s="638">
        <f t="shared" si="68"/>
        <v>1828577.8131840313</v>
      </c>
      <c r="BG73" s="638">
        <f t="shared" si="68"/>
        <v>1774219.2053841986</v>
      </c>
      <c r="BH73" s="638">
        <f t="shared" si="68"/>
        <v>1719855.3225722203</v>
      </c>
      <c r="BI73" s="638">
        <f t="shared" si="68"/>
        <v>1665486.1681357613</v>
      </c>
      <c r="BJ73" s="638">
        <f t="shared" si="68"/>
        <v>1611111.7456375151</v>
      </c>
      <c r="BK73" s="638">
        <f t="shared" si="68"/>
        <v>1556732.0588242514</v>
      </c>
      <c r="BL73" s="638">
        <f t="shared" si="68"/>
        <v>1502347.1116363225</v>
      </c>
      <c r="BM73" s="638">
        <f t="shared" si="68"/>
        <v>1447956.908217669</v>
      </c>
      <c r="BN73" s="638">
        <f t="shared" si="68"/>
        <v>1393561.452926334</v>
      </c>
    </row>
    <row r="74" spans="1:66">
      <c r="A74" s="485"/>
      <c r="C74" s="51"/>
      <c r="D74" s="196"/>
      <c r="E74" s="196"/>
      <c r="F74" s="196"/>
      <c r="G74" s="196"/>
      <c r="H74" s="196"/>
      <c r="I74" s="196"/>
      <c r="J74" s="196"/>
      <c r="K74" s="196"/>
      <c r="L74" s="196"/>
      <c r="M74" s="196"/>
      <c r="N74" s="196"/>
      <c r="O74" s="196"/>
      <c r="P74" s="196"/>
      <c r="Q74" s="196"/>
      <c r="R74" s="196"/>
      <c r="S74" s="196"/>
      <c r="T74" s="196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635"/>
      <c r="AJ74" s="196"/>
      <c r="AK74" s="196"/>
      <c r="AL74" s="196"/>
      <c r="AM74" s="196"/>
      <c r="AN74" s="196"/>
      <c r="AO74" s="196"/>
      <c r="AP74" s="196"/>
      <c r="AQ74" s="196"/>
      <c r="AR74" s="196"/>
      <c r="AS74" s="196"/>
      <c r="AT74" s="196"/>
      <c r="AU74" s="196"/>
      <c r="AV74" s="196"/>
      <c r="AW74" s="196"/>
      <c r="AX74" s="196"/>
      <c r="AY74" s="196"/>
      <c r="AZ74" s="196"/>
      <c r="BA74" s="196"/>
      <c r="BB74" s="196"/>
      <c r="BC74" s="196"/>
      <c r="BD74" s="196"/>
      <c r="BE74" s="196"/>
      <c r="BF74" s="196"/>
      <c r="BG74" s="196"/>
      <c r="BH74" s="196"/>
      <c r="BI74" s="196"/>
      <c r="BJ74" s="196"/>
      <c r="BK74" s="196"/>
      <c r="BL74" s="196"/>
      <c r="BM74" s="196"/>
      <c r="BN74" s="196"/>
    </row>
    <row r="75" spans="1:66" outlineLevel="1">
      <c r="A75" s="55" t="s">
        <v>400</v>
      </c>
      <c r="B75" s="55" t="s">
        <v>195</v>
      </c>
      <c r="C75" s="95" t="s">
        <v>166</v>
      </c>
      <c r="D75" s="631">
        <f t="shared" ref="D75:AH75" si="69">D34</f>
        <v>2855341.1859065234</v>
      </c>
      <c r="E75" s="631">
        <f t="shared" si="69"/>
        <v>2828748.3156633084</v>
      </c>
      <c r="F75" s="631">
        <f t="shared" si="69"/>
        <v>2787838.4765162314</v>
      </c>
      <c r="G75" s="631">
        <f t="shared" si="69"/>
        <v>2754087.1218210859</v>
      </c>
      <c r="H75" s="631">
        <f t="shared" si="69"/>
        <v>2720335.7671259404</v>
      </c>
      <c r="I75" s="631">
        <f t="shared" si="69"/>
        <v>2686584.4124307944</v>
      </c>
      <c r="J75" s="631">
        <f t="shared" si="69"/>
        <v>2652833.0577356485</v>
      </c>
      <c r="K75" s="631">
        <f t="shared" si="69"/>
        <v>2619081.7030405025</v>
      </c>
      <c r="L75" s="631">
        <f t="shared" si="69"/>
        <v>2585330.348345357</v>
      </c>
      <c r="M75" s="631">
        <f t="shared" si="69"/>
        <v>2551578.993650211</v>
      </c>
      <c r="N75" s="631">
        <f t="shared" si="69"/>
        <v>2517827.6389550655</v>
      </c>
      <c r="O75" s="631">
        <f t="shared" si="69"/>
        <v>2443445.2819996378</v>
      </c>
      <c r="P75" s="631">
        <f t="shared" si="69"/>
        <v>2369062.9250442106</v>
      </c>
      <c r="Q75" s="631">
        <f t="shared" si="69"/>
        <v>2294680.568088783</v>
      </c>
      <c r="R75" s="631">
        <f t="shared" si="69"/>
        <v>2220298.2111333562</v>
      </c>
      <c r="S75" s="631">
        <f t="shared" si="69"/>
        <v>2145915.8541779285</v>
      </c>
      <c r="T75" s="631">
        <f t="shared" si="69"/>
        <v>2071533.4972225013</v>
      </c>
      <c r="U75" s="631">
        <f t="shared" si="69"/>
        <v>1997151.1402670736</v>
      </c>
      <c r="V75" s="631">
        <f t="shared" si="69"/>
        <v>1922768.7833116464</v>
      </c>
      <c r="W75" s="631">
        <f t="shared" si="69"/>
        <v>1848386.4263562188</v>
      </c>
      <c r="X75" s="631">
        <f t="shared" si="69"/>
        <v>1774004.0694007918</v>
      </c>
      <c r="Y75" s="631">
        <f t="shared" si="69"/>
        <v>1698407.9913280387</v>
      </c>
      <c r="Z75" s="631">
        <f t="shared" si="69"/>
        <v>1622811.9132552864</v>
      </c>
      <c r="AA75" s="631">
        <f t="shared" si="69"/>
        <v>1547215.8351825331</v>
      </c>
      <c r="AB75" s="631">
        <f t="shared" si="69"/>
        <v>1471619.7571097808</v>
      </c>
      <c r="AC75" s="631">
        <f t="shared" si="69"/>
        <v>1396023.6790370275</v>
      </c>
      <c r="AD75" s="631">
        <f t="shared" si="69"/>
        <v>1320427.6009642747</v>
      </c>
      <c r="AE75" s="631">
        <f t="shared" si="69"/>
        <v>1244831.5228915222</v>
      </c>
      <c r="AF75" s="631">
        <f t="shared" si="69"/>
        <v>1169235.4448187696</v>
      </c>
      <c r="AG75" s="631">
        <f t="shared" si="69"/>
        <v>1093639.3667460165</v>
      </c>
      <c r="AH75" s="631">
        <f t="shared" si="69"/>
        <v>1018043.2886732637</v>
      </c>
      <c r="AI75" s="191"/>
      <c r="AJ75" s="631">
        <f t="shared" ref="AJ75:BN75" si="70">AJ34</f>
        <v>2855341.1859065234</v>
      </c>
      <c r="AK75" s="631">
        <f t="shared" si="70"/>
        <v>2835466.7627365175</v>
      </c>
      <c r="AL75" s="631">
        <f t="shared" si="70"/>
        <v>2803860.2118698959</v>
      </c>
      <c r="AM75" s="631">
        <f t="shared" si="70"/>
        <v>2778119.7248515827</v>
      </c>
      <c r="AN75" s="631">
        <f t="shared" si="70"/>
        <v>2752379.2378332685</v>
      </c>
      <c r="AO75" s="631">
        <f t="shared" si="70"/>
        <v>2726638.7508149552</v>
      </c>
      <c r="AP75" s="631">
        <f t="shared" si="70"/>
        <v>2700898.263796641</v>
      </c>
      <c r="AQ75" s="631">
        <f t="shared" si="70"/>
        <v>2675157.7767783278</v>
      </c>
      <c r="AR75" s="631">
        <f t="shared" si="70"/>
        <v>2649417.2897600136</v>
      </c>
      <c r="AS75" s="631">
        <f t="shared" si="70"/>
        <v>2623676.8027417003</v>
      </c>
      <c r="AT75" s="631">
        <f t="shared" si="70"/>
        <v>2597936.3157233866</v>
      </c>
      <c r="AU75" s="631">
        <f t="shared" si="70"/>
        <v>2541658.4822320966</v>
      </c>
      <c r="AV75" s="631">
        <f t="shared" si="70"/>
        <v>2485380.6487408066</v>
      </c>
      <c r="AW75" s="631">
        <f t="shared" si="70"/>
        <v>2429102.8152495166</v>
      </c>
      <c r="AX75" s="631">
        <f t="shared" si="70"/>
        <v>2372824.9817582271</v>
      </c>
      <c r="AY75" s="631">
        <f t="shared" si="70"/>
        <v>2316547.1482669371</v>
      </c>
      <c r="AZ75" s="631">
        <f t="shared" si="70"/>
        <v>2260269.3147756471</v>
      </c>
      <c r="BA75" s="631">
        <f t="shared" si="70"/>
        <v>2203991.4812843571</v>
      </c>
      <c r="BB75" s="631">
        <f t="shared" si="70"/>
        <v>2147713.6477930672</v>
      </c>
      <c r="BC75" s="631">
        <f t="shared" si="70"/>
        <v>2091435.8143017776</v>
      </c>
      <c r="BD75" s="631">
        <f t="shared" si="70"/>
        <v>2035157.9808104876</v>
      </c>
      <c r="BE75" s="631">
        <f t="shared" si="70"/>
        <v>1978166.0164123531</v>
      </c>
      <c r="BF75" s="631">
        <f t="shared" si="70"/>
        <v>1921174.0520142191</v>
      </c>
      <c r="BG75" s="631">
        <f t="shared" si="70"/>
        <v>1864182.0876160848</v>
      </c>
      <c r="BH75" s="631">
        <f t="shared" si="70"/>
        <v>1807190.1232179508</v>
      </c>
      <c r="BI75" s="631">
        <f t="shared" si="70"/>
        <v>1750198.1588198161</v>
      </c>
      <c r="BJ75" s="631">
        <f t="shared" si="70"/>
        <v>1693206.194421682</v>
      </c>
      <c r="BK75" s="631">
        <f t="shared" si="70"/>
        <v>1636214.230023548</v>
      </c>
      <c r="BL75" s="631">
        <f t="shared" si="70"/>
        <v>1579222.2656254135</v>
      </c>
      <c r="BM75" s="631">
        <f t="shared" si="70"/>
        <v>1522230.3012272792</v>
      </c>
      <c r="BN75" s="631">
        <f t="shared" si="70"/>
        <v>1465238.336829145</v>
      </c>
    </row>
    <row r="76" spans="1:66" outlineLevel="1">
      <c r="A76"/>
      <c r="B76" t="s">
        <v>262</v>
      </c>
      <c r="C76" s="51" t="s">
        <v>166</v>
      </c>
      <c r="D76" s="101">
        <f>'BTX Recycling HC'!C74</f>
        <v>0</v>
      </c>
      <c r="E76" s="101">
        <f>'BTX Recycling HC'!D74</f>
        <v>1507.6889282953598</v>
      </c>
      <c r="F76" s="101">
        <f>'BTX Recycling HC'!E74</f>
        <v>2793.6392216536951</v>
      </c>
      <c r="G76" s="101">
        <f>'BTX Recycling HC'!F74</f>
        <v>4091.8385322199574</v>
      </c>
      <c r="H76" s="101">
        <f>'BTX Recycling HC'!G74</f>
        <v>5325.4462890342511</v>
      </c>
      <c r="I76" s="101">
        <f>'BTX Recycling HC'!H74</f>
        <v>6495.3289769128496</v>
      </c>
      <c r="J76" s="101">
        <f>'BTX Recycling HC'!I74</f>
        <v>7602.3530806720701</v>
      </c>
      <c r="K76" s="101">
        <f>'BTX Recycling HC'!J74</f>
        <v>8647.3850851281859</v>
      </c>
      <c r="L76" s="101">
        <f>'BTX Recycling HC'!K74</f>
        <v>9631.2914750975142</v>
      </c>
      <c r="M76" s="101">
        <f>'BTX Recycling HC'!L74</f>
        <v>10554.938735396365</v>
      </c>
      <c r="N76" s="101">
        <f>'BTX Recycling HC'!M74</f>
        <v>11419.193350841011</v>
      </c>
      <c r="O76" s="101">
        <f>'BTX Recycling HC'!N74</f>
        <v>12984.892773787262</v>
      </c>
      <c r="P76" s="101">
        <f>'BTX Recycling HC'!O74</f>
        <v>14343.564313981773</v>
      </c>
      <c r="Q76" s="101">
        <f>'BTX Recycling HC'!P74</f>
        <v>15498.8481236056</v>
      </c>
      <c r="R76" s="101">
        <f>'BTX Recycling HC'!Q74</f>
        <v>16454.384354839862</v>
      </c>
      <c r="S76" s="101">
        <f>'BTX Recycling HC'!R74</f>
        <v>17213.813159865578</v>
      </c>
      <c r="T76" s="101">
        <f>'BTX Recycling HC'!S74</f>
        <v>17780.77469086384</v>
      </c>
      <c r="U76" s="101">
        <f>'BTX Recycling HC'!T74</f>
        <v>18158.90910001571</v>
      </c>
      <c r="V76" s="101">
        <f>'BTX Recycling HC'!U74</f>
        <v>18351.8565395023</v>
      </c>
      <c r="W76" s="101">
        <f>'BTX Recycling HC'!V74</f>
        <v>18363.257161504607</v>
      </c>
      <c r="X76" s="101">
        <f>'BTX Recycling HC'!W74</f>
        <v>18196.751118203789</v>
      </c>
      <c r="Y76" s="101">
        <f>'BTX Recycling HC'!X74</f>
        <v>19338.302479719659</v>
      </c>
      <c r="Z76" s="101">
        <f>'BTX Recycling HC'!Y74</f>
        <v>20151.52698827854</v>
      </c>
      <c r="AA76" s="101">
        <f>'BTX Recycling HC'!Z74</f>
        <v>20642.980807956166</v>
      </c>
      <c r="AB76" s="101">
        <f>'BTX Recycling HC'!AA74</f>
        <v>20819.220102828327</v>
      </c>
      <c r="AC76" s="101">
        <f>'BTX Recycling HC'!AB74</f>
        <v>20686.80103697073</v>
      </c>
      <c r="AD76" s="101">
        <f>'BTX Recycling HC'!AC74</f>
        <v>20252.279774459184</v>
      </c>
      <c r="AE76" s="101">
        <f>'BTX Recycling HC'!AD74</f>
        <v>19522.212479369442</v>
      </c>
      <c r="AF76" s="101">
        <f>'BTX Recycling HC'!AE74</f>
        <v>18503.15531577724</v>
      </c>
      <c r="AG76" s="101">
        <f>'BTX Recycling HC'!AF74</f>
        <v>17201.66444775835</v>
      </c>
      <c r="AH76" s="101">
        <f>'BTX Recycling HC'!AG74</f>
        <v>15624.296039388519</v>
      </c>
      <c r="AI76" s="191"/>
      <c r="AJ76" s="101">
        <f>D76</f>
        <v>0</v>
      </c>
      <c r="AK76" s="101">
        <f t="shared" ref="AK76:AZ77" si="71">E76</f>
        <v>1507.6889282953598</v>
      </c>
      <c r="AL76" s="101">
        <f t="shared" si="71"/>
        <v>2793.6392216536951</v>
      </c>
      <c r="AM76" s="101">
        <f t="shared" si="71"/>
        <v>4091.8385322199574</v>
      </c>
      <c r="AN76" s="101">
        <f t="shared" si="71"/>
        <v>5325.4462890342511</v>
      </c>
      <c r="AO76" s="101">
        <f t="shared" si="71"/>
        <v>6495.3289769128496</v>
      </c>
      <c r="AP76" s="101">
        <f t="shared" si="71"/>
        <v>7602.3530806720701</v>
      </c>
      <c r="AQ76" s="101">
        <f t="shared" si="71"/>
        <v>8647.3850851281859</v>
      </c>
      <c r="AR76" s="101">
        <f t="shared" si="71"/>
        <v>9631.2914750975142</v>
      </c>
      <c r="AS76" s="101">
        <f t="shared" si="71"/>
        <v>10554.938735396365</v>
      </c>
      <c r="AT76" s="101">
        <f t="shared" si="71"/>
        <v>11419.193350841011</v>
      </c>
      <c r="AU76" s="101">
        <f t="shared" si="71"/>
        <v>12984.892773787262</v>
      </c>
      <c r="AV76" s="101">
        <f t="shared" si="71"/>
        <v>14343.564313981773</v>
      </c>
      <c r="AW76" s="101">
        <f t="shared" si="71"/>
        <v>15498.8481236056</v>
      </c>
      <c r="AX76" s="101">
        <f t="shared" si="71"/>
        <v>16454.384354839862</v>
      </c>
      <c r="AY76" s="101">
        <f t="shared" si="71"/>
        <v>17213.813159865578</v>
      </c>
      <c r="AZ76" s="101">
        <f t="shared" si="71"/>
        <v>17780.77469086384</v>
      </c>
      <c r="BA76" s="101">
        <f t="shared" ref="BA76:BN77" si="72">U76</f>
        <v>18158.90910001571</v>
      </c>
      <c r="BB76" s="101">
        <f t="shared" si="72"/>
        <v>18351.8565395023</v>
      </c>
      <c r="BC76" s="101">
        <f t="shared" si="72"/>
        <v>18363.257161504607</v>
      </c>
      <c r="BD76" s="101">
        <f t="shared" si="72"/>
        <v>18196.751118203789</v>
      </c>
      <c r="BE76" s="101">
        <f t="shared" si="72"/>
        <v>19338.302479719659</v>
      </c>
      <c r="BF76" s="101">
        <f t="shared" si="72"/>
        <v>20151.52698827854</v>
      </c>
      <c r="BG76" s="101">
        <f t="shared" si="72"/>
        <v>20642.980807956166</v>
      </c>
      <c r="BH76" s="101">
        <f t="shared" si="72"/>
        <v>20819.220102828327</v>
      </c>
      <c r="BI76" s="101">
        <f t="shared" si="72"/>
        <v>20686.80103697073</v>
      </c>
      <c r="BJ76" s="101">
        <f t="shared" si="72"/>
        <v>20252.279774459184</v>
      </c>
      <c r="BK76" s="101">
        <f t="shared" si="72"/>
        <v>19522.212479369442</v>
      </c>
      <c r="BL76" s="101">
        <f t="shared" si="72"/>
        <v>18503.15531577724</v>
      </c>
      <c r="BM76" s="101">
        <f t="shared" si="72"/>
        <v>17201.66444775835</v>
      </c>
      <c r="BN76" s="101">
        <f t="shared" si="72"/>
        <v>15624.296039388519</v>
      </c>
    </row>
    <row r="77" spans="1:66" outlineLevel="1">
      <c r="A77"/>
      <c r="B77" s="169" t="s">
        <v>265</v>
      </c>
      <c r="C77" s="51" t="s">
        <v>166</v>
      </c>
      <c r="D77" s="101">
        <f>'BTX Recycling HC'!C169</f>
        <v>0</v>
      </c>
      <c r="E77" s="101">
        <f>'BTX Recycling HC'!D169</f>
        <v>16.897966065466065</v>
      </c>
      <c r="F77" s="101">
        <f>'BTX Recycling HC'!E169</f>
        <v>33.34316700259528</v>
      </c>
      <c r="G77" s="101">
        <f>'BTX Recycling HC'!F169</f>
        <v>49.290032380417458</v>
      </c>
      <c r="H77" s="101">
        <f>'BTX Recycling HC'!G169</f>
        <v>64.692991767962354</v>
      </c>
      <c r="I77" s="101">
        <f>'BTX Recycling HC'!H169</f>
        <v>79.506474734259712</v>
      </c>
      <c r="J77" s="101">
        <f>'BTX Recycling HC'!I169</f>
        <v>93.684910848339456</v>
      </c>
      <c r="K77" s="101">
        <f>'BTX Recycling HC'!J169</f>
        <v>107.18272967923113</v>
      </c>
      <c r="L77" s="101">
        <f>'BTX Recycling HC'!K169</f>
        <v>119.95436079596473</v>
      </c>
      <c r="M77" s="101">
        <f>'BTX Recycling HC'!L169</f>
        <v>131.95423376756995</v>
      </c>
      <c r="N77" s="101">
        <f>'BTX Recycling HC'!M169</f>
        <v>143.13677816307649</v>
      </c>
      <c r="O77" s="101">
        <f>'BTX Recycling HC'!N169</f>
        <v>170.04616636466503</v>
      </c>
      <c r="P77" s="101">
        <f>'BTX Recycling HC'!O169</f>
        <v>195.27628631348131</v>
      </c>
      <c r="Q77" s="101">
        <f>'BTX Recycling HC'!P169</f>
        <v>217.74238201009257</v>
      </c>
      <c r="R77" s="101">
        <f>'BTX Recycling HC'!Q169</f>
        <v>238.18315146462896</v>
      </c>
      <c r="S77" s="101">
        <f>'BTX Recycling HC'!R169</f>
        <v>256.52140647473942</v>
      </c>
      <c r="T77" s="101">
        <f>'BTX Recycling HC'!S169</f>
        <v>272.6815366709227</v>
      </c>
      <c r="U77" s="101">
        <f>'BTX Recycling HC'!T169</f>
        <v>286.58953026299201</v>
      </c>
      <c r="V77" s="101">
        <f>'BTX Recycling HC'!U169</f>
        <v>298.17299478653979</v>
      </c>
      <c r="W77" s="101">
        <f>'BTX Recycling HC'!V169</f>
        <v>307.36117784940143</v>
      </c>
      <c r="X77" s="101">
        <f>'BTX Recycling HC'!W169</f>
        <v>314.08498787812113</v>
      </c>
      <c r="Y77" s="101">
        <f>'BTX Recycling HC'!X169</f>
        <v>333.13768303420954</v>
      </c>
      <c r="Z77" s="101">
        <f>'BTX Recycling HC'!Y169</f>
        <v>348.11362360080631</v>
      </c>
      <c r="AA77" s="101">
        <f>'BTX Recycling HC'!Z169</f>
        <v>355.21118050042884</v>
      </c>
      <c r="AB77" s="101">
        <f>'BTX Recycling HC'!AA169</f>
        <v>357.80753419320121</v>
      </c>
      <c r="AC77" s="101">
        <f>'BTX Recycling HC'!AB169</f>
        <v>355.90744679668154</v>
      </c>
      <c r="AD77" s="101">
        <f>'BTX Recycling HC'!AC169</f>
        <v>349.52788333981243</v>
      </c>
      <c r="AE77" s="101">
        <f>'BTX Recycling HC'!AD169</f>
        <v>338.69827210788276</v>
      </c>
      <c r="AF77" s="101">
        <f>'BTX Recycling HC'!AE169</f>
        <v>323.46076498748573</v>
      </c>
      <c r="AG77" s="101">
        <f>'BTX Recycling HC'!AF169</f>
        <v>303.87049781147778</v>
      </c>
      <c r="AH77" s="101">
        <f>'BTX Recycling HC'!AG169</f>
        <v>279.99585070393948</v>
      </c>
      <c r="AI77" s="191"/>
      <c r="AJ77" s="101">
        <f>D77</f>
        <v>0</v>
      </c>
      <c r="AK77" s="101">
        <f t="shared" si="71"/>
        <v>16.897966065466065</v>
      </c>
      <c r="AL77" s="101">
        <f t="shared" si="71"/>
        <v>33.34316700259528</v>
      </c>
      <c r="AM77" s="101">
        <f t="shared" si="71"/>
        <v>49.290032380417458</v>
      </c>
      <c r="AN77" s="101">
        <f t="shared" si="71"/>
        <v>64.692991767962354</v>
      </c>
      <c r="AO77" s="101">
        <f t="shared" si="71"/>
        <v>79.506474734259712</v>
      </c>
      <c r="AP77" s="101">
        <f t="shared" si="71"/>
        <v>93.684910848339456</v>
      </c>
      <c r="AQ77" s="101">
        <f t="shared" si="71"/>
        <v>107.18272967923113</v>
      </c>
      <c r="AR77" s="101">
        <f t="shared" si="71"/>
        <v>119.95436079596473</v>
      </c>
      <c r="AS77" s="101">
        <f t="shared" si="71"/>
        <v>131.95423376756995</v>
      </c>
      <c r="AT77" s="101">
        <f t="shared" si="71"/>
        <v>143.13677816307649</v>
      </c>
      <c r="AU77" s="101">
        <f t="shared" si="71"/>
        <v>170.04616636466503</v>
      </c>
      <c r="AV77" s="101">
        <f t="shared" si="71"/>
        <v>195.27628631348131</v>
      </c>
      <c r="AW77" s="101">
        <f t="shared" si="71"/>
        <v>217.74238201009257</v>
      </c>
      <c r="AX77" s="101">
        <f t="shared" si="71"/>
        <v>238.18315146462896</v>
      </c>
      <c r="AY77" s="101">
        <f t="shared" si="71"/>
        <v>256.52140647473942</v>
      </c>
      <c r="AZ77" s="101">
        <f t="shared" si="71"/>
        <v>272.6815366709227</v>
      </c>
      <c r="BA77" s="101">
        <f t="shared" si="72"/>
        <v>286.58953026299201</v>
      </c>
      <c r="BB77" s="101">
        <f t="shared" si="72"/>
        <v>298.17299478653979</v>
      </c>
      <c r="BC77" s="101">
        <f t="shared" si="72"/>
        <v>307.36117784940143</v>
      </c>
      <c r="BD77" s="101">
        <f t="shared" si="72"/>
        <v>314.08498787812113</v>
      </c>
      <c r="BE77" s="101">
        <f t="shared" si="72"/>
        <v>333.13768303420954</v>
      </c>
      <c r="BF77" s="101">
        <f t="shared" si="72"/>
        <v>348.11362360080631</v>
      </c>
      <c r="BG77" s="101">
        <f t="shared" si="72"/>
        <v>355.21118050042884</v>
      </c>
      <c r="BH77" s="101">
        <f t="shared" si="72"/>
        <v>357.80753419320121</v>
      </c>
      <c r="BI77" s="101">
        <f t="shared" si="72"/>
        <v>355.90744679668154</v>
      </c>
      <c r="BJ77" s="101">
        <f t="shared" si="72"/>
        <v>349.52788333981243</v>
      </c>
      <c r="BK77" s="101">
        <f t="shared" si="72"/>
        <v>338.69827210788276</v>
      </c>
      <c r="BL77" s="101">
        <f t="shared" si="72"/>
        <v>323.46076498748573</v>
      </c>
      <c r="BM77" s="101">
        <f t="shared" si="72"/>
        <v>303.87049781147778</v>
      </c>
      <c r="BN77" s="101">
        <f t="shared" si="72"/>
        <v>279.99585070393948</v>
      </c>
    </row>
    <row r="78" spans="1:66" outlineLevel="1">
      <c r="A78" s="59"/>
      <c r="B78" s="59" t="s">
        <v>263</v>
      </c>
      <c r="C78" s="60" t="s">
        <v>166</v>
      </c>
      <c r="D78" s="636">
        <f>D75-D76-D77</f>
        <v>2855341.1859065234</v>
      </c>
      <c r="E78" s="636">
        <f t="shared" ref="E78:AG78" si="73">E75-E76-E77</f>
        <v>2827223.7287689475</v>
      </c>
      <c r="F78" s="636">
        <f t="shared" si="73"/>
        <v>2785011.4941275748</v>
      </c>
      <c r="G78" s="636">
        <f t="shared" si="73"/>
        <v>2749945.9932564856</v>
      </c>
      <c r="H78" s="636">
        <f t="shared" si="73"/>
        <v>2714945.6278451383</v>
      </c>
      <c r="I78" s="636">
        <f t="shared" si="73"/>
        <v>2680009.5769791473</v>
      </c>
      <c r="J78" s="636">
        <f t="shared" si="73"/>
        <v>2645137.019744128</v>
      </c>
      <c r="K78" s="636">
        <f t="shared" si="73"/>
        <v>2610327.1352256951</v>
      </c>
      <c r="L78" s="636">
        <f t="shared" si="73"/>
        <v>2575579.1025094632</v>
      </c>
      <c r="M78" s="636">
        <f t="shared" si="73"/>
        <v>2540892.1006810474</v>
      </c>
      <c r="N78" s="636">
        <f t="shared" si="73"/>
        <v>2506265.3088260614</v>
      </c>
      <c r="O78" s="636">
        <f t="shared" si="73"/>
        <v>2430290.3430594858</v>
      </c>
      <c r="P78" s="636">
        <f t="shared" si="73"/>
        <v>2354524.0844439156</v>
      </c>
      <c r="Q78" s="636">
        <f t="shared" si="73"/>
        <v>2278963.9775831671</v>
      </c>
      <c r="R78" s="636">
        <f t="shared" si="73"/>
        <v>2203605.6436270517</v>
      </c>
      <c r="S78" s="636">
        <f t="shared" si="73"/>
        <v>2128445.5196115882</v>
      </c>
      <c r="T78" s="636">
        <f t="shared" si="73"/>
        <v>2053480.0409949664</v>
      </c>
      <c r="U78" s="636">
        <f t="shared" si="73"/>
        <v>1978705.6416367949</v>
      </c>
      <c r="V78" s="636">
        <f t="shared" si="73"/>
        <v>1904118.7537773575</v>
      </c>
      <c r="W78" s="636">
        <f t="shared" si="73"/>
        <v>1829715.8080168648</v>
      </c>
      <c r="X78" s="636">
        <f t="shared" si="73"/>
        <v>1755493.2332947098</v>
      </c>
      <c r="Y78" s="636">
        <f t="shared" si="73"/>
        <v>1678736.5511652848</v>
      </c>
      <c r="Z78" s="636">
        <f t="shared" si="73"/>
        <v>1602312.2726434069</v>
      </c>
      <c r="AA78" s="636">
        <f t="shared" si="73"/>
        <v>1526217.6431940766</v>
      </c>
      <c r="AB78" s="636">
        <f t="shared" si="73"/>
        <v>1450442.7294727594</v>
      </c>
      <c r="AC78" s="636">
        <f t="shared" si="73"/>
        <v>1374980.9705532601</v>
      </c>
      <c r="AD78" s="636">
        <f t="shared" si="73"/>
        <v>1299825.7933064757</v>
      </c>
      <c r="AE78" s="636">
        <f t="shared" si="73"/>
        <v>1224970.6121400448</v>
      </c>
      <c r="AF78" s="636">
        <f t="shared" si="73"/>
        <v>1150408.8287380049</v>
      </c>
      <c r="AG78" s="636">
        <f t="shared" si="73"/>
        <v>1076133.8318004466</v>
      </c>
      <c r="AH78" s="636">
        <f>AH75-AH76-AH77</f>
        <v>1002138.9967831713</v>
      </c>
      <c r="AI78" s="191"/>
      <c r="AJ78" s="636">
        <f>AJ75-AJ76-AJ77</f>
        <v>2855341.1859065234</v>
      </c>
      <c r="AK78" s="636">
        <f t="shared" ref="AK78:BM78" si="74">AK75-AK76-AK77</f>
        <v>2833942.1758421566</v>
      </c>
      <c r="AL78" s="636">
        <f t="shared" si="74"/>
        <v>2801033.2294812393</v>
      </c>
      <c r="AM78" s="636">
        <f t="shared" si="74"/>
        <v>2773978.5962869823</v>
      </c>
      <c r="AN78" s="636">
        <f t="shared" si="74"/>
        <v>2746989.0985524664</v>
      </c>
      <c r="AO78" s="636">
        <f t="shared" si="74"/>
        <v>2720063.915363308</v>
      </c>
      <c r="AP78" s="636">
        <f t="shared" si="74"/>
        <v>2693202.2258051205</v>
      </c>
      <c r="AQ78" s="636">
        <f t="shared" si="74"/>
        <v>2666403.2089635204</v>
      </c>
      <c r="AR78" s="636">
        <f t="shared" si="74"/>
        <v>2639666.0439241198</v>
      </c>
      <c r="AS78" s="636">
        <f t="shared" si="74"/>
        <v>2612989.9097725367</v>
      </c>
      <c r="AT78" s="636">
        <f t="shared" si="74"/>
        <v>2586373.9855943825</v>
      </c>
      <c r="AU78" s="636">
        <f t="shared" si="74"/>
        <v>2528503.5432919445</v>
      </c>
      <c r="AV78" s="636">
        <f t="shared" si="74"/>
        <v>2470841.8081405116</v>
      </c>
      <c r="AW78" s="636">
        <f t="shared" si="74"/>
        <v>2413386.2247439008</v>
      </c>
      <c r="AX78" s="636">
        <f t="shared" si="74"/>
        <v>2356132.4142519226</v>
      </c>
      <c r="AY78" s="636">
        <f t="shared" si="74"/>
        <v>2299076.8137005968</v>
      </c>
      <c r="AZ78" s="636">
        <f t="shared" si="74"/>
        <v>2242215.8585481127</v>
      </c>
      <c r="BA78" s="636">
        <f t="shared" si="74"/>
        <v>2185545.9826540784</v>
      </c>
      <c r="BB78" s="636">
        <f t="shared" si="74"/>
        <v>2129063.6182587785</v>
      </c>
      <c r="BC78" s="636">
        <f t="shared" si="74"/>
        <v>2072765.1959624237</v>
      </c>
      <c r="BD78" s="636">
        <f t="shared" si="74"/>
        <v>2016647.1447044057</v>
      </c>
      <c r="BE78" s="636">
        <f t="shared" si="74"/>
        <v>1958494.5762495992</v>
      </c>
      <c r="BF78" s="636">
        <f t="shared" si="74"/>
        <v>1900674.4114023396</v>
      </c>
      <c r="BG78" s="636">
        <f t="shared" si="74"/>
        <v>1843183.8956276283</v>
      </c>
      <c r="BH78" s="636">
        <f t="shared" si="74"/>
        <v>1786013.0955809294</v>
      </c>
      <c r="BI78" s="636">
        <f t="shared" si="74"/>
        <v>1729155.4503360486</v>
      </c>
      <c r="BJ78" s="636">
        <f t="shared" si="74"/>
        <v>1672604.3867638831</v>
      </c>
      <c r="BK78" s="636">
        <f t="shared" si="74"/>
        <v>1616353.3192720707</v>
      </c>
      <c r="BL78" s="636">
        <f t="shared" si="74"/>
        <v>1560395.6495446488</v>
      </c>
      <c r="BM78" s="636">
        <f t="shared" si="74"/>
        <v>1504724.7662817093</v>
      </c>
      <c r="BN78" s="636">
        <f>BN75-BN76-BN77</f>
        <v>1449334.0449390525</v>
      </c>
    </row>
    <row r="79" spans="1:66" s="62" customFormat="1" outlineLevel="1">
      <c r="A79" s="684"/>
      <c r="B79" s="55" t="s">
        <v>88</v>
      </c>
      <c r="C79" s="56" t="s">
        <v>166</v>
      </c>
      <c r="D79" s="639">
        <f>D35-'Overall recycling rates'!$G$60/SUM('Overall recycling rates'!$G$60:$G$62)*('BTX Recycling HC'!C75+'BTX Recycling HC'!C170)-'Overall recycling rates'!$E$60/SUM('Overall recycling rates'!$E$60:$E$62)*('BTX Recycling HC'!C76+'BTX Recycling HC'!C171)-'Overall recycling rates'!$H$60/SUM('Overall recycling rates'!$H$60:$H$62)*('BTX Recycling HC'!C77+'BTX Recycling HC'!C172)-'Overall recycling rates'!$I$60/SUM('Overall recycling rates'!$I$60:$I$62)*('BTX Recycling HC'!C78+'BTX Recycling HC'!C173)</f>
        <v>312187.37987787981</v>
      </c>
      <c r="E79" s="639">
        <f>E35-'Overall recycling rates'!$G$60/SUM('Overall recycling rates'!$G$60:$G$62)*('BTX Recycling HC'!D75+'BTX Recycling HC'!D170)-'Overall recycling rates'!$E$60/SUM('Overall recycling rates'!$E$60:$E$62)*('BTX Recycling HC'!D76+'BTX Recycling HC'!D171)-'Overall recycling rates'!$H$60/SUM('Overall recycling rates'!$H$60:$H$62)*('BTX Recycling HC'!D77+'BTX Recycling HC'!D172)-'Overall recycling rates'!$I$60/SUM('Overall recycling rates'!$I$60:$I$62)*('BTX Recycling HC'!D78+'BTX Recycling HC'!D173)</f>
        <v>309729.44684348634</v>
      </c>
      <c r="F79" s="639">
        <f>F35-'Overall recycling rates'!$G$60/SUM('Overall recycling rates'!$G$60:$G$62)*('BTX Recycling HC'!E75+'BTX Recycling HC'!E170)-'Overall recycling rates'!$E$60/SUM('Overall recycling rates'!$E$60:$E$62)*('BTX Recycling HC'!E76+'BTX Recycling HC'!E171)-'Overall recycling rates'!$H$60/SUM('Overall recycling rates'!$H$60:$H$62)*('BTX Recycling HC'!E77+'BTX Recycling HC'!E172)-'Overall recycling rates'!$I$60/SUM('Overall recycling rates'!$I$60:$I$62)*('BTX Recycling HC'!E78+'BTX Recycling HC'!E173)</f>
        <v>307242.10021028703</v>
      </c>
      <c r="G79" s="639">
        <f>G35-'Overall recycling rates'!$G$60/SUM('Overall recycling rates'!$G$60:$G$62)*('BTX Recycling HC'!F75+'BTX Recycling HC'!F170)-'Overall recycling rates'!$E$60/SUM('Overall recycling rates'!$E$60:$E$62)*('BTX Recycling HC'!F76+'BTX Recycling HC'!F171)-'Overall recycling rates'!$H$60/SUM('Overall recycling rates'!$H$60:$H$62)*('BTX Recycling HC'!F77+'BTX Recycling HC'!F172)-'Overall recycling rates'!$I$60/SUM('Overall recycling rates'!$I$60:$I$62)*('BTX Recycling HC'!F78+'BTX Recycling HC'!F173)</f>
        <v>304724.16445129394</v>
      </c>
      <c r="H79" s="639">
        <f>H35-'Overall recycling rates'!$G$60/SUM('Overall recycling rates'!$G$60:$G$62)*('BTX Recycling HC'!G75+'BTX Recycling HC'!G170)-'Overall recycling rates'!$E$60/SUM('Overall recycling rates'!$E$60:$E$62)*('BTX Recycling HC'!G76+'BTX Recycling HC'!G171)-'Overall recycling rates'!$H$60/SUM('Overall recycling rates'!$H$60:$H$62)*('BTX Recycling HC'!G77+'BTX Recycling HC'!G172)-'Overall recycling rates'!$I$60/SUM('Overall recycling rates'!$I$60:$I$62)*('BTX Recycling HC'!G78+'BTX Recycling HC'!G173)</f>
        <v>302179.03615203768</v>
      </c>
      <c r="I79" s="639">
        <f>I35-'Overall recycling rates'!$G$60/SUM('Overall recycling rates'!$G$60:$G$62)*('BTX Recycling HC'!H75+'BTX Recycling HC'!H170)-'Overall recycling rates'!$E$60/SUM('Overall recycling rates'!$E$60:$E$62)*('BTX Recycling HC'!H76+'BTX Recycling HC'!H171)-'Overall recycling rates'!$H$60/SUM('Overall recycling rates'!$H$60:$H$62)*('BTX Recycling HC'!H77+'BTX Recycling HC'!H172)-'Overall recycling rates'!$I$60/SUM('Overall recycling rates'!$I$60:$I$62)*('BTX Recycling HC'!H78+'BTX Recycling HC'!H173)</f>
        <v>299608.91707168473</v>
      </c>
      <c r="J79" s="639">
        <f>J35-'Overall recycling rates'!$G$60/SUM('Overall recycling rates'!$G$60:$G$62)*('BTX Recycling HC'!I75+'BTX Recycling HC'!I170)-'Overall recycling rates'!$E$60/SUM('Overall recycling rates'!$E$60:$E$62)*('BTX Recycling HC'!I76+'BTX Recycling HC'!I171)-'Overall recycling rates'!$H$60/SUM('Overall recycling rates'!$H$60:$H$62)*('BTX Recycling HC'!I77+'BTX Recycling HC'!I172)-'Overall recycling rates'!$I$60/SUM('Overall recycling rates'!$I$60:$I$62)*('BTX Recycling HC'!I78+'BTX Recycling HC'!I173)</f>
        <v>297015.96753081447</v>
      </c>
      <c r="K79" s="639">
        <f>K35-'Overall recycling rates'!$G$60/SUM('Overall recycling rates'!$G$60:$G$62)*('BTX Recycling HC'!J75+'BTX Recycling HC'!J170)-'Overall recycling rates'!$E$60/SUM('Overall recycling rates'!$E$60:$E$62)*('BTX Recycling HC'!J76+'BTX Recycling HC'!J171)-'Overall recycling rates'!$H$60/SUM('Overall recycling rates'!$H$60:$H$62)*('BTX Recycling HC'!J77+'BTX Recycling HC'!J172)-'Overall recycling rates'!$I$60/SUM('Overall recycling rates'!$I$60:$I$62)*('BTX Recycling HC'!J78+'BTX Recycling HC'!J173)</f>
        <v>294402.30641141813</v>
      </c>
      <c r="L79" s="639">
        <f>L35-'Overall recycling rates'!$G$60/SUM('Overall recycling rates'!$G$60:$G$62)*('BTX Recycling HC'!K75+'BTX Recycling HC'!K170)-'Overall recycling rates'!$E$60/SUM('Overall recycling rates'!$E$60:$E$62)*('BTX Recycling HC'!K76+'BTX Recycling HC'!K171)-'Overall recycling rates'!$H$60/SUM('Overall recycling rates'!$H$60:$H$62)*('BTX Recycling HC'!K77+'BTX Recycling HC'!K172)-'Overall recycling rates'!$I$60/SUM('Overall recycling rates'!$I$60:$I$62)*('BTX Recycling HC'!K78+'BTX Recycling HC'!K173)</f>
        <v>291770.01115690009</v>
      </c>
      <c r="M79" s="639">
        <f>M35-'Overall recycling rates'!$G$60/SUM('Overall recycling rates'!$G$60:$G$62)*('BTX Recycling HC'!L75+'BTX Recycling HC'!L170)-'Overall recycling rates'!$E$60/SUM('Overall recycling rates'!$E$60:$E$62)*('BTX Recycling HC'!L76+'BTX Recycling HC'!L171)-'Overall recycling rates'!$H$60/SUM('Overall recycling rates'!$H$60:$H$62)*('BTX Recycling HC'!L77+'BTX Recycling HC'!L172)-'Overall recycling rates'!$I$60/SUM('Overall recycling rates'!$I$60:$I$62)*('BTX Recycling HC'!L78+'BTX Recycling HC'!L173)</f>
        <v>289121.11777207709</v>
      </c>
      <c r="N79" s="639">
        <f>N35-'Overall recycling rates'!$G$60/SUM('Overall recycling rates'!$G$60:$G$62)*('BTX Recycling HC'!M75+'BTX Recycling HC'!M170)-'Overall recycling rates'!$E$60/SUM('Overall recycling rates'!$E$60:$E$62)*('BTX Recycling HC'!M76+'BTX Recycling HC'!M171)-'Overall recycling rates'!$H$60/SUM('Overall recycling rates'!$H$60:$H$62)*('BTX Recycling HC'!M77+'BTX Recycling HC'!M172)-'Overall recycling rates'!$I$60/SUM('Overall recycling rates'!$I$60:$I$62)*('BTX Recycling HC'!M78+'BTX Recycling HC'!M173)</f>
        <v>286457.62082317827</v>
      </c>
      <c r="O79" s="639">
        <f>O35-'Overall recycling rates'!$G$60/SUM('Overall recycling rates'!$G$60:$G$62)*('BTX Recycling HC'!N75+'BTX Recycling HC'!N170)-'Overall recycling rates'!$E$60/SUM('Overall recycling rates'!$E$60:$E$62)*('BTX Recycling HC'!N76+'BTX Recycling HC'!N171)-'Overall recycling rates'!$H$60/SUM('Overall recycling rates'!$H$60:$H$62)*('BTX Recycling HC'!N77+'BTX Recycling HC'!N172)-'Overall recycling rates'!$I$60/SUM('Overall recycling rates'!$I$60:$I$62)*('BTX Recycling HC'!N78+'BTX Recycling HC'!N173)</f>
        <v>277166.30590517633</v>
      </c>
      <c r="P79" s="639">
        <f>P35-'Overall recycling rates'!$G$60/SUM('Overall recycling rates'!$G$60:$G$62)*('BTX Recycling HC'!O75+'BTX Recycling HC'!O170)-'Overall recycling rates'!$E$60/SUM('Overall recycling rates'!$E$60:$E$62)*('BTX Recycling HC'!O76+'BTX Recycling HC'!O171)-'Overall recycling rates'!$H$60/SUM('Overall recycling rates'!$H$60:$H$62)*('BTX Recycling HC'!O77+'BTX Recycling HC'!O172)-'Overall recycling rates'!$I$60/SUM('Overall recycling rates'!$I$60:$I$62)*('BTX Recycling HC'!O78+'BTX Recycling HC'!O173)</f>
        <v>270768.07310535182</v>
      </c>
      <c r="Q79" s="639">
        <f>Q35-'Overall recycling rates'!$G$60/SUM('Overall recycling rates'!$G$60:$G$62)*('BTX Recycling HC'!P75+'BTX Recycling HC'!P170)-'Overall recycling rates'!$E$60/SUM('Overall recycling rates'!$E$60:$E$62)*('BTX Recycling HC'!P76+'BTX Recycling HC'!P171)-'Overall recycling rates'!$H$60/SUM('Overall recycling rates'!$H$60:$H$62)*('BTX Recycling HC'!P77+'BTX Recycling HC'!P172)-'Overall recycling rates'!$I$60/SUM('Overall recycling rates'!$I$60:$I$62)*('BTX Recycling HC'!P78+'BTX Recycling HC'!P173)</f>
        <v>264371.903242614</v>
      </c>
      <c r="R79" s="639">
        <f>R35-'Overall recycling rates'!$G$60/SUM('Overall recycling rates'!$G$60:$G$62)*('BTX Recycling HC'!Q75+'BTX Recycling HC'!Q170)-'Overall recycling rates'!$E$60/SUM('Overall recycling rates'!$E$60:$E$62)*('BTX Recycling HC'!Q76+'BTX Recycling HC'!Q171)-'Overall recycling rates'!$H$60/SUM('Overall recycling rates'!$H$60:$H$62)*('BTX Recycling HC'!Q77+'BTX Recycling HC'!Q172)-'Overall recycling rates'!$I$60/SUM('Overall recycling rates'!$I$60:$I$62)*('BTX Recycling HC'!Q78+'BTX Recycling HC'!Q173)</f>
        <v>257983.68359421383</v>
      </c>
      <c r="S79" s="639">
        <f>S35-'Overall recycling rates'!$G$60/SUM('Overall recycling rates'!$G$60:$G$62)*('BTX Recycling HC'!R75+'BTX Recycling HC'!R170)-'Overall recycling rates'!$E$60/SUM('Overall recycling rates'!$E$60:$E$62)*('BTX Recycling HC'!R76+'BTX Recycling HC'!R171)-'Overall recycling rates'!$H$60/SUM('Overall recycling rates'!$H$60:$H$62)*('BTX Recycling HC'!R77+'BTX Recycling HC'!R172)-'Overall recycling rates'!$I$60/SUM('Overall recycling rates'!$I$60:$I$62)*('BTX Recycling HC'!R78+'BTX Recycling HC'!R173)</f>
        <v>251609.68389344611</v>
      </c>
      <c r="T79" s="639">
        <f>T35-'Overall recycling rates'!$G$60/SUM('Overall recycling rates'!$G$60:$G$62)*('BTX Recycling HC'!S75+'BTX Recycling HC'!S170)-'Overall recycling rates'!$E$60/SUM('Overall recycling rates'!$E$60:$E$62)*('BTX Recycling HC'!S76+'BTX Recycling HC'!S171)-'Overall recycling rates'!$H$60/SUM('Overall recycling rates'!$H$60:$H$62)*('BTX Recycling HC'!S77+'BTX Recycling HC'!S172)-'Overall recycling rates'!$I$60/SUM('Overall recycling rates'!$I$60:$I$62)*('BTX Recycling HC'!S78+'BTX Recycling HC'!S173)</f>
        <v>245256.00246418975</v>
      </c>
      <c r="U79" s="639">
        <f>U35-'Overall recycling rates'!$G$60/SUM('Overall recycling rates'!$G$60:$G$62)*('BTX Recycling HC'!T75+'BTX Recycling HC'!T170)-'Overall recycling rates'!$E$60/SUM('Overall recycling rates'!$E$60:$E$62)*('BTX Recycling HC'!T76+'BTX Recycling HC'!T171)-'Overall recycling rates'!$H$60/SUM('Overall recycling rates'!$H$60:$H$62)*('BTX Recycling HC'!T77+'BTX Recycling HC'!T172)-'Overall recycling rates'!$I$60/SUM('Overall recycling rates'!$I$60:$I$62)*('BTX Recycling HC'!T78+'BTX Recycling HC'!T173)</f>
        <v>238928.56627141291</v>
      </c>
      <c r="V79" s="639">
        <f>V35-'Overall recycling rates'!$G$60/SUM('Overall recycling rates'!$G$60:$G$62)*('BTX Recycling HC'!U75+'BTX Recycling HC'!U170)-'Overall recycling rates'!$E$60/SUM('Overall recycling rates'!$E$60:$E$62)*('BTX Recycling HC'!U76+'BTX Recycling HC'!U171)-'Overall recycling rates'!$H$60/SUM('Overall recycling rates'!$H$60:$H$62)*('BTX Recycling HC'!U77+'BTX Recycling HC'!U172)-'Overall recycling rates'!$I$60/SUM('Overall recycling rates'!$I$60:$I$62)*('BTX Recycling HC'!U78+'BTX Recycling HC'!U173)</f>
        <v>232633.13097268061</v>
      </c>
      <c r="W79" s="639">
        <f>W35-'Overall recycling rates'!$G$60/SUM('Overall recycling rates'!$G$60:$G$62)*('BTX Recycling HC'!V75+'BTX Recycling HC'!V170)-'Overall recycling rates'!$E$60/SUM('Overall recycling rates'!$E$60:$E$62)*('BTX Recycling HC'!V76+'BTX Recycling HC'!V171)-'Overall recycling rates'!$H$60/SUM('Overall recycling rates'!$H$60:$H$62)*('BTX Recycling HC'!V77+'BTX Recycling HC'!V172)-'Overall recycling rates'!$I$60/SUM('Overall recycling rates'!$I$60:$I$62)*('BTX Recycling HC'!V78+'BTX Recycling HC'!V173)</f>
        <v>226375.28097066487</v>
      </c>
      <c r="X79" s="639">
        <f>X35-'Overall recycling rates'!$G$60/SUM('Overall recycling rates'!$G$60:$G$62)*('BTX Recycling HC'!W75+'BTX Recycling HC'!W170)-'Overall recycling rates'!$E$60/SUM('Overall recycling rates'!$E$60:$E$62)*('BTX Recycling HC'!W76+'BTX Recycling HC'!W171)-'Overall recycling rates'!$H$60/SUM('Overall recycling rates'!$H$60:$H$62)*('BTX Recycling HC'!W77+'BTX Recycling HC'!W172)-'Overall recycling rates'!$I$60/SUM('Overall recycling rates'!$I$60:$I$62)*('BTX Recycling HC'!W78+'BTX Recycling HC'!W173)</f>
        <v>220160.42946665862</v>
      </c>
      <c r="Y79" s="639">
        <f>Y35-'Overall recycling rates'!$G$60/SUM('Overall recycling rates'!$G$60:$G$62)*('BTX Recycling HC'!X75+'BTX Recycling HC'!X170)-'Overall recycling rates'!$E$60/SUM('Overall recycling rates'!$E$60:$E$62)*('BTX Recycling HC'!X76+'BTX Recycling HC'!X171)-'Overall recycling rates'!$H$60/SUM('Overall recycling rates'!$H$60:$H$62)*('BTX Recycling HC'!X77+'BTX Recycling HC'!X172)-'Overall recycling rates'!$I$60/SUM('Overall recycling rates'!$I$60:$I$62)*('BTX Recycling HC'!X78+'BTX Recycling HC'!X173)</f>
        <v>214174.25013325643</v>
      </c>
      <c r="Z79" s="639">
        <f>Z35-'Overall recycling rates'!$G$60/SUM('Overall recycling rates'!$G$60:$G$62)*('BTX Recycling HC'!Y75+'BTX Recycling HC'!Y170)-'Overall recycling rates'!$E$60/SUM('Overall recycling rates'!$E$60:$E$62)*('BTX Recycling HC'!Y76+'BTX Recycling HC'!Y171)-'Overall recycling rates'!$H$60/SUM('Overall recycling rates'!$H$60:$H$62)*('BTX Recycling HC'!Y77+'BTX Recycling HC'!Y172)-'Overall recycling rates'!$I$60/SUM('Overall recycling rates'!$I$60:$I$62)*('BTX Recycling HC'!Y78+'BTX Recycling HC'!Y173)</f>
        <v>208248.83616605261</v>
      </c>
      <c r="AA79" s="639">
        <f>AA35-'Overall recycling rates'!$G$60/SUM('Overall recycling rates'!$G$60:$G$62)*('BTX Recycling HC'!Z75+'BTX Recycling HC'!Z170)-'Overall recycling rates'!$E$60/SUM('Overall recycling rates'!$E$60:$E$62)*('BTX Recycling HC'!Z76+'BTX Recycling HC'!Z171)-'Overall recycling rates'!$H$60/SUM('Overall recycling rates'!$H$60:$H$62)*('BTX Recycling HC'!Z77+'BTX Recycling HC'!Z172)-'Overall recycling rates'!$I$60/SUM('Overall recycling rates'!$I$60:$I$62)*('BTX Recycling HC'!Z78+'BTX Recycling HC'!Z173)</f>
        <v>202395.8958991672</v>
      </c>
      <c r="AB79" s="639">
        <f>AB35-'Overall recycling rates'!$G$60/SUM('Overall recycling rates'!$G$60:$G$62)*('BTX Recycling HC'!AA75+'BTX Recycling HC'!AA170)-'Overall recycling rates'!$E$60/SUM('Overall recycling rates'!$E$60:$E$62)*('BTX Recycling HC'!AA76+'BTX Recycling HC'!AA171)-'Overall recycling rates'!$H$60/SUM('Overall recycling rates'!$H$60:$H$62)*('BTX Recycling HC'!AA77+'BTX Recycling HC'!AA172)-'Overall recycling rates'!$I$60/SUM('Overall recycling rates'!$I$60:$I$62)*('BTX Recycling HC'!AA78+'BTX Recycling HC'!AA173)</f>
        <v>196622.60010924263</v>
      </c>
      <c r="AC79" s="639">
        <f>AC35-'Overall recycling rates'!$G$60/SUM('Overall recycling rates'!$G$60:$G$62)*('BTX Recycling HC'!AB75+'BTX Recycling HC'!AB170)-'Overall recycling rates'!$E$60/SUM('Overall recycling rates'!$E$60:$E$62)*('BTX Recycling HC'!AB76+'BTX Recycling HC'!AB171)-'Overall recycling rates'!$H$60/SUM('Overall recycling rates'!$H$60:$H$62)*('BTX Recycling HC'!AB77+'BTX Recycling HC'!AB172)-'Overall recycling rates'!$I$60/SUM('Overall recycling rates'!$I$60:$I$62)*('BTX Recycling HC'!AB78+'BTX Recycling HC'!AB173)</f>
        <v>190937.83080852285</v>
      </c>
      <c r="AD79" s="639">
        <f>AD35-'Overall recycling rates'!$G$60/SUM('Overall recycling rates'!$G$60:$G$62)*('BTX Recycling HC'!AC75+'BTX Recycling HC'!AC170)-'Overall recycling rates'!$E$60/SUM('Overall recycling rates'!$E$60:$E$62)*('BTX Recycling HC'!AC76+'BTX Recycling HC'!AC171)-'Overall recycling rates'!$H$60/SUM('Overall recycling rates'!$H$60:$H$62)*('BTX Recycling HC'!AC77+'BTX Recycling HC'!AC172)-'Overall recycling rates'!$I$60/SUM('Overall recycling rates'!$I$60:$I$62)*('BTX Recycling HC'!AC78+'BTX Recycling HC'!AC173)</f>
        <v>185350.16093972241</v>
      </c>
      <c r="AE79" s="639">
        <f>AE35-'Overall recycling rates'!$G$60/SUM('Overall recycling rates'!$G$60:$G$62)*('BTX Recycling HC'!AD75+'BTX Recycling HC'!AD170)-'Overall recycling rates'!$E$60/SUM('Overall recycling rates'!$E$60:$E$62)*('BTX Recycling HC'!AD76+'BTX Recycling HC'!AD171)-'Overall recycling rates'!$H$60/SUM('Overall recycling rates'!$H$60:$H$62)*('BTX Recycling HC'!AD77+'BTX Recycling HC'!AD172)-'Overall recycling rates'!$I$60/SUM('Overall recycling rates'!$I$60:$I$62)*('BTX Recycling HC'!AD78+'BTX Recycling HC'!AD173)</f>
        <v>179867.85472474335</v>
      </c>
      <c r="AF79" s="639">
        <f>AF35-'Overall recycling rates'!$G$60/SUM('Overall recycling rates'!$G$60:$G$62)*('BTX Recycling HC'!AE75+'BTX Recycling HC'!AE170)-'Overall recycling rates'!$E$60/SUM('Overall recycling rates'!$E$60:$E$62)*('BTX Recycling HC'!AE76+'BTX Recycling HC'!AE171)-'Overall recycling rates'!$H$60/SUM('Overall recycling rates'!$H$60:$H$62)*('BTX Recycling HC'!AE77+'BTX Recycling HC'!AE172)-'Overall recycling rates'!$I$60/SUM('Overall recycling rates'!$I$60:$I$62)*('BTX Recycling HC'!AE78+'BTX Recycling HC'!AE173)</f>
        <v>174498.8680259776</v>
      </c>
      <c r="AG79" s="639">
        <f>AG35-'Overall recycling rates'!$G$60/SUM('Overall recycling rates'!$G$60:$G$62)*('BTX Recycling HC'!AF75+'BTX Recycling HC'!AF170)-'Overall recycling rates'!$E$60/SUM('Overall recycling rates'!$E$60:$E$62)*('BTX Recycling HC'!AF76+'BTX Recycling HC'!AF171)-'Overall recycling rates'!$H$60/SUM('Overall recycling rates'!$H$60:$H$62)*('BTX Recycling HC'!AF77+'BTX Recycling HC'!AF172)-'Overall recycling rates'!$I$60/SUM('Overall recycling rates'!$I$60:$I$62)*('BTX Recycling HC'!AF78+'BTX Recycling HC'!AF173)</f>
        <v>169250.84872019343</v>
      </c>
      <c r="AH79" s="639">
        <f>AH35-'Overall recycling rates'!$G$60/SUM('Overall recycling rates'!$G$60:$G$62)*('BTX Recycling HC'!AG75+'BTX Recycling HC'!AG170)-'Overall recycling rates'!$E$60/SUM('Overall recycling rates'!$E$60:$E$62)*('BTX Recycling HC'!AG76+'BTX Recycling HC'!AG171)-'Overall recycling rates'!$H$60/SUM('Overall recycling rates'!$H$60:$H$62)*('BTX Recycling HC'!AG77+'BTX Recycling HC'!AG172)-'Overall recycling rates'!$I$60/SUM('Overall recycling rates'!$I$60:$I$62)*('BTX Recycling HC'!AG78+'BTX Recycling HC'!AG173)</f>
        <v>164131.13708500809</v>
      </c>
      <c r="AI79" s="639"/>
      <c r="AJ79" s="639">
        <f>AJ35-'Overall recycling rates'!$G$60/SUM('Overall recycling rates'!$G$60:$G$62)*('BTX Recycling HC'!C75+'BTX Recycling HC'!C170)-'Overall recycling rates'!$E$60/SUM('Overall recycling rates'!$E$60:$E$62)*('BTX Recycling HC'!C76+'BTX Recycling HC'!C171)-'Overall recycling rates'!$H$60/SUM('Overall recycling rates'!$H$60:$H$62)*('BTX Recycling HC'!C77+'BTX Recycling HC'!C172)-'Overall recycling rates'!$I$60/SUM('Overall recycling rates'!$I$60:$I$62)*('BTX Recycling HC'!C78+'BTX Recycling HC'!C173)</f>
        <v>312187.37987787981</v>
      </c>
      <c r="AK79" s="639">
        <f>AK35-'Overall recycling rates'!$G$60/SUM('Overall recycling rates'!$G$60:$G$62)*('BTX Recycling HC'!D75+'BTX Recycling HC'!D170)-'Overall recycling rates'!$E$60/SUM('Overall recycling rates'!$E$60:$E$62)*('BTX Recycling HC'!D76+'BTX Recycling HC'!D171)-'Overall recycling rates'!$H$60/SUM('Overall recycling rates'!$H$60:$H$62)*('BTX Recycling HC'!D77+'BTX Recycling HC'!D172)-'Overall recycling rates'!$I$60/SUM('Overall recycling rates'!$I$60:$I$62)*('BTX Recycling HC'!D78+'BTX Recycling HC'!D173)</f>
        <v>310292.89853335114</v>
      </c>
      <c r="AL79" s="639">
        <f>AL35-'Overall recycling rates'!$G$60/SUM('Overall recycling rates'!$G$60:$G$62)*('BTX Recycling HC'!E75+'BTX Recycling HC'!E170)-'Overall recycling rates'!$E$60/SUM('Overall recycling rates'!$E$60:$E$62)*('BTX Recycling HC'!E76+'BTX Recycling HC'!E171)-'Overall recycling rates'!$H$60/SUM('Overall recycling rates'!$H$60:$H$62)*('BTX Recycling HC'!E77+'BTX Recycling HC'!E172)-'Overall recycling rates'!$I$60/SUM('Overall recycling rates'!$I$60:$I$62)*('BTX Recycling HC'!E78+'BTX Recycling HC'!E173)</f>
        <v>308369.44749068021</v>
      </c>
      <c r="AM79" s="639">
        <f>AM35-'Overall recycling rates'!$G$60/SUM('Overall recycling rates'!$G$60:$G$62)*('BTX Recycling HC'!F75+'BTX Recycling HC'!F170)-'Overall recycling rates'!$E$60/SUM('Overall recycling rates'!$E$60:$E$62)*('BTX Recycling HC'!F76+'BTX Recycling HC'!F171)-'Overall recycling rates'!$H$60/SUM('Overall recycling rates'!$H$60:$H$62)*('BTX Recycling HC'!F77+'BTX Recycling HC'!F172)-'Overall recycling rates'!$I$60/SUM('Overall recycling rates'!$I$60:$I$62)*('BTX Recycling HC'!F78+'BTX Recycling HC'!F173)</f>
        <v>306415.8512228792</v>
      </c>
      <c r="AN79" s="639">
        <f>AN35-'Overall recycling rates'!$G$60/SUM('Overall recycling rates'!$G$60:$G$62)*('BTX Recycling HC'!G75+'BTX Recycling HC'!G170)-'Overall recycling rates'!$E$60/SUM('Overall recycling rates'!$E$60:$E$62)*('BTX Recycling HC'!G76+'BTX Recycling HC'!G171)-'Overall recycling rates'!$H$60/SUM('Overall recycling rates'!$H$60:$H$62)*('BTX Recycling HC'!G77+'BTX Recycling HC'!G172)-'Overall recycling rates'!$I$60/SUM('Overall recycling rates'!$I$60:$I$62)*('BTX Recycling HC'!G78+'BTX Recycling HC'!G173)</f>
        <v>304435.50631547871</v>
      </c>
      <c r="AO79" s="639">
        <f>AO35-'Overall recycling rates'!$G$60/SUM('Overall recycling rates'!$G$60:$G$62)*('BTX Recycling HC'!H75+'BTX Recycling HC'!H170)-'Overall recycling rates'!$E$60/SUM('Overall recycling rates'!$E$60:$E$62)*('BTX Recycling HC'!H76+'BTX Recycling HC'!H171)-'Overall recycling rates'!$H$60/SUM('Overall recycling rates'!$H$60:$H$62)*('BTX Recycling HC'!H77+'BTX Recycling HC'!H172)-'Overall recycling rates'!$I$60/SUM('Overall recycling rates'!$I$60:$I$62)*('BTX Recycling HC'!H78+'BTX Recycling HC'!H173)</f>
        <v>302430.61452764529</v>
      </c>
      <c r="AP79" s="639">
        <f>AP35-'Overall recycling rates'!$G$60/SUM('Overall recycling rates'!$G$60:$G$62)*('BTX Recycling HC'!I75+'BTX Recycling HC'!I170)-'Overall recycling rates'!$E$60/SUM('Overall recycling rates'!$E$60:$E$62)*('BTX Recycling HC'!I76+'BTX Recycling HC'!I171)-'Overall recycling rates'!$H$60/SUM('Overall recycling rates'!$H$60:$H$62)*('BTX Recycling HC'!I77+'BTX Recycling HC'!I172)-'Overall recycling rates'!$I$60/SUM('Overall recycling rates'!$I$60:$I$62)*('BTX Recycling HC'!I78+'BTX Recycling HC'!I173)</f>
        <v>300403.33617995807</v>
      </c>
      <c r="AQ79" s="639">
        <f>AQ35-'Overall recycling rates'!$G$60/SUM('Overall recycling rates'!$G$60:$G$62)*('BTX Recycling HC'!J75+'BTX Recycling HC'!J170)-'Overall recycling rates'!$E$60/SUM('Overall recycling rates'!$E$60:$E$62)*('BTX Recycling HC'!J76+'BTX Recycling HC'!J171)-'Overall recycling rates'!$H$60/SUM('Overall recycling rates'!$H$60:$H$62)*('BTX Recycling HC'!J77+'BTX Recycling HC'!J172)-'Overall recycling rates'!$I$60/SUM('Overall recycling rates'!$I$60:$I$62)*('BTX Recycling HC'!J78+'BTX Recycling HC'!J173)</f>
        <v>298355.79015440861</v>
      </c>
      <c r="AR79" s="639">
        <f>AR35-'Overall recycling rates'!$G$60/SUM('Overall recycling rates'!$G$60:$G$62)*('BTX Recycling HC'!K75+'BTX Recycling HC'!K170)-'Overall recycling rates'!$E$60/SUM('Overall recycling rates'!$E$60:$E$62)*('BTX Recycling HC'!K76+'BTX Recycling HC'!K171)-'Overall recycling rates'!$H$60/SUM('Overall recycling rates'!$H$60:$H$62)*('BTX Recycling HC'!K77+'BTX Recycling HC'!K172)-'Overall recycling rates'!$I$60/SUM('Overall recycling rates'!$I$60:$I$62)*('BTX Recycling HC'!K78+'BTX Recycling HC'!K173)</f>
        <v>296290.05389440118</v>
      </c>
      <c r="AS79" s="639">
        <f>AS35-'Overall recycling rates'!$G$60/SUM('Overall recycling rates'!$G$60:$G$62)*('BTX Recycling HC'!L75+'BTX Recycling HC'!L170)-'Overall recycling rates'!$E$60/SUM('Overall recycling rates'!$E$60:$E$62)*('BTX Recycling HC'!L76+'BTX Recycling HC'!L171)-'Overall recycling rates'!$H$60/SUM('Overall recycling rates'!$H$60:$H$62)*('BTX Recycling HC'!L77+'BTX Recycling HC'!L172)-'Overall recycling rates'!$I$60/SUM('Overall recycling rates'!$I$60:$I$62)*('BTX Recycling HC'!L78+'BTX Recycling HC'!L173)</f>
        <v>294208.16340475244</v>
      </c>
      <c r="AT79" s="639">
        <f>AT35-'Overall recycling rates'!$G$60/SUM('Overall recycling rates'!$G$60:$G$62)*('BTX Recycling HC'!M75+'BTX Recycling HC'!M170)-'Overall recycling rates'!$E$60/SUM('Overall recycling rates'!$E$60:$E$62)*('BTX Recycling HC'!M76+'BTX Recycling HC'!M171)-'Overall recycling rates'!$H$60/SUM('Overall recycling rates'!$H$60:$H$62)*('BTX Recycling HC'!M77+'BTX Recycling HC'!M172)-'Overall recycling rates'!$I$60/SUM('Overall recycling rates'!$I$60:$I$62)*('BTX Recycling HC'!M78+'BTX Recycling HC'!M173)</f>
        <v>292112.11325169151</v>
      </c>
      <c r="AU79" s="639">
        <f>AU35-'Overall recycling rates'!$G$60/SUM('Overall recycling rates'!$G$60:$G$62)*('BTX Recycling HC'!N75+'BTX Recycling HC'!N170)-'Overall recycling rates'!$E$60/SUM('Overall recycling rates'!$E$60:$E$62)*('BTX Recycling HC'!N76+'BTX Recycling HC'!N171)-'Overall recycling rates'!$H$60/SUM('Overall recycling rates'!$H$60:$H$62)*('BTX Recycling HC'!N77+'BTX Recycling HC'!N172)-'Overall recycling rates'!$I$60/SUM('Overall recycling rates'!$I$60:$I$62)*('BTX Recycling HC'!N78+'BTX Recycling HC'!N173)</f>
        <v>284236.58832220343</v>
      </c>
      <c r="AV79" s="639">
        <f>AV35-'Overall recycling rates'!$G$60/SUM('Overall recycling rates'!$G$60:$G$62)*('BTX Recycling HC'!O75+'BTX Recycling HC'!O170)-'Overall recycling rates'!$E$60/SUM('Overall recycling rates'!$E$60:$E$62)*('BTX Recycling HC'!O76+'BTX Recycling HC'!O171)-'Overall recycling rates'!$H$60/SUM('Overall recycling rates'!$H$60:$H$62)*('BTX Recycling HC'!O77+'BTX Recycling HC'!O172)-'Overall recycling rates'!$I$60/SUM('Overall recycling rates'!$I$60:$I$62)*('BTX Recycling HC'!O78+'BTX Recycling HC'!O173)</f>
        <v>279248.18124241225</v>
      </c>
      <c r="AW79" s="639">
        <f>AW35-'Overall recycling rates'!$G$60/SUM('Overall recycling rates'!$G$60:$G$62)*('BTX Recycling HC'!P75+'BTX Recycling HC'!P170)-'Overall recycling rates'!$E$60/SUM('Overall recycling rates'!$E$60:$E$62)*('BTX Recycling HC'!P76+'BTX Recycling HC'!P171)-'Overall recycling rates'!$H$60/SUM('Overall recycling rates'!$H$60:$H$62)*('BTX Recycling HC'!P77+'BTX Recycling HC'!P172)-'Overall recycling rates'!$I$60/SUM('Overall recycling rates'!$I$60:$I$62)*('BTX Recycling HC'!P78+'BTX Recycling HC'!P173)</f>
        <v>274261.83709970763</v>
      </c>
      <c r="AX79" s="639">
        <f>AX35-'Overall recycling rates'!$G$60/SUM('Overall recycling rates'!$G$60:$G$62)*('BTX Recycling HC'!Q75+'BTX Recycling HC'!Q170)-'Overall recycling rates'!$E$60/SUM('Overall recycling rates'!$E$60:$E$62)*('BTX Recycling HC'!Q76+'BTX Recycling HC'!Q171)-'Overall recycling rates'!$H$60/SUM('Overall recycling rates'!$H$60:$H$62)*('BTX Recycling HC'!Q77+'BTX Recycling HC'!Q172)-'Overall recycling rates'!$I$60/SUM('Overall recycling rates'!$I$60:$I$62)*('BTX Recycling HC'!Q78+'BTX Recycling HC'!Q173)</f>
        <v>269283.44317134086</v>
      </c>
      <c r="AY79" s="639">
        <f>AY35-'Overall recycling rates'!$G$60/SUM('Overall recycling rates'!$G$60:$G$62)*('BTX Recycling HC'!R75+'BTX Recycling HC'!R170)-'Overall recycling rates'!$E$60/SUM('Overall recycling rates'!$E$60:$E$62)*('BTX Recycling HC'!R76+'BTX Recycling HC'!R171)-'Overall recycling rates'!$H$60/SUM('Overall recycling rates'!$H$60:$H$62)*('BTX Recycling HC'!R77+'BTX Recycling HC'!R172)-'Overall recycling rates'!$I$60/SUM('Overall recycling rates'!$I$60:$I$62)*('BTX Recycling HC'!R78+'BTX Recycling HC'!R173)</f>
        <v>264319.26919060637</v>
      </c>
      <c r="AZ79" s="639">
        <f>AZ35-'Overall recycling rates'!$G$60/SUM('Overall recycling rates'!$G$60:$G$62)*('BTX Recycling HC'!S75+'BTX Recycling HC'!S170)-'Overall recycling rates'!$E$60/SUM('Overall recycling rates'!$E$60:$E$62)*('BTX Recycling HC'!S76+'BTX Recycling HC'!S171)-'Overall recycling rates'!$H$60/SUM('Overall recycling rates'!$H$60:$H$62)*('BTX Recycling HC'!S77+'BTX Recycling HC'!S172)-'Overall recycling rates'!$I$60/SUM('Overall recycling rates'!$I$60:$I$62)*('BTX Recycling HC'!S78+'BTX Recycling HC'!S173)</f>
        <v>259375.41348138344</v>
      </c>
      <c r="BA79" s="639">
        <f>BA35-'Overall recycling rates'!$G$60/SUM('Overall recycling rates'!$G$60:$G$62)*('BTX Recycling HC'!T75+'BTX Recycling HC'!T170)-'Overall recycling rates'!$E$60/SUM('Overall recycling rates'!$E$60:$E$62)*('BTX Recycling HC'!T76+'BTX Recycling HC'!T171)-'Overall recycling rates'!$H$60/SUM('Overall recycling rates'!$H$60:$H$62)*('BTX Recycling HC'!T77+'BTX Recycling HC'!T172)-'Overall recycling rates'!$I$60/SUM('Overall recycling rates'!$I$60:$I$62)*('BTX Recycling HC'!T78+'BTX Recycling HC'!T173)</f>
        <v>254457.80300863986</v>
      </c>
      <c r="BB79" s="639">
        <f>BB35-'Overall recycling rates'!$G$60/SUM('Overall recycling rates'!$G$60:$G$62)*('BTX Recycling HC'!U75+'BTX Recycling HC'!U170)-'Overall recycling rates'!$E$60/SUM('Overall recycling rates'!$E$60:$E$62)*('BTX Recycling HC'!U76+'BTX Recycling HC'!U171)-'Overall recycling rates'!$H$60/SUM('Overall recycling rates'!$H$60:$H$62)*('BTX Recycling HC'!U77+'BTX Recycling HC'!U172)-'Overall recycling rates'!$I$60/SUM('Overall recycling rates'!$I$60:$I$62)*('BTX Recycling HC'!U78+'BTX Recycling HC'!U173)</f>
        <v>249572.19342994087</v>
      </c>
      <c r="BC79" s="639">
        <f>BC35-'Overall recycling rates'!$G$60/SUM('Overall recycling rates'!$G$60:$G$62)*('BTX Recycling HC'!V75+'BTX Recycling HC'!V170)-'Overall recycling rates'!$E$60/SUM('Overall recycling rates'!$E$60:$E$62)*('BTX Recycling HC'!V76+'BTX Recycling HC'!V171)-'Overall recycling rates'!$H$60/SUM('Overall recycling rates'!$H$60:$H$62)*('BTX Recycling HC'!V77+'BTX Recycling HC'!V172)-'Overall recycling rates'!$I$60/SUM('Overall recycling rates'!$I$60:$I$62)*('BTX Recycling HC'!V78+'BTX Recycling HC'!V173)</f>
        <v>244724.16914795848</v>
      </c>
      <c r="BD79" s="639">
        <f>BD35-'Overall recycling rates'!$G$60/SUM('Overall recycling rates'!$G$60:$G$62)*('BTX Recycling HC'!W75+'BTX Recycling HC'!W170)-'Overall recycling rates'!$E$60/SUM('Overall recycling rates'!$E$60:$E$62)*('BTX Recycling HC'!W76+'BTX Recycling HC'!W171)-'Overall recycling rates'!$H$60/SUM('Overall recycling rates'!$H$60:$H$62)*('BTX Recycling HC'!W77+'BTX Recycling HC'!W172)-'Overall recycling rates'!$I$60/SUM('Overall recycling rates'!$I$60:$I$62)*('BTX Recycling HC'!W78+'BTX Recycling HC'!W173)</f>
        <v>239919.14336398544</v>
      </c>
      <c r="BE79" s="639">
        <f>BE35-'Overall recycling rates'!$G$60/SUM('Overall recycling rates'!$G$60:$G$62)*('BTX Recycling HC'!X75+'BTX Recycling HC'!X170)-'Overall recycling rates'!$E$60/SUM('Overall recycling rates'!$E$60:$E$62)*('BTX Recycling HC'!X76+'BTX Recycling HC'!X171)-'Overall recycling rates'!$H$60/SUM('Overall recycling rates'!$H$60:$H$62)*('BTX Recycling HC'!X77+'BTX Recycling HC'!X172)-'Overall recycling rates'!$I$60/SUM('Overall recycling rates'!$I$60:$I$62)*('BTX Recycling HC'!X78+'BTX Recycling HC'!X173)</f>
        <v>235220.69951009395</v>
      </c>
      <c r="BF79" s="639">
        <f>BF35-'Overall recycling rates'!$G$60/SUM('Overall recycling rates'!$G$60:$G$62)*('BTX Recycling HC'!Y75+'BTX Recycling HC'!Y170)-'Overall recycling rates'!$E$60/SUM('Overall recycling rates'!$E$60:$E$62)*('BTX Recycling HC'!Y76+'BTX Recycling HC'!Y171)-'Overall recycling rates'!$H$60/SUM('Overall recycling rates'!$H$60:$H$62)*('BTX Recycling HC'!Y77+'BTX Recycling HC'!Y172)-'Overall recycling rates'!$I$60/SUM('Overall recycling rates'!$I$60:$I$62)*('BTX Recycling HC'!Y78+'BTX Recycling HC'!Y173)</f>
        <v>230583.02102240076</v>
      </c>
      <c r="BG79" s="639">
        <f>BG35-'Overall recycling rates'!$G$60/SUM('Overall recycling rates'!$G$60:$G$62)*('BTX Recycling HC'!Z75+'BTX Recycling HC'!Z170)-'Overall recycling rates'!$E$60/SUM('Overall recycling rates'!$E$60:$E$62)*('BTX Recycling HC'!Z76+'BTX Recycling HC'!Z171)-'Overall recycling rates'!$H$60/SUM('Overall recycling rates'!$H$60:$H$62)*('BTX Recycling HC'!Z77+'BTX Recycling HC'!Z172)-'Overall recycling rates'!$I$60/SUM('Overall recycling rates'!$I$60:$I$62)*('BTX Recycling HC'!Z78+'BTX Recycling HC'!Z173)</f>
        <v>226017.81623502611</v>
      </c>
      <c r="BH79" s="639">
        <f>BH35-'Overall recycling rates'!$G$60/SUM('Overall recycling rates'!$G$60:$G$62)*('BTX Recycling HC'!AA75+'BTX Recycling HC'!AA170)-'Overall recycling rates'!$E$60/SUM('Overall recycling rates'!$E$60:$E$62)*('BTX Recycling HC'!AA76+'BTX Recycling HC'!AA171)-'Overall recycling rates'!$H$60/SUM('Overall recycling rates'!$H$60:$H$62)*('BTX Recycling HC'!AA77+'BTX Recycling HC'!AA172)-'Overall recycling rates'!$I$60/SUM('Overall recycling rates'!$I$60:$I$62)*('BTX Recycling HC'!AA78+'BTX Recycling HC'!AA173)</f>
        <v>221532.25592461214</v>
      </c>
      <c r="BI79" s="639">
        <f>BI35-'Overall recycling rates'!$G$60/SUM('Overall recycling rates'!$G$60:$G$62)*('BTX Recycling HC'!AB75+'BTX Recycling HC'!AB170)-'Overall recycling rates'!$E$60/SUM('Overall recycling rates'!$E$60:$E$62)*('BTX Recycling HC'!AB76+'BTX Recycling HC'!AB171)-'Overall recycling rates'!$H$60/SUM('Overall recycling rates'!$H$60:$H$62)*('BTX Recycling HC'!AB77+'BTX Recycling HC'!AB172)-'Overall recycling rates'!$I$60/SUM('Overall recycling rates'!$I$60:$I$62)*('BTX Recycling HC'!AB78+'BTX Recycling HC'!AB173)</f>
        <v>217135.22210340304</v>
      </c>
      <c r="BJ79" s="639">
        <f>BJ35-'Overall recycling rates'!$G$60/SUM('Overall recycling rates'!$G$60:$G$62)*('BTX Recycling HC'!AC75+'BTX Recycling HC'!AC170)-'Overall recycling rates'!$E$60/SUM('Overall recycling rates'!$E$60:$E$62)*('BTX Recycling HC'!AC76+'BTX Recycling HC'!AC171)-'Overall recycling rates'!$H$60/SUM('Overall recycling rates'!$H$60:$H$62)*('BTX Recycling HC'!AC77+'BTX Recycling HC'!AC172)-'Overall recycling rates'!$I$60/SUM('Overall recycling rates'!$I$60:$I$62)*('BTX Recycling HC'!AC78+'BTX Recycling HC'!AC173)</f>
        <v>212835.28771411331</v>
      </c>
      <c r="BK79" s="639">
        <f>BK35-'Overall recycling rates'!$G$60/SUM('Overall recycling rates'!$G$60:$G$62)*('BTX Recycling HC'!AD75+'BTX Recycling HC'!AD170)-'Overall recycling rates'!$E$60/SUM('Overall recycling rates'!$E$60:$E$62)*('BTX Recycling HC'!AD76+'BTX Recycling HC'!AD171)-'Overall recycling rates'!$H$60/SUM('Overall recycling rates'!$H$60:$H$62)*('BTX Recycling HC'!AD77+'BTX Recycling HC'!AD172)-'Overall recycling rates'!$I$60/SUM('Overall recycling rates'!$I$60:$I$62)*('BTX Recycling HC'!AD78+'BTX Recycling HC'!AD173)</f>
        <v>208640.71697864495</v>
      </c>
      <c r="BL79" s="639">
        <f>BL35-'Overall recycling rates'!$G$60/SUM('Overall recycling rates'!$G$60:$G$62)*('BTX Recycling HC'!AE75+'BTX Recycling HC'!AE170)-'Overall recycling rates'!$E$60/SUM('Overall recycling rates'!$E$60:$E$62)*('BTX Recycling HC'!AE76+'BTX Recycling HC'!AE171)-'Overall recycling rates'!$H$60/SUM('Overall recycling rates'!$H$60:$H$62)*('BTX Recycling HC'!AE77+'BTX Recycling HC'!AE172)-'Overall recycling rates'!$I$60/SUM('Overall recycling rates'!$I$60:$I$62)*('BTX Recycling HC'!AE78+'BTX Recycling HC'!AE173)</f>
        <v>204559.4657593898</v>
      </c>
      <c r="BM79" s="639">
        <f>BM35-'Overall recycling rates'!$G$60/SUM('Overall recycling rates'!$G$60:$G$62)*('BTX Recycling HC'!AF75+'BTX Recycling HC'!AF170)-'Overall recycling rates'!$E$60/SUM('Overall recycling rates'!$E$60:$E$62)*('BTX Recycling HC'!AF76+'BTX Recycling HC'!AF171)-'Overall recycling rates'!$H$60/SUM('Overall recycling rates'!$H$60:$H$62)*('BTX Recycling HC'!AF77+'BTX Recycling HC'!AF172)-'Overall recycling rates'!$I$60/SUM('Overall recycling rates'!$I$60:$I$62)*('BTX Recycling HC'!AF78+'BTX Recycling HC'!AF173)</f>
        <v>200599.18193311631</v>
      </c>
      <c r="BN79" s="639">
        <f>BN35-'Overall recycling rates'!$G$60/SUM('Overall recycling rates'!$G$60:$G$62)*('BTX Recycling HC'!AG75+'BTX Recycling HC'!AG170)-'Overall recycling rates'!$E$60/SUM('Overall recycling rates'!$E$60:$E$62)*('BTX Recycling HC'!AG76+'BTX Recycling HC'!AG171)-'Overall recycling rates'!$H$60/SUM('Overall recycling rates'!$H$60:$H$62)*('BTX Recycling HC'!AG77+'BTX Recycling HC'!AG172)-'Overall recycling rates'!$I$60/SUM('Overall recycling rates'!$I$60:$I$62)*('BTX Recycling HC'!AG78+'BTX Recycling HC'!AG173)</f>
        <v>196767.20577744162</v>
      </c>
    </row>
    <row r="80" spans="1:66" outlineLevel="1">
      <c r="A80" s="685"/>
      <c r="B80" s="1" t="s">
        <v>797</v>
      </c>
      <c r="C80" s="51" t="s">
        <v>166</v>
      </c>
      <c r="D80" s="635">
        <f>D36-'Overall recycling rates'!$G$61/SUM('Overall recycling rates'!$G$60:$G$62)*('BTX Recycling HC'!C75+'BTX Recycling HC'!C170)-'Overall recycling rates'!$E$61/SUM('Overall recycling rates'!$E$60:$E$62)*('BTX Recycling HC'!C76+'BTX Recycling HC'!C171)-'Overall recycling rates'!$H$61/SUM('Overall recycling rates'!$H$60:$H$62)*('BTX Recycling HC'!C77+'BTX Recycling HC'!C172)-'Overall recycling rates'!$I$61/SUM('Overall recycling rates'!$I$60:$I$62)*('BTX Recycling HC'!C78+'BTX Recycling HC'!C173)</f>
        <v>16766.545936057693</v>
      </c>
      <c r="E80" s="635">
        <f>E36-'Overall recycling rates'!$G$61/SUM('Overall recycling rates'!$G$60:$G$62)*('BTX Recycling HC'!D75+'BTX Recycling HC'!D170)-'Overall recycling rates'!$E$61/SUM('Overall recycling rates'!$E$60:$E$62)*('BTX Recycling HC'!D76+'BTX Recycling HC'!D171)-'Overall recycling rates'!$H$61/SUM('Overall recycling rates'!$H$60:$H$62)*('BTX Recycling HC'!D77+'BTX Recycling HC'!D172)-'Overall recycling rates'!$I$61/SUM('Overall recycling rates'!$I$60:$I$62)*('BTX Recycling HC'!D78+'BTX Recycling HC'!D173)</f>
        <v>16471.608226305183</v>
      </c>
      <c r="F80" s="635">
        <f>F36-'Overall recycling rates'!$G$61/SUM('Overall recycling rates'!$G$60:$G$62)*('BTX Recycling HC'!E75+'BTX Recycling HC'!E170)-'Overall recycling rates'!$E$61/SUM('Overall recycling rates'!$E$60:$E$62)*('BTX Recycling HC'!E76+'BTX Recycling HC'!E171)-'Overall recycling rates'!$H$61/SUM('Overall recycling rates'!$H$60:$H$62)*('BTX Recycling HC'!E77+'BTX Recycling HC'!E172)-'Overall recycling rates'!$I$61/SUM('Overall recycling rates'!$I$60:$I$62)*('BTX Recycling HC'!E78+'BTX Recycling HC'!E173)</f>
        <v>16195.925879977292</v>
      </c>
      <c r="G80" s="635">
        <f>G36-'Overall recycling rates'!$G$61/SUM('Overall recycling rates'!$G$60:$G$62)*('BTX Recycling HC'!F75+'BTX Recycling HC'!F170)-'Overall recycling rates'!$E$61/SUM('Overall recycling rates'!$E$60:$E$62)*('BTX Recycling HC'!F76+'BTX Recycling HC'!F171)-'Overall recycling rates'!$H$61/SUM('Overall recycling rates'!$H$60:$H$62)*('BTX Recycling HC'!F77+'BTX Recycling HC'!F172)-'Overall recycling rates'!$I$61/SUM('Overall recycling rates'!$I$60:$I$62)*('BTX Recycling HC'!F78+'BTX Recycling HC'!F173)</f>
        <v>15917.579944128307</v>
      </c>
      <c r="H80" s="635">
        <f>H36-'Overall recycling rates'!$G$61/SUM('Overall recycling rates'!$G$60:$G$62)*('BTX Recycling HC'!G75+'BTX Recycling HC'!G170)-'Overall recycling rates'!$E$61/SUM('Overall recycling rates'!$E$60:$E$62)*('BTX Recycling HC'!G76+'BTX Recycling HC'!G171)-'Overall recycling rates'!$H$61/SUM('Overall recycling rates'!$H$60:$H$62)*('BTX Recycling HC'!G77+'BTX Recycling HC'!G172)-'Overall recycling rates'!$I$61/SUM('Overall recycling rates'!$I$60:$I$62)*('BTX Recycling HC'!G78+'BTX Recycling HC'!G173)</f>
        <v>15643.911655726488</v>
      </c>
      <c r="I80" s="635">
        <f>I36-'Overall recycling rates'!$G$61/SUM('Overall recycling rates'!$G$60:$G$62)*('BTX Recycling HC'!H75+'BTX Recycling HC'!H170)-'Overall recycling rates'!$E$61/SUM('Overall recycling rates'!$E$60:$E$62)*('BTX Recycling HC'!H76+'BTX Recycling HC'!H171)-'Overall recycling rates'!$H$61/SUM('Overall recycling rates'!$H$60:$H$62)*('BTX Recycling HC'!H77+'BTX Recycling HC'!H172)-'Overall recycling rates'!$I$61/SUM('Overall recycling rates'!$I$60:$I$62)*('BTX Recycling HC'!H78+'BTX Recycling HC'!H173)</f>
        <v>15374.946872145638</v>
      </c>
      <c r="J80" s="635">
        <f>J36-'Overall recycling rates'!$G$61/SUM('Overall recycling rates'!$G$60:$G$62)*('BTX Recycling HC'!I75+'BTX Recycling HC'!I170)-'Overall recycling rates'!$E$61/SUM('Overall recycling rates'!$E$60:$E$62)*('BTX Recycling HC'!I76+'BTX Recycling HC'!I171)-'Overall recycling rates'!$H$61/SUM('Overall recycling rates'!$H$60:$H$62)*('BTX Recycling HC'!I77+'BTX Recycling HC'!I172)-'Overall recycling rates'!$I$61/SUM('Overall recycling rates'!$I$60:$I$62)*('BTX Recycling HC'!I78+'BTX Recycling HC'!I173)</f>
        <v>15110.711185066752</v>
      </c>
      <c r="K80" s="635">
        <f>K36-'Overall recycling rates'!$G$61/SUM('Overall recycling rates'!$G$60:$G$62)*('BTX Recycling HC'!J75+'BTX Recycling HC'!J170)-'Overall recycling rates'!$E$61/SUM('Overall recycling rates'!$E$60:$E$62)*('BTX Recycling HC'!J76+'BTX Recycling HC'!J171)-'Overall recycling rates'!$H$61/SUM('Overall recycling rates'!$H$60:$H$62)*('BTX Recycling HC'!J77+'BTX Recycling HC'!J172)-'Overall recycling rates'!$I$61/SUM('Overall recycling rates'!$I$60:$I$62)*('BTX Recycling HC'!J78+'BTX Recycling HC'!J173)</f>
        <v>14851.229920478081</v>
      </c>
      <c r="L80" s="635">
        <f>L36-'Overall recycling rates'!$G$61/SUM('Overall recycling rates'!$G$60:$G$62)*('BTX Recycling HC'!K75+'BTX Recycling HC'!K170)-'Overall recycling rates'!$E$61/SUM('Overall recycling rates'!$E$60:$E$62)*('BTX Recycling HC'!K76+'BTX Recycling HC'!K171)-'Overall recycling rates'!$H$61/SUM('Overall recycling rates'!$H$60:$H$62)*('BTX Recycling HC'!K77+'BTX Recycling HC'!K172)-'Overall recycling rates'!$I$61/SUM('Overall recycling rates'!$I$60:$I$62)*('BTX Recycling HC'!K78+'BTX Recycling HC'!K173)</f>
        <v>14596.528138675072</v>
      </c>
      <c r="M80" s="635">
        <f>M36-'Overall recycling rates'!$G$61/SUM('Overall recycling rates'!$G$60:$G$62)*('BTX Recycling HC'!L75+'BTX Recycling HC'!L170)-'Overall recycling rates'!$E$61/SUM('Overall recycling rates'!$E$60:$E$62)*('BTX Recycling HC'!L76+'BTX Recycling HC'!L171)-'Overall recycling rates'!$H$61/SUM('Overall recycling rates'!$H$60:$H$62)*('BTX Recycling HC'!L77+'BTX Recycling HC'!L172)-'Overall recycling rates'!$I$61/SUM('Overall recycling rates'!$I$60:$I$62)*('BTX Recycling HC'!L78+'BTX Recycling HC'!L173)</f>
        <v>14346.630634260393</v>
      </c>
      <c r="N80" s="635">
        <f>N36-'Overall recycling rates'!$G$61/SUM('Overall recycling rates'!$G$60:$G$62)*('BTX Recycling HC'!M75+'BTX Recycling HC'!M170)-'Overall recycling rates'!$E$61/SUM('Overall recycling rates'!$E$60:$E$62)*('BTX Recycling HC'!M76+'BTX Recycling HC'!M171)-'Overall recycling rates'!$H$61/SUM('Overall recycling rates'!$H$60:$H$62)*('BTX Recycling HC'!M77+'BTX Recycling HC'!M172)-'Overall recycling rates'!$I$61/SUM('Overall recycling rates'!$I$60:$I$62)*('BTX Recycling HC'!M78+'BTX Recycling HC'!M173)</f>
        <v>14101.561936143944</v>
      </c>
      <c r="O80" s="635">
        <f>O36-'Overall recycling rates'!$G$61/SUM('Overall recycling rates'!$G$60:$G$62)*('BTX Recycling HC'!N75+'BTX Recycling HC'!N170)-'Overall recycling rates'!$E$61/SUM('Overall recycling rates'!$E$60:$E$62)*('BTX Recycling HC'!N76+'BTX Recycling HC'!N171)-'Overall recycling rates'!$H$61/SUM('Overall recycling rates'!$H$60:$H$62)*('BTX Recycling HC'!N77+'BTX Recycling HC'!N172)-'Overall recycling rates'!$I$61/SUM('Overall recycling rates'!$I$60:$I$62)*('BTX Recycling HC'!N78+'BTX Recycling HC'!N173)</f>
        <v>13129.92474943768</v>
      </c>
      <c r="P80" s="635">
        <f>P36-'Overall recycling rates'!$G$61/SUM('Overall recycling rates'!$G$60:$G$62)*('BTX Recycling HC'!O75+'BTX Recycling HC'!O170)-'Overall recycling rates'!$E$61/SUM('Overall recycling rates'!$E$60:$E$62)*('BTX Recycling HC'!O76+'BTX Recycling HC'!O171)-'Overall recycling rates'!$H$61/SUM('Overall recycling rates'!$H$60:$H$62)*('BTX Recycling HC'!O77+'BTX Recycling HC'!O172)-'Overall recycling rates'!$I$61/SUM('Overall recycling rates'!$I$60:$I$62)*('BTX Recycling HC'!O78+'BTX Recycling HC'!O173)</f>
        <v>12570.946999488377</v>
      </c>
      <c r="Q80" s="635">
        <f>Q36-'Overall recycling rates'!$G$61/SUM('Overall recycling rates'!$G$60:$G$62)*('BTX Recycling HC'!P75+'BTX Recycling HC'!P170)-'Overall recycling rates'!$E$61/SUM('Overall recycling rates'!$E$60:$E$62)*('BTX Recycling HC'!P76+'BTX Recycling HC'!P171)-'Overall recycling rates'!$H$61/SUM('Overall recycling rates'!$H$60:$H$62)*('BTX Recycling HC'!P77+'BTX Recycling HC'!P172)-'Overall recycling rates'!$I$61/SUM('Overall recycling rates'!$I$60:$I$62)*('BTX Recycling HC'!P78+'BTX Recycling HC'!P173)</f>
        <v>12031.24824728621</v>
      </c>
      <c r="R80" s="635">
        <f>R36-'Overall recycling rates'!$G$61/SUM('Overall recycling rates'!$G$60:$G$62)*('BTX Recycling HC'!Q75+'BTX Recycling HC'!Q170)-'Overall recycling rates'!$E$61/SUM('Overall recycling rates'!$E$60:$E$62)*('BTX Recycling HC'!Q76+'BTX Recycling HC'!Q171)-'Overall recycling rates'!$H$61/SUM('Overall recycling rates'!$H$60:$H$62)*('BTX Recycling HC'!Q77+'BTX Recycling HC'!Q172)-'Overall recycling rates'!$I$61/SUM('Overall recycling rates'!$I$60:$I$62)*('BTX Recycling HC'!Q78+'BTX Recycling HC'!Q173)</f>
        <v>11510.632489628595</v>
      </c>
      <c r="S80" s="635">
        <f>S36-'Overall recycling rates'!$G$61/SUM('Overall recycling rates'!$G$60:$G$62)*('BTX Recycling HC'!R75+'BTX Recycling HC'!R170)-'Overall recycling rates'!$E$61/SUM('Overall recycling rates'!$E$60:$E$62)*('BTX Recycling HC'!R76+'BTX Recycling HC'!R171)-'Overall recycling rates'!$H$61/SUM('Overall recycling rates'!$H$60:$H$62)*('BTX Recycling HC'!R77+'BTX Recycling HC'!R172)-'Overall recycling rates'!$I$61/SUM('Overall recycling rates'!$I$60:$I$62)*('BTX Recycling HC'!R78+'BTX Recycling HC'!R173)</f>
        <v>11009.073094943418</v>
      </c>
      <c r="T80" s="635">
        <f>T36-'Overall recycling rates'!$G$61/SUM('Overall recycling rates'!$G$60:$G$62)*('BTX Recycling HC'!S75+'BTX Recycling HC'!S170)-'Overall recycling rates'!$E$61/SUM('Overall recycling rates'!$E$60:$E$62)*('BTX Recycling HC'!S76+'BTX Recycling HC'!S171)-'Overall recycling rates'!$H$61/SUM('Overall recycling rates'!$H$60:$H$62)*('BTX Recycling HC'!S77+'BTX Recycling HC'!S172)-'Overall recycling rates'!$I$61/SUM('Overall recycling rates'!$I$60:$I$62)*('BTX Recycling HC'!S78+'BTX Recycling HC'!S173)</f>
        <v>10526.538579375545</v>
      </c>
      <c r="U80" s="635">
        <f>U36-'Overall recycling rates'!$G$61/SUM('Overall recycling rates'!$G$60:$G$62)*('BTX Recycling HC'!T75+'BTX Recycling HC'!T170)-'Overall recycling rates'!$E$61/SUM('Overall recycling rates'!$E$60:$E$62)*('BTX Recycling HC'!T76+'BTX Recycling HC'!T171)-'Overall recycling rates'!$H$61/SUM('Overall recycling rates'!$H$60:$H$62)*('BTX Recycling HC'!T77+'BTX Recycling HC'!T172)-'Overall recycling rates'!$I$61/SUM('Overall recycling rates'!$I$60:$I$62)*('BTX Recycling HC'!T78+'BTX Recycling HC'!T173)</f>
        <v>10062.992543762528</v>
      </c>
      <c r="V80" s="635">
        <f>V36-'Overall recycling rates'!$G$61/SUM('Overall recycling rates'!$G$60:$G$62)*('BTX Recycling HC'!U75+'BTX Recycling HC'!U170)-'Overall recycling rates'!$E$61/SUM('Overall recycling rates'!$E$60:$E$62)*('BTX Recycling HC'!U76+'BTX Recycling HC'!U171)-'Overall recycling rates'!$H$61/SUM('Overall recycling rates'!$H$60:$H$62)*('BTX Recycling HC'!U77+'BTX Recycling HC'!U172)-'Overall recycling rates'!$I$61/SUM('Overall recycling rates'!$I$60:$I$62)*('BTX Recycling HC'!U78+'BTX Recycling HC'!U173)</f>
        <v>9618.3936096999587</v>
      </c>
      <c r="W80" s="635">
        <f>W36-'Overall recycling rates'!$G$61/SUM('Overall recycling rates'!$G$60:$G$62)*('BTX Recycling HC'!V75+'BTX Recycling HC'!V170)-'Overall recycling rates'!$E$61/SUM('Overall recycling rates'!$E$60:$E$62)*('BTX Recycling HC'!V76+'BTX Recycling HC'!V171)-'Overall recycling rates'!$H$61/SUM('Overall recycling rates'!$H$60:$H$62)*('BTX Recycling HC'!V77+'BTX Recycling HC'!V172)-'Overall recycling rates'!$I$61/SUM('Overall recycling rates'!$I$60:$I$62)*('BTX Recycling HC'!V78+'BTX Recycling HC'!V173)</f>
        <v>9192.6953546965487</v>
      </c>
      <c r="X80" s="635">
        <f>X36-'Overall recycling rates'!$G$61/SUM('Overall recycling rates'!$G$60:$G$62)*('BTX Recycling HC'!W75+'BTX Recycling HC'!W170)-'Overall recycling rates'!$E$61/SUM('Overall recycling rates'!$E$60:$E$62)*('BTX Recycling HC'!W76+'BTX Recycling HC'!W171)-'Overall recycling rates'!$H$61/SUM('Overall recycling rates'!$H$60:$H$62)*('BTX Recycling HC'!W77+'BTX Recycling HC'!W172)-'Overall recycling rates'!$I$61/SUM('Overall recycling rates'!$I$60:$I$62)*('BTX Recycling HC'!W78+'BTX Recycling HC'!W173)</f>
        <v>8785.8462464188324</v>
      </c>
      <c r="Y80" s="635">
        <f>Y36-'Overall recycling rates'!$G$61/SUM('Overall recycling rates'!$G$60:$G$62)*('BTX Recycling HC'!X75+'BTX Recycling HC'!X170)-'Overall recycling rates'!$E$61/SUM('Overall recycling rates'!$E$60:$E$62)*('BTX Recycling HC'!X76+'BTX Recycling HC'!X171)-'Overall recycling rates'!$H$61/SUM('Overall recycling rates'!$H$60:$H$62)*('BTX Recycling HC'!X77+'BTX Recycling HC'!X172)-'Overall recycling rates'!$I$61/SUM('Overall recycling rates'!$I$60:$I$62)*('BTX Recycling HC'!X78+'BTX Recycling HC'!X173)</f>
        <v>8239.3475902650353</v>
      </c>
      <c r="Z80" s="635">
        <f>Z36-'Overall recycling rates'!$G$61/SUM('Overall recycling rates'!$G$60:$G$62)*('BTX Recycling HC'!Y75+'BTX Recycling HC'!Y170)-'Overall recycling rates'!$E$61/SUM('Overall recycling rates'!$E$60:$E$62)*('BTX Recycling HC'!Y76+'BTX Recycling HC'!Y171)-'Overall recycling rates'!$H$61/SUM('Overall recycling rates'!$H$60:$H$62)*('BTX Recycling HC'!Y77+'BTX Recycling HC'!Y172)-'Overall recycling rates'!$I$61/SUM('Overall recycling rates'!$I$60:$I$62)*('BTX Recycling HC'!Y78+'BTX Recycling HC'!Y173)</f>
        <v>7726.8017796821832</v>
      </c>
      <c r="AA80" s="635">
        <f>AA36-'Overall recycling rates'!$G$61/SUM('Overall recycling rates'!$G$60:$G$62)*('BTX Recycling HC'!Z75+'BTX Recycling HC'!Z170)-'Overall recycling rates'!$E$61/SUM('Overall recycling rates'!$E$60:$E$62)*('BTX Recycling HC'!Z76+'BTX Recycling HC'!Z171)-'Overall recycling rates'!$H$61/SUM('Overall recycling rates'!$H$60:$H$62)*('BTX Recycling HC'!Z77+'BTX Recycling HC'!Z172)-'Overall recycling rates'!$I$61/SUM('Overall recycling rates'!$I$60:$I$62)*('BTX Recycling HC'!Z78+'BTX Recycling HC'!Z173)</f>
        <v>7249.212466459604</v>
      </c>
      <c r="AB80" s="635">
        <f>AB36-'Overall recycling rates'!$G$61/SUM('Overall recycling rates'!$G$60:$G$62)*('BTX Recycling HC'!AA75+'BTX Recycling HC'!AA170)-'Overall recycling rates'!$E$61/SUM('Overall recycling rates'!$E$60:$E$62)*('BTX Recycling HC'!AA76+'BTX Recycling HC'!AA171)-'Overall recycling rates'!$H$61/SUM('Overall recycling rates'!$H$60:$H$62)*('BTX Recycling HC'!AA77+'BTX Recycling HC'!AA172)-'Overall recycling rates'!$I$61/SUM('Overall recycling rates'!$I$60:$I$62)*('BTX Recycling HC'!AA78+'BTX Recycling HC'!AA173)</f>
        <v>6805.470431550164</v>
      </c>
      <c r="AC80" s="635">
        <f>AC36-'Overall recycling rates'!$G$61/SUM('Overall recycling rates'!$G$60:$G$62)*('BTX Recycling HC'!AB75+'BTX Recycling HC'!AB170)-'Overall recycling rates'!$E$61/SUM('Overall recycling rates'!$E$60:$E$62)*('BTX Recycling HC'!AB76+'BTX Recycling HC'!AB171)-'Overall recycling rates'!$H$61/SUM('Overall recycling rates'!$H$60:$H$62)*('BTX Recycling HC'!AB77+'BTX Recycling HC'!AB172)-'Overall recycling rates'!$I$61/SUM('Overall recycling rates'!$I$60:$I$62)*('BTX Recycling HC'!AB78+'BTX Recycling HC'!AB173)</f>
        <v>6395.4193629235842</v>
      </c>
      <c r="AD80" s="635">
        <f>AD36-'Overall recycling rates'!$G$61/SUM('Overall recycling rates'!$G$60:$G$62)*('BTX Recycling HC'!AC75+'BTX Recycling HC'!AC170)-'Overall recycling rates'!$E$61/SUM('Overall recycling rates'!$E$60:$E$62)*('BTX Recycling HC'!AC76+'BTX Recycling HC'!AC171)-'Overall recycling rates'!$H$61/SUM('Overall recycling rates'!$H$60:$H$62)*('BTX Recycling HC'!AC77+'BTX Recycling HC'!AC172)-'Overall recycling rates'!$I$61/SUM('Overall recycling rates'!$I$60:$I$62)*('BTX Recycling HC'!AC78+'BTX Recycling HC'!AC173)</f>
        <v>6018.8867741303729</v>
      </c>
      <c r="AE80" s="635">
        <f>AE36-'Overall recycling rates'!$G$61/SUM('Overall recycling rates'!$G$60:$G$62)*('BTX Recycling HC'!AD75+'BTX Recycling HC'!AD170)-'Overall recycling rates'!$E$61/SUM('Overall recycling rates'!$E$60:$E$62)*('BTX Recycling HC'!AD76+'BTX Recycling HC'!AD171)-'Overall recycling rates'!$H$61/SUM('Overall recycling rates'!$H$60:$H$62)*('BTX Recycling HC'!AD77+'BTX Recycling HC'!AD172)-'Overall recycling rates'!$I$61/SUM('Overall recycling rates'!$I$60:$I$62)*('BTX Recycling HC'!AD78+'BTX Recycling HC'!AD173)</f>
        <v>5675.6834721687374</v>
      </c>
      <c r="AF80" s="635">
        <f>AF36-'Overall recycling rates'!$G$61/SUM('Overall recycling rates'!$G$60:$G$62)*('BTX Recycling HC'!AE75+'BTX Recycling HC'!AE170)-'Overall recycling rates'!$E$61/SUM('Overall recycling rates'!$E$60:$E$62)*('BTX Recycling HC'!AE76+'BTX Recycling HC'!AE171)-'Overall recycling rates'!$H$61/SUM('Overall recycling rates'!$H$60:$H$62)*('BTX Recycling HC'!AE77+'BTX Recycling HC'!AE172)-'Overall recycling rates'!$I$61/SUM('Overall recycling rates'!$I$60:$I$62)*('BTX Recycling HC'!AE78+'BTX Recycling HC'!AE173)</f>
        <v>5365.6030139279974</v>
      </c>
      <c r="AG80" s="635">
        <f>AG36-'Overall recycling rates'!$G$61/SUM('Overall recycling rates'!$G$60:$G$62)*('BTX Recycling HC'!AF75+'BTX Recycling HC'!AF170)-'Overall recycling rates'!$E$61/SUM('Overall recycling rates'!$E$60:$E$62)*('BTX Recycling HC'!AF76+'BTX Recycling HC'!AF171)-'Overall recycling rates'!$H$61/SUM('Overall recycling rates'!$H$60:$H$62)*('BTX Recycling HC'!AF77+'BTX Recycling HC'!AF172)-'Overall recycling rates'!$I$61/SUM('Overall recycling rates'!$I$60:$I$62)*('BTX Recycling HC'!AF78+'BTX Recycling HC'!AF173)</f>
        <v>5088.4211512085112</v>
      </c>
      <c r="AH80" s="635">
        <f>AH36-'Overall recycling rates'!$G$61/SUM('Overall recycling rates'!$G$60:$G$62)*('BTX Recycling HC'!AG75+'BTX Recycling HC'!AG170)-'Overall recycling rates'!$E$61/SUM('Overall recycling rates'!$E$60:$E$62)*('BTX Recycling HC'!AG76+'BTX Recycling HC'!AG171)-'Overall recycling rates'!$H$61/SUM('Overall recycling rates'!$H$60:$H$62)*('BTX Recycling HC'!AG77+'BTX Recycling HC'!AG172)-'Overall recycling rates'!$I$61/SUM('Overall recycling rates'!$I$60:$I$62)*('BTX Recycling HC'!AG78+'BTX Recycling HC'!AG173)</f>
        <v>4843.8952643181356</v>
      </c>
      <c r="AI80" s="635"/>
      <c r="AJ80" s="635">
        <f>AJ36-'Overall recycling rates'!$G$61/SUM('Overall recycling rates'!$G$60:$G$62)*('BTX Recycling HC'!C75+'BTX Recycling HC'!C170)-'Overall recycling rates'!$E$61/SUM('Overall recycling rates'!$E$60:$E$62)*('BTX Recycling HC'!C76+'BTX Recycling HC'!C171)-'Overall recycling rates'!$H$61/SUM('Overall recycling rates'!$H$60:$H$62)*('BTX Recycling HC'!C77+'BTX Recycling HC'!C172)-'Overall recycling rates'!$I$61/SUM('Overall recycling rates'!$I$60:$I$62)*('BTX Recycling HC'!C78+'BTX Recycling HC'!C173)</f>
        <v>16766.545936057693</v>
      </c>
      <c r="AK80" s="635">
        <f>AK36-'Overall recycling rates'!$G$61/SUM('Overall recycling rates'!$G$60:$G$62)*('BTX Recycling HC'!D75+'BTX Recycling HC'!D170)-'Overall recycling rates'!$E$61/SUM('Overall recycling rates'!$E$60:$E$62)*('BTX Recycling HC'!D76+'BTX Recycling HC'!D171)-'Overall recycling rates'!$H$61/SUM('Overall recycling rates'!$H$60:$H$62)*('BTX Recycling HC'!D77+'BTX Recycling HC'!D172)-'Overall recycling rates'!$I$61/SUM('Overall recycling rates'!$I$60:$I$62)*('BTX Recycling HC'!D78+'BTX Recycling HC'!D173)</f>
        <v>16508.515043520863</v>
      </c>
      <c r="AL80" s="635">
        <f>AL36-'Overall recycling rates'!$G$61/SUM('Overall recycling rates'!$G$60:$G$62)*('BTX Recycling HC'!E75+'BTX Recycling HC'!E170)-'Overall recycling rates'!$E$61/SUM('Overall recycling rates'!$E$60:$E$62)*('BTX Recycling HC'!E76+'BTX Recycling HC'!E171)-'Overall recycling rates'!$H$61/SUM('Overall recycling rates'!$H$60:$H$62)*('BTX Recycling HC'!E77+'BTX Recycling HC'!E172)-'Overall recycling rates'!$I$61/SUM('Overall recycling rates'!$I$60:$I$62)*('BTX Recycling HC'!E78+'BTX Recycling HC'!E173)</f>
        <v>16269.79979591464</v>
      </c>
      <c r="AM80" s="635">
        <f>AM36-'Overall recycling rates'!$G$61/SUM('Overall recycling rates'!$G$60:$G$62)*('BTX Recycling HC'!F75+'BTX Recycling HC'!F170)-'Overall recycling rates'!$E$61/SUM('Overall recycling rates'!$E$60:$E$62)*('BTX Recycling HC'!F76+'BTX Recycling HC'!F171)-'Overall recycling rates'!$H$61/SUM('Overall recycling rates'!$H$60:$H$62)*('BTX Recycling HC'!F77+'BTX Recycling HC'!F172)-'Overall recycling rates'!$I$61/SUM('Overall recycling rates'!$I$60:$I$62)*('BTX Recycling HC'!F78+'BTX Recycling HC'!F173)</f>
        <v>16028.48124029332</v>
      </c>
      <c r="AN80" s="635">
        <f>AN36-'Overall recycling rates'!$G$61/SUM('Overall recycling rates'!$G$60:$G$62)*('BTX Recycling HC'!G75+'BTX Recycling HC'!G170)-'Overall recycling rates'!$E$61/SUM('Overall recycling rates'!$E$60:$E$62)*('BTX Recycling HC'!G76+'BTX Recycling HC'!G171)-'Overall recycling rates'!$H$61/SUM('Overall recycling rates'!$H$60:$H$62)*('BTX Recycling HC'!G77+'BTX Recycling HC'!G172)-'Overall recycling rates'!$I$61/SUM('Overall recycling rates'!$I$60:$I$62)*('BTX Recycling HC'!G78+'BTX Recycling HC'!G173)</f>
        <v>15791.90061362515</v>
      </c>
      <c r="AO80" s="635">
        <f>AO36-'Overall recycling rates'!$G$61/SUM('Overall recycling rates'!$G$60:$G$62)*('BTX Recycling HC'!H75+'BTX Recycling HC'!H170)-'Overall recycling rates'!$E$61/SUM('Overall recycling rates'!$E$60:$E$62)*('BTX Recycling HC'!H76+'BTX Recycling HC'!H171)-'Overall recycling rates'!$H$61/SUM('Overall recycling rates'!$H$60:$H$62)*('BTX Recycling HC'!H77+'BTX Recycling HC'!H172)-'Overall recycling rates'!$I$61/SUM('Overall recycling rates'!$I$60:$I$62)*('BTX Recycling HC'!H78+'BTX Recycling HC'!H173)</f>
        <v>15560.083773283939</v>
      </c>
      <c r="AP80" s="635">
        <f>AP36-'Overall recycling rates'!$G$61/SUM('Overall recycling rates'!$G$60:$G$62)*('BTX Recycling HC'!I75+'BTX Recycling HC'!I170)-'Overall recycling rates'!$E$61/SUM('Overall recycling rates'!$E$60:$E$62)*('BTX Recycling HC'!I76+'BTX Recycling HC'!I171)-'Overall recycling rates'!$H$61/SUM('Overall recycling rates'!$H$60:$H$62)*('BTX Recycling HC'!I77+'BTX Recycling HC'!I172)-'Overall recycling rates'!$I$61/SUM('Overall recycling rates'!$I$60:$I$62)*('BTX Recycling HC'!I78+'BTX Recycling HC'!I173)</f>
        <v>15333.056310950687</v>
      </c>
      <c r="AQ80" s="635">
        <f>AQ36-'Overall recycling rates'!$G$61/SUM('Overall recycling rates'!$G$60:$G$62)*('BTX Recycling HC'!J75+'BTX Recycling HC'!J170)-'Overall recycling rates'!$E$61/SUM('Overall recycling rates'!$E$60:$E$62)*('BTX Recycling HC'!J76+'BTX Recycling HC'!J171)-'Overall recycling rates'!$H$61/SUM('Overall recycling rates'!$H$60:$H$62)*('BTX Recycling HC'!J77+'BTX Recycling HC'!J172)-'Overall recycling rates'!$I$61/SUM('Overall recycling rates'!$I$60:$I$62)*('BTX Recycling HC'!J78+'BTX Recycling HC'!J173)</f>
        <v>15110.843552613642</v>
      </c>
      <c r="AR80" s="635">
        <f>AR36-'Overall recycling rates'!$G$61/SUM('Overall recycling rates'!$G$60:$G$62)*('BTX Recycling HC'!K75+'BTX Recycling HC'!K170)-'Overall recycling rates'!$E$61/SUM('Overall recycling rates'!$E$60:$E$62)*('BTX Recycling HC'!K76+'BTX Recycling HC'!K171)-'Overall recycling rates'!$H$61/SUM('Overall recycling rates'!$H$60:$H$62)*('BTX Recycling HC'!K77+'BTX Recycling HC'!K172)-'Overall recycling rates'!$I$61/SUM('Overall recycling rates'!$I$60:$I$62)*('BTX Recycling HC'!K78+'BTX Recycling HC'!K173)</f>
        <v>14893.470558568246</v>
      </c>
      <c r="AS80" s="635">
        <f>AS36-'Overall recycling rates'!$G$61/SUM('Overall recycling rates'!$G$60:$G$62)*('BTX Recycling HC'!L75+'BTX Recycling HC'!L170)-'Overall recycling rates'!$E$61/SUM('Overall recycling rates'!$E$60:$E$62)*('BTX Recycling HC'!L76+'BTX Recycling HC'!L171)-'Overall recycling rates'!$H$61/SUM('Overall recycling rates'!$H$60:$H$62)*('BTX Recycling HC'!L77+'BTX Recycling HC'!L172)-'Overall recycling rates'!$I$61/SUM('Overall recycling rates'!$I$60:$I$62)*('BTX Recycling HC'!L78+'BTX Recycling HC'!L173)</f>
        <v>14680.96212341717</v>
      </c>
      <c r="AT80" s="635">
        <f>AT36-'Overall recycling rates'!$G$61/SUM('Overall recycling rates'!$G$60:$G$62)*('BTX Recycling HC'!M75+'BTX Recycling HC'!M170)-'Overall recycling rates'!$E$61/SUM('Overall recycling rates'!$E$60:$E$62)*('BTX Recycling HC'!M76+'BTX Recycling HC'!M171)-'Overall recycling rates'!$H$61/SUM('Overall recycling rates'!$H$60:$H$62)*('BTX Recycling HC'!M77+'BTX Recycling HC'!M172)-'Overall recycling rates'!$I$61/SUM('Overall recycling rates'!$I$60:$I$62)*('BTX Recycling HC'!M78+'BTX Recycling HC'!M173)</f>
        <v>14473.342776070314</v>
      </c>
      <c r="AU80" s="635">
        <f>AU36-'Overall recycling rates'!$G$61/SUM('Overall recycling rates'!$G$60:$G$62)*('BTX Recycling HC'!N75+'BTX Recycling HC'!N170)-'Overall recycling rates'!$E$61/SUM('Overall recycling rates'!$E$60:$E$62)*('BTX Recycling HC'!N76+'BTX Recycling HC'!N171)-'Overall recycling rates'!$H$61/SUM('Overall recycling rates'!$H$60:$H$62)*('BTX Recycling HC'!N77+'BTX Recycling HC'!N172)-'Overall recycling rates'!$I$61/SUM('Overall recycling rates'!$I$60:$I$62)*('BTX Recycling HC'!N78+'BTX Recycling HC'!N173)</f>
        <v>13631.221502757871</v>
      </c>
      <c r="AV80" s="635">
        <f>AV36-'Overall recycling rates'!$G$61/SUM('Overall recycling rates'!$G$60:$G$62)*('BTX Recycling HC'!O75+'BTX Recycling HC'!O170)-'Overall recycling rates'!$E$61/SUM('Overall recycling rates'!$E$60:$E$62)*('BTX Recycling HC'!O76+'BTX Recycling HC'!O171)-'Overall recycling rates'!$H$61/SUM('Overall recycling rates'!$H$60:$H$62)*('BTX Recycling HC'!O77+'BTX Recycling HC'!O172)-'Overall recycling rates'!$I$61/SUM('Overall recycling rates'!$I$60:$I$62)*('BTX Recycling HC'!O78+'BTX Recycling HC'!O173)</f>
        <v>13167.66769869083</v>
      </c>
      <c r="AW80" s="635">
        <f>AW36-'Overall recycling rates'!$G$61/SUM('Overall recycling rates'!$G$60:$G$62)*('BTX Recycling HC'!P75+'BTX Recycling HC'!P170)-'Overall recycling rates'!$E$61/SUM('Overall recycling rates'!$E$60:$E$62)*('BTX Recycling HC'!P76+'BTX Recycling HC'!P171)-'Overall recycling rates'!$H$61/SUM('Overall recycling rates'!$H$60:$H$62)*('BTX Recycling HC'!P77+'BTX Recycling HC'!P172)-'Overall recycling rates'!$I$61/SUM('Overall recycling rates'!$I$60:$I$62)*('BTX Recycling HC'!P78+'BTX Recycling HC'!P173)</f>
        <v>12723.392892370928</v>
      </c>
      <c r="AX80" s="635">
        <f>AX36-'Overall recycling rates'!$G$61/SUM('Overall recycling rates'!$G$60:$G$62)*('BTX Recycling HC'!Q75+'BTX Recycling HC'!Q170)-'Overall recycling rates'!$E$61/SUM('Overall recycling rates'!$E$60:$E$62)*('BTX Recycling HC'!Q76+'BTX Recycling HC'!Q171)-'Overall recycling rates'!$H$61/SUM('Overall recycling rates'!$H$60:$H$62)*('BTX Recycling HC'!Q77+'BTX Recycling HC'!Q172)-'Overall recycling rates'!$I$61/SUM('Overall recycling rates'!$I$60:$I$62)*('BTX Recycling HC'!Q78+'BTX Recycling HC'!Q173)</f>
        <v>12298.201080595582</v>
      </c>
      <c r="AY80" s="635">
        <f>AY36-'Overall recycling rates'!$G$61/SUM('Overall recycling rates'!$G$60:$G$62)*('BTX Recycling HC'!R75+'BTX Recycling HC'!R170)-'Overall recycling rates'!$E$61/SUM('Overall recycling rates'!$E$60:$E$62)*('BTX Recycling HC'!R76+'BTX Recycling HC'!R171)-'Overall recycling rates'!$H$61/SUM('Overall recycling rates'!$H$60:$H$62)*('BTX Recycling HC'!R77+'BTX Recycling HC'!R172)-'Overall recycling rates'!$I$61/SUM('Overall recycling rates'!$I$60:$I$62)*('BTX Recycling HC'!R78+'BTX Recycling HC'!R173)</f>
        <v>11892.065631792664</v>
      </c>
      <c r="AZ80" s="635">
        <f>AZ36-'Overall recycling rates'!$G$61/SUM('Overall recycling rates'!$G$60:$G$62)*('BTX Recycling HC'!S75+'BTX Recycling HC'!S170)-'Overall recycling rates'!$E$61/SUM('Overall recycling rates'!$E$60:$E$62)*('BTX Recycling HC'!S76+'BTX Recycling HC'!S171)-'Overall recycling rates'!$H$61/SUM('Overall recycling rates'!$H$60:$H$62)*('BTX Recycling HC'!S77+'BTX Recycling HC'!S172)-'Overall recycling rates'!$I$61/SUM('Overall recycling rates'!$I$60:$I$62)*('BTX Recycling HC'!S78+'BTX Recycling HC'!S173)</f>
        <v>11504.955062107056</v>
      </c>
      <c r="BA80" s="635">
        <f>BA36-'Overall recycling rates'!$G$61/SUM('Overall recycling rates'!$G$60:$G$62)*('BTX Recycling HC'!T75+'BTX Recycling HC'!T170)-'Overall recycling rates'!$E$61/SUM('Overall recycling rates'!$E$60:$E$62)*('BTX Recycling HC'!T76+'BTX Recycling HC'!T171)-'Overall recycling rates'!$H$61/SUM('Overall recycling rates'!$H$60:$H$62)*('BTX Recycling HC'!T77+'BTX Recycling HC'!T172)-'Overall recycling rates'!$I$61/SUM('Overall recycling rates'!$I$60:$I$62)*('BTX Recycling HC'!T78+'BTX Recycling HC'!T173)</f>
        <v>11136.8329723763</v>
      </c>
      <c r="BB80" s="635">
        <f>BB36-'Overall recycling rates'!$G$61/SUM('Overall recycling rates'!$G$60:$G$62)*('BTX Recycling HC'!U75+'BTX Recycling HC'!U170)-'Overall recycling rates'!$E$61/SUM('Overall recycling rates'!$E$60:$E$62)*('BTX Recycling HC'!U76+'BTX Recycling HC'!U171)-'Overall recycling rates'!$H$61/SUM('Overall recycling rates'!$H$60:$H$62)*('BTX Recycling HC'!U77+'BTX Recycling HC'!U172)-'Overall recycling rates'!$I$61/SUM('Overall recycling rates'!$I$60:$I$62)*('BTX Recycling HC'!U78+'BTX Recycling HC'!U173)</f>
        <v>10787.657984195994</v>
      </c>
      <c r="BC80" s="635">
        <f>BC36-'Overall recycling rates'!$G$61/SUM('Overall recycling rates'!$G$60:$G$62)*('BTX Recycling HC'!V75+'BTX Recycling HC'!V170)-'Overall recycling rates'!$E$61/SUM('Overall recycling rates'!$E$60:$E$62)*('BTX Recycling HC'!V76+'BTX Recycling HC'!V171)-'Overall recycling rates'!$H$61/SUM('Overall recycling rates'!$H$60:$H$62)*('BTX Recycling HC'!V77+'BTX Recycling HC'!V172)-'Overall recycling rates'!$I$61/SUM('Overall recycling rates'!$I$60:$I$62)*('BTX Recycling HC'!V78+'BTX Recycling HC'!V173)</f>
        <v>10457.383675074847</v>
      </c>
      <c r="BD80" s="635">
        <f>BD36-'Overall recycling rates'!$G$61/SUM('Overall recycling rates'!$G$60:$G$62)*('BTX Recycling HC'!W75+'BTX Recycling HC'!W170)-'Overall recycling rates'!$E$61/SUM('Overall recycling rates'!$E$60:$E$62)*('BTX Recycling HC'!W76+'BTX Recycling HC'!W171)-'Overall recycling rates'!$H$61/SUM('Overall recycling rates'!$H$60:$H$62)*('BTX Recycling HC'!W77+'BTX Recycling HC'!W172)-'Overall recycling rates'!$I$61/SUM('Overall recycling rates'!$I$60:$I$62)*('BTX Recycling HC'!W78+'BTX Recycling HC'!W173)</f>
        <v>10145.958512679394</v>
      </c>
      <c r="BE80" s="635">
        <f>BE36-'Overall recycling rates'!$G$61/SUM('Overall recycling rates'!$G$60:$G$62)*('BTX Recycling HC'!X75+'BTX Recycling HC'!X170)-'Overall recycling rates'!$E$61/SUM('Overall recycling rates'!$E$60:$E$62)*('BTX Recycling HC'!X76+'BTX Recycling HC'!X171)-'Overall recycling rates'!$H$61/SUM('Overall recycling rates'!$H$60:$H$62)*('BTX Recycling HC'!X77+'BTX Recycling HC'!X172)-'Overall recycling rates'!$I$61/SUM('Overall recycling rates'!$I$60:$I$62)*('BTX Recycling HC'!X78+'BTX Recycling HC'!X173)</f>
        <v>9696.2856533135746</v>
      </c>
      <c r="BF80" s="635">
        <f>BF36-'Overall recycling rates'!$G$61/SUM('Overall recycling rates'!$G$60:$G$62)*('BTX Recycling HC'!Y75+'BTX Recycling HC'!Y170)-'Overall recycling rates'!$E$61/SUM('Overall recycling rates'!$E$60:$E$62)*('BTX Recycling HC'!Y76+'BTX Recycling HC'!Y171)-'Overall recycling rates'!$H$61/SUM('Overall recycling rates'!$H$60:$H$62)*('BTX Recycling HC'!Y77+'BTX Recycling HC'!Y172)-'Overall recycling rates'!$I$61/SUM('Overall recycling rates'!$I$60:$I$62)*('BTX Recycling HC'!Y78+'BTX Recycling HC'!Y173)</f>
        <v>9280.5656395186979</v>
      </c>
      <c r="BG80" s="635">
        <f>BG36-'Overall recycling rates'!$G$61/SUM('Overall recycling rates'!$G$60:$G$62)*('BTX Recycling HC'!Z75+'BTX Recycling HC'!Z170)-'Overall recycling rates'!$E$61/SUM('Overall recycling rates'!$E$60:$E$62)*('BTX Recycling HC'!Z76+'BTX Recycling HC'!Z171)-'Overall recycling rates'!$H$61/SUM('Overall recycling rates'!$H$60:$H$62)*('BTX Recycling HC'!Z77+'BTX Recycling HC'!Z172)-'Overall recycling rates'!$I$61/SUM('Overall recycling rates'!$I$60:$I$62)*('BTX Recycling HC'!Z78+'BTX Recycling HC'!Z173)</f>
        <v>8899.8021230840986</v>
      </c>
      <c r="BH80" s="635">
        <f>BH36-'Overall recycling rates'!$G$61/SUM('Overall recycling rates'!$G$60:$G$62)*('BTX Recycling HC'!AA75+'BTX Recycling HC'!AA170)-'Overall recycling rates'!$E$61/SUM('Overall recycling rates'!$E$60:$E$62)*('BTX Recycling HC'!AA76+'BTX Recycling HC'!AA171)-'Overall recycling rates'!$H$61/SUM('Overall recycling rates'!$H$60:$H$62)*('BTX Recycling HC'!AA77+'BTX Recycling HC'!AA172)-'Overall recycling rates'!$I$61/SUM('Overall recycling rates'!$I$60:$I$62)*('BTX Recycling HC'!AA78+'BTX Recycling HC'!AA173)</f>
        <v>8552.8858849626358</v>
      </c>
      <c r="BI80" s="635">
        <f>BI36-'Overall recycling rates'!$G$61/SUM('Overall recycling rates'!$G$60:$G$62)*('BTX Recycling HC'!AB75+'BTX Recycling HC'!AB170)-'Overall recycling rates'!$E$61/SUM('Overall recycling rates'!$E$60:$E$62)*('BTX Recycling HC'!AB76+'BTX Recycling HC'!AB171)-'Overall recycling rates'!$H$61/SUM('Overall recycling rates'!$H$60:$H$62)*('BTX Recycling HC'!AB77+'BTX Recycling HC'!AB172)-'Overall recycling rates'!$I$61/SUM('Overall recycling rates'!$I$60:$I$62)*('BTX Recycling HC'!AB78+'BTX Recycling HC'!AB173)</f>
        <v>8239.6606131240314</v>
      </c>
      <c r="BJ80" s="635">
        <f>BJ36-'Overall recycling rates'!$G$61/SUM('Overall recycling rates'!$G$60:$G$62)*('BTX Recycling HC'!AC75+'BTX Recycling HC'!AC170)-'Overall recycling rates'!$E$61/SUM('Overall recycling rates'!$E$60:$E$62)*('BTX Recycling HC'!AC76+'BTX Recycling HC'!AC171)-'Overall recycling rates'!$H$61/SUM('Overall recycling rates'!$H$60:$H$62)*('BTX Recycling HC'!AC77+'BTX Recycling HC'!AC172)-'Overall recycling rates'!$I$61/SUM('Overall recycling rates'!$I$60:$I$62)*('BTX Recycling HC'!AC78+'BTX Recycling HC'!AC173)</f>
        <v>7959.9538211187974</v>
      </c>
      <c r="BK80" s="635">
        <f>BK36-'Overall recycling rates'!$G$61/SUM('Overall recycling rates'!$G$60:$G$62)*('BTX Recycling HC'!AD75+'BTX Recycling HC'!AD170)-'Overall recycling rates'!$E$61/SUM('Overall recycling rates'!$E$60:$E$62)*('BTX Recycling HC'!AD76+'BTX Recycling HC'!AD171)-'Overall recycling rates'!$H$61/SUM('Overall recycling rates'!$H$60:$H$62)*('BTX Recycling HC'!AD77+'BTX Recycling HC'!AD172)-'Overall recycling rates'!$I$61/SUM('Overall recycling rates'!$I$60:$I$62)*('BTX Recycling HC'!AD78+'BTX Recycling HC'!AD173)</f>
        <v>7713.5763159451399</v>
      </c>
      <c r="BL80" s="635">
        <f>BL36-'Overall recycling rates'!$G$61/SUM('Overall recycling rates'!$G$60:$G$62)*('BTX Recycling HC'!AE75+'BTX Recycling HC'!AE170)-'Overall recycling rates'!$E$61/SUM('Overall recycling rates'!$E$60:$E$62)*('BTX Recycling HC'!AE76+'BTX Recycling HC'!AE171)-'Overall recycling rates'!$H$61/SUM('Overall recycling rates'!$H$60:$H$62)*('BTX Recycling HC'!AE77+'BTX Recycling HC'!AE172)-'Overall recycling rates'!$I$61/SUM('Overall recycling rates'!$I$60:$I$62)*('BTX Recycling HC'!AE78+'BTX Recycling HC'!AE173)</f>
        <v>7500.3216544923744</v>
      </c>
      <c r="BM80" s="635">
        <f>BM36-'Overall recycling rates'!$G$61/SUM('Overall recycling rates'!$G$60:$G$62)*('BTX Recycling HC'!AF75+'BTX Recycling HC'!AF170)-'Overall recycling rates'!$E$61/SUM('Overall recycling rates'!$E$60:$E$62)*('BTX Recycling HC'!AF76+'BTX Recycling HC'!AF171)-'Overall recycling rates'!$H$61/SUM('Overall recycling rates'!$H$60:$H$62)*('BTX Recycling HC'!AF77+'BTX Recycling HC'!AF172)-'Overall recycling rates'!$I$61/SUM('Overall recycling rates'!$I$60:$I$62)*('BTX Recycling HC'!AF78+'BTX Recycling HC'!AF173)</f>
        <v>7319.9655885608636</v>
      </c>
      <c r="BN80" s="635">
        <f>BN36-'Overall recycling rates'!$G$61/SUM('Overall recycling rates'!$G$60:$G$62)*('BTX Recycling HC'!AG75+'BTX Recycling HC'!AG170)-'Overall recycling rates'!$E$61/SUM('Overall recycling rates'!$E$60:$E$62)*('BTX Recycling HC'!AG76+'BTX Recycling HC'!AG171)-'Overall recycling rates'!$H$61/SUM('Overall recycling rates'!$H$60:$H$62)*('BTX Recycling HC'!AG77+'BTX Recycling HC'!AG172)-'Overall recycling rates'!$I$61/SUM('Overall recycling rates'!$I$60:$I$62)*('BTX Recycling HC'!AG78+'BTX Recycling HC'!AG173)</f>
        <v>7172.265498458466</v>
      </c>
    </row>
    <row r="81" spans="1:66" s="63" customFormat="1" outlineLevel="1">
      <c r="A81" s="686"/>
      <c r="B81" s="59" t="s">
        <v>1301</v>
      </c>
      <c r="C81" s="262" t="s">
        <v>166</v>
      </c>
      <c r="D81" s="638">
        <f>D37-'Overall recycling rates'!$G$62/SUM('Overall recycling rates'!$G$60:$G$62)*('BTX Recycling HC'!C75+'BTX Recycling HC'!C170)-'Overall recycling rates'!$E$62/SUM('Overall recycling rates'!$E$60:$E$62)*('BTX Recycling HC'!C76+'BTX Recycling HC'!C171)-'Overall recycling rates'!$H$62/SUM('Overall recycling rates'!$H$60:$H$62)*('BTX Recycling HC'!C77+'BTX Recycling HC'!C172)-'Overall recycling rates'!$I$62/SUM('Overall recycling rates'!$I$60:$I$62)*('BTX Recycling HC'!C78+'BTX Recycling HC'!C173)</f>
        <v>2526387.2600925858</v>
      </c>
      <c r="E81" s="638">
        <f>E37-'Overall recycling rates'!$G$62/SUM('Overall recycling rates'!$G$60:$G$62)*('BTX Recycling HC'!D75+'BTX Recycling HC'!D170)-'Overall recycling rates'!$E$62/SUM('Overall recycling rates'!$E$60:$E$62)*('BTX Recycling HC'!D76+'BTX Recycling HC'!D171)-'Overall recycling rates'!$H$62/SUM('Overall recycling rates'!$H$60:$H$62)*('BTX Recycling HC'!D77+'BTX Recycling HC'!D172)-'Overall recycling rates'!$I$62/SUM('Overall recycling rates'!$I$60:$I$62)*('BTX Recycling HC'!D78+'BTX Recycling HC'!D173)</f>
        <v>2501022.6736991564</v>
      </c>
      <c r="F81" s="638">
        <f>F37-'Overall recycling rates'!$G$62/SUM('Overall recycling rates'!$G$60:$G$62)*('BTX Recycling HC'!E75+'BTX Recycling HC'!E170)-'Overall recycling rates'!$E$62/SUM('Overall recycling rates'!$E$60:$E$62)*('BTX Recycling HC'!E76+'BTX Recycling HC'!E171)-'Overall recycling rates'!$H$62/SUM('Overall recycling rates'!$H$60:$H$62)*('BTX Recycling HC'!E77+'BTX Recycling HC'!E172)-'Overall recycling rates'!$I$62/SUM('Overall recycling rates'!$I$60:$I$62)*('BTX Recycling HC'!E78+'BTX Recycling HC'!E173)</f>
        <v>2475863.7283149268</v>
      </c>
      <c r="G81" s="638">
        <f>G37-'Overall recycling rates'!$G$62/SUM('Overall recycling rates'!$G$60:$G$62)*('BTX Recycling HC'!F75+'BTX Recycling HC'!F170)-'Overall recycling rates'!$E$62/SUM('Overall recycling rates'!$E$60:$E$62)*('BTX Recycling HC'!F76+'BTX Recycling HC'!F171)-'Overall recycling rates'!$H$62/SUM('Overall recycling rates'!$H$60:$H$62)*('BTX Recycling HC'!F77+'BTX Recycling HC'!F172)-'Overall recycling rates'!$I$62/SUM('Overall recycling rates'!$I$60:$I$62)*('BTX Recycling HC'!F78+'BTX Recycling HC'!F173)</f>
        <v>2450699.5763381184</v>
      </c>
      <c r="H81" s="638">
        <f>H37-'Overall recycling rates'!$G$62/SUM('Overall recycling rates'!$G$60:$G$62)*('BTX Recycling HC'!G75+'BTX Recycling HC'!G170)-'Overall recycling rates'!$E$62/SUM('Overall recycling rates'!$E$60:$E$62)*('BTX Recycling HC'!G76+'BTX Recycling HC'!G171)-'Overall recycling rates'!$H$62/SUM('Overall recycling rates'!$H$60:$H$62)*('BTX Recycling HC'!G77+'BTX Recycling HC'!G172)-'Overall recycling rates'!$I$62/SUM('Overall recycling rates'!$I$60:$I$62)*('BTX Recycling HC'!G78+'BTX Recycling HC'!G173)</f>
        <v>2425596.3660876211</v>
      </c>
      <c r="I81" s="638">
        <f>I37-'Overall recycling rates'!$G$62/SUM('Overall recycling rates'!$G$60:$G$62)*('BTX Recycling HC'!H75+'BTX Recycling HC'!H170)-'Overall recycling rates'!$E$62/SUM('Overall recycling rates'!$E$60:$E$62)*('BTX Recycling HC'!H76+'BTX Recycling HC'!H171)-'Overall recycling rates'!$H$62/SUM('Overall recycling rates'!$H$60:$H$62)*('BTX Recycling HC'!H77+'BTX Recycling HC'!H172)-'Overall recycling rates'!$I$62/SUM('Overall recycling rates'!$I$60:$I$62)*('BTX Recycling HC'!H78+'BTX Recycling HC'!H173)</f>
        <v>2400551.0490325107</v>
      </c>
      <c r="J81" s="638">
        <f>J37-'Overall recycling rates'!$G$62/SUM('Overall recycling rates'!$G$60:$G$62)*('BTX Recycling HC'!I75+'BTX Recycling HC'!I170)-'Overall recycling rates'!$E$62/SUM('Overall recycling rates'!$E$60:$E$62)*('BTX Recycling HC'!I76+'BTX Recycling HC'!I171)-'Overall recycling rates'!$H$62/SUM('Overall recycling rates'!$H$60:$H$62)*('BTX Recycling HC'!I77+'BTX Recycling HC'!I172)-'Overall recycling rates'!$I$62/SUM('Overall recycling rates'!$I$60:$I$62)*('BTX Recycling HC'!I78+'BTX Recycling HC'!I173)</f>
        <v>2375560.6183461412</v>
      </c>
      <c r="K81" s="638">
        <f>K37-'Overall recycling rates'!$G$62/SUM('Overall recycling rates'!$G$60:$G$62)*('BTX Recycling HC'!J75+'BTX Recycling HC'!J170)-'Overall recycling rates'!$E$62/SUM('Overall recycling rates'!$E$60:$E$62)*('BTX Recycling HC'!J76+'BTX Recycling HC'!J171)-'Overall recycling rates'!$H$62/SUM('Overall recycling rates'!$H$60:$H$62)*('BTX Recycling HC'!J77+'BTX Recycling HC'!J172)-'Overall recycling rates'!$I$62/SUM('Overall recycling rates'!$I$60:$I$62)*('BTX Recycling HC'!J78+'BTX Recycling HC'!J173)</f>
        <v>2350622.1089061475</v>
      </c>
      <c r="L81" s="638">
        <f>L37-'Overall recycling rates'!$G$62/SUM('Overall recycling rates'!$G$60:$G$62)*('BTX Recycling HC'!K75+'BTX Recycling HC'!K170)-'Overall recycling rates'!$E$62/SUM('Overall recycling rates'!$E$60:$E$62)*('BTX Recycling HC'!K76+'BTX Recycling HC'!K171)-'Overall recycling rates'!$H$62/SUM('Overall recycling rates'!$H$60:$H$62)*('BTX Recycling HC'!K77+'BTX Recycling HC'!K172)-'Overall recycling rates'!$I$62/SUM('Overall recycling rates'!$I$60:$I$62)*('BTX Recycling HC'!K78+'BTX Recycling HC'!K173)</f>
        <v>2325732.5972944447</v>
      </c>
      <c r="M81" s="638">
        <f>M37-'Overall recycling rates'!$G$62/SUM('Overall recycling rates'!$G$60:$G$62)*('BTX Recycling HC'!L75+'BTX Recycling HC'!L170)-'Overall recycling rates'!$E$62/SUM('Overall recycling rates'!$E$60:$E$62)*('BTX Recycling HC'!L76+'BTX Recycling HC'!L171)-'Overall recycling rates'!$H$62/SUM('Overall recycling rates'!$H$60:$H$62)*('BTX Recycling HC'!L77+'BTX Recycling HC'!L172)-'Overall recycling rates'!$I$62/SUM('Overall recycling rates'!$I$60:$I$62)*('BTX Recycling HC'!L78+'BTX Recycling HC'!L173)</f>
        <v>2300889.2017972278</v>
      </c>
      <c r="N81" s="638">
        <f>N37-'Overall recycling rates'!$G$62/SUM('Overall recycling rates'!$G$60:$G$62)*('BTX Recycling HC'!M75+'BTX Recycling HC'!M170)-'Overall recycling rates'!$E$62/SUM('Overall recycling rates'!$E$60:$E$62)*('BTX Recycling HC'!M76+'BTX Recycling HC'!M171)-'Overall recycling rates'!$H$62/SUM('Overall recycling rates'!$H$60:$H$62)*('BTX Recycling HC'!M77+'BTX Recycling HC'!M172)-'Overall recycling rates'!$I$62/SUM('Overall recycling rates'!$I$60:$I$62)*('BTX Recycling HC'!M78+'BTX Recycling HC'!M173)</f>
        <v>2276089.082404973</v>
      </c>
      <c r="O81" s="638">
        <f>O37-'Overall recycling rates'!$G$62/SUM('Overall recycling rates'!$G$60:$G$62)*('BTX Recycling HC'!N75+'BTX Recycling HC'!N170)-'Overall recycling rates'!$E$62/SUM('Overall recycling rates'!$E$60:$E$62)*('BTX Recycling HC'!N76+'BTX Recycling HC'!N171)-'Overall recycling rates'!$H$62/SUM('Overall recycling rates'!$H$60:$H$62)*('BTX Recycling HC'!N77+'BTX Recycling HC'!N172)-'Overall recycling rates'!$I$62/SUM('Overall recycling rates'!$I$60:$I$62)*('BTX Recycling HC'!N78+'BTX Recycling HC'!N173)</f>
        <v>2139994.1124048722</v>
      </c>
      <c r="P81" s="638">
        <f>P37-'Overall recycling rates'!$G$62/SUM('Overall recycling rates'!$G$60:$G$62)*('BTX Recycling HC'!O75+'BTX Recycling HC'!O170)-'Overall recycling rates'!$E$62/SUM('Overall recycling rates'!$E$60:$E$62)*('BTX Recycling HC'!O76+'BTX Recycling HC'!O171)-'Overall recycling rates'!$H$62/SUM('Overall recycling rates'!$H$60:$H$62)*('BTX Recycling HC'!O77+'BTX Recycling HC'!O172)-'Overall recycling rates'!$I$62/SUM('Overall recycling rates'!$I$60:$I$62)*('BTX Recycling HC'!O78+'BTX Recycling HC'!O173)</f>
        <v>2071185.064339075</v>
      </c>
      <c r="Q81" s="638">
        <f>Q37-'Overall recycling rates'!$G$62/SUM('Overall recycling rates'!$G$60:$G$62)*('BTX Recycling HC'!P75+'BTX Recycling HC'!P170)-'Overall recycling rates'!$E$62/SUM('Overall recycling rates'!$E$60:$E$62)*('BTX Recycling HC'!P76+'BTX Recycling HC'!P171)-'Overall recycling rates'!$H$62/SUM('Overall recycling rates'!$H$60:$H$62)*('BTX Recycling HC'!P77+'BTX Recycling HC'!P172)-'Overall recycling rates'!$I$62/SUM('Overall recycling rates'!$I$60:$I$62)*('BTX Recycling HC'!P78+'BTX Recycling HC'!P173)</f>
        <v>2002560.8260932672</v>
      </c>
      <c r="R81" s="638">
        <f>R37-'Overall recycling rates'!$G$62/SUM('Overall recycling rates'!$G$60:$G$62)*('BTX Recycling HC'!Q75+'BTX Recycling HC'!Q170)-'Overall recycling rates'!$E$62/SUM('Overall recycling rates'!$E$60:$E$62)*('BTX Recycling HC'!Q76+'BTX Recycling HC'!Q171)-'Overall recycling rates'!$H$62/SUM('Overall recycling rates'!$H$60:$H$62)*('BTX Recycling HC'!Q77+'BTX Recycling HC'!Q172)-'Overall recycling rates'!$I$62/SUM('Overall recycling rates'!$I$60:$I$62)*('BTX Recycling HC'!Q78+'BTX Recycling HC'!Q173)</f>
        <v>1934111.3275432088</v>
      </c>
      <c r="S81" s="638">
        <f>S37-'Overall recycling rates'!$G$62/SUM('Overall recycling rates'!$G$60:$G$62)*('BTX Recycling HC'!R75+'BTX Recycling HC'!R170)-'Overall recycling rates'!$E$62/SUM('Overall recycling rates'!$E$60:$E$62)*('BTX Recycling HC'!R76+'BTX Recycling HC'!R171)-'Overall recycling rates'!$H$62/SUM('Overall recycling rates'!$H$60:$H$62)*('BTX Recycling HC'!R77+'BTX Recycling HC'!R172)-'Overall recycling rates'!$I$62/SUM('Overall recycling rates'!$I$60:$I$62)*('BTX Recycling HC'!R78+'BTX Recycling HC'!R173)</f>
        <v>1865826.7626231983</v>
      </c>
      <c r="T81" s="638">
        <f>T37-'Overall recycling rates'!$G$62/SUM('Overall recycling rates'!$G$60:$G$62)*('BTX Recycling HC'!S75+'BTX Recycling HC'!S170)-'Overall recycling rates'!$E$62/SUM('Overall recycling rates'!$E$60:$E$62)*('BTX Recycling HC'!S76+'BTX Recycling HC'!S171)-'Overall recycling rates'!$H$62/SUM('Overall recycling rates'!$H$60:$H$62)*('BTX Recycling HC'!S77+'BTX Recycling HC'!S172)-'Overall recycling rates'!$I$62/SUM('Overall recycling rates'!$I$60:$I$62)*('BTX Recycling HC'!S78+'BTX Recycling HC'!S173)</f>
        <v>1797697.4999514008</v>
      </c>
      <c r="U81" s="638">
        <f>U37-'Overall recycling rates'!$G$62/SUM('Overall recycling rates'!$G$60:$G$62)*('BTX Recycling HC'!T75+'BTX Recycling HC'!T170)-'Overall recycling rates'!$E$62/SUM('Overall recycling rates'!$E$60:$E$62)*('BTX Recycling HC'!T76+'BTX Recycling HC'!T171)-'Overall recycling rates'!$H$62/SUM('Overall recycling rates'!$H$60:$H$62)*('BTX Recycling HC'!T77+'BTX Recycling HC'!T172)-'Overall recycling rates'!$I$62/SUM('Overall recycling rates'!$I$60:$I$62)*('BTX Recycling HC'!T78+'BTX Recycling HC'!T173)</f>
        <v>1729714.0828216197</v>
      </c>
      <c r="V81" s="638">
        <f>V37-'Overall recycling rates'!$G$62/SUM('Overall recycling rates'!$G$60:$G$62)*('BTX Recycling HC'!U75+'BTX Recycling HC'!U170)-'Overall recycling rates'!$E$62/SUM('Overall recycling rates'!$E$60:$E$62)*('BTX Recycling HC'!U76+'BTX Recycling HC'!U171)-'Overall recycling rates'!$H$62/SUM('Overall recycling rates'!$H$60:$H$62)*('BTX Recycling HC'!U77+'BTX Recycling HC'!U172)-'Overall recycling rates'!$I$62/SUM('Overall recycling rates'!$I$60:$I$62)*('BTX Recycling HC'!U78+'BTX Recycling HC'!U173)</f>
        <v>1661867.2291949771</v>
      </c>
      <c r="W81" s="638">
        <f>W37-'Overall recycling rates'!$G$62/SUM('Overall recycling rates'!$G$60:$G$62)*('BTX Recycling HC'!V75+'BTX Recycling HC'!V170)-'Overall recycling rates'!$E$62/SUM('Overall recycling rates'!$E$60:$E$62)*('BTX Recycling HC'!V76+'BTX Recycling HC'!V171)-'Overall recycling rates'!$H$62/SUM('Overall recycling rates'!$H$60:$H$62)*('BTX Recycling HC'!V77+'BTX Recycling HC'!V172)-'Overall recycling rates'!$I$62/SUM('Overall recycling rates'!$I$60:$I$62)*('BTX Recycling HC'!V78+'BTX Recycling HC'!V173)</f>
        <v>1594147.8316915033</v>
      </c>
      <c r="X81" s="638">
        <f>X37-'Overall recycling rates'!$G$62/SUM('Overall recycling rates'!$G$60:$G$62)*('BTX Recycling HC'!W75+'BTX Recycling HC'!W170)-'Overall recycling rates'!$E$62/SUM('Overall recycling rates'!$E$60:$E$62)*('BTX Recycling HC'!W76+'BTX Recycling HC'!W171)-'Overall recycling rates'!$H$62/SUM('Overall recycling rates'!$H$60:$H$62)*('BTX Recycling HC'!W77+'BTX Recycling HC'!W172)-'Overall recycling rates'!$I$62/SUM('Overall recycling rates'!$I$60:$I$62)*('BTX Recycling HC'!W78+'BTX Recycling HC'!W173)</f>
        <v>1526546.9575816325</v>
      </c>
      <c r="Y81" s="638">
        <f>Y37-'Overall recycling rates'!$G$62/SUM('Overall recycling rates'!$G$60:$G$62)*('BTX Recycling HC'!X75+'BTX Recycling HC'!X170)-'Overall recycling rates'!$E$62/SUM('Overall recycling rates'!$E$60:$E$62)*('BTX Recycling HC'!X76+'BTX Recycling HC'!X171)-'Overall recycling rates'!$H$62/SUM('Overall recycling rates'!$H$60:$H$62)*('BTX Recycling HC'!X77+'BTX Recycling HC'!X172)-'Overall recycling rates'!$I$62/SUM('Overall recycling rates'!$I$60:$I$62)*('BTX Recycling HC'!X78+'BTX Recycling HC'!X173)</f>
        <v>1456322.9534417635</v>
      </c>
      <c r="Z81" s="638">
        <f>Z37-'Overall recycling rates'!$G$62/SUM('Overall recycling rates'!$G$60:$G$62)*('BTX Recycling HC'!Y75+'BTX Recycling HC'!Y170)-'Overall recycling rates'!$E$62/SUM('Overall recycling rates'!$E$60:$E$62)*('BTX Recycling HC'!Y76+'BTX Recycling HC'!Y171)-'Overall recycling rates'!$H$62/SUM('Overall recycling rates'!$H$60:$H$62)*('BTX Recycling HC'!Y77+'BTX Recycling HC'!Y172)-'Overall recycling rates'!$I$62/SUM('Overall recycling rates'!$I$60:$I$62)*('BTX Recycling HC'!Y78+'BTX Recycling HC'!Y173)</f>
        <v>1386336.634697672</v>
      </c>
      <c r="AA81" s="638">
        <f>AA37-'Overall recycling rates'!$G$62/SUM('Overall recycling rates'!$G$60:$G$62)*('BTX Recycling HC'!Z75+'BTX Recycling HC'!Z170)-'Overall recycling rates'!$E$62/SUM('Overall recycling rates'!$E$60:$E$62)*('BTX Recycling HC'!Z76+'BTX Recycling HC'!Z171)-'Overall recycling rates'!$H$62/SUM('Overall recycling rates'!$H$60:$H$62)*('BTX Recycling HC'!Z77+'BTX Recycling HC'!Z172)-'Overall recycling rates'!$I$62/SUM('Overall recycling rates'!$I$60:$I$62)*('BTX Recycling HC'!Z78+'BTX Recycling HC'!Z173)</f>
        <v>1316572.5348284494</v>
      </c>
      <c r="AB81" s="638">
        <f>AB37-'Overall recycling rates'!$G$62/SUM('Overall recycling rates'!$G$60:$G$62)*('BTX Recycling HC'!AA75+'BTX Recycling HC'!AA170)-'Overall recycling rates'!$E$62/SUM('Overall recycling rates'!$E$60:$E$62)*('BTX Recycling HC'!AA76+'BTX Recycling HC'!AA171)-'Overall recycling rates'!$H$62/SUM('Overall recycling rates'!$H$60:$H$62)*('BTX Recycling HC'!AA77+'BTX Recycling HC'!AA172)-'Overall recycling rates'!$I$62/SUM('Overall recycling rates'!$I$60:$I$62)*('BTX Recycling HC'!AA78+'BTX Recycling HC'!AA173)</f>
        <v>1247014.6589319662</v>
      </c>
      <c r="AC81" s="638">
        <f>AC37-'Overall recycling rates'!$G$62/SUM('Overall recycling rates'!$G$60:$G$62)*('BTX Recycling HC'!AB75+'BTX Recycling HC'!AB170)-'Overall recycling rates'!$E$62/SUM('Overall recycling rates'!$E$60:$E$62)*('BTX Recycling HC'!AB76+'BTX Recycling HC'!AB171)-'Overall recycling rates'!$H$62/SUM('Overall recycling rates'!$H$60:$H$62)*('BTX Recycling HC'!AB77+'BTX Recycling HC'!AB172)-'Overall recycling rates'!$I$62/SUM('Overall recycling rates'!$I$60:$I$62)*('BTX Recycling HC'!AB78+'BTX Recycling HC'!AB173)</f>
        <v>1177647.7203818138</v>
      </c>
      <c r="AD81" s="638">
        <f>AD37-'Overall recycling rates'!$G$62/SUM('Overall recycling rates'!$G$60:$G$62)*('BTX Recycling HC'!AC75+'BTX Recycling HC'!AC170)-'Overall recycling rates'!$E$62/SUM('Overall recycling rates'!$E$60:$E$62)*('BTX Recycling HC'!AC76+'BTX Recycling HC'!AC171)-'Overall recycling rates'!$H$62/SUM('Overall recycling rates'!$H$60:$H$62)*('BTX Recycling HC'!AC77+'BTX Recycling HC'!AC172)-'Overall recycling rates'!$I$62/SUM('Overall recycling rates'!$I$60:$I$62)*('BTX Recycling HC'!AC78+'BTX Recycling HC'!AC173)</f>
        <v>1108456.745592623</v>
      </c>
      <c r="AE81" s="638">
        <f>AE37-'Overall recycling rates'!$G$62/SUM('Overall recycling rates'!$G$60:$G$62)*('BTX Recycling HC'!AD75+'BTX Recycling HC'!AD170)-'Overall recycling rates'!$E$62/SUM('Overall recycling rates'!$E$60:$E$62)*('BTX Recycling HC'!AD76+'BTX Recycling HC'!AD171)-'Overall recycling rates'!$H$62/SUM('Overall recycling rates'!$H$60:$H$62)*('BTX Recycling HC'!AD77+'BTX Recycling HC'!AD172)-'Overall recycling rates'!$I$62/SUM('Overall recycling rates'!$I$60:$I$62)*('BTX Recycling HC'!AD78+'BTX Recycling HC'!AD173)</f>
        <v>1039427.0739431327</v>
      </c>
      <c r="AF81" s="638">
        <f>AF37-'Overall recycling rates'!$G$62/SUM('Overall recycling rates'!$G$60:$G$62)*('BTX Recycling HC'!AE75+'BTX Recycling HC'!AE170)-'Overall recycling rates'!$E$62/SUM('Overall recycling rates'!$E$60:$E$62)*('BTX Recycling HC'!AE76+'BTX Recycling HC'!AE171)-'Overall recycling rates'!$H$62/SUM('Overall recycling rates'!$H$60:$H$62)*('BTX Recycling HC'!AE77+'BTX Recycling HC'!AE172)-'Overall recycling rates'!$I$62/SUM('Overall recycling rates'!$I$60:$I$62)*('BTX Recycling HC'!AE78+'BTX Recycling HC'!AE173)</f>
        <v>970544.35769809934</v>
      </c>
      <c r="AG81" s="638">
        <f>AG37-'Overall recycling rates'!$G$62/SUM('Overall recycling rates'!$G$60:$G$62)*('BTX Recycling HC'!AF75+'BTX Recycling HC'!AF170)-'Overall recycling rates'!$E$62/SUM('Overall recycling rates'!$E$60:$E$62)*('BTX Recycling HC'!AF76+'BTX Recycling HC'!AF171)-'Overall recycling rates'!$H$62/SUM('Overall recycling rates'!$H$60:$H$62)*('BTX Recycling HC'!AF77+'BTX Recycling HC'!AF172)-'Overall recycling rates'!$I$62/SUM('Overall recycling rates'!$I$60:$I$62)*('BTX Recycling HC'!AF78+'BTX Recycling HC'!AF173)</f>
        <v>901794.56192904466</v>
      </c>
      <c r="AH81" s="638">
        <f>AH37-'Overall recycling rates'!$G$62/SUM('Overall recycling rates'!$G$60:$G$62)*('BTX Recycling HC'!AG75+'BTX Recycling HC'!AG170)-'Overall recycling rates'!$E$62/SUM('Overall recycling rates'!$E$60:$E$62)*('BTX Recycling HC'!AG76+'BTX Recycling HC'!AG171)-'Overall recycling rates'!$H$62/SUM('Overall recycling rates'!$H$60:$H$62)*('BTX Recycling HC'!AG77+'BTX Recycling HC'!AG172)-'Overall recycling rates'!$I$62/SUM('Overall recycling rates'!$I$60:$I$62)*('BTX Recycling HC'!AG78+'BTX Recycling HC'!AG173)</f>
        <v>833163.96443384537</v>
      </c>
      <c r="AI81" s="638"/>
      <c r="AJ81" s="638">
        <f>AJ37-'Overall recycling rates'!$G$62/SUM('Overall recycling rates'!$G$60:$G$62)*('BTX Recycling HC'!C75+'BTX Recycling HC'!C170)-'Overall recycling rates'!$E$62/SUM('Overall recycling rates'!$E$60:$E$62)*('BTX Recycling HC'!C76+'BTX Recycling HC'!C171)-'Overall recycling rates'!$H$62/SUM('Overall recycling rates'!$H$60:$H$62)*('BTX Recycling HC'!C77+'BTX Recycling HC'!C172)-'Overall recycling rates'!$I$62/SUM('Overall recycling rates'!$I$60:$I$62)*('BTX Recycling HC'!C78+'BTX Recycling HC'!C173)</f>
        <v>2526387.2600925858</v>
      </c>
      <c r="AK81" s="638">
        <f>AK37-'Overall recycling rates'!$G$62/SUM('Overall recycling rates'!$G$60:$G$62)*('BTX Recycling HC'!D75+'BTX Recycling HC'!D170)-'Overall recycling rates'!$E$62/SUM('Overall recycling rates'!$E$60:$E$62)*('BTX Recycling HC'!D76+'BTX Recycling HC'!D171)-'Overall recycling rates'!$H$62/SUM('Overall recycling rates'!$H$60:$H$62)*('BTX Recycling HC'!D77+'BTX Recycling HC'!D172)-'Overall recycling rates'!$I$62/SUM('Overall recycling rates'!$I$60:$I$62)*('BTX Recycling HC'!D78+'BTX Recycling HC'!D173)</f>
        <v>2507604.1743823919</v>
      </c>
      <c r="AL81" s="638">
        <f>AL37-'Overall recycling rates'!$G$62/SUM('Overall recycling rates'!$G$60:$G$62)*('BTX Recycling HC'!E75+'BTX Recycling HC'!E170)-'Overall recycling rates'!$E$62/SUM('Overall recycling rates'!$E$60:$E$62)*('BTX Recycling HC'!E76+'BTX Recycling HC'!E171)-'Overall recycling rates'!$H$62/SUM('Overall recycling rates'!$H$60:$H$62)*('BTX Recycling HC'!E77+'BTX Recycling HC'!E172)-'Overall recycling rates'!$I$62/SUM('Overall recycling rates'!$I$60:$I$62)*('BTX Recycling HC'!E78+'BTX Recycling HC'!E173)</f>
        <v>2489037.0052776132</v>
      </c>
      <c r="AM81" s="638">
        <f>AM37-'Overall recycling rates'!$G$62/SUM('Overall recycling rates'!$G$60:$G$62)*('BTX Recycling HC'!F75+'BTX Recycling HC'!F170)-'Overall recycling rates'!$E$62/SUM('Overall recycling rates'!$E$60:$E$62)*('BTX Recycling HC'!F76+'BTX Recycling HC'!F171)-'Overall recycling rates'!$H$62/SUM('Overall recycling rates'!$H$60:$H$62)*('BTX Recycling HC'!F77+'BTX Recycling HC'!F172)-'Overall recycling rates'!$I$62/SUM('Overall recycling rates'!$I$60:$I$62)*('BTX Recycling HC'!F78+'BTX Recycling HC'!F173)</f>
        <v>2470474.9051764682</v>
      </c>
      <c r="AN81" s="638">
        <f>AN37-'Overall recycling rates'!$G$62/SUM('Overall recycling rates'!$G$60:$G$62)*('BTX Recycling HC'!G75+'BTX Recycling HC'!G170)-'Overall recycling rates'!$E$62/SUM('Overall recycling rates'!$E$60:$E$62)*('BTX Recycling HC'!G76+'BTX Recycling HC'!G171)-'Overall recycling rates'!$H$62/SUM('Overall recycling rates'!$H$60:$H$62)*('BTX Recycling HC'!G77+'BTX Recycling HC'!G172)-'Overall recycling rates'!$I$62/SUM('Overall recycling rates'!$I$60:$I$62)*('BTX Recycling HC'!G78+'BTX Recycling HC'!G173)</f>
        <v>2451984.0223978488</v>
      </c>
      <c r="AO81" s="638">
        <f>AO37-'Overall recycling rates'!$G$62/SUM('Overall recycling rates'!$G$60:$G$62)*('BTX Recycling HC'!H75+'BTX Recycling HC'!H170)-'Overall recycling rates'!$E$62/SUM('Overall recycling rates'!$E$60:$E$62)*('BTX Recycling HC'!H76+'BTX Recycling HC'!H171)-'Overall recycling rates'!$H$62/SUM('Overall recycling rates'!$H$60:$H$62)*('BTX Recycling HC'!H77+'BTX Recycling HC'!H172)-'Overall recycling rates'!$I$62/SUM('Overall recycling rates'!$I$60:$I$62)*('BTX Recycling HC'!H78+'BTX Recycling HC'!H173)</f>
        <v>2433561.3084108299</v>
      </c>
      <c r="AP81" s="638">
        <f>AP37-'Overall recycling rates'!$G$62/SUM('Overall recycling rates'!$G$60:$G$62)*('BTX Recycling HC'!I75+'BTX Recycling HC'!I170)-'Overall recycling rates'!$E$62/SUM('Overall recycling rates'!$E$60:$E$62)*('BTX Recycling HC'!I76+'BTX Recycling HC'!I171)-'Overall recycling rates'!$H$62/SUM('Overall recycling rates'!$H$60:$H$62)*('BTX Recycling HC'!I77+'BTX Recycling HC'!I172)-'Overall recycling rates'!$I$62/SUM('Overall recycling rates'!$I$60:$I$62)*('BTX Recycling HC'!I78+'BTX Recycling HC'!I173)</f>
        <v>2415203.7563887653</v>
      </c>
      <c r="AQ81" s="638">
        <f>AQ37-'Overall recycling rates'!$G$62/SUM('Overall recycling rates'!$G$60:$G$62)*('BTX Recycling HC'!J75+'BTX Recycling HC'!J170)-'Overall recycling rates'!$E$62/SUM('Overall recycling rates'!$E$60:$E$62)*('BTX Recycling HC'!J76+'BTX Recycling HC'!J171)-'Overall recycling rates'!$H$62/SUM('Overall recycling rates'!$H$60:$H$62)*('BTX Recycling HC'!J77+'BTX Recycling HC'!J172)-'Overall recycling rates'!$I$62/SUM('Overall recycling rates'!$I$60:$I$62)*('BTX Recycling HC'!J78+'BTX Recycling HC'!J173)</f>
        <v>2396908.4012092911</v>
      </c>
      <c r="AR81" s="638">
        <f>AR37-'Overall recycling rates'!$G$62/SUM('Overall recycling rates'!$G$60:$G$62)*('BTX Recycling HC'!K75+'BTX Recycling HC'!K170)-'Overall recycling rates'!$E$62/SUM('Overall recycling rates'!$E$60:$E$62)*('BTX Recycling HC'!K76+'BTX Recycling HC'!K171)-'Overall recycling rates'!$H$62/SUM('Overall recycling rates'!$H$60:$H$62)*('BTX Recycling HC'!K77+'BTX Recycling HC'!K172)-'Overall recycling rates'!$I$62/SUM('Overall recycling rates'!$I$60:$I$62)*('BTX Recycling HC'!K78+'BTX Recycling HC'!K173)</f>
        <v>2378672.3194543212</v>
      </c>
      <c r="AS81" s="638">
        <f>AS37-'Overall recycling rates'!$G$62/SUM('Overall recycling rates'!$G$60:$G$62)*('BTX Recycling HC'!L75+'BTX Recycling HC'!L170)-'Overall recycling rates'!$E$62/SUM('Overall recycling rates'!$E$60:$E$62)*('BTX Recycling HC'!L76+'BTX Recycling HC'!L171)-'Overall recycling rates'!$H$62/SUM('Overall recycling rates'!$H$60:$H$62)*('BTX Recycling HC'!L77+'BTX Recycling HC'!L172)-'Overall recycling rates'!$I$62/SUM('Overall recycling rates'!$I$60:$I$62)*('BTX Recycling HC'!L78+'BTX Recycling HC'!L173)</f>
        <v>2360492.6294100513</v>
      </c>
      <c r="AT81" s="638">
        <f>AT37-'Overall recycling rates'!$G$62/SUM('Overall recycling rates'!$G$60:$G$62)*('BTX Recycling HC'!M75+'BTX Recycling HC'!M170)-'Overall recycling rates'!$E$62/SUM('Overall recycling rates'!$E$60:$E$62)*('BTX Recycling HC'!M76+'BTX Recycling HC'!M171)-'Overall recycling rates'!$H$62/SUM('Overall recycling rates'!$H$60:$H$62)*('BTX Recycling HC'!M77+'BTX Recycling HC'!M172)-'Overall recycling rates'!$I$62/SUM('Overall recycling rates'!$I$60:$I$62)*('BTX Recycling HC'!M78+'BTX Recycling HC'!M173)</f>
        <v>2342366.4910669578</v>
      </c>
      <c r="AU81" s="638">
        <f>AU37-'Overall recycling rates'!$G$62/SUM('Overall recycling rates'!$G$60:$G$62)*('BTX Recycling HC'!N75+'BTX Recycling HC'!N170)-'Overall recycling rates'!$E$62/SUM('Overall recycling rates'!$E$60:$E$62)*('BTX Recycling HC'!N76+'BTX Recycling HC'!N171)-'Overall recycling rates'!$H$62/SUM('Overall recycling rates'!$H$60:$H$62)*('BTX Recycling HC'!N77+'BTX Recycling HC'!N172)-'Overall recycling rates'!$I$62/SUM('Overall recycling rates'!$I$60:$I$62)*('BTX Recycling HC'!N78+'BTX Recycling HC'!N173)</f>
        <v>2230635.7334669833</v>
      </c>
      <c r="AV81" s="638">
        <f>AV37-'Overall recycling rates'!$G$62/SUM('Overall recycling rates'!$G$60:$G$62)*('BTX Recycling HC'!O75+'BTX Recycling HC'!O170)-'Overall recycling rates'!$E$62/SUM('Overall recycling rates'!$E$60:$E$62)*('BTX Recycling HC'!O76+'BTX Recycling HC'!O171)-'Overall recycling rates'!$H$62/SUM('Overall recycling rates'!$H$60:$H$62)*('BTX Recycling HC'!O77+'BTX Recycling HC'!O172)-'Overall recycling rates'!$I$62/SUM('Overall recycling rates'!$I$60:$I$62)*('BTX Recycling HC'!O78+'BTX Recycling HC'!O173)</f>
        <v>2178425.9591994085</v>
      </c>
      <c r="AW81" s="638">
        <f>AW37-'Overall recycling rates'!$G$62/SUM('Overall recycling rates'!$G$60:$G$62)*('BTX Recycling HC'!P75+'BTX Recycling HC'!P170)-'Overall recycling rates'!$E$62/SUM('Overall recycling rates'!$E$60:$E$62)*('BTX Recycling HC'!P76+'BTX Recycling HC'!P171)-'Overall recycling rates'!$H$62/SUM('Overall recycling rates'!$H$60:$H$62)*('BTX Recycling HC'!P77+'BTX Recycling HC'!P172)-'Overall recycling rates'!$I$62/SUM('Overall recycling rates'!$I$60:$I$62)*('BTX Recycling HC'!P78+'BTX Recycling HC'!P173)</f>
        <v>2126400.9947518222</v>
      </c>
      <c r="AX81" s="638">
        <f>AX37-'Overall recycling rates'!$G$62/SUM('Overall recycling rates'!$G$60:$G$62)*('BTX Recycling HC'!Q75+'BTX Recycling HC'!Q170)-'Overall recycling rates'!$E$62/SUM('Overall recycling rates'!$E$60:$E$62)*('BTX Recycling HC'!Q76+'BTX Recycling HC'!Q171)-'Overall recycling rates'!$H$62/SUM('Overall recycling rates'!$H$60:$H$62)*('BTX Recycling HC'!Q77+'BTX Recycling HC'!Q172)-'Overall recycling rates'!$I$62/SUM('Overall recycling rates'!$I$60:$I$62)*('BTX Recycling HC'!Q78+'BTX Recycling HC'!Q173)</f>
        <v>2074550.769999986</v>
      </c>
      <c r="AY81" s="638">
        <f>AY37-'Overall recycling rates'!$G$62/SUM('Overall recycling rates'!$G$60:$G$62)*('BTX Recycling HC'!R75+'BTX Recycling HC'!R170)-'Overall recycling rates'!$E$62/SUM('Overall recycling rates'!$E$60:$E$62)*('BTX Recycling HC'!R76+'BTX Recycling HC'!R171)-'Overall recycling rates'!$H$62/SUM('Overall recycling rates'!$H$60:$H$62)*('BTX Recycling HC'!R77+'BTX Recycling HC'!R172)-'Overall recycling rates'!$I$62/SUM('Overall recycling rates'!$I$60:$I$62)*('BTX Recycling HC'!R78+'BTX Recycling HC'!R173)</f>
        <v>2022865.4788781973</v>
      </c>
      <c r="AZ81" s="638">
        <f>AZ37-'Overall recycling rates'!$G$62/SUM('Overall recycling rates'!$G$60:$G$62)*('BTX Recycling HC'!S75+'BTX Recycling HC'!S170)-'Overall recycling rates'!$E$62/SUM('Overall recycling rates'!$E$60:$E$62)*('BTX Recycling HC'!S76+'BTX Recycling HC'!S171)-'Overall recycling rates'!$H$62/SUM('Overall recycling rates'!$H$60:$H$62)*('BTX Recycling HC'!S77+'BTX Recycling HC'!S172)-'Overall recycling rates'!$I$62/SUM('Overall recycling rates'!$I$60:$I$62)*('BTX Recycling HC'!S78+'BTX Recycling HC'!S173)</f>
        <v>1971335.4900046219</v>
      </c>
      <c r="BA81" s="638">
        <f>BA37-'Overall recycling rates'!$G$62/SUM('Overall recycling rates'!$G$60:$G$62)*('BTX Recycling HC'!T75+'BTX Recycling HC'!T170)-'Overall recycling rates'!$E$62/SUM('Overall recycling rates'!$E$60:$E$62)*('BTX Recycling HC'!T76+'BTX Recycling HC'!T171)-'Overall recycling rates'!$H$62/SUM('Overall recycling rates'!$H$60:$H$62)*('BTX Recycling HC'!T77+'BTX Recycling HC'!T172)-'Overall recycling rates'!$I$62/SUM('Overall recycling rates'!$I$60:$I$62)*('BTX Recycling HC'!T78+'BTX Recycling HC'!T173)</f>
        <v>1919951.3466730623</v>
      </c>
      <c r="BB81" s="638">
        <f>BB37-'Overall recycling rates'!$G$62/SUM('Overall recycling rates'!$G$60:$G$62)*('BTX Recycling HC'!U75+'BTX Recycling HC'!U170)-'Overall recycling rates'!$E$62/SUM('Overall recycling rates'!$E$60:$E$62)*('BTX Recycling HC'!U76+'BTX Recycling HC'!U171)-'Overall recycling rates'!$H$62/SUM('Overall recycling rates'!$H$60:$H$62)*('BTX Recycling HC'!U77+'BTX Recycling HC'!U172)-'Overall recycling rates'!$I$62/SUM('Overall recycling rates'!$I$60:$I$62)*('BTX Recycling HC'!U78+'BTX Recycling HC'!U173)</f>
        <v>1868703.7668446419</v>
      </c>
      <c r="BC81" s="638">
        <f>BC37-'Overall recycling rates'!$G$62/SUM('Overall recycling rates'!$G$60:$G$62)*('BTX Recycling HC'!V75+'BTX Recycling HC'!V170)-'Overall recycling rates'!$E$62/SUM('Overall recycling rates'!$E$60:$E$62)*('BTX Recycling HC'!V76+'BTX Recycling HC'!V171)-'Overall recycling rates'!$H$62/SUM('Overall recycling rates'!$H$60:$H$62)*('BTX Recycling HC'!V77+'BTX Recycling HC'!V172)-'Overall recycling rates'!$I$62/SUM('Overall recycling rates'!$I$60:$I$62)*('BTX Recycling HC'!V78+'BTX Recycling HC'!V173)</f>
        <v>1817583.6431393905</v>
      </c>
      <c r="BD81" s="638">
        <f>BD37-'Overall recycling rates'!$G$62/SUM('Overall recycling rates'!$G$60:$G$62)*('BTX Recycling HC'!W75+'BTX Recycling HC'!W170)-'Overall recycling rates'!$E$62/SUM('Overall recycling rates'!$E$60:$E$62)*('BTX Recycling HC'!W76+'BTX Recycling HC'!W171)-'Overall recycling rates'!$H$62/SUM('Overall recycling rates'!$H$60:$H$62)*('BTX Recycling HC'!W77+'BTX Recycling HC'!W172)-'Overall recycling rates'!$I$62/SUM('Overall recycling rates'!$I$60:$I$62)*('BTX Recycling HC'!W78+'BTX Recycling HC'!W173)</f>
        <v>1766582.042827741</v>
      </c>
      <c r="BE81" s="638">
        <f>BE37-'Overall recycling rates'!$G$62/SUM('Overall recycling rates'!$G$60:$G$62)*('BTX Recycling HC'!X75+'BTX Recycling HC'!X170)-'Overall recycling rates'!$E$62/SUM('Overall recycling rates'!$E$60:$E$62)*('BTX Recycling HC'!X76+'BTX Recycling HC'!X171)-'Overall recycling rates'!$H$62/SUM('Overall recycling rates'!$H$60:$H$62)*('BTX Recycling HC'!X77+'BTX Recycling HC'!X172)-'Overall recycling rates'!$I$62/SUM('Overall recycling rates'!$I$60:$I$62)*('BTX Recycling HC'!X78+'BTX Recycling HC'!X173)</f>
        <v>1713577.5910861918</v>
      </c>
      <c r="BF81" s="638">
        <f>BF37-'Overall recycling rates'!$G$62/SUM('Overall recycling rates'!$G$60:$G$62)*('BTX Recycling HC'!Y75+'BTX Recycling HC'!Y170)-'Overall recycling rates'!$E$62/SUM('Overall recycling rates'!$E$60:$E$62)*('BTX Recycling HC'!Y76+'BTX Recycling HC'!Y171)-'Overall recycling rates'!$H$62/SUM('Overall recycling rates'!$H$60:$H$62)*('BTX Recycling HC'!Y77+'BTX Recycling HC'!Y172)-'Overall recycling rates'!$I$62/SUM('Overall recycling rates'!$I$60:$I$62)*('BTX Recycling HC'!Y78+'BTX Recycling HC'!Y173)</f>
        <v>1660810.8247404206</v>
      </c>
      <c r="BG81" s="638">
        <f>BG37-'Overall recycling rates'!$G$62/SUM('Overall recycling rates'!$G$60:$G$62)*('BTX Recycling HC'!Z75+'BTX Recycling HC'!Z170)-'Overall recycling rates'!$E$62/SUM('Overall recycling rates'!$E$60:$E$62)*('BTX Recycling HC'!Z76+'BTX Recycling HC'!Z171)-'Overall recycling rates'!$H$62/SUM('Overall recycling rates'!$H$60:$H$62)*('BTX Recycling HC'!Z77+'BTX Recycling HC'!Z172)-'Overall recycling rates'!$I$62/SUM('Overall recycling rates'!$I$60:$I$62)*('BTX Recycling HC'!Z78+'BTX Recycling HC'!Z173)</f>
        <v>1608266.277269518</v>
      </c>
      <c r="BH81" s="638">
        <f>BH37-'Overall recycling rates'!$G$62/SUM('Overall recycling rates'!$G$60:$G$62)*('BTX Recycling HC'!AA75+'BTX Recycling HC'!AA170)-'Overall recycling rates'!$E$62/SUM('Overall recycling rates'!$E$60:$E$62)*('BTX Recycling HC'!AA76+'BTX Recycling HC'!AA171)-'Overall recycling rates'!$H$62/SUM('Overall recycling rates'!$H$60:$H$62)*('BTX Recycling HC'!AA77+'BTX Recycling HC'!AA172)-'Overall recycling rates'!$I$62/SUM('Overall recycling rates'!$I$60:$I$62)*('BTX Recycling HC'!AA78+'BTX Recycling HC'!AA173)</f>
        <v>1555927.9537713542</v>
      </c>
      <c r="BI81" s="638">
        <f>BI37-'Overall recycling rates'!$G$62/SUM('Overall recycling rates'!$G$60:$G$62)*('BTX Recycling HC'!AB75+'BTX Recycling HC'!AB170)-'Overall recycling rates'!$E$62/SUM('Overall recycling rates'!$E$60:$E$62)*('BTX Recycling HC'!AB76+'BTX Recycling HC'!AB171)-'Overall recycling rates'!$H$62/SUM('Overall recycling rates'!$H$60:$H$62)*('BTX Recycling HC'!AB77+'BTX Recycling HC'!AB172)-'Overall recycling rates'!$I$62/SUM('Overall recycling rates'!$I$60:$I$62)*('BTX Recycling HC'!AB78+'BTX Recycling HC'!AB173)</f>
        <v>1503780.5676195219</v>
      </c>
      <c r="BJ81" s="638">
        <f>BJ37-'Overall recycling rates'!$G$62/SUM('Overall recycling rates'!$G$60:$G$62)*('BTX Recycling HC'!AC75+'BTX Recycling HC'!AC170)-'Overall recycling rates'!$E$62/SUM('Overall recycling rates'!$E$60:$E$62)*('BTX Recycling HC'!AC76+'BTX Recycling HC'!AC171)-'Overall recycling rates'!$H$62/SUM('Overall recycling rates'!$H$60:$H$62)*('BTX Recycling HC'!AC77+'BTX Recycling HC'!AC172)-'Overall recycling rates'!$I$62/SUM('Overall recycling rates'!$I$60:$I$62)*('BTX Recycling HC'!AC78+'BTX Recycling HC'!AC173)</f>
        <v>1451809.1452286511</v>
      </c>
      <c r="BK81" s="638">
        <f>BK37-'Overall recycling rates'!$G$62/SUM('Overall recycling rates'!$G$60:$G$62)*('BTX Recycling HC'!AD75+'BTX Recycling HC'!AD170)-'Overall recycling rates'!$E$62/SUM('Overall recycling rates'!$E$60:$E$62)*('BTX Recycling HC'!AD76+'BTX Recycling HC'!AD171)-'Overall recycling rates'!$H$62/SUM('Overall recycling rates'!$H$60:$H$62)*('BTX Recycling HC'!AD77+'BTX Recycling HC'!AD172)-'Overall recycling rates'!$I$62/SUM('Overall recycling rates'!$I$60:$I$62)*('BTX Recycling HC'!AD78+'BTX Recycling HC'!AD173)</f>
        <v>1399999.0259774802</v>
      </c>
      <c r="BL81" s="638">
        <f>BL37-'Overall recycling rates'!$G$62/SUM('Overall recycling rates'!$G$60:$G$62)*('BTX Recycling HC'!AE75+'BTX Recycling HC'!AE170)-'Overall recycling rates'!$E$62/SUM('Overall recycling rates'!$E$60:$E$62)*('BTX Recycling HC'!AE76+'BTX Recycling HC'!AE171)-'Overall recycling rates'!$H$62/SUM('Overall recycling rates'!$H$60:$H$62)*('BTX Recycling HC'!AE77+'BTX Recycling HC'!AE172)-'Overall recycling rates'!$I$62/SUM('Overall recycling rates'!$I$60:$I$62)*('BTX Recycling HC'!AE78+'BTX Recycling HC'!AE173)</f>
        <v>1348335.8621307665</v>
      </c>
      <c r="BM81" s="638">
        <f>BM37-'Overall recycling rates'!$G$62/SUM('Overall recycling rates'!$G$60:$G$62)*('BTX Recycling HC'!AF75+'BTX Recycling HC'!AF170)-'Overall recycling rates'!$E$62/SUM('Overall recycling rates'!$E$60:$E$62)*('BTX Recycling HC'!AF76+'BTX Recycling HC'!AF171)-'Overall recycling rates'!$H$62/SUM('Overall recycling rates'!$H$60:$H$62)*('BTX Recycling HC'!AF77+'BTX Recycling HC'!AF172)-'Overall recycling rates'!$I$62/SUM('Overall recycling rates'!$I$60:$I$62)*('BTX Recycling HC'!AF78+'BTX Recycling HC'!AF173)</f>
        <v>1296805.6187600323</v>
      </c>
      <c r="BN81" s="638">
        <f>BN37-'Overall recycling rates'!$G$62/SUM('Overall recycling rates'!$G$60:$G$62)*('BTX Recycling HC'!AG75+'BTX Recycling HC'!AG170)-'Overall recycling rates'!$E$62/SUM('Overall recycling rates'!$E$60:$E$62)*('BTX Recycling HC'!AG76+'BTX Recycling HC'!AG171)-'Overall recycling rates'!$H$62/SUM('Overall recycling rates'!$H$60:$H$62)*('BTX Recycling HC'!AG77+'BTX Recycling HC'!AG172)-'Overall recycling rates'!$I$62/SUM('Overall recycling rates'!$I$60:$I$62)*('BTX Recycling HC'!AG78+'BTX Recycling HC'!AG173)</f>
        <v>1245394.5736631521</v>
      </c>
    </row>
    <row r="82" spans="1:66" outlineLevel="1">
      <c r="A82" s="55" t="s">
        <v>258</v>
      </c>
      <c r="B82" s="55" t="s">
        <v>195</v>
      </c>
      <c r="C82" s="95" t="s">
        <v>166</v>
      </c>
      <c r="D82" s="631">
        <f t="shared" ref="D82:AH82" si="75">D23</f>
        <v>149929.74661203282</v>
      </c>
      <c r="E82" s="631">
        <f t="shared" si="75"/>
        <v>149418.36623228851</v>
      </c>
      <c r="F82" s="631">
        <f t="shared" si="75"/>
        <v>148903.74737001734</v>
      </c>
      <c r="G82" s="631">
        <f t="shared" si="75"/>
        <v>148385.89002521939</v>
      </c>
      <c r="H82" s="631">
        <f t="shared" si="75"/>
        <v>147864.7941978946</v>
      </c>
      <c r="I82" s="631">
        <f t="shared" si="75"/>
        <v>147340.45988804303</v>
      </c>
      <c r="J82" s="631">
        <f t="shared" si="75"/>
        <v>146812.8870956646</v>
      </c>
      <c r="K82" s="631">
        <f t="shared" si="75"/>
        <v>146282.07582075935</v>
      </c>
      <c r="L82" s="631">
        <f t="shared" si="75"/>
        <v>145748.0260633273</v>
      </c>
      <c r="M82" s="631">
        <f t="shared" si="75"/>
        <v>145210.73782336843</v>
      </c>
      <c r="N82" s="631">
        <f t="shared" si="75"/>
        <v>144670.21110088271</v>
      </c>
      <c r="O82" s="631">
        <f t="shared" si="75"/>
        <v>142889.79535986483</v>
      </c>
      <c r="P82" s="631">
        <f t="shared" si="75"/>
        <v>141085.09099989576</v>
      </c>
      <c r="Q82" s="631">
        <f t="shared" si="75"/>
        <v>139256.09802097559</v>
      </c>
      <c r="R82" s="631">
        <f t="shared" si="75"/>
        <v>137402.81642310423</v>
      </c>
      <c r="S82" s="631">
        <f t="shared" si="75"/>
        <v>135525.24620628176</v>
      </c>
      <c r="T82" s="631">
        <f t="shared" si="75"/>
        <v>133623.38737050814</v>
      </c>
      <c r="U82" s="631">
        <f t="shared" si="75"/>
        <v>131697.23991578334</v>
      </c>
      <c r="V82" s="631">
        <f t="shared" si="75"/>
        <v>129746.8038421074</v>
      </c>
      <c r="W82" s="631">
        <f t="shared" si="75"/>
        <v>127772.07914948033</v>
      </c>
      <c r="X82" s="631">
        <f t="shared" si="75"/>
        <v>125773.06583790209</v>
      </c>
      <c r="Y82" s="631">
        <f t="shared" si="75"/>
        <v>120913.36297501695</v>
      </c>
      <c r="Z82" s="631">
        <f t="shared" si="75"/>
        <v>116024.51376939044</v>
      </c>
      <c r="AA82" s="631">
        <f t="shared" si="75"/>
        <v>111106.51822102253</v>
      </c>
      <c r="AB82" s="631">
        <f t="shared" si="75"/>
        <v>106159.37632991326</v>
      </c>
      <c r="AC82" s="631">
        <f t="shared" si="75"/>
        <v>101183.08809606258</v>
      </c>
      <c r="AD82" s="631">
        <f t="shared" si="75"/>
        <v>96177.653519470536</v>
      </c>
      <c r="AE82" s="631">
        <f t="shared" si="75"/>
        <v>91143.072600137122</v>
      </c>
      <c r="AF82" s="631">
        <f t="shared" si="75"/>
        <v>86079.345338062325</v>
      </c>
      <c r="AG82" s="631">
        <f t="shared" si="75"/>
        <v>80986.471733246159</v>
      </c>
      <c r="AH82" s="631">
        <f t="shared" si="75"/>
        <v>75864.451785688609</v>
      </c>
      <c r="AI82" s="191"/>
      <c r="AJ82" s="631">
        <f t="shared" ref="AJ82:BN82" si="76">AJ23</f>
        <v>149929.74661203282</v>
      </c>
      <c r="AK82" s="631">
        <f t="shared" si="76"/>
        <v>149823.98616877268</v>
      </c>
      <c r="AL82" s="631">
        <f t="shared" si="76"/>
        <v>149716.60648424915</v>
      </c>
      <c r="AM82" s="631">
        <f t="shared" si="76"/>
        <v>149607.60755846222</v>
      </c>
      <c r="AN82" s="631">
        <f t="shared" si="76"/>
        <v>149496.98939141186</v>
      </c>
      <c r="AO82" s="631">
        <f t="shared" si="76"/>
        <v>149384.75198309807</v>
      </c>
      <c r="AP82" s="631">
        <f t="shared" si="76"/>
        <v>149270.89533352089</v>
      </c>
      <c r="AQ82" s="631">
        <f t="shared" si="76"/>
        <v>149155.41944268032</v>
      </c>
      <c r="AR82" s="631">
        <f t="shared" si="76"/>
        <v>149038.32431057631</v>
      </c>
      <c r="AS82" s="631">
        <f t="shared" si="76"/>
        <v>148919.60993720891</v>
      </c>
      <c r="AT82" s="631">
        <f t="shared" si="76"/>
        <v>148799.27632257811</v>
      </c>
      <c r="AU82" s="631">
        <f t="shared" si="76"/>
        <v>148283.89281859924</v>
      </c>
      <c r="AV82" s="631">
        <f t="shared" si="76"/>
        <v>147756.36500514476</v>
      </c>
      <c r="AW82" s="631">
        <f t="shared" si="76"/>
        <v>147216.69288221476</v>
      </c>
      <c r="AX82" s="631">
        <f t="shared" si="76"/>
        <v>146664.87644980918</v>
      </c>
      <c r="AY82" s="631">
        <f t="shared" si="76"/>
        <v>146100.91570792801</v>
      </c>
      <c r="AZ82" s="631">
        <f t="shared" si="76"/>
        <v>145524.8106565713</v>
      </c>
      <c r="BA82" s="631">
        <f t="shared" si="76"/>
        <v>144936.56129573897</v>
      </c>
      <c r="BB82" s="631">
        <f t="shared" si="76"/>
        <v>144336.16762543109</v>
      </c>
      <c r="BC82" s="631">
        <f t="shared" si="76"/>
        <v>143723.62964564766</v>
      </c>
      <c r="BD82" s="631">
        <f t="shared" si="76"/>
        <v>143098.94735638861</v>
      </c>
      <c r="BE82" s="631">
        <f t="shared" si="76"/>
        <v>140893.99054486409</v>
      </c>
      <c r="BF82" s="631">
        <f t="shared" si="76"/>
        <v>138674.46056196888</v>
      </c>
      <c r="BG82" s="631">
        <f t="shared" si="76"/>
        <v>136440.35740770298</v>
      </c>
      <c r="BH82" s="631">
        <f t="shared" si="76"/>
        <v>134191.68108206638</v>
      </c>
      <c r="BI82" s="631">
        <f t="shared" si="76"/>
        <v>131928.43158505909</v>
      </c>
      <c r="BJ82" s="631">
        <f t="shared" si="76"/>
        <v>129650.60891668111</v>
      </c>
      <c r="BK82" s="631">
        <f t="shared" si="76"/>
        <v>127358.21307693246</v>
      </c>
      <c r="BL82" s="631">
        <f t="shared" si="76"/>
        <v>125051.24406581311</v>
      </c>
      <c r="BM82" s="631">
        <f t="shared" si="76"/>
        <v>122729.70188332308</v>
      </c>
      <c r="BN82" s="631">
        <f t="shared" si="76"/>
        <v>120393.58652946235</v>
      </c>
    </row>
    <row r="83" spans="1:66" outlineLevel="1">
      <c r="A83"/>
      <c r="B83" t="s">
        <v>262</v>
      </c>
      <c r="C83" s="51" t="s">
        <v>166</v>
      </c>
      <c r="D83" s="101">
        <f>'BTX Recycling HC'!C149</f>
        <v>0</v>
      </c>
      <c r="E83" s="101">
        <f>'BTX Recycling HC'!D149</f>
        <v>33.606130218059363</v>
      </c>
      <c r="F83" s="101">
        <f>'BTX Recycling HC'!E149</f>
        <v>76.259658608627092</v>
      </c>
      <c r="G83" s="101">
        <f>'BTX Recycling HC'!F149</f>
        <v>128.34033876312174</v>
      </c>
      <c r="H83" s="101">
        <f>'BTX Recycling HC'!G149</f>
        <v>190.22792427296176</v>
      </c>
      <c r="I83" s="101">
        <f>'BTX Recycling HC'!H149</f>
        <v>262.30216872956566</v>
      </c>
      <c r="J83" s="101">
        <f>'BTX Recycling HC'!I149</f>
        <v>344.94282572435202</v>
      </c>
      <c r="K83" s="101">
        <f>'BTX Recycling HC'!J149</f>
        <v>438.52964884873916</v>
      </c>
      <c r="L83" s="101">
        <f>'BTX Recycling HC'!K149</f>
        <v>543.44239169414561</v>
      </c>
      <c r="M83" s="101">
        <f>'BTX Recycling HC'!L149</f>
        <v>660.06080785199038</v>
      </c>
      <c r="N83" s="101">
        <f>'BTX Recycling HC'!M149</f>
        <v>788.76465091369118</v>
      </c>
      <c r="O83" s="101">
        <f>'BTX Recycling HC'!N149</f>
        <v>1002.4295018045576</v>
      </c>
      <c r="P83" s="101">
        <f>'BTX Recycling HC'!O149</f>
        <v>1241.204973183128</v>
      </c>
      <c r="Q83" s="101">
        <f>'BTX Recycling HC'!P149</f>
        <v>1500.5793338958454</v>
      </c>
      <c r="R83" s="101">
        <f>'BTX Recycling HC'!Q149</f>
        <v>1784.6373874515912</v>
      </c>
      <c r="S83" s="101">
        <f>'BTX Recycling HC'!R149</f>
        <v>2093.877360155424</v>
      </c>
      <c r="T83" s="101">
        <f>'BTX Recycling HC'!S149</f>
        <v>2428.782888978616</v>
      </c>
      <c r="U83" s="101">
        <f>'BTX Recycling HC'!T149</f>
        <v>2789.8228486714497</v>
      </c>
      <c r="V83" s="101">
        <f>'BTX Recycling HC'!U149</f>
        <v>3177.4511788760133</v>
      </c>
      <c r="W83" s="101">
        <f>'BTX Recycling HC'!V149</f>
        <v>3592.1067112389992</v>
      </c>
      <c r="X83" s="101">
        <f>'BTX Recycling HC'!W149</f>
        <v>4034.2129965244958</v>
      </c>
      <c r="Y83" s="101">
        <f>'BTX Recycling HC'!X149</f>
        <v>4678.0288971747032</v>
      </c>
      <c r="Z83" s="101">
        <f>'BTX Recycling HC'!Y149</f>
        <v>5367.4281771792184</v>
      </c>
      <c r="AA83" s="101">
        <f>'BTX Recycling HC'!Z149</f>
        <v>6050.2750686532718</v>
      </c>
      <c r="AB83" s="101">
        <f>'BTX Recycling HC'!AA149</f>
        <v>6765.125146231464</v>
      </c>
      <c r="AC83" s="101">
        <f>'BTX Recycling HC'!AB149</f>
        <v>7510.8236999394676</v>
      </c>
      <c r="AD83" s="101">
        <f>'BTX Recycling HC'!AC149</f>
        <v>8286.0962493636671</v>
      </c>
      <c r="AE83" s="101">
        <f>'BTX Recycling HC'!AD149</f>
        <v>9089.5463741098501</v>
      </c>
      <c r="AF83" s="101">
        <f>'BTX Recycling HC'!AE149</f>
        <v>9919.6535442618751</v>
      </c>
      <c r="AG83" s="101">
        <f>'BTX Recycling HC'!AF149</f>
        <v>10774.770950840337</v>
      </c>
      <c r="AH83" s="101">
        <f>'BTX Recycling HC'!AG149</f>
        <v>11653.123336261244</v>
      </c>
      <c r="AI83" s="191"/>
      <c r="AJ83" s="101">
        <f>D83</f>
        <v>0</v>
      </c>
      <c r="AK83" s="101">
        <f t="shared" ref="AK83:BN83" si="77">E83</f>
        <v>33.606130218059363</v>
      </c>
      <c r="AL83" s="101">
        <f t="shared" si="77"/>
        <v>76.259658608627092</v>
      </c>
      <c r="AM83" s="101">
        <f t="shared" si="77"/>
        <v>128.34033876312174</v>
      </c>
      <c r="AN83" s="101">
        <f t="shared" si="77"/>
        <v>190.22792427296176</v>
      </c>
      <c r="AO83" s="101">
        <f t="shared" si="77"/>
        <v>262.30216872956566</v>
      </c>
      <c r="AP83" s="101">
        <f t="shared" si="77"/>
        <v>344.94282572435202</v>
      </c>
      <c r="AQ83" s="101">
        <f t="shared" si="77"/>
        <v>438.52964884873916</v>
      </c>
      <c r="AR83" s="101">
        <f t="shared" si="77"/>
        <v>543.44239169414561</v>
      </c>
      <c r="AS83" s="101">
        <f t="shared" si="77"/>
        <v>660.06080785199038</v>
      </c>
      <c r="AT83" s="101">
        <f t="shared" si="77"/>
        <v>788.76465091369118</v>
      </c>
      <c r="AU83" s="101">
        <f t="shared" si="77"/>
        <v>1002.4295018045576</v>
      </c>
      <c r="AV83" s="101">
        <f t="shared" si="77"/>
        <v>1241.204973183128</v>
      </c>
      <c r="AW83" s="101">
        <f t="shared" si="77"/>
        <v>1500.5793338958454</v>
      </c>
      <c r="AX83" s="101">
        <f t="shared" si="77"/>
        <v>1784.6373874515912</v>
      </c>
      <c r="AY83" s="101">
        <f t="shared" si="77"/>
        <v>2093.877360155424</v>
      </c>
      <c r="AZ83" s="101">
        <f t="shared" si="77"/>
        <v>2428.782888978616</v>
      </c>
      <c r="BA83" s="101">
        <f t="shared" si="77"/>
        <v>2789.8228486714497</v>
      </c>
      <c r="BB83" s="101">
        <f t="shared" si="77"/>
        <v>3177.4511788760133</v>
      </c>
      <c r="BC83" s="101">
        <f t="shared" si="77"/>
        <v>3592.1067112389992</v>
      </c>
      <c r="BD83" s="101">
        <f t="shared" si="77"/>
        <v>4034.2129965244958</v>
      </c>
      <c r="BE83" s="101">
        <f t="shared" si="77"/>
        <v>4678.0288971747032</v>
      </c>
      <c r="BF83" s="101">
        <f t="shared" si="77"/>
        <v>5367.4281771792184</v>
      </c>
      <c r="BG83" s="101">
        <f t="shared" si="77"/>
        <v>6050.2750686532718</v>
      </c>
      <c r="BH83" s="101">
        <f t="shared" si="77"/>
        <v>6765.125146231464</v>
      </c>
      <c r="BI83" s="101">
        <f t="shared" si="77"/>
        <v>7510.8236999394676</v>
      </c>
      <c r="BJ83" s="101">
        <f t="shared" si="77"/>
        <v>8286.0962493636671</v>
      </c>
      <c r="BK83" s="101">
        <f t="shared" si="77"/>
        <v>9089.5463741098501</v>
      </c>
      <c r="BL83" s="101">
        <f t="shared" si="77"/>
        <v>9919.6535442618751</v>
      </c>
      <c r="BM83" s="101">
        <f t="shared" si="77"/>
        <v>10774.770950840337</v>
      </c>
      <c r="BN83" s="101">
        <f t="shared" si="77"/>
        <v>11653.123336261244</v>
      </c>
    </row>
    <row r="84" spans="1:66" outlineLevel="1">
      <c r="A84" s="59"/>
      <c r="B84" s="59" t="s">
        <v>263</v>
      </c>
      <c r="C84" s="60" t="s">
        <v>166</v>
      </c>
      <c r="D84" s="636">
        <f>D82-D83</f>
        <v>149929.74661203282</v>
      </c>
      <c r="E84" s="636">
        <f t="shared" ref="E84:AG84" si="78">E82-E83</f>
        <v>149384.76010207046</v>
      </c>
      <c r="F84" s="636">
        <f t="shared" si="78"/>
        <v>148827.48771140873</v>
      </c>
      <c r="G84" s="636">
        <f t="shared" si="78"/>
        <v>148257.54968645627</v>
      </c>
      <c r="H84" s="636">
        <f t="shared" si="78"/>
        <v>147674.56627362163</v>
      </c>
      <c r="I84" s="636">
        <f t="shared" si="78"/>
        <v>147078.15771931346</v>
      </c>
      <c r="J84" s="636">
        <f t="shared" si="78"/>
        <v>146467.94426994026</v>
      </c>
      <c r="K84" s="636">
        <f t="shared" si="78"/>
        <v>145843.5461719106</v>
      </c>
      <c r="L84" s="636">
        <f t="shared" si="78"/>
        <v>145204.58367163315</v>
      </c>
      <c r="M84" s="636">
        <f t="shared" si="78"/>
        <v>144550.67701551644</v>
      </c>
      <c r="N84" s="636">
        <f t="shared" si="78"/>
        <v>143881.44644996902</v>
      </c>
      <c r="O84" s="636">
        <f t="shared" si="78"/>
        <v>141887.36585806028</v>
      </c>
      <c r="P84" s="636">
        <f t="shared" si="78"/>
        <v>139843.88602671263</v>
      </c>
      <c r="Q84" s="636">
        <f t="shared" si="78"/>
        <v>137755.51868707975</v>
      </c>
      <c r="R84" s="636">
        <f t="shared" si="78"/>
        <v>135618.17903565263</v>
      </c>
      <c r="S84" s="636">
        <f t="shared" si="78"/>
        <v>133431.36884612634</v>
      </c>
      <c r="T84" s="636">
        <f t="shared" si="78"/>
        <v>131194.60448152953</v>
      </c>
      <c r="U84" s="636">
        <f t="shared" si="78"/>
        <v>128907.41706711189</v>
      </c>
      <c r="V84" s="636">
        <f t="shared" si="78"/>
        <v>126569.35266323139</v>
      </c>
      <c r="W84" s="636">
        <f t="shared" si="78"/>
        <v>124179.97243824133</v>
      </c>
      <c r="X84" s="636">
        <f t="shared" si="78"/>
        <v>121738.85284137759</v>
      </c>
      <c r="Y84" s="636">
        <f t="shared" si="78"/>
        <v>116235.33407784224</v>
      </c>
      <c r="Z84" s="636">
        <f t="shared" si="78"/>
        <v>110657.08559221122</v>
      </c>
      <c r="AA84" s="636">
        <f t="shared" si="78"/>
        <v>105056.24315236926</v>
      </c>
      <c r="AB84" s="636">
        <f t="shared" si="78"/>
        <v>99394.251183681787</v>
      </c>
      <c r="AC84" s="636">
        <f t="shared" si="78"/>
        <v>93672.264396123108</v>
      </c>
      <c r="AD84" s="636">
        <f t="shared" si="78"/>
        <v>87891.557270106874</v>
      </c>
      <c r="AE84" s="636">
        <f t="shared" si="78"/>
        <v>82053.526226027272</v>
      </c>
      <c r="AF84" s="636">
        <f t="shared" si="78"/>
        <v>76159.691793800448</v>
      </c>
      <c r="AG84" s="636">
        <f t="shared" si="78"/>
        <v>70211.700782405824</v>
      </c>
      <c r="AH84" s="636">
        <f>AH82-AH83</f>
        <v>64211.328449427368</v>
      </c>
      <c r="AI84" s="191"/>
      <c r="AJ84" s="636">
        <f>AJ82-AJ83</f>
        <v>149929.74661203282</v>
      </c>
      <c r="AK84" s="636">
        <f t="shared" ref="AK84:BN84" si="79">AK82-AK83</f>
        <v>149790.38003855463</v>
      </c>
      <c r="AL84" s="636">
        <f t="shared" si="79"/>
        <v>149640.34682564053</v>
      </c>
      <c r="AM84" s="636">
        <f t="shared" si="79"/>
        <v>149479.2672196991</v>
      </c>
      <c r="AN84" s="636">
        <f t="shared" si="79"/>
        <v>149306.76146713889</v>
      </c>
      <c r="AO84" s="636">
        <f t="shared" si="79"/>
        <v>149122.44981436851</v>
      </c>
      <c r="AP84" s="636">
        <f t="shared" si="79"/>
        <v>148925.95250779655</v>
      </c>
      <c r="AQ84" s="636">
        <f t="shared" si="79"/>
        <v>148716.88979383156</v>
      </c>
      <c r="AR84" s="636">
        <f t="shared" si="79"/>
        <v>148494.88191888217</v>
      </c>
      <c r="AS84" s="636">
        <f t="shared" si="79"/>
        <v>148259.54912935692</v>
      </c>
      <c r="AT84" s="636">
        <f t="shared" si="79"/>
        <v>148010.51167166443</v>
      </c>
      <c r="AU84" s="636">
        <f t="shared" si="79"/>
        <v>147281.46331679469</v>
      </c>
      <c r="AV84" s="636">
        <f t="shared" si="79"/>
        <v>146515.16003196163</v>
      </c>
      <c r="AW84" s="636">
        <f t="shared" si="79"/>
        <v>145716.11354831891</v>
      </c>
      <c r="AX84" s="636">
        <f t="shared" si="79"/>
        <v>144880.23906235758</v>
      </c>
      <c r="AY84" s="636">
        <f t="shared" si="79"/>
        <v>144007.03834777258</v>
      </c>
      <c r="AZ84" s="636">
        <f t="shared" si="79"/>
        <v>143096.02776759269</v>
      </c>
      <c r="BA84" s="636">
        <f t="shared" si="79"/>
        <v>142146.73844706753</v>
      </c>
      <c r="BB84" s="636">
        <f t="shared" si="79"/>
        <v>141158.71644655507</v>
      </c>
      <c r="BC84" s="636">
        <f t="shared" si="79"/>
        <v>140131.52293440865</v>
      </c>
      <c r="BD84" s="636">
        <f t="shared" si="79"/>
        <v>139064.73435986412</v>
      </c>
      <c r="BE84" s="636">
        <f t="shared" si="79"/>
        <v>136215.9616476894</v>
      </c>
      <c r="BF84" s="636">
        <f t="shared" si="79"/>
        <v>133307.03238478967</v>
      </c>
      <c r="BG84" s="636">
        <f t="shared" si="79"/>
        <v>130390.08233904971</v>
      </c>
      <c r="BH84" s="636">
        <f t="shared" si="79"/>
        <v>127426.55593583491</v>
      </c>
      <c r="BI84" s="636">
        <f t="shared" si="79"/>
        <v>124417.60788511962</v>
      </c>
      <c r="BJ84" s="636">
        <f t="shared" si="79"/>
        <v>121364.51266731745</v>
      </c>
      <c r="BK84" s="636">
        <f t="shared" si="79"/>
        <v>118268.66670282261</v>
      </c>
      <c r="BL84" s="636">
        <f t="shared" si="79"/>
        <v>115131.59052155123</v>
      </c>
      <c r="BM84" s="636">
        <f t="shared" si="79"/>
        <v>111954.93093248275</v>
      </c>
      <c r="BN84" s="636">
        <f t="shared" si="79"/>
        <v>108740.46319320111</v>
      </c>
    </row>
    <row r="85" spans="1:66" s="62" customFormat="1" outlineLevel="1">
      <c r="A85" s="684"/>
      <c r="B85" s="55" t="s">
        <v>88</v>
      </c>
      <c r="C85" s="56" t="s">
        <v>166</v>
      </c>
      <c r="D85" s="639">
        <f>D24-'Overall recycling rates'!$G$60/SUM('Overall recycling rates'!$G$60:$G$62)*('BTX Recycling HC'!C150)-'Overall recycling rates'!$E$60/SUM('Overall recycling rates'!$E$60:$E$62)*('BTX Recycling HC'!C151)-'Overall recycling rates'!$H$60/SUM('Overall recycling rates'!$H$60:$H$62)*('BTX Recycling HC'!C152)-'Overall recycling rates'!$I$60/SUM('Overall recycling rates'!$I$60:$I$62)*('BTX Recycling HC'!C153)</f>
        <v>87118.951257954774</v>
      </c>
      <c r="E85" s="639">
        <f>E24-'Overall recycling rates'!$G$60/SUM('Overall recycling rates'!$G$60:$G$62)*('BTX Recycling HC'!D150)-'Overall recycling rates'!$E$60/SUM('Overall recycling rates'!$E$60:$E$62)*('BTX Recycling HC'!D151)-'Overall recycling rates'!$H$60/SUM('Overall recycling rates'!$H$60:$H$62)*('BTX Recycling HC'!D152)-'Overall recycling rates'!$I$60/SUM('Overall recycling rates'!$I$60:$I$62)*('BTX Recycling HC'!D153)</f>
        <v>86796.741622992631</v>
      </c>
      <c r="F85" s="639">
        <f>F24-'Overall recycling rates'!$G$60/SUM('Overall recycling rates'!$G$60:$G$62)*('BTX Recycling HC'!E150)-'Overall recycling rates'!$E$60/SUM('Overall recycling rates'!$E$60:$E$62)*('BTX Recycling HC'!E151)-'Overall recycling rates'!$H$60/SUM('Overall recycling rates'!$H$60:$H$62)*('BTX Recycling HC'!E152)-'Overall recycling rates'!$I$60/SUM('Overall recycling rates'!$I$60:$I$62)*('BTX Recycling HC'!E153)</f>
        <v>86466.405011925337</v>
      </c>
      <c r="G85" s="639">
        <f>G24-'Overall recycling rates'!$G$60/SUM('Overall recycling rates'!$G$60:$G$62)*('BTX Recycling HC'!F150)-'Overall recycling rates'!$E$60/SUM('Overall recycling rates'!$E$60:$E$62)*('BTX Recycling HC'!F151)-'Overall recycling rates'!$H$60/SUM('Overall recycling rates'!$H$60:$H$62)*('BTX Recycling HC'!F152)-'Overall recycling rates'!$I$60/SUM('Overall recycling rates'!$I$60:$I$62)*('BTX Recycling HC'!F153)</f>
        <v>86127.878294872688</v>
      </c>
      <c r="H85" s="639">
        <f>H24-'Overall recycling rates'!$G$60/SUM('Overall recycling rates'!$G$60:$G$62)*('BTX Recycling HC'!G150)-'Overall recycling rates'!$E$60/SUM('Overall recycling rates'!$E$60:$E$62)*('BTX Recycling HC'!G151)-'Overall recycling rates'!$H$60/SUM('Overall recycling rates'!$H$60:$H$62)*('BTX Recycling HC'!G152)-'Overall recycling rates'!$I$60/SUM('Overall recycling rates'!$I$60:$I$62)*('BTX Recycling HC'!G153)</f>
        <v>85781.110580088178</v>
      </c>
      <c r="I85" s="639">
        <f>I24-'Overall recycling rates'!$G$60/SUM('Overall recycling rates'!$G$60:$G$62)*('BTX Recycling HC'!H150)-'Overall recycling rates'!$E$60/SUM('Overall recycling rates'!$E$60:$E$62)*('BTX Recycling HC'!H151)-'Overall recycling rates'!$H$60/SUM('Overall recycling rates'!$H$60:$H$62)*('BTX Recycling HC'!H152)-'Overall recycling rates'!$I$60/SUM('Overall recycling rates'!$I$60:$I$62)*('BTX Recycling HC'!H153)</f>
        <v>85426.06321395906</v>
      </c>
      <c r="J85" s="639">
        <f>J24-'Overall recycling rates'!$G$60/SUM('Overall recycling rates'!$G$60:$G$62)*('BTX Recycling HC'!I150)-'Overall recycling rates'!$E$60/SUM('Overall recycling rates'!$E$60:$E$62)*('BTX Recycling HC'!I151)-'Overall recycling rates'!$H$60/SUM('Overall recycling rates'!$H$60:$H$62)*('BTX Recycling HC'!I152)-'Overall recycling rates'!$I$60/SUM('Overall recycling rates'!$I$60:$I$62)*('BTX Recycling HC'!I153)</f>
        <v>85062.709781006401</v>
      </c>
      <c r="K85" s="639">
        <f>K24-'Overall recycling rates'!$G$60/SUM('Overall recycling rates'!$G$60:$G$62)*('BTX Recycling HC'!J150)-'Overall recycling rates'!$E$60/SUM('Overall recycling rates'!$E$60:$E$62)*('BTX Recycling HC'!J151)-'Overall recycling rates'!$H$60/SUM('Overall recycling rates'!$H$60:$H$62)*('BTX Recycling HC'!J152)-'Overall recycling rates'!$I$60/SUM('Overall recycling rates'!$I$60:$I$62)*('BTX Recycling HC'!J153)</f>
        <v>84691.036103885112</v>
      </c>
      <c r="L85" s="639">
        <f>L24-'Overall recycling rates'!$G$60/SUM('Overall recycling rates'!$G$60:$G$62)*('BTX Recycling HC'!K150)-'Overall recycling rates'!$E$60/SUM('Overall recycling rates'!$E$60:$E$62)*('BTX Recycling HC'!K151)-'Overall recycling rates'!$H$60/SUM('Overall recycling rates'!$H$60:$H$62)*('BTX Recycling HC'!K152)-'Overall recycling rates'!$I$60/SUM('Overall recycling rates'!$I$60:$I$62)*('BTX Recycling HC'!K153)</f>
        <v>84311.040243383904</v>
      </c>
      <c r="M85" s="639">
        <f>M24-'Overall recycling rates'!$G$60/SUM('Overall recycling rates'!$G$60:$G$62)*('BTX Recycling HC'!L150)-'Overall recycling rates'!$E$60/SUM('Overall recycling rates'!$E$60:$E$62)*('BTX Recycling HC'!L151)-'Overall recycling rates'!$H$60/SUM('Overall recycling rates'!$H$60:$H$62)*('BTX Recycling HC'!L152)-'Overall recycling rates'!$I$60/SUM('Overall recycling rates'!$I$60:$I$62)*('BTX Recycling HC'!L153)</f>
        <v>83922.73249842519</v>
      </c>
      <c r="N85" s="639">
        <f>N24-'Overall recycling rates'!$G$60/SUM('Overall recycling rates'!$G$60:$G$62)*('BTX Recycling HC'!M150)-'Overall recycling rates'!$E$60/SUM('Overall recycling rates'!$E$60:$E$62)*('BTX Recycling HC'!M151)-'Overall recycling rates'!$H$60/SUM('Overall recycling rates'!$H$60:$H$62)*('BTX Recycling HC'!M152)-'Overall recycling rates'!$I$60/SUM('Overall recycling rates'!$I$60:$I$62)*('BTX Recycling HC'!M153)</f>
        <v>83526.135406065237</v>
      </c>
      <c r="O85" s="639">
        <f>O24-'Overall recycling rates'!$G$60/SUM('Overall recycling rates'!$G$60:$G$62)*('BTX Recycling HC'!N150)-'Overall recycling rates'!$E$60/SUM('Overall recycling rates'!$E$60:$E$62)*('BTX Recycling HC'!N151)-'Overall recycling rates'!$H$60/SUM('Overall recycling rates'!$H$60:$H$62)*('BTX Recycling HC'!N152)-'Overall recycling rates'!$I$60/SUM('Overall recycling rates'!$I$60:$I$62)*('BTX Recycling HC'!N153)</f>
        <v>82353.584671000281</v>
      </c>
      <c r="P85" s="639">
        <f>P24-'Overall recycling rates'!$G$60/SUM('Overall recycling rates'!$G$60:$G$62)*('BTX Recycling HC'!O150)-'Overall recycling rates'!$E$60/SUM('Overall recycling rates'!$E$60:$E$62)*('BTX Recycling HC'!O151)-'Overall recycling rates'!$H$60/SUM('Overall recycling rates'!$H$60:$H$62)*('BTX Recycling HC'!O152)-'Overall recycling rates'!$I$60/SUM('Overall recycling rates'!$I$60:$I$62)*('BTX Recycling HC'!O153)</f>
        <v>81153.55038029718</v>
      </c>
      <c r="Q85" s="639">
        <f>Q24-'Overall recycling rates'!$G$60/SUM('Overall recycling rates'!$G$60:$G$62)*('BTX Recycling HC'!P150)-'Overall recycling rates'!$E$60/SUM('Overall recycling rates'!$E$60:$E$62)*('BTX Recycling HC'!P151)-'Overall recycling rates'!$H$60/SUM('Overall recycling rates'!$H$60:$H$62)*('BTX Recycling HC'!P152)-'Overall recycling rates'!$I$60/SUM('Overall recycling rates'!$I$60:$I$62)*('BTX Recycling HC'!P153)</f>
        <v>79929.623989991771</v>
      </c>
      <c r="R85" s="639">
        <f>R24-'Overall recycling rates'!$G$60/SUM('Overall recycling rates'!$G$60:$G$62)*('BTX Recycling HC'!Q150)-'Overall recycling rates'!$E$60/SUM('Overall recycling rates'!$E$60:$E$62)*('BTX Recycling HC'!Q151)-'Overall recycling rates'!$H$60/SUM('Overall recycling rates'!$H$60:$H$62)*('BTX Recycling HC'!Q152)-'Overall recycling rates'!$I$60/SUM('Overall recycling rates'!$I$60:$I$62)*('BTX Recycling HC'!Q153)</f>
        <v>78679.634162362912</v>
      </c>
      <c r="S85" s="639">
        <f>S24-'Overall recycling rates'!$G$60/SUM('Overall recycling rates'!$G$60:$G$62)*('BTX Recycling HC'!R150)-'Overall recycling rates'!$E$60/SUM('Overall recycling rates'!$E$60:$E$62)*('BTX Recycling HC'!R151)-'Overall recycling rates'!$H$60/SUM('Overall recycling rates'!$H$60:$H$62)*('BTX Recycling HC'!R152)-'Overall recycling rates'!$I$60/SUM('Overall recycling rates'!$I$60:$I$62)*('BTX Recycling HC'!R153)</f>
        <v>77403.855947986172</v>
      </c>
      <c r="T85" s="639">
        <f>T24-'Overall recycling rates'!$G$60/SUM('Overall recycling rates'!$G$60:$G$62)*('BTX Recycling HC'!S150)-'Overall recycling rates'!$E$60/SUM('Overall recycling rates'!$E$60:$E$62)*('BTX Recycling HC'!S151)-'Overall recycling rates'!$H$60/SUM('Overall recycling rates'!$H$60:$H$62)*('BTX Recycling HC'!S152)-'Overall recycling rates'!$I$60/SUM('Overall recycling rates'!$I$60:$I$62)*('BTX Recycling HC'!S153)</f>
        <v>76102.589751836233</v>
      </c>
      <c r="U85" s="639">
        <f>U24-'Overall recycling rates'!$G$60/SUM('Overall recycling rates'!$G$60:$G$62)*('BTX Recycling HC'!T150)-'Overall recycling rates'!$E$60/SUM('Overall recycling rates'!$E$60:$E$62)*('BTX Recycling HC'!T151)-'Overall recycling rates'!$H$60/SUM('Overall recycling rates'!$H$60:$H$62)*('BTX Recycling HC'!T152)-'Overall recycling rates'!$I$60/SUM('Overall recycling rates'!$I$60:$I$62)*('BTX Recycling HC'!T153)</f>
        <v>74776.160854376925</v>
      </c>
      <c r="V85" s="639">
        <f>V24-'Overall recycling rates'!$G$60/SUM('Overall recycling rates'!$G$60:$G$62)*('BTX Recycling HC'!U150)-'Overall recycling rates'!$E$60/SUM('Overall recycling rates'!$E$60:$E$62)*('BTX Recycling HC'!U151)-'Overall recycling rates'!$H$60/SUM('Overall recycling rates'!$H$60:$H$62)*('BTX Recycling HC'!U152)-'Overall recycling rates'!$I$60/SUM('Overall recycling rates'!$I$60:$I$62)*('BTX Recycling HC'!U153)</f>
        <v>73424.918924294107</v>
      </c>
      <c r="W85" s="639">
        <f>W24-'Overall recycling rates'!$G$60/SUM('Overall recycling rates'!$G$60:$G$62)*('BTX Recycling HC'!V150)-'Overall recycling rates'!$E$60/SUM('Overall recycling rates'!$E$60:$E$62)*('BTX Recycling HC'!V151)-'Overall recycling rates'!$H$60/SUM('Overall recycling rates'!$H$60:$H$62)*('BTX Recycling HC'!V152)-'Overall recycling rates'!$I$60/SUM('Overall recycling rates'!$I$60:$I$62)*('BTX Recycling HC'!V153)</f>
        <v>72049.237522870972</v>
      </c>
      <c r="X85" s="639">
        <f>X24-'Overall recycling rates'!$G$60/SUM('Overall recycling rates'!$G$60:$G$62)*('BTX Recycling HC'!W150)-'Overall recycling rates'!$E$60/SUM('Overall recycling rates'!$E$60:$E$62)*('BTX Recycling HC'!W151)-'Overall recycling rates'!$H$60/SUM('Overall recycling rates'!$H$60:$H$62)*('BTX Recycling HC'!W152)-'Overall recycling rates'!$I$60/SUM('Overall recycling rates'!$I$60:$I$62)*('BTX Recycling HC'!W153)</f>
        <v>70649.513600006394</v>
      </c>
      <c r="Y85" s="639">
        <f>Y24-'Overall recycling rates'!$G$60/SUM('Overall recycling rates'!$G$60:$G$62)*('BTX Recycling HC'!X150)-'Overall recycling rates'!$E$60/SUM('Overall recycling rates'!$E$60:$E$62)*('BTX Recycling HC'!X151)-'Overall recycling rates'!$H$60/SUM('Overall recycling rates'!$H$60:$H$62)*('BTX Recycling HC'!X152)-'Overall recycling rates'!$I$60/SUM('Overall recycling rates'!$I$60:$I$62)*('BTX Recycling HC'!X153)</f>
        <v>67474.235197823116</v>
      </c>
      <c r="Z85" s="639">
        <f>Z24-'Overall recycling rates'!$G$60/SUM('Overall recycling rates'!$G$60:$G$62)*('BTX Recycling HC'!Y150)-'Overall recycling rates'!$E$60/SUM('Overall recycling rates'!$E$60:$E$62)*('BTX Recycling HC'!Y151)-'Overall recycling rates'!$H$60/SUM('Overall recycling rates'!$H$60:$H$62)*('BTX Recycling HC'!Y152)-'Overall recycling rates'!$I$60/SUM('Overall recycling rates'!$I$60:$I$62)*('BTX Recycling HC'!Y153)</f>
        <v>64265.546418142665</v>
      </c>
      <c r="AA85" s="639">
        <f>AA24-'Overall recycling rates'!$G$60/SUM('Overall recycling rates'!$G$60:$G$62)*('BTX Recycling HC'!Z150)-'Overall recycling rates'!$E$60/SUM('Overall recycling rates'!$E$60:$E$62)*('BTX Recycling HC'!Z151)-'Overall recycling rates'!$H$60/SUM('Overall recycling rates'!$H$60:$H$62)*('BTX Recycling HC'!Z152)-'Overall recycling rates'!$I$60/SUM('Overall recycling rates'!$I$60:$I$62)*('BTX Recycling HC'!Z153)</f>
        <v>61054.836721406558</v>
      </c>
      <c r="AB85" s="639">
        <f>AB24-'Overall recycling rates'!$G$60/SUM('Overall recycling rates'!$G$60:$G$62)*('BTX Recycling HC'!AA150)-'Overall recycling rates'!$E$60/SUM('Overall recycling rates'!$E$60:$E$62)*('BTX Recycling HC'!AA151)-'Overall recycling rates'!$H$60/SUM('Overall recycling rates'!$H$60:$H$62)*('BTX Recycling HC'!AA152)-'Overall recycling rates'!$I$60/SUM('Overall recycling rates'!$I$60:$I$62)*('BTX Recycling HC'!AA153)</f>
        <v>57819.859917312919</v>
      </c>
      <c r="AC85" s="639">
        <f>AC24-'Overall recycling rates'!$G$60/SUM('Overall recycling rates'!$G$60:$G$62)*('BTX Recycling HC'!AB150)-'Overall recycling rates'!$E$60/SUM('Overall recycling rates'!$E$60:$E$62)*('BTX Recycling HC'!AB151)-'Overall recycling rates'!$H$60/SUM('Overall recycling rates'!$H$60:$H$62)*('BTX Recycling HC'!AB152)-'Overall recycling rates'!$I$60/SUM('Overall recycling rates'!$I$60:$I$62)*('BTX Recycling HC'!AB153)</f>
        <v>54562.041729408294</v>
      </c>
      <c r="AD85" s="639">
        <f>AD24-'Overall recycling rates'!$G$60/SUM('Overall recycling rates'!$G$60:$G$62)*('BTX Recycling HC'!AC150)-'Overall recycling rates'!$E$60/SUM('Overall recycling rates'!$E$60:$E$62)*('BTX Recycling HC'!AC151)-'Overall recycling rates'!$H$60/SUM('Overall recycling rates'!$H$60:$H$62)*('BTX Recycling HC'!AC152)-'Overall recycling rates'!$I$60/SUM('Overall recycling rates'!$I$60:$I$62)*('BTX Recycling HC'!AC153)</f>
        <v>51282.837353479168</v>
      </c>
      <c r="AE85" s="639">
        <f>AE24-'Overall recycling rates'!$G$60/SUM('Overall recycling rates'!$G$60:$G$62)*('BTX Recycling HC'!AD150)-'Overall recycling rates'!$E$60/SUM('Overall recycling rates'!$E$60:$E$62)*('BTX Recycling HC'!AD151)-'Overall recycling rates'!$H$60/SUM('Overall recycling rates'!$H$60:$H$62)*('BTX Recycling HC'!AD152)-'Overall recycling rates'!$I$60/SUM('Overall recycling rates'!$I$60:$I$62)*('BTX Recycling HC'!AD153)</f>
        <v>47983.727823277426</v>
      </c>
      <c r="AF85" s="639">
        <f>AF24-'Overall recycling rates'!$G$60/SUM('Overall recycling rates'!$G$60:$G$62)*('BTX Recycling HC'!AE150)-'Overall recycling rates'!$E$60/SUM('Overall recycling rates'!$E$60:$E$62)*('BTX Recycling HC'!AE151)-'Overall recycling rates'!$H$60/SUM('Overall recycling rates'!$H$60:$H$62)*('BTX Recycling HC'!AE152)-'Overall recycling rates'!$I$60/SUM('Overall recycling rates'!$I$60:$I$62)*('BTX Recycling HC'!AE153)</f>
        <v>44666.216271370868</v>
      </c>
      <c r="AG85" s="639">
        <f>AG24-'Overall recycling rates'!$G$60/SUM('Overall recycling rates'!$G$60:$G$62)*('BTX Recycling HC'!AF150)-'Overall recycling rates'!$E$60/SUM('Overall recycling rates'!$E$60:$E$62)*('BTX Recycling HC'!AF151)-'Overall recycling rates'!$H$60/SUM('Overall recycling rates'!$H$60:$H$62)*('BTX Recycling HC'!AF152)-'Overall recycling rates'!$I$60/SUM('Overall recycling rates'!$I$60:$I$62)*('BTX Recycling HC'!AF153)</f>
        <v>41331.82408511862</v>
      </c>
      <c r="AH85" s="639">
        <f>AH24-'Overall recycling rates'!$G$60/SUM('Overall recycling rates'!$G$60:$G$62)*('BTX Recycling HC'!AG150)-'Overall recycling rates'!$E$60/SUM('Overall recycling rates'!$E$60:$E$62)*('BTX Recycling HC'!AG151)-'Overall recycling rates'!$H$60/SUM('Overall recycling rates'!$H$60:$H$62)*('BTX Recycling HC'!AG152)-'Overall recycling rates'!$I$60/SUM('Overall recycling rates'!$I$60:$I$62)*('BTX Recycling HC'!AG153)</f>
        <v>37982.086957771309</v>
      </c>
      <c r="AI85" s="639"/>
      <c r="AJ85" s="639">
        <f>AJ24-'Overall recycling rates'!$G$60/SUM('Overall recycling rates'!$G$60:$G$62)*('BTX Recycling HC'!C150)-'Overall recycling rates'!$E$60/SUM('Overall recycling rates'!$E$60:$E$62)*('BTX Recycling HC'!C151)-'Overall recycling rates'!$H$60/SUM('Overall recycling rates'!$H$60:$H$62)*('BTX Recycling HC'!C152)-'Overall recycling rates'!$I$60/SUM('Overall recycling rates'!$I$60:$I$62)*('BTX Recycling HC'!C153)</f>
        <v>87118.951257954774</v>
      </c>
      <c r="AK85" s="639">
        <f>AK24-'Overall recycling rates'!$G$60/SUM('Overall recycling rates'!$G$60:$G$62)*('BTX Recycling HC'!D150)-'Overall recycling rates'!$E$60/SUM('Overall recycling rates'!$E$60:$E$62)*('BTX Recycling HC'!D151)-'Overall recycling rates'!$H$60/SUM('Overall recycling rates'!$H$60:$H$62)*('BTX Recycling HC'!D152)-'Overall recycling rates'!$I$60/SUM('Overall recycling rates'!$I$60:$I$62)*('BTX Recycling HC'!D153)</f>
        <v>87032.433233725882</v>
      </c>
      <c r="AL85" s="639">
        <f>AL24-'Overall recycling rates'!$G$60/SUM('Overall recycling rates'!$G$60:$G$62)*('BTX Recycling HC'!E150)-'Overall recycling rates'!$E$60/SUM('Overall recycling rates'!$E$60:$E$62)*('BTX Recycling HC'!E151)-'Overall recycling rates'!$H$60/SUM('Overall recycling rates'!$H$60:$H$62)*('BTX Recycling HC'!E152)-'Overall recycling rates'!$I$60/SUM('Overall recycling rates'!$I$60:$I$62)*('BTX Recycling HC'!E153)</f>
        <v>86938.729118065472</v>
      </c>
      <c r="AM85" s="639">
        <f>AM24-'Overall recycling rates'!$G$60/SUM('Overall recycling rates'!$G$60:$G$62)*('BTX Recycling HC'!F150)-'Overall recycling rates'!$E$60/SUM('Overall recycling rates'!$E$60:$E$62)*('BTX Recycling HC'!F151)-'Overall recycling rates'!$H$60/SUM('Overall recycling rates'!$H$60:$H$62)*('BTX Recycling HC'!F152)-'Overall recycling rates'!$I$60/SUM('Overall recycling rates'!$I$60:$I$62)*('BTX Recycling HC'!F153)</f>
        <v>86837.775781093267</v>
      </c>
      <c r="AN85" s="639">
        <f>AN24-'Overall recycling rates'!$G$60/SUM('Overall recycling rates'!$G$60:$G$62)*('BTX Recycling HC'!G150)-'Overall recycling rates'!$E$60/SUM('Overall recycling rates'!$E$60:$E$62)*('BTX Recycling HC'!G151)-'Overall recycling rates'!$H$60/SUM('Overall recycling rates'!$H$60:$H$62)*('BTX Recycling HC'!G152)-'Overall recycling rates'!$I$60/SUM('Overall recycling rates'!$I$60:$I$62)*('BTX Recycling HC'!G153)</f>
        <v>86729.522331062792</v>
      </c>
      <c r="AO85" s="639">
        <f>AO24-'Overall recycling rates'!$G$60/SUM('Overall recycling rates'!$G$60:$G$62)*('BTX Recycling HC'!H150)-'Overall recycling rates'!$E$60/SUM('Overall recycling rates'!$E$60:$E$62)*('BTX Recycling HC'!H151)-'Overall recycling rates'!$H$60/SUM('Overall recycling rates'!$H$60:$H$62)*('BTX Recycling HC'!H152)-'Overall recycling rates'!$I$60/SUM('Overall recycling rates'!$I$60:$I$62)*('BTX Recycling HC'!H153)</f>
        <v>86613.930114361254</v>
      </c>
      <c r="AP85" s="639">
        <f>AP24-'Overall recycling rates'!$G$60/SUM('Overall recycling rates'!$G$60:$G$62)*('BTX Recycling HC'!I150)-'Overall recycling rates'!$E$60/SUM('Overall recycling rates'!$E$60:$E$62)*('BTX Recycling HC'!I151)-'Overall recycling rates'!$H$60/SUM('Overall recycling rates'!$H$60:$H$62)*('BTX Recycling HC'!I152)-'Overall recycling rates'!$I$60/SUM('Overall recycling rates'!$I$60:$I$62)*('BTX Recycling HC'!I153)</f>
        <v>86490.972715509808</v>
      </c>
      <c r="AQ85" s="639">
        <f>AQ24-'Overall recycling rates'!$G$60/SUM('Overall recycling rates'!$G$60:$G$62)*('BTX Recycling HC'!J150)-'Overall recycling rates'!$E$60/SUM('Overall recycling rates'!$E$60:$E$62)*('BTX Recycling HC'!J151)-'Overall recycling rates'!$H$60/SUM('Overall recycling rates'!$H$60:$H$62)*('BTX Recycling HC'!J152)-'Overall recycling rates'!$I$60/SUM('Overall recycling rates'!$I$60:$I$62)*('BTX Recycling HC'!J153)</f>
        <v>86360.635957163322</v>
      </c>
      <c r="AR85" s="639">
        <f>AR24-'Overall recycling rates'!$G$60/SUM('Overall recycling rates'!$G$60:$G$62)*('BTX Recycling HC'!K150)-'Overall recycling rates'!$E$60/SUM('Overall recycling rates'!$E$60:$E$62)*('BTX Recycling HC'!K151)-'Overall recycling rates'!$H$60/SUM('Overall recycling rates'!$H$60:$H$62)*('BTX Recycling HC'!K152)-'Overall recycling rates'!$I$60/SUM('Overall recycling rates'!$I$60:$I$62)*('BTX Recycling HC'!K153)</f>
        <v>86222.917900110479</v>
      </c>
      <c r="AS85" s="639">
        <f>AS24-'Overall recycling rates'!$G$60/SUM('Overall recycling rates'!$G$60:$G$62)*('BTX Recycling HC'!L150)-'Overall recycling rates'!$E$60/SUM('Overall recycling rates'!$E$60:$E$62)*('BTX Recycling HC'!L151)-'Overall recycling rates'!$H$60/SUM('Overall recycling rates'!$H$60:$H$62)*('BTX Recycling HC'!L152)-'Overall recycling rates'!$I$60/SUM('Overall recycling rates'!$I$60:$I$62)*('BTX Recycling HC'!L153)</f>
        <v>86077.828843273717</v>
      </c>
      <c r="AT85" s="639">
        <f>AT24-'Overall recycling rates'!$G$60/SUM('Overall recycling rates'!$G$60:$G$62)*('BTX Recycling HC'!M150)-'Overall recycling rates'!$E$60/SUM('Overall recycling rates'!$E$60:$E$62)*('BTX Recycling HC'!M151)-'Overall recycling rates'!$H$60/SUM('Overall recycling rates'!$H$60:$H$62)*('BTX Recycling HC'!M152)-'Overall recycling rates'!$I$60/SUM('Overall recycling rates'!$I$60:$I$62)*('BTX Recycling HC'!M153)</f>
        <v>85925.391323709322</v>
      </c>
      <c r="AU85" s="639">
        <f>AU24-'Overall recycling rates'!$G$60/SUM('Overall recycling rates'!$G$60:$G$62)*('BTX Recycling HC'!N150)-'Overall recycling rates'!$E$60/SUM('Overall recycling rates'!$E$60:$E$62)*('BTX Recycling HC'!N151)-'Overall recycling rates'!$H$60/SUM('Overall recycling rates'!$H$60:$H$62)*('BTX Recycling HC'!N152)-'Overall recycling rates'!$I$60/SUM('Overall recycling rates'!$I$60:$I$62)*('BTX Recycling HC'!N153)</f>
        <v>85487.906739883358</v>
      </c>
      <c r="AV85" s="639">
        <f>AV24-'Overall recycling rates'!$G$60/SUM('Overall recycling rates'!$G$60:$G$62)*('BTX Recycling HC'!O150)-'Overall recycling rates'!$E$60/SUM('Overall recycling rates'!$E$60:$E$62)*('BTX Recycling HC'!O151)-'Overall recycling rates'!$H$60/SUM('Overall recycling rates'!$H$60:$H$62)*('BTX Recycling HC'!O152)-'Overall recycling rates'!$I$60/SUM('Overall recycling rates'!$I$60:$I$62)*('BTX Recycling HC'!O153)</f>
        <v>85029.995235471128</v>
      </c>
      <c r="AW85" s="639">
        <f>AW24-'Overall recycling rates'!$G$60/SUM('Overall recycling rates'!$G$60:$G$62)*('BTX Recycling HC'!P150)-'Overall recycling rates'!$E$60/SUM('Overall recycling rates'!$E$60:$E$62)*('BTX Recycling HC'!P151)-'Overall recycling rates'!$H$60/SUM('Overall recycling rates'!$H$60:$H$62)*('BTX Recycling HC'!P152)-'Overall recycling rates'!$I$60/SUM('Overall recycling rates'!$I$60:$I$62)*('BTX Recycling HC'!P153)</f>
        <v>84555.248266508512</v>
      </c>
      <c r="AX85" s="639">
        <f>AX24-'Overall recycling rates'!$G$60/SUM('Overall recycling rates'!$G$60:$G$62)*('BTX Recycling HC'!Q150)-'Overall recycling rates'!$E$60/SUM('Overall recycling rates'!$E$60:$E$62)*('BTX Recycling HC'!Q151)-'Overall recycling rates'!$H$60/SUM('Overall recycling rates'!$H$60:$H$62)*('BTX Recycling HC'!Q152)-'Overall recycling rates'!$I$60/SUM('Overall recycling rates'!$I$60:$I$62)*('BTX Recycling HC'!Q153)</f>
        <v>84061.494495274324</v>
      </c>
      <c r="AY85" s="639">
        <f>AY24-'Overall recycling rates'!$G$60/SUM('Overall recycling rates'!$G$60:$G$62)*('BTX Recycling HC'!R150)-'Overall recycling rates'!$E$60/SUM('Overall recycling rates'!$E$60:$E$62)*('BTX Recycling HC'!R151)-'Overall recycling rates'!$H$60/SUM('Overall recycling rates'!$H$60:$H$62)*('BTX Recycling HC'!R152)-'Overall recycling rates'!$I$60/SUM('Overall recycling rates'!$I$60:$I$62)*('BTX Recycling HC'!R153)</f>
        <v>83549.008972344163</v>
      </c>
      <c r="AZ85" s="639">
        <f>AZ24-'Overall recycling rates'!$G$60/SUM('Overall recycling rates'!$G$60:$G$62)*('BTX Recycling HC'!S150)-'Overall recycling rates'!$E$60/SUM('Overall recycling rates'!$E$60:$E$62)*('BTX Recycling HC'!S151)-'Overall recycling rates'!$H$60/SUM('Overall recycling rates'!$H$60:$H$62)*('BTX Recycling HC'!S152)-'Overall recycling rates'!$I$60/SUM('Overall recycling rates'!$I$60:$I$62)*('BTX Recycling HC'!S153)</f>
        <v>83018.092102692681</v>
      </c>
      <c r="BA85" s="639">
        <f>BA24-'Overall recycling rates'!$G$60/SUM('Overall recycling rates'!$G$60:$G$62)*('BTX Recycling HC'!T150)-'Overall recycling rates'!$E$60/SUM('Overall recycling rates'!$E$60:$E$62)*('BTX Recycling HC'!T151)-'Overall recycling rates'!$H$60/SUM('Overall recycling rates'!$H$60:$H$62)*('BTX Recycling HC'!T152)-'Overall recycling rates'!$I$60/SUM('Overall recycling rates'!$I$60:$I$62)*('BTX Recycling HC'!T153)</f>
        <v>82469.069166783738</v>
      </c>
      <c r="BB85" s="639">
        <f>BB24-'Overall recycling rates'!$G$60/SUM('Overall recycling rates'!$G$60:$G$62)*('BTX Recycling HC'!U150)-'Overall recycling rates'!$E$60/SUM('Overall recycling rates'!$E$60:$E$62)*('BTX Recycling HC'!U151)-'Overall recycling rates'!$H$60/SUM('Overall recycling rates'!$H$60:$H$62)*('BTX Recycling HC'!U152)-'Overall recycling rates'!$I$60/SUM('Overall recycling rates'!$I$60:$I$62)*('BTX Recycling HC'!U153)</f>
        <v>81902.289833303177</v>
      </c>
      <c r="BC85" s="639">
        <f>BC24-'Overall recycling rates'!$G$60/SUM('Overall recycling rates'!$G$60:$G$62)*('BTX Recycling HC'!V150)-'Overall recycling rates'!$E$60/SUM('Overall recycling rates'!$E$60:$E$62)*('BTX Recycling HC'!V151)-'Overall recycling rates'!$H$60/SUM('Overall recycling rates'!$H$60:$H$62)*('BTX Recycling HC'!V152)-'Overall recycling rates'!$I$60/SUM('Overall recycling rates'!$I$60:$I$62)*('BTX Recycling HC'!V153)</f>
        <v>81318.127663534193</v>
      </c>
      <c r="BD85" s="639">
        <f>BD24-'Overall recycling rates'!$G$60/SUM('Overall recycling rates'!$G$60:$G$62)*('BTX Recycling HC'!W150)-'Overall recycling rates'!$E$60/SUM('Overall recycling rates'!$E$60:$E$62)*('BTX Recycling HC'!W151)-'Overall recycling rates'!$H$60/SUM('Overall recycling rates'!$H$60:$H$62)*('BTX Recycling HC'!W152)-'Overall recycling rates'!$I$60/SUM('Overall recycling rates'!$I$60:$I$62)*('BTX Recycling HC'!W153)</f>
        <v>80716.979607375659</v>
      </c>
      <c r="BE85" s="639">
        <f>BE24-'Overall recycling rates'!$G$60/SUM('Overall recycling rates'!$G$60:$G$62)*('BTX Recycling HC'!X150)-'Overall recycling rates'!$E$60/SUM('Overall recycling rates'!$E$60:$E$62)*('BTX Recycling HC'!X151)-'Overall recycling rates'!$H$60/SUM('Overall recycling rates'!$H$60:$H$62)*('BTX Recycling HC'!X152)-'Overall recycling rates'!$I$60/SUM('Overall recycling rates'!$I$60:$I$62)*('BTX Recycling HC'!X153)</f>
        <v>79084.281627536489</v>
      </c>
      <c r="BF85" s="639">
        <f>BF24-'Overall recycling rates'!$G$60/SUM('Overall recycling rates'!$G$60:$G$62)*('BTX Recycling HC'!Y150)-'Overall recycling rates'!$E$60/SUM('Overall recycling rates'!$E$60:$E$62)*('BTX Recycling HC'!Y151)-'Overall recycling rates'!$H$60/SUM('Overall recycling rates'!$H$60:$H$62)*('BTX Recycling HC'!Y152)-'Overall recycling rates'!$I$60/SUM('Overall recycling rates'!$I$60:$I$62)*('BTX Recycling HC'!Y153)</f>
        <v>77426.641232262395</v>
      </c>
      <c r="BG85" s="639">
        <f>BG24-'Overall recycling rates'!$G$60/SUM('Overall recycling rates'!$G$60:$G$62)*('BTX Recycling HC'!Z150)-'Overall recycling rates'!$E$60/SUM('Overall recycling rates'!$E$60:$E$62)*('BTX Recycling HC'!Z151)-'Overall recycling rates'!$H$60/SUM('Overall recycling rates'!$H$60:$H$62)*('BTX Recycling HC'!Z152)-'Overall recycling rates'!$I$60/SUM('Overall recycling rates'!$I$60:$I$62)*('BTX Recycling HC'!Z153)</f>
        <v>75775.447881994944</v>
      </c>
      <c r="BH85" s="639">
        <f>BH24-'Overall recycling rates'!$G$60/SUM('Overall recycling rates'!$G$60:$G$62)*('BTX Recycling HC'!AA150)-'Overall recycling rates'!$E$60/SUM('Overall recycling rates'!$E$60:$E$62)*('BTX Recycling HC'!AA151)-'Overall recycling rates'!$H$60/SUM('Overall recycling rates'!$H$60:$H$62)*('BTX Recycling HC'!AA152)-'Overall recycling rates'!$I$60/SUM('Overall recycling rates'!$I$60:$I$62)*('BTX Recycling HC'!AA153)</f>
        <v>74108.455386432208</v>
      </c>
      <c r="BI85" s="639">
        <f>BI24-'Overall recycling rates'!$G$60/SUM('Overall recycling rates'!$G$60:$G$62)*('BTX Recycling HC'!AB150)-'Overall recycling rates'!$E$60/SUM('Overall recycling rates'!$E$60:$E$62)*('BTX Recycling HC'!AB151)-'Overall recycling rates'!$H$60/SUM('Overall recycling rates'!$H$60:$H$62)*('BTX Recycling HC'!AB152)-'Overall recycling rates'!$I$60/SUM('Overall recycling rates'!$I$60:$I$62)*('BTX Recycling HC'!AB153)</f>
        <v>72427.089469120809</v>
      </c>
      <c r="BJ85" s="639">
        <f>BJ24-'Overall recycling rates'!$G$60/SUM('Overall recycling rates'!$G$60:$G$62)*('BTX Recycling HC'!AC150)-'Overall recycling rates'!$E$60/SUM('Overall recycling rates'!$E$60:$E$62)*('BTX Recycling HC'!AC151)-'Overall recycling rates'!$H$60/SUM('Overall recycling rates'!$H$60:$H$62)*('BTX Recycling HC'!AC152)-'Overall recycling rates'!$I$60/SUM('Overall recycling rates'!$I$60:$I$62)*('BTX Recycling HC'!AC153)</f>
        <v>70732.805325847134</v>
      </c>
      <c r="BK85" s="639">
        <f>BK24-'Overall recycling rates'!$G$60/SUM('Overall recycling rates'!$G$60:$G$62)*('BTX Recycling HC'!AD150)-'Overall recycling rates'!$E$60/SUM('Overall recycling rates'!$E$60:$E$62)*('BTX Recycling HC'!AD151)-'Overall recycling rates'!$H$60/SUM('Overall recycling rates'!$H$60:$H$62)*('BTX Recycling HC'!AD152)-'Overall recycling rates'!$I$60/SUM('Overall recycling rates'!$I$60:$I$62)*('BTX Recycling HC'!AD153)</f>
        <v>69027.083990363128</v>
      </c>
      <c r="BL85" s="639">
        <f>BL24-'Overall recycling rates'!$G$60/SUM('Overall recycling rates'!$G$60:$G$62)*('BTX Recycling HC'!AE150)-'Overall recycling rates'!$E$60/SUM('Overall recycling rates'!$E$60:$E$62)*('BTX Recycling HC'!AE151)-'Overall recycling rates'!$H$60/SUM('Overall recycling rates'!$H$60:$H$62)*('BTX Recycling HC'!AE152)-'Overall recycling rates'!$I$60/SUM('Overall recycling rates'!$I$60:$I$62)*('BTX Recycling HC'!AE153)</f>
        <v>67311.42859523659</v>
      </c>
      <c r="BM85" s="639">
        <f>BM24-'Overall recycling rates'!$G$60/SUM('Overall recycling rates'!$G$60:$G$62)*('BTX Recycling HC'!AF150)-'Overall recycling rates'!$E$60/SUM('Overall recycling rates'!$E$60:$E$62)*('BTX Recycling HC'!AF151)-'Overall recycling rates'!$H$60/SUM('Overall recycling rates'!$H$60:$H$62)*('BTX Recycling HC'!AF152)-'Overall recycling rates'!$I$60/SUM('Overall recycling rates'!$I$60:$I$62)*('BTX Recycling HC'!AF153)</f>
        <v>65587.360527826648</v>
      </c>
      <c r="BN85" s="639">
        <f>BN24-'Overall recycling rates'!$G$60/SUM('Overall recycling rates'!$G$60:$G$62)*('BTX Recycling HC'!AG150)-'Overall recycling rates'!$E$60/SUM('Overall recycling rates'!$E$60:$E$62)*('BTX Recycling HC'!AG151)-'Overall recycling rates'!$H$60/SUM('Overall recycling rates'!$H$60:$H$62)*('BTX Recycling HC'!AG152)-'Overall recycling rates'!$I$60/SUM('Overall recycling rates'!$I$60:$I$62)*('BTX Recycling HC'!AG153)</f>
        <v>63856.415481383869</v>
      </c>
    </row>
    <row r="86" spans="1:66" outlineLevel="1">
      <c r="A86" s="685"/>
      <c r="B86" s="1" t="s">
        <v>797</v>
      </c>
      <c r="C86" s="51" t="s">
        <v>166</v>
      </c>
      <c r="D86" s="635">
        <f>D25-'Overall recycling rates'!$G$61/SUM('Overall recycling rates'!$G$60:$G$62)*('BTX Recycling HC'!C150)-'Overall recycling rates'!$E$61/SUM('Overall recycling rates'!$E$60:$E$62)*('BTX Recycling HC'!C151)-'Overall recycling rates'!$H$61/SUM('Overall recycling rates'!$H$60:$H$62)*('BTX Recycling HC'!C152)-'Overall recycling rates'!$I$61/SUM('Overall recycling rates'!$I$60:$I$62)*('BTX Recycling HC'!C153)</f>
        <v>7866.5635989003513</v>
      </c>
      <c r="E86" s="635">
        <f>E25-'Overall recycling rates'!$G$61/SUM('Overall recycling rates'!$G$60:$G$62)*('BTX Recycling HC'!D150)-'Overall recycling rates'!$E$61/SUM('Overall recycling rates'!$E$60:$E$62)*('BTX Recycling HC'!D151)-'Overall recycling rates'!$H$61/SUM('Overall recycling rates'!$H$60:$H$62)*('BTX Recycling HC'!D152)-'Overall recycling rates'!$I$61/SUM('Overall recycling rates'!$I$60:$I$62)*('BTX Recycling HC'!D153)</f>
        <v>7834.6529264775945</v>
      </c>
      <c r="F86" s="635">
        <f>F25-'Overall recycling rates'!$G$61/SUM('Overall recycling rates'!$G$60:$G$62)*('BTX Recycling HC'!E150)-'Overall recycling rates'!$E$61/SUM('Overall recycling rates'!$E$60:$E$62)*('BTX Recycling HC'!E151)-'Overall recycling rates'!$H$61/SUM('Overall recycling rates'!$H$60:$H$62)*('BTX Recycling HC'!E152)-'Overall recycling rates'!$I$61/SUM('Overall recycling rates'!$I$60:$I$62)*('BTX Recycling HC'!E153)</f>
        <v>7800.7486771632575</v>
      </c>
      <c r="G86" s="635">
        <f>G25-'Overall recycling rates'!$G$61/SUM('Overall recycling rates'!$G$60:$G$62)*('BTX Recycling HC'!F150)-'Overall recycling rates'!$E$61/SUM('Overall recycling rates'!$E$60:$E$62)*('BTX Recycling HC'!F151)-'Overall recycling rates'!$H$61/SUM('Overall recycling rates'!$H$60:$H$62)*('BTX Recycling HC'!F152)-'Overall recycling rates'!$I$61/SUM('Overall recycling rates'!$I$60:$I$62)*('BTX Recycling HC'!F153)</f>
        <v>7764.5936670424717</v>
      </c>
      <c r="H86" s="635">
        <f>H25-'Overall recycling rates'!$G$61/SUM('Overall recycling rates'!$G$60:$G$62)*('BTX Recycling HC'!G150)-'Overall recycling rates'!$E$61/SUM('Overall recycling rates'!$E$60:$E$62)*('BTX Recycling HC'!G151)-'Overall recycling rates'!$H$61/SUM('Overall recycling rates'!$H$60:$H$62)*('BTX Recycling HC'!G152)-'Overall recycling rates'!$I$61/SUM('Overall recycling rates'!$I$60:$I$62)*('BTX Recycling HC'!G153)</f>
        <v>7725.9196035795749</v>
      </c>
      <c r="I86" s="635">
        <f>I25-'Overall recycling rates'!$G$61/SUM('Overall recycling rates'!$G$60:$G$62)*('BTX Recycling HC'!H150)-'Overall recycling rates'!$E$61/SUM('Overall recycling rates'!$E$60:$E$62)*('BTX Recycling HC'!H151)-'Overall recycling rates'!$H$61/SUM('Overall recycling rates'!$H$60:$H$62)*('BTX Recycling HC'!H152)-'Overall recycling rates'!$I$61/SUM('Overall recycling rates'!$I$60:$I$62)*('BTX Recycling HC'!H153)</f>
        <v>7684.4470856181251</v>
      </c>
      <c r="J86" s="635">
        <f>J25-'Overall recycling rates'!$G$61/SUM('Overall recycling rates'!$G$60:$G$62)*('BTX Recycling HC'!I150)-'Overall recycling rates'!$E$61/SUM('Overall recycling rates'!$E$60:$E$62)*('BTX Recycling HC'!I151)-'Overall recycling rates'!$H$61/SUM('Overall recycling rates'!$H$60:$H$62)*('BTX Recycling HC'!I152)-'Overall recycling rates'!$I$61/SUM('Overall recycling rates'!$I$60:$I$62)*('BTX Recycling HC'!I153)</f>
        <v>7639.8856033808979</v>
      </c>
      <c r="K86" s="635">
        <f>K25-'Overall recycling rates'!$G$61/SUM('Overall recycling rates'!$G$60:$G$62)*('BTX Recycling HC'!J150)-'Overall recycling rates'!$E$61/SUM('Overall recycling rates'!$E$60:$E$62)*('BTX Recycling HC'!J151)-'Overall recycling rates'!$H$61/SUM('Overall recycling rates'!$H$60:$H$62)*('BTX Recycling HC'!J152)-'Overall recycling rates'!$I$61/SUM('Overall recycling rates'!$I$60:$I$62)*('BTX Recycling HC'!J153)</f>
        <v>7591.9335384698907</v>
      </c>
      <c r="L86" s="635">
        <f>L25-'Overall recycling rates'!$G$61/SUM('Overall recycling rates'!$G$60:$G$62)*('BTX Recycling HC'!K150)-'Overall recycling rates'!$E$61/SUM('Overall recycling rates'!$E$60:$E$62)*('BTX Recycling HC'!K151)-'Overall recycling rates'!$H$61/SUM('Overall recycling rates'!$H$60:$H$62)*('BTX Recycling HC'!K152)-'Overall recycling rates'!$I$61/SUM('Overall recycling rates'!$I$60:$I$62)*('BTX Recycling HC'!K153)</f>
        <v>7540.27816386631</v>
      </c>
      <c r="M86" s="635">
        <f>M25-'Overall recycling rates'!$G$61/SUM('Overall recycling rates'!$G$60:$G$62)*('BTX Recycling HC'!L150)-'Overall recycling rates'!$E$61/SUM('Overall recycling rates'!$E$60:$E$62)*('BTX Recycling HC'!L151)-'Overall recycling rates'!$H$61/SUM('Overall recycling rates'!$H$60:$H$62)*('BTX Recycling HC'!L152)-'Overall recycling rates'!$I$61/SUM('Overall recycling rates'!$I$60:$I$62)*('BTX Recycling HC'!L153)</f>
        <v>7484.5956439305892</v>
      </c>
      <c r="N86" s="635">
        <f>N25-'Overall recycling rates'!$G$61/SUM('Overall recycling rates'!$G$60:$G$62)*('BTX Recycling HC'!M150)-'Overall recycling rates'!$E$61/SUM('Overall recycling rates'!$E$60:$E$62)*('BTX Recycling HC'!M151)-'Overall recycling rates'!$H$61/SUM('Overall recycling rates'!$H$60:$H$62)*('BTX Recycling HC'!M152)-'Overall recycling rates'!$I$61/SUM('Overall recycling rates'!$I$60:$I$62)*('BTX Recycling HC'!M153)</f>
        <v>7424.5510344023724</v>
      </c>
      <c r="O86" s="635">
        <f>O25-'Overall recycling rates'!$G$61/SUM('Overall recycling rates'!$G$60:$G$62)*('BTX Recycling HC'!N150)-'Overall recycling rates'!$E$61/SUM('Overall recycling rates'!$E$60:$E$62)*('BTX Recycling HC'!N151)-'Overall recycling rates'!$H$61/SUM('Overall recycling rates'!$H$60:$H$62)*('BTX Recycling HC'!N152)-'Overall recycling rates'!$I$61/SUM('Overall recycling rates'!$I$60:$I$62)*('BTX Recycling HC'!N153)</f>
        <v>7279.4675683231362</v>
      </c>
      <c r="P86" s="635">
        <f>P25-'Overall recycling rates'!$G$61/SUM('Overall recycling rates'!$G$60:$G$62)*('BTX Recycling HC'!O150)-'Overall recycling rates'!$E$61/SUM('Overall recycling rates'!$E$60:$E$62)*('BTX Recycling HC'!O151)-'Overall recycling rates'!$H$61/SUM('Overall recycling rates'!$H$60:$H$62)*('BTX Recycling HC'!O152)-'Overall recycling rates'!$I$61/SUM('Overall recycling rates'!$I$60:$I$62)*('BTX Recycling HC'!O153)</f>
        <v>7124.451015603926</v>
      </c>
      <c r="Q86" s="635">
        <f>Q25-'Overall recycling rates'!$G$61/SUM('Overall recycling rates'!$G$60:$G$62)*('BTX Recycling HC'!P150)-'Overall recycling rates'!$E$61/SUM('Overall recycling rates'!$E$60:$E$62)*('BTX Recycling HC'!P151)-'Overall recycling rates'!$H$61/SUM('Overall recycling rates'!$H$60:$H$62)*('BTX Recycling HC'!P152)-'Overall recycling rates'!$I$61/SUM('Overall recycling rates'!$I$60:$I$62)*('BTX Recycling HC'!P153)</f>
        <v>6959.977714625963</v>
      </c>
      <c r="R86" s="635">
        <f>R25-'Overall recycling rates'!$G$61/SUM('Overall recycling rates'!$G$60:$G$62)*('BTX Recycling HC'!Q150)-'Overall recycling rates'!$E$61/SUM('Overall recycling rates'!$E$60:$E$62)*('BTX Recycling HC'!Q151)-'Overall recycling rates'!$H$61/SUM('Overall recycling rates'!$H$60:$H$62)*('BTX Recycling HC'!Q152)-'Overall recycling rates'!$I$61/SUM('Overall recycling rates'!$I$60:$I$62)*('BTX Recycling HC'!Q153)</f>
        <v>6784.6358316069363</v>
      </c>
      <c r="S86" s="635">
        <f>S25-'Overall recycling rates'!$G$61/SUM('Overall recycling rates'!$G$60:$G$62)*('BTX Recycling HC'!R150)-'Overall recycling rates'!$E$61/SUM('Overall recycling rates'!$E$60:$E$62)*('BTX Recycling HC'!R151)-'Overall recycling rates'!$H$61/SUM('Overall recycling rates'!$H$60:$H$62)*('BTX Recycling HC'!R152)-'Overall recycling rates'!$I$61/SUM('Overall recycling rates'!$I$60:$I$62)*('BTX Recycling HC'!R153)</f>
        <v>6597.7631029838058</v>
      </c>
      <c r="T86" s="635">
        <f>T25-'Overall recycling rates'!$G$61/SUM('Overall recycling rates'!$G$60:$G$62)*('BTX Recycling HC'!S150)-'Overall recycling rates'!$E$61/SUM('Overall recycling rates'!$E$60:$E$62)*('BTX Recycling HC'!S151)-'Overall recycling rates'!$H$61/SUM('Overall recycling rates'!$H$60:$H$62)*('BTX Recycling HC'!S152)-'Overall recycling rates'!$I$61/SUM('Overall recycling rates'!$I$60:$I$62)*('BTX Recycling HC'!S153)</f>
        <v>6398.6863328055897</v>
      </c>
      <c r="U86" s="635">
        <f>U25-'Overall recycling rates'!$G$61/SUM('Overall recycling rates'!$G$60:$G$62)*('BTX Recycling HC'!T150)-'Overall recycling rates'!$E$61/SUM('Overall recycling rates'!$E$60:$E$62)*('BTX Recycling HC'!T151)-'Overall recycling rates'!$H$61/SUM('Overall recycling rates'!$H$60:$H$62)*('BTX Recycling HC'!T152)-'Overall recycling rates'!$I$61/SUM('Overall recycling rates'!$I$60:$I$62)*('BTX Recycling HC'!T153)</f>
        <v>6186.7219706164196</v>
      </c>
      <c r="V86" s="635">
        <f>V25-'Overall recycling rates'!$G$61/SUM('Overall recycling rates'!$G$60:$G$62)*('BTX Recycling HC'!U150)-'Overall recycling rates'!$E$61/SUM('Overall recycling rates'!$E$60:$E$62)*('BTX Recycling HC'!U151)-'Overall recycling rates'!$H$61/SUM('Overall recycling rates'!$H$60:$H$62)*('BTX Recycling HC'!U152)-'Overall recycling rates'!$I$61/SUM('Overall recycling rates'!$I$60:$I$62)*('BTX Recycling HC'!U153)</f>
        <v>5961.1766969246137</v>
      </c>
      <c r="W86" s="635">
        <f>W25-'Overall recycling rates'!$G$61/SUM('Overall recycling rates'!$G$60:$G$62)*('BTX Recycling HC'!V150)-'Overall recycling rates'!$E$61/SUM('Overall recycling rates'!$E$60:$E$62)*('BTX Recycling HC'!V151)-'Overall recycling rates'!$H$61/SUM('Overall recycling rates'!$H$60:$H$62)*('BTX Recycling HC'!V152)-'Overall recycling rates'!$I$61/SUM('Overall recycling rates'!$I$60:$I$62)*('BTX Recycling HC'!V153)</f>
        <v>5721.3480162577098</v>
      </c>
      <c r="X86" s="635">
        <f>X25-'Overall recycling rates'!$G$61/SUM('Overall recycling rates'!$G$60:$G$62)*('BTX Recycling HC'!W150)-'Overall recycling rates'!$E$61/SUM('Overall recycling rates'!$E$60:$E$62)*('BTX Recycling HC'!W151)-'Overall recycling rates'!$H$61/SUM('Overall recycling rates'!$H$60:$H$62)*('BTX Recycling HC'!W152)-'Overall recycling rates'!$I$61/SUM('Overall recycling rates'!$I$60:$I$62)*('BTX Recycling HC'!W153)</f>
        <v>5466.5248578035116</v>
      </c>
      <c r="Y86" s="635">
        <f>Y25-'Overall recycling rates'!$G$61/SUM('Overall recycling rates'!$G$60:$G$62)*('BTX Recycling HC'!X150)-'Overall recycling rates'!$E$61/SUM('Overall recycling rates'!$E$60:$E$62)*('BTX Recycling HC'!X151)-'Overall recycling rates'!$H$61/SUM('Overall recycling rates'!$H$60:$H$62)*('BTX Recycling HC'!X152)-'Overall recycling rates'!$I$61/SUM('Overall recycling rates'!$I$60:$I$62)*('BTX Recycling HC'!X153)</f>
        <v>4997.4130987352228</v>
      </c>
      <c r="Z86" s="635">
        <f>Z25-'Overall recycling rates'!$G$61/SUM('Overall recycling rates'!$G$60:$G$62)*('BTX Recycling HC'!Y150)-'Overall recycling rates'!$E$61/SUM('Overall recycling rates'!$E$60:$E$62)*('BTX Recycling HC'!Y151)-'Overall recycling rates'!$H$61/SUM('Overall recycling rates'!$H$60:$H$62)*('BTX Recycling HC'!Y152)-'Overall recycling rates'!$I$61/SUM('Overall recycling rates'!$I$60:$I$62)*('BTX Recycling HC'!Y153)</f>
        <v>4503.9768376811389</v>
      </c>
      <c r="AA86" s="635">
        <f>AA25-'Overall recycling rates'!$G$61/SUM('Overall recycling rates'!$G$60:$G$62)*('BTX Recycling HC'!Z150)-'Overall recycling rates'!$E$61/SUM('Overall recycling rates'!$E$60:$E$62)*('BTX Recycling HC'!Z151)-'Overall recycling rates'!$H$61/SUM('Overall recycling rates'!$H$60:$H$62)*('BTX Recycling HC'!Z152)-'Overall recycling rates'!$I$61/SUM('Overall recycling rates'!$I$60:$I$62)*('BTX Recycling HC'!Z153)</f>
        <v>4000.8991458774167</v>
      </c>
      <c r="AB86" s="635">
        <f>AB25-'Overall recycling rates'!$G$61/SUM('Overall recycling rates'!$G$60:$G$62)*('BTX Recycling HC'!AA150)-'Overall recycling rates'!$E$61/SUM('Overall recycling rates'!$E$60:$E$62)*('BTX Recycling HC'!AA151)-'Overall recycling rates'!$H$61/SUM('Overall recycling rates'!$H$60:$H$62)*('BTX Recycling HC'!AA152)-'Overall recycling rates'!$I$61/SUM('Overall recycling rates'!$I$60:$I$62)*('BTX Recycling HC'!AA153)</f>
        <v>3476.4437896537502</v>
      </c>
      <c r="AC86" s="635">
        <f>AC25-'Overall recycling rates'!$G$61/SUM('Overall recycling rates'!$G$60:$G$62)*('BTX Recycling HC'!AB150)-'Overall recycling rates'!$E$61/SUM('Overall recycling rates'!$E$60:$E$62)*('BTX Recycling HC'!AB151)-'Overall recycling rates'!$H$61/SUM('Overall recycling rates'!$H$60:$H$62)*('BTX Recycling HC'!AB152)-'Overall recycling rates'!$I$61/SUM('Overall recycling rates'!$I$60:$I$62)*('BTX Recycling HC'!AB153)</f>
        <v>2930.2728877502095</v>
      </c>
      <c r="AD86" s="635">
        <f>AD25-'Overall recycling rates'!$G$61/SUM('Overall recycling rates'!$G$60:$G$62)*('BTX Recycling HC'!AC150)-'Overall recycling rates'!$E$61/SUM('Overall recycling rates'!$E$60:$E$62)*('BTX Recycling HC'!AC151)-'Overall recycling rates'!$H$61/SUM('Overall recycling rates'!$H$60:$H$62)*('BTX Recycling HC'!AC152)-'Overall recycling rates'!$I$61/SUM('Overall recycling rates'!$I$60:$I$62)*('BTX Recycling HC'!AC153)</f>
        <v>2362.1209928902517</v>
      </c>
      <c r="AE86" s="635">
        <f>AE25-'Overall recycling rates'!$G$61/SUM('Overall recycling rates'!$G$60:$G$62)*('BTX Recycling HC'!AD150)-'Overall recycling rates'!$E$61/SUM('Overall recycling rates'!$E$60:$E$62)*('BTX Recycling HC'!AD151)-'Overall recycling rates'!$H$61/SUM('Overall recycling rates'!$H$60:$H$62)*('BTX Recycling HC'!AD152)-'Overall recycling rates'!$I$61/SUM('Overall recycling rates'!$I$60:$I$62)*('BTX Recycling HC'!AD153)</f>
        <v>1771.8001873045851</v>
      </c>
      <c r="AF86" s="635">
        <f>AF25-'Overall recycling rates'!$G$61/SUM('Overall recycling rates'!$G$60:$G$62)*('BTX Recycling HC'!AE150)-'Overall recycling rates'!$E$61/SUM('Overall recycling rates'!$E$60:$E$62)*('BTX Recycling HC'!AE151)-'Overall recycling rates'!$H$61/SUM('Overall recycling rates'!$H$60:$H$62)*('BTX Recycling HC'!AE152)-'Overall recycling rates'!$I$61/SUM('Overall recycling rates'!$I$60:$I$62)*('BTX Recycling HC'!AE153)</f>
        <v>1159.2052734507336</v>
      </c>
      <c r="AG86" s="635">
        <f>AG25-'Overall recycling rates'!$G$61/SUM('Overall recycling rates'!$G$60:$G$62)*('BTX Recycling HC'!AF150)-'Overall recycling rates'!$E$61/SUM('Overall recycling rates'!$E$60:$E$62)*('BTX Recycling HC'!AF151)-'Overall recycling rates'!$H$61/SUM('Overall recycling rates'!$H$60:$H$62)*('BTX Recycling HC'!AF152)-'Overall recycling rates'!$I$61/SUM('Overall recycling rates'!$I$60:$I$62)*('BTX Recycling HC'!AF153)</f>
        <v>524.31905992835777</v>
      </c>
      <c r="AH86" s="635">
        <f>AH25-'Overall recycling rates'!$G$61/SUM('Overall recycling rates'!$G$60:$G$62)*('BTX Recycling HC'!AG150)-'Overall recycling rates'!$E$61/SUM('Overall recycling rates'!$E$60:$E$62)*('BTX Recycling HC'!AG151)-'Overall recycling rates'!$H$61/SUM('Overall recycling rates'!$H$60:$H$62)*('BTX Recycling HC'!AG152)-'Overall recycling rates'!$I$61/SUM('Overall recycling rates'!$I$60:$I$62)*('BTX Recycling HC'!AG153)</f>
        <v>-132.7822574097213</v>
      </c>
      <c r="AI86" s="635"/>
      <c r="AJ86" s="635">
        <f>AJ25-'Overall recycling rates'!$G$61/SUM('Overall recycling rates'!$G$60:$G$62)*('BTX Recycling HC'!C150)-'Overall recycling rates'!$E$61/SUM('Overall recycling rates'!$E$60:$E$62)*('BTX Recycling HC'!C151)-'Overall recycling rates'!$H$61/SUM('Overall recycling rates'!$H$60:$H$62)*('BTX Recycling HC'!C152)-'Overall recycling rates'!$I$61/SUM('Overall recycling rates'!$I$60:$I$62)*('BTX Recycling HC'!C153)</f>
        <v>7866.5635989003513</v>
      </c>
      <c r="AK86" s="635">
        <f>AK25-'Overall recycling rates'!$G$61/SUM('Overall recycling rates'!$G$60:$G$62)*('BTX Recycling HC'!D150)-'Overall recycling rates'!$E$61/SUM('Overall recycling rates'!$E$60:$E$62)*('BTX Recycling HC'!D151)-'Overall recycling rates'!$H$61/SUM('Overall recycling rates'!$H$60:$H$62)*('BTX Recycling HC'!D152)-'Overall recycling rates'!$I$61/SUM('Overall recycling rates'!$I$60:$I$62)*('BTX Recycling HC'!D153)</f>
        <v>7855.9351276380585</v>
      </c>
      <c r="AL86" s="635">
        <f>AL25-'Overall recycling rates'!$G$61/SUM('Overall recycling rates'!$G$60:$G$62)*('BTX Recycling HC'!E150)-'Overall recycling rates'!$E$61/SUM('Overall recycling rates'!$E$60:$E$62)*('BTX Recycling HC'!E151)-'Overall recycling rates'!$H$61/SUM('Overall recycling rates'!$H$60:$H$62)*('BTX Recycling HC'!E152)-'Overall recycling rates'!$I$61/SUM('Overall recycling rates'!$I$60:$I$62)*('BTX Recycling HC'!E153)</f>
        <v>7843.398038371055</v>
      </c>
      <c r="AM86" s="635">
        <f>AM25-'Overall recycling rates'!$G$61/SUM('Overall recycling rates'!$G$60:$G$62)*('BTX Recycling HC'!F150)-'Overall recycling rates'!$E$61/SUM('Overall recycling rates'!$E$60:$E$62)*('BTX Recycling HC'!F151)-'Overall recycling rates'!$H$61/SUM('Overall recycling rates'!$H$60:$H$62)*('BTX Recycling HC'!F152)-'Overall recycling rates'!$I$61/SUM('Overall recycling rates'!$I$60:$I$62)*('BTX Recycling HC'!F153)</f>
        <v>7828.6951471844714</v>
      </c>
      <c r="AN86" s="635">
        <f>AN25-'Overall recycling rates'!$G$61/SUM('Overall recycling rates'!$G$60:$G$62)*('BTX Recycling HC'!G150)-'Overall recycling rates'!$E$61/SUM('Overall recycling rates'!$E$60:$E$62)*('BTX Recycling HC'!G151)-'Overall recycling rates'!$H$61/SUM('Overall recycling rates'!$H$60:$H$62)*('BTX Recycling HC'!G152)-'Overall recycling rates'!$I$61/SUM('Overall recycling rates'!$I$60:$I$62)*('BTX Recycling HC'!G153)</f>
        <v>7811.5581615426436</v>
      </c>
      <c r="AO86" s="635">
        <f>AO25-'Overall recycling rates'!$G$61/SUM('Overall recycling rates'!$G$60:$G$62)*('BTX Recycling HC'!H150)-'Overall recycling rates'!$E$61/SUM('Overall recycling rates'!$E$60:$E$62)*('BTX Recycling HC'!H151)-'Overall recycling rates'!$H$61/SUM('Overall recycling rates'!$H$60:$H$62)*('BTX Recycling HC'!H152)-'Overall recycling rates'!$I$61/SUM('Overall recycling rates'!$I$60:$I$62)*('BTX Recycling HC'!H153)</f>
        <v>7791.7076802891297</v>
      </c>
      <c r="AP86" s="635">
        <f>AP25-'Overall recycling rates'!$G$61/SUM('Overall recycling rates'!$G$60:$G$62)*('BTX Recycling HC'!I150)-'Overall recycling rates'!$E$61/SUM('Overall recycling rates'!$E$60:$E$62)*('BTX Recycling HC'!I151)-'Overall recycling rates'!$H$61/SUM('Overall recycling rates'!$H$60:$H$62)*('BTX Recycling HC'!I152)-'Overall recycling rates'!$I$61/SUM('Overall recycling rates'!$I$60:$I$62)*('BTX Recycling HC'!I153)</f>
        <v>7768.8531936467089</v>
      </c>
      <c r="AQ86" s="635">
        <f>AQ25-'Overall recycling rates'!$G$61/SUM('Overall recycling rates'!$G$60:$G$62)*('BTX Recycling HC'!J150)-'Overall recycling rates'!$E$61/SUM('Overall recycling rates'!$E$60:$E$62)*('BTX Recycling HC'!J151)-'Overall recycling rates'!$H$61/SUM('Overall recycling rates'!$H$60:$H$62)*('BTX Recycling HC'!J152)-'Overall recycling rates'!$I$61/SUM('Overall recycling rates'!$I$60:$I$62)*('BTX Recycling HC'!J153)</f>
        <v>7742.6930832173757</v>
      </c>
      <c r="AR86" s="635">
        <f>AR25-'Overall recycling rates'!$G$61/SUM('Overall recycling rates'!$G$60:$G$62)*('BTX Recycling HC'!K150)-'Overall recycling rates'!$E$61/SUM('Overall recycling rates'!$E$60:$E$62)*('BTX Recycling HC'!K151)-'Overall recycling rates'!$H$61/SUM('Overall recycling rates'!$H$60:$H$62)*('BTX Recycling HC'!K152)-'Overall recycling rates'!$I$61/SUM('Overall recycling rates'!$I$60:$I$62)*('BTX Recycling HC'!K153)</f>
        <v>7712.9146219823369</v>
      </c>
      <c r="AS86" s="635">
        <f>AS25-'Overall recycling rates'!$G$61/SUM('Overall recycling rates'!$G$60:$G$62)*('BTX Recycling HC'!L150)-'Overall recycling rates'!$E$61/SUM('Overall recycling rates'!$E$60:$E$62)*('BTX Recycling HC'!L151)-'Overall recycling rates'!$H$61/SUM('Overall recycling rates'!$H$60:$H$62)*('BTX Recycling HC'!L152)-'Overall recycling rates'!$I$61/SUM('Overall recycling rates'!$I$60:$I$62)*('BTX Recycling HC'!L153)</f>
        <v>7679.1939743020266</v>
      </c>
      <c r="AT86" s="635">
        <f>AT25-'Overall recycling rates'!$G$61/SUM('Overall recycling rates'!$G$60:$G$62)*('BTX Recycling HC'!M150)-'Overall recycling rates'!$E$61/SUM('Overall recycling rates'!$E$60:$E$62)*('BTX Recycling HC'!M151)-'Overall recycling rates'!$H$61/SUM('Overall recycling rates'!$H$60:$H$62)*('BTX Recycling HC'!M152)-'Overall recycling rates'!$I$61/SUM('Overall recycling rates'!$I$60:$I$62)*('BTX Recycling HC'!M153)</f>
        <v>7641.1961959160872</v>
      </c>
      <c r="AU86" s="635">
        <f>AU25-'Overall recycling rates'!$G$61/SUM('Overall recycling rates'!$G$60:$G$62)*('BTX Recycling HC'!N150)-'Overall recycling rates'!$E$61/SUM('Overall recycling rates'!$E$60:$E$62)*('BTX Recycling HC'!N151)-'Overall recycling rates'!$H$61/SUM('Overall recycling rates'!$H$60:$H$62)*('BTX Recycling HC'!N152)-'Overall recycling rates'!$I$61/SUM('Overall recycling rates'!$I$60:$I$62)*('BTX Recycling HC'!N153)</f>
        <v>7562.4868602025726</v>
      </c>
      <c r="AV86" s="635">
        <f>AV25-'Overall recycling rates'!$G$61/SUM('Overall recycling rates'!$G$60:$G$62)*('BTX Recycling HC'!O150)-'Overall recycling rates'!$E$61/SUM('Overall recycling rates'!$E$60:$E$62)*('BTX Recycling HC'!O151)-'Overall recycling rates'!$H$61/SUM('Overall recycling rates'!$H$60:$H$62)*('BTX Recycling HC'!O152)-'Overall recycling rates'!$I$61/SUM('Overall recycling rates'!$I$60:$I$62)*('BTX Recycling HC'!O153)</f>
        <v>7474.481629500594</v>
      </c>
      <c r="AW86" s="635">
        <f>AW25-'Overall recycling rates'!$G$61/SUM('Overall recycling rates'!$G$60:$G$62)*('BTX Recycling HC'!P150)-'Overall recycling rates'!$E$61/SUM('Overall recycling rates'!$E$60:$E$62)*('BTX Recycling HC'!P151)-'Overall recycling rates'!$H$61/SUM('Overall recycling rates'!$H$60:$H$62)*('BTX Recycling HC'!P152)-'Overall recycling rates'!$I$61/SUM('Overall recycling rates'!$I$60:$I$62)*('BTX Recycling HC'!P153)</f>
        <v>7377.6568421913762</v>
      </c>
      <c r="AX86" s="635">
        <f>AX25-'Overall recycling rates'!$G$61/SUM('Overall recycling rates'!$G$60:$G$62)*('BTX Recycling HC'!Q150)-'Overall recycling rates'!$E$61/SUM('Overall recycling rates'!$E$60:$E$62)*('BTX Recycling HC'!Q151)-'Overall recycling rates'!$H$61/SUM('Overall recycling rates'!$H$60:$H$62)*('BTX Recycling HC'!Q152)-'Overall recycling rates'!$I$61/SUM('Overall recycling rates'!$I$60:$I$62)*('BTX Recycling HC'!Q153)</f>
        <v>7270.6006644926047</v>
      </c>
      <c r="AY86" s="635">
        <f>AY25-'Overall recycling rates'!$G$61/SUM('Overall recycling rates'!$G$60:$G$62)*('BTX Recycling HC'!R150)-'Overall recycling rates'!$E$61/SUM('Overall recycling rates'!$E$60:$E$62)*('BTX Recycling HC'!R151)-'Overall recycling rates'!$H$61/SUM('Overall recycling rates'!$H$60:$H$62)*('BTX Recycling HC'!R152)-'Overall recycling rates'!$I$61/SUM('Overall recycling rates'!$I$60:$I$62)*('BTX Recycling HC'!R153)</f>
        <v>7152.6508328412392</v>
      </c>
      <c r="AZ86" s="635">
        <f>AZ25-'Overall recycling rates'!$G$61/SUM('Overall recycling rates'!$G$60:$G$62)*('BTX Recycling HC'!S150)-'Overall recycling rates'!$E$61/SUM('Overall recycling rates'!$E$60:$E$62)*('BTX Recycling HC'!S151)-'Overall recycling rates'!$H$61/SUM('Overall recycling rates'!$H$60:$H$62)*('BTX Recycling HC'!S152)-'Overall recycling rates'!$I$61/SUM('Overall recycling rates'!$I$60:$I$62)*('BTX Recycling HC'!S153)</f>
        <v>7023.1341512862982</v>
      </c>
      <c r="BA86" s="635">
        <f>BA25-'Overall recycling rates'!$G$61/SUM('Overall recycling rates'!$G$60:$G$62)*('BTX Recycling HC'!T150)-'Overall recycling rates'!$E$61/SUM('Overall recycling rates'!$E$60:$E$62)*('BTX Recycling HC'!T151)-'Overall recycling rates'!$H$61/SUM('Overall recycling rates'!$H$60:$H$62)*('BTX Recycling HC'!T152)-'Overall recycling rates'!$I$61/SUM('Overall recycling rates'!$I$60:$I$62)*('BTX Recycling HC'!T153)</f>
        <v>6881.3670693719168</v>
      </c>
      <c r="BB86" s="635">
        <f>BB25-'Overall recycling rates'!$G$61/SUM('Overall recycling rates'!$G$60:$G$62)*('BTX Recycling HC'!U150)-'Overall recycling rates'!$E$61/SUM('Overall recycling rates'!$E$60:$E$62)*('BTX Recycling HC'!U151)-'Overall recycling rates'!$H$61/SUM('Overall recycling rates'!$H$60:$H$62)*('BTX Recycling HC'!U152)-'Overall recycling rates'!$I$61/SUM('Overall recycling rates'!$I$60:$I$62)*('BTX Recycling HC'!U153)</f>
        <v>6726.6562676064086</v>
      </c>
      <c r="BC86" s="635">
        <f>BC25-'Overall recycling rates'!$G$61/SUM('Overall recycling rates'!$G$60:$G$62)*('BTX Recycling HC'!V150)-'Overall recycling rates'!$E$61/SUM('Overall recycling rates'!$E$60:$E$62)*('BTX Recycling HC'!V151)-'Overall recycling rates'!$H$61/SUM('Overall recycling rates'!$H$60:$H$62)*('BTX Recycling HC'!V152)-'Overall recycling rates'!$I$61/SUM('Overall recycling rates'!$I$60:$I$62)*('BTX Recycling HC'!V153)</f>
        <v>6558.2992505173152</v>
      </c>
      <c r="BD86" s="635">
        <f>BD25-'Overall recycling rates'!$G$61/SUM('Overall recycling rates'!$G$60:$G$62)*('BTX Recycling HC'!W150)-'Overall recycling rates'!$E$61/SUM('Overall recycling rates'!$E$60:$E$62)*('BTX Recycling HC'!W151)-'Overall recycling rates'!$H$61/SUM('Overall recycling rates'!$H$60:$H$62)*('BTX Recycling HC'!W152)-'Overall recycling rates'!$I$61/SUM('Overall recycling rates'!$I$60:$I$62)*('BTX Recycling HC'!W153)</f>
        <v>6375.5849472924374</v>
      </c>
      <c r="BE86" s="635">
        <f>BE25-'Overall recycling rates'!$G$61/SUM('Overall recycling rates'!$G$60:$G$62)*('BTX Recycling HC'!X150)-'Overall recycling rates'!$E$61/SUM('Overall recycling rates'!$E$60:$E$62)*('BTX Recycling HC'!X151)-'Overall recycling rates'!$H$61/SUM('Overall recycling rates'!$H$60:$H$62)*('BTX Recycling HC'!X152)-'Overall recycling rates'!$I$61/SUM('Overall recycling rates'!$I$60:$I$62)*('BTX Recycling HC'!X153)</f>
        <v>6045.7632832444369</v>
      </c>
      <c r="BF86" s="635">
        <f>BF25-'Overall recycling rates'!$G$61/SUM('Overall recycling rates'!$G$60:$G$62)*('BTX Recycling HC'!Y150)-'Overall recycling rates'!$E$61/SUM('Overall recycling rates'!$E$60:$E$62)*('BTX Recycling HC'!Y151)-'Overall recycling rates'!$H$61/SUM('Overall recycling rates'!$H$60:$H$62)*('BTX Recycling HC'!Y152)-'Overall recycling rates'!$I$61/SUM('Overall recycling rates'!$I$60:$I$62)*('BTX Recycling HC'!Y153)</f>
        <v>5692.3817471924549</v>
      </c>
      <c r="BG86" s="635">
        <f>BG25-'Overall recycling rates'!$G$61/SUM('Overall recycling rates'!$G$60:$G$62)*('BTX Recycling HC'!Z150)-'Overall recycling rates'!$E$61/SUM('Overall recycling rates'!$E$60:$E$62)*('BTX Recycling HC'!Z151)-'Overall recycling rates'!$H$61/SUM('Overall recycling rates'!$H$60:$H$62)*('BTX Recycling HC'!Z152)-'Overall recycling rates'!$I$61/SUM('Overall recycling rates'!$I$60:$I$62)*('BTX Recycling HC'!Z153)</f>
        <v>5330.1234103726474</v>
      </c>
      <c r="BH86" s="635">
        <f>BH25-'Overall recycling rates'!$G$61/SUM('Overall recycling rates'!$G$60:$G$62)*('BTX Recycling HC'!AA150)-'Overall recycling rates'!$E$61/SUM('Overall recycling rates'!$E$60:$E$62)*('BTX Recycling HC'!AA151)-'Overall recycling rates'!$H$61/SUM('Overall recycling rates'!$H$60:$H$62)*('BTX Recycling HC'!AA152)-'Overall recycling rates'!$I$61/SUM('Overall recycling rates'!$I$60:$I$62)*('BTX Recycling HC'!AA153)</f>
        <v>4947.2520391147091</v>
      </c>
      <c r="BI86" s="635">
        <f>BI25-'Overall recycling rates'!$G$61/SUM('Overall recycling rates'!$G$60:$G$62)*('BTX Recycling HC'!AB150)-'Overall recycling rates'!$E$61/SUM('Overall recycling rates'!$E$60:$E$62)*('BTX Recycling HC'!AB151)-'Overall recycling rates'!$H$61/SUM('Overall recycling rates'!$H$60:$H$62)*('BTX Recycling HC'!AB152)-'Overall recycling rates'!$I$61/SUM('Overall recycling rates'!$I$60:$I$62)*('BTX Recycling HC'!AB153)</f>
        <v>4543.4297521587096</v>
      </c>
      <c r="BJ86" s="635">
        <f>BJ25-'Overall recycling rates'!$G$61/SUM('Overall recycling rates'!$G$60:$G$62)*('BTX Recycling HC'!AC150)-'Overall recycling rates'!$E$61/SUM('Overall recycling rates'!$E$60:$E$62)*('BTX Recycling HC'!AC151)-'Overall recycling rates'!$H$61/SUM('Overall recycling rates'!$H$60:$H$62)*('BTX Recycling HC'!AC152)-'Overall recycling rates'!$I$61/SUM('Overall recycling rates'!$I$60:$I$62)*('BTX Recycling HC'!AC153)</f>
        <v>4118.3911022281063</v>
      </c>
      <c r="BK86" s="635">
        <f>BK25-'Overall recycling rates'!$G$61/SUM('Overall recycling rates'!$G$60:$G$62)*('BTX Recycling HC'!AD150)-'Overall recycling rates'!$E$61/SUM('Overall recycling rates'!$E$60:$E$62)*('BTX Recycling HC'!AD151)-'Overall recycling rates'!$H$61/SUM('Overall recycling rates'!$H$60:$H$62)*('BTX Recycling HC'!AD152)-'Overall recycling rates'!$I$61/SUM('Overall recycling rates'!$I$60:$I$62)*('BTX Recycling HC'!AD153)</f>
        <v>3671.9481715536085</v>
      </c>
      <c r="BL86" s="635">
        <f>BL25-'Overall recycling rates'!$G$61/SUM('Overall recycling rates'!$G$60:$G$62)*('BTX Recycling HC'!AE150)-'Overall recycling rates'!$E$61/SUM('Overall recycling rates'!$E$60:$E$62)*('BTX Recycling HC'!AE151)-'Overall recycling rates'!$H$61/SUM('Overall recycling rates'!$H$60:$H$62)*('BTX Recycling HC'!AE152)-'Overall recycling rates'!$I$61/SUM('Overall recycling rates'!$I$60:$I$62)*('BTX Recycling HC'!AE153)</f>
        <v>3203.9957625927373</v>
      </c>
      <c r="BM86" s="635">
        <f>BM25-'Overall recycling rates'!$G$61/SUM('Overall recycling rates'!$G$60:$G$62)*('BTX Recycling HC'!AF150)-'Overall recycling rates'!$E$61/SUM('Overall recycling rates'!$E$60:$E$62)*('BTX Recycling HC'!AF151)-'Overall recycling rates'!$H$61/SUM('Overall recycling rates'!$H$60:$H$62)*('BTX Recycling HC'!AF152)-'Overall recycling rates'!$I$61/SUM('Overall recycling rates'!$I$60:$I$62)*('BTX Recycling HC'!AF153)</f>
        <v>2714.5166839451558</v>
      </c>
      <c r="BN86" s="635">
        <f>BN25-'Overall recycling rates'!$G$61/SUM('Overall recycling rates'!$G$60:$G$62)*('BTX Recycling HC'!AG150)-'Overall recycling rates'!$E$61/SUM('Overall recycling rates'!$E$60:$E$62)*('BTX Recycling HC'!AG151)-'Overall recycling rates'!$H$61/SUM('Overall recycling rates'!$H$60:$H$62)*('BTX Recycling HC'!AG152)-'Overall recycling rates'!$I$61/SUM('Overall recycling rates'!$I$60:$I$62)*('BTX Recycling HC'!AG153)</f>
        <v>2203.5871314636834</v>
      </c>
    </row>
    <row r="87" spans="1:66" s="63" customFormat="1" outlineLevel="1">
      <c r="A87" s="686"/>
      <c r="B87" s="59" t="s">
        <v>1301</v>
      </c>
      <c r="C87" s="262" t="s">
        <v>166</v>
      </c>
      <c r="D87" s="638">
        <f>D26-'Overall recycling rates'!$G$62/SUM('Overall recycling rates'!$G$60:$G$62)*('BTX Recycling HC'!C150)-'Overall recycling rates'!$E$62/SUM('Overall recycling rates'!$E$60:$E$62)*('BTX Recycling HC'!C151)-'Overall recycling rates'!$H$62/SUM('Overall recycling rates'!$H$60:$H$62)*('BTX Recycling HC'!C152)-'Overall recycling rates'!$I$62/SUM('Overall recycling rates'!$I$60:$I$62)*('BTX Recycling HC'!C153)</f>
        <v>54944.231755177709</v>
      </c>
      <c r="E87" s="638">
        <f>E26-'Overall recycling rates'!$G$62/SUM('Overall recycling rates'!$G$60:$G$62)*('BTX Recycling HC'!D150)-'Overall recycling rates'!$E$62/SUM('Overall recycling rates'!$E$60:$E$62)*('BTX Recycling HC'!D151)-'Overall recycling rates'!$H$62/SUM('Overall recycling rates'!$H$60:$H$62)*('BTX Recycling HC'!D152)-'Overall recycling rates'!$I$62/SUM('Overall recycling rates'!$I$60:$I$62)*('BTX Recycling HC'!D153)</f>
        <v>54753.365552600255</v>
      </c>
      <c r="F87" s="638">
        <f>F26-'Overall recycling rates'!$G$62/SUM('Overall recycling rates'!$G$60:$G$62)*('BTX Recycling HC'!E150)-'Overall recycling rates'!$E$62/SUM('Overall recycling rates'!$E$60:$E$62)*('BTX Recycling HC'!E151)-'Overall recycling rates'!$H$62/SUM('Overall recycling rates'!$H$60:$H$62)*('BTX Recycling HC'!E152)-'Overall recycling rates'!$I$62/SUM('Overall recycling rates'!$I$60:$I$62)*('BTX Recycling HC'!E153)</f>
        <v>54560.33402232013</v>
      </c>
      <c r="G87" s="638">
        <f>G26-'Overall recycling rates'!$G$62/SUM('Overall recycling rates'!$G$60:$G$62)*('BTX Recycling HC'!F150)-'Overall recycling rates'!$E$62/SUM('Overall recycling rates'!$E$60:$E$62)*('BTX Recycling HC'!F151)-'Overall recycling rates'!$H$62/SUM('Overall recycling rates'!$H$60:$H$62)*('BTX Recycling HC'!F152)-'Overall recycling rates'!$I$62/SUM('Overall recycling rates'!$I$60:$I$62)*('BTX Recycling HC'!F153)</f>
        <v>54365.077724541108</v>
      </c>
      <c r="H87" s="638">
        <f>H26-'Overall recycling rates'!$G$62/SUM('Overall recycling rates'!$G$60:$G$62)*('BTX Recycling HC'!G150)-'Overall recycling rates'!$E$62/SUM('Overall recycling rates'!$E$60:$E$62)*('BTX Recycling HC'!G151)-'Overall recycling rates'!$H$62/SUM('Overall recycling rates'!$H$60:$H$62)*('BTX Recycling HC'!G152)-'Overall recycling rates'!$I$62/SUM('Overall recycling rates'!$I$60:$I$62)*('BTX Recycling HC'!G153)</f>
        <v>54167.536089953923</v>
      </c>
      <c r="I87" s="638">
        <f>I26-'Overall recycling rates'!$G$62/SUM('Overall recycling rates'!$G$60:$G$62)*('BTX Recycling HC'!H150)-'Overall recycling rates'!$E$62/SUM('Overall recycling rates'!$E$60:$E$62)*('BTX Recycling HC'!H151)-'Overall recycling rates'!$H$62/SUM('Overall recycling rates'!$H$60:$H$62)*('BTX Recycling HC'!H152)-'Overall recycling rates'!$I$62/SUM('Overall recycling rates'!$I$60:$I$62)*('BTX Recycling HC'!H153)</f>
        <v>53967.647419736306</v>
      </c>
      <c r="J87" s="638">
        <f>J26-'Overall recycling rates'!$G$62/SUM('Overall recycling rates'!$G$60:$G$62)*('BTX Recycling HC'!I150)-'Overall recycling rates'!$E$62/SUM('Overall recycling rates'!$E$60:$E$62)*('BTX Recycling HC'!I151)-'Overall recycling rates'!$H$62/SUM('Overall recycling rates'!$H$60:$H$62)*('BTX Recycling HC'!I152)-'Overall recycling rates'!$I$62/SUM('Overall recycling rates'!$I$60:$I$62)*('BTX Recycling HC'!I153)</f>
        <v>53765.348885552965</v>
      </c>
      <c r="K87" s="638">
        <f>K26-'Overall recycling rates'!$G$62/SUM('Overall recycling rates'!$G$60:$G$62)*('BTX Recycling HC'!J150)-'Overall recycling rates'!$E$62/SUM('Overall recycling rates'!$E$60:$E$62)*('BTX Recycling HC'!J151)-'Overall recycling rates'!$H$62/SUM('Overall recycling rates'!$H$60:$H$62)*('BTX Recycling HC'!J152)-'Overall recycling rates'!$I$62/SUM('Overall recycling rates'!$I$60:$I$62)*('BTX Recycling HC'!J153)</f>
        <v>53560.576529555605</v>
      </c>
      <c r="L87" s="638">
        <f>L26-'Overall recycling rates'!$G$62/SUM('Overall recycling rates'!$G$60:$G$62)*('BTX Recycling HC'!K150)-'Overall recycling rates'!$E$62/SUM('Overall recycling rates'!$E$60:$E$62)*('BTX Recycling HC'!K151)-'Overall recycling rates'!$H$62/SUM('Overall recycling rates'!$H$60:$H$62)*('BTX Recycling HC'!K152)-'Overall recycling rates'!$I$62/SUM('Overall recycling rates'!$I$60:$I$62)*('BTX Recycling HC'!K153)</f>
        <v>53353.265264382957</v>
      </c>
      <c r="M87" s="638">
        <f>M26-'Overall recycling rates'!$G$62/SUM('Overall recycling rates'!$G$60:$G$62)*('BTX Recycling HC'!L150)-'Overall recycling rates'!$E$62/SUM('Overall recycling rates'!$E$60:$E$62)*('BTX Recycling HC'!L151)-'Overall recycling rates'!$H$62/SUM('Overall recycling rates'!$H$60:$H$62)*('BTX Recycling HC'!L152)-'Overall recycling rates'!$I$62/SUM('Overall recycling rates'!$I$60:$I$62)*('BTX Recycling HC'!L153)</f>
        <v>53143.348873160678</v>
      </c>
      <c r="N87" s="638">
        <f>N26-'Overall recycling rates'!$G$62/SUM('Overall recycling rates'!$G$60:$G$62)*('BTX Recycling HC'!M150)-'Overall recycling rates'!$E$62/SUM('Overall recycling rates'!$E$60:$E$62)*('BTX Recycling HC'!M151)-'Overall recycling rates'!$H$62/SUM('Overall recycling rates'!$H$60:$H$62)*('BTX Recycling HC'!M152)-'Overall recycling rates'!$I$62/SUM('Overall recycling rates'!$I$60:$I$62)*('BTX Recycling HC'!M153)</f>
        <v>52930.760009501428</v>
      </c>
      <c r="O87" s="638">
        <f>O26-'Overall recycling rates'!$G$62/SUM('Overall recycling rates'!$G$60:$G$62)*('BTX Recycling HC'!N150)-'Overall recycling rates'!$E$62/SUM('Overall recycling rates'!$E$60:$E$62)*('BTX Recycling HC'!N151)-'Overall recycling rates'!$H$62/SUM('Overall recycling rates'!$H$60:$H$62)*('BTX Recycling HC'!N152)-'Overall recycling rates'!$I$62/SUM('Overall recycling rates'!$I$60:$I$62)*('BTX Recycling HC'!N153)</f>
        <v>52254.31361873688</v>
      </c>
      <c r="P87" s="638">
        <f>P26-'Overall recycling rates'!$G$62/SUM('Overall recycling rates'!$G$60:$G$62)*('BTX Recycling HC'!O150)-'Overall recycling rates'!$E$62/SUM('Overall recycling rates'!$E$60:$E$62)*('BTX Recycling HC'!O151)-'Overall recycling rates'!$H$62/SUM('Overall recycling rates'!$H$60:$H$62)*('BTX Recycling HC'!O152)-'Overall recycling rates'!$I$62/SUM('Overall recycling rates'!$I$60:$I$62)*('BTX Recycling HC'!O153)</f>
        <v>51565.884630811561</v>
      </c>
      <c r="Q87" s="638">
        <f>Q26-'Overall recycling rates'!$G$62/SUM('Overall recycling rates'!$G$60:$G$62)*('BTX Recycling HC'!P150)-'Overall recycling rates'!$E$62/SUM('Overall recycling rates'!$E$60:$E$62)*('BTX Recycling HC'!P151)-'Overall recycling rates'!$H$62/SUM('Overall recycling rates'!$H$60:$H$62)*('BTX Recycling HC'!P152)-'Overall recycling rates'!$I$62/SUM('Overall recycling rates'!$I$60:$I$62)*('BTX Recycling HC'!P153)</f>
        <v>50865.916982462026</v>
      </c>
      <c r="R87" s="638">
        <f>R26-'Overall recycling rates'!$G$62/SUM('Overall recycling rates'!$G$60:$G$62)*('BTX Recycling HC'!Q150)-'Overall recycling rates'!$E$62/SUM('Overall recycling rates'!$E$60:$E$62)*('BTX Recycling HC'!Q151)-'Overall recycling rates'!$H$62/SUM('Overall recycling rates'!$H$60:$H$62)*('BTX Recycling HC'!Q152)-'Overall recycling rates'!$I$62/SUM('Overall recycling rates'!$I$60:$I$62)*('BTX Recycling HC'!Q153)</f>
        <v>50153.909041682826</v>
      </c>
      <c r="S87" s="638">
        <f>S26-'Overall recycling rates'!$G$62/SUM('Overall recycling rates'!$G$60:$G$62)*('BTX Recycling HC'!R150)-'Overall recycling rates'!$E$62/SUM('Overall recycling rates'!$E$60:$E$62)*('BTX Recycling HC'!R151)-'Overall recycling rates'!$H$62/SUM('Overall recycling rates'!$H$60:$H$62)*('BTX Recycling HC'!R152)-'Overall recycling rates'!$I$62/SUM('Overall recycling rates'!$I$60:$I$62)*('BTX Recycling HC'!R153)</f>
        <v>49429.749795156371</v>
      </c>
      <c r="T87" s="638">
        <f>T26-'Overall recycling rates'!$G$62/SUM('Overall recycling rates'!$G$60:$G$62)*('BTX Recycling HC'!S150)-'Overall recycling rates'!$E$62/SUM('Overall recycling rates'!$E$60:$E$62)*('BTX Recycling HC'!S151)-'Overall recycling rates'!$H$62/SUM('Overall recycling rates'!$H$60:$H$62)*('BTX Recycling HC'!S152)-'Overall recycling rates'!$I$62/SUM('Overall recycling rates'!$I$60:$I$62)*('BTX Recycling HC'!S153)</f>
        <v>48693.328396887708</v>
      </c>
      <c r="U87" s="638">
        <f>U26-'Overall recycling rates'!$G$62/SUM('Overall recycling rates'!$G$60:$G$62)*('BTX Recycling HC'!T150)-'Overall recycling rates'!$E$62/SUM('Overall recycling rates'!$E$60:$E$62)*('BTX Recycling HC'!T151)-'Overall recycling rates'!$H$62/SUM('Overall recycling rates'!$H$60:$H$62)*('BTX Recycling HC'!T152)-'Overall recycling rates'!$I$62/SUM('Overall recycling rates'!$I$60:$I$62)*('BTX Recycling HC'!T153)</f>
        <v>47944.534242118556</v>
      </c>
      <c r="V87" s="638">
        <f>V26-'Overall recycling rates'!$G$62/SUM('Overall recycling rates'!$G$60:$G$62)*('BTX Recycling HC'!U150)-'Overall recycling rates'!$E$62/SUM('Overall recycling rates'!$E$60:$E$62)*('BTX Recycling HC'!U151)-'Overall recycling rates'!$H$62/SUM('Overall recycling rates'!$H$60:$H$62)*('BTX Recycling HC'!U152)-'Overall recycling rates'!$I$62/SUM('Overall recycling rates'!$I$60:$I$62)*('BTX Recycling HC'!U153)</f>
        <v>47183.257042012701</v>
      </c>
      <c r="W87" s="638">
        <f>W26-'Overall recycling rates'!$G$62/SUM('Overall recycling rates'!$G$60:$G$62)*('BTX Recycling HC'!V150)-'Overall recycling rates'!$E$62/SUM('Overall recycling rates'!$E$60:$E$62)*('BTX Recycling HC'!V151)-'Overall recycling rates'!$H$62/SUM('Overall recycling rates'!$H$60:$H$62)*('BTX Recycling HC'!V152)-'Overall recycling rates'!$I$62/SUM('Overall recycling rates'!$I$60:$I$62)*('BTX Recycling HC'!V153)</f>
        <v>46409.386899112651</v>
      </c>
      <c r="X87" s="638">
        <f>X26-'Overall recycling rates'!$G$62/SUM('Overall recycling rates'!$G$60:$G$62)*('BTX Recycling HC'!W150)-'Overall recycling rates'!$E$62/SUM('Overall recycling rates'!$E$60:$E$62)*('BTX Recycling HC'!W151)-'Overall recycling rates'!$H$62/SUM('Overall recycling rates'!$H$60:$H$62)*('BTX Recycling HC'!W152)-'Overall recycling rates'!$I$62/SUM('Overall recycling rates'!$I$60:$I$62)*('BTX Recycling HC'!W153)</f>
        <v>45622.814383567696</v>
      </c>
      <c r="Y87" s="638">
        <f>Y26-'Overall recycling rates'!$G$62/SUM('Overall recycling rates'!$G$60:$G$62)*('BTX Recycling HC'!X150)-'Overall recycling rates'!$E$62/SUM('Overall recycling rates'!$E$60:$E$62)*('BTX Recycling HC'!X151)-'Overall recycling rates'!$H$62/SUM('Overall recycling rates'!$H$60:$H$62)*('BTX Recycling HC'!X152)-'Overall recycling rates'!$I$62/SUM('Overall recycling rates'!$I$60:$I$62)*('BTX Recycling HC'!X153)</f>
        <v>43763.685781283915</v>
      </c>
      <c r="Z87" s="638">
        <f>Z26-'Overall recycling rates'!$G$62/SUM('Overall recycling rates'!$G$60:$G$62)*('BTX Recycling HC'!Y150)-'Overall recycling rates'!$E$62/SUM('Overall recycling rates'!$E$60:$E$62)*('BTX Recycling HC'!Y151)-'Overall recycling rates'!$H$62/SUM('Overall recycling rates'!$H$60:$H$62)*('BTX Recycling HC'!Y152)-'Overall recycling rates'!$I$62/SUM('Overall recycling rates'!$I$60:$I$62)*('BTX Recycling HC'!Y153)</f>
        <v>41887.562336387433</v>
      </c>
      <c r="AA87" s="638">
        <f>AA26-'Overall recycling rates'!$G$62/SUM('Overall recycling rates'!$G$60:$G$62)*('BTX Recycling HC'!Z150)-'Overall recycling rates'!$E$62/SUM('Overall recycling rates'!$E$60:$E$62)*('BTX Recycling HC'!Z151)-'Overall recycling rates'!$H$62/SUM('Overall recycling rates'!$H$60:$H$62)*('BTX Recycling HC'!Z152)-'Overall recycling rates'!$I$62/SUM('Overall recycling rates'!$I$60:$I$62)*('BTX Recycling HC'!Z153)</f>
        <v>40000.507285085296</v>
      </c>
      <c r="AB87" s="638">
        <f>AB26-'Overall recycling rates'!$G$62/SUM('Overall recycling rates'!$G$60:$G$62)*('BTX Recycling HC'!AA150)-'Overall recycling rates'!$E$62/SUM('Overall recycling rates'!$E$60:$E$62)*('BTX Recycling HC'!AA151)-'Overall recycling rates'!$H$62/SUM('Overall recycling rates'!$H$60:$H$62)*('BTX Recycling HC'!AA152)-'Overall recycling rates'!$I$62/SUM('Overall recycling rates'!$I$60:$I$62)*('BTX Recycling HC'!AA153)</f>
        <v>38097.947476715141</v>
      </c>
      <c r="AC87" s="638">
        <f>AC26-'Overall recycling rates'!$G$62/SUM('Overall recycling rates'!$G$60:$G$62)*('BTX Recycling HC'!AB150)-'Overall recycling rates'!$E$62/SUM('Overall recycling rates'!$E$60:$E$62)*('BTX Recycling HC'!AB151)-'Overall recycling rates'!$H$62/SUM('Overall recycling rates'!$H$60:$H$62)*('BTX Recycling HC'!AB152)-'Overall recycling rates'!$I$62/SUM('Overall recycling rates'!$I$60:$I$62)*('BTX Recycling HC'!AB153)</f>
        <v>36179.949778964619</v>
      </c>
      <c r="AD87" s="638">
        <f>AD26-'Overall recycling rates'!$G$62/SUM('Overall recycling rates'!$G$60:$G$62)*('BTX Recycling HC'!AC150)-'Overall recycling rates'!$E$62/SUM('Overall recycling rates'!$E$60:$E$62)*('BTX Recycling HC'!AC151)-'Overall recycling rates'!$H$62/SUM('Overall recycling rates'!$H$60:$H$62)*('BTX Recycling HC'!AC152)-'Overall recycling rates'!$I$62/SUM('Overall recycling rates'!$I$60:$I$62)*('BTX Recycling HC'!AC153)</f>
        <v>34246.59892373746</v>
      </c>
      <c r="AE87" s="638">
        <f>AE26-'Overall recycling rates'!$G$62/SUM('Overall recycling rates'!$G$60:$G$62)*('BTX Recycling HC'!AD150)-'Overall recycling rates'!$E$62/SUM('Overall recycling rates'!$E$60:$E$62)*('BTX Recycling HC'!AD151)-'Overall recycling rates'!$H$62/SUM('Overall recycling rates'!$H$60:$H$62)*('BTX Recycling HC'!AD152)-'Overall recycling rates'!$I$62/SUM('Overall recycling rates'!$I$60:$I$62)*('BTX Recycling HC'!AD153)</f>
        <v>32297.998215445274</v>
      </c>
      <c r="AF87" s="638">
        <f>AF26-'Overall recycling rates'!$G$62/SUM('Overall recycling rates'!$G$60:$G$62)*('BTX Recycling HC'!AE150)-'Overall recycling rates'!$E$62/SUM('Overall recycling rates'!$E$60:$E$62)*('BTX Recycling HC'!AE151)-'Overall recycling rates'!$H$62/SUM('Overall recycling rates'!$H$60:$H$62)*('BTX Recycling HC'!AE152)-'Overall recycling rates'!$I$62/SUM('Overall recycling rates'!$I$60:$I$62)*('BTX Recycling HC'!AE153)</f>
        <v>30334.270248978864</v>
      </c>
      <c r="AG87" s="638">
        <f>AG26-'Overall recycling rates'!$G$62/SUM('Overall recycling rates'!$G$60:$G$62)*('BTX Recycling HC'!AF150)-'Overall recycling rates'!$E$62/SUM('Overall recycling rates'!$E$60:$E$62)*('BTX Recycling HC'!AF151)-'Overall recycling rates'!$H$62/SUM('Overall recycling rates'!$H$60:$H$62)*('BTX Recycling HC'!AF152)-'Overall recycling rates'!$I$62/SUM('Overall recycling rates'!$I$60:$I$62)*('BTX Recycling HC'!AF153)</f>
        <v>28355.557637358848</v>
      </c>
      <c r="AH87" s="638">
        <f>AH26-'Overall recycling rates'!$G$62/SUM('Overall recycling rates'!$G$60:$G$62)*('BTX Recycling HC'!AG150)-'Overall recycling rates'!$E$62/SUM('Overall recycling rates'!$E$60:$E$62)*('BTX Recycling HC'!AG151)-'Overall recycling rates'!$H$62/SUM('Overall recycling rates'!$H$60:$H$62)*('BTX Recycling HC'!AG152)-'Overall recycling rates'!$I$62/SUM('Overall recycling rates'!$I$60:$I$62)*('BTX Recycling HC'!AG153)</f>
        <v>26362.023749065789</v>
      </c>
      <c r="AI87" s="638"/>
      <c r="AJ87" s="638">
        <f>AJ26-'Overall recycling rates'!$G$62/SUM('Overall recycling rates'!$G$60:$G$62)*('BTX Recycling HC'!C150)-'Overall recycling rates'!$E$62/SUM('Overall recycling rates'!$E$60:$E$62)*('BTX Recycling HC'!C151)-'Overall recycling rates'!$H$62/SUM('Overall recycling rates'!$H$60:$H$62)*('BTX Recycling HC'!C152)-'Overall recycling rates'!$I$62/SUM('Overall recycling rates'!$I$60:$I$62)*('BTX Recycling HC'!C153)</f>
        <v>54944.231755177709</v>
      </c>
      <c r="AK87" s="638">
        <f>AK26-'Overall recycling rates'!$G$62/SUM('Overall recycling rates'!$G$60:$G$62)*('BTX Recycling HC'!D150)-'Overall recycling rates'!$E$62/SUM('Overall recycling rates'!$E$60:$E$62)*('BTX Recycling HC'!D151)-'Overall recycling rates'!$H$62/SUM('Overall recycling rates'!$H$60:$H$62)*('BTX Recycling HC'!D152)-'Overall recycling rates'!$I$62/SUM('Overall recycling rates'!$I$60:$I$62)*('BTX Recycling HC'!D153)</f>
        <v>54902.011677190705</v>
      </c>
      <c r="AL87" s="638">
        <f>AL26-'Overall recycling rates'!$G$62/SUM('Overall recycling rates'!$G$60:$G$62)*('BTX Recycling HC'!E150)-'Overall recycling rates'!$E$62/SUM('Overall recycling rates'!$E$60:$E$62)*('BTX Recycling HC'!E151)-'Overall recycling rates'!$H$62/SUM('Overall recycling rates'!$H$60:$H$62)*('BTX Recycling HC'!E152)-'Overall recycling rates'!$I$62/SUM('Overall recycling rates'!$I$60:$I$62)*('BTX Recycling HC'!E153)</f>
        <v>54858.219669204009</v>
      </c>
      <c r="AM87" s="638">
        <f>AM26-'Overall recycling rates'!$G$62/SUM('Overall recycling rates'!$G$60:$G$62)*('BTX Recycling HC'!F150)-'Overall recycling rates'!$E$62/SUM('Overall recycling rates'!$E$60:$E$62)*('BTX Recycling HC'!F151)-'Overall recycling rates'!$H$62/SUM('Overall recycling rates'!$H$60:$H$62)*('BTX Recycling HC'!F152)-'Overall recycling rates'!$I$62/SUM('Overall recycling rates'!$I$60:$I$62)*('BTX Recycling HC'!F153)</f>
        <v>54812.796291421357</v>
      </c>
      <c r="AN87" s="638">
        <f>AN26-'Overall recycling rates'!$G$62/SUM('Overall recycling rates'!$G$60:$G$62)*('BTX Recycling HC'!G150)-'Overall recycling rates'!$E$62/SUM('Overall recycling rates'!$E$60:$E$62)*('BTX Recycling HC'!G151)-'Overall recycling rates'!$H$62/SUM('Overall recycling rates'!$H$60:$H$62)*('BTX Recycling HC'!G152)-'Overall recycling rates'!$I$62/SUM('Overall recycling rates'!$I$60:$I$62)*('BTX Recycling HC'!G153)</f>
        <v>54765.680974533498</v>
      </c>
      <c r="AO87" s="638">
        <f>AO26-'Overall recycling rates'!$G$62/SUM('Overall recycling rates'!$G$60:$G$62)*('BTX Recycling HC'!H150)-'Overall recycling rates'!$E$62/SUM('Overall recycling rates'!$E$60:$E$62)*('BTX Recycling HC'!H151)-'Overall recycling rates'!$H$62/SUM('Overall recycling rates'!$H$60:$H$62)*('BTX Recycling HC'!H152)-'Overall recycling rates'!$I$62/SUM('Overall recycling rates'!$I$60:$I$62)*('BTX Recycling HC'!H153)</f>
        <v>54716.812019718142</v>
      </c>
      <c r="AP87" s="638">
        <f>AP26-'Overall recycling rates'!$G$62/SUM('Overall recycling rates'!$G$60:$G$62)*('BTX Recycling HC'!I150)-'Overall recycling rates'!$E$62/SUM('Overall recycling rates'!$E$60:$E$62)*('BTX Recycling HC'!I151)-'Overall recycling rates'!$H$62/SUM('Overall recycling rates'!$H$60:$H$62)*('BTX Recycling HC'!I152)-'Overall recycling rates'!$I$62/SUM('Overall recycling rates'!$I$60:$I$62)*('BTX Recycling HC'!I153)</f>
        <v>54666.126598640047</v>
      </c>
      <c r="AQ87" s="638">
        <f>AQ26-'Overall recycling rates'!$G$62/SUM('Overall recycling rates'!$G$60:$G$62)*('BTX Recycling HC'!J150)-'Overall recycling rates'!$E$62/SUM('Overall recycling rates'!$E$60:$E$62)*('BTX Recycling HC'!J151)-'Overall recycling rates'!$H$62/SUM('Overall recycling rates'!$H$60:$H$62)*('BTX Recycling HC'!J152)-'Overall recycling rates'!$I$62/SUM('Overall recycling rates'!$I$60:$I$62)*('BTX Recycling HC'!J153)</f>
        <v>54613.560753450889</v>
      </c>
      <c r="AR87" s="638">
        <f>AR26-'Overall recycling rates'!$G$62/SUM('Overall recycling rates'!$G$60:$G$62)*('BTX Recycling HC'!K150)-'Overall recycling rates'!$E$62/SUM('Overall recycling rates'!$E$60:$E$62)*('BTX Recycling HC'!K151)-'Overall recycling rates'!$H$62/SUM('Overall recycling rates'!$H$60:$H$62)*('BTX Recycling HC'!K152)-'Overall recycling rates'!$I$62/SUM('Overall recycling rates'!$I$60:$I$62)*('BTX Recycling HC'!K153)</f>
        <v>54559.049396789378</v>
      </c>
      <c r="AS87" s="638">
        <f>AS26-'Overall recycling rates'!$G$62/SUM('Overall recycling rates'!$G$60:$G$62)*('BTX Recycling HC'!L150)-'Overall recycling rates'!$E$62/SUM('Overall recycling rates'!$E$60:$E$62)*('BTX Recycling HC'!L151)-'Overall recycling rates'!$H$62/SUM('Overall recycling rates'!$H$60:$H$62)*('BTX Recycling HC'!L152)-'Overall recycling rates'!$I$62/SUM('Overall recycling rates'!$I$60:$I$62)*('BTX Recycling HC'!L153)</f>
        <v>54502.526311781199</v>
      </c>
      <c r="AT87" s="638">
        <f>AT26-'Overall recycling rates'!$G$62/SUM('Overall recycling rates'!$G$60:$G$62)*('BTX Recycling HC'!M150)-'Overall recycling rates'!$E$62/SUM('Overall recycling rates'!$E$60:$E$62)*('BTX Recycling HC'!M151)-'Overall recycling rates'!$H$62/SUM('Overall recycling rates'!$H$60:$H$62)*('BTX Recycling HC'!M152)-'Overall recycling rates'!$I$62/SUM('Overall recycling rates'!$I$60:$I$62)*('BTX Recycling HC'!M153)</f>
        <v>54443.924152039021</v>
      </c>
      <c r="AU87" s="638">
        <f>AU26-'Overall recycling rates'!$G$62/SUM('Overall recycling rates'!$G$60:$G$62)*('BTX Recycling HC'!N150)-'Overall recycling rates'!$E$62/SUM('Overall recycling rates'!$E$60:$E$62)*('BTX Recycling HC'!N151)-'Overall recycling rates'!$H$62/SUM('Overall recycling rates'!$H$60:$H$62)*('BTX Recycling HC'!N152)-'Overall recycling rates'!$I$62/SUM('Overall recycling rates'!$I$60:$I$62)*('BTX Recycling HC'!N153)</f>
        <v>54231.069716708786</v>
      </c>
      <c r="AV87" s="638">
        <f>AV26-'Overall recycling rates'!$G$62/SUM('Overall recycling rates'!$G$60:$G$62)*('BTX Recycling HC'!O150)-'Overall recycling rates'!$E$62/SUM('Overall recycling rates'!$E$60:$E$62)*('BTX Recycling HC'!O151)-'Overall recycling rates'!$H$62/SUM('Overall recycling rates'!$H$60:$H$62)*('BTX Recycling HC'!O152)-'Overall recycling rates'!$I$62/SUM('Overall recycling rates'!$I$60:$I$62)*('BTX Recycling HC'!O153)</f>
        <v>54010.68316698994</v>
      </c>
      <c r="AW87" s="638">
        <f>AW26-'Overall recycling rates'!$G$62/SUM('Overall recycling rates'!$G$60:$G$62)*('BTX Recycling HC'!P150)-'Overall recycling rates'!$E$62/SUM('Overall recycling rates'!$E$60:$E$62)*('BTX Recycling HC'!P151)-'Overall recycling rates'!$H$62/SUM('Overall recycling rates'!$H$60:$H$62)*('BTX Recycling HC'!P152)-'Overall recycling rates'!$I$62/SUM('Overall recycling rates'!$I$60:$I$62)*('BTX Recycling HC'!P153)</f>
        <v>53783.208439619055</v>
      </c>
      <c r="AX87" s="638">
        <f>AX26-'Overall recycling rates'!$G$62/SUM('Overall recycling rates'!$G$60:$G$62)*('BTX Recycling HC'!Q150)-'Overall recycling rates'!$E$62/SUM('Overall recycling rates'!$E$60:$E$62)*('BTX Recycling HC'!Q151)-'Overall recycling rates'!$H$62/SUM('Overall recycling rates'!$H$60:$H$62)*('BTX Recycling HC'!Q152)-'Overall recycling rates'!$I$62/SUM('Overall recycling rates'!$I$60:$I$62)*('BTX Recycling HC'!Q153)</f>
        <v>53548.14390259068</v>
      </c>
      <c r="AY87" s="638">
        <f>AY26-'Overall recycling rates'!$G$62/SUM('Overall recycling rates'!$G$60:$G$62)*('BTX Recycling HC'!R150)-'Overall recycling rates'!$E$62/SUM('Overall recycling rates'!$E$60:$E$62)*('BTX Recycling HC'!R151)-'Overall recycling rates'!$H$62/SUM('Overall recycling rates'!$H$60:$H$62)*('BTX Recycling HC'!R152)-'Overall recycling rates'!$I$62/SUM('Overall recycling rates'!$I$60:$I$62)*('BTX Recycling HC'!R153)</f>
        <v>53305.378542587212</v>
      </c>
      <c r="AZ87" s="638">
        <f>AZ26-'Overall recycling rates'!$G$62/SUM('Overall recycling rates'!$G$60:$G$62)*('BTX Recycling HC'!S150)-'Overall recycling rates'!$E$62/SUM('Overall recycling rates'!$E$60:$E$62)*('BTX Recycling HC'!S151)-'Overall recycling rates'!$H$62/SUM('Overall recycling rates'!$H$60:$H$62)*('BTX Recycling HC'!S152)-'Overall recycling rates'!$I$62/SUM('Overall recycling rates'!$I$60:$I$62)*('BTX Recycling HC'!S153)</f>
        <v>53054.801513613711</v>
      </c>
      <c r="BA87" s="638">
        <f>BA26-'Overall recycling rates'!$G$62/SUM('Overall recycling rates'!$G$60:$G$62)*('BTX Recycling HC'!T150)-'Overall recycling rates'!$E$62/SUM('Overall recycling rates'!$E$60:$E$62)*('BTX Recycling HC'!T151)-'Overall recycling rates'!$H$62/SUM('Overall recycling rates'!$H$60:$H$62)*('BTX Recycling HC'!T152)-'Overall recycling rates'!$I$62/SUM('Overall recycling rates'!$I$60:$I$62)*('BTX Recycling HC'!T153)</f>
        <v>52796.302210911883</v>
      </c>
      <c r="BB87" s="638">
        <f>BB26-'Overall recycling rates'!$G$62/SUM('Overall recycling rates'!$G$60:$G$62)*('BTX Recycling HC'!U150)-'Overall recycling rates'!$E$62/SUM('Overall recycling rates'!$E$60:$E$62)*('BTX Recycling HC'!U151)-'Overall recycling rates'!$H$62/SUM('Overall recycling rates'!$H$60:$H$62)*('BTX Recycling HC'!U152)-'Overall recycling rates'!$I$62/SUM('Overall recycling rates'!$I$60:$I$62)*('BTX Recycling HC'!U153)</f>
        <v>52529.770345645527</v>
      </c>
      <c r="BC87" s="638">
        <f>BC26-'Overall recycling rates'!$G$62/SUM('Overall recycling rates'!$G$60:$G$62)*('BTX Recycling HC'!V150)-'Overall recycling rates'!$E$62/SUM('Overall recycling rates'!$E$60:$E$62)*('BTX Recycling HC'!V151)-'Overall recycling rates'!$H$62/SUM('Overall recycling rates'!$H$60:$H$62)*('BTX Recycling HC'!V152)-'Overall recycling rates'!$I$62/SUM('Overall recycling rates'!$I$60:$I$62)*('BTX Recycling HC'!V153)</f>
        <v>52255.096020357159</v>
      </c>
      <c r="BD87" s="638">
        <f>BD26-'Overall recycling rates'!$G$62/SUM('Overall recycling rates'!$G$60:$G$62)*('BTX Recycling HC'!W150)-'Overall recycling rates'!$E$62/SUM('Overall recycling rates'!$E$60:$E$62)*('BTX Recycling HC'!W151)-'Overall recycling rates'!$H$62/SUM('Overall recycling rates'!$H$60:$H$62)*('BTX Recycling HC'!W152)-'Overall recycling rates'!$I$62/SUM('Overall recycling rates'!$I$60:$I$62)*('BTX Recycling HC'!W153)</f>
        <v>51972.169805196041</v>
      </c>
      <c r="BE87" s="638">
        <f>BE26-'Overall recycling rates'!$G$62/SUM('Overall recycling rates'!$G$60:$G$62)*('BTX Recycling HC'!X150)-'Overall recycling rates'!$E$62/SUM('Overall recycling rates'!$E$60:$E$62)*('BTX Recycling HC'!X151)-'Overall recycling rates'!$H$62/SUM('Overall recycling rates'!$H$60:$H$62)*('BTX Recycling HC'!X152)-'Overall recycling rates'!$I$62/SUM('Overall recycling rates'!$I$60:$I$62)*('BTX Recycling HC'!X153)</f>
        <v>51085.91673690849</v>
      </c>
      <c r="BF87" s="638">
        <f>BF26-'Overall recycling rates'!$G$62/SUM('Overall recycling rates'!$G$60:$G$62)*('BTX Recycling HC'!Y150)-'Overall recycling rates'!$E$62/SUM('Overall recycling rates'!$E$60:$E$62)*('BTX Recycling HC'!Y151)-'Overall recycling rates'!$H$62/SUM('Overall recycling rates'!$H$60:$H$62)*('BTX Recycling HC'!Y152)-'Overall recycling rates'!$I$62/SUM('Overall recycling rates'!$I$60:$I$62)*('BTX Recycling HC'!Y153)</f>
        <v>50188.009405334829</v>
      </c>
      <c r="BG87" s="638">
        <f>BG26-'Overall recycling rates'!$G$62/SUM('Overall recycling rates'!$G$60:$G$62)*('BTX Recycling HC'!Z150)-'Overall recycling rates'!$E$62/SUM('Overall recycling rates'!$E$60:$E$62)*('BTX Recycling HC'!Z151)-'Overall recycling rates'!$H$62/SUM('Overall recycling rates'!$H$60:$H$62)*('BTX Recycling HC'!Z152)-'Overall recycling rates'!$I$62/SUM('Overall recycling rates'!$I$60:$I$62)*('BTX Recycling HC'!Z153)</f>
        <v>49284.511046682135</v>
      </c>
      <c r="BH87" s="638">
        <f>BH26-'Overall recycling rates'!$G$62/SUM('Overall recycling rates'!$G$60:$G$62)*('BTX Recycling HC'!AA150)-'Overall recycling rates'!$E$62/SUM('Overall recycling rates'!$E$60:$E$62)*('BTX Recycling HC'!AA151)-'Overall recycling rates'!$H$62/SUM('Overall recycling rates'!$H$60:$H$62)*('BTX Recycling HC'!AA152)-'Overall recycling rates'!$I$62/SUM('Overall recycling rates'!$I$60:$I$62)*('BTX Recycling HC'!AA153)</f>
        <v>48370.848510288015</v>
      </c>
      <c r="BI87" s="638">
        <f>BI26-'Overall recycling rates'!$G$62/SUM('Overall recycling rates'!$G$60:$G$62)*('BTX Recycling HC'!AB150)-'Overall recycling rates'!$E$62/SUM('Overall recycling rates'!$E$60:$E$62)*('BTX Recycling HC'!AB151)-'Overall recycling rates'!$H$62/SUM('Overall recycling rates'!$H$60:$H$62)*('BTX Recycling HC'!AB152)-'Overall recycling rates'!$I$62/SUM('Overall recycling rates'!$I$60:$I$62)*('BTX Recycling HC'!AB153)</f>
        <v>47447.088663840143</v>
      </c>
      <c r="BJ87" s="638">
        <f>BJ26-'Overall recycling rates'!$G$62/SUM('Overall recycling rates'!$G$60:$G$62)*('BTX Recycling HC'!AC150)-'Overall recycling rates'!$E$62/SUM('Overall recycling rates'!$E$60:$E$62)*('BTX Recycling HC'!AC151)-'Overall recycling rates'!$H$62/SUM('Overall recycling rates'!$H$60:$H$62)*('BTX Recycling HC'!AC152)-'Overall recycling rates'!$I$62/SUM('Overall recycling rates'!$I$60:$I$62)*('BTX Recycling HC'!AC153)</f>
        <v>46513.316239242224</v>
      </c>
      <c r="BK87" s="638">
        <f>BK26-'Overall recycling rates'!$G$62/SUM('Overall recycling rates'!$G$60:$G$62)*('BTX Recycling HC'!AD150)-'Overall recycling rates'!$E$62/SUM('Overall recycling rates'!$E$60:$E$62)*('BTX Recycling HC'!AD151)-'Overall recycling rates'!$H$62/SUM('Overall recycling rates'!$H$60:$H$62)*('BTX Recycling HC'!AD152)-'Overall recycling rates'!$I$62/SUM('Overall recycling rates'!$I$60:$I$62)*('BTX Recycling HC'!AD153)</f>
        <v>45569.634540905892</v>
      </c>
      <c r="BL87" s="638">
        <f>BL26-'Overall recycling rates'!$G$62/SUM('Overall recycling rates'!$G$60:$G$62)*('BTX Recycling HC'!AE150)-'Overall recycling rates'!$E$62/SUM('Overall recycling rates'!$E$60:$E$62)*('BTX Recycling HC'!AE151)-'Overall recycling rates'!$H$62/SUM('Overall recycling rates'!$H$60:$H$62)*('BTX Recycling HC'!AE152)-'Overall recycling rates'!$I$62/SUM('Overall recycling rates'!$I$60:$I$62)*('BTX Recycling HC'!AE153)</f>
        <v>44616.166163721929</v>
      </c>
      <c r="BM87" s="638">
        <f>BM26-'Overall recycling rates'!$G$62/SUM('Overall recycling rates'!$G$60:$G$62)*('BTX Recycling HC'!AF150)-'Overall recycling rates'!$E$62/SUM('Overall recycling rates'!$E$60:$E$62)*('BTX Recycling HC'!AF151)-'Overall recycling rates'!$H$62/SUM('Overall recycling rates'!$H$60:$H$62)*('BTX Recycling HC'!AF152)-'Overall recycling rates'!$I$62/SUM('Overall recycling rates'!$I$60:$I$62)*('BTX Recycling HC'!AF153)</f>
        <v>43653.053720710974</v>
      </c>
      <c r="BN87" s="638">
        <f>BN26-'Overall recycling rates'!$G$62/SUM('Overall recycling rates'!$G$60:$G$62)*('BTX Recycling HC'!AG150)-'Overall recycling rates'!$E$62/SUM('Overall recycling rates'!$E$60:$E$62)*('BTX Recycling HC'!AG151)-'Overall recycling rates'!$H$62/SUM('Overall recycling rates'!$H$60:$H$62)*('BTX Recycling HC'!AG152)-'Overall recycling rates'!$I$62/SUM('Overall recycling rates'!$I$60:$I$62)*('BTX Recycling HC'!AG153)</f>
        <v>42680.460580353567</v>
      </c>
    </row>
    <row r="88" spans="1:66" outlineLevel="1">
      <c r="A88" s="55" t="s">
        <v>532</v>
      </c>
      <c r="B88" s="55" t="s">
        <v>195</v>
      </c>
      <c r="C88" s="51" t="s">
        <v>166</v>
      </c>
      <c r="D88" s="591">
        <f t="shared" ref="D88:AH88" si="80">D50</f>
        <v>21819.41644865062</v>
      </c>
      <c r="E88" s="591">
        <f t="shared" si="80"/>
        <v>21145.196480387316</v>
      </c>
      <c r="F88" s="591">
        <f t="shared" si="80"/>
        <v>20470.976512124013</v>
      </c>
      <c r="G88" s="591">
        <f t="shared" si="80"/>
        <v>19796.756543860709</v>
      </c>
      <c r="H88" s="591">
        <f t="shared" si="80"/>
        <v>19122.536575597402</v>
      </c>
      <c r="I88" s="591">
        <f t="shared" si="80"/>
        <v>18448.316607334098</v>
      </c>
      <c r="J88" s="591">
        <f t="shared" si="80"/>
        <v>17774.096639070794</v>
      </c>
      <c r="K88" s="591">
        <f t="shared" si="80"/>
        <v>17099.876670807491</v>
      </c>
      <c r="L88" s="591">
        <f t="shared" si="80"/>
        <v>16425.656702544187</v>
      </c>
      <c r="M88" s="591">
        <f t="shared" si="80"/>
        <v>15751.436734280882</v>
      </c>
      <c r="N88" s="591">
        <f t="shared" si="80"/>
        <v>15077.216766017578</v>
      </c>
      <c r="O88" s="591">
        <f t="shared" si="80"/>
        <v>14601.553487436995</v>
      </c>
      <c r="P88" s="591">
        <f t="shared" si="80"/>
        <v>14125.89020885641</v>
      </c>
      <c r="Q88" s="591">
        <f t="shared" si="80"/>
        <v>13650.226930275827</v>
      </c>
      <c r="R88" s="591">
        <f t="shared" si="80"/>
        <v>13174.563651695244</v>
      </c>
      <c r="S88" s="591">
        <f t="shared" si="80"/>
        <v>12698.900373114659</v>
      </c>
      <c r="T88" s="591">
        <f t="shared" si="80"/>
        <v>12223.237094534077</v>
      </c>
      <c r="U88" s="591">
        <f t="shared" si="80"/>
        <v>11747.573815953494</v>
      </c>
      <c r="V88" s="591">
        <f t="shared" si="80"/>
        <v>11271.910537372909</v>
      </c>
      <c r="W88" s="591">
        <f t="shared" si="80"/>
        <v>10796.247258792326</v>
      </c>
      <c r="X88" s="591">
        <f t="shared" si="80"/>
        <v>10320.583980211743</v>
      </c>
      <c r="Y88" s="591">
        <f t="shared" si="80"/>
        <v>9746.7333276122299</v>
      </c>
      <c r="Z88" s="591">
        <f t="shared" si="80"/>
        <v>9172.8826750127191</v>
      </c>
      <c r="AA88" s="591">
        <f t="shared" si="80"/>
        <v>8599.0320224132083</v>
      </c>
      <c r="AB88" s="591">
        <f t="shared" si="80"/>
        <v>8025.1813698136957</v>
      </c>
      <c r="AC88" s="591">
        <f t="shared" si="80"/>
        <v>7451.3307172141849</v>
      </c>
      <c r="AD88" s="591">
        <f t="shared" si="80"/>
        <v>6877.4800646146741</v>
      </c>
      <c r="AE88" s="591">
        <f t="shared" si="80"/>
        <v>6303.6294120151633</v>
      </c>
      <c r="AF88" s="591">
        <f t="shared" si="80"/>
        <v>5729.7787594156525</v>
      </c>
      <c r="AG88" s="591">
        <f t="shared" si="80"/>
        <v>5155.9281068161408</v>
      </c>
      <c r="AH88" s="591">
        <f t="shared" si="80"/>
        <v>4582.07745421663</v>
      </c>
      <c r="AI88" s="191"/>
      <c r="AJ88" s="591">
        <f t="shared" ref="AJ88:BN88" si="81">AJ50</f>
        <v>21819.41644865062</v>
      </c>
      <c r="AK88" s="591">
        <f t="shared" si="81"/>
        <v>21482.30646451897</v>
      </c>
      <c r="AL88" s="591">
        <f t="shared" si="81"/>
        <v>21145.196480387316</v>
      </c>
      <c r="AM88" s="591">
        <f t="shared" si="81"/>
        <v>20808.086496255662</v>
      </c>
      <c r="AN88" s="591">
        <f t="shared" si="81"/>
        <v>20470.976512124013</v>
      </c>
      <c r="AO88" s="591">
        <f t="shared" si="81"/>
        <v>20133.866527992363</v>
      </c>
      <c r="AP88" s="591">
        <f t="shared" si="81"/>
        <v>19796.756543860709</v>
      </c>
      <c r="AQ88" s="591">
        <f t="shared" si="81"/>
        <v>19459.646559729052</v>
      </c>
      <c r="AR88" s="591">
        <f t="shared" si="81"/>
        <v>19122.536575597402</v>
      </c>
      <c r="AS88" s="591">
        <f t="shared" si="81"/>
        <v>18785.426591465752</v>
      </c>
      <c r="AT88" s="591">
        <f t="shared" si="81"/>
        <v>18448.316607334098</v>
      </c>
      <c r="AU88" s="591">
        <f t="shared" si="81"/>
        <v>18210.484968043806</v>
      </c>
      <c r="AV88" s="591">
        <f t="shared" si="81"/>
        <v>17972.653328753517</v>
      </c>
      <c r="AW88" s="591">
        <f t="shared" si="81"/>
        <v>17734.821689463224</v>
      </c>
      <c r="AX88" s="591">
        <f t="shared" si="81"/>
        <v>17496.990050172932</v>
      </c>
      <c r="AY88" s="591">
        <f t="shared" si="81"/>
        <v>17259.158410882639</v>
      </c>
      <c r="AZ88" s="591">
        <f t="shared" si="81"/>
        <v>17021.32677159235</v>
      </c>
      <c r="BA88" s="591">
        <f t="shared" si="81"/>
        <v>16783.495132302058</v>
      </c>
      <c r="BB88" s="591">
        <f t="shared" si="81"/>
        <v>16545.663493011765</v>
      </c>
      <c r="BC88" s="591">
        <f t="shared" si="81"/>
        <v>16307.831853721471</v>
      </c>
      <c r="BD88" s="591">
        <f t="shared" si="81"/>
        <v>16070.000214431182</v>
      </c>
      <c r="BE88" s="591">
        <f t="shared" si="81"/>
        <v>15783.074888131425</v>
      </c>
      <c r="BF88" s="591">
        <f t="shared" si="81"/>
        <v>15496.149561831668</v>
      </c>
      <c r="BG88" s="591">
        <f t="shared" si="81"/>
        <v>15209.224235531914</v>
      </c>
      <c r="BH88" s="591">
        <f t="shared" si="81"/>
        <v>14922.29890923216</v>
      </c>
      <c r="BI88" s="591">
        <f t="shared" si="81"/>
        <v>14635.373582932403</v>
      </c>
      <c r="BJ88" s="591">
        <f t="shared" si="81"/>
        <v>14348.448256632646</v>
      </c>
      <c r="BK88" s="591">
        <f t="shared" si="81"/>
        <v>14061.522930332891</v>
      </c>
      <c r="BL88" s="591">
        <f t="shared" si="81"/>
        <v>13774.597604033137</v>
      </c>
      <c r="BM88" s="591">
        <f t="shared" si="81"/>
        <v>13487.67227773338</v>
      </c>
      <c r="BN88" s="591">
        <f t="shared" si="81"/>
        <v>13200.746951433624</v>
      </c>
    </row>
    <row r="89" spans="1:66" outlineLevel="1">
      <c r="A89"/>
      <c r="B89" t="s">
        <v>262</v>
      </c>
      <c r="C89" s="51" t="s">
        <v>166</v>
      </c>
      <c r="D89" s="101">
        <f>'BTX Recycling HC'!C211</f>
        <v>0</v>
      </c>
      <c r="E89" s="101">
        <f>'BTX Recycling HC'!D211</f>
        <v>-481.97098057427434</v>
      </c>
      <c r="F89" s="101">
        <f>'BTX Recycling HC'!E211</f>
        <v>-185.1196565541004</v>
      </c>
      <c r="G89" s="101">
        <f>'BTX Recycling HC'!F211</f>
        <v>137.6396339818416</v>
      </c>
      <c r="H89" s="101">
        <f>'BTX Recycling HC'!G211</f>
        <v>487.11271391843638</v>
      </c>
      <c r="I89" s="101">
        <f>'BTX Recycling HC'!H211</f>
        <v>864.1054061405689</v>
      </c>
      <c r="J89" s="101">
        <f>'BTX Recycling HC'!I211</f>
        <v>1171.4204804110777</v>
      </c>
      <c r="K89" s="101">
        <f>'BTX Recycling HC'!J211</f>
        <v>1481.0178407162166</v>
      </c>
      <c r="L89" s="101">
        <f>'BTX Recycling HC'!K211</f>
        <v>1790.9281425377158</v>
      </c>
      <c r="M89" s="101">
        <f>'BTX Recycling HC'!L211</f>
        <v>2099.0824416487303</v>
      </c>
      <c r="N89" s="101">
        <f>'BTX Recycling HC'!M211</f>
        <v>2403.3121941138502</v>
      </c>
      <c r="O89" s="101">
        <f>'BTX Recycling HC'!N211</f>
        <v>2849.9759592805981</v>
      </c>
      <c r="P89" s="101">
        <f>'BTX Recycling HC'!O211</f>
        <v>3297.8230819008563</v>
      </c>
      <c r="Q89" s="101">
        <f>'BTX Recycling HC'!P211</f>
        <v>3742.5718873204792</v>
      </c>
      <c r="R89" s="101">
        <f>'BTX Recycling HC'!Q211</f>
        <v>4179.7307753457189</v>
      </c>
      <c r="S89" s="101">
        <f>'BTX Recycling HC'!R211</f>
        <v>4604.5982202432169</v>
      </c>
      <c r="T89" s="101">
        <f>'BTX Recycling HC'!S211</f>
        <v>5107.5840517914239</v>
      </c>
      <c r="U89" s="101">
        <f>'BTX Recycling HC'!T211</f>
        <v>5608.7542711408878</v>
      </c>
      <c r="V89" s="101">
        <f>'BTX Recycling HC'!U211</f>
        <v>6104.693262939787</v>
      </c>
      <c r="W89" s="101">
        <f>'BTX Recycling HC'!V211</f>
        <v>6591.8373090284276</v>
      </c>
      <c r="X89" s="101">
        <f>'BTX Recycling HC'!W211</f>
        <v>7066.4745884392287</v>
      </c>
      <c r="Y89" s="101">
        <f>'BTX Recycling HC'!X211</f>
        <v>7761.5053524977357</v>
      </c>
      <c r="Z89" s="101">
        <f>'BTX Recycling HC'!Y211</f>
        <v>8440.3352551780044</v>
      </c>
      <c r="AA89" s="101">
        <f>'BTX Recycling HC'!Z211</f>
        <v>9096.6534882529704</v>
      </c>
      <c r="AB89" s="101">
        <f>'BTX Recycling HC'!AA211</f>
        <v>9723.9014401845525</v>
      </c>
      <c r="AC89" s="101">
        <f>'BTX Recycling HC'!AB211</f>
        <v>10315.27269612368</v>
      </c>
      <c r="AD89" s="101">
        <f>'BTX Recycling HC'!AC211</f>
        <v>10736.393463310727</v>
      </c>
      <c r="AE89" s="101">
        <f>'BTX Recycling HC'!AD211</f>
        <v>11083.911476271434</v>
      </c>
      <c r="AF89" s="101">
        <f>'BTX Recycling HC'!AE211</f>
        <v>11348.440995427005</v>
      </c>
      <c r="AG89" s="101">
        <f>'BTX Recycling HC'!AF211</f>
        <v>11520.297325828016</v>
      </c>
      <c r="AH89" s="101">
        <f>'BTX Recycling HC'!AG211</f>
        <v>11589.496817154444</v>
      </c>
      <c r="AI89" s="191"/>
      <c r="AJ89" s="101">
        <f>D89</f>
        <v>0</v>
      </c>
      <c r="AK89" s="101">
        <f>E89</f>
        <v>-481.97098057427434</v>
      </c>
      <c r="AL89" s="101">
        <f>F89</f>
        <v>-185.1196565541004</v>
      </c>
      <c r="AM89" s="101">
        <f t="shared" ref="AM89:BB90" si="82">G89</f>
        <v>137.6396339818416</v>
      </c>
      <c r="AN89" s="101">
        <f t="shared" si="82"/>
        <v>487.11271391843638</v>
      </c>
      <c r="AO89" s="101">
        <f t="shared" si="82"/>
        <v>864.1054061405689</v>
      </c>
      <c r="AP89" s="101">
        <f t="shared" si="82"/>
        <v>1171.4204804110777</v>
      </c>
      <c r="AQ89" s="101">
        <f t="shared" si="82"/>
        <v>1481.0178407162166</v>
      </c>
      <c r="AR89" s="101">
        <f t="shared" si="82"/>
        <v>1790.9281425377158</v>
      </c>
      <c r="AS89" s="101">
        <f t="shared" si="82"/>
        <v>2099.0824416487303</v>
      </c>
      <c r="AT89" s="101">
        <f t="shared" si="82"/>
        <v>2403.3121941138502</v>
      </c>
      <c r="AU89" s="101">
        <f t="shared" si="82"/>
        <v>2849.9759592805981</v>
      </c>
      <c r="AV89" s="101">
        <f t="shared" si="82"/>
        <v>3297.8230819008563</v>
      </c>
      <c r="AW89" s="101">
        <f t="shared" si="82"/>
        <v>3742.5718873204792</v>
      </c>
      <c r="AX89" s="101">
        <f t="shared" si="82"/>
        <v>4179.7307753457189</v>
      </c>
      <c r="AY89" s="101">
        <f t="shared" si="82"/>
        <v>4604.5982202432169</v>
      </c>
      <c r="AZ89" s="101">
        <f t="shared" si="82"/>
        <v>5107.5840517914239</v>
      </c>
      <c r="BA89" s="101">
        <f t="shared" si="82"/>
        <v>5608.7542711408878</v>
      </c>
      <c r="BB89" s="101">
        <f t="shared" si="82"/>
        <v>6104.693262939787</v>
      </c>
      <c r="BC89" s="101">
        <f t="shared" ref="BC89:BN90" si="83">W89</f>
        <v>6591.8373090284276</v>
      </c>
      <c r="BD89" s="101">
        <f t="shared" si="83"/>
        <v>7066.4745884392287</v>
      </c>
      <c r="BE89" s="101">
        <f t="shared" si="83"/>
        <v>7761.5053524977357</v>
      </c>
      <c r="BF89" s="101">
        <f t="shared" si="83"/>
        <v>8440.3352551780044</v>
      </c>
      <c r="BG89" s="101">
        <f t="shared" si="83"/>
        <v>9096.6534882529704</v>
      </c>
      <c r="BH89" s="101">
        <f t="shared" si="83"/>
        <v>9723.9014401845525</v>
      </c>
      <c r="BI89" s="101">
        <f t="shared" si="83"/>
        <v>10315.27269612368</v>
      </c>
      <c r="BJ89" s="101">
        <f t="shared" si="83"/>
        <v>10736.393463310727</v>
      </c>
      <c r="BK89" s="101">
        <f t="shared" si="83"/>
        <v>11083.911476271434</v>
      </c>
      <c r="BL89" s="101">
        <f t="shared" si="83"/>
        <v>11348.440995427005</v>
      </c>
      <c r="BM89" s="101">
        <f t="shared" si="83"/>
        <v>11520.297325828016</v>
      </c>
      <c r="BN89" s="101">
        <f t="shared" si="83"/>
        <v>11589.496817154444</v>
      </c>
    </row>
    <row r="90" spans="1:66" outlineLevel="1">
      <c r="A90"/>
      <c r="B90" t="s">
        <v>264</v>
      </c>
      <c r="C90" s="51" t="s">
        <v>166</v>
      </c>
      <c r="D90" s="101">
        <f>'BTX Recycling HC'!C84</f>
        <v>0</v>
      </c>
      <c r="E90" s="101">
        <f>'BTX Recycling HC'!D84</f>
        <v>-2.6774461633003739</v>
      </c>
      <c r="F90" s="101">
        <f>'BTX Recycling HC'!E84</f>
        <v>-50.946125088553345</v>
      </c>
      <c r="G90" s="101">
        <f>'BTX Recycling HC'!F84</f>
        <v>-92.784777224814206</v>
      </c>
      <c r="H90" s="101">
        <f>'BTX Recycling HC'!G84</f>
        <v>-144.85592743691268</v>
      </c>
      <c r="I90" s="101">
        <f>'BTX Recycling HC'!H84</f>
        <v>-206.66083464901203</v>
      </c>
      <c r="J90" s="101">
        <f>'BTX Recycling HC'!I84</f>
        <v>-277.70850191588943</v>
      </c>
      <c r="K90" s="101">
        <f>'BTX Recycling HC'!J84</f>
        <v>-357.51567642293867</v>
      </c>
      <c r="L90" s="101">
        <f>'BTX Recycling HC'!K84</f>
        <v>-445.60684948617654</v>
      </c>
      <c r="M90" s="101">
        <f>'BTX Recycling HC'!L84</f>
        <v>-541.51425655223557</v>
      </c>
      <c r="N90" s="101">
        <f>'BTX Recycling HC'!M84</f>
        <v>-644.77787719836761</v>
      </c>
      <c r="O90" s="101">
        <f>'BTX Recycling HC'!N84</f>
        <v>-659.29111376460423</v>
      </c>
      <c r="P90" s="101">
        <f>'BTX Recycling HC'!O84</f>
        <v>-702.32478370920671</v>
      </c>
      <c r="Q90" s="101">
        <f>'BTX Recycling HC'!P84</f>
        <v>-771.8467432877469</v>
      </c>
      <c r="R90" s="101">
        <f>'BTX Recycling HC'!Q84</f>
        <v>-865.86415404974923</v>
      </c>
      <c r="S90" s="101">
        <f>'BTX Recycling HC'!R84</f>
        <v>-982.42348283870433</v>
      </c>
      <c r="T90" s="101">
        <f>'BTX Recycling HC'!S84</f>
        <v>-1119.6105017920527</v>
      </c>
      <c r="U90" s="101">
        <f>'BTX Recycling HC'!T84</f>
        <v>-1275.5502883411909</v>
      </c>
      <c r="V90" s="101">
        <f>'BTX Recycling HC'!U84</f>
        <v>-1448.407225211472</v>
      </c>
      <c r="W90" s="101">
        <f>'BTX Recycling HC'!V84</f>
        <v>-1636.3850004222095</v>
      </c>
      <c r="X90" s="101">
        <f>'BTX Recycling HC'!W84</f>
        <v>-1837.7266072866641</v>
      </c>
      <c r="Y90" s="101">
        <f>'BTX Recycling HC'!X84</f>
        <v>-1953.1606544298074</v>
      </c>
      <c r="Z90" s="101">
        <f>'BTX Recycling HC'!Y84</f>
        <v>-2094.8561691375235</v>
      </c>
      <c r="AA90" s="101">
        <f>'BTX Recycling HC'!Z84</f>
        <v>-2260.0051568320323</v>
      </c>
      <c r="AB90" s="101">
        <f>'BTX Recycling HC'!AA84</f>
        <v>-2445.8632879109373</v>
      </c>
      <c r="AC90" s="101">
        <f>'BTX Recycling HC'!AB84</f>
        <v>-2649.749897747236</v>
      </c>
      <c r="AD90" s="101">
        <f>'BTX Recycling HC'!AC84</f>
        <v>-2869.0479866893102</v>
      </c>
      <c r="AE90" s="101">
        <f>'BTX Recycling HC'!AD84</f>
        <v>-3101.2042200609358</v>
      </c>
      <c r="AF90" s="101">
        <f>'BTX Recycling HC'!AE84</f>
        <v>-3343.728928161278</v>
      </c>
      <c r="AG90" s="101">
        <f>'BTX Recycling HC'!AF84</f>
        <v>-3594.1961062648929</v>
      </c>
      <c r="AH90" s="101">
        <f>'BTX Recycling HC'!AG84</f>
        <v>-3850.2434146217279</v>
      </c>
      <c r="AI90" s="191"/>
      <c r="AJ90" s="101">
        <f>D90</f>
        <v>0</v>
      </c>
      <c r="AK90" s="101">
        <f t="shared" ref="AK90:AZ90" si="84">E90</f>
        <v>-2.6774461633003739</v>
      </c>
      <c r="AL90" s="101">
        <f t="shared" si="84"/>
        <v>-50.946125088553345</v>
      </c>
      <c r="AM90" s="101">
        <f t="shared" si="84"/>
        <v>-92.784777224814206</v>
      </c>
      <c r="AN90" s="101">
        <f t="shared" si="84"/>
        <v>-144.85592743691268</v>
      </c>
      <c r="AO90" s="101">
        <f t="shared" si="84"/>
        <v>-206.66083464901203</v>
      </c>
      <c r="AP90" s="101">
        <f t="shared" si="84"/>
        <v>-277.70850191588943</v>
      </c>
      <c r="AQ90" s="101">
        <f t="shared" si="84"/>
        <v>-357.51567642293867</v>
      </c>
      <c r="AR90" s="101">
        <f t="shared" si="84"/>
        <v>-445.60684948617654</v>
      </c>
      <c r="AS90" s="101">
        <f t="shared" si="84"/>
        <v>-541.51425655223557</v>
      </c>
      <c r="AT90" s="101">
        <f t="shared" si="84"/>
        <v>-644.77787719836761</v>
      </c>
      <c r="AU90" s="101">
        <f t="shared" si="84"/>
        <v>-659.29111376460423</v>
      </c>
      <c r="AV90" s="101">
        <f t="shared" si="84"/>
        <v>-702.32478370920671</v>
      </c>
      <c r="AW90" s="101">
        <f t="shared" si="84"/>
        <v>-771.8467432877469</v>
      </c>
      <c r="AX90" s="101">
        <f t="shared" si="84"/>
        <v>-865.86415404974923</v>
      </c>
      <c r="AY90" s="101">
        <f t="shared" si="84"/>
        <v>-982.42348283870433</v>
      </c>
      <c r="AZ90" s="101">
        <f t="shared" si="84"/>
        <v>-1119.6105017920527</v>
      </c>
      <c r="BA90" s="101">
        <f t="shared" si="82"/>
        <v>-1275.5502883411909</v>
      </c>
      <c r="BB90" s="101">
        <f t="shared" si="82"/>
        <v>-1448.407225211472</v>
      </c>
      <c r="BC90" s="101">
        <f t="shared" si="83"/>
        <v>-1636.3850004222095</v>
      </c>
      <c r="BD90" s="101">
        <f t="shared" si="83"/>
        <v>-1837.7266072866641</v>
      </c>
      <c r="BE90" s="101">
        <f t="shared" si="83"/>
        <v>-1953.1606544298074</v>
      </c>
      <c r="BF90" s="101">
        <f t="shared" si="83"/>
        <v>-2094.8561691375235</v>
      </c>
      <c r="BG90" s="101">
        <f t="shared" si="83"/>
        <v>-2260.0051568320323</v>
      </c>
      <c r="BH90" s="101">
        <f t="shared" si="83"/>
        <v>-2445.8632879109373</v>
      </c>
      <c r="BI90" s="101">
        <f t="shared" si="83"/>
        <v>-2649.749897747236</v>
      </c>
      <c r="BJ90" s="101">
        <f t="shared" si="83"/>
        <v>-2869.0479866893102</v>
      </c>
      <c r="BK90" s="101">
        <f t="shared" si="83"/>
        <v>-3101.2042200609358</v>
      </c>
      <c r="BL90" s="101">
        <f t="shared" si="83"/>
        <v>-3343.728928161278</v>
      </c>
      <c r="BM90" s="101">
        <f t="shared" si="83"/>
        <v>-3594.1961062648929</v>
      </c>
      <c r="BN90" s="101">
        <f t="shared" si="83"/>
        <v>-3850.2434146217279</v>
      </c>
    </row>
    <row r="91" spans="1:66" outlineLevel="1">
      <c r="A91" s="59"/>
      <c r="B91" s="59" t="s">
        <v>263</v>
      </c>
      <c r="C91" s="51" t="s">
        <v>166</v>
      </c>
      <c r="D91" s="636">
        <f>IF(D88-D89-D90&lt;0,0,D88-D89-D90)</f>
        <v>21819.41644865062</v>
      </c>
      <c r="E91" s="636">
        <f t="shared" ref="E91:AG91" si="85">IF(E88-E89-E90&lt;0,0,E88-E89-E90)</f>
        <v>21629.844907124891</v>
      </c>
      <c r="F91" s="636">
        <f t="shared" si="85"/>
        <v>20707.042293766666</v>
      </c>
      <c r="G91" s="636">
        <f t="shared" si="85"/>
        <v>19751.90168710368</v>
      </c>
      <c r="H91" s="636">
        <f t="shared" si="85"/>
        <v>18780.279789115877</v>
      </c>
      <c r="I91" s="636">
        <f t="shared" si="85"/>
        <v>17790.872035842542</v>
      </c>
      <c r="J91" s="636">
        <f t="shared" si="85"/>
        <v>16880.384660575604</v>
      </c>
      <c r="K91" s="636">
        <f t="shared" si="85"/>
        <v>15976.374506514214</v>
      </c>
      <c r="L91" s="636">
        <f t="shared" si="85"/>
        <v>15080.335409492647</v>
      </c>
      <c r="M91" s="636">
        <f t="shared" si="85"/>
        <v>14193.868549184386</v>
      </c>
      <c r="N91" s="636">
        <f t="shared" si="85"/>
        <v>13318.682449102096</v>
      </c>
      <c r="O91" s="636">
        <f t="shared" si="85"/>
        <v>12410.868641921001</v>
      </c>
      <c r="P91" s="636">
        <f t="shared" si="85"/>
        <v>11530.391910664759</v>
      </c>
      <c r="Q91" s="636">
        <f t="shared" si="85"/>
        <v>10679.501786243094</v>
      </c>
      <c r="R91" s="636">
        <f t="shared" si="85"/>
        <v>9860.6970303992748</v>
      </c>
      <c r="S91" s="636">
        <f t="shared" si="85"/>
        <v>9076.7256357101469</v>
      </c>
      <c r="T91" s="636">
        <f t="shared" si="85"/>
        <v>8235.2635445347059</v>
      </c>
      <c r="U91" s="636">
        <f t="shared" si="85"/>
        <v>7414.3698331537971</v>
      </c>
      <c r="V91" s="636">
        <f t="shared" si="85"/>
        <v>6615.6244996445939</v>
      </c>
      <c r="W91" s="636">
        <f t="shared" si="85"/>
        <v>5840.7949501861076</v>
      </c>
      <c r="X91" s="636">
        <f t="shared" si="85"/>
        <v>5091.835999059178</v>
      </c>
      <c r="Y91" s="636">
        <f t="shared" si="85"/>
        <v>3938.3886295443017</v>
      </c>
      <c r="Z91" s="636">
        <f t="shared" si="85"/>
        <v>2827.4035889722381</v>
      </c>
      <c r="AA91" s="636">
        <f t="shared" si="85"/>
        <v>1762.3836909922702</v>
      </c>
      <c r="AB91" s="636">
        <f t="shared" si="85"/>
        <v>747.14321754008051</v>
      </c>
      <c r="AC91" s="636">
        <f t="shared" si="85"/>
        <v>0</v>
      </c>
      <c r="AD91" s="636">
        <f t="shared" si="85"/>
        <v>0</v>
      </c>
      <c r="AE91" s="636">
        <f t="shared" si="85"/>
        <v>0</v>
      </c>
      <c r="AF91" s="636">
        <f t="shared" si="85"/>
        <v>0</v>
      </c>
      <c r="AG91" s="636">
        <f t="shared" si="85"/>
        <v>0</v>
      </c>
      <c r="AH91" s="636">
        <f>IF(AH88-AH89-AH90&lt;0,0,AH88-AH89-AH90)</f>
        <v>0</v>
      </c>
      <c r="AI91" s="191"/>
      <c r="AJ91" s="636">
        <f>IF(AJ88-AJ89-AJ90&lt;0,0,AJ88-AJ89-AJ90)</f>
        <v>21819.41644865062</v>
      </c>
      <c r="AK91" s="636">
        <f t="shared" ref="AK91:BN91" si="86">IF(AK88-AK89-AK90&lt;0,0,AK88-AK89-AK90)</f>
        <v>21966.954891256544</v>
      </c>
      <c r="AL91" s="636">
        <f t="shared" si="86"/>
        <v>21381.26226202997</v>
      </c>
      <c r="AM91" s="636">
        <f t="shared" si="86"/>
        <v>20763.231639498634</v>
      </c>
      <c r="AN91" s="636">
        <f t="shared" si="86"/>
        <v>20128.719725642492</v>
      </c>
      <c r="AO91" s="636">
        <f t="shared" si="86"/>
        <v>19476.421956500802</v>
      </c>
      <c r="AP91" s="636">
        <f t="shared" si="86"/>
        <v>18903.044565365519</v>
      </c>
      <c r="AQ91" s="636">
        <f t="shared" si="86"/>
        <v>18336.144395435775</v>
      </c>
      <c r="AR91" s="636">
        <f t="shared" si="86"/>
        <v>17777.215282545862</v>
      </c>
      <c r="AS91" s="636">
        <f t="shared" si="86"/>
        <v>17227.858406369258</v>
      </c>
      <c r="AT91" s="636">
        <f t="shared" si="86"/>
        <v>16689.782290418614</v>
      </c>
      <c r="AU91" s="636">
        <f t="shared" si="86"/>
        <v>16019.800122527811</v>
      </c>
      <c r="AV91" s="636">
        <f t="shared" si="86"/>
        <v>15377.155030561866</v>
      </c>
      <c r="AW91" s="636">
        <f t="shared" si="86"/>
        <v>14764.096545430493</v>
      </c>
      <c r="AX91" s="636">
        <f t="shared" si="86"/>
        <v>14183.123428876963</v>
      </c>
      <c r="AY91" s="636">
        <f t="shared" si="86"/>
        <v>13636.983673478127</v>
      </c>
      <c r="AZ91" s="636">
        <f t="shared" si="86"/>
        <v>13033.353221592979</v>
      </c>
      <c r="BA91" s="636">
        <f t="shared" si="86"/>
        <v>12450.291149502362</v>
      </c>
      <c r="BB91" s="636">
        <f t="shared" si="86"/>
        <v>11889.377455283451</v>
      </c>
      <c r="BC91" s="636">
        <f t="shared" si="86"/>
        <v>11352.379545115253</v>
      </c>
      <c r="BD91" s="636">
        <f t="shared" si="86"/>
        <v>10841.252233278617</v>
      </c>
      <c r="BE91" s="636">
        <f t="shared" si="86"/>
        <v>9974.7301900634957</v>
      </c>
      <c r="BF91" s="636">
        <f t="shared" si="86"/>
        <v>9150.6704757911866</v>
      </c>
      <c r="BG91" s="636">
        <f t="shared" si="86"/>
        <v>8372.5759041109759</v>
      </c>
      <c r="BH91" s="636">
        <f t="shared" si="86"/>
        <v>7644.2607569585452</v>
      </c>
      <c r="BI91" s="636">
        <f t="shared" si="86"/>
        <v>6969.8507845559589</v>
      </c>
      <c r="BJ91" s="636">
        <f t="shared" si="86"/>
        <v>6481.1027800112288</v>
      </c>
      <c r="BK91" s="636">
        <f t="shared" si="86"/>
        <v>6078.815674122392</v>
      </c>
      <c r="BL91" s="636">
        <f t="shared" si="86"/>
        <v>5769.8855367674096</v>
      </c>
      <c r="BM91" s="636">
        <f t="shared" si="86"/>
        <v>5561.5710581702569</v>
      </c>
      <c r="BN91" s="636">
        <f t="shared" si="86"/>
        <v>5461.4935489009076</v>
      </c>
    </row>
    <row r="92" spans="1:66" s="62" customFormat="1" outlineLevel="1">
      <c r="A92" s="684"/>
      <c r="B92" s="55" t="s">
        <v>88</v>
      </c>
      <c r="C92" s="56" t="s">
        <v>166</v>
      </c>
      <c r="D92" s="639">
        <f>D51</f>
        <v>0</v>
      </c>
      <c r="E92" s="639">
        <f t="shared" ref="E92:AH92" si="87">E51</f>
        <v>0</v>
      </c>
      <c r="F92" s="639">
        <f t="shared" si="87"/>
        <v>0</v>
      </c>
      <c r="G92" s="639">
        <f t="shared" si="87"/>
        <v>0</v>
      </c>
      <c r="H92" s="639">
        <f t="shared" si="87"/>
        <v>0</v>
      </c>
      <c r="I92" s="639">
        <f t="shared" si="87"/>
        <v>0</v>
      </c>
      <c r="J92" s="639">
        <f t="shared" si="87"/>
        <v>0</v>
      </c>
      <c r="K92" s="639">
        <f t="shared" si="87"/>
        <v>0</v>
      </c>
      <c r="L92" s="639">
        <f t="shared" si="87"/>
        <v>0</v>
      </c>
      <c r="M92" s="639">
        <f t="shared" si="87"/>
        <v>0</v>
      </c>
      <c r="N92" s="639">
        <f t="shared" si="87"/>
        <v>0</v>
      </c>
      <c r="O92" s="639">
        <f t="shared" si="87"/>
        <v>0</v>
      </c>
      <c r="P92" s="639">
        <f t="shared" si="87"/>
        <v>0</v>
      </c>
      <c r="Q92" s="639">
        <f t="shared" si="87"/>
        <v>0</v>
      </c>
      <c r="R92" s="639">
        <f t="shared" si="87"/>
        <v>0</v>
      </c>
      <c r="S92" s="639">
        <f t="shared" si="87"/>
        <v>0</v>
      </c>
      <c r="T92" s="639">
        <f t="shared" si="87"/>
        <v>0</v>
      </c>
      <c r="U92" s="639">
        <f t="shared" si="87"/>
        <v>0</v>
      </c>
      <c r="V92" s="639">
        <f t="shared" si="87"/>
        <v>0</v>
      </c>
      <c r="W92" s="639">
        <f t="shared" si="87"/>
        <v>0</v>
      </c>
      <c r="X92" s="639">
        <f t="shared" si="87"/>
        <v>0</v>
      </c>
      <c r="Y92" s="639">
        <f t="shared" si="87"/>
        <v>0</v>
      </c>
      <c r="Z92" s="639">
        <f t="shared" si="87"/>
        <v>0</v>
      </c>
      <c r="AA92" s="639">
        <f t="shared" si="87"/>
        <v>0</v>
      </c>
      <c r="AB92" s="639">
        <f t="shared" si="87"/>
        <v>0</v>
      </c>
      <c r="AC92" s="639">
        <f t="shared" si="87"/>
        <v>0</v>
      </c>
      <c r="AD92" s="639">
        <f t="shared" si="87"/>
        <v>0</v>
      </c>
      <c r="AE92" s="639">
        <f t="shared" si="87"/>
        <v>0</v>
      </c>
      <c r="AF92" s="639">
        <f t="shared" si="87"/>
        <v>0</v>
      </c>
      <c r="AG92" s="639">
        <f t="shared" si="87"/>
        <v>0</v>
      </c>
      <c r="AH92" s="639">
        <f t="shared" si="87"/>
        <v>0</v>
      </c>
      <c r="AI92" s="639"/>
      <c r="AJ92" s="639">
        <f>AJ51</f>
        <v>0</v>
      </c>
      <c r="AK92" s="639">
        <f t="shared" ref="AK92:BN92" si="88">AK51</f>
        <v>0</v>
      </c>
      <c r="AL92" s="639">
        <f t="shared" si="88"/>
        <v>0</v>
      </c>
      <c r="AM92" s="639">
        <f t="shared" si="88"/>
        <v>0</v>
      </c>
      <c r="AN92" s="639">
        <f t="shared" si="88"/>
        <v>0</v>
      </c>
      <c r="AO92" s="639">
        <f t="shared" si="88"/>
        <v>0</v>
      </c>
      <c r="AP92" s="639">
        <f t="shared" si="88"/>
        <v>0</v>
      </c>
      <c r="AQ92" s="639">
        <f t="shared" si="88"/>
        <v>0</v>
      </c>
      <c r="AR92" s="639">
        <f t="shared" si="88"/>
        <v>0</v>
      </c>
      <c r="AS92" s="639">
        <f t="shared" si="88"/>
        <v>0</v>
      </c>
      <c r="AT92" s="639">
        <f t="shared" si="88"/>
        <v>0</v>
      </c>
      <c r="AU92" s="639">
        <f t="shared" si="88"/>
        <v>0</v>
      </c>
      <c r="AV92" s="639">
        <f t="shared" si="88"/>
        <v>0</v>
      </c>
      <c r="AW92" s="639">
        <f t="shared" si="88"/>
        <v>0</v>
      </c>
      <c r="AX92" s="639">
        <f t="shared" si="88"/>
        <v>0</v>
      </c>
      <c r="AY92" s="639">
        <f t="shared" si="88"/>
        <v>0</v>
      </c>
      <c r="AZ92" s="639">
        <f t="shared" si="88"/>
        <v>0</v>
      </c>
      <c r="BA92" s="639">
        <f t="shared" si="88"/>
        <v>0</v>
      </c>
      <c r="BB92" s="639">
        <f t="shared" si="88"/>
        <v>0</v>
      </c>
      <c r="BC92" s="639">
        <f t="shared" si="88"/>
        <v>0</v>
      </c>
      <c r="BD92" s="639">
        <f t="shared" si="88"/>
        <v>0</v>
      </c>
      <c r="BE92" s="639">
        <f t="shared" si="88"/>
        <v>0</v>
      </c>
      <c r="BF92" s="639">
        <f t="shared" si="88"/>
        <v>0</v>
      </c>
      <c r="BG92" s="639">
        <f t="shared" si="88"/>
        <v>0</v>
      </c>
      <c r="BH92" s="639">
        <f t="shared" si="88"/>
        <v>0</v>
      </c>
      <c r="BI92" s="639">
        <f t="shared" si="88"/>
        <v>0</v>
      </c>
      <c r="BJ92" s="639">
        <f t="shared" si="88"/>
        <v>0</v>
      </c>
      <c r="BK92" s="639">
        <f t="shared" si="88"/>
        <v>0</v>
      </c>
      <c r="BL92" s="639">
        <f t="shared" si="88"/>
        <v>0</v>
      </c>
      <c r="BM92" s="639">
        <f t="shared" si="88"/>
        <v>0</v>
      </c>
      <c r="BN92" s="639">
        <f t="shared" si="88"/>
        <v>0</v>
      </c>
    </row>
    <row r="93" spans="1:66" outlineLevel="1">
      <c r="A93" s="685"/>
      <c r="B93" s="1" t="s">
        <v>797</v>
      </c>
      <c r="C93" s="51" t="s">
        <v>166</v>
      </c>
      <c r="D93" s="635">
        <f>D52-'Overall recycling rates'!$G$61/SUM('Overall recycling rates'!$G$61:$G$62)*('BTX Recycling HC'!C212+'BTX Recycling HC'!C85)-'Overall recycling rates'!$E$61/SUM('Overall recycling rates'!$E$61:$E$62)*('BTX Recycling HC'!C213+'BTX Recycling HC'!C86)-'Overall recycling rates'!$H$61/SUM('Overall recycling rates'!$H$61:$H$62)*('BTX Recycling HC'!C214+'BTX Recycling HC'!C87)-'Overall recycling rates'!$I$61/SUM('Overall recycling rates'!$I$61:$I$62)*('BTX Recycling HC'!C215+'BTX Recycling HC'!C88)</f>
        <v>2047.0756011223905</v>
      </c>
      <c r="E93" s="635">
        <f>E52-'Overall recycling rates'!$G$61/SUM('Overall recycling rates'!$G$61:$G$62)*('BTX Recycling HC'!D212+'BTX Recycling HC'!D85)-'Overall recycling rates'!$E$61/SUM('Overall recycling rates'!$E$61:$E$62)*('BTX Recycling HC'!D213+'BTX Recycling HC'!D86)-'Overall recycling rates'!$H$61/SUM('Overall recycling rates'!$H$61:$H$62)*('BTX Recycling HC'!D214+'BTX Recycling HC'!D87)-'Overall recycling rates'!$I$61/SUM('Overall recycling rates'!$I$61:$I$62)*('BTX Recycling HC'!D215+'BTX Recycling HC'!D88)</f>
        <v>1948.3025339163376</v>
      </c>
      <c r="F93" s="635">
        <f>F52-'Overall recycling rates'!$G$61/SUM('Overall recycling rates'!$G$61:$G$62)*('BTX Recycling HC'!E212+'BTX Recycling HC'!E85)-'Overall recycling rates'!$E$61/SUM('Overall recycling rates'!$E$61:$E$62)*('BTX Recycling HC'!E213+'BTX Recycling HC'!E86)-'Overall recycling rates'!$H$61/SUM('Overall recycling rates'!$H$61:$H$62)*('BTX Recycling HC'!E214+'BTX Recycling HC'!E87)-'Overall recycling rates'!$I$61/SUM('Overall recycling rates'!$I$61:$I$62)*('BTX Recycling HC'!E215+'BTX Recycling HC'!E88)</f>
        <v>1782.0189203310422</v>
      </c>
      <c r="G93" s="635">
        <f>G52-'Overall recycling rates'!$G$61/SUM('Overall recycling rates'!$G$61:$G$62)*('BTX Recycling HC'!F212+'BTX Recycling HC'!F85)-'Overall recycling rates'!$E$61/SUM('Overall recycling rates'!$E$61:$E$62)*('BTX Recycling HC'!F213+'BTX Recycling HC'!F86)-'Overall recycling rates'!$H$61/SUM('Overall recycling rates'!$H$61:$H$62)*('BTX Recycling HC'!F214+'BTX Recycling HC'!F87)-'Overall recycling rates'!$I$61/SUM('Overall recycling rates'!$I$61:$I$62)*('BTX Recycling HC'!F215+'BTX Recycling HC'!F88)</f>
        <v>1613.6027958785</v>
      </c>
      <c r="H93" s="635">
        <f>H52-'Overall recycling rates'!$G$61/SUM('Overall recycling rates'!$G$61:$G$62)*('BTX Recycling HC'!G212+'BTX Recycling HC'!G85)-'Overall recycling rates'!$E$61/SUM('Overall recycling rates'!$E$61:$E$62)*('BTX Recycling HC'!G213+'BTX Recycling HC'!G86)-'Overall recycling rates'!$H$61/SUM('Overall recycling rates'!$H$61:$H$62)*('BTX Recycling HC'!G214+'BTX Recycling HC'!G87)-'Overall recycling rates'!$I$61/SUM('Overall recycling rates'!$I$61:$I$62)*('BTX Recycling HC'!G215+'BTX Recycling HC'!G88)</f>
        <v>1445.1600532078849</v>
      </c>
      <c r="I93" s="635">
        <f>I52-'Overall recycling rates'!$G$61/SUM('Overall recycling rates'!$G$61:$G$62)*('BTX Recycling HC'!H212+'BTX Recycling HC'!H85)-'Overall recycling rates'!$E$61/SUM('Overall recycling rates'!$E$61:$E$62)*('BTX Recycling HC'!H213+'BTX Recycling HC'!H86)-'Overall recycling rates'!$H$61/SUM('Overall recycling rates'!$H$61:$H$62)*('BTX Recycling HC'!H214+'BTX Recycling HC'!H87)-'Overall recycling rates'!$I$61/SUM('Overall recycling rates'!$I$61:$I$62)*('BTX Recycling HC'!H215+'BTX Recycling HC'!H88)</f>
        <v>1276.9034531731988</v>
      </c>
      <c r="J93" s="635">
        <f>J52-'Overall recycling rates'!$G$61/SUM('Overall recycling rates'!$G$61:$G$62)*('BTX Recycling HC'!I212+'BTX Recycling HC'!I85)-'Overall recycling rates'!$E$61/SUM('Overall recycling rates'!$E$61:$E$62)*('BTX Recycling HC'!I213+'BTX Recycling HC'!I86)-'Overall recycling rates'!$H$61/SUM('Overall recycling rates'!$H$61:$H$62)*('BTX Recycling HC'!I214+'BTX Recycling HC'!I87)-'Overall recycling rates'!$I$61/SUM('Overall recycling rates'!$I$61:$I$62)*('BTX Recycling HC'!I215+'BTX Recycling HC'!I88)</f>
        <v>1118.219878834095</v>
      </c>
      <c r="K93" s="635">
        <f>K52-'Overall recycling rates'!$G$61/SUM('Overall recycling rates'!$G$61:$G$62)*('BTX Recycling HC'!J212+'BTX Recycling HC'!J85)-'Overall recycling rates'!$E$61/SUM('Overall recycling rates'!$E$61:$E$62)*('BTX Recycling HC'!J213+'BTX Recycling HC'!J86)-'Overall recycling rates'!$H$61/SUM('Overall recycling rates'!$H$61:$H$62)*('BTX Recycling HC'!J214+'BTX Recycling HC'!J87)-'Overall recycling rates'!$I$61/SUM('Overall recycling rates'!$I$61:$I$62)*('BTX Recycling HC'!J215+'BTX Recycling HC'!J88)</f>
        <v>962.60040530550191</v>
      </c>
      <c r="L93" s="635">
        <f>L52-'Overall recycling rates'!$G$61/SUM('Overall recycling rates'!$G$61:$G$62)*('BTX Recycling HC'!K212+'BTX Recycling HC'!K85)-'Overall recycling rates'!$E$61/SUM('Overall recycling rates'!$E$61:$E$62)*('BTX Recycling HC'!K213+'BTX Recycling HC'!K86)-'Overall recycling rates'!$H$61/SUM('Overall recycling rates'!$H$61:$H$62)*('BTX Recycling HC'!K214+'BTX Recycling HC'!K87)-'Overall recycling rates'!$I$61/SUM('Overall recycling rates'!$I$61:$I$62)*('BTX Recycling HC'!K215+'BTX Recycling HC'!K88)</f>
        <v>810.45206147156739</v>
      </c>
      <c r="M93" s="635">
        <f>M52-'Overall recycling rates'!$G$61/SUM('Overall recycling rates'!$G$61:$G$62)*('BTX Recycling HC'!L212+'BTX Recycling HC'!L85)-'Overall recycling rates'!$E$61/SUM('Overall recycling rates'!$E$61:$E$62)*('BTX Recycling HC'!L213+'BTX Recycling HC'!L86)-'Overall recycling rates'!$H$61/SUM('Overall recycling rates'!$H$61:$H$62)*('BTX Recycling HC'!L214+'BTX Recycling HC'!L87)-'Overall recycling rates'!$I$61/SUM('Overall recycling rates'!$I$61:$I$62)*('BTX Recycling HC'!L215+'BTX Recycling HC'!L88)</f>
        <v>662.1700958199782</v>
      </c>
      <c r="N93" s="635">
        <f>N52-'Overall recycling rates'!$G$61/SUM('Overall recycling rates'!$G$61:$G$62)*('BTX Recycling HC'!M212+'BTX Recycling HC'!M85)-'Overall recycling rates'!$E$61/SUM('Overall recycling rates'!$E$61:$E$62)*('BTX Recycling HC'!M213+'BTX Recycling HC'!M86)-'Overall recycling rates'!$H$61/SUM('Overall recycling rates'!$H$61:$H$62)*('BTX Recycling HC'!M214+'BTX Recycling HC'!M87)-'Overall recycling rates'!$I$61/SUM('Overall recycling rates'!$I$61:$I$62)*('BTX Recycling HC'!M215+'BTX Recycling HC'!M88)</f>
        <v>518.13843876291139</v>
      </c>
      <c r="O93" s="635">
        <f>O52-'Overall recycling rates'!$G$61/SUM('Overall recycling rates'!$G$61:$G$62)*('BTX Recycling HC'!N212+'BTX Recycling HC'!N85)-'Overall recycling rates'!$E$61/SUM('Overall recycling rates'!$E$61:$E$62)*('BTX Recycling HC'!N213+'BTX Recycling HC'!N86)-'Overall recycling rates'!$H$61/SUM('Overall recycling rates'!$H$61:$H$62)*('BTX Recycling HC'!N214+'BTX Recycling HC'!N87)-'Overall recycling rates'!$I$61/SUM('Overall recycling rates'!$I$61:$I$62)*('BTX Recycling HC'!N215+'BTX Recycling HC'!N88)</f>
        <v>361.57107722678785</v>
      </c>
      <c r="P93" s="635">
        <f>P52-'Overall recycling rates'!$G$61/SUM('Overall recycling rates'!$G$61:$G$62)*('BTX Recycling HC'!O212+'BTX Recycling HC'!O85)-'Overall recycling rates'!$E$61/SUM('Overall recycling rates'!$E$61:$E$62)*('BTX Recycling HC'!O213+'BTX Recycling HC'!O86)-'Overall recycling rates'!$H$61/SUM('Overall recycling rates'!$H$61:$H$62)*('BTX Recycling HC'!O214+'BTX Recycling HC'!O87)-'Overall recycling rates'!$I$61/SUM('Overall recycling rates'!$I$61:$I$62)*('BTX Recycling HC'!O215+'BTX Recycling HC'!O88)</f>
        <v>212.09171007125656</v>
      </c>
      <c r="Q93" s="635">
        <f>Q52-'Overall recycling rates'!$G$61/SUM('Overall recycling rates'!$G$61:$G$62)*('BTX Recycling HC'!P212+'BTX Recycling HC'!P85)-'Overall recycling rates'!$E$61/SUM('Overall recycling rates'!$E$61:$E$62)*('BTX Recycling HC'!P213+'BTX Recycling HC'!P86)-'Overall recycling rates'!$H$61/SUM('Overall recycling rates'!$H$61:$H$62)*('BTX Recycling HC'!P214+'BTX Recycling HC'!P87)-'Overall recycling rates'!$I$61/SUM('Overall recycling rates'!$I$61:$I$62)*('BTX Recycling HC'!P215+'BTX Recycling HC'!P88)</f>
        <v>70.611207773582805</v>
      </c>
      <c r="R93" s="635">
        <f>R52-'Overall recycling rates'!$G$61/SUM('Overall recycling rates'!$G$61:$G$62)*('BTX Recycling HC'!Q212+'BTX Recycling HC'!Q85)-'Overall recycling rates'!$E$61/SUM('Overall recycling rates'!$E$61:$E$62)*('BTX Recycling HC'!Q213+'BTX Recycling HC'!Q86)-'Overall recycling rates'!$H$61/SUM('Overall recycling rates'!$H$61:$H$62)*('BTX Recycling HC'!Q214+'BTX Recycling HC'!Q87)-'Overall recycling rates'!$I$61/SUM('Overall recycling rates'!$I$61:$I$62)*('BTX Recycling HC'!Q215+'BTX Recycling HC'!Q88)</f>
        <v>-62.026531835557513</v>
      </c>
      <c r="S93" s="635">
        <f>S52-'Overall recycling rates'!$G$61/SUM('Overall recycling rates'!$G$61:$G$62)*('BTX Recycling HC'!R212+'BTX Recycling HC'!R85)-'Overall recycling rates'!$E$61/SUM('Overall recycling rates'!$E$61:$E$62)*('BTX Recycling HC'!R213+'BTX Recycling HC'!R86)-'Overall recycling rates'!$H$61/SUM('Overall recycling rates'!$H$61:$H$62)*('BTX Recycling HC'!R214+'BTX Recycling HC'!R87)-'Overall recycling rates'!$I$61/SUM('Overall recycling rates'!$I$61:$I$62)*('BTX Recycling HC'!R215+'BTX Recycling HC'!R88)</f>
        <v>-185.04223706453226</v>
      </c>
      <c r="T93" s="635">
        <f>T52-'Overall recycling rates'!$G$61/SUM('Overall recycling rates'!$G$61:$G$62)*('BTX Recycling HC'!S212+'BTX Recycling HC'!S85)-'Overall recycling rates'!$E$61/SUM('Overall recycling rates'!$E$61:$E$62)*('BTX Recycling HC'!S213+'BTX Recycling HC'!S86)-'Overall recycling rates'!$H$61/SUM('Overall recycling rates'!$H$61:$H$62)*('BTX Recycling HC'!S214+'BTX Recycling HC'!S87)-'Overall recycling rates'!$I$61/SUM('Overall recycling rates'!$I$61:$I$62)*('BTX Recycling HC'!S215+'BTX Recycling HC'!S88)</f>
        <v>-306.6638935857622</v>
      </c>
      <c r="U93" s="635">
        <f>U52-'Overall recycling rates'!$G$61/SUM('Overall recycling rates'!$G$61:$G$62)*('BTX Recycling HC'!T212+'BTX Recycling HC'!T85)-'Overall recycling rates'!$E$61/SUM('Overall recycling rates'!$E$61:$E$62)*('BTX Recycling HC'!T213+'BTX Recycling HC'!T86)-'Overall recycling rates'!$H$61/SUM('Overall recycling rates'!$H$61:$H$62)*('BTX Recycling HC'!T214+'BTX Recycling HC'!T87)-'Overall recycling rates'!$I$61/SUM('Overall recycling rates'!$I$61:$I$62)*('BTX Recycling HC'!T215+'BTX Recycling HC'!T88)</f>
        <v>-419.21400347136222</v>
      </c>
      <c r="V93" s="635">
        <f>V52-'Overall recycling rates'!$G$61/SUM('Overall recycling rates'!$G$61:$G$62)*('BTX Recycling HC'!U212+'BTX Recycling HC'!U85)-'Overall recycling rates'!$E$61/SUM('Overall recycling rates'!$E$61:$E$62)*('BTX Recycling HC'!U213+'BTX Recycling HC'!U86)-'Overall recycling rates'!$H$61/SUM('Overall recycling rates'!$H$61:$H$62)*('BTX Recycling HC'!U214+'BTX Recycling HC'!U87)-'Overall recycling rates'!$I$61/SUM('Overall recycling rates'!$I$61:$I$62)*('BTX Recycling HC'!U215+'BTX Recycling HC'!U88)</f>
        <v>-522.2728630468539</v>
      </c>
      <c r="W93" s="635">
        <f>W52-'Overall recycling rates'!$G$61/SUM('Overall recycling rates'!$G$61:$G$62)*('BTX Recycling HC'!V212+'BTX Recycling HC'!V85)-'Overall recycling rates'!$E$61/SUM('Overall recycling rates'!$E$61:$E$62)*('BTX Recycling HC'!V213+'BTX Recycling HC'!V86)-'Overall recycling rates'!$H$61/SUM('Overall recycling rates'!$H$61:$H$62)*('BTX Recycling HC'!V214+'BTX Recycling HC'!V87)-'Overall recycling rates'!$I$61/SUM('Overall recycling rates'!$I$61:$I$62)*('BTX Recycling HC'!V215+'BTX Recycling HC'!V88)</f>
        <v>-615.48181021040045</v>
      </c>
      <c r="X93" s="635">
        <f>X52-'Overall recycling rates'!$G$61/SUM('Overall recycling rates'!$G$61:$G$62)*('BTX Recycling HC'!W212+'BTX Recycling HC'!W85)-'Overall recycling rates'!$E$61/SUM('Overall recycling rates'!$E$61:$E$62)*('BTX Recycling HC'!W213+'BTX Recycling HC'!W86)-'Overall recycling rates'!$H$61/SUM('Overall recycling rates'!$H$61:$H$62)*('BTX Recycling HC'!W214+'BTX Recycling HC'!W87)-'Overall recycling rates'!$I$61/SUM('Overall recycling rates'!$I$61:$I$62)*('BTX Recycling HC'!W215+'BTX Recycling HC'!W88)</f>
        <v>-698.54087792526582</v>
      </c>
      <c r="Y93" s="635">
        <f>Y52-'Overall recycling rates'!$G$61/SUM('Overall recycling rates'!$G$61:$G$62)*('BTX Recycling HC'!X212+'BTX Recycling HC'!X85)-'Overall recycling rates'!$E$61/SUM('Overall recycling rates'!$E$61:$E$62)*('BTX Recycling HC'!X213+'BTX Recycling HC'!X86)-'Overall recycling rates'!$H$61/SUM('Overall recycling rates'!$H$61:$H$62)*('BTX Recycling HC'!X214+'BTX Recycling HC'!X87)-'Overall recycling rates'!$I$61/SUM('Overall recycling rates'!$I$61:$I$62)*('BTX Recycling HC'!X215+'BTX Recycling HC'!X88)</f>
        <v>-836.55772781779672</v>
      </c>
      <c r="Z93" s="635">
        <f>Z52-'Overall recycling rates'!$G$61/SUM('Overall recycling rates'!$G$61:$G$62)*('BTX Recycling HC'!Y212+'BTX Recycling HC'!Y85)-'Overall recycling rates'!$E$61/SUM('Overall recycling rates'!$E$61:$E$62)*('BTX Recycling HC'!Y213+'BTX Recycling HC'!Y86)-'Overall recycling rates'!$H$61/SUM('Overall recycling rates'!$H$61:$H$62)*('BTX Recycling HC'!Y214+'BTX Recycling HC'!Y87)-'Overall recycling rates'!$I$61/SUM('Overall recycling rates'!$I$61:$I$62)*('BTX Recycling HC'!Y215+'BTX Recycling HC'!Y88)</f>
        <v>-960.85242942193145</v>
      </c>
      <c r="AA93" s="635">
        <f>AA52-'Overall recycling rates'!$G$61/SUM('Overall recycling rates'!$G$61:$G$62)*('BTX Recycling HC'!Z212+'BTX Recycling HC'!Z85)-'Overall recycling rates'!$E$61/SUM('Overall recycling rates'!$E$61:$E$62)*('BTX Recycling HC'!Z213+'BTX Recycling HC'!Z86)-'Overall recycling rates'!$H$61/SUM('Overall recycling rates'!$H$61:$H$62)*('BTX Recycling HC'!Z214+'BTX Recycling HC'!Z87)-'Overall recycling rates'!$I$61/SUM('Overall recycling rates'!$I$61:$I$62)*('BTX Recycling HC'!Z215+'BTX Recycling HC'!Z88)</f>
        <v>-1070.9355587223399</v>
      </c>
      <c r="AB93" s="635">
        <f>AB52-'Overall recycling rates'!$G$61/SUM('Overall recycling rates'!$G$61:$G$62)*('BTX Recycling HC'!AA212+'BTX Recycling HC'!AA85)-'Overall recycling rates'!$E$61/SUM('Overall recycling rates'!$E$61:$E$62)*('BTX Recycling HC'!AA213+'BTX Recycling HC'!AA86)-'Overall recycling rates'!$H$61/SUM('Overall recycling rates'!$H$61:$H$62)*('BTX Recycling HC'!AA214+'BTX Recycling HC'!AA87)-'Overall recycling rates'!$I$61/SUM('Overall recycling rates'!$I$61:$I$62)*('BTX Recycling HC'!AA215+'BTX Recycling HC'!AA88)</f>
        <v>-1166.4041282059154</v>
      </c>
      <c r="AC93" s="635">
        <f>AC52-'Overall recycling rates'!$G$61/SUM('Overall recycling rates'!$G$61:$G$62)*('BTX Recycling HC'!AB212+'BTX Recycling HC'!AB85)-'Overall recycling rates'!$E$61/SUM('Overall recycling rates'!$E$61:$E$62)*('BTX Recycling HC'!AB213+'BTX Recycling HC'!AB86)-'Overall recycling rates'!$H$61/SUM('Overall recycling rates'!$H$61:$H$62)*('BTX Recycling HC'!AB214+'BTX Recycling HC'!AB87)-'Overall recycling rates'!$I$61/SUM('Overall recycling rates'!$I$61:$I$62)*('BTX Recycling HC'!AB215+'BTX Recycling HC'!AB88)</f>
        <v>-1246.9377860927186</v>
      </c>
      <c r="AD93" s="635">
        <f>AD52-'Overall recycling rates'!$G$61/SUM('Overall recycling rates'!$G$61:$G$62)*('BTX Recycling HC'!AC212+'BTX Recycling HC'!AC85)-'Overall recycling rates'!$E$61/SUM('Overall recycling rates'!$E$61:$E$62)*('BTX Recycling HC'!AC213+'BTX Recycling HC'!AC86)-'Overall recycling rates'!$H$61/SUM('Overall recycling rates'!$H$61:$H$62)*('BTX Recycling HC'!AC214+'BTX Recycling HC'!AC87)-'Overall recycling rates'!$I$61/SUM('Overall recycling rates'!$I$61:$I$62)*('BTX Recycling HC'!AC215+'BTX Recycling HC'!AC88)</f>
        <v>-1300.3473083272734</v>
      </c>
      <c r="AE93" s="635">
        <f>AE52-'Overall recycling rates'!$G$61/SUM('Overall recycling rates'!$G$61:$G$62)*('BTX Recycling HC'!AD212+'BTX Recycling HC'!AD85)-'Overall recycling rates'!$E$61/SUM('Overall recycling rates'!$E$61:$E$62)*('BTX Recycling HC'!AD213+'BTX Recycling HC'!AD86)-'Overall recycling rates'!$H$61/SUM('Overall recycling rates'!$H$61:$H$62)*('BTX Recycling HC'!AD214+'BTX Recycling HC'!AD87)-'Overall recycling rates'!$I$61/SUM('Overall recycling rates'!$I$61:$I$62)*('BTX Recycling HC'!AD215+'BTX Recycling HC'!AD88)</f>
        <v>-1336.2208887098452</v>
      </c>
      <c r="AF93" s="635">
        <f>AF52-'Overall recycling rates'!$G$61/SUM('Overall recycling rates'!$G$61:$G$62)*('BTX Recycling HC'!AE212+'BTX Recycling HC'!AE85)-'Overall recycling rates'!$E$61/SUM('Overall recycling rates'!$E$61:$E$62)*('BTX Recycling HC'!AE213+'BTX Recycling HC'!AE86)-'Overall recycling rates'!$H$61/SUM('Overall recycling rates'!$H$61:$H$62)*('BTX Recycling HC'!AE214+'BTX Recycling HC'!AE87)-'Overall recycling rates'!$I$61/SUM('Overall recycling rates'!$I$61:$I$62)*('BTX Recycling HC'!AE215+'BTX Recycling HC'!AE88)</f>
        <v>-1354.290995248004</v>
      </c>
      <c r="AG93" s="635">
        <f>AG52-'Overall recycling rates'!$G$61/SUM('Overall recycling rates'!$G$61:$G$62)*('BTX Recycling HC'!AF212+'BTX Recycling HC'!AF85)-'Overall recycling rates'!$E$61/SUM('Overall recycling rates'!$E$61:$E$62)*('BTX Recycling HC'!AF213+'BTX Recycling HC'!AF86)-'Overall recycling rates'!$H$61/SUM('Overall recycling rates'!$H$61:$H$62)*('BTX Recycling HC'!AF214+'BTX Recycling HC'!AF87)-'Overall recycling rates'!$I$61/SUM('Overall recycling rates'!$I$61:$I$62)*('BTX Recycling HC'!AF215+'BTX Recycling HC'!AF88)</f>
        <v>-1354.3527284815746</v>
      </c>
      <c r="AH93" s="635">
        <f>AH52-'Overall recycling rates'!$G$61/SUM('Overall recycling rates'!$G$61:$G$62)*('BTX Recycling HC'!AG212+'BTX Recycling HC'!AG85)-'Overall recycling rates'!$E$61/SUM('Overall recycling rates'!$E$61:$E$62)*('BTX Recycling HC'!AG213+'BTX Recycling HC'!AG86)-'Overall recycling rates'!$H$61/SUM('Overall recycling rates'!$H$61:$H$62)*('BTX Recycling HC'!AG214+'BTX Recycling HC'!AG87)-'Overall recycling rates'!$I$61/SUM('Overall recycling rates'!$I$61:$I$62)*('BTX Recycling HC'!AG215+'BTX Recycling HC'!AG88)</f>
        <v>-1336.2600207135831</v>
      </c>
      <c r="AI93" s="635"/>
      <c r="AJ93" s="635">
        <f>AJ52-'Overall recycling rates'!$G$61/SUM('Overall recycling rates'!$G$61:$G$62)*('BTX Recycling HC'!C212+'BTX Recycling HC'!C85)-'Overall recycling rates'!$E$61/SUM('Overall recycling rates'!$E$61:$E$62)*('BTX Recycling HC'!C213+'BTX Recycling HC'!C86)-'Overall recycling rates'!$H$61/SUM('Overall recycling rates'!$H$61:$H$62)*('BTX Recycling HC'!C214+'BTX Recycling HC'!C87)-'Overall recycling rates'!$I$61/SUM('Overall recycling rates'!$I$61:$I$62)*('BTX Recycling HC'!C215+'BTX Recycling HC'!C88)</f>
        <v>2047.0756011223905</v>
      </c>
      <c r="AK93" s="635">
        <f>AK52-'Overall recycling rates'!$G$61/SUM('Overall recycling rates'!$G$61:$G$62)*('BTX Recycling HC'!D212+'BTX Recycling HC'!D85)-'Overall recycling rates'!$E$61/SUM('Overall recycling rates'!$E$61:$E$62)*('BTX Recycling HC'!D213+'BTX Recycling HC'!D86)-'Overall recycling rates'!$H$61/SUM('Overall recycling rates'!$H$61:$H$62)*('BTX Recycling HC'!D214+'BTX Recycling HC'!D87)-'Overall recycling rates'!$I$61/SUM('Overall recycling rates'!$I$61:$I$62)*('BTX Recycling HC'!D215+'BTX Recycling HC'!D88)</f>
        <v>1979.9298519536783</v>
      </c>
      <c r="AL93" s="635">
        <f>AL52-'Overall recycling rates'!$G$61/SUM('Overall recycling rates'!$G$61:$G$62)*('BTX Recycling HC'!E212+'BTX Recycling HC'!E85)-'Overall recycling rates'!$E$61/SUM('Overall recycling rates'!$E$61:$E$62)*('BTX Recycling HC'!E213+'BTX Recycling HC'!E86)-'Overall recycling rates'!$H$61/SUM('Overall recycling rates'!$H$61:$H$62)*('BTX Recycling HC'!E214+'BTX Recycling HC'!E87)-'Overall recycling rates'!$I$61/SUM('Overall recycling rates'!$I$61:$I$62)*('BTX Recycling HC'!E215+'BTX Recycling HC'!E88)</f>
        <v>1845.2735564057241</v>
      </c>
      <c r="AM93" s="635">
        <f>AM52-'Overall recycling rates'!$G$61/SUM('Overall recycling rates'!$G$61:$G$62)*('BTX Recycling HC'!F212+'BTX Recycling HC'!F85)-'Overall recycling rates'!$E$61/SUM('Overall recycling rates'!$E$61:$E$62)*('BTX Recycling HC'!F213+'BTX Recycling HC'!F86)-'Overall recycling rates'!$H$61/SUM('Overall recycling rates'!$H$61:$H$62)*('BTX Recycling HC'!F214+'BTX Recycling HC'!F87)-'Overall recycling rates'!$I$61/SUM('Overall recycling rates'!$I$61:$I$62)*('BTX Recycling HC'!F215+'BTX Recycling HC'!F88)</f>
        <v>1708.4847499905225</v>
      </c>
      <c r="AN93" s="635">
        <f>AN52-'Overall recycling rates'!$G$61/SUM('Overall recycling rates'!$G$61:$G$62)*('BTX Recycling HC'!G212+'BTX Recycling HC'!G85)-'Overall recycling rates'!$E$61/SUM('Overall recycling rates'!$E$61:$E$62)*('BTX Recycling HC'!G213+'BTX Recycling HC'!G86)-'Overall recycling rates'!$H$61/SUM('Overall recycling rates'!$H$61:$H$62)*('BTX Recycling HC'!G214+'BTX Recycling HC'!G87)-'Overall recycling rates'!$I$61/SUM('Overall recycling rates'!$I$61:$I$62)*('BTX Recycling HC'!G215+'BTX Recycling HC'!G88)</f>
        <v>1571.6693253572489</v>
      </c>
      <c r="AO93" s="635">
        <f>AO52-'Overall recycling rates'!$G$61/SUM('Overall recycling rates'!$G$61:$G$62)*('BTX Recycling HC'!H212+'BTX Recycling HC'!H85)-'Overall recycling rates'!$E$61/SUM('Overall recycling rates'!$E$61:$E$62)*('BTX Recycling HC'!H213+'BTX Recycling HC'!H86)-'Overall recycling rates'!$H$61/SUM('Overall recycling rates'!$H$61:$H$62)*('BTX Recycling HC'!H214+'BTX Recycling HC'!H87)-'Overall recycling rates'!$I$61/SUM('Overall recycling rates'!$I$61:$I$62)*('BTX Recycling HC'!H215+'BTX Recycling HC'!H88)</f>
        <v>1435.0400433599038</v>
      </c>
      <c r="AP93" s="635">
        <f>AP52-'Overall recycling rates'!$G$61/SUM('Overall recycling rates'!$G$61:$G$62)*('BTX Recycling HC'!I212+'BTX Recycling HC'!I85)-'Overall recycling rates'!$E$61/SUM('Overall recycling rates'!$E$61:$E$62)*('BTX Recycling HC'!I213+'BTX Recycling HC'!I86)-'Overall recycling rates'!$H$61/SUM('Overall recycling rates'!$H$61:$H$62)*('BTX Recycling HC'!I214+'BTX Recycling HC'!I87)-'Overall recycling rates'!$I$61/SUM('Overall recycling rates'!$I$61:$I$62)*('BTX Recycling HC'!I215+'BTX Recycling HC'!I88)</f>
        <v>1307.9837870581409</v>
      </c>
      <c r="AQ93" s="635">
        <f>AQ52-'Overall recycling rates'!$G$61/SUM('Overall recycling rates'!$G$61:$G$62)*('BTX Recycling HC'!J212+'BTX Recycling HC'!J85)-'Overall recycling rates'!$E$61/SUM('Overall recycling rates'!$E$61:$E$62)*('BTX Recycling HC'!J213+'BTX Recycling HC'!J86)-'Overall recycling rates'!$H$61/SUM('Overall recycling rates'!$H$61:$H$62)*('BTX Recycling HC'!J214+'BTX Recycling HC'!J87)-'Overall recycling rates'!$I$61/SUM('Overall recycling rates'!$I$61:$I$62)*('BTX Recycling HC'!J215+'BTX Recycling HC'!J88)</f>
        <v>1183.9916315668881</v>
      </c>
      <c r="AR93" s="635">
        <f>AR52-'Overall recycling rates'!$G$61/SUM('Overall recycling rates'!$G$61:$G$62)*('BTX Recycling HC'!K212+'BTX Recycling HC'!K85)-'Overall recycling rates'!$E$61/SUM('Overall recycling rates'!$E$61:$E$62)*('BTX Recycling HC'!K213+'BTX Recycling HC'!K86)-'Overall recycling rates'!$H$61/SUM('Overall recycling rates'!$H$61:$H$62)*('BTX Recycling HC'!K214+'BTX Recycling HC'!K87)-'Overall recycling rates'!$I$61/SUM('Overall recycling rates'!$I$61:$I$62)*('BTX Recycling HC'!K215+'BTX Recycling HC'!K88)</f>
        <v>1063.4706057702945</v>
      </c>
      <c r="AS93" s="635">
        <f>AS52-'Overall recycling rates'!$G$61/SUM('Overall recycling rates'!$G$61:$G$62)*('BTX Recycling HC'!L212+'BTX Recycling HC'!L85)-'Overall recycling rates'!$E$61/SUM('Overall recycling rates'!$E$61:$E$62)*('BTX Recycling HC'!L213+'BTX Recycling HC'!L86)-'Overall recycling rates'!$H$61/SUM('Overall recycling rates'!$H$61:$H$62)*('BTX Recycling HC'!L214+'BTX Recycling HC'!L87)-'Overall recycling rates'!$I$61/SUM('Overall recycling rates'!$I$61:$I$62)*('BTX Recycling HC'!L215+'BTX Recycling HC'!L88)</f>
        <v>946.81595815604669</v>
      </c>
      <c r="AT93" s="635">
        <f>AT52-'Overall recycling rates'!$G$61/SUM('Overall recycling rates'!$G$61:$G$62)*('BTX Recycling HC'!M212+'BTX Recycling HC'!M85)-'Overall recycling rates'!$E$61/SUM('Overall recycling rates'!$E$61:$E$62)*('BTX Recycling HC'!M213+'BTX Recycling HC'!M86)-'Overall recycling rates'!$H$61/SUM('Overall recycling rates'!$H$61:$H$62)*('BTX Recycling HC'!M214+'BTX Recycling HC'!M87)-'Overall recycling rates'!$I$61/SUM('Overall recycling rates'!$I$61:$I$62)*('BTX Recycling HC'!M215+'BTX Recycling HC'!M88)</f>
        <v>834.41161913632072</v>
      </c>
      <c r="AU93" s="635">
        <f>AU52-'Overall recycling rates'!$G$61/SUM('Overall recycling rates'!$G$61:$G$62)*('BTX Recycling HC'!N212+'BTX Recycling HC'!N85)-'Overall recycling rates'!$E$61/SUM('Overall recycling rates'!$E$61:$E$62)*('BTX Recycling HC'!N213+'BTX Recycling HC'!N86)-'Overall recycling rates'!$H$61/SUM('Overall recycling rates'!$H$61:$H$62)*('BTX Recycling HC'!N214+'BTX Recycling HC'!N87)-'Overall recycling rates'!$I$61/SUM('Overall recycling rates'!$I$61:$I$62)*('BTX Recycling HC'!N215+'BTX Recycling HC'!N88)</f>
        <v>700.1573816524309</v>
      </c>
      <c r="AV93" s="635">
        <f>AV52-'Overall recycling rates'!$G$61/SUM('Overall recycling rates'!$G$61:$G$62)*('BTX Recycling HC'!O212+'BTX Recycling HC'!O85)-'Overall recycling rates'!$E$61/SUM('Overall recycling rates'!$E$61:$E$62)*('BTX Recycling HC'!O213+'BTX Recycling HC'!O86)-'Overall recycling rates'!$H$61/SUM('Overall recycling rates'!$H$61:$H$62)*('BTX Recycling HC'!O214+'BTX Recycling HC'!O87)-'Overall recycling rates'!$I$61/SUM('Overall recycling rates'!$I$61:$I$62)*('BTX Recycling HC'!O215+'BTX Recycling HC'!O88)</f>
        <v>572.99113854913389</v>
      </c>
      <c r="AW93" s="635">
        <f>AW52-'Overall recycling rates'!$G$61/SUM('Overall recycling rates'!$G$61:$G$62)*('BTX Recycling HC'!P212+'BTX Recycling HC'!P85)-'Overall recycling rates'!$E$61/SUM('Overall recycling rates'!$E$61:$E$62)*('BTX Recycling HC'!P213+'BTX Recycling HC'!P86)-'Overall recycling rates'!$H$61/SUM('Overall recycling rates'!$H$61:$H$62)*('BTX Recycling HC'!P214+'BTX Recycling HC'!P87)-'Overall recycling rates'!$I$61/SUM('Overall recycling rates'!$I$61:$I$62)*('BTX Recycling HC'!P215+'BTX Recycling HC'!P88)</f>
        <v>453.82376030369471</v>
      </c>
      <c r="AX93" s="635">
        <f>AX52-'Overall recycling rates'!$G$61/SUM('Overall recycling rates'!$G$61:$G$62)*('BTX Recycling HC'!Q212+'BTX Recycling HC'!Q85)-'Overall recycling rates'!$E$61/SUM('Overall recycling rates'!$E$61:$E$62)*('BTX Recycling HC'!Q213+'BTX Recycling HC'!Q86)-'Overall recycling rates'!$H$61/SUM('Overall recycling rates'!$H$61:$H$62)*('BTX Recycling HC'!Q214+'BTX Recycling HC'!Q87)-'Overall recycling rates'!$I$61/SUM('Overall recycling rates'!$I$61:$I$62)*('BTX Recycling HC'!Q215+'BTX Recycling HC'!Q88)</f>
        <v>343.49914474678809</v>
      </c>
      <c r="AY93" s="635">
        <f>AY52-'Overall recycling rates'!$G$61/SUM('Overall recycling rates'!$G$61:$G$62)*('BTX Recycling HC'!R212+'BTX Recycling HC'!R85)-'Overall recycling rates'!$E$61/SUM('Overall recycling rates'!$E$61:$E$62)*('BTX Recycling HC'!R213+'BTX Recycling HC'!R86)-'Overall recycling rates'!$H$61/SUM('Overall recycling rates'!$H$61:$H$62)*('BTX Recycling HC'!R214+'BTX Recycling HC'!R87)-'Overall recycling rates'!$I$61/SUM('Overall recycling rates'!$I$61:$I$62)*('BTX Recycling HC'!R215+'BTX Recycling HC'!R88)</f>
        <v>242.79656357004743</v>
      </c>
      <c r="AZ93" s="635">
        <f>AZ52-'Overall recycling rates'!$G$61/SUM('Overall recycling rates'!$G$61:$G$62)*('BTX Recycling HC'!S212+'BTX Recycling HC'!S85)-'Overall recycling rates'!$E$61/SUM('Overall recycling rates'!$E$61:$E$62)*('BTX Recycling HC'!S213+'BTX Recycling HC'!S86)-'Overall recycling rates'!$H$61/SUM('Overall recycling rates'!$H$61:$H$62)*('BTX Recycling HC'!S214+'BTX Recycling HC'!S87)-'Overall recycling rates'!$I$61/SUM('Overall recycling rates'!$I$61:$I$62)*('BTX Recycling HC'!S215+'BTX Recycling HC'!S88)</f>
        <v>143.48803110105163</v>
      </c>
      <c r="BA93" s="635">
        <f>BA52-'Overall recycling rates'!$G$61/SUM('Overall recycling rates'!$G$61:$G$62)*('BTX Recycling HC'!T212+'BTX Recycling HC'!T85)-'Overall recycling rates'!$E$61/SUM('Overall recycling rates'!$E$61:$E$62)*('BTX Recycling HC'!T213+'BTX Recycling HC'!T86)-'Overall recycling rates'!$H$61/SUM('Overall recycling rates'!$H$61:$H$62)*('BTX Recycling HC'!T214+'BTX Recycling HC'!T87)-'Overall recycling rates'!$I$61/SUM('Overall recycling rates'!$I$61:$I$62)*('BTX Recycling HC'!T215+'BTX Recycling HC'!T88)</f>
        <v>53.251045267685512</v>
      </c>
      <c r="BB93" s="635">
        <f>BB52-'Overall recycling rates'!$G$61/SUM('Overall recycling rates'!$G$61:$G$62)*('BTX Recycling HC'!U212+'BTX Recycling HC'!U85)-'Overall recycling rates'!$E$61/SUM('Overall recycling rates'!$E$61:$E$62)*('BTX Recycling HC'!U213+'BTX Recycling HC'!U86)-'Overall recycling rates'!$H$61/SUM('Overall recycling rates'!$H$61:$H$62)*('BTX Recycling HC'!U214+'BTX Recycling HC'!U87)-'Overall recycling rates'!$I$61/SUM('Overall recycling rates'!$I$61:$I$62)*('BTX Recycling HC'!U215+'BTX Recycling HC'!U88)</f>
        <v>-27.494690255571875</v>
      </c>
      <c r="BC93" s="635">
        <f>BC52-'Overall recycling rates'!$G$61/SUM('Overall recycling rates'!$G$61:$G$62)*('BTX Recycling HC'!V212+'BTX Recycling HC'!V85)-'Overall recycling rates'!$E$61/SUM('Overall recycling rates'!$E$61:$E$62)*('BTX Recycling HC'!V213+'BTX Recycling HC'!V86)-'Overall recycling rates'!$H$61/SUM('Overall recycling rates'!$H$61:$H$62)*('BTX Recycling HC'!V214+'BTX Recycling HC'!V87)-'Overall recycling rates'!$I$61/SUM('Overall recycling rates'!$I$61:$I$62)*('BTX Recycling HC'!V215+'BTX Recycling HC'!V88)</f>
        <v>-98.390513366884647</v>
      </c>
      <c r="BD93" s="635">
        <f>BD52-'Overall recycling rates'!$G$61/SUM('Overall recycling rates'!$G$61:$G$62)*('BTX Recycling HC'!W212+'BTX Recycling HC'!W85)-'Overall recycling rates'!$E$61/SUM('Overall recycling rates'!$E$61:$E$62)*('BTX Recycling HC'!W213+'BTX Recycling HC'!W86)-'Overall recycling rates'!$H$61/SUM('Overall recycling rates'!$H$61:$H$62)*('BTX Recycling HC'!W214+'BTX Recycling HC'!W87)-'Overall recycling rates'!$I$61/SUM('Overall recycling rates'!$I$61:$I$62)*('BTX Recycling HC'!W215+'BTX Recycling HC'!W88)</f>
        <v>-159.13645702951581</v>
      </c>
      <c r="BE93" s="635">
        <f>BE52-'Overall recycling rates'!$G$61/SUM('Overall recycling rates'!$G$61:$G$62)*('BTX Recycling HC'!X212+'BTX Recycling HC'!X85)-'Overall recycling rates'!$E$61/SUM('Overall recycling rates'!$E$61:$E$62)*('BTX Recycling HC'!X213+'BTX Recycling HC'!X86)-'Overall recycling rates'!$H$61/SUM('Overall recycling rates'!$H$61:$H$62)*('BTX Recycling HC'!X214+'BTX Recycling HC'!X87)-'Overall recycling rates'!$I$61/SUM('Overall recycling rates'!$I$61:$I$62)*('BTX Recycling HC'!X215+'BTX Recycling HC'!X88)</f>
        <v>-270.23426276728725</v>
      </c>
      <c r="BF93" s="635">
        <f>BF52-'Overall recycling rates'!$G$61/SUM('Overall recycling rates'!$G$61:$G$62)*('BTX Recycling HC'!Y212+'BTX Recycling HC'!Y85)-'Overall recycling rates'!$E$61/SUM('Overall recycling rates'!$E$61:$E$62)*('BTX Recycling HC'!Y213+'BTX Recycling HC'!Y86)-'Overall recycling rates'!$H$61/SUM('Overall recycling rates'!$H$61:$H$62)*('BTX Recycling HC'!Y214+'BTX Recycling HC'!Y87)-'Overall recycling rates'!$I$61/SUM('Overall recycling rates'!$I$61:$I$62)*('BTX Recycling HC'!Y215+'BTX Recycling HC'!Y88)</f>
        <v>-367.609920216663</v>
      </c>
      <c r="BG93" s="635">
        <f>BG52-'Overall recycling rates'!$G$61/SUM('Overall recycling rates'!$G$61:$G$62)*('BTX Recycling HC'!Z212+'BTX Recycling HC'!Z85)-'Overall recycling rates'!$E$61/SUM('Overall recycling rates'!$E$61:$E$62)*('BTX Recycling HC'!Z213+'BTX Recycling HC'!Z86)-'Overall recycling rates'!$H$61/SUM('Overall recycling rates'!$H$61:$H$62)*('BTX Recycling HC'!Z214+'BTX Recycling HC'!Z87)-'Overall recycling rates'!$I$61/SUM('Overall recycling rates'!$I$61:$I$62)*('BTX Recycling HC'!Z215+'BTX Recycling HC'!Z88)</f>
        <v>-450.77400536231158</v>
      </c>
      <c r="BH93" s="635">
        <f>BH52-'Overall recycling rates'!$G$61/SUM('Overall recycling rates'!$G$61:$G$62)*('BTX Recycling HC'!AA212+'BTX Recycling HC'!AA85)-'Overall recycling rates'!$E$61/SUM('Overall recycling rates'!$E$61:$E$62)*('BTX Recycling HC'!AA213+'BTX Recycling HC'!AA86)-'Overall recycling rates'!$H$61/SUM('Overall recycling rates'!$H$61:$H$62)*('BTX Recycling HC'!AA214+'BTX Recycling HC'!AA87)-'Overall recycling rates'!$I$61/SUM('Overall recycling rates'!$I$61:$I$62)*('BTX Recycling HC'!AA215+'BTX Recycling HC'!AA88)</f>
        <v>-519.32353069112753</v>
      </c>
      <c r="BI93" s="635">
        <f>BI52-'Overall recycling rates'!$G$61/SUM('Overall recycling rates'!$G$61:$G$62)*('BTX Recycling HC'!AB212+'BTX Recycling HC'!AB85)-'Overall recycling rates'!$E$61/SUM('Overall recycling rates'!$E$61:$E$62)*('BTX Recycling HC'!AB213+'BTX Recycling HC'!AB86)-'Overall recycling rates'!$H$61/SUM('Overall recycling rates'!$H$61:$H$62)*('BTX Recycling HC'!AB214+'BTX Recycling HC'!AB87)-'Overall recycling rates'!$I$61/SUM('Overall recycling rates'!$I$61:$I$62)*('BTX Recycling HC'!AB215+'BTX Recycling HC'!AB88)</f>
        <v>-572.93814442317159</v>
      </c>
      <c r="BJ93" s="635">
        <f>BJ52-'Overall recycling rates'!$G$61/SUM('Overall recycling rates'!$G$61:$G$62)*('BTX Recycling HC'!AC212+'BTX Recycling HC'!AC85)-'Overall recycling rates'!$E$61/SUM('Overall recycling rates'!$E$61:$E$62)*('BTX Recycling HC'!AC213+'BTX Recycling HC'!AC86)-'Overall recycling rates'!$H$61/SUM('Overall recycling rates'!$H$61:$H$62)*('BTX Recycling HC'!AC214+'BTX Recycling HC'!AC87)-'Overall recycling rates'!$I$61/SUM('Overall recycling rates'!$I$61:$I$62)*('BTX Recycling HC'!AC215+'BTX Recycling HC'!AC88)</f>
        <v>-599.42862250296673</v>
      </c>
      <c r="BK93" s="635">
        <f>BK52-'Overall recycling rates'!$G$61/SUM('Overall recycling rates'!$G$61:$G$62)*('BTX Recycling HC'!AD212+'BTX Recycling HC'!AD85)-'Overall recycling rates'!$E$61/SUM('Overall recycling rates'!$E$61:$E$62)*('BTX Recycling HC'!AD213+'BTX Recycling HC'!AD86)-'Overall recycling rates'!$H$61/SUM('Overall recycling rates'!$H$61:$H$62)*('BTX Recycling HC'!AD214+'BTX Recycling HC'!AD87)-'Overall recycling rates'!$I$61/SUM('Overall recycling rates'!$I$61:$I$62)*('BTX Recycling HC'!AD215+'BTX Recycling HC'!AD88)</f>
        <v>-608.38315873077897</v>
      </c>
      <c r="BL93" s="635">
        <f>BL52-'Overall recycling rates'!$G$61/SUM('Overall recycling rates'!$G$61:$G$62)*('BTX Recycling HC'!AE212+'BTX Recycling HC'!AE85)-'Overall recycling rates'!$E$61/SUM('Overall recycling rates'!$E$61:$E$62)*('BTX Recycling HC'!AE213+'BTX Recycling HC'!AE86)-'Overall recycling rates'!$H$61/SUM('Overall recycling rates'!$H$61:$H$62)*('BTX Recycling HC'!AE214+'BTX Recycling HC'!AE87)-'Overall recycling rates'!$I$61/SUM('Overall recycling rates'!$I$61:$I$62)*('BTX Recycling HC'!AE215+'BTX Recycling HC'!AE88)</f>
        <v>-599.53422111417831</v>
      </c>
      <c r="BM93" s="635">
        <f>BM52-'Overall recycling rates'!$G$61/SUM('Overall recycling rates'!$G$61:$G$62)*('BTX Recycling HC'!AF212+'BTX Recycling HC'!AF85)-'Overall recycling rates'!$E$61/SUM('Overall recycling rates'!$E$61:$E$62)*('BTX Recycling HC'!AF213+'BTX Recycling HC'!AF86)-'Overall recycling rates'!$H$61/SUM('Overall recycling rates'!$H$61:$H$62)*('BTX Recycling HC'!AF214+'BTX Recycling HC'!AF87)-'Overall recycling rates'!$I$61/SUM('Overall recycling rates'!$I$61:$I$62)*('BTX Recycling HC'!AF215+'BTX Recycling HC'!AF88)</f>
        <v>-572.67691019298979</v>
      </c>
      <c r="BN93" s="635">
        <f>BN52-'Overall recycling rates'!$G$61/SUM('Overall recycling rates'!$G$61:$G$62)*('BTX Recycling HC'!AG212+'BTX Recycling HC'!AG85)-'Overall recycling rates'!$E$61/SUM('Overall recycling rates'!$E$61:$E$62)*('BTX Recycling HC'!AG213+'BTX Recycling HC'!AG86)-'Overall recycling rates'!$H$61/SUM('Overall recycling rates'!$H$61:$H$62)*('BTX Recycling HC'!AG214+'BTX Recycling HC'!AG87)-'Overall recycling rates'!$I$61/SUM('Overall recycling rates'!$I$61:$I$62)*('BTX Recycling HC'!AG215+'BTX Recycling HC'!AG88)</f>
        <v>-527.66515827023886</v>
      </c>
    </row>
    <row r="94" spans="1:66" s="63" customFormat="1" outlineLevel="1">
      <c r="A94" s="686"/>
      <c r="B94" s="59" t="s">
        <v>1301</v>
      </c>
      <c r="C94" s="262" t="s">
        <v>166</v>
      </c>
      <c r="D94" s="638">
        <f>D53-'Overall recycling rates'!$G$62/SUM('Overall recycling rates'!$G$61:$G$62)*('BTX Recycling HC'!C212+'BTX Recycling HC'!C85)-'Overall recycling rates'!$E$62/SUM('Overall recycling rates'!$E$61:$E$62)*('BTX Recycling HC'!C213+'BTX Recycling HC'!C86)-'Overall recycling rates'!$H$62/SUM('Overall recycling rates'!$H$61:$H$62)*('BTX Recycling HC'!C214+'BTX Recycling HC'!C87)-'Overall recycling rates'!$I$62/SUM('Overall recycling rates'!$I$61:$I$62)*('BTX Recycling HC'!C215+'BTX Recycling HC'!C88)</f>
        <v>19772.34084752823</v>
      </c>
      <c r="E94" s="638">
        <f>E53-'Overall recycling rates'!$G$62/SUM('Overall recycling rates'!$G$61:$G$62)*('BTX Recycling HC'!D212+'BTX Recycling HC'!D85)-'Overall recycling rates'!$E$62/SUM('Overall recycling rates'!$E$61:$E$62)*('BTX Recycling HC'!D213+'BTX Recycling HC'!D86)-'Overall recycling rates'!$H$62/SUM('Overall recycling rates'!$H$61:$H$62)*('BTX Recycling HC'!D214+'BTX Recycling HC'!D87)-'Overall recycling rates'!$I$62/SUM('Overall recycling rates'!$I$61:$I$62)*('BTX Recycling HC'!D215+'BTX Recycling HC'!D88)</f>
        <v>19681.542373208555</v>
      </c>
      <c r="F94" s="638">
        <f>F53-'Overall recycling rates'!$G$62/SUM('Overall recycling rates'!$G$61:$G$62)*('BTX Recycling HC'!E212+'BTX Recycling HC'!E85)-'Overall recycling rates'!$E$62/SUM('Overall recycling rates'!$E$61:$E$62)*('BTX Recycling HC'!E213+'BTX Recycling HC'!E86)-'Overall recycling rates'!$H$62/SUM('Overall recycling rates'!$H$61:$H$62)*('BTX Recycling HC'!E214+'BTX Recycling HC'!E87)-'Overall recycling rates'!$I$62/SUM('Overall recycling rates'!$I$61:$I$62)*('BTX Recycling HC'!E215+'BTX Recycling HC'!E88)</f>
        <v>18925.023373435626</v>
      </c>
      <c r="G94" s="638">
        <f>G53-'Overall recycling rates'!$G$62/SUM('Overall recycling rates'!$G$61:$G$62)*('BTX Recycling HC'!F212+'BTX Recycling HC'!F85)-'Overall recycling rates'!$E$62/SUM('Overall recycling rates'!$E$61:$E$62)*('BTX Recycling HC'!F213+'BTX Recycling HC'!F86)-'Overall recycling rates'!$H$62/SUM('Overall recycling rates'!$H$61:$H$62)*('BTX Recycling HC'!F214+'BTX Recycling HC'!F87)-'Overall recycling rates'!$I$62/SUM('Overall recycling rates'!$I$61:$I$62)*('BTX Recycling HC'!F215+'BTX Recycling HC'!F88)</f>
        <v>18138.298891225186</v>
      </c>
      <c r="H94" s="638">
        <f>H53-'Overall recycling rates'!$G$62/SUM('Overall recycling rates'!$G$61:$G$62)*('BTX Recycling HC'!G212+'BTX Recycling HC'!G85)-'Overall recycling rates'!$E$62/SUM('Overall recycling rates'!$E$61:$E$62)*('BTX Recycling HC'!G213+'BTX Recycling HC'!G86)-'Overall recycling rates'!$H$62/SUM('Overall recycling rates'!$H$61:$H$62)*('BTX Recycling HC'!G214+'BTX Recycling HC'!G87)-'Overall recycling rates'!$I$62/SUM('Overall recycling rates'!$I$61:$I$62)*('BTX Recycling HC'!G215+'BTX Recycling HC'!G88)</f>
        <v>17335.119735907992</v>
      </c>
      <c r="I94" s="638">
        <f>I53-'Overall recycling rates'!$G$62/SUM('Overall recycling rates'!$G$61:$G$62)*('BTX Recycling HC'!H212+'BTX Recycling HC'!H85)-'Overall recycling rates'!$E$62/SUM('Overall recycling rates'!$E$61:$E$62)*('BTX Recycling HC'!H213+'BTX Recycling HC'!H86)-'Overall recycling rates'!$H$62/SUM('Overall recycling rates'!$H$61:$H$62)*('BTX Recycling HC'!H214+'BTX Recycling HC'!H87)-'Overall recycling rates'!$I$62/SUM('Overall recycling rates'!$I$61:$I$62)*('BTX Recycling HC'!H215+'BTX Recycling HC'!H88)</f>
        <v>16513.968582669342</v>
      </c>
      <c r="J94" s="638">
        <f>J53-'Overall recycling rates'!$G$62/SUM('Overall recycling rates'!$G$61:$G$62)*('BTX Recycling HC'!I212+'BTX Recycling HC'!I85)-'Overall recycling rates'!$E$62/SUM('Overall recycling rates'!$E$61:$E$62)*('BTX Recycling HC'!I213+'BTX Recycling HC'!I86)-'Overall recycling rates'!$H$62/SUM('Overall recycling rates'!$H$61:$H$62)*('BTX Recycling HC'!I214+'BTX Recycling HC'!I87)-'Overall recycling rates'!$I$62/SUM('Overall recycling rates'!$I$61:$I$62)*('BTX Recycling HC'!I215+'BTX Recycling HC'!I88)</f>
        <v>15762.164781741512</v>
      </c>
      <c r="K94" s="638">
        <f>K53-'Overall recycling rates'!$G$62/SUM('Overall recycling rates'!$G$61:$G$62)*('BTX Recycling HC'!J212+'BTX Recycling HC'!J85)-'Overall recycling rates'!$E$62/SUM('Overall recycling rates'!$E$61:$E$62)*('BTX Recycling HC'!J213+'BTX Recycling HC'!J86)-'Overall recycling rates'!$H$62/SUM('Overall recycling rates'!$H$61:$H$62)*('BTX Recycling HC'!J214+'BTX Recycling HC'!J87)-'Overall recycling rates'!$I$62/SUM('Overall recycling rates'!$I$61:$I$62)*('BTX Recycling HC'!J215+'BTX Recycling HC'!J88)</f>
        <v>15013.774101208714</v>
      </c>
      <c r="L94" s="638">
        <f>L53-'Overall recycling rates'!$G$62/SUM('Overall recycling rates'!$G$61:$G$62)*('BTX Recycling HC'!K212+'BTX Recycling HC'!K85)-'Overall recycling rates'!$E$62/SUM('Overall recycling rates'!$E$61:$E$62)*('BTX Recycling HC'!K213+'BTX Recycling HC'!K86)-'Overall recycling rates'!$H$62/SUM('Overall recycling rates'!$H$61:$H$62)*('BTX Recycling HC'!K214+'BTX Recycling HC'!K87)-'Overall recycling rates'!$I$62/SUM('Overall recycling rates'!$I$61:$I$62)*('BTX Recycling HC'!K215+'BTX Recycling HC'!K88)</f>
        <v>14269.883348021081</v>
      </c>
      <c r="M94" s="638">
        <f>M53-'Overall recycling rates'!$G$62/SUM('Overall recycling rates'!$G$61:$G$62)*('BTX Recycling HC'!L212+'BTX Recycling HC'!L85)-'Overall recycling rates'!$E$62/SUM('Overall recycling rates'!$E$61:$E$62)*('BTX Recycling HC'!L213+'BTX Recycling HC'!L86)-'Overall recycling rates'!$H$62/SUM('Overall recycling rates'!$H$61:$H$62)*('BTX Recycling HC'!L214+'BTX Recycling HC'!L87)-'Overall recycling rates'!$I$62/SUM('Overall recycling rates'!$I$61:$I$62)*('BTX Recycling HC'!L215+'BTX Recycling HC'!L88)</f>
        <v>13531.69845336441</v>
      </c>
      <c r="N94" s="638">
        <f>N53-'Overall recycling rates'!$G$62/SUM('Overall recycling rates'!$G$61:$G$62)*('BTX Recycling HC'!M212+'BTX Recycling HC'!M85)-'Overall recycling rates'!$E$62/SUM('Overall recycling rates'!$E$61:$E$62)*('BTX Recycling HC'!M213+'BTX Recycling HC'!M86)-'Overall recycling rates'!$H$62/SUM('Overall recycling rates'!$H$61:$H$62)*('BTX Recycling HC'!M214+'BTX Recycling HC'!M87)-'Overall recycling rates'!$I$62/SUM('Overall recycling rates'!$I$61:$I$62)*('BTX Recycling HC'!M215+'BTX Recycling HC'!M88)</f>
        <v>12800.544010339187</v>
      </c>
      <c r="O94" s="638">
        <f>O53-'Overall recycling rates'!$G$62/SUM('Overall recycling rates'!$G$61:$G$62)*('BTX Recycling HC'!N212+'BTX Recycling HC'!N85)-'Overall recycling rates'!$E$62/SUM('Overall recycling rates'!$E$61:$E$62)*('BTX Recycling HC'!N213+'BTX Recycling HC'!N86)-'Overall recycling rates'!$H$62/SUM('Overall recycling rates'!$H$61:$H$62)*('BTX Recycling HC'!N214+'BTX Recycling HC'!N87)-'Overall recycling rates'!$I$62/SUM('Overall recycling rates'!$I$61:$I$62)*('BTX Recycling HC'!N215+'BTX Recycling HC'!N88)</f>
        <v>12049.297564694214</v>
      </c>
      <c r="P94" s="638">
        <f>P53-'Overall recycling rates'!$G$62/SUM('Overall recycling rates'!$G$61:$G$62)*('BTX Recycling HC'!O212+'BTX Recycling HC'!O85)-'Overall recycling rates'!$E$62/SUM('Overall recycling rates'!$E$61:$E$62)*('BTX Recycling HC'!O213+'BTX Recycling HC'!O86)-'Overall recycling rates'!$H$62/SUM('Overall recycling rates'!$H$61:$H$62)*('BTX Recycling HC'!O214+'BTX Recycling HC'!O87)-'Overall recycling rates'!$I$62/SUM('Overall recycling rates'!$I$61:$I$62)*('BTX Recycling HC'!O215+'BTX Recycling HC'!O88)</f>
        <v>11318.300200593507</v>
      </c>
      <c r="Q94" s="638">
        <f>Q53-'Overall recycling rates'!$G$62/SUM('Overall recycling rates'!$G$61:$G$62)*('BTX Recycling HC'!P212+'BTX Recycling HC'!P85)-'Overall recycling rates'!$E$62/SUM('Overall recycling rates'!$E$61:$E$62)*('BTX Recycling HC'!P213+'BTX Recycling HC'!P86)-'Overall recycling rates'!$H$62/SUM('Overall recycling rates'!$H$61:$H$62)*('BTX Recycling HC'!P214+'BTX Recycling HC'!P87)-'Overall recycling rates'!$I$62/SUM('Overall recycling rates'!$I$61:$I$62)*('BTX Recycling HC'!P215+'BTX Recycling HC'!P88)</f>
        <v>10608.890578469514</v>
      </c>
      <c r="R94" s="638">
        <f>R53-'Overall recycling rates'!$G$62/SUM('Overall recycling rates'!$G$61:$G$62)*('BTX Recycling HC'!Q212+'BTX Recycling HC'!Q85)-'Overall recycling rates'!$E$62/SUM('Overall recycling rates'!$E$61:$E$62)*('BTX Recycling HC'!Q213+'BTX Recycling HC'!Q86)-'Overall recycling rates'!$H$62/SUM('Overall recycling rates'!$H$61:$H$62)*('BTX Recycling HC'!Q214+'BTX Recycling HC'!Q87)-'Overall recycling rates'!$I$62/SUM('Overall recycling rates'!$I$61:$I$62)*('BTX Recycling HC'!Q215+'BTX Recycling HC'!Q88)</f>
        <v>9922.7235622348344</v>
      </c>
      <c r="S94" s="638">
        <f>S53-'Overall recycling rates'!$G$62/SUM('Overall recycling rates'!$G$61:$G$62)*('BTX Recycling HC'!R212+'BTX Recycling HC'!R85)-'Overall recycling rates'!$E$62/SUM('Overall recycling rates'!$E$61:$E$62)*('BTX Recycling HC'!R213+'BTX Recycling HC'!R86)-'Overall recycling rates'!$H$62/SUM('Overall recycling rates'!$H$61:$H$62)*('BTX Recycling HC'!R214+'BTX Recycling HC'!R87)-'Overall recycling rates'!$I$62/SUM('Overall recycling rates'!$I$61:$I$62)*('BTX Recycling HC'!R215+'BTX Recycling HC'!R88)</f>
        <v>9261.7678727746807</v>
      </c>
      <c r="T94" s="638">
        <f>T53-'Overall recycling rates'!$G$62/SUM('Overall recycling rates'!$G$61:$G$62)*('BTX Recycling HC'!S212+'BTX Recycling HC'!S85)-'Overall recycling rates'!$E$62/SUM('Overall recycling rates'!$E$61:$E$62)*('BTX Recycling HC'!S213+'BTX Recycling HC'!S86)-'Overall recycling rates'!$H$62/SUM('Overall recycling rates'!$H$61:$H$62)*('BTX Recycling HC'!S214+'BTX Recycling HC'!S87)-'Overall recycling rates'!$I$62/SUM('Overall recycling rates'!$I$61:$I$62)*('BTX Recycling HC'!S215+'BTX Recycling HC'!S88)</f>
        <v>8541.9274381204705</v>
      </c>
      <c r="U94" s="638">
        <f>U53-'Overall recycling rates'!$G$62/SUM('Overall recycling rates'!$G$61:$G$62)*('BTX Recycling HC'!T212+'BTX Recycling HC'!T85)-'Overall recycling rates'!$E$62/SUM('Overall recycling rates'!$E$61:$E$62)*('BTX Recycling HC'!T213+'BTX Recycling HC'!T86)-'Overall recycling rates'!$H$62/SUM('Overall recycling rates'!$H$61:$H$62)*('BTX Recycling HC'!T214+'BTX Recycling HC'!T87)-'Overall recycling rates'!$I$62/SUM('Overall recycling rates'!$I$61:$I$62)*('BTX Recycling HC'!T215+'BTX Recycling HC'!T88)</f>
        <v>7833.5838366251637</v>
      </c>
      <c r="V94" s="638">
        <f>V53-'Overall recycling rates'!$G$62/SUM('Overall recycling rates'!$G$61:$G$62)*('BTX Recycling HC'!U212+'BTX Recycling HC'!U85)-'Overall recycling rates'!$E$62/SUM('Overall recycling rates'!$E$61:$E$62)*('BTX Recycling HC'!U213+'BTX Recycling HC'!U86)-'Overall recycling rates'!$H$62/SUM('Overall recycling rates'!$H$61:$H$62)*('BTX Recycling HC'!U214+'BTX Recycling HC'!U87)-'Overall recycling rates'!$I$62/SUM('Overall recycling rates'!$I$61:$I$62)*('BTX Recycling HC'!U215+'BTX Recycling HC'!U88)</f>
        <v>7137.8973626914503</v>
      </c>
      <c r="W94" s="638">
        <f>W53-'Overall recycling rates'!$G$62/SUM('Overall recycling rates'!$G$61:$G$62)*('BTX Recycling HC'!V212+'BTX Recycling HC'!V85)-'Overall recycling rates'!$E$62/SUM('Overall recycling rates'!$E$61:$E$62)*('BTX Recycling HC'!V213+'BTX Recycling HC'!V86)-'Overall recycling rates'!$H$62/SUM('Overall recycling rates'!$H$61:$H$62)*('BTX Recycling HC'!V214+'BTX Recycling HC'!V87)-'Overall recycling rates'!$I$62/SUM('Overall recycling rates'!$I$61:$I$62)*('BTX Recycling HC'!V215+'BTX Recycling HC'!V88)</f>
        <v>6456.2767603965112</v>
      </c>
      <c r="X94" s="638">
        <f>X53-'Overall recycling rates'!$G$62/SUM('Overall recycling rates'!$G$61:$G$62)*('BTX Recycling HC'!W212+'BTX Recycling HC'!W85)-'Overall recycling rates'!$E$62/SUM('Overall recycling rates'!$E$61:$E$62)*('BTX Recycling HC'!W213+'BTX Recycling HC'!W86)-'Overall recycling rates'!$H$62/SUM('Overall recycling rates'!$H$61:$H$62)*('BTX Recycling HC'!W214+'BTX Recycling HC'!W87)-'Overall recycling rates'!$I$62/SUM('Overall recycling rates'!$I$61:$I$62)*('BTX Recycling HC'!W215+'BTX Recycling HC'!W88)</f>
        <v>5790.3768769844464</v>
      </c>
      <c r="Y94" s="638">
        <f>Y53-'Overall recycling rates'!$G$62/SUM('Overall recycling rates'!$G$61:$G$62)*('BTX Recycling HC'!X212+'BTX Recycling HC'!X85)-'Overall recycling rates'!$E$62/SUM('Overall recycling rates'!$E$61:$E$62)*('BTX Recycling HC'!X213+'BTX Recycling HC'!X86)-'Overall recycling rates'!$H$62/SUM('Overall recycling rates'!$H$61:$H$62)*('BTX Recycling HC'!X214+'BTX Recycling HC'!X87)-'Overall recycling rates'!$I$62/SUM('Overall recycling rates'!$I$61:$I$62)*('BTX Recycling HC'!X215+'BTX Recycling HC'!X88)</f>
        <v>4774.9463573621006</v>
      </c>
      <c r="Z94" s="638">
        <f>Z53-'Overall recycling rates'!$G$62/SUM('Overall recycling rates'!$G$61:$G$62)*('BTX Recycling HC'!Y212+'BTX Recycling HC'!Y85)-'Overall recycling rates'!$E$62/SUM('Overall recycling rates'!$E$61:$E$62)*('BTX Recycling HC'!Y213+'BTX Recycling HC'!Y86)-'Overall recycling rates'!$H$62/SUM('Overall recycling rates'!$H$61:$H$62)*('BTX Recycling HC'!Y214+'BTX Recycling HC'!Y87)-'Overall recycling rates'!$I$62/SUM('Overall recycling rates'!$I$61:$I$62)*('BTX Recycling HC'!Y215+'BTX Recycling HC'!Y88)</f>
        <v>3788.2560183941723</v>
      </c>
      <c r="AA94" s="638">
        <f>AA53-'Overall recycling rates'!$G$62/SUM('Overall recycling rates'!$G$61:$G$62)*('BTX Recycling HC'!Z212+'BTX Recycling HC'!Z85)-'Overall recycling rates'!$E$62/SUM('Overall recycling rates'!$E$61:$E$62)*('BTX Recycling HC'!Z213+'BTX Recycling HC'!Z86)-'Overall recycling rates'!$H$62/SUM('Overall recycling rates'!$H$61:$H$62)*('BTX Recycling HC'!Z214+'BTX Recycling HC'!Z87)-'Overall recycling rates'!$I$62/SUM('Overall recycling rates'!$I$61:$I$62)*('BTX Recycling HC'!Z215+'BTX Recycling HC'!Z88)</f>
        <v>2833.3192497146106</v>
      </c>
      <c r="AB94" s="638">
        <f>AB53-'Overall recycling rates'!$G$62/SUM('Overall recycling rates'!$G$61:$G$62)*('BTX Recycling HC'!AA212+'BTX Recycling HC'!AA85)-'Overall recycling rates'!$E$62/SUM('Overall recycling rates'!$E$61:$E$62)*('BTX Recycling HC'!AA213+'BTX Recycling HC'!AA86)-'Overall recycling rates'!$H$62/SUM('Overall recycling rates'!$H$61:$H$62)*('BTX Recycling HC'!AA214+'BTX Recycling HC'!AA87)-'Overall recycling rates'!$I$62/SUM('Overall recycling rates'!$I$61:$I$62)*('BTX Recycling HC'!AA215+'BTX Recycling HC'!AA88)</f>
        <v>1913.5473457459984</v>
      </c>
      <c r="AC94" s="638">
        <f>AC53-'Overall recycling rates'!$G$62/SUM('Overall recycling rates'!$G$61:$G$62)*('BTX Recycling HC'!AB212+'BTX Recycling HC'!AB85)-'Overall recycling rates'!$E$62/SUM('Overall recycling rates'!$E$61:$E$62)*('BTX Recycling HC'!AB213+'BTX Recycling HC'!AB86)-'Overall recycling rates'!$H$62/SUM('Overall recycling rates'!$H$61:$H$62)*('BTX Recycling HC'!AB214+'BTX Recycling HC'!AB87)-'Overall recycling rates'!$I$62/SUM('Overall recycling rates'!$I$61:$I$62)*('BTX Recycling HC'!AB215+'BTX Recycling HC'!AB88)</f>
        <v>1032.7457049304619</v>
      </c>
      <c r="AD94" s="638">
        <f>AD53-'Overall recycling rates'!$G$62/SUM('Overall recycling rates'!$G$61:$G$62)*('BTX Recycling HC'!AC212+'BTX Recycling HC'!AC85)-'Overall recycling rates'!$E$62/SUM('Overall recycling rates'!$E$61:$E$62)*('BTX Recycling HC'!AC213+'BTX Recycling HC'!AC86)-'Overall recycling rates'!$H$62/SUM('Overall recycling rates'!$H$61:$H$62)*('BTX Recycling HC'!AC214+'BTX Recycling HC'!AC87)-'Overall recycling rates'!$I$62/SUM('Overall recycling rates'!$I$61:$I$62)*('BTX Recycling HC'!AC215+'BTX Recycling HC'!AC88)</f>
        <v>310.48189632053283</v>
      </c>
      <c r="AE94" s="638">
        <f>AE53-'Overall recycling rates'!$G$62/SUM('Overall recycling rates'!$G$61:$G$62)*('BTX Recycling HC'!AD212+'BTX Recycling HC'!AD85)-'Overall recycling rates'!$E$62/SUM('Overall recycling rates'!$E$61:$E$62)*('BTX Recycling HC'!AD213+'BTX Recycling HC'!AD86)-'Overall recycling rates'!$H$62/SUM('Overall recycling rates'!$H$61:$H$62)*('BTX Recycling HC'!AD214+'BTX Recycling HC'!AD87)-'Overall recycling rates'!$I$62/SUM('Overall recycling rates'!$I$61:$I$62)*('BTX Recycling HC'!AD215+'BTX Recycling HC'!AD88)</f>
        <v>-342.85695548548904</v>
      </c>
      <c r="AF94" s="638">
        <f>AF53-'Overall recycling rates'!$G$62/SUM('Overall recycling rates'!$G$61:$G$62)*('BTX Recycling HC'!AE212+'BTX Recycling HC'!AE85)-'Overall recycling rates'!$E$62/SUM('Overall recycling rates'!$E$61:$E$62)*('BTX Recycling HC'!AE213+'BTX Recycling HC'!AE86)-'Overall recycling rates'!$H$62/SUM('Overall recycling rates'!$H$61:$H$62)*('BTX Recycling HC'!AE214+'BTX Recycling HC'!AE87)-'Overall recycling rates'!$I$62/SUM('Overall recycling rates'!$I$61:$I$62)*('BTX Recycling HC'!AE215+'BTX Recycling HC'!AE88)</f>
        <v>-920.64231260206998</v>
      </c>
      <c r="AG94" s="638">
        <f>AG53-'Overall recycling rates'!$G$62/SUM('Overall recycling rates'!$G$61:$G$62)*('BTX Recycling HC'!AF212+'BTX Recycling HC'!AF85)-'Overall recycling rates'!$E$62/SUM('Overall recycling rates'!$E$61:$E$62)*('BTX Recycling HC'!AF213+'BTX Recycling HC'!AF86)-'Overall recycling rates'!$H$62/SUM('Overall recycling rates'!$H$61:$H$62)*('BTX Recycling HC'!AF214+'BTX Recycling HC'!AF87)-'Overall recycling rates'!$I$62/SUM('Overall recycling rates'!$I$61:$I$62)*('BTX Recycling HC'!AF215+'BTX Recycling HC'!AF88)</f>
        <v>-1415.8203842654079</v>
      </c>
      <c r="AH94" s="638">
        <f>AH53-'Overall recycling rates'!$G$62/SUM('Overall recycling rates'!$G$61:$G$62)*('BTX Recycling HC'!AG212+'BTX Recycling HC'!AG85)-'Overall recycling rates'!$E$62/SUM('Overall recycling rates'!$E$61:$E$62)*('BTX Recycling HC'!AG213+'BTX Recycling HC'!AG86)-'Overall recycling rates'!$H$62/SUM('Overall recycling rates'!$H$61:$H$62)*('BTX Recycling HC'!AG214+'BTX Recycling HC'!AG87)-'Overall recycling rates'!$I$62/SUM('Overall recycling rates'!$I$61:$I$62)*('BTX Recycling HC'!AG215+'BTX Recycling HC'!AG88)</f>
        <v>-1820.9159276025057</v>
      </c>
      <c r="AI94" s="638"/>
      <c r="AJ94" s="638">
        <f>AJ53-'Overall recycling rates'!$G$62/SUM('Overall recycling rates'!$G$61:$G$62)*('BTX Recycling HC'!C212+'BTX Recycling HC'!C85)-'Overall recycling rates'!$E$62/SUM('Overall recycling rates'!$E$61:$E$62)*('BTX Recycling HC'!C213+'BTX Recycling HC'!C86)-'Overall recycling rates'!$H$62/SUM('Overall recycling rates'!$H$61:$H$62)*('BTX Recycling HC'!C214+'BTX Recycling HC'!C87)-'Overall recycling rates'!$I$62/SUM('Overall recycling rates'!$I$61:$I$62)*('BTX Recycling HC'!C215+'BTX Recycling HC'!C88)</f>
        <v>19772.34084752823</v>
      </c>
      <c r="AK94" s="638">
        <f>AK53-'Overall recycling rates'!$G$62/SUM('Overall recycling rates'!$G$61:$G$62)*('BTX Recycling HC'!D212+'BTX Recycling HC'!D85)-'Overall recycling rates'!$E$62/SUM('Overall recycling rates'!$E$61:$E$62)*('BTX Recycling HC'!D213+'BTX Recycling HC'!D86)-'Overall recycling rates'!$H$62/SUM('Overall recycling rates'!$H$61:$H$62)*('BTX Recycling HC'!D214+'BTX Recycling HC'!D87)-'Overall recycling rates'!$I$62/SUM('Overall recycling rates'!$I$61:$I$62)*('BTX Recycling HC'!D215+'BTX Recycling HC'!D88)</f>
        <v>19987.025039302869</v>
      </c>
      <c r="AL94" s="638">
        <f>AL53-'Overall recycling rates'!$G$62/SUM('Overall recycling rates'!$G$61:$G$62)*('BTX Recycling HC'!E212+'BTX Recycling HC'!E85)-'Overall recycling rates'!$E$62/SUM('Overall recycling rates'!$E$61:$E$62)*('BTX Recycling HC'!E213+'BTX Recycling HC'!E86)-'Overall recycling rates'!$H$62/SUM('Overall recycling rates'!$H$61:$H$62)*('BTX Recycling HC'!E214+'BTX Recycling HC'!E87)-'Overall recycling rates'!$I$62/SUM('Overall recycling rates'!$I$61:$I$62)*('BTX Recycling HC'!E215+'BTX Recycling HC'!E88)</f>
        <v>19535.988705624248</v>
      </c>
      <c r="AM94" s="638">
        <f>AM53-'Overall recycling rates'!$G$62/SUM('Overall recycling rates'!$G$61:$G$62)*('BTX Recycling HC'!F212+'BTX Recycling HC'!F85)-'Overall recycling rates'!$E$62/SUM('Overall recycling rates'!$E$61:$E$62)*('BTX Recycling HC'!F213+'BTX Recycling HC'!F86)-'Overall recycling rates'!$H$62/SUM('Overall recycling rates'!$H$61:$H$62)*('BTX Recycling HC'!F214+'BTX Recycling HC'!F87)-'Overall recycling rates'!$I$62/SUM('Overall recycling rates'!$I$61:$I$62)*('BTX Recycling HC'!F215+'BTX Recycling HC'!F88)</f>
        <v>19054.746889508115</v>
      </c>
      <c r="AN94" s="638">
        <f>AN53-'Overall recycling rates'!$G$62/SUM('Overall recycling rates'!$G$61:$G$62)*('BTX Recycling HC'!G212+'BTX Recycling HC'!G85)-'Overall recycling rates'!$E$62/SUM('Overall recycling rates'!$E$61:$E$62)*('BTX Recycling HC'!G213+'BTX Recycling HC'!G86)-'Overall recycling rates'!$H$62/SUM('Overall recycling rates'!$H$61:$H$62)*('BTX Recycling HC'!G214+'BTX Recycling HC'!G87)-'Overall recycling rates'!$I$62/SUM('Overall recycling rates'!$I$61:$I$62)*('BTX Recycling HC'!G215+'BTX Recycling HC'!G88)</f>
        <v>18557.050400285239</v>
      </c>
      <c r="AO94" s="638">
        <f>AO53-'Overall recycling rates'!$G$62/SUM('Overall recycling rates'!$G$61:$G$62)*('BTX Recycling HC'!H212+'BTX Recycling HC'!H85)-'Overall recycling rates'!$E$62/SUM('Overall recycling rates'!$E$61:$E$62)*('BTX Recycling HC'!H213+'BTX Recycling HC'!H86)-'Overall recycling rates'!$H$62/SUM('Overall recycling rates'!$H$61:$H$62)*('BTX Recycling HC'!H214+'BTX Recycling HC'!H87)-'Overall recycling rates'!$I$62/SUM('Overall recycling rates'!$I$61:$I$62)*('BTX Recycling HC'!H215+'BTX Recycling HC'!H88)</f>
        <v>18041.3819131409</v>
      </c>
      <c r="AP94" s="638">
        <f>AP53-'Overall recycling rates'!$G$62/SUM('Overall recycling rates'!$G$61:$G$62)*('BTX Recycling HC'!I212+'BTX Recycling HC'!I85)-'Overall recycling rates'!$E$62/SUM('Overall recycling rates'!$E$61:$E$62)*('BTX Recycling HC'!I213+'BTX Recycling HC'!I86)-'Overall recycling rates'!$H$62/SUM('Overall recycling rates'!$H$61:$H$62)*('BTX Recycling HC'!I214+'BTX Recycling HC'!I87)-'Overall recycling rates'!$I$62/SUM('Overall recycling rates'!$I$61:$I$62)*('BTX Recycling HC'!I215+'BTX Recycling HC'!I88)</f>
        <v>17595.060778307383</v>
      </c>
      <c r="AQ94" s="638">
        <f>AQ53-'Overall recycling rates'!$G$62/SUM('Overall recycling rates'!$G$61:$G$62)*('BTX Recycling HC'!J212+'BTX Recycling HC'!J85)-'Overall recycling rates'!$E$62/SUM('Overall recycling rates'!$E$61:$E$62)*('BTX Recycling HC'!J213+'BTX Recycling HC'!J86)-'Overall recycling rates'!$H$62/SUM('Overall recycling rates'!$H$61:$H$62)*('BTX Recycling HC'!J214+'BTX Recycling HC'!J87)-'Overall recycling rates'!$I$62/SUM('Overall recycling rates'!$I$61:$I$62)*('BTX Recycling HC'!J215+'BTX Recycling HC'!J88)</f>
        <v>17152.152763868886</v>
      </c>
      <c r="AR94" s="638">
        <f>AR53-'Overall recycling rates'!$G$62/SUM('Overall recycling rates'!$G$61:$G$62)*('BTX Recycling HC'!K212+'BTX Recycling HC'!K85)-'Overall recycling rates'!$E$62/SUM('Overall recycling rates'!$E$61:$E$62)*('BTX Recycling HC'!K213+'BTX Recycling HC'!K86)-'Overall recycling rates'!$H$62/SUM('Overall recycling rates'!$H$61:$H$62)*('BTX Recycling HC'!K214+'BTX Recycling HC'!K87)-'Overall recycling rates'!$I$62/SUM('Overall recycling rates'!$I$61:$I$62)*('BTX Recycling HC'!K215+'BTX Recycling HC'!K88)</f>
        <v>16713.744676775568</v>
      </c>
      <c r="AS94" s="638">
        <f>AS53-'Overall recycling rates'!$G$62/SUM('Overall recycling rates'!$G$61:$G$62)*('BTX Recycling HC'!L212+'BTX Recycling HC'!L85)-'Overall recycling rates'!$E$62/SUM('Overall recycling rates'!$E$61:$E$62)*('BTX Recycling HC'!L213+'BTX Recycling HC'!L86)-'Overall recycling rates'!$H$62/SUM('Overall recycling rates'!$H$61:$H$62)*('BTX Recycling HC'!L214+'BTX Recycling HC'!L87)-'Overall recycling rates'!$I$62/SUM('Overall recycling rates'!$I$61:$I$62)*('BTX Recycling HC'!L215+'BTX Recycling HC'!L88)</f>
        <v>16281.042448213209</v>
      </c>
      <c r="AT94" s="638">
        <f>AT53-'Overall recycling rates'!$G$62/SUM('Overall recycling rates'!$G$61:$G$62)*('BTX Recycling HC'!M212+'BTX Recycling HC'!M85)-'Overall recycling rates'!$E$62/SUM('Overall recycling rates'!$E$61:$E$62)*('BTX Recycling HC'!M213+'BTX Recycling HC'!M86)-'Overall recycling rates'!$H$62/SUM('Overall recycling rates'!$H$61:$H$62)*('BTX Recycling HC'!M214+'BTX Recycling HC'!M87)-'Overall recycling rates'!$I$62/SUM('Overall recycling rates'!$I$61:$I$62)*('BTX Recycling HC'!M215+'BTX Recycling HC'!M88)</f>
        <v>15855.370671282299</v>
      </c>
      <c r="AU94" s="638">
        <f>AU53-'Overall recycling rates'!$G$62/SUM('Overall recycling rates'!$G$61:$G$62)*('BTX Recycling HC'!N212+'BTX Recycling HC'!N85)-'Overall recycling rates'!$E$62/SUM('Overall recycling rates'!$E$61:$E$62)*('BTX Recycling HC'!N213+'BTX Recycling HC'!N86)-'Overall recycling rates'!$H$62/SUM('Overall recycling rates'!$H$61:$H$62)*('BTX Recycling HC'!N214+'BTX Recycling HC'!N87)-'Overall recycling rates'!$I$62/SUM('Overall recycling rates'!$I$61:$I$62)*('BTX Recycling HC'!N215+'BTX Recycling HC'!N88)</f>
        <v>15319.642740875383</v>
      </c>
      <c r="AV94" s="638">
        <f>AV53-'Overall recycling rates'!$G$62/SUM('Overall recycling rates'!$G$61:$G$62)*('BTX Recycling HC'!O212+'BTX Recycling HC'!O85)-'Overall recycling rates'!$E$62/SUM('Overall recycling rates'!$E$61:$E$62)*('BTX Recycling HC'!O213+'BTX Recycling HC'!O86)-'Overall recycling rates'!$H$62/SUM('Overall recycling rates'!$H$61:$H$62)*('BTX Recycling HC'!O214+'BTX Recycling HC'!O87)-'Overall recycling rates'!$I$62/SUM('Overall recycling rates'!$I$61:$I$62)*('BTX Recycling HC'!O215+'BTX Recycling HC'!O88)</f>
        <v>14804.163892012737</v>
      </c>
      <c r="AW94" s="638">
        <f>AW53-'Overall recycling rates'!$G$62/SUM('Overall recycling rates'!$G$61:$G$62)*('BTX Recycling HC'!P212+'BTX Recycling HC'!P85)-'Overall recycling rates'!$E$62/SUM('Overall recycling rates'!$E$61:$E$62)*('BTX Recycling HC'!P213+'BTX Recycling HC'!P86)-'Overall recycling rates'!$H$62/SUM('Overall recycling rates'!$H$61:$H$62)*('BTX Recycling HC'!P214+'BTX Recycling HC'!P87)-'Overall recycling rates'!$I$62/SUM('Overall recycling rates'!$I$61:$I$62)*('BTX Recycling HC'!P215+'BTX Recycling HC'!P88)</f>
        <v>14310.272785126801</v>
      </c>
      <c r="AX94" s="638">
        <f>AX53-'Overall recycling rates'!$G$62/SUM('Overall recycling rates'!$G$61:$G$62)*('BTX Recycling HC'!Q212+'BTX Recycling HC'!Q85)-'Overall recycling rates'!$E$62/SUM('Overall recycling rates'!$E$61:$E$62)*('BTX Recycling HC'!Q213+'BTX Recycling HC'!Q86)-'Overall recycling rates'!$H$62/SUM('Overall recycling rates'!$H$61:$H$62)*('BTX Recycling HC'!Q214+'BTX Recycling HC'!Q87)-'Overall recycling rates'!$I$62/SUM('Overall recycling rates'!$I$61:$I$62)*('BTX Recycling HC'!Q215+'BTX Recycling HC'!Q88)</f>
        <v>13839.624284130179</v>
      </c>
      <c r="AY94" s="638">
        <f>AY53-'Overall recycling rates'!$G$62/SUM('Overall recycling rates'!$G$61:$G$62)*('BTX Recycling HC'!R212+'BTX Recycling HC'!R85)-'Overall recycling rates'!$E$62/SUM('Overall recycling rates'!$E$61:$E$62)*('BTX Recycling HC'!R213+'BTX Recycling HC'!R86)-'Overall recycling rates'!$H$62/SUM('Overall recycling rates'!$H$61:$H$62)*('BTX Recycling HC'!R214+'BTX Recycling HC'!R87)-'Overall recycling rates'!$I$62/SUM('Overall recycling rates'!$I$61:$I$62)*('BTX Recycling HC'!R215+'BTX Recycling HC'!R88)</f>
        <v>13394.187109908084</v>
      </c>
      <c r="AZ94" s="638">
        <f>AZ53-'Overall recycling rates'!$G$62/SUM('Overall recycling rates'!$G$61:$G$62)*('BTX Recycling HC'!S212+'BTX Recycling HC'!S85)-'Overall recycling rates'!$E$62/SUM('Overall recycling rates'!$E$61:$E$62)*('BTX Recycling HC'!S213+'BTX Recycling HC'!S86)-'Overall recycling rates'!$H$62/SUM('Overall recycling rates'!$H$61:$H$62)*('BTX Recycling HC'!S214+'BTX Recycling HC'!S87)-'Overall recycling rates'!$I$62/SUM('Overall recycling rates'!$I$61:$I$62)*('BTX Recycling HC'!S215+'BTX Recycling HC'!S88)</f>
        <v>12889.865190491932</v>
      </c>
      <c r="BA94" s="638">
        <f>BA53-'Overall recycling rates'!$G$62/SUM('Overall recycling rates'!$G$61:$G$62)*('BTX Recycling HC'!T212+'BTX Recycling HC'!T85)-'Overall recycling rates'!$E$62/SUM('Overall recycling rates'!$E$61:$E$62)*('BTX Recycling HC'!T213+'BTX Recycling HC'!T86)-'Overall recycling rates'!$H$62/SUM('Overall recycling rates'!$H$61:$H$62)*('BTX Recycling HC'!T214+'BTX Recycling HC'!T87)-'Overall recycling rates'!$I$62/SUM('Overall recycling rates'!$I$61:$I$62)*('BTX Recycling HC'!T215+'BTX Recycling HC'!T88)</f>
        <v>12397.040104234677</v>
      </c>
      <c r="BB94" s="638">
        <f>BB53-'Overall recycling rates'!$G$62/SUM('Overall recycling rates'!$G$61:$G$62)*('BTX Recycling HC'!U212+'BTX Recycling HC'!U85)-'Overall recycling rates'!$E$62/SUM('Overall recycling rates'!$E$61:$E$62)*('BTX Recycling HC'!U213+'BTX Recycling HC'!U86)-'Overall recycling rates'!$H$62/SUM('Overall recycling rates'!$H$61:$H$62)*('BTX Recycling HC'!U214+'BTX Recycling HC'!U87)-'Overall recycling rates'!$I$62/SUM('Overall recycling rates'!$I$61:$I$62)*('BTX Recycling HC'!U215+'BTX Recycling HC'!U88)</f>
        <v>11916.872145539026</v>
      </c>
      <c r="BC94" s="638">
        <f>BC53-'Overall recycling rates'!$G$62/SUM('Overall recycling rates'!$G$61:$G$62)*('BTX Recycling HC'!V212+'BTX Recycling HC'!V85)-'Overall recycling rates'!$E$62/SUM('Overall recycling rates'!$E$61:$E$62)*('BTX Recycling HC'!V213+'BTX Recycling HC'!V86)-'Overall recycling rates'!$H$62/SUM('Overall recycling rates'!$H$61:$H$62)*('BTX Recycling HC'!V214+'BTX Recycling HC'!V87)-'Overall recycling rates'!$I$62/SUM('Overall recycling rates'!$I$61:$I$62)*('BTX Recycling HC'!V215+'BTX Recycling HC'!V88)</f>
        <v>11450.770058482141</v>
      </c>
      <c r="BD94" s="638">
        <f>BD53-'Overall recycling rates'!$G$62/SUM('Overall recycling rates'!$G$61:$G$62)*('BTX Recycling HC'!W212+'BTX Recycling HC'!W85)-'Overall recycling rates'!$E$62/SUM('Overall recycling rates'!$E$61:$E$62)*('BTX Recycling HC'!W213+'BTX Recycling HC'!W86)-'Overall recycling rates'!$H$62/SUM('Overall recycling rates'!$H$61:$H$62)*('BTX Recycling HC'!W214+'BTX Recycling HC'!W87)-'Overall recycling rates'!$I$62/SUM('Overall recycling rates'!$I$61:$I$62)*('BTX Recycling HC'!W215+'BTX Recycling HC'!W88)</f>
        <v>11000.388690308137</v>
      </c>
      <c r="BE94" s="638">
        <f>BE53-'Overall recycling rates'!$G$62/SUM('Overall recycling rates'!$G$61:$G$62)*('BTX Recycling HC'!X212+'BTX Recycling HC'!X85)-'Overall recycling rates'!$E$62/SUM('Overall recycling rates'!$E$61:$E$62)*('BTX Recycling HC'!X213+'BTX Recycling HC'!X86)-'Overall recycling rates'!$H$62/SUM('Overall recycling rates'!$H$61:$H$62)*('BTX Recycling HC'!X214+'BTX Recycling HC'!X87)-'Overall recycling rates'!$I$62/SUM('Overall recycling rates'!$I$61:$I$62)*('BTX Recycling HC'!X215+'BTX Recycling HC'!X88)</f>
        <v>10244.964452830787</v>
      </c>
      <c r="BF94" s="638">
        <f>BF53-'Overall recycling rates'!$G$62/SUM('Overall recycling rates'!$G$61:$G$62)*('BTX Recycling HC'!Y212+'BTX Recycling HC'!Y85)-'Overall recycling rates'!$E$62/SUM('Overall recycling rates'!$E$61:$E$62)*('BTX Recycling HC'!Y213+'BTX Recycling HC'!Y86)-'Overall recycling rates'!$H$62/SUM('Overall recycling rates'!$H$61:$H$62)*('BTX Recycling HC'!Y214+'BTX Recycling HC'!Y87)-'Overall recycling rates'!$I$62/SUM('Overall recycling rates'!$I$61:$I$62)*('BTX Recycling HC'!Y215+'BTX Recycling HC'!Y88)</f>
        <v>9518.2803960078509</v>
      </c>
      <c r="BG94" s="638">
        <f>BG53-'Overall recycling rates'!$G$62/SUM('Overall recycling rates'!$G$61:$G$62)*('BTX Recycling HC'!Z212+'BTX Recycling HC'!Z85)-'Overall recycling rates'!$E$62/SUM('Overall recycling rates'!$E$61:$E$62)*('BTX Recycling HC'!Z213+'BTX Recycling HC'!Z86)-'Overall recycling rates'!$H$62/SUM('Overall recycling rates'!$H$61:$H$62)*('BTX Recycling HC'!Z214+'BTX Recycling HC'!Z87)-'Overall recycling rates'!$I$62/SUM('Overall recycling rates'!$I$61:$I$62)*('BTX Recycling HC'!Z215+'BTX Recycling HC'!Z88)</f>
        <v>8823.349909473287</v>
      </c>
      <c r="BH94" s="638">
        <f>BH53-'Overall recycling rates'!$G$62/SUM('Overall recycling rates'!$G$61:$G$62)*('BTX Recycling HC'!AA212+'BTX Recycling HC'!AA85)-'Overall recycling rates'!$E$62/SUM('Overall recycling rates'!$E$61:$E$62)*('BTX Recycling HC'!AA213+'BTX Recycling HC'!AA86)-'Overall recycling rates'!$H$62/SUM('Overall recycling rates'!$H$61:$H$62)*('BTX Recycling HC'!AA214+'BTX Recycling HC'!AA87)-'Overall recycling rates'!$I$62/SUM('Overall recycling rates'!$I$61:$I$62)*('BTX Recycling HC'!AA215+'BTX Recycling HC'!AA88)</f>
        <v>8163.5842876496745</v>
      </c>
      <c r="BI94" s="638">
        <f>BI53-'Overall recycling rates'!$G$62/SUM('Overall recycling rates'!$G$61:$G$62)*('BTX Recycling HC'!AB212+'BTX Recycling HC'!AB85)-'Overall recycling rates'!$E$62/SUM('Overall recycling rates'!$E$61:$E$62)*('BTX Recycling HC'!AB213+'BTX Recycling HC'!AB86)-'Overall recycling rates'!$H$62/SUM('Overall recycling rates'!$H$61:$H$62)*('BTX Recycling HC'!AB214+'BTX Recycling HC'!AB87)-'Overall recycling rates'!$I$62/SUM('Overall recycling rates'!$I$61:$I$62)*('BTX Recycling HC'!AB215+'BTX Recycling HC'!AB88)</f>
        <v>7542.7889289791328</v>
      </c>
      <c r="BJ94" s="638">
        <f>BJ53-'Overall recycling rates'!$G$62/SUM('Overall recycling rates'!$G$61:$G$62)*('BTX Recycling HC'!AC212+'BTX Recycling HC'!AC85)-'Overall recycling rates'!$E$62/SUM('Overall recycling rates'!$E$61:$E$62)*('BTX Recycling HC'!AC213+'BTX Recycling HC'!AC86)-'Overall recycling rates'!$H$62/SUM('Overall recycling rates'!$H$61:$H$62)*('BTX Recycling HC'!AC214+'BTX Recycling HC'!AC87)-'Overall recycling rates'!$I$62/SUM('Overall recycling rates'!$I$61:$I$62)*('BTX Recycling HC'!AC215+'BTX Recycling HC'!AC88)</f>
        <v>7080.5314025141979</v>
      </c>
      <c r="BK94" s="638">
        <f>BK53-'Overall recycling rates'!$G$62/SUM('Overall recycling rates'!$G$61:$G$62)*('BTX Recycling HC'!AD212+'BTX Recycling HC'!AD85)-'Overall recycling rates'!$E$62/SUM('Overall recycling rates'!$E$61:$E$62)*('BTX Recycling HC'!AD213+'BTX Recycling HC'!AD86)-'Overall recycling rates'!$H$62/SUM('Overall recycling rates'!$H$61:$H$62)*('BTX Recycling HC'!AD214+'BTX Recycling HC'!AD87)-'Overall recycling rates'!$I$62/SUM('Overall recycling rates'!$I$61:$I$62)*('BTX Recycling HC'!AD215+'BTX Recycling HC'!AD88)</f>
        <v>6687.1988328531734</v>
      </c>
      <c r="BL94" s="638">
        <f>BL53-'Overall recycling rates'!$G$62/SUM('Overall recycling rates'!$G$61:$G$62)*('BTX Recycling HC'!AE212+'BTX Recycling HC'!AE85)-'Overall recycling rates'!$E$62/SUM('Overall recycling rates'!$E$61:$E$62)*('BTX Recycling HC'!AE213+'BTX Recycling HC'!AE86)-'Overall recycling rates'!$H$62/SUM('Overall recycling rates'!$H$61:$H$62)*('BTX Recycling HC'!AE214+'BTX Recycling HC'!AE87)-'Overall recycling rates'!$I$62/SUM('Overall recycling rates'!$I$61:$I$62)*('BTX Recycling HC'!AE215+'BTX Recycling HC'!AE88)</f>
        <v>6369.4197578815911</v>
      </c>
      <c r="BM94" s="638">
        <f>BM53-'Overall recycling rates'!$G$62/SUM('Overall recycling rates'!$G$61:$G$62)*('BTX Recycling HC'!AF212+'BTX Recycling HC'!AF85)-'Overall recycling rates'!$E$62/SUM('Overall recycling rates'!$E$61:$E$62)*('BTX Recycling HC'!AF213+'BTX Recycling HC'!AF86)-'Overall recycling rates'!$H$62/SUM('Overall recycling rates'!$H$61:$H$62)*('BTX Recycling HC'!AF214+'BTX Recycling HC'!AF87)-'Overall recycling rates'!$I$62/SUM('Overall recycling rates'!$I$61:$I$62)*('BTX Recycling HC'!AF215+'BTX Recycling HC'!AF88)</f>
        <v>6134.2479683632473</v>
      </c>
      <c r="BN94" s="638">
        <f>BN53-'Overall recycling rates'!$G$62/SUM('Overall recycling rates'!$G$61:$G$62)*('BTX Recycling HC'!AG212+'BTX Recycling HC'!AG85)-'Overall recycling rates'!$E$62/SUM('Overall recycling rates'!$E$61:$E$62)*('BTX Recycling HC'!AG213+'BTX Recycling HC'!AG86)-'Overall recycling rates'!$H$62/SUM('Overall recycling rates'!$H$61:$H$62)*('BTX Recycling HC'!AG214+'BTX Recycling HC'!AG87)-'Overall recycling rates'!$I$62/SUM('Overall recycling rates'!$I$61:$I$62)*('BTX Recycling HC'!AG215+'BTX Recycling HC'!AG88)</f>
        <v>5989.1587071711456</v>
      </c>
    </row>
    <row r="95" spans="1:66" outlineLevel="1">
      <c r="A95" s="55" t="s">
        <v>259</v>
      </c>
      <c r="B95" s="55" t="s">
        <v>195</v>
      </c>
      <c r="C95" s="95" t="s">
        <v>166</v>
      </c>
      <c r="D95" s="631">
        <f t="shared" ref="D95:AH95" si="89">D41</f>
        <v>464042.27888543304</v>
      </c>
      <c r="E95" s="631">
        <f t="shared" si="89"/>
        <v>452876.84400945925</v>
      </c>
      <c r="F95" s="631">
        <f t="shared" si="89"/>
        <v>441711.40913348534</v>
      </c>
      <c r="G95" s="631">
        <f t="shared" si="89"/>
        <v>430545.97425751155</v>
      </c>
      <c r="H95" s="631">
        <f t="shared" si="89"/>
        <v>419380.5393815377</v>
      </c>
      <c r="I95" s="631">
        <f t="shared" si="89"/>
        <v>408215.10450556391</v>
      </c>
      <c r="J95" s="631">
        <f t="shared" si="89"/>
        <v>397049.66962959</v>
      </c>
      <c r="K95" s="631">
        <f t="shared" si="89"/>
        <v>385884.23475361621</v>
      </c>
      <c r="L95" s="631">
        <f t="shared" si="89"/>
        <v>374718.7998776423</v>
      </c>
      <c r="M95" s="631">
        <f t="shared" si="89"/>
        <v>363553.36500166851</v>
      </c>
      <c r="N95" s="631">
        <f t="shared" si="89"/>
        <v>352387.93012569472</v>
      </c>
      <c r="O95" s="631">
        <f t="shared" si="89"/>
        <v>341222.49524972087</v>
      </c>
      <c r="P95" s="631">
        <f t="shared" si="89"/>
        <v>330057.06037374708</v>
      </c>
      <c r="Q95" s="631">
        <f t="shared" si="89"/>
        <v>318891.62549777317</v>
      </c>
      <c r="R95" s="631">
        <f t="shared" si="89"/>
        <v>307726.19062179938</v>
      </c>
      <c r="S95" s="631">
        <f t="shared" si="89"/>
        <v>296560.75574582553</v>
      </c>
      <c r="T95" s="631">
        <f t="shared" si="89"/>
        <v>285395.32086985168</v>
      </c>
      <c r="U95" s="631">
        <f t="shared" si="89"/>
        <v>274229.88599387783</v>
      </c>
      <c r="V95" s="631">
        <f t="shared" si="89"/>
        <v>263064.45111790404</v>
      </c>
      <c r="W95" s="631">
        <f t="shared" si="89"/>
        <v>251899.01624193022</v>
      </c>
      <c r="X95" s="631">
        <f t="shared" si="89"/>
        <v>240733.58136595634</v>
      </c>
      <c r="Y95" s="631">
        <f t="shared" si="89"/>
        <v>229229.79997858941</v>
      </c>
      <c r="Z95" s="631">
        <f t="shared" si="89"/>
        <v>217726.01859122241</v>
      </c>
      <c r="AA95" s="631">
        <f t="shared" si="89"/>
        <v>206222.23720385539</v>
      </c>
      <c r="AB95" s="631">
        <f t="shared" si="89"/>
        <v>194718.45581648842</v>
      </c>
      <c r="AC95" s="631">
        <f t="shared" si="89"/>
        <v>183214.67442912143</v>
      </c>
      <c r="AD95" s="631">
        <f t="shared" si="89"/>
        <v>171710.89304175443</v>
      </c>
      <c r="AE95" s="631">
        <f t="shared" si="89"/>
        <v>160207.1116543875</v>
      </c>
      <c r="AF95" s="631">
        <f t="shared" si="89"/>
        <v>148703.33026702053</v>
      </c>
      <c r="AG95" s="631">
        <f t="shared" si="89"/>
        <v>137199.54887965356</v>
      </c>
      <c r="AH95" s="631">
        <f t="shared" si="89"/>
        <v>125695.76749228656</v>
      </c>
      <c r="AI95" s="191"/>
      <c r="AJ95" s="631">
        <f t="shared" ref="AJ95:BN95" si="90">AJ41</f>
        <v>464042.27888543304</v>
      </c>
      <c r="AK95" s="631">
        <f t="shared" si="90"/>
        <v>459301.79818362318</v>
      </c>
      <c r="AL95" s="631">
        <f t="shared" si="90"/>
        <v>454561.31748181337</v>
      </c>
      <c r="AM95" s="631">
        <f t="shared" si="90"/>
        <v>449820.8367800035</v>
      </c>
      <c r="AN95" s="631">
        <f t="shared" si="90"/>
        <v>445080.35607819364</v>
      </c>
      <c r="AO95" s="631">
        <f t="shared" si="90"/>
        <v>440339.87537638372</v>
      </c>
      <c r="AP95" s="631">
        <f t="shared" si="90"/>
        <v>435599.39467457391</v>
      </c>
      <c r="AQ95" s="631">
        <f t="shared" si="90"/>
        <v>430858.91397276404</v>
      </c>
      <c r="AR95" s="631">
        <f t="shared" si="90"/>
        <v>426118.43327095418</v>
      </c>
      <c r="AS95" s="631">
        <f t="shared" si="90"/>
        <v>421377.95256914431</v>
      </c>
      <c r="AT95" s="631">
        <f t="shared" si="90"/>
        <v>416637.47186733451</v>
      </c>
      <c r="AU95" s="631">
        <f t="shared" si="90"/>
        <v>411896.99116552464</v>
      </c>
      <c r="AV95" s="631">
        <f t="shared" si="90"/>
        <v>407156.51046371477</v>
      </c>
      <c r="AW95" s="631">
        <f t="shared" si="90"/>
        <v>402416.02976190497</v>
      </c>
      <c r="AX95" s="631">
        <f t="shared" si="90"/>
        <v>397675.54906009504</v>
      </c>
      <c r="AY95" s="631">
        <f t="shared" si="90"/>
        <v>392935.06835828518</v>
      </c>
      <c r="AZ95" s="631">
        <f t="shared" si="90"/>
        <v>388194.58765647531</v>
      </c>
      <c r="BA95" s="631">
        <f t="shared" si="90"/>
        <v>383454.10695466551</v>
      </c>
      <c r="BB95" s="631">
        <f t="shared" si="90"/>
        <v>378713.62625285564</v>
      </c>
      <c r="BC95" s="631">
        <f t="shared" si="90"/>
        <v>373973.14555104577</v>
      </c>
      <c r="BD95" s="631">
        <f t="shared" si="90"/>
        <v>369232.66484923591</v>
      </c>
      <c r="BE95" s="631">
        <f t="shared" si="90"/>
        <v>364348.53321706818</v>
      </c>
      <c r="BF95" s="631">
        <f t="shared" si="90"/>
        <v>359464.40158490045</v>
      </c>
      <c r="BG95" s="631">
        <f t="shared" si="90"/>
        <v>354580.26995273272</v>
      </c>
      <c r="BH95" s="631">
        <f t="shared" si="90"/>
        <v>349696.13832056499</v>
      </c>
      <c r="BI95" s="631">
        <f t="shared" si="90"/>
        <v>344812.00668839732</v>
      </c>
      <c r="BJ95" s="631">
        <f t="shared" si="90"/>
        <v>339927.87505622953</v>
      </c>
      <c r="BK95" s="631">
        <f t="shared" si="90"/>
        <v>335043.7434240618</v>
      </c>
      <c r="BL95" s="631">
        <f t="shared" si="90"/>
        <v>330159.61179189407</v>
      </c>
      <c r="BM95" s="631">
        <f t="shared" si="90"/>
        <v>325275.48015972634</v>
      </c>
      <c r="BN95" s="631">
        <f t="shared" si="90"/>
        <v>320391.34852755861</v>
      </c>
    </row>
    <row r="96" spans="1:66" outlineLevel="1">
      <c r="A96"/>
      <c r="B96" t="s">
        <v>262</v>
      </c>
      <c r="C96" s="51" t="s">
        <v>166</v>
      </c>
      <c r="D96" s="101">
        <f>'BTX Recycling HC'!C248</f>
        <v>0</v>
      </c>
      <c r="E96" s="101">
        <f>'BTX Recycling HC'!D248</f>
        <v>54.931405053485364</v>
      </c>
      <c r="F96" s="101">
        <f>'BTX Recycling HC'!E248</f>
        <v>115.85968001959803</v>
      </c>
      <c r="G96" s="101">
        <f>'BTX Recycling HC'!F248</f>
        <v>182.784824898338</v>
      </c>
      <c r="H96" s="101">
        <f>'BTX Recycling HC'!G248</f>
        <v>255.70683968970525</v>
      </c>
      <c r="I96" s="101">
        <f>'BTX Recycling HC'!H248</f>
        <v>334.62572439369978</v>
      </c>
      <c r="J96" s="101">
        <f>'BTX Recycling HC'!I248</f>
        <v>419.54147901032172</v>
      </c>
      <c r="K96" s="101">
        <f>'BTX Recycling HC'!J248</f>
        <v>510.45410353957084</v>
      </c>
      <c r="L96" s="101">
        <f>'BTX Recycling HC'!K248</f>
        <v>607.36359798144736</v>
      </c>
      <c r="M96" s="101">
        <f>'BTX Recycling HC'!L248</f>
        <v>710.26996233595116</v>
      </c>
      <c r="N96" s="101">
        <f>'BTX Recycling HC'!M248</f>
        <v>819.17319660308203</v>
      </c>
      <c r="O96" s="101">
        <f>'BTX Recycling HC'!N248</f>
        <v>1020.8496561349308</v>
      </c>
      <c r="P96" s="101">
        <f>'BTX Recycling HC'!O248</f>
        <v>1235.1656722518558</v>
      </c>
      <c r="Q96" s="101">
        <f>'BTX Recycling HC'!P248</f>
        <v>1462.1212449538568</v>
      </c>
      <c r="R96" s="101">
        <f>'BTX Recycling HC'!Q248</f>
        <v>1701.7163742409334</v>
      </c>
      <c r="S96" s="101">
        <f>'BTX Recycling HC'!R248</f>
        <v>1953.9510601130867</v>
      </c>
      <c r="T96" s="101">
        <f>'BTX Recycling HC'!S248</f>
        <v>2218.8253025703152</v>
      </c>
      <c r="U96" s="101">
        <f>'BTX Recycling HC'!T248</f>
        <v>2496.3391016126202</v>
      </c>
      <c r="V96" s="101">
        <f>'BTX Recycling HC'!U248</f>
        <v>2786.4924572400014</v>
      </c>
      <c r="W96" s="101">
        <f>'BTX Recycling HC'!V248</f>
        <v>3089.2853694524579</v>
      </c>
      <c r="X96" s="101">
        <f>'BTX Recycling HC'!W248</f>
        <v>3404.717838249991</v>
      </c>
      <c r="Y96" s="101">
        <f>'BTX Recycling HC'!X248</f>
        <v>3886.4872268268759</v>
      </c>
      <c r="Z96" s="101">
        <f>'BTX Recycling HC'!Y248</f>
        <v>4389.4049245837105</v>
      </c>
      <c r="AA96" s="101">
        <f>'BTX Recycling HC'!Z248</f>
        <v>4913.4709315204909</v>
      </c>
      <c r="AB96" s="101">
        <f>'BTX Recycling HC'!AA248</f>
        <v>5458.6852476372187</v>
      </c>
      <c r="AC96" s="101">
        <f>'BTX Recycling HC'!AB248</f>
        <v>6025.0478729338929</v>
      </c>
      <c r="AD96" s="101">
        <f>'BTX Recycling HC'!AC248</f>
        <v>6612.5588074105144</v>
      </c>
      <c r="AE96" s="101">
        <f>'BTX Recycling HC'!AD248</f>
        <v>7221.2180510670833</v>
      </c>
      <c r="AF96" s="101">
        <f>'BTX Recycling HC'!AE248</f>
        <v>7851.0256039036003</v>
      </c>
      <c r="AG96" s="101">
        <f>'BTX Recycling HC'!AF248</f>
        <v>8501.9814659200656</v>
      </c>
      <c r="AH96" s="101">
        <f>'BTX Recycling HC'!AG248</f>
        <v>9174.0856371164718</v>
      </c>
      <c r="AI96" s="191"/>
      <c r="AJ96" s="101">
        <f>D96</f>
        <v>0</v>
      </c>
      <c r="AK96" s="101">
        <f>E96</f>
        <v>54.931405053485364</v>
      </c>
      <c r="AL96" s="101">
        <f t="shared" ref="AL96:BA99" si="91">F96</f>
        <v>115.85968001959803</v>
      </c>
      <c r="AM96" s="101">
        <f t="shared" si="91"/>
        <v>182.784824898338</v>
      </c>
      <c r="AN96" s="101">
        <f t="shared" si="91"/>
        <v>255.70683968970525</v>
      </c>
      <c r="AO96" s="101">
        <f t="shared" si="91"/>
        <v>334.62572439369978</v>
      </c>
      <c r="AP96" s="101">
        <f t="shared" si="91"/>
        <v>419.54147901032172</v>
      </c>
      <c r="AQ96" s="101">
        <f t="shared" si="91"/>
        <v>510.45410353957084</v>
      </c>
      <c r="AR96" s="101">
        <f t="shared" si="91"/>
        <v>607.36359798144736</v>
      </c>
      <c r="AS96" s="101">
        <f t="shared" si="91"/>
        <v>710.26996233595116</v>
      </c>
      <c r="AT96" s="101">
        <f t="shared" si="91"/>
        <v>819.17319660308203</v>
      </c>
      <c r="AU96" s="101">
        <f t="shared" si="91"/>
        <v>1020.8496561349308</v>
      </c>
      <c r="AV96" s="101">
        <f t="shared" si="91"/>
        <v>1235.1656722518558</v>
      </c>
      <c r="AW96" s="101">
        <f t="shared" si="91"/>
        <v>1462.1212449538568</v>
      </c>
      <c r="AX96" s="101">
        <f t="shared" si="91"/>
        <v>1701.7163742409334</v>
      </c>
      <c r="AY96" s="101">
        <f t="shared" si="91"/>
        <v>1953.9510601130867</v>
      </c>
      <c r="AZ96" s="101">
        <f t="shared" si="91"/>
        <v>2218.8253025703152</v>
      </c>
      <c r="BA96" s="101">
        <f t="shared" si="91"/>
        <v>2496.3391016126202</v>
      </c>
      <c r="BB96" s="101">
        <f t="shared" ref="BB96:BN99" si="92">V96</f>
        <v>2786.4924572400014</v>
      </c>
      <c r="BC96" s="101">
        <f t="shared" si="92"/>
        <v>3089.2853694524579</v>
      </c>
      <c r="BD96" s="101">
        <f t="shared" si="92"/>
        <v>3404.717838249991</v>
      </c>
      <c r="BE96" s="101">
        <f t="shared" si="92"/>
        <v>3886.4872268268759</v>
      </c>
      <c r="BF96" s="101">
        <f t="shared" si="92"/>
        <v>4389.4049245837105</v>
      </c>
      <c r="BG96" s="101">
        <f t="shared" si="92"/>
        <v>4913.4709315204909</v>
      </c>
      <c r="BH96" s="101">
        <f t="shared" si="92"/>
        <v>5458.6852476372187</v>
      </c>
      <c r="BI96" s="101">
        <f t="shared" si="92"/>
        <v>6025.0478729338929</v>
      </c>
      <c r="BJ96" s="101">
        <f t="shared" si="92"/>
        <v>6612.5588074105144</v>
      </c>
      <c r="BK96" s="101">
        <f t="shared" si="92"/>
        <v>7221.2180510670833</v>
      </c>
      <c r="BL96" s="101">
        <f t="shared" si="92"/>
        <v>7851.0256039036003</v>
      </c>
      <c r="BM96" s="101">
        <f t="shared" si="92"/>
        <v>8501.9814659200656</v>
      </c>
      <c r="BN96" s="101">
        <f t="shared" si="92"/>
        <v>9174.0856371164718</v>
      </c>
    </row>
    <row r="97" spans="1:66" outlineLevel="1">
      <c r="A97"/>
      <c r="B97" t="s">
        <v>264</v>
      </c>
      <c r="C97" s="51" t="s">
        <v>166</v>
      </c>
      <c r="D97" s="101">
        <f>'BTX Recycling HC'!C114</f>
        <v>0</v>
      </c>
      <c r="E97" s="101">
        <f>'BTX Recycling HC'!D114</f>
        <v>838.78007173795777</v>
      </c>
      <c r="F97" s="101">
        <f>'BTX Recycling HC'!E114</f>
        <v>1445.4562851328737</v>
      </c>
      <c r="G97" s="101">
        <f>'BTX Recycling HC'!F114</f>
        <v>2112.6611639423936</v>
      </c>
      <c r="H97" s="101">
        <f>'BTX Recycling HC'!G114</f>
        <v>2743.0704102951422</v>
      </c>
      <c r="I97" s="101">
        <f>'BTX Recycling HC'!H114</f>
        <v>3336.8586118902458</v>
      </c>
      <c r="J97" s="101">
        <f>'BTX Recycling HC'!I114</f>
        <v>3894.2081005574728</v>
      </c>
      <c r="K97" s="101">
        <f>'BTX Recycling HC'!J114</f>
        <v>4415.3089522572191</v>
      </c>
      <c r="L97" s="101">
        <f>'BTX Recycling HC'!K114</f>
        <v>4900.358987080479</v>
      </c>
      <c r="M97" s="101">
        <f>'BTX Recycling HC'!L114</f>
        <v>5349.5637692488745</v>
      </c>
      <c r="N97" s="101">
        <f>'BTX Recycling HC'!M114</f>
        <v>5763.1366071146258</v>
      </c>
      <c r="O97" s="101">
        <f>'BTX Recycling HC'!N114</f>
        <v>6836.2732241696503</v>
      </c>
      <c r="P97" s="101">
        <f>'BTX Recycling HC'!O114</f>
        <v>7747.9995030609061</v>
      </c>
      <c r="Q97" s="101">
        <f>'BTX Recycling HC'!P114</f>
        <v>8499.7007766768656</v>
      </c>
      <c r="R97" s="101">
        <f>'BTX Recycling HC'!Q114</f>
        <v>9092.8016832000067</v>
      </c>
      <c r="S97" s="101">
        <f>'BTX Recycling HC'!R114</f>
        <v>9528.7661661066886</v>
      </c>
      <c r="T97" s="101">
        <f>'BTX Recycling HC'!S114</f>
        <v>9809.097474167269</v>
      </c>
      <c r="U97" s="101">
        <f>'BTX Recycling HC'!T114</f>
        <v>9935.3381614460741</v>
      </c>
      <c r="V97" s="101">
        <f>'BTX Recycling HC'!U114</f>
        <v>9909.0700873013484</v>
      </c>
      <c r="W97" s="101">
        <f>'BTX Recycling HC'!V114</f>
        <v>9731.9144163853052</v>
      </c>
      <c r="X97" s="101">
        <f>'BTX Recycling HC'!W114</f>
        <v>9405.5316186441705</v>
      </c>
      <c r="Y97" s="101">
        <f>'BTX Recycling HC'!X114</f>
        <v>9891.7674551198361</v>
      </c>
      <c r="Z97" s="101">
        <f>'BTX Recycling HC'!Y114</f>
        <v>10134.233027092319</v>
      </c>
      <c r="AA97" s="101">
        <f>'BTX Recycling HC'!Z114</f>
        <v>10135.655817366853</v>
      </c>
      <c r="AB97" s="101">
        <f>'BTX Recycling HC'!AA114</f>
        <v>9898.8269737241353</v>
      </c>
      <c r="AC97" s="101">
        <f>'BTX Recycling HC'!AB114</f>
        <v>9426.6013089201952</v>
      </c>
      <c r="AD97" s="101">
        <f>'BTX Recycling HC'!AC114</f>
        <v>8721.8973006864981</v>
      </c>
      <c r="AE97" s="101">
        <f>'BTX Recycling HC'!AD114</f>
        <v>7787.6970917299041</v>
      </c>
      <c r="AF97" s="101">
        <f>'BTX Recycling HC'!AE114</f>
        <v>6627.0464897326019</v>
      </c>
      <c r="AG97" s="101">
        <f>'BTX Recycling HC'!AF114</f>
        <v>5243.054967352211</v>
      </c>
      <c r="AH97" s="101">
        <f>'BTX Recycling HC'!AG114</f>
        <v>3638.8956622217447</v>
      </c>
      <c r="AI97" s="191"/>
      <c r="AJ97" s="101">
        <f t="shared" ref="AJ97:AY99" si="93">D97</f>
        <v>0</v>
      </c>
      <c r="AK97" s="101">
        <f t="shared" si="93"/>
        <v>838.78007173795777</v>
      </c>
      <c r="AL97" s="101">
        <f t="shared" si="93"/>
        <v>1445.4562851328737</v>
      </c>
      <c r="AM97" s="101">
        <f t="shared" si="93"/>
        <v>2112.6611639423936</v>
      </c>
      <c r="AN97" s="101">
        <f t="shared" si="93"/>
        <v>2743.0704102951422</v>
      </c>
      <c r="AO97" s="101">
        <f t="shared" si="93"/>
        <v>3336.8586118902458</v>
      </c>
      <c r="AP97" s="101">
        <f t="shared" si="93"/>
        <v>3894.2081005574728</v>
      </c>
      <c r="AQ97" s="101">
        <f t="shared" si="93"/>
        <v>4415.3089522572191</v>
      </c>
      <c r="AR97" s="101">
        <f t="shared" si="93"/>
        <v>4900.358987080479</v>
      </c>
      <c r="AS97" s="101">
        <f t="shared" si="93"/>
        <v>5349.5637692488745</v>
      </c>
      <c r="AT97" s="101">
        <f t="shared" si="93"/>
        <v>5763.1366071146258</v>
      </c>
      <c r="AU97" s="101">
        <f t="shared" si="93"/>
        <v>6836.2732241696503</v>
      </c>
      <c r="AV97" s="101">
        <f t="shared" si="93"/>
        <v>7747.9995030609061</v>
      </c>
      <c r="AW97" s="101">
        <f t="shared" si="93"/>
        <v>8499.7007766768656</v>
      </c>
      <c r="AX97" s="101">
        <f t="shared" si="93"/>
        <v>9092.8016832000067</v>
      </c>
      <c r="AY97" s="101">
        <f t="shared" si="93"/>
        <v>9528.7661661066886</v>
      </c>
      <c r="AZ97" s="101">
        <f t="shared" si="91"/>
        <v>9809.097474167269</v>
      </c>
      <c r="BA97" s="101">
        <f t="shared" si="91"/>
        <v>9935.3381614460741</v>
      </c>
      <c r="BB97" s="101">
        <f t="shared" si="92"/>
        <v>9909.0700873013484</v>
      </c>
      <c r="BC97" s="101">
        <f t="shared" si="92"/>
        <v>9731.9144163853052</v>
      </c>
      <c r="BD97" s="101">
        <f t="shared" si="92"/>
        <v>9405.5316186441705</v>
      </c>
      <c r="BE97" s="101">
        <f t="shared" si="92"/>
        <v>9891.7674551198361</v>
      </c>
      <c r="BF97" s="101">
        <f t="shared" si="92"/>
        <v>10134.233027092319</v>
      </c>
      <c r="BG97" s="101">
        <f t="shared" si="92"/>
        <v>10135.655817366853</v>
      </c>
      <c r="BH97" s="101">
        <f t="shared" si="92"/>
        <v>9898.8269737241353</v>
      </c>
      <c r="BI97" s="101">
        <f t="shared" si="92"/>
        <v>9426.6013089201952</v>
      </c>
      <c r="BJ97" s="101">
        <f t="shared" si="92"/>
        <v>8721.8973006864981</v>
      </c>
      <c r="BK97" s="101">
        <f t="shared" si="92"/>
        <v>7787.6970917299041</v>
      </c>
      <c r="BL97" s="101">
        <f t="shared" si="92"/>
        <v>6627.0464897326019</v>
      </c>
      <c r="BM97" s="101">
        <f t="shared" si="92"/>
        <v>5243.054967352211</v>
      </c>
      <c r="BN97" s="101">
        <f t="shared" si="92"/>
        <v>3638.8956622217447</v>
      </c>
    </row>
    <row r="98" spans="1:66" outlineLevel="1">
      <c r="A98" s="169"/>
      <c r="B98" s="169" t="s">
        <v>265</v>
      </c>
      <c r="C98" s="165" t="s">
        <v>166</v>
      </c>
      <c r="D98" s="122">
        <f>'BTX Recycling HC'!C159</f>
        <v>0</v>
      </c>
      <c r="E98" s="122">
        <f>'BTX Recycling HC'!D159</f>
        <v>73.22451961701961</v>
      </c>
      <c r="F98" s="122">
        <f>'BTX Recycling HC'!E159</f>
        <v>144.48705701124624</v>
      </c>
      <c r="G98" s="122">
        <f>'BTX Recycling HC'!F159</f>
        <v>213.59014031514221</v>
      </c>
      <c r="H98" s="122">
        <f>'BTX Recycling HC'!G159</f>
        <v>280.33629766117019</v>
      </c>
      <c r="I98" s="122">
        <f>'BTX Recycling HC'!H159</f>
        <v>344.52805718179218</v>
      </c>
      <c r="J98" s="122">
        <f>'BTX Recycling HC'!I159</f>
        <v>405.967947009471</v>
      </c>
      <c r="K98" s="122">
        <f>'BTX Recycling HC'!J159</f>
        <v>464.45849527666837</v>
      </c>
      <c r="L98" s="122">
        <f>'BTX Recycling HC'!K159</f>
        <v>519.80223011584712</v>
      </c>
      <c r="M98" s="122">
        <f>'BTX Recycling HC'!L159</f>
        <v>571.80167965946976</v>
      </c>
      <c r="N98" s="122">
        <f>'BTX Recycling HC'!M159</f>
        <v>620.2593720399982</v>
      </c>
      <c r="O98" s="122">
        <f>'BTX Recycling HC'!N159</f>
        <v>736.86672091354865</v>
      </c>
      <c r="P98" s="122">
        <f>'BTX Recycling HC'!O159</f>
        <v>846.19724069175243</v>
      </c>
      <c r="Q98" s="122">
        <f>'BTX Recycling HC'!P159</f>
        <v>943.55032204373458</v>
      </c>
      <c r="R98" s="122">
        <f>'BTX Recycling HC'!Q159</f>
        <v>1032.1269896800591</v>
      </c>
      <c r="S98" s="122">
        <f>'BTX Recycling HC'!R159</f>
        <v>1111.5927613905374</v>
      </c>
      <c r="T98" s="122">
        <f>'BTX Recycling HC'!S159</f>
        <v>1181.6199922406649</v>
      </c>
      <c r="U98" s="122">
        <f>'BTX Recycling HC'!T159</f>
        <v>1241.8879644729655</v>
      </c>
      <c r="V98" s="122">
        <f>'BTX Recycling HC'!U159</f>
        <v>1292.082977408339</v>
      </c>
      <c r="W98" s="122">
        <f>'BTX Recycling HC'!V159</f>
        <v>1331.8984373474063</v>
      </c>
      <c r="X98" s="122">
        <f>'BTX Recycling HC'!W159</f>
        <v>1361.0349474718587</v>
      </c>
      <c r="Y98" s="122">
        <f>'BTX Recycling HC'!X159</f>
        <v>1443.5966264815747</v>
      </c>
      <c r="Z98" s="122">
        <f>'BTX Recycling HC'!Y159</f>
        <v>1508.4923689368275</v>
      </c>
      <c r="AA98" s="122">
        <f>'BTX Recycling HC'!Z159</f>
        <v>1539.2484488351915</v>
      </c>
      <c r="AB98" s="122">
        <f>'BTX Recycling HC'!AA159</f>
        <v>1550.499314837205</v>
      </c>
      <c r="AC98" s="122">
        <f>'BTX Recycling HC'!AB159</f>
        <v>1542.2656027856196</v>
      </c>
      <c r="AD98" s="122">
        <f>'BTX Recycling HC'!AC159</f>
        <v>1514.6208278058543</v>
      </c>
      <c r="AE98" s="122">
        <f>'BTX Recycling HC'!AD159</f>
        <v>1467.6925124674922</v>
      </c>
      <c r="AF98" s="122">
        <f>'BTX Recycling HC'!AE159</f>
        <v>1401.6633149457716</v>
      </c>
      <c r="AG98" s="122">
        <f>'BTX Recycling HC'!AF159</f>
        <v>1316.7721571830702</v>
      </c>
      <c r="AH98" s="122">
        <f>'BTX Recycling HC'!AG159</f>
        <v>1213.3153530504046</v>
      </c>
      <c r="AI98" s="191"/>
      <c r="AJ98" s="101">
        <f t="shared" si="93"/>
        <v>0</v>
      </c>
      <c r="AK98" s="101">
        <f t="shared" si="93"/>
        <v>73.22451961701961</v>
      </c>
      <c r="AL98" s="101">
        <f t="shared" si="93"/>
        <v>144.48705701124624</v>
      </c>
      <c r="AM98" s="101">
        <f t="shared" si="93"/>
        <v>213.59014031514221</v>
      </c>
      <c r="AN98" s="101">
        <f t="shared" si="93"/>
        <v>280.33629766117019</v>
      </c>
      <c r="AO98" s="101">
        <f t="shared" si="93"/>
        <v>344.52805718179218</v>
      </c>
      <c r="AP98" s="101">
        <f t="shared" si="93"/>
        <v>405.967947009471</v>
      </c>
      <c r="AQ98" s="101">
        <f t="shared" si="93"/>
        <v>464.45849527666837</v>
      </c>
      <c r="AR98" s="101">
        <f t="shared" si="93"/>
        <v>519.80223011584712</v>
      </c>
      <c r="AS98" s="101">
        <f t="shared" si="93"/>
        <v>571.80167965946976</v>
      </c>
      <c r="AT98" s="101">
        <f t="shared" si="93"/>
        <v>620.2593720399982</v>
      </c>
      <c r="AU98" s="101">
        <f t="shared" si="93"/>
        <v>736.86672091354865</v>
      </c>
      <c r="AV98" s="101">
        <f t="shared" si="93"/>
        <v>846.19724069175243</v>
      </c>
      <c r="AW98" s="101">
        <f t="shared" si="93"/>
        <v>943.55032204373458</v>
      </c>
      <c r="AX98" s="101">
        <f t="shared" si="93"/>
        <v>1032.1269896800591</v>
      </c>
      <c r="AY98" s="101">
        <f t="shared" si="93"/>
        <v>1111.5927613905374</v>
      </c>
      <c r="AZ98" s="101">
        <f t="shared" si="91"/>
        <v>1181.6199922406649</v>
      </c>
      <c r="BA98" s="101">
        <f t="shared" si="91"/>
        <v>1241.8879644729655</v>
      </c>
      <c r="BB98" s="101">
        <f t="shared" si="92"/>
        <v>1292.082977408339</v>
      </c>
      <c r="BC98" s="101">
        <f t="shared" si="92"/>
        <v>1331.8984373474063</v>
      </c>
      <c r="BD98" s="101">
        <f t="shared" si="92"/>
        <v>1361.0349474718587</v>
      </c>
      <c r="BE98" s="101">
        <f t="shared" si="92"/>
        <v>1443.5966264815747</v>
      </c>
      <c r="BF98" s="101">
        <f t="shared" si="92"/>
        <v>1508.4923689368275</v>
      </c>
      <c r="BG98" s="101">
        <f t="shared" si="92"/>
        <v>1539.2484488351915</v>
      </c>
      <c r="BH98" s="101">
        <f t="shared" si="92"/>
        <v>1550.499314837205</v>
      </c>
      <c r="BI98" s="101">
        <f t="shared" si="92"/>
        <v>1542.2656027856196</v>
      </c>
      <c r="BJ98" s="101">
        <f t="shared" si="92"/>
        <v>1514.6208278058543</v>
      </c>
      <c r="BK98" s="101">
        <f t="shared" si="92"/>
        <v>1467.6925124674922</v>
      </c>
      <c r="BL98" s="101">
        <f t="shared" si="92"/>
        <v>1401.6633149457716</v>
      </c>
      <c r="BM98" s="101">
        <f t="shared" si="92"/>
        <v>1316.7721571830702</v>
      </c>
      <c r="BN98" s="101">
        <f t="shared" si="92"/>
        <v>1213.3153530504046</v>
      </c>
    </row>
    <row r="99" spans="1:66" outlineLevel="1">
      <c r="A99" s="169"/>
      <c r="B99" s="169" t="s">
        <v>1187</v>
      </c>
      <c r="C99" s="165" t="s">
        <v>166</v>
      </c>
      <c r="D99" s="122">
        <f>'BTX Recycling HC'!C221</f>
        <v>0</v>
      </c>
      <c r="E99" s="122">
        <f>'BTX Recycling HC'!D221</f>
        <v>-481.97098057427434</v>
      </c>
      <c r="F99" s="122">
        <f>'BTX Recycling HC'!E221</f>
        <v>-185.1196565541004</v>
      </c>
      <c r="G99" s="122">
        <f>'BTX Recycling HC'!F221</f>
        <v>137.6396339818416</v>
      </c>
      <c r="H99" s="122">
        <f>'BTX Recycling HC'!G221</f>
        <v>487.11271391843638</v>
      </c>
      <c r="I99" s="122">
        <f>'BTX Recycling HC'!H221</f>
        <v>864.1054061405689</v>
      </c>
      <c r="J99" s="122">
        <f>'BTX Recycling HC'!I221</f>
        <v>1171.4204804110777</v>
      </c>
      <c r="K99" s="122">
        <f>'BTX Recycling HC'!J221</f>
        <v>1481.0178407162166</v>
      </c>
      <c r="L99" s="122">
        <f>'BTX Recycling HC'!K221</f>
        <v>1790.9281425377158</v>
      </c>
      <c r="M99" s="122">
        <f>'BTX Recycling HC'!L221</f>
        <v>2099.0824416487303</v>
      </c>
      <c r="N99" s="122">
        <f>'BTX Recycling HC'!M221</f>
        <v>2403.3121941138502</v>
      </c>
      <c r="O99" s="122">
        <f>'BTX Recycling HC'!N221</f>
        <v>2849.9759592805981</v>
      </c>
      <c r="P99" s="122">
        <f>'BTX Recycling HC'!O221</f>
        <v>3297.8230819008563</v>
      </c>
      <c r="Q99" s="122">
        <f>'BTX Recycling HC'!P221</f>
        <v>3742.5718873204792</v>
      </c>
      <c r="R99" s="122">
        <f>'BTX Recycling HC'!Q221</f>
        <v>4179.7307753457189</v>
      </c>
      <c r="S99" s="122">
        <f>'BTX Recycling HC'!R221</f>
        <v>4604.5982202432169</v>
      </c>
      <c r="T99" s="122">
        <f>'BTX Recycling HC'!S221</f>
        <v>5107.5840517914239</v>
      </c>
      <c r="U99" s="122">
        <f>'BTX Recycling HC'!T221</f>
        <v>5608.7542711408878</v>
      </c>
      <c r="V99" s="122">
        <f>'BTX Recycling HC'!U221</f>
        <v>6104.693262939787</v>
      </c>
      <c r="W99" s="122">
        <f>'BTX Recycling HC'!V221</f>
        <v>6591.8373090284276</v>
      </c>
      <c r="X99" s="122">
        <f>'BTX Recycling HC'!W221</f>
        <v>7066.4745884392287</v>
      </c>
      <c r="Y99" s="122">
        <f>'BTX Recycling HC'!X221</f>
        <v>7761.5053524977357</v>
      </c>
      <c r="Z99" s="122">
        <f>'BTX Recycling HC'!Y221</f>
        <v>8440.3352551780044</v>
      </c>
      <c r="AA99" s="122">
        <f>'BTX Recycling HC'!Z221</f>
        <v>9096.6534882529704</v>
      </c>
      <c r="AB99" s="122">
        <f>'BTX Recycling HC'!AA221</f>
        <v>9723.9014401845525</v>
      </c>
      <c r="AC99" s="122">
        <f>'BTX Recycling HC'!AB221</f>
        <v>10315.27269612368</v>
      </c>
      <c r="AD99" s="122">
        <f>'BTX Recycling HC'!AC221</f>
        <v>10736.393463310727</v>
      </c>
      <c r="AE99" s="122">
        <f>'BTX Recycling HC'!AD221</f>
        <v>11083.911476271434</v>
      </c>
      <c r="AF99" s="122">
        <f>'BTX Recycling HC'!AE221</f>
        <v>11348.440995427005</v>
      </c>
      <c r="AG99" s="122">
        <f>'BTX Recycling HC'!AF221</f>
        <v>11520.297325828016</v>
      </c>
      <c r="AH99" s="122">
        <f>'BTX Recycling HC'!AG221</f>
        <v>11589.496817154444</v>
      </c>
      <c r="AI99" s="191"/>
      <c r="AJ99" s="101">
        <f t="shared" si="93"/>
        <v>0</v>
      </c>
      <c r="AK99" s="101">
        <f t="shared" si="93"/>
        <v>-481.97098057427434</v>
      </c>
      <c r="AL99" s="101">
        <f t="shared" si="93"/>
        <v>-185.1196565541004</v>
      </c>
      <c r="AM99" s="101">
        <f t="shared" si="93"/>
        <v>137.6396339818416</v>
      </c>
      <c r="AN99" s="101">
        <f t="shared" si="93"/>
        <v>487.11271391843638</v>
      </c>
      <c r="AO99" s="101">
        <f t="shared" si="93"/>
        <v>864.1054061405689</v>
      </c>
      <c r="AP99" s="101">
        <f t="shared" si="93"/>
        <v>1171.4204804110777</v>
      </c>
      <c r="AQ99" s="101">
        <f t="shared" si="93"/>
        <v>1481.0178407162166</v>
      </c>
      <c r="AR99" s="101">
        <f t="shared" si="93"/>
        <v>1790.9281425377158</v>
      </c>
      <c r="AS99" s="101">
        <f t="shared" si="93"/>
        <v>2099.0824416487303</v>
      </c>
      <c r="AT99" s="101">
        <f t="shared" si="93"/>
        <v>2403.3121941138502</v>
      </c>
      <c r="AU99" s="101">
        <f t="shared" si="93"/>
        <v>2849.9759592805981</v>
      </c>
      <c r="AV99" s="101">
        <f t="shared" si="93"/>
        <v>3297.8230819008563</v>
      </c>
      <c r="AW99" s="101">
        <f t="shared" si="93"/>
        <v>3742.5718873204792</v>
      </c>
      <c r="AX99" s="101">
        <f t="shared" si="93"/>
        <v>4179.7307753457189</v>
      </c>
      <c r="AY99" s="101">
        <f t="shared" si="93"/>
        <v>4604.5982202432169</v>
      </c>
      <c r="AZ99" s="101">
        <f t="shared" si="91"/>
        <v>5107.5840517914239</v>
      </c>
      <c r="BA99" s="101">
        <f t="shared" si="91"/>
        <v>5608.7542711408878</v>
      </c>
      <c r="BB99" s="101">
        <f t="shared" si="92"/>
        <v>6104.693262939787</v>
      </c>
      <c r="BC99" s="101">
        <f t="shared" si="92"/>
        <v>6591.8373090284276</v>
      </c>
      <c r="BD99" s="101">
        <f t="shared" si="92"/>
        <v>7066.4745884392287</v>
      </c>
      <c r="BE99" s="101">
        <f t="shared" si="92"/>
        <v>7761.5053524977357</v>
      </c>
      <c r="BF99" s="101">
        <f t="shared" si="92"/>
        <v>8440.3352551780044</v>
      </c>
      <c r="BG99" s="101">
        <f t="shared" si="92"/>
        <v>9096.6534882529704</v>
      </c>
      <c r="BH99" s="101">
        <f t="shared" si="92"/>
        <v>9723.9014401845525</v>
      </c>
      <c r="BI99" s="101">
        <f t="shared" si="92"/>
        <v>10315.27269612368</v>
      </c>
      <c r="BJ99" s="101">
        <f t="shared" si="92"/>
        <v>10736.393463310727</v>
      </c>
      <c r="BK99" s="101">
        <f t="shared" si="92"/>
        <v>11083.911476271434</v>
      </c>
      <c r="BL99" s="101">
        <f t="shared" si="92"/>
        <v>11348.440995427005</v>
      </c>
      <c r="BM99" s="101">
        <f t="shared" si="92"/>
        <v>11520.297325828016</v>
      </c>
      <c r="BN99" s="101">
        <f t="shared" si="92"/>
        <v>11589.496817154444</v>
      </c>
    </row>
    <row r="100" spans="1:66" outlineLevel="1">
      <c r="A100" s="224"/>
      <c r="B100" s="224" t="s">
        <v>263</v>
      </c>
      <c r="C100" s="225" t="s">
        <v>166</v>
      </c>
      <c r="D100" s="620">
        <f>D95-D96-D97-D98-D99</f>
        <v>464042.27888543304</v>
      </c>
      <c r="E100" s="620">
        <f t="shared" ref="E100:AG100" si="94">E95-E96-E97-E98-E99</f>
        <v>452391.87899362505</v>
      </c>
      <c r="F100" s="620">
        <f t="shared" si="94"/>
        <v>440190.72576787573</v>
      </c>
      <c r="G100" s="620">
        <f t="shared" si="94"/>
        <v>427899.2984943738</v>
      </c>
      <c r="H100" s="620">
        <f t="shared" si="94"/>
        <v>415614.31311997323</v>
      </c>
      <c r="I100" s="620">
        <f t="shared" si="94"/>
        <v>403334.98670595762</v>
      </c>
      <c r="J100" s="620">
        <f t="shared" si="94"/>
        <v>391158.53162260161</v>
      </c>
      <c r="K100" s="620">
        <f t="shared" si="94"/>
        <v>379012.9953618265</v>
      </c>
      <c r="L100" s="620">
        <f t="shared" si="94"/>
        <v>366900.34691992681</v>
      </c>
      <c r="M100" s="620">
        <f t="shared" si="94"/>
        <v>354822.64714877552</v>
      </c>
      <c r="N100" s="620">
        <f t="shared" si="94"/>
        <v>342782.04875582317</v>
      </c>
      <c r="O100" s="620">
        <f t="shared" si="94"/>
        <v>329778.52968922211</v>
      </c>
      <c r="P100" s="620">
        <f t="shared" si="94"/>
        <v>316929.87487584178</v>
      </c>
      <c r="Q100" s="620">
        <f t="shared" si="94"/>
        <v>304243.68126677827</v>
      </c>
      <c r="R100" s="620">
        <f t="shared" si="94"/>
        <v>291719.8147993327</v>
      </c>
      <c r="S100" s="620">
        <f t="shared" si="94"/>
        <v>279361.84753797197</v>
      </c>
      <c r="T100" s="620">
        <f t="shared" si="94"/>
        <v>267078.19404908206</v>
      </c>
      <c r="U100" s="620">
        <f t="shared" si="94"/>
        <v>254947.5664952053</v>
      </c>
      <c r="V100" s="620">
        <f t="shared" si="94"/>
        <v>242972.11233301458</v>
      </c>
      <c r="W100" s="620">
        <f t="shared" si="94"/>
        <v>231154.08070971663</v>
      </c>
      <c r="X100" s="620">
        <f t="shared" si="94"/>
        <v>219495.82237315111</v>
      </c>
      <c r="Y100" s="620">
        <f t="shared" si="94"/>
        <v>206246.44331766339</v>
      </c>
      <c r="Z100" s="620">
        <f t="shared" si="94"/>
        <v>193253.55301543153</v>
      </c>
      <c r="AA100" s="620">
        <f t="shared" si="94"/>
        <v>180537.20851787989</v>
      </c>
      <c r="AB100" s="620">
        <f t="shared" si="94"/>
        <v>168086.54284010531</v>
      </c>
      <c r="AC100" s="620">
        <f t="shared" si="94"/>
        <v>155905.48694835804</v>
      </c>
      <c r="AD100" s="620">
        <f t="shared" si="94"/>
        <v>144125.42264254086</v>
      </c>
      <c r="AE100" s="620">
        <f t="shared" si="94"/>
        <v>132646.59252285157</v>
      </c>
      <c r="AF100" s="620">
        <f t="shared" si="94"/>
        <v>121475.15386301155</v>
      </c>
      <c r="AG100" s="620">
        <f t="shared" si="94"/>
        <v>110617.44296337021</v>
      </c>
      <c r="AH100" s="620">
        <f>AH95-AH96-AH97-AH98-AH99</f>
        <v>100079.9740227435</v>
      </c>
      <c r="AI100" s="191"/>
      <c r="AJ100" s="620">
        <f>AJ95-AJ96-AJ97-AJ98-AJ99</f>
        <v>464042.27888543304</v>
      </c>
      <c r="AK100" s="620">
        <f t="shared" ref="AK100:BN100" si="95">AK95-AK96-AK97-AK98-AK99</f>
        <v>458816.83316778898</v>
      </c>
      <c r="AL100" s="620">
        <f t="shared" si="95"/>
        <v>453040.63411620376</v>
      </c>
      <c r="AM100" s="620">
        <f t="shared" si="95"/>
        <v>447174.16101686575</v>
      </c>
      <c r="AN100" s="620">
        <f t="shared" si="95"/>
        <v>441314.12981662917</v>
      </c>
      <c r="AO100" s="620">
        <f t="shared" si="95"/>
        <v>435459.75757677743</v>
      </c>
      <c r="AP100" s="620">
        <f t="shared" si="95"/>
        <v>429708.25666758552</v>
      </c>
      <c r="AQ100" s="620">
        <f t="shared" si="95"/>
        <v>423987.67458097433</v>
      </c>
      <c r="AR100" s="620">
        <f t="shared" si="95"/>
        <v>418299.98031323869</v>
      </c>
      <c r="AS100" s="620">
        <f t="shared" si="95"/>
        <v>412647.23471625126</v>
      </c>
      <c r="AT100" s="620">
        <f t="shared" si="95"/>
        <v>407031.59049746295</v>
      </c>
      <c r="AU100" s="620">
        <f t="shared" si="95"/>
        <v>400453.02560502593</v>
      </c>
      <c r="AV100" s="620">
        <f t="shared" si="95"/>
        <v>394029.32496580947</v>
      </c>
      <c r="AW100" s="620">
        <f t="shared" si="95"/>
        <v>387768.08553091006</v>
      </c>
      <c r="AX100" s="620">
        <f t="shared" si="95"/>
        <v>381669.17323762836</v>
      </c>
      <c r="AY100" s="620">
        <f t="shared" si="95"/>
        <v>375736.16015043162</v>
      </c>
      <c r="AZ100" s="620">
        <f t="shared" si="95"/>
        <v>369877.46083570569</v>
      </c>
      <c r="BA100" s="620">
        <f t="shared" si="95"/>
        <v>364171.78745599289</v>
      </c>
      <c r="BB100" s="620">
        <f t="shared" si="95"/>
        <v>358621.28746796615</v>
      </c>
      <c r="BC100" s="620">
        <f t="shared" si="95"/>
        <v>353228.21001883224</v>
      </c>
      <c r="BD100" s="620">
        <f t="shared" si="95"/>
        <v>347994.90585643065</v>
      </c>
      <c r="BE100" s="620">
        <f t="shared" si="95"/>
        <v>341365.17655614216</v>
      </c>
      <c r="BF100" s="620">
        <f t="shared" si="95"/>
        <v>334991.9360091096</v>
      </c>
      <c r="BG100" s="620">
        <f t="shared" si="95"/>
        <v>328895.24126675719</v>
      </c>
      <c r="BH100" s="620">
        <f t="shared" si="95"/>
        <v>323064.22534418188</v>
      </c>
      <c r="BI100" s="620">
        <f t="shared" si="95"/>
        <v>317502.8192076339</v>
      </c>
      <c r="BJ100" s="620">
        <f t="shared" si="95"/>
        <v>312342.40465701593</v>
      </c>
      <c r="BK100" s="620">
        <f t="shared" si="95"/>
        <v>307483.22429252585</v>
      </c>
      <c r="BL100" s="620">
        <f t="shared" si="95"/>
        <v>302931.43538788514</v>
      </c>
      <c r="BM100" s="620">
        <f t="shared" si="95"/>
        <v>298693.37424344302</v>
      </c>
      <c r="BN100" s="620">
        <f t="shared" si="95"/>
        <v>294775.55505801551</v>
      </c>
    </row>
    <row r="101" spans="1:66" s="62" customFormat="1" outlineLevel="1">
      <c r="A101" s="684"/>
      <c r="B101" s="55" t="s">
        <v>88</v>
      </c>
      <c r="C101" s="56" t="s">
        <v>166</v>
      </c>
      <c r="D101" s="639">
        <f>D42-'Overall recycling rates'!$G$60/SUM('Overall recycling rates'!$G$60:$G$62)*('BTX Recycling HC'!C222+'BTX Recycling HC'!C249+'BTX Recycling HC'!C160+'BTX Recycling HC'!C115)-'Overall recycling rates'!$E$60/SUM('Overall recycling rates'!$E$60:$E$62)*('BTX Recycling HC'!C223+'BTX Recycling HC'!C250+'BTX Recycling HC'!C161+'BTX Recycling HC'!C116)-'Overall recycling rates'!$H$60/SUM('Overall recycling rates'!$H$60:$H$62)*('BTX Recycling HC'!C224+'BTX Recycling HC'!C251+'BTX Recycling HC'!C162+'BTX Recycling HC'!C117)-'Overall recycling rates'!$I$60/SUM('Overall recycling rates'!$I$60:$I$62)*('BTX Recycling HC'!C225+'BTX Recycling HC'!C252+'BTX Recycling HC'!C163+'BTX Recycling HC'!C118)</f>
        <v>433459.0800517234</v>
      </c>
      <c r="E101" s="639">
        <f>E42-'Overall recycling rates'!$G$60/SUM('Overall recycling rates'!$G$60:$G$62)*('BTX Recycling HC'!D222+'BTX Recycling HC'!D249+'BTX Recycling HC'!D160+'BTX Recycling HC'!D115)-'Overall recycling rates'!$E$60/SUM('Overall recycling rates'!$E$60:$E$62)*('BTX Recycling HC'!D223+'BTX Recycling HC'!D250+'BTX Recycling HC'!D161+'BTX Recycling HC'!D116)-'Overall recycling rates'!$H$60/SUM('Overall recycling rates'!$H$60:$H$62)*('BTX Recycling HC'!D224+'BTX Recycling HC'!D251+'BTX Recycling HC'!D162+'BTX Recycling HC'!D117)-'Overall recycling rates'!$I$60/SUM('Overall recycling rates'!$I$60:$I$62)*('BTX Recycling HC'!D225+'BTX Recycling HC'!D252+'BTX Recycling HC'!D163+'BTX Recycling HC'!D118)</f>
        <v>422264.80821570335</v>
      </c>
      <c r="F101" s="639">
        <f>F42-'Overall recycling rates'!$G$60/SUM('Overall recycling rates'!$G$60:$G$62)*('BTX Recycling HC'!E222+'BTX Recycling HC'!E249+'BTX Recycling HC'!E160+'BTX Recycling HC'!E115)-'Overall recycling rates'!$E$60/SUM('Overall recycling rates'!$E$60:$E$62)*('BTX Recycling HC'!E223+'BTX Recycling HC'!E250+'BTX Recycling HC'!E161+'BTX Recycling HC'!E116)-'Overall recycling rates'!$H$60/SUM('Overall recycling rates'!$H$60:$H$62)*('BTX Recycling HC'!E224+'BTX Recycling HC'!E251+'BTX Recycling HC'!E162+'BTX Recycling HC'!E117)-'Overall recycling rates'!$I$60/SUM('Overall recycling rates'!$I$60:$I$62)*('BTX Recycling HC'!E225+'BTX Recycling HC'!E252+'BTX Recycling HC'!E163+'BTX Recycling HC'!E118)</f>
        <v>411049.96515956579</v>
      </c>
      <c r="G101" s="639">
        <f>G42-'Overall recycling rates'!$G$60/SUM('Overall recycling rates'!$G$60:$G$62)*('BTX Recycling HC'!F222+'BTX Recycling HC'!F249+'BTX Recycling HC'!F160+'BTX Recycling HC'!F115)-'Overall recycling rates'!$E$60/SUM('Overall recycling rates'!$E$60:$E$62)*('BTX Recycling HC'!F223+'BTX Recycling HC'!F250+'BTX Recycling HC'!F161+'BTX Recycling HC'!F116)-'Overall recycling rates'!$H$60/SUM('Overall recycling rates'!$H$60:$H$62)*('BTX Recycling HC'!F224+'BTX Recycling HC'!F251+'BTX Recycling HC'!F162+'BTX Recycling HC'!F117)-'Overall recycling rates'!$I$60/SUM('Overall recycling rates'!$I$60:$I$62)*('BTX Recycling HC'!F225+'BTX Recycling HC'!F252+'BTX Recycling HC'!F163+'BTX Recycling HC'!F118)</f>
        <v>399810.79797876941</v>
      </c>
      <c r="H101" s="639">
        <f>H42-'Overall recycling rates'!$G$60/SUM('Overall recycling rates'!$G$60:$G$62)*('BTX Recycling HC'!G222+'BTX Recycling HC'!G249+'BTX Recycling HC'!G160+'BTX Recycling HC'!G115)-'Overall recycling rates'!$E$60/SUM('Overall recycling rates'!$E$60:$E$62)*('BTX Recycling HC'!G223+'BTX Recycling HC'!G250+'BTX Recycling HC'!G161+'BTX Recycling HC'!G116)-'Overall recycling rates'!$H$60/SUM('Overall recycling rates'!$H$60:$H$62)*('BTX Recycling HC'!G224+'BTX Recycling HC'!G251+'BTX Recycling HC'!G162+'BTX Recycling HC'!G117)-'Overall recycling rates'!$I$60/SUM('Overall recycling rates'!$I$60:$I$62)*('BTX Recycling HC'!G225+'BTX Recycling HC'!G252+'BTX Recycling HC'!G163+'BTX Recycling HC'!G118)</f>
        <v>388551.5785130547</v>
      </c>
      <c r="I101" s="639">
        <f>I42-'Overall recycling rates'!$G$60/SUM('Overall recycling rates'!$G$60:$G$62)*('BTX Recycling HC'!H222+'BTX Recycling HC'!H249+'BTX Recycling HC'!H160+'BTX Recycling HC'!H115)-'Overall recycling rates'!$E$60/SUM('Overall recycling rates'!$E$60:$E$62)*('BTX Recycling HC'!H223+'BTX Recycling HC'!H250+'BTX Recycling HC'!H161+'BTX Recycling HC'!H116)-'Overall recycling rates'!$H$60/SUM('Overall recycling rates'!$H$60:$H$62)*('BTX Recycling HC'!H224+'BTX Recycling HC'!H251+'BTX Recycling HC'!H162+'BTX Recycling HC'!H117)-'Overall recycling rates'!$I$60/SUM('Overall recycling rates'!$I$60:$I$62)*('BTX Recycling HC'!H225+'BTX Recycling HC'!H252+'BTX Recycling HC'!H163+'BTX Recycling HC'!H118)</f>
        <v>377274.54432784353</v>
      </c>
      <c r="J101" s="639">
        <f>J42-'Overall recycling rates'!$G$60/SUM('Overall recycling rates'!$G$60:$G$62)*('BTX Recycling HC'!I222+'BTX Recycling HC'!I249+'BTX Recycling HC'!I160+'BTX Recycling HC'!I115)-'Overall recycling rates'!$E$60/SUM('Overall recycling rates'!$E$60:$E$62)*('BTX Recycling HC'!I223+'BTX Recycling HC'!I250+'BTX Recycling HC'!I161+'BTX Recycling HC'!I116)-'Overall recycling rates'!$H$60/SUM('Overall recycling rates'!$H$60:$H$62)*('BTX Recycling HC'!I224+'BTX Recycling HC'!I251+'BTX Recycling HC'!I162+'BTX Recycling HC'!I117)-'Overall recycling rates'!$I$60/SUM('Overall recycling rates'!$I$60:$I$62)*('BTX Recycling HC'!I225+'BTX Recycling HC'!I252+'BTX Recycling HC'!I163+'BTX Recycling HC'!I118)</f>
        <v>365981.91623686411</v>
      </c>
      <c r="K101" s="639">
        <f>K42-'Overall recycling rates'!$G$60/SUM('Overall recycling rates'!$G$60:$G$62)*('BTX Recycling HC'!J222+'BTX Recycling HC'!J249+'BTX Recycling HC'!J160+'BTX Recycling HC'!J115)-'Overall recycling rates'!$E$60/SUM('Overall recycling rates'!$E$60:$E$62)*('BTX Recycling HC'!J223+'BTX Recycling HC'!J250+'BTX Recycling HC'!J161+'BTX Recycling HC'!J116)-'Overall recycling rates'!$H$60/SUM('Overall recycling rates'!$H$60:$H$62)*('BTX Recycling HC'!J224+'BTX Recycling HC'!J251+'BTX Recycling HC'!J162+'BTX Recycling HC'!J117)-'Overall recycling rates'!$I$60/SUM('Overall recycling rates'!$I$60:$I$62)*('BTX Recycling HC'!J225+'BTX Recycling HC'!J252+'BTX Recycling HC'!J163+'BTX Recycling HC'!J118)</f>
        <v>354675.89062099432</v>
      </c>
      <c r="L101" s="639">
        <f>L42-'Overall recycling rates'!$G$60/SUM('Overall recycling rates'!$G$60:$G$62)*('BTX Recycling HC'!K222+'BTX Recycling HC'!K249+'BTX Recycling HC'!K160+'BTX Recycling HC'!K115)-'Overall recycling rates'!$E$60/SUM('Overall recycling rates'!$E$60:$E$62)*('BTX Recycling HC'!K223+'BTX Recycling HC'!K250+'BTX Recycling HC'!K161+'BTX Recycling HC'!K116)-'Overall recycling rates'!$H$60/SUM('Overall recycling rates'!$H$60:$H$62)*('BTX Recycling HC'!K224+'BTX Recycling HC'!K251+'BTX Recycling HC'!K162+'BTX Recycling HC'!K117)-'Overall recycling rates'!$I$60/SUM('Overall recycling rates'!$I$60:$I$62)*('BTX Recycling HC'!K225+'BTX Recycling HC'!K252+'BTX Recycling HC'!K163+'BTX Recycling HC'!K118)</f>
        <v>343358.64513313322</v>
      </c>
      <c r="M101" s="639">
        <f>M42-'Overall recycling rates'!$G$60/SUM('Overall recycling rates'!$G$60:$G$62)*('BTX Recycling HC'!L222+'BTX Recycling HC'!L249+'BTX Recycling HC'!L160+'BTX Recycling HC'!L115)-'Overall recycling rates'!$E$60/SUM('Overall recycling rates'!$E$60:$E$62)*('BTX Recycling HC'!L223+'BTX Recycling HC'!L250+'BTX Recycling HC'!L161+'BTX Recycling HC'!L116)-'Overall recycling rates'!$H$60/SUM('Overall recycling rates'!$H$60:$H$62)*('BTX Recycling HC'!L224+'BTX Recycling HC'!L251+'BTX Recycling HC'!L162+'BTX Recycling HC'!L117)-'Overall recycling rates'!$I$60/SUM('Overall recycling rates'!$I$60:$I$62)*('BTX Recycling HC'!L225+'BTX Recycling HC'!L252+'BTX Recycling HC'!L163+'BTX Recycling HC'!L118)</f>
        <v>332032.33608896134</v>
      </c>
      <c r="N101" s="639">
        <f>N42-'Overall recycling rates'!$G$60/SUM('Overall recycling rates'!$G$60:$G$62)*('BTX Recycling HC'!M222+'BTX Recycling HC'!M249+'BTX Recycling HC'!M160+'BTX Recycling HC'!M115)-'Overall recycling rates'!$E$60/SUM('Overall recycling rates'!$E$60:$E$62)*('BTX Recycling HC'!M223+'BTX Recycling HC'!M250+'BTX Recycling HC'!M161+'BTX Recycling HC'!M116)-'Overall recycling rates'!$H$60/SUM('Overall recycling rates'!$H$60:$H$62)*('BTX Recycling HC'!M224+'BTX Recycling HC'!M251+'BTX Recycling HC'!M162+'BTX Recycling HC'!M117)-'Overall recycling rates'!$I$60/SUM('Overall recycling rates'!$I$60:$I$62)*('BTX Recycling HC'!M225+'BTX Recycling HC'!M252+'BTX Recycling HC'!M163+'BTX Recycling HC'!M118)</f>
        <v>320699.09779457905</v>
      </c>
      <c r="O101" s="639">
        <f>O42-'Overall recycling rates'!$G$60/SUM('Overall recycling rates'!$G$60:$G$62)*('BTX Recycling HC'!N222+'BTX Recycling HC'!N249+'BTX Recycling HC'!N160+'BTX Recycling HC'!N115)-'Overall recycling rates'!$E$60/SUM('Overall recycling rates'!$E$60:$E$62)*('BTX Recycling HC'!N223+'BTX Recycling HC'!N250+'BTX Recycling HC'!N161+'BTX Recycling HC'!N116)-'Overall recycling rates'!$H$60/SUM('Overall recycling rates'!$H$60:$H$62)*('BTX Recycling HC'!N224+'BTX Recycling HC'!N251+'BTX Recycling HC'!N162+'BTX Recycling HC'!N117)-'Overall recycling rates'!$I$60/SUM('Overall recycling rates'!$I$60:$I$62)*('BTX Recycling HC'!N225+'BTX Recycling HC'!N252+'BTX Recycling HC'!N163+'BTX Recycling HC'!N118)</f>
        <v>309124.04573146254</v>
      </c>
      <c r="P101" s="639">
        <f>P42-'Overall recycling rates'!$G$60/SUM('Overall recycling rates'!$G$60:$G$62)*('BTX Recycling HC'!O222+'BTX Recycling HC'!O249+'BTX Recycling HC'!O160+'BTX Recycling HC'!O115)-'Overall recycling rates'!$E$60/SUM('Overall recycling rates'!$E$60:$E$62)*('BTX Recycling HC'!O223+'BTX Recycling HC'!O250+'BTX Recycling HC'!O161+'BTX Recycling HC'!O116)-'Overall recycling rates'!$H$60/SUM('Overall recycling rates'!$H$60:$H$62)*('BTX Recycling HC'!O224+'BTX Recycling HC'!O251+'BTX Recycling HC'!O162+'BTX Recycling HC'!O117)-'Overall recycling rates'!$I$60/SUM('Overall recycling rates'!$I$60:$I$62)*('BTX Recycling HC'!O225+'BTX Recycling HC'!O252+'BTX Recycling HC'!O163+'BTX Recycling HC'!O118)</f>
        <v>297550.67404701369</v>
      </c>
      <c r="Q101" s="639">
        <f>Q42-'Overall recycling rates'!$G$60/SUM('Overall recycling rates'!$G$60:$G$62)*('BTX Recycling HC'!P222+'BTX Recycling HC'!P249+'BTX Recycling HC'!P160+'BTX Recycling HC'!P115)-'Overall recycling rates'!$E$60/SUM('Overall recycling rates'!$E$60:$E$62)*('BTX Recycling HC'!P223+'BTX Recycling HC'!P250+'BTX Recycling HC'!P161+'BTX Recycling HC'!P116)-'Overall recycling rates'!$H$60/SUM('Overall recycling rates'!$H$60:$H$62)*('BTX Recycling HC'!P224+'BTX Recycling HC'!P251+'BTX Recycling HC'!P162+'BTX Recycling HC'!P117)-'Overall recycling rates'!$I$60/SUM('Overall recycling rates'!$I$60:$I$62)*('BTX Recycling HC'!P225+'BTX Recycling HC'!P252+'BTX Recycling HC'!P163+'BTX Recycling HC'!P118)</f>
        <v>285990.53472639312</v>
      </c>
      <c r="R101" s="639">
        <f>R42-'Overall recycling rates'!$G$60/SUM('Overall recycling rates'!$G$60:$G$62)*('BTX Recycling HC'!Q222+'BTX Recycling HC'!Q249+'BTX Recycling HC'!Q160+'BTX Recycling HC'!Q115)-'Overall recycling rates'!$E$60/SUM('Overall recycling rates'!$E$60:$E$62)*('BTX Recycling HC'!Q223+'BTX Recycling HC'!Q250+'BTX Recycling HC'!Q161+'BTX Recycling HC'!Q116)-'Overall recycling rates'!$H$60/SUM('Overall recycling rates'!$H$60:$H$62)*('BTX Recycling HC'!Q224+'BTX Recycling HC'!Q251+'BTX Recycling HC'!Q162+'BTX Recycling HC'!Q117)-'Overall recycling rates'!$I$60/SUM('Overall recycling rates'!$I$60:$I$62)*('BTX Recycling HC'!Q225+'BTX Recycling HC'!Q252+'BTX Recycling HC'!Q163+'BTX Recycling HC'!Q118)</f>
        <v>274449.7590544509</v>
      </c>
      <c r="S101" s="639">
        <f>S42-'Overall recycling rates'!$G$60/SUM('Overall recycling rates'!$G$60:$G$62)*('BTX Recycling HC'!R222+'BTX Recycling HC'!R249+'BTX Recycling HC'!R160+'BTX Recycling HC'!R115)-'Overall recycling rates'!$E$60/SUM('Overall recycling rates'!$E$60:$E$62)*('BTX Recycling HC'!R223+'BTX Recycling HC'!R250+'BTX Recycling HC'!R161+'BTX Recycling HC'!R116)-'Overall recycling rates'!$H$60/SUM('Overall recycling rates'!$H$60:$H$62)*('BTX Recycling HC'!R224+'BTX Recycling HC'!R251+'BTX Recycling HC'!R162+'BTX Recycling HC'!R117)-'Overall recycling rates'!$I$60/SUM('Overall recycling rates'!$I$60:$I$62)*('BTX Recycling HC'!R225+'BTX Recycling HC'!R252+'BTX Recycling HC'!R163+'BTX Recycling HC'!R118)</f>
        <v>262936.75394855434</v>
      </c>
      <c r="T101" s="639">
        <f>T42-'Overall recycling rates'!$G$60/SUM('Overall recycling rates'!$G$60:$G$62)*('BTX Recycling HC'!S222+'BTX Recycling HC'!S249+'BTX Recycling HC'!S160+'BTX Recycling HC'!S115)-'Overall recycling rates'!$E$60/SUM('Overall recycling rates'!$E$60:$E$62)*('BTX Recycling HC'!S223+'BTX Recycling HC'!S250+'BTX Recycling HC'!S161+'BTX Recycling HC'!S116)-'Overall recycling rates'!$H$60/SUM('Overall recycling rates'!$H$60:$H$62)*('BTX Recycling HC'!S224+'BTX Recycling HC'!S251+'BTX Recycling HC'!S162+'BTX Recycling HC'!S117)-'Overall recycling rates'!$I$60/SUM('Overall recycling rates'!$I$60:$I$62)*('BTX Recycling HC'!S225+'BTX Recycling HC'!S252+'BTX Recycling HC'!S163+'BTX Recycling HC'!S118)</f>
        <v>251459.7959616677</v>
      </c>
      <c r="U101" s="639">
        <f>U42-'Overall recycling rates'!$G$60/SUM('Overall recycling rates'!$G$60:$G$62)*('BTX Recycling HC'!T222+'BTX Recycling HC'!T249+'BTX Recycling HC'!T160+'BTX Recycling HC'!T115)-'Overall recycling rates'!$E$60/SUM('Overall recycling rates'!$E$60:$E$62)*('BTX Recycling HC'!T223+'BTX Recycling HC'!T250+'BTX Recycling HC'!T161+'BTX Recycling HC'!T116)-'Overall recycling rates'!$H$60/SUM('Overall recycling rates'!$H$60:$H$62)*('BTX Recycling HC'!T224+'BTX Recycling HC'!T251+'BTX Recycling HC'!T162+'BTX Recycling HC'!T117)-'Overall recycling rates'!$I$60/SUM('Overall recycling rates'!$I$60:$I$62)*('BTX Recycling HC'!T225+'BTX Recycling HC'!T252+'BTX Recycling HC'!T163+'BTX Recycling HC'!T118)</f>
        <v>240027.03505270559</v>
      </c>
      <c r="V101" s="639">
        <f>V42-'Overall recycling rates'!$G$60/SUM('Overall recycling rates'!$G$60:$G$62)*('BTX Recycling HC'!U222+'BTX Recycling HC'!U249+'BTX Recycling HC'!U160+'BTX Recycling HC'!U115)-'Overall recycling rates'!$E$60/SUM('Overall recycling rates'!$E$60:$E$62)*('BTX Recycling HC'!U223+'BTX Recycling HC'!U250+'BTX Recycling HC'!U161+'BTX Recycling HC'!U116)-'Overall recycling rates'!$H$60/SUM('Overall recycling rates'!$H$60:$H$62)*('BTX Recycling HC'!U224+'BTX Recycling HC'!U251+'BTX Recycling HC'!U162+'BTX Recycling HC'!U117)-'Overall recycling rates'!$I$60/SUM('Overall recycling rates'!$I$60:$I$62)*('BTX Recycling HC'!U225+'BTX Recycling HC'!U252+'BTX Recycling HC'!U163+'BTX Recycling HC'!U118)</f>
        <v>228646.48492087758</v>
      </c>
      <c r="W101" s="639">
        <f>W42-'Overall recycling rates'!$G$60/SUM('Overall recycling rates'!$G$60:$G$62)*('BTX Recycling HC'!V222+'BTX Recycling HC'!V249+'BTX Recycling HC'!V160+'BTX Recycling HC'!V115)-'Overall recycling rates'!$E$60/SUM('Overall recycling rates'!$E$60:$E$62)*('BTX Recycling HC'!V223+'BTX Recycling HC'!V250+'BTX Recycling HC'!V161+'BTX Recycling HC'!V116)-'Overall recycling rates'!$H$60/SUM('Overall recycling rates'!$H$60:$H$62)*('BTX Recycling HC'!V224+'BTX Recycling HC'!V251+'BTX Recycling HC'!V162+'BTX Recycling HC'!V117)-'Overall recycling rates'!$I$60/SUM('Overall recycling rates'!$I$60:$I$62)*('BTX Recycling HC'!V225+'BTX Recycling HC'!V252+'BTX Recycling HC'!V163+'BTX Recycling HC'!V118)</f>
        <v>217326.02183196956</v>
      </c>
      <c r="X101" s="639">
        <f>X42-'Overall recycling rates'!$G$60/SUM('Overall recycling rates'!$G$60:$G$62)*('BTX Recycling HC'!W222+'BTX Recycling HC'!W249+'BTX Recycling HC'!W160+'BTX Recycling HC'!W115)-'Overall recycling rates'!$E$60/SUM('Overall recycling rates'!$E$60:$E$62)*('BTX Recycling HC'!W223+'BTX Recycling HC'!W250+'BTX Recycling HC'!W161+'BTX Recycling HC'!W116)-'Overall recycling rates'!$H$60/SUM('Overall recycling rates'!$H$60:$H$62)*('BTX Recycling HC'!W224+'BTX Recycling HC'!W251+'BTX Recycling HC'!W162+'BTX Recycling HC'!W117)-'Overall recycling rates'!$I$60/SUM('Overall recycling rates'!$I$60:$I$62)*('BTX Recycling HC'!W225+'BTX Recycling HC'!W252+'BTX Recycling HC'!W163+'BTX Recycling HC'!W118)</f>
        <v>206073.38143766928</v>
      </c>
      <c r="Y101" s="639">
        <f>Y42-'Overall recycling rates'!$G$60/SUM('Overall recycling rates'!$G$60:$G$62)*('BTX Recycling HC'!X222+'BTX Recycling HC'!X249+'BTX Recycling HC'!X160+'BTX Recycling HC'!X115)-'Overall recycling rates'!$E$60/SUM('Overall recycling rates'!$E$60:$E$62)*('BTX Recycling HC'!X223+'BTX Recycling HC'!X250+'BTX Recycling HC'!X161+'BTX Recycling HC'!X116)-'Overall recycling rates'!$H$60/SUM('Overall recycling rates'!$H$60:$H$62)*('BTX Recycling HC'!X224+'BTX Recycling HC'!X251+'BTX Recycling HC'!X162+'BTX Recycling HC'!X117)-'Overall recycling rates'!$I$60/SUM('Overall recycling rates'!$I$60:$I$62)*('BTX Recycling HC'!X225+'BTX Recycling HC'!X252+'BTX Recycling HC'!X163+'BTX Recycling HC'!X118)</f>
        <v>194115.44054251266</v>
      </c>
      <c r="Z101" s="639">
        <f>Z42-'Overall recycling rates'!$G$60/SUM('Overall recycling rates'!$G$60:$G$62)*('BTX Recycling HC'!Y222+'BTX Recycling HC'!Y249+'BTX Recycling HC'!Y160+'BTX Recycling HC'!Y115)-'Overall recycling rates'!$E$60/SUM('Overall recycling rates'!$E$60:$E$62)*('BTX Recycling HC'!Y223+'BTX Recycling HC'!Y250+'BTX Recycling HC'!Y161+'BTX Recycling HC'!Y116)-'Overall recycling rates'!$H$60/SUM('Overall recycling rates'!$H$60:$H$62)*('BTX Recycling HC'!Y224+'BTX Recycling HC'!Y251+'BTX Recycling HC'!Y162+'BTX Recycling HC'!Y117)-'Overall recycling rates'!$I$60/SUM('Overall recycling rates'!$I$60:$I$62)*('BTX Recycling HC'!Y225+'BTX Recycling HC'!Y252+'BTX Recycling HC'!Y163+'BTX Recycling HC'!Y118)</f>
        <v>182249.93809805444</v>
      </c>
      <c r="AA101" s="639">
        <f>AA42-'Overall recycling rates'!$G$60/SUM('Overall recycling rates'!$G$60:$G$62)*('BTX Recycling HC'!Z222+'BTX Recycling HC'!Z249+'BTX Recycling HC'!Z160+'BTX Recycling HC'!Z115)-'Overall recycling rates'!$E$60/SUM('Overall recycling rates'!$E$60:$E$62)*('BTX Recycling HC'!Z223+'BTX Recycling HC'!Z250+'BTX Recycling HC'!Z161+'BTX Recycling HC'!Z116)-'Overall recycling rates'!$H$60/SUM('Overall recycling rates'!$H$60:$H$62)*('BTX Recycling HC'!Z224+'BTX Recycling HC'!Z251+'BTX Recycling HC'!Z162+'BTX Recycling HC'!Z117)-'Overall recycling rates'!$I$60/SUM('Overall recycling rates'!$I$60:$I$62)*('BTX Recycling HC'!Z225+'BTX Recycling HC'!Z252+'BTX Recycling HC'!Z163+'BTX Recycling HC'!Z118)</f>
        <v>170498.5000612009</v>
      </c>
      <c r="AB101" s="639">
        <f>AB42-'Overall recycling rates'!$G$60/SUM('Overall recycling rates'!$G$60:$G$62)*('BTX Recycling HC'!AA222+'BTX Recycling HC'!AA249+'BTX Recycling HC'!AA160+'BTX Recycling HC'!AA115)-'Overall recycling rates'!$E$60/SUM('Overall recycling rates'!$E$60:$E$62)*('BTX Recycling HC'!AA223+'BTX Recycling HC'!AA250+'BTX Recycling HC'!AA161+'BTX Recycling HC'!AA116)-'Overall recycling rates'!$H$60/SUM('Overall recycling rates'!$H$60:$H$62)*('BTX Recycling HC'!AA224+'BTX Recycling HC'!AA251+'BTX Recycling HC'!AA162+'BTX Recycling HC'!AA117)-'Overall recycling rates'!$I$60/SUM('Overall recycling rates'!$I$60:$I$62)*('BTX Recycling HC'!AA225+'BTX Recycling HC'!AA252+'BTX Recycling HC'!AA163+'BTX Recycling HC'!AA118)</f>
        <v>158864.18398367221</v>
      </c>
      <c r="AC101" s="639">
        <f>AC42-'Overall recycling rates'!$G$60/SUM('Overall recycling rates'!$G$60:$G$62)*('BTX Recycling HC'!AB222+'BTX Recycling HC'!AB249+'BTX Recycling HC'!AB160+'BTX Recycling HC'!AB115)-'Overall recycling rates'!$E$60/SUM('Overall recycling rates'!$E$60:$E$62)*('BTX Recycling HC'!AB223+'BTX Recycling HC'!AB250+'BTX Recycling HC'!AB161+'BTX Recycling HC'!AB116)-'Overall recycling rates'!$H$60/SUM('Overall recycling rates'!$H$60:$H$62)*('BTX Recycling HC'!AB224+'BTX Recycling HC'!AB251+'BTX Recycling HC'!AB162+'BTX Recycling HC'!AB117)-'Overall recycling rates'!$I$60/SUM('Overall recycling rates'!$I$60:$I$62)*('BTX Recycling HC'!AB225+'BTX Recycling HC'!AB252+'BTX Recycling HC'!AB163+'BTX Recycling HC'!AB118)</f>
        <v>147358.55158782177</v>
      </c>
      <c r="AD101" s="639">
        <f>AD42-'Overall recycling rates'!$G$60/SUM('Overall recycling rates'!$G$60:$G$62)*('BTX Recycling HC'!AC222+'BTX Recycling HC'!AC249+'BTX Recycling HC'!AC160+'BTX Recycling HC'!AC115)-'Overall recycling rates'!$E$60/SUM('Overall recycling rates'!$E$60:$E$62)*('BTX Recycling HC'!AC223+'BTX Recycling HC'!AC250+'BTX Recycling HC'!AC161+'BTX Recycling HC'!AC116)-'Overall recycling rates'!$H$60/SUM('Overall recycling rates'!$H$60:$H$62)*('BTX Recycling HC'!AC224+'BTX Recycling HC'!AC251+'BTX Recycling HC'!AC162+'BTX Recycling HC'!AC117)-'Overall recycling rates'!$I$60/SUM('Overall recycling rates'!$I$60:$I$62)*('BTX Recycling HC'!AC225+'BTX Recycling HC'!AC252+'BTX Recycling HC'!AC163+'BTX Recycling HC'!AC118)</f>
        <v>135992.91192370301</v>
      </c>
      <c r="AE101" s="639">
        <f>AE42-'Overall recycling rates'!$G$60/SUM('Overall recycling rates'!$G$60:$G$62)*('BTX Recycling HC'!AD222+'BTX Recycling HC'!AD249+'BTX Recycling HC'!AD160+'BTX Recycling HC'!AD115)-'Overall recycling rates'!$E$60/SUM('Overall recycling rates'!$E$60:$E$62)*('BTX Recycling HC'!AD223+'BTX Recycling HC'!AD250+'BTX Recycling HC'!AD161+'BTX Recycling HC'!AD116)-'Overall recycling rates'!$H$60/SUM('Overall recycling rates'!$H$60:$H$62)*('BTX Recycling HC'!AD224+'BTX Recycling HC'!AD251+'BTX Recycling HC'!AD162+'BTX Recycling HC'!AD117)-'Overall recycling rates'!$I$60/SUM('Overall recycling rates'!$I$60:$I$62)*('BTX Recycling HC'!AD225+'BTX Recycling HC'!AD252+'BTX Recycling HC'!AD163+'BTX Recycling HC'!AD118)</f>
        <v>124778.30794527795</v>
      </c>
      <c r="AF101" s="639">
        <f>AF42-'Overall recycling rates'!$G$60/SUM('Overall recycling rates'!$G$60:$G$62)*('BTX Recycling HC'!AE222+'BTX Recycling HC'!AE249+'BTX Recycling HC'!AE160+'BTX Recycling HC'!AE115)-'Overall recycling rates'!$E$60/SUM('Overall recycling rates'!$E$60:$E$62)*('BTX Recycling HC'!AE223+'BTX Recycling HC'!AE250+'BTX Recycling HC'!AE161+'BTX Recycling HC'!AE116)-'Overall recycling rates'!$H$60/SUM('Overall recycling rates'!$H$60:$H$62)*('BTX Recycling HC'!AE224+'BTX Recycling HC'!AE251+'BTX Recycling HC'!AE162+'BTX Recycling HC'!AE117)-'Overall recycling rates'!$I$60/SUM('Overall recycling rates'!$I$60:$I$62)*('BTX Recycling HC'!AE225+'BTX Recycling HC'!AE252+'BTX Recycling HC'!AE163+'BTX Recycling HC'!AE118)</f>
        <v>113725.52139098178</v>
      </c>
      <c r="AG101" s="639">
        <f>AG42-'Overall recycling rates'!$G$60/SUM('Overall recycling rates'!$G$60:$G$62)*('BTX Recycling HC'!AF222+'BTX Recycling HC'!AF249+'BTX Recycling HC'!AF160+'BTX Recycling HC'!AF115)-'Overall recycling rates'!$E$60/SUM('Overall recycling rates'!$E$60:$E$62)*('BTX Recycling HC'!AF223+'BTX Recycling HC'!AF250+'BTX Recycling HC'!AF161+'BTX Recycling HC'!AF116)-'Overall recycling rates'!$H$60/SUM('Overall recycling rates'!$H$60:$H$62)*('BTX Recycling HC'!AF224+'BTX Recycling HC'!AF251+'BTX Recycling HC'!AF162+'BTX Recycling HC'!AF117)-'Overall recycling rates'!$I$60/SUM('Overall recycling rates'!$I$60:$I$62)*('BTX Recycling HC'!AF225+'BTX Recycling HC'!AF252+'BTX Recycling HC'!AF163+'BTX Recycling HC'!AF118)</f>
        <v>102845.06610249288</v>
      </c>
      <c r="AH101" s="639">
        <f>AH42-'Overall recycling rates'!$G$60/SUM('Overall recycling rates'!$G$60:$G$62)*('BTX Recycling HC'!AG222+'BTX Recycling HC'!AG249+'BTX Recycling HC'!AG160+'BTX Recycling HC'!AG115)-'Overall recycling rates'!$E$60/SUM('Overall recycling rates'!$E$60:$E$62)*('BTX Recycling HC'!AG223+'BTX Recycling HC'!AG250+'BTX Recycling HC'!AG161+'BTX Recycling HC'!AG116)-'Overall recycling rates'!$H$60/SUM('Overall recycling rates'!$H$60:$H$62)*('BTX Recycling HC'!AG224+'BTX Recycling HC'!AG251+'BTX Recycling HC'!AG162+'BTX Recycling HC'!AG117)-'Overall recycling rates'!$I$60/SUM('Overall recycling rates'!$I$60:$I$62)*('BTX Recycling HC'!AG225+'BTX Recycling HC'!AG252+'BTX Recycling HC'!AG163+'BTX Recycling HC'!AG118)</f>
        <v>92147.184171921428</v>
      </c>
      <c r="AI101" s="639"/>
      <c r="AJ101" s="639">
        <f>AJ42-'Overall recycling rates'!$G$60/SUM('Overall recycling rates'!$G$60:$G$62)*('BTX Recycling HC'!C222+'BTX Recycling HC'!C249+'BTX Recycling HC'!C160+'BTX Recycling HC'!C115)-'Overall recycling rates'!$E$60/SUM('Overall recycling rates'!$E$60:$E$62)*('BTX Recycling HC'!C223+'BTX Recycling HC'!C250+'BTX Recycling HC'!C161+'BTX Recycling HC'!C116)-'Overall recycling rates'!$H$60/SUM('Overall recycling rates'!$H$60:$H$62)*('BTX Recycling HC'!C224+'BTX Recycling HC'!C251+'BTX Recycling HC'!C162+'BTX Recycling HC'!C117)-'Overall recycling rates'!$I$60/SUM('Overall recycling rates'!$I$60:$I$62)*('BTX Recycling HC'!C225+'BTX Recycling HC'!C252+'BTX Recycling HC'!C163+'BTX Recycling HC'!C118)</f>
        <v>433459.0800517234</v>
      </c>
      <c r="AK101" s="639">
        <f>AK42-'Overall recycling rates'!$G$60/SUM('Overall recycling rates'!$G$60:$G$62)*('BTX Recycling HC'!D222+'BTX Recycling HC'!D249+'BTX Recycling HC'!D160+'BTX Recycling HC'!D115)-'Overall recycling rates'!$E$60/SUM('Overall recycling rates'!$E$60:$E$62)*('BTX Recycling HC'!D223+'BTX Recycling HC'!D250+'BTX Recycling HC'!D161+'BTX Recycling HC'!D116)-'Overall recycling rates'!$H$60/SUM('Overall recycling rates'!$H$60:$H$62)*('BTX Recycling HC'!D224+'BTX Recycling HC'!D251+'BTX Recycling HC'!D162+'BTX Recycling HC'!D117)-'Overall recycling rates'!$I$60/SUM('Overall recycling rates'!$I$60:$I$62)*('BTX Recycling HC'!D225+'BTX Recycling HC'!D252+'BTX Recycling HC'!D163+'BTX Recycling HC'!D118)</f>
        <v>428266.31896682858</v>
      </c>
      <c r="AL101" s="639">
        <f>AL42-'Overall recycling rates'!$G$60/SUM('Overall recycling rates'!$G$60:$G$62)*('BTX Recycling HC'!E222+'BTX Recycling HC'!E249+'BTX Recycling HC'!E160+'BTX Recycling HC'!E115)-'Overall recycling rates'!$E$60/SUM('Overall recycling rates'!$E$60:$E$62)*('BTX Recycling HC'!E223+'BTX Recycling HC'!E250+'BTX Recycling HC'!E161+'BTX Recycling HC'!E116)-'Overall recycling rates'!$H$60/SUM('Overall recycling rates'!$H$60:$H$62)*('BTX Recycling HC'!E224+'BTX Recycling HC'!E251+'BTX Recycling HC'!E162+'BTX Recycling HC'!E117)-'Overall recycling rates'!$I$60/SUM('Overall recycling rates'!$I$60:$I$62)*('BTX Recycling HC'!E225+'BTX Recycling HC'!E252+'BTX Recycling HC'!E163+'BTX Recycling HC'!E118)</f>
        <v>423052.98666181642</v>
      </c>
      <c r="AM101" s="639">
        <f>AM42-'Overall recycling rates'!$G$60/SUM('Overall recycling rates'!$G$60:$G$62)*('BTX Recycling HC'!F222+'BTX Recycling HC'!F249+'BTX Recycling HC'!F160+'BTX Recycling HC'!F115)-'Overall recycling rates'!$E$60/SUM('Overall recycling rates'!$E$60:$E$62)*('BTX Recycling HC'!F223+'BTX Recycling HC'!F250+'BTX Recycling HC'!F161+'BTX Recycling HC'!F116)-'Overall recycling rates'!$H$60/SUM('Overall recycling rates'!$H$60:$H$62)*('BTX Recycling HC'!F224+'BTX Recycling HC'!F251+'BTX Recycling HC'!F162+'BTX Recycling HC'!F117)-'Overall recycling rates'!$I$60/SUM('Overall recycling rates'!$I$60:$I$62)*('BTX Recycling HC'!F225+'BTX Recycling HC'!F252+'BTX Recycling HC'!F163+'BTX Recycling HC'!F118)</f>
        <v>417815.33023214526</v>
      </c>
      <c r="AN101" s="639">
        <f>AN42-'Overall recycling rates'!$G$60/SUM('Overall recycling rates'!$G$60:$G$62)*('BTX Recycling HC'!G222+'BTX Recycling HC'!G249+'BTX Recycling HC'!G160+'BTX Recycling HC'!G115)-'Overall recycling rates'!$E$60/SUM('Overall recycling rates'!$E$60:$E$62)*('BTX Recycling HC'!G223+'BTX Recycling HC'!G250+'BTX Recycling HC'!G161+'BTX Recycling HC'!G116)-'Overall recycling rates'!$H$60/SUM('Overall recycling rates'!$H$60:$H$62)*('BTX Recycling HC'!G224+'BTX Recycling HC'!G251+'BTX Recycling HC'!G162+'BTX Recycling HC'!G117)-'Overall recycling rates'!$I$60/SUM('Overall recycling rates'!$I$60:$I$62)*('BTX Recycling HC'!G225+'BTX Recycling HC'!G252+'BTX Recycling HC'!G163+'BTX Recycling HC'!G118)</f>
        <v>412557.62151755579</v>
      </c>
      <c r="AO101" s="639">
        <f>AO42-'Overall recycling rates'!$G$60/SUM('Overall recycling rates'!$G$60:$G$62)*('BTX Recycling HC'!H222+'BTX Recycling HC'!H249+'BTX Recycling HC'!H160+'BTX Recycling HC'!H115)-'Overall recycling rates'!$E$60/SUM('Overall recycling rates'!$E$60:$E$62)*('BTX Recycling HC'!H223+'BTX Recycling HC'!H250+'BTX Recycling HC'!H161+'BTX Recycling HC'!H116)-'Overall recycling rates'!$H$60/SUM('Overall recycling rates'!$H$60:$H$62)*('BTX Recycling HC'!H224+'BTX Recycling HC'!H251+'BTX Recycling HC'!H162+'BTX Recycling HC'!H117)-'Overall recycling rates'!$I$60/SUM('Overall recycling rates'!$I$60:$I$62)*('BTX Recycling HC'!H225+'BTX Recycling HC'!H252+'BTX Recycling HC'!H163+'BTX Recycling HC'!H118)</f>
        <v>407282.09808346984</v>
      </c>
      <c r="AP101" s="639">
        <f>AP42-'Overall recycling rates'!$G$60/SUM('Overall recycling rates'!$G$60:$G$62)*('BTX Recycling HC'!I222+'BTX Recycling HC'!I249+'BTX Recycling HC'!I160+'BTX Recycling HC'!I115)-'Overall recycling rates'!$E$60/SUM('Overall recycling rates'!$E$60:$E$62)*('BTX Recycling HC'!I223+'BTX Recycling HC'!I250+'BTX Recycling HC'!I161+'BTX Recycling HC'!I116)-'Overall recycling rates'!$H$60/SUM('Overall recycling rates'!$H$60:$H$62)*('BTX Recycling HC'!I224+'BTX Recycling HC'!I251+'BTX Recycling HC'!I162+'BTX Recycling HC'!I117)-'Overall recycling rates'!$I$60/SUM('Overall recycling rates'!$I$60:$I$62)*('BTX Recycling HC'!I225+'BTX Recycling HC'!I252+'BTX Recycling HC'!I163+'BTX Recycling HC'!I118)</f>
        <v>401990.98074361577</v>
      </c>
      <c r="AQ101" s="639">
        <f>AQ42-'Overall recycling rates'!$G$60/SUM('Overall recycling rates'!$G$60:$G$62)*('BTX Recycling HC'!J222+'BTX Recycling HC'!J249+'BTX Recycling HC'!J160+'BTX Recycling HC'!J115)-'Overall recycling rates'!$E$60/SUM('Overall recycling rates'!$E$60:$E$62)*('BTX Recycling HC'!J223+'BTX Recycling HC'!J250+'BTX Recycling HC'!J161+'BTX Recycling HC'!J116)-'Overall recycling rates'!$H$60/SUM('Overall recycling rates'!$H$60:$H$62)*('BTX Recycling HC'!J224+'BTX Recycling HC'!J251+'BTX Recycling HC'!J162+'BTX Recycling HC'!J117)-'Overall recycling rates'!$I$60/SUM('Overall recycling rates'!$I$60:$I$62)*('BTX Recycling HC'!J225+'BTX Recycling HC'!J252+'BTX Recycling HC'!J163+'BTX Recycling HC'!J118)</f>
        <v>396686.46587887115</v>
      </c>
      <c r="AR101" s="639">
        <f>AR42-'Overall recycling rates'!$G$60/SUM('Overall recycling rates'!$G$60:$G$62)*('BTX Recycling HC'!K222+'BTX Recycling HC'!K249+'BTX Recycling HC'!K160+'BTX Recycling HC'!K115)-'Overall recycling rates'!$E$60/SUM('Overall recycling rates'!$E$60:$E$62)*('BTX Recycling HC'!K223+'BTX Recycling HC'!K250+'BTX Recycling HC'!K161+'BTX Recycling HC'!K116)-'Overall recycling rates'!$H$60/SUM('Overall recycling rates'!$H$60:$H$62)*('BTX Recycling HC'!K224+'BTX Recycling HC'!K251+'BTX Recycling HC'!K162+'BTX Recycling HC'!K117)-'Overall recycling rates'!$I$60/SUM('Overall recycling rates'!$I$60:$I$62)*('BTX Recycling HC'!K225+'BTX Recycling HC'!K252+'BTX Recycling HC'!K163+'BTX Recycling HC'!K118)</f>
        <v>391370.73114213551</v>
      </c>
      <c r="AS101" s="639">
        <f>AS42-'Overall recycling rates'!$G$60/SUM('Overall recycling rates'!$G$60:$G$62)*('BTX Recycling HC'!L222+'BTX Recycling HC'!L249+'BTX Recycling HC'!L160+'BTX Recycling HC'!L115)-'Overall recycling rates'!$E$60/SUM('Overall recycling rates'!$E$60:$E$62)*('BTX Recycling HC'!L223+'BTX Recycling HC'!L250+'BTX Recycling HC'!L161+'BTX Recycling HC'!L116)-'Overall recycling rates'!$H$60/SUM('Overall recycling rates'!$H$60:$H$62)*('BTX Recycling HC'!L224+'BTX Recycling HC'!L251+'BTX Recycling HC'!L162+'BTX Recycling HC'!L117)-'Overall recycling rates'!$I$60/SUM('Overall recycling rates'!$I$60:$I$62)*('BTX Recycling HC'!L225+'BTX Recycling HC'!L252+'BTX Recycling HC'!L163+'BTX Recycling HC'!L118)</f>
        <v>386045.9328490888</v>
      </c>
      <c r="AT101" s="639">
        <f>AT42-'Overall recycling rates'!$G$60/SUM('Overall recycling rates'!$G$60:$G$62)*('BTX Recycling HC'!M222+'BTX Recycling HC'!M249+'BTX Recycling HC'!M160+'BTX Recycling HC'!M115)-'Overall recycling rates'!$E$60/SUM('Overall recycling rates'!$E$60:$E$62)*('BTX Recycling HC'!M223+'BTX Recycling HC'!M250+'BTX Recycling HC'!M161+'BTX Recycling HC'!M116)-'Overall recycling rates'!$H$60/SUM('Overall recycling rates'!$H$60:$H$62)*('BTX Recycling HC'!M224+'BTX Recycling HC'!M251+'BTX Recycling HC'!M162+'BTX Recycling HC'!M117)-'Overall recycling rates'!$I$60/SUM('Overall recycling rates'!$I$60:$I$62)*('BTX Recycling HC'!M225+'BTX Recycling HC'!M252+'BTX Recycling HC'!M163+'BTX Recycling HC'!M118)</f>
        <v>380714.2053058318</v>
      </c>
      <c r="AU101" s="639">
        <f>AU42-'Overall recycling rates'!$G$60/SUM('Overall recycling rates'!$G$60:$G$62)*('BTX Recycling HC'!N222+'BTX Recycling HC'!N249+'BTX Recycling HC'!N160+'BTX Recycling HC'!N115)-'Overall recycling rates'!$E$60/SUM('Overall recycling rates'!$E$60:$E$62)*('BTX Recycling HC'!N223+'BTX Recycling HC'!N250+'BTX Recycling HC'!N161+'BTX Recycling HC'!N116)-'Overall recycling rates'!$H$60/SUM('Overall recycling rates'!$H$60:$H$62)*('BTX Recycling HC'!N224+'BTX Recycling HC'!N251+'BTX Recycling HC'!N162+'BTX Recycling HC'!N117)-'Overall recycling rates'!$I$60/SUM('Overall recycling rates'!$I$60:$I$62)*('BTX Recycling HC'!N225+'BTX Recycling HC'!N252+'BTX Recycling HC'!N163+'BTX Recycling HC'!N118)</f>
        <v>375140.66399384051</v>
      </c>
      <c r="AV101" s="639">
        <f>AV42-'Overall recycling rates'!$G$60/SUM('Overall recycling rates'!$G$60:$G$62)*('BTX Recycling HC'!O222+'BTX Recycling HC'!O249+'BTX Recycling HC'!O160+'BTX Recycling HC'!O115)-'Overall recycling rates'!$E$60/SUM('Overall recycling rates'!$E$60:$E$62)*('BTX Recycling HC'!O223+'BTX Recycling HC'!O250+'BTX Recycling HC'!O161+'BTX Recycling HC'!O116)-'Overall recycling rates'!$H$60/SUM('Overall recycling rates'!$H$60:$H$62)*('BTX Recycling HC'!O224+'BTX Recycling HC'!O251+'BTX Recycling HC'!O162+'BTX Recycling HC'!O117)-'Overall recycling rates'!$I$60/SUM('Overall recycling rates'!$I$60:$I$62)*('BTX Recycling HC'!O225+'BTX Recycling HC'!O252+'BTX Recycling HC'!O163+'BTX Recycling HC'!O118)</f>
        <v>369568.80306051689</v>
      </c>
      <c r="AW101" s="639">
        <f>AW42-'Overall recycling rates'!$G$60/SUM('Overall recycling rates'!$G$60:$G$62)*('BTX Recycling HC'!P222+'BTX Recycling HC'!P249+'BTX Recycling HC'!P160+'BTX Recycling HC'!P115)-'Overall recycling rates'!$E$60/SUM('Overall recycling rates'!$E$60:$E$62)*('BTX Recycling HC'!P223+'BTX Recycling HC'!P250+'BTX Recycling HC'!P161+'BTX Recycling HC'!P116)-'Overall recycling rates'!$H$60/SUM('Overall recycling rates'!$H$60:$H$62)*('BTX Recycling HC'!P224+'BTX Recycling HC'!P251+'BTX Recycling HC'!P162+'BTX Recycling HC'!P117)-'Overall recycling rates'!$I$60/SUM('Overall recycling rates'!$I$60:$I$62)*('BTX Recycling HC'!P225+'BTX Recycling HC'!P252+'BTX Recycling HC'!P163+'BTX Recycling HC'!P118)</f>
        <v>364010.17449102178</v>
      </c>
      <c r="AX101" s="639">
        <f>AX42-'Overall recycling rates'!$G$60/SUM('Overall recycling rates'!$G$60:$G$62)*('BTX Recycling HC'!Q222+'BTX Recycling HC'!Q249+'BTX Recycling HC'!Q160+'BTX Recycling HC'!Q115)-'Overall recycling rates'!$E$60/SUM('Overall recycling rates'!$E$60:$E$62)*('BTX Recycling HC'!Q223+'BTX Recycling HC'!Q250+'BTX Recycling HC'!Q161+'BTX Recycling HC'!Q116)-'Overall recycling rates'!$H$60/SUM('Overall recycling rates'!$H$60:$H$62)*('BTX Recycling HC'!Q224+'BTX Recycling HC'!Q251+'BTX Recycling HC'!Q162+'BTX Recycling HC'!Q117)-'Overall recycling rates'!$I$60/SUM('Overall recycling rates'!$I$60:$I$62)*('BTX Recycling HC'!Q225+'BTX Recycling HC'!Q252+'BTX Recycling HC'!Q163+'BTX Recycling HC'!Q118)</f>
        <v>358470.90957020468</v>
      </c>
      <c r="AY101" s="639">
        <f>AY42-'Overall recycling rates'!$G$60/SUM('Overall recycling rates'!$G$60:$G$62)*('BTX Recycling HC'!R222+'BTX Recycling HC'!R249+'BTX Recycling HC'!R160+'BTX Recycling HC'!R115)-'Overall recycling rates'!$E$60/SUM('Overall recycling rates'!$E$60:$E$62)*('BTX Recycling HC'!R223+'BTX Recycling HC'!R250+'BTX Recycling HC'!R161+'BTX Recycling HC'!R116)-'Overall recycling rates'!$H$60/SUM('Overall recycling rates'!$H$60:$H$62)*('BTX Recycling HC'!R224+'BTX Recycling HC'!R251+'BTX Recycling HC'!R162+'BTX Recycling HC'!R117)-'Overall recycling rates'!$I$60/SUM('Overall recycling rates'!$I$60:$I$62)*('BTX Recycling HC'!R225+'BTX Recycling HC'!R252+'BTX Recycling HC'!R163+'BTX Recycling HC'!R118)</f>
        <v>352959.4152154334</v>
      </c>
      <c r="AZ101" s="639">
        <f>AZ42-'Overall recycling rates'!$G$60/SUM('Overall recycling rates'!$G$60:$G$62)*('BTX Recycling HC'!S222+'BTX Recycling HC'!S249+'BTX Recycling HC'!S160+'BTX Recycling HC'!S115)-'Overall recycling rates'!$E$60/SUM('Overall recycling rates'!$E$60:$E$62)*('BTX Recycling HC'!S223+'BTX Recycling HC'!S250+'BTX Recycling HC'!S161+'BTX Recycling HC'!S116)-'Overall recycling rates'!$H$60/SUM('Overall recycling rates'!$H$60:$H$62)*('BTX Recycling HC'!S224+'BTX Recycling HC'!S251+'BTX Recycling HC'!S162+'BTX Recycling HC'!S117)-'Overall recycling rates'!$I$60/SUM('Overall recycling rates'!$I$60:$I$62)*('BTX Recycling HC'!S225+'BTX Recycling HC'!S252+'BTX Recycling HC'!S163+'BTX Recycling HC'!S118)</f>
        <v>347483.96797967202</v>
      </c>
      <c r="BA101" s="639">
        <f>BA42-'Overall recycling rates'!$G$60/SUM('Overall recycling rates'!$G$60:$G$62)*('BTX Recycling HC'!T222+'BTX Recycling HC'!T249+'BTX Recycling HC'!T160+'BTX Recycling HC'!T115)-'Overall recycling rates'!$E$60/SUM('Overall recycling rates'!$E$60:$E$62)*('BTX Recycling HC'!T223+'BTX Recycling HC'!T250+'BTX Recycling HC'!T161+'BTX Recycling HC'!T116)-'Overall recycling rates'!$H$60/SUM('Overall recycling rates'!$H$60:$H$62)*('BTX Recycling HC'!T224+'BTX Recycling HC'!T251+'BTX Recycling HC'!T162+'BTX Recycling HC'!T117)-'Overall recycling rates'!$I$60/SUM('Overall recycling rates'!$I$60:$I$62)*('BTX Recycling HC'!T225+'BTX Recycling HC'!T252+'BTX Recycling HC'!T163+'BTX Recycling HC'!T118)</f>
        <v>342052.71782183519</v>
      </c>
      <c r="BB101" s="639">
        <f>BB42-'Overall recycling rates'!$G$60/SUM('Overall recycling rates'!$G$60:$G$62)*('BTX Recycling HC'!U222+'BTX Recycling HC'!U249+'BTX Recycling HC'!U160+'BTX Recycling HC'!U115)-'Overall recycling rates'!$E$60/SUM('Overall recycling rates'!$E$60:$E$62)*('BTX Recycling HC'!U223+'BTX Recycling HC'!U250+'BTX Recycling HC'!U161+'BTX Recycling HC'!U116)-'Overall recycling rates'!$H$60/SUM('Overall recycling rates'!$H$60:$H$62)*('BTX Recycling HC'!U224+'BTX Recycling HC'!U251+'BTX Recycling HC'!U162+'BTX Recycling HC'!U117)-'Overall recycling rates'!$I$60/SUM('Overall recycling rates'!$I$60:$I$62)*('BTX Recycling HC'!U225+'BTX Recycling HC'!U252+'BTX Recycling HC'!U163+'BTX Recycling HC'!U118)</f>
        <v>336673.67844113242</v>
      </c>
      <c r="BC101" s="639">
        <f>BC42-'Overall recycling rates'!$G$60/SUM('Overall recycling rates'!$G$60:$G$62)*('BTX Recycling HC'!V222+'BTX Recycling HC'!V249+'BTX Recycling HC'!V160+'BTX Recycling HC'!V115)-'Overall recycling rates'!$E$60/SUM('Overall recycling rates'!$E$60:$E$62)*('BTX Recycling HC'!V223+'BTX Recycling HC'!V250+'BTX Recycling HC'!V161+'BTX Recycling HC'!V116)-'Overall recycling rates'!$H$60/SUM('Overall recycling rates'!$H$60:$H$62)*('BTX Recycling HC'!V224+'BTX Recycling HC'!V251+'BTX Recycling HC'!V162+'BTX Recycling HC'!V117)-'Overall recycling rates'!$I$60/SUM('Overall recycling rates'!$I$60:$I$62)*('BTX Recycling HC'!V225+'BTX Recycling HC'!V252+'BTX Recycling HC'!V163+'BTX Recycling HC'!V118)</f>
        <v>331354.72610334971</v>
      </c>
      <c r="BD101" s="639">
        <f>BD42-'Overall recycling rates'!$G$60/SUM('Overall recycling rates'!$G$60:$G$62)*('BTX Recycling HC'!W222+'BTX Recycling HC'!W249+'BTX Recycling HC'!W160+'BTX Recycling HC'!W115)-'Overall recycling rates'!$E$60/SUM('Overall recycling rates'!$E$60:$E$62)*('BTX Recycling HC'!W223+'BTX Recycling HC'!W250+'BTX Recycling HC'!W161+'BTX Recycling HC'!W116)-'Overall recycling rates'!$H$60/SUM('Overall recycling rates'!$H$60:$H$62)*('BTX Recycling HC'!W224+'BTX Recycling HC'!W251+'BTX Recycling HC'!W162+'BTX Recycling HC'!W117)-'Overall recycling rates'!$I$60/SUM('Overall recycling rates'!$I$60:$I$62)*('BTX Recycling HC'!W225+'BTX Recycling HC'!W252+'BTX Recycling HC'!W163+'BTX Recycling HC'!W118)</f>
        <v>326103.59646017465</v>
      </c>
      <c r="BE101" s="639">
        <f>BE42-'Overall recycling rates'!$G$60/SUM('Overall recycling rates'!$G$60:$G$62)*('BTX Recycling HC'!X222+'BTX Recycling HC'!X249+'BTX Recycling HC'!X160+'BTX Recycling HC'!X115)-'Overall recycling rates'!$E$60/SUM('Overall recycling rates'!$E$60:$E$62)*('BTX Recycling HC'!X223+'BTX Recycling HC'!X250+'BTX Recycling HC'!X161+'BTX Recycling HC'!X116)-'Overall recycling rates'!$H$60/SUM('Overall recycling rates'!$H$60:$H$62)*('BTX Recycling HC'!X224+'BTX Recycling HC'!X251+'BTX Recycling HC'!X162+'BTX Recycling HC'!X117)-'Overall recycling rates'!$I$60/SUM('Overall recycling rates'!$I$60:$I$62)*('BTX Recycling HC'!X225+'BTX Recycling HC'!X252+'BTX Recycling HC'!X163+'BTX Recycling HC'!X118)</f>
        <v>320329.03027829865</v>
      </c>
      <c r="BF101" s="639">
        <f>BF42-'Overall recycling rates'!$G$60/SUM('Overall recycling rates'!$G$60:$G$62)*('BTX Recycling HC'!Y222+'BTX Recycling HC'!Y249+'BTX Recycling HC'!Y160+'BTX Recycling HC'!Y115)-'Overall recycling rates'!$E$60/SUM('Overall recycling rates'!$E$60:$E$62)*('BTX Recycling HC'!Y223+'BTX Recycling HC'!Y250+'BTX Recycling HC'!Y161+'BTX Recycling HC'!Y116)-'Overall recycling rates'!$H$60/SUM('Overall recycling rates'!$H$60:$H$62)*('BTX Recycling HC'!Y224+'BTX Recycling HC'!Y251+'BTX Recycling HC'!Y162+'BTX Recycling HC'!Y117)-'Overall recycling rates'!$I$60/SUM('Overall recycling rates'!$I$60:$I$62)*('BTX Recycling HC'!Y225+'BTX Recycling HC'!Y252+'BTX Recycling HC'!Y163+'BTX Recycling HC'!Y118)</f>
        <v>314646.90254712099</v>
      </c>
      <c r="BG101" s="639">
        <f>BG42-'Overall recycling rates'!$G$60/SUM('Overall recycling rates'!$G$60:$G$62)*('BTX Recycling HC'!Z222+'BTX Recycling HC'!Z249+'BTX Recycling HC'!Z160+'BTX Recycling HC'!Z115)-'Overall recycling rates'!$E$60/SUM('Overall recycling rates'!$E$60:$E$62)*('BTX Recycling HC'!Z223+'BTX Recycling HC'!Z250+'BTX Recycling HC'!Z161+'BTX Recycling HC'!Z116)-'Overall recycling rates'!$H$60/SUM('Overall recycling rates'!$H$60:$H$62)*('BTX Recycling HC'!Z224+'BTX Recycling HC'!Z251+'BTX Recycling HC'!Z162+'BTX Recycling HC'!Z117)-'Overall recycling rates'!$I$60/SUM('Overall recycling rates'!$I$60:$I$62)*('BTX Recycling HC'!Z225+'BTX Recycling HC'!Z252+'BTX Recycling HC'!Z163+'BTX Recycling HC'!Z118)</f>
        <v>309078.83922354813</v>
      </c>
      <c r="BH101" s="639">
        <f>BH42-'Overall recycling rates'!$G$60/SUM('Overall recycling rates'!$G$60:$G$62)*('BTX Recycling HC'!AA222+'BTX Recycling HC'!AA249+'BTX Recycling HC'!AA160+'BTX Recycling HC'!AA115)-'Overall recycling rates'!$E$60/SUM('Overall recycling rates'!$E$60:$E$62)*('BTX Recycling HC'!AA223+'BTX Recycling HC'!AA250+'BTX Recycling HC'!AA161+'BTX Recycling HC'!AA116)-'Overall recycling rates'!$H$60/SUM('Overall recycling rates'!$H$60:$H$62)*('BTX Recycling HC'!AA224+'BTX Recycling HC'!AA251+'BTX Recycling HC'!AA162+'BTX Recycling HC'!AA117)-'Overall recycling rates'!$I$60/SUM('Overall recycling rates'!$I$60:$I$62)*('BTX Recycling HC'!AA225+'BTX Recycling HC'!AA252+'BTX Recycling HC'!AA163+'BTX Recycling HC'!AA118)</f>
        <v>303627.89785930002</v>
      </c>
      <c r="BI101" s="639">
        <f>BI42-'Overall recycling rates'!$G$60/SUM('Overall recycling rates'!$G$60:$G$62)*('BTX Recycling HC'!AB222+'BTX Recycling HC'!AB249+'BTX Recycling HC'!AB160+'BTX Recycling HC'!AB115)-'Overall recycling rates'!$E$60/SUM('Overall recycling rates'!$E$60:$E$62)*('BTX Recycling HC'!AB223+'BTX Recycling HC'!AB250+'BTX Recycling HC'!AB161+'BTX Recycling HC'!AB116)-'Overall recycling rates'!$H$60/SUM('Overall recycling rates'!$H$60:$H$62)*('BTX Recycling HC'!AB224+'BTX Recycling HC'!AB251+'BTX Recycling HC'!AB162+'BTX Recycling HC'!AB117)-'Overall recycling rates'!$I$60/SUM('Overall recycling rates'!$I$60:$I$62)*('BTX Recycling HC'!AB225+'BTX Recycling HC'!AB252+'BTX Recycling HC'!AB163+'BTX Recycling HC'!AB118)</f>
        <v>298305.64017673017</v>
      </c>
      <c r="BJ101" s="639">
        <f>BJ42-'Overall recycling rates'!$G$60/SUM('Overall recycling rates'!$G$60:$G$62)*('BTX Recycling HC'!AC222+'BTX Recycling HC'!AC249+'BTX Recycling HC'!AC160+'BTX Recycling HC'!AC115)-'Overall recycling rates'!$E$60/SUM('Overall recycling rates'!$E$60:$E$62)*('BTX Recycling HC'!AC223+'BTX Recycling HC'!AC250+'BTX Recycling HC'!AC161+'BTX Recycling HC'!AC116)-'Overall recycling rates'!$H$60/SUM('Overall recycling rates'!$H$60:$H$62)*('BTX Recycling HC'!AC224+'BTX Recycling HC'!AC251+'BTX Recycling HC'!AC162+'BTX Recycling HC'!AC117)-'Overall recycling rates'!$I$60/SUM('Overall recycling rates'!$I$60:$I$62)*('BTX Recycling HC'!AC225+'BTX Recycling HC'!AC252+'BTX Recycling HC'!AC163+'BTX Recycling HC'!AC118)</f>
        <v>293123.375225892</v>
      </c>
      <c r="BK101" s="639">
        <f>BK42-'Overall recycling rates'!$G$60/SUM('Overall recycling rates'!$G$60:$G$62)*('BTX Recycling HC'!AD222+'BTX Recycling HC'!AD249+'BTX Recycling HC'!AD160+'BTX Recycling HC'!AD115)-'Overall recycling rates'!$E$60/SUM('Overall recycling rates'!$E$60:$E$62)*('BTX Recycling HC'!AD223+'BTX Recycling HC'!AD250+'BTX Recycling HC'!AD161+'BTX Recycling HC'!AD116)-'Overall recycling rates'!$H$60/SUM('Overall recycling rates'!$H$60:$H$62)*('BTX Recycling HC'!AD224+'BTX Recycling HC'!AD251+'BTX Recycling HC'!AD162+'BTX Recycling HC'!AD117)-'Overall recycling rates'!$I$60/SUM('Overall recycling rates'!$I$60:$I$62)*('BTX Recycling HC'!AD225+'BTX Recycling HC'!AD252+'BTX Recycling HC'!AD163+'BTX Recycling HC'!AD118)</f>
        <v>288092.1459607475</v>
      </c>
      <c r="BL101" s="639">
        <f>BL42-'Overall recycling rates'!$G$60/SUM('Overall recycling rates'!$G$60:$G$62)*('BTX Recycling HC'!AE222+'BTX Recycling HC'!AE249+'BTX Recycling HC'!AE160+'BTX Recycling HC'!AE115)-'Overall recycling rates'!$E$60/SUM('Overall recycling rates'!$E$60:$E$62)*('BTX Recycling HC'!AE223+'BTX Recycling HC'!AE250+'BTX Recycling HC'!AE161+'BTX Recycling HC'!AE116)-'Overall recycling rates'!$H$60/SUM('Overall recycling rates'!$H$60:$H$62)*('BTX Recycling HC'!AE224+'BTX Recycling HC'!AE251+'BTX Recycling HC'!AE162+'BTX Recycling HC'!AE117)-'Overall recycling rates'!$I$60/SUM('Overall recycling rates'!$I$60:$I$62)*('BTX Recycling HC'!AE225+'BTX Recycling HC'!AE252+'BTX Recycling HC'!AE163+'BTX Recycling HC'!AE118)</f>
        <v>283222.73411973187</v>
      </c>
      <c r="BM101" s="639">
        <f>BM42-'Overall recycling rates'!$G$60/SUM('Overall recycling rates'!$G$60:$G$62)*('BTX Recycling HC'!AF222+'BTX Recycling HC'!AF249+'BTX Recycling HC'!AF160+'BTX Recycling HC'!AF115)-'Overall recycling rates'!$E$60/SUM('Overall recycling rates'!$E$60:$E$62)*('BTX Recycling HC'!AF223+'BTX Recycling HC'!AF250+'BTX Recycling HC'!AF161+'BTX Recycling HC'!AF116)-'Overall recycling rates'!$H$60/SUM('Overall recycling rates'!$H$60:$H$62)*('BTX Recycling HC'!AF224+'BTX Recycling HC'!AF251+'BTX Recycling HC'!AF162+'BTX Recycling HC'!AF117)-'Overall recycling rates'!$I$60/SUM('Overall recycling rates'!$I$60:$I$62)*('BTX Recycling HC'!AF225+'BTX Recycling HC'!AF252+'BTX Recycling HC'!AF163+'BTX Recycling HC'!AF118)</f>
        <v>278525.65354452352</v>
      </c>
      <c r="BN101" s="639">
        <f>BN42-'Overall recycling rates'!$G$60/SUM('Overall recycling rates'!$G$60:$G$62)*('BTX Recycling HC'!AG222+'BTX Recycling HC'!AG249+'BTX Recycling HC'!AG160+'BTX Recycling HC'!AG115)-'Overall recycling rates'!$E$60/SUM('Overall recycling rates'!$E$60:$E$62)*('BTX Recycling HC'!AG223+'BTX Recycling HC'!AG250+'BTX Recycling HC'!AG161+'BTX Recycling HC'!AG116)-'Overall recycling rates'!$H$60/SUM('Overall recycling rates'!$H$60:$H$62)*('BTX Recycling HC'!AG224+'BTX Recycling HC'!AG251+'BTX Recycling HC'!AG162+'BTX Recycling HC'!AG117)-'Overall recycling rates'!$I$60/SUM('Overall recycling rates'!$I$60:$I$62)*('BTX Recycling HC'!AG225+'BTX Recycling HC'!AG252+'BTX Recycling HC'!AG163+'BTX Recycling HC'!AG118)</f>
        <v>274011.14632723271</v>
      </c>
    </row>
    <row r="102" spans="1:66" outlineLevel="1">
      <c r="A102" s="685"/>
      <c r="B102" s="1" t="s">
        <v>797</v>
      </c>
      <c r="C102" s="51" t="s">
        <v>166</v>
      </c>
      <c r="D102" s="635">
        <f>D43-'Overall recycling rates'!$G$61/SUM('Overall recycling rates'!$G$60:$G$62)*('BTX Recycling HC'!C222+'BTX Recycling HC'!C249+'BTX Recycling HC'!C160+'BTX Recycling HC'!C115)-'Overall recycling rates'!$E$61/SUM('Overall recycling rates'!$E$60:$E$62)*('BTX Recycling HC'!C223+'BTX Recycling HC'!C250+'BTX Recycling HC'!C161+'BTX Recycling HC'!C116)-'Overall recycling rates'!$H$61/SUM('Overall recycling rates'!$H$60:$H$62)*('BTX Recycling HC'!C224+'BTX Recycling HC'!C251+'BTX Recycling HC'!C162+'BTX Recycling HC'!C117)-'Overall recycling rates'!$I$61/SUM('Overall recycling rates'!$I$60:$I$62)*('BTX Recycling HC'!C225+'BTX Recycling HC'!C252+'BTX Recycling HC'!C163+'BTX Recycling HC'!C118)</f>
        <v>18095.873434805668</v>
      </c>
      <c r="E102" s="635">
        <f>E43-'Overall recycling rates'!$G$61/SUM('Overall recycling rates'!$G$60:$G$62)*('BTX Recycling HC'!D222+'BTX Recycling HC'!D249+'BTX Recycling HC'!D160+'BTX Recycling HC'!D115)-'Overall recycling rates'!$E$61/SUM('Overall recycling rates'!$E$60:$E$62)*('BTX Recycling HC'!D223+'BTX Recycling HC'!D250+'BTX Recycling HC'!D161+'BTX Recycling HC'!D116)-'Overall recycling rates'!$H$61/SUM('Overall recycling rates'!$H$60:$H$62)*('BTX Recycling HC'!D224+'BTX Recycling HC'!D251+'BTX Recycling HC'!D162+'BTX Recycling HC'!D117)-'Overall recycling rates'!$I$61/SUM('Overall recycling rates'!$I$60:$I$62)*('BTX Recycling HC'!D225+'BTX Recycling HC'!D252+'BTX Recycling HC'!D163+'BTX Recycling HC'!D118)</f>
        <v>17272.681054535056</v>
      </c>
      <c r="F102" s="635">
        <f>F43-'Overall recycling rates'!$G$61/SUM('Overall recycling rates'!$G$60:$G$62)*('BTX Recycling HC'!E222+'BTX Recycling HC'!E249+'BTX Recycling HC'!E160+'BTX Recycling HC'!E115)-'Overall recycling rates'!$E$61/SUM('Overall recycling rates'!$E$60:$E$62)*('BTX Recycling HC'!E223+'BTX Recycling HC'!E250+'BTX Recycling HC'!E161+'BTX Recycling HC'!E116)-'Overall recycling rates'!$H$61/SUM('Overall recycling rates'!$H$60:$H$62)*('BTX Recycling HC'!E224+'BTX Recycling HC'!E251+'BTX Recycling HC'!E162+'BTX Recycling HC'!E117)-'Overall recycling rates'!$I$61/SUM('Overall recycling rates'!$I$60:$I$62)*('BTX Recycling HC'!E225+'BTX Recycling HC'!E252+'BTX Recycling HC'!E163+'BTX Recycling HC'!E118)</f>
        <v>16386.102902628401</v>
      </c>
      <c r="G102" s="635">
        <f>G43-'Overall recycling rates'!$G$61/SUM('Overall recycling rates'!$G$60:$G$62)*('BTX Recycling HC'!F222+'BTX Recycling HC'!F249+'BTX Recycling HC'!F160+'BTX Recycling HC'!F115)-'Overall recycling rates'!$E$61/SUM('Overall recycling rates'!$E$60:$E$62)*('BTX Recycling HC'!F223+'BTX Recycling HC'!F250+'BTX Recycling HC'!F161+'BTX Recycling HC'!F116)-'Overall recycling rates'!$H$61/SUM('Overall recycling rates'!$H$60:$H$62)*('BTX Recycling HC'!F224+'BTX Recycling HC'!F251+'BTX Recycling HC'!F162+'BTX Recycling HC'!F117)-'Overall recycling rates'!$I$61/SUM('Overall recycling rates'!$I$60:$I$62)*('BTX Recycling HC'!F225+'BTX Recycling HC'!F252+'BTX Recycling HC'!F163+'BTX Recycling HC'!F118)</f>
        <v>15477.958697550972</v>
      </c>
      <c r="H102" s="635">
        <f>H43-'Overall recycling rates'!$G$61/SUM('Overall recycling rates'!$G$60:$G$62)*('BTX Recycling HC'!G222+'BTX Recycling HC'!G249+'BTX Recycling HC'!G160+'BTX Recycling HC'!G115)-'Overall recycling rates'!$E$61/SUM('Overall recycling rates'!$E$60:$E$62)*('BTX Recycling HC'!G223+'BTX Recycling HC'!G250+'BTX Recycling HC'!G161+'BTX Recycling HC'!G116)-'Overall recycling rates'!$H$61/SUM('Overall recycling rates'!$H$60:$H$62)*('BTX Recycling HC'!G224+'BTX Recycling HC'!G251+'BTX Recycling HC'!G162+'BTX Recycling HC'!G117)-'Overall recycling rates'!$I$61/SUM('Overall recycling rates'!$I$60:$I$62)*('BTX Recycling HC'!G225+'BTX Recycling HC'!G252+'BTX Recycling HC'!G163+'BTX Recycling HC'!G118)</f>
        <v>14559.22004483085</v>
      </c>
      <c r="I102" s="635">
        <f>I43-'Overall recycling rates'!$G$61/SUM('Overall recycling rates'!$G$60:$G$62)*('BTX Recycling HC'!H222+'BTX Recycling HC'!H249+'BTX Recycling HC'!H160+'BTX Recycling HC'!H115)-'Overall recycling rates'!$E$61/SUM('Overall recycling rates'!$E$60:$E$62)*('BTX Recycling HC'!H223+'BTX Recycling HC'!H250+'BTX Recycling HC'!H161+'BTX Recycling HC'!H116)-'Overall recycling rates'!$H$61/SUM('Overall recycling rates'!$H$60:$H$62)*('BTX Recycling HC'!H224+'BTX Recycling HC'!H251+'BTX Recycling HC'!H162+'BTX Recycling HC'!H117)-'Overall recycling rates'!$I$61/SUM('Overall recycling rates'!$I$60:$I$62)*('BTX Recycling HC'!H225+'BTX Recycling HC'!H252+'BTX Recycling HC'!H163+'BTX Recycling HC'!H118)</f>
        <v>13630.889551424378</v>
      </c>
      <c r="J102" s="635">
        <f>J43-'Overall recycling rates'!$G$61/SUM('Overall recycling rates'!$G$60:$G$62)*('BTX Recycling HC'!I222+'BTX Recycling HC'!I249+'BTX Recycling HC'!I160+'BTX Recycling HC'!I115)-'Overall recycling rates'!$E$61/SUM('Overall recycling rates'!$E$60:$E$62)*('BTX Recycling HC'!I223+'BTX Recycling HC'!I250+'BTX Recycling HC'!I161+'BTX Recycling HC'!I116)-'Overall recycling rates'!$H$61/SUM('Overall recycling rates'!$H$60:$H$62)*('BTX Recycling HC'!I224+'BTX Recycling HC'!I251+'BTX Recycling HC'!I162+'BTX Recycling HC'!I117)-'Overall recycling rates'!$I$61/SUM('Overall recycling rates'!$I$60:$I$62)*('BTX Recycling HC'!I225+'BTX Recycling HC'!I252+'BTX Recycling HC'!I163+'BTX Recycling HC'!I118)</f>
        <v>12703.163843228765</v>
      </c>
      <c r="K102" s="635">
        <f>K43-'Overall recycling rates'!$G$61/SUM('Overall recycling rates'!$G$60:$G$62)*('BTX Recycling HC'!J222+'BTX Recycling HC'!J249+'BTX Recycling HC'!J160+'BTX Recycling HC'!J115)-'Overall recycling rates'!$E$61/SUM('Overall recycling rates'!$E$60:$E$62)*('BTX Recycling HC'!J223+'BTX Recycling HC'!J250+'BTX Recycling HC'!J161+'BTX Recycling HC'!J116)-'Overall recycling rates'!$H$61/SUM('Overall recycling rates'!$H$60:$H$62)*('BTX Recycling HC'!J224+'BTX Recycling HC'!J251+'BTX Recycling HC'!J162+'BTX Recycling HC'!J117)-'Overall recycling rates'!$I$61/SUM('Overall recycling rates'!$I$60:$I$62)*('BTX Recycling HC'!J225+'BTX Recycling HC'!J252+'BTX Recycling HC'!J163+'BTX Recycling HC'!J118)</f>
        <v>11770.366345196437</v>
      </c>
      <c r="L102" s="635">
        <f>L43-'Overall recycling rates'!$G$61/SUM('Overall recycling rates'!$G$60:$G$62)*('BTX Recycling HC'!K222+'BTX Recycling HC'!K249+'BTX Recycling HC'!K160+'BTX Recycling HC'!K115)-'Overall recycling rates'!$E$61/SUM('Overall recycling rates'!$E$60:$E$62)*('BTX Recycling HC'!K223+'BTX Recycling HC'!K250+'BTX Recycling HC'!K161+'BTX Recycling HC'!K116)-'Overall recycling rates'!$H$61/SUM('Overall recycling rates'!$H$60:$H$62)*('BTX Recycling HC'!K224+'BTX Recycling HC'!K251+'BTX Recycling HC'!K162+'BTX Recycling HC'!K117)-'Overall recycling rates'!$I$61/SUM('Overall recycling rates'!$I$60:$I$62)*('BTX Recycling HC'!K225+'BTX Recycling HC'!K252+'BTX Recycling HC'!K163+'BTX Recycling HC'!K118)</f>
        <v>10833.7550602995</v>
      </c>
      <c r="M102" s="635">
        <f>M43-'Overall recycling rates'!$G$61/SUM('Overall recycling rates'!$G$60:$G$62)*('BTX Recycling HC'!L222+'BTX Recycling HC'!L249+'BTX Recycling HC'!L160+'BTX Recycling HC'!L115)-'Overall recycling rates'!$E$61/SUM('Overall recycling rates'!$E$60:$E$62)*('BTX Recycling HC'!L223+'BTX Recycling HC'!L250+'BTX Recycling HC'!L161+'BTX Recycling HC'!L116)-'Overall recycling rates'!$H$61/SUM('Overall recycling rates'!$H$60:$H$62)*('BTX Recycling HC'!L224+'BTX Recycling HC'!L251+'BTX Recycling HC'!L162+'BTX Recycling HC'!L117)-'Overall recycling rates'!$I$61/SUM('Overall recycling rates'!$I$60:$I$62)*('BTX Recycling HC'!L225+'BTX Recycling HC'!L252+'BTX Recycling HC'!L163+'BTX Recycling HC'!L118)</f>
        <v>9894.5950096705419</v>
      </c>
      <c r="N102" s="635">
        <f>N43-'Overall recycling rates'!$G$61/SUM('Overall recycling rates'!$G$60:$G$62)*('BTX Recycling HC'!M222+'BTX Recycling HC'!M249+'BTX Recycling HC'!M160+'BTX Recycling HC'!M115)-'Overall recycling rates'!$E$61/SUM('Overall recycling rates'!$E$60:$E$62)*('BTX Recycling HC'!M223+'BTX Recycling HC'!M250+'BTX Recycling HC'!M161+'BTX Recycling HC'!M116)-'Overall recycling rates'!$H$61/SUM('Overall recycling rates'!$H$60:$H$62)*('BTX Recycling HC'!M224+'BTX Recycling HC'!M251+'BTX Recycling HC'!M162+'BTX Recycling HC'!M117)-'Overall recycling rates'!$I$61/SUM('Overall recycling rates'!$I$60:$I$62)*('BTX Recycling HC'!M225+'BTX Recycling HC'!M252+'BTX Recycling HC'!M163+'BTX Recycling HC'!M118)</f>
        <v>8954.1579007905129</v>
      </c>
      <c r="O102" s="635">
        <f>O43-'Overall recycling rates'!$G$61/SUM('Overall recycling rates'!$G$60:$G$62)*('BTX Recycling HC'!N222+'BTX Recycling HC'!N249+'BTX Recycling HC'!N160+'BTX Recycling HC'!N115)-'Overall recycling rates'!$E$61/SUM('Overall recycling rates'!$E$60:$E$62)*('BTX Recycling HC'!N223+'BTX Recycling HC'!N250+'BTX Recycling HC'!N161+'BTX Recycling HC'!N116)-'Overall recycling rates'!$H$61/SUM('Overall recycling rates'!$H$60:$H$62)*('BTX Recycling HC'!N224+'BTX Recycling HC'!N251+'BTX Recycling HC'!N162+'BTX Recycling HC'!N117)-'Overall recycling rates'!$I$61/SUM('Overall recycling rates'!$I$60:$I$62)*('BTX Recycling HC'!N225+'BTX Recycling HC'!N252+'BTX Recycling HC'!N163+'BTX Recycling HC'!N118)</f>
        <v>7838.0121555170072</v>
      </c>
      <c r="P102" s="635">
        <f>P43-'Overall recycling rates'!$G$61/SUM('Overall recycling rates'!$G$60:$G$62)*('BTX Recycling HC'!O222+'BTX Recycling HC'!O249+'BTX Recycling HC'!O160+'BTX Recycling HC'!O115)-'Overall recycling rates'!$E$61/SUM('Overall recycling rates'!$E$60:$E$62)*('BTX Recycling HC'!O223+'BTX Recycling HC'!O250+'BTX Recycling HC'!O161+'BTX Recycling HC'!O116)-'Overall recycling rates'!$H$61/SUM('Overall recycling rates'!$H$60:$H$62)*('BTX Recycling HC'!O224+'BTX Recycling HC'!O251+'BTX Recycling HC'!O162+'BTX Recycling HC'!O117)-'Overall recycling rates'!$I$61/SUM('Overall recycling rates'!$I$60:$I$62)*('BTX Recycling HC'!O225+'BTX Recycling HC'!O252+'BTX Recycling HC'!O163+'BTX Recycling HC'!O118)</f>
        <v>6734.3146028816755</v>
      </c>
      <c r="Q102" s="635">
        <f>Q43-'Overall recycling rates'!$G$61/SUM('Overall recycling rates'!$G$60:$G$62)*('BTX Recycling HC'!P222+'BTX Recycling HC'!P249+'BTX Recycling HC'!P160+'BTX Recycling HC'!P115)-'Overall recycling rates'!$E$61/SUM('Overall recycling rates'!$E$60:$E$62)*('BTX Recycling HC'!P223+'BTX Recycling HC'!P250+'BTX Recycling HC'!P161+'BTX Recycling HC'!P116)-'Overall recycling rates'!$H$61/SUM('Overall recycling rates'!$H$60:$H$62)*('BTX Recycling HC'!P224+'BTX Recycling HC'!P251+'BTX Recycling HC'!P162+'BTX Recycling HC'!P117)-'Overall recycling rates'!$I$61/SUM('Overall recycling rates'!$I$60:$I$62)*('BTX Recycling HC'!P225+'BTX Recycling HC'!P252+'BTX Recycling HC'!P163+'BTX Recycling HC'!P118)</f>
        <v>5648.7119514629667</v>
      </c>
      <c r="R102" s="635">
        <f>R43-'Overall recycling rates'!$G$61/SUM('Overall recycling rates'!$G$60:$G$62)*('BTX Recycling HC'!Q222+'BTX Recycling HC'!Q249+'BTX Recycling HC'!Q160+'BTX Recycling HC'!Q115)-'Overall recycling rates'!$E$61/SUM('Overall recycling rates'!$E$60:$E$62)*('BTX Recycling HC'!Q223+'BTX Recycling HC'!Q250+'BTX Recycling HC'!Q161+'BTX Recycling HC'!Q116)-'Overall recycling rates'!$H$61/SUM('Overall recycling rates'!$H$60:$H$62)*('BTX Recycling HC'!Q224+'BTX Recycling HC'!Q251+'BTX Recycling HC'!Q162+'BTX Recycling HC'!Q117)-'Overall recycling rates'!$I$61/SUM('Overall recycling rates'!$I$60:$I$62)*('BTX Recycling HC'!Q225+'BTX Recycling HC'!Q252+'BTX Recycling HC'!Q163+'BTX Recycling HC'!Q118)</f>
        <v>4585.0953750251383</v>
      </c>
      <c r="S102" s="635">
        <f>S43-'Overall recycling rates'!$G$61/SUM('Overall recycling rates'!$G$60:$G$62)*('BTX Recycling HC'!R222+'BTX Recycling HC'!R249+'BTX Recycling HC'!R160+'BTX Recycling HC'!R115)-'Overall recycling rates'!$E$61/SUM('Overall recycling rates'!$E$60:$E$62)*('BTX Recycling HC'!R223+'BTX Recycling HC'!R250+'BTX Recycling HC'!R161+'BTX Recycling HC'!R116)-'Overall recycling rates'!$H$61/SUM('Overall recycling rates'!$H$60:$H$62)*('BTX Recycling HC'!R224+'BTX Recycling HC'!R251+'BTX Recycling HC'!R162+'BTX Recycling HC'!R117)-'Overall recycling rates'!$I$61/SUM('Overall recycling rates'!$I$60:$I$62)*('BTX Recycling HC'!R225+'BTX Recycling HC'!R252+'BTX Recycling HC'!R163+'BTX Recycling HC'!R118)</f>
        <v>3548.0812245887541</v>
      </c>
      <c r="T102" s="635">
        <f>T43-'Overall recycling rates'!$G$61/SUM('Overall recycling rates'!$G$60:$G$62)*('BTX Recycling HC'!S222+'BTX Recycling HC'!S249+'BTX Recycling HC'!S160+'BTX Recycling HC'!S115)-'Overall recycling rates'!$E$61/SUM('Overall recycling rates'!$E$60:$E$62)*('BTX Recycling HC'!S223+'BTX Recycling HC'!S250+'BTX Recycling HC'!S161+'BTX Recycling HC'!S116)-'Overall recycling rates'!$H$61/SUM('Overall recycling rates'!$H$60:$H$62)*('BTX Recycling HC'!S224+'BTX Recycling HC'!S251+'BTX Recycling HC'!S162+'BTX Recycling HC'!S117)-'Overall recycling rates'!$I$61/SUM('Overall recycling rates'!$I$60:$I$62)*('BTX Recycling HC'!S225+'BTX Recycling HC'!S252+'BTX Recycling HC'!S163+'BTX Recycling HC'!S118)</f>
        <v>2533.3106466458712</v>
      </c>
      <c r="U102" s="635">
        <f>U43-'Overall recycling rates'!$G$61/SUM('Overall recycling rates'!$G$60:$G$62)*('BTX Recycling HC'!T222+'BTX Recycling HC'!T249+'BTX Recycling HC'!T160+'BTX Recycling HC'!T115)-'Overall recycling rates'!$E$61/SUM('Overall recycling rates'!$E$60:$E$62)*('BTX Recycling HC'!T223+'BTX Recycling HC'!T250+'BTX Recycling HC'!T161+'BTX Recycling HC'!T116)-'Overall recycling rates'!$H$61/SUM('Overall recycling rates'!$H$60:$H$62)*('BTX Recycling HC'!T224+'BTX Recycling HC'!T251+'BTX Recycling HC'!T162+'BTX Recycling HC'!T117)-'Overall recycling rates'!$I$61/SUM('Overall recycling rates'!$I$60:$I$62)*('BTX Recycling HC'!T225+'BTX Recycling HC'!T252+'BTX Recycling HC'!T163+'BTX Recycling HC'!T118)</f>
        <v>1552.3545383684341</v>
      </c>
      <c r="V102" s="635">
        <f>V43-'Overall recycling rates'!$G$61/SUM('Overall recycling rates'!$G$60:$G$62)*('BTX Recycling HC'!U222+'BTX Recycling HC'!U249+'BTX Recycling HC'!U160+'BTX Recycling HC'!U115)-'Overall recycling rates'!$E$61/SUM('Overall recycling rates'!$E$60:$E$62)*('BTX Recycling HC'!U223+'BTX Recycling HC'!U250+'BTX Recycling HC'!U161+'BTX Recycling HC'!U116)-'Overall recycling rates'!$H$61/SUM('Overall recycling rates'!$H$60:$H$62)*('BTX Recycling HC'!U224+'BTX Recycling HC'!U251+'BTX Recycling HC'!U162+'BTX Recycling HC'!U117)-'Overall recycling rates'!$I$61/SUM('Overall recycling rates'!$I$60:$I$62)*('BTX Recycling HC'!U225+'BTX Recycling HC'!U252+'BTX Recycling HC'!U163+'BTX Recycling HC'!U118)</f>
        <v>609.54920023146587</v>
      </c>
      <c r="W102" s="635">
        <f>W43-'Overall recycling rates'!$G$61/SUM('Overall recycling rates'!$G$60:$G$62)*('BTX Recycling HC'!V222+'BTX Recycling HC'!V249+'BTX Recycling HC'!V160+'BTX Recycling HC'!V115)-'Overall recycling rates'!$E$61/SUM('Overall recycling rates'!$E$60:$E$62)*('BTX Recycling HC'!V223+'BTX Recycling HC'!V250+'BTX Recycling HC'!V161+'BTX Recycling HC'!V116)-'Overall recycling rates'!$H$61/SUM('Overall recycling rates'!$H$60:$H$62)*('BTX Recycling HC'!V224+'BTX Recycling HC'!V251+'BTX Recycling HC'!V162+'BTX Recycling HC'!V117)-'Overall recycling rates'!$I$61/SUM('Overall recycling rates'!$I$60:$I$62)*('BTX Recycling HC'!V225+'BTX Recycling HC'!V252+'BTX Recycling HC'!V163+'BTX Recycling HC'!V118)</f>
        <v>-290.81222856959721</v>
      </c>
      <c r="X102" s="635">
        <f>X43-'Overall recycling rates'!$G$61/SUM('Overall recycling rates'!$G$60:$G$62)*('BTX Recycling HC'!W222+'BTX Recycling HC'!W249+'BTX Recycling HC'!W160+'BTX Recycling HC'!W115)-'Overall recycling rates'!$E$61/SUM('Overall recycling rates'!$E$60:$E$62)*('BTX Recycling HC'!W223+'BTX Recycling HC'!W250+'BTX Recycling HC'!W161+'BTX Recycling HC'!W116)-'Overall recycling rates'!$H$61/SUM('Overall recycling rates'!$H$60:$H$62)*('BTX Recycling HC'!W224+'BTX Recycling HC'!W251+'BTX Recycling HC'!W162+'BTX Recycling HC'!W117)-'Overall recycling rates'!$I$61/SUM('Overall recycling rates'!$I$60:$I$62)*('BTX Recycling HC'!W225+'BTX Recycling HC'!W252+'BTX Recycling HC'!W163+'BTX Recycling HC'!W118)</f>
        <v>-1144.4817391686711</v>
      </c>
      <c r="Y102" s="635">
        <f>Y43-'Overall recycling rates'!$G$61/SUM('Overall recycling rates'!$G$60:$G$62)*('BTX Recycling HC'!X222+'BTX Recycling HC'!X249+'BTX Recycling HC'!X160+'BTX Recycling HC'!X115)-'Overall recycling rates'!$E$61/SUM('Overall recycling rates'!$E$60:$E$62)*('BTX Recycling HC'!X223+'BTX Recycling HC'!X250+'BTX Recycling HC'!X161+'BTX Recycling HC'!X116)-'Overall recycling rates'!$H$61/SUM('Overall recycling rates'!$H$60:$H$62)*('BTX Recycling HC'!X224+'BTX Recycling HC'!X251+'BTX Recycling HC'!X162+'BTX Recycling HC'!X117)-'Overall recycling rates'!$I$61/SUM('Overall recycling rates'!$I$60:$I$62)*('BTX Recycling HC'!X225+'BTX Recycling HC'!X252+'BTX Recycling HC'!X163+'BTX Recycling HC'!X118)</f>
        <v>-2285.8066132984259</v>
      </c>
      <c r="Z102" s="635">
        <f>Z43-'Overall recycling rates'!$G$61/SUM('Overall recycling rates'!$G$60:$G$62)*('BTX Recycling HC'!Y222+'BTX Recycling HC'!Y249+'BTX Recycling HC'!Y160+'BTX Recycling HC'!Y115)-'Overall recycling rates'!$E$61/SUM('Overall recycling rates'!$E$60:$E$62)*('BTX Recycling HC'!Y223+'BTX Recycling HC'!Y250+'BTX Recycling HC'!Y161+'BTX Recycling HC'!Y116)-'Overall recycling rates'!$H$61/SUM('Overall recycling rates'!$H$60:$H$62)*('BTX Recycling HC'!Y224+'BTX Recycling HC'!Y251+'BTX Recycling HC'!Y162+'BTX Recycling HC'!Y117)-'Overall recycling rates'!$I$61/SUM('Overall recycling rates'!$I$60:$I$62)*('BTX Recycling HC'!Y225+'BTX Recycling HC'!Y252+'BTX Recycling HC'!Y163+'BTX Recycling HC'!Y118)</f>
        <v>-3360.3144283028169</v>
      </c>
      <c r="AA102" s="635">
        <f>AA43-'Overall recycling rates'!$G$61/SUM('Overall recycling rates'!$G$60:$G$62)*('BTX Recycling HC'!Z222+'BTX Recycling HC'!Z249+'BTX Recycling HC'!Z160+'BTX Recycling HC'!Z115)-'Overall recycling rates'!$E$61/SUM('Overall recycling rates'!$E$60:$E$62)*('BTX Recycling HC'!Z223+'BTX Recycling HC'!Z250+'BTX Recycling HC'!Z161+'BTX Recycling HC'!Z116)-'Overall recycling rates'!$H$61/SUM('Overall recycling rates'!$H$60:$H$62)*('BTX Recycling HC'!Z224+'BTX Recycling HC'!Z251+'BTX Recycling HC'!Z162+'BTX Recycling HC'!Z117)-'Overall recycling rates'!$I$61/SUM('Overall recycling rates'!$I$60:$I$62)*('BTX Recycling HC'!Z225+'BTX Recycling HC'!Z252+'BTX Recycling HC'!Z163+'BTX Recycling HC'!Z118)</f>
        <v>-4356.3458253515964</v>
      </c>
      <c r="AB102" s="635">
        <f>AB43-'Overall recycling rates'!$G$61/SUM('Overall recycling rates'!$G$60:$G$62)*('BTX Recycling HC'!AA222+'BTX Recycling HC'!AA249+'BTX Recycling HC'!AA160+'BTX Recycling HC'!AA115)-'Overall recycling rates'!$E$61/SUM('Overall recycling rates'!$E$60:$E$62)*('BTX Recycling HC'!AA223+'BTX Recycling HC'!AA250+'BTX Recycling HC'!AA161+'BTX Recycling HC'!AA116)-'Overall recycling rates'!$H$61/SUM('Overall recycling rates'!$H$60:$H$62)*('BTX Recycling HC'!AA224+'BTX Recycling HC'!AA251+'BTX Recycling HC'!AA162+'BTX Recycling HC'!AA117)-'Overall recycling rates'!$I$61/SUM('Overall recycling rates'!$I$60:$I$62)*('BTX Recycling HC'!AA225+'BTX Recycling HC'!AA252+'BTX Recycling HC'!AA163+'BTX Recycling HC'!AA118)</f>
        <v>-5271.4340988585236</v>
      </c>
      <c r="AC102" s="635">
        <f>AC43-'Overall recycling rates'!$G$61/SUM('Overall recycling rates'!$G$60:$G$62)*('BTX Recycling HC'!AB222+'BTX Recycling HC'!AB249+'BTX Recycling HC'!AB160+'BTX Recycling HC'!AB115)-'Overall recycling rates'!$E$61/SUM('Overall recycling rates'!$E$60:$E$62)*('BTX Recycling HC'!AB223+'BTX Recycling HC'!AB250+'BTX Recycling HC'!AB161+'BTX Recycling HC'!AB116)-'Overall recycling rates'!$H$61/SUM('Overall recycling rates'!$H$60:$H$62)*('BTX Recycling HC'!AB224+'BTX Recycling HC'!AB251+'BTX Recycling HC'!AB162+'BTX Recycling HC'!AB117)-'Overall recycling rates'!$I$61/SUM('Overall recycling rates'!$I$60:$I$62)*('BTX Recycling HC'!AB225+'BTX Recycling HC'!AB252+'BTX Recycling HC'!AB163+'BTX Recycling HC'!AB118)</f>
        <v>-6099.0228869642542</v>
      </c>
      <c r="AD102" s="635">
        <f>AD43-'Overall recycling rates'!$G$61/SUM('Overall recycling rates'!$G$60:$G$62)*('BTX Recycling HC'!AC222+'BTX Recycling HC'!AC249+'BTX Recycling HC'!AC160+'BTX Recycling HC'!AC115)-'Overall recycling rates'!$E$61/SUM('Overall recycling rates'!$E$60:$E$62)*('BTX Recycling HC'!AC223+'BTX Recycling HC'!AC250+'BTX Recycling HC'!AC161+'BTX Recycling HC'!AC116)-'Overall recycling rates'!$H$61/SUM('Overall recycling rates'!$H$60:$H$62)*('BTX Recycling HC'!AC224+'BTX Recycling HC'!AC251+'BTX Recycling HC'!AC162+'BTX Recycling HC'!AC117)-'Overall recycling rates'!$I$61/SUM('Overall recycling rates'!$I$60:$I$62)*('BTX Recycling HC'!AC225+'BTX Recycling HC'!AC252+'BTX Recycling HC'!AC163+'BTX Recycling HC'!AC118)</f>
        <v>-6820.7222151119022</v>
      </c>
      <c r="AE102" s="635">
        <f>AE43-'Overall recycling rates'!$G$61/SUM('Overall recycling rates'!$G$60:$G$62)*('BTX Recycling HC'!AD222+'BTX Recycling HC'!AD249+'BTX Recycling HC'!AD160+'BTX Recycling HC'!AD115)-'Overall recycling rates'!$E$61/SUM('Overall recycling rates'!$E$60:$E$62)*('BTX Recycling HC'!AD223+'BTX Recycling HC'!AD250+'BTX Recycling HC'!AD161+'BTX Recycling HC'!AD116)-'Overall recycling rates'!$H$61/SUM('Overall recycling rates'!$H$60:$H$62)*('BTX Recycling HC'!AD224+'BTX Recycling HC'!AD251+'BTX Recycling HC'!AD162+'BTX Recycling HC'!AD117)-'Overall recycling rates'!$I$61/SUM('Overall recycling rates'!$I$60:$I$62)*('BTX Recycling HC'!AD225+'BTX Recycling HC'!AD252+'BTX Recycling HC'!AD163+'BTX Recycling HC'!AD118)</f>
        <v>-7439.9589170169156</v>
      </c>
      <c r="AF102" s="635">
        <f>AF43-'Overall recycling rates'!$G$61/SUM('Overall recycling rates'!$G$60:$G$62)*('BTX Recycling HC'!AE222+'BTX Recycling HC'!AE249+'BTX Recycling HC'!AE160+'BTX Recycling HC'!AE115)-'Overall recycling rates'!$E$61/SUM('Overall recycling rates'!$E$60:$E$62)*('BTX Recycling HC'!AE223+'BTX Recycling HC'!AE250+'BTX Recycling HC'!AE161+'BTX Recycling HC'!AE116)-'Overall recycling rates'!$H$61/SUM('Overall recycling rates'!$H$60:$H$62)*('BTX Recycling HC'!AE224+'BTX Recycling HC'!AE251+'BTX Recycling HC'!AE162+'BTX Recycling HC'!AE117)-'Overall recycling rates'!$I$61/SUM('Overall recycling rates'!$I$60:$I$62)*('BTX Recycling HC'!AE225+'BTX Recycling HC'!AE252+'BTX Recycling HC'!AE163+'BTX Recycling HC'!AE118)</f>
        <v>-7950.3567962698107</v>
      </c>
      <c r="AG102" s="635">
        <f>AG43-'Overall recycling rates'!$G$61/SUM('Overall recycling rates'!$G$60:$G$62)*('BTX Recycling HC'!AF222+'BTX Recycling HC'!AF249+'BTX Recycling HC'!AF160+'BTX Recycling HC'!AF115)-'Overall recycling rates'!$E$61/SUM('Overall recycling rates'!$E$60:$E$62)*('BTX Recycling HC'!AF223+'BTX Recycling HC'!AF250+'BTX Recycling HC'!AF161+'BTX Recycling HC'!AF116)-'Overall recycling rates'!$H$61/SUM('Overall recycling rates'!$H$60:$H$62)*('BTX Recycling HC'!AF224+'BTX Recycling HC'!AF251+'BTX Recycling HC'!AF162+'BTX Recycling HC'!AF117)-'Overall recycling rates'!$I$61/SUM('Overall recycling rates'!$I$60:$I$62)*('BTX Recycling HC'!AF225+'BTX Recycling HC'!AF252+'BTX Recycling HC'!AF163+'BTX Recycling HC'!AF118)</f>
        <v>-8345.6625312487085</v>
      </c>
      <c r="AH102" s="635">
        <f>AH43-'Overall recycling rates'!$G$61/SUM('Overall recycling rates'!$G$60:$G$62)*('BTX Recycling HC'!AG222+'BTX Recycling HC'!AG249+'BTX Recycling HC'!AG160+'BTX Recycling HC'!AG115)-'Overall recycling rates'!$E$61/SUM('Overall recycling rates'!$E$60:$E$62)*('BTX Recycling HC'!AG223+'BTX Recycling HC'!AG250+'BTX Recycling HC'!AG161+'BTX Recycling HC'!AG116)-'Overall recycling rates'!$H$61/SUM('Overall recycling rates'!$H$60:$H$62)*('BTX Recycling HC'!AG224+'BTX Recycling HC'!AG251+'BTX Recycling HC'!AG162+'BTX Recycling HC'!AG117)-'Overall recycling rates'!$I$61/SUM('Overall recycling rates'!$I$60:$I$62)*('BTX Recycling HC'!AG225+'BTX Recycling HC'!AG252+'BTX Recycling HC'!AG163+'BTX Recycling HC'!AG118)</f>
        <v>-8619.7508573820305</v>
      </c>
      <c r="AI102" s="635"/>
      <c r="AJ102" s="635">
        <f>AJ43-'Overall recycling rates'!$G$61/SUM('Overall recycling rates'!$G$60:$G$62)*('BTX Recycling HC'!C222+'BTX Recycling HC'!C249+'BTX Recycling HC'!C160+'BTX Recycling HC'!C115)-'Overall recycling rates'!$E$61/SUM('Overall recycling rates'!$E$60:$E$62)*('BTX Recycling HC'!C223+'BTX Recycling HC'!C250+'BTX Recycling HC'!C161+'BTX Recycling HC'!C116)-'Overall recycling rates'!$H$61/SUM('Overall recycling rates'!$H$60:$H$62)*('BTX Recycling HC'!C224+'BTX Recycling HC'!C251+'BTX Recycling HC'!C162+'BTX Recycling HC'!C117)-'Overall recycling rates'!$I$61/SUM('Overall recycling rates'!$I$60:$I$62)*('BTX Recycling HC'!C225+'BTX Recycling HC'!C252+'BTX Recycling HC'!C163+'BTX Recycling HC'!C118)</f>
        <v>18095.873434805668</v>
      </c>
      <c r="AK102" s="635">
        <f>AK43-'Overall recycling rates'!$G$61/SUM('Overall recycling rates'!$G$60:$G$62)*('BTX Recycling HC'!D222+'BTX Recycling HC'!D249+'BTX Recycling HC'!D160+'BTX Recycling HC'!D115)-'Overall recycling rates'!$E$61/SUM('Overall recycling rates'!$E$60:$E$62)*('BTX Recycling HC'!D223+'BTX Recycling HC'!D250+'BTX Recycling HC'!D161+'BTX Recycling HC'!D116)-'Overall recycling rates'!$H$61/SUM('Overall recycling rates'!$H$60:$H$62)*('BTX Recycling HC'!D224+'BTX Recycling HC'!D251+'BTX Recycling HC'!D162+'BTX Recycling HC'!D117)-'Overall recycling rates'!$I$61/SUM('Overall recycling rates'!$I$60:$I$62)*('BTX Recycling HC'!D225+'BTX Recycling HC'!D252+'BTX Recycling HC'!D163+'BTX Recycling HC'!D118)</f>
        <v>17523.229685231705</v>
      </c>
      <c r="AL102" s="635">
        <f>AL43-'Overall recycling rates'!$G$61/SUM('Overall recycling rates'!$G$60:$G$62)*('BTX Recycling HC'!E222+'BTX Recycling HC'!E249+'BTX Recycling HC'!E160+'BTX Recycling HC'!E115)-'Overall recycling rates'!$E$61/SUM('Overall recycling rates'!$E$60:$E$62)*('BTX Recycling HC'!E223+'BTX Recycling HC'!E250+'BTX Recycling HC'!E161+'BTX Recycling HC'!E116)-'Overall recycling rates'!$H$61/SUM('Overall recycling rates'!$H$60:$H$62)*('BTX Recycling HC'!E224+'BTX Recycling HC'!E251+'BTX Recycling HC'!E162+'BTX Recycling HC'!E117)-'Overall recycling rates'!$I$61/SUM('Overall recycling rates'!$I$60:$I$62)*('BTX Recycling HC'!E225+'BTX Recycling HC'!E252+'BTX Recycling HC'!E163+'BTX Recycling HC'!E118)</f>
        <v>16887.200164021699</v>
      </c>
      <c r="AM102" s="635">
        <f>AM43-'Overall recycling rates'!$G$61/SUM('Overall recycling rates'!$G$60:$G$62)*('BTX Recycling HC'!F222+'BTX Recycling HC'!F249+'BTX Recycling HC'!F160+'BTX Recycling HC'!F115)-'Overall recycling rates'!$E$61/SUM('Overall recycling rates'!$E$60:$E$62)*('BTX Recycling HC'!F223+'BTX Recycling HC'!F250+'BTX Recycling HC'!F161+'BTX Recycling HC'!F116)-'Overall recycling rates'!$H$61/SUM('Overall recycling rates'!$H$60:$H$62)*('BTX Recycling HC'!F224+'BTX Recycling HC'!F251+'BTX Recycling HC'!F162+'BTX Recycling HC'!F117)-'Overall recycling rates'!$I$61/SUM('Overall recycling rates'!$I$60:$I$62)*('BTX Recycling HC'!F225+'BTX Recycling HC'!F252+'BTX Recycling HC'!F163+'BTX Recycling HC'!F118)</f>
        <v>16229.604589640921</v>
      </c>
      <c r="AN102" s="635">
        <f>AN43-'Overall recycling rates'!$G$61/SUM('Overall recycling rates'!$G$60:$G$62)*('BTX Recycling HC'!G222+'BTX Recycling HC'!G249+'BTX Recycling HC'!G160+'BTX Recycling HC'!G115)-'Overall recycling rates'!$E$61/SUM('Overall recycling rates'!$E$60:$E$62)*('BTX Recycling HC'!G223+'BTX Recycling HC'!G250+'BTX Recycling HC'!G161+'BTX Recycling HC'!G116)-'Overall recycling rates'!$H$61/SUM('Overall recycling rates'!$H$60:$H$62)*('BTX Recycling HC'!G224+'BTX Recycling HC'!G251+'BTX Recycling HC'!G162+'BTX Recycling HC'!G117)-'Overall recycling rates'!$I$61/SUM('Overall recycling rates'!$I$60:$I$62)*('BTX Recycling HC'!G225+'BTX Recycling HC'!G252+'BTX Recycling HC'!G163+'BTX Recycling HC'!G118)</f>
        <v>15561.414567617448</v>
      </c>
      <c r="AO102" s="635">
        <f>AO43-'Overall recycling rates'!$G$61/SUM('Overall recycling rates'!$G$60:$G$62)*('BTX Recycling HC'!H222+'BTX Recycling HC'!H249+'BTX Recycling HC'!H160+'BTX Recycling HC'!H115)-'Overall recycling rates'!$E$61/SUM('Overall recycling rates'!$E$60:$E$62)*('BTX Recycling HC'!H223+'BTX Recycling HC'!H250+'BTX Recycling HC'!H161+'BTX Recycling HC'!H116)-'Overall recycling rates'!$H$61/SUM('Overall recycling rates'!$H$60:$H$62)*('BTX Recycling HC'!H224+'BTX Recycling HC'!H251+'BTX Recycling HC'!H162+'BTX Recycling HC'!H117)-'Overall recycling rates'!$I$61/SUM('Overall recycling rates'!$I$60:$I$62)*('BTX Recycling HC'!H225+'BTX Recycling HC'!H252+'BTX Recycling HC'!H163+'BTX Recycling HC'!H118)</f>
        <v>14883.632704907615</v>
      </c>
      <c r="AP102" s="635">
        <f>AP43-'Overall recycling rates'!$G$61/SUM('Overall recycling rates'!$G$60:$G$62)*('BTX Recycling HC'!I222+'BTX Recycling HC'!I249+'BTX Recycling HC'!I160+'BTX Recycling HC'!I115)-'Overall recycling rates'!$E$61/SUM('Overall recycling rates'!$E$60:$E$62)*('BTX Recycling HC'!I223+'BTX Recycling HC'!I250+'BTX Recycling HC'!I161+'BTX Recycling HC'!I116)-'Overall recycling rates'!$H$61/SUM('Overall recycling rates'!$H$60:$H$62)*('BTX Recycling HC'!I224+'BTX Recycling HC'!I251+'BTX Recycling HC'!I162+'BTX Recycling HC'!I117)-'Overall recycling rates'!$I$61/SUM('Overall recycling rates'!$I$60:$I$62)*('BTX Recycling HC'!I225+'BTX Recycling HC'!I252+'BTX Recycling HC'!I163+'BTX Recycling HC'!I118)</f>
        <v>14206.455627408657</v>
      </c>
      <c r="AQ102" s="635">
        <f>AQ43-'Overall recycling rates'!$G$61/SUM('Overall recycling rates'!$G$60:$G$62)*('BTX Recycling HC'!J222+'BTX Recycling HC'!J249+'BTX Recycling HC'!J160+'BTX Recycling HC'!J115)-'Overall recycling rates'!$E$61/SUM('Overall recycling rates'!$E$60:$E$62)*('BTX Recycling HC'!J223+'BTX Recycling HC'!J250+'BTX Recycling HC'!J161+'BTX Recycling HC'!J116)-'Overall recycling rates'!$H$61/SUM('Overall recycling rates'!$H$60:$H$62)*('BTX Recycling HC'!J224+'BTX Recycling HC'!J251+'BTX Recycling HC'!J162+'BTX Recycling HC'!J117)-'Overall recycling rates'!$I$61/SUM('Overall recycling rates'!$I$60:$I$62)*('BTX Recycling HC'!J225+'BTX Recycling HC'!J252+'BTX Recycling HC'!J163+'BTX Recycling HC'!J118)</f>
        <v>13524.206760072973</v>
      </c>
      <c r="AR102" s="635">
        <f>AR43-'Overall recycling rates'!$G$61/SUM('Overall recycling rates'!$G$60:$G$62)*('BTX Recycling HC'!K222+'BTX Recycling HC'!K249+'BTX Recycling HC'!K160+'BTX Recycling HC'!K115)-'Overall recycling rates'!$E$61/SUM('Overall recycling rates'!$E$60:$E$62)*('BTX Recycling HC'!K223+'BTX Recycling HC'!K250+'BTX Recycling HC'!K161+'BTX Recycling HC'!K116)-'Overall recycling rates'!$H$61/SUM('Overall recycling rates'!$H$60:$H$62)*('BTX Recycling HC'!K224+'BTX Recycling HC'!K251+'BTX Recycling HC'!K162+'BTX Recycling HC'!K117)-'Overall recycling rates'!$I$61/SUM('Overall recycling rates'!$I$60:$I$62)*('BTX Recycling HC'!K225+'BTX Recycling HC'!K252+'BTX Recycling HC'!K163+'BTX Recycling HC'!K118)</f>
        <v>12838.144105872694</v>
      </c>
      <c r="AS102" s="635">
        <f>AS43-'Overall recycling rates'!$G$61/SUM('Overall recycling rates'!$G$60:$G$62)*('BTX Recycling HC'!L222+'BTX Recycling HC'!L249+'BTX Recycling HC'!L160+'BTX Recycling HC'!L115)-'Overall recycling rates'!$E$61/SUM('Overall recycling rates'!$E$60:$E$62)*('BTX Recycling HC'!L223+'BTX Recycling HC'!L250+'BTX Recycling HC'!L161+'BTX Recycling HC'!L116)-'Overall recycling rates'!$H$61/SUM('Overall recycling rates'!$H$60:$H$62)*('BTX Recycling HC'!L224+'BTX Recycling HC'!L251+'BTX Recycling HC'!L162+'BTX Recycling HC'!L117)-'Overall recycling rates'!$I$61/SUM('Overall recycling rates'!$I$60:$I$62)*('BTX Recycling HC'!L225+'BTX Recycling HC'!L252+'BTX Recycling HC'!L163+'BTX Recycling HC'!L118)</f>
        <v>12149.532685940381</v>
      </c>
      <c r="AT102" s="635">
        <f>AT43-'Overall recycling rates'!$G$61/SUM('Overall recycling rates'!$G$60:$G$62)*('BTX Recycling HC'!M222+'BTX Recycling HC'!M249+'BTX Recycling HC'!M160+'BTX Recycling HC'!M115)-'Overall recycling rates'!$E$61/SUM('Overall recycling rates'!$E$60:$E$62)*('BTX Recycling HC'!M223+'BTX Recycling HC'!M250+'BTX Recycling HC'!M161+'BTX Recycling HC'!M116)-'Overall recycling rates'!$H$61/SUM('Overall recycling rates'!$H$60:$H$62)*('BTX Recycling HC'!M224+'BTX Recycling HC'!M251+'BTX Recycling HC'!M162+'BTX Recycling HC'!M117)-'Overall recycling rates'!$I$61/SUM('Overall recycling rates'!$I$60:$I$62)*('BTX Recycling HC'!M225+'BTX Recycling HC'!M252+'BTX Recycling HC'!M163+'BTX Recycling HC'!M118)</f>
        <v>11459.644207757001</v>
      </c>
      <c r="AU102" s="635">
        <f>AU43-'Overall recycling rates'!$G$61/SUM('Overall recycling rates'!$G$60:$G$62)*('BTX Recycling HC'!N222+'BTX Recycling HC'!N249+'BTX Recycling HC'!N160+'BTX Recycling HC'!N115)-'Overall recycling rates'!$E$61/SUM('Overall recycling rates'!$E$60:$E$62)*('BTX Recycling HC'!N223+'BTX Recycling HC'!N250+'BTX Recycling HC'!N161+'BTX Recycling HC'!N116)-'Overall recycling rates'!$H$61/SUM('Overall recycling rates'!$H$60:$H$62)*('BTX Recycling HC'!N224+'BTX Recycling HC'!N251+'BTX Recycling HC'!N162+'BTX Recycling HC'!N117)-'Overall recycling rates'!$I$61/SUM('Overall recycling rates'!$I$60:$I$62)*('BTX Recycling HC'!N225+'BTX Recycling HC'!N252+'BTX Recycling HC'!N163+'BTX Recycling HC'!N118)</f>
        <v>10594.047093180146</v>
      </c>
      <c r="AV102" s="635">
        <f>AV43-'Overall recycling rates'!$G$61/SUM('Overall recycling rates'!$G$60:$G$62)*('BTX Recycling HC'!O222+'BTX Recycling HC'!O249+'BTX Recycling HC'!O160+'BTX Recycling HC'!O115)-'Overall recycling rates'!$E$61/SUM('Overall recycling rates'!$E$60:$E$62)*('BTX Recycling HC'!O223+'BTX Recycling HC'!O250+'BTX Recycling HC'!O161+'BTX Recycling HC'!O116)-'Overall recycling rates'!$H$61/SUM('Overall recycling rates'!$H$60:$H$62)*('BTX Recycling HC'!O224+'BTX Recycling HC'!O251+'BTX Recycling HC'!O162+'BTX Recycling HC'!O117)-'Overall recycling rates'!$I$61/SUM('Overall recycling rates'!$I$60:$I$62)*('BTX Recycling HC'!O225+'BTX Recycling HC'!O252+'BTX Recycling HC'!O163+'BTX Recycling HC'!O118)</f>
        <v>9740.898171241457</v>
      </c>
      <c r="AW102" s="635">
        <f>AW43-'Overall recycling rates'!$G$61/SUM('Overall recycling rates'!$G$60:$G$62)*('BTX Recycling HC'!P222+'BTX Recycling HC'!P249+'BTX Recycling HC'!P160+'BTX Recycling HC'!P115)-'Overall recycling rates'!$E$61/SUM('Overall recycling rates'!$E$60:$E$62)*('BTX Recycling HC'!P223+'BTX Recycling HC'!P250+'BTX Recycling HC'!P161+'BTX Recycling HC'!P116)-'Overall recycling rates'!$H$61/SUM('Overall recycling rates'!$H$60:$H$62)*('BTX Recycling HC'!P224+'BTX Recycling HC'!P251+'BTX Recycling HC'!P162+'BTX Recycling HC'!P117)-'Overall recycling rates'!$I$61/SUM('Overall recycling rates'!$I$60:$I$62)*('BTX Recycling HC'!P225+'BTX Recycling HC'!P252+'BTX Recycling HC'!P163+'BTX Recycling HC'!P118)</f>
        <v>8905.8441505194041</v>
      </c>
      <c r="AX102" s="635">
        <f>AX43-'Overall recycling rates'!$G$61/SUM('Overall recycling rates'!$G$60:$G$62)*('BTX Recycling HC'!Q222+'BTX Recycling HC'!Q249+'BTX Recycling HC'!Q160+'BTX Recycling HC'!Q115)-'Overall recycling rates'!$E$61/SUM('Overall recycling rates'!$E$60:$E$62)*('BTX Recycling HC'!Q223+'BTX Recycling HC'!Q250+'BTX Recycling HC'!Q161+'BTX Recycling HC'!Q116)-'Overall recycling rates'!$H$61/SUM('Overall recycling rates'!$H$60:$H$62)*('BTX Recycling HC'!Q224+'BTX Recycling HC'!Q251+'BTX Recycling HC'!Q162+'BTX Recycling HC'!Q117)-'Overall recycling rates'!$I$61/SUM('Overall recycling rates'!$I$60:$I$62)*('BTX Recycling HC'!Q225+'BTX Recycling HC'!Q252+'BTX Recycling HC'!Q163+'BTX Recycling HC'!Q118)</f>
        <v>8092.7762047782226</v>
      </c>
      <c r="AY102" s="635">
        <f>AY43-'Overall recycling rates'!$G$61/SUM('Overall recycling rates'!$G$60:$G$62)*('BTX Recycling HC'!R222+'BTX Recycling HC'!R249+'BTX Recycling HC'!R160+'BTX Recycling HC'!R115)-'Overall recycling rates'!$E$61/SUM('Overall recycling rates'!$E$60:$E$62)*('BTX Recycling HC'!R223+'BTX Recycling HC'!R250+'BTX Recycling HC'!R161+'BTX Recycling HC'!R116)-'Overall recycling rates'!$H$61/SUM('Overall recycling rates'!$H$60:$H$62)*('BTX Recycling HC'!R224+'BTX Recycling HC'!R251+'BTX Recycling HC'!R162+'BTX Recycling HC'!R117)-'Overall recycling rates'!$I$61/SUM('Overall recycling rates'!$I$60:$I$62)*('BTX Recycling HC'!R225+'BTX Recycling HC'!R252+'BTX Recycling HC'!R163+'BTX Recycling HC'!R118)</f>
        <v>7306.3106850384866</v>
      </c>
      <c r="AZ102" s="635">
        <f>AZ43-'Overall recycling rates'!$G$61/SUM('Overall recycling rates'!$G$60:$G$62)*('BTX Recycling HC'!S222+'BTX Recycling HC'!S249+'BTX Recycling HC'!S160+'BTX Recycling HC'!S115)-'Overall recycling rates'!$E$61/SUM('Overall recycling rates'!$E$60:$E$62)*('BTX Recycling HC'!S223+'BTX Recycling HC'!S250+'BTX Recycling HC'!S161+'BTX Recycling HC'!S116)-'Overall recycling rates'!$H$61/SUM('Overall recycling rates'!$H$60:$H$62)*('BTX Recycling HC'!S224+'BTX Recycling HC'!S251+'BTX Recycling HC'!S162+'BTX Recycling HC'!S117)-'Overall recycling rates'!$I$61/SUM('Overall recycling rates'!$I$60:$I$62)*('BTX Recycling HC'!S225+'BTX Recycling HC'!S252+'BTX Recycling HC'!S163+'BTX Recycling HC'!S118)</f>
        <v>6542.0887377922527</v>
      </c>
      <c r="BA102" s="635">
        <f>BA43-'Overall recycling rates'!$G$61/SUM('Overall recycling rates'!$G$60:$G$62)*('BTX Recycling HC'!T222+'BTX Recycling HC'!T249+'BTX Recycling HC'!T160+'BTX Recycling HC'!T115)-'Overall recycling rates'!$E$61/SUM('Overall recycling rates'!$E$60:$E$62)*('BTX Recycling HC'!T223+'BTX Recycling HC'!T250+'BTX Recycling HC'!T161+'BTX Recycling HC'!T116)-'Overall recycling rates'!$H$61/SUM('Overall recycling rates'!$H$60:$H$62)*('BTX Recycling HC'!T224+'BTX Recycling HC'!T251+'BTX Recycling HC'!T162+'BTX Recycling HC'!T117)-'Overall recycling rates'!$I$61/SUM('Overall recycling rates'!$I$60:$I$62)*('BTX Recycling HC'!T225+'BTX Recycling HC'!T252+'BTX Recycling HC'!T163+'BTX Recycling HC'!T118)</f>
        <v>5811.6812602114669</v>
      </c>
      <c r="BB102" s="635">
        <f>BB43-'Overall recycling rates'!$G$61/SUM('Overall recycling rates'!$G$60:$G$62)*('BTX Recycling HC'!U222+'BTX Recycling HC'!U249+'BTX Recycling HC'!U160+'BTX Recycling HC'!U115)-'Overall recycling rates'!$E$61/SUM('Overall recycling rates'!$E$60:$E$62)*('BTX Recycling HC'!U223+'BTX Recycling HC'!U250+'BTX Recycling HC'!U161+'BTX Recycling HC'!U116)-'Overall recycling rates'!$H$61/SUM('Overall recycling rates'!$H$60:$H$62)*('BTX Recycling HC'!U224+'BTX Recycling HC'!U251+'BTX Recycling HC'!U162+'BTX Recycling HC'!U117)-'Overall recycling rates'!$I$61/SUM('Overall recycling rates'!$I$60:$I$62)*('BTX Recycling HC'!U225+'BTX Recycling HC'!U252+'BTX Recycling HC'!U163+'BTX Recycling HC'!U118)</f>
        <v>5119.4245527711446</v>
      </c>
      <c r="BC102" s="635">
        <f>BC43-'Overall recycling rates'!$G$61/SUM('Overall recycling rates'!$G$60:$G$62)*('BTX Recycling HC'!V222+'BTX Recycling HC'!V249+'BTX Recycling HC'!V160+'BTX Recycling HC'!V115)-'Overall recycling rates'!$E$61/SUM('Overall recycling rates'!$E$60:$E$62)*('BTX Recycling HC'!V223+'BTX Recycling HC'!V250+'BTX Recycling HC'!V161+'BTX Recycling HC'!V116)-'Overall recycling rates'!$H$61/SUM('Overall recycling rates'!$H$60:$H$62)*('BTX Recycling HC'!V224+'BTX Recycling HC'!V251+'BTX Recycling HC'!V162+'BTX Recycling HC'!V117)-'Overall recycling rates'!$I$61/SUM('Overall recycling rates'!$I$60:$I$62)*('BTX Recycling HC'!V225+'BTX Recycling HC'!V252+'BTX Recycling HC'!V163+'BTX Recycling HC'!V118)</f>
        <v>4469.6117546667301</v>
      </c>
      <c r="BD102" s="635">
        <f>BD43-'Overall recycling rates'!$G$61/SUM('Overall recycling rates'!$G$60:$G$62)*('BTX Recycling HC'!W222+'BTX Recycling HC'!W249+'BTX Recycling HC'!W160+'BTX Recycling HC'!W115)-'Overall recycling rates'!$E$61/SUM('Overall recycling rates'!$E$60:$E$62)*('BTX Recycling HC'!W223+'BTX Recycling HC'!W250+'BTX Recycling HC'!W161+'BTX Recycling HC'!W116)-'Overall recycling rates'!$H$61/SUM('Overall recycling rates'!$H$60:$H$62)*('BTX Recycling HC'!W224+'BTX Recycling HC'!W251+'BTX Recycling HC'!W162+'BTX Recycling HC'!W117)-'Overall recycling rates'!$I$61/SUM('Overall recycling rates'!$I$60:$I$62)*('BTX Recycling HC'!W225+'BTX Recycling HC'!W252+'BTX Recycling HC'!W163+'BTX Recycling HC'!W118)</f>
        <v>3866.4908747643085</v>
      </c>
      <c r="BE102" s="635">
        <f>BE43-'Overall recycling rates'!$G$61/SUM('Overall recycling rates'!$G$60:$G$62)*('BTX Recycling HC'!X222+'BTX Recycling HC'!X249+'BTX Recycling HC'!X160+'BTX Recycling HC'!X115)-'Overall recycling rates'!$E$61/SUM('Overall recycling rates'!$E$60:$E$62)*('BTX Recycling HC'!X223+'BTX Recycling HC'!X250+'BTX Recycling HC'!X161+'BTX Recycling HC'!X116)-'Overall recycling rates'!$H$61/SUM('Overall recycling rates'!$H$60:$H$62)*('BTX Recycling HC'!X224+'BTX Recycling HC'!X251+'BTX Recycling HC'!X162+'BTX Recycling HC'!X117)-'Overall recycling rates'!$I$61/SUM('Overall recycling rates'!$I$60:$I$62)*('BTX Recycling HC'!X225+'BTX Recycling HC'!X252+'BTX Recycling HC'!X163+'BTX Recycling HC'!X118)</f>
        <v>2983.3070140795826</v>
      </c>
      <c r="BF102" s="635">
        <f>BF43-'Overall recycling rates'!$G$61/SUM('Overall recycling rates'!$G$60:$G$62)*('BTX Recycling HC'!Y222+'BTX Recycling HC'!Y249+'BTX Recycling HC'!Y160+'BTX Recycling HC'!Y115)-'Overall recycling rates'!$E$61/SUM('Overall recycling rates'!$E$60:$E$62)*('BTX Recycling HC'!Y223+'BTX Recycling HC'!Y250+'BTX Recycling HC'!Y161+'BTX Recycling HC'!Y116)-'Overall recycling rates'!$H$61/SUM('Overall recycling rates'!$H$60:$H$62)*('BTX Recycling HC'!Y224+'BTX Recycling HC'!Y251+'BTX Recycling HC'!Y162+'BTX Recycling HC'!Y117)-'Overall recycling rates'!$I$61/SUM('Overall recycling rates'!$I$60:$I$62)*('BTX Recycling HC'!Y225+'BTX Recycling HC'!Y252+'BTX Recycling HC'!Y163+'BTX Recycling HC'!Y118)</f>
        <v>2166.9402125202241</v>
      </c>
      <c r="BG102" s="635">
        <f>BG43-'Overall recycling rates'!$G$61/SUM('Overall recycling rates'!$G$60:$G$62)*('BTX Recycling HC'!Z222+'BTX Recycling HC'!Z249+'BTX Recycling HC'!Z160+'BTX Recycling HC'!Z115)-'Overall recycling rates'!$E$61/SUM('Overall recycling rates'!$E$60:$E$62)*('BTX Recycling HC'!Z223+'BTX Recycling HC'!Z250+'BTX Recycling HC'!Z161+'BTX Recycling HC'!Z116)-'Overall recycling rates'!$H$61/SUM('Overall recycling rates'!$H$60:$H$62)*('BTX Recycling HC'!Z224+'BTX Recycling HC'!Z251+'BTX Recycling HC'!Z162+'BTX Recycling HC'!Z117)-'Overall recycling rates'!$I$61/SUM('Overall recycling rates'!$I$60:$I$62)*('BTX Recycling HC'!Z225+'BTX Recycling HC'!Z252+'BTX Recycling HC'!Z163+'BTX Recycling HC'!Z118)</f>
        <v>1429.0498289164789</v>
      </c>
      <c r="BH102" s="635">
        <f>BH43-'Overall recycling rates'!$G$61/SUM('Overall recycling rates'!$G$60:$G$62)*('BTX Recycling HC'!AA222+'BTX Recycling HC'!AA249+'BTX Recycling HC'!AA160+'BTX Recycling HC'!AA115)-'Overall recycling rates'!$E$61/SUM('Overall recycling rates'!$E$60:$E$62)*('BTX Recycling HC'!AA223+'BTX Recycling HC'!AA250+'BTX Recycling HC'!AA161+'BTX Recycling HC'!AA116)-'Overall recycling rates'!$H$61/SUM('Overall recycling rates'!$H$60:$H$62)*('BTX Recycling HC'!AA224+'BTX Recycling HC'!AA251+'BTX Recycling HC'!AA162+'BTX Recycling HC'!AA117)-'Overall recycling rates'!$I$61/SUM('Overall recycling rates'!$I$60:$I$62)*('BTX Recycling HC'!AA225+'BTX Recycling HC'!AA252+'BTX Recycling HC'!AA163+'BTX Recycling HC'!AA118)</f>
        <v>772.10256885458239</v>
      </c>
      <c r="BI102" s="635">
        <f>BI43-'Overall recycling rates'!$G$61/SUM('Overall recycling rates'!$G$60:$G$62)*('BTX Recycling HC'!AB222+'BTX Recycling HC'!AB249+'BTX Recycling HC'!AB160+'BTX Recycling HC'!AB115)-'Overall recycling rates'!$E$61/SUM('Overall recycling rates'!$E$60:$E$62)*('BTX Recycling HC'!AB223+'BTX Recycling HC'!AB250+'BTX Recycling HC'!AB161+'BTX Recycling HC'!AB116)-'Overall recycling rates'!$H$61/SUM('Overall recycling rates'!$H$60:$H$62)*('BTX Recycling HC'!AB224+'BTX Recycling HC'!AB251+'BTX Recycling HC'!AB162+'BTX Recycling HC'!AB117)-'Overall recycling rates'!$I$61/SUM('Overall recycling rates'!$I$60:$I$62)*('BTX Recycling HC'!AB225+'BTX Recycling HC'!AB252+'BTX Recycling HC'!AB163+'BTX Recycling HC'!AB118)</f>
        <v>202.65479419388794</v>
      </c>
      <c r="BJ102" s="635">
        <f>BJ43-'Overall recycling rates'!$G$61/SUM('Overall recycling rates'!$G$60:$G$62)*('BTX Recycling HC'!AC222+'BTX Recycling HC'!AC249+'BTX Recycling HC'!AC160+'BTX Recycling HC'!AC115)-'Overall recycling rates'!$E$61/SUM('Overall recycling rates'!$E$60:$E$62)*('BTX Recycling HC'!AC223+'BTX Recycling HC'!AC250+'BTX Recycling HC'!AC161+'BTX Recycling HC'!AC116)-'Overall recycling rates'!$H$61/SUM('Overall recycling rates'!$H$60:$H$62)*('BTX Recycling HC'!AC224+'BTX Recycling HC'!AC251+'BTX Recycling HC'!AC162+'BTX Recycling HC'!AC117)-'Overall recycling rates'!$I$61/SUM('Overall recycling rates'!$I$60:$I$62)*('BTX Recycling HC'!AC225+'BTX Recycling HC'!AC252+'BTX Recycling HC'!AC163+'BTX Recycling HC'!AC118)</f>
        <v>-260.90352050872934</v>
      </c>
      <c r="BK102" s="635">
        <f>BK43-'Overall recycling rates'!$G$61/SUM('Overall recycling rates'!$G$60:$G$62)*('BTX Recycling HC'!AD222+'BTX Recycling HC'!AD249+'BTX Recycling HC'!AD160+'BTX Recycling HC'!AD115)-'Overall recycling rates'!$E$61/SUM('Overall recycling rates'!$E$60:$E$62)*('BTX Recycling HC'!AD223+'BTX Recycling HC'!AD250+'BTX Recycling HC'!AD161+'BTX Recycling HC'!AD116)-'Overall recycling rates'!$H$61/SUM('Overall recycling rates'!$H$60:$H$62)*('BTX Recycling HC'!AD224+'BTX Recycling HC'!AD251+'BTX Recycling HC'!AD162+'BTX Recycling HC'!AD117)-'Overall recycling rates'!$I$61/SUM('Overall recycling rates'!$I$60:$I$62)*('BTX Recycling HC'!AD225+'BTX Recycling HC'!AD252+'BTX Recycling HC'!AD163+'BTX Recycling HC'!AD118)</f>
        <v>-621.99920896871026</v>
      </c>
      <c r="BL102" s="635">
        <f>BL43-'Overall recycling rates'!$G$61/SUM('Overall recycling rates'!$G$60:$G$62)*('BTX Recycling HC'!AE222+'BTX Recycling HC'!AE249+'BTX Recycling HC'!AE160+'BTX Recycling HC'!AE115)-'Overall recycling rates'!$E$61/SUM('Overall recycling rates'!$E$60:$E$62)*('BTX Recycling HC'!AE223+'BTX Recycling HC'!AE250+'BTX Recycling HC'!AE161+'BTX Recycling HC'!AE116)-'Overall recycling rates'!$H$61/SUM('Overall recycling rates'!$H$60:$H$62)*('BTX Recycling HC'!AE224+'BTX Recycling HC'!AE251+'BTX Recycling HC'!AE162+'BTX Recycling HC'!AE117)-'Overall recycling rates'!$I$61/SUM('Overall recycling rates'!$I$60:$I$62)*('BTX Recycling HC'!AE225+'BTX Recycling HC'!AE252+'BTX Recycling HC'!AE163+'BTX Recycling HC'!AE118)</f>
        <v>-874.25607477657741</v>
      </c>
      <c r="BM102" s="635">
        <f>BM43-'Overall recycling rates'!$G$61/SUM('Overall recycling rates'!$G$60:$G$62)*('BTX Recycling HC'!AF222+'BTX Recycling HC'!AF249+'BTX Recycling HC'!AF160+'BTX Recycling HC'!AF115)-'Overall recycling rates'!$E$61/SUM('Overall recycling rates'!$E$60:$E$62)*('BTX Recycling HC'!AF223+'BTX Recycling HC'!AF250+'BTX Recycling HC'!AF161+'BTX Recycling HC'!AF116)-'Overall recycling rates'!$H$61/SUM('Overall recycling rates'!$H$60:$H$62)*('BTX Recycling HC'!AF224+'BTX Recycling HC'!AF251+'BTX Recycling HC'!AF162+'BTX Recycling HC'!AF117)-'Overall recycling rates'!$I$61/SUM('Overall recycling rates'!$I$60:$I$62)*('BTX Recycling HC'!AF225+'BTX Recycling HC'!AF252+'BTX Recycling HC'!AF163+'BTX Recycling HC'!AF118)</f>
        <v>-1011.4207963104436</v>
      </c>
      <c r="BN102" s="635">
        <f>BN43-'Overall recycling rates'!$G$61/SUM('Overall recycling rates'!$G$60:$G$62)*('BTX Recycling HC'!AG222+'BTX Recycling HC'!AG249+'BTX Recycling HC'!AG160+'BTX Recycling HC'!AG115)-'Overall recycling rates'!$E$61/SUM('Overall recycling rates'!$E$60:$E$62)*('BTX Recycling HC'!AG223+'BTX Recycling HC'!AG250+'BTX Recycling HC'!AG161+'BTX Recycling HC'!AG116)-'Overall recycling rates'!$H$61/SUM('Overall recycling rates'!$H$60:$H$62)*('BTX Recycling HC'!AG224+'BTX Recycling HC'!AG251+'BTX Recycling HC'!AG162+'BTX Recycling HC'!AG117)-'Overall recycling rates'!$I$61/SUM('Overall recycling rates'!$I$60:$I$62)*('BTX Recycling HC'!AG225+'BTX Recycling HC'!AG252+'BTX Recycling HC'!AG163+'BTX Recycling HC'!AG118)</f>
        <v>-1027.3681089987313</v>
      </c>
    </row>
    <row r="103" spans="1:66" s="63" customFormat="1" outlineLevel="1">
      <c r="A103" s="686"/>
      <c r="B103" s="59" t="s">
        <v>1301</v>
      </c>
      <c r="C103" s="262" t="s">
        <v>166</v>
      </c>
      <c r="D103" s="638">
        <f>D44-'Overall recycling rates'!$G$62/SUM('Overall recycling rates'!$G$60:$G$62)*('BTX Recycling HC'!C222+'BTX Recycling HC'!C249+'BTX Recycling HC'!C160+'BTX Recycling HC'!C115)-'Overall recycling rates'!$E$62/SUM('Overall recycling rates'!$E$60:$E$62)*('BTX Recycling HC'!C223+'BTX Recycling HC'!C250+'BTX Recycling HC'!C161+'BTX Recycling HC'!C116)-'Overall recycling rates'!$H$62/SUM('Overall recycling rates'!$H$60:$H$62)*('BTX Recycling HC'!C224+'BTX Recycling HC'!C251+'BTX Recycling HC'!C162+'BTX Recycling HC'!C117)-'Overall recycling rates'!$I$62/SUM('Overall recycling rates'!$I$60:$I$62)*('BTX Recycling HC'!C225+'BTX Recycling HC'!C252+'BTX Recycling HC'!C163+'BTX Recycling HC'!C118)</f>
        <v>12487.325398904024</v>
      </c>
      <c r="E103" s="638">
        <f>E44-'Overall recycling rates'!$G$62/SUM('Overall recycling rates'!$G$60:$G$62)*('BTX Recycling HC'!D222+'BTX Recycling HC'!D249+'BTX Recycling HC'!D160+'BTX Recycling HC'!D115)-'Overall recycling rates'!$E$62/SUM('Overall recycling rates'!$E$60:$E$62)*('BTX Recycling HC'!D223+'BTX Recycling HC'!D250+'BTX Recycling HC'!D161+'BTX Recycling HC'!D116)-'Overall recycling rates'!$H$62/SUM('Overall recycling rates'!$H$60:$H$62)*('BTX Recycling HC'!D224+'BTX Recycling HC'!D251+'BTX Recycling HC'!D162+'BTX Recycling HC'!D117)-'Overall recycling rates'!$I$62/SUM('Overall recycling rates'!$I$60:$I$62)*('BTX Recycling HC'!D225+'BTX Recycling HC'!D252+'BTX Recycling HC'!D163+'BTX Recycling HC'!D118)</f>
        <v>12854.389723386656</v>
      </c>
      <c r="F103" s="638">
        <f>F44-'Overall recycling rates'!$G$62/SUM('Overall recycling rates'!$G$60:$G$62)*('BTX Recycling HC'!E222+'BTX Recycling HC'!E249+'BTX Recycling HC'!E160+'BTX Recycling HC'!E115)-'Overall recycling rates'!$E$62/SUM('Overall recycling rates'!$E$60:$E$62)*('BTX Recycling HC'!E223+'BTX Recycling HC'!E250+'BTX Recycling HC'!E161+'BTX Recycling HC'!E116)-'Overall recycling rates'!$H$62/SUM('Overall recycling rates'!$H$60:$H$62)*('BTX Recycling HC'!E224+'BTX Recycling HC'!E251+'BTX Recycling HC'!E162+'BTX Recycling HC'!E117)-'Overall recycling rates'!$I$62/SUM('Overall recycling rates'!$I$60:$I$62)*('BTX Recycling HC'!E225+'BTX Recycling HC'!E252+'BTX Recycling HC'!E163+'BTX Recycling HC'!E118)</f>
        <v>12754.657705681526</v>
      </c>
      <c r="G103" s="638">
        <f>G44-'Overall recycling rates'!$G$62/SUM('Overall recycling rates'!$G$60:$G$62)*('BTX Recycling HC'!F222+'BTX Recycling HC'!F249+'BTX Recycling HC'!F160+'BTX Recycling HC'!F115)-'Overall recycling rates'!$E$62/SUM('Overall recycling rates'!$E$60:$E$62)*('BTX Recycling HC'!F223+'BTX Recycling HC'!F250+'BTX Recycling HC'!F161+'BTX Recycling HC'!F116)-'Overall recycling rates'!$H$62/SUM('Overall recycling rates'!$H$60:$H$62)*('BTX Recycling HC'!F224+'BTX Recycling HC'!F251+'BTX Recycling HC'!F162+'BTX Recycling HC'!F117)-'Overall recycling rates'!$I$62/SUM('Overall recycling rates'!$I$60:$I$62)*('BTX Recycling HC'!F225+'BTX Recycling HC'!F252+'BTX Recycling HC'!F163+'BTX Recycling HC'!F118)</f>
        <v>12610.541818053389</v>
      </c>
      <c r="H103" s="638">
        <f>H44-'Overall recycling rates'!$G$62/SUM('Overall recycling rates'!$G$60:$G$62)*('BTX Recycling HC'!G222+'BTX Recycling HC'!G249+'BTX Recycling HC'!G160+'BTX Recycling HC'!G115)-'Overall recycling rates'!$E$62/SUM('Overall recycling rates'!$E$60:$E$62)*('BTX Recycling HC'!G223+'BTX Recycling HC'!G250+'BTX Recycling HC'!G161+'BTX Recycling HC'!G116)-'Overall recycling rates'!$H$62/SUM('Overall recycling rates'!$H$60:$H$62)*('BTX Recycling HC'!G224+'BTX Recycling HC'!G251+'BTX Recycling HC'!G162+'BTX Recycling HC'!G117)-'Overall recycling rates'!$I$62/SUM('Overall recycling rates'!$I$60:$I$62)*('BTX Recycling HC'!G225+'BTX Recycling HC'!G252+'BTX Recycling HC'!G163+'BTX Recycling HC'!G118)</f>
        <v>12503.514562087688</v>
      </c>
      <c r="I103" s="638">
        <f>I44-'Overall recycling rates'!$G$62/SUM('Overall recycling rates'!$G$60:$G$62)*('BTX Recycling HC'!H222+'BTX Recycling HC'!H249+'BTX Recycling HC'!H160+'BTX Recycling HC'!H115)-'Overall recycling rates'!$E$62/SUM('Overall recycling rates'!$E$60:$E$62)*('BTX Recycling HC'!H223+'BTX Recycling HC'!H250+'BTX Recycling HC'!H161+'BTX Recycling HC'!H116)-'Overall recycling rates'!$H$62/SUM('Overall recycling rates'!$H$60:$H$62)*('BTX Recycling HC'!H224+'BTX Recycling HC'!H251+'BTX Recycling HC'!H162+'BTX Recycling HC'!H117)-'Overall recycling rates'!$I$62/SUM('Overall recycling rates'!$I$60:$I$62)*('BTX Recycling HC'!H225+'BTX Recycling HC'!H252+'BTX Recycling HC'!H163+'BTX Recycling HC'!H118)</f>
        <v>12429.552826689651</v>
      </c>
      <c r="J103" s="638">
        <f>J44-'Overall recycling rates'!$G$62/SUM('Overall recycling rates'!$G$60:$G$62)*('BTX Recycling HC'!I222+'BTX Recycling HC'!I249+'BTX Recycling HC'!I160+'BTX Recycling HC'!I115)-'Overall recycling rates'!$E$62/SUM('Overall recycling rates'!$E$60:$E$62)*('BTX Recycling HC'!I223+'BTX Recycling HC'!I250+'BTX Recycling HC'!I161+'BTX Recycling HC'!I116)-'Overall recycling rates'!$H$62/SUM('Overall recycling rates'!$H$60:$H$62)*('BTX Recycling HC'!I224+'BTX Recycling HC'!I251+'BTX Recycling HC'!I162+'BTX Recycling HC'!I117)-'Overall recycling rates'!$I$62/SUM('Overall recycling rates'!$I$60:$I$62)*('BTX Recycling HC'!I225+'BTX Recycling HC'!I252+'BTX Recycling HC'!I163+'BTX Recycling HC'!I118)</f>
        <v>12473.451542508788</v>
      </c>
      <c r="K103" s="638">
        <f>K44-'Overall recycling rates'!$G$62/SUM('Overall recycling rates'!$G$60:$G$62)*('BTX Recycling HC'!J222+'BTX Recycling HC'!J249+'BTX Recycling HC'!J160+'BTX Recycling HC'!J115)-'Overall recycling rates'!$E$62/SUM('Overall recycling rates'!$E$60:$E$62)*('BTX Recycling HC'!J223+'BTX Recycling HC'!J250+'BTX Recycling HC'!J161+'BTX Recycling HC'!J116)-'Overall recycling rates'!$H$62/SUM('Overall recycling rates'!$H$60:$H$62)*('BTX Recycling HC'!J224+'BTX Recycling HC'!J251+'BTX Recycling HC'!J162+'BTX Recycling HC'!J117)-'Overall recycling rates'!$I$62/SUM('Overall recycling rates'!$I$60:$I$62)*('BTX Recycling HC'!J225+'BTX Recycling HC'!J252+'BTX Recycling HC'!J163+'BTX Recycling HC'!J118)</f>
        <v>12566.738395635744</v>
      </c>
      <c r="L103" s="638">
        <f>L44-'Overall recycling rates'!$G$62/SUM('Overall recycling rates'!$G$60:$G$62)*('BTX Recycling HC'!K222+'BTX Recycling HC'!K249+'BTX Recycling HC'!K160+'BTX Recycling HC'!K115)-'Overall recycling rates'!$E$62/SUM('Overall recycling rates'!$E$60:$E$62)*('BTX Recycling HC'!K223+'BTX Recycling HC'!K250+'BTX Recycling HC'!K161+'BTX Recycling HC'!K116)-'Overall recycling rates'!$H$62/SUM('Overall recycling rates'!$H$60:$H$62)*('BTX Recycling HC'!K224+'BTX Recycling HC'!K251+'BTX Recycling HC'!K162+'BTX Recycling HC'!K117)-'Overall recycling rates'!$I$62/SUM('Overall recycling rates'!$I$60:$I$62)*('BTX Recycling HC'!K225+'BTX Recycling HC'!K252+'BTX Recycling HC'!K163+'BTX Recycling HC'!K118)</f>
        <v>12707.946726494085</v>
      </c>
      <c r="M103" s="638">
        <f>M44-'Overall recycling rates'!$G$62/SUM('Overall recycling rates'!$G$60:$G$62)*('BTX Recycling HC'!L222+'BTX Recycling HC'!L249+'BTX Recycling HC'!L160+'BTX Recycling HC'!L115)-'Overall recycling rates'!$E$62/SUM('Overall recycling rates'!$E$60:$E$62)*('BTX Recycling HC'!L223+'BTX Recycling HC'!L250+'BTX Recycling HC'!L161+'BTX Recycling HC'!L116)-'Overall recycling rates'!$H$62/SUM('Overall recycling rates'!$H$60:$H$62)*('BTX Recycling HC'!L224+'BTX Recycling HC'!L251+'BTX Recycling HC'!L162+'BTX Recycling HC'!L117)-'Overall recycling rates'!$I$62/SUM('Overall recycling rates'!$I$60:$I$62)*('BTX Recycling HC'!L225+'BTX Recycling HC'!L252+'BTX Recycling HC'!L163+'BTX Recycling HC'!L118)</f>
        <v>12895.716050143606</v>
      </c>
      <c r="N103" s="638">
        <f>N44-'Overall recycling rates'!$G$62/SUM('Overall recycling rates'!$G$60:$G$62)*('BTX Recycling HC'!M222+'BTX Recycling HC'!M249+'BTX Recycling HC'!M160+'BTX Recycling HC'!M115)-'Overall recycling rates'!$E$62/SUM('Overall recycling rates'!$E$60:$E$62)*('BTX Recycling HC'!M223+'BTX Recycling HC'!M250+'BTX Recycling HC'!M161+'BTX Recycling HC'!M116)-'Overall recycling rates'!$H$62/SUM('Overall recycling rates'!$H$60:$H$62)*('BTX Recycling HC'!M224+'BTX Recycling HC'!M251+'BTX Recycling HC'!M162+'BTX Recycling HC'!M117)-'Overall recycling rates'!$I$62/SUM('Overall recycling rates'!$I$60:$I$62)*('BTX Recycling HC'!M225+'BTX Recycling HC'!M252+'BTX Recycling HC'!M163+'BTX Recycling HC'!M118)</f>
        <v>13128.793060453585</v>
      </c>
      <c r="O103" s="638">
        <f>O44-'Overall recycling rates'!$G$62/SUM('Overall recycling rates'!$G$60:$G$62)*('BTX Recycling HC'!N222+'BTX Recycling HC'!N249+'BTX Recycling HC'!N160+'BTX Recycling HC'!N115)-'Overall recycling rates'!$E$62/SUM('Overall recycling rates'!$E$60:$E$62)*('BTX Recycling HC'!N223+'BTX Recycling HC'!N250+'BTX Recycling HC'!N161+'BTX Recycling HC'!N116)-'Overall recycling rates'!$H$62/SUM('Overall recycling rates'!$H$60:$H$62)*('BTX Recycling HC'!N224+'BTX Recycling HC'!N251+'BTX Recycling HC'!N162+'BTX Recycling HC'!N117)-'Overall recycling rates'!$I$62/SUM('Overall recycling rates'!$I$60:$I$62)*('BTX Recycling HC'!N225+'BTX Recycling HC'!N252+'BTX Recycling HC'!N163+'BTX Recycling HC'!N118)</f>
        <v>12816.471802242617</v>
      </c>
      <c r="P103" s="638">
        <f>P44-'Overall recycling rates'!$G$62/SUM('Overall recycling rates'!$G$60:$G$62)*('BTX Recycling HC'!O222+'BTX Recycling HC'!O249+'BTX Recycling HC'!O160+'BTX Recycling HC'!O115)-'Overall recycling rates'!$E$62/SUM('Overall recycling rates'!$E$60:$E$62)*('BTX Recycling HC'!O223+'BTX Recycling HC'!O250+'BTX Recycling HC'!O161+'BTX Recycling HC'!O116)-'Overall recycling rates'!$H$62/SUM('Overall recycling rates'!$H$60:$H$62)*('BTX Recycling HC'!O224+'BTX Recycling HC'!O251+'BTX Recycling HC'!O162+'BTX Recycling HC'!O117)-'Overall recycling rates'!$I$62/SUM('Overall recycling rates'!$I$60:$I$62)*('BTX Recycling HC'!O225+'BTX Recycling HC'!O252+'BTX Recycling HC'!O163+'BTX Recycling HC'!O118)</f>
        <v>12644.886225946308</v>
      </c>
      <c r="Q103" s="638">
        <f>Q44-'Overall recycling rates'!$G$62/SUM('Overall recycling rates'!$G$60:$G$62)*('BTX Recycling HC'!P222+'BTX Recycling HC'!P249+'BTX Recycling HC'!P160+'BTX Recycling HC'!P115)-'Overall recycling rates'!$E$62/SUM('Overall recycling rates'!$E$60:$E$62)*('BTX Recycling HC'!P223+'BTX Recycling HC'!P250+'BTX Recycling HC'!P161+'BTX Recycling HC'!P116)-'Overall recycling rates'!$H$62/SUM('Overall recycling rates'!$H$60:$H$62)*('BTX Recycling HC'!P224+'BTX Recycling HC'!P251+'BTX Recycling HC'!P162+'BTX Recycling HC'!P117)-'Overall recycling rates'!$I$62/SUM('Overall recycling rates'!$I$60:$I$62)*('BTX Recycling HC'!P225+'BTX Recycling HC'!P252+'BTX Recycling HC'!P163+'BTX Recycling HC'!P118)</f>
        <v>12604.434588922171</v>
      </c>
      <c r="R103" s="638">
        <f>R44-'Overall recycling rates'!$G$62/SUM('Overall recycling rates'!$G$60:$G$62)*('BTX Recycling HC'!Q222+'BTX Recycling HC'!Q249+'BTX Recycling HC'!Q160+'BTX Recycling HC'!Q115)-'Overall recycling rates'!$E$62/SUM('Overall recycling rates'!$E$60:$E$62)*('BTX Recycling HC'!Q223+'BTX Recycling HC'!Q250+'BTX Recycling HC'!Q161+'BTX Recycling HC'!Q116)-'Overall recycling rates'!$H$62/SUM('Overall recycling rates'!$H$60:$H$62)*('BTX Recycling HC'!Q224+'BTX Recycling HC'!Q251+'BTX Recycling HC'!Q162+'BTX Recycling HC'!Q117)-'Overall recycling rates'!$I$62/SUM('Overall recycling rates'!$I$60:$I$62)*('BTX Recycling HC'!Q225+'BTX Recycling HC'!Q252+'BTX Recycling HC'!Q163+'BTX Recycling HC'!Q118)</f>
        <v>12684.960369856668</v>
      </c>
      <c r="S103" s="638">
        <f>S44-'Overall recycling rates'!$G$62/SUM('Overall recycling rates'!$G$60:$G$62)*('BTX Recycling HC'!R222+'BTX Recycling HC'!R249+'BTX Recycling HC'!R160+'BTX Recycling HC'!R115)-'Overall recycling rates'!$E$62/SUM('Overall recycling rates'!$E$60:$E$62)*('BTX Recycling HC'!R223+'BTX Recycling HC'!R250+'BTX Recycling HC'!R161+'BTX Recycling HC'!R116)-'Overall recycling rates'!$H$62/SUM('Overall recycling rates'!$H$60:$H$62)*('BTX Recycling HC'!R224+'BTX Recycling HC'!R251+'BTX Recycling HC'!R162+'BTX Recycling HC'!R117)-'Overall recycling rates'!$I$62/SUM('Overall recycling rates'!$I$60:$I$62)*('BTX Recycling HC'!R225+'BTX Recycling HC'!R252+'BTX Recycling HC'!R163+'BTX Recycling HC'!R118)</f>
        <v>12877.012364828941</v>
      </c>
      <c r="T103" s="638">
        <f>T44-'Overall recycling rates'!$G$62/SUM('Overall recycling rates'!$G$60:$G$62)*('BTX Recycling HC'!S222+'BTX Recycling HC'!S249+'BTX Recycling HC'!S160+'BTX Recycling HC'!S115)-'Overall recycling rates'!$E$62/SUM('Overall recycling rates'!$E$60:$E$62)*('BTX Recycling HC'!S223+'BTX Recycling HC'!S250+'BTX Recycling HC'!S161+'BTX Recycling HC'!S116)-'Overall recycling rates'!$H$62/SUM('Overall recycling rates'!$H$60:$H$62)*('BTX Recycling HC'!S224+'BTX Recycling HC'!S251+'BTX Recycling HC'!S162+'BTX Recycling HC'!S117)-'Overall recycling rates'!$I$62/SUM('Overall recycling rates'!$I$60:$I$62)*('BTX Recycling HC'!S225+'BTX Recycling HC'!S252+'BTX Recycling HC'!S163+'BTX Recycling HC'!S118)</f>
        <v>13085.087440768464</v>
      </c>
      <c r="U103" s="638">
        <f>U44-'Overall recycling rates'!$G$62/SUM('Overall recycling rates'!$G$60:$G$62)*('BTX Recycling HC'!T222+'BTX Recycling HC'!T249+'BTX Recycling HC'!T160+'BTX Recycling HC'!T115)-'Overall recycling rates'!$E$62/SUM('Overall recycling rates'!$E$60:$E$62)*('BTX Recycling HC'!T223+'BTX Recycling HC'!T250+'BTX Recycling HC'!T161+'BTX Recycling HC'!T116)-'Overall recycling rates'!$H$62/SUM('Overall recycling rates'!$H$60:$H$62)*('BTX Recycling HC'!T224+'BTX Recycling HC'!T251+'BTX Recycling HC'!T162+'BTX Recycling HC'!T117)-'Overall recycling rates'!$I$62/SUM('Overall recycling rates'!$I$60:$I$62)*('BTX Recycling HC'!T225+'BTX Recycling HC'!T252+'BTX Recycling HC'!T163+'BTX Recycling HC'!T118)</f>
        <v>13368.176904131291</v>
      </c>
      <c r="V103" s="638">
        <f>V44-'Overall recycling rates'!$G$62/SUM('Overall recycling rates'!$G$60:$G$62)*('BTX Recycling HC'!U222+'BTX Recycling HC'!U249+'BTX Recycling HC'!U160+'BTX Recycling HC'!U115)-'Overall recycling rates'!$E$62/SUM('Overall recycling rates'!$E$60:$E$62)*('BTX Recycling HC'!U223+'BTX Recycling HC'!U250+'BTX Recycling HC'!U161+'BTX Recycling HC'!U116)-'Overall recycling rates'!$H$62/SUM('Overall recycling rates'!$H$60:$H$62)*('BTX Recycling HC'!U224+'BTX Recycling HC'!U251+'BTX Recycling HC'!U162+'BTX Recycling HC'!U117)-'Overall recycling rates'!$I$62/SUM('Overall recycling rates'!$I$60:$I$62)*('BTX Recycling HC'!U225+'BTX Recycling HC'!U252+'BTX Recycling HC'!U163+'BTX Recycling HC'!U118)</f>
        <v>13716.078211905527</v>
      </c>
      <c r="W103" s="638">
        <f>W44-'Overall recycling rates'!$G$62/SUM('Overall recycling rates'!$G$60:$G$62)*('BTX Recycling HC'!V222+'BTX Recycling HC'!V249+'BTX Recycling HC'!V160+'BTX Recycling HC'!V115)-'Overall recycling rates'!$E$62/SUM('Overall recycling rates'!$E$60:$E$62)*('BTX Recycling HC'!V223+'BTX Recycling HC'!V250+'BTX Recycling HC'!V161+'BTX Recycling HC'!V116)-'Overall recycling rates'!$H$62/SUM('Overall recycling rates'!$H$60:$H$62)*('BTX Recycling HC'!V224+'BTX Recycling HC'!V251+'BTX Recycling HC'!V162+'BTX Recycling HC'!V117)-'Overall recycling rates'!$I$62/SUM('Overall recycling rates'!$I$60:$I$62)*('BTX Recycling HC'!V225+'BTX Recycling HC'!V252+'BTX Recycling HC'!V163+'BTX Recycling HC'!V118)</f>
        <v>14118.871106316683</v>
      </c>
      <c r="X103" s="638">
        <f>X44-'Overall recycling rates'!$G$62/SUM('Overall recycling rates'!$G$60:$G$62)*('BTX Recycling HC'!W222+'BTX Recycling HC'!W249+'BTX Recycling HC'!W160+'BTX Recycling HC'!W115)-'Overall recycling rates'!$E$62/SUM('Overall recycling rates'!$E$60:$E$62)*('BTX Recycling HC'!W223+'BTX Recycling HC'!W250+'BTX Recycling HC'!W161+'BTX Recycling HC'!W116)-'Overall recycling rates'!$H$62/SUM('Overall recycling rates'!$H$60:$H$62)*('BTX Recycling HC'!W224+'BTX Recycling HC'!W251+'BTX Recycling HC'!W162+'BTX Recycling HC'!W117)-'Overall recycling rates'!$I$62/SUM('Overall recycling rates'!$I$60:$I$62)*('BTX Recycling HC'!W225+'BTX Recycling HC'!W252+'BTX Recycling HC'!W163+'BTX Recycling HC'!W118)</f>
        <v>14566.922674650486</v>
      </c>
      <c r="Y103" s="638">
        <f>Y44-'Overall recycling rates'!$G$62/SUM('Overall recycling rates'!$G$60:$G$62)*('BTX Recycling HC'!X222+'BTX Recycling HC'!X249+'BTX Recycling HC'!X160+'BTX Recycling HC'!X115)-'Overall recycling rates'!$E$62/SUM('Overall recycling rates'!$E$60:$E$62)*('BTX Recycling HC'!X223+'BTX Recycling HC'!X250+'BTX Recycling HC'!X161+'BTX Recycling HC'!X116)-'Overall recycling rates'!$H$62/SUM('Overall recycling rates'!$H$60:$H$62)*('BTX Recycling HC'!X224+'BTX Recycling HC'!X251+'BTX Recycling HC'!X162+'BTX Recycling HC'!X117)-'Overall recycling rates'!$I$62/SUM('Overall recycling rates'!$I$60:$I$62)*('BTX Recycling HC'!X225+'BTX Recycling HC'!X252+'BTX Recycling HC'!X163+'BTX Recycling HC'!X118)</f>
        <v>14416.809388449139</v>
      </c>
      <c r="Z103" s="638">
        <f>Z44-'Overall recycling rates'!$G$62/SUM('Overall recycling rates'!$G$60:$G$62)*('BTX Recycling HC'!Y222+'BTX Recycling HC'!Y249+'BTX Recycling HC'!Y160+'BTX Recycling HC'!Y115)-'Overall recycling rates'!$E$62/SUM('Overall recycling rates'!$E$60:$E$62)*('BTX Recycling HC'!Y223+'BTX Recycling HC'!Y250+'BTX Recycling HC'!Y161+'BTX Recycling HC'!Y116)-'Overall recycling rates'!$H$62/SUM('Overall recycling rates'!$H$60:$H$62)*('BTX Recycling HC'!Y224+'BTX Recycling HC'!Y251+'BTX Recycling HC'!Y162+'BTX Recycling HC'!Y117)-'Overall recycling rates'!$I$62/SUM('Overall recycling rates'!$I$60:$I$62)*('BTX Recycling HC'!Y225+'BTX Recycling HC'!Y252+'BTX Recycling HC'!Y163+'BTX Recycling HC'!Y118)</f>
        <v>14363.929345679953</v>
      </c>
      <c r="AA103" s="638">
        <f>AA44-'Overall recycling rates'!$G$62/SUM('Overall recycling rates'!$G$60:$G$62)*('BTX Recycling HC'!Z222+'BTX Recycling HC'!Z249+'BTX Recycling HC'!Z160+'BTX Recycling HC'!Z115)-'Overall recycling rates'!$E$62/SUM('Overall recycling rates'!$E$60:$E$62)*('BTX Recycling HC'!Z223+'BTX Recycling HC'!Z250+'BTX Recycling HC'!Z161+'BTX Recycling HC'!Z116)-'Overall recycling rates'!$H$62/SUM('Overall recycling rates'!$H$60:$H$62)*('BTX Recycling HC'!Z224+'BTX Recycling HC'!Z251+'BTX Recycling HC'!Z162+'BTX Recycling HC'!Z117)-'Overall recycling rates'!$I$62/SUM('Overall recycling rates'!$I$60:$I$62)*('BTX Recycling HC'!Z225+'BTX Recycling HC'!Z252+'BTX Recycling HC'!Z163+'BTX Recycling HC'!Z118)</f>
        <v>14395.054282030595</v>
      </c>
      <c r="AB103" s="638">
        <f>AB44-'Overall recycling rates'!$G$62/SUM('Overall recycling rates'!$G$60:$G$62)*('BTX Recycling HC'!AA222+'BTX Recycling HC'!AA249+'BTX Recycling HC'!AA160+'BTX Recycling HC'!AA115)-'Overall recycling rates'!$E$62/SUM('Overall recycling rates'!$E$60:$E$62)*('BTX Recycling HC'!AA223+'BTX Recycling HC'!AA250+'BTX Recycling HC'!AA161+'BTX Recycling HC'!AA116)-'Overall recycling rates'!$H$62/SUM('Overall recycling rates'!$H$60:$H$62)*('BTX Recycling HC'!AA224+'BTX Recycling HC'!AA251+'BTX Recycling HC'!AA162+'BTX Recycling HC'!AA117)-'Overall recycling rates'!$I$62/SUM('Overall recycling rates'!$I$60:$I$62)*('BTX Recycling HC'!AA225+'BTX Recycling HC'!AA252+'BTX Recycling HC'!AA163+'BTX Recycling HC'!AA118)</f>
        <v>14493.792955291639</v>
      </c>
      <c r="AC103" s="638">
        <f>AC44-'Overall recycling rates'!$G$62/SUM('Overall recycling rates'!$G$60:$G$62)*('BTX Recycling HC'!AB222+'BTX Recycling HC'!AB249+'BTX Recycling HC'!AB160+'BTX Recycling HC'!AB115)-'Overall recycling rates'!$E$62/SUM('Overall recycling rates'!$E$60:$E$62)*('BTX Recycling HC'!AB223+'BTX Recycling HC'!AB250+'BTX Recycling HC'!AB161+'BTX Recycling HC'!AB116)-'Overall recycling rates'!$H$62/SUM('Overall recycling rates'!$H$60:$H$62)*('BTX Recycling HC'!AB224+'BTX Recycling HC'!AB251+'BTX Recycling HC'!AB162+'BTX Recycling HC'!AB117)-'Overall recycling rates'!$I$62/SUM('Overall recycling rates'!$I$60:$I$62)*('BTX Recycling HC'!AB225+'BTX Recycling HC'!AB252+'BTX Recycling HC'!AB163+'BTX Recycling HC'!AB118)</f>
        <v>14645.95824750055</v>
      </c>
      <c r="AD103" s="638">
        <f>AD44-'Overall recycling rates'!$G$62/SUM('Overall recycling rates'!$G$60:$G$62)*('BTX Recycling HC'!AC222+'BTX Recycling HC'!AC249+'BTX Recycling HC'!AC160+'BTX Recycling HC'!AC115)-'Overall recycling rates'!$E$62/SUM('Overall recycling rates'!$E$60:$E$62)*('BTX Recycling HC'!AC223+'BTX Recycling HC'!AC250+'BTX Recycling HC'!AC161+'BTX Recycling HC'!AC116)-'Overall recycling rates'!$H$62/SUM('Overall recycling rates'!$H$60:$H$62)*('BTX Recycling HC'!AC224+'BTX Recycling HC'!AC251+'BTX Recycling HC'!AC162+'BTX Recycling HC'!AC117)-'Overall recycling rates'!$I$62/SUM('Overall recycling rates'!$I$60:$I$62)*('BTX Recycling HC'!AC225+'BTX Recycling HC'!AC252+'BTX Recycling HC'!AC163+'BTX Recycling HC'!AC118)</f>
        <v>14953.232933949726</v>
      </c>
      <c r="AE103" s="638">
        <f>AE44-'Overall recycling rates'!$G$62/SUM('Overall recycling rates'!$G$60:$G$62)*('BTX Recycling HC'!AD222+'BTX Recycling HC'!AD249+'BTX Recycling HC'!AD160+'BTX Recycling HC'!AD115)-'Overall recycling rates'!$E$62/SUM('Overall recycling rates'!$E$60:$E$62)*('BTX Recycling HC'!AD223+'BTX Recycling HC'!AD250+'BTX Recycling HC'!AD161+'BTX Recycling HC'!AD116)-'Overall recycling rates'!$H$62/SUM('Overall recycling rates'!$H$60:$H$62)*('BTX Recycling HC'!AD224+'BTX Recycling HC'!AD251+'BTX Recycling HC'!AD162+'BTX Recycling HC'!AD117)-'Overall recycling rates'!$I$62/SUM('Overall recycling rates'!$I$60:$I$62)*('BTX Recycling HC'!AD225+'BTX Recycling HC'!AD252+'BTX Recycling HC'!AD163+'BTX Recycling HC'!AD118)</f>
        <v>15308.243494590577</v>
      </c>
      <c r="AF103" s="638">
        <f>AF44-'Overall recycling rates'!$G$62/SUM('Overall recycling rates'!$G$60:$G$62)*('BTX Recycling HC'!AE222+'BTX Recycling HC'!AE249+'BTX Recycling HC'!AE160+'BTX Recycling HC'!AE115)-'Overall recycling rates'!$E$62/SUM('Overall recycling rates'!$E$60:$E$62)*('BTX Recycling HC'!AE223+'BTX Recycling HC'!AE250+'BTX Recycling HC'!AE161+'BTX Recycling HC'!AE116)-'Overall recycling rates'!$H$62/SUM('Overall recycling rates'!$H$60:$H$62)*('BTX Recycling HC'!AE224+'BTX Recycling HC'!AE251+'BTX Recycling HC'!AE162+'BTX Recycling HC'!AE117)-'Overall recycling rates'!$I$62/SUM('Overall recycling rates'!$I$60:$I$62)*('BTX Recycling HC'!AE225+'BTX Recycling HC'!AE252+'BTX Recycling HC'!AE163+'BTX Recycling HC'!AE118)</f>
        <v>15699.989268299592</v>
      </c>
      <c r="AG103" s="638">
        <f>AG44-'Overall recycling rates'!$G$62/SUM('Overall recycling rates'!$G$60:$G$62)*('BTX Recycling HC'!AF222+'BTX Recycling HC'!AF249+'BTX Recycling HC'!AF160+'BTX Recycling HC'!AF115)-'Overall recycling rates'!$E$62/SUM('Overall recycling rates'!$E$60:$E$62)*('BTX Recycling HC'!AF223+'BTX Recycling HC'!AF250+'BTX Recycling HC'!AF161+'BTX Recycling HC'!AF116)-'Overall recycling rates'!$H$62/SUM('Overall recycling rates'!$H$60:$H$62)*('BTX Recycling HC'!AF224+'BTX Recycling HC'!AF251+'BTX Recycling HC'!AF162+'BTX Recycling HC'!AF117)-'Overall recycling rates'!$I$62/SUM('Overall recycling rates'!$I$60:$I$62)*('BTX Recycling HC'!AF225+'BTX Recycling HC'!AF252+'BTX Recycling HC'!AF163+'BTX Recycling HC'!AF118)</f>
        <v>16118.039392126073</v>
      </c>
      <c r="AH103" s="638">
        <f>AH44-'Overall recycling rates'!$G$62/SUM('Overall recycling rates'!$G$60:$G$62)*('BTX Recycling HC'!AG222+'BTX Recycling HC'!AG249+'BTX Recycling HC'!AG160+'BTX Recycling HC'!AG115)-'Overall recycling rates'!$E$62/SUM('Overall recycling rates'!$E$60:$E$62)*('BTX Recycling HC'!AG223+'BTX Recycling HC'!AG250+'BTX Recycling HC'!AG161+'BTX Recycling HC'!AG116)-'Overall recycling rates'!$H$62/SUM('Overall recycling rates'!$H$60:$H$62)*('BTX Recycling HC'!AG224+'BTX Recycling HC'!AG251+'BTX Recycling HC'!AG162+'BTX Recycling HC'!AG117)-'Overall recycling rates'!$I$62/SUM('Overall recycling rates'!$I$60:$I$62)*('BTX Recycling HC'!AG225+'BTX Recycling HC'!AG252+'BTX Recycling HC'!AG163+'BTX Recycling HC'!AG118)</f>
        <v>16552.540708204091</v>
      </c>
      <c r="AI103" s="638"/>
      <c r="AJ103" s="638">
        <f>AJ44-'Overall recycling rates'!$G$62/SUM('Overall recycling rates'!$G$60:$G$62)*('BTX Recycling HC'!C222+'BTX Recycling HC'!C249+'BTX Recycling HC'!C160+'BTX Recycling HC'!C115)-'Overall recycling rates'!$E$62/SUM('Overall recycling rates'!$E$60:$E$62)*('BTX Recycling HC'!C223+'BTX Recycling HC'!C250+'BTX Recycling HC'!C161+'BTX Recycling HC'!C116)-'Overall recycling rates'!$H$62/SUM('Overall recycling rates'!$H$60:$H$62)*('BTX Recycling HC'!C224+'BTX Recycling HC'!C251+'BTX Recycling HC'!C162+'BTX Recycling HC'!C117)-'Overall recycling rates'!$I$62/SUM('Overall recycling rates'!$I$60:$I$62)*('BTX Recycling HC'!C225+'BTX Recycling HC'!C252+'BTX Recycling HC'!C163+'BTX Recycling HC'!C118)</f>
        <v>12487.325398904024</v>
      </c>
      <c r="AK103" s="638">
        <f>AK44-'Overall recycling rates'!$G$62/SUM('Overall recycling rates'!$G$60:$G$62)*('BTX Recycling HC'!D222+'BTX Recycling HC'!D249+'BTX Recycling HC'!D160+'BTX Recycling HC'!D115)-'Overall recycling rates'!$E$62/SUM('Overall recycling rates'!$E$60:$E$62)*('BTX Recycling HC'!D223+'BTX Recycling HC'!D250+'BTX Recycling HC'!D161+'BTX Recycling HC'!D116)-'Overall recycling rates'!$H$62/SUM('Overall recycling rates'!$H$60:$H$62)*('BTX Recycling HC'!D224+'BTX Recycling HC'!D251+'BTX Recycling HC'!D162+'BTX Recycling HC'!D117)-'Overall recycling rates'!$I$62/SUM('Overall recycling rates'!$I$60:$I$62)*('BTX Recycling HC'!D225+'BTX Recycling HC'!D252+'BTX Recycling HC'!D163+'BTX Recycling HC'!D118)</f>
        <v>13027.28451572871</v>
      </c>
      <c r="AL103" s="638">
        <f>AL44-'Overall recycling rates'!$G$62/SUM('Overall recycling rates'!$G$60:$G$62)*('BTX Recycling HC'!E222+'BTX Recycling HC'!E249+'BTX Recycling HC'!E160+'BTX Recycling HC'!E115)-'Overall recycling rates'!$E$62/SUM('Overall recycling rates'!$E$60:$E$62)*('BTX Recycling HC'!E223+'BTX Recycling HC'!E250+'BTX Recycling HC'!E161+'BTX Recycling HC'!E116)-'Overall recycling rates'!$H$62/SUM('Overall recycling rates'!$H$60:$H$62)*('BTX Recycling HC'!E224+'BTX Recycling HC'!E251+'BTX Recycling HC'!E162+'BTX Recycling HC'!E117)-'Overall recycling rates'!$I$62/SUM('Overall recycling rates'!$I$60:$I$62)*('BTX Recycling HC'!E225+'BTX Recycling HC'!E252+'BTX Recycling HC'!E163+'BTX Recycling HC'!E118)</f>
        <v>13100.447290365642</v>
      </c>
      <c r="AM103" s="638">
        <f>AM44-'Overall recycling rates'!$G$62/SUM('Overall recycling rates'!$G$60:$G$62)*('BTX Recycling HC'!F222+'BTX Recycling HC'!F249+'BTX Recycling HC'!F160+'BTX Recycling HC'!F115)-'Overall recycling rates'!$E$62/SUM('Overall recycling rates'!$E$60:$E$62)*('BTX Recycling HC'!F223+'BTX Recycling HC'!F250+'BTX Recycling HC'!F161+'BTX Recycling HC'!F116)-'Overall recycling rates'!$H$62/SUM('Overall recycling rates'!$H$60:$H$62)*('BTX Recycling HC'!F224+'BTX Recycling HC'!F251+'BTX Recycling HC'!F162+'BTX Recycling HC'!F117)-'Overall recycling rates'!$I$62/SUM('Overall recycling rates'!$I$60:$I$62)*('BTX Recycling HC'!F225+'BTX Recycling HC'!F252+'BTX Recycling HC'!F163+'BTX Recycling HC'!F118)</f>
        <v>13129.226195079564</v>
      </c>
      <c r="AN103" s="638">
        <f>AN44-'Overall recycling rates'!$G$62/SUM('Overall recycling rates'!$G$60:$G$62)*('BTX Recycling HC'!G222+'BTX Recycling HC'!G249+'BTX Recycling HC'!G160+'BTX Recycling HC'!G115)-'Overall recycling rates'!$E$62/SUM('Overall recycling rates'!$E$60:$E$62)*('BTX Recycling HC'!G223+'BTX Recycling HC'!G250+'BTX Recycling HC'!G161+'BTX Recycling HC'!G116)-'Overall recycling rates'!$H$62/SUM('Overall recycling rates'!$H$60:$H$62)*('BTX Recycling HC'!G224+'BTX Recycling HC'!G251+'BTX Recycling HC'!G162+'BTX Recycling HC'!G117)-'Overall recycling rates'!$I$62/SUM('Overall recycling rates'!$I$60:$I$62)*('BTX Recycling HC'!G225+'BTX Recycling HC'!G252+'BTX Recycling HC'!G163+'BTX Recycling HC'!G118)</f>
        <v>13195.09373145592</v>
      </c>
      <c r="AO103" s="638">
        <f>AO44-'Overall recycling rates'!$G$62/SUM('Overall recycling rates'!$G$60:$G$62)*('BTX Recycling HC'!H222+'BTX Recycling HC'!H249+'BTX Recycling HC'!H160+'BTX Recycling HC'!H115)-'Overall recycling rates'!$E$62/SUM('Overall recycling rates'!$E$60:$E$62)*('BTX Recycling HC'!H223+'BTX Recycling HC'!H250+'BTX Recycling HC'!H161+'BTX Recycling HC'!H116)-'Overall recycling rates'!$H$62/SUM('Overall recycling rates'!$H$60:$H$62)*('BTX Recycling HC'!H224+'BTX Recycling HC'!H251+'BTX Recycling HC'!H162+'BTX Recycling HC'!H117)-'Overall recycling rates'!$I$62/SUM('Overall recycling rates'!$I$60:$I$62)*('BTX Recycling HC'!H225+'BTX Recycling HC'!H252+'BTX Recycling HC'!H163+'BTX Recycling HC'!H118)</f>
        <v>13294.026788399939</v>
      </c>
      <c r="AP103" s="638">
        <f>AP44-'Overall recycling rates'!$G$62/SUM('Overall recycling rates'!$G$60:$G$62)*('BTX Recycling HC'!I222+'BTX Recycling HC'!I249+'BTX Recycling HC'!I160+'BTX Recycling HC'!I115)-'Overall recycling rates'!$E$62/SUM('Overall recycling rates'!$E$60:$E$62)*('BTX Recycling HC'!I223+'BTX Recycling HC'!I250+'BTX Recycling HC'!I161+'BTX Recycling HC'!I116)-'Overall recycling rates'!$H$62/SUM('Overall recycling rates'!$H$60:$H$62)*('BTX Recycling HC'!I224+'BTX Recycling HC'!I251+'BTX Recycling HC'!I162+'BTX Recycling HC'!I117)-'Overall recycling rates'!$I$62/SUM('Overall recycling rates'!$I$60:$I$62)*('BTX Recycling HC'!I225+'BTX Recycling HC'!I252+'BTX Recycling HC'!I163+'BTX Recycling HC'!I118)</f>
        <v>13510.820296561138</v>
      </c>
      <c r="AQ103" s="638">
        <f>AQ44-'Overall recycling rates'!$G$62/SUM('Overall recycling rates'!$G$60:$G$62)*('BTX Recycling HC'!J222+'BTX Recycling HC'!J249+'BTX Recycling HC'!J160+'BTX Recycling HC'!J115)-'Overall recycling rates'!$E$62/SUM('Overall recycling rates'!$E$60:$E$62)*('BTX Recycling HC'!J223+'BTX Recycling HC'!J250+'BTX Recycling HC'!J161+'BTX Recycling HC'!J116)-'Overall recycling rates'!$H$62/SUM('Overall recycling rates'!$H$60:$H$62)*('BTX Recycling HC'!J224+'BTX Recycling HC'!J251+'BTX Recycling HC'!J162+'BTX Recycling HC'!J117)-'Overall recycling rates'!$I$62/SUM('Overall recycling rates'!$I$60:$I$62)*('BTX Recycling HC'!J225+'BTX Recycling HC'!J252+'BTX Recycling HC'!J163+'BTX Recycling HC'!J118)</f>
        <v>13777.001942030149</v>
      </c>
      <c r="AR103" s="638">
        <f>AR44-'Overall recycling rates'!$G$62/SUM('Overall recycling rates'!$G$60:$G$62)*('BTX Recycling HC'!K222+'BTX Recycling HC'!K249+'BTX Recycling HC'!K160+'BTX Recycling HC'!K115)-'Overall recycling rates'!$E$62/SUM('Overall recycling rates'!$E$60:$E$62)*('BTX Recycling HC'!K223+'BTX Recycling HC'!K250+'BTX Recycling HC'!K161+'BTX Recycling HC'!K116)-'Overall recycling rates'!$H$62/SUM('Overall recycling rates'!$H$60:$H$62)*('BTX Recycling HC'!K224+'BTX Recycling HC'!K251+'BTX Recycling HC'!K162+'BTX Recycling HC'!K117)-'Overall recycling rates'!$I$62/SUM('Overall recycling rates'!$I$60:$I$62)*('BTX Recycling HC'!K225+'BTX Recycling HC'!K252+'BTX Recycling HC'!K163+'BTX Recycling HC'!K118)</f>
        <v>14091.105065230551</v>
      </c>
      <c r="AS103" s="638">
        <f>AS44-'Overall recycling rates'!$G$62/SUM('Overall recycling rates'!$G$60:$G$62)*('BTX Recycling HC'!L222+'BTX Recycling HC'!L249+'BTX Recycling HC'!L160+'BTX Recycling HC'!L115)-'Overall recycling rates'!$E$62/SUM('Overall recycling rates'!$E$60:$E$62)*('BTX Recycling HC'!L223+'BTX Recycling HC'!L250+'BTX Recycling HC'!L161+'BTX Recycling HC'!L116)-'Overall recycling rates'!$H$62/SUM('Overall recycling rates'!$H$60:$H$62)*('BTX Recycling HC'!L224+'BTX Recycling HC'!L251+'BTX Recycling HC'!L162+'BTX Recycling HC'!L117)-'Overall recycling rates'!$I$62/SUM('Overall recycling rates'!$I$60:$I$62)*('BTX Recycling HC'!L225+'BTX Recycling HC'!L252+'BTX Recycling HC'!L163+'BTX Recycling HC'!L118)</f>
        <v>14451.769181222129</v>
      </c>
      <c r="AT103" s="638">
        <f>AT44-'Overall recycling rates'!$G$62/SUM('Overall recycling rates'!$G$60:$G$62)*('BTX Recycling HC'!M222+'BTX Recycling HC'!M249+'BTX Recycling HC'!M160+'BTX Recycling HC'!M115)-'Overall recycling rates'!$E$62/SUM('Overall recycling rates'!$E$60:$E$62)*('BTX Recycling HC'!M223+'BTX Recycling HC'!M250+'BTX Recycling HC'!M161+'BTX Recycling HC'!M116)-'Overall recycling rates'!$H$62/SUM('Overall recycling rates'!$H$60:$H$62)*('BTX Recycling HC'!M224+'BTX Recycling HC'!M251+'BTX Recycling HC'!M162+'BTX Recycling HC'!M117)-'Overall recycling rates'!$I$62/SUM('Overall recycling rates'!$I$60:$I$62)*('BTX Recycling HC'!M225+'BTX Recycling HC'!M252+'BTX Recycling HC'!M163+'BTX Recycling HC'!M118)</f>
        <v>14857.740983874161</v>
      </c>
      <c r="AU103" s="638">
        <f>AU44-'Overall recycling rates'!$G$62/SUM('Overall recycling rates'!$G$60:$G$62)*('BTX Recycling HC'!N222+'BTX Recycling HC'!N249+'BTX Recycling HC'!N160+'BTX Recycling HC'!N115)-'Overall recycling rates'!$E$62/SUM('Overall recycling rates'!$E$60:$E$62)*('BTX Recycling HC'!N223+'BTX Recycling HC'!N250+'BTX Recycling HC'!N161+'BTX Recycling HC'!N116)-'Overall recycling rates'!$H$62/SUM('Overall recycling rates'!$H$60:$H$62)*('BTX Recycling HC'!N224+'BTX Recycling HC'!N251+'BTX Recycling HC'!N162+'BTX Recycling HC'!N117)-'Overall recycling rates'!$I$62/SUM('Overall recycling rates'!$I$60:$I$62)*('BTX Recycling HC'!N225+'BTX Recycling HC'!N252+'BTX Recycling HC'!N163+'BTX Recycling HC'!N118)</f>
        <v>14718.314518005252</v>
      </c>
      <c r="AV103" s="638">
        <f>AV44-'Overall recycling rates'!$G$62/SUM('Overall recycling rates'!$G$60:$G$62)*('BTX Recycling HC'!O222+'BTX Recycling HC'!O249+'BTX Recycling HC'!O160+'BTX Recycling HC'!O115)-'Overall recycling rates'!$E$62/SUM('Overall recycling rates'!$E$60:$E$62)*('BTX Recycling HC'!O223+'BTX Recycling HC'!O250+'BTX Recycling HC'!O161+'BTX Recycling HC'!O116)-'Overall recycling rates'!$H$62/SUM('Overall recycling rates'!$H$60:$H$62)*('BTX Recycling HC'!O224+'BTX Recycling HC'!O251+'BTX Recycling HC'!O162+'BTX Recycling HC'!O117)-'Overall recycling rates'!$I$62/SUM('Overall recycling rates'!$I$60:$I$62)*('BTX Recycling HC'!O225+'BTX Recycling HC'!O252+'BTX Recycling HC'!O163+'BTX Recycling HC'!O118)</f>
        <v>14719.623734051003</v>
      </c>
      <c r="AW103" s="638">
        <f>AW44-'Overall recycling rates'!$G$62/SUM('Overall recycling rates'!$G$60:$G$62)*('BTX Recycling HC'!P222+'BTX Recycling HC'!P249+'BTX Recycling HC'!P160+'BTX Recycling HC'!P115)-'Overall recycling rates'!$E$62/SUM('Overall recycling rates'!$E$60:$E$62)*('BTX Recycling HC'!P223+'BTX Recycling HC'!P250+'BTX Recycling HC'!P161+'BTX Recycling HC'!P116)-'Overall recycling rates'!$H$62/SUM('Overall recycling rates'!$H$60:$H$62)*('BTX Recycling HC'!P224+'BTX Recycling HC'!P251+'BTX Recycling HC'!P162+'BTX Recycling HC'!P117)-'Overall recycling rates'!$I$62/SUM('Overall recycling rates'!$I$60:$I$62)*('BTX Recycling HC'!P225+'BTX Recycling HC'!P252+'BTX Recycling HC'!P163+'BTX Recycling HC'!P118)</f>
        <v>14852.066889368927</v>
      </c>
      <c r="AX103" s="638">
        <f>AX44-'Overall recycling rates'!$G$62/SUM('Overall recycling rates'!$G$60:$G$62)*('BTX Recycling HC'!Q222+'BTX Recycling HC'!Q249+'BTX Recycling HC'!Q160+'BTX Recycling HC'!Q115)-'Overall recycling rates'!$E$62/SUM('Overall recycling rates'!$E$60:$E$62)*('BTX Recycling HC'!Q223+'BTX Recycling HC'!Q250+'BTX Recycling HC'!Q161+'BTX Recycling HC'!Q116)-'Overall recycling rates'!$H$62/SUM('Overall recycling rates'!$H$60:$H$62)*('BTX Recycling HC'!Q224+'BTX Recycling HC'!Q251+'BTX Recycling HC'!Q162+'BTX Recycling HC'!Q117)-'Overall recycling rates'!$I$62/SUM('Overall recycling rates'!$I$60:$I$62)*('BTX Recycling HC'!Q225+'BTX Recycling HC'!Q252+'BTX Recycling HC'!Q163+'BTX Recycling HC'!Q118)</f>
        <v>15105.48746264548</v>
      </c>
      <c r="AY103" s="638">
        <f>AY44-'Overall recycling rates'!$G$62/SUM('Overall recycling rates'!$G$60:$G$62)*('BTX Recycling HC'!R222+'BTX Recycling HC'!R249+'BTX Recycling HC'!R160+'BTX Recycling HC'!R115)-'Overall recycling rates'!$E$62/SUM('Overall recycling rates'!$E$60:$E$62)*('BTX Recycling HC'!R223+'BTX Recycling HC'!R250+'BTX Recycling HC'!R161+'BTX Recycling HC'!R116)-'Overall recycling rates'!$H$62/SUM('Overall recycling rates'!$H$60:$H$62)*('BTX Recycling HC'!R224+'BTX Recycling HC'!R251+'BTX Recycling HC'!R162+'BTX Recycling HC'!R117)-'Overall recycling rates'!$I$62/SUM('Overall recycling rates'!$I$60:$I$62)*('BTX Recycling HC'!R225+'BTX Recycling HC'!R252+'BTX Recycling HC'!R163+'BTX Recycling HC'!R118)</f>
        <v>15470.434249959808</v>
      </c>
      <c r="AZ103" s="638">
        <f>AZ44-'Overall recycling rates'!$G$62/SUM('Overall recycling rates'!$G$60:$G$62)*('BTX Recycling HC'!S222+'BTX Recycling HC'!S249+'BTX Recycling HC'!S160+'BTX Recycling HC'!S115)-'Overall recycling rates'!$E$62/SUM('Overall recycling rates'!$E$60:$E$62)*('BTX Recycling HC'!S223+'BTX Recycling HC'!S250+'BTX Recycling HC'!S161+'BTX Recycling HC'!S116)-'Overall recycling rates'!$H$62/SUM('Overall recycling rates'!$H$60:$H$62)*('BTX Recycling HC'!S224+'BTX Recycling HC'!S251+'BTX Recycling HC'!S162+'BTX Recycling HC'!S117)-'Overall recycling rates'!$I$62/SUM('Overall recycling rates'!$I$60:$I$62)*('BTX Recycling HC'!S225+'BTX Recycling HC'!S252+'BTX Recycling HC'!S163+'BTX Recycling HC'!S118)</f>
        <v>15851.404118241389</v>
      </c>
      <c r="BA103" s="638">
        <f>BA44-'Overall recycling rates'!$G$62/SUM('Overall recycling rates'!$G$60:$G$62)*('BTX Recycling HC'!T222+'BTX Recycling HC'!T249+'BTX Recycling HC'!T160+'BTX Recycling HC'!T115)-'Overall recycling rates'!$E$62/SUM('Overall recycling rates'!$E$60:$E$62)*('BTX Recycling HC'!T223+'BTX Recycling HC'!T250+'BTX Recycling HC'!T161+'BTX Recycling HC'!T116)-'Overall recycling rates'!$H$62/SUM('Overall recycling rates'!$H$60:$H$62)*('BTX Recycling HC'!T224+'BTX Recycling HC'!T251+'BTX Recycling HC'!T162+'BTX Recycling HC'!T117)-'Overall recycling rates'!$I$62/SUM('Overall recycling rates'!$I$60:$I$62)*('BTX Recycling HC'!T225+'BTX Recycling HC'!T252+'BTX Recycling HC'!T163+'BTX Recycling HC'!T118)</f>
        <v>16307.388373946276</v>
      </c>
      <c r="BB103" s="638">
        <f>BB44-'Overall recycling rates'!$G$62/SUM('Overall recycling rates'!$G$60:$G$62)*('BTX Recycling HC'!U222+'BTX Recycling HC'!U249+'BTX Recycling HC'!U160+'BTX Recycling HC'!U115)-'Overall recycling rates'!$E$62/SUM('Overall recycling rates'!$E$60:$E$62)*('BTX Recycling HC'!U223+'BTX Recycling HC'!U250+'BTX Recycling HC'!U161+'BTX Recycling HC'!U116)-'Overall recycling rates'!$H$62/SUM('Overall recycling rates'!$H$60:$H$62)*('BTX Recycling HC'!U224+'BTX Recycling HC'!U251+'BTX Recycling HC'!U162+'BTX Recycling HC'!U117)-'Overall recycling rates'!$I$62/SUM('Overall recycling rates'!$I$60:$I$62)*('BTX Recycling HC'!U225+'BTX Recycling HC'!U252+'BTX Recycling HC'!U163+'BTX Recycling HC'!U118)</f>
        <v>16828.184474062567</v>
      </c>
      <c r="BC103" s="638">
        <f>BC44-'Overall recycling rates'!$G$62/SUM('Overall recycling rates'!$G$60:$G$62)*('BTX Recycling HC'!V222+'BTX Recycling HC'!V249+'BTX Recycling HC'!V160+'BTX Recycling HC'!V115)-'Overall recycling rates'!$E$62/SUM('Overall recycling rates'!$E$60:$E$62)*('BTX Recycling HC'!V223+'BTX Recycling HC'!V250+'BTX Recycling HC'!V161+'BTX Recycling HC'!V116)-'Overall recycling rates'!$H$62/SUM('Overall recycling rates'!$H$60:$H$62)*('BTX Recycling HC'!V224+'BTX Recycling HC'!V251+'BTX Recycling HC'!V162+'BTX Recycling HC'!V117)-'Overall recycling rates'!$I$62/SUM('Overall recycling rates'!$I$60:$I$62)*('BTX Recycling HC'!V225+'BTX Recycling HC'!V252+'BTX Recycling HC'!V163+'BTX Recycling HC'!V118)</f>
        <v>17403.872160815779</v>
      </c>
      <c r="BD103" s="638">
        <f>BD44-'Overall recycling rates'!$G$62/SUM('Overall recycling rates'!$G$60:$G$62)*('BTX Recycling HC'!W222+'BTX Recycling HC'!W249+'BTX Recycling HC'!W160+'BTX Recycling HC'!W115)-'Overall recycling rates'!$E$62/SUM('Overall recycling rates'!$E$60:$E$62)*('BTX Recycling HC'!W223+'BTX Recycling HC'!W250+'BTX Recycling HC'!W161+'BTX Recycling HC'!W116)-'Overall recycling rates'!$H$62/SUM('Overall recycling rates'!$H$60:$H$62)*('BTX Recycling HC'!W224+'BTX Recycling HC'!W251+'BTX Recycling HC'!W162+'BTX Recycling HC'!W117)-'Overall recycling rates'!$I$62/SUM('Overall recycling rates'!$I$60:$I$62)*('BTX Recycling HC'!W225+'BTX Recycling HC'!W252+'BTX Recycling HC'!W163+'BTX Recycling HC'!W118)</f>
        <v>18024.818521491645</v>
      </c>
      <c r="BE103" s="638">
        <f>BE44-'Overall recycling rates'!$G$62/SUM('Overall recycling rates'!$G$60:$G$62)*('BTX Recycling HC'!X222+'BTX Recycling HC'!X249+'BTX Recycling HC'!X160+'BTX Recycling HC'!X115)-'Overall recycling rates'!$E$62/SUM('Overall recycling rates'!$E$60:$E$62)*('BTX Recycling HC'!X223+'BTX Recycling HC'!X250+'BTX Recycling HC'!X161+'BTX Recycling HC'!X116)-'Overall recycling rates'!$H$62/SUM('Overall recycling rates'!$H$60:$H$62)*('BTX Recycling HC'!X224+'BTX Recycling HC'!X251+'BTX Recycling HC'!X162+'BTX Recycling HC'!X117)-'Overall recycling rates'!$I$62/SUM('Overall recycling rates'!$I$60:$I$62)*('BTX Recycling HC'!X225+'BTX Recycling HC'!X252+'BTX Recycling HC'!X163+'BTX Recycling HC'!X118)</f>
        <v>18052.839263763934</v>
      </c>
      <c r="BF103" s="638">
        <f>BF44-'Overall recycling rates'!$G$62/SUM('Overall recycling rates'!$G$60:$G$62)*('BTX Recycling HC'!Y222+'BTX Recycling HC'!Y249+'BTX Recycling HC'!Y160+'BTX Recycling HC'!Y115)-'Overall recycling rates'!$E$62/SUM('Overall recycling rates'!$E$60:$E$62)*('BTX Recycling HC'!Y223+'BTX Recycling HC'!Y250+'BTX Recycling HC'!Y161+'BTX Recycling HC'!Y116)-'Overall recycling rates'!$H$62/SUM('Overall recycling rates'!$H$60:$H$62)*('BTX Recycling HC'!Y224+'BTX Recycling HC'!Y251+'BTX Recycling HC'!Y162+'BTX Recycling HC'!Y117)-'Overall recycling rates'!$I$62/SUM('Overall recycling rates'!$I$60:$I$62)*('BTX Recycling HC'!Y225+'BTX Recycling HC'!Y252+'BTX Recycling HC'!Y163+'BTX Recycling HC'!Y118)</f>
        <v>18178.093249468384</v>
      </c>
      <c r="BG103" s="638">
        <f>BG44-'Overall recycling rates'!$G$62/SUM('Overall recycling rates'!$G$60:$G$62)*('BTX Recycling HC'!Z222+'BTX Recycling HC'!Z249+'BTX Recycling HC'!Z160+'BTX Recycling HC'!Z115)-'Overall recycling rates'!$E$62/SUM('Overall recycling rates'!$E$60:$E$62)*('BTX Recycling HC'!Z223+'BTX Recycling HC'!Z250+'BTX Recycling HC'!Z161+'BTX Recycling HC'!Z116)-'Overall recycling rates'!$H$62/SUM('Overall recycling rates'!$H$60:$H$62)*('BTX Recycling HC'!Z224+'BTX Recycling HC'!Z251+'BTX Recycling HC'!Z162+'BTX Recycling HC'!Z117)-'Overall recycling rates'!$I$62/SUM('Overall recycling rates'!$I$60:$I$62)*('BTX Recycling HC'!Z225+'BTX Recycling HC'!Z252+'BTX Recycling HC'!Z163+'BTX Recycling HC'!Z118)</f>
        <v>18387.352214292659</v>
      </c>
      <c r="BH103" s="638">
        <f>BH44-'Overall recycling rates'!$G$62/SUM('Overall recycling rates'!$G$60:$G$62)*('BTX Recycling HC'!AA222+'BTX Recycling HC'!AA249+'BTX Recycling HC'!AA160+'BTX Recycling HC'!AA115)-'Overall recycling rates'!$E$62/SUM('Overall recycling rates'!$E$60:$E$62)*('BTX Recycling HC'!AA223+'BTX Recycling HC'!AA250+'BTX Recycling HC'!AA161+'BTX Recycling HC'!AA116)-'Overall recycling rates'!$H$62/SUM('Overall recycling rates'!$H$60:$H$62)*('BTX Recycling HC'!AA224+'BTX Recycling HC'!AA251+'BTX Recycling HC'!AA162+'BTX Recycling HC'!AA117)-'Overall recycling rates'!$I$62/SUM('Overall recycling rates'!$I$60:$I$62)*('BTX Recycling HC'!AA225+'BTX Recycling HC'!AA252+'BTX Recycling HC'!AA163+'BTX Recycling HC'!AA118)</f>
        <v>18664.224916027339</v>
      </c>
      <c r="BI103" s="638">
        <f>BI44-'Overall recycling rates'!$G$62/SUM('Overall recycling rates'!$G$60:$G$62)*('BTX Recycling HC'!AB222+'BTX Recycling HC'!AB249+'BTX Recycling HC'!AB160+'BTX Recycling HC'!AB115)-'Overall recycling rates'!$E$62/SUM('Overall recycling rates'!$E$60:$E$62)*('BTX Recycling HC'!AB223+'BTX Recycling HC'!AB250+'BTX Recycling HC'!AB161+'BTX Recycling HC'!AB116)-'Overall recycling rates'!$H$62/SUM('Overall recycling rates'!$H$60:$H$62)*('BTX Recycling HC'!AB224+'BTX Recycling HC'!AB251+'BTX Recycling HC'!AB162+'BTX Recycling HC'!AB117)-'Overall recycling rates'!$I$62/SUM('Overall recycling rates'!$I$60:$I$62)*('BTX Recycling HC'!AB225+'BTX Recycling HC'!AB252+'BTX Recycling HC'!AB163+'BTX Recycling HC'!AB118)</f>
        <v>18994.524236709891</v>
      </c>
      <c r="BJ103" s="638">
        <f>BJ44-'Overall recycling rates'!$G$62/SUM('Overall recycling rates'!$G$60:$G$62)*('BTX Recycling HC'!AC222+'BTX Recycling HC'!AC249+'BTX Recycling HC'!AC160+'BTX Recycling HC'!AC115)-'Overall recycling rates'!$E$62/SUM('Overall recycling rates'!$E$60:$E$62)*('BTX Recycling HC'!AC223+'BTX Recycling HC'!AC250+'BTX Recycling HC'!AC161+'BTX Recycling HC'!AC116)-'Overall recycling rates'!$H$62/SUM('Overall recycling rates'!$H$60:$H$62)*('BTX Recycling HC'!AC224+'BTX Recycling HC'!AC251+'BTX Recycling HC'!AC162+'BTX Recycling HC'!AC117)-'Overall recycling rates'!$I$62/SUM('Overall recycling rates'!$I$60:$I$62)*('BTX Recycling HC'!AC225+'BTX Recycling HC'!AC252+'BTX Recycling HC'!AC163+'BTX Recycling HC'!AC118)</f>
        <v>19479.932951632702</v>
      </c>
      <c r="BK103" s="638">
        <f>BK44-'Overall recycling rates'!$G$62/SUM('Overall recycling rates'!$G$60:$G$62)*('BTX Recycling HC'!AD222+'BTX Recycling HC'!AD249+'BTX Recycling HC'!AD160+'BTX Recycling HC'!AD115)-'Overall recycling rates'!$E$62/SUM('Overall recycling rates'!$E$60:$E$62)*('BTX Recycling HC'!AD223+'BTX Recycling HC'!AD250+'BTX Recycling HC'!AD161+'BTX Recycling HC'!AD116)-'Overall recycling rates'!$H$62/SUM('Overall recycling rates'!$H$60:$H$62)*('BTX Recycling HC'!AD224+'BTX Recycling HC'!AD251+'BTX Recycling HC'!AD162+'BTX Recycling HC'!AD117)-'Overall recycling rates'!$I$62/SUM('Overall recycling rates'!$I$60:$I$62)*('BTX Recycling HC'!AD225+'BTX Recycling HC'!AD252+'BTX Recycling HC'!AD163+'BTX Recycling HC'!AD118)</f>
        <v>20013.077540747181</v>
      </c>
      <c r="BL103" s="638">
        <f>BL44-'Overall recycling rates'!$G$62/SUM('Overall recycling rates'!$G$60:$G$62)*('BTX Recycling HC'!AE222+'BTX Recycling HC'!AE249+'BTX Recycling HC'!AE160+'BTX Recycling HC'!AE115)-'Overall recycling rates'!$E$62/SUM('Overall recycling rates'!$E$60:$E$62)*('BTX Recycling HC'!AE223+'BTX Recycling HC'!AE250+'BTX Recycling HC'!AE161+'BTX Recycling HC'!AE116)-'Overall recycling rates'!$H$62/SUM('Overall recycling rates'!$H$60:$H$62)*('BTX Recycling HC'!AE224+'BTX Recycling HC'!AE251+'BTX Recycling HC'!AE162+'BTX Recycling HC'!AE117)-'Overall recycling rates'!$I$62/SUM('Overall recycling rates'!$I$60:$I$62)*('BTX Recycling HC'!AE225+'BTX Recycling HC'!AE252+'BTX Recycling HC'!AE163+'BTX Recycling HC'!AE118)</f>
        <v>20582.957342929836</v>
      </c>
      <c r="BM103" s="638">
        <f>BM44-'Overall recycling rates'!$G$62/SUM('Overall recycling rates'!$G$60:$G$62)*('BTX Recycling HC'!AF222+'BTX Recycling HC'!AF249+'BTX Recycling HC'!AF160+'BTX Recycling HC'!AF115)-'Overall recycling rates'!$E$62/SUM('Overall recycling rates'!$E$60:$E$62)*('BTX Recycling HC'!AF223+'BTX Recycling HC'!AF250+'BTX Recycling HC'!AF161+'BTX Recycling HC'!AF116)-'Overall recycling rates'!$H$62/SUM('Overall recycling rates'!$H$60:$H$62)*('BTX Recycling HC'!AF224+'BTX Recycling HC'!AF251+'BTX Recycling HC'!AF162+'BTX Recycling HC'!AF117)-'Overall recycling rates'!$I$62/SUM('Overall recycling rates'!$I$60:$I$62)*('BTX Recycling HC'!AF225+'BTX Recycling HC'!AF252+'BTX Recycling HC'!AF163+'BTX Recycling HC'!AF118)</f>
        <v>21179.141495229949</v>
      </c>
      <c r="BN103" s="638">
        <f>BN44-'Overall recycling rates'!$G$62/SUM('Overall recycling rates'!$G$60:$G$62)*('BTX Recycling HC'!AG222+'BTX Recycling HC'!AG249+'BTX Recycling HC'!AG160+'BTX Recycling HC'!AG115)-'Overall recycling rates'!$E$62/SUM('Overall recycling rates'!$E$60:$E$62)*('BTX Recycling HC'!AG223+'BTX Recycling HC'!AG250+'BTX Recycling HC'!AG161+'BTX Recycling HC'!AG116)-'Overall recycling rates'!$H$62/SUM('Overall recycling rates'!$H$60:$H$62)*('BTX Recycling HC'!AG224+'BTX Recycling HC'!AG251+'BTX Recycling HC'!AG162+'BTX Recycling HC'!AG117)-'Overall recycling rates'!$I$62/SUM('Overall recycling rates'!$I$60:$I$62)*('BTX Recycling HC'!AG225+'BTX Recycling HC'!AG252+'BTX Recycling HC'!AG163+'BTX Recycling HC'!AG118)</f>
        <v>21791.776839781603</v>
      </c>
    </row>
    <row r="104" spans="1:66" outlineLevel="1">
      <c r="A104" s="167" t="s">
        <v>304</v>
      </c>
      <c r="B104" s="226" t="s">
        <v>195</v>
      </c>
      <c r="C104" s="227" t="s">
        <v>166</v>
      </c>
      <c r="D104" s="606">
        <f>D57+D63</f>
        <v>834656.37607689528</v>
      </c>
      <c r="E104" s="606">
        <f t="shared" ref="E104:AH104" si="96">E57+E63</f>
        <v>829164.37076009065</v>
      </c>
      <c r="F104" s="606">
        <f t="shared" si="96"/>
        <v>823656.50290088984</v>
      </c>
      <c r="G104" s="606">
        <f t="shared" si="96"/>
        <v>818148.67969355173</v>
      </c>
      <c r="H104" s="606">
        <f t="shared" si="96"/>
        <v>812640.90344510775</v>
      </c>
      <c r="I104" s="606">
        <f t="shared" si="96"/>
        <v>807133.17658178555</v>
      </c>
      <c r="J104" s="606">
        <f t="shared" si="96"/>
        <v>801625.50165516988</v>
      </c>
      <c r="K104" s="606">
        <f t="shared" si="96"/>
        <v>796117.88134867814</v>
      </c>
      <c r="L104" s="606">
        <f t="shared" si="96"/>
        <v>790610.31848437164</v>
      </c>
      <c r="M104" s="606">
        <f t="shared" si="96"/>
        <v>785102.81603012001</v>
      </c>
      <c r="N104" s="606">
        <f t="shared" si="96"/>
        <v>779595.37710713327</v>
      </c>
      <c r="O104" s="606">
        <f t="shared" si="96"/>
        <v>774088.00499788567</v>
      </c>
      <c r="P104" s="606">
        <f t="shared" si="96"/>
        <v>768580.70315444749</v>
      </c>
      <c r="Q104" s="606">
        <f t="shared" si="96"/>
        <v>763073.47520724649</v>
      </c>
      <c r="R104" s="606">
        <f t="shared" si="96"/>
        <v>757566.32497428474</v>
      </c>
      <c r="S104" s="606">
        <f t="shared" si="96"/>
        <v>752059.25647082902</v>
      </c>
      <c r="T104" s="606">
        <f t="shared" si="96"/>
        <v>746552.27391960332</v>
      </c>
      <c r="U104" s="606">
        <f t="shared" si="96"/>
        <v>741045.38176150725</v>
      </c>
      <c r="V104" s="606">
        <f t="shared" si="96"/>
        <v>735538.58466688858</v>
      </c>
      <c r="W104" s="606">
        <f t="shared" si="96"/>
        <v>730031.88754739845</v>
      </c>
      <c r="X104" s="606">
        <f t="shared" si="96"/>
        <v>724525.29556845885</v>
      </c>
      <c r="Y104" s="606">
        <f t="shared" si="96"/>
        <v>718851.88288715784</v>
      </c>
      <c r="Z104" s="606">
        <f t="shared" si="96"/>
        <v>713178.58649168594</v>
      </c>
      <c r="AA104" s="606">
        <f t="shared" si="96"/>
        <v>707505.41239019122</v>
      </c>
      <c r="AB104" s="606">
        <f t="shared" si="96"/>
        <v>701832.36690124439</v>
      </c>
      <c r="AC104" s="606">
        <f t="shared" si="96"/>
        <v>696159.45666987891</v>
      </c>
      <c r="AD104" s="606">
        <f t="shared" si="96"/>
        <v>690486.6886844571</v>
      </c>
      <c r="AE104" s="606">
        <f t="shared" si="96"/>
        <v>684814.07029440999</v>
      </c>
      <c r="AF104" s="606">
        <f t="shared" si="96"/>
        <v>679141.60922889155</v>
      </c>
      <c r="AG104" s="606">
        <f t="shared" si="96"/>
        <v>673469.31361639884</v>
      </c>
      <c r="AH104" s="606">
        <f t="shared" si="96"/>
        <v>667797.19200540474</v>
      </c>
      <c r="AI104" s="643"/>
      <c r="AJ104" s="606">
        <f>AJ57+AJ63</f>
        <v>834656.37607689528</v>
      </c>
      <c r="AK104" s="606">
        <f t="shared" ref="AK104:BN104" si="97">AK57+AK63</f>
        <v>831918.73680114455</v>
      </c>
      <c r="AL104" s="606">
        <f t="shared" si="97"/>
        <v>829165.2349829973</v>
      </c>
      <c r="AM104" s="606">
        <f t="shared" si="97"/>
        <v>826411.77781671309</v>
      </c>
      <c r="AN104" s="606">
        <f t="shared" si="97"/>
        <v>823658.36760932265</v>
      </c>
      <c r="AO104" s="606">
        <f t="shared" si="97"/>
        <v>820905.00678705424</v>
      </c>
      <c r="AP104" s="606">
        <f t="shared" si="97"/>
        <v>818151.69790149236</v>
      </c>
      <c r="AQ104" s="606">
        <f t="shared" si="97"/>
        <v>815398.44363605441</v>
      </c>
      <c r="AR104" s="606">
        <f t="shared" si="97"/>
        <v>812645.24681280181</v>
      </c>
      <c r="AS104" s="606">
        <f t="shared" si="97"/>
        <v>809892.11039960373</v>
      </c>
      <c r="AT104" s="606">
        <f t="shared" si="97"/>
        <v>807139.03751767089</v>
      </c>
      <c r="AU104" s="606">
        <f t="shared" si="97"/>
        <v>804386.03144947707</v>
      </c>
      <c r="AV104" s="606">
        <f t="shared" si="97"/>
        <v>801633.09564709244</v>
      </c>
      <c r="AW104" s="606">
        <f t="shared" si="97"/>
        <v>798880.23374094523</v>
      </c>
      <c r="AX104" s="606">
        <f t="shared" si="97"/>
        <v>796127.44954903726</v>
      </c>
      <c r="AY104" s="606">
        <f t="shared" si="97"/>
        <v>793374.74708663521</v>
      </c>
      <c r="AZ104" s="606">
        <f t="shared" si="97"/>
        <v>790622.13057646342</v>
      </c>
      <c r="BA104" s="606">
        <f t="shared" si="97"/>
        <v>787869.60445942113</v>
      </c>
      <c r="BB104" s="606">
        <f t="shared" si="97"/>
        <v>785117.17340585624</v>
      </c>
      <c r="BC104" s="606">
        <f t="shared" si="97"/>
        <v>782364.8423274199</v>
      </c>
      <c r="BD104" s="606">
        <f t="shared" si="97"/>
        <v>779612.61638953385</v>
      </c>
      <c r="BE104" s="606">
        <f t="shared" si="97"/>
        <v>776777.03538689425</v>
      </c>
      <c r="BF104" s="606">
        <f t="shared" si="97"/>
        <v>773941.57067008398</v>
      </c>
      <c r="BG104" s="606">
        <f t="shared" si="97"/>
        <v>771106.22824725055</v>
      </c>
      <c r="BH104" s="606">
        <f t="shared" si="97"/>
        <v>768271.01443696523</v>
      </c>
      <c r="BI104" s="606">
        <f t="shared" si="97"/>
        <v>765435.93588426115</v>
      </c>
      <c r="BJ104" s="606">
        <f t="shared" si="97"/>
        <v>762600.99957750086</v>
      </c>
      <c r="BK104" s="606">
        <f t="shared" si="97"/>
        <v>759766.21286611503</v>
      </c>
      <c r="BL104" s="606">
        <f t="shared" si="97"/>
        <v>756931.58347925823</v>
      </c>
      <c r="BM104" s="606">
        <f t="shared" si="97"/>
        <v>754097.11954542692</v>
      </c>
      <c r="BN104" s="606">
        <f t="shared" si="97"/>
        <v>751262.82961309422</v>
      </c>
    </row>
    <row r="105" spans="1:66" outlineLevel="1">
      <c r="A105" s="167"/>
      <c r="B105" s="169" t="s">
        <v>262</v>
      </c>
      <c r="C105" s="165" t="s">
        <v>166</v>
      </c>
      <c r="D105" s="122">
        <f>'BTX Recycling HC'!C265</f>
        <v>0</v>
      </c>
      <c r="E105" s="122">
        <f>'BTX Recycling HC'!D265</f>
        <v>626.33546644359194</v>
      </c>
      <c r="F105" s="122">
        <f>'BTX Recycling HC'!E265</f>
        <v>1252.6709328871821</v>
      </c>
      <c r="G105" s="122">
        <f>'BTX Recycling HC'!F265</f>
        <v>1879.0063993307722</v>
      </c>
      <c r="H105" s="122">
        <f>'BTX Recycling HC'!G265</f>
        <v>2505.3418657743623</v>
      </c>
      <c r="I105" s="122">
        <f>'BTX Recycling HC'!H265</f>
        <v>3131.6773322179542</v>
      </c>
      <c r="J105" s="122">
        <f>'BTX Recycling HC'!I265</f>
        <v>3641.7940573345259</v>
      </c>
      <c r="K105" s="122">
        <f>'BTX Recycling HC'!J265</f>
        <v>4143.6431542940409</v>
      </c>
      <c r="L105" s="122">
        <f>'BTX Recycling HC'!K265</f>
        <v>4637.2246230964956</v>
      </c>
      <c r="M105" s="122">
        <f>'BTX Recycling HC'!L265</f>
        <v>5122.5384637419083</v>
      </c>
      <c r="N105" s="122">
        <f>'BTX Recycling HC'!M265</f>
        <v>5599.5846762302535</v>
      </c>
      <c r="O105" s="122">
        <f>'BTX Recycling HC'!N265</f>
        <v>6734.6762744386942</v>
      </c>
      <c r="P105" s="122">
        <f>'BTX Recycling HC'!O265</f>
        <v>7852.3422563776476</v>
      </c>
      <c r="Q105" s="122">
        <f>'BTX Recycling HC'!P265</f>
        <v>8952.5826220471135</v>
      </c>
      <c r="R105" s="122">
        <f>'BTX Recycling HC'!Q265</f>
        <v>10035.397371447096</v>
      </c>
      <c r="S105" s="122">
        <f>'BTX Recycling HC'!R265</f>
        <v>11100.786504577594</v>
      </c>
      <c r="T105" s="122">
        <f>'BTX Recycling HC'!S265</f>
        <v>12148.750021438602</v>
      </c>
      <c r="U105" s="122">
        <f>'BTX Recycling HC'!T265</f>
        <v>13179.287922030133</v>
      </c>
      <c r="V105" s="122">
        <f>'BTX Recycling HC'!U265</f>
        <v>14192.400206352169</v>
      </c>
      <c r="W105" s="122">
        <f>'BTX Recycling HC'!V265</f>
        <v>15188.086874404722</v>
      </c>
      <c r="X105" s="122">
        <f>'BTX Recycling HC'!W265</f>
        <v>16166.347926187784</v>
      </c>
      <c r="Y105" s="122">
        <f>'BTX Recycling HC'!X265</f>
        <v>17922.023999322475</v>
      </c>
      <c r="Z105" s="122">
        <f>'BTX Recycling HC'!Y265</f>
        <v>19648.543802770197</v>
      </c>
      <c r="AA105" s="122">
        <f>'BTX Recycling HC'!Z265</f>
        <v>21345.907336530945</v>
      </c>
      <c r="AB105" s="122">
        <f>'BTX Recycling HC'!AA265</f>
        <v>23014.11460060472</v>
      </c>
      <c r="AC105" s="122">
        <f>'BTX Recycling HC'!AB265</f>
        <v>24653.165594991537</v>
      </c>
      <c r="AD105" s="122">
        <f>'BTX Recycling HC'!AC265</f>
        <v>26253.746656417155</v>
      </c>
      <c r="AE105" s="122">
        <f>'BTX Recycling HC'!AD265</f>
        <v>27824.287924831944</v>
      </c>
      <c r="AF105" s="122">
        <f>'BTX Recycling HC'!AE265</f>
        <v>29364.789400235917</v>
      </c>
      <c r="AG105" s="122">
        <f>'BTX Recycling HC'!AF265</f>
        <v>30875.251082629082</v>
      </c>
      <c r="AH105" s="122">
        <f>'BTX Recycling HC'!AG265</f>
        <v>32355.672972011394</v>
      </c>
      <c r="AI105" s="191"/>
      <c r="AJ105" s="122">
        <f>D105</f>
        <v>0</v>
      </c>
      <c r="AK105" s="122">
        <f t="shared" ref="AK105:AZ107" si="98">E105</f>
        <v>626.33546644359194</v>
      </c>
      <c r="AL105" s="122">
        <f t="shared" si="98"/>
        <v>1252.6709328871821</v>
      </c>
      <c r="AM105" s="122">
        <f t="shared" si="98"/>
        <v>1879.0063993307722</v>
      </c>
      <c r="AN105" s="122">
        <f t="shared" si="98"/>
        <v>2505.3418657743623</v>
      </c>
      <c r="AO105" s="122">
        <f t="shared" si="98"/>
        <v>3131.6773322179542</v>
      </c>
      <c r="AP105" s="122">
        <f t="shared" si="98"/>
        <v>3641.7940573345259</v>
      </c>
      <c r="AQ105" s="122">
        <f t="shared" si="98"/>
        <v>4143.6431542940409</v>
      </c>
      <c r="AR105" s="122">
        <f t="shared" si="98"/>
        <v>4637.2246230964956</v>
      </c>
      <c r="AS105" s="122">
        <f t="shared" si="98"/>
        <v>5122.5384637419083</v>
      </c>
      <c r="AT105" s="122">
        <f t="shared" si="98"/>
        <v>5599.5846762302535</v>
      </c>
      <c r="AU105" s="122">
        <f t="shared" si="98"/>
        <v>6734.6762744386942</v>
      </c>
      <c r="AV105" s="122">
        <f t="shared" si="98"/>
        <v>7852.3422563776476</v>
      </c>
      <c r="AW105" s="122">
        <f t="shared" si="98"/>
        <v>8952.5826220471135</v>
      </c>
      <c r="AX105" s="122">
        <f t="shared" si="98"/>
        <v>10035.397371447096</v>
      </c>
      <c r="AY105" s="122">
        <f t="shared" si="98"/>
        <v>11100.786504577594</v>
      </c>
      <c r="AZ105" s="122">
        <f t="shared" si="98"/>
        <v>12148.750021438602</v>
      </c>
      <c r="BA105" s="122">
        <f t="shared" ref="BA105:BN107" si="99">U105</f>
        <v>13179.287922030133</v>
      </c>
      <c r="BB105" s="122">
        <f t="shared" si="99"/>
        <v>14192.400206352169</v>
      </c>
      <c r="BC105" s="122">
        <f t="shared" si="99"/>
        <v>15188.086874404722</v>
      </c>
      <c r="BD105" s="122">
        <f t="shared" si="99"/>
        <v>16166.347926187784</v>
      </c>
      <c r="BE105" s="122">
        <f t="shared" si="99"/>
        <v>17922.023999322475</v>
      </c>
      <c r="BF105" s="122">
        <f t="shared" si="99"/>
        <v>19648.543802770197</v>
      </c>
      <c r="BG105" s="122">
        <f t="shared" si="99"/>
        <v>21345.907336530945</v>
      </c>
      <c r="BH105" s="122">
        <f t="shared" si="99"/>
        <v>23014.11460060472</v>
      </c>
      <c r="BI105" s="122">
        <f t="shared" si="99"/>
        <v>24653.165594991537</v>
      </c>
      <c r="BJ105" s="122">
        <f t="shared" si="99"/>
        <v>26253.746656417155</v>
      </c>
      <c r="BK105" s="122">
        <f t="shared" si="99"/>
        <v>27824.287924831944</v>
      </c>
      <c r="BL105" s="122">
        <f t="shared" si="99"/>
        <v>29364.789400235917</v>
      </c>
      <c r="BM105" s="122">
        <f t="shared" si="99"/>
        <v>30875.251082629082</v>
      </c>
      <c r="BN105" s="122">
        <f t="shared" si="99"/>
        <v>32355.672972011394</v>
      </c>
    </row>
    <row r="106" spans="1:66" outlineLevel="1">
      <c r="A106"/>
      <c r="B106" t="s">
        <v>264</v>
      </c>
      <c r="C106" s="51" t="s">
        <v>166</v>
      </c>
      <c r="D106" s="101">
        <f>'BTX Recycling HC'!C104</f>
        <v>0</v>
      </c>
      <c r="E106" s="101">
        <f>'BTX Recycling HC'!D104</f>
        <v>153.02873671449106</v>
      </c>
      <c r="F106" s="101">
        <f>'BTX Recycling HC'!E104</f>
        <v>255.23197942409843</v>
      </c>
      <c r="G106" s="101">
        <f>'BTX Recycling HC'!F104</f>
        <v>369.69042115658431</v>
      </c>
      <c r="H106" s="101">
        <f>'BTX Recycling HC'!G104</f>
        <v>475.54148003280807</v>
      </c>
      <c r="I106" s="101">
        <f>'BTX Recycling HC'!H104</f>
        <v>572.90839290034182</v>
      </c>
      <c r="J106" s="101">
        <f>'BTX Recycling HC'!I104</f>
        <v>661.91439660677224</v>
      </c>
      <c r="K106" s="101">
        <f>'BTX Recycling HC'!J104</f>
        <v>742.68272799967508</v>
      </c>
      <c r="L106" s="101">
        <f>'BTX Recycling HC'!K104</f>
        <v>815.33662392663337</v>
      </c>
      <c r="M106" s="101">
        <f>'BTX Recycling HC'!L104</f>
        <v>879.99932123522831</v>
      </c>
      <c r="N106" s="101">
        <f>'BTX Recycling HC'!M104</f>
        <v>936.7940567730393</v>
      </c>
      <c r="O106" s="101">
        <f>'BTX Recycling HC'!N104</f>
        <v>1130.5499350795808</v>
      </c>
      <c r="P106" s="101">
        <f>'BTX Recycling HC'!O104</f>
        <v>1289.5434945711013</v>
      </c>
      <c r="Q106" s="101">
        <f>'BTX Recycling HC'!P104</f>
        <v>1414.4002232150951</v>
      </c>
      <c r="R106" s="101">
        <f>'BTX Recycling HC'!Q104</f>
        <v>1505.7456089790549</v>
      </c>
      <c r="S106" s="101">
        <f>'BTX Recycling HC'!R104</f>
        <v>1564.2051398304748</v>
      </c>
      <c r="T106" s="101">
        <f>'BTX Recycling HC'!S104</f>
        <v>1590.4043037368419</v>
      </c>
      <c r="U106" s="101">
        <f>'BTX Recycling HC'!T104</f>
        <v>1584.9685886656489</v>
      </c>
      <c r="V106" s="101">
        <f>'BTX Recycling HC'!U104</f>
        <v>1548.5234825843936</v>
      </c>
      <c r="W106" s="101">
        <f>'BTX Recycling HC'!V104</f>
        <v>1481.6944734605613</v>
      </c>
      <c r="X106" s="101">
        <f>'BTX Recycling HC'!W104</f>
        <v>1385.10704926165</v>
      </c>
      <c r="Y106" s="101">
        <f>'BTX Recycling HC'!X104</f>
        <v>1452.9735140440453</v>
      </c>
      <c r="Z106" s="101">
        <f>'BTX Recycling HC'!Y104</f>
        <v>1471.4170807668206</v>
      </c>
      <c r="AA106" s="101">
        <f>'BTX Recycling HC'!Z104</f>
        <v>1441.4508871538937</v>
      </c>
      <c r="AB106" s="101">
        <f>'BTX Recycling HC'!AA104</f>
        <v>1364.0880709291951</v>
      </c>
      <c r="AC106" s="101">
        <f>'BTX Recycling HC'!AB104</f>
        <v>1240.3417698166459</v>
      </c>
      <c r="AD106" s="101">
        <f>'BTX Recycling HC'!AC104</f>
        <v>1071.2251215401693</v>
      </c>
      <c r="AE106" s="101">
        <f>'BTX Recycling HC'!AD104</f>
        <v>857.75126382369399</v>
      </c>
      <c r="AF106" s="101">
        <f>'BTX Recycling HC'!AE104</f>
        <v>600.93333439113758</v>
      </c>
      <c r="AG106" s="101">
        <f>'BTX Recycling HC'!AF104</f>
        <v>301.78447096642503</v>
      </c>
      <c r="AH106" s="101">
        <f>'BTX Recycling HC'!AG104</f>
        <v>-38.68218872651687</v>
      </c>
      <c r="AI106" s="191"/>
      <c r="AJ106" s="122">
        <f t="shared" ref="AJ106:AJ107" si="100">D106</f>
        <v>0</v>
      </c>
      <c r="AK106" s="122">
        <f t="shared" si="98"/>
        <v>153.02873671449106</v>
      </c>
      <c r="AL106" s="122">
        <f t="shared" si="98"/>
        <v>255.23197942409843</v>
      </c>
      <c r="AM106" s="122">
        <f t="shared" si="98"/>
        <v>369.69042115658431</v>
      </c>
      <c r="AN106" s="122">
        <f t="shared" si="98"/>
        <v>475.54148003280807</v>
      </c>
      <c r="AO106" s="122">
        <f t="shared" si="98"/>
        <v>572.90839290034182</v>
      </c>
      <c r="AP106" s="122">
        <f t="shared" si="98"/>
        <v>661.91439660677224</v>
      </c>
      <c r="AQ106" s="122">
        <f t="shared" si="98"/>
        <v>742.68272799967508</v>
      </c>
      <c r="AR106" s="122">
        <f t="shared" si="98"/>
        <v>815.33662392663337</v>
      </c>
      <c r="AS106" s="122">
        <f t="shared" si="98"/>
        <v>879.99932123522831</v>
      </c>
      <c r="AT106" s="122">
        <f t="shared" si="98"/>
        <v>936.7940567730393</v>
      </c>
      <c r="AU106" s="122">
        <f t="shared" si="98"/>
        <v>1130.5499350795808</v>
      </c>
      <c r="AV106" s="122">
        <f t="shared" si="98"/>
        <v>1289.5434945711013</v>
      </c>
      <c r="AW106" s="122">
        <f t="shared" si="98"/>
        <v>1414.4002232150951</v>
      </c>
      <c r="AX106" s="122">
        <f t="shared" si="98"/>
        <v>1505.7456089790549</v>
      </c>
      <c r="AY106" s="122">
        <f t="shared" si="98"/>
        <v>1564.2051398304748</v>
      </c>
      <c r="AZ106" s="122">
        <f t="shared" si="98"/>
        <v>1590.4043037368419</v>
      </c>
      <c r="BA106" s="122">
        <f t="shared" si="99"/>
        <v>1584.9685886656489</v>
      </c>
      <c r="BB106" s="122">
        <f t="shared" si="99"/>
        <v>1548.5234825843936</v>
      </c>
      <c r="BC106" s="122">
        <f t="shared" si="99"/>
        <v>1481.6944734605613</v>
      </c>
      <c r="BD106" s="122">
        <f t="shared" si="99"/>
        <v>1385.10704926165</v>
      </c>
      <c r="BE106" s="122">
        <f t="shared" si="99"/>
        <v>1452.9735140440453</v>
      </c>
      <c r="BF106" s="122">
        <f t="shared" si="99"/>
        <v>1471.4170807668206</v>
      </c>
      <c r="BG106" s="122">
        <f t="shared" si="99"/>
        <v>1441.4508871538937</v>
      </c>
      <c r="BH106" s="122">
        <f t="shared" si="99"/>
        <v>1364.0880709291951</v>
      </c>
      <c r="BI106" s="122">
        <f t="shared" si="99"/>
        <v>1240.3417698166459</v>
      </c>
      <c r="BJ106" s="122">
        <f t="shared" si="99"/>
        <v>1071.2251215401693</v>
      </c>
      <c r="BK106" s="122">
        <f t="shared" si="99"/>
        <v>857.75126382369399</v>
      </c>
      <c r="BL106" s="122">
        <f t="shared" si="99"/>
        <v>600.93333439113758</v>
      </c>
      <c r="BM106" s="122">
        <f t="shared" si="99"/>
        <v>301.78447096642503</v>
      </c>
      <c r="BN106" s="122">
        <f t="shared" si="99"/>
        <v>-38.68218872651687</v>
      </c>
    </row>
    <row r="107" spans="1:66" outlineLevel="1">
      <c r="A107" s="169"/>
      <c r="B107" s="169" t="s">
        <v>265</v>
      </c>
      <c r="C107" s="165" t="s">
        <v>166</v>
      </c>
      <c r="D107" s="122">
        <f>'BTX Recycling HC'!C179</f>
        <v>0</v>
      </c>
      <c r="E107" s="122">
        <f>'BTX Recycling HC'!D179</f>
        <v>50.693898196398123</v>
      </c>
      <c r="F107" s="122">
        <f>'BTX Recycling HC'!E179</f>
        <v>100.0295010077858</v>
      </c>
      <c r="G107" s="122">
        <f>'BTX Recycling HC'!F179</f>
        <v>147.87009714125227</v>
      </c>
      <c r="H107" s="122">
        <f>'BTX Recycling HC'!G179</f>
        <v>194.07897530388701</v>
      </c>
      <c r="I107" s="122">
        <f>'BTX Recycling HC'!H179</f>
        <v>238.51942420277916</v>
      </c>
      <c r="J107" s="122">
        <f>'BTX Recycling HC'!I179</f>
        <v>281.05473254501828</v>
      </c>
      <c r="K107" s="122">
        <f>'BTX Recycling HC'!J179</f>
        <v>321.54818903769331</v>
      </c>
      <c r="L107" s="122">
        <f>'BTX Recycling HC'!K179</f>
        <v>359.86308238789411</v>
      </c>
      <c r="M107" s="122">
        <f>'BTX Recycling HC'!L179</f>
        <v>395.86270130270975</v>
      </c>
      <c r="N107" s="122">
        <f>'BTX Recycling HC'!M179</f>
        <v>429.4103344892294</v>
      </c>
      <c r="O107" s="122">
        <f>'BTX Recycling HC'!N179</f>
        <v>510.13849909399505</v>
      </c>
      <c r="P107" s="122">
        <f>'BTX Recycling HC'!O179</f>
        <v>585.82885894044387</v>
      </c>
      <c r="Q107" s="122">
        <f>'BTX Recycling HC'!P179</f>
        <v>653.22714603027771</v>
      </c>
      <c r="R107" s="122">
        <f>'BTX Recycling HC'!Q179</f>
        <v>714.54945439388689</v>
      </c>
      <c r="S107" s="122">
        <f>'BTX Recycling HC'!R179</f>
        <v>769.56421942421821</v>
      </c>
      <c r="T107" s="122">
        <f>'BTX Recycling HC'!S179</f>
        <v>818.04461001276798</v>
      </c>
      <c r="U107" s="122">
        <f>'BTX Recycling HC'!T179</f>
        <v>859.76859078897598</v>
      </c>
      <c r="V107" s="122">
        <f>'BTX Recycling HC'!U179</f>
        <v>894.51898435961937</v>
      </c>
      <c r="W107" s="122">
        <f>'BTX Recycling HC'!V179</f>
        <v>922.08353354820417</v>
      </c>
      <c r="X107" s="122">
        <f>'BTX Recycling HC'!W179</f>
        <v>942.25496363436343</v>
      </c>
      <c r="Y107" s="122">
        <f>'BTX Recycling HC'!X179</f>
        <v>999.41304910262863</v>
      </c>
      <c r="Z107" s="122">
        <f>'BTX Recycling HC'!Y179</f>
        <v>1044.340870802419</v>
      </c>
      <c r="AA107" s="122">
        <f>'BTX Recycling HC'!Z179</f>
        <v>1065.6335415012863</v>
      </c>
      <c r="AB107" s="122">
        <f>'BTX Recycling HC'!AA179</f>
        <v>1073.4226025796038</v>
      </c>
      <c r="AC107" s="122">
        <f>'BTX Recycling HC'!AB179</f>
        <v>1067.7223403900446</v>
      </c>
      <c r="AD107" s="122">
        <f>'BTX Recycling HC'!AC179</f>
        <v>1048.5836500194375</v>
      </c>
      <c r="AE107" s="122">
        <f>'BTX Recycling HC'!AD179</f>
        <v>1016.0948163236484</v>
      </c>
      <c r="AF107" s="122">
        <f>'BTX Recycling HC'!AE179</f>
        <v>970.38229496245719</v>
      </c>
      <c r="AG107" s="122">
        <f>'BTX Recycling HC'!AF179</f>
        <v>911.61149343443333</v>
      </c>
      <c r="AH107" s="122">
        <f>'BTX Recycling HC'!AG179</f>
        <v>839.98755211181845</v>
      </c>
      <c r="AI107" s="191"/>
      <c r="AJ107" s="122">
        <f t="shared" si="100"/>
        <v>0</v>
      </c>
      <c r="AK107" s="122">
        <f t="shared" si="98"/>
        <v>50.693898196398123</v>
      </c>
      <c r="AL107" s="122">
        <f t="shared" si="98"/>
        <v>100.0295010077858</v>
      </c>
      <c r="AM107" s="122">
        <f t="shared" si="98"/>
        <v>147.87009714125227</v>
      </c>
      <c r="AN107" s="122">
        <f t="shared" si="98"/>
        <v>194.07897530388701</v>
      </c>
      <c r="AO107" s="122">
        <f t="shared" si="98"/>
        <v>238.51942420277916</v>
      </c>
      <c r="AP107" s="122">
        <f t="shared" si="98"/>
        <v>281.05473254501828</v>
      </c>
      <c r="AQ107" s="122">
        <f t="shared" si="98"/>
        <v>321.54818903769331</v>
      </c>
      <c r="AR107" s="122">
        <f t="shared" si="98"/>
        <v>359.86308238789411</v>
      </c>
      <c r="AS107" s="122">
        <f t="shared" si="98"/>
        <v>395.86270130270975</v>
      </c>
      <c r="AT107" s="122">
        <f t="shared" si="98"/>
        <v>429.4103344892294</v>
      </c>
      <c r="AU107" s="122">
        <f t="shared" si="98"/>
        <v>510.13849909399505</v>
      </c>
      <c r="AV107" s="122">
        <f t="shared" si="98"/>
        <v>585.82885894044387</v>
      </c>
      <c r="AW107" s="122">
        <f t="shared" si="98"/>
        <v>653.22714603027771</v>
      </c>
      <c r="AX107" s="122">
        <f t="shared" si="98"/>
        <v>714.54945439388689</v>
      </c>
      <c r="AY107" s="122">
        <f t="shared" si="98"/>
        <v>769.56421942421821</v>
      </c>
      <c r="AZ107" s="122">
        <f t="shared" si="98"/>
        <v>818.04461001276798</v>
      </c>
      <c r="BA107" s="122">
        <f t="shared" si="99"/>
        <v>859.76859078897598</v>
      </c>
      <c r="BB107" s="122">
        <f t="shared" si="99"/>
        <v>894.51898435961937</v>
      </c>
      <c r="BC107" s="122">
        <f t="shared" si="99"/>
        <v>922.08353354820417</v>
      </c>
      <c r="BD107" s="122">
        <f t="shared" si="99"/>
        <v>942.25496363436343</v>
      </c>
      <c r="BE107" s="122">
        <f t="shared" si="99"/>
        <v>999.41304910262863</v>
      </c>
      <c r="BF107" s="122">
        <f t="shared" si="99"/>
        <v>1044.340870802419</v>
      </c>
      <c r="BG107" s="122">
        <f t="shared" si="99"/>
        <v>1065.6335415012863</v>
      </c>
      <c r="BH107" s="122">
        <f t="shared" si="99"/>
        <v>1073.4226025796038</v>
      </c>
      <c r="BI107" s="122">
        <f t="shared" si="99"/>
        <v>1067.7223403900446</v>
      </c>
      <c r="BJ107" s="122">
        <f t="shared" si="99"/>
        <v>1048.5836500194375</v>
      </c>
      <c r="BK107" s="122">
        <f t="shared" si="99"/>
        <v>1016.0948163236484</v>
      </c>
      <c r="BL107" s="122">
        <f t="shared" si="99"/>
        <v>970.38229496245719</v>
      </c>
      <c r="BM107" s="122">
        <f t="shared" si="99"/>
        <v>911.61149343443333</v>
      </c>
      <c r="BN107" s="122">
        <f t="shared" si="99"/>
        <v>839.98755211181845</v>
      </c>
    </row>
    <row r="108" spans="1:66" outlineLevel="1">
      <c r="A108" s="169"/>
      <c r="B108" s="169" t="s">
        <v>266</v>
      </c>
      <c r="C108" s="165" t="s">
        <v>166</v>
      </c>
      <c r="D108" s="122">
        <f>'BTX Recycling HC'!C231</f>
        <v>0</v>
      </c>
      <c r="E108" s="122">
        <f>'BTX Recycling HC'!D231</f>
        <v>-481.97098057427434</v>
      </c>
      <c r="F108" s="122">
        <f>'BTX Recycling HC'!E231</f>
        <v>-185.1196565541004</v>
      </c>
      <c r="G108" s="122">
        <f>'BTX Recycling HC'!F231</f>
        <v>137.6396339818416</v>
      </c>
      <c r="H108" s="122">
        <f>'BTX Recycling HC'!G231</f>
        <v>487.11271391843638</v>
      </c>
      <c r="I108" s="122">
        <f>'BTX Recycling HC'!H231</f>
        <v>864.1054061405689</v>
      </c>
      <c r="J108" s="122">
        <f>'BTX Recycling HC'!I231</f>
        <v>1171.4204804110777</v>
      </c>
      <c r="K108" s="122">
        <f>'BTX Recycling HC'!J231</f>
        <v>1481.0178407162166</v>
      </c>
      <c r="L108" s="122">
        <f>'BTX Recycling HC'!K231</f>
        <v>1790.9281425377158</v>
      </c>
      <c r="M108" s="122">
        <f>'BTX Recycling HC'!L231</f>
        <v>2099.0824416487303</v>
      </c>
      <c r="N108" s="122">
        <f>'BTX Recycling HC'!M231</f>
        <v>2403.3121941138502</v>
      </c>
      <c r="O108" s="122">
        <f>'BTX Recycling HC'!N231</f>
        <v>2849.9759592805981</v>
      </c>
      <c r="P108" s="122">
        <f>'BTX Recycling HC'!O231</f>
        <v>3297.8230819008563</v>
      </c>
      <c r="Q108" s="122">
        <f>'BTX Recycling HC'!P231</f>
        <v>3742.5718873204792</v>
      </c>
      <c r="R108" s="122">
        <f>'BTX Recycling HC'!Q231</f>
        <v>4179.7307753457189</v>
      </c>
      <c r="S108" s="122">
        <f>'BTX Recycling HC'!R231</f>
        <v>4604.5982202432169</v>
      </c>
      <c r="T108" s="122">
        <f>'BTX Recycling HC'!S231</f>
        <v>5107.5840517914239</v>
      </c>
      <c r="U108" s="122">
        <f>'BTX Recycling HC'!T231</f>
        <v>5608.7542711408878</v>
      </c>
      <c r="V108" s="122">
        <f>'BTX Recycling HC'!U231</f>
        <v>6104.693262939787</v>
      </c>
      <c r="W108" s="122">
        <f>'BTX Recycling HC'!V231</f>
        <v>6591.8373090284276</v>
      </c>
      <c r="X108" s="122">
        <f>'BTX Recycling HC'!W231</f>
        <v>7066.4745884392287</v>
      </c>
      <c r="Y108" s="122">
        <f>'BTX Recycling HC'!X231</f>
        <v>7761.5053524977357</v>
      </c>
      <c r="Z108" s="122">
        <f>'BTX Recycling HC'!Y231</f>
        <v>8440.3352551780044</v>
      </c>
      <c r="AA108" s="122">
        <f>'BTX Recycling HC'!Z231</f>
        <v>9096.6534882529704</v>
      </c>
      <c r="AB108" s="122">
        <f>'BTX Recycling HC'!AA231</f>
        <v>9723.9014401845525</v>
      </c>
      <c r="AC108" s="122">
        <f>'BTX Recycling HC'!AB231</f>
        <v>10315.27269612368</v>
      </c>
      <c r="AD108" s="122">
        <f>'BTX Recycling HC'!AC231</f>
        <v>10736.393463310727</v>
      </c>
      <c r="AE108" s="122">
        <f>'BTX Recycling HC'!AD231</f>
        <v>11083.911476271434</v>
      </c>
      <c r="AF108" s="122">
        <f>'BTX Recycling HC'!AE231</f>
        <v>11348.440995427005</v>
      </c>
      <c r="AG108" s="122">
        <f>'BTX Recycling HC'!AF231</f>
        <v>11520.297325828016</v>
      </c>
      <c r="AH108" s="122">
        <f>'BTX Recycling HC'!AG231</f>
        <v>11589.496817154444</v>
      </c>
      <c r="AI108" s="191"/>
      <c r="AJ108" s="122">
        <f t="shared" ref="AJ108" si="101">D108</f>
        <v>0</v>
      </c>
      <c r="AK108" s="122">
        <f t="shared" ref="AK108" si="102">E108</f>
        <v>-481.97098057427434</v>
      </c>
      <c r="AL108" s="122">
        <f t="shared" ref="AL108" si="103">F108</f>
        <v>-185.1196565541004</v>
      </c>
      <c r="AM108" s="122">
        <f t="shared" ref="AM108" si="104">G108</f>
        <v>137.6396339818416</v>
      </c>
      <c r="AN108" s="122">
        <f t="shared" ref="AN108" si="105">H108</f>
        <v>487.11271391843638</v>
      </c>
      <c r="AO108" s="122">
        <f t="shared" ref="AO108" si="106">I108</f>
        <v>864.1054061405689</v>
      </c>
      <c r="AP108" s="122">
        <f t="shared" ref="AP108" si="107">J108</f>
        <v>1171.4204804110777</v>
      </c>
      <c r="AQ108" s="122">
        <f t="shared" ref="AQ108" si="108">K108</f>
        <v>1481.0178407162166</v>
      </c>
      <c r="AR108" s="122">
        <f t="shared" ref="AR108" si="109">L108</f>
        <v>1790.9281425377158</v>
      </c>
      <c r="AS108" s="122">
        <f t="shared" ref="AS108" si="110">M108</f>
        <v>2099.0824416487303</v>
      </c>
      <c r="AT108" s="122">
        <f t="shared" ref="AT108" si="111">N108</f>
        <v>2403.3121941138502</v>
      </c>
      <c r="AU108" s="122">
        <f t="shared" ref="AU108" si="112">O108</f>
        <v>2849.9759592805981</v>
      </c>
      <c r="AV108" s="122">
        <f t="shared" ref="AV108" si="113">P108</f>
        <v>3297.8230819008563</v>
      </c>
      <c r="AW108" s="122">
        <f t="shared" ref="AW108" si="114">Q108</f>
        <v>3742.5718873204792</v>
      </c>
      <c r="AX108" s="122">
        <f t="shared" ref="AX108" si="115">R108</f>
        <v>4179.7307753457189</v>
      </c>
      <c r="AY108" s="122">
        <f t="shared" ref="AY108" si="116">S108</f>
        <v>4604.5982202432169</v>
      </c>
      <c r="AZ108" s="122">
        <f t="shared" ref="AZ108" si="117">T108</f>
        <v>5107.5840517914239</v>
      </c>
      <c r="BA108" s="122">
        <f t="shared" ref="BA108" si="118">U108</f>
        <v>5608.7542711408878</v>
      </c>
      <c r="BB108" s="122">
        <f t="shared" ref="BB108" si="119">V108</f>
        <v>6104.693262939787</v>
      </c>
      <c r="BC108" s="122">
        <f t="shared" ref="BC108" si="120">W108</f>
        <v>6591.8373090284276</v>
      </c>
      <c r="BD108" s="122">
        <f t="shared" ref="BD108" si="121">X108</f>
        <v>7066.4745884392287</v>
      </c>
      <c r="BE108" s="122">
        <f t="shared" ref="BE108" si="122">Y108</f>
        <v>7761.5053524977357</v>
      </c>
      <c r="BF108" s="122">
        <f t="shared" ref="BF108" si="123">Z108</f>
        <v>8440.3352551780044</v>
      </c>
      <c r="BG108" s="122">
        <f t="shared" ref="BG108" si="124">AA108</f>
        <v>9096.6534882529704</v>
      </c>
      <c r="BH108" s="122">
        <f t="shared" ref="BH108" si="125">AB108</f>
        <v>9723.9014401845525</v>
      </c>
      <c r="BI108" s="122">
        <f t="shared" ref="BI108" si="126">AC108</f>
        <v>10315.27269612368</v>
      </c>
      <c r="BJ108" s="122">
        <f t="shared" ref="BJ108" si="127">AD108</f>
        <v>10736.393463310727</v>
      </c>
      <c r="BK108" s="122">
        <f t="shared" ref="BK108" si="128">AE108</f>
        <v>11083.911476271434</v>
      </c>
      <c r="BL108" s="122">
        <f t="shared" ref="BL108" si="129">AF108</f>
        <v>11348.440995427005</v>
      </c>
      <c r="BM108" s="122">
        <f t="shared" ref="BM108" si="130">AG108</f>
        <v>11520.297325828016</v>
      </c>
      <c r="BN108" s="122">
        <f t="shared" ref="BN108" si="131">AH108</f>
        <v>11589.496817154444</v>
      </c>
    </row>
    <row r="109" spans="1:66" outlineLevel="1">
      <c r="A109" s="167"/>
      <c r="B109" s="224" t="s">
        <v>263</v>
      </c>
      <c r="C109" s="168" t="s">
        <v>166</v>
      </c>
      <c r="D109" s="620">
        <f>D104-D105-D106-D107-D108</f>
        <v>834656.37607689528</v>
      </c>
      <c r="E109" s="620">
        <f t="shared" ref="E109:AH109" si="132">E104-E105-E106-E107-E108</f>
        <v>828816.28363931039</v>
      </c>
      <c r="F109" s="620">
        <f t="shared" si="132"/>
        <v>822233.69014412479</v>
      </c>
      <c r="G109" s="620">
        <f t="shared" si="132"/>
        <v>815614.47314194124</v>
      </c>
      <c r="H109" s="620">
        <f t="shared" si="132"/>
        <v>808978.82841007819</v>
      </c>
      <c r="I109" s="620">
        <f t="shared" si="132"/>
        <v>802325.96602632396</v>
      </c>
      <c r="J109" s="620">
        <f t="shared" si="132"/>
        <v>795869.31798827252</v>
      </c>
      <c r="K109" s="620">
        <f t="shared" si="132"/>
        <v>789428.98943663063</v>
      </c>
      <c r="L109" s="620">
        <f t="shared" si="132"/>
        <v>783006.96601242281</v>
      </c>
      <c r="M109" s="620">
        <f t="shared" si="132"/>
        <v>776605.33310219145</v>
      </c>
      <c r="N109" s="620">
        <f t="shared" si="132"/>
        <v>770226.27584552695</v>
      </c>
      <c r="O109" s="620">
        <f t="shared" si="132"/>
        <v>762862.66432999284</v>
      </c>
      <c r="P109" s="620">
        <f t="shared" si="132"/>
        <v>755555.16546265746</v>
      </c>
      <c r="Q109" s="620">
        <f t="shared" si="132"/>
        <v>748310.69332863344</v>
      </c>
      <c r="R109" s="620">
        <f t="shared" si="132"/>
        <v>741130.90176411904</v>
      </c>
      <c r="S109" s="620">
        <f t="shared" si="132"/>
        <v>734020.10238675342</v>
      </c>
      <c r="T109" s="620">
        <f t="shared" si="132"/>
        <v>726887.49093262362</v>
      </c>
      <c r="U109" s="620">
        <f t="shared" si="132"/>
        <v>719812.60238888173</v>
      </c>
      <c r="V109" s="620">
        <f t="shared" si="132"/>
        <v>712798.44873065269</v>
      </c>
      <c r="W109" s="620">
        <f t="shared" si="132"/>
        <v>705848.18535695667</v>
      </c>
      <c r="X109" s="620">
        <f t="shared" si="132"/>
        <v>698965.11104093574</v>
      </c>
      <c r="Y109" s="620">
        <f t="shared" si="132"/>
        <v>690715.966972191</v>
      </c>
      <c r="Z109" s="620">
        <f t="shared" si="132"/>
        <v>682573.94948216842</v>
      </c>
      <c r="AA109" s="620">
        <f t="shared" si="132"/>
        <v>674555.76713675214</v>
      </c>
      <c r="AB109" s="620">
        <f t="shared" si="132"/>
        <v>666656.84018694633</v>
      </c>
      <c r="AC109" s="620">
        <f t="shared" si="132"/>
        <v>658882.9542685569</v>
      </c>
      <c r="AD109" s="620">
        <f t="shared" si="132"/>
        <v>651376.73979316955</v>
      </c>
      <c r="AE109" s="620">
        <f t="shared" si="132"/>
        <v>644032.02481315925</v>
      </c>
      <c r="AF109" s="620">
        <f t="shared" si="132"/>
        <v>636857.06320387521</v>
      </c>
      <c r="AG109" s="620">
        <f t="shared" si="132"/>
        <v>629860.36924354092</v>
      </c>
      <c r="AH109" s="620">
        <f t="shared" si="132"/>
        <v>623050.71685285354</v>
      </c>
      <c r="AI109" s="191"/>
      <c r="AJ109" s="620">
        <f>AJ104-AJ105-AJ106-AJ107-AJ108</f>
        <v>834656.37607689528</v>
      </c>
      <c r="AK109" s="620">
        <f t="shared" ref="AK109:BN109" si="133">AK104-AK105-AK106-AK107-AK108</f>
        <v>831570.64968036429</v>
      </c>
      <c r="AL109" s="620">
        <f t="shared" si="133"/>
        <v>827742.42222623224</v>
      </c>
      <c r="AM109" s="620">
        <f t="shared" si="133"/>
        <v>823877.5712651026</v>
      </c>
      <c r="AN109" s="620">
        <f t="shared" si="133"/>
        <v>819996.2925742931</v>
      </c>
      <c r="AO109" s="620">
        <f t="shared" si="133"/>
        <v>816097.79623159266</v>
      </c>
      <c r="AP109" s="620">
        <f t="shared" si="133"/>
        <v>812395.514234595</v>
      </c>
      <c r="AQ109" s="620">
        <f t="shared" si="133"/>
        <v>808709.55172400689</v>
      </c>
      <c r="AR109" s="620">
        <f t="shared" si="133"/>
        <v>805041.89434085297</v>
      </c>
      <c r="AS109" s="620">
        <f t="shared" si="133"/>
        <v>801394.62747167516</v>
      </c>
      <c r="AT109" s="620">
        <f t="shared" si="133"/>
        <v>797769.93625606457</v>
      </c>
      <c r="AU109" s="620">
        <f t="shared" si="133"/>
        <v>793160.69078158424</v>
      </c>
      <c r="AV109" s="620">
        <f t="shared" si="133"/>
        <v>788607.55795530241</v>
      </c>
      <c r="AW109" s="620">
        <f t="shared" si="133"/>
        <v>784117.45186233218</v>
      </c>
      <c r="AX109" s="620">
        <f t="shared" si="133"/>
        <v>779692.02633887157</v>
      </c>
      <c r="AY109" s="620">
        <f t="shared" si="133"/>
        <v>775335.59300255962</v>
      </c>
      <c r="AZ109" s="620">
        <f t="shared" si="133"/>
        <v>770957.34758948372</v>
      </c>
      <c r="BA109" s="620">
        <f t="shared" si="133"/>
        <v>766636.82508679561</v>
      </c>
      <c r="BB109" s="620">
        <f t="shared" si="133"/>
        <v>762377.03746962035</v>
      </c>
      <c r="BC109" s="620">
        <f t="shared" si="133"/>
        <v>758181.14013697812</v>
      </c>
      <c r="BD109" s="620">
        <f t="shared" si="133"/>
        <v>754052.43186201074</v>
      </c>
      <c r="BE109" s="620">
        <f t="shared" si="133"/>
        <v>748641.11947192741</v>
      </c>
      <c r="BF109" s="620">
        <f t="shared" si="133"/>
        <v>743336.93366056646</v>
      </c>
      <c r="BG109" s="620">
        <f t="shared" si="133"/>
        <v>738156.58299381146</v>
      </c>
      <c r="BH109" s="620">
        <f t="shared" si="133"/>
        <v>733095.48772266717</v>
      </c>
      <c r="BI109" s="620">
        <f t="shared" si="133"/>
        <v>728159.43348293914</v>
      </c>
      <c r="BJ109" s="620">
        <f t="shared" si="133"/>
        <v>723491.05068621342</v>
      </c>
      <c r="BK109" s="620">
        <f t="shared" si="133"/>
        <v>718984.1673848643</v>
      </c>
      <c r="BL109" s="620">
        <f t="shared" si="133"/>
        <v>714647.03745424189</v>
      </c>
      <c r="BM109" s="620">
        <f t="shared" si="133"/>
        <v>710488.175172569</v>
      </c>
      <c r="BN109" s="620">
        <f t="shared" si="133"/>
        <v>706516.35446054302</v>
      </c>
    </row>
    <row r="110" spans="1:66" s="62" customFormat="1" outlineLevel="1">
      <c r="A110" s="684"/>
      <c r="B110" s="55" t="s">
        <v>88</v>
      </c>
      <c r="C110" s="56" t="s">
        <v>166</v>
      </c>
      <c r="D110" s="639">
        <f>D58+D64-'Overall recycling rates'!$G$60/SUM('Overall recycling rates'!$G$60:$G$62)*('BTX Recycling HC'!C180+'BTX Recycling HC'!C232+'BTX Recycling HC'!C266+'BTX Recycling HC'!C105)-'Overall recycling rates'!$E$60/SUM('Overall recycling rates'!$E$60:$E$62)*('BTX Recycling HC'!C181+'BTX Recycling HC'!C233+'BTX Recycling HC'!C267+'BTX Recycling HC'!C106)-'Overall recycling rates'!$H$60/SUM('Overall recycling rates'!$H$60:$H$62)*('BTX Recycling HC'!C182+'BTX Recycling HC'!C234+'BTX Recycling HC'!C268+'BTX Recycling HC'!C107)-'Overall recycling rates'!$I$60/SUM('Overall recycling rates'!$I$60:$I$62)*('BTX Recycling HC'!C183+'BTX Recycling HC'!C235+'BTX Recycling HC'!C269+'BTX Recycling HC'!C108)</f>
        <v>721970.81051218696</v>
      </c>
      <c r="E110" s="639">
        <f>E58+E64-'Overall recycling rates'!$G$60/SUM('Overall recycling rates'!$G$60:$G$62)*('BTX Recycling HC'!D180+'BTX Recycling HC'!D232+'BTX Recycling HC'!D266+'BTX Recycling HC'!D105)-'Overall recycling rates'!$E$60/SUM('Overall recycling rates'!$E$60:$E$62)*('BTX Recycling HC'!D181+'BTX Recycling HC'!D233+'BTX Recycling HC'!D267+'BTX Recycling HC'!D106)-'Overall recycling rates'!$H$60/SUM('Overall recycling rates'!$H$60:$H$62)*('BTX Recycling HC'!D182+'BTX Recycling HC'!D234+'BTX Recycling HC'!D268+'BTX Recycling HC'!D107)-'Overall recycling rates'!$I$60/SUM('Overall recycling rates'!$I$60:$I$62)*('BTX Recycling HC'!D183+'BTX Recycling HC'!D235+'BTX Recycling HC'!D269+'BTX Recycling HC'!D108)</f>
        <v>716669.62873423612</v>
      </c>
      <c r="F110" s="639">
        <f>F58+F64-'Overall recycling rates'!$G$60/SUM('Overall recycling rates'!$G$60:$G$62)*('BTX Recycling HC'!E180+'BTX Recycling HC'!E232+'BTX Recycling HC'!E266+'BTX Recycling HC'!E105)-'Overall recycling rates'!$E$60/SUM('Overall recycling rates'!$E$60:$E$62)*('BTX Recycling HC'!E181+'BTX Recycling HC'!E233+'BTX Recycling HC'!E267+'BTX Recycling HC'!E106)-'Overall recycling rates'!$H$60/SUM('Overall recycling rates'!$H$60:$H$62)*('BTX Recycling HC'!E182+'BTX Recycling HC'!E234+'BTX Recycling HC'!E268+'BTX Recycling HC'!E107)-'Overall recycling rates'!$I$60/SUM('Overall recycling rates'!$I$60:$I$62)*('BTX Recycling HC'!E183+'BTX Recycling HC'!E235+'BTX Recycling HC'!E269+'BTX Recycling HC'!E108)</f>
        <v>711360.29750496976</v>
      </c>
      <c r="G110" s="639">
        <f>G58+G64-'Overall recycling rates'!$G$60/SUM('Overall recycling rates'!$G$60:$G$62)*('BTX Recycling HC'!F180+'BTX Recycling HC'!F232+'BTX Recycling HC'!F266+'BTX Recycling HC'!F105)-'Overall recycling rates'!$E$60/SUM('Overall recycling rates'!$E$60:$E$62)*('BTX Recycling HC'!F181+'BTX Recycling HC'!F233+'BTX Recycling HC'!F267+'BTX Recycling HC'!F106)-'Overall recycling rates'!$H$60/SUM('Overall recycling rates'!$H$60:$H$62)*('BTX Recycling HC'!F182+'BTX Recycling HC'!F234+'BTX Recycling HC'!F268+'BTX Recycling HC'!F107)-'Overall recycling rates'!$I$60/SUM('Overall recycling rates'!$I$60:$I$62)*('BTX Recycling HC'!F183+'BTX Recycling HC'!F235+'BTX Recycling HC'!F269+'BTX Recycling HC'!F108)</f>
        <v>706050.07002035645</v>
      </c>
      <c r="H110" s="639">
        <f>H58+H64-'Overall recycling rates'!$G$60/SUM('Overall recycling rates'!$G$60:$G$62)*('BTX Recycling HC'!G180+'BTX Recycling HC'!G232+'BTX Recycling HC'!G266+'BTX Recycling HC'!G105)-'Overall recycling rates'!$E$60/SUM('Overall recycling rates'!$E$60:$E$62)*('BTX Recycling HC'!G181+'BTX Recycling HC'!G233+'BTX Recycling HC'!G267+'BTX Recycling HC'!G106)-'Overall recycling rates'!$H$60/SUM('Overall recycling rates'!$H$60:$H$62)*('BTX Recycling HC'!G182+'BTX Recycling HC'!G234+'BTX Recycling HC'!G268+'BTX Recycling HC'!G107)-'Overall recycling rates'!$I$60/SUM('Overall recycling rates'!$I$60:$I$62)*('BTX Recycling HC'!G183+'BTX Recycling HC'!G235+'BTX Recycling HC'!G269+'BTX Recycling HC'!G108)</f>
        <v>700739.61904961651</v>
      </c>
      <c r="I110" s="639">
        <f>I58+I64-'Overall recycling rates'!$G$60/SUM('Overall recycling rates'!$G$60:$G$62)*('BTX Recycling HC'!H180+'BTX Recycling HC'!H232+'BTX Recycling HC'!H266+'BTX Recycling HC'!H105)-'Overall recycling rates'!$E$60/SUM('Overall recycling rates'!$E$60:$E$62)*('BTX Recycling HC'!H181+'BTX Recycling HC'!H233+'BTX Recycling HC'!H267+'BTX Recycling HC'!H106)-'Overall recycling rates'!$H$60/SUM('Overall recycling rates'!$H$60:$H$62)*('BTX Recycling HC'!H182+'BTX Recycling HC'!H234+'BTX Recycling HC'!H268+'BTX Recycling HC'!H107)-'Overall recycling rates'!$I$60/SUM('Overall recycling rates'!$I$60:$I$62)*('BTX Recycling HC'!H183+'BTX Recycling HC'!H235+'BTX Recycling HC'!H269+'BTX Recycling HC'!H108)</f>
        <v>695429.29584225663</v>
      </c>
      <c r="J110" s="639">
        <f>J58+J64-'Overall recycling rates'!$G$60/SUM('Overall recycling rates'!$G$60:$G$62)*('BTX Recycling HC'!I180+'BTX Recycling HC'!I232+'BTX Recycling HC'!I266+'BTX Recycling HC'!I105)-'Overall recycling rates'!$E$60/SUM('Overall recycling rates'!$E$60:$E$62)*('BTX Recycling HC'!I181+'BTX Recycling HC'!I233+'BTX Recycling HC'!I267+'BTX Recycling HC'!I106)-'Overall recycling rates'!$H$60/SUM('Overall recycling rates'!$H$60:$H$62)*('BTX Recycling HC'!I182+'BTX Recycling HC'!I234+'BTX Recycling HC'!I268+'BTX Recycling HC'!I107)-'Overall recycling rates'!$I$60/SUM('Overall recycling rates'!$I$60:$I$62)*('BTX Recycling HC'!I183+'BTX Recycling HC'!I235+'BTX Recycling HC'!I269+'BTX Recycling HC'!I108)</f>
        <v>690195.80502833705</v>
      </c>
      <c r="K110" s="639">
        <f>K58+K64-'Overall recycling rates'!$G$60/SUM('Overall recycling rates'!$G$60:$G$62)*('BTX Recycling HC'!J180+'BTX Recycling HC'!J232+'BTX Recycling HC'!J266+'BTX Recycling HC'!J105)-'Overall recycling rates'!$E$60/SUM('Overall recycling rates'!$E$60:$E$62)*('BTX Recycling HC'!J181+'BTX Recycling HC'!J233+'BTX Recycling HC'!J267+'BTX Recycling HC'!J106)-'Overall recycling rates'!$H$60/SUM('Overall recycling rates'!$H$60:$H$62)*('BTX Recycling HC'!J182+'BTX Recycling HC'!J234+'BTX Recycling HC'!J268+'BTX Recycling HC'!J107)-'Overall recycling rates'!$I$60/SUM('Overall recycling rates'!$I$60:$I$62)*('BTX Recycling HC'!J183+'BTX Recycling HC'!J235+'BTX Recycling HC'!J269+'BTX Recycling HC'!J108)</f>
        <v>684968.54729348747</v>
      </c>
      <c r="L110" s="639">
        <f>L58+L64-'Overall recycling rates'!$G$60/SUM('Overall recycling rates'!$G$60:$G$62)*('BTX Recycling HC'!K180+'BTX Recycling HC'!K232+'BTX Recycling HC'!K266+'BTX Recycling HC'!K105)-'Overall recycling rates'!$E$60/SUM('Overall recycling rates'!$E$60:$E$62)*('BTX Recycling HC'!K181+'BTX Recycling HC'!K233+'BTX Recycling HC'!K267+'BTX Recycling HC'!K106)-'Overall recycling rates'!$H$60/SUM('Overall recycling rates'!$H$60:$H$62)*('BTX Recycling HC'!K182+'BTX Recycling HC'!K234+'BTX Recycling HC'!K268+'BTX Recycling HC'!K107)-'Overall recycling rates'!$I$60/SUM('Overall recycling rates'!$I$60:$I$62)*('BTX Recycling HC'!K183+'BTX Recycling HC'!K235+'BTX Recycling HC'!K269+'BTX Recycling HC'!K108)</f>
        <v>679747.84388252185</v>
      </c>
      <c r="M110" s="639">
        <f>M58+M64-'Overall recycling rates'!$G$60/SUM('Overall recycling rates'!$G$60:$G$62)*('BTX Recycling HC'!L180+'BTX Recycling HC'!L232+'BTX Recycling HC'!L266+'BTX Recycling HC'!L105)-'Overall recycling rates'!$E$60/SUM('Overall recycling rates'!$E$60:$E$62)*('BTX Recycling HC'!L181+'BTX Recycling HC'!L233+'BTX Recycling HC'!L267+'BTX Recycling HC'!L106)-'Overall recycling rates'!$H$60/SUM('Overall recycling rates'!$H$60:$H$62)*('BTX Recycling HC'!L182+'BTX Recycling HC'!L234+'BTX Recycling HC'!L268+'BTX Recycling HC'!L107)-'Overall recycling rates'!$I$60/SUM('Overall recycling rates'!$I$60:$I$62)*('BTX Recycling HC'!L183+'BTX Recycling HC'!L235+'BTX Recycling HC'!L269+'BTX Recycling HC'!L108)</f>
        <v>674534.0060238298</v>
      </c>
      <c r="N110" s="639">
        <f>N58+N64-'Overall recycling rates'!$G$60/SUM('Overall recycling rates'!$G$60:$G$62)*('BTX Recycling HC'!M180+'BTX Recycling HC'!M232+'BTX Recycling HC'!M266+'BTX Recycling HC'!M105)-'Overall recycling rates'!$E$60/SUM('Overall recycling rates'!$E$60:$E$62)*('BTX Recycling HC'!M181+'BTX Recycling HC'!M233+'BTX Recycling HC'!M267+'BTX Recycling HC'!M106)-'Overall recycling rates'!$H$60/SUM('Overall recycling rates'!$H$60:$H$62)*('BTX Recycling HC'!M182+'BTX Recycling HC'!M234+'BTX Recycling HC'!M268+'BTX Recycling HC'!M107)-'Overall recycling rates'!$I$60/SUM('Overall recycling rates'!$I$60:$I$62)*('BTX Recycling HC'!M183+'BTX Recycling HC'!M235+'BTX Recycling HC'!M269+'BTX Recycling HC'!M108)</f>
        <v>669327.33493307058</v>
      </c>
      <c r="O110" s="639">
        <f>O58+O64-'Overall recycling rates'!$G$60/SUM('Overall recycling rates'!$G$60:$G$62)*('BTX Recycling HC'!N180+'BTX Recycling HC'!N232+'BTX Recycling HC'!N266+'BTX Recycling HC'!N105)-'Overall recycling rates'!$E$60/SUM('Overall recycling rates'!$E$60:$E$62)*('BTX Recycling HC'!N181+'BTX Recycling HC'!N233+'BTX Recycling HC'!N267+'BTX Recycling HC'!N106)-'Overall recycling rates'!$H$60/SUM('Overall recycling rates'!$H$60:$H$62)*('BTX Recycling HC'!N182+'BTX Recycling HC'!N234+'BTX Recycling HC'!N268+'BTX Recycling HC'!N107)-'Overall recycling rates'!$I$60/SUM('Overall recycling rates'!$I$60:$I$62)*('BTX Recycling HC'!N183+'BTX Recycling HC'!N235+'BTX Recycling HC'!N269+'BTX Recycling HC'!N108)</f>
        <v>663637.76066603826</v>
      </c>
      <c r="P110" s="639">
        <f>P58+P64-'Overall recycling rates'!$G$60/SUM('Overall recycling rates'!$G$60:$G$62)*('BTX Recycling HC'!O180+'BTX Recycling HC'!O232+'BTX Recycling HC'!O266+'BTX Recycling HC'!O105)-'Overall recycling rates'!$E$60/SUM('Overall recycling rates'!$E$60:$E$62)*('BTX Recycling HC'!O181+'BTX Recycling HC'!O233+'BTX Recycling HC'!O267+'BTX Recycling HC'!O106)-'Overall recycling rates'!$H$60/SUM('Overall recycling rates'!$H$60:$H$62)*('BTX Recycling HC'!O182+'BTX Recycling HC'!O234+'BTX Recycling HC'!O268+'BTX Recycling HC'!O107)-'Overall recycling rates'!$I$60/SUM('Overall recycling rates'!$I$60:$I$62)*('BTX Recycling HC'!O183+'BTX Recycling HC'!O235+'BTX Recycling HC'!O269+'BTX Recycling HC'!O108)</f>
        <v>657964.80097948737</v>
      </c>
      <c r="Q110" s="639">
        <f>Q58+Q64-'Overall recycling rates'!$G$60/SUM('Overall recycling rates'!$G$60:$G$62)*('BTX Recycling HC'!P180+'BTX Recycling HC'!P232+'BTX Recycling HC'!P266+'BTX Recycling HC'!P105)-'Overall recycling rates'!$E$60/SUM('Overall recycling rates'!$E$60:$E$62)*('BTX Recycling HC'!P181+'BTX Recycling HC'!P233+'BTX Recycling HC'!P267+'BTX Recycling HC'!P106)-'Overall recycling rates'!$H$60/SUM('Overall recycling rates'!$H$60:$H$62)*('BTX Recycling HC'!P182+'BTX Recycling HC'!P234+'BTX Recycling HC'!P268+'BTX Recycling HC'!P107)-'Overall recycling rates'!$I$60/SUM('Overall recycling rates'!$I$60:$I$62)*('BTX Recycling HC'!P183+'BTX Recycling HC'!P235+'BTX Recycling HC'!P269+'BTX Recycling HC'!P108)</f>
        <v>652311.5955366008</v>
      </c>
      <c r="R110" s="639">
        <f>R58+R64-'Overall recycling rates'!$G$60/SUM('Overall recycling rates'!$G$60:$G$62)*('BTX Recycling HC'!Q180+'BTX Recycling HC'!Q232+'BTX Recycling HC'!Q266+'BTX Recycling HC'!Q105)-'Overall recycling rates'!$E$60/SUM('Overall recycling rates'!$E$60:$E$62)*('BTX Recycling HC'!Q181+'BTX Recycling HC'!Q233+'BTX Recycling HC'!Q267+'BTX Recycling HC'!Q106)-'Overall recycling rates'!$H$60/SUM('Overall recycling rates'!$H$60:$H$62)*('BTX Recycling HC'!Q182+'BTX Recycling HC'!Q234+'BTX Recycling HC'!Q268+'BTX Recycling HC'!Q107)-'Overall recycling rates'!$I$60/SUM('Overall recycling rates'!$I$60:$I$62)*('BTX Recycling HC'!Q183+'BTX Recycling HC'!Q235+'BTX Recycling HC'!Q269+'BTX Recycling HC'!Q108)</f>
        <v>646677.57576899556</v>
      </c>
      <c r="S110" s="639">
        <f>S58+S64-'Overall recycling rates'!$G$60/SUM('Overall recycling rates'!$G$60:$G$62)*('BTX Recycling HC'!R180+'BTX Recycling HC'!R232+'BTX Recycling HC'!R266+'BTX Recycling HC'!R105)-'Overall recycling rates'!$E$60/SUM('Overall recycling rates'!$E$60:$E$62)*('BTX Recycling HC'!R181+'BTX Recycling HC'!R233+'BTX Recycling HC'!R267+'BTX Recycling HC'!R106)-'Overall recycling rates'!$H$60/SUM('Overall recycling rates'!$H$60:$H$62)*('BTX Recycling HC'!R182+'BTX Recycling HC'!R234+'BTX Recycling HC'!R268+'BTX Recycling HC'!R107)-'Overall recycling rates'!$I$60/SUM('Overall recycling rates'!$I$60:$I$62)*('BTX Recycling HC'!R183+'BTX Recycling HC'!R235+'BTX Recycling HC'!R269+'BTX Recycling HC'!R108)</f>
        <v>641063.79547443765</v>
      </c>
      <c r="T110" s="639">
        <f>T58+T64-'Overall recycling rates'!$G$60/SUM('Overall recycling rates'!$G$60:$G$62)*('BTX Recycling HC'!S180+'BTX Recycling HC'!S232+'BTX Recycling HC'!S266+'BTX Recycling HC'!S105)-'Overall recycling rates'!$E$60/SUM('Overall recycling rates'!$E$60:$E$62)*('BTX Recycling HC'!S181+'BTX Recycling HC'!S233+'BTX Recycling HC'!S267+'BTX Recycling HC'!S106)-'Overall recycling rates'!$H$60/SUM('Overall recycling rates'!$H$60:$H$62)*('BTX Recycling HC'!S182+'BTX Recycling HC'!S234+'BTX Recycling HC'!S268+'BTX Recycling HC'!S107)-'Overall recycling rates'!$I$60/SUM('Overall recycling rates'!$I$60:$I$62)*('BTX Recycling HC'!S183+'BTX Recycling HC'!S235+'BTX Recycling HC'!S269+'BTX Recycling HC'!S108)</f>
        <v>635471.26672476192</v>
      </c>
      <c r="U110" s="639">
        <f>U58+U64-'Overall recycling rates'!$G$60/SUM('Overall recycling rates'!$G$60:$G$62)*('BTX Recycling HC'!T180+'BTX Recycling HC'!T232+'BTX Recycling HC'!T266+'BTX Recycling HC'!T105)-'Overall recycling rates'!$E$60/SUM('Overall recycling rates'!$E$60:$E$62)*('BTX Recycling HC'!T181+'BTX Recycling HC'!T233+'BTX Recycling HC'!T267+'BTX Recycling HC'!T106)-'Overall recycling rates'!$H$60/SUM('Overall recycling rates'!$H$60:$H$62)*('BTX Recycling HC'!T182+'BTX Recycling HC'!T234+'BTX Recycling HC'!T268+'BTX Recycling HC'!T107)-'Overall recycling rates'!$I$60/SUM('Overall recycling rates'!$I$60:$I$62)*('BTX Recycling HC'!T183+'BTX Recycling HC'!T235+'BTX Recycling HC'!T269+'BTX Recycling HC'!T108)</f>
        <v>629900.96698670683</v>
      </c>
      <c r="V110" s="639">
        <f>V58+V64-'Overall recycling rates'!$G$60/SUM('Overall recycling rates'!$G$60:$G$62)*('BTX Recycling HC'!U180+'BTX Recycling HC'!U232+'BTX Recycling HC'!U266+'BTX Recycling HC'!U105)-'Overall recycling rates'!$E$60/SUM('Overall recycling rates'!$E$60:$E$62)*('BTX Recycling HC'!U181+'BTX Recycling HC'!U233+'BTX Recycling HC'!U267+'BTX Recycling HC'!U106)-'Overall recycling rates'!$H$60/SUM('Overall recycling rates'!$H$60:$H$62)*('BTX Recycling HC'!U182+'BTX Recycling HC'!U234+'BTX Recycling HC'!U268+'BTX Recycling HC'!U107)-'Overall recycling rates'!$I$60/SUM('Overall recycling rates'!$I$60:$I$62)*('BTX Recycling HC'!U183+'BTX Recycling HC'!U235+'BTX Recycling HC'!U269+'BTX Recycling HC'!U108)</f>
        <v>624353.83280567196</v>
      </c>
      <c r="W110" s="639">
        <f>W58+W64-'Overall recycling rates'!$G$60/SUM('Overall recycling rates'!$G$60:$G$62)*('BTX Recycling HC'!V180+'BTX Recycling HC'!V232+'BTX Recycling HC'!V266+'BTX Recycling HC'!V105)-'Overall recycling rates'!$E$60/SUM('Overall recycling rates'!$E$60:$E$62)*('BTX Recycling HC'!V181+'BTX Recycling HC'!V233+'BTX Recycling HC'!V267+'BTX Recycling HC'!V106)-'Overall recycling rates'!$H$60/SUM('Overall recycling rates'!$H$60:$H$62)*('BTX Recycling HC'!V182+'BTX Recycling HC'!V234+'BTX Recycling HC'!V268+'BTX Recycling HC'!V107)-'Overall recycling rates'!$I$60/SUM('Overall recycling rates'!$I$60:$I$62)*('BTX Recycling HC'!V183+'BTX Recycling HC'!V235+'BTX Recycling HC'!V269+'BTX Recycling HC'!V108)</f>
        <v>618830.76198036387</v>
      </c>
      <c r="X110" s="639">
        <f>X58+X64-'Overall recycling rates'!$G$60/SUM('Overall recycling rates'!$G$60:$G$62)*('BTX Recycling HC'!W180+'BTX Recycling HC'!W232+'BTX Recycling HC'!W266+'BTX Recycling HC'!W105)-'Overall recycling rates'!$E$60/SUM('Overall recycling rates'!$E$60:$E$62)*('BTX Recycling HC'!W181+'BTX Recycling HC'!W233+'BTX Recycling HC'!W267+'BTX Recycling HC'!W106)-'Overall recycling rates'!$H$60/SUM('Overall recycling rates'!$H$60:$H$62)*('BTX Recycling HC'!W182+'BTX Recycling HC'!W234+'BTX Recycling HC'!W268+'BTX Recycling HC'!W107)-'Overall recycling rates'!$I$60/SUM('Overall recycling rates'!$I$60:$I$62)*('BTX Recycling HC'!W183+'BTX Recycling HC'!W235+'BTX Recycling HC'!W269+'BTX Recycling HC'!W108)</f>
        <v>613332.61372944724</v>
      </c>
      <c r="Y110" s="639">
        <f>Y58+Y64-'Overall recycling rates'!$G$60/SUM('Overall recycling rates'!$G$60:$G$62)*('BTX Recycling HC'!X180+'BTX Recycling HC'!X232+'BTX Recycling HC'!X266+'BTX Recycling HC'!X105)-'Overall recycling rates'!$E$60/SUM('Overall recycling rates'!$E$60:$E$62)*('BTX Recycling HC'!X181+'BTX Recycling HC'!X233+'BTX Recycling HC'!X267+'BTX Recycling HC'!X106)-'Overall recycling rates'!$H$60/SUM('Overall recycling rates'!$H$60:$H$62)*('BTX Recycling HC'!X182+'BTX Recycling HC'!X234+'BTX Recycling HC'!X268+'BTX Recycling HC'!X107)-'Overall recycling rates'!$I$60/SUM('Overall recycling rates'!$I$60:$I$62)*('BTX Recycling HC'!X183+'BTX Recycling HC'!X235+'BTX Recycling HC'!X269+'BTX Recycling HC'!X108)</f>
        <v>607119.4222152516</v>
      </c>
      <c r="Z110" s="639">
        <f>Z58+Z64-'Overall recycling rates'!$G$60/SUM('Overall recycling rates'!$G$60:$G$62)*('BTX Recycling HC'!Y180+'BTX Recycling HC'!Y232+'BTX Recycling HC'!Y266+'BTX Recycling HC'!Y105)-'Overall recycling rates'!$E$60/SUM('Overall recycling rates'!$E$60:$E$62)*('BTX Recycling HC'!Y181+'BTX Recycling HC'!Y233+'BTX Recycling HC'!Y267+'BTX Recycling HC'!Y106)-'Overall recycling rates'!$H$60/SUM('Overall recycling rates'!$H$60:$H$62)*('BTX Recycling HC'!Y182+'BTX Recycling HC'!Y234+'BTX Recycling HC'!Y268+'BTX Recycling HC'!Y107)-'Overall recycling rates'!$I$60/SUM('Overall recycling rates'!$I$60:$I$62)*('BTX Recycling HC'!Y183+'BTX Recycling HC'!Y235+'BTX Recycling HC'!Y269+'BTX Recycling HC'!Y108)</f>
        <v>600944.70701286243</v>
      </c>
      <c r="AA110" s="639">
        <f>AA58+AA64-'Overall recycling rates'!$G$60/SUM('Overall recycling rates'!$G$60:$G$62)*('BTX Recycling HC'!Z180+'BTX Recycling HC'!Z232+'BTX Recycling HC'!Z266+'BTX Recycling HC'!Z105)-'Overall recycling rates'!$E$60/SUM('Overall recycling rates'!$E$60:$E$62)*('BTX Recycling HC'!Z181+'BTX Recycling HC'!Z233+'BTX Recycling HC'!Z267+'BTX Recycling HC'!Z106)-'Overall recycling rates'!$H$60/SUM('Overall recycling rates'!$H$60:$H$62)*('BTX Recycling HC'!Z182+'BTX Recycling HC'!Z234+'BTX Recycling HC'!Z268+'BTX Recycling HC'!Z107)-'Overall recycling rates'!$I$60/SUM('Overall recycling rates'!$I$60:$I$62)*('BTX Recycling HC'!Z183+'BTX Recycling HC'!Z235+'BTX Recycling HC'!Z269+'BTX Recycling HC'!Z108)</f>
        <v>594816.2389647169</v>
      </c>
      <c r="AB110" s="639">
        <f>AB58+AB64-'Overall recycling rates'!$G$60/SUM('Overall recycling rates'!$G$60:$G$62)*('BTX Recycling HC'!AA180+'BTX Recycling HC'!AA232+'BTX Recycling HC'!AA266+'BTX Recycling HC'!AA105)-'Overall recycling rates'!$E$60/SUM('Overall recycling rates'!$E$60:$E$62)*('BTX Recycling HC'!AA181+'BTX Recycling HC'!AA233+'BTX Recycling HC'!AA267+'BTX Recycling HC'!AA106)-'Overall recycling rates'!$H$60/SUM('Overall recycling rates'!$H$60:$H$62)*('BTX Recycling HC'!AA182+'BTX Recycling HC'!AA234+'BTX Recycling HC'!AA268+'BTX Recycling HC'!AA107)-'Overall recycling rates'!$I$60/SUM('Overall recycling rates'!$I$60:$I$62)*('BTX Recycling HC'!AA183+'BTX Recycling HC'!AA235+'BTX Recycling HC'!AA269+'BTX Recycling HC'!AA108)</f>
        <v>588729.03695090069</v>
      </c>
      <c r="AC110" s="639">
        <f>AC58+AC64-'Overall recycling rates'!$G$60/SUM('Overall recycling rates'!$G$60:$G$62)*('BTX Recycling HC'!AB180+'BTX Recycling HC'!AB232+'BTX Recycling HC'!AB266+'BTX Recycling HC'!AB105)-'Overall recycling rates'!$E$60/SUM('Overall recycling rates'!$E$60:$E$62)*('BTX Recycling HC'!AB181+'BTX Recycling HC'!AB233+'BTX Recycling HC'!AB267+'BTX Recycling HC'!AB106)-'Overall recycling rates'!$H$60/SUM('Overall recycling rates'!$H$60:$H$62)*('BTX Recycling HC'!AB182+'BTX Recycling HC'!AB234+'BTX Recycling HC'!AB268+'BTX Recycling HC'!AB107)-'Overall recycling rates'!$I$60/SUM('Overall recycling rates'!$I$60:$I$62)*('BTX Recycling HC'!AB183+'BTX Recycling HC'!AB235+'BTX Recycling HC'!AB269+'BTX Recycling HC'!AB108)</f>
        <v>582684.11427624791</v>
      </c>
      <c r="AD110" s="639">
        <f>AD58+AD64-'Overall recycling rates'!$G$60/SUM('Overall recycling rates'!$G$60:$G$62)*('BTX Recycling HC'!AC180+'BTX Recycling HC'!AC232+'BTX Recycling HC'!AC266+'BTX Recycling HC'!AC105)-'Overall recycling rates'!$E$60/SUM('Overall recycling rates'!$E$60:$E$62)*('BTX Recycling HC'!AC181+'BTX Recycling HC'!AC233+'BTX Recycling HC'!AC267+'BTX Recycling HC'!AC106)-'Overall recycling rates'!$H$60/SUM('Overall recycling rates'!$H$60:$H$62)*('BTX Recycling HC'!AC182+'BTX Recycling HC'!AC234+'BTX Recycling HC'!AC268+'BTX Recycling HC'!AC107)-'Overall recycling rates'!$I$60/SUM('Overall recycling rates'!$I$60:$I$62)*('BTX Recycling HC'!AC183+'BTX Recycling HC'!AC235+'BTX Recycling HC'!AC269+'BTX Recycling HC'!AC108)</f>
        <v>576688.54059089848</v>
      </c>
      <c r="AE110" s="639">
        <f>AE58+AE64-'Overall recycling rates'!$G$60/SUM('Overall recycling rates'!$G$60:$G$62)*('BTX Recycling HC'!AD180+'BTX Recycling HC'!AD232+'BTX Recycling HC'!AD266+'BTX Recycling HC'!AD105)-'Overall recycling rates'!$E$60/SUM('Overall recycling rates'!$E$60:$E$62)*('BTX Recycling HC'!AD181+'BTX Recycling HC'!AD233+'BTX Recycling HC'!AD267+'BTX Recycling HC'!AD106)-'Overall recycling rates'!$H$60/SUM('Overall recycling rates'!$H$60:$H$62)*('BTX Recycling HC'!AD182+'BTX Recycling HC'!AD234+'BTX Recycling HC'!AD268+'BTX Recycling HC'!AD107)-'Overall recycling rates'!$I$60/SUM('Overall recycling rates'!$I$60:$I$62)*('BTX Recycling HC'!AD183+'BTX Recycling HC'!AD235+'BTX Recycling HC'!AD269+'BTX Recycling HC'!AD108)</f>
        <v>570737.65558898321</v>
      </c>
      <c r="AF110" s="639">
        <f>AF58+AF64-'Overall recycling rates'!$G$60/SUM('Overall recycling rates'!$G$60:$G$62)*('BTX Recycling HC'!AE180+'BTX Recycling HC'!AE232+'BTX Recycling HC'!AE266+'BTX Recycling HC'!AE105)-'Overall recycling rates'!$E$60/SUM('Overall recycling rates'!$E$60:$E$62)*('BTX Recycling HC'!AE181+'BTX Recycling HC'!AE233+'BTX Recycling HC'!AE267+'BTX Recycling HC'!AE106)-'Overall recycling rates'!$H$60/SUM('Overall recycling rates'!$H$60:$H$62)*('BTX Recycling HC'!AE182+'BTX Recycling HC'!AE234+'BTX Recycling HC'!AE268+'BTX Recycling HC'!AE107)-'Overall recycling rates'!$I$60/SUM('Overall recycling rates'!$I$60:$I$62)*('BTX Recycling HC'!AE183+'BTX Recycling HC'!AE235+'BTX Recycling HC'!AE269+'BTX Recycling HC'!AE108)</f>
        <v>564832.27637911635</v>
      </c>
      <c r="AG110" s="639">
        <f>AG58+AG64-'Overall recycling rates'!$G$60/SUM('Overall recycling rates'!$G$60:$G$62)*('BTX Recycling HC'!AF180+'BTX Recycling HC'!AF232+'BTX Recycling HC'!AF266+'BTX Recycling HC'!AF105)-'Overall recycling rates'!$E$60/SUM('Overall recycling rates'!$E$60:$E$62)*('BTX Recycling HC'!AF181+'BTX Recycling HC'!AF233+'BTX Recycling HC'!AF267+'BTX Recycling HC'!AF106)-'Overall recycling rates'!$H$60/SUM('Overall recycling rates'!$H$60:$H$62)*('BTX Recycling HC'!AF182+'BTX Recycling HC'!AF234+'BTX Recycling HC'!AF268+'BTX Recycling HC'!AF107)-'Overall recycling rates'!$I$60/SUM('Overall recycling rates'!$I$60:$I$62)*('BTX Recycling HC'!AF183+'BTX Recycling HC'!AF235+'BTX Recycling HC'!AF269+'BTX Recycling HC'!AF108)</f>
        <v>558973.15686805418</v>
      </c>
      <c r="AH110" s="639">
        <f>AH58+AH64-'Overall recycling rates'!$G$60/SUM('Overall recycling rates'!$G$60:$G$62)*('BTX Recycling HC'!AG180+'BTX Recycling HC'!AG232+'BTX Recycling HC'!AG266+'BTX Recycling HC'!AG105)-'Overall recycling rates'!$E$60/SUM('Overall recycling rates'!$E$60:$E$62)*('BTX Recycling HC'!AG181+'BTX Recycling HC'!AG233+'BTX Recycling HC'!AG267+'BTX Recycling HC'!AG106)-'Overall recycling rates'!$H$60/SUM('Overall recycling rates'!$H$60:$H$62)*('BTX Recycling HC'!AG182+'BTX Recycling HC'!AG234+'BTX Recycling HC'!AG268+'BTX Recycling HC'!AG107)-'Overall recycling rates'!$I$60/SUM('Overall recycling rates'!$I$60:$I$62)*('BTX Recycling HC'!AG183+'BTX Recycling HC'!AG235+'BTX Recycling HC'!AG269+'BTX Recycling HC'!AG108)</f>
        <v>553160.98893022467</v>
      </c>
      <c r="AI110" s="639"/>
      <c r="AJ110" s="639">
        <f>AJ58+AJ64-'Overall recycling rates'!$G$60/SUM('Overall recycling rates'!$G$60:$G$62)*('BTX Recycling HC'!C180+'BTX Recycling HC'!C232+'BTX Recycling HC'!C266+'BTX Recycling HC'!C105)-'Overall recycling rates'!$E$60/SUM('Overall recycling rates'!$E$60:$E$62)*('BTX Recycling HC'!C181+'BTX Recycling HC'!C233+'BTX Recycling HC'!C267+'BTX Recycling HC'!C106)-'Overall recycling rates'!$H$60/SUM('Overall recycling rates'!$H$60:$H$62)*('BTX Recycling HC'!C182+'BTX Recycling HC'!C234+'BTX Recycling HC'!C268+'BTX Recycling HC'!C107)-'Overall recycling rates'!$I$60/SUM('Overall recycling rates'!$I$60:$I$62)*('BTX Recycling HC'!C183+'BTX Recycling HC'!C235+'BTX Recycling HC'!C269+'BTX Recycling HC'!C108)</f>
        <v>721970.81051218696</v>
      </c>
      <c r="AK110" s="639">
        <f>AK58+AK64-'Overall recycling rates'!$G$60/SUM('Overall recycling rates'!$G$60:$G$62)*('BTX Recycling HC'!D180+'BTX Recycling HC'!D232+'BTX Recycling HC'!D266+'BTX Recycling HC'!D105)-'Overall recycling rates'!$E$60/SUM('Overall recycling rates'!$E$60:$E$62)*('BTX Recycling HC'!D181+'BTX Recycling HC'!D233+'BTX Recycling HC'!D267+'BTX Recycling HC'!D106)-'Overall recycling rates'!$H$60/SUM('Overall recycling rates'!$H$60:$H$62)*('BTX Recycling HC'!D182+'BTX Recycling HC'!D234+'BTX Recycling HC'!D268+'BTX Recycling HC'!D107)-'Overall recycling rates'!$I$60/SUM('Overall recycling rates'!$I$60:$I$62)*('BTX Recycling HC'!D183+'BTX Recycling HC'!D235+'BTX Recycling HC'!D269+'BTX Recycling HC'!D108)</f>
        <v>719052.1324089265</v>
      </c>
      <c r="AL110" s="639">
        <f>AL58+AL64-'Overall recycling rates'!$G$60/SUM('Overall recycling rates'!$G$60:$G$62)*('BTX Recycling HC'!E180+'BTX Recycling HC'!E232+'BTX Recycling HC'!E266+'BTX Recycling HC'!E105)-'Overall recycling rates'!$E$60/SUM('Overall recycling rates'!$E$60:$E$62)*('BTX Recycling HC'!E181+'BTX Recycling HC'!E233+'BTX Recycling HC'!E267+'BTX Recycling HC'!E106)-'Overall recycling rates'!$H$60/SUM('Overall recycling rates'!$H$60:$H$62)*('BTX Recycling HC'!E182+'BTX Recycling HC'!E234+'BTX Recycling HC'!E268+'BTX Recycling HC'!E107)-'Overall recycling rates'!$I$60/SUM('Overall recycling rates'!$I$60:$I$62)*('BTX Recycling HC'!E183+'BTX Recycling HC'!E235+'BTX Recycling HC'!E269+'BTX Recycling HC'!E108)</f>
        <v>716125.30485435016</v>
      </c>
      <c r="AM110" s="639">
        <f>AM58+AM64-'Overall recycling rates'!$G$60/SUM('Overall recycling rates'!$G$60:$G$62)*('BTX Recycling HC'!F180+'BTX Recycling HC'!F232+'BTX Recycling HC'!F266+'BTX Recycling HC'!F105)-'Overall recycling rates'!$E$60/SUM('Overall recycling rates'!$E$60:$E$62)*('BTX Recycling HC'!F181+'BTX Recycling HC'!F233+'BTX Recycling HC'!F267+'BTX Recycling HC'!F106)-'Overall recycling rates'!$H$60/SUM('Overall recycling rates'!$H$60:$H$62)*('BTX Recycling HC'!F182+'BTX Recycling HC'!F234+'BTX Recycling HC'!F268+'BTX Recycling HC'!F107)-'Overall recycling rates'!$I$60/SUM('Overall recycling rates'!$I$60:$I$62)*('BTX Recycling HC'!F183+'BTX Recycling HC'!F235+'BTX Recycling HC'!F269+'BTX Recycling HC'!F108)</f>
        <v>713197.581044427</v>
      </c>
      <c r="AN110" s="639">
        <f>AN58+AN64-'Overall recycling rates'!$G$60/SUM('Overall recycling rates'!$G$60:$G$62)*('BTX Recycling HC'!G180+'BTX Recycling HC'!G232+'BTX Recycling HC'!G266+'BTX Recycling HC'!G105)-'Overall recycling rates'!$E$60/SUM('Overall recycling rates'!$E$60:$E$62)*('BTX Recycling HC'!G181+'BTX Recycling HC'!G233+'BTX Recycling HC'!G267+'BTX Recycling HC'!G106)-'Overall recycling rates'!$H$60/SUM('Overall recycling rates'!$H$60:$H$62)*('BTX Recycling HC'!G182+'BTX Recycling HC'!G234+'BTX Recycling HC'!G268+'BTX Recycling HC'!G107)-'Overall recycling rates'!$I$60/SUM('Overall recycling rates'!$I$60:$I$62)*('BTX Recycling HC'!G183+'BTX Recycling HC'!G235+'BTX Recycling HC'!G269+'BTX Recycling HC'!G108)</f>
        <v>710269.63374837732</v>
      </c>
      <c r="AO110" s="639">
        <f>AO58+AO64-'Overall recycling rates'!$G$60/SUM('Overall recycling rates'!$G$60:$G$62)*('BTX Recycling HC'!H180+'BTX Recycling HC'!H232+'BTX Recycling HC'!H266+'BTX Recycling HC'!H105)-'Overall recycling rates'!$E$60/SUM('Overall recycling rates'!$E$60:$E$62)*('BTX Recycling HC'!H181+'BTX Recycling HC'!H233+'BTX Recycling HC'!H267+'BTX Recycling HC'!H106)-'Overall recycling rates'!$H$60/SUM('Overall recycling rates'!$H$60:$H$62)*('BTX Recycling HC'!H182+'BTX Recycling HC'!H234+'BTX Recycling HC'!H268+'BTX Recycling HC'!H107)-'Overall recycling rates'!$I$60/SUM('Overall recycling rates'!$I$60:$I$62)*('BTX Recycling HC'!H183+'BTX Recycling HC'!H235+'BTX Recycling HC'!H269+'BTX Recycling HC'!H108)</f>
        <v>707341.81421570771</v>
      </c>
      <c r="AP110" s="639">
        <f>AP58+AP64-'Overall recycling rates'!$G$60/SUM('Overall recycling rates'!$G$60:$G$62)*('BTX Recycling HC'!I180+'BTX Recycling HC'!I232+'BTX Recycling HC'!I266+'BTX Recycling HC'!I105)-'Overall recycling rates'!$E$60/SUM('Overall recycling rates'!$E$60:$E$62)*('BTX Recycling HC'!I181+'BTX Recycling HC'!I233+'BTX Recycling HC'!I267+'BTX Recycling HC'!I106)-'Overall recycling rates'!$H$60/SUM('Overall recycling rates'!$H$60:$H$62)*('BTX Recycling HC'!I182+'BTX Recycling HC'!I234+'BTX Recycling HC'!I268+'BTX Recycling HC'!I107)-'Overall recycling rates'!$I$60/SUM('Overall recycling rates'!$I$60:$I$62)*('BTX Recycling HC'!I183+'BTX Recycling HC'!I235+'BTX Recycling HC'!I269+'BTX Recycling HC'!I108)</f>
        <v>704490.8270764784</v>
      </c>
      <c r="AQ110" s="639">
        <f>AQ58+AQ64-'Overall recycling rates'!$G$60/SUM('Overall recycling rates'!$G$60:$G$62)*('BTX Recycling HC'!J180+'BTX Recycling HC'!J232+'BTX Recycling HC'!J266+'BTX Recycling HC'!J105)-'Overall recycling rates'!$E$60/SUM('Overall recycling rates'!$E$60:$E$62)*('BTX Recycling HC'!J181+'BTX Recycling HC'!J233+'BTX Recycling HC'!J267+'BTX Recycling HC'!J106)-'Overall recycling rates'!$H$60/SUM('Overall recycling rates'!$H$60:$H$62)*('BTX Recycling HC'!J182+'BTX Recycling HC'!J234+'BTX Recycling HC'!J268+'BTX Recycling HC'!J107)-'Overall recycling rates'!$I$60/SUM('Overall recycling rates'!$I$60:$I$62)*('BTX Recycling HC'!J183+'BTX Recycling HC'!J235+'BTX Recycling HC'!J269+'BTX Recycling HC'!J108)</f>
        <v>701646.07301631907</v>
      </c>
      <c r="AR110" s="639">
        <f>AR58+AR64-'Overall recycling rates'!$G$60/SUM('Overall recycling rates'!$G$60:$G$62)*('BTX Recycling HC'!K180+'BTX Recycling HC'!K232+'BTX Recycling HC'!K266+'BTX Recycling HC'!K105)-'Overall recycling rates'!$E$60/SUM('Overall recycling rates'!$E$60:$E$62)*('BTX Recycling HC'!K181+'BTX Recycling HC'!K233+'BTX Recycling HC'!K267+'BTX Recycling HC'!K106)-'Overall recycling rates'!$H$60/SUM('Overall recycling rates'!$H$60:$H$62)*('BTX Recycling HC'!K182+'BTX Recycling HC'!K234+'BTX Recycling HC'!K268+'BTX Recycling HC'!K107)-'Overall recycling rates'!$I$60/SUM('Overall recycling rates'!$I$60:$I$62)*('BTX Recycling HC'!K183+'BTX Recycling HC'!K235+'BTX Recycling HC'!K269+'BTX Recycling HC'!K108)</f>
        <v>698807.8732800436</v>
      </c>
      <c r="AS110" s="639">
        <f>AS58+AS64-'Overall recycling rates'!$G$60/SUM('Overall recycling rates'!$G$60:$G$62)*('BTX Recycling HC'!L180+'BTX Recycling HC'!L232+'BTX Recycling HC'!L266+'BTX Recycling HC'!L105)-'Overall recycling rates'!$E$60/SUM('Overall recycling rates'!$E$60:$E$62)*('BTX Recycling HC'!L181+'BTX Recycling HC'!L233+'BTX Recycling HC'!L267+'BTX Recycling HC'!L106)-'Overall recycling rates'!$H$60/SUM('Overall recycling rates'!$H$60:$H$62)*('BTX Recycling HC'!L182+'BTX Recycling HC'!L234+'BTX Recycling HC'!L268+'BTX Recycling HC'!L107)-'Overall recycling rates'!$I$60/SUM('Overall recycling rates'!$I$60:$I$62)*('BTX Recycling HC'!L183+'BTX Recycling HC'!L235+'BTX Recycling HC'!L269+'BTX Recycling HC'!L108)</f>
        <v>695976.53909604158</v>
      </c>
      <c r="AT110" s="639">
        <f>AT58+AT64-'Overall recycling rates'!$G$60/SUM('Overall recycling rates'!$G$60:$G$62)*('BTX Recycling HC'!M180+'BTX Recycling HC'!M232+'BTX Recycling HC'!M266+'BTX Recycling HC'!M105)-'Overall recycling rates'!$E$60/SUM('Overall recycling rates'!$E$60:$E$62)*('BTX Recycling HC'!M181+'BTX Recycling HC'!M233+'BTX Recycling HC'!M267+'BTX Recycling HC'!M106)-'Overall recycling rates'!$H$60/SUM('Overall recycling rates'!$H$60:$H$62)*('BTX Recycling HC'!M182+'BTX Recycling HC'!M234+'BTX Recycling HC'!M268+'BTX Recycling HC'!M107)-'Overall recycling rates'!$I$60/SUM('Overall recycling rates'!$I$60:$I$62)*('BTX Recycling HC'!M183+'BTX Recycling HC'!M235+'BTX Recycling HC'!M269+'BTX Recycling HC'!M108)</f>
        <v>693152.37167997286</v>
      </c>
      <c r="AU110" s="639">
        <f>AU58+AU64-'Overall recycling rates'!$G$60/SUM('Overall recycling rates'!$G$60:$G$62)*('BTX Recycling HC'!N180+'BTX Recycling HC'!N232+'BTX Recycling HC'!N266+'BTX Recycling HC'!N105)-'Overall recycling rates'!$E$60/SUM('Overall recycling rates'!$E$60:$E$62)*('BTX Recycling HC'!N181+'BTX Recycling HC'!N233+'BTX Recycling HC'!N267+'BTX Recycling HC'!N106)-'Overall recycling rates'!$H$60/SUM('Overall recycling rates'!$H$60:$H$62)*('BTX Recycling HC'!N182+'BTX Recycling HC'!N234+'BTX Recycling HC'!N268+'BTX Recycling HC'!N107)-'Overall recycling rates'!$I$60/SUM('Overall recycling rates'!$I$60:$I$62)*('BTX Recycling HC'!N183+'BTX Recycling HC'!N235+'BTX Recycling HC'!N269+'BTX Recycling HC'!N108)</f>
        <v>689845.3010876308</v>
      </c>
      <c r="AV110" s="639">
        <f>AV58+AV64-'Overall recycling rates'!$G$60/SUM('Overall recycling rates'!$G$60:$G$62)*('BTX Recycling HC'!O180+'BTX Recycling HC'!O232+'BTX Recycling HC'!O266+'BTX Recycling HC'!O105)-'Overall recycling rates'!$E$60/SUM('Overall recycling rates'!$E$60:$E$62)*('BTX Recycling HC'!O181+'BTX Recycling HC'!O233+'BTX Recycling HC'!O267+'BTX Recycling HC'!O106)-'Overall recycling rates'!$H$60/SUM('Overall recycling rates'!$H$60:$H$62)*('BTX Recycling HC'!O182+'BTX Recycling HC'!O234+'BTX Recycling HC'!O268+'BTX Recycling HC'!O107)-'Overall recycling rates'!$I$60/SUM('Overall recycling rates'!$I$60:$I$62)*('BTX Recycling HC'!O183+'BTX Recycling HC'!O235+'BTX Recycling HC'!O269+'BTX Recycling HC'!O108)</f>
        <v>686554.84507576982</v>
      </c>
      <c r="AW110" s="639">
        <f>AW58+AW64-'Overall recycling rates'!$G$60/SUM('Overall recycling rates'!$G$60:$G$62)*('BTX Recycling HC'!P180+'BTX Recycling HC'!P232+'BTX Recycling HC'!P266+'BTX Recycling HC'!P105)-'Overall recycling rates'!$E$60/SUM('Overall recycling rates'!$E$60:$E$62)*('BTX Recycling HC'!P181+'BTX Recycling HC'!P233+'BTX Recycling HC'!P267+'BTX Recycling HC'!P106)-'Overall recycling rates'!$H$60/SUM('Overall recycling rates'!$H$60:$H$62)*('BTX Recycling HC'!P182+'BTX Recycling HC'!P234+'BTX Recycling HC'!P268+'BTX Recycling HC'!P107)-'Overall recycling rates'!$I$60/SUM('Overall recycling rates'!$I$60:$I$62)*('BTX Recycling HC'!P183+'BTX Recycling HC'!P235+'BTX Recycling HC'!P269+'BTX Recycling HC'!P108)</f>
        <v>683284.14330757351</v>
      </c>
      <c r="AX110" s="639">
        <f>AX58+AX64-'Overall recycling rates'!$G$60/SUM('Overall recycling rates'!$G$60:$G$62)*('BTX Recycling HC'!Q180+'BTX Recycling HC'!Q232+'BTX Recycling HC'!Q266+'BTX Recycling HC'!Q105)-'Overall recycling rates'!$E$60/SUM('Overall recycling rates'!$E$60:$E$62)*('BTX Recycling HC'!Q181+'BTX Recycling HC'!Q233+'BTX Recycling HC'!Q267+'BTX Recycling HC'!Q106)-'Overall recycling rates'!$H$60/SUM('Overall recycling rates'!$H$60:$H$62)*('BTX Recycling HC'!Q182+'BTX Recycling HC'!Q234+'BTX Recycling HC'!Q268+'BTX Recycling HC'!Q107)-'Overall recycling rates'!$I$60/SUM('Overall recycling rates'!$I$60:$I$62)*('BTX Recycling HC'!Q183+'BTX Recycling HC'!Q235+'BTX Recycling HC'!Q269+'BTX Recycling HC'!Q108)</f>
        <v>680032.62721465842</v>
      </c>
      <c r="AY110" s="639">
        <f>AY58+AY64-'Overall recycling rates'!$G$60/SUM('Overall recycling rates'!$G$60:$G$62)*('BTX Recycling HC'!R180+'BTX Recycling HC'!R232+'BTX Recycling HC'!R266+'BTX Recycling HC'!R105)-'Overall recycling rates'!$E$60/SUM('Overall recycling rates'!$E$60:$E$62)*('BTX Recycling HC'!R181+'BTX Recycling HC'!R233+'BTX Recycling HC'!R267+'BTX Recycling HC'!R106)-'Overall recycling rates'!$H$60/SUM('Overall recycling rates'!$H$60:$H$62)*('BTX Recycling HC'!R182+'BTX Recycling HC'!R234+'BTX Recycling HC'!R268+'BTX Recycling HC'!R107)-'Overall recycling rates'!$I$60/SUM('Overall recycling rates'!$I$60:$I$62)*('BTX Recycling HC'!R183+'BTX Recycling HC'!R235+'BTX Recycling HC'!R269+'BTX Recycling HC'!R108)</f>
        <v>676801.35059479065</v>
      </c>
      <c r="AZ110" s="639">
        <f>AZ58+AZ64-'Overall recycling rates'!$G$60/SUM('Overall recycling rates'!$G$60:$G$62)*('BTX Recycling HC'!S180+'BTX Recycling HC'!S232+'BTX Recycling HC'!S266+'BTX Recycling HC'!S105)-'Overall recycling rates'!$E$60/SUM('Overall recycling rates'!$E$60:$E$62)*('BTX Recycling HC'!S181+'BTX Recycling HC'!S233+'BTX Recycling HC'!S267+'BTX Recycling HC'!S106)-'Overall recycling rates'!$H$60/SUM('Overall recycling rates'!$H$60:$H$62)*('BTX Recycling HC'!S182+'BTX Recycling HC'!S234+'BTX Recycling HC'!S268+'BTX Recycling HC'!S107)-'Overall recycling rates'!$I$60/SUM('Overall recycling rates'!$I$60:$I$62)*('BTX Recycling HC'!S183+'BTX Recycling HC'!S235+'BTX Recycling HC'!S269+'BTX Recycling HC'!S108)</f>
        <v>673591.32551980542</v>
      </c>
      <c r="BA110" s="639">
        <f>BA58+BA64-'Overall recycling rates'!$G$60/SUM('Overall recycling rates'!$G$60:$G$62)*('BTX Recycling HC'!T180+'BTX Recycling HC'!T232+'BTX Recycling HC'!T266+'BTX Recycling HC'!T105)-'Overall recycling rates'!$E$60/SUM('Overall recycling rates'!$E$60:$E$62)*('BTX Recycling HC'!T181+'BTX Recycling HC'!T233+'BTX Recycling HC'!T267+'BTX Recycling HC'!T106)-'Overall recycling rates'!$H$60/SUM('Overall recycling rates'!$H$60:$H$62)*('BTX Recycling HC'!T182+'BTX Recycling HC'!T234+'BTX Recycling HC'!T268+'BTX Recycling HC'!T107)-'Overall recycling rates'!$I$60/SUM('Overall recycling rates'!$I$60:$I$62)*('BTX Recycling HC'!T183+'BTX Recycling HC'!T235+'BTX Recycling HC'!T269+'BTX Recycling HC'!T108)</f>
        <v>670403.52945644048</v>
      </c>
      <c r="BB110" s="639">
        <f>BB58+BB64-'Overall recycling rates'!$G$60/SUM('Overall recycling rates'!$G$60:$G$62)*('BTX Recycling HC'!U180+'BTX Recycling HC'!U232+'BTX Recycling HC'!U266+'BTX Recycling HC'!U105)-'Overall recycling rates'!$E$60/SUM('Overall recycling rates'!$E$60:$E$62)*('BTX Recycling HC'!U181+'BTX Recycling HC'!U233+'BTX Recycling HC'!U267+'BTX Recycling HC'!U106)-'Overall recycling rates'!$H$60/SUM('Overall recycling rates'!$H$60:$H$62)*('BTX Recycling HC'!U182+'BTX Recycling HC'!U234+'BTX Recycling HC'!U268+'BTX Recycling HC'!U107)-'Overall recycling rates'!$I$60/SUM('Overall recycling rates'!$I$60:$I$62)*('BTX Recycling HC'!U183+'BTX Recycling HC'!U235+'BTX Recycling HC'!U269+'BTX Recycling HC'!U108)</f>
        <v>667238.89895009587</v>
      </c>
      <c r="BC110" s="639">
        <f>BC58+BC64-'Overall recycling rates'!$G$60/SUM('Overall recycling rates'!$G$60:$G$62)*('BTX Recycling HC'!V180+'BTX Recycling HC'!V232+'BTX Recycling HC'!V266+'BTX Recycling HC'!V105)-'Overall recycling rates'!$E$60/SUM('Overall recycling rates'!$E$60:$E$62)*('BTX Recycling HC'!V181+'BTX Recycling HC'!V233+'BTX Recycling HC'!V267+'BTX Recycling HC'!V106)-'Overall recycling rates'!$H$60/SUM('Overall recycling rates'!$H$60:$H$62)*('BTX Recycling HC'!V182+'BTX Recycling HC'!V234+'BTX Recycling HC'!V268+'BTX Recycling HC'!V107)-'Overall recycling rates'!$I$60/SUM('Overall recycling rates'!$I$60:$I$62)*('BTX Recycling HC'!V183+'BTX Recycling HC'!V235+'BTX Recycling HC'!V269+'BTX Recycling HC'!V108)</f>
        <v>664098.33179947804</v>
      </c>
      <c r="BD110" s="639">
        <f>BD58+BD64-'Overall recycling rates'!$G$60/SUM('Overall recycling rates'!$G$60:$G$62)*('BTX Recycling HC'!W180+'BTX Recycling HC'!W232+'BTX Recycling HC'!W266+'BTX Recycling HC'!W105)-'Overall recycling rates'!$E$60/SUM('Overall recycling rates'!$E$60:$E$62)*('BTX Recycling HC'!W181+'BTX Recycling HC'!W233+'BTX Recycling HC'!W267+'BTX Recycling HC'!W106)-'Overall recycling rates'!$H$60/SUM('Overall recycling rates'!$H$60:$H$62)*('BTX Recycling HC'!W182+'BTX Recycling HC'!W234+'BTX Recycling HC'!W268+'BTX Recycling HC'!W107)-'Overall recycling rates'!$I$60/SUM('Overall recycling rates'!$I$60:$I$62)*('BTX Recycling HC'!W183+'BTX Recycling HC'!W235+'BTX Recycling HC'!W269+'BTX Recycling HC'!W108)</f>
        <v>660982.68722325144</v>
      </c>
      <c r="BE110" s="639">
        <f>BE58+BE64-'Overall recycling rates'!$G$60/SUM('Overall recycling rates'!$G$60:$G$62)*('BTX Recycling HC'!X180+'BTX Recycling HC'!X232+'BTX Recycling HC'!X266+'BTX Recycling HC'!X105)-'Overall recycling rates'!$E$60/SUM('Overall recycling rates'!$E$60:$E$62)*('BTX Recycling HC'!X181+'BTX Recycling HC'!X233+'BTX Recycling HC'!X267+'BTX Recycling HC'!X106)-'Overall recycling rates'!$H$60/SUM('Overall recycling rates'!$H$60:$H$62)*('BTX Recycling HC'!X182+'BTX Recycling HC'!X234+'BTX Recycling HC'!X268+'BTX Recycling HC'!X107)-'Overall recycling rates'!$I$60/SUM('Overall recycling rates'!$I$60:$I$62)*('BTX Recycling HC'!X183+'BTX Recycling HC'!X235+'BTX Recycling HC'!X269+'BTX Recycling HC'!X108)</f>
        <v>657224.19646479725</v>
      </c>
      <c r="BF110" s="639">
        <f>BF58+BF64-'Overall recycling rates'!$G$60/SUM('Overall recycling rates'!$G$60:$G$62)*('BTX Recycling HC'!Y180+'BTX Recycling HC'!Y232+'BTX Recycling HC'!Y266+'BTX Recycling HC'!Y105)-'Overall recycling rates'!$E$60/SUM('Overall recycling rates'!$E$60:$E$62)*('BTX Recycling HC'!Y181+'BTX Recycling HC'!Y233+'BTX Recycling HC'!Y267+'BTX Recycling HC'!Y106)-'Overall recycling rates'!$H$60/SUM('Overall recycling rates'!$H$60:$H$62)*('BTX Recycling HC'!Y182+'BTX Recycling HC'!Y234+'BTX Recycling HC'!Y268+'BTX Recycling HC'!Y107)-'Overall recycling rates'!$I$60/SUM('Overall recycling rates'!$I$60:$I$62)*('BTX Recycling HC'!Y183+'BTX Recycling HC'!Y235+'BTX Recycling HC'!Y269+'BTX Recycling HC'!Y108)</f>
        <v>653504.18201814964</v>
      </c>
      <c r="BG110" s="639">
        <f>BG58+BG64-'Overall recycling rates'!$G$60/SUM('Overall recycling rates'!$G$60:$G$62)*('BTX Recycling HC'!Z180+'BTX Recycling HC'!Z232+'BTX Recycling HC'!Z266+'BTX Recycling HC'!Z105)-'Overall recycling rates'!$E$60/SUM('Overall recycling rates'!$E$60:$E$62)*('BTX Recycling HC'!Z181+'BTX Recycling HC'!Z233+'BTX Recycling HC'!Z267+'BTX Recycling HC'!Z106)-'Overall recycling rates'!$H$60/SUM('Overall recycling rates'!$H$60:$H$62)*('BTX Recycling HC'!Z182+'BTX Recycling HC'!Z234+'BTX Recycling HC'!Z268+'BTX Recycling HC'!Z107)-'Overall recycling rates'!$I$60/SUM('Overall recycling rates'!$I$60:$I$62)*('BTX Recycling HC'!Z183+'BTX Recycling HC'!Z235+'BTX Recycling HC'!Z269+'BTX Recycling HC'!Z108)</f>
        <v>649830.41472574545</v>
      </c>
      <c r="BH110" s="639">
        <f>BH58+BH64-'Overall recycling rates'!$G$60/SUM('Overall recycling rates'!$G$60:$G$62)*('BTX Recycling HC'!AA180+'BTX Recycling HC'!AA232+'BTX Recycling HC'!AA266+'BTX Recycling HC'!AA105)-'Overall recycling rates'!$E$60/SUM('Overall recycling rates'!$E$60:$E$62)*('BTX Recycling HC'!AA181+'BTX Recycling HC'!AA233+'BTX Recycling HC'!AA267+'BTX Recycling HC'!AA106)-'Overall recycling rates'!$H$60/SUM('Overall recycling rates'!$H$60:$H$62)*('BTX Recycling HC'!AA182+'BTX Recycling HC'!AA234+'BTX Recycling HC'!AA268+'BTX Recycling HC'!AA107)-'Overall recycling rates'!$I$60/SUM('Overall recycling rates'!$I$60:$I$62)*('BTX Recycling HC'!AA183+'BTX Recycling HC'!AA235+'BTX Recycling HC'!AA269+'BTX Recycling HC'!AA108)</f>
        <v>646197.91346767067</v>
      </c>
      <c r="BI110" s="639">
        <f>BI58+BI64-'Overall recycling rates'!$G$60/SUM('Overall recycling rates'!$G$60:$G$62)*('BTX Recycling HC'!AB180+'BTX Recycling HC'!AB232+'BTX Recycling HC'!AB266+'BTX Recycling HC'!AB105)-'Overall recycling rates'!$E$60/SUM('Overall recycling rates'!$E$60:$E$62)*('BTX Recycling HC'!AB181+'BTX Recycling HC'!AB233+'BTX Recycling HC'!AB267+'BTX Recycling HC'!AB106)-'Overall recycling rates'!$H$60/SUM('Overall recycling rates'!$H$60:$H$62)*('BTX Recycling HC'!AB182+'BTX Recycling HC'!AB234+'BTX Recycling HC'!AB268+'BTX Recycling HC'!AB107)-'Overall recycling rates'!$I$60/SUM('Overall recycling rates'!$I$60:$I$62)*('BTX Recycling HC'!AB183+'BTX Recycling HC'!AB235+'BTX Recycling HC'!AB269+'BTX Recycling HC'!AB108)</f>
        <v>642607.69154875935</v>
      </c>
      <c r="BJ110" s="639">
        <f>BJ58+BJ64-'Overall recycling rates'!$G$60/SUM('Overall recycling rates'!$G$60:$G$62)*('BTX Recycling HC'!AC180+'BTX Recycling HC'!AC232+'BTX Recycling HC'!AC266+'BTX Recycling HC'!AC105)-'Overall recycling rates'!$E$60/SUM('Overall recycling rates'!$E$60:$E$62)*('BTX Recycling HC'!AC181+'BTX Recycling HC'!AC233+'BTX Recycling HC'!AC267+'BTX Recycling HC'!AC106)-'Overall recycling rates'!$H$60/SUM('Overall recycling rates'!$H$60:$H$62)*('BTX Recycling HC'!AC182+'BTX Recycling HC'!AC234+'BTX Recycling HC'!AC268+'BTX Recycling HC'!AC107)-'Overall recycling rates'!$I$60/SUM('Overall recycling rates'!$I$60:$I$62)*('BTX Recycling HC'!AC183+'BTX Recycling HC'!AC235+'BTX Recycling HC'!AC269+'BTX Recycling HC'!AC108)</f>
        <v>639066.81861915148</v>
      </c>
      <c r="BK110" s="639">
        <f>BK58+BK64-'Overall recycling rates'!$G$60/SUM('Overall recycling rates'!$G$60:$G$62)*('BTX Recycling HC'!AD180+'BTX Recycling HC'!AD232+'BTX Recycling HC'!AD266+'BTX Recycling HC'!AD105)-'Overall recycling rates'!$E$60/SUM('Overall recycling rates'!$E$60:$E$62)*('BTX Recycling HC'!AD181+'BTX Recycling HC'!AD233+'BTX Recycling HC'!AD267+'BTX Recycling HC'!AD106)-'Overall recycling rates'!$H$60/SUM('Overall recycling rates'!$H$60:$H$62)*('BTX Recycling HC'!AD182+'BTX Recycling HC'!AD234+'BTX Recycling HC'!AD268+'BTX Recycling HC'!AD107)-'Overall recycling rates'!$I$60/SUM('Overall recycling rates'!$I$60:$I$62)*('BTX Recycling HC'!AD183+'BTX Recycling HC'!AD235+'BTX Recycling HC'!AD269+'BTX Recycling HC'!AD108)</f>
        <v>635570.63437297731</v>
      </c>
      <c r="BL110" s="639">
        <f>BL58+BL64-'Overall recycling rates'!$G$60/SUM('Overall recycling rates'!$G$60:$G$62)*('BTX Recycling HC'!AE180+'BTX Recycling HC'!AE232+'BTX Recycling HC'!AE266+'BTX Recycling HC'!AE105)-'Overall recycling rates'!$E$60/SUM('Overall recycling rates'!$E$60:$E$62)*('BTX Recycling HC'!AE181+'BTX Recycling HC'!AE233+'BTX Recycling HC'!AE267+'BTX Recycling HC'!AE106)-'Overall recycling rates'!$H$60/SUM('Overall recycling rates'!$H$60:$H$62)*('BTX Recycling HC'!AE182+'BTX Recycling HC'!AE234+'BTX Recycling HC'!AE268+'BTX Recycling HC'!AE107)-'Overall recycling rates'!$I$60/SUM('Overall recycling rates'!$I$60:$I$62)*('BTX Recycling HC'!AE183+'BTX Recycling HC'!AE235+'BTX Recycling HC'!AE269+'BTX Recycling HC'!AE108)</f>
        <v>632119.95591885212</v>
      </c>
      <c r="BM110" s="639">
        <f>BM58+BM64-'Overall recycling rates'!$G$60/SUM('Overall recycling rates'!$G$60:$G$62)*('BTX Recycling HC'!AF180+'BTX Recycling HC'!AF232+'BTX Recycling HC'!AF266+'BTX Recycling HC'!AF105)-'Overall recycling rates'!$E$60/SUM('Overall recycling rates'!$E$60:$E$62)*('BTX Recycling HC'!AF181+'BTX Recycling HC'!AF233+'BTX Recycling HC'!AF267+'BTX Recycling HC'!AF106)-'Overall recycling rates'!$H$60/SUM('Overall recycling rates'!$H$60:$H$62)*('BTX Recycling HC'!AF182+'BTX Recycling HC'!AF234+'BTX Recycling HC'!AF268+'BTX Recycling HC'!AF107)-'Overall recycling rates'!$I$60/SUM('Overall recycling rates'!$I$60:$I$62)*('BTX Recycling HC'!AF183+'BTX Recycling HC'!AF235+'BTX Recycling HC'!AF269+'BTX Recycling HC'!AF108)</f>
        <v>628715.53716353141</v>
      </c>
      <c r="BN110" s="639">
        <f>BN58+BN64-'Overall recycling rates'!$G$60/SUM('Overall recycling rates'!$G$60:$G$62)*('BTX Recycling HC'!AG180+'BTX Recycling HC'!AG232+'BTX Recycling HC'!AG266+'BTX Recycling HC'!AG105)-'Overall recycling rates'!$E$60/SUM('Overall recycling rates'!$E$60:$E$62)*('BTX Recycling HC'!AG181+'BTX Recycling HC'!AG233+'BTX Recycling HC'!AG267+'BTX Recycling HC'!AG106)-'Overall recycling rates'!$H$60/SUM('Overall recycling rates'!$H$60:$H$62)*('BTX Recycling HC'!AG182+'BTX Recycling HC'!AG234+'BTX Recycling HC'!AG268+'BTX Recycling HC'!AG107)-'Overall recycling rates'!$I$60/SUM('Overall recycling rates'!$I$60:$I$62)*('BTX Recycling HC'!AG183+'BTX Recycling HC'!AG235+'BTX Recycling HC'!AG269+'BTX Recycling HC'!AG108)</f>
        <v>625358.06998144323</v>
      </c>
    </row>
    <row r="111" spans="1:66" outlineLevel="1">
      <c r="A111" s="685"/>
      <c r="B111" s="1" t="s">
        <v>797</v>
      </c>
      <c r="C111" s="51" t="s">
        <v>166</v>
      </c>
      <c r="D111" s="635">
        <f>D59+D65-'Overall recycling rates'!$G$61/SUM('Overall recycling rates'!$G$60:$G$62)*('BTX Recycling HC'!C180+'BTX Recycling HC'!C232+'BTX Recycling HC'!C266+'BTX Recycling HC'!C105)-'Overall recycling rates'!$E$61/SUM('Overall recycling rates'!$E$60:$E$62)*('BTX Recycling HC'!C181+'BTX Recycling HC'!C233+'BTX Recycling HC'!C267+'BTX Recycling HC'!C106)-'Overall recycling rates'!$H$61/SUM('Overall recycling rates'!$H$60:$H$62)*('BTX Recycling HC'!C182+'BTX Recycling HC'!C234+'BTX Recycling HC'!C268+'BTX Recycling HC'!C107)-'Overall recycling rates'!$I$61/SUM('Overall recycling rates'!$I$60:$I$62)*('BTX Recycling HC'!C183+'BTX Recycling HC'!C235+'BTX Recycling HC'!C269+'BTX Recycling HC'!C108)</f>
        <v>17787.228447671918</v>
      </c>
      <c r="E111" s="635">
        <f>E59+E65-'Overall recycling rates'!$G$61/SUM('Overall recycling rates'!$G$60:$G$62)*('BTX Recycling HC'!D180+'BTX Recycling HC'!D232+'BTX Recycling HC'!D266+'BTX Recycling HC'!D105)-'Overall recycling rates'!$E$61/SUM('Overall recycling rates'!$E$60:$E$62)*('BTX Recycling HC'!D181+'BTX Recycling HC'!D233+'BTX Recycling HC'!D267+'BTX Recycling HC'!D106)-'Overall recycling rates'!$H$61/SUM('Overall recycling rates'!$H$60:$H$62)*('BTX Recycling HC'!D182+'BTX Recycling HC'!D234+'BTX Recycling HC'!D268+'BTX Recycling HC'!D107)-'Overall recycling rates'!$I$61/SUM('Overall recycling rates'!$I$60:$I$62)*('BTX Recycling HC'!D183+'BTX Recycling HC'!D235+'BTX Recycling HC'!D269+'BTX Recycling HC'!D108)</f>
        <v>17498.253517212939</v>
      </c>
      <c r="F111" s="635">
        <f>F59+F65-'Overall recycling rates'!$G$61/SUM('Overall recycling rates'!$G$60:$G$62)*('BTX Recycling HC'!E180+'BTX Recycling HC'!E232+'BTX Recycling HC'!E266+'BTX Recycling HC'!E105)-'Overall recycling rates'!$E$61/SUM('Overall recycling rates'!$E$60:$E$62)*('BTX Recycling HC'!E181+'BTX Recycling HC'!E233+'BTX Recycling HC'!E267+'BTX Recycling HC'!E106)-'Overall recycling rates'!$H$61/SUM('Overall recycling rates'!$H$60:$H$62)*('BTX Recycling HC'!E182+'BTX Recycling HC'!E234+'BTX Recycling HC'!E268+'BTX Recycling HC'!E107)-'Overall recycling rates'!$I$61/SUM('Overall recycling rates'!$I$60:$I$62)*('BTX Recycling HC'!E183+'BTX Recycling HC'!E235+'BTX Recycling HC'!E269+'BTX Recycling HC'!E108)</f>
        <v>17140.329256269841</v>
      </c>
      <c r="G111" s="635">
        <f>G59+G65-'Overall recycling rates'!$G$61/SUM('Overall recycling rates'!$G$60:$G$62)*('BTX Recycling HC'!F180+'BTX Recycling HC'!F232+'BTX Recycling HC'!F266+'BTX Recycling HC'!F105)-'Overall recycling rates'!$E$61/SUM('Overall recycling rates'!$E$60:$E$62)*('BTX Recycling HC'!F181+'BTX Recycling HC'!F233+'BTX Recycling HC'!F267+'BTX Recycling HC'!F106)-'Overall recycling rates'!$H$61/SUM('Overall recycling rates'!$H$60:$H$62)*('BTX Recycling HC'!F182+'BTX Recycling HC'!F234+'BTX Recycling HC'!F268+'BTX Recycling HC'!F107)-'Overall recycling rates'!$I$61/SUM('Overall recycling rates'!$I$60:$I$62)*('BTX Recycling HC'!F183+'BTX Recycling HC'!F235+'BTX Recycling HC'!F269+'BTX Recycling HC'!F108)</f>
        <v>16778.224333135324</v>
      </c>
      <c r="H111" s="635">
        <f>H59+H65-'Overall recycling rates'!$G$61/SUM('Overall recycling rates'!$G$60:$G$62)*('BTX Recycling HC'!G180+'BTX Recycling HC'!G232+'BTX Recycling HC'!G266+'BTX Recycling HC'!G105)-'Overall recycling rates'!$E$61/SUM('Overall recycling rates'!$E$60:$E$62)*('BTX Recycling HC'!G181+'BTX Recycling HC'!G233+'BTX Recycling HC'!G267+'BTX Recycling HC'!G106)-'Overall recycling rates'!$H$61/SUM('Overall recycling rates'!$H$60:$H$62)*('BTX Recycling HC'!G182+'BTX Recycling HC'!G234+'BTX Recycling HC'!G268+'BTX Recycling HC'!G107)-'Overall recycling rates'!$I$61/SUM('Overall recycling rates'!$I$60:$I$62)*('BTX Recycling HC'!G183+'BTX Recycling HC'!G235+'BTX Recycling HC'!G269+'BTX Recycling HC'!G108)</f>
        <v>16413.893920792867</v>
      </c>
      <c r="I111" s="635">
        <f>I59+I65-'Overall recycling rates'!$G$61/SUM('Overall recycling rates'!$G$60:$G$62)*('BTX Recycling HC'!H180+'BTX Recycling HC'!H232+'BTX Recycling HC'!H266+'BTX Recycling HC'!H105)-'Overall recycling rates'!$E$61/SUM('Overall recycling rates'!$E$60:$E$62)*('BTX Recycling HC'!H181+'BTX Recycling HC'!H233+'BTX Recycling HC'!H267+'BTX Recycling HC'!H106)-'Overall recycling rates'!$H$61/SUM('Overall recycling rates'!$H$60:$H$62)*('BTX Recycling HC'!H182+'BTX Recycling HC'!H234+'BTX Recycling HC'!H268+'BTX Recycling HC'!H107)-'Overall recycling rates'!$I$61/SUM('Overall recycling rates'!$I$60:$I$62)*('BTX Recycling HC'!H183+'BTX Recycling HC'!H235+'BTX Recycling HC'!H269+'BTX Recycling HC'!H108)</f>
        <v>16047.321420636879</v>
      </c>
      <c r="J111" s="635">
        <f>J59+J65-'Overall recycling rates'!$G$61/SUM('Overall recycling rates'!$G$60:$G$62)*('BTX Recycling HC'!I180+'BTX Recycling HC'!I232+'BTX Recycling HC'!I266+'BTX Recycling HC'!I105)-'Overall recycling rates'!$E$61/SUM('Overall recycling rates'!$E$60:$E$62)*('BTX Recycling HC'!I181+'BTX Recycling HC'!I233+'BTX Recycling HC'!I267+'BTX Recycling HC'!I106)-'Overall recycling rates'!$H$61/SUM('Overall recycling rates'!$H$60:$H$62)*('BTX Recycling HC'!I182+'BTX Recycling HC'!I234+'BTX Recycling HC'!I268+'BTX Recycling HC'!I107)-'Overall recycling rates'!$I$61/SUM('Overall recycling rates'!$I$60:$I$62)*('BTX Recycling HC'!I183+'BTX Recycling HC'!I235+'BTX Recycling HC'!I269+'BTX Recycling HC'!I108)</f>
        <v>15722.942049117795</v>
      </c>
      <c r="K111" s="635">
        <f>K59+K65-'Overall recycling rates'!$G$61/SUM('Overall recycling rates'!$G$60:$G$62)*('BTX Recycling HC'!J180+'BTX Recycling HC'!J232+'BTX Recycling HC'!J266+'BTX Recycling HC'!J105)-'Overall recycling rates'!$E$61/SUM('Overall recycling rates'!$E$60:$E$62)*('BTX Recycling HC'!J181+'BTX Recycling HC'!J233+'BTX Recycling HC'!J267+'BTX Recycling HC'!J106)-'Overall recycling rates'!$H$61/SUM('Overall recycling rates'!$H$60:$H$62)*('BTX Recycling HC'!J182+'BTX Recycling HC'!J234+'BTX Recycling HC'!J268+'BTX Recycling HC'!J107)-'Overall recycling rates'!$I$61/SUM('Overall recycling rates'!$I$60:$I$62)*('BTX Recycling HC'!J183+'BTX Recycling HC'!J235+'BTX Recycling HC'!J269+'BTX Recycling HC'!J108)</f>
        <v>15401.325695242584</v>
      </c>
      <c r="L111" s="635">
        <f>L59+L65-'Overall recycling rates'!$G$61/SUM('Overall recycling rates'!$G$60:$G$62)*('BTX Recycling HC'!K180+'BTX Recycling HC'!K232+'BTX Recycling HC'!K266+'BTX Recycling HC'!K105)-'Overall recycling rates'!$E$61/SUM('Overall recycling rates'!$E$60:$E$62)*('BTX Recycling HC'!K181+'BTX Recycling HC'!K233+'BTX Recycling HC'!K267+'BTX Recycling HC'!K106)-'Overall recycling rates'!$H$61/SUM('Overall recycling rates'!$H$60:$H$62)*('BTX Recycling HC'!K182+'BTX Recycling HC'!K234+'BTX Recycling HC'!K268+'BTX Recycling HC'!K107)-'Overall recycling rates'!$I$61/SUM('Overall recycling rates'!$I$60:$I$62)*('BTX Recycling HC'!K183+'BTX Recycling HC'!K235+'BTX Recycling HC'!K269+'BTX Recycling HC'!K108)</f>
        <v>15082.727461716129</v>
      </c>
      <c r="M111" s="635">
        <f>M59+M65-'Overall recycling rates'!$G$61/SUM('Overall recycling rates'!$G$60:$G$62)*('BTX Recycling HC'!L180+'BTX Recycling HC'!L232+'BTX Recycling HC'!L266+'BTX Recycling HC'!L105)-'Overall recycling rates'!$E$61/SUM('Overall recycling rates'!$E$60:$E$62)*('BTX Recycling HC'!L181+'BTX Recycling HC'!L233+'BTX Recycling HC'!L267+'BTX Recycling HC'!L106)-'Overall recycling rates'!$H$61/SUM('Overall recycling rates'!$H$60:$H$62)*('BTX Recycling HC'!L182+'BTX Recycling HC'!L234+'BTX Recycling HC'!L268+'BTX Recycling HC'!L107)-'Overall recycling rates'!$I$61/SUM('Overall recycling rates'!$I$60:$I$62)*('BTX Recycling HC'!L183+'BTX Recycling HC'!L235+'BTX Recycling HC'!L269+'BTX Recycling HC'!L108)</f>
        <v>14767.415568126056</v>
      </c>
      <c r="N111" s="635">
        <f>N59+N65-'Overall recycling rates'!$G$61/SUM('Overall recycling rates'!$G$60:$G$62)*('BTX Recycling HC'!M180+'BTX Recycling HC'!M232+'BTX Recycling HC'!M266+'BTX Recycling HC'!M105)-'Overall recycling rates'!$E$61/SUM('Overall recycling rates'!$E$60:$E$62)*('BTX Recycling HC'!M181+'BTX Recycling HC'!M233+'BTX Recycling HC'!M267+'BTX Recycling HC'!M106)-'Overall recycling rates'!$H$61/SUM('Overall recycling rates'!$H$60:$H$62)*('BTX Recycling HC'!M182+'BTX Recycling HC'!M234+'BTX Recycling HC'!M268+'BTX Recycling HC'!M107)-'Overall recycling rates'!$I$61/SUM('Overall recycling rates'!$I$60:$I$62)*('BTX Recycling HC'!M183+'BTX Recycling HC'!M235+'BTX Recycling HC'!M269+'BTX Recycling HC'!M108)</f>
        <v>14455.671350942759</v>
      </c>
      <c r="O111" s="635">
        <f>O59+O65-'Overall recycling rates'!$G$61/SUM('Overall recycling rates'!$G$60:$G$62)*('BTX Recycling HC'!N180+'BTX Recycling HC'!N232+'BTX Recycling HC'!N266+'BTX Recycling HC'!N105)-'Overall recycling rates'!$E$61/SUM('Overall recycling rates'!$E$60:$E$62)*('BTX Recycling HC'!N181+'BTX Recycling HC'!N233+'BTX Recycling HC'!N267+'BTX Recycling HC'!N106)-'Overall recycling rates'!$H$61/SUM('Overall recycling rates'!$H$60:$H$62)*('BTX Recycling HC'!N182+'BTX Recycling HC'!N234+'BTX Recycling HC'!N268+'BTX Recycling HC'!N107)-'Overall recycling rates'!$I$61/SUM('Overall recycling rates'!$I$60:$I$62)*('BTX Recycling HC'!N183+'BTX Recycling HC'!N235+'BTX Recycling HC'!N269+'BTX Recycling HC'!N108)</f>
        <v>13906.837619925916</v>
      </c>
      <c r="P111" s="635">
        <f>P59+P65-'Overall recycling rates'!$G$61/SUM('Overall recycling rates'!$G$60:$G$62)*('BTX Recycling HC'!O180+'BTX Recycling HC'!O232+'BTX Recycling HC'!O266+'BTX Recycling HC'!O105)-'Overall recycling rates'!$E$61/SUM('Overall recycling rates'!$E$60:$E$62)*('BTX Recycling HC'!O181+'BTX Recycling HC'!O233+'BTX Recycling HC'!O267+'BTX Recycling HC'!O106)-'Overall recycling rates'!$H$61/SUM('Overall recycling rates'!$H$60:$H$62)*('BTX Recycling HC'!O182+'BTX Recycling HC'!O234+'BTX Recycling HC'!O268+'BTX Recycling HC'!O107)-'Overall recycling rates'!$I$61/SUM('Overall recycling rates'!$I$60:$I$62)*('BTX Recycling HC'!O183+'BTX Recycling HC'!O235+'BTX Recycling HC'!O269+'BTX Recycling HC'!O108)</f>
        <v>13366.378079750582</v>
      </c>
      <c r="Q111" s="635">
        <f>Q59+Q65-'Overall recycling rates'!$G$61/SUM('Overall recycling rates'!$G$60:$G$62)*('BTX Recycling HC'!P180+'BTX Recycling HC'!P232+'BTX Recycling HC'!P266+'BTX Recycling HC'!P105)-'Overall recycling rates'!$E$61/SUM('Overall recycling rates'!$E$60:$E$62)*('BTX Recycling HC'!P181+'BTX Recycling HC'!P233+'BTX Recycling HC'!P267+'BTX Recycling HC'!P106)-'Overall recycling rates'!$H$61/SUM('Overall recycling rates'!$H$60:$H$62)*('BTX Recycling HC'!P182+'BTX Recycling HC'!P234+'BTX Recycling HC'!P268+'BTX Recycling HC'!P107)-'Overall recycling rates'!$I$61/SUM('Overall recycling rates'!$I$60:$I$62)*('BTX Recycling HC'!P183+'BTX Recycling HC'!P235+'BTX Recycling HC'!P269+'BTX Recycling HC'!P108)</f>
        <v>12835.531694341174</v>
      </c>
      <c r="R111" s="635">
        <f>R59+R65-'Overall recycling rates'!$G$61/SUM('Overall recycling rates'!$G$60:$G$62)*('BTX Recycling HC'!Q180+'BTX Recycling HC'!Q232+'BTX Recycling HC'!Q266+'BTX Recycling HC'!Q105)-'Overall recycling rates'!$E$61/SUM('Overall recycling rates'!$E$60:$E$62)*('BTX Recycling HC'!Q181+'BTX Recycling HC'!Q233+'BTX Recycling HC'!Q267+'BTX Recycling HC'!Q106)-'Overall recycling rates'!$H$61/SUM('Overall recycling rates'!$H$60:$H$62)*('BTX Recycling HC'!Q182+'BTX Recycling HC'!Q234+'BTX Recycling HC'!Q268+'BTX Recycling HC'!Q107)-'Overall recycling rates'!$I$61/SUM('Overall recycling rates'!$I$60:$I$62)*('BTX Recycling HC'!Q183+'BTX Recycling HC'!Q235+'BTX Recycling HC'!Q269+'BTX Recycling HC'!Q108)</f>
        <v>12314.365652227476</v>
      </c>
      <c r="S111" s="635">
        <f>S59+S65-'Overall recycling rates'!$G$61/SUM('Overall recycling rates'!$G$60:$G$62)*('BTX Recycling HC'!R180+'BTX Recycling HC'!R232+'BTX Recycling HC'!R266+'BTX Recycling HC'!R105)-'Overall recycling rates'!$E$61/SUM('Overall recycling rates'!$E$60:$E$62)*('BTX Recycling HC'!R181+'BTX Recycling HC'!R233+'BTX Recycling HC'!R267+'BTX Recycling HC'!R106)-'Overall recycling rates'!$H$61/SUM('Overall recycling rates'!$H$60:$H$62)*('BTX Recycling HC'!R182+'BTX Recycling HC'!R234+'BTX Recycling HC'!R268+'BTX Recycling HC'!R107)-'Overall recycling rates'!$I$61/SUM('Overall recycling rates'!$I$60:$I$62)*('BTX Recycling HC'!R183+'BTX Recycling HC'!R235+'BTX Recycling HC'!R269+'BTX Recycling HC'!R108)</f>
        <v>11803.493948515912</v>
      </c>
      <c r="T111" s="635">
        <f>T59+T65-'Overall recycling rates'!$G$61/SUM('Overall recycling rates'!$G$60:$G$62)*('BTX Recycling HC'!S180+'BTX Recycling HC'!S232+'BTX Recycling HC'!S266+'BTX Recycling HC'!S105)-'Overall recycling rates'!$E$61/SUM('Overall recycling rates'!$E$60:$E$62)*('BTX Recycling HC'!S181+'BTX Recycling HC'!S233+'BTX Recycling HC'!S267+'BTX Recycling HC'!S106)-'Overall recycling rates'!$H$61/SUM('Overall recycling rates'!$H$60:$H$62)*('BTX Recycling HC'!S182+'BTX Recycling HC'!S234+'BTX Recycling HC'!S268+'BTX Recycling HC'!S107)-'Overall recycling rates'!$I$61/SUM('Overall recycling rates'!$I$60:$I$62)*('BTX Recycling HC'!S183+'BTX Recycling HC'!S235+'BTX Recycling HC'!S269+'BTX Recycling HC'!S108)</f>
        <v>11294.610985766374</v>
      </c>
      <c r="U111" s="635">
        <f>U59+U65-'Overall recycling rates'!$G$61/SUM('Overall recycling rates'!$G$60:$G$62)*('BTX Recycling HC'!T180+'BTX Recycling HC'!T232+'BTX Recycling HC'!T266+'BTX Recycling HC'!T105)-'Overall recycling rates'!$E$61/SUM('Overall recycling rates'!$E$60:$E$62)*('BTX Recycling HC'!T181+'BTX Recycling HC'!T233+'BTX Recycling HC'!T267+'BTX Recycling HC'!T106)-'Overall recycling rates'!$H$61/SUM('Overall recycling rates'!$H$60:$H$62)*('BTX Recycling HC'!T182+'BTX Recycling HC'!T234+'BTX Recycling HC'!T268+'BTX Recycling HC'!T107)-'Overall recycling rates'!$I$61/SUM('Overall recycling rates'!$I$60:$I$62)*('BTX Recycling HC'!T183+'BTX Recycling HC'!T235+'BTX Recycling HC'!T269+'BTX Recycling HC'!T108)</f>
        <v>10795.398297343274</v>
      </c>
      <c r="V111" s="635">
        <f>V59+V65-'Overall recycling rates'!$G$61/SUM('Overall recycling rates'!$G$60:$G$62)*('BTX Recycling HC'!U180+'BTX Recycling HC'!U232+'BTX Recycling HC'!U266+'BTX Recycling HC'!U105)-'Overall recycling rates'!$E$61/SUM('Overall recycling rates'!$E$60:$E$62)*('BTX Recycling HC'!U181+'BTX Recycling HC'!U233+'BTX Recycling HC'!U267+'BTX Recycling HC'!U106)-'Overall recycling rates'!$H$61/SUM('Overall recycling rates'!$H$60:$H$62)*('BTX Recycling HC'!U182+'BTX Recycling HC'!U234+'BTX Recycling HC'!U268+'BTX Recycling HC'!U107)-'Overall recycling rates'!$I$61/SUM('Overall recycling rates'!$I$60:$I$62)*('BTX Recycling HC'!U183+'BTX Recycling HC'!U235+'BTX Recycling HC'!U269+'BTX Recycling HC'!U108)</f>
        <v>10306.361969395208</v>
      </c>
      <c r="W111" s="635">
        <f>W59+W65-'Overall recycling rates'!$G$61/SUM('Overall recycling rates'!$G$60:$G$62)*('BTX Recycling HC'!V180+'BTX Recycling HC'!V232+'BTX Recycling HC'!V266+'BTX Recycling HC'!V105)-'Overall recycling rates'!$E$61/SUM('Overall recycling rates'!$E$60:$E$62)*('BTX Recycling HC'!V181+'BTX Recycling HC'!V233+'BTX Recycling HC'!V267+'BTX Recycling HC'!V106)-'Overall recycling rates'!$H$61/SUM('Overall recycling rates'!$H$60:$H$62)*('BTX Recycling HC'!V182+'BTX Recycling HC'!V234+'BTX Recycling HC'!V268+'BTX Recycling HC'!V107)-'Overall recycling rates'!$I$61/SUM('Overall recycling rates'!$I$60:$I$62)*('BTX Recycling HC'!V183+'BTX Recycling HC'!V235+'BTX Recycling HC'!V269+'BTX Recycling HC'!V108)</f>
        <v>9828.0258468425254</v>
      </c>
      <c r="X111" s="635">
        <f>X59+X65-'Overall recycling rates'!$G$61/SUM('Overall recycling rates'!$G$60:$G$62)*('BTX Recycling HC'!W180+'BTX Recycling HC'!W232+'BTX Recycling HC'!W266+'BTX Recycling HC'!W105)-'Overall recycling rates'!$E$61/SUM('Overall recycling rates'!$E$60:$E$62)*('BTX Recycling HC'!W181+'BTX Recycling HC'!W233+'BTX Recycling HC'!W267+'BTX Recycling HC'!W106)-'Overall recycling rates'!$H$61/SUM('Overall recycling rates'!$H$60:$H$62)*('BTX Recycling HC'!W182+'BTX Recycling HC'!W234+'BTX Recycling HC'!W268+'BTX Recycling HC'!W107)-'Overall recycling rates'!$I$61/SUM('Overall recycling rates'!$I$60:$I$62)*('BTX Recycling HC'!W183+'BTX Recycling HC'!W235+'BTX Recycling HC'!W269+'BTX Recycling HC'!W108)</f>
        <v>9360.9313361115292</v>
      </c>
      <c r="Y111" s="635">
        <f>Y59+Y65-'Overall recycling rates'!$G$61/SUM('Overall recycling rates'!$G$60:$G$62)*('BTX Recycling HC'!X180+'BTX Recycling HC'!X232+'BTX Recycling HC'!X266+'BTX Recycling HC'!X105)-'Overall recycling rates'!$E$61/SUM('Overall recycling rates'!$E$60:$E$62)*('BTX Recycling HC'!X181+'BTX Recycling HC'!X233+'BTX Recycling HC'!X267+'BTX Recycling HC'!X106)-'Overall recycling rates'!$H$61/SUM('Overall recycling rates'!$H$60:$H$62)*('BTX Recycling HC'!X182+'BTX Recycling HC'!X234+'BTX Recycling HC'!X268+'BTX Recycling HC'!X107)-'Overall recycling rates'!$I$61/SUM('Overall recycling rates'!$I$60:$I$62)*('BTX Recycling HC'!X183+'BTX Recycling HC'!X235+'BTX Recycling HC'!X269+'BTX Recycling HC'!X108)</f>
        <v>8605.9973831299594</v>
      </c>
      <c r="Z111" s="635">
        <f>Z59+Z65-'Overall recycling rates'!$G$61/SUM('Overall recycling rates'!$G$60:$G$62)*('BTX Recycling HC'!Y180+'BTX Recycling HC'!Y232+'BTX Recycling HC'!Y266+'BTX Recycling HC'!Y105)-'Overall recycling rates'!$E$61/SUM('Overall recycling rates'!$E$60:$E$62)*('BTX Recycling HC'!Y181+'BTX Recycling HC'!Y233+'BTX Recycling HC'!Y267+'BTX Recycling HC'!Y106)-'Overall recycling rates'!$H$61/SUM('Overall recycling rates'!$H$60:$H$62)*('BTX Recycling HC'!Y182+'BTX Recycling HC'!Y234+'BTX Recycling HC'!Y268+'BTX Recycling HC'!Y107)-'Overall recycling rates'!$I$61/SUM('Overall recycling rates'!$I$60:$I$62)*('BTX Recycling HC'!Y183+'BTX Recycling HC'!Y235+'BTX Recycling HC'!Y269+'BTX Recycling HC'!Y108)</f>
        <v>7869.2497425924557</v>
      </c>
      <c r="AA111" s="635">
        <f>AA59+AA65-'Overall recycling rates'!$G$61/SUM('Overall recycling rates'!$G$60:$G$62)*('BTX Recycling HC'!Z180+'BTX Recycling HC'!Z232+'BTX Recycling HC'!Z266+'BTX Recycling HC'!Z105)-'Overall recycling rates'!$E$61/SUM('Overall recycling rates'!$E$60:$E$62)*('BTX Recycling HC'!Z181+'BTX Recycling HC'!Z233+'BTX Recycling HC'!Z267+'BTX Recycling HC'!Z106)-'Overall recycling rates'!$H$61/SUM('Overall recycling rates'!$H$60:$H$62)*('BTX Recycling HC'!Z182+'BTX Recycling HC'!Z234+'BTX Recycling HC'!Z268+'BTX Recycling HC'!Z107)-'Overall recycling rates'!$I$61/SUM('Overall recycling rates'!$I$60:$I$62)*('BTX Recycling HC'!Z183+'BTX Recycling HC'!Z235+'BTX Recycling HC'!Z269+'BTX Recycling HC'!Z108)</f>
        <v>7154.9423393764255</v>
      </c>
      <c r="AB111" s="635">
        <f>AB59+AB65-'Overall recycling rates'!$G$61/SUM('Overall recycling rates'!$G$60:$G$62)*('BTX Recycling HC'!AA180+'BTX Recycling HC'!AA232+'BTX Recycling HC'!AA266+'BTX Recycling HC'!AA105)-'Overall recycling rates'!$E$61/SUM('Overall recycling rates'!$E$60:$E$62)*('BTX Recycling HC'!AA181+'BTX Recycling HC'!AA233+'BTX Recycling HC'!AA267+'BTX Recycling HC'!AA106)-'Overall recycling rates'!$H$61/SUM('Overall recycling rates'!$H$60:$H$62)*('BTX Recycling HC'!AA182+'BTX Recycling HC'!AA234+'BTX Recycling HC'!AA268+'BTX Recycling HC'!AA107)-'Overall recycling rates'!$I$61/SUM('Overall recycling rates'!$I$60:$I$62)*('BTX Recycling HC'!AA183+'BTX Recycling HC'!AA235+'BTX Recycling HC'!AA269+'BTX Recycling HC'!AA108)</f>
        <v>6461.0481570176134</v>
      </c>
      <c r="AC111" s="635">
        <f>AC59+AC65-'Overall recycling rates'!$G$61/SUM('Overall recycling rates'!$G$60:$G$62)*('BTX Recycling HC'!AB180+'BTX Recycling HC'!AB232+'BTX Recycling HC'!AB266+'BTX Recycling HC'!AB105)-'Overall recycling rates'!$E$61/SUM('Overall recycling rates'!$E$60:$E$62)*('BTX Recycling HC'!AB181+'BTX Recycling HC'!AB233+'BTX Recycling HC'!AB267+'BTX Recycling HC'!AB106)-'Overall recycling rates'!$H$61/SUM('Overall recycling rates'!$H$60:$H$62)*('BTX Recycling HC'!AB182+'BTX Recycling HC'!AB234+'BTX Recycling HC'!AB268+'BTX Recycling HC'!AB107)-'Overall recycling rates'!$I$61/SUM('Overall recycling rates'!$I$60:$I$62)*('BTX Recycling HC'!AB183+'BTX Recycling HC'!AB235+'BTX Recycling HC'!AB269+'BTX Recycling HC'!AB108)</f>
        <v>5788.456571270106</v>
      </c>
      <c r="AD111" s="635">
        <f>AD59+AD65-'Overall recycling rates'!$G$61/SUM('Overall recycling rates'!$G$60:$G$62)*('BTX Recycling HC'!AC180+'BTX Recycling HC'!AC232+'BTX Recycling HC'!AC266+'BTX Recycling HC'!AC105)-'Overall recycling rates'!$E$61/SUM('Overall recycling rates'!$E$60:$E$62)*('BTX Recycling HC'!AC181+'BTX Recycling HC'!AC233+'BTX Recycling HC'!AC267+'BTX Recycling HC'!AC106)-'Overall recycling rates'!$H$61/SUM('Overall recycling rates'!$H$60:$H$62)*('BTX Recycling HC'!AC182+'BTX Recycling HC'!AC234+'BTX Recycling HC'!AC268+'BTX Recycling HC'!AC107)-'Overall recycling rates'!$I$61/SUM('Overall recycling rates'!$I$60:$I$62)*('BTX Recycling HC'!AC183+'BTX Recycling HC'!AC235+'BTX Recycling HC'!AC269+'BTX Recycling HC'!AC108)</f>
        <v>5152.8372614108603</v>
      </c>
      <c r="AE111" s="635">
        <f>AE59+AE65-'Overall recycling rates'!$G$61/SUM('Overall recycling rates'!$G$60:$G$62)*('BTX Recycling HC'!AD180+'BTX Recycling HC'!AD232+'BTX Recycling HC'!AD266+'BTX Recycling HC'!AD105)-'Overall recycling rates'!$E$61/SUM('Overall recycling rates'!$E$60:$E$62)*('BTX Recycling HC'!AD181+'BTX Recycling HC'!AD233+'BTX Recycling HC'!AD267+'BTX Recycling HC'!AD106)-'Overall recycling rates'!$H$61/SUM('Overall recycling rates'!$H$60:$H$62)*('BTX Recycling HC'!AD182+'BTX Recycling HC'!AD234+'BTX Recycling HC'!AD268+'BTX Recycling HC'!AD107)-'Overall recycling rates'!$I$61/SUM('Overall recycling rates'!$I$60:$I$62)*('BTX Recycling HC'!AD183+'BTX Recycling HC'!AD235+'BTX Recycling HC'!AD269+'BTX Recycling HC'!AD108)</f>
        <v>4542.7858708751464</v>
      </c>
      <c r="AF111" s="635">
        <f>AF59+AF65-'Overall recycling rates'!$G$61/SUM('Overall recycling rates'!$G$60:$G$62)*('BTX Recycling HC'!AE180+'BTX Recycling HC'!AE232+'BTX Recycling HC'!AE266+'BTX Recycling HC'!AE105)-'Overall recycling rates'!$E$61/SUM('Overall recycling rates'!$E$60:$E$62)*('BTX Recycling HC'!AE181+'BTX Recycling HC'!AE233+'BTX Recycling HC'!AE267+'BTX Recycling HC'!AE106)-'Overall recycling rates'!$H$61/SUM('Overall recycling rates'!$H$60:$H$62)*('BTX Recycling HC'!AE182+'BTX Recycling HC'!AE234+'BTX Recycling HC'!AE268+'BTX Recycling HC'!AE107)-'Overall recycling rates'!$I$61/SUM('Overall recycling rates'!$I$60:$I$62)*('BTX Recycling HC'!AE183+'BTX Recycling HC'!AE235+'BTX Recycling HC'!AE269+'BTX Recycling HC'!AE108)</f>
        <v>3959.3866543946351</v>
      </c>
      <c r="AG111" s="635">
        <f>AG59+AG65-'Overall recycling rates'!$G$61/SUM('Overall recycling rates'!$G$60:$G$62)*('BTX Recycling HC'!AF180+'BTX Recycling HC'!AF232+'BTX Recycling HC'!AF266+'BTX Recycling HC'!AF105)-'Overall recycling rates'!$E$61/SUM('Overall recycling rates'!$E$60:$E$62)*('BTX Recycling HC'!AF181+'BTX Recycling HC'!AF233+'BTX Recycling HC'!AF267+'BTX Recycling HC'!AF106)-'Overall recycling rates'!$H$61/SUM('Overall recycling rates'!$H$60:$H$62)*('BTX Recycling HC'!AF182+'BTX Recycling HC'!AF234+'BTX Recycling HC'!AF268+'BTX Recycling HC'!AF107)-'Overall recycling rates'!$I$61/SUM('Overall recycling rates'!$I$60:$I$62)*('BTX Recycling HC'!AF183+'BTX Recycling HC'!AF235+'BTX Recycling HC'!AF269+'BTX Recycling HC'!AF108)</f>
        <v>3403.7329220556094</v>
      </c>
      <c r="AH111" s="635">
        <f>AH59+AH65-'Overall recycling rates'!$G$61/SUM('Overall recycling rates'!$G$60:$G$62)*('BTX Recycling HC'!AG180+'BTX Recycling HC'!AG232+'BTX Recycling HC'!AG266+'BTX Recycling HC'!AG105)-'Overall recycling rates'!$E$61/SUM('Overall recycling rates'!$E$60:$E$62)*('BTX Recycling HC'!AG181+'BTX Recycling HC'!AG233+'BTX Recycling HC'!AG267+'BTX Recycling HC'!AG106)-'Overall recycling rates'!$H$61/SUM('Overall recycling rates'!$H$60:$H$62)*('BTX Recycling HC'!AG182+'BTX Recycling HC'!AG234+'BTX Recycling HC'!AG268+'BTX Recycling HC'!AG107)-'Overall recycling rates'!$I$61/SUM('Overall recycling rates'!$I$60:$I$62)*('BTX Recycling HC'!AG183+'BTX Recycling HC'!AG235+'BTX Recycling HC'!AG269+'BTX Recycling HC'!AG108)</f>
        <v>2876.9253400882935</v>
      </c>
      <c r="AI111" s="635"/>
      <c r="AJ111" s="635">
        <f>AJ59+AJ65-'Overall recycling rates'!$G$61/SUM('Overall recycling rates'!$G$60:$G$62)*('BTX Recycling HC'!C180+'BTX Recycling HC'!C232+'BTX Recycling HC'!C266+'BTX Recycling HC'!C105)-'Overall recycling rates'!$E$61/SUM('Overall recycling rates'!$E$60:$E$62)*('BTX Recycling HC'!C181+'BTX Recycling HC'!C233+'BTX Recycling HC'!C267+'BTX Recycling HC'!C106)-'Overall recycling rates'!$H$61/SUM('Overall recycling rates'!$H$60:$H$62)*('BTX Recycling HC'!C182+'BTX Recycling HC'!C234+'BTX Recycling HC'!C268+'BTX Recycling HC'!C107)-'Overall recycling rates'!$I$61/SUM('Overall recycling rates'!$I$60:$I$62)*('BTX Recycling HC'!C183+'BTX Recycling HC'!C235+'BTX Recycling HC'!C269+'BTX Recycling HC'!C108)</f>
        <v>17787.228447671918</v>
      </c>
      <c r="AK111" s="635">
        <f>AK59+AK65-'Overall recycling rates'!$G$61/SUM('Overall recycling rates'!$G$60:$G$62)*('BTX Recycling HC'!D180+'BTX Recycling HC'!D232+'BTX Recycling HC'!D266+'BTX Recycling HC'!D105)-'Overall recycling rates'!$E$61/SUM('Overall recycling rates'!$E$60:$E$62)*('BTX Recycling HC'!D181+'BTX Recycling HC'!D233+'BTX Recycling HC'!D267+'BTX Recycling HC'!D106)-'Overall recycling rates'!$H$61/SUM('Overall recycling rates'!$H$60:$H$62)*('BTX Recycling HC'!D182+'BTX Recycling HC'!D234+'BTX Recycling HC'!D268+'BTX Recycling HC'!D107)-'Overall recycling rates'!$I$61/SUM('Overall recycling rates'!$I$60:$I$62)*('BTX Recycling HC'!D183+'BTX Recycling HC'!D235+'BTX Recycling HC'!D269+'BTX Recycling HC'!D108)</f>
        <v>17556.951371090257</v>
      </c>
      <c r="AL111" s="635">
        <f>AL59+AL65-'Overall recycling rates'!$G$61/SUM('Overall recycling rates'!$G$60:$G$62)*('BTX Recycling HC'!E180+'BTX Recycling HC'!E232+'BTX Recycling HC'!E266+'BTX Recycling HC'!E105)-'Overall recycling rates'!$E$61/SUM('Overall recycling rates'!$E$60:$E$62)*('BTX Recycling HC'!E181+'BTX Recycling HC'!E233+'BTX Recycling HC'!E267+'BTX Recycling HC'!E106)-'Overall recycling rates'!$H$61/SUM('Overall recycling rates'!$H$60:$H$62)*('BTX Recycling HC'!E182+'BTX Recycling HC'!E234+'BTX Recycling HC'!E268+'BTX Recycling HC'!E107)-'Overall recycling rates'!$I$61/SUM('Overall recycling rates'!$I$60:$I$62)*('BTX Recycling HC'!E183+'BTX Recycling HC'!E235+'BTX Recycling HC'!E269+'BTX Recycling HC'!E108)</f>
        <v>17257.724964024477</v>
      </c>
      <c r="AM111" s="635">
        <f>AM59+AM65-'Overall recycling rates'!$G$61/SUM('Overall recycling rates'!$G$60:$G$62)*('BTX Recycling HC'!F180+'BTX Recycling HC'!F232+'BTX Recycling HC'!F266+'BTX Recycling HC'!F105)-'Overall recycling rates'!$E$61/SUM('Overall recycling rates'!$E$60:$E$62)*('BTX Recycling HC'!F181+'BTX Recycling HC'!F233+'BTX Recycling HC'!F267+'BTX Recycling HC'!F106)-'Overall recycling rates'!$H$61/SUM('Overall recycling rates'!$H$60:$H$62)*('BTX Recycling HC'!F182+'BTX Recycling HC'!F234+'BTX Recycling HC'!F268+'BTX Recycling HC'!F107)-'Overall recycling rates'!$I$61/SUM('Overall recycling rates'!$I$60:$I$62)*('BTX Recycling HC'!F183+'BTX Recycling HC'!F235+'BTX Recycling HC'!F269+'BTX Recycling HC'!F108)</f>
        <v>16954.317894767275</v>
      </c>
      <c r="AN111" s="635">
        <f>AN59+AN65-'Overall recycling rates'!$G$61/SUM('Overall recycling rates'!$G$60:$G$62)*('BTX Recycling HC'!G180+'BTX Recycling HC'!G232+'BTX Recycling HC'!G266+'BTX Recycling HC'!G105)-'Overall recycling rates'!$E$61/SUM('Overall recycling rates'!$E$60:$E$62)*('BTX Recycling HC'!G181+'BTX Recycling HC'!G233+'BTX Recycling HC'!G267+'BTX Recycling HC'!G106)-'Overall recycling rates'!$H$61/SUM('Overall recycling rates'!$H$60:$H$62)*('BTX Recycling HC'!G182+'BTX Recycling HC'!G234+'BTX Recycling HC'!G268+'BTX Recycling HC'!G107)-'Overall recycling rates'!$I$61/SUM('Overall recycling rates'!$I$60:$I$62)*('BTX Recycling HC'!G183+'BTX Recycling HC'!G235+'BTX Recycling HC'!G269+'BTX Recycling HC'!G108)</f>
        <v>16648.685336302133</v>
      </c>
      <c r="AO111" s="635">
        <f>AO59+AO65-'Overall recycling rates'!$G$61/SUM('Overall recycling rates'!$G$60:$G$62)*('BTX Recycling HC'!H180+'BTX Recycling HC'!H232+'BTX Recycling HC'!H266+'BTX Recycling HC'!H105)-'Overall recycling rates'!$E$61/SUM('Overall recycling rates'!$E$60:$E$62)*('BTX Recycling HC'!H181+'BTX Recycling HC'!H233+'BTX Recycling HC'!H267+'BTX Recycling HC'!H106)-'Overall recycling rates'!$H$61/SUM('Overall recycling rates'!$H$60:$H$62)*('BTX Recycling HC'!H182+'BTX Recycling HC'!H234+'BTX Recycling HC'!H268+'BTX Recycling HC'!H107)-'Overall recycling rates'!$I$61/SUM('Overall recycling rates'!$I$60:$I$62)*('BTX Recycling HC'!H183+'BTX Recycling HC'!H235+'BTX Recycling HC'!H269+'BTX Recycling HC'!H108)</f>
        <v>16340.810690023462</v>
      </c>
      <c r="AP111" s="635">
        <f>AP59+AP65-'Overall recycling rates'!$G$61/SUM('Overall recycling rates'!$G$60:$G$62)*('BTX Recycling HC'!I180+'BTX Recycling HC'!I232+'BTX Recycling HC'!I266+'BTX Recycling HC'!I105)-'Overall recycling rates'!$E$61/SUM('Overall recycling rates'!$E$60:$E$62)*('BTX Recycling HC'!I181+'BTX Recycling HC'!I233+'BTX Recycling HC'!I267+'BTX Recycling HC'!I106)-'Overall recycling rates'!$H$61/SUM('Overall recycling rates'!$H$60:$H$62)*('BTX Recycling HC'!I182+'BTX Recycling HC'!I234+'BTX Recycling HC'!I268+'BTX Recycling HC'!I107)-'Overall recycling rates'!$I$61/SUM('Overall recycling rates'!$I$60:$I$62)*('BTX Recycling HC'!I183+'BTX Recycling HC'!I235+'BTX Recycling HC'!I269+'BTX Recycling HC'!I108)</f>
        <v>16075.129172381701</v>
      </c>
      <c r="AQ111" s="635">
        <f>AQ59+AQ65-'Overall recycling rates'!$G$61/SUM('Overall recycling rates'!$G$60:$G$62)*('BTX Recycling HC'!J180+'BTX Recycling HC'!J232+'BTX Recycling HC'!J266+'BTX Recycling HC'!J105)-'Overall recycling rates'!$E$61/SUM('Overall recycling rates'!$E$60:$E$62)*('BTX Recycling HC'!J181+'BTX Recycling HC'!J233+'BTX Recycling HC'!J267+'BTX Recycling HC'!J106)-'Overall recycling rates'!$H$61/SUM('Overall recycling rates'!$H$60:$H$62)*('BTX Recycling HC'!J182+'BTX Recycling HC'!J234+'BTX Recycling HC'!J268+'BTX Recycling HC'!J107)-'Overall recycling rates'!$I$61/SUM('Overall recycling rates'!$I$60:$I$62)*('BTX Recycling HC'!J183+'BTX Recycling HC'!J235+'BTX Recycling HC'!J269+'BTX Recycling HC'!J108)</f>
        <v>15812.210672383804</v>
      </c>
      <c r="AR111" s="635">
        <f>AR59+AR65-'Overall recycling rates'!$G$61/SUM('Overall recycling rates'!$G$60:$G$62)*('BTX Recycling HC'!K180+'BTX Recycling HC'!K232+'BTX Recycling HC'!K266+'BTX Recycling HC'!K105)-'Overall recycling rates'!$E$61/SUM('Overall recycling rates'!$E$60:$E$62)*('BTX Recycling HC'!K181+'BTX Recycling HC'!K233+'BTX Recycling HC'!K267+'BTX Recycling HC'!K106)-'Overall recycling rates'!$H$61/SUM('Overall recycling rates'!$H$60:$H$62)*('BTX Recycling HC'!K182+'BTX Recycling HC'!K234+'BTX Recycling HC'!K268+'BTX Recycling HC'!K107)-'Overall recycling rates'!$I$61/SUM('Overall recycling rates'!$I$60:$I$62)*('BTX Recycling HC'!K183+'BTX Recycling HC'!K235+'BTX Recycling HC'!K269+'BTX Recycling HC'!K108)</f>
        <v>15552.310292734672</v>
      </c>
      <c r="AS111" s="635">
        <f>AS59+AS65-'Overall recycling rates'!$G$61/SUM('Overall recycling rates'!$G$60:$G$62)*('BTX Recycling HC'!L180+'BTX Recycling HC'!L232+'BTX Recycling HC'!L266+'BTX Recycling HC'!L105)-'Overall recycling rates'!$E$61/SUM('Overall recycling rates'!$E$60:$E$62)*('BTX Recycling HC'!L181+'BTX Recycling HC'!L233+'BTX Recycling HC'!L267+'BTX Recycling HC'!L106)-'Overall recycling rates'!$H$61/SUM('Overall recycling rates'!$H$60:$H$62)*('BTX Recycling HC'!L182+'BTX Recycling HC'!L234+'BTX Recycling HC'!L268+'BTX Recycling HC'!L107)-'Overall recycling rates'!$I$61/SUM('Overall recycling rates'!$I$60:$I$62)*('BTX Recycling HC'!L183+'BTX Recycling HC'!L235+'BTX Recycling HC'!L269+'BTX Recycling HC'!L108)</f>
        <v>15295.69625302191</v>
      </c>
      <c r="AT111" s="635">
        <f>AT59+AT65-'Overall recycling rates'!$G$61/SUM('Overall recycling rates'!$G$60:$G$62)*('BTX Recycling HC'!M180+'BTX Recycling HC'!M232+'BTX Recycling HC'!M266+'BTX Recycling HC'!M105)-'Overall recycling rates'!$E$61/SUM('Overall recycling rates'!$E$60:$E$62)*('BTX Recycling HC'!M181+'BTX Recycling HC'!M233+'BTX Recycling HC'!M267+'BTX Recycling HC'!M106)-'Overall recycling rates'!$H$61/SUM('Overall recycling rates'!$H$60:$H$62)*('BTX Recycling HC'!M182+'BTX Recycling HC'!M234+'BTX Recycling HC'!M268+'BTX Recycling HC'!M107)-'Overall recycling rates'!$I$61/SUM('Overall recycling rates'!$I$60:$I$62)*('BTX Recycling HC'!M183+'BTX Recycling HC'!M235+'BTX Recycling HC'!M269+'BTX Recycling HC'!M108)</f>
        <v>15042.649889715933</v>
      </c>
      <c r="AU111" s="635">
        <f>AU59+AU65-'Overall recycling rates'!$G$61/SUM('Overall recycling rates'!$G$60:$G$62)*('BTX Recycling HC'!N180+'BTX Recycling HC'!N232+'BTX Recycling HC'!N266+'BTX Recycling HC'!N105)-'Overall recycling rates'!$E$61/SUM('Overall recycling rates'!$E$60:$E$62)*('BTX Recycling HC'!N181+'BTX Recycling HC'!N233+'BTX Recycling HC'!N267+'BTX Recycling HC'!N106)-'Overall recycling rates'!$H$61/SUM('Overall recycling rates'!$H$60:$H$62)*('BTX Recycling HC'!N182+'BTX Recycling HC'!N234+'BTX Recycling HC'!N268+'BTX Recycling HC'!N107)-'Overall recycling rates'!$I$61/SUM('Overall recycling rates'!$I$60:$I$62)*('BTX Recycling HC'!N183+'BTX Recycling HC'!N235+'BTX Recycling HC'!N269+'BTX Recycling HC'!N108)</f>
        <v>14552.514012576414</v>
      </c>
      <c r="AV111" s="635">
        <f>AV59+AV65-'Overall recycling rates'!$G$61/SUM('Overall recycling rates'!$G$60:$G$62)*('BTX Recycling HC'!O180+'BTX Recycling HC'!O232+'BTX Recycling HC'!O266+'BTX Recycling HC'!O105)-'Overall recycling rates'!$E$61/SUM('Overall recycling rates'!$E$60:$E$62)*('BTX Recycling HC'!O181+'BTX Recycling HC'!O233+'BTX Recycling HC'!O267+'BTX Recycling HC'!O106)-'Overall recycling rates'!$H$61/SUM('Overall recycling rates'!$H$60:$H$62)*('BTX Recycling HC'!O182+'BTX Recycling HC'!O234+'BTX Recycling HC'!O268+'BTX Recycling HC'!O107)-'Overall recycling rates'!$I$61/SUM('Overall recycling rates'!$I$60:$I$62)*('BTX Recycling HC'!O183+'BTX Recycling HC'!O235+'BTX Recycling HC'!O269+'BTX Recycling HC'!O108)</f>
        <v>14070.752326278383</v>
      </c>
      <c r="AW111" s="635">
        <f>AW59+AW65-'Overall recycling rates'!$G$61/SUM('Overall recycling rates'!$G$60:$G$62)*('BTX Recycling HC'!P180+'BTX Recycling HC'!P232+'BTX Recycling HC'!P266+'BTX Recycling HC'!P105)-'Overall recycling rates'!$E$61/SUM('Overall recycling rates'!$E$60:$E$62)*('BTX Recycling HC'!P181+'BTX Recycling HC'!P233+'BTX Recycling HC'!P267+'BTX Recycling HC'!P106)-'Overall recycling rates'!$H$61/SUM('Overall recycling rates'!$H$60:$H$62)*('BTX Recycling HC'!P182+'BTX Recycling HC'!P234+'BTX Recycling HC'!P268+'BTX Recycling HC'!P107)-'Overall recycling rates'!$I$61/SUM('Overall recycling rates'!$I$60:$I$62)*('BTX Recycling HC'!P183+'BTX Recycling HC'!P235+'BTX Recycling HC'!P269+'BTX Recycling HC'!P108)</f>
        <v>13598.603794746299</v>
      </c>
      <c r="AX111" s="635">
        <f>AX59+AX65-'Overall recycling rates'!$G$61/SUM('Overall recycling rates'!$G$60:$G$62)*('BTX Recycling HC'!Q180+'BTX Recycling HC'!Q232+'BTX Recycling HC'!Q266+'BTX Recycling HC'!Q105)-'Overall recycling rates'!$E$61/SUM('Overall recycling rates'!$E$60:$E$62)*('BTX Recycling HC'!Q181+'BTX Recycling HC'!Q233+'BTX Recycling HC'!Q267+'BTX Recycling HC'!Q106)-'Overall recycling rates'!$H$61/SUM('Overall recycling rates'!$H$60:$H$62)*('BTX Recycling HC'!Q182+'BTX Recycling HC'!Q234+'BTX Recycling HC'!Q268+'BTX Recycling HC'!Q107)-'Overall recycling rates'!$I$61/SUM('Overall recycling rates'!$I$60:$I$62)*('BTX Recycling HC'!Q183+'BTX Recycling HC'!Q235+'BTX Recycling HC'!Q269+'BTX Recycling HC'!Q108)</f>
        <v>13136.135606509913</v>
      </c>
      <c r="AY111" s="635">
        <f>AY59+AY65-'Overall recycling rates'!$G$61/SUM('Overall recycling rates'!$G$60:$G$62)*('BTX Recycling HC'!R180+'BTX Recycling HC'!R232+'BTX Recycling HC'!R266+'BTX Recycling HC'!R105)-'Overall recycling rates'!$E$61/SUM('Overall recycling rates'!$E$60:$E$62)*('BTX Recycling HC'!R181+'BTX Recycling HC'!R233+'BTX Recycling HC'!R267+'BTX Recycling HC'!R106)-'Overall recycling rates'!$H$61/SUM('Overall recycling rates'!$H$60:$H$62)*('BTX Recycling HC'!R182+'BTX Recycling HC'!R234+'BTX Recycling HC'!R268+'BTX Recycling HC'!R107)-'Overall recycling rates'!$I$61/SUM('Overall recycling rates'!$I$60:$I$62)*('BTX Recycling HC'!R183+'BTX Recycling HC'!R235+'BTX Recycling HC'!R269+'BTX Recycling HC'!R108)</f>
        <v>12683.961756675668</v>
      </c>
      <c r="AZ111" s="635">
        <f>AZ59+AZ65-'Overall recycling rates'!$G$61/SUM('Overall recycling rates'!$G$60:$G$62)*('BTX Recycling HC'!S180+'BTX Recycling HC'!S232+'BTX Recycling HC'!S266+'BTX Recycling HC'!S105)-'Overall recycling rates'!$E$61/SUM('Overall recycling rates'!$E$60:$E$62)*('BTX Recycling HC'!S181+'BTX Recycling HC'!S233+'BTX Recycling HC'!S267+'BTX Recycling HC'!S106)-'Overall recycling rates'!$H$61/SUM('Overall recycling rates'!$H$60:$H$62)*('BTX Recycling HC'!S182+'BTX Recycling HC'!S234+'BTX Recycling HC'!S268+'BTX Recycling HC'!S107)-'Overall recycling rates'!$I$61/SUM('Overall recycling rates'!$I$60:$I$62)*('BTX Recycling HC'!S183+'BTX Recycling HC'!S235+'BTX Recycling HC'!S269+'BTX Recycling HC'!S108)</f>
        <v>12233.776647803448</v>
      </c>
      <c r="BA111" s="635">
        <f>BA59+BA65-'Overall recycling rates'!$G$61/SUM('Overall recycling rates'!$G$60:$G$62)*('BTX Recycling HC'!T180+'BTX Recycling HC'!T232+'BTX Recycling HC'!T266+'BTX Recycling HC'!T105)-'Overall recycling rates'!$E$61/SUM('Overall recycling rates'!$E$60:$E$62)*('BTX Recycling HC'!T181+'BTX Recycling HC'!T233+'BTX Recycling HC'!T267+'BTX Recycling HC'!T106)-'Overall recycling rates'!$H$61/SUM('Overall recycling rates'!$H$60:$H$62)*('BTX Recycling HC'!T182+'BTX Recycling HC'!T234+'BTX Recycling HC'!T268+'BTX Recycling HC'!T107)-'Overall recycling rates'!$I$61/SUM('Overall recycling rates'!$I$60:$I$62)*('BTX Recycling HC'!T183+'BTX Recycling HC'!T235+'BTX Recycling HC'!T269+'BTX Recycling HC'!T108)</f>
        <v>11793.26181325767</v>
      </c>
      <c r="BB111" s="635">
        <f>BB59+BB65-'Overall recycling rates'!$G$61/SUM('Overall recycling rates'!$G$60:$G$62)*('BTX Recycling HC'!U180+'BTX Recycling HC'!U232+'BTX Recycling HC'!U266+'BTX Recycling HC'!U105)-'Overall recycling rates'!$E$61/SUM('Overall recycling rates'!$E$60:$E$62)*('BTX Recycling HC'!U181+'BTX Recycling HC'!U233+'BTX Recycling HC'!U267+'BTX Recycling HC'!U106)-'Overall recycling rates'!$H$61/SUM('Overall recycling rates'!$H$60:$H$62)*('BTX Recycling HC'!U182+'BTX Recycling HC'!U234+'BTX Recycling HC'!U268+'BTX Recycling HC'!U107)-'Overall recycling rates'!$I$61/SUM('Overall recycling rates'!$I$60:$I$62)*('BTX Recycling HC'!U183+'BTX Recycling HC'!U235+'BTX Recycling HC'!U269+'BTX Recycling HC'!U108)</f>
        <v>11362.92333918692</v>
      </c>
      <c r="BC111" s="635">
        <f>BC59+BC65-'Overall recycling rates'!$G$61/SUM('Overall recycling rates'!$G$60:$G$62)*('BTX Recycling HC'!V180+'BTX Recycling HC'!V232+'BTX Recycling HC'!V266+'BTX Recycling HC'!V105)-'Overall recycling rates'!$E$61/SUM('Overall recycling rates'!$E$60:$E$62)*('BTX Recycling HC'!V181+'BTX Recycling HC'!V233+'BTX Recycling HC'!V267+'BTX Recycling HC'!V106)-'Overall recycling rates'!$H$61/SUM('Overall recycling rates'!$H$60:$H$62)*('BTX Recycling HC'!V182+'BTX Recycling HC'!V234+'BTX Recycling HC'!V268+'BTX Recycling HC'!V107)-'Overall recycling rates'!$I$61/SUM('Overall recycling rates'!$I$60:$I$62)*('BTX Recycling HC'!V183+'BTX Recycling HC'!V235+'BTX Recycling HC'!V269+'BTX Recycling HC'!V108)</f>
        <v>10943.285070511554</v>
      </c>
      <c r="BD111" s="635">
        <f>BD59+BD65-'Overall recycling rates'!$G$61/SUM('Overall recycling rates'!$G$60:$G$62)*('BTX Recycling HC'!W180+'BTX Recycling HC'!W232+'BTX Recycling HC'!W266+'BTX Recycling HC'!W105)-'Overall recycling rates'!$E$61/SUM('Overall recycling rates'!$E$60:$E$62)*('BTX Recycling HC'!W181+'BTX Recycling HC'!W233+'BTX Recycling HC'!W267+'BTX Recycling HC'!W106)-'Overall recycling rates'!$H$61/SUM('Overall recycling rates'!$H$60:$H$62)*('BTX Recycling HC'!W182+'BTX Recycling HC'!W234+'BTX Recycling HC'!W268+'BTX Recycling HC'!W107)-'Overall recycling rates'!$I$61/SUM('Overall recycling rates'!$I$60:$I$62)*('BTX Recycling HC'!W183+'BTX Recycling HC'!W235+'BTX Recycling HC'!W269+'BTX Recycling HC'!W108)</f>
        <v>10534.888413657869</v>
      </c>
      <c r="BE111" s="635">
        <f>BE59+BE65-'Overall recycling rates'!$G$61/SUM('Overall recycling rates'!$G$60:$G$62)*('BTX Recycling HC'!X180+'BTX Recycling HC'!X232+'BTX Recycling HC'!X266+'BTX Recycling HC'!X105)-'Overall recycling rates'!$E$61/SUM('Overall recycling rates'!$E$60:$E$62)*('BTX Recycling HC'!X181+'BTX Recycling HC'!X233+'BTX Recycling HC'!X267+'BTX Recycling HC'!X106)-'Overall recycling rates'!$H$61/SUM('Overall recycling rates'!$H$60:$H$62)*('BTX Recycling HC'!X182+'BTX Recycling HC'!X234+'BTX Recycling HC'!X268+'BTX Recycling HC'!X107)-'Overall recycling rates'!$I$61/SUM('Overall recycling rates'!$I$60:$I$62)*('BTX Recycling HC'!X183+'BTX Recycling HC'!X235+'BTX Recycling HC'!X269+'BTX Recycling HC'!X108)</f>
        <v>9840.4310373983844</v>
      </c>
      <c r="BF111" s="635">
        <f>BF59+BF65-'Overall recycling rates'!$G$61/SUM('Overall recycling rates'!$G$60:$G$62)*('BTX Recycling HC'!Y180+'BTX Recycling HC'!Y232+'BTX Recycling HC'!Y266+'BTX Recycling HC'!Y105)-'Overall recycling rates'!$E$61/SUM('Overall recycling rates'!$E$60:$E$62)*('BTX Recycling HC'!Y181+'BTX Recycling HC'!Y233+'BTX Recycling HC'!Y267+'BTX Recycling HC'!Y106)-'Overall recycling rates'!$H$61/SUM('Overall recycling rates'!$H$60:$H$62)*('BTX Recycling HC'!Y182+'BTX Recycling HC'!Y234+'BTX Recycling HC'!Y268+'BTX Recycling HC'!Y107)-'Overall recycling rates'!$I$61/SUM('Overall recycling rates'!$I$60:$I$62)*('BTX Recycling HC'!Y183+'BTX Recycling HC'!Y235+'BTX Recycling HC'!Y269+'BTX Recycling HC'!Y108)</f>
        <v>9164.1599735829714</v>
      </c>
      <c r="BG111" s="635">
        <f>BG59+BG65-'Overall recycling rates'!$G$61/SUM('Overall recycling rates'!$G$60:$G$62)*('BTX Recycling HC'!Z180+'BTX Recycling HC'!Z232+'BTX Recycling HC'!Z266+'BTX Recycling HC'!Z105)-'Overall recycling rates'!$E$61/SUM('Overall recycling rates'!$E$60:$E$62)*('BTX Recycling HC'!Z181+'BTX Recycling HC'!Z233+'BTX Recycling HC'!Z267+'BTX Recycling HC'!Z106)-'Overall recycling rates'!$H$61/SUM('Overall recycling rates'!$H$60:$H$62)*('BTX Recycling HC'!Z182+'BTX Recycling HC'!Z234+'BTX Recycling HC'!Z268+'BTX Recycling HC'!Z107)-'Overall recycling rates'!$I$61/SUM('Overall recycling rates'!$I$60:$I$62)*('BTX Recycling HC'!Z183+'BTX Recycling HC'!Z235+'BTX Recycling HC'!Z269+'BTX Recycling HC'!Z108)</f>
        <v>8510.3291470890235</v>
      </c>
      <c r="BH111" s="635">
        <f>BH59+BH65-'Overall recycling rates'!$G$61/SUM('Overall recycling rates'!$G$60:$G$62)*('BTX Recycling HC'!AA180+'BTX Recycling HC'!AA232+'BTX Recycling HC'!AA266+'BTX Recycling HC'!AA105)-'Overall recycling rates'!$E$61/SUM('Overall recycling rates'!$E$60:$E$62)*('BTX Recycling HC'!AA181+'BTX Recycling HC'!AA233+'BTX Recycling HC'!AA267+'BTX Recycling HC'!AA106)-'Overall recycling rates'!$H$61/SUM('Overall recycling rates'!$H$60:$H$62)*('BTX Recycling HC'!AA182+'BTX Recycling HC'!AA234+'BTX Recycling HC'!AA268+'BTX Recycling HC'!AA107)-'Overall recycling rates'!$I$61/SUM('Overall recycling rates'!$I$60:$I$62)*('BTX Recycling HC'!AA183+'BTX Recycling HC'!AA235+'BTX Recycling HC'!AA269+'BTX Recycling HC'!AA108)</f>
        <v>7876.9115414522985</v>
      </c>
      <c r="BI111" s="635">
        <f>BI59+BI65-'Overall recycling rates'!$G$61/SUM('Overall recycling rates'!$G$60:$G$62)*('BTX Recycling HC'!AB180+'BTX Recycling HC'!AB232+'BTX Recycling HC'!AB266+'BTX Recycling HC'!AB105)-'Overall recycling rates'!$E$61/SUM('Overall recycling rates'!$E$60:$E$62)*('BTX Recycling HC'!AB181+'BTX Recycling HC'!AB233+'BTX Recycling HC'!AB267+'BTX Recycling HC'!AB106)-'Overall recycling rates'!$H$61/SUM('Overall recycling rates'!$H$60:$H$62)*('BTX Recycling HC'!AB182+'BTX Recycling HC'!AB234+'BTX Recycling HC'!AB268+'BTX Recycling HC'!AB107)-'Overall recycling rates'!$I$61/SUM('Overall recycling rates'!$I$60:$I$62)*('BTX Recycling HC'!AB183+'BTX Recycling HC'!AB235+'BTX Recycling HC'!AB269+'BTX Recycling HC'!AB108)</f>
        <v>7264.7965324268707</v>
      </c>
      <c r="BJ111" s="635">
        <f>BJ59+BJ65-'Overall recycling rates'!$G$61/SUM('Overall recycling rates'!$G$60:$G$62)*('BTX Recycling HC'!AC180+'BTX Recycling HC'!AC232+'BTX Recycling HC'!AC266+'BTX Recycling HC'!AC105)-'Overall recycling rates'!$E$61/SUM('Overall recycling rates'!$E$60:$E$62)*('BTX Recycling HC'!AC181+'BTX Recycling HC'!AC233+'BTX Recycling HC'!AC267+'BTX Recycling HC'!AC106)-'Overall recycling rates'!$H$61/SUM('Overall recycling rates'!$H$60:$H$62)*('BTX Recycling HC'!AC182+'BTX Recycling HC'!AC234+'BTX Recycling HC'!AC268+'BTX Recycling HC'!AC107)-'Overall recycling rates'!$I$61/SUM('Overall recycling rates'!$I$60:$I$62)*('BTX Recycling HC'!AC183+'BTX Recycling HC'!AC235+'BTX Recycling HC'!AC269+'BTX Recycling HC'!AC108)</f>
        <v>6689.6537992897129</v>
      </c>
      <c r="BK111" s="635">
        <f>BK59+BK65-'Overall recycling rates'!$G$61/SUM('Overall recycling rates'!$G$60:$G$62)*('BTX Recycling HC'!AD180+'BTX Recycling HC'!AD232+'BTX Recycling HC'!AD266+'BTX Recycling HC'!AD105)-'Overall recycling rates'!$E$61/SUM('Overall recycling rates'!$E$60:$E$62)*('BTX Recycling HC'!AD181+'BTX Recycling HC'!AD233+'BTX Recycling HC'!AD267+'BTX Recycling HC'!AD106)-'Overall recycling rates'!$H$61/SUM('Overall recycling rates'!$H$60:$H$62)*('BTX Recycling HC'!AD182+'BTX Recycling HC'!AD234+'BTX Recycling HC'!AD268+'BTX Recycling HC'!AD107)-'Overall recycling rates'!$I$61/SUM('Overall recycling rates'!$I$60:$I$62)*('BTX Recycling HC'!AD183+'BTX Recycling HC'!AD235+'BTX Recycling HC'!AD269+'BTX Recycling HC'!AD108)</f>
        <v>6140.0789854760806</v>
      </c>
      <c r="BL111" s="635">
        <f>BL59+BL65-'Overall recycling rates'!$G$61/SUM('Overall recycling rates'!$G$60:$G$62)*('BTX Recycling HC'!AE180+'BTX Recycling HC'!AE232+'BTX Recycling HC'!AE266+'BTX Recycling HC'!AE105)-'Overall recycling rates'!$E$61/SUM('Overall recycling rates'!$E$60:$E$62)*('BTX Recycling HC'!AE181+'BTX Recycling HC'!AE233+'BTX Recycling HC'!AE267+'BTX Recycling HC'!AE106)-'Overall recycling rates'!$H$61/SUM('Overall recycling rates'!$H$60:$H$62)*('BTX Recycling HC'!AE182+'BTX Recycling HC'!AE234+'BTX Recycling HC'!AE268+'BTX Recycling HC'!AE107)-'Overall recycling rates'!$I$61/SUM('Overall recycling rates'!$I$60:$I$62)*('BTX Recycling HC'!AE183+'BTX Recycling HC'!AE235+'BTX Recycling HC'!AE269+'BTX Recycling HC'!AE108)</f>
        <v>5617.156345717658</v>
      </c>
      <c r="BM111" s="635">
        <f>BM59+BM65-'Overall recycling rates'!$G$61/SUM('Overall recycling rates'!$G$60:$G$62)*('BTX Recycling HC'!AF180+'BTX Recycling HC'!AF232+'BTX Recycling HC'!AF266+'BTX Recycling HC'!AF105)-'Overall recycling rates'!$E$61/SUM('Overall recycling rates'!$E$60:$E$62)*('BTX Recycling HC'!AF181+'BTX Recycling HC'!AF233+'BTX Recycling HC'!AF267+'BTX Recycling HC'!AF106)-'Overall recycling rates'!$H$61/SUM('Overall recycling rates'!$H$60:$H$62)*('BTX Recycling HC'!AF182+'BTX Recycling HC'!AF234+'BTX Recycling HC'!AF268+'BTX Recycling HC'!AF107)-'Overall recycling rates'!$I$61/SUM('Overall recycling rates'!$I$60:$I$62)*('BTX Recycling HC'!AF183+'BTX Recycling HC'!AF235+'BTX Recycling HC'!AF269+'BTX Recycling HC'!AF108)</f>
        <v>5121.9791901007138</v>
      </c>
      <c r="BN111" s="635">
        <f>BN59+BN65-'Overall recycling rates'!$G$61/SUM('Overall recycling rates'!$G$60:$G$62)*('BTX Recycling HC'!AG180+'BTX Recycling HC'!AG232+'BTX Recycling HC'!AG266+'BTX Recycling HC'!AG105)-'Overall recycling rates'!$E$61/SUM('Overall recycling rates'!$E$60:$E$62)*('BTX Recycling HC'!AG181+'BTX Recycling HC'!AG233+'BTX Recycling HC'!AG267+'BTX Recycling HC'!AG106)-'Overall recycling rates'!$H$61/SUM('Overall recycling rates'!$H$60:$H$62)*('BTX Recycling HC'!AG182+'BTX Recycling HC'!AG234+'BTX Recycling HC'!AG268+'BTX Recycling HC'!AG107)-'Overall recycling rates'!$I$61/SUM('Overall recycling rates'!$I$60:$I$62)*('BTX Recycling HC'!AG183+'BTX Recycling HC'!AG235+'BTX Recycling HC'!AG269+'BTX Recycling HC'!AG108)</f>
        <v>4655.6481848554831</v>
      </c>
    </row>
    <row r="112" spans="1:66" s="63" customFormat="1" outlineLevel="1">
      <c r="A112" s="686"/>
      <c r="B112" s="59" t="s">
        <v>1301</v>
      </c>
      <c r="C112" s="262" t="s">
        <v>166</v>
      </c>
      <c r="D112" s="638">
        <f>D60+D66-'Overall recycling rates'!$G$62/SUM('Overall recycling rates'!$G$60:$G$62)*('BTX Recycling HC'!C180+'BTX Recycling HC'!C232+'BTX Recycling HC'!C266+'BTX Recycling HC'!C105)-'Overall recycling rates'!$E$62/SUM('Overall recycling rates'!$E$60:$E$62)*('BTX Recycling HC'!C181+'BTX Recycling HC'!C233+'BTX Recycling HC'!C267+'BTX Recycling HC'!C106)-'Overall recycling rates'!$H$62/SUM('Overall recycling rates'!$H$60:$H$62)*('BTX Recycling HC'!C182+'BTX Recycling HC'!C234+'BTX Recycling HC'!C268+'BTX Recycling HC'!C107)-'Overall recycling rates'!$I$62/SUM('Overall recycling rates'!$I$60:$I$62)*('BTX Recycling HC'!C183+'BTX Recycling HC'!C235+'BTX Recycling HC'!C269+'BTX Recycling HC'!C108)</f>
        <v>94898.337117036892</v>
      </c>
      <c r="E112" s="638">
        <f>E60+E66-'Overall recycling rates'!$G$62/SUM('Overall recycling rates'!$G$60:$G$62)*('BTX Recycling HC'!D180+'BTX Recycling HC'!D232+'BTX Recycling HC'!D266+'BTX Recycling HC'!D105)-'Overall recycling rates'!$E$62/SUM('Overall recycling rates'!$E$60:$E$62)*('BTX Recycling HC'!D181+'BTX Recycling HC'!D233+'BTX Recycling HC'!D267+'BTX Recycling HC'!D106)-'Overall recycling rates'!$H$62/SUM('Overall recycling rates'!$H$60:$H$62)*('BTX Recycling HC'!D182+'BTX Recycling HC'!D234+'BTX Recycling HC'!D268+'BTX Recycling HC'!D107)-'Overall recycling rates'!$I$62/SUM('Overall recycling rates'!$I$60:$I$62)*('BTX Recycling HC'!D183+'BTX Recycling HC'!D235+'BTX Recycling HC'!D269+'BTX Recycling HC'!D108)</f>
        <v>94648.401387861421</v>
      </c>
      <c r="F112" s="638">
        <f>F60+F66-'Overall recycling rates'!$G$62/SUM('Overall recycling rates'!$G$60:$G$62)*('BTX Recycling HC'!E180+'BTX Recycling HC'!E232+'BTX Recycling HC'!E266+'BTX Recycling HC'!E105)-'Overall recycling rates'!$E$62/SUM('Overall recycling rates'!$E$60:$E$62)*('BTX Recycling HC'!E181+'BTX Recycling HC'!E233+'BTX Recycling HC'!E267+'BTX Recycling HC'!E106)-'Overall recycling rates'!$H$62/SUM('Overall recycling rates'!$H$60:$H$62)*('BTX Recycling HC'!E182+'BTX Recycling HC'!E234+'BTX Recycling HC'!E268+'BTX Recycling HC'!E107)-'Overall recycling rates'!$I$62/SUM('Overall recycling rates'!$I$60:$I$62)*('BTX Recycling HC'!E183+'BTX Recycling HC'!E235+'BTX Recycling HC'!E269+'BTX Recycling HC'!E108)</f>
        <v>93733.063382885288</v>
      </c>
      <c r="G112" s="638">
        <f>G60+G66-'Overall recycling rates'!$G$62/SUM('Overall recycling rates'!$G$60:$G$62)*('BTX Recycling HC'!F180+'BTX Recycling HC'!F232+'BTX Recycling HC'!F266+'BTX Recycling HC'!F105)-'Overall recycling rates'!$E$62/SUM('Overall recycling rates'!$E$60:$E$62)*('BTX Recycling HC'!F181+'BTX Recycling HC'!F233+'BTX Recycling HC'!F267+'BTX Recycling HC'!F106)-'Overall recycling rates'!$H$62/SUM('Overall recycling rates'!$H$60:$H$62)*('BTX Recycling HC'!F182+'BTX Recycling HC'!F234+'BTX Recycling HC'!F268+'BTX Recycling HC'!F107)-'Overall recycling rates'!$I$62/SUM('Overall recycling rates'!$I$60:$I$62)*('BTX Recycling HC'!F183+'BTX Recycling HC'!F235+'BTX Recycling HC'!F269+'BTX Recycling HC'!F108)</f>
        <v>92786.178788449542</v>
      </c>
      <c r="H112" s="638">
        <f>H60+H66-'Overall recycling rates'!$G$62/SUM('Overall recycling rates'!$G$60:$G$62)*('BTX Recycling HC'!G180+'BTX Recycling HC'!G232+'BTX Recycling HC'!G266+'BTX Recycling HC'!G105)-'Overall recycling rates'!$E$62/SUM('Overall recycling rates'!$E$60:$E$62)*('BTX Recycling HC'!G181+'BTX Recycling HC'!G233+'BTX Recycling HC'!G267+'BTX Recycling HC'!G106)-'Overall recycling rates'!$H$62/SUM('Overall recycling rates'!$H$60:$H$62)*('BTX Recycling HC'!G182+'BTX Recycling HC'!G234+'BTX Recycling HC'!G268+'BTX Recycling HC'!G107)-'Overall recycling rates'!$I$62/SUM('Overall recycling rates'!$I$60:$I$62)*('BTX Recycling HC'!G183+'BTX Recycling HC'!G235+'BTX Recycling HC'!G269+'BTX Recycling HC'!G108)</f>
        <v>91825.315439668775</v>
      </c>
      <c r="I112" s="638">
        <f>I60+I66-'Overall recycling rates'!$G$62/SUM('Overall recycling rates'!$G$60:$G$62)*('BTX Recycling HC'!H180+'BTX Recycling HC'!H232+'BTX Recycling HC'!H266+'BTX Recycling HC'!H105)-'Overall recycling rates'!$E$62/SUM('Overall recycling rates'!$E$60:$E$62)*('BTX Recycling HC'!H181+'BTX Recycling HC'!H233+'BTX Recycling HC'!H267+'BTX Recycling HC'!H106)-'Overall recycling rates'!$H$62/SUM('Overall recycling rates'!$H$60:$H$62)*('BTX Recycling HC'!H182+'BTX Recycling HC'!H234+'BTX Recycling HC'!H268+'BTX Recycling HC'!H107)-'Overall recycling rates'!$I$62/SUM('Overall recycling rates'!$I$60:$I$62)*('BTX Recycling HC'!H183+'BTX Recycling HC'!H235+'BTX Recycling HC'!H269+'BTX Recycling HC'!H108)</f>
        <v>90849.348763430462</v>
      </c>
      <c r="J112" s="638">
        <f>J60+J66-'Overall recycling rates'!$G$62/SUM('Overall recycling rates'!$G$60:$G$62)*('BTX Recycling HC'!I180+'BTX Recycling HC'!I232+'BTX Recycling HC'!I266+'BTX Recycling HC'!I105)-'Overall recycling rates'!$E$62/SUM('Overall recycling rates'!$E$60:$E$62)*('BTX Recycling HC'!I181+'BTX Recycling HC'!I233+'BTX Recycling HC'!I267+'BTX Recycling HC'!I106)-'Overall recycling rates'!$H$62/SUM('Overall recycling rates'!$H$60:$H$62)*('BTX Recycling HC'!I182+'BTX Recycling HC'!I234+'BTX Recycling HC'!I268+'BTX Recycling HC'!I107)-'Overall recycling rates'!$I$62/SUM('Overall recycling rates'!$I$60:$I$62)*('BTX Recycling HC'!I183+'BTX Recycling HC'!I235+'BTX Recycling HC'!I269+'BTX Recycling HC'!I108)</f>
        <v>89950.570910817609</v>
      </c>
      <c r="K112" s="638">
        <f>K60+K66-'Overall recycling rates'!$G$62/SUM('Overall recycling rates'!$G$60:$G$62)*('BTX Recycling HC'!J180+'BTX Recycling HC'!J232+'BTX Recycling HC'!J266+'BTX Recycling HC'!J105)-'Overall recycling rates'!$E$62/SUM('Overall recycling rates'!$E$60:$E$62)*('BTX Recycling HC'!J181+'BTX Recycling HC'!J233+'BTX Recycling HC'!J267+'BTX Recycling HC'!J106)-'Overall recycling rates'!$H$62/SUM('Overall recycling rates'!$H$60:$H$62)*('BTX Recycling HC'!J182+'BTX Recycling HC'!J234+'BTX Recycling HC'!J268+'BTX Recycling HC'!J107)-'Overall recycling rates'!$I$62/SUM('Overall recycling rates'!$I$60:$I$62)*('BTX Recycling HC'!J183+'BTX Recycling HC'!J235+'BTX Recycling HC'!J269+'BTX Recycling HC'!J108)</f>
        <v>89059.116447900364</v>
      </c>
      <c r="L112" s="638">
        <f>L60+L66-'Overall recycling rates'!$G$62/SUM('Overall recycling rates'!$G$60:$G$62)*('BTX Recycling HC'!K180+'BTX Recycling HC'!K232+'BTX Recycling HC'!K266+'BTX Recycling HC'!K105)-'Overall recycling rates'!$E$62/SUM('Overall recycling rates'!$E$60:$E$62)*('BTX Recycling HC'!K181+'BTX Recycling HC'!K233+'BTX Recycling HC'!K267+'BTX Recycling HC'!K106)-'Overall recycling rates'!$H$62/SUM('Overall recycling rates'!$H$60:$H$62)*('BTX Recycling HC'!K182+'BTX Recycling HC'!K234+'BTX Recycling HC'!K268+'BTX Recycling HC'!K107)-'Overall recycling rates'!$I$62/SUM('Overall recycling rates'!$I$60:$I$62)*('BTX Recycling HC'!K183+'BTX Recycling HC'!K235+'BTX Recycling HC'!K269+'BTX Recycling HC'!K108)</f>
        <v>88176.394668185094</v>
      </c>
      <c r="M112" s="638">
        <f>M60+M66-'Overall recycling rates'!$G$62/SUM('Overall recycling rates'!$G$60:$G$62)*('BTX Recycling HC'!L180+'BTX Recycling HC'!L232+'BTX Recycling HC'!L266+'BTX Recycling HC'!L105)-'Overall recycling rates'!$E$62/SUM('Overall recycling rates'!$E$60:$E$62)*('BTX Recycling HC'!L181+'BTX Recycling HC'!L233+'BTX Recycling HC'!L267+'BTX Recycling HC'!L106)-'Overall recycling rates'!$H$62/SUM('Overall recycling rates'!$H$60:$H$62)*('BTX Recycling HC'!L182+'BTX Recycling HC'!L234+'BTX Recycling HC'!L268+'BTX Recycling HC'!L107)-'Overall recycling rates'!$I$62/SUM('Overall recycling rates'!$I$60:$I$62)*('BTX Recycling HC'!L183+'BTX Recycling HC'!L235+'BTX Recycling HC'!L269+'BTX Recycling HC'!L108)</f>
        <v>87303.911510235601</v>
      </c>
      <c r="N112" s="638">
        <f>N60+N66-'Overall recycling rates'!$G$62/SUM('Overall recycling rates'!$G$60:$G$62)*('BTX Recycling HC'!M180+'BTX Recycling HC'!M232+'BTX Recycling HC'!M266+'BTX Recycling HC'!M105)-'Overall recycling rates'!$E$62/SUM('Overall recycling rates'!$E$60:$E$62)*('BTX Recycling HC'!M181+'BTX Recycling HC'!M233+'BTX Recycling HC'!M267+'BTX Recycling HC'!M106)-'Overall recycling rates'!$H$62/SUM('Overall recycling rates'!$H$60:$H$62)*('BTX Recycling HC'!M182+'BTX Recycling HC'!M234+'BTX Recycling HC'!M268+'BTX Recycling HC'!M107)-'Overall recycling rates'!$I$62/SUM('Overall recycling rates'!$I$60:$I$62)*('BTX Recycling HC'!M183+'BTX Recycling HC'!M235+'BTX Recycling HC'!M269+'BTX Recycling HC'!M108)</f>
        <v>86443.26956151356</v>
      </c>
      <c r="O112" s="638">
        <f>O60+O66-'Overall recycling rates'!$G$62/SUM('Overall recycling rates'!$G$60:$G$62)*('BTX Recycling HC'!N180+'BTX Recycling HC'!N232+'BTX Recycling HC'!N266+'BTX Recycling HC'!N105)-'Overall recycling rates'!$E$62/SUM('Overall recycling rates'!$E$60:$E$62)*('BTX Recycling HC'!N181+'BTX Recycling HC'!N233+'BTX Recycling HC'!N267+'BTX Recycling HC'!N106)-'Overall recycling rates'!$H$62/SUM('Overall recycling rates'!$H$60:$H$62)*('BTX Recycling HC'!N182+'BTX Recycling HC'!N234+'BTX Recycling HC'!N268+'BTX Recycling HC'!N107)-'Overall recycling rates'!$I$62/SUM('Overall recycling rates'!$I$60:$I$62)*('BTX Recycling HC'!N183+'BTX Recycling HC'!N235+'BTX Recycling HC'!N269+'BTX Recycling HC'!N108)</f>
        <v>85318.06604402863</v>
      </c>
      <c r="P112" s="638">
        <f>P60+P66-'Overall recycling rates'!$G$62/SUM('Overall recycling rates'!$G$60:$G$62)*('BTX Recycling HC'!O180+'BTX Recycling HC'!O232+'BTX Recycling HC'!O266+'BTX Recycling HC'!O105)-'Overall recycling rates'!$E$62/SUM('Overall recycling rates'!$E$60:$E$62)*('BTX Recycling HC'!O181+'BTX Recycling HC'!O233+'BTX Recycling HC'!O267+'BTX Recycling HC'!O106)-'Overall recycling rates'!$H$62/SUM('Overall recycling rates'!$H$60:$H$62)*('BTX Recycling HC'!O182+'BTX Recycling HC'!O234+'BTX Recycling HC'!O268+'BTX Recycling HC'!O107)-'Overall recycling rates'!$I$62/SUM('Overall recycling rates'!$I$60:$I$62)*('BTX Recycling HC'!O183+'BTX Recycling HC'!O235+'BTX Recycling HC'!O269+'BTX Recycling HC'!O108)</f>
        <v>84223.986403419462</v>
      </c>
      <c r="Q112" s="638">
        <f>Q60+Q66-'Overall recycling rates'!$G$62/SUM('Overall recycling rates'!$G$60:$G$62)*('BTX Recycling HC'!P180+'BTX Recycling HC'!P232+'BTX Recycling HC'!P266+'BTX Recycling HC'!P105)-'Overall recycling rates'!$E$62/SUM('Overall recycling rates'!$E$60:$E$62)*('BTX Recycling HC'!P181+'BTX Recycling HC'!P233+'BTX Recycling HC'!P267+'BTX Recycling HC'!P106)-'Overall recycling rates'!$H$62/SUM('Overall recycling rates'!$H$60:$H$62)*('BTX Recycling HC'!P182+'BTX Recycling HC'!P234+'BTX Recycling HC'!P268+'BTX Recycling HC'!P107)-'Overall recycling rates'!$I$62/SUM('Overall recycling rates'!$I$60:$I$62)*('BTX Recycling HC'!P183+'BTX Recycling HC'!P235+'BTX Recycling HC'!P269+'BTX Recycling HC'!P108)</f>
        <v>83163.566097691553</v>
      </c>
      <c r="R112" s="638">
        <f>R60+R66-'Overall recycling rates'!$G$62/SUM('Overall recycling rates'!$G$60:$G$62)*('BTX Recycling HC'!Q180+'BTX Recycling HC'!Q232+'BTX Recycling HC'!Q266+'BTX Recycling HC'!Q105)-'Overall recycling rates'!$E$62/SUM('Overall recycling rates'!$E$60:$E$62)*('BTX Recycling HC'!Q181+'BTX Recycling HC'!Q233+'BTX Recycling HC'!Q267+'BTX Recycling HC'!Q106)-'Overall recycling rates'!$H$62/SUM('Overall recycling rates'!$H$60:$H$62)*('BTX Recycling HC'!Q182+'BTX Recycling HC'!Q234+'BTX Recycling HC'!Q268+'BTX Recycling HC'!Q107)-'Overall recycling rates'!$I$62/SUM('Overall recycling rates'!$I$60:$I$62)*('BTX Recycling HC'!Q183+'BTX Recycling HC'!Q235+'BTX Recycling HC'!Q269+'BTX Recycling HC'!Q108)</f>
        <v>82138.96034289604</v>
      </c>
      <c r="S112" s="638">
        <f>S60+S66-'Overall recycling rates'!$G$62/SUM('Overall recycling rates'!$G$60:$G$62)*('BTX Recycling HC'!R180+'BTX Recycling HC'!R232+'BTX Recycling HC'!R266+'BTX Recycling HC'!R105)-'Overall recycling rates'!$E$62/SUM('Overall recycling rates'!$E$60:$E$62)*('BTX Recycling HC'!R181+'BTX Recycling HC'!R233+'BTX Recycling HC'!R267+'BTX Recycling HC'!R106)-'Overall recycling rates'!$H$62/SUM('Overall recycling rates'!$H$60:$H$62)*('BTX Recycling HC'!R182+'BTX Recycling HC'!R234+'BTX Recycling HC'!R268+'BTX Recycling HC'!R107)-'Overall recycling rates'!$I$62/SUM('Overall recycling rates'!$I$60:$I$62)*('BTX Recycling HC'!R183+'BTX Recycling HC'!R235+'BTX Recycling HC'!R269+'BTX Recycling HC'!R108)</f>
        <v>81152.812963800097</v>
      </c>
      <c r="T112" s="638">
        <f>T60+T66-'Overall recycling rates'!$G$62/SUM('Overall recycling rates'!$G$60:$G$62)*('BTX Recycling HC'!S180+'BTX Recycling HC'!S232+'BTX Recycling HC'!S266+'BTX Recycling HC'!S105)-'Overall recycling rates'!$E$62/SUM('Overall recycling rates'!$E$60:$E$62)*('BTX Recycling HC'!S181+'BTX Recycling HC'!S233+'BTX Recycling HC'!S267+'BTX Recycling HC'!S106)-'Overall recycling rates'!$H$62/SUM('Overall recycling rates'!$H$60:$H$62)*('BTX Recycling HC'!S182+'BTX Recycling HC'!S234+'BTX Recycling HC'!S268+'BTX Recycling HC'!S107)-'Overall recycling rates'!$I$62/SUM('Overall recycling rates'!$I$60:$I$62)*('BTX Recycling HC'!S183+'BTX Recycling HC'!S235+'BTX Recycling HC'!S269+'BTX Recycling HC'!S108)</f>
        <v>80121.613222095315</v>
      </c>
      <c r="U112" s="638">
        <f>U60+U66-'Overall recycling rates'!$G$62/SUM('Overall recycling rates'!$G$60:$G$62)*('BTX Recycling HC'!T180+'BTX Recycling HC'!T232+'BTX Recycling HC'!T266+'BTX Recycling HC'!T105)-'Overall recycling rates'!$E$62/SUM('Overall recycling rates'!$E$60:$E$62)*('BTX Recycling HC'!T181+'BTX Recycling HC'!T233+'BTX Recycling HC'!T267+'BTX Recycling HC'!T106)-'Overall recycling rates'!$H$62/SUM('Overall recycling rates'!$H$60:$H$62)*('BTX Recycling HC'!T182+'BTX Recycling HC'!T234+'BTX Recycling HC'!T268+'BTX Recycling HC'!T107)-'Overall recycling rates'!$I$62/SUM('Overall recycling rates'!$I$60:$I$62)*('BTX Recycling HC'!T183+'BTX Recycling HC'!T235+'BTX Recycling HC'!T269+'BTX Recycling HC'!T108)</f>
        <v>79116.237104831496</v>
      </c>
      <c r="V112" s="638">
        <f>V60+V66-'Overall recycling rates'!$G$62/SUM('Overall recycling rates'!$G$60:$G$62)*('BTX Recycling HC'!U180+'BTX Recycling HC'!U232+'BTX Recycling HC'!U266+'BTX Recycling HC'!U105)-'Overall recycling rates'!$E$62/SUM('Overall recycling rates'!$E$60:$E$62)*('BTX Recycling HC'!U181+'BTX Recycling HC'!U233+'BTX Recycling HC'!U267+'BTX Recycling HC'!U106)-'Overall recycling rates'!$H$62/SUM('Overall recycling rates'!$H$60:$H$62)*('BTX Recycling HC'!U182+'BTX Recycling HC'!U234+'BTX Recycling HC'!U268+'BTX Recycling HC'!U107)-'Overall recycling rates'!$I$62/SUM('Overall recycling rates'!$I$60:$I$62)*('BTX Recycling HC'!U183+'BTX Recycling HC'!U235+'BTX Recycling HC'!U269+'BTX Recycling HC'!U108)</f>
        <v>78138.253955585446</v>
      </c>
      <c r="W112" s="638">
        <f>W60+W66-'Overall recycling rates'!$G$62/SUM('Overall recycling rates'!$G$60:$G$62)*('BTX Recycling HC'!V180+'BTX Recycling HC'!V232+'BTX Recycling HC'!V266+'BTX Recycling HC'!V105)-'Overall recycling rates'!$E$62/SUM('Overall recycling rates'!$E$60:$E$62)*('BTX Recycling HC'!V181+'BTX Recycling HC'!V233+'BTX Recycling HC'!V267+'BTX Recycling HC'!V106)-'Overall recycling rates'!$H$62/SUM('Overall recycling rates'!$H$60:$H$62)*('BTX Recycling HC'!V182+'BTX Recycling HC'!V234+'BTX Recycling HC'!V268+'BTX Recycling HC'!V107)-'Overall recycling rates'!$I$62/SUM('Overall recycling rates'!$I$60:$I$62)*('BTX Recycling HC'!V183+'BTX Recycling HC'!V235+'BTX Recycling HC'!V269+'BTX Recycling HC'!V108)</f>
        <v>77189.39752975016</v>
      </c>
      <c r="X112" s="638">
        <f>X60+X66-'Overall recycling rates'!$G$62/SUM('Overall recycling rates'!$G$60:$G$62)*('BTX Recycling HC'!W180+'BTX Recycling HC'!W232+'BTX Recycling HC'!W266+'BTX Recycling HC'!W105)-'Overall recycling rates'!$E$62/SUM('Overall recycling rates'!$E$60:$E$62)*('BTX Recycling HC'!W181+'BTX Recycling HC'!W233+'BTX Recycling HC'!W267+'BTX Recycling HC'!W106)-'Overall recycling rates'!$H$62/SUM('Overall recycling rates'!$H$60:$H$62)*('BTX Recycling HC'!W182+'BTX Recycling HC'!W234+'BTX Recycling HC'!W268+'BTX Recycling HC'!W107)-'Overall recycling rates'!$I$62/SUM('Overall recycling rates'!$I$60:$I$62)*('BTX Recycling HC'!W183+'BTX Recycling HC'!W235+'BTX Recycling HC'!W269+'BTX Recycling HC'!W108)</f>
        <v>76271.565975377031</v>
      </c>
      <c r="Y112" s="638">
        <f>Y60+Y66-'Overall recycling rates'!$G$62/SUM('Overall recycling rates'!$G$60:$G$62)*('BTX Recycling HC'!X180+'BTX Recycling HC'!X232+'BTX Recycling HC'!X266+'BTX Recycling HC'!X105)-'Overall recycling rates'!$E$62/SUM('Overall recycling rates'!$E$60:$E$62)*('BTX Recycling HC'!X181+'BTX Recycling HC'!X233+'BTX Recycling HC'!X267+'BTX Recycling HC'!X106)-'Overall recycling rates'!$H$62/SUM('Overall recycling rates'!$H$60:$H$62)*('BTX Recycling HC'!X182+'BTX Recycling HC'!X234+'BTX Recycling HC'!X268+'BTX Recycling HC'!X107)-'Overall recycling rates'!$I$62/SUM('Overall recycling rates'!$I$60:$I$62)*('BTX Recycling HC'!X183+'BTX Recycling HC'!X235+'BTX Recycling HC'!X269+'BTX Recycling HC'!X108)</f>
        <v>74990.54737380943</v>
      </c>
      <c r="Z112" s="638">
        <f>Z60+Z66-'Overall recycling rates'!$G$62/SUM('Overall recycling rates'!$G$60:$G$62)*('BTX Recycling HC'!Y180+'BTX Recycling HC'!Y232+'BTX Recycling HC'!Y266+'BTX Recycling HC'!Y105)-'Overall recycling rates'!$E$62/SUM('Overall recycling rates'!$E$60:$E$62)*('BTX Recycling HC'!Y181+'BTX Recycling HC'!Y233+'BTX Recycling HC'!Y267+'BTX Recycling HC'!Y106)-'Overall recycling rates'!$H$62/SUM('Overall recycling rates'!$H$60:$H$62)*('BTX Recycling HC'!Y182+'BTX Recycling HC'!Y234+'BTX Recycling HC'!Y268+'BTX Recycling HC'!Y107)-'Overall recycling rates'!$I$62/SUM('Overall recycling rates'!$I$60:$I$62)*('BTX Recycling HC'!Y183+'BTX Recycling HC'!Y235+'BTX Recycling HC'!Y269+'BTX Recycling HC'!Y108)</f>
        <v>73759.992726713637</v>
      </c>
      <c r="AA112" s="638">
        <f>AA60+AA66-'Overall recycling rates'!$G$62/SUM('Overall recycling rates'!$G$60:$G$62)*('BTX Recycling HC'!Z180+'BTX Recycling HC'!Z232+'BTX Recycling HC'!Z266+'BTX Recycling HC'!Z105)-'Overall recycling rates'!$E$62/SUM('Overall recycling rates'!$E$60:$E$62)*('BTX Recycling HC'!Z181+'BTX Recycling HC'!Z233+'BTX Recycling HC'!Z267+'BTX Recycling HC'!Z106)-'Overall recycling rates'!$H$62/SUM('Overall recycling rates'!$H$60:$H$62)*('BTX Recycling HC'!Z182+'BTX Recycling HC'!Z234+'BTX Recycling HC'!Z268+'BTX Recycling HC'!Z107)-'Overall recycling rates'!$I$62/SUM('Overall recycling rates'!$I$60:$I$62)*('BTX Recycling HC'!Z183+'BTX Recycling HC'!Z235+'BTX Recycling HC'!Z269+'BTX Recycling HC'!Z108)</f>
        <v>72584.585832658791</v>
      </c>
      <c r="AB112" s="638">
        <f>AB60+AB66-'Overall recycling rates'!$G$62/SUM('Overall recycling rates'!$G$60:$G$62)*('BTX Recycling HC'!AA180+'BTX Recycling HC'!AA232+'BTX Recycling HC'!AA266+'BTX Recycling HC'!AA105)-'Overall recycling rates'!$E$62/SUM('Overall recycling rates'!$E$60:$E$62)*('BTX Recycling HC'!AA181+'BTX Recycling HC'!AA233+'BTX Recycling HC'!AA267+'BTX Recycling HC'!AA106)-'Overall recycling rates'!$H$62/SUM('Overall recycling rates'!$H$60:$H$62)*('BTX Recycling HC'!AA182+'BTX Recycling HC'!AA234+'BTX Recycling HC'!AA268+'BTX Recycling HC'!AA107)-'Overall recycling rates'!$I$62/SUM('Overall recycling rates'!$I$60:$I$62)*('BTX Recycling HC'!AA183+'BTX Recycling HC'!AA235+'BTX Recycling HC'!AA269+'BTX Recycling HC'!AA108)</f>
        <v>71466.755079028168</v>
      </c>
      <c r="AC112" s="638">
        <f>AC60+AC66-'Overall recycling rates'!$G$62/SUM('Overall recycling rates'!$G$60:$G$62)*('BTX Recycling HC'!AB180+'BTX Recycling HC'!AB232+'BTX Recycling HC'!AB266+'BTX Recycling HC'!AB105)-'Overall recycling rates'!$E$62/SUM('Overall recycling rates'!$E$60:$E$62)*('BTX Recycling HC'!AB181+'BTX Recycling HC'!AB233+'BTX Recycling HC'!AB267+'BTX Recycling HC'!AB106)-'Overall recycling rates'!$H$62/SUM('Overall recycling rates'!$H$60:$H$62)*('BTX Recycling HC'!AB182+'BTX Recycling HC'!AB234+'BTX Recycling HC'!AB268+'BTX Recycling HC'!AB107)-'Overall recycling rates'!$I$62/SUM('Overall recycling rates'!$I$60:$I$62)*('BTX Recycling HC'!AB183+'BTX Recycling HC'!AB235+'BTX Recycling HC'!AB269+'BTX Recycling HC'!AB108)</f>
        <v>70410.383421039005</v>
      </c>
      <c r="AD112" s="638">
        <f>AD60+AD66-'Overall recycling rates'!$G$62/SUM('Overall recycling rates'!$G$60:$G$62)*('BTX Recycling HC'!AC180+'BTX Recycling HC'!AC232+'BTX Recycling HC'!AC266+'BTX Recycling HC'!AC105)-'Overall recycling rates'!$E$62/SUM('Overall recycling rates'!$E$60:$E$62)*('BTX Recycling HC'!AC181+'BTX Recycling HC'!AC233+'BTX Recycling HC'!AC267+'BTX Recycling HC'!AC106)-'Overall recycling rates'!$H$62/SUM('Overall recycling rates'!$H$60:$H$62)*('BTX Recycling HC'!AC182+'BTX Recycling HC'!AC234+'BTX Recycling HC'!AC268+'BTX Recycling HC'!AC107)-'Overall recycling rates'!$I$62/SUM('Overall recycling rates'!$I$60:$I$62)*('BTX Recycling HC'!AC183+'BTX Recycling HC'!AC235+'BTX Recycling HC'!AC269+'BTX Recycling HC'!AC108)</f>
        <v>69535.361940860283</v>
      </c>
      <c r="AE112" s="638">
        <f>AE60+AE66-'Overall recycling rates'!$G$62/SUM('Overall recycling rates'!$G$60:$G$62)*('BTX Recycling HC'!AD180+'BTX Recycling HC'!AD232+'BTX Recycling HC'!AD266+'BTX Recycling HC'!AD105)-'Overall recycling rates'!$E$62/SUM('Overall recycling rates'!$E$60:$E$62)*('BTX Recycling HC'!AD181+'BTX Recycling HC'!AD233+'BTX Recycling HC'!AD267+'BTX Recycling HC'!AD106)-'Overall recycling rates'!$H$62/SUM('Overall recycling rates'!$H$60:$H$62)*('BTX Recycling HC'!AD182+'BTX Recycling HC'!AD234+'BTX Recycling HC'!AD268+'BTX Recycling HC'!AD107)-'Overall recycling rates'!$I$62/SUM('Overall recycling rates'!$I$60:$I$62)*('BTX Recycling HC'!AD183+'BTX Recycling HC'!AD235+'BTX Recycling HC'!AD269+'BTX Recycling HC'!AD108)</f>
        <v>68751.583353300943</v>
      </c>
      <c r="AF112" s="638">
        <f>AF60+AF66-'Overall recycling rates'!$G$62/SUM('Overall recycling rates'!$G$60:$G$62)*('BTX Recycling HC'!AE180+'BTX Recycling HC'!AE232+'BTX Recycling HC'!AE266+'BTX Recycling HC'!AE105)-'Overall recycling rates'!$E$62/SUM('Overall recycling rates'!$E$60:$E$62)*('BTX Recycling HC'!AE181+'BTX Recycling HC'!AE233+'BTX Recycling HC'!AE267+'BTX Recycling HC'!AE106)-'Overall recycling rates'!$H$62/SUM('Overall recycling rates'!$H$60:$H$62)*('BTX Recycling HC'!AE182+'BTX Recycling HC'!AE234+'BTX Recycling HC'!AE268+'BTX Recycling HC'!AE107)-'Overall recycling rates'!$I$62/SUM('Overall recycling rates'!$I$60:$I$62)*('BTX Recycling HC'!AE183+'BTX Recycling HC'!AE235+'BTX Recycling HC'!AE269+'BTX Recycling HC'!AE108)</f>
        <v>68065.400170364082</v>
      </c>
      <c r="AG112" s="638">
        <f>AG60+AG66-'Overall recycling rates'!$G$62/SUM('Overall recycling rates'!$G$60:$G$62)*('BTX Recycling HC'!AF180+'BTX Recycling HC'!AF232+'BTX Recycling HC'!AF266+'BTX Recycling HC'!AF105)-'Overall recycling rates'!$E$62/SUM('Overall recycling rates'!$E$60:$E$62)*('BTX Recycling HC'!AF181+'BTX Recycling HC'!AF233+'BTX Recycling HC'!AF267+'BTX Recycling HC'!AF106)-'Overall recycling rates'!$H$62/SUM('Overall recycling rates'!$H$60:$H$62)*('BTX Recycling HC'!AF182+'BTX Recycling HC'!AF234+'BTX Recycling HC'!AF268+'BTX Recycling HC'!AF107)-'Overall recycling rates'!$I$62/SUM('Overall recycling rates'!$I$60:$I$62)*('BTX Recycling HC'!AF183+'BTX Recycling HC'!AF235+'BTX Recycling HC'!AF269+'BTX Recycling HC'!AF108)</f>
        <v>67483.479453431282</v>
      </c>
      <c r="AH112" s="638">
        <f>AH60+AH66-'Overall recycling rates'!$G$62/SUM('Overall recycling rates'!$G$60:$G$62)*('BTX Recycling HC'!AG180+'BTX Recycling HC'!AG232+'BTX Recycling HC'!AG266+'BTX Recycling HC'!AG105)-'Overall recycling rates'!$E$62/SUM('Overall recycling rates'!$E$60:$E$62)*('BTX Recycling HC'!AG181+'BTX Recycling HC'!AG233+'BTX Recycling HC'!AG267+'BTX Recycling HC'!AG106)-'Overall recycling rates'!$H$62/SUM('Overall recycling rates'!$H$60:$H$62)*('BTX Recycling HC'!AG182+'BTX Recycling HC'!AG234+'BTX Recycling HC'!AG268+'BTX Recycling HC'!AG107)-'Overall recycling rates'!$I$62/SUM('Overall recycling rates'!$I$60:$I$62)*('BTX Recycling HC'!AG183+'BTX Recycling HC'!AG235+'BTX Recycling HC'!AG269+'BTX Recycling HC'!AG108)</f>
        <v>67012.802582540724</v>
      </c>
      <c r="AI112" s="638"/>
      <c r="AJ112" s="638">
        <f>AJ60+AJ66-'Overall recycling rates'!$G$62/SUM('Overall recycling rates'!$G$60:$G$62)*('BTX Recycling HC'!C180+'BTX Recycling HC'!C232+'BTX Recycling HC'!C266+'BTX Recycling HC'!C105)-'Overall recycling rates'!$E$62/SUM('Overall recycling rates'!$E$60:$E$62)*('BTX Recycling HC'!C181+'BTX Recycling HC'!C233+'BTX Recycling HC'!C267+'BTX Recycling HC'!C106)-'Overall recycling rates'!$H$62/SUM('Overall recycling rates'!$H$60:$H$62)*('BTX Recycling HC'!C182+'BTX Recycling HC'!C234+'BTX Recycling HC'!C268+'BTX Recycling HC'!C107)-'Overall recycling rates'!$I$62/SUM('Overall recycling rates'!$I$60:$I$62)*('BTX Recycling HC'!C183+'BTX Recycling HC'!C235+'BTX Recycling HC'!C269+'BTX Recycling HC'!C108)</f>
        <v>94898.337117036892</v>
      </c>
      <c r="AK112" s="638">
        <f>AK60+AK66-'Overall recycling rates'!$G$62/SUM('Overall recycling rates'!$G$60:$G$62)*('BTX Recycling HC'!D180+'BTX Recycling HC'!D232+'BTX Recycling HC'!D266+'BTX Recycling HC'!D105)-'Overall recycling rates'!$E$62/SUM('Overall recycling rates'!$E$60:$E$62)*('BTX Recycling HC'!D181+'BTX Recycling HC'!D233+'BTX Recycling HC'!D267+'BTX Recycling HC'!D106)-'Overall recycling rates'!$H$62/SUM('Overall recycling rates'!$H$60:$H$62)*('BTX Recycling HC'!D182+'BTX Recycling HC'!D234+'BTX Recycling HC'!D268+'BTX Recycling HC'!D107)-'Overall recycling rates'!$I$62/SUM('Overall recycling rates'!$I$60:$I$62)*('BTX Recycling HC'!D183+'BTX Recycling HC'!D235+'BTX Recycling HC'!D269+'BTX Recycling HC'!D108)</f>
        <v>94961.565900347661</v>
      </c>
      <c r="AL112" s="638">
        <f>AL60+AL66-'Overall recycling rates'!$G$62/SUM('Overall recycling rates'!$G$60:$G$62)*('BTX Recycling HC'!E180+'BTX Recycling HC'!E232+'BTX Recycling HC'!E266+'BTX Recycling HC'!E105)-'Overall recycling rates'!$E$62/SUM('Overall recycling rates'!$E$60:$E$62)*('BTX Recycling HC'!E181+'BTX Recycling HC'!E233+'BTX Recycling HC'!E267+'BTX Recycling HC'!E106)-'Overall recycling rates'!$H$62/SUM('Overall recycling rates'!$H$60:$H$62)*('BTX Recycling HC'!E182+'BTX Recycling HC'!E234+'BTX Recycling HC'!E268+'BTX Recycling HC'!E107)-'Overall recycling rates'!$I$62/SUM('Overall recycling rates'!$I$60:$I$62)*('BTX Recycling HC'!E183+'BTX Recycling HC'!E235+'BTX Recycling HC'!E269+'BTX Recycling HC'!E108)</f>
        <v>94359.392407857726</v>
      </c>
      <c r="AM112" s="638">
        <f>AM60+AM66-'Overall recycling rates'!$G$62/SUM('Overall recycling rates'!$G$60:$G$62)*('BTX Recycling HC'!F180+'BTX Recycling HC'!F232+'BTX Recycling HC'!F266+'BTX Recycling HC'!F105)-'Overall recycling rates'!$E$62/SUM('Overall recycling rates'!$E$60:$E$62)*('BTX Recycling HC'!F181+'BTX Recycling HC'!F233+'BTX Recycling HC'!F267+'BTX Recycling HC'!F106)-'Overall recycling rates'!$H$62/SUM('Overall recycling rates'!$H$60:$H$62)*('BTX Recycling HC'!F182+'BTX Recycling HC'!F234+'BTX Recycling HC'!F268+'BTX Recycling HC'!F107)-'Overall recycling rates'!$I$62/SUM('Overall recycling rates'!$I$60:$I$62)*('BTX Recycling HC'!F183+'BTX Recycling HC'!F235+'BTX Recycling HC'!F269+'BTX Recycling HC'!F108)</f>
        <v>93725.672325908206</v>
      </c>
      <c r="AN112" s="638">
        <f>AN60+AN66-'Overall recycling rates'!$G$62/SUM('Overall recycling rates'!$G$60:$G$62)*('BTX Recycling HC'!G180+'BTX Recycling HC'!G232+'BTX Recycling HC'!G266+'BTX Recycling HC'!G105)-'Overall recycling rates'!$E$62/SUM('Overall recycling rates'!$E$60:$E$62)*('BTX Recycling HC'!G181+'BTX Recycling HC'!G233+'BTX Recycling HC'!G267+'BTX Recycling HC'!G106)-'Overall recycling rates'!$H$62/SUM('Overall recycling rates'!$H$60:$H$62)*('BTX Recycling HC'!G182+'BTX Recycling HC'!G234+'BTX Recycling HC'!G268+'BTX Recycling HC'!G107)-'Overall recycling rates'!$I$62/SUM('Overall recycling rates'!$I$60:$I$62)*('BTX Recycling HC'!G183+'BTX Recycling HC'!G235+'BTX Recycling HC'!G269+'BTX Recycling HC'!G108)</f>
        <v>93077.973489613651</v>
      </c>
      <c r="AO112" s="638">
        <f>AO60+AO66-'Overall recycling rates'!$G$62/SUM('Overall recycling rates'!$G$60:$G$62)*('BTX Recycling HC'!H180+'BTX Recycling HC'!H232+'BTX Recycling HC'!H266+'BTX Recycling HC'!H105)-'Overall recycling rates'!$E$62/SUM('Overall recycling rates'!$E$60:$E$62)*('BTX Recycling HC'!H181+'BTX Recycling HC'!H233+'BTX Recycling HC'!H267+'BTX Recycling HC'!H106)-'Overall recycling rates'!$H$62/SUM('Overall recycling rates'!$H$60:$H$62)*('BTX Recycling HC'!H182+'BTX Recycling HC'!H234+'BTX Recycling HC'!H268+'BTX Recycling HC'!H107)-'Overall recycling rates'!$I$62/SUM('Overall recycling rates'!$I$60:$I$62)*('BTX Recycling HC'!H183+'BTX Recycling HC'!H235+'BTX Recycling HC'!H269+'BTX Recycling HC'!H108)</f>
        <v>92415.171325861564</v>
      </c>
      <c r="AP112" s="638">
        <f>AP60+AP66-'Overall recycling rates'!$G$62/SUM('Overall recycling rates'!$G$60:$G$62)*('BTX Recycling HC'!I180+'BTX Recycling HC'!I232+'BTX Recycling HC'!I266+'BTX Recycling HC'!I105)-'Overall recycling rates'!$E$62/SUM('Overall recycling rates'!$E$60:$E$62)*('BTX Recycling HC'!I181+'BTX Recycling HC'!I233+'BTX Recycling HC'!I267+'BTX Recycling HC'!I106)-'Overall recycling rates'!$H$62/SUM('Overall recycling rates'!$H$60:$H$62)*('BTX Recycling HC'!I182+'BTX Recycling HC'!I234+'BTX Recycling HC'!I268+'BTX Recycling HC'!I107)-'Overall recycling rates'!$I$62/SUM('Overall recycling rates'!$I$60:$I$62)*('BTX Recycling HC'!I183+'BTX Recycling HC'!I235+'BTX Recycling HC'!I269+'BTX Recycling HC'!I108)</f>
        <v>91829.557985734937</v>
      </c>
      <c r="AQ112" s="638">
        <f>AQ60+AQ66-'Overall recycling rates'!$G$62/SUM('Overall recycling rates'!$G$60:$G$62)*('BTX Recycling HC'!J180+'BTX Recycling HC'!J232+'BTX Recycling HC'!J266+'BTX Recycling HC'!J105)-'Overall recycling rates'!$E$62/SUM('Overall recycling rates'!$E$60:$E$62)*('BTX Recycling HC'!J181+'BTX Recycling HC'!J233+'BTX Recycling HC'!J267+'BTX Recycling HC'!J106)-'Overall recycling rates'!$H$62/SUM('Overall recycling rates'!$H$60:$H$62)*('BTX Recycling HC'!J182+'BTX Recycling HC'!J234+'BTX Recycling HC'!J268+'BTX Recycling HC'!J107)-'Overall recycling rates'!$I$62/SUM('Overall recycling rates'!$I$60:$I$62)*('BTX Recycling HC'!J183+'BTX Recycling HC'!J235+'BTX Recycling HC'!J269+'BTX Recycling HC'!J108)</f>
        <v>91251.268035303918</v>
      </c>
      <c r="AR112" s="638">
        <f>AR60+AR66-'Overall recycling rates'!$G$62/SUM('Overall recycling rates'!$G$60:$G$62)*('BTX Recycling HC'!K180+'BTX Recycling HC'!K232+'BTX Recycling HC'!K266+'BTX Recycling HC'!K105)-'Overall recycling rates'!$E$62/SUM('Overall recycling rates'!$E$60:$E$62)*('BTX Recycling HC'!K181+'BTX Recycling HC'!K233+'BTX Recycling HC'!K267+'BTX Recycling HC'!K106)-'Overall recycling rates'!$H$62/SUM('Overall recycling rates'!$H$60:$H$62)*('BTX Recycling HC'!K182+'BTX Recycling HC'!K234+'BTX Recycling HC'!K268+'BTX Recycling HC'!K107)-'Overall recycling rates'!$I$62/SUM('Overall recycling rates'!$I$60:$I$62)*('BTX Recycling HC'!K183+'BTX Recycling HC'!K235+'BTX Recycling HC'!K269+'BTX Recycling HC'!K108)</f>
        <v>90681.710768074889</v>
      </c>
      <c r="AS112" s="638">
        <f>AS60+AS66-'Overall recycling rates'!$G$62/SUM('Overall recycling rates'!$G$60:$G$62)*('BTX Recycling HC'!L180+'BTX Recycling HC'!L232+'BTX Recycling HC'!L266+'BTX Recycling HC'!L105)-'Overall recycling rates'!$E$62/SUM('Overall recycling rates'!$E$60:$E$62)*('BTX Recycling HC'!L181+'BTX Recycling HC'!L233+'BTX Recycling HC'!L267+'BTX Recycling HC'!L106)-'Overall recycling rates'!$H$62/SUM('Overall recycling rates'!$H$60:$H$62)*('BTX Recycling HC'!L182+'BTX Recycling HC'!L234+'BTX Recycling HC'!L268+'BTX Recycling HC'!L107)-'Overall recycling rates'!$I$62/SUM('Overall recycling rates'!$I$60:$I$62)*('BTX Recycling HC'!L183+'BTX Recycling HC'!L235+'BTX Recycling HC'!L269+'BTX Recycling HC'!L108)</f>
        <v>90122.392122611593</v>
      </c>
      <c r="AT112" s="638">
        <f>AT60+AT66-'Overall recycling rates'!$G$62/SUM('Overall recycling rates'!$G$60:$G$62)*('BTX Recycling HC'!M180+'BTX Recycling HC'!M232+'BTX Recycling HC'!M266+'BTX Recycling HC'!M105)-'Overall recycling rates'!$E$62/SUM('Overall recycling rates'!$E$60:$E$62)*('BTX Recycling HC'!M181+'BTX Recycling HC'!M233+'BTX Recycling HC'!M267+'BTX Recycling HC'!M106)-'Overall recycling rates'!$H$62/SUM('Overall recycling rates'!$H$60:$H$62)*('BTX Recycling HC'!M182+'BTX Recycling HC'!M234+'BTX Recycling HC'!M268+'BTX Recycling HC'!M107)-'Overall recycling rates'!$I$62/SUM('Overall recycling rates'!$I$60:$I$62)*('BTX Recycling HC'!M183+'BTX Recycling HC'!M235+'BTX Recycling HC'!M269+'BTX Recycling HC'!M108)</f>
        <v>89574.914686375763</v>
      </c>
      <c r="AU112" s="638">
        <f>AU60+AU66-'Overall recycling rates'!$G$62/SUM('Overall recycling rates'!$G$60:$G$62)*('BTX Recycling HC'!N180+'BTX Recycling HC'!N232+'BTX Recycling HC'!N266+'BTX Recycling HC'!N105)-'Overall recycling rates'!$E$62/SUM('Overall recycling rates'!$E$60:$E$62)*('BTX Recycling HC'!N181+'BTX Recycling HC'!N233+'BTX Recycling HC'!N267+'BTX Recycling HC'!N106)-'Overall recycling rates'!$H$62/SUM('Overall recycling rates'!$H$60:$H$62)*('BTX Recycling HC'!N182+'BTX Recycling HC'!N234+'BTX Recycling HC'!N268+'BTX Recycling HC'!N107)-'Overall recycling rates'!$I$62/SUM('Overall recycling rates'!$I$60:$I$62)*('BTX Recycling HC'!N183+'BTX Recycling HC'!N235+'BTX Recycling HC'!N269+'BTX Recycling HC'!N108)</f>
        <v>88762.875681377074</v>
      </c>
      <c r="AV112" s="638">
        <f>AV60+AV66-'Overall recycling rates'!$G$62/SUM('Overall recycling rates'!$G$60:$G$62)*('BTX Recycling HC'!O180+'BTX Recycling HC'!O232+'BTX Recycling HC'!O266+'BTX Recycling HC'!O105)-'Overall recycling rates'!$E$62/SUM('Overall recycling rates'!$E$60:$E$62)*('BTX Recycling HC'!O181+'BTX Recycling HC'!O233+'BTX Recycling HC'!O267+'BTX Recycling HC'!O106)-'Overall recycling rates'!$H$62/SUM('Overall recycling rates'!$H$60:$H$62)*('BTX Recycling HC'!O182+'BTX Recycling HC'!O234+'BTX Recycling HC'!O268+'BTX Recycling HC'!O107)-'Overall recycling rates'!$I$62/SUM('Overall recycling rates'!$I$60:$I$62)*('BTX Recycling HC'!O183+'BTX Recycling HC'!O235+'BTX Recycling HC'!O269+'BTX Recycling HC'!O108)</f>
        <v>87981.960553254103</v>
      </c>
      <c r="AW112" s="638">
        <f>AW60+AW66-'Overall recycling rates'!$G$62/SUM('Overall recycling rates'!$G$60:$G$62)*('BTX Recycling HC'!P180+'BTX Recycling HC'!P232+'BTX Recycling HC'!P266+'BTX Recycling HC'!P105)-'Overall recycling rates'!$E$62/SUM('Overall recycling rates'!$E$60:$E$62)*('BTX Recycling HC'!P181+'BTX Recycling HC'!P233+'BTX Recycling HC'!P267+'BTX Recycling HC'!P106)-'Overall recycling rates'!$H$62/SUM('Overall recycling rates'!$H$60:$H$62)*('BTX Recycling HC'!P182+'BTX Recycling HC'!P234+'BTX Recycling HC'!P268+'BTX Recycling HC'!P107)-'Overall recycling rates'!$I$62/SUM('Overall recycling rates'!$I$60:$I$62)*('BTX Recycling HC'!P183+'BTX Recycling HC'!P235+'BTX Recycling HC'!P269+'BTX Recycling HC'!P108)</f>
        <v>87234.704760012421</v>
      </c>
      <c r="AX112" s="638">
        <f>AX60+AX66-'Overall recycling rates'!$G$62/SUM('Overall recycling rates'!$G$60:$G$62)*('BTX Recycling HC'!Q180+'BTX Recycling HC'!Q232+'BTX Recycling HC'!Q266+'BTX Recycling HC'!Q105)-'Overall recycling rates'!$E$62/SUM('Overall recycling rates'!$E$60:$E$62)*('BTX Recycling HC'!Q181+'BTX Recycling HC'!Q233+'BTX Recycling HC'!Q267+'BTX Recycling HC'!Q106)-'Overall recycling rates'!$H$62/SUM('Overall recycling rates'!$H$60:$H$62)*('BTX Recycling HC'!Q182+'BTX Recycling HC'!Q234+'BTX Recycling HC'!Q268+'BTX Recycling HC'!Q107)-'Overall recycling rates'!$I$62/SUM('Overall recycling rates'!$I$60:$I$62)*('BTX Recycling HC'!Q183+'BTX Recycling HC'!Q235+'BTX Recycling HC'!Q269+'BTX Recycling HC'!Q108)</f>
        <v>86523.263517703133</v>
      </c>
      <c r="AY112" s="638">
        <f>AY60+AY66-'Overall recycling rates'!$G$62/SUM('Overall recycling rates'!$G$60:$G$62)*('BTX Recycling HC'!R180+'BTX Recycling HC'!R232+'BTX Recycling HC'!R266+'BTX Recycling HC'!R105)-'Overall recycling rates'!$E$62/SUM('Overall recycling rates'!$E$60:$E$62)*('BTX Recycling HC'!R181+'BTX Recycling HC'!R233+'BTX Recycling HC'!R267+'BTX Recycling HC'!R106)-'Overall recycling rates'!$H$62/SUM('Overall recycling rates'!$H$60:$H$62)*('BTX Recycling HC'!R182+'BTX Recycling HC'!R234+'BTX Recycling HC'!R268+'BTX Recycling HC'!R107)-'Overall recycling rates'!$I$62/SUM('Overall recycling rates'!$I$60:$I$62)*('BTX Recycling HC'!R183+'BTX Recycling HC'!R235+'BTX Recycling HC'!R269+'BTX Recycling HC'!R108)</f>
        <v>85850.280651093417</v>
      </c>
      <c r="AZ112" s="638">
        <f>AZ60+AZ66-'Overall recycling rates'!$G$62/SUM('Overall recycling rates'!$G$60:$G$62)*('BTX Recycling HC'!S180+'BTX Recycling HC'!S232+'BTX Recycling HC'!S266+'BTX Recycling HC'!S105)-'Overall recycling rates'!$E$62/SUM('Overall recycling rates'!$E$60:$E$62)*('BTX Recycling HC'!S181+'BTX Recycling HC'!S233+'BTX Recycling HC'!S267+'BTX Recycling HC'!S106)-'Overall recycling rates'!$H$62/SUM('Overall recycling rates'!$H$60:$H$62)*('BTX Recycling HC'!S182+'BTX Recycling HC'!S234+'BTX Recycling HC'!S268+'BTX Recycling HC'!S107)-'Overall recycling rates'!$I$62/SUM('Overall recycling rates'!$I$60:$I$62)*('BTX Recycling HC'!S183+'BTX Recycling HC'!S235+'BTX Recycling HC'!S269+'BTX Recycling HC'!S108)</f>
        <v>85132.245421874861</v>
      </c>
      <c r="BA112" s="638">
        <f>BA60+BA66-'Overall recycling rates'!$G$62/SUM('Overall recycling rates'!$G$60:$G$62)*('BTX Recycling HC'!T180+'BTX Recycling HC'!T232+'BTX Recycling HC'!T266+'BTX Recycling HC'!T105)-'Overall recycling rates'!$E$62/SUM('Overall recycling rates'!$E$60:$E$62)*('BTX Recycling HC'!T181+'BTX Recycling HC'!T233+'BTX Recycling HC'!T267+'BTX Recycling HC'!T106)-'Overall recycling rates'!$H$62/SUM('Overall recycling rates'!$H$60:$H$62)*('BTX Recycling HC'!T182+'BTX Recycling HC'!T234+'BTX Recycling HC'!T268+'BTX Recycling HC'!T107)-'Overall recycling rates'!$I$62/SUM('Overall recycling rates'!$I$60:$I$62)*('BTX Recycling HC'!T183+'BTX Recycling HC'!T235+'BTX Recycling HC'!T269+'BTX Recycling HC'!T108)</f>
        <v>84440.033817097283</v>
      </c>
      <c r="BB112" s="638">
        <f>BB60+BB66-'Overall recycling rates'!$G$62/SUM('Overall recycling rates'!$G$60:$G$62)*('BTX Recycling HC'!U180+'BTX Recycling HC'!U232+'BTX Recycling HC'!U266+'BTX Recycling HC'!U105)-'Overall recycling rates'!$E$62/SUM('Overall recycling rates'!$E$60:$E$62)*('BTX Recycling HC'!U181+'BTX Recycling HC'!U233+'BTX Recycling HC'!U267+'BTX Recycling HC'!U106)-'Overall recycling rates'!$H$62/SUM('Overall recycling rates'!$H$60:$H$62)*('BTX Recycling HC'!U182+'BTX Recycling HC'!U234+'BTX Recycling HC'!U268+'BTX Recycling HC'!U107)-'Overall recycling rates'!$I$62/SUM('Overall recycling rates'!$I$60:$I$62)*('BTX Recycling HC'!U183+'BTX Recycling HC'!U235+'BTX Recycling HC'!U269+'BTX Recycling HC'!U108)</f>
        <v>83775.215180337429</v>
      </c>
      <c r="BC112" s="638">
        <f>BC60+BC66-'Overall recycling rates'!$G$62/SUM('Overall recycling rates'!$G$60:$G$62)*('BTX Recycling HC'!V180+'BTX Recycling HC'!V232+'BTX Recycling HC'!V266+'BTX Recycling HC'!V105)-'Overall recycling rates'!$E$62/SUM('Overall recycling rates'!$E$60:$E$62)*('BTX Recycling HC'!V181+'BTX Recycling HC'!V233+'BTX Recycling HC'!V267+'BTX Recycling HC'!V106)-'Overall recycling rates'!$H$62/SUM('Overall recycling rates'!$H$60:$H$62)*('BTX Recycling HC'!V182+'BTX Recycling HC'!V234+'BTX Recycling HC'!V268+'BTX Recycling HC'!V107)-'Overall recycling rates'!$I$62/SUM('Overall recycling rates'!$I$60:$I$62)*('BTX Recycling HC'!V183+'BTX Recycling HC'!V235+'BTX Recycling HC'!V269+'BTX Recycling HC'!V108)</f>
        <v>83139.52326698837</v>
      </c>
      <c r="BD112" s="638">
        <f>BD60+BD66-'Overall recycling rates'!$G$62/SUM('Overall recycling rates'!$G$60:$G$62)*('BTX Recycling HC'!W180+'BTX Recycling HC'!W232+'BTX Recycling HC'!W266+'BTX Recycling HC'!W105)-'Overall recycling rates'!$E$62/SUM('Overall recycling rates'!$E$60:$E$62)*('BTX Recycling HC'!W181+'BTX Recycling HC'!W233+'BTX Recycling HC'!W267+'BTX Recycling HC'!W106)-'Overall recycling rates'!$H$62/SUM('Overall recycling rates'!$H$60:$H$62)*('BTX Recycling HC'!W182+'BTX Recycling HC'!W234+'BTX Recycling HC'!W268+'BTX Recycling HC'!W107)-'Overall recycling rates'!$I$62/SUM('Overall recycling rates'!$I$60:$I$62)*('BTX Recycling HC'!W183+'BTX Recycling HC'!W235+'BTX Recycling HC'!W269+'BTX Recycling HC'!W108)</f>
        <v>82534.856225101452</v>
      </c>
      <c r="BE112" s="638">
        <f>BE60+BE66-'Overall recycling rates'!$G$62/SUM('Overall recycling rates'!$G$60:$G$62)*('BTX Recycling HC'!X180+'BTX Recycling HC'!X232+'BTX Recycling HC'!X266+'BTX Recycling HC'!X105)-'Overall recycling rates'!$E$62/SUM('Overall recycling rates'!$E$60:$E$62)*('BTX Recycling HC'!X181+'BTX Recycling HC'!X233+'BTX Recycling HC'!X267+'BTX Recycling HC'!X106)-'Overall recycling rates'!$H$62/SUM('Overall recycling rates'!$H$60:$H$62)*('BTX Recycling HC'!X182+'BTX Recycling HC'!X234+'BTX Recycling HC'!X268+'BTX Recycling HC'!X107)-'Overall recycling rates'!$I$62/SUM('Overall recycling rates'!$I$60:$I$62)*('BTX Recycling HC'!X183+'BTX Recycling HC'!X235+'BTX Recycling HC'!X269+'BTX Recycling HC'!X108)</f>
        <v>81576.491969731782</v>
      </c>
      <c r="BF112" s="638">
        <f>BF60+BF66-'Overall recycling rates'!$G$62/SUM('Overall recycling rates'!$G$60:$G$62)*('BTX Recycling HC'!Y180+'BTX Recycling HC'!Y232+'BTX Recycling HC'!Y266+'BTX Recycling HC'!Y105)-'Overall recycling rates'!$E$62/SUM('Overall recycling rates'!$E$60:$E$62)*('BTX Recycling HC'!Y181+'BTX Recycling HC'!Y233+'BTX Recycling HC'!Y267+'BTX Recycling HC'!Y106)-'Overall recycling rates'!$H$62/SUM('Overall recycling rates'!$H$60:$H$62)*('BTX Recycling HC'!Y182+'BTX Recycling HC'!Y234+'BTX Recycling HC'!Y268+'BTX Recycling HC'!Y107)-'Overall recycling rates'!$I$62/SUM('Overall recycling rates'!$I$60:$I$62)*('BTX Recycling HC'!Y183+'BTX Recycling HC'!Y235+'BTX Recycling HC'!Y269+'BTX Recycling HC'!Y108)</f>
        <v>80668.59166883392</v>
      </c>
      <c r="BG112" s="638">
        <f>BG60+BG66-'Overall recycling rates'!$G$62/SUM('Overall recycling rates'!$G$60:$G$62)*('BTX Recycling HC'!Z180+'BTX Recycling HC'!Z232+'BTX Recycling HC'!Z266+'BTX Recycling HC'!Z105)-'Overall recycling rates'!$E$62/SUM('Overall recycling rates'!$E$60:$E$62)*('BTX Recycling HC'!Z181+'BTX Recycling HC'!Z233+'BTX Recycling HC'!Z267+'BTX Recycling HC'!Z106)-'Overall recycling rates'!$H$62/SUM('Overall recycling rates'!$H$60:$H$62)*('BTX Recycling HC'!Z182+'BTX Recycling HC'!Z234+'BTX Recycling HC'!Z268+'BTX Recycling HC'!Z107)-'Overall recycling rates'!$I$62/SUM('Overall recycling rates'!$I$60:$I$62)*('BTX Recycling HC'!Z183+'BTX Recycling HC'!Z235+'BTX Recycling HC'!Z269+'BTX Recycling HC'!Z108)</f>
        <v>79815.839120976976</v>
      </c>
      <c r="BH112" s="638">
        <f>BH60+BH66-'Overall recycling rates'!$G$62/SUM('Overall recycling rates'!$G$60:$G$62)*('BTX Recycling HC'!AA180+'BTX Recycling HC'!AA232+'BTX Recycling HC'!AA266+'BTX Recycling HC'!AA105)-'Overall recycling rates'!$E$62/SUM('Overall recycling rates'!$E$60:$E$62)*('BTX Recycling HC'!AA181+'BTX Recycling HC'!AA233+'BTX Recycling HC'!AA267+'BTX Recycling HC'!AA106)-'Overall recycling rates'!$H$62/SUM('Overall recycling rates'!$H$60:$H$62)*('BTX Recycling HC'!AA182+'BTX Recycling HC'!AA234+'BTX Recycling HC'!AA268+'BTX Recycling HC'!AA107)-'Overall recycling rates'!$I$62/SUM('Overall recycling rates'!$I$60:$I$62)*('BTX Recycling HC'!AA183+'BTX Recycling HC'!AA235+'BTX Recycling HC'!AA269+'BTX Recycling HC'!AA108)</f>
        <v>79020.662713544283</v>
      </c>
      <c r="BI112" s="638">
        <f>BI60+BI66-'Overall recycling rates'!$G$62/SUM('Overall recycling rates'!$G$60:$G$62)*('BTX Recycling HC'!AB180+'BTX Recycling HC'!AB232+'BTX Recycling HC'!AB266+'BTX Recycling HC'!AB105)-'Overall recycling rates'!$E$62/SUM('Overall recycling rates'!$E$60:$E$62)*('BTX Recycling HC'!AB181+'BTX Recycling HC'!AB233+'BTX Recycling HC'!AB267+'BTX Recycling HC'!AB106)-'Overall recycling rates'!$H$62/SUM('Overall recycling rates'!$H$60:$H$62)*('BTX Recycling HC'!AB182+'BTX Recycling HC'!AB234+'BTX Recycling HC'!AB268+'BTX Recycling HC'!AB107)-'Overall recycling rates'!$I$62/SUM('Overall recycling rates'!$I$60:$I$62)*('BTX Recycling HC'!AB183+'BTX Recycling HC'!AB235+'BTX Recycling HC'!AB269+'BTX Recycling HC'!AB108)</f>
        <v>78286.945401753066</v>
      </c>
      <c r="BJ112" s="638">
        <f>BJ60+BJ66-'Overall recycling rates'!$G$62/SUM('Overall recycling rates'!$G$60:$G$62)*('BTX Recycling HC'!AC180+'BTX Recycling HC'!AC232+'BTX Recycling HC'!AC266+'BTX Recycling HC'!AC105)-'Overall recycling rates'!$E$62/SUM('Overall recycling rates'!$E$60:$E$62)*('BTX Recycling HC'!AC181+'BTX Recycling HC'!AC233+'BTX Recycling HC'!AC267+'BTX Recycling HC'!AC106)-'Overall recycling rates'!$H$62/SUM('Overall recycling rates'!$H$60:$H$62)*('BTX Recycling HC'!AC182+'BTX Recycling HC'!AC234+'BTX Recycling HC'!AC268+'BTX Recycling HC'!AC107)-'Overall recycling rates'!$I$62/SUM('Overall recycling rates'!$I$60:$I$62)*('BTX Recycling HC'!AC183+'BTX Recycling HC'!AC235+'BTX Recycling HC'!AC269+'BTX Recycling HC'!AC108)</f>
        <v>77734.578267772275</v>
      </c>
      <c r="BK112" s="638">
        <f>BK60+BK66-'Overall recycling rates'!$G$62/SUM('Overall recycling rates'!$G$60:$G$62)*('BTX Recycling HC'!AD180+'BTX Recycling HC'!AD232+'BTX Recycling HC'!AD266+'BTX Recycling HC'!AD105)-'Overall recycling rates'!$E$62/SUM('Overall recycling rates'!$E$60:$E$62)*('BTX Recycling HC'!AD181+'BTX Recycling HC'!AD233+'BTX Recycling HC'!AD267+'BTX Recycling HC'!AD106)-'Overall recycling rates'!$H$62/SUM('Overall recycling rates'!$H$60:$H$62)*('BTX Recycling HC'!AD182+'BTX Recycling HC'!AD234+'BTX Recycling HC'!AD268+'BTX Recycling HC'!AD107)-'Overall recycling rates'!$I$62/SUM('Overall recycling rates'!$I$60:$I$62)*('BTX Recycling HC'!AD183+'BTX Recycling HC'!AD235+'BTX Recycling HC'!AD269+'BTX Recycling HC'!AD108)</f>
        <v>77273.454026410836</v>
      </c>
      <c r="BL112" s="638">
        <f>BL60+BL66-'Overall recycling rates'!$G$62/SUM('Overall recycling rates'!$G$60:$G$62)*('BTX Recycling HC'!AE180+'BTX Recycling HC'!AE232+'BTX Recycling HC'!AE266+'BTX Recycling HC'!AE105)-'Overall recycling rates'!$E$62/SUM('Overall recycling rates'!$E$60:$E$62)*('BTX Recycling HC'!AE181+'BTX Recycling HC'!AE233+'BTX Recycling HC'!AE267+'BTX Recycling HC'!AE106)-'Overall recycling rates'!$H$62/SUM('Overall recycling rates'!$H$60:$H$62)*('BTX Recycling HC'!AE182+'BTX Recycling HC'!AE234+'BTX Recycling HC'!AE268+'BTX Recycling HC'!AE107)-'Overall recycling rates'!$I$62/SUM('Overall recycling rates'!$I$60:$I$62)*('BTX Recycling HC'!AE183+'BTX Recycling HC'!AE235+'BTX Recycling HC'!AE269+'BTX Recycling HC'!AE108)</f>
        <v>76909.925189671936</v>
      </c>
      <c r="BM112" s="638">
        <f>BM60+BM66-'Overall recycling rates'!$G$62/SUM('Overall recycling rates'!$G$60:$G$62)*('BTX Recycling HC'!AF180+'BTX Recycling HC'!AF232+'BTX Recycling HC'!AF266+'BTX Recycling HC'!AF105)-'Overall recycling rates'!$E$62/SUM('Overall recycling rates'!$E$60:$E$62)*('BTX Recycling HC'!AF181+'BTX Recycling HC'!AF233+'BTX Recycling HC'!AF267+'BTX Recycling HC'!AF106)-'Overall recycling rates'!$H$62/SUM('Overall recycling rates'!$H$60:$H$62)*('BTX Recycling HC'!AF182+'BTX Recycling HC'!AF234+'BTX Recycling HC'!AF268+'BTX Recycling HC'!AF107)-'Overall recycling rates'!$I$62/SUM('Overall recycling rates'!$I$60:$I$62)*('BTX Recycling HC'!AF183+'BTX Recycling HC'!AF235+'BTX Recycling HC'!AF269+'BTX Recycling HC'!AF108)</f>
        <v>76650.658818937052</v>
      </c>
      <c r="BN112" s="638">
        <f>BN60+BN66-'Overall recycling rates'!$G$62/SUM('Overall recycling rates'!$G$60:$G$62)*('BTX Recycling HC'!AG180+'BTX Recycling HC'!AG232+'BTX Recycling HC'!AG266+'BTX Recycling HC'!AG105)-'Overall recycling rates'!$E$62/SUM('Overall recycling rates'!$E$60:$E$62)*('BTX Recycling HC'!AG181+'BTX Recycling HC'!AG233+'BTX Recycling HC'!AG267+'BTX Recycling HC'!AG106)-'Overall recycling rates'!$H$62/SUM('Overall recycling rates'!$H$60:$H$62)*('BTX Recycling HC'!AG182+'BTX Recycling HC'!AG234+'BTX Recycling HC'!AG268+'BTX Recycling HC'!AG107)-'Overall recycling rates'!$I$62/SUM('Overall recycling rates'!$I$60:$I$62)*('BTX Recycling HC'!AG183+'BTX Recycling HC'!AG235+'BTX Recycling HC'!AG269+'BTX Recycling HC'!AG108)</f>
        <v>76502.636294244396</v>
      </c>
    </row>
    <row r="113" spans="1:67" outlineLevel="1">
      <c r="A113" s="55" t="s">
        <v>78</v>
      </c>
      <c r="B113" s="55" t="s">
        <v>260</v>
      </c>
      <c r="C113" s="95" t="s">
        <v>166</v>
      </c>
      <c r="D113" s="631">
        <f>D77+D97+D98+D106+D107+D90+D99+D108</f>
        <v>0</v>
      </c>
      <c r="E113" s="631">
        <f t="shared" ref="E113:AG113" si="134">E77+E97+E98+E106+E107+E90+E99+E108</f>
        <v>166.00578501948348</v>
      </c>
      <c r="F113" s="631">
        <f t="shared" si="134"/>
        <v>1557.3625513818452</v>
      </c>
      <c r="G113" s="631">
        <f t="shared" si="134"/>
        <v>3075.596345674659</v>
      </c>
      <c r="H113" s="631">
        <f t="shared" si="134"/>
        <v>4587.0896554609299</v>
      </c>
      <c r="I113" s="631">
        <f t="shared" si="134"/>
        <v>6093.8709385415441</v>
      </c>
      <c r="J113" s="631">
        <f t="shared" si="134"/>
        <v>7401.962546473339</v>
      </c>
      <c r="K113" s="631">
        <f t="shared" si="134"/>
        <v>8655.7010992599808</v>
      </c>
      <c r="L113" s="631">
        <f t="shared" si="134"/>
        <v>9851.5647198960723</v>
      </c>
      <c r="M113" s="631">
        <f t="shared" si="134"/>
        <v>10985.832331959078</v>
      </c>
      <c r="N113" s="631">
        <f t="shared" si="134"/>
        <v>12054.583659609301</v>
      </c>
      <c r="O113" s="631">
        <f t="shared" si="134"/>
        <v>14424.535350418031</v>
      </c>
      <c r="P113" s="631">
        <f t="shared" si="134"/>
        <v>16558.166763670193</v>
      </c>
      <c r="Q113" s="631">
        <f t="shared" si="134"/>
        <v>18441.917881329278</v>
      </c>
      <c r="R113" s="631">
        <f t="shared" si="134"/>
        <v>20077.004284359326</v>
      </c>
      <c r="S113" s="631">
        <f t="shared" si="134"/>
        <v>21457.422650874385</v>
      </c>
      <c r="T113" s="631">
        <f t="shared" si="134"/>
        <v>22767.405518619264</v>
      </c>
      <c r="U113" s="631">
        <f t="shared" si="134"/>
        <v>23850.511089577245</v>
      </c>
      <c r="V113" s="631">
        <f t="shared" si="134"/>
        <v>24703.347827108344</v>
      </c>
      <c r="W113" s="631">
        <f t="shared" si="134"/>
        <v>25322.241656225524</v>
      </c>
      <c r="X113" s="631">
        <f t="shared" si="134"/>
        <v>25703.236136481955</v>
      </c>
      <c r="Y113" s="631">
        <f t="shared" si="134"/>
        <v>27690.738378347953</v>
      </c>
      <c r="Z113" s="631">
        <f t="shared" si="134"/>
        <v>29292.41131241768</v>
      </c>
      <c r="AA113" s="631">
        <f t="shared" si="134"/>
        <v>30470.501695031566</v>
      </c>
      <c r="AB113" s="631">
        <f t="shared" si="134"/>
        <v>31246.584088721509</v>
      </c>
      <c r="AC113" s="631">
        <f t="shared" si="134"/>
        <v>31613.633963209311</v>
      </c>
      <c r="AD113" s="631">
        <f t="shared" si="134"/>
        <v>31309.593723323916</v>
      </c>
      <c r="AE113" s="631">
        <f t="shared" si="134"/>
        <v>30534.552688934553</v>
      </c>
      <c r="AF113" s="631">
        <f t="shared" si="134"/>
        <v>29276.639261712186</v>
      </c>
      <c r="AG113" s="631">
        <f t="shared" si="134"/>
        <v>27523.492132138759</v>
      </c>
      <c r="AH113" s="631">
        <f>AH77+AH97+AH98+AH106+AH107+AH90+AH99+AH108</f>
        <v>25262.26244904855</v>
      </c>
      <c r="AI113" s="191"/>
      <c r="AJ113" s="631">
        <f>AJ77+AJ97+AJ98+AJ106+AJ107+AJ90+AJ99+AJ108</f>
        <v>0</v>
      </c>
      <c r="AK113" s="631">
        <f t="shared" ref="AK113:BN113" si="135">AK77+AK97+AK98+AK106+AK107+AK90+AK99+AK108</f>
        <v>166.00578501948348</v>
      </c>
      <c r="AL113" s="631">
        <f t="shared" si="135"/>
        <v>1557.3625513818452</v>
      </c>
      <c r="AM113" s="631">
        <f t="shared" si="135"/>
        <v>3075.596345674659</v>
      </c>
      <c r="AN113" s="631">
        <f t="shared" si="135"/>
        <v>4587.0896554609299</v>
      </c>
      <c r="AO113" s="631">
        <f t="shared" si="135"/>
        <v>6093.8709385415441</v>
      </c>
      <c r="AP113" s="631">
        <f t="shared" si="135"/>
        <v>7401.962546473339</v>
      </c>
      <c r="AQ113" s="631">
        <f t="shared" si="135"/>
        <v>8655.7010992599808</v>
      </c>
      <c r="AR113" s="631">
        <f t="shared" si="135"/>
        <v>9851.5647198960723</v>
      </c>
      <c r="AS113" s="631">
        <f t="shared" si="135"/>
        <v>10985.832331959078</v>
      </c>
      <c r="AT113" s="631">
        <f t="shared" si="135"/>
        <v>12054.583659609301</v>
      </c>
      <c r="AU113" s="631">
        <f t="shared" si="135"/>
        <v>14424.535350418031</v>
      </c>
      <c r="AV113" s="631">
        <f t="shared" si="135"/>
        <v>16558.166763670193</v>
      </c>
      <c r="AW113" s="631">
        <f t="shared" si="135"/>
        <v>18441.917881329278</v>
      </c>
      <c r="AX113" s="631">
        <f t="shared" si="135"/>
        <v>20077.004284359326</v>
      </c>
      <c r="AY113" s="631">
        <f t="shared" si="135"/>
        <v>21457.422650874385</v>
      </c>
      <c r="AZ113" s="631">
        <f t="shared" si="135"/>
        <v>22767.405518619264</v>
      </c>
      <c r="BA113" s="631">
        <f t="shared" si="135"/>
        <v>23850.511089577245</v>
      </c>
      <c r="BB113" s="631">
        <f t="shared" si="135"/>
        <v>24703.347827108344</v>
      </c>
      <c r="BC113" s="631">
        <f t="shared" si="135"/>
        <v>25322.241656225524</v>
      </c>
      <c r="BD113" s="631">
        <f t="shared" si="135"/>
        <v>25703.236136481955</v>
      </c>
      <c r="BE113" s="631">
        <f t="shared" si="135"/>
        <v>27690.738378347953</v>
      </c>
      <c r="BF113" s="631">
        <f t="shared" si="135"/>
        <v>29292.41131241768</v>
      </c>
      <c r="BG113" s="631">
        <f t="shared" si="135"/>
        <v>30470.501695031566</v>
      </c>
      <c r="BH113" s="631">
        <f t="shared" si="135"/>
        <v>31246.584088721509</v>
      </c>
      <c r="BI113" s="631">
        <f t="shared" si="135"/>
        <v>31613.633963209311</v>
      </c>
      <c r="BJ113" s="631">
        <f t="shared" si="135"/>
        <v>31309.593723323916</v>
      </c>
      <c r="BK113" s="631">
        <f t="shared" si="135"/>
        <v>30534.552688934553</v>
      </c>
      <c r="BL113" s="631">
        <f t="shared" si="135"/>
        <v>29276.639261712186</v>
      </c>
      <c r="BM113" s="631">
        <f t="shared" si="135"/>
        <v>27523.492132138759</v>
      </c>
      <c r="BN113" s="631">
        <f t="shared" si="135"/>
        <v>25262.26244904855</v>
      </c>
    </row>
    <row r="114" spans="1:67" outlineLevel="1">
      <c r="A114" s="63"/>
      <c r="B114" s="59" t="s">
        <v>261</v>
      </c>
      <c r="C114" s="60" t="s">
        <v>166</v>
      </c>
      <c r="D114" s="636">
        <f>D76+D83+D96+D105+IF(D91=0,0,D89)</f>
        <v>0</v>
      </c>
      <c r="E114" s="636">
        <f t="shared" ref="E114:AG114" si="136">E76+E83+E96+E105+IF(E91=0,0,E89)</f>
        <v>1740.590949436222</v>
      </c>
      <c r="F114" s="636">
        <f t="shared" si="136"/>
        <v>4053.3098366150016</v>
      </c>
      <c r="G114" s="636">
        <f t="shared" si="136"/>
        <v>6419.6097291940314</v>
      </c>
      <c r="H114" s="636">
        <f t="shared" si="136"/>
        <v>8763.8356326897156</v>
      </c>
      <c r="I114" s="636">
        <f t="shared" si="136"/>
        <v>11088.039608394638</v>
      </c>
      <c r="J114" s="636">
        <f t="shared" si="136"/>
        <v>13180.051923152347</v>
      </c>
      <c r="K114" s="636">
        <f t="shared" si="136"/>
        <v>15221.029832526752</v>
      </c>
      <c r="L114" s="636">
        <f t="shared" si="136"/>
        <v>17210.25023040732</v>
      </c>
      <c r="M114" s="636">
        <f t="shared" si="136"/>
        <v>19146.890410974946</v>
      </c>
      <c r="N114" s="636">
        <f t="shared" si="136"/>
        <v>21030.028068701886</v>
      </c>
      <c r="O114" s="636">
        <f t="shared" si="136"/>
        <v>24592.82416544604</v>
      </c>
      <c r="P114" s="636">
        <f t="shared" si="136"/>
        <v>27970.100297695262</v>
      </c>
      <c r="Q114" s="636">
        <f t="shared" si="136"/>
        <v>31156.703211822896</v>
      </c>
      <c r="R114" s="636">
        <f t="shared" si="136"/>
        <v>34155.866263325202</v>
      </c>
      <c r="S114" s="636">
        <f t="shared" si="136"/>
        <v>36967.026304954896</v>
      </c>
      <c r="T114" s="636">
        <f t="shared" si="136"/>
        <v>39684.716955642798</v>
      </c>
      <c r="U114" s="636">
        <f t="shared" si="136"/>
        <v>42233.113243470798</v>
      </c>
      <c r="V114" s="636">
        <f t="shared" si="136"/>
        <v>44612.893644910269</v>
      </c>
      <c r="W114" s="636">
        <f t="shared" si="136"/>
        <v>46824.573425629213</v>
      </c>
      <c r="X114" s="636">
        <f t="shared" si="136"/>
        <v>48868.504467605293</v>
      </c>
      <c r="Y114" s="636">
        <f t="shared" si="136"/>
        <v>53586.347955541445</v>
      </c>
      <c r="Z114" s="636">
        <f t="shared" si="136"/>
        <v>57997.239147989669</v>
      </c>
      <c r="AA114" s="636">
        <f t="shared" si="136"/>
        <v>62049.287632913838</v>
      </c>
      <c r="AB114" s="636">
        <f t="shared" si="136"/>
        <v>65781.046537486283</v>
      </c>
      <c r="AC114" s="636">
        <f t="shared" si="136"/>
        <v>58875.838204835629</v>
      </c>
      <c r="AD114" s="636">
        <f t="shared" si="136"/>
        <v>61404.681487650516</v>
      </c>
      <c r="AE114" s="636">
        <f t="shared" si="136"/>
        <v>63657.26482937832</v>
      </c>
      <c r="AF114" s="636">
        <f t="shared" si="136"/>
        <v>65638.623864178633</v>
      </c>
      <c r="AG114" s="636">
        <f t="shared" si="136"/>
        <v>67353.667947147827</v>
      </c>
      <c r="AH114" s="636">
        <f>AH76+AH83+AH96+AH105+IF(AH91=0,0,AH89)</f>
        <v>68807.177984777634</v>
      </c>
      <c r="AI114" s="191"/>
      <c r="AJ114" s="636">
        <f t="shared" ref="AJ114:BM114" si="137">AJ76+AJ83+AJ96+AJ105+IF(AJ91=0,0,AJ89)</f>
        <v>0</v>
      </c>
      <c r="AK114" s="636">
        <f t="shared" si="137"/>
        <v>1740.590949436222</v>
      </c>
      <c r="AL114" s="636">
        <f t="shared" si="137"/>
        <v>4053.3098366150016</v>
      </c>
      <c r="AM114" s="636">
        <f t="shared" si="137"/>
        <v>6419.6097291940314</v>
      </c>
      <c r="AN114" s="636">
        <f t="shared" si="137"/>
        <v>8763.8356326897156</v>
      </c>
      <c r="AO114" s="636">
        <f t="shared" si="137"/>
        <v>11088.039608394638</v>
      </c>
      <c r="AP114" s="636">
        <f t="shared" si="137"/>
        <v>13180.051923152347</v>
      </c>
      <c r="AQ114" s="636">
        <f t="shared" si="137"/>
        <v>15221.029832526752</v>
      </c>
      <c r="AR114" s="636">
        <f t="shared" si="137"/>
        <v>17210.25023040732</v>
      </c>
      <c r="AS114" s="636">
        <f t="shared" si="137"/>
        <v>19146.890410974946</v>
      </c>
      <c r="AT114" s="636">
        <f t="shared" si="137"/>
        <v>21030.028068701886</v>
      </c>
      <c r="AU114" s="636">
        <f t="shared" si="137"/>
        <v>24592.82416544604</v>
      </c>
      <c r="AV114" s="636">
        <f t="shared" si="137"/>
        <v>27970.100297695262</v>
      </c>
      <c r="AW114" s="636">
        <f t="shared" si="137"/>
        <v>31156.703211822896</v>
      </c>
      <c r="AX114" s="636">
        <f t="shared" si="137"/>
        <v>34155.866263325202</v>
      </c>
      <c r="AY114" s="636">
        <f t="shared" si="137"/>
        <v>36967.026304954896</v>
      </c>
      <c r="AZ114" s="636">
        <f t="shared" si="137"/>
        <v>39684.716955642798</v>
      </c>
      <c r="BA114" s="636">
        <f t="shared" si="137"/>
        <v>42233.113243470798</v>
      </c>
      <c r="BB114" s="636">
        <f t="shared" si="137"/>
        <v>44612.893644910269</v>
      </c>
      <c r="BC114" s="636">
        <f t="shared" si="137"/>
        <v>46824.573425629213</v>
      </c>
      <c r="BD114" s="636">
        <f t="shared" si="137"/>
        <v>48868.504467605293</v>
      </c>
      <c r="BE114" s="636">
        <f t="shared" si="137"/>
        <v>53586.347955541445</v>
      </c>
      <c r="BF114" s="636">
        <f t="shared" si="137"/>
        <v>57997.239147989669</v>
      </c>
      <c r="BG114" s="636">
        <f t="shared" si="137"/>
        <v>62049.287632913838</v>
      </c>
      <c r="BH114" s="636">
        <f t="shared" si="137"/>
        <v>65781.046537486283</v>
      </c>
      <c r="BI114" s="636">
        <f t="shared" si="137"/>
        <v>69191.110900959306</v>
      </c>
      <c r="BJ114" s="636">
        <f t="shared" si="137"/>
        <v>72141.074950961251</v>
      </c>
      <c r="BK114" s="636">
        <f t="shared" si="137"/>
        <v>74741.176305649758</v>
      </c>
      <c r="BL114" s="636">
        <f t="shared" si="137"/>
        <v>76987.064859605642</v>
      </c>
      <c r="BM114" s="636">
        <f t="shared" si="137"/>
        <v>78873.965272975838</v>
      </c>
      <c r="BN114" s="636">
        <f>BN76+BN83+BN96+BN105+IF(BN91=0,0,BN89)</f>
        <v>80396.67480193208</v>
      </c>
    </row>
    <row r="115" spans="1:67">
      <c r="A115" s="97" t="s">
        <v>1545</v>
      </c>
      <c r="B115" s="97"/>
      <c r="C115" s="98" t="s">
        <v>166</v>
      </c>
      <c r="D115" s="642">
        <f>D70-D113-D114</f>
        <v>4369539.7493458875</v>
      </c>
      <c r="E115" s="642">
        <f t="shared" ref="E115:AH115" si="138">E70-E113-E114</f>
        <v>4322322.2269191034</v>
      </c>
      <c r="F115" s="642">
        <f t="shared" si="138"/>
        <v>4258971.1556444485</v>
      </c>
      <c r="G115" s="642">
        <f t="shared" si="138"/>
        <v>4202594.9169577323</v>
      </c>
      <c r="H115" s="642">
        <f t="shared" si="138"/>
        <v>4146244.3012209702</v>
      </c>
      <c r="I115" s="642">
        <f t="shared" si="138"/>
        <v>4089915.2303413027</v>
      </c>
      <c r="J115" s="642">
        <f t="shared" si="138"/>
        <v>4034013.8542519077</v>
      </c>
      <c r="K115" s="642">
        <f t="shared" si="138"/>
        <v>3978214.6817606408</v>
      </c>
      <c r="L115" s="642">
        <f t="shared" si="138"/>
        <v>3922521.9606726747</v>
      </c>
      <c r="M115" s="642">
        <f t="shared" si="138"/>
        <v>3866940.2377381241</v>
      </c>
      <c r="N115" s="642">
        <f t="shared" si="138"/>
        <v>3811474.3586595636</v>
      </c>
      <c r="O115" s="642">
        <f t="shared" si="138"/>
        <v>3710042.830640947</v>
      </c>
      <c r="P115" s="642">
        <f t="shared" si="138"/>
        <v>3609008.9245112389</v>
      </c>
      <c r="Q115" s="642">
        <f t="shared" si="138"/>
        <v>3508391.3571725311</v>
      </c>
      <c r="R115" s="642">
        <f t="shared" si="138"/>
        <v>3408185.6835063654</v>
      </c>
      <c r="S115" s="642">
        <f t="shared" si="138"/>
        <v>3308398.473997144</v>
      </c>
      <c r="T115" s="642">
        <f t="shared" si="138"/>
        <v>3208750.9667109121</v>
      </c>
      <c r="U115" s="642">
        <f t="shared" si="138"/>
        <v>3109475.4328585053</v>
      </c>
      <c r="V115" s="642">
        <f t="shared" si="138"/>
        <v>3010574.5901704412</v>
      </c>
      <c r="W115" s="642">
        <f t="shared" si="138"/>
        <v>2912051.6023676884</v>
      </c>
      <c r="X115" s="642">
        <f t="shared" si="138"/>
        <v>2813910.0791741391</v>
      </c>
      <c r="Y115" s="642">
        <f t="shared" si="138"/>
        <v>2707685.3854249413</v>
      </c>
      <c r="Z115" s="642">
        <f t="shared" si="138"/>
        <v>2602124.4432221153</v>
      </c>
      <c r="AA115" s="642">
        <f t="shared" si="138"/>
        <v>2497316.9022295037</v>
      </c>
      <c r="AB115" s="642">
        <f t="shared" si="138"/>
        <v>2393202.6410759767</v>
      </c>
      <c r="AC115" s="642">
        <f t="shared" si="138"/>
        <v>2300105.3685937119</v>
      </c>
      <c r="AD115" s="642">
        <f t="shared" si="138"/>
        <v>2198216.1305135591</v>
      </c>
      <c r="AE115" s="642">
        <f t="shared" si="138"/>
        <v>2097045.1564216309</v>
      </c>
      <c r="AF115" s="642">
        <f t="shared" si="138"/>
        <v>1996599.2900112502</v>
      </c>
      <c r="AG115" s="642">
        <f t="shared" si="138"/>
        <v>1896885.9913653359</v>
      </c>
      <c r="AH115" s="642">
        <f t="shared" si="138"/>
        <v>1797913.3369770341</v>
      </c>
      <c r="AI115" s="191"/>
      <c r="AJ115" s="642">
        <f t="shared" ref="AJ115:BN115" si="139">AJ70-AJ113-AJ114</f>
        <v>4369539.7493458875</v>
      </c>
      <c r="AK115" s="642">
        <f t="shared" si="139"/>
        <v>4338962.7241281457</v>
      </c>
      <c r="AL115" s="642">
        <f t="shared" si="139"/>
        <v>4294838.610511044</v>
      </c>
      <c r="AM115" s="642">
        <f t="shared" si="139"/>
        <v>4256398.5281195184</v>
      </c>
      <c r="AN115" s="642">
        <f t="shared" si="139"/>
        <v>4217985.6879192144</v>
      </c>
      <c r="AO115" s="642">
        <f t="shared" si="139"/>
        <v>4179596.0118172653</v>
      </c>
      <c r="AP115" s="642">
        <f t="shared" si="139"/>
        <v>4141635.6497468534</v>
      </c>
      <c r="AQ115" s="642">
        <f t="shared" si="139"/>
        <v>4103779.110515832</v>
      </c>
      <c r="AR115" s="642">
        <f t="shared" si="139"/>
        <v>4066030.6419293759</v>
      </c>
      <c r="AS115" s="642">
        <f t="shared" si="139"/>
        <v>4028394.7907375982</v>
      </c>
      <c r="AT115" s="642">
        <f t="shared" si="139"/>
        <v>3990876.4026430743</v>
      </c>
      <c r="AU115" s="642">
        <f t="shared" si="139"/>
        <v>3918231.5821801415</v>
      </c>
      <c r="AV115" s="642">
        <f t="shared" si="139"/>
        <v>3845996.5279155937</v>
      </c>
      <c r="AW115" s="642">
        <f t="shared" si="139"/>
        <v>3774189.9567515217</v>
      </c>
      <c r="AX115" s="642">
        <f t="shared" si="139"/>
        <v>3702807.4235694674</v>
      </c>
      <c r="AY115" s="642">
        <f t="shared" si="139"/>
        <v>3631855.4988538334</v>
      </c>
      <c r="AZ115" s="642">
        <f t="shared" si="139"/>
        <v>3561055.4206706635</v>
      </c>
      <c r="BA115" s="642">
        <f t="shared" si="139"/>
        <v>3490639.4602307947</v>
      </c>
      <c r="BB115" s="642">
        <f t="shared" si="139"/>
        <v>3420610.3352647442</v>
      </c>
      <c r="BC115" s="642">
        <f t="shared" si="139"/>
        <v>3350971.2094934802</v>
      </c>
      <c r="BD115" s="642">
        <f t="shared" si="139"/>
        <v>3281725.692640896</v>
      </c>
      <c r="BE115" s="642">
        <f t="shared" si="139"/>
        <v>3206504.2653778377</v>
      </c>
      <c r="BF115" s="642">
        <f t="shared" si="139"/>
        <v>3131961.1628325218</v>
      </c>
      <c r="BG115" s="642">
        <f t="shared" si="139"/>
        <v>3058186.0346687916</v>
      </c>
      <c r="BH115" s="642">
        <f t="shared" si="139"/>
        <v>2985118.7595155151</v>
      </c>
      <c r="BI115" s="642">
        <f t="shared" si="139"/>
        <v>2912767.7735087499</v>
      </c>
      <c r="BJ115" s="642">
        <f t="shared" si="139"/>
        <v>2841533.5470044035</v>
      </c>
      <c r="BK115" s="642">
        <f t="shared" si="139"/>
        <v>2771105.7604138777</v>
      </c>
      <c r="BL115" s="642">
        <f t="shared" si="139"/>
        <v>2701500.643170075</v>
      </c>
      <c r="BM115" s="642">
        <f t="shared" si="139"/>
        <v>2632735.3400508654</v>
      </c>
      <c r="BN115" s="642">
        <f t="shared" si="139"/>
        <v>2564827.9111997127</v>
      </c>
      <c r="BO115" s="41"/>
    </row>
    <row r="116" spans="1:67" s="62" customFormat="1">
      <c r="A116" s="684"/>
      <c r="B116" s="55" t="s">
        <v>88</v>
      </c>
      <c r="C116" s="56" t="s">
        <v>166</v>
      </c>
      <c r="D116" s="639">
        <f>D79+D85+D92+D101+D110</f>
        <v>1554736.2216997449</v>
      </c>
      <c r="E116" s="639">
        <f t="shared" ref="E116:AH118" si="140">E79+E85+E92+E101+E110</f>
        <v>1535460.6254164185</v>
      </c>
      <c r="F116" s="639">
        <f t="shared" si="140"/>
        <v>1516118.7678867481</v>
      </c>
      <c r="G116" s="639">
        <f t="shared" si="140"/>
        <v>1496712.9107452924</v>
      </c>
      <c r="H116" s="639">
        <f t="shared" si="140"/>
        <v>1477251.3442947972</v>
      </c>
      <c r="I116" s="639">
        <f t="shared" si="140"/>
        <v>1457738.8204557439</v>
      </c>
      <c r="J116" s="639">
        <f t="shared" si="140"/>
        <v>1438256.3985770219</v>
      </c>
      <c r="K116" s="639">
        <f t="shared" si="140"/>
        <v>1418737.7804297851</v>
      </c>
      <c r="L116" s="639">
        <f t="shared" si="140"/>
        <v>1399187.5404159389</v>
      </c>
      <c r="M116" s="639">
        <f t="shared" si="140"/>
        <v>1379610.1923832935</v>
      </c>
      <c r="N116" s="639">
        <f t="shared" si="140"/>
        <v>1360010.188956893</v>
      </c>
      <c r="O116" s="639">
        <f t="shared" si="140"/>
        <v>1332281.6969736773</v>
      </c>
      <c r="P116" s="639">
        <f t="shared" si="140"/>
        <v>1307437.0985121501</v>
      </c>
      <c r="Q116" s="639">
        <f t="shared" si="140"/>
        <v>1282603.6574955997</v>
      </c>
      <c r="R116" s="639">
        <f t="shared" si="140"/>
        <v>1257790.6525800233</v>
      </c>
      <c r="S116" s="639">
        <f t="shared" si="140"/>
        <v>1233014.0892644243</v>
      </c>
      <c r="T116" s="639">
        <f t="shared" si="140"/>
        <v>1208289.6549024556</v>
      </c>
      <c r="U116" s="639">
        <f t="shared" si="140"/>
        <v>1183632.7291652022</v>
      </c>
      <c r="V116" s="639">
        <f t="shared" si="140"/>
        <v>1159058.3676235243</v>
      </c>
      <c r="W116" s="639">
        <f t="shared" si="140"/>
        <v>1134581.3023058693</v>
      </c>
      <c r="X116" s="639">
        <f t="shared" si="140"/>
        <v>1110215.9382337816</v>
      </c>
      <c r="Y116" s="639">
        <f t="shared" si="140"/>
        <v>1082883.3480888437</v>
      </c>
      <c r="Z116" s="639">
        <f t="shared" si="140"/>
        <v>1055709.0276951122</v>
      </c>
      <c r="AA116" s="639">
        <f t="shared" si="140"/>
        <v>1028765.4716464916</v>
      </c>
      <c r="AB116" s="639">
        <f t="shared" si="140"/>
        <v>1002035.6809611284</v>
      </c>
      <c r="AC116" s="639">
        <f t="shared" si="140"/>
        <v>975542.53840200079</v>
      </c>
      <c r="AD116" s="639">
        <f t="shared" si="140"/>
        <v>949314.45080780308</v>
      </c>
      <c r="AE116" s="639">
        <f t="shared" si="140"/>
        <v>923367.54608228197</v>
      </c>
      <c r="AF116" s="639">
        <f t="shared" si="140"/>
        <v>897722.8820674466</v>
      </c>
      <c r="AG116" s="639">
        <f t="shared" si="140"/>
        <v>872400.89577585913</v>
      </c>
      <c r="AH116" s="639">
        <f t="shared" si="140"/>
        <v>847421.39714492555</v>
      </c>
      <c r="AI116" s="639"/>
      <c r="AJ116" s="639">
        <f>AJ79+AJ85+AJ92+AJ101+AJ110</f>
        <v>1554736.2216997449</v>
      </c>
      <c r="AK116" s="639">
        <f t="shared" ref="AK116:BN116" si="141">AK79+AK85+AK92+AK101+AK110</f>
        <v>1544643.7831428321</v>
      </c>
      <c r="AL116" s="639">
        <f t="shared" si="141"/>
        <v>1534486.4681249124</v>
      </c>
      <c r="AM116" s="639">
        <f t="shared" si="141"/>
        <v>1524266.5382805448</v>
      </c>
      <c r="AN116" s="639">
        <f t="shared" si="141"/>
        <v>1513992.2839124748</v>
      </c>
      <c r="AO116" s="639">
        <f t="shared" si="141"/>
        <v>1503668.4569411841</v>
      </c>
      <c r="AP116" s="639">
        <f t="shared" si="141"/>
        <v>1493376.1167155621</v>
      </c>
      <c r="AQ116" s="639">
        <f t="shared" si="141"/>
        <v>1483048.9650067622</v>
      </c>
      <c r="AR116" s="639">
        <f t="shared" si="141"/>
        <v>1472691.5762166907</v>
      </c>
      <c r="AS116" s="639">
        <f t="shared" si="141"/>
        <v>1462308.4641931565</v>
      </c>
      <c r="AT116" s="639">
        <f t="shared" si="141"/>
        <v>1451904.0815612054</v>
      </c>
      <c r="AU116" s="639">
        <f t="shared" si="141"/>
        <v>1434710.4601435582</v>
      </c>
      <c r="AV116" s="639">
        <f t="shared" si="141"/>
        <v>1420401.82461417</v>
      </c>
      <c r="AW116" s="639">
        <f t="shared" si="141"/>
        <v>1406111.4031648114</v>
      </c>
      <c r="AX116" s="639">
        <f t="shared" si="141"/>
        <v>1391848.4744514781</v>
      </c>
      <c r="AY116" s="639">
        <f t="shared" si="141"/>
        <v>1377629.0439731746</v>
      </c>
      <c r="AZ116" s="639">
        <f t="shared" si="141"/>
        <v>1363468.7990835537</v>
      </c>
      <c r="BA116" s="639">
        <f t="shared" si="141"/>
        <v>1349383.1194536993</v>
      </c>
      <c r="BB116" s="639">
        <f t="shared" si="141"/>
        <v>1335387.0606544723</v>
      </c>
      <c r="BC116" s="639">
        <f t="shared" si="141"/>
        <v>1321495.3547143205</v>
      </c>
      <c r="BD116" s="639">
        <f t="shared" si="141"/>
        <v>1307722.4066547872</v>
      </c>
      <c r="BE116" s="639">
        <f t="shared" si="141"/>
        <v>1291858.2078807263</v>
      </c>
      <c r="BF116" s="639">
        <f t="shared" si="141"/>
        <v>1276160.7468199339</v>
      </c>
      <c r="BG116" s="639">
        <f t="shared" si="141"/>
        <v>1260702.5180663145</v>
      </c>
      <c r="BH116" s="639">
        <f t="shared" si="141"/>
        <v>1245466.522638015</v>
      </c>
      <c r="BI116" s="639">
        <f t="shared" si="141"/>
        <v>1230475.6432980134</v>
      </c>
      <c r="BJ116" s="639">
        <f t="shared" si="141"/>
        <v>1215758.286885004</v>
      </c>
      <c r="BK116" s="639">
        <f t="shared" si="141"/>
        <v>1201330.5813027329</v>
      </c>
      <c r="BL116" s="639">
        <f t="shared" si="141"/>
        <v>1187213.5843932102</v>
      </c>
      <c r="BM116" s="639">
        <f t="shared" si="141"/>
        <v>1173427.7331689978</v>
      </c>
      <c r="BN116" s="639">
        <f t="shared" si="141"/>
        <v>1159992.8375675015</v>
      </c>
      <c r="BO116" s="57"/>
    </row>
    <row r="117" spans="1:67">
      <c r="A117" s="685"/>
      <c r="B117" s="1" t="s">
        <v>797</v>
      </c>
      <c r="C117" s="51" t="s">
        <v>166</v>
      </c>
      <c r="D117" s="635">
        <f>D80+D86+D93+D102+D111+D11</f>
        <v>106314.03243491033</v>
      </c>
      <c r="E117" s="635">
        <f t="shared" ref="E117:AH117" si="142">E80+E86+E93+E102+E111+E11</f>
        <v>103901.22876647237</v>
      </c>
      <c r="F117" s="635">
        <f t="shared" si="142"/>
        <v>101305.84123606805</v>
      </c>
      <c r="G117" s="635">
        <f t="shared" si="142"/>
        <v>98677.660129106735</v>
      </c>
      <c r="H117" s="635">
        <f t="shared" si="142"/>
        <v>96038.791061181779</v>
      </c>
      <c r="I117" s="635">
        <f t="shared" si="142"/>
        <v>93390.179257715296</v>
      </c>
      <c r="J117" s="635">
        <f t="shared" si="142"/>
        <v>90795.578526018333</v>
      </c>
      <c r="K117" s="635">
        <f t="shared" si="142"/>
        <v>88203.096962755473</v>
      </c>
      <c r="L117" s="635">
        <f t="shared" si="142"/>
        <v>85614.367035764502</v>
      </c>
      <c r="M117" s="635">
        <f t="shared" si="142"/>
        <v>83031.018193216441</v>
      </c>
      <c r="N117" s="635">
        <f t="shared" si="142"/>
        <v>80454.67699412434</v>
      </c>
      <c r="O117" s="635">
        <f t="shared" si="142"/>
        <v>75328.872232694761</v>
      </c>
      <c r="P117" s="635">
        <f t="shared" si="142"/>
        <v>70633.704199242435</v>
      </c>
      <c r="Q117" s="635">
        <f t="shared" si="142"/>
        <v>65984.065336118889</v>
      </c>
      <c r="R117" s="635">
        <f t="shared" si="142"/>
        <v>61383.150066463975</v>
      </c>
      <c r="S117" s="635">
        <f t="shared" si="142"/>
        <v>56836.279112961121</v>
      </c>
      <c r="T117" s="635">
        <f t="shared" si="142"/>
        <v>52321.85535918377</v>
      </c>
      <c r="U117" s="635">
        <f t="shared" si="142"/>
        <v>47866.088783977822</v>
      </c>
      <c r="V117" s="635">
        <f t="shared" si="142"/>
        <v>43473.506779745308</v>
      </c>
      <c r="W117" s="635">
        <f t="shared" si="142"/>
        <v>39148.536074740099</v>
      </c>
      <c r="X117" s="635">
        <f t="shared" si="142"/>
        <v>34895.503448145624</v>
      </c>
      <c r="Y117" s="635">
        <f t="shared" si="142"/>
        <v>30533.094993429117</v>
      </c>
      <c r="Z117" s="635">
        <f t="shared" si="142"/>
        <v>26279.040402155584</v>
      </c>
      <c r="AA117" s="635">
        <f t="shared" si="142"/>
        <v>22165.429105073494</v>
      </c>
      <c r="AB117" s="635">
        <f t="shared" si="142"/>
        <v>18180.258326100506</v>
      </c>
      <c r="AC117" s="635">
        <f t="shared" si="142"/>
        <v>14330.79996133977</v>
      </c>
      <c r="AD117" s="635">
        <f t="shared" si="142"/>
        <v>10662.864954954584</v>
      </c>
      <c r="AE117" s="635">
        <f t="shared" si="142"/>
        <v>7151.6568120934116</v>
      </c>
      <c r="AF117" s="635">
        <f t="shared" si="142"/>
        <v>3804.5918752366915</v>
      </c>
      <c r="AG117" s="635">
        <f t="shared" si="142"/>
        <v>628.98023595276572</v>
      </c>
      <c r="AH117" s="635">
        <f t="shared" si="142"/>
        <v>-2367.9725310989061</v>
      </c>
      <c r="AI117" s="635"/>
      <c r="AJ117" s="635">
        <f>AJ80+AJ86+AJ93+AJ102+AJ111+AJ11</f>
        <v>106314.03243491033</v>
      </c>
      <c r="AK117" s="635">
        <f t="shared" ref="AK117:BN117" si="143">AK80+AK86+AK93+AK102+AK111+AK11</f>
        <v>104300.29158745981</v>
      </c>
      <c r="AL117" s="635">
        <f t="shared" si="143"/>
        <v>102104.11211843581</v>
      </c>
      <c r="AM117" s="635">
        <f t="shared" si="143"/>
        <v>99875.284313247656</v>
      </c>
      <c r="AN117" s="635">
        <f t="shared" si="143"/>
        <v>97635.913787488738</v>
      </c>
      <c r="AO117" s="635">
        <f t="shared" si="143"/>
        <v>95386.945766581121</v>
      </c>
      <c r="AP117" s="635">
        <f t="shared" si="143"/>
        <v>93192.134057835923</v>
      </c>
      <c r="AQ117" s="635">
        <f t="shared" si="143"/>
        <v>90999.586757917656</v>
      </c>
      <c r="AR117" s="635">
        <f t="shared" si="143"/>
        <v>88810.936334664177</v>
      </c>
      <c r="AS117" s="635">
        <f t="shared" si="143"/>
        <v>86627.81223624642</v>
      </c>
      <c r="AT117" s="635">
        <f t="shared" si="143"/>
        <v>84451.841021677508</v>
      </c>
      <c r="AU117" s="635">
        <f t="shared" si="143"/>
        <v>79853.485912633667</v>
      </c>
      <c r="AV117" s="635">
        <f t="shared" si="143"/>
        <v>75652.312755707011</v>
      </c>
      <c r="AW117" s="635">
        <f t="shared" si="143"/>
        <v>71497.305960760699</v>
      </c>
      <c r="AX117" s="635">
        <f t="shared" si="143"/>
        <v>67391.659950934481</v>
      </c>
      <c r="AY117" s="635">
        <f t="shared" si="143"/>
        <v>63340.695448911873</v>
      </c>
      <c r="AZ117" s="635">
        <f t="shared" si="143"/>
        <v>59322.815338266257</v>
      </c>
      <c r="BA117" s="635">
        <f t="shared" si="143"/>
        <v>55364.229597843572</v>
      </c>
      <c r="BB117" s="635">
        <f t="shared" si="143"/>
        <v>51469.465620045812</v>
      </c>
      <c r="BC117" s="635">
        <f t="shared" si="143"/>
        <v>47642.950133126869</v>
      </c>
      <c r="BD117" s="635">
        <f t="shared" si="143"/>
        <v>43889.009916270181</v>
      </c>
      <c r="BE117" s="635">
        <f t="shared" si="143"/>
        <v>40108.253987683813</v>
      </c>
      <c r="BF117" s="635">
        <f t="shared" si="143"/>
        <v>36436.616552522239</v>
      </c>
      <c r="BG117" s="635">
        <f t="shared" si="143"/>
        <v>32906.187041533922</v>
      </c>
      <c r="BH117" s="635">
        <f t="shared" si="143"/>
        <v>29504.962678636512</v>
      </c>
      <c r="BI117" s="635">
        <f t="shared" si="143"/>
        <v>26240.215359933172</v>
      </c>
      <c r="BJ117" s="635">
        <f t="shared" si="143"/>
        <v>23157.756029587195</v>
      </c>
      <c r="BK117" s="635">
        <f t="shared" si="143"/>
        <v>20232.788192747041</v>
      </c>
      <c r="BL117" s="635">
        <f t="shared" si="143"/>
        <v>17472.728191893155</v>
      </c>
      <c r="BM117" s="635">
        <f t="shared" si="143"/>
        <v>14884.886118593869</v>
      </c>
      <c r="BN117" s="635">
        <f t="shared" si="143"/>
        <v>12476.467547508661</v>
      </c>
    </row>
    <row r="118" spans="1:67" s="63" customFormat="1">
      <c r="A118" s="686"/>
      <c r="B118" s="59" t="s">
        <v>1301</v>
      </c>
      <c r="C118" s="262" t="s">
        <v>166</v>
      </c>
      <c r="D118" s="638">
        <f t="shared" ref="D118" si="144">D81+D87+D94+D103+D112</f>
        <v>2708489.495211232</v>
      </c>
      <c r="E118" s="638">
        <f t="shared" si="140"/>
        <v>2682960.3727362133</v>
      </c>
      <c r="F118" s="638">
        <f t="shared" si="140"/>
        <v>2655836.8067992497</v>
      </c>
      <c r="G118" s="638">
        <f t="shared" si="140"/>
        <v>2628599.6735603879</v>
      </c>
      <c r="H118" s="638">
        <f t="shared" si="140"/>
        <v>2601427.8519152394</v>
      </c>
      <c r="I118" s="638">
        <f t="shared" si="140"/>
        <v>2574311.5666250363</v>
      </c>
      <c r="J118" s="638">
        <f t="shared" si="140"/>
        <v>2547512.1544667617</v>
      </c>
      <c r="K118" s="638">
        <f t="shared" si="140"/>
        <v>2520822.3143804483</v>
      </c>
      <c r="L118" s="638">
        <f t="shared" si="140"/>
        <v>2494240.0873015281</v>
      </c>
      <c r="M118" s="638">
        <f t="shared" si="140"/>
        <v>2467763.8766841325</v>
      </c>
      <c r="N118" s="638">
        <f t="shared" si="140"/>
        <v>2441392.4490467813</v>
      </c>
      <c r="O118" s="638">
        <f t="shared" si="140"/>
        <v>2302432.2614345746</v>
      </c>
      <c r="P118" s="638">
        <f t="shared" si="140"/>
        <v>2230938.1217998462</v>
      </c>
      <c r="Q118" s="638">
        <f t="shared" si="140"/>
        <v>2159803.6343408125</v>
      </c>
      <c r="R118" s="638">
        <f t="shared" si="140"/>
        <v>2089011.8808598788</v>
      </c>
      <c r="S118" s="638">
        <f t="shared" si="140"/>
        <v>2018548.1056197584</v>
      </c>
      <c r="T118" s="638">
        <f t="shared" si="140"/>
        <v>1948139.4564492728</v>
      </c>
      <c r="U118" s="638">
        <f t="shared" si="140"/>
        <v>1877976.614909326</v>
      </c>
      <c r="V118" s="638">
        <f t="shared" si="140"/>
        <v>1808042.7157671719</v>
      </c>
      <c r="W118" s="638">
        <f t="shared" si="140"/>
        <v>1738321.7639870793</v>
      </c>
      <c r="X118" s="638">
        <f t="shared" si="140"/>
        <v>1668798.6374922125</v>
      </c>
      <c r="Y118" s="638">
        <f t="shared" si="140"/>
        <v>1594268.9423426683</v>
      </c>
      <c r="Z118" s="638">
        <f t="shared" si="140"/>
        <v>1520136.3751248471</v>
      </c>
      <c r="AA118" s="638">
        <f t="shared" si="140"/>
        <v>1446386.0014779386</v>
      </c>
      <c r="AB118" s="638">
        <f t="shared" si="140"/>
        <v>1372986.7017887472</v>
      </c>
      <c r="AC118" s="638">
        <f t="shared" si="140"/>
        <v>1299916.7575342483</v>
      </c>
      <c r="AD118" s="638">
        <f t="shared" si="140"/>
        <v>1227502.421287491</v>
      </c>
      <c r="AE118" s="638">
        <f t="shared" si="140"/>
        <v>1155442.042050984</v>
      </c>
      <c r="AF118" s="638">
        <f t="shared" si="140"/>
        <v>1083723.3750731398</v>
      </c>
      <c r="AG118" s="638">
        <f t="shared" si="140"/>
        <v>1012335.8180276955</v>
      </c>
      <c r="AH118" s="638">
        <f t="shared" si="140"/>
        <v>941270.41554605355</v>
      </c>
      <c r="AI118" s="638"/>
      <c r="AJ118" s="638">
        <f t="shared" ref="AJ118:BN118" si="145">AJ81+AJ87+AJ94+AJ103+AJ112</f>
        <v>2708489.495211232</v>
      </c>
      <c r="AK118" s="638">
        <f t="shared" si="145"/>
        <v>2690482.0615149615</v>
      </c>
      <c r="AL118" s="638">
        <f t="shared" si="145"/>
        <v>2670891.0533506651</v>
      </c>
      <c r="AM118" s="638">
        <f t="shared" si="145"/>
        <v>2651197.3468783856</v>
      </c>
      <c r="AN118" s="638">
        <f t="shared" si="145"/>
        <v>2631579.8209937369</v>
      </c>
      <c r="AO118" s="638">
        <f t="shared" si="145"/>
        <v>2612028.7004579506</v>
      </c>
      <c r="AP118" s="638">
        <f t="shared" si="145"/>
        <v>2592805.3220480089</v>
      </c>
      <c r="AQ118" s="638">
        <f t="shared" si="145"/>
        <v>2573702.3847039444</v>
      </c>
      <c r="AR118" s="638">
        <f t="shared" si="145"/>
        <v>2554717.9293611916</v>
      </c>
      <c r="AS118" s="638">
        <f t="shared" si="145"/>
        <v>2535850.3594738794</v>
      </c>
      <c r="AT118" s="638">
        <f t="shared" si="145"/>
        <v>2517098.4415605292</v>
      </c>
      <c r="AU118" s="638">
        <f t="shared" si="145"/>
        <v>2403667.6361239497</v>
      </c>
      <c r="AV118" s="638">
        <f t="shared" si="145"/>
        <v>2349942.390545716</v>
      </c>
      <c r="AW118" s="638">
        <f t="shared" si="145"/>
        <v>2296581.2476259493</v>
      </c>
      <c r="AX118" s="638">
        <f t="shared" si="145"/>
        <v>2243567.2891670549</v>
      </c>
      <c r="AY118" s="638">
        <f t="shared" si="145"/>
        <v>2190885.7594317459</v>
      </c>
      <c r="AZ118" s="638">
        <f t="shared" si="145"/>
        <v>2138263.8062488437</v>
      </c>
      <c r="BA118" s="638">
        <f t="shared" si="145"/>
        <v>2085892.1111792524</v>
      </c>
      <c r="BB118" s="638">
        <f t="shared" si="145"/>
        <v>2033753.8089902264</v>
      </c>
      <c r="BC118" s="638">
        <f t="shared" si="145"/>
        <v>1981832.9046460341</v>
      </c>
      <c r="BD118" s="638">
        <f t="shared" si="145"/>
        <v>1930114.2760698386</v>
      </c>
      <c r="BE118" s="638">
        <f t="shared" si="145"/>
        <v>1874537.803509427</v>
      </c>
      <c r="BF118" s="638">
        <f t="shared" si="145"/>
        <v>1819363.7994600658</v>
      </c>
      <c r="BG118" s="638">
        <f t="shared" si="145"/>
        <v>1764577.3295609429</v>
      </c>
      <c r="BH118" s="638">
        <f t="shared" si="145"/>
        <v>1710147.2741988634</v>
      </c>
      <c r="BI118" s="638">
        <f t="shared" si="145"/>
        <v>1656051.914850804</v>
      </c>
      <c r="BJ118" s="638">
        <f t="shared" si="145"/>
        <v>1602617.5040898123</v>
      </c>
      <c r="BK118" s="638">
        <f t="shared" si="145"/>
        <v>1549542.3909183973</v>
      </c>
      <c r="BL118" s="638">
        <f t="shared" si="145"/>
        <v>1496814.3305849719</v>
      </c>
      <c r="BM118" s="638">
        <f t="shared" si="145"/>
        <v>1444422.7207632738</v>
      </c>
      <c r="BN118" s="638">
        <f t="shared" si="145"/>
        <v>1392358.6060847028</v>
      </c>
    </row>
    <row r="119" spans="1:67">
      <c r="A119" s="1" t="s">
        <v>843</v>
      </c>
      <c r="C119" s="56" t="s">
        <v>166</v>
      </c>
      <c r="D119" s="649">
        <f>'BTX Recycling HC'!C361</f>
        <v>0.11666709746365898</v>
      </c>
      <c r="E119" s="649">
        <f>'BTX Recycling HC'!D361</f>
        <v>0.23968636733026649</v>
      </c>
      <c r="F119" s="649">
        <f>'BTX Recycling HC'!E361</f>
        <v>0.48353361862708466</v>
      </c>
      <c r="G119" s="649">
        <f>'BTX Recycling HC'!F361</f>
        <v>0.97248263734780438</v>
      </c>
      <c r="H119" s="649">
        <f>'BTX Recycling HC'!G361</f>
        <v>1.9472133313662099</v>
      </c>
      <c r="I119" s="649">
        <f>'BTX Recycling HC'!H361</f>
        <v>3.8764488367587404</v>
      </c>
      <c r="J119" s="649">
        <f>'BTX Recycling HC'!I361</f>
        <v>7.5415679859805858</v>
      </c>
      <c r="K119" s="649">
        <f>'BTX Recycling HC'!J361</f>
        <v>14.519750737725261</v>
      </c>
      <c r="L119" s="649">
        <f>'BTX Recycling HC'!K361</f>
        <v>27.571396764130601</v>
      </c>
      <c r="M119" s="649">
        <f>'BTX Recycling HC'!L361</f>
        <v>51.409561436329732</v>
      </c>
      <c r="N119" s="649">
        <f>'BTX Recycling HC'!M361</f>
        <v>94.009790250200211</v>
      </c>
      <c r="O119" s="649">
        <f>'BTX Recycling HC'!N361</f>
        <v>160.11881817525645</v>
      </c>
      <c r="P119" s="649">
        <f>'BTX Recycling HC'!O361</f>
        <v>263.6684882857092</v>
      </c>
      <c r="Q119" s="649">
        <f>'BTX Recycling HC'!P361</f>
        <v>414.69256592149014</v>
      </c>
      <c r="R119" s="649">
        <f>'BTX Recycling HC'!Q361</f>
        <v>618.86981367891622</v>
      </c>
      <c r="S119" s="649">
        <f>'BTX Recycling HC'!R361</f>
        <v>872.54922113992313</v>
      </c>
      <c r="T119" s="649">
        <f>'BTX Recycling HC'!S361</f>
        <v>1165.3028135779289</v>
      </c>
      <c r="U119" s="649">
        <f>'BTX Recycling HC'!T361</f>
        <v>1470.35138968612</v>
      </c>
      <c r="V119" s="649">
        <f>'BTX Recycling HC'!U361</f>
        <v>1761.348994165844</v>
      </c>
      <c r="W119" s="649">
        <f>'BTX Recycling HC'!V361</f>
        <v>2017.1542878784082</v>
      </c>
      <c r="X119" s="649">
        <f>'BTX Recycling HC'!W361</f>
        <v>2226.1366127572996</v>
      </c>
      <c r="Y119" s="649">
        <f>'BTX Recycling HC'!X361</f>
        <v>2282.5599888496577</v>
      </c>
      <c r="Z119" s="649">
        <f>'BTX Recycling HC'!Y361</f>
        <v>2284.099266333948</v>
      </c>
      <c r="AA119" s="649">
        <f>'BTX Recycling HC'!Z361</f>
        <v>2243.9885687843807</v>
      </c>
      <c r="AB119" s="649">
        <f>'BTX Recycling HC'!AA361</f>
        <v>2179.0627214280385</v>
      </c>
      <c r="AC119" s="649">
        <f>'BTX Recycling HC'!AB361</f>
        <v>2103.8934413193119</v>
      </c>
      <c r="AD119" s="649">
        <f>'BTX Recycling HC'!AC361</f>
        <v>2088.556984105825</v>
      </c>
      <c r="AE119" s="649">
        <f>'BTX Recycling HC'!AD361</f>
        <v>2204.7578265251373</v>
      </c>
      <c r="AF119" s="649">
        <f>'BTX Recycling HC'!AE361</f>
        <v>2342.1514388500163</v>
      </c>
      <c r="AG119" s="649">
        <f>'BTX Recycling HC'!AF361</f>
        <v>2503.9924747156233</v>
      </c>
      <c r="AH119" s="649">
        <f>'BTX Recycling HC'!AG361</f>
        <v>2683.8770236750952</v>
      </c>
      <c r="AI119" s="635"/>
      <c r="AJ119" s="635">
        <f>'BTX Recycling LC'!C361</f>
        <v>0.11666709746365898</v>
      </c>
      <c r="AK119" s="635">
        <f>'BTX Recycling LC'!D361</f>
        <v>0.24008096223766354</v>
      </c>
      <c r="AL119" s="635">
        <f>'BTX Recycling LC'!E361</f>
        <v>0.48545984329715486</v>
      </c>
      <c r="AM119" s="635">
        <f>'BTX Recycling LC'!F361</f>
        <v>0.97837415252671533</v>
      </c>
      <c r="AN119" s="635">
        <f>'BTX Recycling LC'!G361</f>
        <v>1.9631541848125817</v>
      </c>
      <c r="AO119" s="635">
        <f>'BTX Recycling LC'!H361</f>
        <v>3.9166388734391653</v>
      </c>
      <c r="AP119" s="635">
        <f>'BTX Recycling LC'!I361</f>
        <v>7.7057214745268015</v>
      </c>
      <c r="AQ119" s="635">
        <f>'BTX Recycling LC'!J361</f>
        <v>15.010632596752915</v>
      </c>
      <c r="AR119" s="635">
        <f>'BTX Recycling LC'!K361</f>
        <v>28.854017168293705</v>
      </c>
      <c r="AS119" s="635">
        <f>'BTX Recycling LC'!L361</f>
        <v>54.490662105821499</v>
      </c>
      <c r="AT119" s="635">
        <f>'BTX Recycling LC'!M361</f>
        <v>100.97370745730255</v>
      </c>
      <c r="AU119" s="635">
        <f>'BTX Recycling LC'!N361</f>
        <v>175.3414689484197</v>
      </c>
      <c r="AV119" s="635">
        <f>'BTX Recycling LC'!O361</f>
        <v>294.88831781001107</v>
      </c>
      <c r="AW119" s="635">
        <f>'BTX Recycling LC'!P361</f>
        <v>474.65329536119691</v>
      </c>
      <c r="AX119" s="635">
        <f>'BTX Recycling LC'!Q361</f>
        <v>726.3222087794785</v>
      </c>
      <c r="AY119" s="635">
        <f>'BTX Recycling LC'!R361</f>
        <v>1052.1033018112091</v>
      </c>
      <c r="AZ119" s="635">
        <f>'BTX Recycling LC'!S361</f>
        <v>1441.0613345710851</v>
      </c>
      <c r="BA119" s="635">
        <f>'BTX Recycling LC'!T361</f>
        <v>1867.8977845267882</v>
      </c>
      <c r="BB119" s="635">
        <f>'BTX Recycling LC'!U361</f>
        <v>2302.4460190704231</v>
      </c>
      <c r="BC119" s="635">
        <f>'BTX Recycling LC'!V361</f>
        <v>2717.8515638958379</v>
      </c>
      <c r="BD119" s="635">
        <f>'BTX Recycling LC'!W361</f>
        <v>3096.8033456817579</v>
      </c>
      <c r="BE119" s="635">
        <f>'BTX Recycling LC'!X361</f>
        <v>3330.1197068134788</v>
      </c>
      <c r="BF119" s="635">
        <f>'BTX Recycling LC'!Y361</f>
        <v>3513.2152131197595</v>
      </c>
      <c r="BG119" s="635">
        <f>'BTX Recycling LC'!Z361</f>
        <v>3662.7730409011465</v>
      </c>
      <c r="BH119" s="635">
        <f>'BTX Recycling LC'!AA361</f>
        <v>3797.75384988428</v>
      </c>
      <c r="BI119" s="635">
        <f>'BTX Recycling LC'!AB361</f>
        <v>3940.5737345602174</v>
      </c>
      <c r="BJ119" s="635">
        <f>'BTX Recycling LC'!AC361</f>
        <v>4119.457344790545</v>
      </c>
      <c r="BK119" s="635">
        <f>'BTX Recycling LC'!AD361</f>
        <v>4360.6482132946494</v>
      </c>
      <c r="BL119" s="635">
        <f>'BTX Recycling LC'!AE361</f>
        <v>4690.4664108750003</v>
      </c>
      <c r="BM119" s="635">
        <f>'BTX Recycling LC'!AF361</f>
        <v>5127.9751518614476</v>
      </c>
      <c r="BN119" s="635">
        <f>'BTX Recycling LC'!AG361</f>
        <v>5677.7409551342316</v>
      </c>
    </row>
    <row r="120" spans="1:67">
      <c r="A120" s="1" t="s">
        <v>844</v>
      </c>
      <c r="C120" s="262" t="s">
        <v>166</v>
      </c>
      <c r="D120" s="649">
        <f>'BTX Recycling HC'!C363</f>
        <v>0.62219929879880409</v>
      </c>
      <c r="E120" s="649">
        <f>'BTX Recycling HC'!D363</f>
        <v>1.2782754772053726</v>
      </c>
      <c r="F120" s="649">
        <f>'BTX Recycling HC'!E363</f>
        <v>2.5787414360688499</v>
      </c>
      <c r="G120" s="649">
        <f>'BTX Recycling HC'!F363</f>
        <v>5.186363835273208</v>
      </c>
      <c r="H120" s="649">
        <f>'BTX Recycling HC'!G363</f>
        <v>10.384716820139717</v>
      </c>
      <c r="I120" s="649">
        <f>'BTX Recycling HC'!H363</f>
        <v>20.673555788186349</v>
      </c>
      <c r="J120" s="649">
        <f>'BTX Recycling HC'!I363</f>
        <v>40.220065594605778</v>
      </c>
      <c r="K120" s="649">
        <f>'BTX Recycling HC'!J363</f>
        <v>77.435531732159205</v>
      </c>
      <c r="L120" s="649">
        <f>'BTX Recycling HC'!K363</f>
        <v>147.04148904440956</v>
      </c>
      <c r="M120" s="649">
        <f>'BTX Recycling HC'!L363</f>
        <v>274.17321397922092</v>
      </c>
      <c r="N120" s="649">
        <f>'BTX Recycling HC'!M363</f>
        <v>501.36522503371049</v>
      </c>
      <c r="O120" s="649">
        <f>'BTX Recycling HC'!N363</f>
        <v>853.93241589961167</v>
      </c>
      <c r="P120" s="649">
        <f>'BTX Recycling HC'!O363</f>
        <v>1406.1749378637862</v>
      </c>
      <c r="Q120" s="649">
        <f>'BTX Recycling HC'!P363</f>
        <v>2211.60403698052</v>
      </c>
      <c r="R120" s="649">
        <f>'BTX Recycling HC'!Q363</f>
        <v>3300.505219466113</v>
      </c>
      <c r="S120" s="649">
        <f>'BTX Recycling HC'!R363</f>
        <v>4653.4072190303041</v>
      </c>
      <c r="T120" s="649">
        <f>'BTX Recycling HC'!S363</f>
        <v>6214.6964247765682</v>
      </c>
      <c r="U120" s="649">
        <f>'BTX Recycling HC'!T363</f>
        <v>7841.5562188432878</v>
      </c>
      <c r="V120" s="649">
        <f>'BTX Recycling HC'!U363</f>
        <v>9393.480535086901</v>
      </c>
      <c r="W120" s="649">
        <f>'BTX Recycling HC'!V363</f>
        <v>10757.720135086871</v>
      </c>
      <c r="X120" s="649">
        <f>'BTX Recycling HC'!W363</f>
        <v>11872.247356795571</v>
      </c>
      <c r="Y120" s="649">
        <f>'BTX Recycling HC'!X363</f>
        <v>12173.159831724175</v>
      </c>
      <c r="Z120" s="649">
        <f>'BTX Recycling HC'!Y363</f>
        <v>12181.368978880515</v>
      </c>
      <c r="AA120" s="649">
        <f>'BTX Recycling HC'!Z363</f>
        <v>11967.453929717272</v>
      </c>
      <c r="AB120" s="649">
        <f>'BTX Recycling HC'!AA363</f>
        <v>11621.196779438738</v>
      </c>
      <c r="AC120" s="649">
        <f>'BTX Recycling HC'!AB363</f>
        <v>11220.310202231922</v>
      </c>
      <c r="AD120" s="649">
        <f>'BTX Recycling HC'!AC363</f>
        <v>11138.519079184038</v>
      </c>
      <c r="AE120" s="649">
        <f>'BTX Recycling HC'!AD363</f>
        <v>11758.231785207665</v>
      </c>
      <c r="AF120" s="649">
        <f>'BTX Recycling HC'!AE363</f>
        <v>12490.968015956896</v>
      </c>
      <c r="AG120" s="649">
        <f>'BTX Recycling HC'!AF363</f>
        <v>13354.085220563957</v>
      </c>
      <c r="AH120" s="649">
        <f>'BTX Recycling HC'!AG363</f>
        <v>14313.430594371563</v>
      </c>
      <c r="AI120" s="635"/>
      <c r="AJ120" s="635">
        <f>'BTX Recycling LC'!C363</f>
        <v>0.31109964939940205</v>
      </c>
      <c r="AK120" s="635">
        <f>'BTX Recycling LC'!D363</f>
        <v>0.64018994903745985</v>
      </c>
      <c r="AL120" s="635">
        <f>'BTX Recycling LC'!E363</f>
        <v>1.2945071089496953</v>
      </c>
      <c r="AM120" s="635">
        <f>'BTX Recycling LC'!F363</f>
        <v>2.6088919879686561</v>
      </c>
      <c r="AN120" s="635">
        <f>'BTX Recycling LC'!G363</f>
        <v>5.2348656295525258</v>
      </c>
      <c r="AO120" s="635">
        <f>'BTX Recycling LC'!H363</f>
        <v>10.44394698111468</v>
      </c>
      <c r="AP120" s="635">
        <f>'BTX Recycling LC'!I363</f>
        <v>20.547757690135882</v>
      </c>
      <c r="AQ120" s="635">
        <f>'BTX Recycling LC'!J363</f>
        <v>40.026731097580274</v>
      </c>
      <c r="AR120" s="635">
        <f>'BTX Recycling LC'!K363</f>
        <v>76.940926962004951</v>
      </c>
      <c r="AS120" s="635">
        <f>'BTX Recycling LC'!L363</f>
        <v>145.30254240654949</v>
      </c>
      <c r="AT120" s="635">
        <f>'BTX Recycling LC'!M363</f>
        <v>269.25230567520987</v>
      </c>
      <c r="AU120" s="635">
        <f>'BTX Recycling LC'!N363</f>
        <v>467.55829793418019</v>
      </c>
      <c r="AV120" s="635">
        <f>'BTX Recycling LC'!O363</f>
        <v>786.33697312346499</v>
      </c>
      <c r="AW120" s="635">
        <f>'BTX Recycling LC'!P363</f>
        <v>1265.6908158629358</v>
      </c>
      <c r="AX120" s="635">
        <f>'BTX Recycling LC'!Q363</f>
        <v>1936.780715511326</v>
      </c>
      <c r="AY120" s="635">
        <f>'BTX Recycling LC'!R363</f>
        <v>2805.4950833706562</v>
      </c>
      <c r="AZ120" s="635">
        <f>'BTX Recycling LC'!S363</f>
        <v>3842.6744617328436</v>
      </c>
      <c r="BA120" s="635">
        <f>'BTX Recycling LC'!T363</f>
        <v>4980.8588583530427</v>
      </c>
      <c r="BB120" s="635">
        <f>'BTX Recycling LC'!U363</f>
        <v>6139.6071803104314</v>
      </c>
      <c r="BC120" s="635">
        <f>'BTX Recycling LC'!V363</f>
        <v>7247.3103988121957</v>
      </c>
      <c r="BD120" s="635">
        <f>'BTX Recycling LC'!W363</f>
        <v>8257.807522815825</v>
      </c>
      <c r="BE120" s="635">
        <f>'BTX Recycling LC'!X363</f>
        <v>8879.9592667540182</v>
      </c>
      <c r="BF120" s="635">
        <f>'BTX Recycling LC'!Y363</f>
        <v>9368.1941595114458</v>
      </c>
      <c r="BG120" s="635">
        <f>'BTX Recycling LC'!Z363</f>
        <v>9766.9988679445032</v>
      </c>
      <c r="BH120" s="635">
        <f>'BTX Recycling LC'!AA363</f>
        <v>10126.93310187349</v>
      </c>
      <c r="BI120" s="635">
        <f>'BTX Recycling LC'!AB363</f>
        <v>10507.770690327143</v>
      </c>
      <c r="BJ120" s="635">
        <f>'BTX Recycling LC'!AC363</f>
        <v>10984.774315477662</v>
      </c>
      <c r="BK120" s="635">
        <f>'BTX Recycling LC'!AD363</f>
        <v>11627.923894589603</v>
      </c>
      <c r="BL120" s="635">
        <f>'BTX Recycling LC'!AE363</f>
        <v>12507.40343820944</v>
      </c>
      <c r="BM120" s="635">
        <f>'BTX Recycling LC'!AF363</f>
        <v>13674.046124014276</v>
      </c>
      <c r="BN120" s="635">
        <f>'BTX Recycling LC'!AG363</f>
        <v>15140.0288420914</v>
      </c>
    </row>
    <row r="121" spans="1:67" s="99" customFormat="1">
      <c r="A121" s="97" t="s">
        <v>1546</v>
      </c>
      <c r="B121" s="97"/>
      <c r="C121" s="98" t="s">
        <v>166</v>
      </c>
      <c r="D121" s="642">
        <f>D115-D119-D120</f>
        <v>4369539.0104794912</v>
      </c>
      <c r="E121" s="642">
        <f t="shared" ref="E121:AH121" si="146">E115-E119-E120</f>
        <v>4322320.7089572595</v>
      </c>
      <c r="F121" s="642">
        <f t="shared" si="146"/>
        <v>4258968.0933693936</v>
      </c>
      <c r="G121" s="642">
        <f t="shared" si="146"/>
        <v>4202588.7581112599</v>
      </c>
      <c r="H121" s="642">
        <f t="shared" si="146"/>
        <v>4146231.969290819</v>
      </c>
      <c r="I121" s="642">
        <f t="shared" si="146"/>
        <v>4089890.6803366779</v>
      </c>
      <c r="J121" s="642">
        <f t="shared" si="146"/>
        <v>4033966.0926183271</v>
      </c>
      <c r="K121" s="642">
        <f t="shared" si="146"/>
        <v>3978122.7264781711</v>
      </c>
      <c r="L121" s="642">
        <f t="shared" si="146"/>
        <v>3922347.3477868666</v>
      </c>
      <c r="M121" s="642">
        <f t="shared" si="146"/>
        <v>3866614.6549627087</v>
      </c>
      <c r="N121" s="642">
        <f t="shared" si="146"/>
        <v>3810878.9836442797</v>
      </c>
      <c r="O121" s="642">
        <f t="shared" si="146"/>
        <v>3709028.7794068721</v>
      </c>
      <c r="P121" s="642">
        <f t="shared" si="146"/>
        <v>3607339.0810850896</v>
      </c>
      <c r="Q121" s="642">
        <f t="shared" si="146"/>
        <v>3505765.0605696291</v>
      </c>
      <c r="R121" s="642">
        <f t="shared" si="146"/>
        <v>3404266.3084732206</v>
      </c>
      <c r="S121" s="642">
        <f t="shared" si="146"/>
        <v>3302872.5175569737</v>
      </c>
      <c r="T121" s="642">
        <f t="shared" si="146"/>
        <v>3201370.9674725574</v>
      </c>
      <c r="U121" s="642">
        <f t="shared" si="146"/>
        <v>3100163.5252499757</v>
      </c>
      <c r="V121" s="642">
        <f t="shared" si="146"/>
        <v>2999419.7606411888</v>
      </c>
      <c r="W121" s="642">
        <f t="shared" si="146"/>
        <v>2899276.7279447233</v>
      </c>
      <c r="X121" s="642">
        <f t="shared" si="146"/>
        <v>2799811.6952045863</v>
      </c>
      <c r="Y121" s="642">
        <f t="shared" si="146"/>
        <v>2693229.6656043674</v>
      </c>
      <c r="Z121" s="642">
        <f t="shared" si="146"/>
        <v>2587658.974976901</v>
      </c>
      <c r="AA121" s="642">
        <f t="shared" si="146"/>
        <v>2483105.4597310023</v>
      </c>
      <c r="AB121" s="642">
        <f t="shared" si="146"/>
        <v>2379402.3815751099</v>
      </c>
      <c r="AC121" s="642">
        <f t="shared" si="146"/>
        <v>2286781.1649501603</v>
      </c>
      <c r="AD121" s="642">
        <f t="shared" si="146"/>
        <v>2184989.0544502693</v>
      </c>
      <c r="AE121" s="642">
        <f t="shared" si="146"/>
        <v>2083082.1668098979</v>
      </c>
      <c r="AF121" s="642">
        <f t="shared" si="146"/>
        <v>1981766.1705564433</v>
      </c>
      <c r="AG121" s="642">
        <f t="shared" si="146"/>
        <v>1881027.9136700563</v>
      </c>
      <c r="AH121" s="642">
        <f t="shared" si="146"/>
        <v>1780916.0293589875</v>
      </c>
      <c r="AI121" s="641"/>
      <c r="AJ121" s="642">
        <f>AJ115-AJ119-AJ120</f>
        <v>4369539.3215791406</v>
      </c>
      <c r="AK121" s="642">
        <f t="shared" ref="AK121:BN121" si="147">AK115-AK119-AK120</f>
        <v>4338961.8438572343</v>
      </c>
      <c r="AL121" s="642">
        <f t="shared" si="147"/>
        <v>4294836.8305440918</v>
      </c>
      <c r="AM121" s="642">
        <f t="shared" si="147"/>
        <v>4256394.9408533778</v>
      </c>
      <c r="AN121" s="642">
        <f t="shared" si="147"/>
        <v>4217978.4898994006</v>
      </c>
      <c r="AO121" s="642">
        <f t="shared" si="147"/>
        <v>4179581.6512314104</v>
      </c>
      <c r="AP121" s="642">
        <f t="shared" si="147"/>
        <v>4141607.3962676884</v>
      </c>
      <c r="AQ121" s="642">
        <f t="shared" si="147"/>
        <v>4103724.0731521375</v>
      </c>
      <c r="AR121" s="642">
        <f t="shared" si="147"/>
        <v>4065924.8469852456</v>
      </c>
      <c r="AS121" s="642">
        <f t="shared" si="147"/>
        <v>4028194.9975330858</v>
      </c>
      <c r="AT121" s="642">
        <f t="shared" si="147"/>
        <v>3990506.1766299419</v>
      </c>
      <c r="AU121" s="642">
        <f t="shared" si="147"/>
        <v>3917588.6824132591</v>
      </c>
      <c r="AV121" s="642">
        <f t="shared" si="147"/>
        <v>3844915.3026246605</v>
      </c>
      <c r="AW121" s="642">
        <f t="shared" si="147"/>
        <v>3772449.612640298</v>
      </c>
      <c r="AX121" s="642">
        <f t="shared" si="147"/>
        <v>3700144.3206451768</v>
      </c>
      <c r="AY121" s="642">
        <f t="shared" si="147"/>
        <v>3627997.9004686517</v>
      </c>
      <c r="AZ121" s="642">
        <f t="shared" si="147"/>
        <v>3555771.68487436</v>
      </c>
      <c r="BA121" s="642">
        <f t="shared" si="147"/>
        <v>3483790.7035879148</v>
      </c>
      <c r="BB121" s="642">
        <f t="shared" si="147"/>
        <v>3412168.2820653636</v>
      </c>
      <c r="BC121" s="642">
        <f t="shared" si="147"/>
        <v>3341006.0475307717</v>
      </c>
      <c r="BD121" s="642">
        <f t="shared" si="147"/>
        <v>3270371.0817723987</v>
      </c>
      <c r="BE121" s="642">
        <f t="shared" si="147"/>
        <v>3194294.1864042701</v>
      </c>
      <c r="BF121" s="642">
        <f t="shared" si="147"/>
        <v>3119079.7534598904</v>
      </c>
      <c r="BG121" s="642">
        <f t="shared" si="147"/>
        <v>3044756.2627599463</v>
      </c>
      <c r="BH121" s="642">
        <f t="shared" si="147"/>
        <v>2971194.0725637572</v>
      </c>
      <c r="BI121" s="642">
        <f t="shared" si="147"/>
        <v>2898319.4290838628</v>
      </c>
      <c r="BJ121" s="642">
        <f t="shared" si="147"/>
        <v>2826429.3153441353</v>
      </c>
      <c r="BK121" s="642">
        <f t="shared" si="147"/>
        <v>2755117.1883059931</v>
      </c>
      <c r="BL121" s="642">
        <f t="shared" si="147"/>
        <v>2684302.7733209906</v>
      </c>
      <c r="BM121" s="642">
        <f t="shared" si="147"/>
        <v>2613933.3187749898</v>
      </c>
      <c r="BN121" s="642">
        <f t="shared" si="147"/>
        <v>2544010.1414024867</v>
      </c>
    </row>
    <row r="122" spans="1:67" s="62" customFormat="1">
      <c r="A122" s="684"/>
      <c r="B122" s="55" t="s">
        <v>88</v>
      </c>
      <c r="C122" s="56" t="s">
        <v>166</v>
      </c>
      <c r="D122" s="639">
        <f>D116-D120*D116/SUM(D116:D118)</f>
        <v>1554736.0003135481</v>
      </c>
      <c r="E122" s="639">
        <f t="shared" ref="E122:AH122" si="148">E116-E120*E116/SUM(E116:E118)</f>
        <v>1535460.1713221699</v>
      </c>
      <c r="F122" s="639">
        <f t="shared" si="148"/>
        <v>1516117.852970035</v>
      </c>
      <c r="G122" s="639">
        <f t="shared" si="148"/>
        <v>1496711.0730285216</v>
      </c>
      <c r="H122" s="639">
        <f t="shared" si="148"/>
        <v>1477247.6695946308</v>
      </c>
      <c r="I122" s="639">
        <f t="shared" si="148"/>
        <v>1457731.5153826626</v>
      </c>
      <c r="J122" s="639">
        <f t="shared" si="148"/>
        <v>1438242.2084981159</v>
      </c>
      <c r="K122" s="639">
        <f t="shared" si="148"/>
        <v>1418710.5045674304</v>
      </c>
      <c r="L122" s="639">
        <f t="shared" si="148"/>
        <v>1399135.834849708</v>
      </c>
      <c r="M122" s="639">
        <f t="shared" si="148"/>
        <v>1379513.9549339502</v>
      </c>
      <c r="N122" s="639">
        <f t="shared" si="148"/>
        <v>1359834.5354593263</v>
      </c>
      <c r="O122" s="639">
        <f t="shared" si="148"/>
        <v>1331975.0486194429</v>
      </c>
      <c r="P122" s="639">
        <f t="shared" si="148"/>
        <v>1306927.6829581251</v>
      </c>
      <c r="Q122" s="639">
        <f t="shared" si="148"/>
        <v>1281795.1355440894</v>
      </c>
      <c r="R122" s="639">
        <f t="shared" si="148"/>
        <v>1256572.6013940431</v>
      </c>
      <c r="S122" s="639">
        <f t="shared" si="148"/>
        <v>1231279.8009949652</v>
      </c>
      <c r="T122" s="639">
        <f t="shared" si="148"/>
        <v>1205949.4441860989</v>
      </c>
      <c r="U122" s="639">
        <f t="shared" si="148"/>
        <v>1180647.8132883532</v>
      </c>
      <c r="V122" s="639">
        <f t="shared" si="148"/>
        <v>1155441.9177103252</v>
      </c>
      <c r="W122" s="639">
        <f t="shared" si="148"/>
        <v>1130389.9246150395</v>
      </c>
      <c r="X122" s="639">
        <f t="shared" si="148"/>
        <v>1105531.7948648375</v>
      </c>
      <c r="Y122" s="639">
        <f t="shared" si="148"/>
        <v>1078014.9419784606</v>
      </c>
      <c r="Z122" s="639">
        <f t="shared" si="148"/>
        <v>1050766.919244386</v>
      </c>
      <c r="AA122" s="639">
        <f t="shared" si="148"/>
        <v>1023835.499252751</v>
      </c>
      <c r="AB122" s="639">
        <f t="shared" si="148"/>
        <v>997169.87744386645</v>
      </c>
      <c r="AC122" s="639">
        <f t="shared" si="148"/>
        <v>970762.23565025337</v>
      </c>
      <c r="AD122" s="639">
        <f t="shared" si="148"/>
        <v>944480.59706124151</v>
      </c>
      <c r="AE122" s="639">
        <f t="shared" si="148"/>
        <v>918162.67007795419</v>
      </c>
      <c r="AF122" s="639">
        <f t="shared" si="148"/>
        <v>892074.51384604222</v>
      </c>
      <c r="AG122" s="639">
        <f t="shared" si="148"/>
        <v>866221.66171770345</v>
      </c>
      <c r="AH122" s="639">
        <f t="shared" si="148"/>
        <v>840631.19086791947</v>
      </c>
      <c r="AI122" s="639"/>
      <c r="AJ122" s="639">
        <f>AJ116-AJ120*AJ116/SUM(AJ116:AJ118)</f>
        <v>1554736.1110066464</v>
      </c>
      <c r="AK122" s="639">
        <f t="shared" ref="AK122:BN122" si="149">AK116-AK120*AK116/SUM(AK116:AK118)</f>
        <v>1544643.5552635242</v>
      </c>
      <c r="AL122" s="639">
        <f t="shared" si="149"/>
        <v>1534486.0069729423</v>
      </c>
      <c r="AM122" s="639">
        <f t="shared" si="149"/>
        <v>1524265.6081445715</v>
      </c>
      <c r="AN122" s="639">
        <f t="shared" si="149"/>
        <v>1513990.4160930947</v>
      </c>
      <c r="AO122" s="639">
        <f t="shared" si="149"/>
        <v>1503664.7276797264</v>
      </c>
      <c r="AP122" s="639">
        <f t="shared" si="149"/>
        <v>1493368.7745792223</v>
      </c>
      <c r="AQ122" s="639">
        <f t="shared" si="149"/>
        <v>1483034.6532500931</v>
      </c>
      <c r="AR122" s="639">
        <f t="shared" si="149"/>
        <v>1472664.0484745295</v>
      </c>
      <c r="AS122" s="639">
        <f t="shared" si="149"/>
        <v>1462256.4474890863</v>
      </c>
      <c r="AT122" s="639">
        <f t="shared" si="149"/>
        <v>1451807.6382596507</v>
      </c>
      <c r="AU122" s="639">
        <f t="shared" si="149"/>
        <v>1434539.2577103423</v>
      </c>
      <c r="AV122" s="639">
        <f t="shared" si="149"/>
        <v>1420111.414973059</v>
      </c>
      <c r="AW122" s="639">
        <f t="shared" si="149"/>
        <v>1405639.8576651255</v>
      </c>
      <c r="AX122" s="639">
        <f t="shared" si="149"/>
        <v>1391120.4578478944</v>
      </c>
      <c r="AY122" s="639">
        <f t="shared" si="149"/>
        <v>1376564.868509477</v>
      </c>
      <c r="AZ122" s="639">
        <f t="shared" si="149"/>
        <v>1361997.5030449706</v>
      </c>
      <c r="BA122" s="639">
        <f t="shared" si="149"/>
        <v>1347457.6593938973</v>
      </c>
      <c r="BB122" s="639">
        <f t="shared" si="149"/>
        <v>1332990.1924986455</v>
      </c>
      <c r="BC122" s="639">
        <f t="shared" si="149"/>
        <v>1318637.2916551481</v>
      </c>
      <c r="BD122" s="639">
        <f t="shared" si="149"/>
        <v>1304431.7842997122</v>
      </c>
      <c r="BE122" s="639">
        <f t="shared" si="149"/>
        <v>1288280.5896039419</v>
      </c>
      <c r="BF122" s="639">
        <f t="shared" si="149"/>
        <v>1272343.5469782399</v>
      </c>
      <c r="BG122" s="639">
        <f t="shared" si="149"/>
        <v>1256676.1835244717</v>
      </c>
      <c r="BH122" s="639">
        <f t="shared" si="149"/>
        <v>1241241.3117933299</v>
      </c>
      <c r="BI122" s="639">
        <f t="shared" si="149"/>
        <v>1226036.7189122792</v>
      </c>
      <c r="BJ122" s="639">
        <f t="shared" si="149"/>
        <v>1211058.419653916</v>
      </c>
      <c r="BK122" s="639">
        <f t="shared" si="149"/>
        <v>1196289.6403284899</v>
      </c>
      <c r="BL122" s="639">
        <f t="shared" si="149"/>
        <v>1181717.0248033134</v>
      </c>
      <c r="BM122" s="639">
        <f t="shared" si="149"/>
        <v>1167333.1194406615</v>
      </c>
      <c r="BN122" s="639">
        <f t="shared" si="149"/>
        <v>1153145.4678314256</v>
      </c>
    </row>
    <row r="123" spans="1:67">
      <c r="A123" s="685"/>
      <c r="B123" s="1" t="s">
        <v>797</v>
      </c>
      <c r="C123" s="51" t="s">
        <v>166</v>
      </c>
      <c r="D123" s="635">
        <f>D117-D119*'Overall recycling rates'!$G$61/SUM('Overall recycling rates'!$G$61:$G$62)-D120*D117/SUM(D116:D118)</f>
        <v>106314.00635076647</v>
      </c>
      <c r="E123" s="635">
        <f>E117-E119*'Overall recycling rates'!$G$61/SUM('Overall recycling rates'!$G$61:$G$62)-E120*E117/SUM(E116:E118)</f>
        <v>103901.17555178488</v>
      </c>
      <c r="F123" s="635">
        <f>F117-F119*'Overall recycling rates'!$G$61/SUM('Overall recycling rates'!$G$61:$G$62)-F120*F117/SUM(F116:F118)</f>
        <v>101305.73473743093</v>
      </c>
      <c r="G123" s="635">
        <f>G117-G119*'Overall recycling rates'!$G$61/SUM('Overall recycling rates'!$G$61:$G$62)-G120*G117/SUM(G116:G118)</f>
        <v>98677.44773186557</v>
      </c>
      <c r="H123" s="635">
        <f>H117-H119*'Overall recycling rates'!$G$61/SUM('Overall recycling rates'!$G$61:$G$62)-H120*H117/SUM(H116:H118)</f>
        <v>96038.369476667533</v>
      </c>
      <c r="I123" s="635">
        <f>I117-I119*'Overall recycling rates'!$G$61/SUM('Overall recycling rates'!$G$61:$G$62)-I120*I117/SUM(I116:I118)</f>
        <v>93389.347572985702</v>
      </c>
      <c r="J123" s="635">
        <f>J117-J119*'Overall recycling rates'!$G$61/SUM('Overall recycling rates'!$G$61:$G$62)-J120*J117/SUM(J116:J118)</f>
        <v>90793.975179321846</v>
      </c>
      <c r="K123" s="635">
        <f>K117-K119*'Overall recycling rates'!$G$61/SUM('Overall recycling rates'!$G$61:$G$62)-K120*K117/SUM(K116:K118)</f>
        <v>88200.038990799861</v>
      </c>
      <c r="L123" s="635">
        <f>L117-L119*'Overall recycling rates'!$G$61/SUM('Overall recycling rates'!$G$61:$G$62)-L120*L117/SUM(L116:L118)</f>
        <v>85608.616522483848</v>
      </c>
      <c r="M123" s="635">
        <f>M117-M119*'Overall recycling rates'!$G$61/SUM('Overall recycling rates'!$G$61:$G$62)-M120*M117/SUM(M116:M118)</f>
        <v>83020.403006513719</v>
      </c>
      <c r="N123" s="635">
        <f>N117-N119*'Overall recycling rates'!$G$61/SUM('Overall recycling rates'!$G$61:$G$62)-N120*N117/SUM(N116:N118)</f>
        <v>80435.465885066951</v>
      </c>
      <c r="O123" s="635">
        <f>O117-O119*'Overall recycling rates'!$G$61/SUM('Overall recycling rates'!$G$61:$G$62)-O120*O117/SUM(O116:O118)</f>
        <v>75296.511765787582</v>
      </c>
      <c r="P123" s="635">
        <f>P117-P119*'Overall recycling rates'!$G$61/SUM('Overall recycling rates'!$G$61:$G$62)-P120*P117/SUM(P116:P118)</f>
        <v>70581.44614077294</v>
      </c>
      <c r="Q123" s="635">
        <f>Q117-Q119*'Overall recycling rates'!$G$61/SUM('Overall recycling rates'!$G$61:$G$62)-Q120*Q117/SUM(Q116:Q118)</f>
        <v>65903.564558958969</v>
      </c>
      <c r="R123" s="635">
        <f>R117-R119*'Overall recycling rates'!$G$61/SUM('Overall recycling rates'!$G$61:$G$62)-R120*R117/SUM(R116:R118)</f>
        <v>61265.644555577419</v>
      </c>
      <c r="S123" s="635">
        <f>S117-S119*'Overall recycling rates'!$G$61/SUM('Overall recycling rates'!$G$61:$G$62)-S120*S117/SUM(S116:S118)</f>
        <v>56674.474713254189</v>
      </c>
      <c r="T123" s="635">
        <f>T117-T119*'Overall recycling rates'!$G$61/SUM('Overall recycling rates'!$G$61:$G$62)-T120*T117/SUM(T116:T118)</f>
        <v>52111.191060346137</v>
      </c>
      <c r="U123" s="635">
        <f>U117-U119*'Overall recycling rates'!$G$61/SUM('Overall recycling rates'!$G$61:$G$62)-U120*U117/SUM(U116:U118)</f>
        <v>47607.431951802173</v>
      </c>
      <c r="V123" s="635">
        <f>V117-V119*'Overall recycling rates'!$G$61/SUM('Overall recycling rates'!$G$61:$G$62)-V120*V117/SUM(V116:V118)</f>
        <v>43172.614411767914</v>
      </c>
      <c r="W123" s="635">
        <f>W117-W119*'Overall recycling rates'!$G$61/SUM('Overall recycling rates'!$G$61:$G$62)-W120*W117/SUM(W116:W118)</f>
        <v>38814.665919114726</v>
      </c>
      <c r="X123" s="635">
        <f>X117-X119*'Overall recycling rates'!$G$61/SUM('Overall recycling rates'!$G$61:$G$62)-X120*X117/SUM(X116:X118)</f>
        <v>34539.420958287024</v>
      </c>
      <c r="Y123" s="635">
        <f>Y117-Y119*'Overall recycling rates'!$G$61/SUM('Overall recycling rates'!$G$61:$G$62)-Y120*Y117/SUM(Y116:Y118)</f>
        <v>30181.677421269633</v>
      </c>
      <c r="Z123" s="635">
        <f>Z117-Z119*'Overall recycling rates'!$G$61/SUM('Overall recycling rates'!$G$61:$G$62)-Z120*Z117/SUM(Z116:Z118)</f>
        <v>25941.728002830314</v>
      </c>
      <c r="AA123" s="635">
        <f>AA117-AA119*'Overall recycling rates'!$G$61/SUM('Overall recycling rates'!$G$61:$G$62)-AA120*AA117/SUM(AA116:AA118)</f>
        <v>21848.680865682069</v>
      </c>
      <c r="AB123" s="635">
        <f>AB117-AB119*'Overall recycling rates'!$G$61/SUM('Overall recycling rates'!$G$61:$G$62)-AB120*AB117/SUM(AB116:AB118)</f>
        <v>17887.539012451649</v>
      </c>
      <c r="AC123" s="635">
        <f>AC117-AC119*'Overall recycling rates'!$G$61/SUM('Overall recycling rates'!$G$61:$G$62)-AC120*AC117/SUM(AC116:AC118)</f>
        <v>14063.191765022004</v>
      </c>
      <c r="AD123" s="635">
        <f>AD117-AD119*'Overall recycling rates'!$G$61/SUM('Overall recycling rates'!$G$61:$G$62)-AD120*AD117/SUM(AD116:AD118)</f>
        <v>10412.62396366971</v>
      </c>
      <c r="AE123" s="635">
        <f>AE117-AE119*'Overall recycling rates'!$G$61/SUM('Overall recycling rates'!$G$61:$G$62)-AE120*AE117/SUM(AE116:AE118)</f>
        <v>6904.4959088293108</v>
      </c>
      <c r="AF123" s="635">
        <f>AF117-AF119*'Overall recycling rates'!$G$61/SUM('Overall recycling rates'!$G$61:$G$62)-AF120*AF117/SUM(AF116:AF118)</f>
        <v>3560.9155434807908</v>
      </c>
      <c r="AG123" s="635">
        <f>AG117-AG119*'Overall recycling rates'!$G$61/SUM('Overall recycling rates'!$G$61:$G$62)-AG120*AG117/SUM(AG116:AG118)</f>
        <v>389.6031120805236</v>
      </c>
      <c r="AH123" s="635">
        <f>AH117-AH119*'Overall recycling rates'!$G$61/SUM('Overall recycling rates'!$G$61:$G$62)-AH120*AH117/SUM(AH116:AH118)</f>
        <v>-2600.7971041479323</v>
      </c>
      <c r="AI123" s="635"/>
      <c r="AJ123" s="635">
        <f>AJ117-AJ119*'Overall recycling rates'!$G$61/SUM('Overall recycling rates'!$G$61:$G$62)-AJ120*AJ117/SUM(AJ116:AJ118)</f>
        <v>106314.01392004381</v>
      </c>
      <c r="AK123" s="635">
        <f>AK117-AK119*'Overall recycling rates'!$G$61/SUM('Overall recycling rates'!$G$61:$G$62)-AK120*AK117/SUM(AK116:AK118)</f>
        <v>104300.25367601887</v>
      </c>
      <c r="AL123" s="635">
        <f>AL117-AL119*'Overall recycling rates'!$G$61/SUM('Overall recycling rates'!$G$61:$G$62)-AL120*AL117/SUM(AL116:AL118)</f>
        <v>102104.03588821738</v>
      </c>
      <c r="AM123" s="635">
        <f>AM117-AM119*'Overall recycling rates'!$G$61/SUM('Overall recycling rates'!$G$61:$G$62)-AM120*AM117/SUM(AM116:AM118)</f>
        <v>99875.131577405395</v>
      </c>
      <c r="AN123" s="635">
        <f>AN117-AN119*'Overall recycling rates'!$G$61/SUM('Overall recycling rates'!$G$61:$G$62)-AN120*AN117/SUM(AN116:AN118)</f>
        <v>97635.609152462363</v>
      </c>
      <c r="AO123" s="635">
        <f>AO117-AO119*'Overall recycling rates'!$G$61/SUM('Overall recycling rates'!$G$61:$G$62)-AO120*AO117/SUM(AO116:AO118)</f>
        <v>95386.341741471042</v>
      </c>
      <c r="AP123" s="635">
        <f>AP117-AP119*'Overall recycling rates'!$G$61/SUM('Overall recycling rates'!$G$61:$G$62)-AP120*AP117/SUM(AP116:AP118)</f>
        <v>93190.952938661343</v>
      </c>
      <c r="AQ123" s="635">
        <f>AQ117-AQ119*'Overall recycling rates'!$G$61/SUM('Overall recycling rates'!$G$61:$G$62)-AQ120*AQ117/SUM(AQ116:AQ118)</f>
        <v>90997.300309020749</v>
      </c>
      <c r="AR123" s="635">
        <f>AR117-AR119*'Overall recycling rates'!$G$61/SUM('Overall recycling rates'!$G$61:$G$62)-AR120*AR117/SUM(AR116:AR118)</f>
        <v>88806.56921437908</v>
      </c>
      <c r="AS123" s="635">
        <f>AS117-AS119*'Overall recycling rates'!$G$61/SUM('Overall recycling rates'!$G$61:$G$62)-AS120*AS117/SUM(AS116:AS118)</f>
        <v>86619.61848441005</v>
      </c>
      <c r="AT123" s="635">
        <f>AT117-AT119*'Overall recycling rates'!$G$61/SUM('Overall recycling rates'!$G$61:$G$62)-AT120*AT117/SUM(AT116:AT118)</f>
        <v>84436.758023619579</v>
      </c>
      <c r="AU123" s="635">
        <f>AU117-AU119*'Overall recycling rates'!$G$61/SUM('Overall recycling rates'!$G$61:$G$62)-AU120*AU117/SUM(AU116:AU118)</f>
        <v>79827.506723898579</v>
      </c>
      <c r="AV123" s="635">
        <f>AV117-AV119*'Overall recycling rates'!$G$61/SUM('Overall recycling rates'!$G$61:$G$62)-AV120*AV117/SUM(AV116:AV118)</f>
        <v>75609.179064308264</v>
      </c>
      <c r="AW123" s="635">
        <f>AW117-AW119*'Overall recycling rates'!$G$61/SUM('Overall recycling rates'!$G$61:$G$62)-AW120*AW117/SUM(AW116:AW118)</f>
        <v>71428.797539555861</v>
      </c>
      <c r="AX123" s="635">
        <f>AX117-AX119*'Overall recycling rates'!$G$61/SUM('Overall recycling rates'!$G$61:$G$62)-AX120*AX117/SUM(AX116:AX118)</f>
        <v>67288.267430840569</v>
      </c>
      <c r="AY123" s="635">
        <f>AY117-AY119*'Overall recycling rates'!$G$61/SUM('Overall recycling rates'!$G$61:$G$62)-AY120*AY117/SUM(AY116:AY118)</f>
        <v>63193.059468931933</v>
      </c>
      <c r="AZ123" s="635">
        <f>AZ117-AZ119*'Overall recycling rates'!$G$61/SUM('Overall recycling rates'!$G$61:$G$62)-AZ120*AZ117/SUM(AZ116:AZ118)</f>
        <v>59123.602177022884</v>
      </c>
      <c r="BA123" s="635">
        <f>BA117-BA119*'Overall recycling rates'!$G$61/SUM('Overall recycling rates'!$G$61:$G$62)-BA120*BA117/SUM(BA116:BA118)</f>
        <v>55109.985058637787</v>
      </c>
      <c r="BB123" s="635">
        <f>BB117-BB119*'Overall recycling rates'!$G$61/SUM('Overall recycling rates'!$G$61:$G$62)-BB120*BB117/SUM(BB116:BB118)</f>
        <v>51161.070614309778</v>
      </c>
      <c r="BC123" s="635">
        <f>BC117-BC119*'Overall recycling rates'!$G$61/SUM('Overall recycling rates'!$G$61:$G$62)-BC120*BC117/SUM(BC116:BC118)</f>
        <v>47284.924292332078</v>
      </c>
      <c r="BD123" s="635">
        <f>BD117-BD119*'Overall recycling rates'!$G$61/SUM('Overall recycling rates'!$G$61:$G$62)-BD120*BD117/SUM(BD116:BD118)</f>
        <v>43488.033024722601</v>
      </c>
      <c r="BE123" s="635">
        <f>BE117-BE119*'Overall recycling rates'!$G$61/SUM('Overall recycling rates'!$G$61:$G$62)-BE120*BE117/SUM(BE116:BE118)</f>
        <v>39684.751395218198</v>
      </c>
      <c r="BF123" s="635">
        <f>BF117-BF119*'Overall recycling rates'!$G$61/SUM('Overall recycling rates'!$G$61:$G$62)-BF120*BF117/SUM(BF116:BF118)</f>
        <v>35998.022534101954</v>
      </c>
      <c r="BG123" s="635">
        <f>BG117-BG119*'Overall recycling rates'!$G$61/SUM('Overall recycling rates'!$G$61:$G$62)-BG120*BG117/SUM(BG116:BG118)</f>
        <v>32457.456132186988</v>
      </c>
      <c r="BH123" s="635">
        <f>BH117-BH119*'Overall recycling rates'!$G$61/SUM('Overall recycling rates'!$G$61:$G$62)-BH120*BH117/SUM(BH116:BH118)</f>
        <v>29048.566477810131</v>
      </c>
      <c r="BI123" s="635">
        <f>BI117-BI119*'Overall recycling rates'!$G$61/SUM('Overall recycling rates'!$G$61:$G$62)-BI120*BI117/SUM(BI116:BI118)</f>
        <v>25775.853489291749</v>
      </c>
      <c r="BJ123" s="635">
        <f>BJ117-BJ119*'Overall recycling rates'!$G$61/SUM('Overall recycling rates'!$G$61:$G$62)-BJ120*BJ117/SUM(BJ116:BJ118)</f>
        <v>22681.749663715793</v>
      </c>
      <c r="BK123" s="635">
        <f>BK117-BK119*'Overall recycling rates'!$G$61/SUM('Overall recycling rates'!$G$61:$G$62)-BK120*BK117/SUM(BK116:BK118)</f>
        <v>19738.777146274977</v>
      </c>
      <c r="BL123" s="635">
        <f>BL117-BL119*'Overall recycling rates'!$G$61/SUM('Overall recycling rates'!$G$61:$G$62)-BL120*BL117/SUM(BL116:BL118)</f>
        <v>16951.778163716208</v>
      </c>
      <c r="BM123" s="635">
        <f>BM117-BM119*'Overall recycling rates'!$G$61/SUM('Overall recycling rates'!$G$61:$G$62)-BM120*BM117/SUM(BM116:BM118)</f>
        <v>14326.474728934154</v>
      </c>
      <c r="BN123" s="635">
        <f>BN117-BN119*'Overall recycling rates'!$G$61/SUM('Overall recycling rates'!$G$61:$G$62)-BN120*BN117/SUM(BN116:BN118)</f>
        <v>11870.139772143188</v>
      </c>
    </row>
    <row r="124" spans="1:67" s="63" customFormat="1">
      <c r="A124" s="686"/>
      <c r="B124" s="59" t="s">
        <v>1301</v>
      </c>
      <c r="C124" s="262" t="s">
        <v>166</v>
      </c>
      <c r="D124" s="638">
        <f>D118-D119*'Overall recycling rates'!$G$62/SUM('Overall recycling rates'!$G$61:$G$62)-D120*D118/SUM(D116:D118)</f>
        <v>2708489.0038151764</v>
      </c>
      <c r="E124" s="638">
        <f>E118-E119*'Overall recycling rates'!$G$62/SUM('Overall recycling rates'!$G$61:$G$62)-E120*E118/SUM(E116:E118)</f>
        <v>2682959.3620833047</v>
      </c>
      <c r="F124" s="638">
        <f>F118-F119*'Overall recycling rates'!$G$62/SUM('Overall recycling rates'!$G$61:$G$62)-F120*F118/SUM(F116:F118)</f>
        <v>2655834.7659395454</v>
      </c>
      <c r="G124" s="638">
        <f>G118-G119*'Overall recycling rates'!$G$62/SUM('Overall recycling rates'!$G$61:$G$62)-G120*G118/SUM(G116:G118)</f>
        <v>2628595.5648279269</v>
      </c>
      <c r="H124" s="638">
        <f>H118-H119*'Overall recycling rates'!$G$62/SUM('Overall recycling rates'!$G$61:$G$62)-H120*H118/SUM(H116:H118)</f>
        <v>2601419.6162697682</v>
      </c>
      <c r="I124" s="638">
        <f>I118-I119*'Overall recycling rates'!$G$62/SUM('Overall recycling rates'!$G$61:$G$62)-I120*I118/SUM(I116:I118)</f>
        <v>2574295.1533782221</v>
      </c>
      <c r="J124" s="638">
        <f>J118-J119*'Overall recycling rates'!$G$62/SUM('Overall recycling rates'!$G$61:$G$62)-J120*J118/SUM(J116:J118)</f>
        <v>2547480.186258784</v>
      </c>
      <c r="K124" s="638">
        <f>K118-K119*'Overall recycling rates'!$G$62/SUM('Overall recycling rates'!$G$61:$G$62)-K120*K118/SUM(K116:K118)</f>
        <v>2520760.6929322886</v>
      </c>
      <c r="L124" s="638">
        <f>L118-L119*'Overall recycling rates'!$G$62/SUM('Overall recycling rates'!$G$61:$G$62)-L120*L118/SUM(L116:L118)</f>
        <v>2494122.9304952309</v>
      </c>
      <c r="M124" s="638">
        <f>M118-M119*'Overall recycling rates'!$G$62/SUM('Overall recycling rates'!$G$61:$G$62)-M120*M118/SUM(M116:M118)</f>
        <v>2467545.1465447629</v>
      </c>
      <c r="N124" s="638">
        <f>N118-N119*'Overall recycling rates'!$G$62/SUM('Overall recycling rates'!$G$61:$G$62)-N120*N118/SUM(N116:N118)</f>
        <v>2440991.9386381218</v>
      </c>
      <c r="O124" s="638">
        <f>O118-O119*'Overall recycling rates'!$G$62/SUM('Overall recycling rates'!$G$61:$G$62)-O120*O118/SUM(O116:O118)</f>
        <v>2301757.2190216412</v>
      </c>
      <c r="P124" s="638">
        <f>P118-P119*'Overall recycling rates'!$G$62/SUM('Overall recycling rates'!$G$61:$G$62)-P120*P118/SUM(P116:P118)</f>
        <v>2229829.9519861913</v>
      </c>
      <c r="Q124" s="638">
        <f>Q118-Q119*'Overall recycling rates'!$G$62/SUM('Overall recycling rates'!$G$61:$G$62)-Q120*Q118/SUM(Q116:Q118)</f>
        <v>2158066.3604665808</v>
      </c>
      <c r="R124" s="638">
        <f>R118-R119*'Overall recycling rates'!$G$62/SUM('Overall recycling rates'!$G$61:$G$62)-R120*R118/SUM(R116:R118)</f>
        <v>2086428.0625236006</v>
      </c>
      <c r="S124" s="638">
        <f>S118-S119*'Overall recycling rates'!$G$62/SUM('Overall recycling rates'!$G$61:$G$62)-S120*S118/SUM(S116:S118)</f>
        <v>2014918.241848754</v>
      </c>
      <c r="T124" s="638">
        <f>T118-T119*'Overall recycling rates'!$G$62/SUM('Overall recycling rates'!$G$61:$G$62)-T120*T118/SUM(T116:T118)</f>
        <v>1943310.3322261127</v>
      </c>
      <c r="U124" s="638">
        <f>U118-U119*'Overall recycling rates'!$G$62/SUM('Overall recycling rates'!$G$61:$G$62)-U120*U118/SUM(U116:U118)</f>
        <v>1871908.2800098213</v>
      </c>
      <c r="V124" s="638">
        <f>V118-V119*'Overall recycling rates'!$G$62/SUM('Overall recycling rates'!$G$61:$G$62)-V120*V118/SUM(V116:V118)</f>
        <v>1800805.2285190958</v>
      </c>
      <c r="W124" s="638">
        <f>W118-W119*'Overall recycling rates'!$G$62/SUM('Overall recycling rates'!$G$61:$G$62)-W120*W118/SUM(W116:W118)</f>
        <v>1730072.137410569</v>
      </c>
      <c r="X124" s="638">
        <f>X118-X119*'Overall recycling rates'!$G$62/SUM('Overall recycling rates'!$G$61:$G$62)-X120*X118/SUM(X116:X118)</f>
        <v>1659740.4793814623</v>
      </c>
      <c r="Y124" s="638">
        <f>Y118-Y119*'Overall recycling rates'!$G$62/SUM('Overall recycling rates'!$G$61:$G$62)-Y120*Y118/SUM(Y116:Y118)</f>
        <v>1585033.046204637</v>
      </c>
      <c r="Z124" s="638">
        <f>Z118-Z119*'Overall recycling rates'!$G$62/SUM('Overall recycling rates'!$G$61:$G$62)-Z120*Z118/SUM(Z116:Z118)</f>
        <v>1510950.3277296841</v>
      </c>
      <c r="AA124" s="638">
        <f>AA118-AA119*'Overall recycling rates'!$G$62/SUM('Overall recycling rates'!$G$61:$G$62)-AA120*AA118/SUM(AA116:AA118)</f>
        <v>1437421.2796125691</v>
      </c>
      <c r="AB124" s="638">
        <f>AB118-AB119*'Overall recycling rates'!$G$62/SUM('Overall recycling rates'!$G$61:$G$62)-AB120*AB118/SUM(AB116:AB118)</f>
        <v>1364344.9651187912</v>
      </c>
      <c r="AC124" s="638">
        <f>AC118-AC119*'Overall recycling rates'!$G$62/SUM('Overall recycling rates'!$G$61:$G$62)-AC120*AC118/SUM(AC116:AC118)</f>
        <v>1291640.4648387623</v>
      </c>
      <c r="AD124" s="638">
        <f>AD118-AD119*'Overall recycling rates'!$G$62/SUM('Overall recycling rates'!$G$61:$G$62)-AD120*AD118/SUM(AD116:AD118)</f>
        <v>1219359.4399620474</v>
      </c>
      <c r="AE124" s="638">
        <f>AE118-AE119*'Overall recycling rates'!$G$62/SUM('Overall recycling rates'!$G$61:$G$62)-AE120*AE118/SUM(AE116:AE118)</f>
        <v>1146931.0893468431</v>
      </c>
      <c r="AF124" s="638">
        <f>AF118-AF119*'Overall recycling rates'!$G$62/SUM('Overall recycling rates'!$G$61:$G$62)-AF120*AF118/SUM(AF116:AF118)</f>
        <v>1074782.3001714931</v>
      </c>
      <c r="AG124" s="638">
        <f>AG118-AG119*'Overall recycling rates'!$G$62/SUM('Overall recycling rates'!$G$61:$G$62)-AG120*AG118/SUM(AG116:AG118)</f>
        <v>1002896.3515144439</v>
      </c>
      <c r="AH124" s="638">
        <f>AH118-AH119*'Overall recycling rates'!$G$62/SUM('Overall recycling rates'!$G$61:$G$62)-AH120*AH118/SUM(AH116:AH118)</f>
        <v>931296.13877806207</v>
      </c>
      <c r="AI124" s="638"/>
      <c r="AJ124" s="638">
        <f>AJ118-AJ119*'Overall recycling rates'!$G$62/SUM('Overall recycling rates'!$G$61:$G$62)-AJ120*AJ118/SUM(AJ116:AJ118)</f>
        <v>2708489.1966524501</v>
      </c>
      <c r="AK124" s="638">
        <f>AK118-AK119*'Overall recycling rates'!$G$62/SUM('Overall recycling rates'!$G$61:$G$62)-AK120*AK118/SUM(AK116:AK118)</f>
        <v>2690481.447034799</v>
      </c>
      <c r="AL124" s="638">
        <f>AL118-AL119*'Overall recycling rates'!$G$62/SUM('Overall recycling rates'!$G$61:$G$62)-AL120*AL118/SUM(AL116:AL118)</f>
        <v>2670889.8107659011</v>
      </c>
      <c r="AM124" s="638">
        <f>AM118-AM119*'Overall recycling rates'!$G$62/SUM('Overall recycling rates'!$G$61:$G$62)-AM120*AM118/SUM(AM116:AM118)</f>
        <v>2651194.8424840602</v>
      </c>
      <c r="AN124" s="638">
        <f>AN118-AN119*'Overall recycling rates'!$G$62/SUM('Overall recycling rates'!$G$61:$G$62)-AN120*AN118/SUM(AN116:AN118)</f>
        <v>2631574.7954283291</v>
      </c>
      <c r="AO124" s="638">
        <f>AO118-AO119*'Overall recycling rates'!$G$62/SUM('Overall recycling rates'!$G$61:$G$62)-AO120*AO118/SUM(AO116:AO118)</f>
        <v>2612018.6731586638</v>
      </c>
      <c r="AP124" s="638">
        <f>AP118-AP119*'Overall recycling rates'!$G$62/SUM('Overall recycling rates'!$G$61:$G$62)-AP120*AP118/SUM(AP116:AP118)</f>
        <v>2592785.5918243588</v>
      </c>
      <c r="AQ124" s="638">
        <f>AQ118-AQ119*'Overall recycling rates'!$G$62/SUM('Overall recycling rates'!$G$61:$G$62)-AQ120*AQ118/SUM(AQ116:AQ118)</f>
        <v>2573663.9455458163</v>
      </c>
      <c r="AR124" s="638">
        <f>AR118-AR119*'Overall recycling rates'!$G$62/SUM('Overall recycling rates'!$G$61:$G$62)-AR120*AR118/SUM(AR116:AR118)</f>
        <v>2554644.0292795072</v>
      </c>
      <c r="AS124" s="638">
        <f>AS118-AS119*'Overall recycling rates'!$G$62/SUM('Overall recycling rates'!$G$61:$G$62)-AS120*AS118/SUM(AS116:AS118)</f>
        <v>2535710.7767252736</v>
      </c>
      <c r="AT124" s="638">
        <f>AT118-AT119*'Overall recycling rates'!$G$62/SUM('Overall recycling rates'!$G$61:$G$62)-AT120*AT118/SUM(AT116:AT118)</f>
        <v>2516839.7418470094</v>
      </c>
      <c r="AU124" s="638">
        <f>AU118-AU119*'Overall recycling rates'!$G$62/SUM('Overall recycling rates'!$G$61:$G$62)-AU120*AU118/SUM(AU116:AU118)</f>
        <v>2403221.9179790183</v>
      </c>
      <c r="AV124" s="638">
        <f>AV118-AV119*'Overall recycling rates'!$G$62/SUM('Overall recycling rates'!$G$61:$G$62)-AV120*AV118/SUM(AV116:AV118)</f>
        <v>2349194.7085872921</v>
      </c>
      <c r="AW124" s="638">
        <f>AW118-AW119*'Overall recycling rates'!$G$62/SUM('Overall recycling rates'!$G$61:$G$62)-AW120*AW118/SUM(AW116:AW118)</f>
        <v>2295380.9574356158</v>
      </c>
      <c r="AX124" s="638">
        <f>AX118-AX119*'Overall recycling rates'!$G$62/SUM('Overall recycling rates'!$G$61:$G$62)-AX120*AX118/SUM(AX116:AX118)</f>
        <v>2241735.5953664416</v>
      </c>
      <c r="AY124" s="638">
        <f>AY118-AY119*'Overall recycling rates'!$G$62/SUM('Overall recycling rates'!$G$61:$G$62)-AY120*AY118/SUM(AY116:AY118)</f>
        <v>2188239.9724902413</v>
      </c>
      <c r="AZ124" s="638">
        <f>AZ118-AZ119*'Overall recycling rates'!$G$62/SUM('Overall recycling rates'!$G$61:$G$62)-AZ120*AZ118/SUM(AZ116:AZ118)</f>
        <v>2134650.5796523662</v>
      </c>
      <c r="BA124" s="638">
        <f>BA118-BA119*'Overall recycling rates'!$G$62/SUM('Overall recycling rates'!$G$61:$G$62)-BA120*BA118/SUM(BA116:BA118)</f>
        <v>2081223.0591353804</v>
      </c>
      <c r="BB124" s="638">
        <f>BB118-BB119*'Overall recycling rates'!$G$62/SUM('Overall recycling rates'!$G$61:$G$62)-BB120*BB118/SUM(BB116:BB118)</f>
        <v>2028017.0189524083</v>
      </c>
      <c r="BC124" s="638">
        <f>BC118-BC119*'Overall recycling rates'!$G$62/SUM('Overall recycling rates'!$G$61:$G$62)-BC120*BC118/SUM(BC116:BC118)</f>
        <v>1975083.8315832932</v>
      </c>
      <c r="BD124" s="638">
        <f>BD118-BD119*'Overall recycling rates'!$G$62/SUM('Overall recycling rates'!$G$61:$G$62)-BD120*BD118/SUM(BD116:BD118)</f>
        <v>1922451.2644479638</v>
      </c>
      <c r="BE124" s="638">
        <f>BE118-BE119*'Overall recycling rates'!$G$62/SUM('Overall recycling rates'!$G$61:$G$62)-BE120*BE118/SUM(BE116:BE118)</f>
        <v>1866328.8454051095</v>
      </c>
      <c r="BF124" s="638">
        <f>BF118-BF119*'Overall recycling rates'!$G$62/SUM('Overall recycling rates'!$G$61:$G$62)-BF120*BF118/SUM(BF116:BF118)</f>
        <v>1810738.183947549</v>
      </c>
      <c r="BG124" s="638">
        <f>BG118-BG119*'Overall recycling rates'!$G$62/SUM('Overall recycling rates'!$G$61:$G$62)-BG120*BG118/SUM(BG116:BG118)</f>
        <v>1755622.6231032871</v>
      </c>
      <c r="BH124" s="638">
        <f>BH118-BH119*'Overall recycling rates'!$G$62/SUM('Overall recycling rates'!$G$61:$G$62)-BH120*BH118/SUM(BH116:BH118)</f>
        <v>1700904.1942926173</v>
      </c>
      <c r="BI124" s="638">
        <f>BI118-BI119*'Overall recycling rates'!$G$62/SUM('Overall recycling rates'!$G$61:$G$62)-BI120*BI118/SUM(BI116:BI118)</f>
        <v>1646506.856682292</v>
      </c>
      <c r="BJ124" s="638">
        <f>BJ118-BJ119*'Overall recycling rates'!$G$62/SUM('Overall recycling rates'!$G$61:$G$62)-BJ120*BJ118/SUM(BJ116:BJ118)</f>
        <v>1592689.1460265038</v>
      </c>
      <c r="BK124" s="638">
        <f>BK118-BK119*'Overall recycling rates'!$G$62/SUM('Overall recycling rates'!$G$61:$G$62)-BK120*BK118/SUM(BK116:BK118)</f>
        <v>1539088.7708312282</v>
      </c>
      <c r="BL124" s="638">
        <f>BL118-BL119*'Overall recycling rates'!$G$62/SUM('Overall recycling rates'!$G$61:$G$62)-BL120*BL118/SUM(BL116:BL118)</f>
        <v>1485633.9703539612</v>
      </c>
      <c r="BM124" s="638">
        <f>BM118-BM119*'Overall recycling rates'!$G$62/SUM('Overall recycling rates'!$G$61:$G$62)-BM120*BM118/SUM(BM116:BM118)</f>
        <v>1432273.7246053941</v>
      </c>
      <c r="BN124" s="638">
        <f>BN118-BN119*'Overall recycling rates'!$G$62/SUM('Overall recycling rates'!$G$61:$G$62)-BN120*BN118/SUM(BN116:BN118)</f>
        <v>1378994.5337989184</v>
      </c>
    </row>
    <row r="125" spans="1:67" s="401" customFormat="1">
      <c r="A125" s="400" t="s">
        <v>723</v>
      </c>
      <c r="C125" s="404" t="s">
        <v>166</v>
      </c>
      <c r="D125" s="644">
        <f>'BTX Recycling HC'!C370</f>
        <v>153409.03173419446</v>
      </c>
      <c r="E125" s="644">
        <f>'BTX Recycling HC'!D370</f>
        <v>157970.54447152643</v>
      </c>
      <c r="F125" s="644">
        <f>'BTX Recycling HC'!E370</f>
        <v>160144.63496831735</v>
      </c>
      <c r="G125" s="644">
        <f>'BTX Recycling HC'!F370</f>
        <v>162377.97651111725</v>
      </c>
      <c r="H125" s="644">
        <f>'BTX Recycling HC'!G370</f>
        <v>164600.35187100075</v>
      </c>
      <c r="I125" s="644">
        <f>'BTX Recycling HC'!H370</f>
        <v>166803.85469646018</v>
      </c>
      <c r="J125" s="644">
        <f>'BTX Recycling HC'!I370</f>
        <v>166402.73632239303</v>
      </c>
      <c r="K125" s="644">
        <f>'BTX Recycling HC'!J370</f>
        <v>165893.37362667971</v>
      </c>
      <c r="L125" s="644">
        <f>'BTX Recycling HC'!K370</f>
        <v>165260.55087404654</v>
      </c>
      <c r="M125" s="644">
        <f>'BTX Recycling HC'!L370</f>
        <v>164477.00126477843</v>
      </c>
      <c r="N125" s="644">
        <f>'BTX Recycling HC'!M370</f>
        <v>163495.11159984858</v>
      </c>
      <c r="O125" s="644">
        <f>'BTX Recycling HC'!N370</f>
        <v>157148.96418131157</v>
      </c>
      <c r="P125" s="644">
        <f>'BTX Recycling HC'!O370</f>
        <v>150690.41770236802</v>
      </c>
      <c r="Q125" s="644">
        <f>'BTX Recycling HC'!P370</f>
        <v>144024.78682001767</v>
      </c>
      <c r="R125" s="644">
        <f>'BTX Recycling HC'!Q370</f>
        <v>137153.98981311644</v>
      </c>
      <c r="S125" s="644">
        <f>'BTX Recycling HC'!R370</f>
        <v>130105.1696551128</v>
      </c>
      <c r="T125" s="644">
        <f>'BTX Recycling HC'!S370</f>
        <v>123586.5599716388</v>
      </c>
      <c r="U125" s="644">
        <f>'BTX Recycling HC'!T370</f>
        <v>117113.41662330978</v>
      </c>
      <c r="V125" s="644">
        <f>'BTX Recycling HC'!U370</f>
        <v>110853.08688323945</v>
      </c>
      <c r="W125" s="644">
        <f>'BTX Recycling HC'!V370</f>
        <v>104940.42278009621</v>
      </c>
      <c r="X125" s="644">
        <f>'BTX Recycling HC'!W370</f>
        <v>99450.510286876481</v>
      </c>
      <c r="Y125" s="644">
        <f>'BTX Recycling HC'!X370</f>
        <v>90289.560723393588</v>
      </c>
      <c r="Z125" s="644">
        <f>'BTX Recycling HC'!Y370</f>
        <v>81882.298475154355</v>
      </c>
      <c r="AA125" s="644">
        <f>'BTX Recycling HC'!Z370</f>
        <v>74091.84617234733</v>
      </c>
      <c r="AB125" s="644">
        <f>'BTX Recycling HC'!AA370</f>
        <v>66882.119271409261</v>
      </c>
      <c r="AC125" s="644">
        <f>'BTX Recycling HC'!AB370</f>
        <v>60167.000619131373</v>
      </c>
      <c r="AD125" s="644">
        <f>'BTX Recycling HC'!AC370</f>
        <v>55389.716283857437</v>
      </c>
      <c r="AE125" s="644">
        <f>'BTX Recycling HC'!AD370</f>
        <v>53614.173175430304</v>
      </c>
      <c r="AF125" s="644">
        <f>'BTX Recycling HC'!AE370</f>
        <v>51387.004746425933</v>
      </c>
      <c r="AG125" s="644">
        <f>'BTX Recycling HC'!AF370</f>
        <v>48709.378243868923</v>
      </c>
      <c r="AH125" s="644">
        <f>'BTX Recycling HC'!AG370</f>
        <v>45643.386261049731</v>
      </c>
      <c r="AI125" s="634"/>
      <c r="AJ125" s="644">
        <f>'BTX Recycling LC'!C370</f>
        <v>153409.34283384384</v>
      </c>
      <c r="AK125" s="644">
        <f>'BTX Recycling LC'!D370</f>
        <v>158231.25106851189</v>
      </c>
      <c r="AL125" s="644">
        <f>'BTX Recycling LC'!E370</f>
        <v>160783.88831587095</v>
      </c>
      <c r="AM125" s="644">
        <f>'BTX Recycling LC'!F370</f>
        <v>163364.30714434385</v>
      </c>
      <c r="AN125" s="644">
        <f>'BTX Recycling LC'!G370</f>
        <v>165953.08679947953</v>
      </c>
      <c r="AO125" s="644">
        <f>'BTX Recycling LC'!H370</f>
        <v>168543.67863038118</v>
      </c>
      <c r="AP125" s="644">
        <f>'BTX Recycling LC'!I370</f>
        <v>170045.28811448757</v>
      </c>
      <c r="AQ125" s="644">
        <f>'BTX Recycling LC'!J370</f>
        <v>171541.90212321401</v>
      </c>
      <c r="AR125" s="644">
        <f>'BTX Recycling LC'!K370</f>
        <v>173025.40679376828</v>
      </c>
      <c r="AS125" s="644">
        <f>'BTX Recycling LC'!L370</f>
        <v>174479.81249923125</v>
      </c>
      <c r="AT125" s="644">
        <f>'BTX Recycling LC'!M370</f>
        <v>175875.51124365834</v>
      </c>
      <c r="AU125" s="644">
        <f>'BTX Recycling LC'!N370</f>
        <v>172556.82636331551</v>
      </c>
      <c r="AV125" s="644">
        <f>'BTX Recycling LC'!O370</f>
        <v>169319.3462654124</v>
      </c>
      <c r="AW125" s="644">
        <f>'BTX Recycling LC'!P370</f>
        <v>166115.13663582384</v>
      </c>
      <c r="AX125" s="644">
        <f>'BTX Recycling LC'!Q370</f>
        <v>162904.38104456034</v>
      </c>
      <c r="AY125" s="644">
        <f>'BTX Recycling LC'!R370</f>
        <v>159683.84103848186</v>
      </c>
      <c r="AZ125" s="644">
        <f>'BTX Recycling LC'!S370</f>
        <v>156674.89195287271</v>
      </c>
      <c r="BA125" s="644">
        <f>'BTX Recycling LC'!T370</f>
        <v>153758.82648127715</v>
      </c>
      <c r="BB125" s="644">
        <f>'BTX Recycling LC'!U370</f>
        <v>151047.43035527307</v>
      </c>
      <c r="BC125" s="644">
        <f>'BTX Recycling LC'!V370</f>
        <v>148640.80413535432</v>
      </c>
      <c r="BD125" s="644">
        <f>'BTX Recycling LC'!W370</f>
        <v>146604.515995794</v>
      </c>
      <c r="BE125" s="644">
        <f>'BTX Recycling LC'!X370</f>
        <v>140607.07572954477</v>
      </c>
      <c r="BF125" s="644">
        <f>'BTX Recycling LC'!Y370</f>
        <v>135312.86781191573</v>
      </c>
      <c r="BG125" s="644">
        <f>'BTX Recycling LC'!Z370</f>
        <v>130704.16427323983</v>
      </c>
      <c r="BH125" s="644">
        <f>'BTX Recycling LC'!AA370</f>
        <v>126691.64849701143</v>
      </c>
      <c r="BI125" s="644">
        <f>'BTX Recycling LC'!AB370</f>
        <v>123200.02861111857</v>
      </c>
      <c r="BJ125" s="644">
        <f>'BTX Recycling LC'!AC370</f>
        <v>120235.12051519597</v>
      </c>
      <c r="BK125" s="644">
        <f>'BTX Recycling LC'!AD370</f>
        <v>117667.93683931495</v>
      </c>
      <c r="BL125" s="644">
        <f>'BTX Recycling LC'!AE370</f>
        <v>115416.64138096559</v>
      </c>
      <c r="BM125" s="644">
        <f>'BTX Recycling LC'!AF370</f>
        <v>113426.93428936224</v>
      </c>
      <c r="BN125" s="644">
        <f>'BTX Recycling LC'!AG370</f>
        <v>111698.59736789938</v>
      </c>
    </row>
    <row r="126" spans="1:67" s="403" customFormat="1">
      <c r="A126" s="402" t="s">
        <v>724</v>
      </c>
      <c r="C126" s="406" t="s">
        <v>166</v>
      </c>
      <c r="D126" s="645">
        <f>'BTX Recycling HC'!C371</f>
        <v>818689.51946125377</v>
      </c>
      <c r="E126" s="645">
        <f>'BTX Recycling HC'!D371</f>
        <v>817545.95950812788</v>
      </c>
      <c r="F126" s="645">
        <f>'BTX Recycling HC'!E371</f>
        <v>812611.15442520846</v>
      </c>
      <c r="G126" s="645">
        <f>'BTX Recycling HC'!F371</f>
        <v>808425.49808846763</v>
      </c>
      <c r="H126" s="645">
        <f>'BTX Recycling HC'!G371</f>
        <v>804222.01874062745</v>
      </c>
      <c r="I126" s="645">
        <f>'BTX Recycling HC'!H371</f>
        <v>799993.66738411842</v>
      </c>
      <c r="J126" s="645">
        <f>'BTX Recycling HC'!I371</f>
        <v>786749.04203527095</v>
      </c>
      <c r="K126" s="645">
        <f>'BTX Recycling HC'!J371</f>
        <v>773458.29262882052</v>
      </c>
      <c r="L126" s="645">
        <f>'BTX Recycling HC'!K371</f>
        <v>760108.18221342389</v>
      </c>
      <c r="M126" s="645">
        <f>'BTX Recycling HC'!L371</f>
        <v>746673.40623956081</v>
      </c>
      <c r="N126" s="645">
        <f>'BTX Recycling HC'!M371</f>
        <v>733108.29722466297</v>
      </c>
      <c r="O126" s="645">
        <f>'BTX Recycling HC'!N371</f>
        <v>710488.27997026115</v>
      </c>
      <c r="P126" s="645">
        <f>'BTX Recycling HC'!O371</f>
        <v>687870.01733483281</v>
      </c>
      <c r="Q126" s="645">
        <f>'BTX Recycling HC'!P371</f>
        <v>665078.78434809356</v>
      </c>
      <c r="R126" s="645">
        <f>'BTX Recycling HC'!Q371</f>
        <v>642202.06979424576</v>
      </c>
      <c r="S126" s="645">
        <f>'BTX Recycling HC'!R371</f>
        <v>619269.5513531327</v>
      </c>
      <c r="T126" s="645">
        <f>'BTX Recycling HC'!S371</f>
        <v>598475.91303587367</v>
      </c>
      <c r="U126" s="645">
        <f>'BTX Recycling HC'!T371</f>
        <v>577836.89131606068</v>
      </c>
      <c r="V126" s="645">
        <f>'BTX Recycling HC'!U371</f>
        <v>557522.04020930629</v>
      </c>
      <c r="W126" s="645">
        <f>'BTX Recycling HC'!V371</f>
        <v>537668.39803649136</v>
      </c>
      <c r="X126" s="645">
        <f>'BTX Recycling HC'!W371</f>
        <v>518353.21661020094</v>
      </c>
      <c r="Y126" s="645">
        <f>'BTX Recycling HC'!X371</f>
        <v>495379.12610137183</v>
      </c>
      <c r="Z126" s="645">
        <f>'BTX Recycling HC'!Y371</f>
        <v>473280.09330220253</v>
      </c>
      <c r="AA126" s="645">
        <f>'BTX Recycling HC'!Z371</f>
        <v>451733.73609002569</v>
      </c>
      <c r="AB126" s="645">
        <f>'BTX Recycling HC'!AA371</f>
        <v>430893.07247921429</v>
      </c>
      <c r="AC126" s="645">
        <f>'BTX Recycling HC'!AB371</f>
        <v>410674.16457339766</v>
      </c>
      <c r="AD126" s="645">
        <f>'BTX Recycling HC'!AC371</f>
        <v>389738.13220732799</v>
      </c>
      <c r="AE126" s="645">
        <f>'BTX Recycling HC'!AD371</f>
        <v>368604.93352558382</v>
      </c>
      <c r="AF126" s="645">
        <f>'BTX Recycling HC'!AE371</f>
        <v>347989.5320698315</v>
      </c>
      <c r="AG126" s="645">
        <f>'BTX Recycling HC'!AF371</f>
        <v>327888.36939051957</v>
      </c>
      <c r="AH126" s="645">
        <f>'BTX Recycling HC'!AG371</f>
        <v>308359.97080159147</v>
      </c>
      <c r="AI126" s="646"/>
      <c r="AJ126" s="645">
        <f>'BTX Recycling LC'!C371</f>
        <v>818689.83056090306</v>
      </c>
      <c r="AK126" s="645">
        <f>'BTX Recycling LC'!D371</f>
        <v>818461.40044319991</v>
      </c>
      <c r="AL126" s="645">
        <f>'BTX Recycling LC'!E371</f>
        <v>814804.34187435219</v>
      </c>
      <c r="AM126" s="645">
        <f>'BTX Recycling LC'!F371</f>
        <v>811731.43614315195</v>
      </c>
      <c r="AN126" s="645">
        <f>'BTX Recycling LC'!G371</f>
        <v>808652.31963382172</v>
      </c>
      <c r="AO126" s="645">
        <f>'BTX Recycling LC'!H371</f>
        <v>805561.16346944426</v>
      </c>
      <c r="AP126" s="645">
        <f>'BTX Recycling LC'!I371</f>
        <v>798164.63611595309</v>
      </c>
      <c r="AQ126" s="645">
        <f>'BTX Recycling LC'!J371</f>
        <v>790783.89917173702</v>
      </c>
      <c r="AR126" s="645">
        <f>'BTX Recycling LC'!K371</f>
        <v>783412.11491528212</v>
      </c>
      <c r="AS126" s="645">
        <f>'BTX Recycling LC'!L371</f>
        <v>776034.56014484703</v>
      </c>
      <c r="AT126" s="645">
        <f>'BTX Recycling LC'!M371</f>
        <v>768622.88357356458</v>
      </c>
      <c r="AU126" s="645">
        <f>'BTX Recycling LC'!N371</f>
        <v>753696.28325090185</v>
      </c>
      <c r="AV126" s="645">
        <f>'BTX Recycling LC'!O371</f>
        <v>738909.75250072277</v>
      </c>
      <c r="AW126" s="645">
        <f>'BTX Recycling LC'!P371</f>
        <v>724199.99937573134</v>
      </c>
      <c r="AX126" s="645">
        <f>'BTX Recycling LC'!Q371</f>
        <v>709545.93786653387</v>
      </c>
      <c r="AY126" s="645">
        <f>'BTX Recycling LC'!R371</f>
        <v>694946.03225434106</v>
      </c>
      <c r="AZ126" s="645">
        <f>'BTX Recycling LC'!S371</f>
        <v>681365.31537128193</v>
      </c>
      <c r="BA126" s="645">
        <f>'BTX Recycling LC'!T371</f>
        <v>667935.74944443756</v>
      </c>
      <c r="BB126" s="645">
        <f>'BTX Recycling LC'!U371</f>
        <v>654770.64972663205</v>
      </c>
      <c r="BC126" s="645">
        <f>'BTX Recycling LC'!V371</f>
        <v>641971.63299740909</v>
      </c>
      <c r="BD126" s="645">
        <f>'BTX Recycling LC'!W371</f>
        <v>629605.77034672792</v>
      </c>
      <c r="BE126" s="645">
        <f>'BTX Recycling LC'!X371</f>
        <v>613280.85365493025</v>
      </c>
      <c r="BF126" s="645">
        <f>'BTX Recycling LC'!Y371</f>
        <v>597725.76963318477</v>
      </c>
      <c r="BG126" s="645">
        <f>'BTX Recycling LC'!Z371</f>
        <v>582864.57184744556</v>
      </c>
      <c r="BH126" s="645">
        <f>'BTX Recycling LC'!AA371</f>
        <v>568668.31986264559</v>
      </c>
      <c r="BI126" s="645">
        <f>'BTX Recycling LC'!AB371</f>
        <v>555063.21174856741</v>
      </c>
      <c r="BJ126" s="645">
        <f>'BTX Recycling LC'!AC371</f>
        <v>541698.45234304504</v>
      </c>
      <c r="BK126" s="645">
        <f>'BTX Recycling LC'!AD371</f>
        <v>528809.69022554974</v>
      </c>
      <c r="BL126" s="645">
        <f>'BTX Recycling LC'!AE371</f>
        <v>516316.60152075521</v>
      </c>
      <c r="BM126" s="645">
        <f>'BTX Recycling LC'!AF371</f>
        <v>504166.38498830277</v>
      </c>
      <c r="BN126" s="645">
        <f>'BTX Recycling LC'!AG371</f>
        <v>492360.30731649412</v>
      </c>
    </row>
  </sheetData>
  <mergeCells count="18">
    <mergeCell ref="A35:A37"/>
    <mergeCell ref="D1:AH1"/>
    <mergeCell ref="AJ1:BN1"/>
    <mergeCell ref="A5:A7"/>
    <mergeCell ref="A13:A15"/>
    <mergeCell ref="A24:A26"/>
    <mergeCell ref="A122:A124"/>
    <mergeCell ref="A42:A44"/>
    <mergeCell ref="A51:A53"/>
    <mergeCell ref="A58:A60"/>
    <mergeCell ref="A64:A66"/>
    <mergeCell ref="A71:A73"/>
    <mergeCell ref="A79:A81"/>
    <mergeCell ref="A85:A87"/>
    <mergeCell ref="A92:A94"/>
    <mergeCell ref="A101:A103"/>
    <mergeCell ref="A110:A112"/>
    <mergeCell ref="A116:A118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48E91-F1E2-4555-A624-59109D0309BA}">
  <sheetPr>
    <tabColor theme="9"/>
  </sheetPr>
  <dimension ref="A1:CK128"/>
  <sheetViews>
    <sheetView zoomScale="70" zoomScaleNormal="70" workbookViewId="0">
      <pane xSplit="3" ySplit="3" topLeftCell="D75" activePane="bottomRight" state="frozen"/>
      <selection pane="topRight" activeCell="D1" sqref="D1"/>
      <selection pane="bottomLeft" activeCell="A4" sqref="A4"/>
      <selection pane="bottomRight" activeCell="B100" sqref="B100"/>
    </sheetView>
  </sheetViews>
  <sheetFormatPr defaultRowHeight="14.75" outlineLevelRow="1" outlineLevelCol="1"/>
  <cols>
    <col min="1" max="1" width="42.54296875" style="1" customWidth="1"/>
    <col min="2" max="2" width="26.36328125" style="1" customWidth="1"/>
    <col min="3" max="3" width="10.81640625" customWidth="1"/>
    <col min="4" max="4" width="18.81640625" customWidth="1"/>
    <col min="5" max="6" width="8.81640625" hidden="1" customWidth="1" outlineLevel="1"/>
    <col min="7" max="7" width="11.08984375" hidden="1" customWidth="1" outlineLevel="1"/>
    <col min="8" max="8" width="8.81640625" hidden="1" customWidth="1" outlineLevel="1"/>
    <col min="9" max="9" width="9.54296875" hidden="1" customWidth="1" outlineLevel="1"/>
    <col min="10" max="13" width="8.81640625" hidden="1" customWidth="1" outlineLevel="1"/>
    <col min="14" max="14" width="8.81640625" customWidth="1" collapsed="1"/>
    <col min="15" max="15" width="11.36328125" hidden="1" customWidth="1" outlineLevel="1"/>
    <col min="16" max="23" width="8.81640625" hidden="1" customWidth="1" outlineLevel="1"/>
    <col min="24" max="24" width="8.7265625" collapsed="1"/>
    <col min="25" max="25" width="7.08984375" hidden="1" customWidth="1" outlineLevel="1"/>
    <col min="26" max="33" width="8.81640625" hidden="1" customWidth="1" outlineLevel="1"/>
    <col min="34" max="34" width="8.7265625" collapsed="1"/>
    <col min="36" max="36" width="18.81640625" customWidth="1"/>
    <col min="37" max="38" width="8.81640625" hidden="1" customWidth="1" outlineLevel="1"/>
    <col min="39" max="39" width="11.08984375" hidden="1" customWidth="1" outlineLevel="1"/>
    <col min="40" max="40" width="8.81640625" hidden="1" customWidth="1" outlineLevel="1"/>
    <col min="41" max="41" width="9.54296875" hidden="1" customWidth="1" outlineLevel="1"/>
    <col min="42" max="45" width="8.81640625" hidden="1" customWidth="1" outlineLevel="1"/>
    <col min="46" max="46" width="8.81640625" customWidth="1" collapsed="1"/>
    <col min="47" max="47" width="11.36328125" hidden="1" customWidth="1" outlineLevel="1"/>
    <col min="48" max="55" width="8.81640625" hidden="1" customWidth="1" outlineLevel="1"/>
    <col min="56" max="56" width="11.36328125" bestFit="1" customWidth="1" collapsed="1"/>
    <col min="57" max="57" width="7.08984375" hidden="1" customWidth="1" outlineLevel="1"/>
    <col min="58" max="65" width="8.81640625" hidden="1" customWidth="1" outlineLevel="1"/>
    <col min="66" max="66" width="11.26953125" bestFit="1" customWidth="1" collapsed="1"/>
    <col min="67" max="68" width="8.81640625" bestFit="1" customWidth="1"/>
    <col min="69" max="69" width="27" customWidth="1"/>
    <col min="70" max="70" width="37.36328125" bestFit="1" customWidth="1"/>
    <col min="71" max="97" width="8.81640625" bestFit="1" customWidth="1"/>
  </cols>
  <sheetData>
    <row r="1" spans="1:89">
      <c r="D1" s="683" t="s">
        <v>1188</v>
      </c>
      <c r="E1" s="683"/>
      <c r="F1" s="683"/>
      <c r="G1" s="683"/>
      <c r="H1" s="683"/>
      <c r="I1" s="683"/>
      <c r="J1" s="683"/>
      <c r="K1" s="683"/>
      <c r="L1" s="683"/>
      <c r="M1" s="683"/>
      <c r="N1" s="683"/>
      <c r="O1" s="683"/>
      <c r="P1" s="683"/>
      <c r="Q1" s="683"/>
      <c r="R1" s="683"/>
      <c r="S1" s="683"/>
      <c r="T1" s="683"/>
      <c r="U1" s="683"/>
      <c r="V1" s="683"/>
      <c r="W1" s="683"/>
      <c r="X1" s="683"/>
      <c r="Y1" s="683"/>
      <c r="Z1" s="683"/>
      <c r="AA1" s="683"/>
      <c r="AB1" s="683"/>
      <c r="AC1" s="683"/>
      <c r="AD1" s="683"/>
      <c r="AE1" s="683"/>
      <c r="AF1" s="683"/>
      <c r="AG1" s="683"/>
      <c r="AH1" s="683"/>
      <c r="AJ1" s="683" t="s">
        <v>1189</v>
      </c>
      <c r="AK1" s="683"/>
      <c r="AL1" s="683"/>
      <c r="AM1" s="683"/>
      <c r="AN1" s="683"/>
      <c r="AO1" s="683"/>
      <c r="AP1" s="683"/>
      <c r="AQ1" s="683"/>
      <c r="AR1" s="683"/>
      <c r="AS1" s="683"/>
      <c r="AT1" s="683"/>
      <c r="AU1" s="683"/>
      <c r="AV1" s="683"/>
      <c r="AW1" s="683"/>
      <c r="AX1" s="683"/>
      <c r="AY1" s="683"/>
      <c r="AZ1" s="683"/>
      <c r="BA1" s="683"/>
      <c r="BB1" s="683"/>
      <c r="BC1" s="683"/>
      <c r="BD1" s="683"/>
      <c r="BE1" s="683"/>
      <c r="BF1" s="683"/>
      <c r="BG1" s="683"/>
      <c r="BH1" s="683"/>
      <c r="BI1" s="683"/>
      <c r="BJ1" s="683"/>
      <c r="BK1" s="683"/>
      <c r="BL1" s="683"/>
      <c r="BM1" s="683"/>
      <c r="BN1" s="683"/>
    </row>
    <row r="2" spans="1:89" s="50" customFormat="1">
      <c r="A2" s="49" t="s">
        <v>796</v>
      </c>
      <c r="B2" s="49"/>
      <c r="C2" s="49"/>
    </row>
    <row r="3" spans="1:89" s="1" customFormat="1">
      <c r="D3" s="1">
        <v>2020</v>
      </c>
      <c r="E3" s="1">
        <f>D3+1</f>
        <v>2021</v>
      </c>
      <c r="F3" s="1">
        <f t="shared" ref="F3:AH3" si="0">E3+1</f>
        <v>2022</v>
      </c>
      <c r="G3" s="1">
        <f t="shared" si="0"/>
        <v>2023</v>
      </c>
      <c r="H3" s="1">
        <f t="shared" si="0"/>
        <v>2024</v>
      </c>
      <c r="I3" s="1">
        <f t="shared" si="0"/>
        <v>2025</v>
      </c>
      <c r="J3" s="1">
        <f t="shared" si="0"/>
        <v>2026</v>
      </c>
      <c r="K3" s="1">
        <f t="shared" si="0"/>
        <v>2027</v>
      </c>
      <c r="L3" s="1">
        <f t="shared" si="0"/>
        <v>2028</v>
      </c>
      <c r="M3" s="1">
        <f t="shared" si="0"/>
        <v>2029</v>
      </c>
      <c r="N3" s="1">
        <f t="shared" si="0"/>
        <v>2030</v>
      </c>
      <c r="O3" s="1">
        <f t="shared" si="0"/>
        <v>2031</v>
      </c>
      <c r="P3" s="1">
        <f t="shared" si="0"/>
        <v>2032</v>
      </c>
      <c r="Q3" s="1">
        <f t="shared" si="0"/>
        <v>2033</v>
      </c>
      <c r="R3" s="1">
        <f>Q3+1</f>
        <v>2034</v>
      </c>
      <c r="S3" s="1">
        <f t="shared" si="0"/>
        <v>2035</v>
      </c>
      <c r="T3" s="1">
        <f t="shared" si="0"/>
        <v>2036</v>
      </c>
      <c r="U3" s="1">
        <f t="shared" si="0"/>
        <v>2037</v>
      </c>
      <c r="V3" s="1">
        <f t="shared" si="0"/>
        <v>2038</v>
      </c>
      <c r="W3" s="1">
        <f t="shared" si="0"/>
        <v>2039</v>
      </c>
      <c r="X3" s="1">
        <f t="shared" si="0"/>
        <v>2040</v>
      </c>
      <c r="Y3" s="1">
        <f t="shared" si="0"/>
        <v>2041</v>
      </c>
      <c r="Z3" s="1">
        <f t="shared" si="0"/>
        <v>2042</v>
      </c>
      <c r="AA3" s="1">
        <f t="shared" si="0"/>
        <v>2043</v>
      </c>
      <c r="AB3" s="1">
        <f t="shared" si="0"/>
        <v>2044</v>
      </c>
      <c r="AC3" s="1">
        <f>AB3+1</f>
        <v>2045</v>
      </c>
      <c r="AD3" s="1">
        <f t="shared" si="0"/>
        <v>2046</v>
      </c>
      <c r="AE3" s="1">
        <f t="shared" si="0"/>
        <v>2047</v>
      </c>
      <c r="AF3" s="1">
        <f t="shared" si="0"/>
        <v>2048</v>
      </c>
      <c r="AG3" s="1">
        <f>AF3+1</f>
        <v>2049</v>
      </c>
      <c r="AH3" s="1">
        <f t="shared" si="0"/>
        <v>2050</v>
      </c>
      <c r="AJ3" s="1">
        <v>2020</v>
      </c>
      <c r="AK3" s="1">
        <f>AJ3+1</f>
        <v>2021</v>
      </c>
      <c r="AL3" s="1">
        <f t="shared" ref="AL3" si="1">AK3+1</f>
        <v>2022</v>
      </c>
      <c r="AM3" s="1">
        <f t="shared" ref="AM3" si="2">AL3+1</f>
        <v>2023</v>
      </c>
      <c r="AN3" s="1">
        <f t="shared" ref="AN3" si="3">AM3+1</f>
        <v>2024</v>
      </c>
      <c r="AO3" s="1">
        <f t="shared" ref="AO3" si="4">AN3+1</f>
        <v>2025</v>
      </c>
      <c r="AP3" s="1">
        <f t="shared" ref="AP3" si="5">AO3+1</f>
        <v>2026</v>
      </c>
      <c r="AQ3" s="1">
        <f t="shared" ref="AQ3" si="6">AP3+1</f>
        <v>2027</v>
      </c>
      <c r="AR3" s="1">
        <f t="shared" ref="AR3" si="7">AQ3+1</f>
        <v>2028</v>
      </c>
      <c r="AS3" s="1">
        <f t="shared" ref="AS3" si="8">AR3+1</f>
        <v>2029</v>
      </c>
      <c r="AT3" s="1">
        <f t="shared" ref="AT3" si="9">AS3+1</f>
        <v>2030</v>
      </c>
      <c r="AU3" s="1">
        <f t="shared" ref="AU3" si="10">AT3+1</f>
        <v>2031</v>
      </c>
      <c r="AV3" s="1">
        <f t="shared" ref="AV3" si="11">AU3+1</f>
        <v>2032</v>
      </c>
      <c r="AW3" s="1">
        <f t="shared" ref="AW3" si="12">AV3+1</f>
        <v>2033</v>
      </c>
      <c r="AX3" s="1">
        <f>AW3+1</f>
        <v>2034</v>
      </c>
      <c r="AY3" s="1">
        <f t="shared" ref="AY3" si="13">AX3+1</f>
        <v>2035</v>
      </c>
      <c r="AZ3" s="1">
        <f t="shared" ref="AZ3" si="14">AY3+1</f>
        <v>2036</v>
      </c>
      <c r="BA3" s="1">
        <f t="shared" ref="BA3" si="15">AZ3+1</f>
        <v>2037</v>
      </c>
      <c r="BB3" s="1">
        <f t="shared" ref="BB3" si="16">BA3+1</f>
        <v>2038</v>
      </c>
      <c r="BC3" s="1">
        <f t="shared" ref="BC3" si="17">BB3+1</f>
        <v>2039</v>
      </c>
      <c r="BD3" s="1">
        <f t="shared" ref="BD3" si="18">BC3+1</f>
        <v>2040</v>
      </c>
      <c r="BE3" s="1">
        <f t="shared" ref="BE3" si="19">BD3+1</f>
        <v>2041</v>
      </c>
      <c r="BF3" s="1">
        <f t="shared" ref="BF3" si="20">BE3+1</f>
        <v>2042</v>
      </c>
      <c r="BG3" s="1">
        <f t="shared" ref="BG3" si="21">BF3+1</f>
        <v>2043</v>
      </c>
      <c r="BH3" s="1">
        <f t="shared" ref="BH3" si="22">BG3+1</f>
        <v>2044</v>
      </c>
      <c r="BI3" s="1">
        <f>BH3+1</f>
        <v>2045</v>
      </c>
      <c r="BJ3" s="1">
        <f t="shared" ref="BJ3" si="23">BI3+1</f>
        <v>2046</v>
      </c>
      <c r="BK3" s="1">
        <f t="shared" ref="BK3" si="24">BJ3+1</f>
        <v>2047</v>
      </c>
      <c r="BL3" s="1">
        <f t="shared" ref="BL3" si="25">BK3+1</f>
        <v>2048</v>
      </c>
      <c r="BM3" s="1">
        <f>BL3+1</f>
        <v>2049</v>
      </c>
      <c r="BN3" s="1">
        <f t="shared" ref="BN3" si="26">BM3+1</f>
        <v>2050</v>
      </c>
    </row>
    <row r="4" spans="1:89" s="62" customFormat="1">
      <c r="A4" s="491" t="s">
        <v>896</v>
      </c>
      <c r="B4" s="55"/>
      <c r="C4" s="56" t="s">
        <v>166</v>
      </c>
      <c r="D4" s="650">
        <f>'Yearly Demand - Methanol'!G10</f>
        <v>102.16223893794903</v>
      </c>
      <c r="E4" s="650">
        <f>$D4+($N4-$D4)/($N$3-$D$3)*(E$3-$D$3)</f>
        <v>106.84601504415413</v>
      </c>
      <c r="F4" s="650">
        <f t="shared" ref="F4:M4" si="27">$D4+($N4-$D4)/($N$3-$D$3)*(F$3-$D$3)</f>
        <v>111.52979115035922</v>
      </c>
      <c r="G4" s="650">
        <f t="shared" si="27"/>
        <v>116.21356725656432</v>
      </c>
      <c r="H4" s="650">
        <f t="shared" si="27"/>
        <v>120.89734336276942</v>
      </c>
      <c r="I4" s="650">
        <f t="shared" si="27"/>
        <v>125.58111946897452</v>
      </c>
      <c r="J4" s="650">
        <f t="shared" si="27"/>
        <v>130.26489557517959</v>
      </c>
      <c r="K4" s="650">
        <f t="shared" si="27"/>
        <v>134.94867168138472</v>
      </c>
      <c r="L4" s="650">
        <f t="shared" si="27"/>
        <v>139.6324477875898</v>
      </c>
      <c r="M4" s="650">
        <f t="shared" si="27"/>
        <v>144.3162238937949</v>
      </c>
      <c r="N4" s="650">
        <f>'Yearly Demand - Methanol'!J10</f>
        <v>149</v>
      </c>
      <c r="O4" s="650">
        <f>$N$4+($S$4-$N$4)/($S$3-$N$3)*(O3-$N$3)</f>
        <v>151</v>
      </c>
      <c r="P4" s="650">
        <f t="shared" ref="P4:R4" si="28">$N$4+($S$4-$N$4)/($S$3-$N$3)*(P3-$N$3)</f>
        <v>153</v>
      </c>
      <c r="Q4" s="650">
        <f t="shared" si="28"/>
        <v>155</v>
      </c>
      <c r="R4" s="650">
        <f t="shared" si="28"/>
        <v>157</v>
      </c>
      <c r="S4" s="650">
        <f>'Yearly Demand - Methanol'!K10</f>
        <v>159</v>
      </c>
      <c r="T4" s="650">
        <f>$S$4+($X$4-$S$4)/($X$3-$S$3)*(T3-$S$3)</f>
        <v>160.80000000000001</v>
      </c>
      <c r="U4" s="650">
        <f t="shared" ref="U4:W4" si="29">$S$4+($X$4-$S$4)/($X$3-$S$3)*(U3-$S$3)</f>
        <v>162.6</v>
      </c>
      <c r="V4" s="650">
        <f t="shared" si="29"/>
        <v>164.4</v>
      </c>
      <c r="W4" s="650">
        <f t="shared" si="29"/>
        <v>166.2</v>
      </c>
      <c r="X4" s="650">
        <f>'Yearly Demand - Methanol'!L10</f>
        <v>168</v>
      </c>
      <c r="Y4" s="650">
        <f>$X$4+($AC$4-$X$4)/($AC$3-$X$3)*(Y3-$X$3)</f>
        <v>169.4</v>
      </c>
      <c r="Z4" s="650">
        <f t="shared" ref="Z4:AB4" si="30">$X$4+($AC$4-$X$4)/($AC$3-$X$3)*(Z3-$X$3)</f>
        <v>170.8</v>
      </c>
      <c r="AA4" s="650">
        <f t="shared" si="30"/>
        <v>172.2</v>
      </c>
      <c r="AB4" s="650">
        <f t="shared" si="30"/>
        <v>173.6</v>
      </c>
      <c r="AC4" s="650">
        <f>'Yearly Demand - Methanol'!M10</f>
        <v>175</v>
      </c>
      <c r="AD4" s="650">
        <f>$AC$4+($AH$4-$AC$4)/($AH$3-$AC$3)*(AD3-$AC$3)</f>
        <v>176.4</v>
      </c>
      <c r="AE4" s="650">
        <f t="shared" ref="AE4:AG4" si="31">$AC$4+($AH$4-$AC$4)/($AH$3-$AC$3)*(AE3-$AC$3)</f>
        <v>177.8</v>
      </c>
      <c r="AF4" s="650">
        <f t="shared" si="31"/>
        <v>179.2</v>
      </c>
      <c r="AG4" s="650">
        <f t="shared" si="31"/>
        <v>180.6</v>
      </c>
      <c r="AH4" s="650">
        <f>'Yearly Demand - Methanol'!N10</f>
        <v>182</v>
      </c>
      <c r="AI4" s="650"/>
      <c r="AJ4" s="650">
        <f>D4</f>
        <v>102.16223893794903</v>
      </c>
      <c r="AK4" s="650">
        <f t="shared" ref="AK4:BN4" si="32">E4</f>
        <v>106.84601504415413</v>
      </c>
      <c r="AL4" s="650">
        <f t="shared" si="32"/>
        <v>111.52979115035922</v>
      </c>
      <c r="AM4" s="650">
        <f t="shared" si="32"/>
        <v>116.21356725656432</v>
      </c>
      <c r="AN4" s="650">
        <f t="shared" si="32"/>
        <v>120.89734336276942</v>
      </c>
      <c r="AO4" s="650">
        <f t="shared" si="32"/>
        <v>125.58111946897452</v>
      </c>
      <c r="AP4" s="650">
        <f t="shared" si="32"/>
        <v>130.26489557517959</v>
      </c>
      <c r="AQ4" s="650">
        <f t="shared" si="32"/>
        <v>134.94867168138472</v>
      </c>
      <c r="AR4" s="650">
        <f t="shared" si="32"/>
        <v>139.6324477875898</v>
      </c>
      <c r="AS4" s="650">
        <f t="shared" si="32"/>
        <v>144.3162238937949</v>
      </c>
      <c r="AT4" s="650">
        <f t="shared" si="32"/>
        <v>149</v>
      </c>
      <c r="AU4" s="650">
        <f t="shared" si="32"/>
        <v>151</v>
      </c>
      <c r="AV4" s="650">
        <f t="shared" si="32"/>
        <v>153</v>
      </c>
      <c r="AW4" s="650">
        <f t="shared" si="32"/>
        <v>155</v>
      </c>
      <c r="AX4" s="650">
        <f t="shared" si="32"/>
        <v>157</v>
      </c>
      <c r="AY4" s="650">
        <f t="shared" si="32"/>
        <v>159</v>
      </c>
      <c r="AZ4" s="650">
        <f t="shared" si="32"/>
        <v>160.80000000000001</v>
      </c>
      <c r="BA4" s="650">
        <f t="shared" si="32"/>
        <v>162.6</v>
      </c>
      <c r="BB4" s="650">
        <f t="shared" si="32"/>
        <v>164.4</v>
      </c>
      <c r="BC4" s="650">
        <f t="shared" si="32"/>
        <v>166.2</v>
      </c>
      <c r="BD4" s="650">
        <f t="shared" si="32"/>
        <v>168</v>
      </c>
      <c r="BE4" s="650">
        <f t="shared" si="32"/>
        <v>169.4</v>
      </c>
      <c r="BF4" s="650">
        <f t="shared" si="32"/>
        <v>170.8</v>
      </c>
      <c r="BG4" s="650">
        <f t="shared" si="32"/>
        <v>172.2</v>
      </c>
      <c r="BH4" s="650">
        <f t="shared" si="32"/>
        <v>173.6</v>
      </c>
      <c r="BI4" s="650">
        <f t="shared" si="32"/>
        <v>175</v>
      </c>
      <c r="BJ4" s="650">
        <f t="shared" si="32"/>
        <v>176.4</v>
      </c>
      <c r="BK4" s="650">
        <f t="shared" si="32"/>
        <v>177.8</v>
      </c>
      <c r="BL4" s="650">
        <f t="shared" si="32"/>
        <v>179.2</v>
      </c>
      <c r="BM4" s="650">
        <f t="shared" si="32"/>
        <v>180.6</v>
      </c>
      <c r="BN4" s="650">
        <f t="shared" si="32"/>
        <v>182</v>
      </c>
    </row>
    <row r="5" spans="1:89">
      <c r="A5" s="492" t="s">
        <v>897</v>
      </c>
      <c r="C5" s="51" t="s">
        <v>166</v>
      </c>
      <c r="D5" s="24">
        <f>'Yearly Demand - Methanol'!G8</f>
        <v>31.201972235932139</v>
      </c>
      <c r="E5" s="24">
        <f t="shared" ref="E5:AG5" si="33">$D$5+($AH$5-$D$5)/($AH$3-$D$3)*(E3-$D$3)</f>
        <v>31.457144589972497</v>
      </c>
      <c r="F5" s="24">
        <f t="shared" si="33"/>
        <v>31.712316944012855</v>
      </c>
      <c r="G5" s="24">
        <f t="shared" si="33"/>
        <v>31.967489298053209</v>
      </c>
      <c r="H5" s="24">
        <f t="shared" si="33"/>
        <v>32.222661652093571</v>
      </c>
      <c r="I5" s="24">
        <f t="shared" si="33"/>
        <v>32.477834006133925</v>
      </c>
      <c r="J5" s="24">
        <f t="shared" si="33"/>
        <v>32.733006360174279</v>
      </c>
      <c r="K5" s="24">
        <f t="shared" si="33"/>
        <v>32.988178714214641</v>
      </c>
      <c r="L5" s="24">
        <f t="shared" si="33"/>
        <v>33.243351068254995</v>
      </c>
      <c r="M5" s="24">
        <f t="shared" si="33"/>
        <v>33.498523422295357</v>
      </c>
      <c r="N5" s="24">
        <f t="shared" si="33"/>
        <v>33.753695776335711</v>
      </c>
      <c r="O5" s="24">
        <f t="shared" si="33"/>
        <v>34.008868130376065</v>
      </c>
      <c r="P5" s="24">
        <f t="shared" si="33"/>
        <v>34.264040484416427</v>
      </c>
      <c r="Q5" s="24">
        <f t="shared" si="33"/>
        <v>34.519212838456781</v>
      </c>
      <c r="R5" s="24">
        <f t="shared" si="33"/>
        <v>34.774385192497142</v>
      </c>
      <c r="S5" s="24">
        <f t="shared" si="33"/>
        <v>35.029557546537497</v>
      </c>
      <c r="T5" s="24">
        <f t="shared" si="33"/>
        <v>35.284729900577851</v>
      </c>
      <c r="U5" s="24">
        <f t="shared" si="33"/>
        <v>35.539902254618212</v>
      </c>
      <c r="V5" s="24">
        <f t="shared" si="33"/>
        <v>35.795074608658567</v>
      </c>
      <c r="W5" s="24">
        <f t="shared" si="33"/>
        <v>36.050246962698928</v>
      </c>
      <c r="X5" s="24">
        <f t="shared" si="33"/>
        <v>36.305419316739282</v>
      </c>
      <c r="Y5" s="24">
        <f t="shared" si="33"/>
        <v>36.560591670779637</v>
      </c>
      <c r="Z5" s="24">
        <f t="shared" si="33"/>
        <v>36.815764024819998</v>
      </c>
      <c r="AA5" s="24">
        <f t="shared" si="33"/>
        <v>37.070936378860353</v>
      </c>
      <c r="AB5" s="24">
        <f t="shared" si="33"/>
        <v>37.326108732900707</v>
      </c>
      <c r="AC5" s="24">
        <f t="shared" si="33"/>
        <v>37.581281086941068</v>
      </c>
      <c r="AD5" s="24">
        <f t="shared" si="33"/>
        <v>37.836453440981423</v>
      </c>
      <c r="AE5" s="24">
        <f t="shared" si="33"/>
        <v>38.091625795021784</v>
      </c>
      <c r="AF5" s="24">
        <f t="shared" si="33"/>
        <v>38.346798149062138</v>
      </c>
      <c r="AG5" s="24">
        <f t="shared" si="33"/>
        <v>38.601970503102493</v>
      </c>
      <c r="AH5" s="24">
        <f>'Yearly Demand - Methanol'!N8</f>
        <v>38.857142857142854</v>
      </c>
      <c r="AI5" s="24"/>
      <c r="AJ5" s="24">
        <f t="shared" ref="AJ5:AJ6" si="34">D5</f>
        <v>31.201972235932139</v>
      </c>
      <c r="AK5" s="24">
        <f t="shared" ref="AK5:AK8" si="35">E5</f>
        <v>31.457144589972497</v>
      </c>
      <c r="AL5" s="24">
        <f t="shared" ref="AL5:AL8" si="36">F5</f>
        <v>31.712316944012855</v>
      </c>
      <c r="AM5" s="24">
        <f t="shared" ref="AM5:AM8" si="37">G5</f>
        <v>31.967489298053209</v>
      </c>
      <c r="AN5" s="24">
        <f t="shared" ref="AN5:AN8" si="38">H5</f>
        <v>32.222661652093571</v>
      </c>
      <c r="AO5" s="24">
        <f t="shared" ref="AO5:AO8" si="39">I5</f>
        <v>32.477834006133925</v>
      </c>
      <c r="AP5" s="24">
        <f t="shared" ref="AP5:AP8" si="40">J5</f>
        <v>32.733006360174279</v>
      </c>
      <c r="AQ5" s="24">
        <f t="shared" ref="AQ5:AQ8" si="41">K5</f>
        <v>32.988178714214641</v>
      </c>
      <c r="AR5" s="24">
        <f t="shared" ref="AR5:AR8" si="42">L5</f>
        <v>33.243351068254995</v>
      </c>
      <c r="AS5" s="24">
        <f t="shared" ref="AS5:AS8" si="43">M5</f>
        <v>33.498523422295357</v>
      </c>
      <c r="AT5" s="24">
        <f t="shared" ref="AT5:AT8" si="44">N5</f>
        <v>33.753695776335711</v>
      </c>
      <c r="AU5" s="24">
        <f t="shared" ref="AU5:AU8" si="45">O5</f>
        <v>34.008868130376065</v>
      </c>
      <c r="AV5" s="24">
        <f t="shared" ref="AV5:AV8" si="46">P5</f>
        <v>34.264040484416427</v>
      </c>
      <c r="AW5" s="24">
        <f t="shared" ref="AW5:AW8" si="47">Q5</f>
        <v>34.519212838456781</v>
      </c>
      <c r="AX5" s="24">
        <f t="shared" ref="AX5:AX8" si="48">R5</f>
        <v>34.774385192497142</v>
      </c>
      <c r="AY5" s="24">
        <f t="shared" ref="AY5:AY8" si="49">S5</f>
        <v>35.029557546537497</v>
      </c>
      <c r="AZ5" s="24">
        <f t="shared" ref="AZ5:AZ8" si="50">T5</f>
        <v>35.284729900577851</v>
      </c>
      <c r="BA5" s="24">
        <f t="shared" ref="BA5:BA8" si="51">U5</f>
        <v>35.539902254618212</v>
      </c>
      <c r="BB5" s="24">
        <f t="shared" ref="BB5:BB8" si="52">V5</f>
        <v>35.795074608658567</v>
      </c>
      <c r="BC5" s="24">
        <f t="shared" ref="BC5:BC8" si="53">W5</f>
        <v>36.050246962698928</v>
      </c>
      <c r="BD5" s="24">
        <f t="shared" ref="BD5:BD8" si="54">X5</f>
        <v>36.305419316739282</v>
      </c>
      <c r="BE5" s="24">
        <f t="shared" ref="BE5:BE8" si="55">Y5</f>
        <v>36.560591670779637</v>
      </c>
      <c r="BF5" s="24">
        <f t="shared" ref="BF5:BF8" si="56">Z5</f>
        <v>36.815764024819998</v>
      </c>
      <c r="BG5" s="24">
        <f t="shared" ref="BG5:BG8" si="57">AA5</f>
        <v>37.070936378860353</v>
      </c>
      <c r="BH5" s="24">
        <f t="shared" ref="BH5:BH8" si="58">AB5</f>
        <v>37.326108732900707</v>
      </c>
      <c r="BI5" s="24">
        <f t="shared" ref="BI5:BI8" si="59">AC5</f>
        <v>37.581281086941068</v>
      </c>
      <c r="BJ5" s="24">
        <f t="shared" ref="BJ5:BJ8" si="60">AD5</f>
        <v>37.836453440981423</v>
      </c>
      <c r="BK5" s="24">
        <f t="shared" ref="BK5:BK8" si="61">AE5</f>
        <v>38.091625795021784</v>
      </c>
      <c r="BL5" s="24">
        <f t="shared" ref="BL5:BL8" si="62">AF5</f>
        <v>38.346798149062138</v>
      </c>
      <c r="BM5" s="24">
        <f t="shared" ref="BM5:BM8" si="63">AG5</f>
        <v>38.601970503102493</v>
      </c>
      <c r="BN5" s="24">
        <f t="shared" ref="BN5:BN8" si="64">AH5</f>
        <v>38.857142857142854</v>
      </c>
    </row>
    <row r="6" spans="1:89" s="59" customFormat="1">
      <c r="A6" s="493" t="s">
        <v>898</v>
      </c>
      <c r="C6" s="60" t="s">
        <v>166</v>
      </c>
      <c r="D6" s="651">
        <f t="shared" ref="D6:AH6" si="65">D4-D5</f>
        <v>70.960266702016895</v>
      </c>
      <c r="E6" s="651">
        <f t="shared" si="65"/>
        <v>75.388870454181628</v>
      </c>
      <c r="F6" s="651">
        <f t="shared" si="65"/>
        <v>79.817474206346361</v>
      </c>
      <c r="G6" s="651">
        <f t="shared" si="65"/>
        <v>84.246077958511108</v>
      </c>
      <c r="H6" s="651">
        <f t="shared" si="65"/>
        <v>88.674681710675856</v>
      </c>
      <c r="I6" s="651">
        <f t="shared" si="65"/>
        <v>93.103285462840603</v>
      </c>
      <c r="J6" s="651">
        <f t="shared" si="65"/>
        <v>97.531889215005322</v>
      </c>
      <c r="K6" s="651">
        <f t="shared" si="65"/>
        <v>101.96049296717008</v>
      </c>
      <c r="L6" s="651">
        <f t="shared" si="65"/>
        <v>106.3890967193348</v>
      </c>
      <c r="M6" s="651">
        <f t="shared" si="65"/>
        <v>110.81770047149953</v>
      </c>
      <c r="N6" s="651">
        <f t="shared" si="65"/>
        <v>115.24630422366428</v>
      </c>
      <c r="O6" s="651">
        <f t="shared" si="65"/>
        <v>116.99113186962393</v>
      </c>
      <c r="P6" s="651">
        <f t="shared" si="65"/>
        <v>118.73595951558357</v>
      </c>
      <c r="Q6" s="651">
        <f t="shared" si="65"/>
        <v>120.48078716154322</v>
      </c>
      <c r="R6" s="651">
        <f t="shared" si="65"/>
        <v>122.22561480750286</v>
      </c>
      <c r="S6" s="651">
        <f t="shared" si="65"/>
        <v>123.97044245346251</v>
      </c>
      <c r="T6" s="651">
        <f t="shared" si="65"/>
        <v>125.51527009942217</v>
      </c>
      <c r="U6" s="651">
        <f t="shared" si="65"/>
        <v>127.06009774538178</v>
      </c>
      <c r="V6" s="651">
        <f t="shared" si="65"/>
        <v>128.60492539134145</v>
      </c>
      <c r="W6" s="651">
        <f t="shared" si="65"/>
        <v>130.14975303730105</v>
      </c>
      <c r="X6" s="651">
        <f t="shared" si="65"/>
        <v>131.69458068326071</v>
      </c>
      <c r="Y6" s="651">
        <f t="shared" si="65"/>
        <v>132.83940832922036</v>
      </c>
      <c r="Z6" s="651">
        <f t="shared" si="65"/>
        <v>133.98423597518001</v>
      </c>
      <c r="AA6" s="651">
        <f t="shared" si="65"/>
        <v>135.12906362113964</v>
      </c>
      <c r="AB6" s="651">
        <f t="shared" si="65"/>
        <v>136.27389126709929</v>
      </c>
      <c r="AC6" s="651">
        <f t="shared" si="65"/>
        <v>137.41871891305894</v>
      </c>
      <c r="AD6" s="651">
        <f t="shared" si="65"/>
        <v>138.56354655901859</v>
      </c>
      <c r="AE6" s="651">
        <f t="shared" si="65"/>
        <v>139.70837420497821</v>
      </c>
      <c r="AF6" s="651">
        <f t="shared" si="65"/>
        <v>140.85320185093786</v>
      </c>
      <c r="AG6" s="651">
        <f t="shared" si="65"/>
        <v>141.99802949689752</v>
      </c>
      <c r="AH6" s="651">
        <f t="shared" si="65"/>
        <v>143.14285714285714</v>
      </c>
      <c r="AI6" s="651"/>
      <c r="AJ6" s="651">
        <f t="shared" si="34"/>
        <v>70.960266702016895</v>
      </c>
      <c r="AK6" s="651">
        <f t="shared" si="35"/>
        <v>75.388870454181628</v>
      </c>
      <c r="AL6" s="651">
        <f t="shared" si="36"/>
        <v>79.817474206346361</v>
      </c>
      <c r="AM6" s="651">
        <f t="shared" si="37"/>
        <v>84.246077958511108</v>
      </c>
      <c r="AN6" s="651">
        <f t="shared" si="38"/>
        <v>88.674681710675856</v>
      </c>
      <c r="AO6" s="651">
        <f t="shared" si="39"/>
        <v>93.103285462840603</v>
      </c>
      <c r="AP6" s="651">
        <f t="shared" si="40"/>
        <v>97.531889215005322</v>
      </c>
      <c r="AQ6" s="651">
        <f t="shared" si="41"/>
        <v>101.96049296717008</v>
      </c>
      <c r="AR6" s="651">
        <f t="shared" si="42"/>
        <v>106.3890967193348</v>
      </c>
      <c r="AS6" s="651">
        <f t="shared" si="43"/>
        <v>110.81770047149953</v>
      </c>
      <c r="AT6" s="651">
        <f t="shared" si="44"/>
        <v>115.24630422366428</v>
      </c>
      <c r="AU6" s="651">
        <f t="shared" si="45"/>
        <v>116.99113186962393</v>
      </c>
      <c r="AV6" s="651">
        <f t="shared" si="46"/>
        <v>118.73595951558357</v>
      </c>
      <c r="AW6" s="651">
        <f t="shared" si="47"/>
        <v>120.48078716154322</v>
      </c>
      <c r="AX6" s="651">
        <f t="shared" si="48"/>
        <v>122.22561480750286</v>
      </c>
      <c r="AY6" s="651">
        <f t="shared" si="49"/>
        <v>123.97044245346251</v>
      </c>
      <c r="AZ6" s="651">
        <f t="shared" si="50"/>
        <v>125.51527009942217</v>
      </c>
      <c r="BA6" s="651">
        <f t="shared" si="51"/>
        <v>127.06009774538178</v>
      </c>
      <c r="BB6" s="651">
        <f t="shared" si="52"/>
        <v>128.60492539134145</v>
      </c>
      <c r="BC6" s="651">
        <f t="shared" si="53"/>
        <v>130.14975303730105</v>
      </c>
      <c r="BD6" s="651">
        <f t="shared" si="54"/>
        <v>131.69458068326071</v>
      </c>
      <c r="BE6" s="651">
        <f t="shared" si="55"/>
        <v>132.83940832922036</v>
      </c>
      <c r="BF6" s="651">
        <f t="shared" si="56"/>
        <v>133.98423597518001</v>
      </c>
      <c r="BG6" s="651">
        <f t="shared" si="57"/>
        <v>135.12906362113964</v>
      </c>
      <c r="BH6" s="651">
        <f t="shared" si="58"/>
        <v>136.27389126709929</v>
      </c>
      <c r="BI6" s="651">
        <f t="shared" si="59"/>
        <v>137.41871891305894</v>
      </c>
      <c r="BJ6" s="651">
        <f t="shared" si="60"/>
        <v>138.56354655901859</v>
      </c>
      <c r="BK6" s="651">
        <f t="shared" si="61"/>
        <v>139.70837420497821</v>
      </c>
      <c r="BL6" s="651">
        <f t="shared" si="62"/>
        <v>140.85320185093786</v>
      </c>
      <c r="BM6" s="651">
        <f t="shared" si="63"/>
        <v>141.99802949689752</v>
      </c>
      <c r="BN6" s="651">
        <f t="shared" si="64"/>
        <v>143.14285714285714</v>
      </c>
      <c r="BO6" s="262" t="s">
        <v>899</v>
      </c>
    </row>
    <row r="7" spans="1:89" ht="88.5">
      <c r="A7" s="685"/>
      <c r="B7" s="1" t="s">
        <v>885</v>
      </c>
      <c r="C7" s="51" t="s">
        <v>166</v>
      </c>
      <c r="D7" s="24">
        <f>'Sankey Methanol_detailed'!H9</f>
        <v>7.192774760698633</v>
      </c>
      <c r="E7" s="24">
        <f t="shared" ref="E7:T7" si="66">$D7/$D$6*E$6</f>
        <v>7.6416731481225399</v>
      </c>
      <c r="F7" s="24">
        <f t="shared" si="66"/>
        <v>8.0905715355464469</v>
      </c>
      <c r="G7" s="24">
        <f t="shared" si="66"/>
        <v>8.5394699229703548</v>
      </c>
      <c r="H7" s="24">
        <f t="shared" si="66"/>
        <v>8.9883683103942644</v>
      </c>
      <c r="I7" s="24">
        <f t="shared" si="66"/>
        <v>9.4372666978181723</v>
      </c>
      <c r="J7" s="24">
        <f t="shared" si="66"/>
        <v>9.8861650852420784</v>
      </c>
      <c r="K7" s="24">
        <f t="shared" si="66"/>
        <v>10.335063472665988</v>
      </c>
      <c r="L7" s="24">
        <f t="shared" si="66"/>
        <v>10.783961860089894</v>
      </c>
      <c r="M7" s="24">
        <f t="shared" si="66"/>
        <v>11.2328602475138</v>
      </c>
      <c r="N7" s="24">
        <f t="shared" si="66"/>
        <v>11.68175863493771</v>
      </c>
      <c r="O7" s="24">
        <f t="shared" si="66"/>
        <v>11.858620318763244</v>
      </c>
      <c r="P7" s="24">
        <f t="shared" si="66"/>
        <v>12.035482002588779</v>
      </c>
      <c r="Q7" s="24">
        <f t="shared" si="66"/>
        <v>12.212343686414314</v>
      </c>
      <c r="R7" s="24">
        <f t="shared" si="66"/>
        <v>12.389205370239848</v>
      </c>
      <c r="S7" s="24">
        <f t="shared" si="66"/>
        <v>12.566067054065384</v>
      </c>
      <c r="T7" s="24">
        <f t="shared" si="66"/>
        <v>12.722656055458923</v>
      </c>
      <c r="U7" s="24">
        <f t="shared" ref="U7:AH7" si="67">$D7/$D$6*U$6</f>
        <v>12.87924505685246</v>
      </c>
      <c r="V7" s="24">
        <f t="shared" si="67"/>
        <v>13.035834058246001</v>
      </c>
      <c r="W7" s="24">
        <f t="shared" si="67"/>
        <v>13.192423059639536</v>
      </c>
      <c r="X7" s="24">
        <f t="shared" si="67"/>
        <v>13.349012061033076</v>
      </c>
      <c r="Y7" s="24">
        <f t="shared" si="67"/>
        <v>13.465055697562624</v>
      </c>
      <c r="Z7" s="24">
        <f t="shared" si="67"/>
        <v>13.581099334092171</v>
      </c>
      <c r="AA7" s="24">
        <f t="shared" si="67"/>
        <v>13.697142970621716</v>
      </c>
      <c r="AB7" s="24">
        <f t="shared" si="67"/>
        <v>13.813186607151264</v>
      </c>
      <c r="AC7" s="24">
        <f t="shared" si="67"/>
        <v>13.929230243680811</v>
      </c>
      <c r="AD7" s="24">
        <f t="shared" si="67"/>
        <v>14.04527388021036</v>
      </c>
      <c r="AE7" s="24">
        <f t="shared" si="67"/>
        <v>14.161317516739903</v>
      </c>
      <c r="AF7" s="24">
        <f t="shared" si="67"/>
        <v>14.277361153269451</v>
      </c>
      <c r="AG7" s="24">
        <f t="shared" si="67"/>
        <v>14.393404789798998</v>
      </c>
      <c r="AH7" s="24">
        <f t="shared" si="67"/>
        <v>14.509448426328543</v>
      </c>
      <c r="AI7" s="24"/>
      <c r="AJ7" s="24">
        <f t="shared" ref="AJ7:AJ8" si="68">D7</f>
        <v>7.192774760698633</v>
      </c>
      <c r="AK7" s="24">
        <f t="shared" si="35"/>
        <v>7.6416731481225399</v>
      </c>
      <c r="AL7" s="24">
        <f t="shared" si="36"/>
        <v>8.0905715355464469</v>
      </c>
      <c r="AM7" s="24">
        <f t="shared" si="37"/>
        <v>8.5394699229703548</v>
      </c>
      <c r="AN7" s="24">
        <f t="shared" si="38"/>
        <v>8.9883683103942644</v>
      </c>
      <c r="AO7" s="24">
        <f t="shared" si="39"/>
        <v>9.4372666978181723</v>
      </c>
      <c r="AP7" s="24">
        <f t="shared" si="40"/>
        <v>9.8861650852420784</v>
      </c>
      <c r="AQ7" s="24">
        <f t="shared" si="41"/>
        <v>10.335063472665988</v>
      </c>
      <c r="AR7" s="24">
        <f t="shared" si="42"/>
        <v>10.783961860089894</v>
      </c>
      <c r="AS7" s="24">
        <f t="shared" si="43"/>
        <v>11.2328602475138</v>
      </c>
      <c r="AT7" s="24">
        <f t="shared" si="44"/>
        <v>11.68175863493771</v>
      </c>
      <c r="AU7" s="24">
        <f t="shared" si="45"/>
        <v>11.858620318763244</v>
      </c>
      <c r="AV7" s="24">
        <f t="shared" si="46"/>
        <v>12.035482002588779</v>
      </c>
      <c r="AW7" s="24">
        <f t="shared" si="47"/>
        <v>12.212343686414314</v>
      </c>
      <c r="AX7" s="24">
        <f t="shared" si="48"/>
        <v>12.389205370239848</v>
      </c>
      <c r="AY7" s="24">
        <f t="shared" si="49"/>
        <v>12.566067054065384</v>
      </c>
      <c r="AZ7" s="24">
        <f t="shared" si="50"/>
        <v>12.722656055458923</v>
      </c>
      <c r="BA7" s="24">
        <f t="shared" si="51"/>
        <v>12.87924505685246</v>
      </c>
      <c r="BB7" s="24">
        <f t="shared" si="52"/>
        <v>13.035834058246001</v>
      </c>
      <c r="BC7" s="24">
        <f t="shared" si="53"/>
        <v>13.192423059639536</v>
      </c>
      <c r="BD7" s="24">
        <f t="shared" si="54"/>
        <v>13.349012061033076</v>
      </c>
      <c r="BE7" s="24">
        <f t="shared" si="55"/>
        <v>13.465055697562624</v>
      </c>
      <c r="BF7" s="24">
        <f t="shared" si="56"/>
        <v>13.581099334092171</v>
      </c>
      <c r="BG7" s="24">
        <f t="shared" si="57"/>
        <v>13.697142970621716</v>
      </c>
      <c r="BH7" s="24">
        <f t="shared" si="58"/>
        <v>13.813186607151264</v>
      </c>
      <c r="BI7" s="24">
        <f t="shared" si="59"/>
        <v>13.929230243680811</v>
      </c>
      <c r="BJ7" s="24">
        <f t="shared" si="60"/>
        <v>14.04527388021036</v>
      </c>
      <c r="BK7" s="24">
        <f t="shared" si="61"/>
        <v>14.161317516739903</v>
      </c>
      <c r="BL7" s="24">
        <f t="shared" si="62"/>
        <v>14.277361153269451</v>
      </c>
      <c r="BM7" s="24">
        <f t="shared" si="63"/>
        <v>14.393404789798998</v>
      </c>
      <c r="BN7" s="24">
        <f t="shared" si="64"/>
        <v>14.509448426328543</v>
      </c>
      <c r="BY7" s="27"/>
      <c r="BZ7" s="132" t="s">
        <v>1290</v>
      </c>
      <c r="CA7" s="508" t="s">
        <v>1291</v>
      </c>
      <c r="CB7" s="132" t="s">
        <v>1292</v>
      </c>
      <c r="CC7" s="509" t="s">
        <v>1293</v>
      </c>
      <c r="CD7" s="510" t="s">
        <v>1294</v>
      </c>
      <c r="CE7" s="510" t="s">
        <v>1295</v>
      </c>
      <c r="CF7" s="132" t="s">
        <v>1296</v>
      </c>
      <c r="CG7" s="132" t="s">
        <v>1297</v>
      </c>
      <c r="CH7" s="132" t="s">
        <v>1298</v>
      </c>
      <c r="CI7" s="132" t="s">
        <v>581</v>
      </c>
      <c r="CJ7" s="132" t="s">
        <v>1289</v>
      </c>
    </row>
    <row r="8" spans="1:89">
      <c r="A8" s="685"/>
      <c r="B8" s="1" t="s">
        <v>1182</v>
      </c>
      <c r="C8" s="51" t="s">
        <v>166</v>
      </c>
      <c r="D8" s="24">
        <f>D11</f>
        <v>28.065001267929215</v>
      </c>
      <c r="E8" s="24">
        <f t="shared" ref="E8:AH8" si="69">E11</f>
        <v>28.710496297091584</v>
      </c>
      <c r="F8" s="24">
        <f t="shared" si="69"/>
        <v>29.37083771192469</v>
      </c>
      <c r="G8" s="24">
        <f t="shared" si="69"/>
        <v>30.046366979298952</v>
      </c>
      <c r="H8" s="24">
        <f t="shared" si="69"/>
        <v>30.737433419822828</v>
      </c>
      <c r="I8" s="24">
        <f t="shared" si="69"/>
        <v>31.444394388478745</v>
      </c>
      <c r="J8" s="24">
        <f t="shared" si="69"/>
        <v>32.16761545941376</v>
      </c>
      <c r="K8" s="24">
        <f t="shared" si="69"/>
        <v>32.907470614980269</v>
      </c>
      <c r="L8" s="24">
        <f t="shared" si="69"/>
        <v>33.664342439124809</v>
      </c>
      <c r="M8" s="24">
        <f t="shared" si="69"/>
        <v>34.438622315224677</v>
      </c>
      <c r="N8" s="24">
        <f t="shared" si="69"/>
        <v>35.230710628474846</v>
      </c>
      <c r="O8" s="24">
        <f t="shared" si="69"/>
        <v>36.041016972929761</v>
      </c>
      <c r="P8" s="24">
        <f t="shared" si="69"/>
        <v>36.869960363307143</v>
      </c>
      <c r="Q8" s="24">
        <f t="shared" si="69"/>
        <v>37.717969451663201</v>
      </c>
      <c r="R8" s="24">
        <f t="shared" si="69"/>
        <v>38.585482749051458</v>
      </c>
      <c r="S8" s="24">
        <f t="shared" si="69"/>
        <v>39.472948852279629</v>
      </c>
      <c r="T8" s="24">
        <f t="shared" si="69"/>
        <v>40.380826675882055</v>
      </c>
      <c r="U8" s="24">
        <f t="shared" si="69"/>
        <v>41.309585689427344</v>
      </c>
      <c r="V8" s="24">
        <f t="shared" si="69"/>
        <v>42.259706160284168</v>
      </c>
      <c r="W8" s="24">
        <f t="shared" si="69"/>
        <v>43.231679401970695</v>
      </c>
      <c r="X8" s="24">
        <f t="shared" si="69"/>
        <v>44.226008028216022</v>
      </c>
      <c r="Y8" s="24">
        <f t="shared" si="69"/>
        <v>45.243206212864983</v>
      </c>
      <c r="Z8" s="24">
        <f t="shared" si="69"/>
        <v>46.283799955760877</v>
      </c>
      <c r="AA8" s="24">
        <f t="shared" si="69"/>
        <v>47.348327354743368</v>
      </c>
      <c r="AB8" s="24">
        <f t="shared" si="69"/>
        <v>48.437338883902463</v>
      </c>
      <c r="AC8" s="24">
        <f t="shared" si="69"/>
        <v>49.551397678232213</v>
      </c>
      <c r="AD8" s="24">
        <f t="shared" si="69"/>
        <v>50.691079824831547</v>
      </c>
      <c r="AE8" s="24">
        <f t="shared" si="69"/>
        <v>51.85697466080267</v>
      </c>
      <c r="AF8" s="24">
        <f t="shared" si="69"/>
        <v>53.049685078001126</v>
      </c>
      <c r="AG8" s="24">
        <f t="shared" si="69"/>
        <v>54.269827834795151</v>
      </c>
      <c r="AH8" s="24">
        <f t="shared" si="69"/>
        <v>55.518033874995439</v>
      </c>
      <c r="AI8" s="24"/>
      <c r="AJ8" s="24">
        <f t="shared" si="68"/>
        <v>28.065001267929215</v>
      </c>
      <c r="AK8" s="24">
        <f t="shared" si="35"/>
        <v>28.710496297091584</v>
      </c>
      <c r="AL8" s="24">
        <f t="shared" si="36"/>
        <v>29.37083771192469</v>
      </c>
      <c r="AM8" s="24">
        <f t="shared" si="37"/>
        <v>30.046366979298952</v>
      </c>
      <c r="AN8" s="24">
        <f t="shared" si="38"/>
        <v>30.737433419822828</v>
      </c>
      <c r="AO8" s="24">
        <f t="shared" si="39"/>
        <v>31.444394388478745</v>
      </c>
      <c r="AP8" s="24">
        <f t="shared" si="40"/>
        <v>32.16761545941376</v>
      </c>
      <c r="AQ8" s="24">
        <f t="shared" si="41"/>
        <v>32.907470614980269</v>
      </c>
      <c r="AR8" s="24">
        <f t="shared" si="42"/>
        <v>33.664342439124809</v>
      </c>
      <c r="AS8" s="24">
        <f t="shared" si="43"/>
        <v>34.438622315224677</v>
      </c>
      <c r="AT8" s="24">
        <f t="shared" si="44"/>
        <v>35.230710628474846</v>
      </c>
      <c r="AU8" s="24">
        <f t="shared" si="45"/>
        <v>36.041016972929761</v>
      </c>
      <c r="AV8" s="24">
        <f t="shared" si="46"/>
        <v>36.869960363307143</v>
      </c>
      <c r="AW8" s="24">
        <f t="shared" si="47"/>
        <v>37.717969451663201</v>
      </c>
      <c r="AX8" s="24">
        <f t="shared" si="48"/>
        <v>38.585482749051458</v>
      </c>
      <c r="AY8" s="24">
        <f t="shared" si="49"/>
        <v>39.472948852279629</v>
      </c>
      <c r="AZ8" s="24">
        <f t="shared" si="50"/>
        <v>40.380826675882055</v>
      </c>
      <c r="BA8" s="24">
        <f t="shared" si="51"/>
        <v>41.309585689427344</v>
      </c>
      <c r="BB8" s="24">
        <f t="shared" si="52"/>
        <v>42.259706160284168</v>
      </c>
      <c r="BC8" s="24">
        <f t="shared" si="53"/>
        <v>43.231679401970695</v>
      </c>
      <c r="BD8" s="24">
        <f t="shared" si="54"/>
        <v>44.226008028216022</v>
      </c>
      <c r="BE8" s="24">
        <f t="shared" si="55"/>
        <v>45.243206212864983</v>
      </c>
      <c r="BF8" s="24">
        <f t="shared" si="56"/>
        <v>46.283799955760877</v>
      </c>
      <c r="BG8" s="24">
        <f t="shared" si="57"/>
        <v>47.348327354743368</v>
      </c>
      <c r="BH8" s="24">
        <f t="shared" si="58"/>
        <v>48.437338883902463</v>
      </c>
      <c r="BI8" s="24">
        <f t="shared" si="59"/>
        <v>49.551397678232213</v>
      </c>
      <c r="BJ8" s="24">
        <f t="shared" si="60"/>
        <v>50.691079824831547</v>
      </c>
      <c r="BK8" s="24">
        <f t="shared" si="61"/>
        <v>51.85697466080267</v>
      </c>
      <c r="BL8" s="24">
        <f t="shared" si="62"/>
        <v>53.049685078001126</v>
      </c>
      <c r="BM8" s="24">
        <f t="shared" si="63"/>
        <v>54.269827834795151</v>
      </c>
      <c r="BN8" s="24">
        <f t="shared" si="64"/>
        <v>55.518033874995439</v>
      </c>
    </row>
    <row r="9" spans="1:89" s="63" customFormat="1">
      <c r="A9" s="686"/>
      <c r="B9" s="59" t="s">
        <v>27</v>
      </c>
      <c r="C9" s="262" t="s">
        <v>166</v>
      </c>
      <c r="D9" s="652">
        <f>D6-D7-D8</f>
        <v>35.70249067338905</v>
      </c>
      <c r="E9" s="652">
        <f t="shared" ref="E9:AH9" si="70">E6-E7-E8</f>
        <v>39.036701008967512</v>
      </c>
      <c r="F9" s="652">
        <f t="shared" si="70"/>
        <v>42.356064958875223</v>
      </c>
      <c r="G9" s="652">
        <f t="shared" si="70"/>
        <v>45.660241056241802</v>
      </c>
      <c r="H9" s="652">
        <f t="shared" si="70"/>
        <v>48.948879980458763</v>
      </c>
      <c r="I9" s="652">
        <f t="shared" si="70"/>
        <v>52.221624376543687</v>
      </c>
      <c r="J9" s="652">
        <f t="shared" si="70"/>
        <v>55.478108670349478</v>
      </c>
      <c r="K9" s="652">
        <f t="shared" si="70"/>
        <v>58.71795887952382</v>
      </c>
      <c r="L9" s="652">
        <f t="shared" si="70"/>
        <v>61.940792420120104</v>
      </c>
      <c r="M9" s="652">
        <f t="shared" si="70"/>
        <v>65.146217908761059</v>
      </c>
      <c r="N9" s="652">
        <f t="shared" si="70"/>
        <v>68.333834960251721</v>
      </c>
      <c r="O9" s="652">
        <f t="shared" si="70"/>
        <v>69.091494577930916</v>
      </c>
      <c r="P9" s="652">
        <f t="shared" si="70"/>
        <v>69.830517149687651</v>
      </c>
      <c r="Q9" s="652">
        <f t="shared" si="70"/>
        <v>70.550474023465711</v>
      </c>
      <c r="R9" s="652">
        <f t="shared" si="70"/>
        <v>71.250926688211564</v>
      </c>
      <c r="S9" s="652">
        <f t="shared" si="70"/>
        <v>71.931426547117496</v>
      </c>
      <c r="T9" s="652">
        <f t="shared" si="70"/>
        <v>72.411787368081178</v>
      </c>
      <c r="U9" s="652">
        <f t="shared" si="70"/>
        <v>72.871266999101977</v>
      </c>
      <c r="V9" s="652">
        <f t="shared" si="70"/>
        <v>73.30938517281129</v>
      </c>
      <c r="W9" s="652">
        <f t="shared" si="70"/>
        <v>73.725650575690821</v>
      </c>
      <c r="X9" s="652">
        <f t="shared" si="70"/>
        <v>74.119560594011602</v>
      </c>
      <c r="Y9" s="652">
        <f t="shared" si="70"/>
        <v>74.131146418792753</v>
      </c>
      <c r="Z9" s="652">
        <f t="shared" si="70"/>
        <v>74.119336685326971</v>
      </c>
      <c r="AA9" s="652">
        <f t="shared" si="70"/>
        <v>74.083593295774563</v>
      </c>
      <c r="AB9" s="652">
        <f t="shared" si="70"/>
        <v>74.023365776045551</v>
      </c>
      <c r="AC9" s="652">
        <f t="shared" si="70"/>
        <v>73.938090991145913</v>
      </c>
      <c r="AD9" s="652">
        <f t="shared" si="70"/>
        <v>73.827192853976683</v>
      </c>
      <c r="AE9" s="652">
        <f t="shared" si="70"/>
        <v>73.690082027435636</v>
      </c>
      <c r="AF9" s="652">
        <f t="shared" si="70"/>
        <v>73.526155619667293</v>
      </c>
      <c r="AG9" s="652">
        <f t="shared" si="70"/>
        <v>73.334796872303372</v>
      </c>
      <c r="AH9" s="652">
        <f t="shared" si="70"/>
        <v>73.115374841533168</v>
      </c>
      <c r="AI9" s="652"/>
      <c r="AJ9" s="652">
        <f>AJ6-AJ7-AJ8</f>
        <v>35.70249067338905</v>
      </c>
      <c r="AK9" s="652">
        <f t="shared" ref="AK9" si="71">AK6-AK7-AK8</f>
        <v>39.036701008967512</v>
      </c>
      <c r="AL9" s="652">
        <f t="shared" ref="AL9" si="72">AL6-AL7-AL8</f>
        <v>42.356064958875223</v>
      </c>
      <c r="AM9" s="652">
        <f t="shared" ref="AM9" si="73">AM6-AM7-AM8</f>
        <v>45.660241056241802</v>
      </c>
      <c r="AN9" s="652">
        <f t="shared" ref="AN9" si="74">AN6-AN7-AN8</f>
        <v>48.948879980458763</v>
      </c>
      <c r="AO9" s="652">
        <f t="shared" ref="AO9" si="75">AO6-AO7-AO8</f>
        <v>52.221624376543687</v>
      </c>
      <c r="AP9" s="652">
        <f t="shared" ref="AP9" si="76">AP6-AP7-AP8</f>
        <v>55.478108670349478</v>
      </c>
      <c r="AQ9" s="652">
        <f t="shared" ref="AQ9" si="77">AQ6-AQ7-AQ8</f>
        <v>58.71795887952382</v>
      </c>
      <c r="AR9" s="652">
        <f t="shared" ref="AR9" si="78">AR6-AR7-AR8</f>
        <v>61.940792420120104</v>
      </c>
      <c r="AS9" s="652">
        <f t="shared" ref="AS9" si="79">AS6-AS7-AS8</f>
        <v>65.146217908761059</v>
      </c>
      <c r="AT9" s="652">
        <f t="shared" ref="AT9" si="80">AT6-AT7-AT8</f>
        <v>68.333834960251721</v>
      </c>
      <c r="AU9" s="652">
        <f t="shared" ref="AU9" si="81">AU6-AU7-AU8</f>
        <v>69.091494577930916</v>
      </c>
      <c r="AV9" s="652">
        <f t="shared" ref="AV9" si="82">AV6-AV7-AV8</f>
        <v>69.830517149687651</v>
      </c>
      <c r="AW9" s="652">
        <f t="shared" ref="AW9" si="83">AW6-AW7-AW8</f>
        <v>70.550474023465711</v>
      </c>
      <c r="AX9" s="652">
        <f t="shared" ref="AX9" si="84">AX6-AX7-AX8</f>
        <v>71.250926688211564</v>
      </c>
      <c r="AY9" s="652">
        <f t="shared" ref="AY9" si="85">AY6-AY7-AY8</f>
        <v>71.931426547117496</v>
      </c>
      <c r="AZ9" s="652">
        <f t="shared" ref="AZ9" si="86">AZ6-AZ7-AZ8</f>
        <v>72.411787368081178</v>
      </c>
      <c r="BA9" s="652">
        <f t="shared" ref="BA9" si="87">BA6-BA7-BA8</f>
        <v>72.871266999101977</v>
      </c>
      <c r="BB9" s="652">
        <f t="shared" ref="BB9" si="88">BB6-BB7-BB8</f>
        <v>73.30938517281129</v>
      </c>
      <c r="BC9" s="652">
        <f t="shared" ref="BC9" si="89">BC6-BC7-BC8</f>
        <v>73.725650575690821</v>
      </c>
      <c r="BD9" s="652">
        <f t="shared" ref="BD9" si="90">BD6-BD7-BD8</f>
        <v>74.119560594011602</v>
      </c>
      <c r="BE9" s="652">
        <f t="shared" ref="BE9" si="91">BE6-BE7-BE8</f>
        <v>74.131146418792753</v>
      </c>
      <c r="BF9" s="652">
        <f t="shared" ref="BF9" si="92">BF6-BF7-BF8</f>
        <v>74.119336685326971</v>
      </c>
      <c r="BG9" s="652">
        <f t="shared" ref="BG9" si="93">BG6-BG7-BG8</f>
        <v>74.083593295774563</v>
      </c>
      <c r="BH9" s="652">
        <f t="shared" ref="BH9" si="94">BH6-BH7-BH8</f>
        <v>74.023365776045551</v>
      </c>
      <c r="BI9" s="652">
        <f t="shared" ref="BI9" si="95">BI6-BI7-BI8</f>
        <v>73.938090991145913</v>
      </c>
      <c r="BJ9" s="652">
        <f t="shared" ref="BJ9" si="96">BJ6-BJ7-BJ8</f>
        <v>73.827192853976683</v>
      </c>
      <c r="BK9" s="652">
        <f t="shared" ref="BK9" si="97">BK6-BK7-BK8</f>
        <v>73.690082027435636</v>
      </c>
      <c r="BL9" s="652">
        <f t="shared" ref="BL9" si="98">BL6-BL7-BL8</f>
        <v>73.526155619667293</v>
      </c>
      <c r="BM9" s="652">
        <f t="shared" ref="BM9" si="99">BM6-BM7-BM8</f>
        <v>73.334796872303372</v>
      </c>
      <c r="BN9" s="652">
        <f t="shared" ref="BN9" si="100">BN6-BN7-BN8</f>
        <v>73.115374841533168</v>
      </c>
      <c r="BY9" s="27" t="s">
        <v>78</v>
      </c>
      <c r="BZ9" s="507">
        <f>AJ6</f>
        <v>70.960266702016895</v>
      </c>
      <c r="CB9" s="514" t="s">
        <v>307</v>
      </c>
      <c r="CC9" s="511"/>
      <c r="CD9" s="515" t="s">
        <v>307</v>
      </c>
      <c r="CE9" s="514"/>
      <c r="CF9" s="516"/>
      <c r="CG9" s="511"/>
      <c r="CI9" s="516"/>
      <c r="CJ9" s="63" t="s">
        <v>307</v>
      </c>
      <c r="CK9" s="520"/>
    </row>
    <row r="10" spans="1:89">
      <c r="C10" s="5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Y10" s="27" t="s">
        <v>164</v>
      </c>
      <c r="BZ10" s="516"/>
      <c r="CA10" s="517"/>
      <c r="CB10" s="514"/>
      <c r="CD10" s="516"/>
      <c r="CE10" s="518">
        <f>-BN12+AH19-AH23</f>
        <v>-62.354249121653481</v>
      </c>
      <c r="CF10" s="519">
        <f>-AH32</f>
        <v>-0.17653249402638066</v>
      </c>
      <c r="CG10" s="513">
        <f>-AH41</f>
        <v>-3.2754546097813004</v>
      </c>
      <c r="CH10" s="519">
        <f>-AH57</f>
        <v>-9.7258322378583291</v>
      </c>
      <c r="CJ10" s="516"/>
    </row>
    <row r="11" spans="1:89">
      <c r="A11" s="55" t="s">
        <v>900</v>
      </c>
      <c r="B11" s="55" t="s">
        <v>901</v>
      </c>
      <c r="C11" s="62"/>
      <c r="D11" s="650">
        <f>'R&amp;S - Transportation'!F4</f>
        <v>28.065001267929215</v>
      </c>
      <c r="E11" s="650">
        <f>$D$11*(1+'R&amp;S - Transportation'!$B$6)^(E3-$D$3)</f>
        <v>28.710496297091584</v>
      </c>
      <c r="F11" s="650">
        <f>$D$11*(1+'R&amp;S - Transportation'!$B$6)^(F3-$D$3)</f>
        <v>29.37083771192469</v>
      </c>
      <c r="G11" s="650">
        <f>$D$11*(1+'R&amp;S - Transportation'!$B$6)^(G3-$D$3)</f>
        <v>30.046366979298952</v>
      </c>
      <c r="H11" s="650">
        <f>$D$11*(1+'R&amp;S - Transportation'!$B$6)^(H3-$D$3)</f>
        <v>30.737433419822828</v>
      </c>
      <c r="I11" s="650">
        <f>$D$11*(1+'R&amp;S - Transportation'!$B$6)^(I3-$D$3)</f>
        <v>31.444394388478745</v>
      </c>
      <c r="J11" s="650">
        <f>$D$11*(1+'R&amp;S - Transportation'!$B$6)^(J3-$D$3)</f>
        <v>32.16761545941376</v>
      </c>
      <c r="K11" s="650">
        <f>$D$11*(1+'R&amp;S - Transportation'!$B$6)^(K3-$D$3)</f>
        <v>32.907470614980269</v>
      </c>
      <c r="L11" s="650">
        <f>$D$11*(1+'R&amp;S - Transportation'!$B$6)^(L3-$D$3)</f>
        <v>33.664342439124809</v>
      </c>
      <c r="M11" s="650">
        <f>$D$11*(1+'R&amp;S - Transportation'!$B$6)^(M3-$D$3)</f>
        <v>34.438622315224677</v>
      </c>
      <c r="N11" s="650">
        <f>$D$11*(1+'R&amp;S - Transportation'!$B$6)^(N3-$D$3)</f>
        <v>35.230710628474846</v>
      </c>
      <c r="O11" s="650">
        <f>$D$11*(1+'R&amp;S - Transportation'!$B$6)^(O3-$D$3)</f>
        <v>36.041016972929761</v>
      </c>
      <c r="P11" s="650">
        <f>$D$11*(1+'R&amp;S - Transportation'!$B$6)^(P3-$D$3)</f>
        <v>36.869960363307143</v>
      </c>
      <c r="Q11" s="650">
        <f>$D$11*(1+'R&amp;S - Transportation'!$B$6)^(Q3-$D$3)</f>
        <v>37.717969451663201</v>
      </c>
      <c r="R11" s="650">
        <f>$D$11*(1+'R&amp;S - Transportation'!$B$6)^(R3-$D$3)</f>
        <v>38.585482749051458</v>
      </c>
      <c r="S11" s="650">
        <f>$D$11*(1+'R&amp;S - Transportation'!$B$6)^(S3-$D$3)</f>
        <v>39.472948852279629</v>
      </c>
      <c r="T11" s="650">
        <f>$D$11*(1+'R&amp;S - Transportation'!$B$6)^(T3-$D$3)</f>
        <v>40.380826675882055</v>
      </c>
      <c r="U11" s="650">
        <f>$D$11*(1+'R&amp;S - Transportation'!$B$6)^(U3-$D$3)</f>
        <v>41.309585689427344</v>
      </c>
      <c r="V11" s="650">
        <f>$D$11*(1+'R&amp;S - Transportation'!$B$6)^(V3-$D$3)</f>
        <v>42.259706160284168</v>
      </c>
      <c r="W11" s="650">
        <f>$D$11*(1+'R&amp;S - Transportation'!$B$6)^(W3-$D$3)</f>
        <v>43.231679401970695</v>
      </c>
      <c r="X11" s="650">
        <f>$D$11*(1+'R&amp;S - Transportation'!$B$6)^(X3-$D$3)</f>
        <v>44.226008028216022</v>
      </c>
      <c r="Y11" s="650">
        <f>$D$11*(1+'R&amp;S - Transportation'!$B$6)^(Y3-$D$3)</f>
        <v>45.243206212864983</v>
      </c>
      <c r="Z11" s="650">
        <f>$D$11*(1+'R&amp;S - Transportation'!$B$6)^(Z3-$D$3)</f>
        <v>46.283799955760877</v>
      </c>
      <c r="AA11" s="650">
        <f>$D$11*(1+'R&amp;S - Transportation'!$B$6)^(AA3-$D$3)</f>
        <v>47.348327354743368</v>
      </c>
      <c r="AB11" s="650">
        <f>$D$11*(1+'R&amp;S - Transportation'!$B$6)^(AB3-$D$3)</f>
        <v>48.437338883902463</v>
      </c>
      <c r="AC11" s="650">
        <f>$D$11*(1+'R&amp;S - Transportation'!$B$6)^(AC3-$D$3)</f>
        <v>49.551397678232213</v>
      </c>
      <c r="AD11" s="650">
        <f>$D$11*(1+'R&amp;S - Transportation'!$B$6)^(AD3-$D$3)</f>
        <v>50.691079824831547</v>
      </c>
      <c r="AE11" s="650">
        <f>$D$11*(1+'R&amp;S - Transportation'!$B$6)^(AE3-$D$3)</f>
        <v>51.85697466080267</v>
      </c>
      <c r="AF11" s="650">
        <f>$D$11*(1+'R&amp;S - Transportation'!$B$6)^(AF3-$D$3)</f>
        <v>53.049685078001126</v>
      </c>
      <c r="AG11" s="650">
        <f>$D$11*(1+'R&amp;S - Transportation'!$B$6)^(AG3-$D$3)</f>
        <v>54.269827834795151</v>
      </c>
      <c r="AH11" s="650">
        <f>$D$11*(1+'R&amp;S - Transportation'!$B$6)^(AH3-$D$3)</f>
        <v>55.518033874995439</v>
      </c>
      <c r="AI11" s="24"/>
      <c r="AJ11" s="650">
        <f>D11</f>
        <v>28.065001267929215</v>
      </c>
      <c r="AK11" s="650">
        <f t="shared" ref="AK11:BN11" si="101">E11</f>
        <v>28.710496297091584</v>
      </c>
      <c r="AL11" s="650">
        <f t="shared" si="101"/>
        <v>29.37083771192469</v>
      </c>
      <c r="AM11" s="650">
        <f t="shared" si="101"/>
        <v>30.046366979298952</v>
      </c>
      <c r="AN11" s="650">
        <f t="shared" si="101"/>
        <v>30.737433419822828</v>
      </c>
      <c r="AO11" s="650">
        <f t="shared" si="101"/>
        <v>31.444394388478745</v>
      </c>
      <c r="AP11" s="650">
        <f t="shared" si="101"/>
        <v>32.16761545941376</v>
      </c>
      <c r="AQ11" s="650">
        <f t="shared" si="101"/>
        <v>32.907470614980269</v>
      </c>
      <c r="AR11" s="650">
        <f t="shared" si="101"/>
        <v>33.664342439124809</v>
      </c>
      <c r="AS11" s="650">
        <f t="shared" si="101"/>
        <v>34.438622315224677</v>
      </c>
      <c r="AT11" s="650">
        <f t="shared" si="101"/>
        <v>35.230710628474846</v>
      </c>
      <c r="AU11" s="650">
        <f t="shared" si="101"/>
        <v>36.041016972929761</v>
      </c>
      <c r="AV11" s="650">
        <f t="shared" si="101"/>
        <v>36.869960363307143</v>
      </c>
      <c r="AW11" s="650">
        <f t="shared" si="101"/>
        <v>37.717969451663201</v>
      </c>
      <c r="AX11" s="650">
        <f t="shared" si="101"/>
        <v>38.585482749051458</v>
      </c>
      <c r="AY11" s="650">
        <f t="shared" si="101"/>
        <v>39.472948852279629</v>
      </c>
      <c r="AZ11" s="650">
        <f t="shared" si="101"/>
        <v>40.380826675882055</v>
      </c>
      <c r="BA11" s="650">
        <f t="shared" si="101"/>
        <v>41.309585689427344</v>
      </c>
      <c r="BB11" s="650">
        <f t="shared" si="101"/>
        <v>42.259706160284168</v>
      </c>
      <c r="BC11" s="650">
        <f t="shared" si="101"/>
        <v>43.231679401970695</v>
      </c>
      <c r="BD11" s="650">
        <f t="shared" si="101"/>
        <v>44.226008028216022</v>
      </c>
      <c r="BE11" s="650">
        <f t="shared" si="101"/>
        <v>45.243206212864983</v>
      </c>
      <c r="BF11" s="650">
        <f t="shared" si="101"/>
        <v>46.283799955760877</v>
      </c>
      <c r="BG11" s="650">
        <f t="shared" si="101"/>
        <v>47.348327354743368</v>
      </c>
      <c r="BH11" s="650">
        <f t="shared" si="101"/>
        <v>48.437338883902463</v>
      </c>
      <c r="BI11" s="650">
        <f t="shared" si="101"/>
        <v>49.551397678232213</v>
      </c>
      <c r="BJ11" s="650">
        <f t="shared" si="101"/>
        <v>50.691079824831547</v>
      </c>
      <c r="BK11" s="650">
        <f t="shared" si="101"/>
        <v>51.85697466080267</v>
      </c>
      <c r="BL11" s="650">
        <f t="shared" si="101"/>
        <v>53.049685078001126</v>
      </c>
      <c r="BM11" s="650">
        <f t="shared" si="101"/>
        <v>54.269827834795151</v>
      </c>
      <c r="BN11" s="650">
        <f t="shared" si="101"/>
        <v>55.518033874995439</v>
      </c>
      <c r="BQ11" t="s">
        <v>902</v>
      </c>
      <c r="BY11" s="27" t="s">
        <v>167</v>
      </c>
      <c r="CF11" s="40">
        <f>-AH35</f>
        <v>-0.12865927530736218</v>
      </c>
      <c r="CG11" s="40">
        <f>-AH42</f>
        <v>-1.0667776348869011</v>
      </c>
      <c r="CH11" s="40">
        <f>-AH58</f>
        <v>-3.2419440792861098</v>
      </c>
    </row>
    <row r="12" spans="1:89">
      <c r="B12" s="1" t="s">
        <v>903</v>
      </c>
      <c r="D12" s="24">
        <f>D11*('R&amp;S - Transportation'!$D$19*(D3-$D$3)/10)</f>
        <v>0</v>
      </c>
      <c r="E12" s="24">
        <f>E11*'R&amp;S - Transportation'!$B$9*'R&amp;S - Transportation'!$D$19*(E3-$D$3)/10</f>
        <v>0.57420992594183173</v>
      </c>
      <c r="F12" s="24">
        <f>F11*'R&amp;S - Transportation'!$B$9*'R&amp;S - Transportation'!$D$19*(F3-$D$3)/10</f>
        <v>1.1748335084769876</v>
      </c>
      <c r="G12" s="24">
        <f>G11*'R&amp;S - Transportation'!$B$9*'R&amp;S - Transportation'!$D$19*(G3-$D$3)/10</f>
        <v>1.8027820187579373</v>
      </c>
      <c r="H12" s="24">
        <f>H11*'R&amp;S - Transportation'!$B$9*'R&amp;S - Transportation'!$D$19*(H3-$D$3)/10</f>
        <v>2.4589946735858264</v>
      </c>
      <c r="I12" s="24">
        <f>I11*'R&amp;S - Transportation'!$B$9*'R&amp;S - Transportation'!$D$19*(I3-$D$3)/10</f>
        <v>3.1444394388478747</v>
      </c>
      <c r="J12" s="24">
        <f>J11*'R&amp;S - Transportation'!$B$9*'R&amp;S - Transportation'!$D$19*(J3-$D$3)/10</f>
        <v>3.8601138551296517</v>
      </c>
      <c r="K12" s="24">
        <f>K11*'R&amp;S - Transportation'!$B$9*'R&amp;S - Transportation'!$D$19*(K3-$D$3)/10</f>
        <v>4.6070458860972376</v>
      </c>
      <c r="L12" s="24">
        <f>L11*'R&amp;S - Transportation'!$B$9*'R&amp;S - Transportation'!$D$19*(L3-$D$3)/10</f>
        <v>5.3862947902599698</v>
      </c>
      <c r="M12" s="24">
        <f>M11*'R&amp;S - Transportation'!$B$9*'R&amp;S - Transportation'!$D$19*(M3-$D$3)/10</f>
        <v>6.1989520167404422</v>
      </c>
      <c r="N12" s="24">
        <f>N11*'R&amp;S - Transportation'!$B$9*'R&amp;S - Transportation'!$D$19*(N3-$D$3)/10</f>
        <v>7.0461421256949688</v>
      </c>
      <c r="O12" s="24">
        <f>O11*'R&amp;S - Transportation'!$B$9*('R&amp;S - Transportation'!$D$19+('R&amp;S - Transportation'!$D$20-'R&amp;S - Transportation'!$D$19)*(O3-$N$3)/10)</f>
        <v>9.0102542432324402</v>
      </c>
      <c r="P12" s="24">
        <f>P11*'R&amp;S - Transportation'!$B$9*('R&amp;S - Transportation'!$D$19+('R&amp;S - Transportation'!$D$20-'R&amp;S - Transportation'!$D$19)*(P3-$N$3)/10)</f>
        <v>11.060988108992143</v>
      </c>
      <c r="Q12" s="24">
        <f>Q11*'R&amp;S - Transportation'!$B$9*('R&amp;S - Transportation'!$D$19+('R&amp;S - Transportation'!$D$20-'R&amp;S - Transportation'!$D$19)*(Q3-$N$3)/10)</f>
        <v>13.201289308082119</v>
      </c>
      <c r="R12" s="24">
        <f>R11*'R&amp;S - Transportation'!$B$9*('R&amp;S - Transportation'!$D$19+('R&amp;S - Transportation'!$D$20-'R&amp;S - Transportation'!$D$19)*(R3-$N$3)/10)</f>
        <v>15.434193099620584</v>
      </c>
      <c r="S12" s="24">
        <f>S11*'R&amp;S - Transportation'!$B$9*('R&amp;S - Transportation'!$D$19+('R&amp;S - Transportation'!$D$20-'R&amp;S - Transportation'!$D$19)*(S3-$N$3)/10)</f>
        <v>17.76282698352583</v>
      </c>
      <c r="T12" s="24">
        <f>T11*'R&amp;S - Transportation'!$B$9*('R&amp;S - Transportation'!$D$19+('R&amp;S - Transportation'!$D$20-'R&amp;S - Transportation'!$D$19)*(T3-$N$3)/10)</f>
        <v>20.190413337941024</v>
      </c>
      <c r="U12" s="24">
        <f>U11*'R&amp;S - Transportation'!$B$9*('R&amp;S - Transportation'!$D$19+('R&amp;S - Transportation'!$D$20-'R&amp;S - Transportation'!$D$19)*(U3-$N$3)/10)</f>
        <v>22.720272129185041</v>
      </c>
      <c r="V12" s="24">
        <f>V11*'R&amp;S - Transportation'!$B$9*('R&amp;S - Transportation'!$D$19+('R&amp;S - Transportation'!$D$20-'R&amp;S - Transportation'!$D$19)*(V3-$N$3)/10)</f>
        <v>25.3558236961705</v>
      </c>
      <c r="W12" s="24">
        <f>W11*'R&amp;S - Transportation'!$B$9*('R&amp;S - Transportation'!$D$19+('R&amp;S - Transportation'!$D$20-'R&amp;S - Transportation'!$D$19)*(W3-$N$3)/10)</f>
        <v>28.100591611280947</v>
      </c>
      <c r="X12" s="24">
        <f>X11*'R&amp;S - Transportation'!$B$9*('R&amp;S - Transportation'!$D$19+('R&amp;S - Transportation'!$D$20-'R&amp;S - Transportation'!$D$19)*(X3-$N$3)/10)</f>
        <v>30.958205619751212</v>
      </c>
      <c r="Y12" s="24">
        <f>Y11*'R&amp;S - Transportation'!$B$9*('R&amp;S - Transportation'!$D$20+('R&amp;S - Transportation'!$D$21-'R&amp;S - Transportation'!$D$20)*(Y3-$X$3)/10)</f>
        <v>33.027540535391438</v>
      </c>
      <c r="Z12" s="24">
        <f>Z11*'R&amp;S - Transportation'!$B$9*('R&amp;S - Transportation'!$D$20+('R&amp;S - Transportation'!$D$21-'R&amp;S - Transportation'!$D$20)*(Z3-$X$3)/10)</f>
        <v>35.17568796637827</v>
      </c>
      <c r="AA12" s="24">
        <f>AA11*'R&amp;S - Transportation'!$B$9*('R&amp;S - Transportation'!$D$20+('R&amp;S - Transportation'!$D$21-'R&amp;S - Transportation'!$D$20)*(AA3-$X$3)/10)</f>
        <v>37.405178610247255</v>
      </c>
      <c r="AB12" s="24">
        <f>AB11*'R&amp;S - Transportation'!$B$9*('R&amp;S - Transportation'!$D$20+('R&amp;S - Transportation'!$D$21-'R&amp;S - Transportation'!$D$20)*(AB3-$X$3)/10)</f>
        <v>39.718617884800018</v>
      </c>
      <c r="AC12" s="24">
        <f>AC11*'R&amp;S - Transportation'!$B$9*('R&amp;S - Transportation'!$D$20+('R&amp;S - Transportation'!$D$21-'R&amp;S - Transportation'!$D$20)*(AC3-$X$3)/10)</f>
        <v>42.118688026497381</v>
      </c>
      <c r="AD12" s="24">
        <f>AD11*'R&amp;S - Transportation'!$B$9*('R&amp;S - Transportation'!$D$20+('R&amp;S - Transportation'!$D$21-'R&amp;S - Transportation'!$D$20)*(AD3-$X$3)/10)</f>
        <v>44.60815024585176</v>
      </c>
      <c r="AE12" s="24">
        <f>AE11*'R&amp;S - Transportation'!$B$9*('R&amp;S - Transportation'!$D$20+('R&amp;S - Transportation'!$D$21-'R&amp;S - Transportation'!$D$20)*(AE3-$X$3)/10)</f>
        <v>47.18984694133043</v>
      </c>
      <c r="AF12" s="24">
        <f>AF11*'R&amp;S - Transportation'!$B$9*('R&amp;S - Transportation'!$D$20+('R&amp;S - Transportation'!$D$21-'R&amp;S - Transportation'!$D$20)*(AF3-$X$3)/10)</f>
        <v>49.866703973321059</v>
      </c>
      <c r="AG12" s="24">
        <f>AG11*'R&amp;S - Transportation'!$B$9*('R&amp;S - Transportation'!$D$20+('R&amp;S - Transportation'!$D$21-'R&amp;S - Transportation'!$D$20)*(AG3-$X$3)/10)</f>
        <v>52.641732999751298</v>
      </c>
      <c r="AH12" s="24">
        <f>AH11*'R&amp;S - Transportation'!$B$9*('R&amp;S - Transportation'!$D$20+('R&amp;S - Transportation'!$D$21-'R&amp;S - Transportation'!$D$20)*(AH3-$X$3)/10)</f>
        <v>55.518033874995439</v>
      </c>
      <c r="AI12" s="24"/>
      <c r="AJ12" s="24">
        <f t="shared" ref="AJ12:AJ14" si="102">D12</f>
        <v>0</v>
      </c>
      <c r="AK12" s="24">
        <f t="shared" ref="AK12:AK14" si="103">E12</f>
        <v>0.57420992594183173</v>
      </c>
      <c r="AL12" s="24">
        <f t="shared" ref="AL12:AL14" si="104">F12</f>
        <v>1.1748335084769876</v>
      </c>
      <c r="AM12" s="24">
        <f t="shared" ref="AM12:AM14" si="105">G12</f>
        <v>1.8027820187579373</v>
      </c>
      <c r="AN12" s="24">
        <f t="shared" ref="AN12:AN14" si="106">H12</f>
        <v>2.4589946735858264</v>
      </c>
      <c r="AO12" s="24">
        <f t="shared" ref="AO12:AO14" si="107">I12</f>
        <v>3.1444394388478747</v>
      </c>
      <c r="AP12" s="24">
        <f t="shared" ref="AP12:AP14" si="108">J12</f>
        <v>3.8601138551296517</v>
      </c>
      <c r="AQ12" s="24">
        <f t="shared" ref="AQ12:AQ14" si="109">K12</f>
        <v>4.6070458860972376</v>
      </c>
      <c r="AR12" s="24">
        <f t="shared" ref="AR12:AR14" si="110">L12</f>
        <v>5.3862947902599698</v>
      </c>
      <c r="AS12" s="24">
        <f t="shared" ref="AS12:AS14" si="111">M12</f>
        <v>6.1989520167404422</v>
      </c>
      <c r="AT12" s="24">
        <f t="shared" ref="AT12:AT14" si="112">N12</f>
        <v>7.0461421256949688</v>
      </c>
      <c r="AU12" s="24">
        <f t="shared" ref="AU12:AU14" si="113">O12</f>
        <v>9.0102542432324402</v>
      </c>
      <c r="AV12" s="24">
        <f t="shared" ref="AV12:AV14" si="114">P12</f>
        <v>11.060988108992143</v>
      </c>
      <c r="AW12" s="24">
        <f t="shared" ref="AW12:AW14" si="115">Q12</f>
        <v>13.201289308082119</v>
      </c>
      <c r="AX12" s="24">
        <f t="shared" ref="AX12:AX14" si="116">R12</f>
        <v>15.434193099620584</v>
      </c>
      <c r="AY12" s="24">
        <f t="shared" ref="AY12:AY14" si="117">S12</f>
        <v>17.76282698352583</v>
      </c>
      <c r="AZ12" s="24">
        <f t="shared" ref="AZ12:AZ14" si="118">T12</f>
        <v>20.190413337941024</v>
      </c>
      <c r="BA12" s="24">
        <f t="shared" ref="BA12:BA14" si="119">U12</f>
        <v>22.720272129185041</v>
      </c>
      <c r="BB12" s="24">
        <f t="shared" ref="BB12:BB14" si="120">V12</f>
        <v>25.3558236961705</v>
      </c>
      <c r="BC12" s="24">
        <f t="shared" ref="BC12:BC14" si="121">W12</f>
        <v>28.100591611280947</v>
      </c>
      <c r="BD12" s="24">
        <f t="shared" ref="BD12:BD14" si="122">X12</f>
        <v>30.958205619751212</v>
      </c>
      <c r="BE12" s="24">
        <f t="shared" ref="BE12:BE14" si="123">Y12</f>
        <v>33.027540535391438</v>
      </c>
      <c r="BF12" s="24">
        <f t="shared" ref="BF12:BF14" si="124">Z12</f>
        <v>35.17568796637827</v>
      </c>
      <c r="BG12" s="24">
        <f t="shared" ref="BG12:BG14" si="125">AA12</f>
        <v>37.405178610247255</v>
      </c>
      <c r="BH12" s="24">
        <f t="shared" ref="BH12:BH14" si="126">AB12</f>
        <v>39.718617884800018</v>
      </c>
      <c r="BI12" s="24">
        <f t="shared" ref="BI12:BI14" si="127">AC12</f>
        <v>42.118688026497381</v>
      </c>
      <c r="BJ12" s="24">
        <f t="shared" ref="BJ12:BJ14" si="128">AD12</f>
        <v>44.60815024585176</v>
      </c>
      <c r="BK12" s="24">
        <f t="shared" ref="BK12:BK14" si="129">AE12</f>
        <v>47.18984694133043</v>
      </c>
      <c r="BL12" s="24">
        <f t="shared" ref="BL12:BL14" si="130">AF12</f>
        <v>49.866703973321059</v>
      </c>
      <c r="BM12" s="24">
        <f t="shared" ref="BM12:BM14" si="131">AG12</f>
        <v>52.641732999751298</v>
      </c>
      <c r="BN12" s="24">
        <f t="shared" ref="BN12:BN14" si="132">AH12</f>
        <v>55.518033874995439</v>
      </c>
      <c r="BQ12" t="s">
        <v>904</v>
      </c>
      <c r="BR12" s="41">
        <f>AH6-D6</f>
        <v>72.182590440840244</v>
      </c>
      <c r="BY12" s="27" t="s">
        <v>578</v>
      </c>
      <c r="CA12" s="512">
        <f>AH6-D6</f>
        <v>72.182590440840244</v>
      </c>
      <c r="CC12" s="511">
        <f>65</f>
        <v>65</v>
      </c>
      <c r="CI12" s="41">
        <f>AH65</f>
        <v>2847.1586808909951</v>
      </c>
    </row>
    <row r="13" spans="1:89">
      <c r="B13" s="1" t="s">
        <v>905</v>
      </c>
      <c r="D13" s="24">
        <f>D11-D12</f>
        <v>28.065001267929215</v>
      </c>
      <c r="E13" s="24">
        <f t="shared" ref="E13:AH13" si="133">E11-E12</f>
        <v>28.136286371149751</v>
      </c>
      <c r="F13" s="24">
        <f t="shared" si="133"/>
        <v>28.196004203447703</v>
      </c>
      <c r="G13" s="24">
        <f t="shared" si="133"/>
        <v>28.243584960541014</v>
      </c>
      <c r="H13" s="24">
        <f t="shared" si="133"/>
        <v>28.278438746237001</v>
      </c>
      <c r="I13" s="24">
        <f t="shared" si="133"/>
        <v>28.29995494963087</v>
      </c>
      <c r="J13" s="24">
        <f t="shared" si="133"/>
        <v>28.307501604284109</v>
      </c>
      <c r="K13" s="24">
        <f t="shared" si="133"/>
        <v>28.30042472888303</v>
      </c>
      <c r="L13" s="24">
        <f t="shared" si="133"/>
        <v>28.278047648864838</v>
      </c>
      <c r="M13" s="24">
        <f t="shared" si="133"/>
        <v>28.239670298484235</v>
      </c>
      <c r="N13" s="24">
        <f t="shared" si="133"/>
        <v>28.184568502779875</v>
      </c>
      <c r="O13" s="24">
        <f t="shared" si="133"/>
        <v>27.030762729697322</v>
      </c>
      <c r="P13" s="24">
        <f t="shared" si="133"/>
        <v>25.808972254315002</v>
      </c>
      <c r="Q13" s="24">
        <f t="shared" si="133"/>
        <v>24.516680143581084</v>
      </c>
      <c r="R13" s="24">
        <f t="shared" si="133"/>
        <v>23.151289649430872</v>
      </c>
      <c r="S13" s="24">
        <f t="shared" si="133"/>
        <v>21.710121868753799</v>
      </c>
      <c r="T13" s="24">
        <f t="shared" si="133"/>
        <v>20.190413337941031</v>
      </c>
      <c r="U13" s="24">
        <f t="shared" si="133"/>
        <v>18.589313560242303</v>
      </c>
      <c r="V13" s="24">
        <f t="shared" si="133"/>
        <v>16.903882464113668</v>
      </c>
      <c r="W13" s="24">
        <f t="shared" si="133"/>
        <v>15.131087790689747</v>
      </c>
      <c r="X13" s="24">
        <f t="shared" si="133"/>
        <v>13.26780240846481</v>
      </c>
      <c r="Y13" s="24">
        <f t="shared" si="133"/>
        <v>12.215665677473545</v>
      </c>
      <c r="Z13" s="24">
        <f t="shared" si="133"/>
        <v>11.108111989382607</v>
      </c>
      <c r="AA13" s="24">
        <f t="shared" si="133"/>
        <v>9.9431487444961135</v>
      </c>
      <c r="AB13" s="24">
        <f t="shared" si="133"/>
        <v>8.7187209991024446</v>
      </c>
      <c r="AC13" s="24">
        <f t="shared" si="133"/>
        <v>7.4327096517348323</v>
      </c>
      <c r="AD13" s="24">
        <f t="shared" si="133"/>
        <v>6.0829295789797868</v>
      </c>
      <c r="AE13" s="24">
        <f t="shared" si="133"/>
        <v>4.6671277194722407</v>
      </c>
      <c r="AF13" s="24">
        <f t="shared" si="133"/>
        <v>3.1829811046800671</v>
      </c>
      <c r="AG13" s="24">
        <f t="shared" si="133"/>
        <v>1.6280948350438535</v>
      </c>
      <c r="AH13" s="24">
        <f t="shared" si="133"/>
        <v>0</v>
      </c>
      <c r="AI13" s="24"/>
      <c r="AJ13" s="24">
        <f t="shared" si="102"/>
        <v>28.065001267929215</v>
      </c>
      <c r="AK13" s="24">
        <f t="shared" si="103"/>
        <v>28.136286371149751</v>
      </c>
      <c r="AL13" s="24">
        <f t="shared" si="104"/>
        <v>28.196004203447703</v>
      </c>
      <c r="AM13" s="24">
        <f t="shared" si="105"/>
        <v>28.243584960541014</v>
      </c>
      <c r="AN13" s="24">
        <f t="shared" si="106"/>
        <v>28.278438746237001</v>
      </c>
      <c r="AO13" s="24">
        <f t="shared" si="107"/>
        <v>28.29995494963087</v>
      </c>
      <c r="AP13" s="24">
        <f t="shared" si="108"/>
        <v>28.307501604284109</v>
      </c>
      <c r="AQ13" s="24">
        <f t="shared" si="109"/>
        <v>28.30042472888303</v>
      </c>
      <c r="AR13" s="24">
        <f t="shared" si="110"/>
        <v>28.278047648864838</v>
      </c>
      <c r="AS13" s="24">
        <f t="shared" si="111"/>
        <v>28.239670298484235</v>
      </c>
      <c r="AT13" s="24">
        <f t="shared" si="112"/>
        <v>28.184568502779875</v>
      </c>
      <c r="AU13" s="24">
        <f t="shared" si="113"/>
        <v>27.030762729697322</v>
      </c>
      <c r="AV13" s="24">
        <f t="shared" si="114"/>
        <v>25.808972254315002</v>
      </c>
      <c r="AW13" s="24">
        <f t="shared" si="115"/>
        <v>24.516680143581084</v>
      </c>
      <c r="AX13" s="24">
        <f t="shared" si="116"/>
        <v>23.151289649430872</v>
      </c>
      <c r="AY13" s="24">
        <f t="shared" si="117"/>
        <v>21.710121868753799</v>
      </c>
      <c r="AZ13" s="24">
        <f t="shared" si="118"/>
        <v>20.190413337941031</v>
      </c>
      <c r="BA13" s="24">
        <f t="shared" si="119"/>
        <v>18.589313560242303</v>
      </c>
      <c r="BB13" s="24">
        <f t="shared" si="120"/>
        <v>16.903882464113668</v>
      </c>
      <c r="BC13" s="24">
        <f t="shared" si="121"/>
        <v>15.131087790689747</v>
      </c>
      <c r="BD13" s="24">
        <f t="shared" si="122"/>
        <v>13.26780240846481</v>
      </c>
      <c r="BE13" s="24">
        <f t="shared" si="123"/>
        <v>12.215665677473545</v>
      </c>
      <c r="BF13" s="24">
        <f t="shared" si="124"/>
        <v>11.108111989382607</v>
      </c>
      <c r="BG13" s="24">
        <f t="shared" si="125"/>
        <v>9.9431487444961135</v>
      </c>
      <c r="BH13" s="24">
        <f t="shared" si="126"/>
        <v>8.7187209991024446</v>
      </c>
      <c r="BI13" s="24">
        <f t="shared" si="127"/>
        <v>7.4327096517348323</v>
      </c>
      <c r="BJ13" s="24">
        <f t="shared" si="128"/>
        <v>6.0829295789797868</v>
      </c>
      <c r="BK13" s="24">
        <f t="shared" si="129"/>
        <v>4.6671277194722407</v>
      </c>
      <c r="BL13" s="24">
        <f t="shared" si="130"/>
        <v>3.1829811046800671</v>
      </c>
      <c r="BM13" s="24">
        <f t="shared" si="131"/>
        <v>1.6280948350438535</v>
      </c>
      <c r="BN13" s="24">
        <f t="shared" si="132"/>
        <v>0</v>
      </c>
    </row>
    <row r="14" spans="1:89">
      <c r="A14" s="1" t="s">
        <v>906</v>
      </c>
      <c r="C14" s="1"/>
      <c r="D14" s="25">
        <f t="shared" ref="D14:AH14" si="134">D6-D12</f>
        <v>70.960266702016895</v>
      </c>
      <c r="E14" s="25">
        <f t="shared" si="134"/>
        <v>74.814660528239799</v>
      </c>
      <c r="F14" s="25">
        <f t="shared" si="134"/>
        <v>78.642640697869368</v>
      </c>
      <c r="G14" s="25">
        <f t="shared" si="134"/>
        <v>82.44329593975317</v>
      </c>
      <c r="H14" s="25">
        <f t="shared" si="134"/>
        <v>86.215687037090035</v>
      </c>
      <c r="I14" s="25">
        <f t="shared" si="134"/>
        <v>89.958846023992734</v>
      </c>
      <c r="J14" s="25">
        <f t="shared" si="134"/>
        <v>93.671775359875667</v>
      </c>
      <c r="K14" s="25">
        <f t="shared" si="134"/>
        <v>97.353447081072844</v>
      </c>
      <c r="L14" s="25">
        <f t="shared" si="134"/>
        <v>101.00280192907483</v>
      </c>
      <c r="M14" s="25">
        <f t="shared" si="134"/>
        <v>104.6187484547591</v>
      </c>
      <c r="N14" s="25">
        <f t="shared" si="134"/>
        <v>108.20016209796931</v>
      </c>
      <c r="O14" s="25">
        <f t="shared" si="134"/>
        <v>107.98087762639149</v>
      </c>
      <c r="P14" s="25">
        <f t="shared" si="134"/>
        <v>107.67497140659142</v>
      </c>
      <c r="Q14" s="25">
        <f t="shared" si="134"/>
        <v>107.27949785346109</v>
      </c>
      <c r="R14" s="25">
        <f t="shared" si="134"/>
        <v>106.79142170788228</v>
      </c>
      <c r="S14" s="25">
        <f t="shared" si="134"/>
        <v>106.20761546993668</v>
      </c>
      <c r="T14" s="25">
        <f t="shared" si="134"/>
        <v>105.32485676148114</v>
      </c>
      <c r="U14" s="25">
        <f t="shared" si="134"/>
        <v>104.33982561619675</v>
      </c>
      <c r="V14" s="25">
        <f t="shared" si="134"/>
        <v>103.24910169517095</v>
      </c>
      <c r="W14" s="25">
        <f t="shared" si="134"/>
        <v>102.04916142602011</v>
      </c>
      <c r="X14" s="25">
        <f t="shared" si="134"/>
        <v>100.7363750635095</v>
      </c>
      <c r="Y14" s="25">
        <f t="shared" si="134"/>
        <v>99.811867793828924</v>
      </c>
      <c r="Z14" s="25">
        <f t="shared" si="134"/>
        <v>98.80854800880175</v>
      </c>
      <c r="AA14" s="25">
        <f t="shared" si="134"/>
        <v>97.723885010892388</v>
      </c>
      <c r="AB14" s="25">
        <f t="shared" si="134"/>
        <v>96.555273382299276</v>
      </c>
      <c r="AC14" s="25">
        <f t="shared" si="134"/>
        <v>95.300030886561558</v>
      </c>
      <c r="AD14" s="25">
        <f t="shared" si="134"/>
        <v>93.95539631316683</v>
      </c>
      <c r="AE14" s="25">
        <f t="shared" si="134"/>
        <v>92.518527263647783</v>
      </c>
      <c r="AF14" s="25">
        <f t="shared" si="134"/>
        <v>90.986497877616813</v>
      </c>
      <c r="AG14" s="25">
        <f t="shared" si="134"/>
        <v>89.356296497146218</v>
      </c>
      <c r="AH14" s="25">
        <f t="shared" si="134"/>
        <v>87.6248232678617</v>
      </c>
      <c r="AI14" s="24"/>
      <c r="AJ14" s="25">
        <f t="shared" si="102"/>
        <v>70.960266702016895</v>
      </c>
      <c r="AK14" s="25">
        <f t="shared" si="103"/>
        <v>74.814660528239799</v>
      </c>
      <c r="AL14" s="25">
        <f t="shared" si="104"/>
        <v>78.642640697869368</v>
      </c>
      <c r="AM14" s="25">
        <f t="shared" si="105"/>
        <v>82.44329593975317</v>
      </c>
      <c r="AN14" s="25">
        <f t="shared" si="106"/>
        <v>86.215687037090035</v>
      </c>
      <c r="AO14" s="25">
        <f t="shared" si="107"/>
        <v>89.958846023992734</v>
      </c>
      <c r="AP14" s="25">
        <f t="shared" si="108"/>
        <v>93.671775359875667</v>
      </c>
      <c r="AQ14" s="25">
        <f t="shared" si="109"/>
        <v>97.353447081072844</v>
      </c>
      <c r="AR14" s="25">
        <f t="shared" si="110"/>
        <v>101.00280192907483</v>
      </c>
      <c r="AS14" s="25">
        <f t="shared" si="111"/>
        <v>104.6187484547591</v>
      </c>
      <c r="AT14" s="25">
        <f t="shared" si="112"/>
        <v>108.20016209796931</v>
      </c>
      <c r="AU14" s="25">
        <f t="shared" si="113"/>
        <v>107.98087762639149</v>
      </c>
      <c r="AV14" s="25">
        <f t="shared" si="114"/>
        <v>107.67497140659142</v>
      </c>
      <c r="AW14" s="25">
        <f t="shared" si="115"/>
        <v>107.27949785346109</v>
      </c>
      <c r="AX14" s="25">
        <f t="shared" si="116"/>
        <v>106.79142170788228</v>
      </c>
      <c r="AY14" s="25">
        <f t="shared" si="117"/>
        <v>106.20761546993668</v>
      </c>
      <c r="AZ14" s="25">
        <f t="shared" si="118"/>
        <v>105.32485676148114</v>
      </c>
      <c r="BA14" s="25">
        <f t="shared" si="119"/>
        <v>104.33982561619675</v>
      </c>
      <c r="BB14" s="25">
        <f t="shared" si="120"/>
        <v>103.24910169517095</v>
      </c>
      <c r="BC14" s="25">
        <f t="shared" si="121"/>
        <v>102.04916142602011</v>
      </c>
      <c r="BD14" s="25">
        <f t="shared" si="122"/>
        <v>100.7363750635095</v>
      </c>
      <c r="BE14" s="25">
        <f t="shared" si="123"/>
        <v>99.811867793828924</v>
      </c>
      <c r="BF14" s="25">
        <f t="shared" si="124"/>
        <v>98.80854800880175</v>
      </c>
      <c r="BG14" s="25">
        <f t="shared" si="125"/>
        <v>97.723885010892388</v>
      </c>
      <c r="BH14" s="25">
        <f t="shared" si="126"/>
        <v>96.555273382299276</v>
      </c>
      <c r="BI14" s="25">
        <f t="shared" si="127"/>
        <v>95.300030886561558</v>
      </c>
      <c r="BJ14" s="25">
        <f t="shared" si="128"/>
        <v>93.95539631316683</v>
      </c>
      <c r="BK14" s="25">
        <f t="shared" si="129"/>
        <v>92.518527263647783</v>
      </c>
      <c r="BL14" s="25">
        <f t="shared" si="130"/>
        <v>90.986497877616813</v>
      </c>
      <c r="BM14" s="25">
        <f t="shared" si="131"/>
        <v>89.356296497146218</v>
      </c>
      <c r="BN14" s="25">
        <f t="shared" si="132"/>
        <v>87.6248232678617</v>
      </c>
      <c r="BQ14" s="1" t="s">
        <v>907</v>
      </c>
      <c r="BR14" t="s">
        <v>908</v>
      </c>
      <c r="BS14" s="41">
        <f>AH5</f>
        <v>38.857142857142854</v>
      </c>
    </row>
    <row r="15" spans="1:89" s="62" customFormat="1">
      <c r="A15" s="684"/>
      <c r="B15" s="55" t="s">
        <v>885</v>
      </c>
      <c r="C15" s="56" t="s">
        <v>166</v>
      </c>
      <c r="D15" s="650">
        <f t="shared" ref="D15:AH15" si="135">D7</f>
        <v>7.192774760698633</v>
      </c>
      <c r="E15" s="650">
        <f t="shared" si="135"/>
        <v>7.6416731481225399</v>
      </c>
      <c r="F15" s="650">
        <f t="shared" si="135"/>
        <v>8.0905715355464469</v>
      </c>
      <c r="G15" s="650">
        <f t="shared" si="135"/>
        <v>8.5394699229703548</v>
      </c>
      <c r="H15" s="650">
        <f t="shared" si="135"/>
        <v>8.9883683103942644</v>
      </c>
      <c r="I15" s="650">
        <f t="shared" si="135"/>
        <v>9.4372666978181723</v>
      </c>
      <c r="J15" s="650">
        <f t="shared" si="135"/>
        <v>9.8861650852420784</v>
      </c>
      <c r="K15" s="650">
        <f t="shared" si="135"/>
        <v>10.335063472665988</v>
      </c>
      <c r="L15" s="650">
        <f t="shared" si="135"/>
        <v>10.783961860089894</v>
      </c>
      <c r="M15" s="650">
        <f t="shared" si="135"/>
        <v>11.2328602475138</v>
      </c>
      <c r="N15" s="650">
        <f t="shared" si="135"/>
        <v>11.68175863493771</v>
      </c>
      <c r="O15" s="650">
        <f t="shared" si="135"/>
        <v>11.858620318763244</v>
      </c>
      <c r="P15" s="650">
        <f t="shared" si="135"/>
        <v>12.035482002588779</v>
      </c>
      <c r="Q15" s="650">
        <f t="shared" si="135"/>
        <v>12.212343686414314</v>
      </c>
      <c r="R15" s="650">
        <f t="shared" si="135"/>
        <v>12.389205370239848</v>
      </c>
      <c r="S15" s="650">
        <f t="shared" si="135"/>
        <v>12.566067054065384</v>
      </c>
      <c r="T15" s="650">
        <f t="shared" si="135"/>
        <v>12.722656055458923</v>
      </c>
      <c r="U15" s="650">
        <f t="shared" si="135"/>
        <v>12.87924505685246</v>
      </c>
      <c r="V15" s="650">
        <f t="shared" si="135"/>
        <v>13.035834058246001</v>
      </c>
      <c r="W15" s="650">
        <f t="shared" si="135"/>
        <v>13.192423059639536</v>
      </c>
      <c r="X15" s="650">
        <f t="shared" si="135"/>
        <v>13.349012061033076</v>
      </c>
      <c r="Y15" s="650">
        <f t="shared" si="135"/>
        <v>13.465055697562624</v>
      </c>
      <c r="Z15" s="650">
        <f t="shared" si="135"/>
        <v>13.581099334092171</v>
      </c>
      <c r="AA15" s="650">
        <f t="shared" si="135"/>
        <v>13.697142970621716</v>
      </c>
      <c r="AB15" s="650">
        <f t="shared" si="135"/>
        <v>13.813186607151264</v>
      </c>
      <c r="AC15" s="650">
        <f t="shared" si="135"/>
        <v>13.929230243680811</v>
      </c>
      <c r="AD15" s="650">
        <f t="shared" si="135"/>
        <v>14.04527388021036</v>
      </c>
      <c r="AE15" s="650">
        <f t="shared" si="135"/>
        <v>14.161317516739903</v>
      </c>
      <c r="AF15" s="650">
        <f t="shared" si="135"/>
        <v>14.277361153269451</v>
      </c>
      <c r="AG15" s="650">
        <f t="shared" si="135"/>
        <v>14.393404789798998</v>
      </c>
      <c r="AH15" s="650">
        <f t="shared" si="135"/>
        <v>14.509448426328543</v>
      </c>
      <c r="AI15" s="650"/>
      <c r="AJ15" s="650">
        <f t="shared" ref="AJ15:AJ17" si="136">D15</f>
        <v>7.192774760698633</v>
      </c>
      <c r="AK15" s="650">
        <f t="shared" ref="AK15:AK18" si="137">E15</f>
        <v>7.6416731481225399</v>
      </c>
      <c r="AL15" s="650">
        <f t="shared" ref="AL15:AL18" si="138">F15</f>
        <v>8.0905715355464469</v>
      </c>
      <c r="AM15" s="650">
        <f t="shared" ref="AM15:AM18" si="139">G15</f>
        <v>8.5394699229703548</v>
      </c>
      <c r="AN15" s="650">
        <f t="shared" ref="AN15:AN18" si="140">H15</f>
        <v>8.9883683103942644</v>
      </c>
      <c r="AO15" s="650">
        <f t="shared" ref="AO15:AO18" si="141">I15</f>
        <v>9.4372666978181723</v>
      </c>
      <c r="AP15" s="650">
        <f t="shared" ref="AP15:AP18" si="142">J15</f>
        <v>9.8861650852420784</v>
      </c>
      <c r="AQ15" s="650">
        <f t="shared" ref="AQ15:AQ18" si="143">K15</f>
        <v>10.335063472665988</v>
      </c>
      <c r="AR15" s="650">
        <f t="shared" ref="AR15:AR18" si="144">L15</f>
        <v>10.783961860089894</v>
      </c>
      <c r="AS15" s="650">
        <f t="shared" ref="AS15:AS18" si="145">M15</f>
        <v>11.2328602475138</v>
      </c>
      <c r="AT15" s="650">
        <f t="shared" ref="AT15:AT18" si="146">N15</f>
        <v>11.68175863493771</v>
      </c>
      <c r="AU15" s="650">
        <f t="shared" ref="AU15:AU18" si="147">O15</f>
        <v>11.858620318763244</v>
      </c>
      <c r="AV15" s="650">
        <f t="shared" ref="AV15:AV18" si="148">P15</f>
        <v>12.035482002588779</v>
      </c>
      <c r="AW15" s="650">
        <f t="shared" ref="AW15:AW18" si="149">Q15</f>
        <v>12.212343686414314</v>
      </c>
      <c r="AX15" s="650">
        <f t="shared" ref="AX15:AX18" si="150">R15</f>
        <v>12.389205370239848</v>
      </c>
      <c r="AY15" s="650">
        <f t="shared" ref="AY15:AY18" si="151">S15</f>
        <v>12.566067054065384</v>
      </c>
      <c r="AZ15" s="650">
        <f t="shared" ref="AZ15:AZ18" si="152">T15</f>
        <v>12.722656055458923</v>
      </c>
      <c r="BA15" s="650">
        <f t="shared" ref="BA15:BA18" si="153">U15</f>
        <v>12.87924505685246</v>
      </c>
      <c r="BB15" s="650">
        <f t="shared" ref="BB15:BB18" si="154">V15</f>
        <v>13.035834058246001</v>
      </c>
      <c r="BC15" s="650">
        <f t="shared" ref="BC15:BC18" si="155">W15</f>
        <v>13.192423059639536</v>
      </c>
      <c r="BD15" s="650">
        <f t="shared" ref="BD15:BD18" si="156">X15</f>
        <v>13.349012061033076</v>
      </c>
      <c r="BE15" s="650">
        <f t="shared" ref="BE15:BE18" si="157">Y15</f>
        <v>13.465055697562624</v>
      </c>
      <c r="BF15" s="650">
        <f t="shared" ref="BF15:BF18" si="158">Z15</f>
        <v>13.581099334092171</v>
      </c>
      <c r="BG15" s="650">
        <f t="shared" ref="BG15:BG18" si="159">AA15</f>
        <v>13.697142970621716</v>
      </c>
      <c r="BH15" s="650">
        <f t="shared" ref="BH15:BH18" si="160">AB15</f>
        <v>13.813186607151264</v>
      </c>
      <c r="BI15" s="650">
        <f t="shared" ref="BI15:BI18" si="161">AC15</f>
        <v>13.929230243680811</v>
      </c>
      <c r="BJ15" s="650">
        <f t="shared" ref="BJ15:BJ18" si="162">AD15</f>
        <v>14.04527388021036</v>
      </c>
      <c r="BK15" s="650">
        <f t="shared" ref="BK15:BK18" si="163">AE15</f>
        <v>14.161317516739903</v>
      </c>
      <c r="BL15" s="650">
        <f t="shared" ref="BL15:BL18" si="164">AF15</f>
        <v>14.277361153269451</v>
      </c>
      <c r="BM15" s="650">
        <f t="shared" ref="BM15:BM18" si="165">AG15</f>
        <v>14.393404789798998</v>
      </c>
      <c r="BN15" s="650">
        <f t="shared" ref="BN15:BN18" si="166">AH15</f>
        <v>14.509448426328543</v>
      </c>
    </row>
    <row r="16" spans="1:89" ht="59">
      <c r="A16" s="685"/>
      <c r="B16" s="1" t="s">
        <v>1182</v>
      </c>
      <c r="C16" s="51" t="s">
        <v>166</v>
      </c>
      <c r="D16" s="24">
        <f t="shared" ref="D16:AH16" si="167">D8-D12</f>
        <v>28.065001267929215</v>
      </c>
      <c r="E16" s="24">
        <f t="shared" si="167"/>
        <v>28.136286371149751</v>
      </c>
      <c r="F16" s="24">
        <f t="shared" si="167"/>
        <v>28.196004203447703</v>
      </c>
      <c r="G16" s="24">
        <f t="shared" si="167"/>
        <v>28.243584960541014</v>
      </c>
      <c r="H16" s="24">
        <f t="shared" si="167"/>
        <v>28.278438746237001</v>
      </c>
      <c r="I16" s="24">
        <f t="shared" si="167"/>
        <v>28.29995494963087</v>
      </c>
      <c r="J16" s="24">
        <f t="shared" si="167"/>
        <v>28.307501604284109</v>
      </c>
      <c r="K16" s="24">
        <f t="shared" si="167"/>
        <v>28.30042472888303</v>
      </c>
      <c r="L16" s="24">
        <f t="shared" si="167"/>
        <v>28.278047648864838</v>
      </c>
      <c r="M16" s="24">
        <f t="shared" si="167"/>
        <v>28.239670298484235</v>
      </c>
      <c r="N16" s="24">
        <f t="shared" si="167"/>
        <v>28.184568502779875</v>
      </c>
      <c r="O16" s="24">
        <f t="shared" si="167"/>
        <v>27.030762729697322</v>
      </c>
      <c r="P16" s="24">
        <f t="shared" si="167"/>
        <v>25.808972254315002</v>
      </c>
      <c r="Q16" s="24">
        <f t="shared" si="167"/>
        <v>24.516680143581084</v>
      </c>
      <c r="R16" s="24">
        <f t="shared" si="167"/>
        <v>23.151289649430872</v>
      </c>
      <c r="S16" s="24">
        <f t="shared" si="167"/>
        <v>21.710121868753799</v>
      </c>
      <c r="T16" s="24">
        <f t="shared" si="167"/>
        <v>20.190413337941031</v>
      </c>
      <c r="U16" s="24">
        <f t="shared" si="167"/>
        <v>18.589313560242303</v>
      </c>
      <c r="V16" s="24">
        <f t="shared" si="167"/>
        <v>16.903882464113668</v>
      </c>
      <c r="W16" s="24">
        <f t="shared" si="167"/>
        <v>15.131087790689747</v>
      </c>
      <c r="X16" s="24">
        <f t="shared" si="167"/>
        <v>13.26780240846481</v>
      </c>
      <c r="Y16" s="24">
        <f t="shared" si="167"/>
        <v>12.215665677473545</v>
      </c>
      <c r="Z16" s="24">
        <f t="shared" si="167"/>
        <v>11.108111989382607</v>
      </c>
      <c r="AA16" s="24">
        <f t="shared" si="167"/>
        <v>9.9431487444961135</v>
      </c>
      <c r="AB16" s="24">
        <f t="shared" si="167"/>
        <v>8.7187209991024446</v>
      </c>
      <c r="AC16" s="24">
        <f t="shared" si="167"/>
        <v>7.4327096517348323</v>
      </c>
      <c r="AD16" s="24">
        <f t="shared" si="167"/>
        <v>6.0829295789797868</v>
      </c>
      <c r="AE16" s="24">
        <f t="shared" si="167"/>
        <v>4.6671277194722407</v>
      </c>
      <c r="AF16" s="24">
        <f t="shared" si="167"/>
        <v>3.1829811046800671</v>
      </c>
      <c r="AG16" s="24">
        <f t="shared" si="167"/>
        <v>1.6280948350438535</v>
      </c>
      <c r="AH16" s="24">
        <f t="shared" si="167"/>
        <v>0</v>
      </c>
      <c r="AI16" s="24"/>
      <c r="AJ16" s="24">
        <f t="shared" si="136"/>
        <v>28.065001267929215</v>
      </c>
      <c r="AK16" s="24">
        <f t="shared" si="137"/>
        <v>28.136286371149751</v>
      </c>
      <c r="AL16" s="24">
        <f t="shared" si="138"/>
        <v>28.196004203447703</v>
      </c>
      <c r="AM16" s="24">
        <f t="shared" si="139"/>
        <v>28.243584960541014</v>
      </c>
      <c r="AN16" s="24">
        <f t="shared" si="140"/>
        <v>28.278438746237001</v>
      </c>
      <c r="AO16" s="24">
        <f t="shared" si="141"/>
        <v>28.29995494963087</v>
      </c>
      <c r="AP16" s="24">
        <f t="shared" si="142"/>
        <v>28.307501604284109</v>
      </c>
      <c r="AQ16" s="24">
        <f t="shared" si="143"/>
        <v>28.30042472888303</v>
      </c>
      <c r="AR16" s="24">
        <f t="shared" si="144"/>
        <v>28.278047648864838</v>
      </c>
      <c r="AS16" s="24">
        <f t="shared" si="145"/>
        <v>28.239670298484235</v>
      </c>
      <c r="AT16" s="24">
        <f t="shared" si="146"/>
        <v>28.184568502779875</v>
      </c>
      <c r="AU16" s="24">
        <f t="shared" si="147"/>
        <v>27.030762729697322</v>
      </c>
      <c r="AV16" s="24">
        <f t="shared" si="148"/>
        <v>25.808972254315002</v>
      </c>
      <c r="AW16" s="24">
        <f t="shared" si="149"/>
        <v>24.516680143581084</v>
      </c>
      <c r="AX16" s="24">
        <f t="shared" si="150"/>
        <v>23.151289649430872</v>
      </c>
      <c r="AY16" s="24">
        <f t="shared" si="151"/>
        <v>21.710121868753799</v>
      </c>
      <c r="AZ16" s="24">
        <f t="shared" si="152"/>
        <v>20.190413337941031</v>
      </c>
      <c r="BA16" s="24">
        <f t="shared" si="153"/>
        <v>18.589313560242303</v>
      </c>
      <c r="BB16" s="24">
        <f t="shared" si="154"/>
        <v>16.903882464113668</v>
      </c>
      <c r="BC16" s="24">
        <f t="shared" si="155"/>
        <v>15.131087790689747</v>
      </c>
      <c r="BD16" s="24">
        <f t="shared" si="156"/>
        <v>13.26780240846481</v>
      </c>
      <c r="BE16" s="24">
        <f t="shared" si="157"/>
        <v>12.215665677473545</v>
      </c>
      <c r="BF16" s="24">
        <f t="shared" si="158"/>
        <v>11.108111989382607</v>
      </c>
      <c r="BG16" s="24">
        <f t="shared" si="159"/>
        <v>9.9431487444961135</v>
      </c>
      <c r="BH16" s="24">
        <f t="shared" si="160"/>
        <v>8.7187209991024446</v>
      </c>
      <c r="BI16" s="24">
        <f t="shared" si="161"/>
        <v>7.4327096517348323</v>
      </c>
      <c r="BJ16" s="24">
        <f t="shared" si="162"/>
        <v>6.0829295789797868</v>
      </c>
      <c r="BK16" s="24">
        <f t="shared" si="163"/>
        <v>4.6671277194722407</v>
      </c>
      <c r="BL16" s="24">
        <f t="shared" si="164"/>
        <v>3.1829811046800671</v>
      </c>
      <c r="BM16" s="24">
        <f t="shared" si="165"/>
        <v>1.6280948350438535</v>
      </c>
      <c r="BN16" s="24">
        <f t="shared" si="166"/>
        <v>0</v>
      </c>
      <c r="BY16" s="27"/>
      <c r="BZ16" s="132" t="s">
        <v>128</v>
      </c>
      <c r="CA16" s="132" t="s">
        <v>305</v>
      </c>
      <c r="CB16" s="132"/>
      <c r="CC16" s="132" t="s">
        <v>306</v>
      </c>
      <c r="CD16" s="132" t="s">
        <v>678</v>
      </c>
      <c r="CE16" s="132" t="s">
        <v>151</v>
      </c>
      <c r="CF16" s="247" t="s">
        <v>152</v>
      </c>
      <c r="CG16" s="132" t="s">
        <v>696</v>
      </c>
      <c r="CH16" s="132" t="s">
        <v>607</v>
      </c>
    </row>
    <row r="17" spans="1:87" s="63" customFormat="1">
      <c r="A17" s="686"/>
      <c r="B17" s="59" t="s">
        <v>27</v>
      </c>
      <c r="C17" s="262" t="s">
        <v>166</v>
      </c>
      <c r="D17" s="652">
        <f>D9</f>
        <v>35.70249067338905</v>
      </c>
      <c r="E17" s="652">
        <f t="shared" ref="E17:AH17" si="168">E9</f>
        <v>39.036701008967512</v>
      </c>
      <c r="F17" s="652">
        <f t="shared" si="168"/>
        <v>42.356064958875223</v>
      </c>
      <c r="G17" s="652">
        <f t="shared" si="168"/>
        <v>45.660241056241802</v>
      </c>
      <c r="H17" s="652">
        <f t="shared" si="168"/>
        <v>48.948879980458763</v>
      </c>
      <c r="I17" s="652">
        <f t="shared" si="168"/>
        <v>52.221624376543687</v>
      </c>
      <c r="J17" s="652">
        <f t="shared" si="168"/>
        <v>55.478108670349478</v>
      </c>
      <c r="K17" s="652">
        <f t="shared" si="168"/>
        <v>58.71795887952382</v>
      </c>
      <c r="L17" s="652">
        <f t="shared" si="168"/>
        <v>61.940792420120104</v>
      </c>
      <c r="M17" s="652">
        <f t="shared" si="168"/>
        <v>65.146217908761059</v>
      </c>
      <c r="N17" s="652">
        <f t="shared" si="168"/>
        <v>68.333834960251721</v>
      </c>
      <c r="O17" s="652">
        <f t="shared" si="168"/>
        <v>69.091494577930916</v>
      </c>
      <c r="P17" s="652">
        <f t="shared" si="168"/>
        <v>69.830517149687651</v>
      </c>
      <c r="Q17" s="652">
        <f t="shared" si="168"/>
        <v>70.550474023465711</v>
      </c>
      <c r="R17" s="652">
        <f t="shared" si="168"/>
        <v>71.250926688211564</v>
      </c>
      <c r="S17" s="652">
        <f t="shared" si="168"/>
        <v>71.931426547117496</v>
      </c>
      <c r="T17" s="652">
        <f t="shared" si="168"/>
        <v>72.411787368081178</v>
      </c>
      <c r="U17" s="652">
        <f t="shared" si="168"/>
        <v>72.871266999101977</v>
      </c>
      <c r="V17" s="652">
        <f t="shared" si="168"/>
        <v>73.30938517281129</v>
      </c>
      <c r="W17" s="652">
        <f t="shared" si="168"/>
        <v>73.725650575690821</v>
      </c>
      <c r="X17" s="652">
        <f t="shared" si="168"/>
        <v>74.119560594011602</v>
      </c>
      <c r="Y17" s="652">
        <f t="shared" si="168"/>
        <v>74.131146418792753</v>
      </c>
      <c r="Z17" s="652">
        <f t="shared" si="168"/>
        <v>74.119336685326971</v>
      </c>
      <c r="AA17" s="652">
        <f t="shared" si="168"/>
        <v>74.083593295774563</v>
      </c>
      <c r="AB17" s="652">
        <f t="shared" si="168"/>
        <v>74.023365776045551</v>
      </c>
      <c r="AC17" s="652">
        <f t="shared" si="168"/>
        <v>73.938090991145913</v>
      </c>
      <c r="AD17" s="652">
        <f t="shared" si="168"/>
        <v>73.827192853976683</v>
      </c>
      <c r="AE17" s="652">
        <f t="shared" si="168"/>
        <v>73.690082027435636</v>
      </c>
      <c r="AF17" s="652">
        <f t="shared" si="168"/>
        <v>73.526155619667293</v>
      </c>
      <c r="AG17" s="652">
        <f t="shared" si="168"/>
        <v>73.334796872303372</v>
      </c>
      <c r="AH17" s="652">
        <f t="shared" si="168"/>
        <v>73.115374841533168</v>
      </c>
      <c r="AI17" s="652"/>
      <c r="AJ17" s="652">
        <f t="shared" si="136"/>
        <v>35.70249067338905</v>
      </c>
      <c r="AK17" s="652">
        <f t="shared" si="137"/>
        <v>39.036701008967512</v>
      </c>
      <c r="AL17" s="652">
        <f t="shared" si="138"/>
        <v>42.356064958875223</v>
      </c>
      <c r="AM17" s="652">
        <f t="shared" si="139"/>
        <v>45.660241056241802</v>
      </c>
      <c r="AN17" s="652">
        <f t="shared" si="140"/>
        <v>48.948879980458763</v>
      </c>
      <c r="AO17" s="652">
        <f t="shared" si="141"/>
        <v>52.221624376543687</v>
      </c>
      <c r="AP17" s="652">
        <f t="shared" si="142"/>
        <v>55.478108670349478</v>
      </c>
      <c r="AQ17" s="652">
        <f t="shared" si="143"/>
        <v>58.71795887952382</v>
      </c>
      <c r="AR17" s="652">
        <f t="shared" si="144"/>
        <v>61.940792420120104</v>
      </c>
      <c r="AS17" s="652">
        <f t="shared" si="145"/>
        <v>65.146217908761059</v>
      </c>
      <c r="AT17" s="652">
        <f t="shared" si="146"/>
        <v>68.333834960251721</v>
      </c>
      <c r="AU17" s="652">
        <f t="shared" si="147"/>
        <v>69.091494577930916</v>
      </c>
      <c r="AV17" s="652">
        <f t="shared" si="148"/>
        <v>69.830517149687651</v>
      </c>
      <c r="AW17" s="652">
        <f t="shared" si="149"/>
        <v>70.550474023465711</v>
      </c>
      <c r="AX17" s="652">
        <f t="shared" si="150"/>
        <v>71.250926688211564</v>
      </c>
      <c r="AY17" s="652">
        <f t="shared" si="151"/>
        <v>71.931426547117496</v>
      </c>
      <c r="AZ17" s="652">
        <f t="shared" si="152"/>
        <v>72.411787368081178</v>
      </c>
      <c r="BA17" s="652">
        <f t="shared" si="153"/>
        <v>72.871266999101977</v>
      </c>
      <c r="BB17" s="652">
        <f t="shared" si="154"/>
        <v>73.30938517281129</v>
      </c>
      <c r="BC17" s="652">
        <f t="shared" si="155"/>
        <v>73.725650575690821</v>
      </c>
      <c r="BD17" s="652">
        <f t="shared" si="156"/>
        <v>74.119560594011602</v>
      </c>
      <c r="BE17" s="652">
        <f t="shared" si="157"/>
        <v>74.131146418792753</v>
      </c>
      <c r="BF17" s="652">
        <f t="shared" si="158"/>
        <v>74.119336685326971</v>
      </c>
      <c r="BG17" s="652">
        <f t="shared" si="159"/>
        <v>74.083593295774563</v>
      </c>
      <c r="BH17" s="652">
        <f t="shared" si="160"/>
        <v>74.023365776045551</v>
      </c>
      <c r="BI17" s="652">
        <f t="shared" si="161"/>
        <v>73.938090991145913</v>
      </c>
      <c r="BJ17" s="652">
        <f t="shared" si="162"/>
        <v>73.827192853976683</v>
      </c>
      <c r="BK17" s="652">
        <f t="shared" si="163"/>
        <v>73.690082027435636</v>
      </c>
      <c r="BL17" s="652">
        <f t="shared" si="164"/>
        <v>73.526155619667293</v>
      </c>
      <c r="BM17" s="652">
        <f t="shared" si="165"/>
        <v>73.334796872303372</v>
      </c>
      <c r="BN17" s="652">
        <f t="shared" si="166"/>
        <v>73.115374841533168</v>
      </c>
      <c r="BY17" s="131"/>
      <c r="CA17" s="132"/>
      <c r="CC17" s="132"/>
      <c r="CD17" s="132"/>
      <c r="CE17" s="132"/>
      <c r="CF17" s="132"/>
      <c r="CG17" s="132"/>
      <c r="CH17" s="132"/>
      <c r="CI17" s="132"/>
    </row>
    <row r="18" spans="1:87" s="1" customFormat="1">
      <c r="A18" s="55" t="s">
        <v>909</v>
      </c>
      <c r="B18" s="55" t="s">
        <v>910</v>
      </c>
      <c r="C18" s="95" t="s">
        <v>166</v>
      </c>
      <c r="D18" s="653">
        <f>'Production - Industry shares'!L84</f>
        <v>8.3456504736096182</v>
      </c>
      <c r="E18" s="653">
        <f>D18*(1+'Demand - Methanol'!$N$39)</f>
        <v>8.4875265316609809</v>
      </c>
      <c r="F18" s="653">
        <f>E18*(1+'Demand - Methanol'!$N$39)</f>
        <v>8.631814482699216</v>
      </c>
      <c r="G18" s="653">
        <f>F18*(1+'Demand - Methanol'!$N$39)</f>
        <v>8.7785553289051013</v>
      </c>
      <c r="H18" s="653">
        <f>G18*(1+'Demand - Methanol'!$N$39)</f>
        <v>8.9277907694964878</v>
      </c>
      <c r="I18" s="653">
        <f>H18*(1+'Demand - Methanol'!$N$39)</f>
        <v>9.0795632125779271</v>
      </c>
      <c r="J18" s="653">
        <f>I18*(1+'Demand - Methanol'!$N$39)</f>
        <v>9.2339157871917514</v>
      </c>
      <c r="K18" s="653">
        <f>J18*(1+'Demand - Methanol'!$N$39)</f>
        <v>9.3908923555740103</v>
      </c>
      <c r="L18" s="653">
        <f>K18*(1+'Demand - Methanol'!$N$39)</f>
        <v>9.5505375256187683</v>
      </c>
      <c r="M18" s="653">
        <f>L18*(1+'Demand - Methanol'!$N$39)</f>
        <v>9.7128966635542859</v>
      </c>
      <c r="N18" s="653">
        <f>M18*(1+'Demand - Methanol'!$N$39)</f>
        <v>9.8780159068347082</v>
      </c>
      <c r="O18" s="653">
        <f>N18*(1+'Demand - Methanol'!$N$39)</f>
        <v>10.045942177250897</v>
      </c>
      <c r="P18" s="653">
        <f>O18*(1+'Demand - Methanol'!$N$39)</f>
        <v>10.21672319426416</v>
      </c>
      <c r="Q18" s="653">
        <f>P18*(1+'Demand - Methanol'!$N$39)</f>
        <v>10.39040748856665</v>
      </c>
      <c r="R18" s="653">
        <f>Q18*(1+'Demand - Methanol'!$N$39)</f>
        <v>10.567044415872282</v>
      </c>
      <c r="S18" s="653">
        <f>R18*(1+'Demand - Methanol'!$N$39)</f>
        <v>10.746684170942109</v>
      </c>
      <c r="T18" s="653">
        <f>S18*(1+'Demand - Methanol'!$N$39)</f>
        <v>10.929377801848123</v>
      </c>
      <c r="U18" s="653">
        <f>T18*(1+'Demand - Methanol'!$N$39)</f>
        <v>11.11517722447954</v>
      </c>
      <c r="V18" s="653">
        <f>U18*(1+'Demand - Methanol'!$N$39)</f>
        <v>11.304135237295691</v>
      </c>
      <c r="W18" s="653">
        <f>V18*(1+'Demand - Methanol'!$N$39)</f>
        <v>11.496305536329716</v>
      </c>
      <c r="X18" s="653">
        <f>W18*(1+'Demand - Methanol'!$N$39)</f>
        <v>11.69174273044732</v>
      </c>
      <c r="Y18" s="653">
        <f>X18*(1+'Demand - Methanol'!$N$39)</f>
        <v>11.890502356864923</v>
      </c>
      <c r="Z18" s="653">
        <f>Y18*(1+'Demand - Methanol'!$N$39)</f>
        <v>12.092640896931625</v>
      </c>
      <c r="AA18" s="653">
        <f>Z18*(1+'Demand - Methanol'!$N$39)</f>
        <v>12.298215792179462</v>
      </c>
      <c r="AB18" s="653">
        <f>AA18*(1+'Demand - Methanol'!$N$39)</f>
        <v>12.507285460646512</v>
      </c>
      <c r="AC18" s="653">
        <f>AB18*(1+'Demand - Methanol'!$N$39)</f>
        <v>12.719909313477501</v>
      </c>
      <c r="AD18" s="653">
        <f>AC18*(1+'Demand - Methanol'!$N$39)</f>
        <v>12.936147771806617</v>
      </c>
      <c r="AE18" s="653">
        <f>AD18*(1+'Demand - Methanol'!$N$39)</f>
        <v>13.156062283927328</v>
      </c>
      <c r="AF18" s="653">
        <f>AE18*(1+'Demand - Methanol'!$N$39)</f>
        <v>13.379715342754091</v>
      </c>
      <c r="AG18" s="653">
        <f>AF18*(1+'Demand - Methanol'!$N$39)</f>
        <v>13.607170503580909</v>
      </c>
      <c r="AH18" s="653">
        <f>AG18*(1+'Demand - Methanol'!$N$39)</f>
        <v>13.838492402141783</v>
      </c>
      <c r="AI18" s="25"/>
      <c r="AJ18" s="653">
        <f>D18</f>
        <v>8.3456504736096182</v>
      </c>
      <c r="AK18" s="653">
        <f t="shared" si="137"/>
        <v>8.4875265316609809</v>
      </c>
      <c r="AL18" s="653">
        <f t="shared" si="138"/>
        <v>8.631814482699216</v>
      </c>
      <c r="AM18" s="653">
        <f t="shared" si="139"/>
        <v>8.7785553289051013</v>
      </c>
      <c r="AN18" s="653">
        <f t="shared" si="140"/>
        <v>8.9277907694964878</v>
      </c>
      <c r="AO18" s="653">
        <f t="shared" si="141"/>
        <v>9.0795632125779271</v>
      </c>
      <c r="AP18" s="653">
        <f t="shared" si="142"/>
        <v>9.2339157871917514</v>
      </c>
      <c r="AQ18" s="653">
        <f t="shared" si="143"/>
        <v>9.3908923555740103</v>
      </c>
      <c r="AR18" s="653">
        <f t="shared" si="144"/>
        <v>9.5505375256187683</v>
      </c>
      <c r="AS18" s="653">
        <f t="shared" si="145"/>
        <v>9.7128966635542859</v>
      </c>
      <c r="AT18" s="653">
        <f t="shared" si="146"/>
        <v>9.8780159068347082</v>
      </c>
      <c r="AU18" s="653">
        <f t="shared" si="147"/>
        <v>10.045942177250897</v>
      </c>
      <c r="AV18" s="653">
        <f t="shared" si="148"/>
        <v>10.21672319426416</v>
      </c>
      <c r="AW18" s="653">
        <f t="shared" si="149"/>
        <v>10.39040748856665</v>
      </c>
      <c r="AX18" s="653">
        <f t="shared" si="150"/>
        <v>10.567044415872282</v>
      </c>
      <c r="AY18" s="653">
        <f t="shared" si="151"/>
        <v>10.746684170942109</v>
      </c>
      <c r="AZ18" s="653">
        <f t="shared" si="152"/>
        <v>10.929377801848123</v>
      </c>
      <c r="BA18" s="653">
        <f t="shared" si="153"/>
        <v>11.11517722447954</v>
      </c>
      <c r="BB18" s="653">
        <f t="shared" si="154"/>
        <v>11.304135237295691</v>
      </c>
      <c r="BC18" s="653">
        <f t="shared" si="155"/>
        <v>11.496305536329716</v>
      </c>
      <c r="BD18" s="653">
        <f t="shared" si="156"/>
        <v>11.69174273044732</v>
      </c>
      <c r="BE18" s="653">
        <f t="shared" si="157"/>
        <v>11.890502356864923</v>
      </c>
      <c r="BF18" s="653">
        <f t="shared" si="158"/>
        <v>12.092640896931625</v>
      </c>
      <c r="BG18" s="653">
        <f t="shared" si="159"/>
        <v>12.298215792179462</v>
      </c>
      <c r="BH18" s="653">
        <f t="shared" si="160"/>
        <v>12.507285460646512</v>
      </c>
      <c r="BI18" s="653">
        <f t="shared" si="161"/>
        <v>12.719909313477501</v>
      </c>
      <c r="BJ18" s="653">
        <f t="shared" si="162"/>
        <v>12.936147771806617</v>
      </c>
      <c r="BK18" s="653">
        <f t="shared" si="163"/>
        <v>13.156062283927328</v>
      </c>
      <c r="BL18" s="653">
        <f t="shared" si="164"/>
        <v>13.379715342754091</v>
      </c>
      <c r="BM18" s="653">
        <f t="shared" si="165"/>
        <v>13.607170503580909</v>
      </c>
      <c r="BN18" s="653">
        <f t="shared" si="166"/>
        <v>13.838492402141783</v>
      </c>
      <c r="BR18" s="1" t="s">
        <v>911</v>
      </c>
      <c r="BS18" s="228">
        <f>AH11</f>
        <v>55.518033874995439</v>
      </c>
      <c r="BY18" s="27" t="s">
        <v>1287</v>
      </c>
      <c r="BZ18" s="136">
        <v>71</v>
      </c>
      <c r="CA18" s="130"/>
      <c r="CB18" s="130"/>
      <c r="CC18" s="136" t="s">
        <v>307</v>
      </c>
      <c r="CD18" s="130"/>
      <c r="CE18" s="130"/>
      <c r="CF18" s="130"/>
      <c r="CG18" s="130"/>
      <c r="CH18" s="521" t="s">
        <v>307</v>
      </c>
      <c r="CI18" s="133"/>
    </row>
    <row r="19" spans="1:87">
      <c r="B19" s="1" t="s">
        <v>912</v>
      </c>
      <c r="C19" s="51" t="s">
        <v>166</v>
      </c>
      <c r="D19" s="24">
        <v>0</v>
      </c>
      <c r="E19" s="24">
        <f>E18*('R&amp;S - Transportation'!$B$8*'R&amp;S - Transportation'!$D$19*(E3-$D$3)/10)</f>
        <v>1.6975053063321966E-2</v>
      </c>
      <c r="F19" s="24">
        <f>F18*('R&amp;S - Transportation'!$B$8*'R&amp;S - Transportation'!$D$19*(F3-$D$3)/10)</f>
        <v>3.4527257930796876E-2</v>
      </c>
      <c r="G19" s="24">
        <f>G18*('R&amp;S - Transportation'!$B$8*'R&amp;S - Transportation'!$D$19*(G3-$D$3)/10)</f>
        <v>5.2671331973430616E-2</v>
      </c>
      <c r="H19" s="24">
        <f>H18*('R&amp;S - Transportation'!$B$8*'R&amp;S - Transportation'!$D$19*(H3-$D$3)/10)</f>
        <v>7.1422326155971924E-2</v>
      </c>
      <c r="I19" s="24">
        <f>I18*('R&amp;S - Transportation'!$B$8*'R&amp;S - Transportation'!$D$19*(I3-$D$3)/10)</f>
        <v>9.0795632125779291E-2</v>
      </c>
      <c r="J19" s="24">
        <f>J18*('R&amp;S - Transportation'!$B$8*'R&amp;S - Transportation'!$D$19*(J3-$D$3)/10)</f>
        <v>0.11080698944630103</v>
      </c>
      <c r="K19" s="24">
        <f>K18*('R&amp;S - Transportation'!$B$8*'R&amp;S - Transportation'!$D$19*(K3-$D$3)/10)</f>
        <v>0.13147249297803618</v>
      </c>
      <c r="L19" s="24">
        <f>L18*('R&amp;S - Transportation'!$B$8*'R&amp;S - Transportation'!$D$19*(L3-$D$3)/10)</f>
        <v>0.15280860040990032</v>
      </c>
      <c r="M19" s="24">
        <f>M18*('R&amp;S - Transportation'!$B$8*'R&amp;S - Transportation'!$D$19*(M3-$D$3)/10)</f>
        <v>0.1748321399439772</v>
      </c>
      <c r="N19" s="24">
        <f>N18*('R&amp;S - Transportation'!$B$8*'R&amp;S - Transportation'!$D$19*(N3-$D$3)/10)</f>
        <v>0.1975603181366942</v>
      </c>
      <c r="O19" s="24">
        <f>O18*('R&amp;S - Transportation'!$B$8*('R&amp;S - Transportation'!$D$19+('R&amp;S - Transportation'!$D$20-'R&amp;S - Transportation'!$D$19)*(O3-$N$3)/10))</f>
        <v>0.25114855443127243</v>
      </c>
      <c r="P19" s="24">
        <f>P18*('R&amp;S - Transportation'!$B$8*('R&amp;S - Transportation'!$D$19+('R&amp;S - Transportation'!$D$20-'R&amp;S - Transportation'!$D$19)*(P3-$N$3)/10))</f>
        <v>0.3065016958279248</v>
      </c>
      <c r="Q19" s="24">
        <f>Q18*('R&amp;S - Transportation'!$B$8*('R&amp;S - Transportation'!$D$19+('R&amp;S - Transportation'!$D$20-'R&amp;S - Transportation'!$D$19)*(Q3-$N$3)/10))</f>
        <v>0.36366426209983271</v>
      </c>
      <c r="R19" s="24">
        <f>R18*('R&amp;S - Transportation'!$B$8*('R&amp;S - Transportation'!$D$19+('R&amp;S - Transportation'!$D$20-'R&amp;S - Transportation'!$D$19)*(R3-$N$3)/10))</f>
        <v>0.42268177663489137</v>
      </c>
      <c r="S19" s="24">
        <f>S18*('R&amp;S - Transportation'!$B$8*('R&amp;S - Transportation'!$D$19+('R&amp;S - Transportation'!$D$20-'R&amp;S - Transportation'!$D$19)*(S3-$N$3)/10))</f>
        <v>0.4836007876923949</v>
      </c>
      <c r="T19" s="24">
        <f>T18*('R&amp;S - Transportation'!$B$8*('R&amp;S - Transportation'!$D$19+('R&amp;S - Transportation'!$D$20-'R&amp;S - Transportation'!$D$19)*(T3-$N$3)/10))</f>
        <v>0.54646889009240607</v>
      </c>
      <c r="U19" s="24">
        <f>U18*('R&amp;S - Transportation'!$B$8*('R&amp;S - Transportation'!$D$19+('R&amp;S - Transportation'!$D$20-'R&amp;S - Transportation'!$D$19)*(U3-$N$3)/10))</f>
        <v>0.61133474734637483</v>
      </c>
      <c r="V19" s="24">
        <f>V18*('R&amp;S - Transportation'!$B$8*('R&amp;S - Transportation'!$D$19+('R&amp;S - Transportation'!$D$20-'R&amp;S - Transportation'!$D$19)*(V3-$N$3)/10))</f>
        <v>0.67824811423774145</v>
      </c>
      <c r="W19" s="24">
        <f>W18*('R&amp;S - Transportation'!$B$8*('R&amp;S - Transportation'!$D$19+('R&amp;S - Transportation'!$D$20-'R&amp;S - Transportation'!$D$19)*(W3-$N$3)/10))</f>
        <v>0.7472598598614314</v>
      </c>
      <c r="X19" s="24">
        <f>X18*('R&amp;S - Transportation'!$B$8*('R&amp;S - Transportation'!$D$19+('R&amp;S - Transportation'!$D$20-'R&amp;S - Transportation'!$D$19)*(X3-$N$3)/10))</f>
        <v>0.81842199113131231</v>
      </c>
      <c r="Y19" s="24">
        <f>Y18*('R&amp;S - Transportation'!$B$8*('R&amp;S - Transportation'!$D$20+('R&amp;S - Transportation'!$D$21-'R&amp;S - Transportation'!$D$20)*(Y3-$X$3)/10))</f>
        <v>0.86800667205113935</v>
      </c>
      <c r="Z19" s="24">
        <f>Z18*('R&amp;S - Transportation'!$B$8*('R&amp;S - Transportation'!$D$20+('R&amp;S - Transportation'!$D$21-'R&amp;S - Transportation'!$D$20)*(Z3-$X$3)/10))</f>
        <v>0.91904070816680361</v>
      </c>
      <c r="AA19" s="24">
        <f>AA18*('R&amp;S - Transportation'!$B$8*('R&amp;S - Transportation'!$D$20+('R&amp;S - Transportation'!$D$21-'R&amp;S - Transportation'!$D$20)*(AA3-$X$3)/10))</f>
        <v>0.97155904758217748</v>
      </c>
      <c r="AB19" s="24">
        <f>AB18*('R&amp;S - Transportation'!$B$8*('R&amp;S - Transportation'!$D$20+('R&amp;S - Transportation'!$D$21-'R&amp;S - Transportation'!$D$20)*(AB3-$X$3)/10))</f>
        <v>1.0255974077730141</v>
      </c>
      <c r="AC19" s="24">
        <f>AC18*('R&amp;S - Transportation'!$B$8*('R&amp;S - Transportation'!$D$20+('R&amp;S - Transportation'!$D$21-'R&amp;S - Transportation'!$D$20)*(AC3-$X$3)/10))</f>
        <v>1.0811922916455876</v>
      </c>
      <c r="AD19" s="24">
        <f>AD18*('R&amp;S - Transportation'!$B$8*('R&amp;S - Transportation'!$D$20+('R&amp;S - Transportation'!$D$21-'R&amp;S - Transportation'!$D$20)*(AD3-$X$3)/10))</f>
        <v>1.1383810039189823</v>
      </c>
      <c r="AE19" s="24">
        <f>AE18*('R&amp;S - Transportation'!$B$8*('R&amp;S - Transportation'!$D$20+('R&amp;S - Transportation'!$D$21-'R&amp;S - Transportation'!$D$20)*(AE3-$X$3)/10))</f>
        <v>1.1972016678373871</v>
      </c>
      <c r="AF19" s="24">
        <f>AF18*('R&amp;S - Transportation'!$B$8*('R&amp;S - Transportation'!$D$20+('R&amp;S - Transportation'!$D$21-'R&amp;S - Transportation'!$D$20)*(AF3-$X$3)/10))</f>
        <v>1.2576932422188845</v>
      </c>
      <c r="AG19" s="24">
        <f>AG18*('R&amp;S - Transportation'!$B$8*('R&amp;S - Transportation'!$D$20+('R&amp;S - Transportation'!$D$21-'R&amp;S - Transportation'!$D$20)*(AG3-$X$3)/10))</f>
        <v>1.3198955388473481</v>
      </c>
      <c r="AH19" s="24">
        <f>AH18*('R&amp;S - Transportation'!$B$8*('R&amp;S - Transportation'!$D$20+('R&amp;S - Transportation'!$D$21-'R&amp;S - Transportation'!$D$20)*(AH3-$X$3)/10))</f>
        <v>1.3838492402141784</v>
      </c>
      <c r="AI19" s="24"/>
      <c r="AJ19" s="24">
        <v>0</v>
      </c>
      <c r="AK19" s="24">
        <f>AK18*('R&amp;S - Transportation'!$B$8*'R&amp;S - Transportation'!$D$19*(AK3-$D$3)/10)</f>
        <v>1.6975053063321966E-2</v>
      </c>
      <c r="AL19" s="24">
        <f>AL18*('R&amp;S - Transportation'!$B$8*'R&amp;S - Transportation'!$D$19*(AL3-$D$3)/10)</f>
        <v>3.4527257930796876E-2</v>
      </c>
      <c r="AM19" s="24">
        <f>AM18*('R&amp;S - Transportation'!$B$8*'R&amp;S - Transportation'!$D$19*(AM3-$D$3)/10)</f>
        <v>5.2671331973430616E-2</v>
      </c>
      <c r="AN19" s="24">
        <f>AN18*('R&amp;S - Transportation'!$B$8*'R&amp;S - Transportation'!$D$19*(AN3-$D$3)/10)</f>
        <v>7.1422326155971924E-2</v>
      </c>
      <c r="AO19" s="24">
        <f>AO18*('R&amp;S - Transportation'!$B$8*'R&amp;S - Transportation'!$D$19*(AO3-$D$3)/10)</f>
        <v>9.0795632125779291E-2</v>
      </c>
      <c r="AP19" s="24">
        <f>AP18*('R&amp;S - Transportation'!$B$8*'R&amp;S - Transportation'!$D$19*(AP3-$D$3)/10)</f>
        <v>0.11080698944630103</v>
      </c>
      <c r="AQ19" s="24">
        <f>AQ18*('R&amp;S - Transportation'!$B$8*'R&amp;S - Transportation'!$D$19*(AQ3-$D$3)/10)</f>
        <v>0.13147249297803618</v>
      </c>
      <c r="AR19" s="24">
        <f>AR18*('R&amp;S - Transportation'!$B$8*'R&amp;S - Transportation'!$D$19*(AR3-$D$3)/10)</f>
        <v>0.15280860040990032</v>
      </c>
      <c r="AS19" s="24">
        <f>AS18*('R&amp;S - Transportation'!$B$8*'R&amp;S - Transportation'!$D$19*(AS3-$D$3)/10)</f>
        <v>0.1748321399439772</v>
      </c>
      <c r="AT19" s="24">
        <f>AT18*('R&amp;S - Transportation'!$B$8*'R&amp;S - Transportation'!$D$19*(AT3-$D$3)/10)</f>
        <v>0.1975603181366942</v>
      </c>
      <c r="AU19" s="24">
        <f>AU18*('R&amp;S - Transportation'!$B$8*('R&amp;S - Transportation'!$D$19+('R&amp;S - Transportation'!$D$20-'R&amp;S - Transportation'!$D$19)*(AU3-$N$3)/10))</f>
        <v>0.25114855443127243</v>
      </c>
      <c r="AV19" s="24">
        <f>AV18*('R&amp;S - Transportation'!$B$8*('R&amp;S - Transportation'!$D$19+('R&amp;S - Transportation'!$D$20-'R&amp;S - Transportation'!$D$19)*(AV3-$N$3)/10))</f>
        <v>0.3065016958279248</v>
      </c>
      <c r="AW19" s="24">
        <f>AW18*('R&amp;S - Transportation'!$B$8*('R&amp;S - Transportation'!$D$19+('R&amp;S - Transportation'!$D$20-'R&amp;S - Transportation'!$D$19)*(AW3-$N$3)/10))</f>
        <v>0.36366426209983271</v>
      </c>
      <c r="AX19" s="24">
        <f>AX18*('R&amp;S - Transportation'!$B$8*('R&amp;S - Transportation'!$D$19+('R&amp;S - Transportation'!$D$20-'R&amp;S - Transportation'!$D$19)*(AX3-$N$3)/10))</f>
        <v>0.42268177663489137</v>
      </c>
      <c r="AY19" s="24">
        <f>AY18*('R&amp;S - Transportation'!$B$8*('R&amp;S - Transportation'!$D$19+('R&amp;S - Transportation'!$D$20-'R&amp;S - Transportation'!$D$19)*(AY3-$N$3)/10))</f>
        <v>0.4836007876923949</v>
      </c>
      <c r="AZ19" s="24">
        <f>AZ18*('R&amp;S - Transportation'!$B$8*('R&amp;S - Transportation'!$D$19+('R&amp;S - Transportation'!$D$20-'R&amp;S - Transportation'!$D$19)*(AZ3-$N$3)/10))</f>
        <v>0.54646889009240607</v>
      </c>
      <c r="BA19" s="24">
        <f>BA18*('R&amp;S - Transportation'!$B$8*('R&amp;S - Transportation'!$D$19+('R&amp;S - Transportation'!$D$20-'R&amp;S - Transportation'!$D$19)*(BA3-$N$3)/10))</f>
        <v>0.61133474734637483</v>
      </c>
      <c r="BB19" s="24">
        <f>BB18*('R&amp;S - Transportation'!$B$8*('R&amp;S - Transportation'!$D$19+('R&amp;S - Transportation'!$D$20-'R&amp;S - Transportation'!$D$19)*(BB3-$N$3)/10))</f>
        <v>0.67824811423774145</v>
      </c>
      <c r="BC19" s="24">
        <f>BC18*('R&amp;S - Transportation'!$B$8*('R&amp;S - Transportation'!$D$19+('R&amp;S - Transportation'!$D$20-'R&amp;S - Transportation'!$D$19)*(BC3-$N$3)/10))</f>
        <v>0.7472598598614314</v>
      </c>
      <c r="BD19" s="24">
        <f>BD18*('R&amp;S - Transportation'!$B$8*('R&amp;S - Transportation'!$D$19+('R&amp;S - Transportation'!$D$20-'R&amp;S - Transportation'!$D$19)*(BD3-$N$3)/10))</f>
        <v>0.81842199113131231</v>
      </c>
      <c r="BE19" s="24">
        <f>BE18*('R&amp;S - Transportation'!$B$8*('R&amp;S - Transportation'!$D$20+('R&amp;S - Transportation'!$D$21-'R&amp;S - Transportation'!$D$20)*(BE3-$X$3)/10))</f>
        <v>0.86800667205113935</v>
      </c>
      <c r="BF19" s="24">
        <f>BF18*('R&amp;S - Transportation'!$B$8*('R&amp;S - Transportation'!$D$20+('R&amp;S - Transportation'!$D$21-'R&amp;S - Transportation'!$D$20)*(BF3-$X$3)/10))</f>
        <v>0.91904070816680361</v>
      </c>
      <c r="BG19" s="24">
        <f>BG18*('R&amp;S - Transportation'!$B$8*('R&amp;S - Transportation'!$D$20+('R&amp;S - Transportation'!$D$21-'R&amp;S - Transportation'!$D$20)*(BG3-$X$3)/10))</f>
        <v>0.97155904758217748</v>
      </c>
      <c r="BH19" s="24">
        <f>BH18*('R&amp;S - Transportation'!$B$8*('R&amp;S - Transportation'!$D$20+('R&amp;S - Transportation'!$D$21-'R&amp;S - Transportation'!$D$20)*(BH3-$X$3)/10))</f>
        <v>1.0255974077730141</v>
      </c>
      <c r="BI19" s="24">
        <f>BI18*('R&amp;S - Transportation'!$B$8*('R&amp;S - Transportation'!$D$20+('R&amp;S - Transportation'!$D$21-'R&amp;S - Transportation'!$D$20)*(BI3-$X$3)/10))</f>
        <v>1.0811922916455876</v>
      </c>
      <c r="BJ19" s="24">
        <f>BJ18*('R&amp;S - Transportation'!$B$8*('R&amp;S - Transportation'!$D$20+('R&amp;S - Transportation'!$D$21-'R&amp;S - Transportation'!$D$20)*(BJ3-$X$3)/10))</f>
        <v>1.1383810039189823</v>
      </c>
      <c r="BK19" s="24">
        <f>BK18*('R&amp;S - Transportation'!$B$8*('R&amp;S - Transportation'!$D$20+('R&amp;S - Transportation'!$D$21-'R&amp;S - Transportation'!$D$20)*(BK3-$X$3)/10))</f>
        <v>1.1972016678373871</v>
      </c>
      <c r="BL19" s="24">
        <f>BL18*('R&amp;S - Transportation'!$B$8*('R&amp;S - Transportation'!$D$20+('R&amp;S - Transportation'!$D$21-'R&amp;S - Transportation'!$D$20)*(BL3-$X$3)/10))</f>
        <v>1.2576932422188845</v>
      </c>
      <c r="BM19" s="24">
        <f>BM18*('R&amp;S - Transportation'!$B$8*('R&amp;S - Transportation'!$D$20+('R&amp;S - Transportation'!$D$21-'R&amp;S - Transportation'!$D$20)*(BM3-$X$3)/10))</f>
        <v>1.3198955388473481</v>
      </c>
      <c r="BN19" s="24">
        <f>BN18*('R&amp;S - Transportation'!$B$8*('R&amp;S - Transportation'!$D$20+('R&amp;S - Transportation'!$D$21-'R&amp;S - Transportation'!$D$20)*(BN3-$X$3)/10))</f>
        <v>1.3838492402141784</v>
      </c>
      <c r="BR19" t="s">
        <v>913</v>
      </c>
      <c r="BS19" s="41" t="e">
        <f>#REF!</f>
        <v>#REF!</v>
      </c>
      <c r="BY19" s="27" t="s">
        <v>151</v>
      </c>
      <c r="BZ19" s="130"/>
      <c r="CA19" s="130"/>
      <c r="CB19" s="130"/>
      <c r="CC19" s="130"/>
      <c r="CD19" s="130"/>
      <c r="CE19" s="136">
        <f>-SUM(CE10:CH10)</f>
        <v>75.53206846331949</v>
      </c>
      <c r="CF19" s="130"/>
      <c r="CG19" s="130"/>
      <c r="CH19" s="130"/>
    </row>
    <row r="20" spans="1:87">
      <c r="B20" s="1" t="s">
        <v>176</v>
      </c>
      <c r="C20" s="51" t="s">
        <v>166</v>
      </c>
      <c r="D20" s="24">
        <f>SUM(D18:D19)</f>
        <v>8.3456504736096182</v>
      </c>
      <c r="E20" s="24">
        <f t="shared" ref="E20:AH20" si="169">SUM(E18:E19)</f>
        <v>8.5045015847243022</v>
      </c>
      <c r="F20" s="24">
        <f t="shared" si="169"/>
        <v>8.6663417406300134</v>
      </c>
      <c r="G20" s="24">
        <f t="shared" si="169"/>
        <v>8.8312266608785315</v>
      </c>
      <c r="H20" s="24">
        <f t="shared" si="169"/>
        <v>8.9992130956524594</v>
      </c>
      <c r="I20" s="24">
        <f t="shared" si="169"/>
        <v>9.1703588447037063</v>
      </c>
      <c r="J20" s="24">
        <f t="shared" si="169"/>
        <v>9.3447227766380525</v>
      </c>
      <c r="K20" s="24">
        <f t="shared" si="169"/>
        <v>9.522364848552046</v>
      </c>
      <c r="L20" s="24">
        <f t="shared" si="169"/>
        <v>9.7033461260286682</v>
      </c>
      <c r="M20" s="24">
        <f t="shared" si="169"/>
        <v>9.8877288034982627</v>
      </c>
      <c r="N20" s="24">
        <f t="shared" si="169"/>
        <v>10.075576224971403</v>
      </c>
      <c r="O20" s="24">
        <f>SUM(O18:O19)</f>
        <v>10.29709073168217</v>
      </c>
      <c r="P20" s="24">
        <f t="shared" si="169"/>
        <v>10.523224890092084</v>
      </c>
      <c r="Q20" s="24">
        <f t="shared" si="169"/>
        <v>10.754071750666483</v>
      </c>
      <c r="R20" s="24">
        <f t="shared" si="169"/>
        <v>10.989726192507174</v>
      </c>
      <c r="S20" s="24">
        <f t="shared" si="169"/>
        <v>11.230284958634503</v>
      </c>
      <c r="T20" s="24">
        <f t="shared" si="169"/>
        <v>11.475846691940529</v>
      </c>
      <c r="U20" s="24">
        <f t="shared" si="169"/>
        <v>11.726511971825914</v>
      </c>
      <c r="V20" s="24">
        <f t="shared" si="169"/>
        <v>11.982383351533432</v>
      </c>
      <c r="W20" s="24">
        <f t="shared" si="169"/>
        <v>12.243565396191148</v>
      </c>
      <c r="X20" s="24">
        <f t="shared" si="169"/>
        <v>12.510164721578633</v>
      </c>
      <c r="Y20" s="24">
        <f t="shared" si="169"/>
        <v>12.758509028916063</v>
      </c>
      <c r="Z20" s="24">
        <f t="shared" si="169"/>
        <v>13.011681605098429</v>
      </c>
      <c r="AA20" s="24">
        <f t="shared" si="169"/>
        <v>13.26977483976164</v>
      </c>
      <c r="AB20" s="24">
        <f t="shared" si="169"/>
        <v>13.532882868419527</v>
      </c>
      <c r="AC20" s="24">
        <f t="shared" si="169"/>
        <v>13.801101605123089</v>
      </c>
      <c r="AD20" s="24">
        <f t="shared" si="169"/>
        <v>14.0745287757256</v>
      </c>
      <c r="AE20" s="24">
        <f t="shared" si="169"/>
        <v>14.353263951764715</v>
      </c>
      <c r="AF20" s="24">
        <f t="shared" si="169"/>
        <v>14.637408584972976</v>
      </c>
      <c r="AG20" s="24">
        <f t="shared" si="169"/>
        <v>14.927066042428256</v>
      </c>
      <c r="AH20" s="24">
        <f t="shared" si="169"/>
        <v>15.222341642355962</v>
      </c>
      <c r="AI20" s="24"/>
      <c r="AJ20" s="24">
        <f>SUM(AJ18:AJ19)</f>
        <v>8.3456504736096182</v>
      </c>
      <c r="AK20" s="24">
        <f t="shared" ref="AK20:AT20" si="170">SUM(AK18:AK19)</f>
        <v>8.5045015847243022</v>
      </c>
      <c r="AL20" s="24">
        <f t="shared" si="170"/>
        <v>8.6663417406300134</v>
      </c>
      <c r="AM20" s="24">
        <f t="shared" si="170"/>
        <v>8.8312266608785315</v>
      </c>
      <c r="AN20" s="24">
        <f t="shared" si="170"/>
        <v>8.9992130956524594</v>
      </c>
      <c r="AO20" s="24">
        <f t="shared" si="170"/>
        <v>9.1703588447037063</v>
      </c>
      <c r="AP20" s="24">
        <f t="shared" si="170"/>
        <v>9.3447227766380525</v>
      </c>
      <c r="AQ20" s="24">
        <f t="shared" si="170"/>
        <v>9.522364848552046</v>
      </c>
      <c r="AR20" s="24">
        <f t="shared" si="170"/>
        <v>9.7033461260286682</v>
      </c>
      <c r="AS20" s="24">
        <f t="shared" si="170"/>
        <v>9.8877288034982627</v>
      </c>
      <c r="AT20" s="24">
        <f t="shared" si="170"/>
        <v>10.075576224971403</v>
      </c>
      <c r="AU20" s="24">
        <f>SUM(AU18:AU19)</f>
        <v>10.29709073168217</v>
      </c>
      <c r="AV20" s="24">
        <f t="shared" ref="AV20:BN20" si="171">SUM(AV18:AV19)</f>
        <v>10.523224890092084</v>
      </c>
      <c r="AW20" s="24">
        <f t="shared" si="171"/>
        <v>10.754071750666483</v>
      </c>
      <c r="AX20" s="24">
        <f t="shared" si="171"/>
        <v>10.989726192507174</v>
      </c>
      <c r="AY20" s="24">
        <f t="shared" si="171"/>
        <v>11.230284958634503</v>
      </c>
      <c r="AZ20" s="24">
        <f t="shared" si="171"/>
        <v>11.475846691940529</v>
      </c>
      <c r="BA20" s="24">
        <f t="shared" si="171"/>
        <v>11.726511971825914</v>
      </c>
      <c r="BB20" s="24">
        <f t="shared" si="171"/>
        <v>11.982383351533432</v>
      </c>
      <c r="BC20" s="24">
        <f t="shared" si="171"/>
        <v>12.243565396191148</v>
      </c>
      <c r="BD20" s="24">
        <f t="shared" si="171"/>
        <v>12.510164721578633</v>
      </c>
      <c r="BE20" s="24">
        <f t="shared" si="171"/>
        <v>12.758509028916063</v>
      </c>
      <c r="BF20" s="24">
        <f t="shared" si="171"/>
        <v>13.011681605098429</v>
      </c>
      <c r="BG20" s="24">
        <f t="shared" si="171"/>
        <v>13.26977483976164</v>
      </c>
      <c r="BH20" s="24">
        <f t="shared" si="171"/>
        <v>13.532882868419527</v>
      </c>
      <c r="BI20" s="24">
        <f t="shared" si="171"/>
        <v>13.801101605123089</v>
      </c>
      <c r="BJ20" s="24">
        <f t="shared" si="171"/>
        <v>14.0745287757256</v>
      </c>
      <c r="BK20" s="24">
        <f t="shared" si="171"/>
        <v>14.353263951764715</v>
      </c>
      <c r="BL20" s="24">
        <f t="shared" si="171"/>
        <v>14.637408584972976</v>
      </c>
      <c r="BM20" s="24">
        <f t="shared" si="171"/>
        <v>14.927066042428256</v>
      </c>
      <c r="BN20" s="24">
        <f t="shared" si="171"/>
        <v>15.222341642355962</v>
      </c>
      <c r="BR20" t="s">
        <v>24</v>
      </c>
      <c r="BS20" s="41" t="e">
        <f>#REF!</f>
        <v>#REF!</v>
      </c>
      <c r="BY20" s="27" t="s">
        <v>152</v>
      </c>
      <c r="BZ20" s="130"/>
      <c r="CA20" s="130"/>
      <c r="CB20" s="130"/>
      <c r="CC20" s="130"/>
      <c r="CD20" s="130"/>
      <c r="CE20" s="130"/>
      <c r="CF20" s="136">
        <f>-SUM(CE11:CH11)</f>
        <v>4.4373809894803733</v>
      </c>
      <c r="CG20" s="130"/>
      <c r="CH20" s="130"/>
    </row>
    <row r="21" spans="1:87">
      <c r="B21" s="58" t="s">
        <v>134</v>
      </c>
      <c r="C21" s="51" t="s">
        <v>166</v>
      </c>
      <c r="D21" s="24">
        <v>0</v>
      </c>
      <c r="E21" s="24">
        <f>E20*'R&amp;S - Transportation'!$B$15*('R&amp;S - Transportation'!$B$10*'R&amp;S - Transportation'!$B$19*(E$3-$D$3)/10)</f>
        <v>2.8064855229590197E-2</v>
      </c>
      <c r="F21" s="24">
        <f>F20*'R&amp;S - Transportation'!$B$15*('R&amp;S - Transportation'!$B$10*'R&amp;S - Transportation'!$B$19*(F$3-$D$3)/10)</f>
        <v>5.7197855488158089E-2</v>
      </c>
      <c r="G21" s="24">
        <f>G20*'R&amp;S - Transportation'!$B$15*('R&amp;S - Transportation'!$B$10*'R&amp;S - Transportation'!$B$19*(G$3-$D$3)/10)</f>
        <v>8.7429143942697463E-2</v>
      </c>
      <c r="H21" s="24">
        <f>H20*'R&amp;S - Transportation'!$B$15*('R&amp;S - Transportation'!$B$10*'R&amp;S - Transportation'!$B$19*(H$3-$D$3)/10)</f>
        <v>0.11878961286261247</v>
      </c>
      <c r="I21" s="24">
        <f>I20*'R&amp;S - Transportation'!$B$15*('R&amp;S - Transportation'!$B$10*'R&amp;S - Transportation'!$B$19*(I$3-$D$3)/10)</f>
        <v>0.15131092093761117</v>
      </c>
      <c r="J21" s="24">
        <f>J20*'R&amp;S - Transportation'!$B$15*('R&amp;S - Transportation'!$B$10*'R&amp;S - Transportation'!$B$19*(J$3-$D$3)/10)</f>
        <v>0.18502551097743344</v>
      </c>
      <c r="K21" s="24">
        <f>K20*'R&amp;S - Transportation'!$B$15*('R&amp;S - Transportation'!$B$10*'R&amp;S - Transportation'!$B$19*(K$3-$D$3)/10)</f>
        <v>0.21996662800155228</v>
      </c>
      <c r="L21" s="24">
        <f>L20*'R&amp;S - Transportation'!$B$15*('R&amp;S - Transportation'!$B$10*'R&amp;S - Transportation'!$B$19*(L$3-$D$3)/10)</f>
        <v>0.25616833772715686</v>
      </c>
      <c r="M21" s="24">
        <f>M20*'R&amp;S - Transportation'!$B$15*('R&amp;S - Transportation'!$B$10*'R&amp;S - Transportation'!$B$19*(M$3-$D$3)/10)</f>
        <v>0.29366554546389845</v>
      </c>
      <c r="N21" s="24">
        <f>N20*'R&amp;S - Transportation'!$B$15*('R&amp;S - Transportation'!$B$10*'R&amp;S - Transportation'!$B$19*(N$3-$D$3)/10)</f>
        <v>0.33249401542405632</v>
      </c>
      <c r="O21" s="24">
        <f>O20*('R&amp;S - Transportation'!$B$15*('R&amp;S - Transportation'!$B$10*('R&amp;S - Transportation'!$B$19+('R&amp;S - Transportation'!$B$20-'R&amp;S - Transportation'!$B$19)*(O3-$N$3)/10)))</f>
        <v>0.4417451923891651</v>
      </c>
      <c r="P21" s="24">
        <f>P20*('R&amp;S - Transportation'!$B$15*('R&amp;S - Transportation'!$B$10*('R&amp;S - Transportation'!$B$19+('R&amp;S - Transportation'!$B$20-'R&amp;S - Transportation'!$B$19)*(P3-$N$3)/10)))</f>
        <v>0.55562627419686217</v>
      </c>
      <c r="Q21" s="24">
        <f>Q20*('R&amp;S - Transportation'!$B$15*('R&amp;S - Transportation'!$B$10*('R&amp;S - Transportation'!$B$19+('R&amp;S - Transportation'!$B$20-'R&amp;S - Transportation'!$B$19)*(Q3-$N$3)/10)))</f>
        <v>0.67428029876678852</v>
      </c>
      <c r="R21" s="24">
        <f>R20*('R&amp;S - Transportation'!$B$15*('R&amp;S - Transportation'!$B$10*('R&amp;S - Transportation'!$B$19+('R&amp;S - Transportation'!$B$20-'R&amp;S - Transportation'!$B$19)*(R3-$N$3)/10)))</f>
        <v>0.79785412157602098</v>
      </c>
      <c r="S21" s="24">
        <f>S20*('R&amp;S - Transportation'!$B$15*('R&amp;S - Transportation'!$B$10*('R&amp;S - Transportation'!$B$19+('R&amp;S - Transportation'!$B$20-'R&amp;S - Transportation'!$B$19)*(S3-$N$3)/10)))</f>
        <v>0.92649850908734654</v>
      </c>
      <c r="T21" s="24">
        <f>T20*('R&amp;S - Transportation'!$B$15*('R&amp;S - Transportation'!$B$10*('R&amp;S - Transportation'!$B$19+('R&amp;S - Transportation'!$B$20-'R&amp;S - Transportation'!$B$19)*(T3-$N$3)/10)))</f>
        <v>1.0603682343353049</v>
      </c>
      <c r="U21" s="24">
        <f>U20*('R&amp;S - Transportation'!$B$15*('R&amp;S - Transportation'!$B$10*('R&amp;S - Transportation'!$B$19+('R&amp;S - Transportation'!$B$20-'R&amp;S - Transportation'!$B$19)*(U3-$N$3)/10)))</f>
        <v>1.1996221747177913</v>
      </c>
      <c r="V21" s="24">
        <f>V20*('R&amp;S - Transportation'!$B$15*('R&amp;S - Transportation'!$B$10*('R&amp;S - Transportation'!$B$19+('R&amp;S - Transportation'!$B$20-'R&amp;S - Transportation'!$B$19)*(V3-$N$3)/10)))</f>
        <v>1.3444234120420515</v>
      </c>
      <c r="W21" s="24">
        <f>W20*('R&amp;S - Transportation'!$B$15*('R&amp;S - Transportation'!$B$10*('R&amp;S - Transportation'!$B$19+('R&amp;S - Transportation'!$B$20-'R&amp;S - Transportation'!$B$19)*(W3-$N$3)/10)))</f>
        <v>1.4949393348749391</v>
      </c>
      <c r="X21" s="24">
        <f>X20*('R&amp;S - Transportation'!$B$15*('R&amp;S - Transportation'!$B$10*('R&amp;S - Transportation'!$B$19+('R&amp;S - Transportation'!$B$20-'R&amp;S - Transportation'!$B$19)*(X3-$N$3)/10)))</f>
        <v>1.6513417432483797</v>
      </c>
      <c r="Y21" s="24">
        <f>Y20*('R&amp;S - Transportation'!$B$15*('R&amp;S - Transportation'!$B$10*('R&amp;S - Transportation'!$B$20+('R&amp;S - Transportation'!$B$21-'R&amp;S - Transportation'!$B$20)*(Y3-$X$3)/10)))</f>
        <v>1.9367416705894585</v>
      </c>
      <c r="Z21" s="24">
        <f>Z20*('R&amp;S - Transportation'!$B$15*('R&amp;S - Transportation'!$B$10*('R&amp;S - Transportation'!$B$20+('R&amp;S - Transportation'!$B$21-'R&amp;S - Transportation'!$B$20)*(Z3-$X$3)/10)))</f>
        <v>2.2328045634348905</v>
      </c>
      <c r="AA21" s="24">
        <f>AA20*('R&amp;S - Transportation'!$B$15*('R&amp;S - Transportation'!$B$10*('R&amp;S - Transportation'!$B$20+('R&amp;S - Transportation'!$B$21-'R&amp;S - Transportation'!$B$20)*(AA3-$X$3)/10)))</f>
        <v>2.5398349043303785</v>
      </c>
      <c r="AB21" s="24">
        <f>AB20*('R&amp;S - Transportation'!$B$15*('R&amp;S - Transportation'!$B$10*('R&amp;S - Transportation'!$B$20+('R&amp;S - Transportation'!$B$21-'R&amp;S - Transportation'!$B$20)*(AB3-$X$3)/10)))</f>
        <v>2.8581448618102043</v>
      </c>
      <c r="AC21" s="24">
        <f>AC20*('R&amp;S - Transportation'!$B$15*('R&amp;S - Transportation'!$B$10*('R&amp;S - Transportation'!$B$20+('R&amp;S - Transportation'!$B$21-'R&amp;S - Transportation'!$B$20)*(AC3-$X$3)/10)))</f>
        <v>3.1880544707834333</v>
      </c>
      <c r="AD21" s="24">
        <f>AD20*('R&amp;S - Transportation'!$B$15*('R&amp;S - Transportation'!$B$10*('R&amp;S - Transportation'!$B$20+('R&amp;S - Transportation'!$B$21-'R&amp;S - Transportation'!$B$20)*(AD3-$X$3)/10)))</f>
        <v>3.5298918169519808</v>
      </c>
      <c r="AE21" s="24">
        <f>AE20*('R&amp;S - Transportation'!$B$15*('R&amp;S - Transportation'!$B$10*('R&amp;S - Transportation'!$B$20+('R&amp;S - Transportation'!$B$21-'R&amp;S - Transportation'!$B$20)*(AE3-$X$3)/10)))</f>
        <v>3.883993225347532</v>
      </c>
      <c r="AF21" s="24">
        <f>AF20*('R&amp;S - Transportation'!$B$15*('R&amp;S - Transportation'!$B$10*('R&amp;S - Transportation'!$B$20+('R&amp;S - Transportation'!$B$21-'R&amp;S - Transportation'!$B$20)*(AF3-$X$3)/10)))</f>
        <v>4.2507034530761523</v>
      </c>
      <c r="AG21" s="24">
        <f>AG20*('R&amp;S - Transportation'!$B$15*('R&amp;S - Transportation'!$B$10*('R&amp;S - Transportation'!$B$20+('R&amp;S - Transportation'!$B$21-'R&amp;S - Transportation'!$B$20)*(AG3-$X$3)/10)))</f>
        <v>4.6303758863612448</v>
      </c>
      <c r="AH21" s="24">
        <f>AH20*('R&amp;S - Transportation'!$B$15*('R&amp;S - Transportation'!$B$10*('R&amp;S - Transportation'!$B$20+('R&amp;S - Transportation'!$B$21-'R&amp;S - Transportation'!$B$20)*(AH3-$X$3)/10)))</f>
        <v>5.0233727419774681</v>
      </c>
      <c r="AI21" s="24"/>
      <c r="AJ21" s="24">
        <v>0</v>
      </c>
      <c r="AK21" s="24">
        <f>AK20*'R&amp;S - Transportation'!$B$16*('R&amp;S - Transportation'!$B$10*'R&amp;S - Transportation'!$B$19*(AK$3-$D$3)/10)</f>
        <v>1.4032427614795099E-2</v>
      </c>
      <c r="AL21" s="24">
        <f>AL20*'R&amp;S - Transportation'!$B$16*('R&amp;S - Transportation'!$B$10*'R&amp;S - Transportation'!$B$19*(AL$3-$D$3)/10)</f>
        <v>2.8598927744079045E-2</v>
      </c>
      <c r="AM21" s="24">
        <f>AM20*'R&amp;S - Transportation'!$B$16*('R&amp;S - Transportation'!$B$10*'R&amp;S - Transportation'!$B$19*(AM$3-$D$3)/10)</f>
        <v>4.3714571971348731E-2</v>
      </c>
      <c r="AN21" s="24">
        <f>AN20*'R&amp;S - Transportation'!$B$16*('R&amp;S - Transportation'!$B$10*'R&amp;S - Transportation'!$B$19*(AN$3-$D$3)/10)</f>
        <v>5.9394806431306235E-2</v>
      </c>
      <c r="AO21" s="24">
        <f>AO20*'R&amp;S - Transportation'!$B$16*('R&amp;S - Transportation'!$B$10*'R&amp;S - Transportation'!$B$19*(AO$3-$D$3)/10)</f>
        <v>7.5655460468805585E-2</v>
      </c>
      <c r="AP21" s="24">
        <f>AP20*'R&amp;S - Transportation'!$B$16*('R&amp;S - Transportation'!$B$10*'R&amp;S - Transportation'!$B$19*(AP$3-$D$3)/10)</f>
        <v>9.2512755488716722E-2</v>
      </c>
      <c r="AQ21" s="24">
        <f>AQ20*'R&amp;S - Transportation'!$B$16*('R&amp;S - Transportation'!$B$10*'R&amp;S - Transportation'!$B$19*(AQ$3-$D$3)/10)</f>
        <v>0.10998331400077614</v>
      </c>
      <c r="AR21" s="24">
        <f>AR20*'R&amp;S - Transportation'!$B$16*('R&amp;S - Transportation'!$B$10*'R&amp;S - Transportation'!$B$19*(AR$3-$D$3)/10)</f>
        <v>0.12808416886357843</v>
      </c>
      <c r="AS21" s="24">
        <f>AS20*'R&amp;S - Transportation'!$B$16*('R&amp;S - Transportation'!$B$10*'R&amp;S - Transportation'!$B$19*(AS$3-$D$3)/10)</f>
        <v>0.14683277273194922</v>
      </c>
      <c r="AT21" s="24">
        <f>AT20*'R&amp;S - Transportation'!$B$16*('R&amp;S - Transportation'!$B$10*'R&amp;S - Transportation'!$B$19*(AT$3-$D$3)/10)</f>
        <v>0.16624700771202816</v>
      </c>
      <c r="AU21" s="24">
        <f>AU20*('R&amp;S - Transportation'!$B$16*('R&amp;S - Transportation'!$B$10*('R&amp;S - Transportation'!$B$19+('R&amp;S - Transportation'!$B$20-'R&amp;S - Transportation'!$B$19)*(AU3-$N$3)/10)))</f>
        <v>0.22087259619458255</v>
      </c>
      <c r="AV21" s="24">
        <f>AV20*('R&amp;S - Transportation'!$B$16*('R&amp;S - Transportation'!$B$10*('R&amp;S - Transportation'!$B$19+('R&amp;S - Transportation'!$B$20-'R&amp;S - Transportation'!$B$19)*(AV3-$N$3)/10)))</f>
        <v>0.27781313709843108</v>
      </c>
      <c r="AW21" s="24">
        <f>AW20*('R&amp;S - Transportation'!$B$16*('R&amp;S - Transportation'!$B$10*('R&amp;S - Transportation'!$B$19+('R&amp;S - Transportation'!$B$20-'R&amp;S - Transportation'!$B$19)*(AW3-$N$3)/10)))</f>
        <v>0.33714014938339426</v>
      </c>
      <c r="AX21" s="24">
        <f>AX20*('R&amp;S - Transportation'!$B$16*('R&amp;S - Transportation'!$B$10*('R&amp;S - Transportation'!$B$19+('R&amp;S - Transportation'!$B$20-'R&amp;S - Transportation'!$B$19)*(AX3-$N$3)/10)))</f>
        <v>0.39892706078801049</v>
      </c>
      <c r="AY21" s="24">
        <f>AY20*('R&amp;S - Transportation'!$B$16*('R&amp;S - Transportation'!$B$10*('R&amp;S - Transportation'!$B$19+('R&amp;S - Transportation'!$B$20-'R&amp;S - Transportation'!$B$19)*(AY3-$N$3)/10)))</f>
        <v>0.46324925454367327</v>
      </c>
      <c r="AZ21" s="24">
        <f>AZ20*('R&amp;S - Transportation'!$B$16*('R&amp;S - Transportation'!$B$10*('R&amp;S - Transportation'!$B$19+('R&amp;S - Transportation'!$B$20-'R&amp;S - Transportation'!$B$19)*(AZ3-$N$3)/10)))</f>
        <v>0.53018411716765246</v>
      </c>
      <c r="BA21" s="24">
        <f>BA20*('R&amp;S - Transportation'!$B$16*('R&amp;S - Transportation'!$B$10*('R&amp;S - Transportation'!$B$19+('R&amp;S - Transportation'!$B$20-'R&amp;S - Transportation'!$B$19)*(BA3-$N$3)/10)))</f>
        <v>0.59981108735889566</v>
      </c>
      <c r="BB21" s="24">
        <f>BB20*('R&amp;S - Transportation'!$B$16*('R&amp;S - Transportation'!$B$10*('R&amp;S - Transportation'!$B$19+('R&amp;S - Transportation'!$B$20-'R&amp;S - Transportation'!$B$19)*(BB3-$N$3)/10)))</f>
        <v>0.67221170602102576</v>
      </c>
      <c r="BC21" s="24">
        <f>BC20*('R&amp;S - Transportation'!$B$16*('R&amp;S - Transportation'!$B$10*('R&amp;S - Transportation'!$B$19+('R&amp;S - Transportation'!$B$20-'R&amp;S - Transportation'!$B$19)*(BC3-$N$3)/10)))</f>
        <v>0.74746966743746956</v>
      </c>
      <c r="BD21" s="24">
        <f>BD20*('R&amp;S - Transportation'!$B$16*('R&amp;S - Transportation'!$B$10*('R&amp;S - Transportation'!$B$19+('R&amp;S - Transportation'!$B$20-'R&amp;S - Transportation'!$B$19)*(BD3-$N$3)/10)))</f>
        <v>0.82567087162418984</v>
      </c>
      <c r="BE21" s="24">
        <f>BE20*('R&amp;S - Transportation'!$B$16*('R&amp;S - Transportation'!$B$10*('R&amp;S - Transportation'!$B$20+('R&amp;S - Transportation'!$B$21-'R&amp;S - Transportation'!$B$20)*(BE3-$X$3)/10)))</f>
        <v>0.96837083529472923</v>
      </c>
      <c r="BF21" s="24">
        <f>BF20*('R&amp;S - Transportation'!$B$16*('R&amp;S - Transportation'!$B$10*('R&amp;S - Transportation'!$B$20+('R&amp;S - Transportation'!$B$21-'R&amp;S - Transportation'!$B$20)*(BF3-$X$3)/10)))</f>
        <v>1.1164022817174453</v>
      </c>
      <c r="BG21" s="24">
        <f>BG20*('R&amp;S - Transportation'!$B$16*('R&amp;S - Transportation'!$B$10*('R&amp;S - Transportation'!$B$20+('R&amp;S - Transportation'!$B$21-'R&amp;S - Transportation'!$B$20)*(BG3-$X$3)/10)))</f>
        <v>1.2699174521651893</v>
      </c>
      <c r="BH21" s="24">
        <f>BH20*('R&amp;S - Transportation'!$B$16*('R&amp;S - Transportation'!$B$10*('R&amp;S - Transportation'!$B$20+('R&amp;S - Transportation'!$B$21-'R&amp;S - Transportation'!$B$20)*(BH3-$X$3)/10)))</f>
        <v>1.4290724309051022</v>
      </c>
      <c r="BI21" s="24">
        <f>BI20*('R&amp;S - Transportation'!$B$16*('R&amp;S - Transportation'!$B$10*('R&amp;S - Transportation'!$B$20+('R&amp;S - Transportation'!$B$21-'R&amp;S - Transportation'!$B$20)*(BI3-$X$3)/10)))</f>
        <v>1.5940272353917166</v>
      </c>
      <c r="BJ21" s="24">
        <f>BJ20*('R&amp;S - Transportation'!$B$16*('R&amp;S - Transportation'!$B$10*('R&amp;S - Transportation'!$B$20+('R&amp;S - Transportation'!$B$21-'R&amp;S - Transportation'!$B$20)*(BJ3-$X$3)/10)))</f>
        <v>1.7649459084759904</v>
      </c>
      <c r="BK21" s="24">
        <f>BK20*('R&amp;S - Transportation'!$B$16*('R&amp;S - Transportation'!$B$10*('R&amp;S - Transportation'!$B$20+('R&amp;S - Transportation'!$B$21-'R&amp;S - Transportation'!$B$20)*(BK3-$X$3)/10)))</f>
        <v>1.941996612673766</v>
      </c>
      <c r="BL21" s="24">
        <f>BL20*('R&amp;S - Transportation'!$B$16*('R&amp;S - Transportation'!$B$10*('R&amp;S - Transportation'!$B$20+('R&amp;S - Transportation'!$B$21-'R&amp;S - Transportation'!$B$20)*(BL3-$X$3)/10)))</f>
        <v>2.1253517265380761</v>
      </c>
      <c r="BM21" s="24">
        <f>BM20*('R&amp;S - Transportation'!$B$16*('R&amp;S - Transportation'!$B$10*('R&amp;S - Transportation'!$B$20+('R&amp;S - Transportation'!$B$21-'R&amp;S - Transportation'!$B$20)*(BM3-$X$3)/10)))</f>
        <v>2.3151879431806224</v>
      </c>
      <c r="BN21" s="24">
        <f>BN20*('R&amp;S - Transportation'!$B$16*('R&amp;S - Transportation'!$B$10*('R&amp;S - Transportation'!$B$20+('R&amp;S - Transportation'!$B$21-'R&amp;S - Transportation'!$B$20)*(BN3-$X$3)/10)))</f>
        <v>2.511686370988734</v>
      </c>
      <c r="BS21" s="416" t="e">
        <f>SUM(BS14:BS20)</f>
        <v>#REF!</v>
      </c>
      <c r="BY21" s="27" t="s">
        <v>621</v>
      </c>
      <c r="BZ21" s="130"/>
      <c r="CA21" s="130"/>
      <c r="CB21" s="130"/>
      <c r="CC21" s="130"/>
      <c r="CD21" s="130"/>
      <c r="CE21" s="130"/>
      <c r="CF21" s="130"/>
      <c r="CG21" s="136">
        <f>SUM(AH114:AH115)</f>
        <v>20526.342175802736</v>
      </c>
      <c r="CH21" s="130"/>
    </row>
    <row r="22" spans="1:87">
      <c r="B22" s="58" t="s">
        <v>177</v>
      </c>
      <c r="C22" s="51" t="s">
        <v>166</v>
      </c>
      <c r="D22" s="24">
        <v>0</v>
      </c>
      <c r="E22" s="24">
        <f>E20*'R&amp;S - Transportation'!$B$15*('R&amp;S - Transportation'!$B$11*'R&amp;S - Transportation'!$B$19*(E$3-$D$3)/10)</f>
        <v>1.7859453327921038E-2</v>
      </c>
      <c r="F22" s="24">
        <f>F20*'R&amp;S - Transportation'!$B$15*('R&amp;S - Transportation'!$B$11*'R&amp;S - Transportation'!$B$19*(F$3-$D$3)/10)</f>
        <v>3.6398635310646063E-2</v>
      </c>
      <c r="G22" s="24">
        <f>G20*'R&amp;S - Transportation'!$B$15*('R&amp;S - Transportation'!$B$11*'R&amp;S - Transportation'!$B$19*(G$3-$D$3)/10)</f>
        <v>5.5636727963534749E-2</v>
      </c>
      <c r="H22" s="24">
        <f>H20*'R&amp;S - Transportation'!$B$15*('R&amp;S - Transportation'!$B$11*'R&amp;S - Transportation'!$B$19*(H$3-$D$3)/10)</f>
        <v>7.5593390003480671E-2</v>
      </c>
      <c r="I22" s="24">
        <f>I20*'R&amp;S - Transportation'!$B$15*('R&amp;S - Transportation'!$B$11*'R&amp;S - Transportation'!$B$19*(I$3-$D$3)/10)</f>
        <v>9.6288767869388919E-2</v>
      </c>
      <c r="J22" s="24">
        <f>J20*'R&amp;S - Transportation'!$B$15*('R&amp;S - Transportation'!$B$11*'R&amp;S - Transportation'!$B$19*(J$3-$D$3)/10)</f>
        <v>0.11774350698563946</v>
      </c>
      <c r="K22" s="24">
        <f>K20*'R&amp;S - Transportation'!$B$15*('R&amp;S - Transportation'!$B$11*'R&amp;S - Transportation'!$B$19*(K$3-$D$3)/10)</f>
        <v>0.13997876327371508</v>
      </c>
      <c r="L22" s="24">
        <f>L20*'R&amp;S - Transportation'!$B$15*('R&amp;S - Transportation'!$B$11*'R&amp;S - Transportation'!$B$19*(L$3-$D$3)/10)</f>
        <v>0.16301621491728166</v>
      </c>
      <c r="M22" s="24">
        <f>M20*'R&amp;S - Transportation'!$B$15*('R&amp;S - Transportation'!$B$11*'R&amp;S - Transportation'!$B$19*(M$3-$D$3)/10)</f>
        <v>0.18687807438611717</v>
      </c>
      <c r="N22" s="24">
        <f>N20*'R&amp;S - Transportation'!$B$15*('R&amp;S - Transportation'!$B$11*'R&amp;S - Transportation'!$B$19*(N$3-$D$3)/10)</f>
        <v>0.21158710072439949</v>
      </c>
      <c r="O22" s="24">
        <f>O20*('R&amp;S - Transportation'!$B$15*('R&amp;S - Transportation'!$B$11*('R&amp;S - Transportation'!$B$19+('R&amp;S - Transportation'!$B$20-'R&amp;S - Transportation'!$B$19)*(O3-$N$3)/10)))</f>
        <v>0.28111057697492325</v>
      </c>
      <c r="P22" s="24">
        <f>P20*('R&amp;S - Transportation'!$B$15*('R&amp;S - Transportation'!$B$11*('R&amp;S - Transportation'!$B$19+('R&amp;S - Transportation'!$B$20-'R&amp;S - Transportation'!$B$19)*(P3-$N$3)/10)))</f>
        <v>0.35358035630709411</v>
      </c>
      <c r="Q22" s="24">
        <f>Q20*('R&amp;S - Transportation'!$B$15*('R&amp;S - Transportation'!$B$11*('R&amp;S - Transportation'!$B$19+('R&amp;S - Transportation'!$B$20-'R&amp;S - Transportation'!$B$19)*(Q3-$N$3)/10)))</f>
        <v>0.42908746285159266</v>
      </c>
      <c r="R22" s="24">
        <f>R20*('R&amp;S - Transportation'!$B$15*('R&amp;S - Transportation'!$B$11*('R&amp;S - Transportation'!$B$19+('R&amp;S - Transportation'!$B$20-'R&amp;S - Transportation'!$B$19)*(R3-$N$3)/10)))</f>
        <v>0.50772535009383146</v>
      </c>
      <c r="S22" s="24">
        <f>S20*('R&amp;S - Transportation'!$B$15*('R&amp;S - Transportation'!$B$11*('R&amp;S - Transportation'!$B$19+('R&amp;S - Transportation'!$B$20-'R&amp;S - Transportation'!$B$19)*(S3-$N$3)/10)))</f>
        <v>0.58958996032831135</v>
      </c>
      <c r="T22" s="24">
        <f>T20*('R&amp;S - Transportation'!$B$15*('R&amp;S - Transportation'!$B$11*('R&amp;S - Transportation'!$B$19+('R&amp;S - Transportation'!$B$20-'R&amp;S - Transportation'!$B$19)*(T3-$N$3)/10)))</f>
        <v>0.67477978548610318</v>
      </c>
      <c r="U22" s="24">
        <f>U20*('R&amp;S - Transportation'!$B$15*('R&amp;S - Transportation'!$B$11*('R&amp;S - Transportation'!$B$19+('R&amp;S - Transportation'!$B$20-'R&amp;S - Transportation'!$B$19)*(U3-$N$3)/10)))</f>
        <v>0.76339592936586709</v>
      </c>
      <c r="V22" s="24">
        <f>V20*('R&amp;S - Transportation'!$B$15*('R&amp;S - Transportation'!$B$11*('R&amp;S - Transportation'!$B$19+('R&amp;S - Transportation'!$B$20-'R&amp;S - Transportation'!$B$19)*(V3-$N$3)/10)))</f>
        <v>0.85554217129948729</v>
      </c>
      <c r="W22" s="24">
        <f>W20*('R&amp;S - Transportation'!$B$15*('R&amp;S - Transportation'!$B$11*('R&amp;S - Transportation'!$B$19+('R&amp;S - Transportation'!$B$20-'R&amp;S - Transportation'!$B$19)*(W3-$N$3)/10)))</f>
        <v>0.9513250312840521</v>
      </c>
      <c r="X22" s="24">
        <f>X20*('R&amp;S - Transportation'!$B$15*('R&amp;S - Transportation'!$B$11*('R&amp;S - Transportation'!$B$19+('R&amp;S - Transportation'!$B$20-'R&amp;S - Transportation'!$B$19)*(X3-$N$3)/10)))</f>
        <v>1.0508538366126052</v>
      </c>
      <c r="Y22" s="24">
        <f>Y20*('R&amp;S - Transportation'!$B$15*('R&amp;S - Transportation'!$B$11*('R&amp;S - Transportation'!$B$20+('R&amp;S - Transportation'!$B$21-'R&amp;S - Transportation'!$B$20)*(Y3-$X$3)/10)))</f>
        <v>1.2324719721932917</v>
      </c>
      <c r="Z22" s="24">
        <f>Z20*('R&amp;S - Transportation'!$B$15*('R&amp;S - Transportation'!$B$11*('R&amp;S - Transportation'!$B$20+('R&amp;S - Transportation'!$B$21-'R&amp;S - Transportation'!$B$20)*(Z3-$X$3)/10)))</f>
        <v>1.4208756312767485</v>
      </c>
      <c r="AA22" s="24">
        <f>AA20*('R&amp;S - Transportation'!$B$15*('R&amp;S - Transportation'!$B$11*('R&amp;S - Transportation'!$B$20+('R&amp;S - Transportation'!$B$21-'R&amp;S - Transportation'!$B$20)*(AA3-$X$3)/10)))</f>
        <v>1.6162585754829677</v>
      </c>
      <c r="AB22" s="24">
        <f>AB20*('R&amp;S - Transportation'!$B$15*('R&amp;S - Transportation'!$B$11*('R&amp;S - Transportation'!$B$20+('R&amp;S - Transportation'!$B$21-'R&amp;S - Transportation'!$B$20)*(AB3-$X$3)/10)))</f>
        <v>1.8188194575155843</v>
      </c>
      <c r="AC22" s="24">
        <f>AC20*('R&amp;S - Transportation'!$B$15*('R&amp;S - Transportation'!$B$11*('R&amp;S - Transportation'!$B$20+('R&amp;S - Transportation'!$B$21-'R&amp;S - Transportation'!$B$20)*(AC3-$X$3)/10)))</f>
        <v>2.028761935953094</v>
      </c>
      <c r="AD22" s="24">
        <f>AD20*('R&amp;S - Transportation'!$B$15*('R&amp;S - Transportation'!$B$11*('R&amp;S - Transportation'!$B$20+('R&amp;S - Transportation'!$B$21-'R&amp;S - Transportation'!$B$20)*(AD3-$X$3)/10)))</f>
        <v>2.2462947926058057</v>
      </c>
      <c r="AE22" s="24">
        <f>AE20*('R&amp;S - Transportation'!$B$15*('R&amp;S - Transportation'!$B$11*('R&amp;S - Transportation'!$B$20+('R&amp;S - Transportation'!$B$21-'R&amp;S - Transportation'!$B$20)*(AE3-$X$3)/10)))</f>
        <v>2.4716320524938844</v>
      </c>
      <c r="AF22" s="24">
        <f>AF20*('R&amp;S - Transportation'!$B$15*('R&amp;S - Transportation'!$B$11*('R&amp;S - Transportation'!$B$20+('R&amp;S - Transportation'!$B$21-'R&amp;S - Transportation'!$B$20)*(AF3-$X$3)/10)))</f>
        <v>2.704993106503006</v>
      </c>
      <c r="AG22" s="24">
        <f>AG20*('R&amp;S - Transportation'!$B$15*('R&amp;S - Transportation'!$B$11*('R&amp;S - Transportation'!$B$20+('R&amp;S - Transportation'!$B$21-'R&amp;S - Transportation'!$B$20)*(AG3-$X$3)/10)))</f>
        <v>2.9466028367753379</v>
      </c>
      <c r="AH22" s="24">
        <f>AH20*('R&amp;S - Transportation'!$B$15*('R&amp;S - Transportation'!$B$11*('R&amp;S - Transportation'!$B$20+('R&amp;S - Transportation'!$B$21-'R&amp;S - Transportation'!$B$20)*(AH3-$X$3)/10)))</f>
        <v>3.1966917448947521</v>
      </c>
      <c r="AI22" s="24"/>
      <c r="AJ22" s="24">
        <v>0</v>
      </c>
      <c r="AK22" s="24">
        <f>AK20*'R&amp;S - Transportation'!$B$16*('R&amp;S - Transportation'!$B$11*'R&amp;S - Transportation'!$B$19*(AK$3-$D$3)/10)</f>
        <v>8.9297266639605192E-3</v>
      </c>
      <c r="AL22" s="24">
        <f>AL20*'R&amp;S - Transportation'!$B$16*('R&amp;S - Transportation'!$B$11*'R&amp;S - Transportation'!$B$19*(AL$3-$D$3)/10)</f>
        <v>1.8199317655323032E-2</v>
      </c>
      <c r="AM22" s="24">
        <f>AM20*'R&amp;S - Transportation'!$B$16*('R&amp;S - Transportation'!$B$11*'R&amp;S - Transportation'!$B$19*(AM$3-$D$3)/10)</f>
        <v>2.7818363981767374E-2</v>
      </c>
      <c r="AN22" s="24">
        <f>AN20*'R&amp;S - Transportation'!$B$16*('R&amp;S - Transportation'!$B$11*'R&amp;S - Transportation'!$B$19*(AN$3-$D$3)/10)</f>
        <v>3.7796695001740335E-2</v>
      </c>
      <c r="AO22" s="24">
        <f>AO20*'R&amp;S - Transportation'!$B$16*('R&amp;S - Transportation'!$B$11*'R&amp;S - Transportation'!$B$19*(AO$3-$D$3)/10)</f>
        <v>4.814438393469446E-2</v>
      </c>
      <c r="AP22" s="24">
        <f>AP20*'R&amp;S - Transportation'!$B$16*('R&amp;S - Transportation'!$B$11*'R&amp;S - Transportation'!$B$19*(AP$3-$D$3)/10)</f>
        <v>5.8871753492819728E-2</v>
      </c>
      <c r="AQ22" s="24">
        <f>AQ20*'R&amp;S - Transportation'!$B$16*('R&amp;S - Transportation'!$B$11*'R&amp;S - Transportation'!$B$19*(AQ$3-$D$3)/10)</f>
        <v>6.9989381636857542E-2</v>
      </c>
      <c r="AR22" s="24">
        <f>AR20*'R&amp;S - Transportation'!$B$16*('R&amp;S - Transportation'!$B$11*'R&amp;S - Transportation'!$B$19*(AR$3-$D$3)/10)</f>
        <v>8.150810745864083E-2</v>
      </c>
      <c r="AS22" s="24">
        <f>AS20*'R&amp;S - Transportation'!$B$16*('R&amp;S - Transportation'!$B$11*'R&amp;S - Transportation'!$B$19*(AS$3-$D$3)/10)</f>
        <v>9.3439037193058586E-2</v>
      </c>
      <c r="AT22" s="24">
        <f>AT20*'R&amp;S - Transportation'!$B$16*('R&amp;S - Transportation'!$B$11*'R&amp;S - Transportation'!$B$19*(AT$3-$D$3)/10)</f>
        <v>0.10579355036219974</v>
      </c>
      <c r="AU22" s="24">
        <f>AU20*('R&amp;S - Transportation'!$B$16*('R&amp;S - Transportation'!$B$11*('R&amp;S - Transportation'!$B$19+('R&amp;S - Transportation'!$B$20-'R&amp;S - Transportation'!$B$19)*(AU3-$N$3)/10)))</f>
        <v>0.14055528848746163</v>
      </c>
      <c r="AV22" s="24">
        <f>AV20*('R&amp;S - Transportation'!$B$16*('R&amp;S - Transportation'!$B$11*('R&amp;S - Transportation'!$B$19+('R&amp;S - Transportation'!$B$20-'R&amp;S - Transportation'!$B$19)*(AV3-$N$3)/10)))</f>
        <v>0.17679017815354706</v>
      </c>
      <c r="AW22" s="24">
        <f>AW20*('R&amp;S - Transportation'!$B$16*('R&amp;S - Transportation'!$B$11*('R&amp;S - Transportation'!$B$19+('R&amp;S - Transportation'!$B$20-'R&amp;S - Transportation'!$B$19)*(AW3-$N$3)/10)))</f>
        <v>0.21454373142579633</v>
      </c>
      <c r="AX22" s="24">
        <f>AX20*('R&amp;S - Transportation'!$B$16*('R&amp;S - Transportation'!$B$11*('R&amp;S - Transportation'!$B$19+('R&amp;S - Transportation'!$B$20-'R&amp;S - Transportation'!$B$19)*(AX3-$N$3)/10)))</f>
        <v>0.25386267504691573</v>
      </c>
      <c r="AY22" s="24">
        <f>AY20*('R&amp;S - Transportation'!$B$16*('R&amp;S - Transportation'!$B$11*('R&amp;S - Transportation'!$B$19+('R&amp;S - Transportation'!$B$20-'R&amp;S - Transportation'!$B$19)*(AY3-$N$3)/10)))</f>
        <v>0.29479498016415567</v>
      </c>
      <c r="AZ22" s="24">
        <f>AZ20*('R&amp;S - Transportation'!$B$16*('R&amp;S - Transportation'!$B$11*('R&amp;S - Transportation'!$B$19+('R&amp;S - Transportation'!$B$20-'R&amp;S - Transportation'!$B$19)*(AZ3-$N$3)/10)))</f>
        <v>0.33738989274305159</v>
      </c>
      <c r="BA22" s="24">
        <f>BA20*('R&amp;S - Transportation'!$B$16*('R&amp;S - Transportation'!$B$11*('R&amp;S - Transportation'!$B$19+('R&amp;S - Transportation'!$B$20-'R&amp;S - Transportation'!$B$19)*(BA3-$N$3)/10)))</f>
        <v>0.38169796468293354</v>
      </c>
      <c r="BB22" s="24">
        <f>BB20*('R&amp;S - Transportation'!$B$16*('R&amp;S - Transportation'!$B$11*('R&amp;S - Transportation'!$B$19+('R&amp;S - Transportation'!$B$20-'R&amp;S - Transportation'!$B$19)*(BB3-$N$3)/10)))</f>
        <v>0.42777108564974364</v>
      </c>
      <c r="BC22" s="24">
        <f>BC20*('R&amp;S - Transportation'!$B$16*('R&amp;S - Transportation'!$B$11*('R&amp;S - Transportation'!$B$19+('R&amp;S - Transportation'!$B$20-'R&amp;S - Transportation'!$B$19)*(BC3-$N$3)/10)))</f>
        <v>0.47566251564202605</v>
      </c>
      <c r="BD22" s="24">
        <f>BD20*('R&amp;S - Transportation'!$B$16*('R&amp;S - Transportation'!$B$11*('R&amp;S - Transportation'!$B$19+('R&amp;S - Transportation'!$B$20-'R&amp;S - Transportation'!$B$19)*(BD3-$N$3)/10)))</f>
        <v>0.52542691830630261</v>
      </c>
      <c r="BE22" s="24">
        <f>BE20*('R&amp;S - Transportation'!$B$16*('R&amp;S - Transportation'!$B$11*('R&amp;S - Transportation'!$B$20+('R&amp;S - Transportation'!$B$21-'R&amp;S - Transportation'!$B$20)*(BE3-$X$3)/10)))</f>
        <v>0.61623598609664587</v>
      </c>
      <c r="BF22" s="24">
        <f>BF20*('R&amp;S - Transportation'!$B$16*('R&amp;S - Transportation'!$B$11*('R&amp;S - Transportation'!$B$20+('R&amp;S - Transportation'!$B$21-'R&amp;S - Transportation'!$B$20)*(BF3-$X$3)/10)))</f>
        <v>0.71043781563837427</v>
      </c>
      <c r="BG22" s="24">
        <f>BG20*('R&amp;S - Transportation'!$B$16*('R&amp;S - Transportation'!$B$11*('R&amp;S - Transportation'!$B$20+('R&amp;S - Transportation'!$B$21-'R&amp;S - Transportation'!$B$20)*(BG3-$X$3)/10)))</f>
        <v>0.80812928774148385</v>
      </c>
      <c r="BH22" s="24">
        <f>BH20*('R&amp;S - Transportation'!$B$16*('R&amp;S - Transportation'!$B$11*('R&amp;S - Transportation'!$B$20+('R&amp;S - Transportation'!$B$21-'R&amp;S - Transportation'!$B$20)*(BH3-$X$3)/10)))</f>
        <v>0.90940972875779214</v>
      </c>
      <c r="BI22" s="24">
        <f>BI20*('R&amp;S - Transportation'!$B$16*('R&amp;S - Transportation'!$B$11*('R&amp;S - Transportation'!$B$20+('R&amp;S - Transportation'!$B$21-'R&amp;S - Transportation'!$B$20)*(BI3-$X$3)/10)))</f>
        <v>1.014380967976547</v>
      </c>
      <c r="BJ22" s="24">
        <f>BJ20*('R&amp;S - Transportation'!$B$16*('R&amp;S - Transportation'!$B$11*('R&amp;S - Transportation'!$B$20+('R&amp;S - Transportation'!$B$21-'R&amp;S - Transportation'!$B$20)*(BJ3-$X$3)/10)))</f>
        <v>1.1231473963029028</v>
      </c>
      <c r="BK22" s="24">
        <f>BK20*('R&amp;S - Transportation'!$B$16*('R&amp;S - Transportation'!$B$11*('R&amp;S - Transportation'!$B$20+('R&amp;S - Transportation'!$B$21-'R&amp;S - Transportation'!$B$20)*(BK3-$X$3)/10)))</f>
        <v>1.2358160262469422</v>
      </c>
      <c r="BL22" s="24">
        <f>BL20*('R&amp;S - Transportation'!$B$16*('R&amp;S - Transportation'!$B$11*('R&amp;S - Transportation'!$B$20+('R&amp;S - Transportation'!$B$21-'R&amp;S - Transportation'!$B$20)*(BL3-$X$3)/10)))</f>
        <v>1.352496553251503</v>
      </c>
      <c r="BM22" s="24">
        <f>BM20*('R&amp;S - Transportation'!$B$16*('R&amp;S - Transportation'!$B$11*('R&amp;S - Transportation'!$B$20+('R&amp;S - Transportation'!$B$21-'R&amp;S - Transportation'!$B$20)*(BM3-$X$3)/10)))</f>
        <v>1.4733014183876689</v>
      </c>
      <c r="BN22" s="24">
        <f>BN20*('R&amp;S - Transportation'!$B$16*('R&amp;S - Transportation'!$B$11*('R&amp;S - Transportation'!$B$20+('R&amp;S - Transportation'!$B$21-'R&amp;S - Transportation'!$B$20)*(BN3-$X$3)/10)))</f>
        <v>1.598345872447376</v>
      </c>
      <c r="BR22" t="s">
        <v>232</v>
      </c>
      <c r="BS22" s="41">
        <f>AH4</f>
        <v>182</v>
      </c>
      <c r="BY22" s="27" t="s">
        <v>1288</v>
      </c>
      <c r="BZ22" s="130"/>
      <c r="CA22" s="130"/>
      <c r="CB22" s="130"/>
      <c r="CC22" s="130"/>
      <c r="CD22" s="130"/>
      <c r="CE22" s="130"/>
      <c r="CF22" s="130"/>
      <c r="CG22" s="136">
        <f>SUM(AH120:AH121)</f>
        <v>5783.2216077770736</v>
      </c>
      <c r="CH22" s="130"/>
    </row>
    <row r="23" spans="1:87">
      <c r="B23" s="1" t="s">
        <v>164</v>
      </c>
      <c r="C23" s="51" t="s">
        <v>166</v>
      </c>
      <c r="D23" s="24">
        <f>SUM(D21:D22)</f>
        <v>0</v>
      </c>
      <c r="E23" s="24">
        <f t="shared" ref="E23:AG23" si="172">SUM(E21:E22)</f>
        <v>4.5924308557511236E-2</v>
      </c>
      <c r="F23" s="24">
        <f t="shared" si="172"/>
        <v>9.3596490798804152E-2</v>
      </c>
      <c r="G23" s="24">
        <f t="shared" si="172"/>
        <v>0.14306587190623221</v>
      </c>
      <c r="H23" s="24">
        <f t="shared" si="172"/>
        <v>0.19438300286609314</v>
      </c>
      <c r="I23" s="24">
        <f t="shared" si="172"/>
        <v>0.24759968880700009</v>
      </c>
      <c r="J23" s="24">
        <f t="shared" si="172"/>
        <v>0.30276901796307287</v>
      </c>
      <c r="K23" s="24">
        <f t="shared" si="172"/>
        <v>0.35994539127526737</v>
      </c>
      <c r="L23" s="24">
        <f t="shared" si="172"/>
        <v>0.41918455264443855</v>
      </c>
      <c r="M23" s="24">
        <f t="shared" si="172"/>
        <v>0.48054361985001559</v>
      </c>
      <c r="N23" s="24">
        <f t="shared" si="172"/>
        <v>0.54408111614845578</v>
      </c>
      <c r="O23" s="24">
        <f t="shared" si="172"/>
        <v>0.72285576936408835</v>
      </c>
      <c r="P23" s="24">
        <f t="shared" si="172"/>
        <v>0.90920663050395634</v>
      </c>
      <c r="Q23" s="24">
        <f t="shared" si="172"/>
        <v>1.1033677616183812</v>
      </c>
      <c r="R23" s="24">
        <f t="shared" si="172"/>
        <v>1.3055794716698523</v>
      </c>
      <c r="S23" s="24">
        <f t="shared" si="172"/>
        <v>1.5160884694156578</v>
      </c>
      <c r="T23" s="24">
        <f t="shared" si="172"/>
        <v>1.7351480198214082</v>
      </c>
      <c r="U23" s="24">
        <f t="shared" si="172"/>
        <v>1.9630181040836585</v>
      </c>
      <c r="V23" s="24">
        <f t="shared" si="172"/>
        <v>2.1999655833415388</v>
      </c>
      <c r="W23" s="24">
        <f t="shared" si="172"/>
        <v>2.4462643661589913</v>
      </c>
      <c r="X23" s="24">
        <f t="shared" si="172"/>
        <v>2.7021955798609847</v>
      </c>
      <c r="Y23" s="24">
        <f t="shared" si="172"/>
        <v>3.1692136427827502</v>
      </c>
      <c r="Z23" s="24">
        <f t="shared" si="172"/>
        <v>3.6536801947116393</v>
      </c>
      <c r="AA23" s="24">
        <f t="shared" si="172"/>
        <v>4.1560934798133466</v>
      </c>
      <c r="AB23" s="24">
        <f t="shared" si="172"/>
        <v>4.6769643193257888</v>
      </c>
      <c r="AC23" s="24">
        <f t="shared" si="172"/>
        <v>5.2168164067365268</v>
      </c>
      <c r="AD23" s="24">
        <f t="shared" si="172"/>
        <v>5.7761866095577865</v>
      </c>
      <c r="AE23" s="24">
        <f t="shared" si="172"/>
        <v>6.3556252778414164</v>
      </c>
      <c r="AF23" s="24">
        <f t="shared" si="172"/>
        <v>6.9556965595791578</v>
      </c>
      <c r="AG23" s="24">
        <f t="shared" si="172"/>
        <v>7.5769787231365822</v>
      </c>
      <c r="AH23" s="24">
        <f>SUM(AH21:AH22)</f>
        <v>8.2200644868722197</v>
      </c>
      <c r="AI23" s="24"/>
      <c r="AJ23" s="24">
        <f>SUM(AJ21:AJ22)</f>
        <v>0</v>
      </c>
      <c r="AK23" s="24">
        <f t="shared" ref="AK23:BM23" si="173">SUM(AK21:AK22)</f>
        <v>2.2962154278755618E-2</v>
      </c>
      <c r="AL23" s="24">
        <f t="shared" si="173"/>
        <v>4.6798245399402076E-2</v>
      </c>
      <c r="AM23" s="24">
        <f t="shared" si="173"/>
        <v>7.1532935953116106E-2</v>
      </c>
      <c r="AN23" s="24">
        <f t="shared" si="173"/>
        <v>9.719150143304657E-2</v>
      </c>
      <c r="AO23" s="24">
        <f t="shared" si="173"/>
        <v>0.12379984440350005</v>
      </c>
      <c r="AP23" s="24">
        <f t="shared" si="173"/>
        <v>0.15138450898153644</v>
      </c>
      <c r="AQ23" s="24">
        <f t="shared" si="173"/>
        <v>0.17997269563763368</v>
      </c>
      <c r="AR23" s="24">
        <f t="shared" si="173"/>
        <v>0.20959227632221927</v>
      </c>
      <c r="AS23" s="24">
        <f t="shared" si="173"/>
        <v>0.2402718099250078</v>
      </c>
      <c r="AT23" s="24">
        <f t="shared" si="173"/>
        <v>0.27204055807422789</v>
      </c>
      <c r="AU23" s="24">
        <f t="shared" si="173"/>
        <v>0.36142788468204418</v>
      </c>
      <c r="AV23" s="24">
        <f t="shared" si="173"/>
        <v>0.45460331525197817</v>
      </c>
      <c r="AW23" s="24">
        <f t="shared" si="173"/>
        <v>0.55168388080919062</v>
      </c>
      <c r="AX23" s="24">
        <f t="shared" si="173"/>
        <v>0.65278973583492617</v>
      </c>
      <c r="AY23" s="24">
        <f t="shared" si="173"/>
        <v>0.75804423470782889</v>
      </c>
      <c r="AZ23" s="24">
        <f t="shared" si="173"/>
        <v>0.8675740099107041</v>
      </c>
      <c r="BA23" s="24">
        <f t="shared" si="173"/>
        <v>0.98150905204182926</v>
      </c>
      <c r="BB23" s="24">
        <f t="shared" si="173"/>
        <v>1.0999827916707694</v>
      </c>
      <c r="BC23" s="24">
        <f t="shared" si="173"/>
        <v>1.2231321830794957</v>
      </c>
      <c r="BD23" s="24">
        <f t="shared" si="173"/>
        <v>1.3510977899304923</v>
      </c>
      <c r="BE23" s="24">
        <f t="shared" si="173"/>
        <v>1.5846068213913751</v>
      </c>
      <c r="BF23" s="24">
        <f t="shared" si="173"/>
        <v>1.8268400973558196</v>
      </c>
      <c r="BG23" s="24">
        <f t="shared" si="173"/>
        <v>2.0780467399066733</v>
      </c>
      <c r="BH23" s="24">
        <f t="shared" si="173"/>
        <v>2.3384821596628944</v>
      </c>
      <c r="BI23" s="24">
        <f t="shared" si="173"/>
        <v>2.6084082033682634</v>
      </c>
      <c r="BJ23" s="24">
        <f t="shared" si="173"/>
        <v>2.8880933047788933</v>
      </c>
      <c r="BK23" s="24">
        <f t="shared" si="173"/>
        <v>3.1778126389207082</v>
      </c>
      <c r="BL23" s="24">
        <f t="shared" si="173"/>
        <v>3.4778482797895789</v>
      </c>
      <c r="BM23" s="24">
        <f t="shared" si="173"/>
        <v>3.7884893615682911</v>
      </c>
      <c r="BN23" s="24">
        <f>SUM(BN21:BN22)</f>
        <v>4.1100322434361098</v>
      </c>
      <c r="BY23" s="27" t="s">
        <v>578</v>
      </c>
      <c r="BZ23" s="130"/>
      <c r="CA23" s="136">
        <v>72.099999999999994</v>
      </c>
      <c r="CB23" s="136">
        <v>300</v>
      </c>
      <c r="CC23" s="130"/>
      <c r="CD23" s="522">
        <f>CI12</f>
        <v>2847.1586808909951</v>
      </c>
      <c r="CE23" s="130"/>
      <c r="CF23" s="130"/>
      <c r="CG23" s="130"/>
      <c r="CH23" s="130"/>
    </row>
    <row r="24" spans="1:87">
      <c r="B24" s="1" t="s">
        <v>167</v>
      </c>
      <c r="C24" s="51" t="s">
        <v>166</v>
      </c>
      <c r="D24" s="24">
        <v>0</v>
      </c>
      <c r="E24" s="24">
        <v>0</v>
      </c>
      <c r="F24" s="24">
        <v>0</v>
      </c>
      <c r="G24" s="24">
        <v>0</v>
      </c>
      <c r="H24" s="24">
        <v>0</v>
      </c>
      <c r="I24" s="24">
        <v>0</v>
      </c>
      <c r="J24" s="24">
        <v>0</v>
      </c>
      <c r="K24" s="24">
        <v>0</v>
      </c>
      <c r="L24" s="24">
        <v>0</v>
      </c>
      <c r="M24" s="24">
        <v>0</v>
      </c>
      <c r="N24" s="24">
        <v>0</v>
      </c>
      <c r="O24" s="24">
        <v>0</v>
      </c>
      <c r="P24" s="24">
        <v>0</v>
      </c>
      <c r="Q24" s="24">
        <v>0</v>
      </c>
      <c r="R24" s="24">
        <v>0</v>
      </c>
      <c r="S24" s="24">
        <v>0</v>
      </c>
      <c r="T24" s="24">
        <v>0</v>
      </c>
      <c r="U24" s="24">
        <v>0</v>
      </c>
      <c r="V24" s="24">
        <v>0</v>
      </c>
      <c r="W24" s="24">
        <v>0</v>
      </c>
      <c r="X24" s="24">
        <v>0</v>
      </c>
      <c r="Y24" s="24">
        <v>0</v>
      </c>
      <c r="Z24" s="24">
        <v>0</v>
      </c>
      <c r="AA24" s="24">
        <v>0</v>
      </c>
      <c r="AB24" s="24">
        <v>0</v>
      </c>
      <c r="AC24" s="24">
        <v>0</v>
      </c>
      <c r="AD24" s="24">
        <v>0</v>
      </c>
      <c r="AE24" s="24">
        <v>0</v>
      </c>
      <c r="AF24" s="24">
        <v>0</v>
      </c>
      <c r="AG24" s="24">
        <v>0</v>
      </c>
      <c r="AH24" s="24">
        <v>0</v>
      </c>
      <c r="AI24" s="24"/>
      <c r="AJ24" s="24">
        <v>0</v>
      </c>
      <c r="AK24" s="24">
        <v>0</v>
      </c>
      <c r="AL24" s="24">
        <v>0</v>
      </c>
      <c r="AM24" s="24">
        <v>0</v>
      </c>
      <c r="AN24" s="24">
        <v>0</v>
      </c>
      <c r="AO24" s="24">
        <v>0</v>
      </c>
      <c r="AP24" s="24">
        <v>0</v>
      </c>
      <c r="AQ24" s="24">
        <v>0</v>
      </c>
      <c r="AR24" s="24">
        <v>0</v>
      </c>
      <c r="AS24" s="24">
        <v>0</v>
      </c>
      <c r="AT24" s="24">
        <v>0</v>
      </c>
      <c r="AU24" s="24">
        <v>0</v>
      </c>
      <c r="AV24" s="24">
        <v>0</v>
      </c>
      <c r="AW24" s="24">
        <v>0</v>
      </c>
      <c r="AX24" s="24">
        <v>0</v>
      </c>
      <c r="AY24" s="24">
        <v>0</v>
      </c>
      <c r="AZ24" s="24">
        <v>0</v>
      </c>
      <c r="BA24" s="24">
        <v>0</v>
      </c>
      <c r="BB24" s="24">
        <v>0</v>
      </c>
      <c r="BC24" s="24">
        <v>0</v>
      </c>
      <c r="BD24" s="24">
        <v>0</v>
      </c>
      <c r="BE24" s="24">
        <v>0</v>
      </c>
      <c r="BF24" s="24">
        <v>0</v>
      </c>
      <c r="BG24" s="24">
        <v>0</v>
      </c>
      <c r="BH24" s="24">
        <v>0</v>
      </c>
      <c r="BI24" s="24">
        <v>0</v>
      </c>
      <c r="BJ24" s="24">
        <v>0</v>
      </c>
      <c r="BK24" s="24">
        <v>0</v>
      </c>
      <c r="BL24" s="24">
        <v>0</v>
      </c>
      <c r="BM24" s="24">
        <v>0</v>
      </c>
      <c r="BN24" s="24">
        <v>0</v>
      </c>
      <c r="BQ24" t="s">
        <v>914</v>
      </c>
      <c r="BR24">
        <v>2020</v>
      </c>
      <c r="BS24">
        <v>2050</v>
      </c>
    </row>
    <row r="25" spans="1:87">
      <c r="B25" s="1" t="s">
        <v>195</v>
      </c>
      <c r="C25" s="61" t="s">
        <v>166</v>
      </c>
      <c r="D25" s="25">
        <f>D20-D23-D24</f>
        <v>8.3456504736096182</v>
      </c>
      <c r="E25" s="25">
        <f t="shared" ref="E25:AH25" si="174">E20-E23-E24</f>
        <v>8.4585772761667908</v>
      </c>
      <c r="F25" s="25">
        <f t="shared" si="174"/>
        <v>8.5727452498312093</v>
      </c>
      <c r="G25" s="25">
        <f t="shared" si="174"/>
        <v>8.6881607889722989</v>
      </c>
      <c r="H25" s="25">
        <f t="shared" si="174"/>
        <v>8.8048300927863661</v>
      </c>
      <c r="I25" s="25">
        <f t="shared" si="174"/>
        <v>8.9227591558967063</v>
      </c>
      <c r="J25" s="25">
        <f t="shared" si="174"/>
        <v>9.0419537586749801</v>
      </c>
      <c r="K25" s="25">
        <f t="shared" si="174"/>
        <v>9.1624194572767781</v>
      </c>
      <c r="L25" s="25">
        <f t="shared" si="174"/>
        <v>9.28416157338423</v>
      </c>
      <c r="M25" s="25">
        <f t="shared" si="174"/>
        <v>9.407185183648247</v>
      </c>
      <c r="N25" s="25">
        <f t="shared" si="174"/>
        <v>9.5314951088229467</v>
      </c>
      <c r="O25" s="25">
        <f t="shared" si="174"/>
        <v>9.5742349623180818</v>
      </c>
      <c r="P25" s="25">
        <f t="shared" si="174"/>
        <v>9.6140182595881285</v>
      </c>
      <c r="Q25" s="25">
        <f t="shared" si="174"/>
        <v>9.6507039890481021</v>
      </c>
      <c r="R25" s="25">
        <f t="shared" si="174"/>
        <v>9.6841467208373224</v>
      </c>
      <c r="S25" s="25">
        <f t="shared" si="174"/>
        <v>9.7141964892188444</v>
      </c>
      <c r="T25" s="25">
        <f t="shared" si="174"/>
        <v>9.7406986721191195</v>
      </c>
      <c r="U25" s="25">
        <f t="shared" si="174"/>
        <v>9.7634938677422554</v>
      </c>
      <c r="V25" s="25">
        <f t="shared" si="174"/>
        <v>9.7824177681918929</v>
      </c>
      <c r="W25" s="25">
        <f t="shared" si="174"/>
        <v>9.7973010300321555</v>
      </c>
      <c r="X25" s="25">
        <f t="shared" si="174"/>
        <v>9.8079691417176491</v>
      </c>
      <c r="Y25" s="25">
        <f t="shared" si="174"/>
        <v>9.5892953861333119</v>
      </c>
      <c r="Z25" s="25">
        <f t="shared" si="174"/>
        <v>9.358001410386791</v>
      </c>
      <c r="AA25" s="25">
        <f t="shared" si="174"/>
        <v>9.1136813599482931</v>
      </c>
      <c r="AB25" s="25">
        <f t="shared" si="174"/>
        <v>8.8559185490937384</v>
      </c>
      <c r="AC25" s="25">
        <f t="shared" si="174"/>
        <v>8.5842851983865618</v>
      </c>
      <c r="AD25" s="25">
        <f t="shared" si="174"/>
        <v>8.2983421661678136</v>
      </c>
      <c r="AE25" s="25">
        <f t="shared" si="174"/>
        <v>7.9976386739232987</v>
      </c>
      <c r="AF25" s="25">
        <f t="shared" si="174"/>
        <v>7.6817120253938178</v>
      </c>
      <c r="AG25" s="25">
        <f t="shared" si="174"/>
        <v>7.3500873192916742</v>
      </c>
      <c r="AH25" s="25">
        <f t="shared" si="174"/>
        <v>7.0022771554837426</v>
      </c>
      <c r="AI25" s="24"/>
      <c r="AJ25" s="25">
        <f>AJ20-AJ23-AJ24</f>
        <v>8.3456504736096182</v>
      </c>
      <c r="AK25" s="25">
        <f t="shared" ref="AK25" si="175">AK20-AK23-AK24</f>
        <v>8.4815394304455474</v>
      </c>
      <c r="AL25" s="25">
        <f t="shared" ref="AL25" si="176">AL20-AL23-AL24</f>
        <v>8.6195434952306105</v>
      </c>
      <c r="AM25" s="25">
        <f t="shared" ref="AM25" si="177">AM20-AM23-AM24</f>
        <v>8.7596937249254161</v>
      </c>
      <c r="AN25" s="25">
        <f t="shared" ref="AN25" si="178">AN20-AN23-AN24</f>
        <v>8.9020215942194127</v>
      </c>
      <c r="AO25" s="25">
        <f t="shared" ref="AO25" si="179">AO20-AO23-AO24</f>
        <v>9.0465590003002063</v>
      </c>
      <c r="AP25" s="25">
        <f t="shared" ref="AP25" si="180">AP20-AP23-AP24</f>
        <v>9.1933382676565163</v>
      </c>
      <c r="AQ25" s="25">
        <f t="shared" ref="AQ25" si="181">AQ20-AQ23-AQ24</f>
        <v>9.3423921529144121</v>
      </c>
      <c r="AR25" s="25">
        <f t="shared" ref="AR25" si="182">AR20-AR23-AR24</f>
        <v>9.4937538497064491</v>
      </c>
      <c r="AS25" s="25">
        <f t="shared" ref="AS25" si="183">AS20-AS23-AS24</f>
        <v>9.6474569935732557</v>
      </c>
      <c r="AT25" s="25">
        <f t="shared" ref="AT25" si="184">AT20-AT23-AT24</f>
        <v>9.8035356668971758</v>
      </c>
      <c r="AU25" s="25">
        <f t="shared" ref="AU25" si="185">AU20-AU23-AU24</f>
        <v>9.9356628470001258</v>
      </c>
      <c r="AV25" s="25">
        <f t="shared" ref="AV25" si="186">AV20-AV23-AV24</f>
        <v>10.068621574840106</v>
      </c>
      <c r="AW25" s="25">
        <f t="shared" ref="AW25" si="187">AW20-AW23-AW24</f>
        <v>10.202387869857294</v>
      </c>
      <c r="AX25" s="25">
        <f t="shared" ref="AX25" si="188">AX20-AX23-AX24</f>
        <v>10.336936456672248</v>
      </c>
      <c r="AY25" s="25">
        <f t="shared" ref="AY25" si="189">AY20-AY23-AY24</f>
        <v>10.472240723926674</v>
      </c>
      <c r="AZ25" s="25">
        <f t="shared" ref="AZ25" si="190">AZ20-AZ23-AZ24</f>
        <v>10.608272682029824</v>
      </c>
      <c r="BA25" s="25">
        <f t="shared" ref="BA25" si="191">BA20-BA23-BA24</f>
        <v>10.745002919784085</v>
      </c>
      <c r="BB25" s="25">
        <f t="shared" ref="BB25" si="192">BB20-BB23-BB24</f>
        <v>10.882400559862663</v>
      </c>
      <c r="BC25" s="25">
        <f t="shared" ref="BC25" si="193">BC20-BC23-BC24</f>
        <v>11.020433213111652</v>
      </c>
      <c r="BD25" s="25">
        <f t="shared" ref="BD25" si="194">BD20-BD23-BD24</f>
        <v>11.159066931648141</v>
      </c>
      <c r="BE25" s="25">
        <f t="shared" ref="BE25" si="195">BE20-BE23-BE24</f>
        <v>11.173902207524687</v>
      </c>
      <c r="BF25" s="25">
        <f t="shared" ref="BF25" si="196">BF20-BF23-BF24</f>
        <v>11.184841507742609</v>
      </c>
      <c r="BG25" s="25">
        <f t="shared" ref="BG25" si="197">BG20-BG23-BG24</f>
        <v>11.191728099854966</v>
      </c>
      <c r="BH25" s="25">
        <f t="shared" ref="BH25" si="198">BH20-BH23-BH24</f>
        <v>11.194400708756632</v>
      </c>
      <c r="BI25" s="25">
        <f t="shared" ref="BI25" si="199">BI20-BI23-BI24</f>
        <v>11.192693401754825</v>
      </c>
      <c r="BJ25" s="25">
        <f t="shared" ref="BJ25" si="200">BJ20-BJ23-BJ24</f>
        <v>11.186435470946707</v>
      </c>
      <c r="BK25" s="25">
        <f t="shared" ref="BK25" si="201">BK20-BK23-BK24</f>
        <v>11.175451312844007</v>
      </c>
      <c r="BL25" s="25">
        <f t="shared" ref="BL25" si="202">BL20-BL23-BL24</f>
        <v>11.159560305183398</v>
      </c>
      <c r="BM25" s="25">
        <f t="shared" ref="BM25" si="203">BM20-BM23-BM24</f>
        <v>11.138576680859966</v>
      </c>
      <c r="BN25" s="25">
        <f t="shared" ref="BN25" si="204">BN20-BN23-BN24</f>
        <v>11.112309398919852</v>
      </c>
      <c r="BR25" s="41" t="e">
        <f>SUM(D18,D29,D40,D47,#REF!,D56)</f>
        <v>#REF!</v>
      </c>
      <c r="BS25" s="41" t="e">
        <f>SUM(AH18,AH29,AH40,AH47,#REF!,AH56)</f>
        <v>#REF!</v>
      </c>
    </row>
    <row r="26" spans="1:87" s="62" customFormat="1">
      <c r="A26" s="684"/>
      <c r="B26" s="55" t="s">
        <v>885</v>
      </c>
      <c r="C26" s="56" t="s">
        <v>166</v>
      </c>
      <c r="D26" s="650">
        <f>D$7/(D$7+D$9)*D25</f>
        <v>1.3994174760482763</v>
      </c>
      <c r="E26" s="650">
        <f t="shared" ref="E26" si="205">E$7/(E$7+E$9)*E25</f>
        <v>1.3847458059501703</v>
      </c>
      <c r="F26" s="650">
        <f t="shared" ref="F26" si="206">F$7/(F$7+F$9)*F25</f>
        <v>1.3748866826323491</v>
      </c>
      <c r="G26" s="650">
        <f t="shared" ref="G26" si="207">G$7/(G$7+G$9)*G25</f>
        <v>1.3688686969532948</v>
      </c>
      <c r="H26" s="650">
        <f t="shared" ref="H26" si="208">H$7/(H$7+H$9)*H25</f>
        <v>1.3659788498602432</v>
      </c>
      <c r="I26" s="650">
        <f t="shared" ref="I26" si="209">I$7/(I$7+I$9)*I25</f>
        <v>1.365682326868991</v>
      </c>
      <c r="J26" s="650">
        <f t="shared" ref="J26" si="210">J$7/(J$7+J$9)*J25</f>
        <v>1.367570423648119</v>
      </c>
      <c r="K26" s="650">
        <f t="shared" ref="K26" si="211">K$7/(K$7+K$9)*K25</f>
        <v>1.3713257353339061</v>
      </c>
      <c r="L26" s="650">
        <f t="shared" ref="L26" si="212">L$7/(L$7+L$9)*L25</f>
        <v>1.3766982824654601</v>
      </c>
      <c r="M26" s="650">
        <f t="shared" ref="M26" si="213">M$7/(M$7+M$9)*M25</f>
        <v>1.3834887647399816</v>
      </c>
      <c r="N26" s="650">
        <f t="shared" ref="N26" si="214">N$7/(N$7+N$9)*N25</f>
        <v>1.3915365779158964</v>
      </c>
      <c r="O26" s="650">
        <f t="shared" ref="O26" si="215">O$7/(O$7+O$9)*O25</f>
        <v>1.4025578271958115</v>
      </c>
      <c r="P26" s="650">
        <f t="shared" ref="P26" si="216">P$7/(P$7+P$9)*P25</f>
        <v>1.4133992736179206</v>
      </c>
      <c r="Q26" s="650">
        <f t="shared" ref="Q26" si="217">Q$7/(Q$7+Q$9)*Q25</f>
        <v>1.424041824473014</v>
      </c>
      <c r="R26" s="650">
        <f t="shared" ref="R26" si="218">R$7/(R$7+R$9)*R25</f>
        <v>1.4344654845372773</v>
      </c>
      <c r="S26" s="650">
        <f t="shared" ref="S26" si="219">S$7/(S$7+S$9)*S25</f>
        <v>1.4446492938126829</v>
      </c>
      <c r="T26" s="650">
        <f t="shared" ref="T26" si="220">T$7/(T$7+T$9)*T25</f>
        <v>1.4556688686939887</v>
      </c>
      <c r="U26" s="650">
        <f t="shared" ref="U26" si="221">U$7/(U$7+U$9)*U25</f>
        <v>1.4664219153779039</v>
      </c>
      <c r="V26" s="650">
        <f t="shared" ref="V26" si="222">V$7/(V$7+V$9)*V25</f>
        <v>1.4768851807920209</v>
      </c>
      <c r="W26" s="650">
        <f t="shared" ref="W26" si="223">W$7/(W$7+W$9)*W25</f>
        <v>1.4870341072341591</v>
      </c>
      <c r="X26" s="650">
        <f t="shared" ref="X26" si="224">X$7/(X$7+X$9)*X25</f>
        <v>1.4968427446892609</v>
      </c>
      <c r="Y26" s="650">
        <f t="shared" ref="Y26" si="225">Y$7/(Y$7+Y$9)*Y25</f>
        <v>1.4740410355137628</v>
      </c>
      <c r="Z26" s="650">
        <f t="shared" ref="Z26" si="226">Z$7/(Z$7+Z$9)*Z25</f>
        <v>1.4491598045749305</v>
      </c>
      <c r="AA26" s="650">
        <f t="shared" ref="AA26" si="227">AA$7/(AA$7+AA$9)*AA25</f>
        <v>1.4220819041328681</v>
      </c>
      <c r="AB26" s="650">
        <f t="shared" ref="AB26" si="228">AB$7/(AB$7+AB$9)*AB25</f>
        <v>1.3926827975065832</v>
      </c>
      <c r="AC26" s="650">
        <f t="shared" ref="AC26" si="229">AC$7/(AC$7+AC$9)*AC25</f>
        <v>1.3608299800808583</v>
      </c>
      <c r="AD26" s="650">
        <f t="shared" ref="AD26" si="230">AD$7/(AD$7+AD$9)*AD25</f>
        <v>1.3263823448600194</v>
      </c>
      <c r="AE26" s="650">
        <f t="shared" ref="AE26" si="231">AE$7/(AE$7+AE$9)*AE25</f>
        <v>1.2891894862601008</v>
      </c>
      <c r="AF26" s="650">
        <f t="shared" ref="AF26" si="232">AF$7/(AF$7+AF$9)*AF25</f>
        <v>1.2490909349973207</v>
      </c>
      <c r="AG26" s="650">
        <f t="shared" ref="AG26" si="233">AG$7/(AG$7+AG$9)*AG25</f>
        <v>1.2059153159711355</v>
      </c>
      <c r="AH26" s="650">
        <f t="shared" ref="AH26" si="234">AH$7/(AH$7+AH$9)*AH25</f>
        <v>1.1594794199329765</v>
      </c>
      <c r="AI26" s="650"/>
      <c r="AJ26" s="650">
        <f>AJ$7/(AJ$7+AJ$9)*AJ25</f>
        <v>1.3994174760482763</v>
      </c>
      <c r="AK26" s="650">
        <f t="shared" ref="AK26" si="235">AK$7/(AK$7+AK$9)*AK25</f>
        <v>1.3885049188358183</v>
      </c>
      <c r="AL26" s="650">
        <f t="shared" ref="AL26" si="236">AL$7/(AL$7+AL$9)*AL25</f>
        <v>1.3823921295452226</v>
      </c>
      <c r="AM26" s="650">
        <f t="shared" ref="AM26" si="237">AM$7/(AM$7+AM$9)*AM25</f>
        <v>1.380139114157322</v>
      </c>
      <c r="AN26" s="650">
        <f t="shared" ref="AN26" si="238">AN$7/(AN$7+AN$9)*AN25</f>
        <v>1.381057111898766</v>
      </c>
      <c r="AO26" s="650">
        <f t="shared" ref="AO26" si="239">AO$7/(AO$7+AO$9)*AO25</f>
        <v>1.3846306428121888</v>
      </c>
      <c r="AP26" s="650">
        <f t="shared" ref="AP26" si="240">AP$7/(AP$7+AP$9)*AP25</f>
        <v>1.3904669106914214</v>
      </c>
      <c r="AQ26" s="650">
        <f t="shared" ref="AQ26" si="241">AQ$7/(AQ$7+AQ$9)*AQ25</f>
        <v>1.3982619818500264</v>
      </c>
      <c r="AR26" s="650">
        <f t="shared" ref="AR26" si="242">AR$7/(AR$7+AR$9)*AR25</f>
        <v>1.4077775915177739</v>
      </c>
      <c r="AS26" s="650">
        <f t="shared" ref="AS26" si="243">AS$7/(AS$7+AS$9)*AS25</f>
        <v>1.4188248767677107</v>
      </c>
      <c r="AT26" s="650">
        <f t="shared" ref="AT26" si="244">AT$7/(AT$7+AT$9)*AT25</f>
        <v>1.4312527381735385</v>
      </c>
      <c r="AU26" s="650">
        <f t="shared" ref="AU26" si="245">AU$7/(AU$7+AU$9)*AU25</f>
        <v>1.455504460595008</v>
      </c>
      <c r="AV26" s="650">
        <f t="shared" ref="AV26" si="246">AV$7/(AV$7+AV$9)*AV25</f>
        <v>1.480232514226824</v>
      </c>
      <c r="AW26" s="650">
        <f t="shared" ref="AW26" si="247">AW$7/(AW$7+AW$9)*AW25</f>
        <v>1.5054473800730426</v>
      </c>
      <c r="AX26" s="650">
        <f t="shared" ref="AX26" si="248">AX$7/(AX$7+AX$9)*AX25</f>
        <v>1.5311600485199306</v>
      </c>
      <c r="AY26" s="650">
        <f t="shared" ref="AY26" si="249">AY$7/(AY$7+AY$9)*AY25</f>
        <v>1.5573820421737885</v>
      </c>
      <c r="AZ26" s="650">
        <f t="shared" ref="AZ26" si="250">AZ$7/(AZ$7+AZ$9)*AZ25</f>
        <v>1.5853208084598529</v>
      </c>
      <c r="BA26" s="650">
        <f t="shared" ref="BA26" si="251">BA$7/(BA$7+BA$9)*BA25</f>
        <v>1.6138390596454162</v>
      </c>
      <c r="BB26" s="650">
        <f t="shared" ref="BB26" si="252">BB$7/(BB$7+BB$9)*BB25</f>
        <v>1.6429533576620696</v>
      </c>
      <c r="BC26" s="650">
        <f t="shared" ref="BC26" si="253">BC$7/(BC$7+BC$9)*BC25</f>
        <v>1.6726810796319254</v>
      </c>
      <c r="BD26" s="650">
        <f t="shared" ref="BD26" si="254">BD$7/(BD$7+BD$9)*BD25</f>
        <v>1.7030404697229855</v>
      </c>
      <c r="BE26" s="650">
        <f t="shared" ref="BE26" si="255">BE$7/(BE$7+BE$9)*BE25</f>
        <v>1.7176225903445363</v>
      </c>
      <c r="BF26" s="650">
        <f t="shared" ref="BF26" si="256">BF$7/(BF$7+BF$9)*BF25</f>
        <v>1.7320603003512378</v>
      </c>
      <c r="BG26" s="650">
        <f t="shared" ref="BG26" si="257">BG$7/(BG$7+BG$9)*BG25</f>
        <v>1.7463364559488366</v>
      </c>
      <c r="BH26" s="650">
        <f t="shared" ref="BH26" si="258">BH$7/(BH$7+BH$9)*BH25</f>
        <v>1.7604327782662677</v>
      </c>
      <c r="BI26" s="650">
        <f t="shared" ref="BI26" si="259">BI$7/(BI$7+BI$9)*BI25</f>
        <v>1.7743297650250418</v>
      </c>
      <c r="BJ26" s="650">
        <f t="shared" ref="BJ26" si="260">BJ$7/(BJ$7+BJ$9)*BJ25</f>
        <v>1.7880065937834859</v>
      </c>
      <c r="BK26" s="650">
        <f t="shared" ref="BK26" si="261">BK$7/(BK$7+BK$9)*BK25</f>
        <v>1.8014410157970469</v>
      </c>
      <c r="BL26" s="650">
        <f t="shared" ref="BL26" si="262">BL$7/(BL$7+BL$9)*BL25</f>
        <v>1.8146092394092177</v>
      </c>
      <c r="BM26" s="650">
        <f t="shared" ref="BM26" si="263">BM$7/(BM$7+BM$9)*BM25</f>
        <v>1.8274858017417981</v>
      </c>
      <c r="BN26" s="650">
        <f t="shared" ref="BN26" si="264">BN$7/(BN$7+BN$9)*BN25</f>
        <v>1.8400434272849411</v>
      </c>
    </row>
    <row r="27" spans="1:87">
      <c r="A27" s="685"/>
      <c r="B27" s="1" t="s">
        <v>1182</v>
      </c>
      <c r="C27" s="51" t="s">
        <v>166</v>
      </c>
      <c r="D27" s="24">
        <v>0</v>
      </c>
      <c r="E27" s="24">
        <v>0</v>
      </c>
      <c r="F27" s="24">
        <v>0</v>
      </c>
      <c r="G27" s="24">
        <v>0</v>
      </c>
      <c r="H27" s="24">
        <v>0</v>
      </c>
      <c r="I27" s="24">
        <v>0</v>
      </c>
      <c r="J27" s="24">
        <v>0</v>
      </c>
      <c r="K27" s="24">
        <v>0</v>
      </c>
      <c r="L27" s="24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>
        <v>0</v>
      </c>
      <c r="S27" s="24">
        <v>0</v>
      </c>
      <c r="T27" s="24">
        <v>0</v>
      </c>
      <c r="U27" s="24">
        <v>0</v>
      </c>
      <c r="V27" s="24">
        <v>0</v>
      </c>
      <c r="W27" s="24">
        <v>0</v>
      </c>
      <c r="X27" s="24">
        <v>0</v>
      </c>
      <c r="Y27" s="24">
        <v>0</v>
      </c>
      <c r="Z27" s="24">
        <v>0</v>
      </c>
      <c r="AA27" s="24">
        <v>0</v>
      </c>
      <c r="AB27" s="24">
        <v>0</v>
      </c>
      <c r="AC27" s="24">
        <v>0</v>
      </c>
      <c r="AD27" s="24">
        <v>0</v>
      </c>
      <c r="AE27" s="24">
        <v>0</v>
      </c>
      <c r="AF27" s="24">
        <v>0</v>
      </c>
      <c r="AG27" s="24">
        <v>0</v>
      </c>
      <c r="AH27" s="24">
        <v>0</v>
      </c>
      <c r="AI27" s="24"/>
      <c r="AJ27" s="24">
        <v>0</v>
      </c>
      <c r="AK27" s="24">
        <v>0</v>
      </c>
      <c r="AL27" s="24">
        <v>0</v>
      </c>
      <c r="AM27" s="24">
        <v>0</v>
      </c>
      <c r="AN27" s="24">
        <v>0</v>
      </c>
      <c r="AO27" s="24">
        <v>0</v>
      </c>
      <c r="AP27" s="24">
        <v>0</v>
      </c>
      <c r="AQ27" s="24">
        <v>0</v>
      </c>
      <c r="AR27" s="24">
        <v>0</v>
      </c>
      <c r="AS27" s="24">
        <v>0</v>
      </c>
      <c r="AT27" s="24">
        <v>0</v>
      </c>
      <c r="AU27" s="24">
        <v>0</v>
      </c>
      <c r="AV27" s="24">
        <v>0</v>
      </c>
      <c r="AW27" s="24">
        <v>0</v>
      </c>
      <c r="AX27" s="24">
        <v>0</v>
      </c>
      <c r="AY27" s="24">
        <v>0</v>
      </c>
      <c r="AZ27" s="24">
        <v>0</v>
      </c>
      <c r="BA27" s="24">
        <v>0</v>
      </c>
      <c r="BB27" s="24">
        <v>0</v>
      </c>
      <c r="BC27" s="24">
        <v>0</v>
      </c>
      <c r="BD27" s="24">
        <v>0</v>
      </c>
      <c r="BE27" s="24">
        <v>0</v>
      </c>
      <c r="BF27" s="24">
        <v>0</v>
      </c>
      <c r="BG27" s="24">
        <v>0</v>
      </c>
      <c r="BH27" s="24">
        <v>0</v>
      </c>
      <c r="BI27" s="24">
        <v>0</v>
      </c>
      <c r="BJ27" s="24">
        <v>0</v>
      </c>
      <c r="BK27" s="24">
        <v>0</v>
      </c>
      <c r="BL27" s="24">
        <v>0</v>
      </c>
      <c r="BM27" s="24">
        <v>0</v>
      </c>
      <c r="BN27" s="24">
        <v>0</v>
      </c>
    </row>
    <row r="28" spans="1:87" s="63" customFormat="1">
      <c r="A28" s="686"/>
      <c r="B28" s="59" t="s">
        <v>27</v>
      </c>
      <c r="C28" s="262" t="s">
        <v>166</v>
      </c>
      <c r="D28" s="652">
        <f>D$9/(D$7+D$9)*D25</f>
        <v>6.9462329975613422</v>
      </c>
      <c r="E28" s="652">
        <f t="shared" ref="E28:AH28" si="265">E$9/(E$7+E$9)*E25</f>
        <v>7.0738314702166205</v>
      </c>
      <c r="F28" s="652">
        <f t="shared" si="265"/>
        <v>7.1978585671988604</v>
      </c>
      <c r="G28" s="652">
        <f t="shared" si="265"/>
        <v>7.3192920920190039</v>
      </c>
      <c r="H28" s="652">
        <f t="shared" si="265"/>
        <v>7.4388512429261224</v>
      </c>
      <c r="I28" s="652">
        <f t="shared" si="265"/>
        <v>7.5570768290277144</v>
      </c>
      <c r="J28" s="652">
        <f t="shared" si="265"/>
        <v>7.674383335026862</v>
      </c>
      <c r="K28" s="652">
        <f t="shared" si="265"/>
        <v>7.7910937219428718</v>
      </c>
      <c r="L28" s="652">
        <f t="shared" si="265"/>
        <v>7.9074632909187708</v>
      </c>
      <c r="M28" s="652">
        <f t="shared" si="265"/>
        <v>8.0236964189082656</v>
      </c>
      <c r="N28" s="652">
        <f t="shared" si="265"/>
        <v>8.1399585309070499</v>
      </c>
      <c r="O28" s="652">
        <f t="shared" si="265"/>
        <v>8.1716771351222697</v>
      </c>
      <c r="P28" s="652">
        <f t="shared" si="265"/>
        <v>8.2006189859702072</v>
      </c>
      <c r="Q28" s="652">
        <f t="shared" si="265"/>
        <v>8.2266621645750888</v>
      </c>
      <c r="R28" s="652">
        <f t="shared" si="265"/>
        <v>8.2496812363000451</v>
      </c>
      <c r="S28" s="652">
        <f t="shared" si="265"/>
        <v>8.2695471954061617</v>
      </c>
      <c r="T28" s="652">
        <f t="shared" si="265"/>
        <v>8.2850298034251306</v>
      </c>
      <c r="U28" s="652">
        <f t="shared" si="265"/>
        <v>8.2970719523643517</v>
      </c>
      <c r="V28" s="652">
        <f t="shared" si="265"/>
        <v>8.3055325873998722</v>
      </c>
      <c r="W28" s="652">
        <f t="shared" si="265"/>
        <v>8.3102669227979948</v>
      </c>
      <c r="X28" s="652">
        <f t="shared" si="265"/>
        <v>8.3111263970283886</v>
      </c>
      <c r="Y28" s="652">
        <f t="shared" si="265"/>
        <v>8.1152543506195496</v>
      </c>
      <c r="Z28" s="652">
        <f t="shared" si="265"/>
        <v>7.90884160581186</v>
      </c>
      <c r="AA28" s="652">
        <f t="shared" si="265"/>
        <v>7.6915994558154255</v>
      </c>
      <c r="AB28" s="652">
        <f t="shared" si="265"/>
        <v>7.4632357515871544</v>
      </c>
      <c r="AC28" s="652">
        <f t="shared" si="265"/>
        <v>7.2234552183057037</v>
      </c>
      <c r="AD28" s="652">
        <f t="shared" si="265"/>
        <v>6.9719598213077951</v>
      </c>
      <c r="AE28" s="652">
        <f t="shared" si="265"/>
        <v>6.7084491876631978</v>
      </c>
      <c r="AF28" s="652">
        <f t="shared" si="265"/>
        <v>6.4326210903964975</v>
      </c>
      <c r="AG28" s="652">
        <f t="shared" si="265"/>
        <v>6.1441720033205387</v>
      </c>
      <c r="AH28" s="652">
        <f t="shared" si="265"/>
        <v>5.8427977355507661</v>
      </c>
      <c r="AI28" s="652"/>
      <c r="AJ28" s="652">
        <f>AJ$9/(AJ$7+AJ$9)*AJ25</f>
        <v>6.9462329975613422</v>
      </c>
      <c r="AK28" s="652">
        <f t="shared" ref="AK28:BN28" si="266">AK$9/(AK$7+AK$9)*AK25</f>
        <v>7.0930345116097282</v>
      </c>
      <c r="AL28" s="652">
        <f t="shared" si="266"/>
        <v>7.2371513656853876</v>
      </c>
      <c r="AM28" s="652">
        <f t="shared" si="266"/>
        <v>7.3795546107680936</v>
      </c>
      <c r="AN28" s="652">
        <f t="shared" si="266"/>
        <v>7.5209644823206467</v>
      </c>
      <c r="AO28" s="652">
        <f t="shared" si="266"/>
        <v>7.6619283574880166</v>
      </c>
      <c r="AP28" s="652">
        <f t="shared" si="266"/>
        <v>7.8028713569650954</v>
      </c>
      <c r="AQ28" s="652">
        <f t="shared" si="266"/>
        <v>7.9441301710643852</v>
      </c>
      <c r="AR28" s="652">
        <f t="shared" si="266"/>
        <v>8.0859762581886763</v>
      </c>
      <c r="AS28" s="652">
        <f t="shared" si="266"/>
        <v>8.2286321168055458</v>
      </c>
      <c r="AT28" s="652">
        <f t="shared" si="266"/>
        <v>8.3722829287236369</v>
      </c>
      <c r="AU28" s="652">
        <f t="shared" si="266"/>
        <v>8.4801583864051171</v>
      </c>
      <c r="AV28" s="652">
        <f t="shared" si="266"/>
        <v>8.5883890606132827</v>
      </c>
      <c r="AW28" s="652">
        <f t="shared" si="266"/>
        <v>8.6969404897842502</v>
      </c>
      <c r="AX28" s="652">
        <f t="shared" si="266"/>
        <v>8.8057764081523171</v>
      </c>
      <c r="AY28" s="652">
        <f t="shared" si="266"/>
        <v>8.9148586817528859</v>
      </c>
      <c r="AZ28" s="652">
        <f t="shared" si="266"/>
        <v>9.022951873569971</v>
      </c>
      <c r="BA28" s="652">
        <f t="shared" si="266"/>
        <v>9.1311638601386704</v>
      </c>
      <c r="BB28" s="652">
        <f t="shared" si="266"/>
        <v>9.2394472022005942</v>
      </c>
      <c r="BC28" s="652">
        <f t="shared" si="266"/>
        <v>9.3477521334797249</v>
      </c>
      <c r="BD28" s="652">
        <f t="shared" si="266"/>
        <v>9.4560264619251555</v>
      </c>
      <c r="BE28" s="652">
        <f t="shared" si="266"/>
        <v>9.4562796171801509</v>
      </c>
      <c r="BF28" s="652">
        <f t="shared" si="266"/>
        <v>9.4527812073913715</v>
      </c>
      <c r="BG28" s="652">
        <f t="shared" si="266"/>
        <v>9.445391643906131</v>
      </c>
      <c r="BH28" s="652">
        <f t="shared" si="266"/>
        <v>9.433967930490363</v>
      </c>
      <c r="BI28" s="652">
        <f t="shared" si="266"/>
        <v>9.4183636367297847</v>
      </c>
      <c r="BJ28" s="652">
        <f t="shared" si="266"/>
        <v>9.3984288771632212</v>
      </c>
      <c r="BK28" s="652">
        <f t="shared" si="266"/>
        <v>9.3740102970469614</v>
      </c>
      <c r="BL28" s="652">
        <f t="shared" si="266"/>
        <v>9.3449510657741808</v>
      </c>
      <c r="BM28" s="652">
        <f t="shared" si="266"/>
        <v>9.3110908791181686</v>
      </c>
      <c r="BN28" s="652">
        <f t="shared" si="266"/>
        <v>9.2722659716349103</v>
      </c>
    </row>
    <row r="29" spans="1:87" s="1" customFormat="1">
      <c r="A29" s="1" t="s">
        <v>399</v>
      </c>
      <c r="B29" s="1" t="s">
        <v>174</v>
      </c>
      <c r="C29" s="61" t="s">
        <v>166</v>
      </c>
      <c r="D29" s="25">
        <f>'Production - Industry shares'!L82+'Production - Industry shares'!L86</f>
        <v>1.971668941623115</v>
      </c>
      <c r="E29" s="25">
        <f>D29*(1+'Demand - Methanol'!$N$37)</f>
        <v>1.9992723068058387</v>
      </c>
      <c r="F29" s="25">
        <f>E29*(1+'Demand - Methanol'!$N$37)</f>
        <v>2.0272621191011204</v>
      </c>
      <c r="G29" s="25">
        <f>F29*(1+'Demand - Methanol'!$N$37)</f>
        <v>2.0556437887685362</v>
      </c>
      <c r="H29" s="25">
        <f>G29*(1+'Demand - Methanol'!$N$37)</f>
        <v>2.0844228018112956</v>
      </c>
      <c r="I29" s="25">
        <f>H29*(1+'Demand - Methanol'!$N$37)</f>
        <v>2.1136047210366535</v>
      </c>
      <c r="J29" s="25">
        <f>I29*(1+'Demand - Methanol'!$N$37)</f>
        <v>2.1431951871311665</v>
      </c>
      <c r="K29" s="25">
        <f>J29*(1+'Demand - Methanol'!$N$37)</f>
        <v>2.1731999197510028</v>
      </c>
      <c r="L29" s="25">
        <f>K29*(1+'Demand - Methanol'!$N$37)</f>
        <v>2.2036247186275171</v>
      </c>
      <c r="M29" s="25">
        <f>L29*(1+'Demand - Methanol'!$N$37)</f>
        <v>2.2344754646883023</v>
      </c>
      <c r="N29" s="25">
        <f>M29*(1+'Demand - Methanol'!$N$37)</f>
        <v>2.2657581211939384</v>
      </c>
      <c r="O29" s="25">
        <f>N29*(1+'Demand - Methanol'!$N$37)</f>
        <v>2.2974787348906536</v>
      </c>
      <c r="P29" s="25">
        <f>O29*(1+'Demand - Methanol'!$N$37)</f>
        <v>2.3296434371791226</v>
      </c>
      <c r="Q29" s="25">
        <f>P29*(1+'Demand - Methanol'!$N$37)</f>
        <v>2.3622584452996302</v>
      </c>
      <c r="R29" s="25">
        <f>Q29*(1+'Demand - Methanol'!$N$37)</f>
        <v>2.3953300635338253</v>
      </c>
      <c r="S29" s="25">
        <f>R29*(1+'Demand - Methanol'!$N$37)</f>
        <v>2.4288646844232988</v>
      </c>
      <c r="T29" s="25">
        <f>S29*(1+'Demand - Methanol'!$N$37)</f>
        <v>2.4628687900052251</v>
      </c>
      <c r="U29" s="25">
        <f>T29*(1+'Demand - Methanol'!$N$37)</f>
        <v>2.4973489530652984</v>
      </c>
      <c r="V29" s="25">
        <f>U29*(1+'Demand - Methanol'!$N$37)</f>
        <v>2.5323118384082126</v>
      </c>
      <c r="W29" s="25">
        <f>V29*(1+'Demand - Methanol'!$N$37)</f>
        <v>2.5677642041459277</v>
      </c>
      <c r="X29" s="25">
        <f>W29*(1+'Demand - Methanol'!$N$37)</f>
        <v>2.6037129030039705</v>
      </c>
      <c r="Y29" s="25">
        <f>X29*(1+'Demand - Methanol'!$N$37)</f>
        <v>2.6401648836460261</v>
      </c>
      <c r="Z29" s="25">
        <f>Y29*(1+'Demand - Methanol'!$N$37)</f>
        <v>2.6771271920170703</v>
      </c>
      <c r="AA29" s="25">
        <f>Z29*(1+'Demand - Methanol'!$N$37)</f>
        <v>2.7146069727053095</v>
      </c>
      <c r="AB29" s="25">
        <f>AA29*(1+'Demand - Methanol'!$N$37)</f>
        <v>2.7526114703231839</v>
      </c>
      <c r="AC29" s="25">
        <f>AB29*(1+'Demand - Methanol'!$N$37)</f>
        <v>2.7911480309077086</v>
      </c>
      <c r="AD29" s="25">
        <f>AC29*(1+'Demand - Methanol'!$N$37)</f>
        <v>2.8302241033404165</v>
      </c>
      <c r="AE29" s="25">
        <f>AD29*(1+'Demand - Methanol'!$N$37)</f>
        <v>2.8698472407871822</v>
      </c>
      <c r="AF29" s="25">
        <f>AE29*(1+'Demand - Methanol'!$N$37)</f>
        <v>2.9100251021582029</v>
      </c>
      <c r="AG29" s="25">
        <f>AF29*(1+'Demand - Methanol'!$N$37)</f>
        <v>2.9507654535884176</v>
      </c>
      <c r="AH29" s="25">
        <f>AG29*(1+'Demand - Methanol'!$N$37)</f>
        <v>2.9920761699386555</v>
      </c>
      <c r="AI29" s="25"/>
      <c r="AJ29" s="25">
        <f>D29</f>
        <v>1.971668941623115</v>
      </c>
      <c r="AK29" s="25">
        <f>AJ29*(1+'Demand - Methanol'!$N$37)</f>
        <v>1.9992723068058387</v>
      </c>
      <c r="AL29" s="25">
        <f>AK29*(1+'Demand - Methanol'!$N$37)</f>
        <v>2.0272621191011204</v>
      </c>
      <c r="AM29" s="25">
        <f>AL29*(1+'Demand - Methanol'!$N$37)</f>
        <v>2.0556437887685362</v>
      </c>
      <c r="AN29" s="25">
        <f>AM29*(1+'Demand - Methanol'!$N$37)</f>
        <v>2.0844228018112956</v>
      </c>
      <c r="AO29" s="25">
        <f>AN29*(1+'Demand - Methanol'!$N$37)</f>
        <v>2.1136047210366535</v>
      </c>
      <c r="AP29" s="25">
        <f>AO29*(1+'Demand - Methanol'!$N$37)</f>
        <v>2.1431951871311665</v>
      </c>
      <c r="AQ29" s="25">
        <f>AP29*(1+'Demand - Methanol'!$N$37)</f>
        <v>2.1731999197510028</v>
      </c>
      <c r="AR29" s="25">
        <f>AQ29*(1+'Demand - Methanol'!$N$37)</f>
        <v>2.2036247186275171</v>
      </c>
      <c r="AS29" s="25">
        <f>AR29*(1+'Demand - Methanol'!$N$37)</f>
        <v>2.2344754646883023</v>
      </c>
      <c r="AT29" s="25">
        <f>AS29*(1+'Demand - Methanol'!$N$37)</f>
        <v>2.2657581211939384</v>
      </c>
      <c r="AU29" s="25">
        <f>AT29*(1+'Demand - Methanol'!$N$37)</f>
        <v>2.2974787348906536</v>
      </c>
      <c r="AV29" s="25">
        <f>AU29*(1+'Demand - Methanol'!$N$37)</f>
        <v>2.3296434371791226</v>
      </c>
      <c r="AW29" s="25">
        <f>AV29*(1+'Demand - Methanol'!$N$37)</f>
        <v>2.3622584452996302</v>
      </c>
      <c r="AX29" s="25">
        <f>AW29*(1+'Demand - Methanol'!$N$37)</f>
        <v>2.3953300635338253</v>
      </c>
      <c r="AY29" s="25">
        <f>AX29*(1+'Demand - Methanol'!$N$37)</f>
        <v>2.4288646844232988</v>
      </c>
      <c r="AZ29" s="25">
        <f>AY29*(1+'Demand - Methanol'!$N$37)</f>
        <v>2.4628687900052251</v>
      </c>
      <c r="BA29" s="25">
        <f>AZ29*(1+'Demand - Methanol'!$N$37)</f>
        <v>2.4973489530652984</v>
      </c>
      <c r="BB29" s="25">
        <f>BA29*(1+'Demand - Methanol'!$N$37)</f>
        <v>2.5323118384082126</v>
      </c>
      <c r="BC29" s="25">
        <f>BB29*(1+'Demand - Methanol'!$N$37)</f>
        <v>2.5677642041459277</v>
      </c>
      <c r="BD29" s="25">
        <f>BC29*(1+'Demand - Methanol'!$N$37)</f>
        <v>2.6037129030039705</v>
      </c>
      <c r="BE29" s="25">
        <f>BD29*(1+'Demand - Methanol'!$N$37)</f>
        <v>2.6401648836460261</v>
      </c>
      <c r="BF29" s="25">
        <f>BE29*(1+'Demand - Methanol'!$N$37)</f>
        <v>2.6771271920170703</v>
      </c>
      <c r="BG29" s="25">
        <f>BF29*(1+'Demand - Methanol'!$N$37)</f>
        <v>2.7146069727053095</v>
      </c>
      <c r="BH29" s="25">
        <f>BG29*(1+'Demand - Methanol'!$N$37)</f>
        <v>2.7526114703231839</v>
      </c>
      <c r="BI29" s="25">
        <f>BH29*(1+'Demand - Methanol'!$N$37)</f>
        <v>2.7911480309077086</v>
      </c>
      <c r="BJ29" s="25">
        <f>BI29*(1+'Demand - Methanol'!$N$37)</f>
        <v>2.8302241033404165</v>
      </c>
      <c r="BK29" s="25">
        <f>BJ29*(1+'Demand - Methanol'!$N$37)</f>
        <v>2.8698472407871822</v>
      </c>
      <c r="BL29" s="25">
        <f>BK29*(1+'Demand - Methanol'!$N$37)</f>
        <v>2.9100251021582029</v>
      </c>
      <c r="BM29" s="25">
        <f>BL29*(1+'Demand - Methanol'!$N$37)</f>
        <v>2.9507654535884176</v>
      </c>
      <c r="BN29" s="25">
        <f>BM29*(1+'Demand - Methanol'!$N$37)</f>
        <v>2.9920761699386555</v>
      </c>
      <c r="BR29" s="228" t="e">
        <f>#REF!</f>
        <v>#REF!</v>
      </c>
      <c r="BS29" s="228" t="e">
        <f>#REF!</f>
        <v>#REF!</v>
      </c>
    </row>
    <row r="30" spans="1:87">
      <c r="B30" s="58" t="s">
        <v>146</v>
      </c>
      <c r="C30" s="51" t="s">
        <v>166</v>
      </c>
      <c r="D30" s="24">
        <v>0</v>
      </c>
      <c r="E30" s="24">
        <f>E29*'R&amp;S - Packaging and hh goods'!$D$7*('R&amp;S - Packaging and hh goods'!$F$14*'R&amp;S - Packaging and hh goods'!$U$19*(E$3-$D$3)/10)</f>
        <v>2.6390394449837069E-4</v>
      </c>
      <c r="F30" s="24">
        <f>F29*'R&amp;S - Packaging and hh goods'!$D$7*('R&amp;S - Packaging and hh goods'!$F$14*'R&amp;S - Packaging and hh goods'!$U$19*(F$3-$D$3)/10)</f>
        <v>5.3519719944269582E-4</v>
      </c>
      <c r="G30" s="24">
        <f>G29*'R&amp;S - Packaging and hh goods'!$D$7*('R&amp;S - Packaging and hh goods'!$F$14*'R&amp;S - Packaging and hh goods'!$U$19*(G$3-$D$3)/10)</f>
        <v>8.140349403523402E-4</v>
      </c>
      <c r="H30" s="24">
        <f>H29*'R&amp;S - Packaging and hh goods'!$D$7*('R&amp;S - Packaging and hh goods'!$F$14*'R&amp;S - Packaging and hh goods'!$U$19*(H$3-$D$3)/10)</f>
        <v>1.1005752393563638E-3</v>
      </c>
      <c r="I30" s="24">
        <f>I29*'R&amp;S - Packaging and hh goods'!$D$7*('R&amp;S - Packaging and hh goods'!$F$14*'R&amp;S - Packaging and hh goods'!$U$19*(I$3-$D$3)/10)</f>
        <v>1.3949791158841911E-3</v>
      </c>
      <c r="J30" s="24">
        <f>J29*'R&amp;S - Packaging and hh goods'!$D$7*('R&amp;S - Packaging and hh goods'!$F$14*'R&amp;S - Packaging and hh goods'!$U$19*(J$3-$D$3)/10)</f>
        <v>1.6974105882078838E-3</v>
      </c>
      <c r="K30" s="24">
        <f>K29*'R&amp;S - Packaging and hh goods'!$D$7*('R&amp;S - Packaging and hh goods'!$F$14*'R&amp;S - Packaging and hh goods'!$U$19*(K$3-$D$3)/10)</f>
        <v>2.0080367258499261E-3</v>
      </c>
      <c r="L30" s="24">
        <f>L29*'R&amp;S - Packaging and hh goods'!$D$7*('R&amp;S - Packaging and hh goods'!$F$14*'R&amp;S - Packaging and hh goods'!$U$19*(L$3-$D$3)/10)</f>
        <v>2.3270277028706581E-3</v>
      </c>
      <c r="M30" s="24">
        <f>M29*'R&amp;S - Packaging and hh goods'!$D$7*('R&amp;S - Packaging and hh goods'!$F$14*'R&amp;S - Packaging and hh goods'!$U$19*(M$3-$D$3)/10)</f>
        <v>2.6545568520497031E-3</v>
      </c>
      <c r="N30" s="24">
        <f>N29*'R&amp;S - Packaging and hh goods'!$D$7*('R&amp;S - Packaging and hh goods'!$F$14*'R&amp;S - Packaging and hh goods'!$U$19*(N$3-$D$3)/10)</f>
        <v>2.9908007199759986E-3</v>
      </c>
      <c r="O30" s="24">
        <f>O29*('R&amp;S - Packaging and hh goods'!$D$7*'R&amp;S - Packaging and hh goods'!$F$14*('R&amp;S - Packaging and hh goods'!$U$19+('R&amp;S - Packaging and hh goods'!$U$20-'R&amp;S - Packaging and hh goods'!$U$19)*(O$3-$N$3)/10))</f>
        <v>5.4082649419325982E-3</v>
      </c>
      <c r="P30" s="24">
        <f>P29*('R&amp;S - Packaging and hh goods'!$D$7*'R&amp;S - Packaging and hh goods'!$F$14*('R&amp;S - Packaging and hh goods'!$U$19+('R&amp;S - Packaging and hh goods'!$U$20-'R&amp;S - Packaging and hh goods'!$U$19)*(P$3-$N$3)/10))</f>
        <v>7.8928319651628675E-3</v>
      </c>
      <c r="Q30" s="24">
        <f>Q29*('R&amp;S - Packaging and hh goods'!$D$7*'R&amp;S - Packaging and hh goods'!$F$14*('R&amp;S - Packaging and hh goods'!$U$19+('R&amp;S - Packaging and hh goods'!$U$20-'R&amp;S - Packaging and hh goods'!$U$19)*(Q$3-$N$3)/10))</f>
        <v>1.0445906845114964E-2</v>
      </c>
      <c r="R30" s="24">
        <f>R29*('R&amp;S - Packaging and hh goods'!$D$7*'R&amp;S - Packaging and hh goods'!$F$14*('R&amp;S - Packaging and hh goods'!$U$19+('R&amp;S - Packaging and hh goods'!$U$20-'R&amp;S - Packaging and hh goods'!$U$19)*(R$3-$N$3)/10))</f>
        <v>1.3068920826640551E-2</v>
      </c>
      <c r="S30" s="24">
        <f>S29*('R&amp;S - Packaging and hh goods'!$D$7*'R&amp;S - Packaging and hh goods'!$F$14*('R&amp;S - Packaging and hh goods'!$U$19+('R&amp;S - Packaging and hh goods'!$U$20-'R&amp;S - Packaging and hh goods'!$U$19)*(S$3-$N$3)/10))</f>
        <v>1.5763331801907209E-2</v>
      </c>
      <c r="T30" s="24">
        <f>T29*('R&amp;S - Packaging and hh goods'!$D$7*'R&amp;S - Packaging and hh goods'!$F$14*('R&amp;S - Packaging and hh goods'!$U$19+('R&amp;S - Packaging and hh goods'!$U$20-'R&amp;S - Packaging and hh goods'!$U$19)*(T$3-$N$3)/10))</f>
        <v>1.8530624775999316E-2</v>
      </c>
      <c r="U30" s="24">
        <f>U29*('R&amp;S - Packaging and hh goods'!$D$7*'R&amp;S - Packaging and hh goods'!$F$14*('R&amp;S - Packaging and hh goods'!$U$19+('R&amp;S - Packaging and hh goods'!$U$20-'R&amp;S - Packaging and hh goods'!$U$19)*(U$3-$N$3)/10))</f>
        <v>2.1372312340332822E-2</v>
      </c>
      <c r="V30" s="24">
        <f>V29*('R&amp;S - Packaging and hh goods'!$D$7*'R&amp;S - Packaging and hh goods'!$F$14*('R&amp;S - Packaging and hh goods'!$U$19+('R&amp;S - Packaging and hh goods'!$U$20-'R&amp;S - Packaging and hh goods'!$U$19)*(V$3-$N$3)/10))</f>
        <v>2.4289935154011576E-2</v>
      </c>
      <c r="W30" s="24">
        <f>W29*('R&amp;S - Packaging and hh goods'!$D$7*'R&amp;S - Packaging and hh goods'!$F$14*('R&amp;S - Packaging and hh goods'!$U$19+('R&amp;S - Packaging and hh goods'!$U$20-'R&amp;S - Packaging and hh goods'!$U$19)*(W$3-$N$3)/10))</f>
        <v>2.7285062433254629E-2</v>
      </c>
      <c r="X30" s="24">
        <f>X29*('R&amp;S - Packaging and hh goods'!$D$7*'R&amp;S - Packaging and hh goods'!$F$14*('R&amp;S - Packaging and hh goods'!$U$19+('R&amp;S - Packaging and hh goods'!$U$20-'R&amp;S - Packaging and hh goods'!$U$19)*(X$3-$N$3)/10))</f>
        <v>3.0359292449026298E-2</v>
      </c>
      <c r="Y30" s="24">
        <f>Y29*('R&amp;S - Packaging and hh goods'!$D$7*'R&amp;S - Packaging and hh goods'!$F$14*('R&amp;S - Packaging and hh goods'!$U$20+('R&amp;S - Packaging and hh goods'!$U$21-'R&amp;S - Packaging and hh goods'!$U$20)*(Y$3-$X$3)/10))</f>
        <v>3.3514253033002657E-2</v>
      </c>
      <c r="Z30" s="24">
        <f>Z29*('R&amp;S - Packaging and hh goods'!$D$7*'R&amp;S - Packaging and hh goods'!$F$14*('R&amp;S - Packaging and hh goods'!$U$20+('R&amp;S - Packaging and hh goods'!$U$21-'R&amp;S - Packaging and hh goods'!$U$20)*(Z$3-$X$3)/10))</f>
        <v>3.6751602092010338E-2</v>
      </c>
      <c r="AA30" s="24">
        <f>AA29*('R&amp;S - Packaging and hh goods'!$D$7*'R&amp;S - Packaging and hh goods'!$F$14*('R&amp;S - Packaging and hh goods'!$U$20+('R&amp;S - Packaging and hh goods'!$U$21-'R&amp;S - Packaging and hh goods'!$U$20)*(AA$3-$X$3)/10))</f>
        <v>4.0073028131075779E-2</v>
      </c>
      <c r="AB30" s="24">
        <f>AB29*('R&amp;S - Packaging and hh goods'!$D$7*'R&amp;S - Packaging and hh goods'!$F$14*('R&amp;S - Packaging and hh goods'!$U$20+('R&amp;S - Packaging and hh goods'!$U$21-'R&amp;S - Packaging and hh goods'!$U$20)*(AB$3-$X$3)/10))</f>
        <v>4.3480250785225008E-2</v>
      </c>
      <c r="AC30" s="24">
        <f>AC29*('R&amp;S - Packaging and hh goods'!$D$7*'R&amp;S - Packaging and hh goods'!$F$14*('R&amp;S - Packaging and hh goods'!$U$20+('R&amp;S - Packaging and hh goods'!$U$21-'R&amp;S - Packaging and hh goods'!$U$20)*(AC$3-$X$3)/10))</f>
        <v>4.6975021360176727E-2</v>
      </c>
      <c r="AD30" s="24">
        <f>AD29*('R&amp;S - Packaging and hh goods'!$D$7*'R&amp;S - Packaging and hh goods'!$F$14*('R&amp;S - Packaging and hh goods'!$U$20+('R&amp;S - Packaging and hh goods'!$U$21-'R&amp;S - Packaging and hh goods'!$U$20)*(AD$3-$X$3)/10))</f>
        <v>5.0559123382073204E-2</v>
      </c>
      <c r="AE30" s="24">
        <f>AE29*('R&amp;S - Packaging and hh goods'!$D$7*'R&amp;S - Packaging and hh goods'!$F$14*('R&amp;S - Packaging and hh goods'!$U$20+('R&amp;S - Packaging and hh goods'!$U$21-'R&amp;S - Packaging and hh goods'!$U$20)*(AE$3-$X$3)/10))</f>
        <v>5.4234373156396162E-2</v>
      </c>
      <c r="AF30" s="24">
        <f>AF29*('R&amp;S - Packaging and hh goods'!$D$7*'R&amp;S - Packaging and hh goods'!$F$14*('R&amp;S - Packaging and hh goods'!$U$20+('R&amp;S - Packaging and hh goods'!$U$21-'R&amp;S - Packaging and hh goods'!$U$20)*(AF$3-$X$3)/10))</f>
        <v>5.8002620336217295E-2</v>
      </c>
      <c r="AG30" s="24">
        <f>AG29*('R&amp;S - Packaging and hh goods'!$D$7*'R&amp;S - Packaging and hh goods'!$F$14*('R&amp;S - Packaging and hh goods'!$U$20+('R&amp;S - Packaging and hh goods'!$U$21-'R&amp;S - Packaging and hh goods'!$U$20)*(AG$3-$X$3)/10))</f>
        <v>6.1865748499934758E-2</v>
      </c>
      <c r="AH30" s="24">
        <f>AH29*('R&amp;S - Packaging and hh goods'!$D$7*'R&amp;S - Packaging and hh goods'!$F$14*('R&amp;S - Packaging and hh goods'!$U$20+('R&amp;S - Packaging and hh goods'!$U$21-'R&amp;S - Packaging and hh goods'!$U$20)*(AH$3-$X$3)/10))</f>
        <v>6.5825675738650419E-2</v>
      </c>
      <c r="AI30" s="24"/>
      <c r="AJ30" s="24">
        <v>0</v>
      </c>
      <c r="AK30" s="24">
        <f>AK29*'R&amp;S - Packaging and hh goods'!$D$7*('R&amp;S - Packaging and hh goods'!$F$15*'R&amp;S - Packaging and hh goods'!$U$19*(AK$3-$D$3)/10)</f>
        <v>1.9001084003882686E-4</v>
      </c>
      <c r="AL30" s="24">
        <f>AL29*'R&amp;S - Packaging and hh goods'!$D$7*('R&amp;S - Packaging and hh goods'!$F$15*'R&amp;S - Packaging and hh goods'!$U$19*(AL$3-$D$3)/10)</f>
        <v>3.853419835987409E-4</v>
      </c>
      <c r="AM30" s="24">
        <f>AM29*'R&amp;S - Packaging and hh goods'!$D$7*('R&amp;S - Packaging and hh goods'!$F$15*'R&amp;S - Packaging and hh goods'!$U$19*(AM$3-$D$3)/10)</f>
        <v>5.861051570536849E-4</v>
      </c>
      <c r="AN30" s="24">
        <f>AN29*'R&amp;S - Packaging and hh goods'!$D$7*('R&amp;S - Packaging and hh goods'!$F$15*'R&amp;S - Packaging and hh goods'!$U$19*(AN$3-$D$3)/10)</f>
        <v>7.9241417233658193E-4</v>
      </c>
      <c r="AO30" s="24">
        <f>AO29*'R&amp;S - Packaging and hh goods'!$D$7*('R&amp;S - Packaging and hh goods'!$F$15*'R&amp;S - Packaging and hh goods'!$U$19*(AO$3-$D$3)/10)</f>
        <v>1.0043849634366175E-3</v>
      </c>
      <c r="AP30" s="24">
        <f>AP29*'R&amp;S - Packaging and hh goods'!$D$7*('R&amp;S - Packaging and hh goods'!$F$15*'R&amp;S - Packaging and hh goods'!$U$19*(AP$3-$D$3)/10)</f>
        <v>1.2221356235096762E-3</v>
      </c>
      <c r="AQ30" s="24">
        <f>AQ29*'R&amp;S - Packaging and hh goods'!$D$7*('R&amp;S - Packaging and hh goods'!$F$15*'R&amp;S - Packaging and hh goods'!$U$19*(AQ$3-$D$3)/10)</f>
        <v>1.4457864426119468E-3</v>
      </c>
      <c r="AR30" s="24">
        <f>AR29*'R&amp;S - Packaging and hh goods'!$D$7*('R&amp;S - Packaging and hh goods'!$F$15*'R&amp;S - Packaging and hh goods'!$U$19*(AR$3-$D$3)/10)</f>
        <v>1.6754599460668735E-3</v>
      </c>
      <c r="AS30" s="24">
        <f>AS29*'R&amp;S - Packaging and hh goods'!$D$7*('R&amp;S - Packaging and hh goods'!$F$15*'R&amp;S - Packaging and hh goods'!$U$19*(AS$3-$D$3)/10)</f>
        <v>1.9112809334757858E-3</v>
      </c>
      <c r="AT30" s="24">
        <f>AT29*'R&amp;S - Packaging and hh goods'!$D$7*('R&amp;S - Packaging and hh goods'!$F$15*'R&amp;S - Packaging and hh goods'!$U$19*(AT$3-$D$3)/10)</f>
        <v>2.1533765183827189E-3</v>
      </c>
      <c r="AU30" s="24">
        <f>AU29*('R&amp;S - Packaging and hh goods'!$D$7*'R&amp;S - Packaging and hh goods'!$F$15*('R&amp;S - Packaging and hh goods'!$U$19+('R&amp;S - Packaging and hh goods'!$U$20-'R&amp;S - Packaging and hh goods'!$U$19)*(AU$3-$N$3)/10))</f>
        <v>3.8939507581914707E-3</v>
      </c>
      <c r="AV30" s="24">
        <f>AV29*('R&amp;S - Packaging and hh goods'!$D$7*'R&amp;S - Packaging and hh goods'!$F$15*('R&amp;S - Packaging and hh goods'!$U$19+('R&amp;S - Packaging and hh goods'!$U$20-'R&amp;S - Packaging and hh goods'!$U$19)*(AV$3-$N$3)/10))</f>
        <v>5.6828390149172639E-3</v>
      </c>
      <c r="AW30" s="24">
        <f>AW29*('R&amp;S - Packaging and hh goods'!$D$7*'R&amp;S - Packaging and hh goods'!$F$15*('R&amp;S - Packaging and hh goods'!$U$19+('R&amp;S - Packaging and hh goods'!$U$20-'R&amp;S - Packaging and hh goods'!$U$19)*(AW$3-$N$3)/10))</f>
        <v>7.5210529284827753E-3</v>
      </c>
      <c r="AX30" s="24">
        <f>AX29*('R&amp;S - Packaging and hh goods'!$D$7*'R&amp;S - Packaging and hh goods'!$F$15*('R&amp;S - Packaging and hh goods'!$U$19+('R&amp;S - Packaging and hh goods'!$U$20-'R&amp;S - Packaging and hh goods'!$U$19)*(AX$3-$N$3)/10))</f>
        <v>9.4096229951811956E-3</v>
      </c>
      <c r="AY30" s="24">
        <f>AY29*('R&amp;S - Packaging and hh goods'!$D$7*'R&amp;S - Packaging and hh goods'!$F$15*('R&amp;S - Packaging and hh goods'!$U$19+('R&amp;S - Packaging and hh goods'!$U$20-'R&amp;S - Packaging and hh goods'!$U$19)*(AY$3-$N$3)/10))</f>
        <v>1.1349598897373192E-2</v>
      </c>
      <c r="AZ30" s="24">
        <f>AZ29*('R&amp;S - Packaging and hh goods'!$D$7*'R&amp;S - Packaging and hh goods'!$F$15*('R&amp;S - Packaging and hh goods'!$U$19+('R&amp;S - Packaging and hh goods'!$U$20-'R&amp;S - Packaging and hh goods'!$U$19)*(AZ$3-$N$3)/10))</f>
        <v>1.3342049838719505E-2</v>
      </c>
      <c r="BA30" s="24">
        <f>BA29*('R&amp;S - Packaging and hh goods'!$D$7*'R&amp;S - Packaging and hh goods'!$F$15*('R&amp;S - Packaging and hh goods'!$U$19+('R&amp;S - Packaging and hh goods'!$U$20-'R&amp;S - Packaging and hh goods'!$U$19)*(BA$3-$N$3)/10))</f>
        <v>1.5388064885039634E-2</v>
      </c>
      <c r="BB30" s="24">
        <f>BB29*('R&amp;S - Packaging and hh goods'!$D$7*'R&amp;S - Packaging and hh goods'!$F$15*('R&amp;S - Packaging and hh goods'!$U$19+('R&amp;S - Packaging and hh goods'!$U$20-'R&amp;S - Packaging and hh goods'!$U$19)*(BB$3-$N$3)/10))</f>
        <v>1.7488753310888335E-2</v>
      </c>
      <c r="BC30" s="24">
        <f>BC29*('R&amp;S - Packaging and hh goods'!$D$7*'R&amp;S - Packaging and hh goods'!$F$15*('R&amp;S - Packaging and hh goods'!$U$19+('R&amp;S - Packaging and hh goods'!$U$20-'R&amp;S - Packaging and hh goods'!$U$19)*(BC$3-$N$3)/10))</f>
        <v>1.9645244951943332E-2</v>
      </c>
      <c r="BD30" s="24">
        <f>BD29*('R&amp;S - Packaging and hh goods'!$D$7*'R&amp;S - Packaging and hh goods'!$F$15*('R&amp;S - Packaging and hh goods'!$U$19+('R&amp;S - Packaging and hh goods'!$U$20-'R&amp;S - Packaging and hh goods'!$U$19)*(BD$3-$N$3)/10))</f>
        <v>2.1858690563298935E-2</v>
      </c>
      <c r="BE30" s="24">
        <f>BE29*('R&amp;S - Packaging and hh goods'!$D$7*'R&amp;S - Packaging and hh goods'!$F$15*('R&amp;S - Packaging and hh goods'!$U$20+('R&amp;S - Packaging and hh goods'!$U$21-'R&amp;S - Packaging and hh goods'!$U$20)*(BE$3-$X$3)/10))</f>
        <v>2.4130262183761915E-2</v>
      </c>
      <c r="BF30" s="24">
        <f>BF29*('R&amp;S - Packaging and hh goods'!$D$7*'R&amp;S - Packaging and hh goods'!$F$15*('R&amp;S - Packaging and hh goods'!$U$20+('R&amp;S - Packaging and hh goods'!$U$21-'R&amp;S - Packaging and hh goods'!$U$20)*(BF$3-$X$3)/10))</f>
        <v>2.6461153506247444E-2</v>
      </c>
      <c r="BG30" s="24">
        <f>BG29*('R&amp;S - Packaging and hh goods'!$D$7*'R&amp;S - Packaging and hh goods'!$F$15*('R&amp;S - Packaging and hh goods'!$U$20+('R&amp;S - Packaging and hh goods'!$U$21-'R&amp;S - Packaging and hh goods'!$U$20)*(BG$3-$X$3)/10))</f>
        <v>2.8852580254374559E-2</v>
      </c>
      <c r="BH30" s="24">
        <f>BH29*('R&amp;S - Packaging and hh goods'!$D$7*'R&amp;S - Packaging and hh goods'!$F$15*('R&amp;S - Packaging and hh goods'!$U$20+('R&amp;S - Packaging and hh goods'!$U$21-'R&amp;S - Packaging and hh goods'!$U$20)*(BH$3-$X$3)/10))</f>
        <v>3.1305780565362006E-2</v>
      </c>
      <c r="BI30" s="24">
        <f>BI29*('R&amp;S - Packaging and hh goods'!$D$7*'R&amp;S - Packaging and hh goods'!$F$15*('R&amp;S - Packaging and hh goods'!$U$20+('R&amp;S - Packaging and hh goods'!$U$21-'R&amp;S - Packaging and hh goods'!$U$20)*(BI$3-$X$3)/10))</f>
        <v>3.3822015379327254E-2</v>
      </c>
      <c r="BJ30" s="24">
        <f>BJ29*('R&amp;S - Packaging and hh goods'!$D$7*'R&amp;S - Packaging and hh goods'!$F$15*('R&amp;S - Packaging and hh goods'!$U$20+('R&amp;S - Packaging and hh goods'!$U$21-'R&amp;S - Packaging and hh goods'!$U$20)*(BJ$3-$X$3)/10))</f>
        <v>3.6402568835092707E-2</v>
      </c>
      <c r="BK30" s="24">
        <f>BK29*('R&amp;S - Packaging and hh goods'!$D$7*'R&amp;S - Packaging and hh goods'!$F$15*('R&amp;S - Packaging and hh goods'!$U$20+('R&amp;S - Packaging and hh goods'!$U$21-'R&amp;S - Packaging and hh goods'!$U$20)*(BK$3-$X$3)/10))</f>
        <v>3.9048748672605244E-2</v>
      </c>
      <c r="BL30" s="24">
        <f>BL29*('R&amp;S - Packaging and hh goods'!$D$7*'R&amp;S - Packaging and hh goods'!$F$15*('R&amp;S - Packaging and hh goods'!$U$20+('R&amp;S - Packaging and hh goods'!$U$21-'R&amp;S - Packaging and hh goods'!$U$20)*(BL$3-$X$3)/10))</f>
        <v>4.176188664207646E-2</v>
      </c>
      <c r="BM30" s="24">
        <f>BM29*('R&amp;S - Packaging and hh goods'!$D$7*'R&amp;S - Packaging and hh goods'!$F$15*('R&amp;S - Packaging and hh goods'!$U$20+('R&amp;S - Packaging and hh goods'!$U$21-'R&amp;S - Packaging and hh goods'!$U$20)*(BM$3-$X$3)/10))</f>
        <v>4.4543338919953025E-2</v>
      </c>
      <c r="BN30" s="24">
        <f>BN29*('R&amp;S - Packaging and hh goods'!$D$7*'R&amp;S - Packaging and hh goods'!$F$15*('R&amp;S - Packaging and hh goods'!$U$20+('R&amp;S - Packaging and hh goods'!$U$21-'R&amp;S - Packaging and hh goods'!$U$20)*(BN$3-$X$3)/10))</f>
        <v>4.7394486531828303E-2</v>
      </c>
    </row>
    <row r="31" spans="1:87">
      <c r="B31" s="58" t="s">
        <v>188</v>
      </c>
      <c r="C31" s="51" t="s">
        <v>166</v>
      </c>
      <c r="D31" s="24">
        <v>0</v>
      </c>
      <c r="E31" s="24">
        <f>E29*'R&amp;S - Packaging and hh goods'!$D$8*('R&amp;S - Packaging and hh goods'!$F$14*'R&amp;S - Packaging and hh goods'!$V$19*(E$3-$D$3)/10)</f>
        <v>1.2575422809808726E-3</v>
      </c>
      <c r="F31" s="24">
        <f>F29*'R&amp;S - Packaging and hh goods'!$D$8*('R&amp;S - Packaging and hh goods'!$F$14*'R&amp;S - Packaging and hh goods'!$V$19*('Yearly Methanol'!F$3-'Yearly Methanol'!$D$3)/10)</f>
        <v>2.5502957458292098E-3</v>
      </c>
      <c r="G31" s="24">
        <f>G29*'R&amp;S - Packaging and hh goods'!$D$8*('R&amp;S - Packaging and hh goods'!$F$14*'R&amp;S - Packaging and hh goods'!$V$19*('Yearly Methanol'!G$3-'Yearly Methanol'!$D$3)/10)</f>
        <v>3.8789998294062275E-3</v>
      </c>
      <c r="H31" s="24">
        <f>H29*'R&amp;S - Packaging and hh goods'!$D$8*('R&amp;S - Packaging and hh goods'!$F$14*'R&amp;S - Packaging and hh goods'!$V$19*('Yearly Methanol'!H$3-'Yearly Methanol'!$D$3)/10)</f>
        <v>5.2444077693572198E-3</v>
      </c>
      <c r="I31" s="24">
        <f>I29*'R&amp;S - Packaging and hh goods'!$D$8*('R&amp;S - Packaging and hh goods'!$F$14*'R&amp;S - Packaging and hh goods'!$V$19*('Yearly Methanol'!I$3-'Yearly Methanol'!$D$3)/10)</f>
        <v>6.6472868476602758E-3</v>
      </c>
      <c r="J31" s="24">
        <f>J29*'R&amp;S - Packaging and hh goods'!$D$8*('R&amp;S - Packaging and hh goods'!$F$14*'R&amp;S - Packaging and hh goods'!$V$19*('Yearly Methanol'!J$3-'Yearly Methanol'!$D$3)/10)</f>
        <v>8.0884186362330229E-3</v>
      </c>
      <c r="K31" s="24">
        <f>K29*'R&amp;S - Packaging and hh goods'!$D$8*('R&amp;S - Packaging and hh goods'!$F$14*'R&amp;S - Packaging and hh goods'!$V$19*('Yearly Methanol'!K$3-'Yearly Methanol'!$D$3)/10)</f>
        <v>9.5685992466636675E-3</v>
      </c>
      <c r="L31" s="24">
        <f>L29*'R&amp;S - Packaging and hh goods'!$D$8*('R&amp;S - Packaging and hh goods'!$F$14*'R&amp;S - Packaging and hh goods'!$V$19*('Yearly Methanol'!L$3-'Yearly Methanol'!$D$3)/10)</f>
        <v>1.1088639584133666E-2</v>
      </c>
      <c r="M31" s="24">
        <f>M29*'R&amp;S - Packaging and hh goods'!$D$8*('R&amp;S - Packaging and hh goods'!$F$14*'R&amp;S - Packaging and hh goods'!$V$19*('Yearly Methanol'!M$3-'Yearly Methanol'!$D$3)/10)</f>
        <v>1.2649365605600479E-2</v>
      </c>
      <c r="N31" s="24">
        <f>N29*'R&amp;S - Packaging and hh goods'!$D$8*('R&amp;S - Packaging and hh goods'!$F$14*'R&amp;S - Packaging and hh goods'!$V$19*('Yearly Methanol'!N$3-'Yearly Methanol'!$D$3)/10)</f>
        <v>1.4251618582309873E-2</v>
      </c>
      <c r="O31" s="24">
        <f>O29*'R&amp;S - Packaging and hh goods'!$D$8*'R&amp;S - Packaging and hh goods'!$F$14*('R&amp;S - Packaging and hh goods'!$V$19+('R&amp;S - Packaging and hh goods'!$V$20-'R&amp;S - Packaging and hh goods'!$V$19)*(O$3-$N$3)/10)</f>
        <v>1.7851409770100378E-2</v>
      </c>
      <c r="P31" s="24">
        <f>P29*'R&amp;S - Packaging and hh goods'!$D$8*'R&amp;S - Packaging and hh goods'!$F$14*('R&amp;S - Packaging and hh goods'!$V$19+('R&amp;S - Packaging and hh goods'!$V$20-'R&amp;S - Packaging and hh goods'!$V$19)*(P$3-$N$3)/10)</f>
        <v>2.1549201793906882E-2</v>
      </c>
      <c r="Q31" s="24">
        <f>Q29*'R&amp;S - Packaging and hh goods'!$D$8*'R&amp;S - Packaging and hh goods'!$F$14*('R&amp;S - Packaging and hh goods'!$V$19+('R&amp;S - Packaging and hh goods'!$V$20-'R&amp;S - Packaging and hh goods'!$V$19)*(Q$3-$N$3)/10)</f>
        <v>2.5347033118065028E-2</v>
      </c>
      <c r="R31" s="24">
        <f>R29*'R&amp;S - Packaging and hh goods'!$D$8*'R&amp;S - Packaging and hh goods'!$F$14*('R&amp;S - Packaging and hh goods'!$V$19+('R&amp;S - Packaging and hh goods'!$V$20-'R&amp;S - Packaging and hh goods'!$V$19)*(R$3-$N$3)/10)</f>
        <v>2.9246980075748004E-2</v>
      </c>
      <c r="S31" s="24">
        <f>S29*'R&amp;S - Packaging and hh goods'!$D$8*'R&amp;S - Packaging and hh goods'!$F$14*('R&amp;S - Packaging and hh goods'!$V$19+('R&amp;S - Packaging and hh goods'!$V$20-'R&amp;S - Packaging and hh goods'!$V$19)*(S$3-$N$3)/10)</f>
        <v>3.3251157529754959E-2</v>
      </c>
      <c r="T31" s="24">
        <f>T29*'R&amp;S - Packaging and hh goods'!$D$8*'R&amp;S - Packaging and hh goods'!$F$14*('R&amp;S - Packaging and hh goods'!$V$19+('R&amp;S - Packaging and hh goods'!$V$20-'R&amp;S - Packaging and hh goods'!$V$19)*(T$3-$N$3)/10)</f>
        <v>3.7361719544379259E-2</v>
      </c>
      <c r="U31" s="24">
        <f>U29*'R&amp;S - Packaging and hh goods'!$D$8*'R&amp;S - Packaging and hh goods'!$F$14*('R&amp;S - Packaging and hh goods'!$V$19+('R&amp;S - Packaging and hh goods'!$V$20-'R&amp;S - Packaging and hh goods'!$V$19)*(U$3-$N$3)/10)</f>
        <v>4.1580860068537208E-2</v>
      </c>
      <c r="V31" s="24">
        <f>V29*'R&amp;S - Packaging and hh goods'!$D$8*'R&amp;S - Packaging and hh goods'!$F$14*('R&amp;S - Packaging and hh goods'!$V$19+('R&amp;S - Packaging and hh goods'!$V$20-'R&amp;S - Packaging and hh goods'!$V$19)*(V$3-$N$3)/10)</f>
        <v>4.5910813630340892E-2</v>
      </c>
      <c r="W31" s="24">
        <f>W29*'R&amp;S - Packaging and hh goods'!$D$8*'R&amp;S - Packaging and hh goods'!$F$14*('R&amp;S - Packaging and hh goods'!$V$19+('R&amp;S - Packaging and hh goods'!$V$20-'R&amp;S - Packaging and hh goods'!$V$19)*(W$3-$N$3)/10)</f>
        <v>5.0353856043301629E-2</v>
      </c>
      <c r="X31" s="24">
        <f>X29*'R&amp;S - Packaging and hh goods'!$D$8*'R&amp;S - Packaging and hh goods'!$F$14*('R&amp;S - Packaging and hh goods'!$V$19+('R&amp;S - Packaging and hh goods'!$V$20-'R&amp;S - Packaging and hh goods'!$V$19)*(X$3-$N$3)/10)</f>
        <v>5.4912305124353737E-2</v>
      </c>
      <c r="Y31" s="24">
        <f>Y29*'R&amp;S - Packaging and hh goods'!$D$8*'R&amp;S - Packaging and hh goods'!$F$14*('R&amp;S - Packaging and hh goods'!$V$20+('R&amp;S - Packaging and hh goods'!$V$21-'R&amp;S - Packaging and hh goods'!$V$20)*(Y$3-$X$3)/10)</f>
        <v>5.988157972597552E-2</v>
      </c>
      <c r="Z31" s="24">
        <f>Z29*'R&amp;S - Packaging and hh goods'!$D$8*'R&amp;S - Packaging and hh goods'!$F$14*('R&amp;S - Packaging and hh goods'!$V$20+('R&amp;S - Packaging and hh goods'!$V$21-'R&amp;S - Packaging and hh goods'!$V$20)*(Z$3-$X$3)/10)</f>
        <v>6.4979231204638319E-2</v>
      </c>
      <c r="AA31" s="24">
        <f>AA29*'R&amp;S - Packaging and hh goods'!$D$8*'R&amp;S - Packaging and hh goods'!$F$14*('R&amp;S - Packaging and hh goods'!$V$20+('R&amp;S - Packaging and hh goods'!$V$21-'R&amp;S - Packaging and hh goods'!$V$20)*(AA$3-$X$3)/10)</f>
        <v>7.0207880135077408E-2</v>
      </c>
      <c r="AB31" s="24">
        <f>AB29*'R&amp;S - Packaging and hh goods'!$D$8*'R&amp;S - Packaging and hh goods'!$F$14*('R&amp;S - Packaging and hh goods'!$V$20+('R&amp;S - Packaging and hh goods'!$V$21-'R&amp;S - Packaging and hh goods'!$V$20)*(AB$3-$X$3)/10)</f>
        <v>7.5570195306252683E-2</v>
      </c>
      <c r="AC31" s="24">
        <f>AC29*'R&amp;S - Packaging and hh goods'!$D$8*'R&amp;S - Packaging and hh goods'!$F$14*('R&amp;S - Packaging and hh goods'!$V$20+('R&amp;S - Packaging and hh goods'!$V$21-'R&amp;S - Packaging and hh goods'!$V$20)*(AC$3-$X$3)/10)</f>
        <v>8.1068894557714391E-2</v>
      </c>
      <c r="AD31" s="24">
        <f>AD29*'R&amp;S - Packaging and hh goods'!$D$8*'R&amp;S - Packaging and hh goods'!$F$14*('R&amp;S - Packaging and hh goods'!$V$20+('R&amp;S - Packaging and hh goods'!$V$21-'R&amp;S - Packaging and hh goods'!$V$20)*(AD$3-$X$3)/10)</f>
        <v>8.6706745629936993E-2</v>
      </c>
      <c r="AE31" s="24">
        <f>AE29*'R&amp;S - Packaging and hh goods'!$D$8*'R&amp;S - Packaging and hh goods'!$F$14*('R&amp;S - Packaging and hh goods'!$V$20+('R&amp;S - Packaging and hh goods'!$V$21-'R&amp;S - Packaging and hh goods'!$V$20)*(AE$3-$X$3)/10)</f>
        <v>9.2486567028848513E-2</v>
      </c>
      <c r="AF31" s="24">
        <f>AF29*'R&amp;S - Packaging and hh goods'!$D$8*'R&amp;S - Packaging and hh goods'!$F$14*('R&amp;S - Packaging and hh goods'!$V$20+('R&amp;S - Packaging and hh goods'!$V$21-'R&amp;S - Packaging and hh goods'!$V$20)*(AF$3-$X$3)/10)</f>
        <v>9.8411228904786097E-2</v>
      </c>
      <c r="AG31" s="24">
        <f>AG29*'R&amp;S - Packaging and hh goods'!$D$8*'R&amp;S - Packaging and hh goods'!$F$14*('R&amp;S - Packaging and hh goods'!$V$20+('R&amp;S - Packaging and hh goods'!$V$21-'R&amp;S - Packaging and hh goods'!$V$20)*(AG$3-$X$3)/10)</f>
        <v>0.10448365394611228</v>
      </c>
      <c r="AH31" s="24">
        <f>AH29*'R&amp;S - Packaging and hh goods'!$D$8*'R&amp;S - Packaging and hh goods'!$F$14*('R&amp;S - Packaging and hh goods'!$V$20+('R&amp;S - Packaging and hh goods'!$V$21-'R&amp;S - Packaging and hh goods'!$V$20)*(AH$3-$X$3)/10)</f>
        <v>0.11070681828773025</v>
      </c>
      <c r="AI31" s="24"/>
      <c r="AJ31" s="24">
        <v>0</v>
      </c>
      <c r="AK31" s="24">
        <f>AK29*'R&amp;S - Packaging and hh goods'!$D$8*('R&amp;S - Packaging and hh goods'!$F$15*'R&amp;S - Packaging and hh goods'!$V$19*(AK$3-$D$3)/10)</f>
        <v>9.0543044230622836E-4</v>
      </c>
      <c r="AL31" s="24">
        <f>AL29*'R&amp;S - Packaging and hh goods'!$D$8*('R&amp;S - Packaging and hh goods'!$F$15*'R&amp;S - Packaging and hh goods'!$V$19*('Yearly Methanol'!AL$3-'Yearly Methanol'!$D$3)/10)</f>
        <v>1.836212936997031E-3</v>
      </c>
      <c r="AM31" s="24">
        <f>AM29*'R&amp;S - Packaging and hh goods'!$D$8*('R&amp;S - Packaging and hh goods'!$F$15*'R&amp;S - Packaging and hh goods'!$V$19*('Yearly Methanol'!AM$3-'Yearly Methanol'!$D$3)/10)</f>
        <v>2.7928798771724838E-3</v>
      </c>
      <c r="AN31" s="24">
        <f>AN29*'R&amp;S - Packaging and hh goods'!$D$8*('R&amp;S - Packaging and hh goods'!$F$15*'R&amp;S - Packaging and hh goods'!$V$19*('Yearly Methanol'!AN$3-'Yearly Methanol'!$D$3)/10)</f>
        <v>3.7759735939371982E-3</v>
      </c>
      <c r="AO31" s="24">
        <f>AO29*'R&amp;S - Packaging and hh goods'!$D$8*('R&amp;S - Packaging and hh goods'!$F$15*'R&amp;S - Packaging and hh goods'!$V$19*('Yearly Methanol'!AO$3-'Yearly Methanol'!$D$3)/10)</f>
        <v>4.7860465303153996E-3</v>
      </c>
      <c r="AP31" s="24">
        <f>AP29*'R&amp;S - Packaging and hh goods'!$D$8*('R&amp;S - Packaging and hh goods'!$F$15*'R&amp;S - Packaging and hh goods'!$V$19*('Yearly Methanol'!AP$3-'Yearly Methanol'!$D$3)/10)</f>
        <v>5.823661418087777E-3</v>
      </c>
      <c r="AQ31" s="24">
        <f>AQ29*'R&amp;S - Packaging and hh goods'!$D$8*('R&amp;S - Packaging and hh goods'!$F$15*'R&amp;S - Packaging and hh goods'!$V$19*('Yearly Methanol'!AQ$3-'Yearly Methanol'!$D$3)/10)</f>
        <v>6.8893914575978397E-3</v>
      </c>
      <c r="AR31" s="24">
        <f>AR29*'R&amp;S - Packaging and hh goods'!$D$8*('R&amp;S - Packaging and hh goods'!$F$15*'R&amp;S - Packaging and hh goods'!$V$19*('Yearly Methanol'!AR$3-'Yearly Methanol'!$D$3)/10)</f>
        <v>7.9838205005762393E-3</v>
      </c>
      <c r="AS31" s="24">
        <f>AS29*'R&amp;S - Packaging and hh goods'!$D$8*('R&amp;S - Packaging and hh goods'!$F$15*'R&amp;S - Packaging and hh goods'!$V$19*('Yearly Methanol'!AS$3-'Yearly Methanol'!$D$3)/10)</f>
        <v>9.1075432360323456E-3</v>
      </c>
      <c r="AT31" s="24">
        <f>AT29*'R&amp;S - Packaging and hh goods'!$D$8*('R&amp;S - Packaging and hh goods'!$F$15*'R&amp;S - Packaging and hh goods'!$V$19*('Yearly Methanol'!AT$3-'Yearly Methanol'!$D$3)/10)</f>
        <v>1.026116537926311E-2</v>
      </c>
      <c r="AU31" s="24">
        <f>AU29*'R&amp;S - Packaging and hh goods'!$D$8*'R&amp;S - Packaging and hh goods'!$F$15*('R&amp;S - Packaging and hh goods'!$V$19+('R&amp;S - Packaging and hh goods'!$V$20-'R&amp;S - Packaging and hh goods'!$V$19)*(AU$3-$N$3)/10)</f>
        <v>1.2853015034472273E-2</v>
      </c>
      <c r="AV31" s="24">
        <f>AV29*'R&amp;S - Packaging and hh goods'!$D$8*'R&amp;S - Packaging and hh goods'!$F$15*('R&amp;S - Packaging and hh goods'!$V$19+('R&amp;S - Packaging and hh goods'!$V$20-'R&amp;S - Packaging and hh goods'!$V$19)*(AV$3-$N$3)/10)</f>
        <v>1.5515425291612954E-2</v>
      </c>
      <c r="AW31" s="24">
        <f>AW29*'R&amp;S - Packaging and hh goods'!$D$8*'R&amp;S - Packaging and hh goods'!$F$15*('R&amp;S - Packaging and hh goods'!$V$19+('R&amp;S - Packaging and hh goods'!$V$20-'R&amp;S - Packaging and hh goods'!$V$19)*(AW$3-$N$3)/10)</f>
        <v>1.824986384500682E-2</v>
      </c>
      <c r="AX31" s="24">
        <f>AX29*'R&amp;S - Packaging and hh goods'!$D$8*'R&amp;S - Packaging and hh goods'!$F$15*('R&amp;S - Packaging and hh goods'!$V$19+('R&amp;S - Packaging and hh goods'!$V$20-'R&amp;S - Packaging and hh goods'!$V$19)*(AX$3-$N$3)/10)</f>
        <v>2.1057825654538561E-2</v>
      </c>
      <c r="AY31" s="24">
        <f>AY29*'R&amp;S - Packaging and hh goods'!$D$8*'R&amp;S - Packaging and hh goods'!$F$15*('R&amp;S - Packaging and hh goods'!$V$19+('R&amp;S - Packaging and hh goods'!$V$20-'R&amp;S - Packaging and hh goods'!$V$19)*(AY$3-$N$3)/10)</f>
        <v>2.3940833421423571E-2</v>
      </c>
      <c r="AZ31" s="24">
        <f>AZ29*'R&amp;S - Packaging and hh goods'!$D$8*'R&amp;S - Packaging and hh goods'!$F$15*('R&amp;S - Packaging and hh goods'!$V$19+('R&amp;S - Packaging and hh goods'!$V$20-'R&amp;S - Packaging and hh goods'!$V$19)*(AZ$3-$N$3)/10)</f>
        <v>2.6900438071953064E-2</v>
      </c>
      <c r="BA31" s="24">
        <f>BA29*'R&amp;S - Packaging and hh goods'!$D$8*'R&amp;S - Packaging and hh goods'!$F$15*('R&amp;S - Packaging and hh goods'!$V$19+('R&amp;S - Packaging and hh goods'!$V$20-'R&amp;S - Packaging and hh goods'!$V$19)*(BA$3-$N$3)/10)</f>
        <v>2.9938219249346788E-2</v>
      </c>
      <c r="BB31" s="24">
        <f>BB29*'R&amp;S - Packaging and hh goods'!$D$8*'R&amp;S - Packaging and hh goods'!$F$15*('R&amp;S - Packaging and hh goods'!$V$19+('R&amp;S - Packaging and hh goods'!$V$20-'R&amp;S - Packaging and hh goods'!$V$19)*(BB$3-$N$3)/10)</f>
        <v>3.3055785813845447E-2</v>
      </c>
      <c r="BC31" s="24">
        <f>BC29*'R&amp;S - Packaging and hh goods'!$D$8*'R&amp;S - Packaging and hh goods'!$F$15*('R&amp;S - Packaging and hh goods'!$V$19+('R&amp;S - Packaging and hh goods'!$V$20-'R&amp;S - Packaging and hh goods'!$V$19)*(BC$3-$N$3)/10)</f>
        <v>3.6254776351177173E-2</v>
      </c>
      <c r="BD31" s="24">
        <f>BD29*'R&amp;S - Packaging and hh goods'!$D$8*'R&amp;S - Packaging and hh goods'!$F$15*('R&amp;S - Packaging and hh goods'!$V$19+('R&amp;S - Packaging and hh goods'!$V$20-'R&amp;S - Packaging and hh goods'!$V$19)*(BD$3-$N$3)/10)</f>
        <v>3.9536859689534687E-2</v>
      </c>
      <c r="BE31" s="24">
        <f>BE29*'R&amp;S - Packaging and hh goods'!$D$8*'R&amp;S - Packaging and hh goods'!$F$15*('R&amp;S - Packaging and hh goods'!$V$20+('R&amp;S - Packaging and hh goods'!$V$21-'R&amp;S - Packaging and hh goods'!$V$20)*(BE$3-$X$3)/10)</f>
        <v>4.3114737402702372E-2</v>
      </c>
      <c r="BF31" s="24">
        <f>BF29*'R&amp;S - Packaging and hh goods'!$D$8*'R&amp;S - Packaging and hh goods'!$F$15*('R&amp;S - Packaging and hh goods'!$V$20+('R&amp;S - Packaging and hh goods'!$V$21-'R&amp;S - Packaging and hh goods'!$V$20)*(BF$3-$X$3)/10)</f>
        <v>4.6785046467339594E-2</v>
      </c>
      <c r="BG31" s="24">
        <f>BG29*'R&amp;S - Packaging and hh goods'!$D$8*'R&amp;S - Packaging and hh goods'!$F$15*('R&amp;S - Packaging and hh goods'!$V$20+('R&amp;S - Packaging and hh goods'!$V$21-'R&amp;S - Packaging and hh goods'!$V$20)*(BG$3-$X$3)/10)</f>
        <v>5.0549673697255736E-2</v>
      </c>
      <c r="BH31" s="24">
        <f>BH29*'R&amp;S - Packaging and hh goods'!$D$8*'R&amp;S - Packaging and hh goods'!$F$15*('R&amp;S - Packaging and hh goods'!$V$20+('R&amp;S - Packaging and hh goods'!$V$21-'R&amp;S - Packaging and hh goods'!$V$20)*(BH$3-$X$3)/10)</f>
        <v>5.4410540620501935E-2</v>
      </c>
      <c r="BI31" s="24">
        <f>BI29*'R&amp;S - Packaging and hh goods'!$D$8*'R&amp;S - Packaging and hh goods'!$F$15*('R&amp;S - Packaging and hh goods'!$V$20+('R&amp;S - Packaging and hh goods'!$V$21-'R&amp;S - Packaging and hh goods'!$V$20)*(BI$3-$X$3)/10)</f>
        <v>5.8369604081554352E-2</v>
      </c>
      <c r="BJ31" s="24">
        <f>BJ29*'R&amp;S - Packaging and hh goods'!$D$8*'R&amp;S - Packaging and hh goods'!$F$15*('R&amp;S - Packaging and hh goods'!$V$20+('R&amp;S - Packaging and hh goods'!$V$21-'R&amp;S - Packaging and hh goods'!$V$20)*(BJ$3-$X$3)/10)</f>
        <v>6.2428856853554628E-2</v>
      </c>
      <c r="BK31" s="24">
        <f>BK29*'R&amp;S - Packaging and hh goods'!$D$8*'R&amp;S - Packaging and hh goods'!$F$15*('R&amp;S - Packaging and hh goods'!$V$20+('R&amp;S - Packaging and hh goods'!$V$21-'R&amp;S - Packaging and hh goods'!$V$20)*(BK$3-$X$3)/10)</f>
        <v>6.6590328260770923E-2</v>
      </c>
      <c r="BL31" s="24">
        <f>BL29*'R&amp;S - Packaging and hh goods'!$D$8*'R&amp;S - Packaging and hh goods'!$F$15*('R&amp;S - Packaging and hh goods'!$V$20+('R&amp;S - Packaging and hh goods'!$V$21-'R&amp;S - Packaging and hh goods'!$V$20)*(BL$3-$X$3)/10)</f>
        <v>7.085608481144598E-2</v>
      </c>
      <c r="BM31" s="24">
        <f>BM29*'R&amp;S - Packaging and hh goods'!$D$8*'R&amp;S - Packaging and hh goods'!$F$15*('R&amp;S - Packaging and hh goods'!$V$20+('R&amp;S - Packaging and hh goods'!$V$21-'R&amp;S - Packaging and hh goods'!$V$20)*(BM$3-$X$3)/10)</f>
        <v>7.5228230841200838E-2</v>
      </c>
      <c r="BN31" s="24">
        <f>BN29*'R&amp;S - Packaging and hh goods'!$D$8*'R&amp;S - Packaging and hh goods'!$F$15*('R&amp;S - Packaging and hh goods'!$V$20+('R&amp;S - Packaging and hh goods'!$V$21-'R&amp;S - Packaging and hh goods'!$V$20)*(BN$3-$X$3)/10)</f>
        <v>7.9708909167165776E-2</v>
      </c>
      <c r="BQ31" s="1" t="s">
        <v>915</v>
      </c>
      <c r="BR31" t="s">
        <v>908</v>
      </c>
      <c r="BS31" s="41">
        <f>D5</f>
        <v>31.201972235932139</v>
      </c>
      <c r="BU31" t="str" cm="1">
        <f t="array" ref="BU31:BW35">'Sankey Methanol_detailed'!Q21:S25</f>
        <v>Fuel</v>
      </c>
      <c r="BV31" s="41">
        <v>28.587862624213781</v>
      </c>
      <c r="BW31" s="2">
        <v>0.27471012342412782</v>
      </c>
    </row>
    <row r="32" spans="1:87">
      <c r="B32" s="1" t="s">
        <v>164</v>
      </c>
      <c r="C32" s="51" t="s">
        <v>166</v>
      </c>
      <c r="D32" s="24">
        <f>SUM(D30:D31)</f>
        <v>0</v>
      </c>
      <c r="E32" s="24">
        <f t="shared" ref="E32:Y32" si="267">SUM(E30:E31)</f>
        <v>1.5214462254792434E-3</v>
      </c>
      <c r="F32" s="24">
        <f t="shared" si="267"/>
        <v>3.0854929452719055E-3</v>
      </c>
      <c r="G32" s="24">
        <f t="shared" si="267"/>
        <v>4.6930347697585681E-3</v>
      </c>
      <c r="H32" s="24">
        <f t="shared" si="267"/>
        <v>6.3449830087135839E-3</v>
      </c>
      <c r="I32" s="24">
        <f t="shared" si="267"/>
        <v>8.0422659635444663E-3</v>
      </c>
      <c r="J32" s="24">
        <f t="shared" si="267"/>
        <v>9.7858292244409062E-3</v>
      </c>
      <c r="K32" s="24">
        <f t="shared" si="267"/>
        <v>1.1576635972513594E-2</v>
      </c>
      <c r="L32" s="24">
        <f t="shared" si="267"/>
        <v>1.3415667287004324E-2</v>
      </c>
      <c r="M32" s="24">
        <f t="shared" si="267"/>
        <v>1.5303922457650183E-2</v>
      </c>
      <c r="N32" s="24">
        <f t="shared" si="267"/>
        <v>1.7242419302285872E-2</v>
      </c>
      <c r="O32" s="24">
        <f t="shared" si="267"/>
        <v>2.3259674712032975E-2</v>
      </c>
      <c r="P32" s="24">
        <f t="shared" ref="P32:X32" si="268">SUM(P30:P31)</f>
        <v>2.9442033759069751E-2</v>
      </c>
      <c r="Q32" s="24">
        <f t="shared" si="268"/>
        <v>3.579293996317999E-2</v>
      </c>
      <c r="R32" s="24">
        <f t="shared" si="268"/>
        <v>4.2315900902388556E-2</v>
      </c>
      <c r="S32" s="24">
        <f t="shared" si="268"/>
        <v>4.9014489331662164E-2</v>
      </c>
      <c r="T32" s="24">
        <f t="shared" si="268"/>
        <v>5.5892344320378574E-2</v>
      </c>
      <c r="U32" s="24">
        <f t="shared" si="268"/>
        <v>6.2953172408870023E-2</v>
      </c>
      <c r="V32" s="24">
        <f t="shared" si="268"/>
        <v>7.0200748784352465E-2</v>
      </c>
      <c r="W32" s="24">
        <f t="shared" si="268"/>
        <v>7.7638918476556254E-2</v>
      </c>
      <c r="X32" s="24">
        <f t="shared" si="268"/>
        <v>8.5271597573380042E-2</v>
      </c>
      <c r="Y32" s="24">
        <f t="shared" si="267"/>
        <v>9.339583275897817E-2</v>
      </c>
      <c r="Z32" s="24">
        <f t="shared" ref="Z32:AH32" si="269">SUM(Z30:Z31)</f>
        <v>0.10173083329664866</v>
      </c>
      <c r="AA32" s="24">
        <f t="shared" si="269"/>
        <v>0.11028090826615319</v>
      </c>
      <c r="AB32" s="24">
        <f t="shared" si="269"/>
        <v>0.11905044609147769</v>
      </c>
      <c r="AC32" s="24">
        <f t="shared" si="269"/>
        <v>0.1280439159178911</v>
      </c>
      <c r="AD32" s="24">
        <f t="shared" si="269"/>
        <v>0.13726586901201021</v>
      </c>
      <c r="AE32" s="24">
        <f t="shared" si="269"/>
        <v>0.14672094018524467</v>
      </c>
      <c r="AF32" s="24">
        <f t="shared" si="269"/>
        <v>0.15641384924100338</v>
      </c>
      <c r="AG32" s="24">
        <f t="shared" si="269"/>
        <v>0.16634940244604704</v>
      </c>
      <c r="AH32" s="24">
        <f t="shared" si="269"/>
        <v>0.17653249402638066</v>
      </c>
      <c r="AI32" s="24"/>
      <c r="AJ32" s="24">
        <f>SUM(AJ30:AJ31)</f>
        <v>0</v>
      </c>
      <c r="AK32" s="24">
        <f t="shared" ref="AK32:BN32" si="270">SUM(AK30:AK31)</f>
        <v>1.0954412823450553E-3</v>
      </c>
      <c r="AL32" s="24">
        <f t="shared" si="270"/>
        <v>2.2215549205957721E-3</v>
      </c>
      <c r="AM32" s="24">
        <f t="shared" si="270"/>
        <v>3.3789850342261689E-3</v>
      </c>
      <c r="AN32" s="24">
        <f t="shared" si="270"/>
        <v>4.5683877662737798E-3</v>
      </c>
      <c r="AO32" s="24">
        <f t="shared" si="270"/>
        <v>5.7904314937520171E-3</v>
      </c>
      <c r="AP32" s="24">
        <f t="shared" si="270"/>
        <v>7.0457970415974533E-3</v>
      </c>
      <c r="AQ32" s="24">
        <f t="shared" si="270"/>
        <v>8.3351779002097861E-3</v>
      </c>
      <c r="AR32" s="24">
        <f t="shared" si="270"/>
        <v>9.6592804466431124E-3</v>
      </c>
      <c r="AS32" s="24">
        <f t="shared" si="270"/>
        <v>1.1018824169508131E-2</v>
      </c>
      <c r="AT32" s="24">
        <f t="shared" si="270"/>
        <v>1.2414541897645829E-2</v>
      </c>
      <c r="AU32" s="24">
        <f t="shared" si="270"/>
        <v>1.6746965792663743E-2</v>
      </c>
      <c r="AV32" s="24">
        <f t="shared" si="270"/>
        <v>2.1198264306530219E-2</v>
      </c>
      <c r="AW32" s="24">
        <f t="shared" si="270"/>
        <v>2.5770916773489597E-2</v>
      </c>
      <c r="AX32" s="24">
        <f t="shared" si="270"/>
        <v>3.0467448649719758E-2</v>
      </c>
      <c r="AY32" s="24">
        <f t="shared" si="270"/>
        <v>3.5290432318796763E-2</v>
      </c>
      <c r="AZ32" s="24">
        <f t="shared" si="270"/>
        <v>4.0242487910672572E-2</v>
      </c>
      <c r="BA32" s="24">
        <f t="shared" si="270"/>
        <v>4.532628413438642E-2</v>
      </c>
      <c r="BB32" s="24">
        <f t="shared" si="270"/>
        <v>5.0544539124733778E-2</v>
      </c>
      <c r="BC32" s="24">
        <f t="shared" si="270"/>
        <v>5.5900021303120509E-2</v>
      </c>
      <c r="BD32" s="24">
        <f t="shared" si="270"/>
        <v>6.1395550252833622E-2</v>
      </c>
      <c r="BE32" s="24">
        <f t="shared" si="270"/>
        <v>6.7244999586464294E-2</v>
      </c>
      <c r="BF32" s="24">
        <f t="shared" si="270"/>
        <v>7.3246199973587042E-2</v>
      </c>
      <c r="BG32" s="24">
        <f t="shared" si="270"/>
        <v>7.9402253951630294E-2</v>
      </c>
      <c r="BH32" s="24">
        <f t="shared" si="270"/>
        <v>8.5716321185863947E-2</v>
      </c>
      <c r="BI32" s="24">
        <f t="shared" si="270"/>
        <v>9.2191619460881613E-2</v>
      </c>
      <c r="BJ32" s="24">
        <f t="shared" si="270"/>
        <v>9.8831425688647334E-2</v>
      </c>
      <c r="BK32" s="24">
        <f t="shared" si="270"/>
        <v>0.10563907693337617</v>
      </c>
      <c r="BL32" s="24">
        <f t="shared" si="270"/>
        <v>0.11261797145352244</v>
      </c>
      <c r="BM32" s="24">
        <f t="shared" si="270"/>
        <v>0.11977156976115386</v>
      </c>
      <c r="BN32" s="24">
        <f t="shared" si="270"/>
        <v>0.12710339569899409</v>
      </c>
      <c r="BR32" t="s">
        <v>911</v>
      </c>
      <c r="BS32" s="41">
        <f>D11</f>
        <v>28.065001267929215</v>
      </c>
      <c r="BU32" t="str">
        <v>Major Polymers</v>
      </c>
      <c r="BV32" s="41">
        <v>28.851572700948026</v>
      </c>
      <c r="BW32" s="2">
        <v>0.27724419981452192</v>
      </c>
    </row>
    <row r="33" spans="1:75">
      <c r="B33" s="58" t="s">
        <v>189</v>
      </c>
      <c r="C33" s="51" t="s">
        <v>166</v>
      </c>
      <c r="D33" s="24">
        <v>0</v>
      </c>
      <c r="E33" s="24">
        <f>E29*'R&amp;S - Packaging and hh goods'!$D$9*('R&amp;S - Packaging and hh goods'!$G$14*'R&amp;S - Packaging and hh goods'!$W$19*(E$3-$D$3)/10)</f>
        <v>8.9967253806262745E-4</v>
      </c>
      <c r="F33" s="24">
        <f>F29*'R&amp;S - Packaging and hh goods'!$D$9*('R&amp;S - Packaging and hh goods'!$G$14*'R&amp;S - Packaging and hh goods'!$W$19*('Yearly Methanol'!F$3-'Yearly Methanol'!$D$3)/10)</f>
        <v>1.8245359071910083E-3</v>
      </c>
      <c r="G33" s="24">
        <f>G29*'R&amp;S - Packaging and hh goods'!$D$9*('R&amp;S - Packaging and hh goods'!$G$14*'R&amp;S - Packaging and hh goods'!$W$19*('Yearly Methanol'!G$3-'Yearly Methanol'!$D$3)/10)</f>
        <v>2.7751191148375235E-3</v>
      </c>
      <c r="H33" s="24">
        <f>H29*'R&amp;S - Packaging and hh goods'!$D$9*('R&amp;S - Packaging and hh goods'!$G$14*'R&amp;S - Packaging and hh goods'!$W$19*('Yearly Methanol'!H$3-'Yearly Methanol'!$D$3)/10)</f>
        <v>3.7519610432603318E-3</v>
      </c>
      <c r="I33" s="24">
        <f>I29*'R&amp;S - Packaging and hh goods'!$D$9*('R&amp;S - Packaging and hh goods'!$G$14*'R&amp;S - Packaging and hh goods'!$W$19*('Yearly Methanol'!I$3-'Yearly Methanol'!$D$3)/10)</f>
        <v>4.7556106223324698E-3</v>
      </c>
      <c r="J33" s="24">
        <f>J29*'R&amp;S - Packaging and hh goods'!$D$9*('R&amp;S - Packaging and hh goods'!$G$14*'R&amp;S - Packaging and hh goods'!$W$19*('Yearly Methanol'!J$3-'Yearly Methanol'!$D$3)/10)</f>
        <v>5.7866270052541495E-3</v>
      </c>
      <c r="K33" s="24">
        <f>K29*'R&amp;S - Packaging and hh goods'!$D$9*('R&amp;S - Packaging and hh goods'!$G$14*'R&amp;S - Packaging and hh goods'!$W$19*('Yearly Methanol'!K$3-'Yearly Methanol'!$D$3)/10)</f>
        <v>6.8455797472156575E-3</v>
      </c>
      <c r="L33" s="24">
        <f>L29*'R&amp;S - Packaging and hh goods'!$D$9*('R&amp;S - Packaging and hh goods'!$G$14*'R&amp;S - Packaging and hh goods'!$W$19*('Yearly Methanol'!L$3-'Yearly Methanol'!$D$3)/10)</f>
        <v>7.9330489870590611E-3</v>
      </c>
      <c r="M33" s="24">
        <f>M29*'R&amp;S - Packaging and hh goods'!$D$9*('R&amp;S - Packaging and hh goods'!$G$14*'R&amp;S - Packaging and hh goods'!$W$19*('Yearly Methanol'!M$3-'Yearly Methanol'!$D$3)/10)</f>
        <v>9.0496256319876241E-3</v>
      </c>
      <c r="N33" s="24">
        <f>N29*'R&amp;S - Packaging and hh goods'!$D$9*('R&amp;S - Packaging and hh goods'!$G$14*'R&amp;S - Packaging and hh goods'!$W$19*('Yearly Methanol'!N$3-'Yearly Methanol'!$D$3)/10)</f>
        <v>1.0195911545372721E-2</v>
      </c>
      <c r="O33" s="24">
        <f>O29*'R&amp;S - Packaging and hh goods'!$D$9*'R&amp;S - Packaging and hh goods'!$G$14*('R&amp;S - Packaging and hh goods'!$W$19+('R&amp;S - Packaging and hh goods'!$W$20-'R&amp;S - Packaging and hh goods'!$W$19)*('Yearly Methanol'!O$3-'Yearly Methanol'!$N$3)/10)</f>
        <v>1.195148437890118E-2</v>
      </c>
      <c r="P33" s="24">
        <f>P29*'R&amp;S - Packaging and hh goods'!$D$9*'R&amp;S - Packaging and hh goods'!$G$14*('R&amp;S - Packaging and hh goods'!$W$19+('R&amp;S - Packaging and hh goods'!$W$20-'R&amp;S - Packaging and hh goods'!$W$19)*('Yearly Methanol'!P$3-'Yearly Methanol'!$N$3)/10)</f>
        <v>1.375421485310554E-2</v>
      </c>
      <c r="Q33" s="24">
        <f>Q29*'R&amp;S - Packaging and hh goods'!$D$9*'R&amp;S - Packaging and hh goods'!$G$14*('R&amp;S - Packaging and hh goods'!$W$19+('R&amp;S - Packaging and hh goods'!$W$20-'R&amp;S - Packaging and hh goods'!$W$19)*('Yearly Methanol'!Q$3-'Yearly Methanol'!$N$3)/10)</f>
        <v>1.5605079289649356E-2</v>
      </c>
      <c r="R33" s="24">
        <f>R29*'R&amp;S - Packaging and hh goods'!$D$9*'R&amp;S - Packaging and hh goods'!$G$14*('R&amp;S - Packaging and hh goods'!$W$19+('R&amp;S - Packaging and hh goods'!$W$20-'R&amp;S - Packaging and hh goods'!$W$19)*('Yearly Methanol'!R$3-'Yearly Methanol'!$N$3)/10)</f>
        <v>1.7505072104305196E-2</v>
      </c>
      <c r="S33" s="24">
        <f>S29*'R&amp;S - Packaging and hh goods'!$D$9*'R&amp;S - Packaging and hh goods'!$G$14*('R&amp;S - Packaging and hh goods'!$W$19+('R&amp;S - Packaging and hh goods'!$W$20-'R&amp;S - Packaging and hh goods'!$W$19)*('Yearly Methanol'!S$3-'Yearly Methanol'!$N$3)/10)</f>
        <v>1.9455206122230621E-2</v>
      </c>
      <c r="T33" s="24">
        <f>T29*'R&amp;S - Packaging and hh goods'!$D$9*'R&amp;S - Packaging and hh goods'!$G$14*('R&amp;S - Packaging and hh goods'!$W$19+('R&amp;S - Packaging and hh goods'!$W$20-'R&amp;S - Packaging and hh goods'!$W$19)*('Yearly Methanol'!T$3-'Yearly Methanol'!$N$3)/10)</f>
        <v>2.1456512898525518E-2</v>
      </c>
      <c r="U33" s="24">
        <f>U29*'R&amp;S - Packaging and hh goods'!$D$9*'R&amp;S - Packaging and hh goods'!$G$14*('R&amp;S - Packaging and hh goods'!$W$19+('R&amp;S - Packaging and hh goods'!$W$20-'R&amp;S - Packaging and hh goods'!$W$19)*('Yearly Methanol'!U$3-'Yearly Methanol'!$N$3)/10)</f>
        <v>2.3510043044156718E-2</v>
      </c>
      <c r="V33" s="24">
        <f>V29*'R&amp;S - Packaging and hh goods'!$D$9*'R&amp;S - Packaging and hh goods'!$G$14*('R&amp;S - Packaging and hh goods'!$W$19+('R&amp;S - Packaging and hh goods'!$W$20-'R&amp;S - Packaging and hh goods'!$W$19)*('Yearly Methanol'!V$3-'Yearly Methanol'!$N$3)/10)</f>
        <v>2.561686655733748E-2</v>
      </c>
      <c r="W33" s="24">
        <f>W29*'R&amp;S - Packaging and hh goods'!$D$9*'R&amp;S - Packaging and hh goods'!$G$14*('R&amp;S - Packaging and hh goods'!$W$19+('R&amp;S - Packaging and hh goods'!$W$20-'R&amp;S - Packaging and hh goods'!$W$19)*('Yearly Methanol'!W$3-'Yearly Methanol'!$N$3)/10)</f>
        <v>2.7778073160450643E-2</v>
      </c>
      <c r="X33" s="24">
        <f>X29*'R&amp;S - Packaging and hh goods'!$D$9*'R&amp;S - Packaging and hh goods'!$G$14*('R&amp;S - Packaging and hh goods'!$W$19+('R&amp;S - Packaging and hh goods'!$W$20-'R&amp;S - Packaging and hh goods'!$W$19)*('Yearly Methanol'!X$3-'Yearly Methanol'!$N$3)/10)</f>
        <v>2.9994772642605735E-2</v>
      </c>
      <c r="Y33" s="24">
        <f>Y29*'R&amp;S - Packaging and hh goods'!$D$9*'R&amp;S - Packaging and hh goods'!$G$14*('R&amp;S - Packaging and hh goods'!$W$20+('R&amp;S - Packaging and hh goods'!$W$21-'R&amp;S - Packaging and hh goods'!$W$20)*('Yearly Methanol'!Y$3-'Yearly Methanol'!$X$3)/10)</f>
        <v>3.2125526304204843E-2</v>
      </c>
      <c r="Z33" s="24">
        <f>Z29*'R&amp;S - Packaging and hh goods'!$D$9*'R&amp;S - Packaging and hh goods'!$G$14*('R&amp;S - Packaging and hh goods'!$W$20+('R&amp;S - Packaging and hh goods'!$W$21-'R&amp;S - Packaging and hh goods'!$W$20)*('Yearly Methanol'!Z$3-'Yearly Methanol'!$X$3)/10)</f>
        <v>3.4310062092890767E-2</v>
      </c>
      <c r="AA33" s="24">
        <f>AA29*'R&amp;S - Packaging and hh goods'!$D$9*'R&amp;S - Packaging and hh goods'!$G$14*('R&amp;S - Packaging and hh goods'!$W$20+('R&amp;S - Packaging and hh goods'!$W$21-'R&amp;S - Packaging and hh goods'!$W$20)*('Yearly Methanol'!AA$3-'Yearly Methanol'!$X$3)/10)</f>
        <v>3.6549468280504281E-2</v>
      </c>
      <c r="AB33" s="24">
        <f>AB29*'R&amp;S - Packaging and hh goods'!$D$9*'R&amp;S - Packaging and hh goods'!$G$14*('R&amp;S - Packaging and hh goods'!$W$20+('R&amp;S - Packaging and hh goods'!$W$21-'R&amp;S - Packaging and hh goods'!$W$20)*('Yearly Methanol'!AB$3-'Yearly Methanol'!$X$3)/10)</f>
        <v>3.8844853069200769E-2</v>
      </c>
      <c r="AC33" s="24">
        <f>AC29*'R&amp;S - Packaging and hh goods'!$D$9*'R&amp;S - Packaging and hh goods'!$G$14*('R&amp;S - Packaging and hh goods'!$W$20+('R&amp;S - Packaging and hh goods'!$W$21-'R&amp;S - Packaging and hh goods'!$W$20)*('Yearly Methanol'!AC$3-'Yearly Methanol'!$X$3)/10)</f>
        <v>4.1197344936197776E-2</v>
      </c>
      <c r="AD33" s="24">
        <f>AD29*'R&amp;S - Packaging and hh goods'!$D$9*'R&amp;S - Packaging and hh goods'!$G$14*('R&amp;S - Packaging and hh goods'!$W$20+('R&amp;S - Packaging and hh goods'!$W$21-'R&amp;S - Packaging and hh goods'!$W$20)*('Yearly Methanol'!AD$3-'Yearly Methanol'!$X$3)/10)</f>
        <v>4.3608092984269139E-2</v>
      </c>
      <c r="AE33" s="24">
        <f>AE29*'R&amp;S - Packaging and hh goods'!$D$9*'R&amp;S - Packaging and hh goods'!$G$14*('R&amp;S - Packaging and hh goods'!$W$20+('R&amp;S - Packaging and hh goods'!$W$21-'R&amp;S - Packaging and hh goods'!$W$20)*('Yearly Methanol'!AE$3-'Yearly Methanol'!$X$3)/10)</f>
        <v>4.6078267298078998E-2</v>
      </c>
      <c r="AF33" s="24">
        <f>AF29*'R&amp;S - Packaging and hh goods'!$D$9*'R&amp;S - Packaging and hh goods'!$G$14*('R&amp;S - Packaging and hh goods'!$W$20+('R&amp;S - Packaging and hh goods'!$W$21-'R&amp;S - Packaging and hh goods'!$W$20)*('Yearly Methanol'!AF$3-'Yearly Methanol'!$X$3)/10)</f>
        <v>4.8609059306450611E-2</v>
      </c>
      <c r="AG33" s="24">
        <f>AG29*'R&amp;S - Packaging and hh goods'!$D$9*'R&amp;S - Packaging and hh goods'!$G$14*('R&amp;S - Packaging and hh goods'!$W$20+('R&amp;S - Packaging and hh goods'!$W$21-'R&amp;S - Packaging and hh goods'!$W$20)*('Yearly Methanol'!AG$3-'Yearly Methanol'!$X$3)/10)</f>
        <v>5.1201682150666221E-2</v>
      </c>
      <c r="AH33" s="24">
        <f>AH29*'R&amp;S - Packaging and hh goods'!$D$9*'R&amp;S - Packaging and hh goods'!$G$14*('R&amp;S - Packaging and hh goods'!$W$20+('R&amp;S - Packaging and hh goods'!$W$21-'R&amp;S - Packaging and hh goods'!$W$20)*('Yearly Methanol'!AH$3-'Yearly Methanol'!$X$3)/10)</f>
        <v>5.3857371058895799E-2</v>
      </c>
      <c r="AI33" s="24"/>
      <c r="AJ33" s="24">
        <v>0</v>
      </c>
      <c r="AK33" s="24">
        <f>AK29*'R&amp;S - Packaging and hh goods'!$D$9*('R&amp;S - Packaging and hh goods'!$G$15*'R&amp;S - Packaging and hh goods'!$W$19*(AK$3-$D$3)/10)</f>
        <v>7.3773148121135433E-4</v>
      </c>
      <c r="AL33" s="24">
        <f>AL29*'R&amp;S - Packaging and hh goods'!$D$9*('R&amp;S - Packaging and hh goods'!$G$15*'R&amp;S - Packaging and hh goods'!$W$19*('Yearly Methanol'!AL$3-'Yearly Methanol'!$D$3)/10)</f>
        <v>1.4961194438966265E-3</v>
      </c>
      <c r="AM33" s="24">
        <f>AM29*'R&amp;S - Packaging and hh goods'!$D$9*('R&amp;S - Packaging and hh goods'!$G$15*'R&amp;S - Packaging and hh goods'!$W$19*('Yearly Methanol'!AM$3-'Yearly Methanol'!$D$3)/10)</f>
        <v>2.2755976741667691E-3</v>
      </c>
      <c r="AN33" s="24">
        <f>AN29*'R&amp;S - Packaging and hh goods'!$D$9*('R&amp;S - Packaging and hh goods'!$G$15*'R&amp;S - Packaging and hh goods'!$W$19*('Yearly Methanol'!AN$3-'Yearly Methanol'!$D$3)/10)</f>
        <v>3.0766080554734715E-3</v>
      </c>
      <c r="AO33" s="24">
        <f>AO29*'R&amp;S - Packaging and hh goods'!$D$9*('R&amp;S - Packaging and hh goods'!$G$15*'R&amp;S - Packaging and hh goods'!$W$19*('Yearly Methanol'!AO$3-'Yearly Methanol'!$D$3)/10)</f>
        <v>3.8996007103126252E-3</v>
      </c>
      <c r="AP33" s="24">
        <f>AP29*'R&amp;S - Packaging and hh goods'!$D$9*('R&amp;S - Packaging and hh goods'!$G$15*'R&amp;S - Packaging and hh goods'!$W$19*('Yearly Methanol'!AP$3-'Yearly Methanol'!$D$3)/10)</f>
        <v>4.7450341443084024E-3</v>
      </c>
      <c r="AQ33" s="24">
        <f>AQ29*'R&amp;S - Packaging and hh goods'!$D$9*('R&amp;S - Packaging and hh goods'!$G$15*'R&amp;S - Packaging and hh goods'!$W$19*('Yearly Methanol'!AQ$3-'Yearly Methanol'!$D$3)/10)</f>
        <v>5.6133753927168394E-3</v>
      </c>
      <c r="AR33" s="24">
        <f>AR29*'R&amp;S - Packaging and hh goods'!$D$9*('R&amp;S - Packaging and hh goods'!$G$15*'R&amp;S - Packaging and hh goods'!$W$19*('Yearly Methanol'!AR$3-'Yearly Methanol'!$D$3)/10)</f>
        <v>6.5051001693884284E-3</v>
      </c>
      <c r="AS33" s="24">
        <f>AS29*'R&amp;S - Packaging and hh goods'!$D$9*('R&amp;S - Packaging and hh goods'!$G$15*'R&amp;S - Packaging and hh goods'!$W$19*('Yearly Methanol'!AS$3-'Yearly Methanol'!$D$3)/10)</f>
        <v>7.4206930182298516E-3</v>
      </c>
      <c r="AT33" s="24">
        <f>AT29*'R&amp;S - Packaging and hh goods'!$D$9*('R&amp;S - Packaging and hh goods'!$G$15*'R&amp;S - Packaging and hh goods'!$W$19*('Yearly Methanol'!AT$3-'Yearly Methanol'!$D$3)/10)</f>
        <v>8.3606474672056307E-3</v>
      </c>
      <c r="AU33" s="24">
        <f>AU29*'R&amp;S - Packaging and hh goods'!$D$9*'R&amp;S - Packaging and hh goods'!$G$15*('R&amp;S - Packaging and hh goods'!$W$19+('R&amp;S - Packaging and hh goods'!$W$20-'R&amp;S - Packaging and hh goods'!$W$19)*('Yearly Methanol'!AU$3-'Yearly Methanol'!$N$3)/10)</f>
        <v>9.800217190698967E-3</v>
      </c>
      <c r="AV33" s="24">
        <f>AV29*'R&amp;S - Packaging and hh goods'!$D$9*'R&amp;S - Packaging and hh goods'!$G$15*('R&amp;S - Packaging and hh goods'!$W$19+('R&amp;S - Packaging and hh goods'!$W$20-'R&amp;S - Packaging and hh goods'!$W$19)*('Yearly Methanol'!AV$3-'Yearly Methanol'!$N$3)/10)</f>
        <v>1.127845617954654E-2</v>
      </c>
      <c r="AW33" s="24">
        <f>AW29*'R&amp;S - Packaging and hh goods'!$D$9*'R&amp;S - Packaging and hh goods'!$G$15*('R&amp;S - Packaging and hh goods'!$W$19+('R&amp;S - Packaging and hh goods'!$W$20-'R&amp;S - Packaging and hh goods'!$W$19)*('Yearly Methanol'!AW$3-'Yearly Methanol'!$N$3)/10)</f>
        <v>1.2796165017512471E-2</v>
      </c>
      <c r="AX33" s="24">
        <f>AX29*'R&amp;S - Packaging and hh goods'!$D$9*'R&amp;S - Packaging and hh goods'!$G$15*('R&amp;S - Packaging and hh goods'!$W$19+('R&amp;S - Packaging and hh goods'!$W$20-'R&amp;S - Packaging and hh goods'!$W$19)*('Yearly Methanol'!AX$3-'Yearly Methanol'!$N$3)/10)</f>
        <v>1.435415912553026E-2</v>
      </c>
      <c r="AY33" s="24">
        <f>AY29*'R&amp;S - Packaging and hh goods'!$D$9*'R&amp;S - Packaging and hh goods'!$G$15*('R&amp;S - Packaging and hh goods'!$W$19+('R&amp;S - Packaging and hh goods'!$W$20-'R&amp;S - Packaging and hh goods'!$W$19)*('Yearly Methanol'!AY$3-'Yearly Methanol'!$N$3)/10)</f>
        <v>1.5953269020229109E-2</v>
      </c>
      <c r="AZ33" s="24">
        <f>AZ29*'R&amp;S - Packaging and hh goods'!$D$9*'R&amp;S - Packaging and hh goods'!$G$15*('R&amp;S - Packaging and hh goods'!$W$19+('R&amp;S - Packaging and hh goods'!$W$20-'R&amp;S - Packaging and hh goods'!$W$19)*('Yearly Methanol'!AZ$3-'Yearly Methanol'!$N$3)/10)</f>
        <v>1.7594340576790924E-2</v>
      </c>
      <c r="BA33" s="24">
        <f>BA29*'R&amp;S - Packaging and hh goods'!$D$9*'R&amp;S - Packaging and hh goods'!$G$15*('R&amp;S - Packaging and hh goods'!$W$19+('R&amp;S - Packaging and hh goods'!$W$20-'R&amp;S - Packaging and hh goods'!$W$19)*('Yearly Methanol'!BA$3-'Yearly Methanol'!$N$3)/10)</f>
        <v>1.927823529620851E-2</v>
      </c>
      <c r="BB33" s="24">
        <f>BB29*'R&amp;S - Packaging and hh goods'!$D$9*'R&amp;S - Packaging and hh goods'!$G$15*('R&amp;S - Packaging and hh goods'!$W$19+('R&amp;S - Packaging and hh goods'!$W$20-'R&amp;S - Packaging and hh goods'!$W$19)*('Yearly Methanol'!BB$3-'Yearly Methanol'!$N$3)/10)</f>
        <v>2.1005830577016733E-2</v>
      </c>
      <c r="BC33" s="24">
        <f>BC29*'R&amp;S - Packaging and hh goods'!$D$9*'R&amp;S - Packaging and hh goods'!$G$15*('R&amp;S - Packaging and hh goods'!$W$19+('R&amp;S - Packaging and hh goods'!$W$20-'R&amp;S - Packaging and hh goods'!$W$19)*('Yearly Methanol'!BC$3-'Yearly Methanol'!$N$3)/10)</f>
        <v>2.2778019991569528E-2</v>
      </c>
      <c r="BD33" s="24">
        <f>BD29*'R&amp;S - Packaging and hh goods'!$D$9*'R&amp;S - Packaging and hh goods'!$G$15*('R&amp;S - Packaging and hh goods'!$W$19+('R&amp;S - Packaging and hh goods'!$W$20-'R&amp;S - Packaging and hh goods'!$W$19)*('Yearly Methanol'!BD$3-'Yearly Methanol'!$N$3)/10)</f>
        <v>2.4595713566936701E-2</v>
      </c>
      <c r="BE33" s="24">
        <f>BE29*'R&amp;S - Packaging and hh goods'!$D$9*'R&amp;S - Packaging and hh goods'!$G$15*('R&amp;S - Packaging and hh goods'!$W$20+('R&amp;S - Packaging and hh goods'!$W$21-'R&amp;S - Packaging and hh goods'!$W$20)*('Yearly Methanol'!BE$3-'Yearly Methanol'!$X$3)/10)</f>
        <v>2.6342931569447971E-2</v>
      </c>
      <c r="BF33" s="24">
        <f>BF29*'R&amp;S - Packaging and hh goods'!$D$9*'R&amp;S - Packaging and hh goods'!$G$15*('R&amp;S - Packaging and hh goods'!$W$20+('R&amp;S - Packaging and hh goods'!$W$21-'R&amp;S - Packaging and hh goods'!$W$20)*('Yearly Methanol'!BF$3-'Yearly Methanol'!$X$3)/10)</f>
        <v>2.8134250916170427E-2</v>
      </c>
      <c r="BG33" s="24">
        <f>BG29*'R&amp;S - Packaging and hh goods'!$D$9*'R&amp;S - Packaging and hh goods'!$G$15*('R&amp;S - Packaging and hh goods'!$W$20+('R&amp;S - Packaging and hh goods'!$W$21-'R&amp;S - Packaging and hh goods'!$W$20)*('Yearly Methanol'!BG$3-'Yearly Methanol'!$X$3)/10)</f>
        <v>2.9970563990013511E-2</v>
      </c>
      <c r="BH33" s="24">
        <f>BH29*'R&amp;S - Packaging and hh goods'!$D$9*'R&amp;S - Packaging and hh goods'!$G$15*('R&amp;S - Packaging and hh goods'!$W$20+('R&amp;S - Packaging and hh goods'!$W$21-'R&amp;S - Packaging and hh goods'!$W$20)*('Yearly Methanol'!BH$3-'Yearly Methanol'!$X$3)/10)</f>
        <v>3.1852779516744631E-2</v>
      </c>
      <c r="BI33" s="24">
        <f>BI29*'R&amp;S - Packaging and hh goods'!$D$9*'R&amp;S - Packaging and hh goods'!$G$15*('R&amp;S - Packaging and hh goods'!$W$20+('R&amp;S - Packaging and hh goods'!$W$21-'R&amp;S - Packaging and hh goods'!$W$20)*('Yearly Methanol'!BI$3-'Yearly Methanol'!$X$3)/10)</f>
        <v>3.3781822847682177E-2</v>
      </c>
      <c r="BJ33" s="24">
        <f>BJ29*'R&amp;S - Packaging and hh goods'!$D$9*'R&amp;S - Packaging and hh goods'!$G$15*('R&amp;S - Packaging and hh goods'!$W$20+('R&amp;S - Packaging and hh goods'!$W$21-'R&amp;S - Packaging and hh goods'!$W$20)*('Yearly Methanol'!BJ$3-'Yearly Methanol'!$X$3)/10)</f>
        <v>3.5758636247100697E-2</v>
      </c>
      <c r="BK33" s="24">
        <f>BK29*'R&amp;S - Packaging and hh goods'!$D$9*'R&amp;S - Packaging and hh goods'!$G$15*('R&amp;S - Packaging and hh goods'!$W$20+('R&amp;S - Packaging and hh goods'!$W$21-'R&amp;S - Packaging and hh goods'!$W$20)*('Yearly Methanol'!BK$3-'Yearly Methanol'!$X$3)/10)</f>
        <v>3.7784179184424775E-2</v>
      </c>
      <c r="BL33" s="24">
        <f>BL29*'R&amp;S - Packaging and hh goods'!$D$9*'R&amp;S - Packaging and hh goods'!$G$15*('R&amp;S - Packaging and hh goods'!$W$20+('R&amp;S - Packaging and hh goods'!$W$21-'R&amp;S - Packaging and hh goods'!$W$20)*('Yearly Methanol'!BL$3-'Yearly Methanol'!$X$3)/10)</f>
        <v>3.9859428631289502E-2</v>
      </c>
      <c r="BM33" s="24">
        <f>BM29*'R&amp;S - Packaging and hh goods'!$D$9*'R&amp;S - Packaging and hh goods'!$G$15*('R&amp;S - Packaging and hh goods'!$W$20+('R&amp;S - Packaging and hh goods'!$W$21-'R&amp;S - Packaging and hh goods'!$W$20)*('Yearly Methanol'!BM$3-'Yearly Methanol'!$X$3)/10)</f>
        <v>4.19853793635463E-2</v>
      </c>
      <c r="BN33" s="24">
        <f>BN29*'R&amp;S - Packaging and hh goods'!$D$9*'R&amp;S - Packaging and hh goods'!$G$15*('R&amp;S - Packaging and hh goods'!$W$20+('R&amp;S - Packaging and hh goods'!$W$21-'R&amp;S - Packaging and hh goods'!$W$20)*('Yearly Methanol'!BN$3-'Yearly Methanol'!$X$3)/10)</f>
        <v>4.4163044268294552E-2</v>
      </c>
      <c r="BR33" t="s">
        <v>913</v>
      </c>
      <c r="BS33" s="41" t="e">
        <f>#REF!</f>
        <v>#REF!</v>
      </c>
      <c r="BU33" t="str">
        <v>Minor Polymers</v>
      </c>
      <c r="BV33" s="41">
        <v>22.580763290736638</v>
      </c>
      <c r="BW33" s="2">
        <v>0.21698594092708512</v>
      </c>
    </row>
    <row r="34" spans="1:75">
      <c r="B34" s="58" t="s">
        <v>180</v>
      </c>
      <c r="C34" s="51" t="s">
        <v>166</v>
      </c>
      <c r="D34" s="24">
        <v>0</v>
      </c>
      <c r="E34" s="24">
        <f>E29*'R&amp;S - Packaging and hh goods'!$D$10*('R&amp;S - Packaging and hh goods'!$G$14*'R&amp;S - Packaging and hh goods'!$X$19*(E$3-$D$3)/10)</f>
        <v>1.1995633840835033E-3</v>
      </c>
      <c r="F34" s="24">
        <f>F29*'R&amp;S - Packaging and hh goods'!$D$10*('R&amp;S - Packaging and hh goods'!$G$14*'R&amp;S - Packaging and hh goods'!$X$19*('Yearly Methanol'!F$3-'Yearly Methanol'!$D$3)/10)</f>
        <v>2.4327145429213449E-3</v>
      </c>
      <c r="G34" s="24">
        <f>G29*'R&amp;S - Packaging and hh goods'!$D$10*('R&amp;S - Packaging and hh goods'!$G$14*'R&amp;S - Packaging and hh goods'!$X$19*('Yearly Methanol'!G$3-'Yearly Methanol'!$D$3)/10)</f>
        <v>3.7001588197833652E-3</v>
      </c>
      <c r="H34" s="24">
        <f>H29*'R&amp;S - Packaging and hh goods'!$D$10*('R&amp;S - Packaging and hh goods'!$G$14*'R&amp;S - Packaging and hh goods'!$X$19*('Yearly Methanol'!H$3-'Yearly Methanol'!$D$3)/10)</f>
        <v>5.0026147243471099E-3</v>
      </c>
      <c r="I34" s="24">
        <f>I29*'R&amp;S - Packaging and hh goods'!$D$10*('R&amp;S - Packaging and hh goods'!$G$14*'R&amp;S - Packaging and hh goods'!$X$19*('Yearly Methanol'!I$3-'Yearly Methanol'!$D$3)/10)</f>
        <v>6.3408141631099606E-3</v>
      </c>
      <c r="J34" s="24">
        <f>J29*'R&amp;S - Packaging and hh goods'!$D$10*('R&amp;S - Packaging and hh goods'!$G$14*'R&amp;S - Packaging and hh goods'!$X$19*('Yearly Methanol'!J$3-'Yearly Methanol'!$D$3)/10)</f>
        <v>7.7155026736721996E-3</v>
      </c>
      <c r="K34" s="24">
        <f>K29*'R&amp;S - Packaging and hh goods'!$D$10*('R&amp;S - Packaging and hh goods'!$G$14*'R&amp;S - Packaging and hh goods'!$X$19*('Yearly Methanol'!K$3-'Yearly Methanol'!$D$3)/10)</f>
        <v>9.1274396629542117E-3</v>
      </c>
      <c r="L34" s="24">
        <f>L29*'R&amp;S - Packaging and hh goods'!$D$10*('R&amp;S - Packaging and hh goods'!$G$14*'R&amp;S - Packaging and hh goods'!$X$19*('Yearly Methanol'!L$3-'Yearly Methanol'!$D$3)/10)</f>
        <v>1.0577398649412081E-2</v>
      </c>
      <c r="M34" s="24">
        <f>M29*'R&amp;S - Packaging and hh goods'!$D$10*('R&amp;S - Packaging and hh goods'!$G$14*'R&amp;S - Packaging and hh goods'!$X$19*('Yearly Methanol'!M$3-'Yearly Methanol'!$D$3)/10)</f>
        <v>1.2066167509316834E-2</v>
      </c>
      <c r="N34" s="24">
        <f>N29*'R&amp;S - Packaging and hh goods'!$D$10*('R&amp;S - Packaging and hh goods'!$G$14*'R&amp;S - Packaging and hh goods'!$X$19*('Yearly Methanol'!N$3-'Yearly Methanol'!$D$3)/10)</f>
        <v>1.3594548727163629E-2</v>
      </c>
      <c r="O34" s="24">
        <f>O29*'R&amp;S - Packaging and hh goods'!$D$10*'R&amp;S - Packaging and hh goods'!$G$14*('R&amp;S - Packaging and hh goods'!$X$19+('R&amp;S - Packaging and hh goods'!$X$20-'R&amp;S - Packaging and hh goods'!$X$19)*('Yearly Methanol'!O$3-'Yearly Methanol'!$N$3)/10)</f>
        <v>1.6024914175862309E-2</v>
      </c>
      <c r="P34" s="24">
        <f>P29*'R&amp;S - Packaging and hh goods'!$D$10*'R&amp;S - Packaging and hh goods'!$G$14*('R&amp;S - Packaging and hh goods'!$X$19+('R&amp;S - Packaging and hh goods'!$X$20-'R&amp;S - Packaging and hh goods'!$X$19)*('Yearly Methanol'!P$3-'Yearly Methanol'!$N$3)/10)</f>
        <v>1.8520665325574025E-2</v>
      </c>
      <c r="Q34" s="24">
        <f>Q29*'R&amp;S - Packaging and hh goods'!$D$10*'R&amp;S - Packaging and hh goods'!$G$14*('R&amp;S - Packaging and hh goods'!$X$19+('R&amp;S - Packaging and hh goods'!$X$20-'R&amp;S - Packaging and hh goods'!$X$19)*('Yearly Methanol'!Q$3-'Yearly Methanol'!$N$3)/10)</f>
        <v>2.1083156624299201E-2</v>
      </c>
      <c r="R34" s="24">
        <f>R29*'R&amp;S - Packaging and hh goods'!$D$10*'R&amp;S - Packaging and hh goods'!$G$14*('R&amp;S - Packaging and hh goods'!$X$19+('R&amp;S - Packaging and hh goods'!$X$20-'R&amp;S - Packaging and hh goods'!$X$19)*('Yearly Methanol'!R$3-'Yearly Methanol'!$N$3)/10)</f>
        <v>2.3713767628984871E-2</v>
      </c>
      <c r="S34" s="24">
        <f>S29*'R&amp;S - Packaging and hh goods'!$D$10*'R&amp;S - Packaging and hh goods'!$G$14*('R&amp;S - Packaging and hh goods'!$X$19+('R&amp;S - Packaging and hh goods'!$X$20-'R&amp;S - Packaging and hh goods'!$X$19)*('Yearly Methanol'!S$3-'Yearly Methanol'!$N$3)/10)</f>
        <v>2.6413903443103376E-2</v>
      </c>
      <c r="T34" s="24">
        <f>T29*'R&amp;S - Packaging and hh goods'!$D$10*'R&amp;S - Packaging and hh goods'!$G$14*('R&amp;S - Packaging and hh goods'!$X$19+('R&amp;S - Packaging and hh goods'!$X$20-'R&amp;S - Packaging and hh goods'!$X$19)*('Yearly Methanol'!T$3-'Yearly Methanol'!$N$3)/10)</f>
        <v>2.9184995161561915E-2</v>
      </c>
      <c r="U34" s="24">
        <f>U29*'R&amp;S - Packaging and hh goods'!$D$10*'R&amp;S - Packaging and hh goods'!$G$14*('R&amp;S - Packaging and hh goods'!$X$19+('R&amp;S - Packaging and hh goods'!$X$20-'R&amp;S - Packaging and hh goods'!$X$19)*('Yearly Methanol'!U$3-'Yearly Methanol'!$N$3)/10)</f>
        <v>3.2028500323062453E-2</v>
      </c>
      <c r="V34" s="24">
        <f>V29*'R&amp;S - Packaging and hh goods'!$D$10*'R&amp;S - Packaging and hh goods'!$G$14*('R&amp;S - Packaging and hh goods'!$X$19+('R&amp;S - Packaging and hh goods'!$X$20-'R&amp;S - Packaging and hh goods'!$X$19)*('Yearly Methanol'!V$3-'Yearly Methanol'!$N$3)/10)</f>
        <v>3.4945903370033338E-2</v>
      </c>
      <c r="W34" s="24">
        <f>W29*'R&amp;S - Packaging and hh goods'!$D$10*'R&amp;S - Packaging and hh goods'!$G$14*('R&amp;S - Packaging and hh goods'!$X$19+('R&amp;S - Packaging and hh goods'!$X$20-'R&amp;S - Packaging and hh goods'!$X$19)*('Yearly Methanol'!W$3-'Yearly Methanol'!$N$3)/10)</f>
        <v>3.7938716116256078E-2</v>
      </c>
      <c r="X34" s="24">
        <f>X29*'R&amp;S - Packaging and hh goods'!$D$10*'R&amp;S - Packaging and hh goods'!$G$14*('R&amp;S - Packaging and hh goods'!$X$19+('R&amp;S - Packaging and hh goods'!$X$20-'R&amp;S - Packaging and hh goods'!$X$19)*('Yearly Methanol'!X$3-'Yearly Methanol'!$N$3)/10)</f>
        <v>4.1008478222312537E-2</v>
      </c>
      <c r="Y34" s="24">
        <f>Y29*'R&amp;S - Packaging and hh goods'!$D$10*'R&amp;S - Packaging and hh goods'!$G$14*('R&amp;S - Packaging and hh goods'!$X$20+('R&amp;S - Packaging and hh goods'!$X$21-'R&amp;S - Packaging and hh goods'!$X$20)*('Yearly Methanol'!Y$3-'Yearly Methanol'!$X$3)/10)</f>
        <v>4.4024749434797492E-2</v>
      </c>
      <c r="Z34" s="24">
        <f>Z29*'R&amp;S - Packaging and hh goods'!$D$10*'R&amp;S - Packaging and hh goods'!$G$14*('R&amp;S - Packaging and hh goods'!$X$20+('R&amp;S - Packaging and hh goods'!$X$21-'R&amp;S - Packaging and hh goods'!$X$20)*('Yearly Methanol'!Z$3-'Yearly Methanol'!$X$3)/10)</f>
        <v>4.7117438579500431E-2</v>
      </c>
      <c r="AA34" s="24">
        <f>AA29*'R&amp;S - Packaging and hh goods'!$D$10*'R&amp;S - Packaging and hh goods'!$G$14*('R&amp;S - Packaging and hh goods'!$X$20+('R&amp;S - Packaging and hh goods'!$X$21-'R&amp;S - Packaging and hh goods'!$X$20)*('Yearly Methanol'!AA$3-'Yearly Methanol'!$X$3)/10)</f>
        <v>5.028809416936586E-2</v>
      </c>
      <c r="AB34" s="24">
        <f>AB29*'R&amp;S - Packaging and hh goods'!$D$10*'R&amp;S - Packaging and hh goods'!$G$14*('R&amp;S - Packaging and hh goods'!$X$20+('R&amp;S - Packaging and hh goods'!$X$21-'R&amp;S - Packaging and hh goods'!$X$20)*('Yearly Methanol'!AB$3-'Yearly Methanol'!$X$3)/10)</f>
        <v>5.3538293097785933E-2</v>
      </c>
      <c r="AC34" s="24">
        <f>AC29*'R&amp;S - Packaging and hh goods'!$D$10*'R&amp;S - Packaging and hh goods'!$G$14*('R&amp;S - Packaging and hh goods'!$X$20+('R&amp;S - Packaging and hh goods'!$X$21-'R&amp;S - Packaging and hh goods'!$X$20)*('Yearly Methanol'!AC$3-'Yearly Methanol'!$X$3)/10)</f>
        <v>5.6869641129744561E-2</v>
      </c>
      <c r="AD34" s="24">
        <f>AD29*'R&amp;S - Packaging and hh goods'!$D$10*'R&amp;S - Packaging and hh goods'!$G$14*('R&amp;S - Packaging and hh goods'!$X$20+('R&amp;S - Packaging and hh goods'!$X$21-'R&amp;S - Packaging and hh goods'!$X$20)*('Yearly Methanol'!AD$3-'Yearly Methanol'!$X$3)/10)</f>
        <v>6.0283773401150875E-2</v>
      </c>
      <c r="AE34" s="24">
        <f>AE29*'R&amp;S - Packaging and hh goods'!$D$10*'R&amp;S - Packaging and hh goods'!$G$14*('R&amp;S - Packaging and hh goods'!$X$20+('R&amp;S - Packaging and hh goods'!$X$21-'R&amp;S - Packaging and hh goods'!$X$20)*('Yearly Methanol'!AE$3-'Yearly Methanol'!$X$3)/10)</f>
        <v>6.378235492649513E-2</v>
      </c>
      <c r="AF34" s="24">
        <f>AF29*'R&amp;S - Packaging and hh goods'!$D$10*'R&amp;S - Packaging and hh goods'!$G$14*('R&amp;S - Packaging and hh goods'!$X$20+('R&amp;S - Packaging and hh goods'!$X$21-'R&amp;S - Packaging and hh goods'!$X$20)*('Yearly Methanol'!AF$3-'Yearly Methanol'!$X$3)/10)</f>
        <v>6.7367081114962396E-2</v>
      </c>
      <c r="AG34" s="24">
        <f>AG29*'R&amp;S - Packaging and hh goods'!$D$10*'R&amp;S - Packaging and hh goods'!$G$14*('R&amp;S - Packaging and hh goods'!$X$20+('R&amp;S - Packaging and hh goods'!$X$21-'R&amp;S - Packaging and hh goods'!$X$20)*('Yearly Methanol'!AG$3-'Yearly Methanol'!$X$3)/10)</f>
        <v>7.1039678295141157E-2</v>
      </c>
      <c r="AH34" s="24">
        <f>AH29*'R&amp;S - Packaging and hh goods'!$D$10*'R&amp;S - Packaging and hh goods'!$G$14*('R&amp;S - Packaging and hh goods'!$X$20+('R&amp;S - Packaging and hh goods'!$X$21-'R&amp;S - Packaging and hh goods'!$X$20)*('Yearly Methanol'!AH$3-'Yearly Methanol'!$X$3)/10)</f>
        <v>7.4801904248466389E-2</v>
      </c>
      <c r="AI34" s="24"/>
      <c r="AJ34" s="24">
        <v>0</v>
      </c>
      <c r="AK34" s="24">
        <f>AK29*'R&amp;S - Packaging and hh goods'!$D$10*('R&amp;S - Packaging and hh goods'!$G$15*'R&amp;S - Packaging and hh goods'!$X$19*(AK$3-$D$3)/10)</f>
        <v>9.8364197494847259E-4</v>
      </c>
      <c r="AL34" s="24">
        <f>AL29*'R&amp;S - Packaging and hh goods'!$D$10*('R&amp;S - Packaging and hh goods'!$G$15*'R&amp;S - Packaging and hh goods'!$X$19*('Yearly Methanol'!AL$3-'Yearly Methanol'!$D$3)/10)</f>
        <v>1.9948259251955022E-3</v>
      </c>
      <c r="AM34" s="24">
        <f>AM29*'R&amp;S - Packaging and hh goods'!$D$10*('R&amp;S - Packaging and hh goods'!$G$15*'R&amp;S - Packaging and hh goods'!$X$19*('Yearly Methanol'!AM$3-'Yearly Methanol'!$D$3)/10)</f>
        <v>3.0341302322223593E-3</v>
      </c>
      <c r="AN34" s="24">
        <f>AN29*'R&amp;S - Packaging and hh goods'!$D$10*('R&amp;S - Packaging and hh goods'!$G$15*'R&amp;S - Packaging and hh goods'!$X$19*('Yearly Methanol'!AN$3-'Yearly Methanol'!$D$3)/10)</f>
        <v>4.102144073964629E-3</v>
      </c>
      <c r="AO34" s="24">
        <f>AO29*'R&amp;S - Packaging and hh goods'!$D$10*('R&amp;S - Packaging and hh goods'!$G$15*'R&amp;S - Packaging and hh goods'!$X$19*('Yearly Methanol'!AO$3-'Yearly Methanol'!$D$3)/10)</f>
        <v>5.1994676137501672E-3</v>
      </c>
      <c r="AP34" s="24">
        <f>AP29*'R&amp;S - Packaging and hh goods'!$D$10*('R&amp;S - Packaging and hh goods'!$G$15*'R&amp;S - Packaging and hh goods'!$X$19*('Yearly Methanol'!AP$3-'Yearly Methanol'!$D$3)/10)</f>
        <v>6.3267121924112033E-3</v>
      </c>
      <c r="AQ34" s="24">
        <f>AQ29*'R&amp;S - Packaging and hh goods'!$D$10*('R&amp;S - Packaging and hh goods'!$G$15*'R&amp;S - Packaging and hh goods'!$X$19*('Yearly Methanol'!AQ$3-'Yearly Methanol'!$D$3)/10)</f>
        <v>7.4845005236224525E-3</v>
      </c>
      <c r="AR34" s="24">
        <f>AR29*'R&amp;S - Packaging and hh goods'!$D$10*('R&amp;S - Packaging and hh goods'!$G$15*'R&amp;S - Packaging and hh goods'!$X$19*('Yearly Methanol'!AR$3-'Yearly Methanol'!$D$3)/10)</f>
        <v>8.6734668925179063E-3</v>
      </c>
      <c r="AS34" s="24">
        <f>AS29*'R&amp;S - Packaging and hh goods'!$D$10*('R&amp;S - Packaging and hh goods'!$G$15*'R&amp;S - Packaging and hh goods'!$X$19*('Yearly Methanol'!AS$3-'Yearly Methanol'!$D$3)/10)</f>
        <v>9.8942573576398032E-3</v>
      </c>
      <c r="AT34" s="24">
        <f>AT29*'R&amp;S - Packaging and hh goods'!$D$10*('R&amp;S - Packaging and hh goods'!$G$15*'R&amp;S - Packaging and hh goods'!$X$19*('Yearly Methanol'!AT$3-'Yearly Methanol'!$D$3)/10)</f>
        <v>1.1147529956274176E-2</v>
      </c>
      <c r="AU34" s="24">
        <f>AU29*'R&amp;S - Packaging and hh goods'!$D$10*'R&amp;S - Packaging and hh goods'!$G$15*('R&amp;S - Packaging and hh goods'!$X$19+('R&amp;S - Packaging and hh goods'!$X$20-'R&amp;S - Packaging and hh goods'!$X$19)*('Yearly Methanol'!AU$3-'Yearly Methanol'!$N$3)/10)</f>
        <v>1.3140429624207091E-2</v>
      </c>
      <c r="AV34" s="24">
        <f>AV29*'R&amp;S - Packaging and hh goods'!$D$10*'R&amp;S - Packaging and hh goods'!$G$15*('R&amp;S - Packaging and hh goods'!$X$19+('R&amp;S - Packaging and hh goods'!$X$20-'R&amp;S - Packaging and hh goods'!$X$19)*('Yearly Methanol'!AV$3-'Yearly Methanol'!$N$3)/10)</f>
        <v>1.5186945566970702E-2</v>
      </c>
      <c r="AW34" s="24">
        <f>AW29*'R&amp;S - Packaging and hh goods'!$D$10*'R&amp;S - Packaging and hh goods'!$G$15*('R&amp;S - Packaging and hh goods'!$X$19+('R&amp;S - Packaging and hh goods'!$X$20-'R&amp;S - Packaging and hh goods'!$X$19)*('Yearly Methanol'!AW$3-'Yearly Methanol'!$N$3)/10)</f>
        <v>1.7288188431925346E-2</v>
      </c>
      <c r="AX34" s="24">
        <f>AX29*'R&amp;S - Packaging and hh goods'!$D$10*'R&amp;S - Packaging and hh goods'!$G$15*('R&amp;S - Packaging and hh goods'!$X$19+('R&amp;S - Packaging and hh goods'!$X$20-'R&amp;S - Packaging and hh goods'!$X$19)*('Yearly Methanol'!AX$3-'Yearly Methanol'!$N$3)/10)</f>
        <v>1.9445289455767595E-2</v>
      </c>
      <c r="AY34" s="24">
        <f>AY29*'R&amp;S - Packaging and hh goods'!$D$10*'R&amp;S - Packaging and hh goods'!$G$15*('R&amp;S - Packaging and hh goods'!$X$19+('R&amp;S - Packaging and hh goods'!$X$20-'R&amp;S - Packaging and hh goods'!$X$19)*('Yearly Methanol'!AY$3-'Yearly Methanol'!$N$3)/10)</f>
        <v>2.1659400823344766E-2</v>
      </c>
      <c r="AZ34" s="24">
        <f>AZ29*'R&amp;S - Packaging and hh goods'!$D$10*'R&amp;S - Packaging and hh goods'!$G$15*('R&amp;S - Packaging and hh goods'!$X$19+('R&amp;S - Packaging and hh goods'!$X$20-'R&amp;S - Packaging and hh goods'!$X$19)*('Yearly Methanol'!AZ$3-'Yearly Methanol'!$N$3)/10)</f>
        <v>2.393169603248077E-2</v>
      </c>
      <c r="BA34" s="24">
        <f>BA29*'R&amp;S - Packaging and hh goods'!$D$10*'R&amp;S - Packaging and hh goods'!$G$15*('R&amp;S - Packaging and hh goods'!$X$19+('R&amp;S - Packaging and hh goods'!$X$20-'R&amp;S - Packaging and hh goods'!$X$19)*('Yearly Methanol'!BA$3-'Yearly Methanol'!$N$3)/10)</f>
        <v>2.6263370264911209E-2</v>
      </c>
      <c r="BB34" s="24">
        <f>BB29*'R&amp;S - Packaging and hh goods'!$D$10*'R&amp;S - Packaging and hh goods'!$G$15*('R&amp;S - Packaging and hh goods'!$X$19+('R&amp;S - Packaging and hh goods'!$X$20-'R&amp;S - Packaging and hh goods'!$X$19)*('Yearly Methanol'!BB$3-'Yearly Methanol'!$N$3)/10)</f>
        <v>2.8655640763427335E-2</v>
      </c>
      <c r="BC34" s="24">
        <f>BC29*'R&amp;S - Packaging and hh goods'!$D$10*'R&amp;S - Packaging and hh goods'!$G$15*('R&amp;S - Packaging and hh goods'!$X$19+('R&amp;S - Packaging and hh goods'!$X$20-'R&amp;S - Packaging and hh goods'!$X$19)*('Yearly Methanol'!BC$3-'Yearly Methanol'!$N$3)/10)</f>
        <v>3.110974721532998E-2</v>
      </c>
      <c r="BD34" s="24">
        <f>BD29*'R&amp;S - Packaging and hh goods'!$D$10*'R&amp;S - Packaging and hh goods'!$G$15*('R&amp;S - Packaging and hh goods'!$X$19+('R&amp;S - Packaging and hh goods'!$X$20-'R&amp;S - Packaging and hh goods'!$X$19)*('Yearly Methanol'!BD$3-'Yearly Methanol'!$N$3)/10)</f>
        <v>3.3626952142296281E-2</v>
      </c>
      <c r="BE34" s="24">
        <f>BE29*'R&amp;S - Packaging and hh goods'!$D$10*'R&amp;S - Packaging and hh goods'!$G$15*('R&amp;S - Packaging and hh goods'!$X$20+('R&amp;S - Packaging and hh goods'!$X$21-'R&amp;S - Packaging and hh goods'!$X$20)*('Yearly Methanol'!BE$3-'Yearly Methanol'!$X$3)/10)</f>
        <v>3.610029453653394E-2</v>
      </c>
      <c r="BF34" s="24">
        <f>BF29*'R&amp;S - Packaging and hh goods'!$D$10*'R&amp;S - Packaging and hh goods'!$G$15*('R&amp;S - Packaging and hh goods'!$X$20+('R&amp;S - Packaging and hh goods'!$X$21-'R&amp;S - Packaging and hh goods'!$X$20)*('Yearly Methanol'!BF$3-'Yearly Methanol'!$X$3)/10)</f>
        <v>3.8636299635190358E-2</v>
      </c>
      <c r="BG34" s="24">
        <f>BG29*'R&amp;S - Packaging and hh goods'!$D$10*'R&amp;S - Packaging and hh goods'!$G$15*('R&amp;S - Packaging and hh goods'!$X$20+('R&amp;S - Packaging and hh goods'!$X$21-'R&amp;S - Packaging and hh goods'!$X$20)*('Yearly Methanol'!BG$3-'Yearly Methanol'!$X$3)/10)</f>
        <v>4.1236237218879999E-2</v>
      </c>
      <c r="BH34" s="24">
        <f>BH29*'R&amp;S - Packaging and hh goods'!$D$10*'R&amp;S - Packaging and hh goods'!$G$15*('R&amp;S - Packaging and hh goods'!$X$20+('R&amp;S - Packaging and hh goods'!$X$21-'R&amp;S - Packaging and hh goods'!$X$20)*('Yearly Methanol'!BH$3-'Yearly Methanol'!$X$3)/10)</f>
        <v>4.3901400340184464E-2</v>
      </c>
      <c r="BI34" s="24">
        <f>BI29*'R&amp;S - Packaging and hh goods'!$D$10*'R&amp;S - Packaging and hh goods'!$G$15*('R&amp;S - Packaging and hh goods'!$X$20+('R&amp;S - Packaging and hh goods'!$X$21-'R&amp;S - Packaging and hh goods'!$X$20)*('Yearly Methanol'!BI$3-'Yearly Methanol'!$X$3)/10)</f>
        <v>4.6633105726390532E-2</v>
      </c>
      <c r="BJ34" s="24">
        <f>BJ29*'R&amp;S - Packaging and hh goods'!$D$10*'R&amp;S - Packaging and hh goods'!$G$15*('R&amp;S - Packaging and hh goods'!$X$20+('R&amp;S - Packaging and hh goods'!$X$21-'R&amp;S - Packaging and hh goods'!$X$20)*('Yearly Methanol'!BJ$3-'Yearly Methanol'!$X$3)/10)</f>
        <v>4.9432694188943714E-2</v>
      </c>
      <c r="BK34" s="24">
        <f>BK29*'R&amp;S - Packaging and hh goods'!$D$10*'R&amp;S - Packaging and hh goods'!$G$15*('R&amp;S - Packaging and hh goods'!$X$20+('R&amp;S - Packaging and hh goods'!$X$21-'R&amp;S - Packaging and hh goods'!$X$20)*('Yearly Methanol'!BK$3-'Yearly Methanol'!$X$3)/10)</f>
        <v>5.2301531039725999E-2</v>
      </c>
      <c r="BL34" s="24">
        <f>BL29*'R&amp;S - Packaging and hh goods'!$D$10*'R&amp;S - Packaging and hh goods'!$G$15*('R&amp;S - Packaging and hh goods'!$X$20+('R&amp;S - Packaging and hh goods'!$X$21-'R&amp;S - Packaging and hh goods'!$X$20)*('Yearly Methanol'!BL$3-'Yearly Methanol'!$X$3)/10)</f>
        <v>5.5241006514269157E-2</v>
      </c>
      <c r="BM34" s="24">
        <f>BM29*'R&amp;S - Packaging and hh goods'!$D$10*'R&amp;S - Packaging and hh goods'!$G$15*('R&amp;S - Packaging and hh goods'!$X$20+('R&amp;S - Packaging and hh goods'!$X$21-'R&amp;S - Packaging and hh goods'!$X$20)*('Yearly Methanol'!BM$3-'Yearly Methanol'!$X$3)/10)</f>
        <v>5.8252536202015745E-2</v>
      </c>
      <c r="BN34" s="24">
        <f>BN29*'R&amp;S - Packaging and hh goods'!$D$10*'R&amp;S - Packaging and hh goods'!$G$15*('R&amp;S - Packaging and hh goods'!$X$20+('R&amp;S - Packaging and hh goods'!$X$21-'R&amp;S - Packaging and hh goods'!$X$20)*('Yearly Methanol'!BN$3-'Yearly Methanol'!$X$3)/10)</f>
        <v>6.1337561483742434E-2</v>
      </c>
      <c r="BR34" t="s">
        <v>24</v>
      </c>
      <c r="BS34" s="41" t="e">
        <f>#REF!</f>
        <v>#REF!</v>
      </c>
      <c r="BU34" t="str">
        <v>Other</v>
      </c>
      <c r="BV34" s="41">
        <v>24.045360628442481</v>
      </c>
      <c r="BW34" s="2">
        <v>0.23105973583426512</v>
      </c>
    </row>
    <row r="35" spans="1:75">
      <c r="B35" s="1" t="s">
        <v>167</v>
      </c>
      <c r="C35" s="51" t="s">
        <v>166</v>
      </c>
      <c r="D35" s="24">
        <f>SUM(D33:D34)</f>
        <v>0</v>
      </c>
      <c r="E35" s="24">
        <f t="shared" ref="E35:AG35" si="271">SUM(E33:E34)</f>
        <v>2.0992359221461308E-3</v>
      </c>
      <c r="F35" s="24">
        <f t="shared" si="271"/>
        <v>4.2572504501123534E-3</v>
      </c>
      <c r="G35" s="24">
        <f t="shared" si="271"/>
        <v>6.4752779346208891E-3</v>
      </c>
      <c r="H35" s="24">
        <f t="shared" si="271"/>
        <v>8.7545757676074417E-3</v>
      </c>
      <c r="I35" s="24">
        <f t="shared" si="271"/>
        <v>1.109642478544243E-2</v>
      </c>
      <c r="J35" s="24">
        <f t="shared" si="271"/>
        <v>1.3502129678926349E-2</v>
      </c>
      <c r="K35" s="24">
        <f t="shared" si="271"/>
        <v>1.5973019410169868E-2</v>
      </c>
      <c r="L35" s="24">
        <f t="shared" si="271"/>
        <v>1.8510447636471142E-2</v>
      </c>
      <c r="M35" s="24">
        <f t="shared" si="271"/>
        <v>2.1115793141304458E-2</v>
      </c>
      <c r="N35" s="24">
        <f t="shared" si="271"/>
        <v>2.3790460272536351E-2</v>
      </c>
      <c r="O35" s="24">
        <f t="shared" si="271"/>
        <v>2.7976398554763488E-2</v>
      </c>
      <c r="P35" s="24">
        <f t="shared" si="271"/>
        <v>3.2274880178679563E-2</v>
      </c>
      <c r="Q35" s="24">
        <f t="shared" si="271"/>
        <v>3.6688235913948555E-2</v>
      </c>
      <c r="R35" s="24">
        <f t="shared" si="271"/>
        <v>4.1218839733290068E-2</v>
      </c>
      <c r="S35" s="24">
        <f t="shared" si="271"/>
        <v>4.5869109565333993E-2</v>
      </c>
      <c r="T35" s="24">
        <f t="shared" si="271"/>
        <v>5.0641508060087437E-2</v>
      </c>
      <c r="U35" s="24">
        <f t="shared" si="271"/>
        <v>5.5538543367219168E-2</v>
      </c>
      <c r="V35" s="24">
        <f t="shared" si="271"/>
        <v>6.0562769927370821E-2</v>
      </c>
      <c r="W35" s="24">
        <f t="shared" si="271"/>
        <v>6.5716789276706725E-2</v>
      </c>
      <c r="X35" s="24">
        <f t="shared" si="271"/>
        <v>7.1003250864918266E-2</v>
      </c>
      <c r="Y35" s="24">
        <f t="shared" si="271"/>
        <v>7.6150275739002335E-2</v>
      </c>
      <c r="Z35" s="24">
        <f t="shared" si="271"/>
        <v>8.1427500672391198E-2</v>
      </c>
      <c r="AA35" s="24">
        <f t="shared" si="271"/>
        <v>8.6837562449870148E-2</v>
      </c>
      <c r="AB35" s="24">
        <f t="shared" si="271"/>
        <v>9.2383146166986702E-2</v>
      </c>
      <c r="AC35" s="24">
        <f t="shared" si="271"/>
        <v>9.806698606594233E-2</v>
      </c>
      <c r="AD35" s="24">
        <f t="shared" si="271"/>
        <v>0.10389186638542001</v>
      </c>
      <c r="AE35" s="24">
        <f t="shared" si="271"/>
        <v>0.10986062222457413</v>
      </c>
      <c r="AF35" s="24">
        <f t="shared" si="271"/>
        <v>0.11597614042141301</v>
      </c>
      <c r="AG35" s="24">
        <f t="shared" si="271"/>
        <v>0.12224136044580738</v>
      </c>
      <c r="AH35" s="24">
        <f>SUM(AH33:AH34)</f>
        <v>0.12865927530736218</v>
      </c>
      <c r="AI35" s="24"/>
      <c r="AJ35" s="24">
        <f>SUM(AJ33:AJ34)</f>
        <v>0</v>
      </c>
      <c r="AK35" s="24">
        <f t="shared" ref="AK35:BM35" si="272">SUM(AK33:AK34)</f>
        <v>1.7213734561598269E-3</v>
      </c>
      <c r="AL35" s="24">
        <f t="shared" si="272"/>
        <v>3.4909453690921289E-3</v>
      </c>
      <c r="AM35" s="24">
        <f t="shared" si="272"/>
        <v>5.3097279063891289E-3</v>
      </c>
      <c r="AN35" s="24">
        <f t="shared" si="272"/>
        <v>7.1787521294381009E-3</v>
      </c>
      <c r="AO35" s="24">
        <f t="shared" si="272"/>
        <v>9.0990683240627923E-3</v>
      </c>
      <c r="AP35" s="24">
        <f t="shared" si="272"/>
        <v>1.1071746336719606E-2</v>
      </c>
      <c r="AQ35" s="24">
        <f t="shared" si="272"/>
        <v>1.3097875916339291E-2</v>
      </c>
      <c r="AR35" s="24">
        <f t="shared" si="272"/>
        <v>1.5178567061906335E-2</v>
      </c>
      <c r="AS35" s="24">
        <f t="shared" si="272"/>
        <v>1.7314950375869654E-2</v>
      </c>
      <c r="AT35" s="24">
        <f t="shared" si="272"/>
        <v>1.9508177423479808E-2</v>
      </c>
      <c r="AU35" s="24">
        <f t="shared" si="272"/>
        <v>2.2940646814906058E-2</v>
      </c>
      <c r="AV35" s="24">
        <f t="shared" si="272"/>
        <v>2.6465401746517243E-2</v>
      </c>
      <c r="AW35" s="24">
        <f t="shared" si="272"/>
        <v>3.0084353449437815E-2</v>
      </c>
      <c r="AX35" s="24">
        <f t="shared" si="272"/>
        <v>3.3799448581297853E-2</v>
      </c>
      <c r="AY35" s="24">
        <f t="shared" si="272"/>
        <v>3.7612669843573879E-2</v>
      </c>
      <c r="AZ35" s="24">
        <f t="shared" si="272"/>
        <v>4.1526036609271691E-2</v>
      </c>
      <c r="BA35" s="24">
        <f t="shared" si="272"/>
        <v>4.5541605561119719E-2</v>
      </c>
      <c r="BB35" s="24">
        <f t="shared" si="272"/>
        <v>4.9661471340444067E-2</v>
      </c>
      <c r="BC35" s="24">
        <f t="shared" si="272"/>
        <v>5.3887767206899508E-2</v>
      </c>
      <c r="BD35" s="24">
        <f t="shared" si="272"/>
        <v>5.8222665709232985E-2</v>
      </c>
      <c r="BE35" s="24">
        <f t="shared" si="272"/>
        <v>6.2443226105981908E-2</v>
      </c>
      <c r="BF35" s="24">
        <f t="shared" si="272"/>
        <v>6.6770550551360788E-2</v>
      </c>
      <c r="BG35" s="24">
        <f t="shared" si="272"/>
        <v>7.1206801208893514E-2</v>
      </c>
      <c r="BH35" s="24">
        <f t="shared" si="272"/>
        <v>7.5754179856929088E-2</v>
      </c>
      <c r="BI35" s="24">
        <f t="shared" si="272"/>
        <v>8.0414928574072703E-2</v>
      </c>
      <c r="BJ35" s="24">
        <f t="shared" si="272"/>
        <v>8.5191330436044405E-2</v>
      </c>
      <c r="BK35" s="24">
        <f t="shared" si="272"/>
        <v>9.0085710224150767E-2</v>
      </c>
      <c r="BL35" s="24">
        <f t="shared" si="272"/>
        <v>9.5100435145558659E-2</v>
      </c>
      <c r="BM35" s="24">
        <f t="shared" si="272"/>
        <v>0.10023791556556205</v>
      </c>
      <c r="BN35" s="24">
        <f>SUM(BN33:BN34)</f>
        <v>0.10550060575203699</v>
      </c>
      <c r="BS35" s="416" t="e">
        <f>SUM(BS31:BS34)</f>
        <v>#REF!</v>
      </c>
      <c r="BU35" t="str">
        <v>Total</v>
      </c>
      <c r="BV35" s="41">
        <v>104.06555924434093</v>
      </c>
      <c r="BW35" s="2">
        <v>0</v>
      </c>
    </row>
    <row r="36" spans="1:75">
      <c r="B36" s="1" t="s">
        <v>195</v>
      </c>
      <c r="C36" s="61" t="s">
        <v>166</v>
      </c>
      <c r="D36" s="25">
        <f>D29-D32-D35</f>
        <v>1.971668941623115</v>
      </c>
      <c r="E36" s="25">
        <f t="shared" ref="E36:AG36" si="273">E29-E32-E35</f>
        <v>1.9956516246582132</v>
      </c>
      <c r="F36" s="25">
        <f t="shared" si="273"/>
        <v>2.0199193757057365</v>
      </c>
      <c r="G36" s="25">
        <f t="shared" si="273"/>
        <v>2.0444754760641564</v>
      </c>
      <c r="H36" s="25">
        <f t="shared" si="273"/>
        <v>2.0693232430349746</v>
      </c>
      <c r="I36" s="25">
        <f t="shared" si="273"/>
        <v>2.0944660302876663</v>
      </c>
      <c r="J36" s="25">
        <f t="shared" si="273"/>
        <v>2.1199072282277993</v>
      </c>
      <c r="K36" s="25">
        <f t="shared" si="273"/>
        <v>2.1456502643683195</v>
      </c>
      <c r="L36" s="25">
        <f t="shared" si="273"/>
        <v>2.1716986037040416</v>
      </c>
      <c r="M36" s="25">
        <f t="shared" si="273"/>
        <v>2.1980557490893475</v>
      </c>
      <c r="N36" s="25">
        <f t="shared" si="273"/>
        <v>2.2247252416191161</v>
      </c>
      <c r="O36" s="25">
        <f t="shared" si="273"/>
        <v>2.2462426616238571</v>
      </c>
      <c r="P36" s="25">
        <f t="shared" si="273"/>
        <v>2.2679265232413734</v>
      </c>
      <c r="Q36" s="25">
        <f t="shared" si="273"/>
        <v>2.2897772694225016</v>
      </c>
      <c r="R36" s="25">
        <f t="shared" si="273"/>
        <v>2.3117953228981465</v>
      </c>
      <c r="S36" s="25">
        <f t="shared" si="273"/>
        <v>2.333981085526303</v>
      </c>
      <c r="T36" s="25">
        <f t="shared" si="273"/>
        <v>2.3563349376247591</v>
      </c>
      <c r="U36" s="25">
        <f t="shared" si="273"/>
        <v>2.3788572372892092</v>
      </c>
      <c r="V36" s="25">
        <f t="shared" si="273"/>
        <v>2.4015483196964893</v>
      </c>
      <c r="W36" s="25">
        <f t="shared" si="273"/>
        <v>2.4244084963926644</v>
      </c>
      <c r="X36" s="25">
        <f t="shared" si="273"/>
        <v>2.447438054565672</v>
      </c>
      <c r="Y36" s="25">
        <f t="shared" si="273"/>
        <v>2.4706187751480453</v>
      </c>
      <c r="Z36" s="25">
        <f t="shared" si="273"/>
        <v>2.4939688580480306</v>
      </c>
      <c r="AA36" s="25">
        <f t="shared" si="273"/>
        <v>2.5174885019892859</v>
      </c>
      <c r="AB36" s="25">
        <f t="shared" si="273"/>
        <v>2.5411778780647194</v>
      </c>
      <c r="AC36" s="25">
        <f t="shared" si="273"/>
        <v>2.5650371289238749</v>
      </c>
      <c r="AD36" s="25">
        <f t="shared" si="273"/>
        <v>2.5890663679429866</v>
      </c>
      <c r="AE36" s="25">
        <f t="shared" si="273"/>
        <v>2.6132656783773638</v>
      </c>
      <c r="AF36" s="25">
        <f t="shared" si="273"/>
        <v>2.6376351124957864</v>
      </c>
      <c r="AG36" s="25">
        <f t="shared" si="273"/>
        <v>2.6621746906965633</v>
      </c>
      <c r="AH36" s="25">
        <f>AH29-AH32-AH35</f>
        <v>2.6868844006049128</v>
      </c>
      <c r="AI36" s="24"/>
      <c r="AJ36" s="25">
        <f>AJ29-AJ32-AJ35</f>
        <v>1.971668941623115</v>
      </c>
      <c r="AK36" s="25">
        <f t="shared" ref="AK36:BM36" si="274">AK29-AK32-AK35</f>
        <v>1.9964554920673339</v>
      </c>
      <c r="AL36" s="25">
        <f t="shared" si="274"/>
        <v>2.0215496188114326</v>
      </c>
      <c r="AM36" s="25">
        <f t="shared" si="274"/>
        <v>2.0469550758279209</v>
      </c>
      <c r="AN36" s="25">
        <f t="shared" si="274"/>
        <v>2.0726756619155839</v>
      </c>
      <c r="AO36" s="25">
        <f t="shared" si="274"/>
        <v>2.0987152212188387</v>
      </c>
      <c r="AP36" s="25">
        <f t="shared" si="274"/>
        <v>2.1250776437528494</v>
      </c>
      <c r="AQ36" s="25">
        <f t="shared" si="274"/>
        <v>2.1517668659344538</v>
      </c>
      <c r="AR36" s="25">
        <f t="shared" si="274"/>
        <v>2.1787868711189673</v>
      </c>
      <c r="AS36" s="25">
        <f t="shared" si="274"/>
        <v>2.2061416901429243</v>
      </c>
      <c r="AT36" s="25">
        <f t="shared" si="274"/>
        <v>2.2338354018728124</v>
      </c>
      <c r="AU36" s="25">
        <f t="shared" si="274"/>
        <v>2.2577911222830838</v>
      </c>
      <c r="AV36" s="25">
        <f t="shared" si="274"/>
        <v>2.2819797711260752</v>
      </c>
      <c r="AW36" s="25">
        <f t="shared" si="274"/>
        <v>2.3064031750767029</v>
      </c>
      <c r="AX36" s="25">
        <f t="shared" si="274"/>
        <v>2.3310631663028074</v>
      </c>
      <c r="AY36" s="25">
        <f t="shared" si="274"/>
        <v>2.3559615822609286</v>
      </c>
      <c r="AZ36" s="25">
        <f t="shared" si="274"/>
        <v>2.3811002654852809</v>
      </c>
      <c r="BA36" s="25">
        <f t="shared" si="274"/>
        <v>2.4064810633697924</v>
      </c>
      <c r="BB36" s="25">
        <f t="shared" si="274"/>
        <v>2.432105827943035</v>
      </c>
      <c r="BC36" s="25">
        <f t="shared" si="274"/>
        <v>2.4579764156359079</v>
      </c>
      <c r="BD36" s="25">
        <f t="shared" si="274"/>
        <v>2.4840946870419041</v>
      </c>
      <c r="BE36" s="25">
        <f t="shared" si="274"/>
        <v>2.5104766579535798</v>
      </c>
      <c r="BF36" s="25">
        <f t="shared" si="274"/>
        <v>2.5371104414921222</v>
      </c>
      <c r="BG36" s="25">
        <f t="shared" si="274"/>
        <v>2.5639979175447856</v>
      </c>
      <c r="BH36" s="25">
        <f t="shared" si="274"/>
        <v>2.5911409692803908</v>
      </c>
      <c r="BI36" s="25">
        <f t="shared" si="274"/>
        <v>2.6185414828727542</v>
      </c>
      <c r="BJ36" s="25">
        <f t="shared" si="274"/>
        <v>2.6462013472157246</v>
      </c>
      <c r="BK36" s="25">
        <f t="shared" si="274"/>
        <v>2.6741224536296553</v>
      </c>
      <c r="BL36" s="25">
        <f t="shared" si="274"/>
        <v>2.702306695559122</v>
      </c>
      <c r="BM36" s="25">
        <f t="shared" si="274"/>
        <v>2.7307559682617017</v>
      </c>
      <c r="BN36" s="25">
        <f>BN29-BN32-BN35</f>
        <v>2.7594721684876244</v>
      </c>
      <c r="BR36" t="s">
        <v>232</v>
      </c>
      <c r="BS36" s="41">
        <f>D4</f>
        <v>102.16223893794903</v>
      </c>
    </row>
    <row r="37" spans="1:75" s="62" customFormat="1">
      <c r="A37" s="684"/>
      <c r="B37" s="55" t="s">
        <v>885</v>
      </c>
      <c r="C37" s="56" t="s">
        <v>166</v>
      </c>
      <c r="D37" s="650">
        <f>D$7/(D$7+D$9)*D36</f>
        <v>0.33061389074632619</v>
      </c>
      <c r="E37" s="650">
        <f t="shared" ref="E37" si="275">E$7/(E$7+E$9)*E36</f>
        <v>0.32670626834249805</v>
      </c>
      <c r="F37" s="650">
        <f t="shared" ref="F37" si="276">F$7/(F$7+F$9)*F36</f>
        <v>0.32395226601461719</v>
      </c>
      <c r="G37" s="650">
        <f t="shared" ref="G37" si="277">G$7/(G$7+G$9)*G36</f>
        <v>0.32211863348859021</v>
      </c>
      <c r="H37" s="650">
        <f t="shared" ref="H37" si="278">H$7/(H$7+H$9)*H36</f>
        <v>0.32103422254857666</v>
      </c>
      <c r="I37" s="650">
        <f t="shared" ref="I37" si="279">I$7/(I$7+I$9)*I36</f>
        <v>0.32057071045126301</v>
      </c>
      <c r="J37" s="650">
        <f t="shared" ref="J37" si="280">J$7/(J$7+J$9)*J36</f>
        <v>0.32063008765342793</v>
      </c>
      <c r="K37" s="650">
        <f t="shared" ref="K37" si="281">K$7/(K$7+K$9)*K36</f>
        <v>0.32113629377854319</v>
      </c>
      <c r="L37" s="650">
        <f t="shared" ref="L37" si="282">L$7/(L$7+L$9)*L36</f>
        <v>0.32202948151215444</v>
      </c>
      <c r="M37" s="650">
        <f t="shared" ref="M37" si="283">M$7/(M$7+M$9)*M36</f>
        <v>0.32326199322865851</v>
      </c>
      <c r="N37" s="650">
        <f t="shared" ref="N37" si="284">N$7/(N$7+N$9)*N36</f>
        <v>0.32479548215474896</v>
      </c>
      <c r="O37" s="650">
        <f t="shared" ref="O37" si="285">O$7/(O$7+O$9)*O36</f>
        <v>0.32905869129400478</v>
      </c>
      <c r="P37" s="650">
        <f t="shared" ref="P37" si="286">P$7/(P$7+P$9)*P36</f>
        <v>0.33341789187588861</v>
      </c>
      <c r="Q37" s="650">
        <f t="shared" ref="Q37" si="287">Q$7/(Q$7+Q$9)*Q36</f>
        <v>0.33787572430836504</v>
      </c>
      <c r="R37" s="650">
        <f t="shared" ref="R37" si="288">R$7/(R$7+R$9)*R36</f>
        <v>0.3424349809649902</v>
      </c>
      <c r="S37" s="650">
        <f t="shared" ref="S37" si="289">S$7/(S$7+S$9)*S36</f>
        <v>0.34709861291357003</v>
      </c>
      <c r="T37" s="650">
        <f t="shared" ref="T37" si="290">T$7/(T$7+T$9)*T36</f>
        <v>0.35213525521882677</v>
      </c>
      <c r="U37" s="650">
        <f t="shared" ref="U37" si="291">U$7/(U$7+U$9)*U36</f>
        <v>0.35729098963657185</v>
      </c>
      <c r="V37" s="650">
        <f t="shared" ref="V37" si="292">V$7/(V$7+V$9)*V36</f>
        <v>0.36256999121918393</v>
      </c>
      <c r="W37" s="650">
        <f t="shared" ref="W37" si="293">W$7/(W$7+W$9)*W36</f>
        <v>0.36797666142471719</v>
      </c>
      <c r="X37" s="650">
        <f t="shared" ref="X37" si="294">X$7/(X$7+X$9)*X36</f>
        <v>0.37351564244536933</v>
      </c>
      <c r="Y37" s="650">
        <f t="shared" ref="Y37" si="295">Y$7/(Y$7+Y$9)*Y36</f>
        <v>0.3797769607707796</v>
      </c>
      <c r="Z37" s="650">
        <f t="shared" ref="Z37" si="296">Z$7/(Z$7+Z$9)*Z36</f>
        <v>0.38621060891627546</v>
      </c>
      <c r="AA37" s="650">
        <f t="shared" ref="AA37" si="297">AA$7/(AA$7+AA$9)*AA36</f>
        <v>0.39282422778953036</v>
      </c>
      <c r="AB37" s="650">
        <f t="shared" ref="AB37" si="298">AB$7/(AB$7+AB$9)*AB36</f>
        <v>0.39962593338747249</v>
      </c>
      <c r="AC37" s="650">
        <f t="shared" ref="AC37" si="299">AC$7/(AC$7+AC$9)*AC36</f>
        <v>0.4066243541997186</v>
      </c>
      <c r="AD37" s="650">
        <f t="shared" ref="AD37" si="300">AD$7/(AD$7+AD$9)*AD36</f>
        <v>0.41382867220288422</v>
      </c>
      <c r="AE37" s="650">
        <f t="shared" ref="AE37" si="301">AE$7/(AE$7+AE$9)*AE36</f>
        <v>0.42124866785408083</v>
      </c>
      <c r="AF37" s="650">
        <f t="shared" ref="AF37" si="302">AF$7/(AF$7+AF$9)*AF36</f>
        <v>0.42889476954588374</v>
      </c>
      <c r="AG37" s="650">
        <f t="shared" ref="AG37" si="303">AG$7/(AG$7+AG$9)*AG36</f>
        <v>0.43677810804716904</v>
      </c>
      <c r="AH37" s="650">
        <f t="shared" ref="AH37" si="304">AH$7/(AH$7+AH$9)*AH36</f>
        <v>0.444910576525891</v>
      </c>
      <c r="AI37" s="650"/>
      <c r="AJ37" s="650">
        <f>AJ$7/(AJ$7+AJ$9)*AJ36</f>
        <v>0.33061389074632619</v>
      </c>
      <c r="AK37" s="650">
        <f t="shared" ref="AK37" si="305">AK$7/(AK$7+AK$9)*AK36</f>
        <v>0.32683786872716991</v>
      </c>
      <c r="AL37" s="650">
        <f t="shared" ref="AL37" si="306">AL$7/(AL$7+AL$9)*AL36</f>
        <v>0.32421372246411551</v>
      </c>
      <c r="AM37" s="650">
        <f t="shared" ref="AM37" si="307">AM$7/(AM$7+AM$9)*AM36</f>
        <v>0.32250930840587516</v>
      </c>
      <c r="AN37" s="650">
        <f t="shared" ref="AN37" si="308">AN$7/(AN$7+AN$9)*AN36</f>
        <v>0.32155431586537292</v>
      </c>
      <c r="AO37" s="650">
        <f t="shared" ref="AO37" si="309">AO$7/(AO$7+AO$9)*AO36</f>
        <v>0.32122107485725049</v>
      </c>
      <c r="AP37" s="650">
        <f t="shared" ref="AP37" si="310">AP$7/(AP$7+AP$9)*AP36</f>
        <v>0.32141209865887521</v>
      </c>
      <c r="AQ37" s="650">
        <f t="shared" ref="AQ37" si="311">AQ$7/(AQ$7+AQ$9)*AQ36</f>
        <v>0.32205175646605005</v>
      </c>
      <c r="AR37" s="650">
        <f t="shared" ref="AR37" si="312">AR$7/(AR$7+AR$9)*AR36</f>
        <v>0.32308056248469585</v>
      </c>
      <c r="AS37" s="650">
        <f t="shared" ref="AS37" si="313">AS$7/(AS$7+AS$9)*AS36</f>
        <v>0.32445117026531534</v>
      </c>
      <c r="AT37" s="650">
        <f t="shared" ref="AT37" si="314">AT$7/(AT$7+AT$9)*AT36</f>
        <v>0.32612550657158562</v>
      </c>
      <c r="AU37" s="650">
        <f t="shared" ref="AU37" si="315">AU$7/(AU$7+AU$9)*AU36</f>
        <v>0.33075045924762303</v>
      </c>
      <c r="AV37" s="650">
        <f t="shared" ref="AV37" si="316">AV$7/(AV$7+AV$9)*AV36</f>
        <v>0.33548392189745641</v>
      </c>
      <c r="AW37" s="650">
        <f t="shared" ref="AW37" si="317">AW$7/(AW$7+AW$9)*AW36</f>
        <v>0.34032901528570653</v>
      </c>
      <c r="AX37" s="650">
        <f t="shared" ref="AX37" si="318">AX$7/(AX$7+AX$9)*AX36</f>
        <v>0.34528903275935063</v>
      </c>
      <c r="AY37" s="650">
        <f t="shared" ref="AY37" si="319">AY$7/(AY$7+AY$9)*AY36</f>
        <v>0.35036744828462424</v>
      </c>
      <c r="AZ37" s="650">
        <f t="shared" ref="AZ37" si="320">AZ$7/(AZ$7+AZ$9)*AZ36</f>
        <v>0.35583623376287599</v>
      </c>
      <c r="BA37" s="650">
        <f t="shared" ref="BA37" si="321">BA$7/(BA$7+BA$9)*BA36</f>
        <v>0.36143993308856609</v>
      </c>
      <c r="BB37" s="650">
        <f t="shared" ref="BB37" si="322">BB$7/(BB$7+BB$9)*BB36</f>
        <v>0.36718336310338173</v>
      </c>
      <c r="BC37" s="650">
        <f t="shared" ref="BC37" si="323">BC$7/(BC$7+BC$9)*BC36</f>
        <v>0.37307159937452328</v>
      </c>
      <c r="BD37" s="650">
        <f t="shared" ref="BD37" si="324">BD$7/(BD$7+BD$9)*BD36</f>
        <v>0.37910999266955647</v>
      </c>
      <c r="BE37" s="650">
        <f t="shared" ref="BE37" si="325">BE$7/(BE$7+BE$9)*BE36</f>
        <v>0.38590380872761859</v>
      </c>
      <c r="BF37" s="650">
        <f t="shared" ref="BF37" si="326">BF$7/(BF$7+BF$9)*BF36</f>
        <v>0.39289142097124058</v>
      </c>
      <c r="BG37" s="650">
        <f t="shared" ref="BG37" si="327">BG$7/(BG$7+BG$9)*BG36</f>
        <v>0.40008147056783688</v>
      </c>
      <c r="BH37" s="650">
        <f t="shared" ref="BH37" si="328">BH$7/(BH$7+BH$9)*BH36</f>
        <v>0.40748313501603067</v>
      </c>
      <c r="BI37" s="650">
        <f t="shared" ref="BI37" si="329">BI$7/(BI$7+BI$9)*BI36</f>
        <v>0.41510617035980812</v>
      </c>
      <c r="BJ37" s="650">
        <f t="shared" ref="BJ37" si="330">BJ$7/(BJ$7+BJ$9)*BJ36</f>
        <v>0.42296095745502382</v>
      </c>
      <c r="BK37" s="650">
        <f t="shared" ref="BK37" si="331">BK$7/(BK$7+BK$9)*BK36</f>
        <v>0.43105855274907584</v>
      </c>
      <c r="BL37" s="650">
        <f t="shared" ref="BL37" si="332">BL$7/(BL$7+BL$9)*BL36</f>
        <v>0.43941074409547604</v>
      </c>
      <c r="BM37" s="650">
        <f t="shared" ref="BM37" si="333">BM$7/(BM$7+BM$9)*BM36</f>
        <v>0.44803011219514677</v>
      </c>
      <c r="BN37" s="650">
        <f t="shared" ref="BN37" si="334">BN$7/(BN$7+BN$9)*BN36</f>
        <v>0.45693009833715836</v>
      </c>
    </row>
    <row r="38" spans="1:75">
      <c r="A38" s="685"/>
      <c r="B38" s="1" t="s">
        <v>1182</v>
      </c>
      <c r="C38" s="51" t="s">
        <v>166</v>
      </c>
      <c r="D38" s="24">
        <v>0</v>
      </c>
      <c r="E38" s="24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4">
        <v>0</v>
      </c>
      <c r="Q38" s="24">
        <v>0</v>
      </c>
      <c r="R38" s="24">
        <v>0</v>
      </c>
      <c r="S38" s="24">
        <v>0</v>
      </c>
      <c r="T38" s="24">
        <v>0</v>
      </c>
      <c r="U38" s="24">
        <v>0</v>
      </c>
      <c r="V38" s="24">
        <v>0</v>
      </c>
      <c r="W38" s="24">
        <v>0</v>
      </c>
      <c r="X38" s="24">
        <v>0</v>
      </c>
      <c r="Y38" s="24">
        <v>0</v>
      </c>
      <c r="Z38" s="24">
        <v>0</v>
      </c>
      <c r="AA38" s="24">
        <v>0</v>
      </c>
      <c r="AB38" s="24">
        <v>0</v>
      </c>
      <c r="AC38" s="24">
        <v>0</v>
      </c>
      <c r="AD38" s="24">
        <v>0</v>
      </c>
      <c r="AE38" s="24">
        <v>0</v>
      </c>
      <c r="AF38" s="24">
        <v>0</v>
      </c>
      <c r="AG38" s="24">
        <v>0</v>
      </c>
      <c r="AH38" s="24">
        <v>0</v>
      </c>
      <c r="AI38" s="24"/>
      <c r="AJ38" s="24">
        <v>0</v>
      </c>
      <c r="AK38" s="24">
        <v>0</v>
      </c>
      <c r="AL38" s="24">
        <v>0</v>
      </c>
      <c r="AM38" s="24">
        <v>0</v>
      </c>
      <c r="AN38" s="24">
        <v>0</v>
      </c>
      <c r="AO38" s="24">
        <v>0</v>
      </c>
      <c r="AP38" s="24">
        <v>0</v>
      </c>
      <c r="AQ38" s="24">
        <v>0</v>
      </c>
      <c r="AR38" s="24">
        <v>0</v>
      </c>
      <c r="AS38" s="24">
        <v>0</v>
      </c>
      <c r="AT38" s="24">
        <v>0</v>
      </c>
      <c r="AU38" s="24">
        <v>0</v>
      </c>
      <c r="AV38" s="24">
        <v>0</v>
      </c>
      <c r="AW38" s="24">
        <v>0</v>
      </c>
      <c r="AX38" s="24">
        <v>0</v>
      </c>
      <c r="AY38" s="24">
        <v>0</v>
      </c>
      <c r="AZ38" s="24">
        <v>0</v>
      </c>
      <c r="BA38" s="24">
        <v>0</v>
      </c>
      <c r="BB38" s="24">
        <v>0</v>
      </c>
      <c r="BC38" s="24">
        <v>0</v>
      </c>
      <c r="BD38" s="24">
        <v>0</v>
      </c>
      <c r="BE38" s="24">
        <v>0</v>
      </c>
      <c r="BF38" s="24">
        <v>0</v>
      </c>
      <c r="BG38" s="24">
        <v>0</v>
      </c>
      <c r="BH38" s="24">
        <v>0</v>
      </c>
      <c r="BI38" s="24">
        <v>0</v>
      </c>
      <c r="BJ38" s="24">
        <v>0</v>
      </c>
      <c r="BK38" s="24">
        <v>0</v>
      </c>
      <c r="BL38" s="24">
        <v>0</v>
      </c>
      <c r="BM38" s="24">
        <v>0</v>
      </c>
      <c r="BN38" s="24">
        <v>0</v>
      </c>
    </row>
    <row r="39" spans="1:75" s="63" customFormat="1">
      <c r="A39" s="686"/>
      <c r="B39" s="59" t="s">
        <v>27</v>
      </c>
      <c r="C39" s="262" t="s">
        <v>166</v>
      </c>
      <c r="D39" s="652">
        <f>D$9/(D$7+D$9)*D36</f>
        <v>1.6410550508767887</v>
      </c>
      <c r="E39" s="652">
        <f t="shared" ref="E39:AH39" si="335">E$9/(E$7+E$9)*E36</f>
        <v>1.6689453563157151</v>
      </c>
      <c r="F39" s="652">
        <f t="shared" si="335"/>
        <v>1.6959671096911195</v>
      </c>
      <c r="G39" s="652">
        <f t="shared" si="335"/>
        <v>1.722356842575566</v>
      </c>
      <c r="H39" s="652">
        <f t="shared" si="335"/>
        <v>1.7482890204863979</v>
      </c>
      <c r="I39" s="652">
        <f t="shared" si="335"/>
        <v>1.7738953198364031</v>
      </c>
      <c r="J39" s="652">
        <f t="shared" si="335"/>
        <v>1.7992771405743715</v>
      </c>
      <c r="K39" s="652">
        <f t="shared" si="335"/>
        <v>1.8245139705897762</v>
      </c>
      <c r="L39" s="652">
        <f t="shared" si="335"/>
        <v>1.8496691221918873</v>
      </c>
      <c r="M39" s="652">
        <f t="shared" si="335"/>
        <v>1.8747937558606891</v>
      </c>
      <c r="N39" s="652">
        <f t="shared" si="335"/>
        <v>1.8999297594643672</v>
      </c>
      <c r="O39" s="652">
        <f t="shared" si="335"/>
        <v>1.9171839703298523</v>
      </c>
      <c r="P39" s="652">
        <f t="shared" si="335"/>
        <v>1.9345086313654847</v>
      </c>
      <c r="Q39" s="652">
        <f t="shared" si="335"/>
        <v>1.9519015451141366</v>
      </c>
      <c r="R39" s="652">
        <f t="shared" si="335"/>
        <v>1.9693603419331562</v>
      </c>
      <c r="S39" s="652">
        <f t="shared" si="335"/>
        <v>1.9868824726127328</v>
      </c>
      <c r="T39" s="652">
        <f t="shared" si="335"/>
        <v>2.004199682405932</v>
      </c>
      <c r="U39" s="652">
        <f t="shared" si="335"/>
        <v>2.0215662476526375</v>
      </c>
      <c r="V39" s="652">
        <f t="shared" si="335"/>
        <v>2.0389783284773055</v>
      </c>
      <c r="W39" s="652">
        <f t="shared" si="335"/>
        <v>2.0564318349679471</v>
      </c>
      <c r="X39" s="652">
        <f t="shared" si="335"/>
        <v>2.0739224121203028</v>
      </c>
      <c r="Y39" s="652">
        <f t="shared" si="335"/>
        <v>2.0908418143772658</v>
      </c>
      <c r="Z39" s="652">
        <f t="shared" si="335"/>
        <v>2.1077582491317552</v>
      </c>
      <c r="AA39" s="652">
        <f t="shared" si="335"/>
        <v>2.1246642741997559</v>
      </c>
      <c r="AB39" s="652">
        <f t="shared" si="335"/>
        <v>2.1415519446772469</v>
      </c>
      <c r="AC39" s="652">
        <f t="shared" si="335"/>
        <v>2.1584127747241566</v>
      </c>
      <c r="AD39" s="652">
        <f t="shared" si="335"/>
        <v>2.1752376957401025</v>
      </c>
      <c r="AE39" s="652">
        <f t="shared" si="335"/>
        <v>2.192017010523283</v>
      </c>
      <c r="AF39" s="652">
        <f t="shared" si="335"/>
        <v>2.2087403429499028</v>
      </c>
      <c r="AG39" s="652">
        <f t="shared" si="335"/>
        <v>2.2253965826493944</v>
      </c>
      <c r="AH39" s="652">
        <f t="shared" si="335"/>
        <v>2.2419738240790217</v>
      </c>
      <c r="AI39" s="652"/>
      <c r="AJ39" s="652">
        <f>AJ$9/(AJ$7+AJ$9)*AJ36</f>
        <v>1.6410550508767887</v>
      </c>
      <c r="AK39" s="652">
        <f t="shared" ref="AK39:BN39" si="336">AK$9/(AK$7+AK$9)*AK36</f>
        <v>1.6696176233401638</v>
      </c>
      <c r="AL39" s="652">
        <f t="shared" si="336"/>
        <v>1.6973358963473171</v>
      </c>
      <c r="AM39" s="652">
        <f t="shared" si="336"/>
        <v>1.7244457674220457</v>
      </c>
      <c r="AN39" s="652">
        <f t="shared" si="336"/>
        <v>1.7511213460502111</v>
      </c>
      <c r="AO39" s="652">
        <f t="shared" si="336"/>
        <v>1.7774941463615881</v>
      </c>
      <c r="AP39" s="652">
        <f t="shared" si="336"/>
        <v>1.8036655450939743</v>
      </c>
      <c r="AQ39" s="652">
        <f t="shared" si="336"/>
        <v>1.8297151094684037</v>
      </c>
      <c r="AR39" s="652">
        <f t="shared" si="336"/>
        <v>1.8557063086342718</v>
      </c>
      <c r="AS39" s="652">
        <f t="shared" si="336"/>
        <v>1.881690519877609</v>
      </c>
      <c r="AT39" s="652">
        <f t="shared" si="336"/>
        <v>1.9077098953012268</v>
      </c>
      <c r="AU39" s="652">
        <f t="shared" si="336"/>
        <v>1.9270406630354606</v>
      </c>
      <c r="AV39" s="652">
        <f t="shared" si="336"/>
        <v>1.9464958492286186</v>
      </c>
      <c r="AW39" s="652">
        <f t="shared" si="336"/>
        <v>1.9660741597909963</v>
      </c>
      <c r="AX39" s="652">
        <f t="shared" si="336"/>
        <v>1.9857741335434567</v>
      </c>
      <c r="AY39" s="652">
        <f t="shared" si="336"/>
        <v>2.0055941339763041</v>
      </c>
      <c r="AZ39" s="652">
        <f t="shared" si="336"/>
        <v>2.0252640317224047</v>
      </c>
      <c r="BA39" s="652">
        <f t="shared" si="336"/>
        <v>2.0450411302812266</v>
      </c>
      <c r="BB39" s="652">
        <f t="shared" si="336"/>
        <v>2.0649224648396536</v>
      </c>
      <c r="BC39" s="652">
        <f t="shared" si="336"/>
        <v>2.0849048162613846</v>
      </c>
      <c r="BD39" s="652">
        <f t="shared" si="336"/>
        <v>2.1049846943723476</v>
      </c>
      <c r="BE39" s="652">
        <f t="shared" si="336"/>
        <v>2.1245728492259612</v>
      </c>
      <c r="BF39" s="652">
        <f t="shared" si="336"/>
        <v>2.1442190205208815</v>
      </c>
      <c r="BG39" s="652">
        <f t="shared" si="336"/>
        <v>2.1639164469769487</v>
      </c>
      <c r="BH39" s="652">
        <f t="shared" si="336"/>
        <v>2.18365783426436</v>
      </c>
      <c r="BI39" s="652">
        <f t="shared" si="336"/>
        <v>2.2034353125129464</v>
      </c>
      <c r="BJ39" s="652">
        <f t="shared" si="336"/>
        <v>2.2232403897607012</v>
      </c>
      <c r="BK39" s="652">
        <f t="shared" si="336"/>
        <v>2.2430639008805793</v>
      </c>
      <c r="BL39" s="652">
        <f t="shared" si="336"/>
        <v>2.262895951463646</v>
      </c>
      <c r="BM39" s="652">
        <f t="shared" si="336"/>
        <v>2.2827258560665551</v>
      </c>
      <c r="BN39" s="652">
        <f t="shared" si="336"/>
        <v>2.3025420701504662</v>
      </c>
    </row>
    <row r="40" spans="1:75" s="1" customFormat="1">
      <c r="A40" s="55" t="s">
        <v>256</v>
      </c>
      <c r="B40" s="55" t="s">
        <v>174</v>
      </c>
      <c r="C40" s="95" t="s">
        <v>166</v>
      </c>
      <c r="D40" s="653">
        <f>'Production - Industry shares'!L83</f>
        <v>3.5915366975270882</v>
      </c>
      <c r="E40" s="653">
        <f>D40*(1+'Demand - Methanol'!$N$38)</f>
        <v>3.6525928213850483</v>
      </c>
      <c r="F40" s="653">
        <f>E40*(1+'Demand - Methanol'!$N$38)</f>
        <v>3.7146868993485938</v>
      </c>
      <c r="G40" s="653">
        <f>F40*(1+'Demand - Methanol'!$N$38)</f>
        <v>3.7778365766375197</v>
      </c>
      <c r="H40" s="653">
        <f>G40*(1+'Demand - Methanol'!$N$38)</f>
        <v>3.8420597984403573</v>
      </c>
      <c r="I40" s="653">
        <f>H40*(1+'Demand - Methanol'!$N$38)</f>
        <v>3.907374815013843</v>
      </c>
      <c r="J40" s="653">
        <f>I40*(1+'Demand - Methanol'!$N$38)</f>
        <v>3.9738001868690778</v>
      </c>
      <c r="K40" s="653">
        <f>J40*(1+'Demand - Methanol'!$N$38)</f>
        <v>4.041354790045852</v>
      </c>
      <c r="L40" s="653">
        <f>K40*(1+'Demand - Methanol'!$N$38)</f>
        <v>4.110057821476631</v>
      </c>
      <c r="M40" s="653">
        <f>L40*(1+'Demand - Methanol'!$N$38)</f>
        <v>4.1799288044417331</v>
      </c>
      <c r="N40" s="653">
        <f>M40*(1+'Demand - Methanol'!$N$38)</f>
        <v>4.2509875941172419</v>
      </c>
      <c r="O40" s="653">
        <f>N40*(1+'Demand - Methanol'!$N$38)</f>
        <v>4.3232543832172343</v>
      </c>
      <c r="P40" s="653">
        <f>O40*(1+'Demand - Methanol'!$N$38)</f>
        <v>4.3967497077319271</v>
      </c>
      <c r="Q40" s="653">
        <f>P40*(1+'Demand - Methanol'!$N$38)</f>
        <v>4.4714944527633698</v>
      </c>
      <c r="R40" s="653">
        <f>Q40*(1+'Demand - Methanol'!$N$38)</f>
        <v>4.5475098584603471</v>
      </c>
      <c r="S40" s="653">
        <f>R40*(1+'Demand - Methanol'!$N$38)</f>
        <v>4.6248175260541728</v>
      </c>
      <c r="T40" s="653">
        <f>S40*(1+'Demand - Methanol'!$N$38)</f>
        <v>4.7034394239970929</v>
      </c>
      <c r="U40" s="653">
        <f>T40*(1+'Demand - Methanol'!$N$38)</f>
        <v>4.7833978942050432</v>
      </c>
      <c r="V40" s="653">
        <f>U40*(1+'Demand - Methanol'!$N$38)</f>
        <v>4.8647156584065288</v>
      </c>
      <c r="W40" s="653">
        <f>V40*(1+'Demand - Methanol'!$N$38)</f>
        <v>4.9474158245994388</v>
      </c>
      <c r="X40" s="653">
        <f>W40*(1+'Demand - Methanol'!$N$38)</f>
        <v>5.0315218936176285</v>
      </c>
      <c r="Y40" s="653">
        <f>X40*(1+'Demand - Methanol'!$N$38)</f>
        <v>5.1170577658091281</v>
      </c>
      <c r="Z40" s="653">
        <f>Y40*(1+'Demand - Methanol'!$N$38)</f>
        <v>5.2040477478278824</v>
      </c>
      <c r="AA40" s="653">
        <f>Z40*(1+'Demand - Methanol'!$N$38)</f>
        <v>5.2925165595409558</v>
      </c>
      <c r="AB40" s="653">
        <f>AA40*(1+'Demand - Methanol'!$N$38)</f>
        <v>5.3824893410531516</v>
      </c>
      <c r="AC40" s="653">
        <f>AB40*(1+'Demand - Methanol'!$N$38)</f>
        <v>5.4739916598510545</v>
      </c>
      <c r="AD40" s="653">
        <f>AC40*(1+'Demand - Methanol'!$N$38)</f>
        <v>5.5670495180685222</v>
      </c>
      <c r="AE40" s="653">
        <f>AD40*(1+'Demand - Methanol'!$N$38)</f>
        <v>5.6616893598756866</v>
      </c>
      <c r="AF40" s="653">
        <f>AE40*(1+'Demand - Methanol'!$N$38)</f>
        <v>5.7579380789935728</v>
      </c>
      <c r="AG40" s="653">
        <f>AF40*(1+'Demand - Methanol'!$N$38)</f>
        <v>5.8558230263364628</v>
      </c>
      <c r="AH40" s="653">
        <f>AG40*(1+'Demand - Methanol'!$N$38)</f>
        <v>5.9553720177841818</v>
      </c>
      <c r="AI40" s="25"/>
      <c r="AJ40" s="653">
        <f>D40</f>
        <v>3.5915366975270882</v>
      </c>
      <c r="AK40" s="653">
        <f>AJ40*(1+'Demand - Methanol'!$N$38)</f>
        <v>3.6525928213850483</v>
      </c>
      <c r="AL40" s="653">
        <f>AK40*(1+'Demand - Methanol'!$N$38)</f>
        <v>3.7146868993485938</v>
      </c>
      <c r="AM40" s="653">
        <f>AL40*(1+'Demand - Methanol'!$N$38)</f>
        <v>3.7778365766375197</v>
      </c>
      <c r="AN40" s="653">
        <f>AM40*(1+'Demand - Methanol'!$N$38)</f>
        <v>3.8420597984403573</v>
      </c>
      <c r="AO40" s="653">
        <f>AN40*(1+'Demand - Methanol'!$N$38)</f>
        <v>3.907374815013843</v>
      </c>
      <c r="AP40" s="653">
        <f>AO40*(1+'Demand - Methanol'!$N$38)</f>
        <v>3.9738001868690778</v>
      </c>
      <c r="AQ40" s="653">
        <f>AP40*(1+'Demand - Methanol'!$N$38)</f>
        <v>4.041354790045852</v>
      </c>
      <c r="AR40" s="653">
        <f>AQ40*(1+'Demand - Methanol'!$N$38)</f>
        <v>4.110057821476631</v>
      </c>
      <c r="AS40" s="653">
        <f>AR40*(1+'Demand - Methanol'!$N$38)</f>
        <v>4.1799288044417331</v>
      </c>
      <c r="AT40" s="653">
        <f>AS40*(1+'Demand - Methanol'!$N$38)</f>
        <v>4.2509875941172419</v>
      </c>
      <c r="AU40" s="653">
        <f>AT40*(1+'Demand - Methanol'!$N$38)</f>
        <v>4.3232543832172343</v>
      </c>
      <c r="AV40" s="653">
        <f>AU40*(1+'Demand - Methanol'!$N$38)</f>
        <v>4.3967497077319271</v>
      </c>
      <c r="AW40" s="653">
        <f>AV40*(1+'Demand - Methanol'!$N$38)</f>
        <v>4.4714944527633698</v>
      </c>
      <c r="AX40" s="653">
        <f>AW40*(1+'Demand - Methanol'!$N$38)</f>
        <v>4.5475098584603471</v>
      </c>
      <c r="AY40" s="653">
        <f>AX40*(1+'Demand - Methanol'!$N$38)</f>
        <v>4.6248175260541728</v>
      </c>
      <c r="AZ40" s="653">
        <f>AY40*(1+'Demand - Methanol'!$N$38)</f>
        <v>4.7034394239970929</v>
      </c>
      <c r="BA40" s="653">
        <f>AZ40*(1+'Demand - Methanol'!$N$38)</f>
        <v>4.7833978942050432</v>
      </c>
      <c r="BB40" s="653">
        <f>BA40*(1+'Demand - Methanol'!$N$38)</f>
        <v>4.8647156584065288</v>
      </c>
      <c r="BC40" s="653">
        <f>BB40*(1+'Demand - Methanol'!$N$38)</f>
        <v>4.9474158245994388</v>
      </c>
      <c r="BD40" s="653">
        <f>BC40*(1+'Demand - Methanol'!$N$38)</f>
        <v>5.0315218936176285</v>
      </c>
      <c r="BE40" s="653">
        <f>BD40*(1+'Demand - Methanol'!$N$38)</f>
        <v>5.1170577658091281</v>
      </c>
      <c r="BF40" s="653">
        <f>BE40*(1+'Demand - Methanol'!$N$38)</f>
        <v>5.2040477478278824</v>
      </c>
      <c r="BG40" s="653">
        <f>BF40*(1+'Demand - Methanol'!$N$38)</f>
        <v>5.2925165595409558</v>
      </c>
      <c r="BH40" s="653">
        <f>BG40*(1+'Demand - Methanol'!$N$38)</f>
        <v>5.3824893410531516</v>
      </c>
      <c r="BI40" s="653">
        <f>BH40*(1+'Demand - Methanol'!$N$38)</f>
        <v>5.4739916598510545</v>
      </c>
      <c r="BJ40" s="653">
        <f>BI40*(1+'Demand - Methanol'!$N$38)</f>
        <v>5.5670495180685222</v>
      </c>
      <c r="BK40" s="653">
        <f>BJ40*(1+'Demand - Methanol'!$N$38)</f>
        <v>5.6616893598756866</v>
      </c>
      <c r="BL40" s="653">
        <f>BK40*(1+'Demand - Methanol'!$N$38)</f>
        <v>5.7579380789935728</v>
      </c>
      <c r="BM40" s="653">
        <f>BL40*(1+'Demand - Methanol'!$N$38)</f>
        <v>5.8558230263364628</v>
      </c>
      <c r="BN40" s="653">
        <f>BM40*(1+'Demand - Methanol'!$N$38)</f>
        <v>5.9553720177841818</v>
      </c>
    </row>
    <row r="41" spans="1:75">
      <c r="B41" s="1" t="s">
        <v>164</v>
      </c>
      <c r="C41" s="51" t="s">
        <v>166</v>
      </c>
      <c r="D41" s="24">
        <v>0</v>
      </c>
      <c r="E41" s="24">
        <f>E40*'R&amp;S - Buildings'!$D$7*'R&amp;S - Buildings'!$B$11*'R&amp;S - Buildings'!$B$15*('Yearly Methanol'!E$3-'Yearly Methanol'!$D$3)/10</f>
        <v>6.6294559708138634E-2</v>
      </c>
      <c r="F41" s="24">
        <f>F40*'R&amp;S - Buildings'!$D$7*'R&amp;S - Buildings'!$B$11*'R&amp;S - Buildings'!$B$15*('Yearly Methanol'!F$3-'Yearly Methanol'!$D$3)/10</f>
        <v>0.13484313444635398</v>
      </c>
      <c r="G41" s="24">
        <f>G40*'R&amp;S - Buildings'!$D$7*'R&amp;S - Buildings'!$B$11*'R&amp;S - Buildings'!$B$15*('Yearly Methanol'!G$3-'Yearly Methanol'!$D$3)/10</f>
        <v>0.20570320159791294</v>
      </c>
      <c r="H41" s="24">
        <f>H40*'R&amp;S - Buildings'!$D$7*'R&amp;S - Buildings'!$B$11*'R&amp;S - Buildings'!$B$15*('Yearly Methanol'!H$3-'Yearly Methanol'!$D$3)/10</f>
        <v>0.27893354136676995</v>
      </c>
      <c r="I41" s="24">
        <f>I40*'R&amp;S - Buildings'!$D$7*'R&amp;S - Buildings'!$B$11*'R&amp;S - Buildings'!$B$15*('Yearly Methanol'!I$3-'Yearly Methanol'!$D$3)/10</f>
        <v>0.35459426446250625</v>
      </c>
      <c r="J41" s="24">
        <f>J40*'R&amp;S - Buildings'!$D$7*'R&amp;S - Buildings'!$B$11*'R&amp;S - Buildings'!$B$15*('Yearly Methanol'!J$3-'Yearly Methanol'!$D$3)/10</f>
        <v>0.43274684035004274</v>
      </c>
      <c r="K41" s="24">
        <f>K40*'R&amp;S - Buildings'!$D$7*'R&amp;S - Buildings'!$B$11*'R&amp;S - Buildings'!$B$15*('Yearly Methanol'!K$3-'Yearly Methanol'!$D$3)/10</f>
        <v>0.51345412607532559</v>
      </c>
      <c r="L41" s="24">
        <f>L40*'R&amp;S - Buildings'!$D$7*'R&amp;S - Buildings'!$B$11*'R&amp;S - Buildings'!$B$15*('Yearly Methanol'!L$3-'Yearly Methanol'!$D$3)/10</f>
        <v>0.59678039567840691</v>
      </c>
      <c r="M41" s="24">
        <f>M40*'R&amp;S - Buildings'!$D$7*'R&amp;S - Buildings'!$B$11*'R&amp;S - Buildings'!$B$15*('Yearly Methanol'!M$3-'Yearly Methanol'!$D$3)/10</f>
        <v>0.68279137020555714</v>
      </c>
      <c r="N41" s="24">
        <f>N40*'R&amp;S - Buildings'!$D$7*'R&amp;S - Buildings'!$B$11*'R&amp;S - Buildings'!$B$15*('Yearly Methanol'!N$3-'Yearly Methanol'!$D$3)/10</f>
        <v>0.77155424833227959</v>
      </c>
      <c r="O41" s="24">
        <f>O40*'R&amp;S - Buildings'!$D$7*('R&amp;S - Buildings'!$B$11*('R&amp;S - Buildings'!$B$15+('R&amp;S - Buildings'!$B$16-'R&amp;S - Buildings'!$B$15)*('Yearly Methanol'!O$3-'Yearly Methanol'!$N$3)/10))</f>
        <v>0.86313773760932078</v>
      </c>
      <c r="P41" s="24">
        <f>P40*'R&amp;S - Buildings'!$D$7*('R&amp;S - Buildings'!$B$11*('R&amp;S - Buildings'!$B$15+('R&amp;S - Buildings'!$B$16-'R&amp;S - Buildings'!$B$15)*('Yearly Methanol'!P$3-'Yearly Methanol'!$N$3)/10))</f>
        <v>0.95761208634401396</v>
      </c>
      <c r="Q41" s="24">
        <f>Q40*'R&amp;S - Buildings'!$D$7*('R&amp;S - Buildings'!$B$11*('R&amp;S - Buildings'!$B$15+('R&amp;S - Buildings'!$B$16-'R&amp;S - Buildings'!$B$15)*('Yearly Methanol'!Q$3-'Yearly Methanol'!$N$3)/10))</f>
        <v>1.0550491161295172</v>
      </c>
      <c r="R41" s="24">
        <f>R40*'R&amp;S - Buildings'!$D$7*('R&amp;S - Buildings'!$B$11*('R&amp;S - Buildings'!$B$15+('R&amp;S - Buildings'!$B$16-'R&amp;S - Buildings'!$B$15)*('Yearly Methanol'!R$3-'Yearly Methanol'!$N$3)/10))</f>
        <v>1.1555222550347743</v>
      </c>
      <c r="S41" s="24">
        <f>S40*'R&amp;S - Buildings'!$D$7*('R&amp;S - Buildings'!$B$11*('R&amp;S - Buildings'!$B$15+('R&amp;S - Buildings'!$B$16-'R&amp;S - Buildings'!$B$15)*('Yearly Methanol'!S$3-'Yearly Methanol'!$N$3)/10))</f>
        <v>1.2591065714682486</v>
      </c>
      <c r="T41" s="24">
        <f>T40*'R&amp;S - Buildings'!$D$7*('R&amp;S - Buildings'!$B$11*('R&amp;S - Buildings'!$B$15+('R&amp;S - Buildings'!$B$16-'R&amp;S - Buildings'!$B$15)*('Yearly Methanol'!T$3-'Yearly Methanol'!$N$3)/10))</f>
        <v>1.3658788087287561</v>
      </c>
      <c r="U41" s="24">
        <f>U40*'R&amp;S - Buildings'!$D$7*('R&amp;S - Buildings'!$B$11*('R&amp;S - Buildings'!$B$15+('R&amp;S - Buildings'!$B$16-'R&amp;S - Buildings'!$B$15)*('Yearly Methanol'!U$3-'Yearly Methanol'!$N$3)/10))</f>
        <v>1.4759174202569665</v>
      </c>
      <c r="V41" s="24">
        <f>V40*'R&amp;S - Buildings'!$D$7*('R&amp;S - Buildings'!$B$11*('R&amp;S - Buildings'!$B$15+('R&amp;S - Buildings'!$B$16-'R&amp;S - Buildings'!$B$15)*('Yearly Methanol'!V$3-'Yearly Methanol'!$N$3)/10))</f>
        <v>1.5893026056014132</v>
      </c>
      <c r="W41" s="24">
        <f>W40*'R&amp;S - Buildings'!$D$7*('R&amp;S - Buildings'!$B$11*('R&amp;S - Buildings'!$B$15+('R&amp;S - Buildings'!$B$16-'R&amp;S - Buildings'!$B$15)*('Yearly Methanol'!W$3-'Yearly Methanol'!$N$3)/10))</f>
        <v>1.7061163471131167</v>
      </c>
      <c r="X41" s="24">
        <f>X40*'R&amp;S - Buildings'!$D$7*('R&amp;S - Buildings'!$B$11*('R&amp;S - Buildings'!$B$15+('R&amp;S - Buildings'!$B$16-'R&amp;S - Buildings'!$B$15)*('Yearly Methanol'!X$3-'Yearly Methanol'!$N$3)/10))</f>
        <v>1.8264424473831995</v>
      </c>
      <c r="Y41" s="24">
        <f>Y40*'R&amp;S - Buildings'!$D$7*('R&amp;S - Buildings'!$B$11*('R&amp;S - Buildings'!$B$16+('R&amp;S - Buildings'!$B$17-'R&amp;S - Buildings'!$B$16)*('Yearly Methanol'!Y$3-'Yearly Methanol'!$X$3)/10))</f>
        <v>1.9531809492093446</v>
      </c>
      <c r="Z41" s="24">
        <f>Z40*'R&amp;S - Buildings'!$D$7*('R&amp;S - Buildings'!$B$11*('R&amp;S - Buildings'!$B$16+('R&amp;S - Buildings'!$B$17-'R&amp;S - Buildings'!$B$16)*('Yearly Methanol'!Z$3-'Yearly Methanol'!$X$3)/10))</f>
        <v>2.0837007182302845</v>
      </c>
      <c r="AA41" s="24">
        <f>AA40*'R&amp;S - Buildings'!$D$7*('R&amp;S - Buildings'!$B$11*('R&amp;S - Buildings'!$B$16+('R&amp;S - Buildings'!$B$17-'R&amp;S - Buildings'!$B$16)*('Yearly Methanol'!AA$3-'Yearly Methanol'!$X$3)/10))</f>
        <v>2.2180936901036148</v>
      </c>
      <c r="AB41" s="24">
        <f>AB40*'R&amp;S - Buildings'!$D$7*('R&amp;S - Buildings'!$B$11*('R&amp;S - Buildings'!$B$16+('R&amp;S - Buildings'!$B$17-'R&amp;S - Buildings'!$B$16)*('Yearly Methanol'!AB$3-'Yearly Methanol'!$X$3)/10))</f>
        <v>2.3564538335130703</v>
      </c>
      <c r="AC41" s="24">
        <f>AC40*'R&amp;S - Buildings'!$D$7*('R&amp;S - Buildings'!$B$11*('R&amp;S - Buildings'!$B$16+('R&amp;S - Buildings'!$B$17-'R&amp;S - Buildings'!$B$16)*('Yearly Methanol'!AC$3-'Yearly Methanol'!$X$3)/10))</f>
        <v>2.498877192722007</v>
      </c>
      <c r="AD41" s="24">
        <f>AD40*'R&amp;S - Buildings'!$D$7*('R&amp;S - Buildings'!$B$11*('R&amp;S - Buildings'!$B$16+('R&amp;S - Buildings'!$B$17-'R&amp;S - Buildings'!$B$16)*('Yearly Methanol'!AD$3-'Yearly Methanol'!$X$3)/10))</f>
        <v>2.6454619309861624</v>
      </c>
      <c r="AE41" s="24">
        <f>AE40*'R&amp;S - Buildings'!$D$7*('R&amp;S - Buildings'!$B$11*('R&amp;S - Buildings'!$B$16+('R&amp;S - Buildings'!$B$17-'R&amp;S - Buildings'!$B$16)*('Yearly Methanol'!AE$3-'Yearly Methanol'!$X$3)/10))</f>
        <v>2.7963083748426021</v>
      </c>
      <c r="AF41" s="24">
        <f>AF40*'R&amp;S - Buildings'!$D$7*('R&amp;S - Buildings'!$B$11*('R&amp;S - Buildings'!$B$16+('R&amp;S - Buildings'!$B$17-'R&amp;S - Buildings'!$B$16)*('Yearly Methanol'!AF$3-'Yearly Methanol'!$X$3)/10))</f>
        <v>2.9515190592921057</v>
      </c>
      <c r="AG41" s="24">
        <f>AG40*'R&amp;S - Buildings'!$D$7*('R&amp;S - Buildings'!$B$11*('R&amp;S - Buildings'!$B$16+('R&amp;S - Buildings'!$B$17-'R&amp;S - Buildings'!$B$16)*('Yearly Methanol'!AG$3-'Yearly Methanol'!$X$3)/10))</f>
        <v>3.1111987738925628</v>
      </c>
      <c r="AH41" s="24">
        <f>AH40*'R&amp;S - Buildings'!$D$7*('R&amp;S - Buildings'!$B$11*('R&amp;S - Buildings'!$B$16+('R&amp;S - Buildings'!$B$17-'R&amp;S - Buildings'!$B$16)*('Yearly Methanol'!AH$3-'Yearly Methanol'!$X$3)/10))</f>
        <v>3.2754546097813004</v>
      </c>
      <c r="AI41" s="24"/>
      <c r="AJ41" s="24">
        <v>0</v>
      </c>
      <c r="AK41" s="24">
        <f>AK40*'R&amp;S - Buildings'!$D$7*'R&amp;S - Buildings'!$B$12*'R&amp;S - Buildings'!$B$15*('Yearly Methanol'!AK$3-'Yearly Methanol'!$D$3)/10</f>
        <v>2.6517823883255454E-2</v>
      </c>
      <c r="AL41" s="24">
        <f>AL40*'R&amp;S - Buildings'!$D$7*'R&amp;S - Buildings'!$B$12*'R&amp;S - Buildings'!$B$15*('Yearly Methanol'!AL$3-'Yearly Methanol'!$D$3)/10</f>
        <v>5.3937253778541583E-2</v>
      </c>
      <c r="AM41" s="24">
        <f>AM40*'R&amp;S - Buildings'!$D$7*'R&amp;S - Buildings'!$B$12*'R&amp;S - Buildings'!$B$15*('Yearly Methanol'!AM$3-'Yearly Methanol'!$D$3)/10</f>
        <v>8.2281280639165177E-2</v>
      </c>
      <c r="AN41" s="24">
        <f>AN40*'R&amp;S - Buildings'!$D$7*'R&amp;S - Buildings'!$B$12*'R&amp;S - Buildings'!$B$15*('Yearly Methanol'!AN$3-'Yearly Methanol'!$D$3)/10</f>
        <v>0.11157341654670798</v>
      </c>
      <c r="AO41" s="24">
        <f>AO40*'R&amp;S - Buildings'!$D$7*'R&amp;S - Buildings'!$B$12*'R&amp;S - Buildings'!$B$15*('Yearly Methanol'!AO$3-'Yearly Methanol'!$D$3)/10</f>
        <v>0.14183770578500249</v>
      </c>
      <c r="AP41" s="24">
        <f>AP40*'R&amp;S - Buildings'!$D$7*'R&amp;S - Buildings'!$B$12*'R&amp;S - Buildings'!$B$15*('Yearly Methanol'!AP$3-'Yearly Methanol'!$D$3)/10</f>
        <v>0.17309873614001706</v>
      </c>
      <c r="AQ41" s="24">
        <f>AQ40*'R&amp;S - Buildings'!$D$7*'R&amp;S - Buildings'!$B$12*'R&amp;S - Buildings'!$B$15*('Yearly Methanol'!AQ$3-'Yearly Methanol'!$D$3)/10</f>
        <v>0.20538165043013018</v>
      </c>
      <c r="AR41" s="24">
        <f>AR40*'R&amp;S - Buildings'!$D$7*'R&amp;S - Buildings'!$B$12*'R&amp;S - Buildings'!$B$15*('Yearly Methanol'!AR$3-'Yearly Methanol'!$D$3)/10</f>
        <v>0.23871215827136272</v>
      </c>
      <c r="AS41" s="24">
        <f>AS40*'R&amp;S - Buildings'!$D$7*'R&amp;S - Buildings'!$B$12*'R&amp;S - Buildings'!$B$15*('Yearly Methanol'!AS$3-'Yearly Methanol'!$D$3)/10</f>
        <v>0.2731165480822228</v>
      </c>
      <c r="AT41" s="24">
        <f>AT40*'R&amp;S - Buildings'!$D$7*'R&amp;S - Buildings'!$B$12*'R&amp;S - Buildings'!$B$15*('Yearly Methanol'!AT$3-'Yearly Methanol'!$D$3)/10</f>
        <v>0.30862169933291178</v>
      </c>
      <c r="AU41" s="24">
        <f>AU40*'R&amp;S - Buildings'!$D$7*('R&amp;S - Buildings'!$B$12*('R&amp;S - Buildings'!$B$15+('R&amp;S - Buildings'!$B$16-'R&amp;S - Buildings'!$B$15)*('Yearly Methanol'!AU$3-'Yearly Methanol'!$N$3)/10))</f>
        <v>0.34525509504372831</v>
      </c>
      <c r="AV41" s="24">
        <f>AV40*'R&amp;S - Buildings'!$D$7*('R&amp;S - Buildings'!$B$12*('R&amp;S - Buildings'!$B$15+('R&amp;S - Buildings'!$B$16-'R&amp;S - Buildings'!$B$15)*('Yearly Methanol'!AV$3-'Yearly Methanol'!$N$3)/10))</f>
        <v>0.38304483453760552</v>
      </c>
      <c r="AW41" s="24">
        <f>AW40*'R&amp;S - Buildings'!$D$7*('R&amp;S - Buildings'!$B$12*('R&amp;S - Buildings'!$B$15+('R&amp;S - Buildings'!$B$16-'R&amp;S - Buildings'!$B$15)*('Yearly Methanol'!AW$3-'Yearly Methanol'!$N$3)/10))</f>
        <v>0.42201964645180684</v>
      </c>
      <c r="AX41" s="24">
        <f>AX40*'R&amp;S - Buildings'!$D$7*('R&amp;S - Buildings'!$B$12*('R&amp;S - Buildings'!$B$15+('R&amp;S - Buildings'!$B$16-'R&amp;S - Buildings'!$B$15)*('Yearly Methanol'!AX$3-'Yearly Methanol'!$N$3)/10))</f>
        <v>0.46220890201390968</v>
      </c>
      <c r="AY41" s="24">
        <f>AY40*'R&amp;S - Buildings'!$D$7*('R&amp;S - Buildings'!$B$12*('R&amp;S - Buildings'!$B$15+('R&amp;S - Buildings'!$B$16-'R&amp;S - Buildings'!$B$15)*('Yearly Methanol'!AY$3-'Yearly Methanol'!$N$3)/10))</f>
        <v>0.50364262858729936</v>
      </c>
      <c r="AZ41" s="24">
        <f>AZ40*'R&amp;S - Buildings'!$D$7*('R&amp;S - Buildings'!$B$12*('R&amp;S - Buildings'!$B$15+('R&amp;S - Buildings'!$B$16-'R&amp;S - Buildings'!$B$15)*('Yearly Methanol'!AZ$3-'Yearly Methanol'!$N$3)/10))</f>
        <v>0.5463515234915024</v>
      </c>
      <c r="BA41" s="24">
        <f>BA40*'R&amp;S - Buildings'!$D$7*('R&amp;S - Buildings'!$B$12*('R&amp;S - Buildings'!$B$15+('R&amp;S - Buildings'!$B$16-'R&amp;S - Buildings'!$B$15)*('Yearly Methanol'!BA$3-'Yearly Methanol'!$N$3)/10))</f>
        <v>0.59036696810278655</v>
      </c>
      <c r="BB41" s="24">
        <f>BB40*'R&amp;S - Buildings'!$D$7*('R&amp;S - Buildings'!$B$12*('R&amp;S - Buildings'!$B$15+('R&amp;S - Buildings'!$B$16-'R&amp;S - Buildings'!$B$15)*('Yearly Methanol'!BB$3-'Yearly Methanol'!$N$3)/10))</f>
        <v>0.63572104224056525</v>
      </c>
      <c r="BC41" s="24">
        <f>BC40*'R&amp;S - Buildings'!$D$7*('R&amp;S - Buildings'!$B$12*('R&amp;S - Buildings'!$B$15+('R&amp;S - Buildings'!$B$16-'R&amp;S - Buildings'!$B$15)*('Yearly Methanol'!BC$3-'Yearly Methanol'!$N$3)/10))</f>
        <v>0.68244653884524664</v>
      </c>
      <c r="BD41" s="24">
        <f>BD40*'R&amp;S - Buildings'!$D$7*('R&amp;S - Buildings'!$B$12*('R&amp;S - Buildings'!$B$15+('R&amp;S - Buildings'!$B$16-'R&amp;S - Buildings'!$B$15)*('Yearly Methanol'!BD$3-'Yearly Methanol'!$N$3)/10))</f>
        <v>0.73057697895327978</v>
      </c>
      <c r="BE41" s="24">
        <f>BE40*'R&amp;S - Buildings'!$D$7*('R&amp;S - Buildings'!$B$12*('R&amp;S - Buildings'!$B$16+('R&amp;S - Buildings'!$B$17-'R&amp;S - Buildings'!$B$16)*('Yearly Methanol'!BE$3-'Yearly Methanol'!$X$3)/10))</f>
        <v>0.78127237968373775</v>
      </c>
      <c r="BF41" s="24">
        <f>BF40*'R&amp;S - Buildings'!$D$7*('R&amp;S - Buildings'!$B$12*('R&amp;S - Buildings'!$B$16+('R&amp;S - Buildings'!$B$17-'R&amp;S - Buildings'!$B$16)*('Yearly Methanol'!BF$3-'Yearly Methanol'!$X$3)/10))</f>
        <v>0.83348028729211365</v>
      </c>
      <c r="BG41" s="24">
        <f>BG40*'R&amp;S - Buildings'!$D$7*('R&amp;S - Buildings'!$B$12*('R&amp;S - Buildings'!$B$16+('R&amp;S - Buildings'!$B$17-'R&amp;S - Buildings'!$B$16)*('Yearly Methanol'!BG$3-'Yearly Methanol'!$X$3)/10))</f>
        <v>0.88723747604144576</v>
      </c>
      <c r="BH41" s="24">
        <f>BH40*'R&amp;S - Buildings'!$D$7*('R&amp;S - Buildings'!$B$12*('R&amp;S - Buildings'!$B$16+('R&amp;S - Buildings'!$B$17-'R&amp;S - Buildings'!$B$16)*('Yearly Methanol'!BH$3-'Yearly Methanol'!$X$3)/10))</f>
        <v>0.9425815334052281</v>
      </c>
      <c r="BI41" s="24">
        <f>BI40*'R&amp;S - Buildings'!$D$7*('R&amp;S - Buildings'!$B$12*('R&amp;S - Buildings'!$B$16+('R&amp;S - Buildings'!$B$17-'R&amp;S - Buildings'!$B$16)*('Yearly Methanol'!BI$3-'Yearly Methanol'!$X$3)/10))</f>
        <v>0.99955087708880275</v>
      </c>
      <c r="BJ41" s="24">
        <f>BJ40*'R&amp;S - Buildings'!$D$7*('R&amp;S - Buildings'!$B$12*('R&amp;S - Buildings'!$B$16+('R&amp;S - Buildings'!$B$17-'R&amp;S - Buildings'!$B$16)*('Yearly Methanol'!BJ$3-'Yearly Methanol'!$X$3)/10))</f>
        <v>1.0581847723944648</v>
      </c>
      <c r="BK41" s="24">
        <f>BK40*'R&amp;S - Buildings'!$D$7*('R&amp;S - Buildings'!$B$12*('R&amp;S - Buildings'!$B$16+('R&amp;S - Buildings'!$B$17-'R&amp;S - Buildings'!$B$16)*('Yearly Methanol'!BK$3-'Yearly Methanol'!$X$3)/10))</f>
        <v>1.1185233499370406</v>
      </c>
      <c r="BL41" s="24">
        <f>BL40*'R&amp;S - Buildings'!$D$7*('R&amp;S - Buildings'!$B$12*('R&amp;S - Buildings'!$B$16+('R&amp;S - Buildings'!$B$17-'R&amp;S - Buildings'!$B$16)*('Yearly Methanol'!BL$3-'Yearly Methanol'!$X$3)/10))</f>
        <v>1.1806076237168421</v>
      </c>
      <c r="BM41" s="24">
        <f>BM40*'R&amp;S - Buildings'!$D$7*('R&amp;S - Buildings'!$B$12*('R&amp;S - Buildings'!$B$16+('R&amp;S - Buildings'!$B$17-'R&amp;S - Buildings'!$B$16)*('Yearly Methanol'!BM$3-'Yearly Methanol'!$X$3)/10))</f>
        <v>1.2444795095570251</v>
      </c>
      <c r="BN41" s="24">
        <f>BN40*'R&amp;S - Buildings'!$D$7*('R&amp;S - Buildings'!$B$12*('R&amp;S - Buildings'!$B$16+('R&amp;S - Buildings'!$B$17-'R&amp;S - Buildings'!$B$16)*('Yearly Methanol'!BN$3-'Yearly Methanol'!$X$3)/10))</f>
        <v>1.3101818439125201</v>
      </c>
    </row>
    <row r="42" spans="1:75">
      <c r="B42" s="1" t="s">
        <v>167</v>
      </c>
      <c r="C42" s="51" t="s">
        <v>166</v>
      </c>
      <c r="D42" s="24">
        <v>0</v>
      </c>
      <c r="E42" s="24">
        <f>E40*'R&amp;S - Buildings'!$D$8*'R&amp;S - Buildings'!$C$11*'R&amp;S - Buildings'!$B$15*('Yearly Methanol'!E$3-'Yearly Methanol'!$D$3)/10</f>
        <v>2.159137037042886E-2</v>
      </c>
      <c r="F42" s="24">
        <f>F40*'R&amp;S - Buildings'!$D$8*'R&amp;S - Buildings'!$C$11*'R&amp;S - Buildings'!$B$15*('Yearly Methanol'!F$3-'Yearly Methanol'!$D$3)/10</f>
        <v>4.3916847333452289E-2</v>
      </c>
      <c r="G42" s="24">
        <f>G40*'R&amp;S - Buildings'!$D$8*'R&amp;S - Buildings'!$C$11*'R&amp;S - Buildings'!$B$15*('Yearly Methanol'!G$3-'Yearly Methanol'!$D$3)/10</f>
        <v>6.6995150607181475E-2</v>
      </c>
      <c r="H42" s="24">
        <f>H40*'R&amp;S - Buildings'!$D$8*'R&amp;S - Buildings'!$C$11*'R&amp;S - Buildings'!$B$15*('Yearly Methanol'!H$3-'Yearly Methanol'!$D$3)/10</f>
        <v>9.0845424223338064E-2</v>
      </c>
      <c r="I42" s="24">
        <f>I40*'R&amp;S - Buildings'!$D$8*'R&amp;S - Buildings'!$C$11*'R&amp;S - Buildings'!$B$15*('Yearly Methanol'!I$3-'Yearly Methanol'!$D$3)/10</f>
        <v>0.11548724554391851</v>
      </c>
      <c r="J42" s="24">
        <f>J40*'R&amp;S - Buildings'!$D$8*'R&amp;S - Buildings'!$C$11*'R&amp;S - Buildings'!$B$15*('Yearly Methanol'!J$3-'Yearly Methanol'!$D$3)/10</f>
        <v>0.14094063446179814</v>
      </c>
      <c r="K42" s="24">
        <f>K40*'R&amp;S - Buildings'!$D$8*'R&amp;S - Buildings'!$C$11*'R&amp;S - Buildings'!$B$15*('Yearly Methanol'!K$3-'Yearly Methanol'!$D$3)/10</f>
        <v>0.16722606278892349</v>
      </c>
      <c r="L42" s="24">
        <f>L40*'R&amp;S - Buildings'!$D$8*'R&amp;S - Buildings'!$C$11*'R&amp;S - Buildings'!$B$15*('Yearly Methanol'!L$3-'Yearly Methanol'!$D$3)/10</f>
        <v>0.19436446383581163</v>
      </c>
      <c r="M42" s="24">
        <f>M40*'R&amp;S - Buildings'!$D$8*'R&amp;S - Buildings'!$C$11*'R&amp;S - Buildings'!$B$15*('Yearly Methanol'!M$3-'Yearly Methanol'!$D$3)/10</f>
        <v>0.22237724218614791</v>
      </c>
      <c r="N42" s="24">
        <f>N40*'R&amp;S - Buildings'!$D$8*'R&amp;S - Buildings'!$C$11*'R&amp;S - Buildings'!$B$15*('Yearly Methanol'!N$3-'Yearly Methanol'!$D$3)/10</f>
        <v>0.25128628367034711</v>
      </c>
      <c r="O42" s="24">
        <f>O40*'R&amp;S - Buildings'!$D$8*'R&amp;S - Buildings'!$C$11*('R&amp;S - Buildings'!$B$15+('R&amp;S - Buildings'!$B$16-'R&amp;S - Buildings'!$B$15)*('Yearly Methanol'!O$3-'Yearly Methanol'!$N$3)/10)</f>
        <v>0.28111396554201729</v>
      </c>
      <c r="P42" s="24">
        <f>P40*'R&amp;S - Buildings'!$D$8*'R&amp;S - Buildings'!$C$11*('R&amp;S - Buildings'!$B$15+('R&amp;S - Buildings'!$B$16-'R&amp;S - Buildings'!$B$15)*('Yearly Methanol'!P$3-'Yearly Methanol'!$N$3)/10)</f>
        <v>0.31188316686134349</v>
      </c>
      <c r="Q42" s="24">
        <f>Q40*'R&amp;S - Buildings'!$D$8*'R&amp;S - Buildings'!$C$11*('R&amp;S - Buildings'!$B$15+('R&amp;S - Buildings'!$B$16-'R&amp;S - Buildings'!$B$15)*('Yearly Methanol'!Q$3-'Yearly Methanol'!$N$3)/10)</f>
        <v>0.34361727908948525</v>
      </c>
      <c r="R42" s="24">
        <f>R40*'R&amp;S - Buildings'!$D$8*'R&amp;S - Buildings'!$C$11*('R&amp;S - Buildings'!$B$15+('R&amp;S - Buildings'!$B$16-'R&amp;S - Buildings'!$B$15)*('Yearly Methanol'!R$3-'Yearly Methanol'!$N$3)/10)</f>
        <v>0.37634021689816077</v>
      </c>
      <c r="S42" s="24">
        <f>S40*'R&amp;S - Buildings'!$D$8*'R&amp;S - Buildings'!$C$11*('R&amp;S - Buildings'!$B$15+('R&amp;S - Buildings'!$B$16-'R&amp;S - Buildings'!$B$15)*('Yearly Methanol'!S$3-'Yearly Methanol'!$N$3)/10)</f>
        <v>0.41007642919867449</v>
      </c>
      <c r="T42" s="24">
        <f>T40*'R&amp;S - Buildings'!$D$8*'R&amp;S - Buildings'!$C$11*('R&amp;S - Buildings'!$B$15+('R&amp;S - Buildings'!$B$16-'R&amp;S - Buildings'!$B$15)*('Yearly Methanol'!T$3-'Yearly Methanol'!$N$3)/10)</f>
        <v>0.44485091039472197</v>
      </c>
      <c r="U42" s="24">
        <f>U40*'R&amp;S - Buildings'!$D$8*'R&amp;S - Buildings'!$C$11*('R&amp;S - Buildings'!$B$15+('R&amp;S - Buildings'!$B$16-'R&amp;S - Buildings'!$B$15)*('Yearly Methanol'!U$3-'Yearly Methanol'!$N$3)/10)</f>
        <v>0.4806892118633968</v>
      </c>
      <c r="V42" s="24">
        <f>V40*'R&amp;S - Buildings'!$D$8*'R&amp;S - Buildings'!$C$11*('R&amp;S - Buildings'!$B$15+('R&amp;S - Buildings'!$B$16-'R&amp;S - Buildings'!$B$15)*('Yearly Methanol'!V$3-'Yearly Methanol'!$N$3)/10)</f>
        <v>0.51761745366890244</v>
      </c>
      <c r="W42" s="24">
        <f>W40*'R&amp;S - Buildings'!$D$8*'R&amp;S - Buildings'!$C$11*('R&amp;S - Buildings'!$B$15+('R&amp;S - Buildings'!$B$16-'R&amp;S - Buildings'!$B$15)*('Yearly Methanol'!W$3-'Yearly Methanol'!$N$3)/10)</f>
        <v>0.55566233651356656</v>
      </c>
      <c r="X42" s="24">
        <f>X40*'R&amp;S - Buildings'!$D$8*'R&amp;S - Buildings'!$C$11*('R&amp;S - Buildings'!$B$15+('R&amp;S - Buildings'!$B$16-'R&amp;S - Buildings'!$B$15)*('Yearly Methanol'!X$3-'Yearly Methanol'!$N$3)/10)</f>
        <v>0.59485115393083909</v>
      </c>
      <c r="Y42" s="24">
        <f>Y40*'R&amp;S - Buildings'!$D$8*'R&amp;S - Buildings'!$C$11*('R&amp;S - Buildings'!$B$16+('R&amp;S - Buildings'!$B$17-'R&amp;S - Buildings'!$B$16)*('Yearly Methanol'!Y$3-'Yearly Methanol'!$X$3)/10)</f>
        <v>0.63612841627587635</v>
      </c>
      <c r="Z42" s="24">
        <f>Z40*'R&amp;S - Buildings'!$D$8*'R&amp;S - Buildings'!$C$11*('R&amp;S - Buildings'!$B$16+('R&amp;S - Buildings'!$B$17-'R&amp;S - Buildings'!$B$16)*('Yearly Methanol'!Z$3-'Yearly Methanol'!$X$3)/10)</f>
        <v>0.67863719355715868</v>
      </c>
      <c r="AA42" s="24">
        <f>AA40*'R&amp;S - Buildings'!$D$8*'R&amp;S - Buildings'!$C$11*('R&amp;S - Buildings'!$B$16+('R&amp;S - Buildings'!$B$17-'R&amp;S - Buildings'!$B$16)*('Yearly Methanol'!AA$3-'Yearly Methanol'!$X$3)/10)</f>
        <v>0.72240742815370096</v>
      </c>
      <c r="AB42" s="24">
        <f>AB40*'R&amp;S - Buildings'!$D$8*'R&amp;S - Buildings'!$C$11*('R&amp;S - Buildings'!$B$16+('R&amp;S - Buildings'!$B$17-'R&amp;S - Buildings'!$B$16)*('Yearly Methanol'!AB$3-'Yearly Methanol'!$X$3)/10)</f>
        <v>0.76746972457758766</v>
      </c>
      <c r="AC42" s="24">
        <f>AC40*'R&amp;S - Buildings'!$D$8*'R&amp;S - Buildings'!$C$11*('R&amp;S - Buildings'!$B$16+('R&amp;S - Buildings'!$B$17-'R&amp;S - Buildings'!$B$16)*('Yearly Methanol'!AC$3-'Yearly Methanol'!$X$3)/10)</f>
        <v>0.81385536333315012</v>
      </c>
      <c r="AD42" s="24">
        <f>AD40*'R&amp;S - Buildings'!$D$8*'R&amp;S - Buildings'!$C$11*('R&amp;S - Buildings'!$B$16+('R&amp;S - Buildings'!$B$17-'R&amp;S - Buildings'!$B$16)*('Yearly Methanol'!AD$3-'Yearly Methanol'!$X$3)/10)</f>
        <v>0.86159631505599876</v>
      </c>
      <c r="AE42" s="24">
        <f>AE40*'R&amp;S - Buildings'!$D$8*'R&amp;S - Buildings'!$C$11*('R&amp;S - Buildings'!$B$16+('R&amp;S - Buildings'!$B$17-'R&amp;S - Buildings'!$B$16)*('Yearly Methanol'!AE$3-'Yearly Methanol'!$X$3)/10)</f>
        <v>0.91072525493742074</v>
      </c>
      <c r="AF42" s="24">
        <f>AF40*'R&amp;S - Buildings'!$D$8*'R&amp;S - Buildings'!$C$11*('R&amp;S - Buildings'!$B$16+('R&amp;S - Buildings'!$B$17-'R&amp;S - Buildings'!$B$16)*('Yearly Methanol'!AF$3-'Yearly Methanol'!$X$3)/10)</f>
        <v>0.96127557743976022</v>
      </c>
      <c r="AG42" s="24">
        <f>AG40*'R&amp;S - Buildings'!$D$8*'R&amp;S - Buildings'!$C$11*('R&amp;S - Buildings'!$B$16+('R&amp;S - Buildings'!$B$17-'R&amp;S - Buildings'!$B$16)*('Yearly Methanol'!AG$3-'Yearly Methanol'!$X$3)/10)</f>
        <v>1.013281411308502</v>
      </c>
      <c r="AH42" s="24">
        <f>AH40*'R&amp;S - Buildings'!$D$8*'R&amp;S - Buildings'!$C$11*('R&amp;S - Buildings'!$B$16+('R&amp;S - Buildings'!$B$17-'R&amp;S - Buildings'!$B$16)*('Yearly Methanol'!AH$3-'Yearly Methanol'!$X$3)/10)</f>
        <v>1.0667776348869011</v>
      </c>
      <c r="AI42" s="24"/>
      <c r="AJ42" s="24">
        <v>0</v>
      </c>
      <c r="AK42" s="24">
        <f>AK40*'R&amp;S - Buildings'!$D$8*'R&amp;S - Buildings'!$C$12*'R&amp;S - Buildings'!$B$15*('Yearly Methanol'!AK$3-'Yearly Methanol'!$D$3)/10</f>
        <v>1.079568518521443E-2</v>
      </c>
      <c r="AL42" s="24">
        <f>AL40*'R&amp;S - Buildings'!$D$8*'R&amp;S - Buildings'!$C$12*'R&amp;S - Buildings'!$B$15*('Yearly Methanol'!AL$3-'Yearly Methanol'!$D$3)/10</f>
        <v>2.1958423666726144E-2</v>
      </c>
      <c r="AM42" s="24">
        <f>AM40*'R&amp;S - Buildings'!$D$8*'R&amp;S - Buildings'!$C$12*'R&amp;S - Buildings'!$B$15*('Yearly Methanol'!AM$3-'Yearly Methanol'!$D$3)/10</f>
        <v>3.3497575303590738E-2</v>
      </c>
      <c r="AN42" s="24">
        <f>AN40*'R&amp;S - Buildings'!$D$8*'R&amp;S - Buildings'!$C$12*'R&amp;S - Buildings'!$B$15*('Yearly Methanol'!AN$3-'Yearly Methanol'!$D$3)/10</f>
        <v>4.5422712111669032E-2</v>
      </c>
      <c r="AO42" s="24">
        <f>AO40*'R&amp;S - Buildings'!$D$8*'R&amp;S - Buildings'!$C$12*'R&amp;S - Buildings'!$B$15*('Yearly Methanol'!AO$3-'Yearly Methanol'!$D$3)/10</f>
        <v>5.7743622771959255E-2</v>
      </c>
      <c r="AP42" s="24">
        <f>AP40*'R&amp;S - Buildings'!$D$8*'R&amp;S - Buildings'!$C$12*'R&amp;S - Buildings'!$B$15*('Yearly Methanol'!AP$3-'Yearly Methanol'!$D$3)/10</f>
        <v>7.0470317230899068E-2</v>
      </c>
      <c r="AQ42" s="24">
        <f>AQ40*'R&amp;S - Buildings'!$D$8*'R&amp;S - Buildings'!$C$12*'R&amp;S - Buildings'!$B$15*('Yearly Methanol'!AQ$3-'Yearly Methanol'!$D$3)/10</f>
        <v>8.3613031394461745E-2</v>
      </c>
      <c r="AR42" s="24">
        <f>AR40*'R&amp;S - Buildings'!$D$8*'R&amp;S - Buildings'!$C$12*'R&amp;S - Buildings'!$B$15*('Yearly Methanol'!AR$3-'Yearly Methanol'!$D$3)/10</f>
        <v>9.7182231917905815E-2</v>
      </c>
      <c r="AS42" s="24">
        <f>AS40*'R&amp;S - Buildings'!$D$8*'R&amp;S - Buildings'!$C$12*'R&amp;S - Buildings'!$B$15*('Yearly Methanol'!AS$3-'Yearly Methanol'!$D$3)/10</f>
        <v>0.11118862109307395</v>
      </c>
      <c r="AT42" s="24">
        <f>AT40*'R&amp;S - Buildings'!$D$8*'R&amp;S - Buildings'!$C$12*'R&amp;S - Buildings'!$B$15*('Yearly Methanol'!AT$3-'Yearly Methanol'!$D$3)/10</f>
        <v>0.12564314183517356</v>
      </c>
      <c r="AU42" s="24">
        <f>AU40*'R&amp;S - Buildings'!$D$8*'R&amp;S - Buildings'!$C$12*('R&amp;S - Buildings'!$B$15+('R&amp;S - Buildings'!$B$16-'R&amp;S - Buildings'!$B$15)*('Yearly Methanol'!AU$3-'Yearly Methanol'!$N$3)/10)</f>
        <v>0.14055698277100864</v>
      </c>
      <c r="AV42" s="24">
        <f>AV40*'R&amp;S - Buildings'!$D$8*'R&amp;S - Buildings'!$C$12*('R&amp;S - Buildings'!$B$15+('R&amp;S - Buildings'!$B$16-'R&amp;S - Buildings'!$B$15)*('Yearly Methanol'!AV$3-'Yearly Methanol'!$N$3)/10)</f>
        <v>0.15594158343067174</v>
      </c>
      <c r="AW42" s="24">
        <f>AW40*'R&amp;S - Buildings'!$D$8*'R&amp;S - Buildings'!$C$12*('R&amp;S - Buildings'!$B$15+('R&amp;S - Buildings'!$B$16-'R&amp;S - Buildings'!$B$15)*('Yearly Methanol'!AW$3-'Yearly Methanol'!$N$3)/10)</f>
        <v>0.17180863954474263</v>
      </c>
      <c r="AX42" s="24">
        <f>AX40*'R&amp;S - Buildings'!$D$8*'R&amp;S - Buildings'!$C$12*('R&amp;S - Buildings'!$B$15+('R&amp;S - Buildings'!$B$16-'R&amp;S - Buildings'!$B$15)*('Yearly Methanol'!AX$3-'Yearly Methanol'!$N$3)/10)</f>
        <v>0.18817010844908039</v>
      </c>
      <c r="AY42" s="24">
        <f>AY40*'R&amp;S - Buildings'!$D$8*'R&amp;S - Buildings'!$C$12*('R&amp;S - Buildings'!$B$15+('R&amp;S - Buildings'!$B$16-'R&amp;S - Buildings'!$B$15)*('Yearly Methanol'!AY$3-'Yearly Methanol'!$N$3)/10)</f>
        <v>0.20503821459933724</v>
      </c>
      <c r="AZ42" s="24">
        <f>AZ40*'R&amp;S - Buildings'!$D$8*'R&amp;S - Buildings'!$C$12*('R&amp;S - Buildings'!$B$15+('R&amp;S - Buildings'!$B$16-'R&amp;S - Buildings'!$B$15)*('Yearly Methanol'!AZ$3-'Yearly Methanol'!$N$3)/10)</f>
        <v>0.22242545519736098</v>
      </c>
      <c r="BA42" s="24">
        <f>BA40*'R&amp;S - Buildings'!$D$8*'R&amp;S - Buildings'!$C$12*('R&amp;S - Buildings'!$B$15+('R&amp;S - Buildings'!$B$16-'R&amp;S - Buildings'!$B$15)*('Yearly Methanol'!BA$3-'Yearly Methanol'!$N$3)/10)</f>
        <v>0.2403446059316984</v>
      </c>
      <c r="BB42" s="24">
        <f>BB40*'R&amp;S - Buildings'!$D$8*'R&amp;S - Buildings'!$C$12*('R&amp;S - Buildings'!$B$15+('R&amp;S - Buildings'!$B$16-'R&amp;S - Buildings'!$B$15)*('Yearly Methanol'!BB$3-'Yearly Methanol'!$N$3)/10)</f>
        <v>0.25880872683445122</v>
      </c>
      <c r="BC42" s="24">
        <f>BC40*'R&amp;S - Buildings'!$D$8*'R&amp;S - Buildings'!$C$12*('R&amp;S - Buildings'!$B$15+('R&amp;S - Buildings'!$B$16-'R&amp;S - Buildings'!$B$15)*('Yearly Methanol'!BC$3-'Yearly Methanol'!$N$3)/10)</f>
        <v>0.27783116825678328</v>
      </c>
      <c r="BD42" s="24">
        <f>BD40*'R&amp;S - Buildings'!$D$8*'R&amp;S - Buildings'!$C$12*('R&amp;S - Buildings'!$B$15+('R&amp;S - Buildings'!$B$16-'R&amp;S - Buildings'!$B$15)*('Yearly Methanol'!BD$3-'Yearly Methanol'!$N$3)/10)</f>
        <v>0.29742557696541955</v>
      </c>
      <c r="BE42" s="24">
        <f>BE40*'R&amp;S - Buildings'!$D$8*'R&amp;S - Buildings'!$C$12*('R&amp;S - Buildings'!$B$16+('R&amp;S - Buildings'!$B$17-'R&amp;S - Buildings'!$B$16)*('Yearly Methanol'!BE$3-'Yearly Methanol'!$X$3)/10)</f>
        <v>0.31806420813793818</v>
      </c>
      <c r="BF42" s="24">
        <f>BF40*'R&amp;S - Buildings'!$D$8*'R&amp;S - Buildings'!$C$12*('R&amp;S - Buildings'!$B$16+('R&amp;S - Buildings'!$B$17-'R&amp;S - Buildings'!$B$16)*('Yearly Methanol'!BF$3-'Yearly Methanol'!$X$3)/10)</f>
        <v>0.33931859677857934</v>
      </c>
      <c r="BG42" s="24">
        <f>BG40*'R&amp;S - Buildings'!$D$8*'R&amp;S - Buildings'!$C$12*('R&amp;S - Buildings'!$B$16+('R&amp;S - Buildings'!$B$17-'R&amp;S - Buildings'!$B$16)*('Yearly Methanol'!BG$3-'Yearly Methanol'!$X$3)/10)</f>
        <v>0.36120371407685048</v>
      </c>
      <c r="BH42" s="24">
        <f>BH40*'R&amp;S - Buildings'!$D$8*'R&amp;S - Buildings'!$C$12*('R&amp;S - Buildings'!$B$16+('R&amp;S - Buildings'!$B$17-'R&amp;S - Buildings'!$B$16)*('Yearly Methanol'!BH$3-'Yearly Methanol'!$X$3)/10)</f>
        <v>0.38373486228879383</v>
      </c>
      <c r="BI42" s="24">
        <f>BI40*'R&amp;S - Buildings'!$D$8*'R&amp;S - Buildings'!$C$12*('R&amp;S - Buildings'!$B$16+('R&amp;S - Buildings'!$B$17-'R&amp;S - Buildings'!$B$16)*('Yearly Methanol'!BI$3-'Yearly Methanol'!$X$3)/10)</f>
        <v>0.40692768166657506</v>
      </c>
      <c r="BJ42" s="24">
        <f>BJ40*'R&amp;S - Buildings'!$D$8*'R&amp;S - Buildings'!$C$12*('R&amp;S - Buildings'!$B$16+('R&amp;S - Buildings'!$B$17-'R&amp;S - Buildings'!$B$16)*('Yearly Methanol'!BJ$3-'Yearly Methanol'!$X$3)/10)</f>
        <v>0.43079815752799938</v>
      </c>
      <c r="BK42" s="24">
        <f>BK40*'R&amp;S - Buildings'!$D$8*'R&amp;S - Buildings'!$C$12*('R&amp;S - Buildings'!$B$16+('R&amp;S - Buildings'!$B$17-'R&amp;S - Buildings'!$B$16)*('Yearly Methanol'!BK$3-'Yearly Methanol'!$X$3)/10)</f>
        <v>0.45536262746871037</v>
      </c>
      <c r="BL42" s="24">
        <f>BL40*'R&amp;S - Buildings'!$D$8*'R&amp;S - Buildings'!$C$12*('R&amp;S - Buildings'!$B$16+('R&amp;S - Buildings'!$B$17-'R&amp;S - Buildings'!$B$16)*('Yearly Methanol'!BL$3-'Yearly Methanol'!$X$3)/10)</f>
        <v>0.48063778871988011</v>
      </c>
      <c r="BM42" s="24">
        <f>BM40*'R&amp;S - Buildings'!$D$8*'R&amp;S - Buildings'!$C$12*('R&amp;S - Buildings'!$B$16+('R&amp;S - Buildings'!$B$17-'R&amp;S - Buildings'!$B$16)*('Yearly Methanol'!BM$3-'Yearly Methanol'!$X$3)/10)</f>
        <v>0.50664070565425101</v>
      </c>
      <c r="BN42" s="24">
        <f>BN40*'R&amp;S - Buildings'!$D$8*'R&amp;S - Buildings'!$C$12*('R&amp;S - Buildings'!$B$16+('R&amp;S - Buildings'!$B$17-'R&amp;S - Buildings'!$B$16)*('Yearly Methanol'!BN$3-'Yearly Methanol'!$X$3)/10)</f>
        <v>0.53338881744345057</v>
      </c>
    </row>
    <row r="43" spans="1:75">
      <c r="B43" s="1" t="s">
        <v>195</v>
      </c>
      <c r="C43" s="61" t="s">
        <v>166</v>
      </c>
      <c r="D43" s="25">
        <f>D40-D41-D42</f>
        <v>3.5915366975270882</v>
      </c>
      <c r="E43" s="25">
        <f t="shared" ref="E43:AG43" si="337">E40-E41-E42</f>
        <v>3.5647068913064808</v>
      </c>
      <c r="F43" s="25">
        <f t="shared" si="337"/>
        <v>3.5359269175687875</v>
      </c>
      <c r="G43" s="25">
        <f t="shared" si="337"/>
        <v>3.5051382244324256</v>
      </c>
      <c r="H43" s="25">
        <f t="shared" si="337"/>
        <v>3.4722808328502492</v>
      </c>
      <c r="I43" s="25">
        <f t="shared" si="337"/>
        <v>3.4372933050074184</v>
      </c>
      <c r="J43" s="25">
        <f t="shared" si="337"/>
        <v>3.4001127120572368</v>
      </c>
      <c r="K43" s="25">
        <f t="shared" si="337"/>
        <v>3.3606746011816027</v>
      </c>
      <c r="L43" s="25">
        <f t="shared" si="337"/>
        <v>3.3189129619624125</v>
      </c>
      <c r="M43" s="25">
        <f t="shared" si="337"/>
        <v>3.274760192050028</v>
      </c>
      <c r="N43" s="25">
        <f t="shared" si="337"/>
        <v>3.2281470621146151</v>
      </c>
      <c r="O43" s="25">
        <f t="shared" si="337"/>
        <v>3.1790026800658961</v>
      </c>
      <c r="P43" s="25">
        <f t="shared" si="337"/>
        <v>3.1272544545265699</v>
      </c>
      <c r="Q43" s="25">
        <f t="shared" si="337"/>
        <v>3.0728280575443674</v>
      </c>
      <c r="R43" s="25">
        <f t="shared" si="337"/>
        <v>3.0156473865274123</v>
      </c>
      <c r="S43" s="25">
        <f t="shared" si="337"/>
        <v>2.9556345253872496</v>
      </c>
      <c r="T43" s="25">
        <f t="shared" si="337"/>
        <v>2.8927097048736146</v>
      </c>
      <c r="U43" s="25">
        <f t="shared" si="337"/>
        <v>2.8267912620846798</v>
      </c>
      <c r="V43" s="25">
        <f t="shared" si="337"/>
        <v>2.7577955991362129</v>
      </c>
      <c r="W43" s="25">
        <f t="shared" si="337"/>
        <v>2.6856371409727555</v>
      </c>
      <c r="X43" s="25">
        <f t="shared" si="337"/>
        <v>2.61022829230359</v>
      </c>
      <c r="Y43" s="25">
        <f t="shared" si="337"/>
        <v>2.5277484003239072</v>
      </c>
      <c r="Z43" s="25">
        <f t="shared" si="337"/>
        <v>2.441709836040439</v>
      </c>
      <c r="AA43" s="25">
        <f t="shared" si="337"/>
        <v>2.35201544128364</v>
      </c>
      <c r="AB43" s="25">
        <f t="shared" si="337"/>
        <v>2.2585657829624939</v>
      </c>
      <c r="AC43" s="25">
        <f t="shared" si="337"/>
        <v>2.1612591037958975</v>
      </c>
      <c r="AD43" s="25">
        <f t="shared" si="337"/>
        <v>2.0599912720263611</v>
      </c>
      <c r="AE43" s="25">
        <f t="shared" si="337"/>
        <v>1.9546557300956637</v>
      </c>
      <c r="AF43" s="25">
        <f t="shared" si="337"/>
        <v>1.845143442261707</v>
      </c>
      <c r="AG43" s="25">
        <f t="shared" si="337"/>
        <v>1.7313428411353979</v>
      </c>
      <c r="AH43" s="25">
        <f>AH40-AH41-AH42</f>
        <v>1.6131397731159802</v>
      </c>
      <c r="AI43" s="24"/>
      <c r="AJ43" s="25">
        <f>AJ40-AJ41-AJ42</f>
        <v>3.5915366975270882</v>
      </c>
      <c r="AK43" s="25">
        <f t="shared" ref="AK43:BM43" si="338">AK40-AK41-AK42</f>
        <v>3.6152793123165785</v>
      </c>
      <c r="AL43" s="25">
        <f t="shared" si="338"/>
        <v>3.6387912219033258</v>
      </c>
      <c r="AM43" s="25">
        <f t="shared" si="338"/>
        <v>3.6620577206947638</v>
      </c>
      <c r="AN43" s="25">
        <f t="shared" si="338"/>
        <v>3.6850636697819801</v>
      </c>
      <c r="AO43" s="25">
        <f t="shared" si="338"/>
        <v>3.7077934864568811</v>
      </c>
      <c r="AP43" s="25">
        <f t="shared" si="338"/>
        <v>3.7302311334981617</v>
      </c>
      <c r="AQ43" s="25">
        <f t="shared" si="338"/>
        <v>3.7523601082212599</v>
      </c>
      <c r="AR43" s="25">
        <f t="shared" si="338"/>
        <v>3.7741634312873624</v>
      </c>
      <c r="AS43" s="25">
        <f t="shared" si="338"/>
        <v>3.7956236352664363</v>
      </c>
      <c r="AT43" s="25">
        <f t="shared" si="338"/>
        <v>3.8167227529491567</v>
      </c>
      <c r="AU43" s="25">
        <f t="shared" si="338"/>
        <v>3.8374423054024973</v>
      </c>
      <c r="AV43" s="25">
        <f t="shared" si="338"/>
        <v>3.8577632897636502</v>
      </c>
      <c r="AW43" s="25">
        <f t="shared" si="338"/>
        <v>3.8776661667668209</v>
      </c>
      <c r="AX43" s="25">
        <f t="shared" si="338"/>
        <v>3.8971308479973574</v>
      </c>
      <c r="AY43" s="25">
        <f t="shared" si="338"/>
        <v>3.9161366828675357</v>
      </c>
      <c r="AZ43" s="25">
        <f t="shared" si="338"/>
        <v>3.9346624453082297</v>
      </c>
      <c r="BA43" s="25">
        <f t="shared" si="338"/>
        <v>3.952686320170558</v>
      </c>
      <c r="BB43" s="25">
        <f t="shared" si="338"/>
        <v>3.9701858893315123</v>
      </c>
      <c r="BC43" s="25">
        <f t="shared" si="338"/>
        <v>3.9871381174974094</v>
      </c>
      <c r="BD43" s="25">
        <f t="shared" si="338"/>
        <v>4.0035193376989291</v>
      </c>
      <c r="BE43" s="25">
        <f t="shared" si="338"/>
        <v>4.0177211779874522</v>
      </c>
      <c r="BF43" s="25">
        <f t="shared" si="338"/>
        <v>4.0312488637571899</v>
      </c>
      <c r="BG43" s="25">
        <f t="shared" si="338"/>
        <v>4.044075369422659</v>
      </c>
      <c r="BH43" s="25">
        <f t="shared" si="338"/>
        <v>4.0561729453591298</v>
      </c>
      <c r="BI43" s="25">
        <f t="shared" si="338"/>
        <v>4.0675131010956767</v>
      </c>
      <c r="BJ43" s="25">
        <f t="shared" si="338"/>
        <v>4.0780665881460578</v>
      </c>
      <c r="BK43" s="25">
        <f t="shared" si="338"/>
        <v>4.0878033824699358</v>
      </c>
      <c r="BL43" s="25">
        <f t="shared" si="338"/>
        <v>4.0966926665568506</v>
      </c>
      <c r="BM43" s="25">
        <f t="shared" si="338"/>
        <v>4.1047028111251862</v>
      </c>
      <c r="BN43" s="25">
        <f>BN40-BN41-BN42</f>
        <v>4.1118013564282112</v>
      </c>
    </row>
    <row r="44" spans="1:75" s="62" customFormat="1">
      <c r="A44" s="684"/>
      <c r="B44" s="55" t="s">
        <v>885</v>
      </c>
      <c r="C44" s="56" t="s">
        <v>166</v>
      </c>
      <c r="D44" s="650">
        <f>D$7/(D$7+D$9)*D43</f>
        <v>0.60223696598382381</v>
      </c>
      <c r="E44" s="650">
        <f t="shared" ref="E44" si="339">E$7/(E$7+E$9)*E43</f>
        <v>0.58357484432834583</v>
      </c>
      <c r="F44" s="650">
        <f t="shared" ref="F44" si="340">F$7/(F$7+F$9)*F43</f>
        <v>0.56708775171200809</v>
      </c>
      <c r="G44" s="650">
        <f t="shared" ref="G44" si="341">G$7/(G$7+G$9)*G43</f>
        <v>0.55225428148269251</v>
      </c>
      <c r="H44" s="650">
        <f t="shared" ref="H44" si="342">H$7/(H$7+H$9)*H43</f>
        <v>0.53868866616000388</v>
      </c>
      <c r="I44" s="650">
        <f t="shared" ref="I44" si="343">I$7/(I$7+I$9)*I43</f>
        <v>0.52609855728443455</v>
      </c>
      <c r="J44" s="650">
        <f t="shared" ref="J44" si="344">J$7/(J$7+J$9)*J43</f>
        <v>0.51425761579661866</v>
      </c>
      <c r="K44" s="650">
        <f t="shared" ref="K44" si="345">K$7/(K$7+K$9)*K43</f>
        <v>0.50298718479028126</v>
      </c>
      <c r="L44" s="650">
        <f t="shared" ref="L44" si="346">L$7/(L$7+L$9)*L43</f>
        <v>0.49214371575402027</v>
      </c>
      <c r="M44" s="650">
        <f t="shared" ref="M44" si="347">M$7/(M$7+M$9)*M43</f>
        <v>0.48160994436402982</v>
      </c>
      <c r="N44" s="650">
        <f t="shared" ref="N44" si="348">N$7/(N$7+N$9)*N43</f>
        <v>0.47128857168127508</v>
      </c>
      <c r="O44" s="650">
        <f t="shared" ref="O44" si="349">O$7/(O$7+O$9)*O43</f>
        <v>0.46570144864330243</v>
      </c>
      <c r="P44" s="650">
        <f t="shared" ref="P44" si="350">P$7/(P$7+P$9)*P43</f>
        <v>0.45975148528952547</v>
      </c>
      <c r="Q44" s="650">
        <f t="shared" ref="Q44" si="351">Q$7/(Q$7+Q$9)*Q43</f>
        <v>0.45342139581974261</v>
      </c>
      <c r="R44" s="650">
        <f t="shared" ref="R44" si="352">R$7/(R$7+R$9)*R43</f>
        <v>0.4466931588511282</v>
      </c>
      <c r="S44" s="650">
        <f t="shared" ref="S44" si="353">S$7/(S$7+S$9)*S43</f>
        <v>0.43954796823472836</v>
      </c>
      <c r="T44" s="650">
        <f t="shared" ref="T44" si="354">T$7/(T$7+T$9)*T43</f>
        <v>0.43229213892081292</v>
      </c>
      <c r="U44" s="650">
        <f t="shared" ref="U44" si="355">U$7/(U$7+U$9)*U43</f>
        <v>0.424568163105561</v>
      </c>
      <c r="V44" s="650">
        <f t="shared" ref="V44" si="356">V$7/(V$7+V$9)*V43</f>
        <v>0.41635386553017129</v>
      </c>
      <c r="W44" s="650">
        <f t="shared" ref="W44" si="357">W$7/(W$7+W$9)*W43</f>
        <v>0.40762593861711865</v>
      </c>
      <c r="X44" s="650">
        <f t="shared" ref="X44" si="358">X$7/(X$7+X$9)*X43</f>
        <v>0.39835986684528102</v>
      </c>
      <c r="Y44" s="650">
        <f t="shared" ref="Y44" si="359">Y$7/(Y$7+Y$9)*Y43</f>
        <v>0.38855877512332476</v>
      </c>
      <c r="Z44" s="650">
        <f t="shared" ref="Z44" si="360">Z$7/(Z$7+Z$9)*Z43</f>
        <v>0.37811789009751773</v>
      </c>
      <c r="AA44" s="650">
        <f t="shared" ref="AA44" si="361">AA$7/(AA$7+AA$9)*AA43</f>
        <v>0.36700411888325257</v>
      </c>
      <c r="AB44" s="650">
        <f t="shared" ref="AB44" si="362">AB$7/(AB$7+AB$9)*AB43</f>
        <v>0.35518232191631216</v>
      </c>
      <c r="AC44" s="650">
        <f t="shared" ref="AC44" si="363">AC$7/(AC$7+AC$9)*AC43</f>
        <v>0.34261515259545816</v>
      </c>
      <c r="AD44" s="650">
        <f t="shared" ref="AD44" si="364">AD$7/(AD$7+AD$9)*AD43</f>
        <v>0.32926288155737682</v>
      </c>
      <c r="AE44" s="650">
        <f t="shared" ref="AE44" si="365">AE$7/(AE$7+AE$9)*AE43</f>
        <v>0.3150832038353672</v>
      </c>
      <c r="AF44" s="650">
        <f t="shared" ref="AF44" si="366">AF$7/(AF$7+AF$9)*AF43</f>
        <v>0.30003102692211286</v>
      </c>
      <c r="AG44" s="650">
        <f t="shared" ref="AG44" si="367">AG$7/(AG$7+AG$9)*AG43</f>
        <v>0.28405823749089321</v>
      </c>
      <c r="AH44" s="650">
        <f t="shared" ref="AH44" si="368">AH$7/(AH$7+AH$9)*AH43</f>
        <v>0.2671134442227196</v>
      </c>
      <c r="AI44" s="650"/>
      <c r="AJ44" s="650">
        <f>AJ$7/(AJ$7+AJ$9)*AJ43</f>
        <v>0.60223696598382381</v>
      </c>
      <c r="AK44" s="650">
        <f t="shared" ref="AK44" si="369">AK$7/(AK$7+AK$9)*AK43</f>
        <v>0.59185400825911683</v>
      </c>
      <c r="AL44" s="650">
        <f t="shared" ref="AL44" si="370">AL$7/(AL$7+AL$9)*AL43</f>
        <v>0.58358500644503342</v>
      </c>
      <c r="AM44" s="650">
        <f t="shared" ref="AM44" si="371">AM$7/(AM$7+AM$9)*AM43</f>
        <v>0.57697783248417012</v>
      </c>
      <c r="AN44" s="650">
        <f t="shared" ref="AN44" si="372">AN$7/(AN$7+AN$9)*AN43</f>
        <v>0.57169973528899654</v>
      </c>
      <c r="AO44" s="650">
        <f t="shared" ref="AO44" si="373">AO$7/(AO$7+AO$9)*AO43</f>
        <v>0.56750024825983791</v>
      </c>
      <c r="AP44" s="650">
        <f t="shared" ref="AP44" si="374">AP$7/(AP$7+AP$9)*AP43</f>
        <v>0.56418711129208898</v>
      </c>
      <c r="AQ44" s="650">
        <f t="shared" ref="AQ44" si="375">AQ$7/(AQ$7+AQ$9)*AQ43</f>
        <v>0.56161017388888723</v>
      </c>
      <c r="AR44" s="650">
        <f t="shared" ref="AR44" si="376">AR$7/(AR$7+AR$9)*AR43</f>
        <v>0.55965035426492193</v>
      </c>
      <c r="AS44" s="650">
        <f t="shared" ref="AS44" si="377">AS$7/(AS$7+AS$9)*AS43</f>
        <v>0.55821189357475209</v>
      </c>
      <c r="AT44" s="650">
        <f t="shared" ref="AT44" si="378">AT$7/(AT$7+AT$9)*AT43</f>
        <v>0.55721681203784224</v>
      </c>
      <c r="AU44" s="650">
        <f t="shared" ref="AU44" si="379">AU$7/(AU$7+AU$9)*AU43</f>
        <v>0.56215820512425396</v>
      </c>
      <c r="AV44" s="650">
        <f t="shared" ref="AV44" si="380">AV$7/(AV$7+AV$9)*AV43</f>
        <v>0.56714681461146033</v>
      </c>
      <c r="AW44" s="650">
        <f t="shared" ref="AW44" si="381">AW$7/(AW$7+AW$9)*AW43</f>
        <v>0.5721819681845367</v>
      </c>
      <c r="AX44" s="650">
        <f t="shared" ref="AX44" si="382">AX$7/(AX$7+AX$9)*AX43</f>
        <v>0.57726301049829032</v>
      </c>
      <c r="AY44" s="650">
        <f t="shared" ref="AY44" si="383">AY$7/(AY$7+AY$9)*AY43</f>
        <v>0.58238929999587286</v>
      </c>
      <c r="AZ44" s="650">
        <f t="shared" ref="AZ44" si="384">AZ$7/(AZ$7+AZ$9)*AZ43</f>
        <v>0.58800357379379886</v>
      </c>
      <c r="BA44" s="650">
        <f t="shared" ref="BA44" si="385">BA$7/(BA$7+BA$9)*BA43</f>
        <v>0.5936712741391732</v>
      </c>
      <c r="BB44" s="650">
        <f t="shared" ref="BB44" si="386">BB$7/(BB$7+BB$9)*BB43</f>
        <v>0.59939258820133856</v>
      </c>
      <c r="BC44" s="650">
        <f t="shared" ref="BC44" si="387">BC$7/(BC$7+BC$9)*BC43</f>
        <v>0.6051677245393966</v>
      </c>
      <c r="BD44" s="650">
        <f t="shared" ref="BD44" si="388">BD$7/(BD$7+BD$9)*BD43</f>
        <v>0.61099691355761332</v>
      </c>
      <c r="BE44" s="650">
        <f t="shared" ref="BE44" si="389">BE$7/(BE$7+BE$9)*BE43</f>
        <v>0.61759343592337079</v>
      </c>
      <c r="BF44" s="650">
        <f t="shared" ref="BF44" si="390">BF$7/(BF$7+BF$9)*BF43</f>
        <v>0.62427045684253835</v>
      </c>
      <c r="BG44" s="650">
        <f t="shared" ref="BG44" si="391">BG$7/(BG$7+BG$9)*BG43</f>
        <v>0.63103000584146329</v>
      </c>
      <c r="BH44" s="650">
        <f t="shared" ref="BH44" si="392">BH$7/(BH$7+BH$9)*BH43</f>
        <v>0.63787423669240395</v>
      </c>
      <c r="BI44" s="650">
        <f t="shared" ref="BI44" si="393">BI$7/(BI$7+BI$9)*BI43</f>
        <v>0.64480543742687091</v>
      </c>
      <c r="BJ44" s="650">
        <f t="shared" ref="BJ44" si="394">BJ$7/(BJ$7+BJ$9)*BJ43</f>
        <v>0.65182604131861022</v>
      </c>
      <c r="BK44" s="650">
        <f t="shared" ref="BK44" si="395">BK$7/(BK$7+BK$9)*BK43</f>
        <v>0.65893863894622606</v>
      </c>
      <c r="BL44" s="650">
        <f t="shared" ref="BL44" si="396">BL$7/(BL$7+BL$9)*BL43</f>
        <v>0.66614599145999931</v>
      </c>
      <c r="BM44" s="650">
        <f t="shared" ref="BM44" si="397">BM$7/(BM$7+BM$9)*BM43</f>
        <v>0.67345104519420318</v>
      </c>
      <c r="BN44" s="650">
        <f t="shared" ref="BN44" si="398">BN$7/(BN$7+BN$9)*BN43</f>
        <v>0.68085694778553063</v>
      </c>
    </row>
    <row r="45" spans="1:75">
      <c r="A45" s="685"/>
      <c r="B45" s="1" t="s">
        <v>1182</v>
      </c>
      <c r="C45" s="51" t="s">
        <v>166</v>
      </c>
      <c r="D45" s="24">
        <v>0</v>
      </c>
      <c r="E45" s="24">
        <v>0</v>
      </c>
      <c r="F45" s="24">
        <v>0</v>
      </c>
      <c r="G45" s="24">
        <v>0</v>
      </c>
      <c r="H45" s="24">
        <v>0</v>
      </c>
      <c r="I45" s="24">
        <v>0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0</v>
      </c>
      <c r="U45" s="24">
        <v>0</v>
      </c>
      <c r="V45" s="24">
        <v>0</v>
      </c>
      <c r="W45" s="24">
        <v>0</v>
      </c>
      <c r="X45" s="24">
        <v>0</v>
      </c>
      <c r="Y45" s="24">
        <v>0</v>
      </c>
      <c r="Z45" s="24">
        <v>0</v>
      </c>
      <c r="AA45" s="24">
        <v>0</v>
      </c>
      <c r="AB45" s="24">
        <v>0</v>
      </c>
      <c r="AC45" s="24">
        <v>0</v>
      </c>
      <c r="AD45" s="24">
        <v>0</v>
      </c>
      <c r="AE45" s="24">
        <v>0</v>
      </c>
      <c r="AF45" s="24">
        <v>0</v>
      </c>
      <c r="AG45" s="24">
        <v>0</v>
      </c>
      <c r="AH45" s="24">
        <v>0</v>
      </c>
      <c r="AI45" s="24"/>
      <c r="AJ45" s="24">
        <v>0</v>
      </c>
      <c r="AK45" s="24">
        <v>0</v>
      </c>
      <c r="AL45" s="24">
        <v>0</v>
      </c>
      <c r="AM45" s="24">
        <v>0</v>
      </c>
      <c r="AN45" s="24">
        <v>0</v>
      </c>
      <c r="AO45" s="24">
        <v>0</v>
      </c>
      <c r="AP45" s="24">
        <v>0</v>
      </c>
      <c r="AQ45" s="24">
        <v>0</v>
      </c>
      <c r="AR45" s="24">
        <v>0</v>
      </c>
      <c r="AS45" s="24">
        <v>0</v>
      </c>
      <c r="AT45" s="24">
        <v>0</v>
      </c>
      <c r="AU45" s="24">
        <v>0</v>
      </c>
      <c r="AV45" s="24">
        <v>0</v>
      </c>
      <c r="AW45" s="24">
        <v>0</v>
      </c>
      <c r="AX45" s="24">
        <v>0</v>
      </c>
      <c r="AY45" s="24">
        <v>0</v>
      </c>
      <c r="AZ45" s="24">
        <v>0</v>
      </c>
      <c r="BA45" s="24">
        <v>0</v>
      </c>
      <c r="BB45" s="24">
        <v>0</v>
      </c>
      <c r="BC45" s="24">
        <v>0</v>
      </c>
      <c r="BD45" s="24">
        <v>0</v>
      </c>
      <c r="BE45" s="24">
        <v>0</v>
      </c>
      <c r="BF45" s="24">
        <v>0</v>
      </c>
      <c r="BG45" s="24">
        <v>0</v>
      </c>
      <c r="BH45" s="24">
        <v>0</v>
      </c>
      <c r="BI45" s="24">
        <v>0</v>
      </c>
      <c r="BJ45" s="24">
        <v>0</v>
      </c>
      <c r="BK45" s="24">
        <v>0</v>
      </c>
      <c r="BL45" s="24">
        <v>0</v>
      </c>
      <c r="BM45" s="24">
        <v>0</v>
      </c>
      <c r="BN45" s="24">
        <v>0</v>
      </c>
    </row>
    <row r="46" spans="1:75" s="63" customFormat="1">
      <c r="A46" s="686"/>
      <c r="B46" s="59" t="s">
        <v>27</v>
      </c>
      <c r="C46" s="262" t="s">
        <v>166</v>
      </c>
      <c r="D46" s="652">
        <f>D$9/(D$7+D$9)*D43</f>
        <v>2.9892997315432641</v>
      </c>
      <c r="E46" s="652">
        <f t="shared" ref="E46:AH46" si="399">E$9/(E$7+E$9)*E43</f>
        <v>2.9811320469781348</v>
      </c>
      <c r="F46" s="652">
        <f t="shared" si="399"/>
        <v>2.9688391658567794</v>
      </c>
      <c r="G46" s="652">
        <f t="shared" si="399"/>
        <v>2.9528839429497329</v>
      </c>
      <c r="H46" s="652">
        <f t="shared" si="399"/>
        <v>2.9335921666902451</v>
      </c>
      <c r="I46" s="652">
        <f t="shared" si="399"/>
        <v>2.9111947477229836</v>
      </c>
      <c r="J46" s="652">
        <f t="shared" si="399"/>
        <v>2.8858550962606184</v>
      </c>
      <c r="K46" s="652">
        <f t="shared" si="399"/>
        <v>2.8576874163913213</v>
      </c>
      <c r="L46" s="652">
        <f t="shared" si="399"/>
        <v>2.8267692462083924</v>
      </c>
      <c r="M46" s="652">
        <f t="shared" si="399"/>
        <v>2.7931502476859982</v>
      </c>
      <c r="N46" s="652">
        <f t="shared" si="399"/>
        <v>2.75685849043334</v>
      </c>
      <c r="O46" s="652">
        <f t="shared" si="399"/>
        <v>2.7133012314225935</v>
      </c>
      <c r="P46" s="652">
        <f t="shared" si="399"/>
        <v>2.6675029692370442</v>
      </c>
      <c r="Q46" s="652">
        <f t="shared" si="399"/>
        <v>2.6194066617246246</v>
      </c>
      <c r="R46" s="652">
        <f t="shared" si="399"/>
        <v>2.5689542276762838</v>
      </c>
      <c r="S46" s="652">
        <f t="shared" si="399"/>
        <v>2.5160865571525211</v>
      </c>
      <c r="T46" s="652">
        <f t="shared" si="399"/>
        <v>2.4604175659528016</v>
      </c>
      <c r="U46" s="652">
        <f t="shared" si="399"/>
        <v>2.4022230989791189</v>
      </c>
      <c r="V46" s="652">
        <f t="shared" si="399"/>
        <v>2.3414417336060418</v>
      </c>
      <c r="W46" s="652">
        <f t="shared" si="399"/>
        <v>2.2780112023556365</v>
      </c>
      <c r="X46" s="652">
        <f t="shared" si="399"/>
        <v>2.211868425458309</v>
      </c>
      <c r="Y46" s="652">
        <f t="shared" si="399"/>
        <v>2.1391896252005824</v>
      </c>
      <c r="Z46" s="652">
        <f t="shared" si="399"/>
        <v>2.0635919459429215</v>
      </c>
      <c r="AA46" s="652">
        <f t="shared" si="399"/>
        <v>1.9850113224003876</v>
      </c>
      <c r="AB46" s="652">
        <f t="shared" si="399"/>
        <v>1.9033834610461815</v>
      </c>
      <c r="AC46" s="652">
        <f t="shared" si="399"/>
        <v>1.8186439512004393</v>
      </c>
      <c r="AD46" s="652">
        <f t="shared" si="399"/>
        <v>1.7307283904689843</v>
      </c>
      <c r="AE46" s="652">
        <f t="shared" si="399"/>
        <v>1.6395725262602965</v>
      </c>
      <c r="AF46" s="652">
        <f t="shared" si="399"/>
        <v>1.5451124153395943</v>
      </c>
      <c r="AG46" s="652">
        <f t="shared" si="399"/>
        <v>1.4472846036445048</v>
      </c>
      <c r="AH46" s="652">
        <f t="shared" si="399"/>
        <v>1.3460263288932606</v>
      </c>
      <c r="AI46" s="652"/>
      <c r="AJ46" s="652">
        <f>AJ$9/(AJ$7+AJ$9)*AJ43</f>
        <v>2.9892997315432641</v>
      </c>
      <c r="AK46" s="652">
        <f t="shared" ref="AK46:BN46" si="400">AK$9/(AK$7+AK$9)*AK43</f>
        <v>3.0234253040574615</v>
      </c>
      <c r="AL46" s="652">
        <f t="shared" si="400"/>
        <v>3.0552062154582926</v>
      </c>
      <c r="AM46" s="652">
        <f t="shared" si="400"/>
        <v>3.0850798882105934</v>
      </c>
      <c r="AN46" s="652">
        <f t="shared" si="400"/>
        <v>3.1133639344929835</v>
      </c>
      <c r="AO46" s="652">
        <f t="shared" si="400"/>
        <v>3.1402932381970432</v>
      </c>
      <c r="AP46" s="652">
        <f t="shared" si="400"/>
        <v>3.1660440222060728</v>
      </c>
      <c r="AQ46" s="652">
        <f t="shared" si="400"/>
        <v>3.1907499343323726</v>
      </c>
      <c r="AR46" s="652">
        <f t="shared" si="400"/>
        <v>3.214513077022441</v>
      </c>
      <c r="AS46" s="652">
        <f t="shared" si="400"/>
        <v>3.2374117416916843</v>
      </c>
      <c r="AT46" s="652">
        <f t="shared" si="400"/>
        <v>3.2595059409113145</v>
      </c>
      <c r="AU46" s="652">
        <f t="shared" si="400"/>
        <v>3.2752841002782431</v>
      </c>
      <c r="AV46" s="652">
        <f t="shared" si="400"/>
        <v>3.2906164751521896</v>
      </c>
      <c r="AW46" s="652">
        <f t="shared" si="400"/>
        <v>3.3054841985822843</v>
      </c>
      <c r="AX46" s="652">
        <f t="shared" si="400"/>
        <v>3.3198678374990669</v>
      </c>
      <c r="AY46" s="652">
        <f t="shared" si="400"/>
        <v>3.3337473828716626</v>
      </c>
      <c r="AZ46" s="652">
        <f t="shared" si="400"/>
        <v>3.3466588715144305</v>
      </c>
      <c r="BA46" s="652">
        <f t="shared" si="400"/>
        <v>3.3590150460313852</v>
      </c>
      <c r="BB46" s="652">
        <f t="shared" si="400"/>
        <v>3.3707933011301741</v>
      </c>
      <c r="BC46" s="652">
        <f t="shared" si="400"/>
        <v>3.3819703929580127</v>
      </c>
      <c r="BD46" s="652">
        <f t="shared" si="400"/>
        <v>3.3925224241413159</v>
      </c>
      <c r="BE46" s="652">
        <f t="shared" si="400"/>
        <v>3.4001277420640816</v>
      </c>
      <c r="BF46" s="652">
        <f t="shared" si="400"/>
        <v>3.4069784069146514</v>
      </c>
      <c r="BG46" s="652">
        <f t="shared" si="400"/>
        <v>3.4130453635811961</v>
      </c>
      <c r="BH46" s="652">
        <f t="shared" si="400"/>
        <v>3.4182987086667254</v>
      </c>
      <c r="BI46" s="652">
        <f t="shared" si="400"/>
        <v>3.4227076636688061</v>
      </c>
      <c r="BJ46" s="652">
        <f t="shared" si="400"/>
        <v>3.4262405468274477</v>
      </c>
      <c r="BK46" s="652">
        <f t="shared" si="400"/>
        <v>3.4288647435237096</v>
      </c>
      <c r="BL46" s="652">
        <f t="shared" si="400"/>
        <v>3.4305466750968514</v>
      </c>
      <c r="BM46" s="652">
        <f t="shared" si="400"/>
        <v>3.4312517659309831</v>
      </c>
      <c r="BN46" s="652">
        <f t="shared" si="400"/>
        <v>3.4309444086426804</v>
      </c>
    </row>
    <row r="47" spans="1:75">
      <c r="A47" s="1" t="s">
        <v>257</v>
      </c>
      <c r="B47" s="55" t="s">
        <v>174</v>
      </c>
      <c r="C47" s="56" t="s">
        <v>166</v>
      </c>
      <c r="D47" s="25">
        <f>'Production - Industry shares'!L87</f>
        <v>5.8554420207598117E-7</v>
      </c>
      <c r="E47" s="25">
        <f>D47*(1+'Demand - Methanol'!$N$42)</f>
        <v>5.9784063031957676E-7</v>
      </c>
      <c r="F47" s="25">
        <f>E47*(1+'Demand - Methanol'!$N$42)</f>
        <v>6.1039528355628778E-7</v>
      </c>
      <c r="G47" s="25">
        <f>F47*(1+'Demand - Methanol'!$N$42)</f>
        <v>6.2321358451096972E-7</v>
      </c>
      <c r="H47" s="25">
        <f>G47*(1+'Demand - Methanol'!$N$42)</f>
        <v>6.3630106978570005E-7</v>
      </c>
      <c r="I47" s="25">
        <f>H47*(1+'Demand - Methanol'!$N$42)</f>
        <v>6.4966339225119967E-7</v>
      </c>
      <c r="J47" s="25">
        <f>I47*(1+'Demand - Methanol'!$N$42)</f>
        <v>6.6330632348847483E-7</v>
      </c>
      <c r="K47" s="25">
        <f>J47*(1+'Demand - Methanol'!$N$42)</f>
        <v>6.7723575628173275E-7</v>
      </c>
      <c r="L47" s="25">
        <f>K47*(1+'Demand - Methanol'!$N$42)</f>
        <v>6.9145770716364906E-7</v>
      </c>
      <c r="M47" s="25">
        <f>L47*(1+'Demand - Methanol'!$N$42)</f>
        <v>7.0597831901408564E-7</v>
      </c>
      <c r="N47" s="25">
        <f>M47*(1+'Demand - Methanol'!$N$42)</f>
        <v>7.208038637133814E-7</v>
      </c>
      <c r="O47" s="25">
        <f>N47*(1+'Demand - Methanol'!$N$42)</f>
        <v>7.3594074485136235E-7</v>
      </c>
      <c r="P47" s="25">
        <f>O47*(1+'Demand - Methanol'!$N$42)</f>
        <v>7.5139550049324094E-7</v>
      </c>
      <c r="Q47" s="25">
        <f>P47*(1+'Demand - Methanol'!$N$42)</f>
        <v>7.6717480600359896E-7</v>
      </c>
      <c r="R47" s="25">
        <f>Q47*(1+'Demand - Methanol'!$N$42)</f>
        <v>7.8328547692967448E-7</v>
      </c>
      <c r="S47" s="25">
        <f>R47*(1+'Demand - Methanol'!$N$42)</f>
        <v>7.9973447194519755E-7</v>
      </c>
      <c r="T47" s="25">
        <f>S47*(1+'Demand - Methanol'!$N$42)</f>
        <v>8.1652889585604658E-7</v>
      </c>
      <c r="U47" s="25">
        <f>T47*(1+'Demand - Methanol'!$N$42)</f>
        <v>8.3367600266902351E-7</v>
      </c>
      <c r="V47" s="25">
        <f>U47*(1+'Demand - Methanol'!$N$42)</f>
        <v>8.5118319872507294E-7</v>
      </c>
      <c r="W47" s="25">
        <f>V47*(1+'Demand - Methanol'!$N$42)</f>
        <v>8.6905804589829943E-7</v>
      </c>
      <c r="X47" s="25">
        <f>W47*(1+'Demand - Methanol'!$N$42)</f>
        <v>8.8730826486216368E-7</v>
      </c>
      <c r="Y47" s="25">
        <f>X47*(1+'Demand - Methanol'!$N$42)</f>
        <v>9.0594173842426904E-7</v>
      </c>
      <c r="Z47" s="25">
        <f>Y47*(1+'Demand - Methanol'!$N$42)</f>
        <v>9.2496651493117859E-7</v>
      </c>
      <c r="AA47" s="25">
        <f>Z47*(1+'Demand - Methanol'!$N$42)</f>
        <v>9.4439081174473321E-7</v>
      </c>
      <c r="AB47" s="25">
        <f>AA47*(1+'Demand - Methanol'!$N$42)</f>
        <v>9.6422301879137259E-7</v>
      </c>
      <c r="AC47" s="25">
        <f>AB47*(1+'Demand - Methanol'!$N$42)</f>
        <v>9.844717021859914E-7</v>
      </c>
      <c r="AD47" s="25">
        <f>AC47*(1+'Demand - Methanol'!$N$42)</f>
        <v>1.005145607931897E-6</v>
      </c>
      <c r="AE47" s="25">
        <f>AD47*(1+'Demand - Methanol'!$N$42)</f>
        <v>1.0262536656984667E-6</v>
      </c>
      <c r="AF47" s="25">
        <f>AE47*(1+'Demand - Methanol'!$N$42)</f>
        <v>1.0478049926781344E-6</v>
      </c>
      <c r="AG47" s="25">
        <f>AF47*(1+'Demand - Methanol'!$N$42)</f>
        <v>1.0698088975243751E-6</v>
      </c>
      <c r="AH47" s="25">
        <f>AG47*(1+'Demand - Methanol'!$N$42)</f>
        <v>1.0922748843723869E-6</v>
      </c>
      <c r="AI47" s="24"/>
      <c r="AJ47" s="25">
        <f>D47</f>
        <v>5.8554420207598117E-7</v>
      </c>
      <c r="AK47" s="25">
        <f>AJ47*(1+'Demand - Methanol'!$N$42)</f>
        <v>5.9784063031957676E-7</v>
      </c>
      <c r="AL47" s="25">
        <f>AK47*(1+'Demand - Methanol'!$N$42)</f>
        <v>6.1039528355628778E-7</v>
      </c>
      <c r="AM47" s="25">
        <f>AL47*(1+'Demand - Methanol'!$N$42)</f>
        <v>6.2321358451096972E-7</v>
      </c>
      <c r="AN47" s="25">
        <f>AM47*(1+'Demand - Methanol'!$N$42)</f>
        <v>6.3630106978570005E-7</v>
      </c>
      <c r="AO47" s="25">
        <f>AN47*(1+'Demand - Methanol'!$N$42)</f>
        <v>6.4966339225119967E-7</v>
      </c>
      <c r="AP47" s="25">
        <f>AO47*(1+'Demand - Methanol'!$N$42)</f>
        <v>6.6330632348847483E-7</v>
      </c>
      <c r="AQ47" s="25">
        <f>AP47*(1+'Demand - Methanol'!$N$42)</f>
        <v>6.7723575628173275E-7</v>
      </c>
      <c r="AR47" s="25">
        <f>AQ47*(1+'Demand - Methanol'!$N$42)</f>
        <v>6.9145770716364906E-7</v>
      </c>
      <c r="AS47" s="25">
        <f>AR47*(1+'Demand - Methanol'!$N$42)</f>
        <v>7.0597831901408564E-7</v>
      </c>
      <c r="AT47" s="25">
        <f>AS47*(1+'Demand - Methanol'!$N$42)</f>
        <v>7.208038637133814E-7</v>
      </c>
      <c r="AU47" s="25">
        <f>AT47*(1+'Demand - Methanol'!$N$42)</f>
        <v>7.3594074485136235E-7</v>
      </c>
      <c r="AV47" s="25">
        <f>AU47*(1+'Demand - Methanol'!$N$42)</f>
        <v>7.5139550049324094E-7</v>
      </c>
      <c r="AW47" s="25">
        <f>AV47*(1+'Demand - Methanol'!$N$42)</f>
        <v>7.6717480600359896E-7</v>
      </c>
      <c r="AX47" s="25">
        <f>AW47*(1+'Demand - Methanol'!$N$42)</f>
        <v>7.8328547692967448E-7</v>
      </c>
      <c r="AY47" s="25">
        <f>AX47*(1+'Demand - Methanol'!$N$42)</f>
        <v>7.9973447194519755E-7</v>
      </c>
      <c r="AZ47" s="25">
        <f>AY47*(1+'Demand - Methanol'!$N$42)</f>
        <v>8.1652889585604658E-7</v>
      </c>
      <c r="BA47" s="25">
        <f>AZ47*(1+'Demand - Methanol'!$N$42)</f>
        <v>8.3367600266902351E-7</v>
      </c>
      <c r="BB47" s="25">
        <f>BA47*(1+'Demand - Methanol'!$N$42)</f>
        <v>8.5118319872507294E-7</v>
      </c>
      <c r="BC47" s="25">
        <f>BB47*(1+'Demand - Methanol'!$N$42)</f>
        <v>8.6905804589829943E-7</v>
      </c>
      <c r="BD47" s="25">
        <f>BC47*(1+'Demand - Methanol'!$N$42)</f>
        <v>8.8730826486216368E-7</v>
      </c>
      <c r="BE47" s="25">
        <f>BD47*(1+'Demand - Methanol'!$N$42)</f>
        <v>9.0594173842426904E-7</v>
      </c>
      <c r="BF47" s="25">
        <f>BE47*(1+'Demand - Methanol'!$N$42)</f>
        <v>9.2496651493117859E-7</v>
      </c>
      <c r="BG47" s="25">
        <f>BF47*(1+'Demand - Methanol'!$N$42)</f>
        <v>9.4439081174473321E-7</v>
      </c>
      <c r="BH47" s="25">
        <f>BG47*(1+'Demand - Methanol'!$N$42)</f>
        <v>9.6422301879137259E-7</v>
      </c>
      <c r="BI47" s="25">
        <f>BH47*(1+'Demand - Methanol'!$N$42)</f>
        <v>9.844717021859914E-7</v>
      </c>
      <c r="BJ47" s="25">
        <f>BI47*(1+'Demand - Methanol'!$N$42)</f>
        <v>1.005145607931897E-6</v>
      </c>
      <c r="BK47" s="25">
        <f>BJ47*(1+'Demand - Methanol'!$N$42)</f>
        <v>1.0262536656984667E-6</v>
      </c>
      <c r="BL47" s="25">
        <f>BK47*(1+'Demand - Methanol'!$N$42)</f>
        <v>1.0478049926781344E-6</v>
      </c>
      <c r="BM47" s="25">
        <f>BL47*(1+'Demand - Methanol'!$N$42)</f>
        <v>1.0698088975243751E-6</v>
      </c>
      <c r="BN47" s="25">
        <f>BM47*(1+'Demand - Methanol'!$N$42)</f>
        <v>1.0922748843723869E-6</v>
      </c>
    </row>
    <row r="48" spans="1:75">
      <c r="B48" s="58" t="s">
        <v>196</v>
      </c>
      <c r="C48" s="51" t="s">
        <v>166</v>
      </c>
      <c r="D48" s="24">
        <f>D47*'R&amp;S - Apparel'!$C$7*'R&amp;S - Apparel'!$B$13*'R&amp;S - Apparel'!$B$17*(D$3-$D$3)/10</f>
        <v>0</v>
      </c>
      <c r="E48" s="24">
        <f>E47*'R&amp;S - Apparel'!$C$7*'R&amp;S - Apparel'!$B$13*'R&amp;S - Apparel'!$B$17*(E$3-$D$3)/10</f>
        <v>1.0462211030592592E-8</v>
      </c>
      <c r="F48" s="24">
        <f>F47*'R&amp;S - Apparel'!$C$7*'R&amp;S - Apparel'!$B$13*'R&amp;S - Apparel'!$B$17*(F$3-$D$3)/10</f>
        <v>2.1363834924470071E-8</v>
      </c>
      <c r="G48" s="24">
        <f>G47*'R&amp;S - Apparel'!$C$7*'R&amp;S - Apparel'!$B$13*'R&amp;S - Apparel'!$B$17*(G$3-$D$3)/10</f>
        <v>3.2718713186825909E-8</v>
      </c>
      <c r="H48" s="24">
        <f>H47*'R&amp;S - Apparel'!$C$7*'R&amp;S - Apparel'!$B$13*'R&amp;S - Apparel'!$B$17*(H$3-$D$3)/10</f>
        <v>4.4541074884999001E-8</v>
      </c>
      <c r="I48" s="24">
        <f>I47*'R&amp;S - Apparel'!$C$7*'R&amp;S - Apparel'!$B$13*'R&amp;S - Apparel'!$B$17*(I$3-$D$3)/10</f>
        <v>5.6845546821979975E-8</v>
      </c>
      <c r="J48" s="24">
        <f>J47*'R&amp;S - Apparel'!$C$7*'R&amp;S - Apparel'!$B$13*'R&amp;S - Apparel'!$B$17*(J$3-$D$3)/10</f>
        <v>6.964716396628985E-8</v>
      </c>
      <c r="K48" s="24">
        <f>K47*'R&amp;S - Apparel'!$C$7*'R&amp;S - Apparel'!$B$13*'R&amp;S - Apparel'!$B$17*(K$3-$D$3)/10</f>
        <v>8.2961380144512251E-8</v>
      </c>
      <c r="L48" s="24">
        <f>L47*'R&amp;S - Apparel'!$C$7*'R&amp;S - Apparel'!$B$13*'R&amp;S - Apparel'!$B$17*(L$3-$D$3)/10</f>
        <v>9.6804079002910848E-8</v>
      </c>
      <c r="M48" s="24">
        <f>M47*'R&amp;S - Apparel'!$C$7*'R&amp;S - Apparel'!$B$13*'R&amp;S - Apparel'!$B$17*(M$3-$D$3)/10</f>
        <v>1.111915852447185E-7</v>
      </c>
      <c r="N48" s="24">
        <f>N47*'R&amp;S - Apparel'!$C$7*'R&amp;S - Apparel'!$B$13*'R&amp;S - Apparel'!$B$17*(N$3-$D$3)/10</f>
        <v>1.2614067614984172E-7</v>
      </c>
      <c r="O48" s="24">
        <f>O47*'R&amp;S - Apparel'!$C$7*'R&amp;S - Apparel'!$B$13*('R&amp;S - Apparel'!$B$17+('R&amp;S - Apparel'!$B$18-'R&amp;S - Apparel'!$B$17)*(O$3-$N$3)/10)</f>
        <v>1.3246933407324523E-7</v>
      </c>
      <c r="P48" s="24">
        <f>P47*'R&amp;S - Apparel'!$C$7*'R&amp;S - Apparel'!$B$13*('R&amp;S - Apparel'!$B$17+('R&amp;S - Apparel'!$B$18-'R&amp;S - Apparel'!$B$17)*(P$3-$N$3)/10)</f>
        <v>1.3900816759124958E-7</v>
      </c>
      <c r="Q48" s="24">
        <f>Q47*'R&amp;S - Apparel'!$C$7*'R&amp;S - Apparel'!$B$13*('R&amp;S - Apparel'!$B$17+('R&amp;S - Apparel'!$B$18-'R&amp;S - Apparel'!$B$17)*(Q$3-$N$3)/10)</f>
        <v>1.4576321314068379E-7</v>
      </c>
      <c r="R48" s="24">
        <f>R47*'R&amp;S - Apparel'!$C$7*'R&amp;S - Apparel'!$B$13*('R&amp;S - Apparel'!$B$17+('R&amp;S - Apparel'!$B$18-'R&amp;S - Apparel'!$B$17)*(R$3-$N$3)/10)</f>
        <v>1.5274066800128653E-7</v>
      </c>
      <c r="S48" s="24">
        <f>S47*'R&amp;S - Apparel'!$C$7*'R&amp;S - Apparel'!$B$13*('R&amp;S - Apparel'!$B$17+('R&amp;S - Apparel'!$B$18-'R&amp;S - Apparel'!$B$17)*(S$3-$N$3)/10)</f>
        <v>1.5994689438903952E-7</v>
      </c>
      <c r="T48" s="24">
        <f>T47*'R&amp;S - Apparel'!$C$7*'R&amp;S - Apparel'!$B$13*('R&amp;S - Apparel'!$B$17+('R&amp;S - Apparel'!$B$18-'R&amp;S - Apparel'!$B$17)*(T$3-$N$3)/10)</f>
        <v>1.6738842365048953E-7</v>
      </c>
      <c r="U48" s="24">
        <f>U47*'R&amp;S - Apparel'!$C$7*'R&amp;S - Apparel'!$B$13*('R&amp;S - Apparel'!$B$17+('R&amp;S - Apparel'!$B$18-'R&amp;S - Apparel'!$B$17)*(U$3-$N$3)/10)</f>
        <v>1.7507196056049492E-7</v>
      </c>
      <c r="V48" s="24">
        <f>V47*'R&amp;S - Apparel'!$C$7*'R&amp;S - Apparel'!$B$13*('R&amp;S - Apparel'!$B$17+('R&amp;S - Apparel'!$B$18-'R&amp;S - Apparel'!$B$17)*(V$3-$N$3)/10)</f>
        <v>1.8300438772589068E-7</v>
      </c>
      <c r="W48" s="24">
        <f>W47*'R&amp;S - Apparel'!$C$7*'R&amp;S - Apparel'!$B$13*('R&amp;S - Apparel'!$B$17+('R&amp;S - Apparel'!$B$18-'R&amp;S - Apparel'!$B$17)*(W$3-$N$3)/10)</f>
        <v>1.9119277009762586E-7</v>
      </c>
      <c r="X48" s="24">
        <f>X47*'R&amp;S - Apparel'!$C$7*'R&amp;S - Apparel'!$B$13*('R&amp;S - Apparel'!$B$17+('R&amp;S - Apparel'!$B$18-'R&amp;S - Apparel'!$B$17)*(X$3-$N$3)/10)</f>
        <v>1.9964435959398682E-7</v>
      </c>
      <c r="Y48" s="24">
        <f>Y47*'R&amp;S - Apparel'!$C$7*'R&amp;S - Apparel'!$B$13*('R&amp;S - Apparel'!$B$18+('R&amp;S - Apparel'!$B$19-'R&amp;S - Apparel'!$B$18)*(Y$3-$X$3)/10)</f>
        <v>2.061017454915212E-7</v>
      </c>
      <c r="Z48" s="24">
        <f>Z47*'R&amp;S - Apparel'!$C$7*'R&amp;S - Apparel'!$B$13*('R&amp;S - Apparel'!$B$18+('R&amp;S - Apparel'!$B$19-'R&amp;S - Apparel'!$B$18)*(Z$3-$X$3)/10)</f>
        <v>2.1274229843417107E-7</v>
      </c>
      <c r="AA48" s="24">
        <f>AA47*'R&amp;S - Apparel'!$C$7*'R&amp;S - Apparel'!$B$13*('R&amp;S - Apparel'!$B$18+('R&amp;S - Apparel'!$B$19-'R&amp;S - Apparel'!$B$18)*(AA$3-$X$3)/10)</f>
        <v>2.195708637306505E-7</v>
      </c>
      <c r="AB48" s="24">
        <f>AB47*'R&amp;S - Apparel'!$C$7*'R&amp;S - Apparel'!$B$13*('R&amp;S - Apparel'!$B$18+('R&amp;S - Apparel'!$B$19-'R&amp;S - Apparel'!$B$18)*(AB$3-$X$3)/10)</f>
        <v>2.2659240941597258E-7</v>
      </c>
      <c r="AC48" s="24">
        <f>AC47*'R&amp;S - Apparel'!$C$7*'R&amp;S - Apparel'!$B$13*('R&amp;S - Apparel'!$B$18+('R&amp;S - Apparel'!$B$19-'R&amp;S - Apparel'!$B$18)*(AC$3-$X$3)/10)</f>
        <v>2.3381202926917294E-7</v>
      </c>
      <c r="AD48" s="24">
        <f>AD47*'R&amp;S - Apparel'!$C$7*'R&amp;S - Apparel'!$B$13*('R&amp;S - Apparel'!$B$18+('R&amp;S - Apparel'!$B$19-'R&amp;S - Apparel'!$B$18)*(AD$3-$X$3)/10)</f>
        <v>2.4123494590365529E-7</v>
      </c>
      <c r="AE48" s="24">
        <f>AE47*'R&amp;S - Apparel'!$C$7*'R&amp;S - Apparel'!$B$13*('R&amp;S - Apparel'!$B$18+('R&amp;S - Apparel'!$B$19-'R&amp;S - Apparel'!$B$18)*(AE$3-$X$3)/10)</f>
        <v>2.4886651393187815E-7</v>
      </c>
      <c r="AF48" s="24">
        <f>AF47*'R&amp;S - Apparel'!$C$7*'R&amp;S - Apparel'!$B$13*('R&amp;S - Apparel'!$B$18+('R&amp;S - Apparel'!$B$19-'R&amp;S - Apparel'!$B$18)*(AF$3-$X$3)/10)</f>
        <v>2.5671222320614293E-7</v>
      </c>
      <c r="AG48" s="24">
        <f>AG47*'R&amp;S - Apparel'!$C$7*'R&amp;S - Apparel'!$B$13*('R&amp;S - Apparel'!$B$18+('R&amp;S - Apparel'!$B$19-'R&amp;S - Apparel'!$B$18)*(AG$3-$X$3)/10)</f>
        <v>2.6477770213728286E-7</v>
      </c>
      <c r="AH48" s="24">
        <f>AH47*'R&amp;S - Apparel'!$C$7*'R&amp;S - Apparel'!$B$13*('R&amp;S - Apparel'!$B$18+('R&amp;S - Apparel'!$B$19-'R&amp;S - Apparel'!$B$18)*(AH$3-$X$3)/10)</f>
        <v>2.7306872109309672E-7</v>
      </c>
      <c r="AI48" s="24"/>
      <c r="AJ48" s="24">
        <f>AJ47*'R&amp;S - Apparel'!$C$7*'R&amp;S - Apparel'!$B$14*'R&amp;S - Apparel'!$B$17*(AJ$3-$D$3)/10</f>
        <v>0</v>
      </c>
      <c r="AK48" s="24">
        <f>AK47*'R&amp;S - Apparel'!$C$7*'R&amp;S - Apparel'!$B$14*'R&amp;S - Apparel'!$B$17*(AK$3-$D$3)/10</f>
        <v>5.2311055152962962E-9</v>
      </c>
      <c r="AL48" s="24">
        <f>AL47*'R&amp;S - Apparel'!$C$7*'R&amp;S - Apparel'!$B$14*'R&amp;S - Apparel'!$B$17*(AL$3-$D$3)/10</f>
        <v>1.0681917462235036E-8</v>
      </c>
      <c r="AM48" s="24">
        <f>AM47*'R&amp;S - Apparel'!$C$7*'R&amp;S - Apparel'!$B$14*'R&amp;S - Apparel'!$B$17*(AM$3-$D$3)/10</f>
        <v>1.6359356593412955E-8</v>
      </c>
      <c r="AN48" s="24">
        <f>AN47*'R&amp;S - Apparel'!$C$7*'R&amp;S - Apparel'!$B$14*'R&amp;S - Apparel'!$B$17*(AN$3-$D$3)/10</f>
        <v>2.22705374424995E-8</v>
      </c>
      <c r="AO48" s="24">
        <f>AO47*'R&amp;S - Apparel'!$C$7*'R&amp;S - Apparel'!$B$14*'R&amp;S - Apparel'!$B$17*(AO$3-$D$3)/10</f>
        <v>2.8422773410989987E-8</v>
      </c>
      <c r="AP48" s="24">
        <f>AP47*'R&amp;S - Apparel'!$C$7*'R&amp;S - Apparel'!$B$14*'R&amp;S - Apparel'!$B$17*(AP$3-$D$3)/10</f>
        <v>3.4823581983144925E-8</v>
      </c>
      <c r="AQ48" s="24">
        <f>AQ47*'R&amp;S - Apparel'!$C$7*'R&amp;S - Apparel'!$B$14*'R&amp;S - Apparel'!$B$17*(AQ$3-$D$3)/10</f>
        <v>4.1480690072256125E-8</v>
      </c>
      <c r="AR48" s="24">
        <f>AR47*'R&amp;S - Apparel'!$C$7*'R&amp;S - Apparel'!$B$14*'R&amp;S - Apparel'!$B$17*(AR$3-$D$3)/10</f>
        <v>4.8402039501455424E-8</v>
      </c>
      <c r="AS48" s="24">
        <f>AS47*'R&amp;S - Apparel'!$C$7*'R&amp;S - Apparel'!$B$14*'R&amp;S - Apparel'!$B$17*(AS$3-$D$3)/10</f>
        <v>5.5595792622359248E-8</v>
      </c>
      <c r="AT48" s="24">
        <f>AT47*'R&amp;S - Apparel'!$C$7*'R&amp;S - Apparel'!$B$14*'R&amp;S - Apparel'!$B$17*(AT$3-$D$3)/10</f>
        <v>6.3070338074920862E-8</v>
      </c>
      <c r="AU48" s="24">
        <f>AU47*'R&amp;S - Apparel'!$C$7*'R&amp;S - Apparel'!$B$14*('R&amp;S - Apparel'!$B$17+('R&amp;S - Apparel'!$B$18-'R&amp;S - Apparel'!$B$17)*(AU$3-$N$3)/10)</f>
        <v>6.6234667036622615E-8</v>
      </c>
      <c r="AV48" s="24">
        <f>AV47*'R&amp;S - Apparel'!$C$7*'R&amp;S - Apparel'!$B$14*('R&amp;S - Apparel'!$B$17+('R&amp;S - Apparel'!$B$18-'R&amp;S - Apparel'!$B$17)*(AV$3-$N$3)/10)</f>
        <v>6.9504083795624792E-8</v>
      </c>
      <c r="AW48" s="24">
        <f>AW47*'R&amp;S - Apparel'!$C$7*'R&amp;S - Apparel'!$B$14*('R&amp;S - Apparel'!$B$17+('R&amp;S - Apparel'!$B$18-'R&amp;S - Apparel'!$B$17)*(AW$3-$N$3)/10)</f>
        <v>7.2881606570341896E-8</v>
      </c>
      <c r="AX48" s="24">
        <f>AX47*'R&amp;S - Apparel'!$C$7*'R&amp;S - Apparel'!$B$14*('R&amp;S - Apparel'!$B$17+('R&amp;S - Apparel'!$B$18-'R&amp;S - Apparel'!$B$17)*(AX$3-$N$3)/10)</f>
        <v>7.6370334000643264E-8</v>
      </c>
      <c r="AY48" s="24">
        <f>AY47*'R&amp;S - Apparel'!$C$7*'R&amp;S - Apparel'!$B$14*('R&amp;S - Apparel'!$B$17+('R&amp;S - Apparel'!$B$18-'R&amp;S - Apparel'!$B$17)*(AY$3-$N$3)/10)</f>
        <v>7.9973447194519758E-8</v>
      </c>
      <c r="AZ48" s="24">
        <f>AZ47*'R&amp;S - Apparel'!$C$7*'R&amp;S - Apparel'!$B$14*('R&amp;S - Apparel'!$B$17+('R&amp;S - Apparel'!$B$18-'R&amp;S - Apparel'!$B$17)*(AZ$3-$N$3)/10)</f>
        <v>8.3694211825244764E-8</v>
      </c>
      <c r="BA48" s="24">
        <f>BA47*'R&amp;S - Apparel'!$C$7*'R&amp;S - Apparel'!$B$14*('R&amp;S - Apparel'!$B$17+('R&amp;S - Apparel'!$B$18-'R&amp;S - Apparel'!$B$17)*(BA$3-$N$3)/10)</f>
        <v>8.7535980280247459E-8</v>
      </c>
      <c r="BB48" s="24">
        <f>BB47*'R&amp;S - Apparel'!$C$7*'R&amp;S - Apparel'!$B$14*('R&amp;S - Apparel'!$B$17+('R&amp;S - Apparel'!$B$18-'R&amp;S - Apparel'!$B$17)*(BB$3-$N$3)/10)</f>
        <v>9.1502193862945341E-8</v>
      </c>
      <c r="BC48" s="24">
        <f>BC47*'R&amp;S - Apparel'!$C$7*'R&amp;S - Apparel'!$B$14*('R&amp;S - Apparel'!$B$17+('R&amp;S - Apparel'!$B$18-'R&amp;S - Apparel'!$B$17)*(BC$3-$N$3)/10)</f>
        <v>9.5596385048812932E-8</v>
      </c>
      <c r="BD48" s="24">
        <f>BD47*'R&amp;S - Apparel'!$C$7*'R&amp;S - Apparel'!$B$14*('R&amp;S - Apparel'!$B$17+('R&amp;S - Apparel'!$B$18-'R&amp;S - Apparel'!$B$17)*(BD$3-$N$3)/10)</f>
        <v>9.982217979699341E-8</v>
      </c>
      <c r="BE48" s="24">
        <f>BE47*'R&amp;S - Apparel'!$C$7*'R&amp;S - Apparel'!$B$14*('R&amp;S - Apparel'!$B$18+('R&amp;S - Apparel'!$B$19-'R&amp;S - Apparel'!$B$18)*(BE$3-$X$3)/10)</f>
        <v>1.030508727457606E-7</v>
      </c>
      <c r="BF48" s="24">
        <f>BF47*'R&amp;S - Apparel'!$C$7*'R&amp;S - Apparel'!$B$14*('R&amp;S - Apparel'!$B$18+('R&amp;S - Apparel'!$B$19-'R&amp;S - Apparel'!$B$18)*(BF$3-$X$3)/10)</f>
        <v>1.0637114921708554E-7</v>
      </c>
      <c r="BG48" s="24">
        <f>BG47*'R&amp;S - Apparel'!$C$7*'R&amp;S - Apparel'!$B$14*('R&amp;S - Apparel'!$B$18+('R&amp;S - Apparel'!$B$19-'R&amp;S - Apparel'!$B$18)*(BG$3-$X$3)/10)</f>
        <v>1.0978543186532525E-7</v>
      </c>
      <c r="BH48" s="24">
        <f>BH47*'R&amp;S - Apparel'!$C$7*'R&amp;S - Apparel'!$B$14*('R&amp;S - Apparel'!$B$18+('R&amp;S - Apparel'!$B$19-'R&amp;S - Apparel'!$B$18)*(BH$3-$X$3)/10)</f>
        <v>1.1329620470798629E-7</v>
      </c>
      <c r="BI48" s="24">
        <f>BI47*'R&amp;S - Apparel'!$C$7*'R&amp;S - Apparel'!$B$14*('R&amp;S - Apparel'!$B$18+('R&amp;S - Apparel'!$B$19-'R&amp;S - Apparel'!$B$18)*(BI$3-$X$3)/10)</f>
        <v>1.1690601463458647E-7</v>
      </c>
      <c r="BJ48" s="24">
        <f>BJ47*'R&amp;S - Apparel'!$C$7*'R&amp;S - Apparel'!$B$14*('R&amp;S - Apparel'!$B$18+('R&amp;S - Apparel'!$B$19-'R&amp;S - Apparel'!$B$18)*(BJ$3-$X$3)/10)</f>
        <v>1.2061747295182764E-7</v>
      </c>
      <c r="BK48" s="24">
        <f>BK47*'R&amp;S - Apparel'!$C$7*'R&amp;S - Apparel'!$B$14*('R&amp;S - Apparel'!$B$18+('R&amp;S - Apparel'!$B$19-'R&amp;S - Apparel'!$B$18)*(BK$3-$X$3)/10)</f>
        <v>1.2443325696593908E-7</v>
      </c>
      <c r="BL48" s="24">
        <f>BL47*'R&amp;S - Apparel'!$C$7*'R&amp;S - Apparel'!$B$14*('R&amp;S - Apparel'!$B$18+('R&amp;S - Apparel'!$B$19-'R&amp;S - Apparel'!$B$18)*(BL$3-$X$3)/10)</f>
        <v>1.2835611160307146E-7</v>
      </c>
      <c r="BM48" s="24">
        <f>BM47*'R&amp;S - Apparel'!$C$7*'R&amp;S - Apparel'!$B$14*('R&amp;S - Apparel'!$B$18+('R&amp;S - Apparel'!$B$19-'R&amp;S - Apparel'!$B$18)*(BM$3-$X$3)/10)</f>
        <v>1.3238885106864143E-7</v>
      </c>
      <c r="BN48" s="24">
        <f>BN47*'R&amp;S - Apparel'!$C$7*'R&amp;S - Apparel'!$B$14*('R&amp;S - Apparel'!$B$18+('R&amp;S - Apparel'!$B$19-'R&amp;S - Apparel'!$B$18)*(BN$3-$X$3)/10)</f>
        <v>1.3653436054654836E-7</v>
      </c>
    </row>
    <row r="49" spans="1:66">
      <c r="B49" s="58" t="s">
        <v>200</v>
      </c>
      <c r="C49" s="51" t="s">
        <v>166</v>
      </c>
      <c r="D49" s="24">
        <f>D47*'R&amp;S - Apparel'!$C$8*'R&amp;S - Apparel'!$B$13*'R&amp;S - Apparel'!$C$17*(D$3-$D$3)/10</f>
        <v>0</v>
      </c>
      <c r="E49" s="24">
        <f>E47*'R&amp;S - Apparel'!$C$8*'R&amp;S - Apparel'!$B$13*'R&amp;S - Apparel'!$C$17*(E$3-$D$3)/10</f>
        <v>4.0653162861731221E-9</v>
      </c>
      <c r="F49" s="24">
        <f>F47*'R&amp;S - Apparel'!$C$8*'R&amp;S - Apparel'!$B$13*'R&amp;S - Apparel'!$C$17*(F$3-$D$3)/10</f>
        <v>8.3013758563655147E-9</v>
      </c>
      <c r="G49" s="24">
        <f>G47*'R&amp;S - Apparel'!$C$8*'R&amp;S - Apparel'!$B$13*'R&amp;S - Apparel'!$C$17*(G$3-$D$3)/10</f>
        <v>1.2713557124023783E-8</v>
      </c>
      <c r="H49" s="24">
        <f>H47*'R&amp;S - Apparel'!$C$8*'R&amp;S - Apparel'!$B$13*'R&amp;S - Apparel'!$C$17*(H$3-$D$3)/10</f>
        <v>1.7307389098171045E-8</v>
      </c>
      <c r="I49" s="24">
        <f>I47*'R&amp;S - Apparel'!$C$8*'R&amp;S - Apparel'!$B$13*'R&amp;S - Apparel'!$C$17*(I$3-$D$3)/10</f>
        <v>2.2088555336540792E-8</v>
      </c>
      <c r="J49" s="24">
        <f>J47*'R&amp;S - Apparel'!$C$8*'R&amp;S - Apparel'!$B$13*'R&amp;S - Apparel'!$C$17*(J$3-$D$3)/10</f>
        <v>2.7062897998329776E-8</v>
      </c>
      <c r="K49" s="24">
        <f>K47*'R&amp;S - Apparel'!$C$8*'R&amp;S - Apparel'!$B$13*'R&amp;S - Apparel'!$C$17*(K$3-$D$3)/10</f>
        <v>3.2236421999010487E-8</v>
      </c>
      <c r="L49" s="24">
        <f>L47*'R&amp;S - Apparel'!$C$8*'R&amp;S - Apparel'!$B$13*'R&amp;S - Apparel'!$C$17*(L$3-$D$3)/10</f>
        <v>3.7615299269702512E-8</v>
      </c>
      <c r="M49" s="24">
        <f>M47*'R&amp;S - Apparel'!$C$8*'R&amp;S - Apparel'!$B$13*'R&amp;S - Apparel'!$C$17*(M$3-$D$3)/10</f>
        <v>4.3205873123662045E-8</v>
      </c>
      <c r="N49" s="24">
        <f>N47*'R&amp;S - Apparel'!$C$8*'R&amp;S - Apparel'!$B$13*'R&amp;S - Apparel'!$C$17*(N$3-$D$3)/10</f>
        <v>4.9014662732509954E-8</v>
      </c>
      <c r="O49" s="24">
        <f>O47*'R&amp;S - Apparel'!$C$8*'R&amp;S - Apparel'!$B$13*('R&amp;S - Apparel'!$C$17+('R&amp;S - Apparel'!$C$18-'R&amp;S - Apparel'!$C$17)*(O$3-$N$3)/10)</f>
        <v>5.7550566247376546E-8</v>
      </c>
      <c r="P49" s="24">
        <f>P47*'R&amp;S - Apparel'!$C$8*'R&amp;S - Apparel'!$B$13*('R&amp;S - Apparel'!$C$17+('R&amp;S - Apparel'!$C$18-'R&amp;S - Apparel'!$C$17)*(P$3-$N$3)/10)</f>
        <v>6.6423362243602508E-8</v>
      </c>
      <c r="Q49" s="24">
        <f>Q47*'R&amp;S - Apparel'!$C$8*'R&amp;S - Apparel'!$B$13*('R&amp;S - Apparel'!$C$17+('R&amp;S - Apparel'!$C$18-'R&amp;S - Apparel'!$C$17)*(Q$3-$N$3)/10)</f>
        <v>7.5643435871954881E-8</v>
      </c>
      <c r="R49" s="24">
        <f>R47*'R&amp;S - Apparel'!$C$8*'R&amp;S - Apparel'!$B$13*('R&amp;S - Apparel'!$C$17+('R&amp;S - Apparel'!$C$18-'R&amp;S - Apparel'!$C$17)*(R$3-$N$3)/10)</f>
        <v>8.522145988994859E-8</v>
      </c>
      <c r="S49" s="24">
        <f>S47*'R&amp;S - Apparel'!$C$8*'R&amp;S - Apparel'!$B$13*('R&amp;S - Apparel'!$C$17+('R&amp;S - Apparel'!$C$18-'R&amp;S - Apparel'!$C$17)*(S$3-$N$3)/10)</f>
        <v>9.5168402161478518E-8</v>
      </c>
      <c r="T49" s="24">
        <f>T47*'R&amp;S - Apparel'!$C$8*'R&amp;S - Apparel'!$B$13*('R&amp;S - Apparel'!$C$17+('R&amp;S - Apparel'!$C$18-'R&amp;S - Apparel'!$C$17)*(T$3-$N$3)/10)</f>
        <v>1.0549553334460123E-7</v>
      </c>
      <c r="U49" s="24">
        <f>U47*'R&amp;S - Apparel'!$C$8*'R&amp;S - Apparel'!$B$13*('R&amp;S - Apparel'!$C$17+('R&amp;S - Apparel'!$C$18-'R&amp;S - Apparel'!$C$17)*(U$3-$N$3)/10)</f>
        <v>1.162144347720619E-7</v>
      </c>
      <c r="V49" s="24">
        <f>V47*'R&amp;S - Apparel'!$C$8*'R&amp;S - Apparel'!$B$13*('R&amp;S - Apparel'!$C$17+('R&amp;S - Apparel'!$C$18-'R&amp;S - Apparel'!$C$17)*(V$3-$N$3)/10)</f>
        <v>1.2733700652927091E-7</v>
      </c>
      <c r="W49" s="24">
        <f>W47*'R&amp;S - Apparel'!$C$8*'R&amp;S - Apparel'!$B$13*('R&amp;S - Apparel'!$C$17+('R&amp;S - Apparel'!$C$18-'R&amp;S - Apparel'!$C$17)*(W$3-$N$3)/10)</f>
        <v>1.3887547573454825E-7</v>
      </c>
      <c r="X49" s="24">
        <f>X47*'R&amp;S - Apparel'!$C$8*'R&amp;S - Apparel'!$B$13*('R&amp;S - Apparel'!$C$17+('R&amp;S - Apparel'!$C$18-'R&amp;S - Apparel'!$C$17)*(X$3-$N$3)/10)</f>
        <v>1.5084240502656783E-7</v>
      </c>
      <c r="Y49" s="24">
        <f>Y47*'R&amp;S - Apparel'!$C$8*'R&amp;S - Apparel'!$B$13*('R&amp;S - Apparel'!$C$18+('R&amp;S - Apparel'!$C$19-'R&amp;S - Apparel'!$C$18)*(Y$3-$X$3)/10)</f>
        <v>1.6941110508533835E-7</v>
      </c>
      <c r="Z49" s="24">
        <f>Z47*'R&amp;S - Apparel'!$C$8*'R&amp;S - Apparel'!$B$13*('R&amp;S - Apparel'!$C$18+('R&amp;S - Apparel'!$C$19-'R&amp;S - Apparel'!$C$18)*(Z$3-$X$3)/10)</f>
        <v>1.8869316904596044E-7</v>
      </c>
      <c r="AA49" s="24">
        <f>AA47*'R&amp;S - Apparel'!$C$8*'R&amp;S - Apparel'!$B$13*('R&amp;S - Apparel'!$C$18+('R&amp;S - Apparel'!$C$19-'R&amp;S - Apparel'!$C$18)*(AA$3-$X$3)/10)</f>
        <v>2.0871036939558605E-7</v>
      </c>
      <c r="AB49" s="24">
        <f>AB47*'R&amp;S - Apparel'!$C$8*'R&amp;S - Apparel'!$B$13*('R&amp;S - Apparel'!$C$18+('R&amp;S - Apparel'!$C$19-'R&amp;S - Apparel'!$C$18)*(AB$3-$X$3)/10)</f>
        <v>2.2948507847234666E-7</v>
      </c>
      <c r="AC49" s="24">
        <f>AC47*'R&amp;S - Apparel'!$C$8*'R&amp;S - Apparel'!$B$13*('R&amp;S - Apparel'!$C$18+('R&amp;S - Apparel'!$C$19-'R&amp;S - Apparel'!$C$18)*(AC$3-$X$3)/10)</f>
        <v>2.5104028405742786E-7</v>
      </c>
      <c r="AD49" s="24">
        <f>AD47*'R&amp;S - Apparel'!$C$8*'R&amp;S - Apparel'!$B$13*('R&amp;S - Apparel'!$C$18+('R&amp;S - Apparel'!$C$19-'R&amp;S - Apparel'!$C$18)*(AD$3-$X$3)/10)</f>
        <v>2.7339960535747601E-7</v>
      </c>
      <c r="AE49" s="24">
        <f>AE47*'R&amp;S - Apparel'!$C$8*'R&amp;S - Apparel'!$B$13*('R&amp;S - Apparel'!$C$18+('R&amp;S - Apparel'!$C$19-'R&amp;S - Apparel'!$C$18)*(AE$3-$X$3)/10)</f>
        <v>2.965873093868569E-7</v>
      </c>
      <c r="AF49" s="24">
        <f>AF47*'R&amp;S - Apparel'!$C$8*'R&amp;S - Apparel'!$B$13*('R&amp;S - Apparel'!$C$18+('R&amp;S - Apparel'!$C$19-'R&amp;S - Apparel'!$C$18)*(AF$3-$X$3)/10)</f>
        <v>3.2062832775950914E-7</v>
      </c>
      <c r="AG49" s="24">
        <f>AG47*'R&amp;S - Apparel'!$C$8*'R&amp;S - Apparel'!$B$13*('R&amp;S - Apparel'!$C$18+('R&amp;S - Apparel'!$C$19-'R&amp;S - Apparel'!$C$18)*(AG$3-$X$3)/10)</f>
        <v>3.4554827390037316E-7</v>
      </c>
      <c r="AH49" s="24">
        <f>AH47*'R&amp;S - Apparel'!$C$8*'R&amp;S - Apparel'!$B$13*('R&amp;S - Apparel'!$C$18+('R&amp;S - Apparel'!$C$19-'R&amp;S - Apparel'!$C$18)*(AH$3-$X$3)/10)</f>
        <v>3.7137346068661155E-7</v>
      </c>
      <c r="AI49" s="24"/>
      <c r="AJ49" s="24">
        <f>AJ47*'R&amp;S - Apparel'!$C$8*'R&amp;S - Apparel'!$B$14*'R&amp;S - Apparel'!$C$17*(AJ$3-$D$3)/10</f>
        <v>0</v>
      </c>
      <c r="AK49" s="24">
        <f>AK47*'R&amp;S - Apparel'!$C$8*'R&amp;S - Apparel'!$B$14*'R&amp;S - Apparel'!$C$17*(AK$3-$D$3)/10</f>
        <v>2.032658143086561E-9</v>
      </c>
      <c r="AL49" s="24">
        <f>AL47*'R&amp;S - Apparel'!$C$8*'R&amp;S - Apparel'!$B$14*'R&amp;S - Apparel'!$C$17*(AL$3-$D$3)/10</f>
        <v>4.1506879281827573E-9</v>
      </c>
      <c r="AM49" s="24">
        <f>AM47*'R&amp;S - Apparel'!$C$8*'R&amp;S - Apparel'!$B$14*'R&amp;S - Apparel'!$C$17*(AM$3-$D$3)/10</f>
        <v>6.3567785620118917E-9</v>
      </c>
      <c r="AN49" s="24">
        <f>AN47*'R&amp;S - Apparel'!$C$8*'R&amp;S - Apparel'!$B$14*'R&amp;S - Apparel'!$C$17*(AN$3-$D$3)/10</f>
        <v>8.6536945490855224E-9</v>
      </c>
      <c r="AO49" s="24">
        <f>AO47*'R&amp;S - Apparel'!$C$8*'R&amp;S - Apparel'!$B$14*'R&amp;S - Apparel'!$C$17*(AO$3-$D$3)/10</f>
        <v>1.1044277668270396E-8</v>
      </c>
      <c r="AP49" s="24">
        <f>AP47*'R&amp;S - Apparel'!$C$8*'R&amp;S - Apparel'!$B$14*'R&amp;S - Apparel'!$C$17*(AP$3-$D$3)/10</f>
        <v>1.3531448999164888E-8</v>
      </c>
      <c r="AQ49" s="24">
        <f>AQ47*'R&amp;S - Apparel'!$C$8*'R&amp;S - Apparel'!$B$14*'R&amp;S - Apparel'!$C$17*(AQ$3-$D$3)/10</f>
        <v>1.6118210999505244E-8</v>
      </c>
      <c r="AR49" s="24">
        <f>AR47*'R&amp;S - Apparel'!$C$8*'R&amp;S - Apparel'!$B$14*'R&amp;S - Apparel'!$C$17*(AR$3-$D$3)/10</f>
        <v>1.8807649634851256E-8</v>
      </c>
      <c r="AS49" s="24">
        <f>AS47*'R&amp;S - Apparel'!$C$8*'R&amp;S - Apparel'!$B$14*'R&amp;S - Apparel'!$C$17*(AS$3-$D$3)/10</f>
        <v>2.1602936561831022E-8</v>
      </c>
      <c r="AT49" s="24">
        <f>AT47*'R&amp;S - Apparel'!$C$8*'R&amp;S - Apparel'!$B$14*'R&amp;S - Apparel'!$C$17*(AT$3-$D$3)/10</f>
        <v>2.4507331366254977E-8</v>
      </c>
      <c r="AU49" s="24">
        <f>AU47*'R&amp;S - Apparel'!$C$8*'R&amp;S - Apparel'!$B$14*('R&amp;S - Apparel'!$C$17+('R&amp;S - Apparel'!$C$18-'R&amp;S - Apparel'!$C$17)*(AU$3-$N$3)/10)</f>
        <v>2.8775283123688273E-8</v>
      </c>
      <c r="AV49" s="24">
        <f>AV47*'R&amp;S - Apparel'!$C$8*'R&amp;S - Apparel'!$B$14*('R&amp;S - Apparel'!$C$17+('R&amp;S - Apparel'!$C$18-'R&amp;S - Apparel'!$C$17)*(AV$3-$N$3)/10)</f>
        <v>3.3211681121801254E-8</v>
      </c>
      <c r="AW49" s="24">
        <f>AW47*'R&amp;S - Apparel'!$C$8*'R&amp;S - Apparel'!$B$14*('R&amp;S - Apparel'!$C$17+('R&amp;S - Apparel'!$C$18-'R&amp;S - Apparel'!$C$17)*(AW$3-$N$3)/10)</f>
        <v>3.782171793597744E-8</v>
      </c>
      <c r="AX49" s="24">
        <f>AX47*'R&amp;S - Apparel'!$C$8*'R&amp;S - Apparel'!$B$14*('R&amp;S - Apparel'!$C$17+('R&amp;S - Apparel'!$C$18-'R&amp;S - Apparel'!$C$17)*(AX$3-$N$3)/10)</f>
        <v>4.2610729944974295E-8</v>
      </c>
      <c r="AY49" s="24">
        <f>AY47*'R&amp;S - Apparel'!$C$8*'R&amp;S - Apparel'!$B$14*('R&amp;S - Apparel'!$C$17+('R&amp;S - Apparel'!$C$18-'R&amp;S - Apparel'!$C$17)*(AY$3-$N$3)/10)</f>
        <v>4.7584201080739259E-8</v>
      </c>
      <c r="AZ49" s="24">
        <f>AZ47*'R&amp;S - Apparel'!$C$8*'R&amp;S - Apparel'!$B$14*('R&amp;S - Apparel'!$C$17+('R&amp;S - Apparel'!$C$18-'R&amp;S - Apparel'!$C$17)*(AZ$3-$N$3)/10)</f>
        <v>5.2747766672300613E-8</v>
      </c>
      <c r="BA49" s="24">
        <f>BA47*'R&amp;S - Apparel'!$C$8*'R&amp;S - Apparel'!$B$14*('R&amp;S - Apparel'!$C$17+('R&amp;S - Apparel'!$C$18-'R&amp;S - Apparel'!$C$17)*(BA$3-$N$3)/10)</f>
        <v>5.810721738603095E-8</v>
      </c>
      <c r="BB49" s="24">
        <f>BB47*'R&amp;S - Apparel'!$C$8*'R&amp;S - Apparel'!$B$14*('R&amp;S - Apparel'!$C$17+('R&amp;S - Apparel'!$C$18-'R&amp;S - Apparel'!$C$17)*(BB$3-$N$3)/10)</f>
        <v>6.3668503264635456E-8</v>
      </c>
      <c r="BC49" s="24">
        <f>BC47*'R&amp;S - Apparel'!$C$8*'R&amp;S - Apparel'!$B$14*('R&amp;S - Apparel'!$C$17+('R&amp;S - Apparel'!$C$18-'R&amp;S - Apparel'!$C$17)*(BC$3-$N$3)/10)</f>
        <v>6.9437737867274125E-8</v>
      </c>
      <c r="BD49" s="24">
        <f>BD47*'R&amp;S - Apparel'!$C$8*'R&amp;S - Apparel'!$B$14*('R&amp;S - Apparel'!$C$17+('R&amp;S - Apparel'!$C$18-'R&amp;S - Apparel'!$C$17)*(BD$3-$N$3)/10)</f>
        <v>7.5421202513283916E-8</v>
      </c>
      <c r="BE49" s="24">
        <f>BE47*'R&amp;S - Apparel'!$C$8*'R&amp;S - Apparel'!$B$14*('R&amp;S - Apparel'!$C$18+('R&amp;S - Apparel'!$C$19-'R&amp;S - Apparel'!$C$18)*(BE$3-$X$3)/10)</f>
        <v>8.4705552542669174E-8</v>
      </c>
      <c r="BF49" s="24">
        <f>BF47*'R&amp;S - Apparel'!$C$8*'R&amp;S - Apparel'!$B$14*('R&amp;S - Apparel'!$C$18+('R&amp;S - Apparel'!$C$19-'R&amp;S - Apparel'!$C$18)*(BF$3-$X$3)/10)</f>
        <v>9.4346584522980222E-8</v>
      </c>
      <c r="BG49" s="24">
        <f>BG47*'R&amp;S - Apparel'!$C$8*'R&amp;S - Apparel'!$B$14*('R&amp;S - Apparel'!$C$18+('R&amp;S - Apparel'!$C$19-'R&amp;S - Apparel'!$C$18)*(BG$3-$X$3)/10)</f>
        <v>1.0435518469779302E-7</v>
      </c>
      <c r="BH49" s="24">
        <f>BH47*'R&amp;S - Apparel'!$C$8*'R&amp;S - Apparel'!$B$14*('R&amp;S - Apparel'!$C$18+('R&amp;S - Apparel'!$C$19-'R&amp;S - Apparel'!$C$18)*(BH$3-$X$3)/10)</f>
        <v>1.1474253923617333E-7</v>
      </c>
      <c r="BI49" s="24">
        <f>BI47*'R&amp;S - Apparel'!$C$8*'R&amp;S - Apparel'!$B$14*('R&amp;S - Apparel'!$C$18+('R&amp;S - Apparel'!$C$19-'R&amp;S - Apparel'!$C$18)*(BI$3-$X$3)/10)</f>
        <v>1.2552014202871393E-7</v>
      </c>
      <c r="BJ49" s="24">
        <f>BJ47*'R&amp;S - Apparel'!$C$8*'R&amp;S - Apparel'!$B$14*('R&amp;S - Apparel'!$C$18+('R&amp;S - Apparel'!$C$19-'R&amp;S - Apparel'!$C$18)*(BJ$3-$X$3)/10)</f>
        <v>1.3669980267873801E-7</v>
      </c>
      <c r="BK49" s="24">
        <f>BK47*'R&amp;S - Apparel'!$C$8*'R&amp;S - Apparel'!$B$14*('R&amp;S - Apparel'!$C$18+('R&amp;S - Apparel'!$C$19-'R&amp;S - Apparel'!$C$18)*(BK$3-$X$3)/10)</f>
        <v>1.4829365469342845E-7</v>
      </c>
      <c r="BL49" s="24">
        <f>BL47*'R&amp;S - Apparel'!$C$8*'R&amp;S - Apparel'!$B$14*('R&amp;S - Apparel'!$C$18+('R&amp;S - Apparel'!$C$19-'R&amp;S - Apparel'!$C$18)*(BL$3-$X$3)/10)</f>
        <v>1.6031416387975457E-7</v>
      </c>
      <c r="BM49" s="24">
        <f>BM47*'R&amp;S - Apparel'!$C$8*'R&amp;S - Apparel'!$B$14*('R&amp;S - Apparel'!$C$18+('R&amp;S - Apparel'!$C$19-'R&amp;S - Apparel'!$C$18)*(BM$3-$X$3)/10)</f>
        <v>1.7277413695018658E-7</v>
      </c>
      <c r="BN49" s="24">
        <f>BN47*'R&amp;S - Apparel'!$C$8*'R&amp;S - Apparel'!$B$14*('R&amp;S - Apparel'!$C$18+('R&amp;S - Apparel'!$C$19-'R&amp;S - Apparel'!$C$18)*(BN$3-$X$3)/10)</f>
        <v>1.8568673034330578E-7</v>
      </c>
    </row>
    <row r="50" spans="1:66">
      <c r="B50" s="1" t="s">
        <v>164</v>
      </c>
      <c r="C50" s="51" t="s">
        <v>166</v>
      </c>
      <c r="D50" s="24">
        <f>SUM(D48:D49)</f>
        <v>0</v>
      </c>
      <c r="E50" s="24">
        <f>SUM(E48:E49)</f>
        <v>1.4527527316765715E-8</v>
      </c>
      <c r="F50" s="24">
        <f t="shared" ref="F50:AH50" si="401">SUM(F48:F49)</f>
        <v>2.9665210780835584E-8</v>
      </c>
      <c r="G50" s="24">
        <f t="shared" si="401"/>
        <v>4.5432270310849689E-8</v>
      </c>
      <c r="H50" s="24">
        <f t="shared" si="401"/>
        <v>6.1848463983170039E-8</v>
      </c>
      <c r="I50" s="24">
        <f t="shared" si="401"/>
        <v>7.893410215852077E-8</v>
      </c>
      <c r="J50" s="24">
        <f t="shared" si="401"/>
        <v>9.6710061964619629E-8</v>
      </c>
      <c r="K50" s="24">
        <f t="shared" si="401"/>
        <v>1.1519780214352274E-7</v>
      </c>
      <c r="L50" s="24">
        <f t="shared" si="401"/>
        <v>1.3441937827261335E-7</v>
      </c>
      <c r="M50" s="24">
        <f t="shared" si="401"/>
        <v>1.5439745836838055E-7</v>
      </c>
      <c r="N50" s="24">
        <f t="shared" si="401"/>
        <v>1.7515533888235167E-7</v>
      </c>
      <c r="O50" s="24">
        <f>SUM(O48:O49)</f>
        <v>1.9001990032062178E-7</v>
      </c>
      <c r="P50" s="24">
        <f t="shared" si="401"/>
        <v>2.0543152983485208E-7</v>
      </c>
      <c r="Q50" s="24">
        <f t="shared" si="401"/>
        <v>2.2140664901263867E-7</v>
      </c>
      <c r="R50" s="24">
        <f t="shared" si="401"/>
        <v>2.3796212789123513E-7</v>
      </c>
      <c r="S50" s="24">
        <f t="shared" si="401"/>
        <v>2.5511529655051806E-7</v>
      </c>
      <c r="T50" s="24">
        <f t="shared" si="401"/>
        <v>2.7288395699509076E-7</v>
      </c>
      <c r="U50" s="24">
        <f t="shared" si="401"/>
        <v>2.9128639533255684E-7</v>
      </c>
      <c r="V50" s="24">
        <f t="shared" si="401"/>
        <v>3.1034139425516162E-7</v>
      </c>
      <c r="W50" s="24">
        <f t="shared" si="401"/>
        <v>3.3006824583217411E-7</v>
      </c>
      <c r="X50" s="24">
        <f t="shared" si="401"/>
        <v>3.5048676462055468E-7</v>
      </c>
      <c r="Y50" s="24">
        <f t="shared" ref="Y50:AG50" si="402">SUM(Y48:Y49)</f>
        <v>3.7551285057685958E-7</v>
      </c>
      <c r="Z50" s="24">
        <f t="shared" si="402"/>
        <v>4.0143546748013151E-7</v>
      </c>
      <c r="AA50" s="24">
        <f t="shared" si="402"/>
        <v>4.2828123312623654E-7</v>
      </c>
      <c r="AB50" s="24">
        <f t="shared" si="402"/>
        <v>4.5607748788831927E-7</v>
      </c>
      <c r="AC50" s="24">
        <f t="shared" si="402"/>
        <v>4.8485231332660079E-7</v>
      </c>
      <c r="AD50" s="24">
        <f t="shared" si="402"/>
        <v>5.1463455126113135E-7</v>
      </c>
      <c r="AE50" s="24">
        <f t="shared" si="402"/>
        <v>5.4545382331873511E-7</v>
      </c>
      <c r="AF50" s="24">
        <f t="shared" si="402"/>
        <v>5.7734055096565207E-7</v>
      </c>
      <c r="AG50" s="24">
        <f t="shared" si="402"/>
        <v>6.1032597603765602E-7</v>
      </c>
      <c r="AH50" s="24">
        <f t="shared" si="401"/>
        <v>6.4444218177970827E-7</v>
      </c>
      <c r="AI50" s="24"/>
      <c r="AJ50" s="24">
        <f>SUM(AJ48:AJ49)</f>
        <v>0</v>
      </c>
      <c r="AK50" s="24">
        <f>SUM(AK48:AK49)</f>
        <v>7.2637636583828573E-9</v>
      </c>
      <c r="AL50" s="24">
        <f t="shared" ref="AL50:AT50" si="403">SUM(AL48:AL49)</f>
        <v>1.4832605390417792E-8</v>
      </c>
      <c r="AM50" s="24">
        <f t="shared" si="403"/>
        <v>2.2716135155424845E-8</v>
      </c>
      <c r="AN50" s="24">
        <f t="shared" si="403"/>
        <v>3.092423199158502E-8</v>
      </c>
      <c r="AO50" s="24">
        <f t="shared" si="403"/>
        <v>3.9467051079260385E-8</v>
      </c>
      <c r="AP50" s="24">
        <f t="shared" si="403"/>
        <v>4.8355030982309815E-8</v>
      </c>
      <c r="AQ50" s="24">
        <f t="shared" si="403"/>
        <v>5.7598901071761369E-8</v>
      </c>
      <c r="AR50" s="24">
        <f t="shared" si="403"/>
        <v>6.7209689136306674E-8</v>
      </c>
      <c r="AS50" s="24">
        <f t="shared" si="403"/>
        <v>7.7198729184190277E-8</v>
      </c>
      <c r="AT50" s="24">
        <f t="shared" si="403"/>
        <v>8.7577669441175836E-8</v>
      </c>
      <c r="AU50" s="24">
        <f>SUM(AU48:AU49)</f>
        <v>9.5009950160310891E-8</v>
      </c>
      <c r="AV50" s="24">
        <f t="shared" ref="AV50:BN50" si="404">SUM(AV48:AV49)</f>
        <v>1.0271576491742604E-7</v>
      </c>
      <c r="AW50" s="24">
        <f t="shared" si="404"/>
        <v>1.1070332450631934E-7</v>
      </c>
      <c r="AX50" s="24">
        <f t="shared" si="404"/>
        <v>1.1898106394561757E-7</v>
      </c>
      <c r="AY50" s="24">
        <f t="shared" si="404"/>
        <v>1.2755764827525903E-7</v>
      </c>
      <c r="AZ50" s="24">
        <f t="shared" si="404"/>
        <v>1.3644197849754538E-7</v>
      </c>
      <c r="BA50" s="24">
        <f t="shared" si="404"/>
        <v>1.4564319766627842E-7</v>
      </c>
      <c r="BB50" s="24">
        <f t="shared" si="404"/>
        <v>1.5517069712758081E-7</v>
      </c>
      <c r="BC50" s="24">
        <f t="shared" si="404"/>
        <v>1.6503412291608706E-7</v>
      </c>
      <c r="BD50" s="24">
        <f t="shared" si="404"/>
        <v>1.7524338231027734E-7</v>
      </c>
      <c r="BE50" s="24">
        <f t="shared" si="404"/>
        <v>1.8775642528842979E-7</v>
      </c>
      <c r="BF50" s="24">
        <f t="shared" si="404"/>
        <v>2.0071773374006576E-7</v>
      </c>
      <c r="BG50" s="24">
        <f t="shared" si="404"/>
        <v>2.1414061656311827E-7</v>
      </c>
      <c r="BH50" s="24">
        <f t="shared" si="404"/>
        <v>2.2803874394415964E-7</v>
      </c>
      <c r="BI50" s="24">
        <f t="shared" si="404"/>
        <v>2.424261566633004E-7</v>
      </c>
      <c r="BJ50" s="24">
        <f t="shared" si="404"/>
        <v>2.5731727563056568E-7</v>
      </c>
      <c r="BK50" s="24">
        <f t="shared" si="404"/>
        <v>2.7272691165936756E-7</v>
      </c>
      <c r="BL50" s="24">
        <f t="shared" si="404"/>
        <v>2.8867027548282603E-7</v>
      </c>
      <c r="BM50" s="24">
        <f t="shared" si="404"/>
        <v>3.0516298801882801E-7</v>
      </c>
      <c r="BN50" s="24">
        <f t="shared" si="404"/>
        <v>3.2222109088985413E-7</v>
      </c>
    </row>
    <row r="51" spans="1:66">
      <c r="B51" s="1" t="s">
        <v>167</v>
      </c>
      <c r="C51" s="51" t="s">
        <v>166</v>
      </c>
      <c r="D51" s="24">
        <f>D47*'R&amp;S - Apparel'!$C$10*'R&amp;S - Apparel'!$B$13*'R&amp;S - Apparel'!$D$17*(D$3-$D$3)/10</f>
        <v>0</v>
      </c>
      <c r="E51" s="24">
        <f>E47*'R&amp;S - Apparel'!$C$10*'R&amp;S - Apparel'!$B$13*'R&amp;S - Apparel'!$D$17*(E$3-$D$3)/10</f>
        <v>3.9457481601092069E-9</v>
      </c>
      <c r="F51" s="24">
        <f>F47*'R&amp;S - Apparel'!$C$10*'R&amp;S - Apparel'!$B$13*'R&amp;S - Apparel'!$D$17*(F$3-$D$3)/10</f>
        <v>8.057217742943001E-9</v>
      </c>
      <c r="G51" s="24">
        <f>G47*'R&amp;S - Apparel'!$C$10*'R&amp;S - Apparel'!$B$13*'R&amp;S - Apparel'!$D$17*(G$3-$D$3)/10</f>
        <v>1.2339628973317202E-8</v>
      </c>
      <c r="H51" s="24">
        <f>H47*'R&amp;S - Apparel'!$C$10*'R&amp;S - Apparel'!$B$13*'R&amp;S - Apparel'!$D$17*(H$3-$D$3)/10</f>
        <v>1.6798348242342483E-8</v>
      </c>
      <c r="I51" s="24">
        <f>I47*'R&amp;S - Apparel'!$C$10*'R&amp;S - Apparel'!$B$13*'R&amp;S - Apparel'!$D$17*(I$3-$D$3)/10</f>
        <v>2.143889194428959E-8</v>
      </c>
      <c r="J51" s="24">
        <f>J47*'R&amp;S - Apparel'!$C$10*'R&amp;S - Apparel'!$B$13*'R&amp;S - Apparel'!$D$17*(J$3-$D$3)/10</f>
        <v>2.6266930410143607E-8</v>
      </c>
      <c r="K51" s="24">
        <f>K47*'R&amp;S - Apparel'!$C$10*'R&amp;S - Apparel'!$B$13*'R&amp;S - Apparel'!$D$17*(K$3-$D$3)/10</f>
        <v>3.1288291940216053E-8</v>
      </c>
      <c r="L51" s="24">
        <f>L47*'R&amp;S - Apparel'!$C$10*'R&amp;S - Apparel'!$B$13*'R&amp;S - Apparel'!$D$17*(L$3-$D$3)/10</f>
        <v>3.6508966938240676E-8</v>
      </c>
      <c r="M51" s="24">
        <f>M47*'R&amp;S - Apparel'!$C$10*'R&amp;S - Apparel'!$B$13*'R&amp;S - Apparel'!$D$17*(M$3-$D$3)/10</f>
        <v>4.193511214943669E-8</v>
      </c>
      <c r="N51" s="24">
        <f>N47*'R&amp;S - Apparel'!$C$10*'R&amp;S - Apparel'!$B$13*'R&amp;S - Apparel'!$D$17*(N$3-$D$3)/10</f>
        <v>4.7573055005083183E-8</v>
      </c>
      <c r="O51" s="24">
        <f>O47*'R&amp;S - Apparel'!$C$10*'R&amp;S - Apparel'!$B$13*('R&amp;S - Apparel'!$D$17+('R&amp;S - Apparel'!$D$18-'R&amp;S - Apparel'!$D$17)*(O$3-$N$3)/10)</f>
        <v>5.3429298076208908E-8</v>
      </c>
      <c r="P51" s="24">
        <f>P47*'R&amp;S - Apparel'!$C$10*'R&amp;S - Apparel'!$B$13*('R&amp;S - Apparel'!$D$17+('R&amp;S - Apparel'!$D$18-'R&amp;S - Apparel'!$D$17)*(P$3-$N$3)/10)</f>
        <v>5.9510523639064686E-8</v>
      </c>
      <c r="Q51" s="24">
        <f>Q47*'R&amp;S - Apparel'!$C$10*'R&amp;S - Apparel'!$B$13*('R&amp;S - Apparel'!$D$17+('R&amp;S - Apparel'!$D$18-'R&amp;S - Apparel'!$D$17)*(Q$3-$N$3)/10)</f>
        <v>6.5823598355108801E-8</v>
      </c>
      <c r="R51" s="24">
        <f>R47*'R&amp;S - Apparel'!$C$10*'R&amp;S - Apparel'!$B$13*('R&amp;S - Apparel'!$D$17+('R&amp;S - Apparel'!$D$18-'R&amp;S - Apparel'!$D$17)*(R$3-$N$3)/10)</f>
        <v>7.2375578068301935E-8</v>
      </c>
      <c r="S51" s="24">
        <f>S47*'R&amp;S - Apparel'!$C$10*'R&amp;S - Apparel'!$B$13*('R&amp;S - Apparel'!$D$17+('R&amp;S - Apparel'!$D$18-'R&amp;S - Apparel'!$D$17)*(S$3-$N$3)/10)</f>
        <v>7.9173712722574564E-8</v>
      </c>
      <c r="T51" s="24">
        <f>T47*'R&amp;S - Apparel'!$C$10*'R&amp;S - Apparel'!$B$13*('R&amp;S - Apparel'!$D$17+('R&amp;S - Apparel'!$D$18-'R&amp;S - Apparel'!$D$17)*(T$3-$N$3)/10)</f>
        <v>8.6225451402398527E-8</v>
      </c>
      <c r="U51" s="24">
        <f>U47*'R&amp;S - Apparel'!$C$10*'R&amp;S - Apparel'!$B$13*('R&amp;S - Apparel'!$D$17+('R&amp;S - Apparel'!$D$18-'R&amp;S - Apparel'!$D$17)*(U$3-$N$3)/10)</f>
        <v>9.3538447499464459E-8</v>
      </c>
      <c r="V51" s="24">
        <f>V47*'R&amp;S - Apparel'!$C$10*'R&amp;S - Apparel'!$B$13*('R&amp;S - Apparel'!$D$17+('R&amp;S - Apparel'!$D$18-'R&amp;S - Apparel'!$D$17)*(V$3-$N$3)/10)</f>
        <v>1.0112056400853869E-7</v>
      </c>
      <c r="W51" s="24">
        <f>W47*'R&amp;S - Apparel'!$C$10*'R&amp;S - Apparel'!$B$13*('R&amp;S - Apparel'!$D$17+('R&amp;S - Apparel'!$D$18-'R&amp;S - Apparel'!$D$17)*(W$3-$N$3)/10)</f>
        <v>1.0897987895564676E-7</v>
      </c>
      <c r="X51" s="24">
        <f>X47*'R&amp;S - Apparel'!$C$10*'R&amp;S - Apparel'!$B$13*('R&amp;S - Apparel'!$D$17+('R&amp;S - Apparel'!$D$18-'R&amp;S - Apparel'!$D$17)*(X$3-$N$3)/10)</f>
        <v>1.1712469096180562E-7</v>
      </c>
      <c r="Y51" s="24">
        <f>Y47*'R&amp;S - Apparel'!$C$10*'R&amp;S - Apparel'!$B$13*('R&amp;S - Apparel'!$D$18+('R&amp;S - Apparel'!$D$19-'R&amp;S - Apparel'!$D$18)*(Y$3-$X$3)/10)</f>
        <v>1.2574471329328856E-7</v>
      </c>
      <c r="Z51" s="24">
        <f>Z47*'R&amp;S - Apparel'!$C$10*'R&amp;S - Apparel'!$B$13*('R&amp;S - Apparel'!$D$18+('R&amp;S - Apparel'!$D$19-'R&amp;S - Apparel'!$D$18)*(Z$3-$X$3)/10)</f>
        <v>1.346751245739796E-7</v>
      </c>
      <c r="AA51" s="24">
        <f>AA47*'R&amp;S - Apparel'!$C$10*'R&amp;S - Apparel'!$B$13*('R&amp;S - Apparel'!$D$18+('R&amp;S - Apparel'!$D$19-'R&amp;S - Apparel'!$D$18)*(AA$3-$X$3)/10)</f>
        <v>1.4392515970989734E-7</v>
      </c>
      <c r="AB51" s="24">
        <f>AB47*'R&amp;S - Apparel'!$C$10*'R&amp;S - Apparel'!$B$13*('R&amp;S - Apparel'!$D$18+('R&amp;S - Apparel'!$D$19-'R&amp;S - Apparel'!$D$18)*(AB$3-$X$3)/10)</f>
        <v>1.5350430459158654E-7</v>
      </c>
      <c r="AC51" s="24">
        <f>AC47*'R&amp;S - Apparel'!$C$10*'R&amp;S - Apparel'!$B$13*('R&amp;S - Apparel'!$D$18+('R&amp;S - Apparel'!$D$19-'R&amp;S - Apparel'!$D$18)*(AC$3-$X$3)/10)</f>
        <v>1.634223025628746E-7</v>
      </c>
      <c r="AD51" s="24">
        <f>AD47*'R&amp;S - Apparel'!$C$10*'R&amp;S - Apparel'!$B$13*('R&amp;S - Apparel'!$D$18+('R&amp;S - Apparel'!$D$19-'R&amp;S - Apparel'!$D$18)*(AD$3-$X$3)/10)</f>
        <v>1.7368916105063183E-7</v>
      </c>
      <c r="AE51" s="24">
        <f>AE47*'R&amp;S - Apparel'!$C$10*'R&amp;S - Apparel'!$B$13*('R&amp;S - Apparel'!$D$18+('R&amp;S - Apparel'!$D$19-'R&amp;S - Apparel'!$D$18)*(AE$3-$X$3)/10)</f>
        <v>1.8431515835944464E-7</v>
      </c>
      <c r="AF51" s="24">
        <f>AF47*'R&amp;S - Apparel'!$C$10*'R&amp;S - Apparel'!$B$13*('R&amp;S - Apparel'!$D$18+('R&amp;S - Apparel'!$D$19-'R&amp;S - Apparel'!$D$18)*(AF$3-$X$3)/10)</f>
        <v>1.9531085063520425E-7</v>
      </c>
      <c r="AG51" s="24">
        <f>AG47*'R&amp;S - Apparel'!$C$10*'R&amp;S - Apparel'!$B$13*('R&amp;S - Apparel'!$D$18+('R&amp;S - Apparel'!$D$19-'R&amp;S - Apparel'!$D$18)*(AG$3-$X$3)/10)</f>
        <v>2.0668707900170928E-7</v>
      </c>
      <c r="AH51" s="24">
        <f>AH47*'R&amp;S - Apparel'!$C$10*'R&amp;S - Apparel'!$B$13*('R&amp;S - Apparel'!$D$18+('R&amp;S - Apparel'!$D$19-'R&amp;S - Apparel'!$D$18)*(AH$3-$X$3)/10)</f>
        <v>2.184549768744774E-7</v>
      </c>
      <c r="AI51" s="24"/>
      <c r="AJ51" s="24">
        <f>AJ47*'R&amp;S - Apparel'!$C$10*'R&amp;S - Apparel'!$B$14*'R&amp;S - Apparel'!$D$17*(AJ$3-$D$3)/10</f>
        <v>0</v>
      </c>
      <c r="AK51" s="24">
        <f>AK47*'R&amp;S - Apparel'!$C$10*'R&amp;S - Apparel'!$B$14*'R&amp;S - Apparel'!$D$17*(AK$3-$D$3)/10</f>
        <v>1.9728740800546034E-9</v>
      </c>
      <c r="AL51" s="24">
        <f>AL47*'R&amp;S - Apparel'!$C$10*'R&amp;S - Apparel'!$B$14*'R&amp;S - Apparel'!$D$17*(AL$3-$D$3)/10</f>
        <v>4.0286088714715005E-9</v>
      </c>
      <c r="AM51" s="24">
        <f>AM47*'R&amp;S - Apparel'!$C$10*'R&amp;S - Apparel'!$B$14*'R&amp;S - Apparel'!$D$17*(AM$3-$D$3)/10</f>
        <v>6.1698144866586012E-9</v>
      </c>
      <c r="AN51" s="24">
        <f>AN47*'R&amp;S - Apparel'!$C$10*'R&amp;S - Apparel'!$B$14*'R&amp;S - Apparel'!$D$17*(AN$3-$D$3)/10</f>
        <v>8.3991741211712416E-9</v>
      </c>
      <c r="AO51" s="24">
        <f>AO47*'R&amp;S - Apparel'!$C$10*'R&amp;S - Apparel'!$B$14*'R&amp;S - Apparel'!$D$17*(AO$3-$D$3)/10</f>
        <v>1.0719445972144795E-8</v>
      </c>
      <c r="AP51" s="24">
        <f>AP47*'R&amp;S - Apparel'!$C$10*'R&amp;S - Apparel'!$B$14*'R&amp;S - Apparel'!$D$17*(AP$3-$D$3)/10</f>
        <v>1.3133465205071804E-8</v>
      </c>
      <c r="AQ51" s="24">
        <f>AQ47*'R&amp;S - Apparel'!$C$10*'R&amp;S - Apparel'!$B$14*'R&amp;S - Apparel'!$D$17*(AQ$3-$D$3)/10</f>
        <v>1.5644145970108027E-8</v>
      </c>
      <c r="AR51" s="24">
        <f>AR47*'R&amp;S - Apparel'!$C$10*'R&amp;S - Apparel'!$B$14*'R&amp;S - Apparel'!$D$17*(AR$3-$D$3)/10</f>
        <v>1.8254483469120338E-8</v>
      </c>
      <c r="AS51" s="24">
        <f>AS47*'R&amp;S - Apparel'!$C$10*'R&amp;S - Apparel'!$B$14*'R&amp;S - Apparel'!$D$17*(AS$3-$D$3)/10</f>
        <v>2.0967556074718345E-8</v>
      </c>
      <c r="AT51" s="24">
        <f>AT47*'R&amp;S - Apparel'!$C$10*'R&amp;S - Apparel'!$B$14*'R&amp;S - Apparel'!$D$17*(AT$3-$D$3)/10</f>
        <v>2.3786527502541592E-8</v>
      </c>
      <c r="AU51" s="24">
        <f>AU47*'R&amp;S - Apparel'!$C$10*'R&amp;S - Apparel'!$B$14*('R&amp;S - Apparel'!$D$17+('R&amp;S - Apparel'!$D$18-'R&amp;S - Apparel'!$D$17)*(AU$3-$N$3)/10)</f>
        <v>2.6714649038104454E-8</v>
      </c>
      <c r="AV51" s="24">
        <f>AV47*'R&amp;S - Apparel'!$C$10*'R&amp;S - Apparel'!$B$14*('R&amp;S - Apparel'!$D$17+('R&amp;S - Apparel'!$D$18-'R&amp;S - Apparel'!$D$17)*(AV$3-$N$3)/10)</f>
        <v>2.9755261819532343E-8</v>
      </c>
      <c r="AW51" s="24">
        <f>AW47*'R&amp;S - Apparel'!$C$10*'R&amp;S - Apparel'!$B$14*('R&amp;S - Apparel'!$D$17+('R&amp;S - Apparel'!$D$18-'R&amp;S - Apparel'!$D$17)*(AW$3-$N$3)/10)</f>
        <v>3.29117991775544E-8</v>
      </c>
      <c r="AX51" s="24">
        <f>AX47*'R&amp;S - Apparel'!$C$10*'R&amp;S - Apparel'!$B$14*('R&amp;S - Apparel'!$D$17+('R&amp;S - Apparel'!$D$18-'R&amp;S - Apparel'!$D$17)*(AX$3-$N$3)/10)</f>
        <v>3.6187789034150967E-8</v>
      </c>
      <c r="AY51" s="24">
        <f>AY47*'R&amp;S - Apparel'!$C$10*'R&amp;S - Apparel'!$B$14*('R&amp;S - Apparel'!$D$17+('R&amp;S - Apparel'!$D$18-'R&amp;S - Apparel'!$D$17)*(AY$3-$N$3)/10)</f>
        <v>3.9586856361287282E-8</v>
      </c>
      <c r="AZ51" s="24">
        <f>AZ47*'R&amp;S - Apparel'!$C$10*'R&amp;S - Apparel'!$B$14*('R&amp;S - Apparel'!$D$17+('R&amp;S - Apparel'!$D$18-'R&amp;S - Apparel'!$D$17)*(AZ$3-$N$3)/10)</f>
        <v>4.3112725701199264E-8</v>
      </c>
      <c r="BA51" s="24">
        <f>BA47*'R&amp;S - Apparel'!$C$10*'R&amp;S - Apparel'!$B$14*('R&amp;S - Apparel'!$D$17+('R&amp;S - Apparel'!$D$18-'R&amp;S - Apparel'!$D$17)*(BA$3-$N$3)/10)</f>
        <v>4.676922374973223E-8</v>
      </c>
      <c r="BB51" s="24">
        <f>BB47*'R&amp;S - Apparel'!$C$10*'R&amp;S - Apparel'!$B$14*('R&amp;S - Apparel'!$D$17+('R&amp;S - Apparel'!$D$18-'R&amp;S - Apparel'!$D$17)*(BB$3-$N$3)/10)</f>
        <v>5.0560282004269345E-8</v>
      </c>
      <c r="BC51" s="24">
        <f>BC47*'R&amp;S - Apparel'!$C$10*'R&amp;S - Apparel'!$B$14*('R&amp;S - Apparel'!$D$17+('R&amp;S - Apparel'!$D$18-'R&amp;S - Apparel'!$D$17)*(BC$3-$N$3)/10)</f>
        <v>5.448993947782338E-8</v>
      </c>
      <c r="BD51" s="24">
        <f>BD47*'R&amp;S - Apparel'!$C$10*'R&amp;S - Apparel'!$B$14*('R&amp;S - Apparel'!$D$17+('R&amp;S - Apparel'!$D$18-'R&amp;S - Apparel'!$D$17)*(BD$3-$N$3)/10)</f>
        <v>5.856234548090281E-8</v>
      </c>
      <c r="BE51" s="24">
        <f>BE47*'R&amp;S - Apparel'!$C$10*'R&amp;S - Apparel'!$B$14*('R&amp;S - Apparel'!$D$18+('R&amp;S - Apparel'!$D$19-'R&amp;S - Apparel'!$D$18)*(BE$3-$X$3)/10)</f>
        <v>6.2872356646644278E-8</v>
      </c>
      <c r="BF51" s="24">
        <f>BF47*'R&amp;S - Apparel'!$C$10*'R&amp;S - Apparel'!$B$14*('R&amp;S - Apparel'!$D$18+('R&amp;S - Apparel'!$D$19-'R&amp;S - Apparel'!$D$18)*(BF$3-$X$3)/10)</f>
        <v>6.7337562286989801E-8</v>
      </c>
      <c r="BG51" s="24">
        <f>BG47*'R&amp;S - Apparel'!$C$10*'R&amp;S - Apparel'!$B$14*('R&amp;S - Apparel'!$D$18+('R&amp;S - Apparel'!$D$19-'R&amp;S - Apparel'!$D$18)*(BG$3-$X$3)/10)</f>
        <v>7.1962579854948671E-8</v>
      </c>
      <c r="BH51" s="24">
        <f>BH47*'R&amp;S - Apparel'!$C$10*'R&amp;S - Apparel'!$B$14*('R&amp;S - Apparel'!$D$18+('R&amp;S - Apparel'!$D$19-'R&amp;S - Apparel'!$D$18)*(BH$3-$X$3)/10)</f>
        <v>7.6752152295793269E-8</v>
      </c>
      <c r="BI51" s="24">
        <f>BI47*'R&amp;S - Apparel'!$C$10*'R&amp;S - Apparel'!$B$14*('R&amp;S - Apparel'!$D$18+('R&amp;S - Apparel'!$D$19-'R&amp;S - Apparel'!$D$18)*(BI$3-$X$3)/10)</f>
        <v>8.1711151281437299E-8</v>
      </c>
      <c r="BJ51" s="24">
        <f>BJ47*'R&amp;S - Apparel'!$C$10*'R&amp;S - Apparel'!$B$14*('R&amp;S - Apparel'!$D$18+('R&amp;S - Apparel'!$D$19-'R&amp;S - Apparel'!$D$18)*(BJ$3-$X$3)/10)</f>
        <v>8.6844580525315917E-8</v>
      </c>
      <c r="BK51" s="24">
        <f>BK47*'R&amp;S - Apparel'!$C$10*'R&amp;S - Apparel'!$B$14*('R&amp;S - Apparel'!$D$18+('R&amp;S - Apparel'!$D$19-'R&amp;S - Apparel'!$D$18)*(BK$3-$X$3)/10)</f>
        <v>9.2157579179722318E-8</v>
      </c>
      <c r="BL51" s="24">
        <f>BL47*'R&amp;S - Apparel'!$C$10*'R&amp;S - Apparel'!$B$14*('R&amp;S - Apparel'!$D$18+('R&amp;S - Apparel'!$D$19-'R&amp;S - Apparel'!$D$18)*(BL$3-$X$3)/10)</f>
        <v>9.7655425317602127E-8</v>
      </c>
      <c r="BM51" s="24">
        <f>BM47*'R&amp;S - Apparel'!$C$10*'R&amp;S - Apparel'!$B$14*('R&amp;S - Apparel'!$D$18+('R&amp;S - Apparel'!$D$19-'R&amp;S - Apparel'!$D$18)*(BM$3-$X$3)/10)</f>
        <v>1.0334353950085464E-7</v>
      </c>
      <c r="BN51" s="24">
        <f>BN47*'R&amp;S - Apparel'!$C$10*'R&amp;S - Apparel'!$B$14*('R&amp;S - Apparel'!$D$18+('R&amp;S - Apparel'!$D$19-'R&amp;S - Apparel'!$D$18)*(BN$3-$X$3)/10)</f>
        <v>1.092274884372387E-7</v>
      </c>
    </row>
    <row r="52" spans="1:66">
      <c r="B52" s="1" t="s">
        <v>195</v>
      </c>
      <c r="C52" s="51" t="s">
        <v>166</v>
      </c>
      <c r="D52" s="25">
        <f>D47-D50-D51</f>
        <v>5.8554420207598117E-7</v>
      </c>
      <c r="E52" s="25">
        <f t="shared" ref="E52:AG52" si="405">E47-E50-E51</f>
        <v>5.7936735484270182E-7</v>
      </c>
      <c r="F52" s="25">
        <f t="shared" si="405"/>
        <v>5.7267285503250927E-7</v>
      </c>
      <c r="G52" s="25">
        <f t="shared" si="405"/>
        <v>5.6544168522680274E-7</v>
      </c>
      <c r="H52" s="25">
        <f t="shared" si="405"/>
        <v>5.5765425756018752E-7</v>
      </c>
      <c r="I52" s="25">
        <f t="shared" si="405"/>
        <v>5.4929039814838935E-7</v>
      </c>
      <c r="J52" s="25">
        <f t="shared" si="405"/>
        <v>5.4032933111371166E-7</v>
      </c>
      <c r="K52" s="25">
        <f t="shared" si="405"/>
        <v>5.3074966219799395E-7</v>
      </c>
      <c r="L52" s="25">
        <f t="shared" si="405"/>
        <v>5.2052936195279499E-7</v>
      </c>
      <c r="M52" s="25">
        <f t="shared" si="405"/>
        <v>5.0964574849626834E-7</v>
      </c>
      <c r="N52" s="25">
        <f t="shared" si="405"/>
        <v>4.9807546982594648E-7</v>
      </c>
      <c r="O52" s="25">
        <f t="shared" si="405"/>
        <v>4.9249154645453173E-7</v>
      </c>
      <c r="P52" s="25">
        <f t="shared" si="405"/>
        <v>4.8645344701932413E-7</v>
      </c>
      <c r="Q52" s="25">
        <f t="shared" si="405"/>
        <v>4.7994455863585145E-7</v>
      </c>
      <c r="R52" s="25">
        <f t="shared" si="405"/>
        <v>4.7294777097013745E-7</v>
      </c>
      <c r="S52" s="25">
        <f t="shared" si="405"/>
        <v>4.6544546267210495E-7</v>
      </c>
      <c r="T52" s="25">
        <f t="shared" si="405"/>
        <v>4.5741948745855724E-7</v>
      </c>
      <c r="U52" s="25">
        <f t="shared" si="405"/>
        <v>4.4885115983700219E-7</v>
      </c>
      <c r="V52" s="25">
        <f t="shared" si="405"/>
        <v>4.3972124046137262E-7</v>
      </c>
      <c r="W52" s="25">
        <f t="shared" si="405"/>
        <v>4.3000992111047856E-7</v>
      </c>
      <c r="X52" s="25">
        <f t="shared" si="405"/>
        <v>4.1969680927980341E-7</v>
      </c>
      <c r="Y52" s="25">
        <f t="shared" si="405"/>
        <v>4.046841745541209E-7</v>
      </c>
      <c r="Z52" s="25">
        <f t="shared" si="405"/>
        <v>3.8885592287706744E-7</v>
      </c>
      <c r="AA52" s="25">
        <f t="shared" si="405"/>
        <v>3.7218441890859935E-7</v>
      </c>
      <c r="AB52" s="25">
        <f t="shared" si="405"/>
        <v>3.5464122631146678E-7</v>
      </c>
      <c r="AC52" s="25">
        <f t="shared" si="405"/>
        <v>3.3619708629651603E-7</v>
      </c>
      <c r="AD52" s="25">
        <f t="shared" si="405"/>
        <v>3.1682189562013388E-7</v>
      </c>
      <c r="AE52" s="25">
        <f t="shared" si="405"/>
        <v>2.9648468402028698E-7</v>
      </c>
      <c r="AF52" s="25">
        <f t="shared" si="405"/>
        <v>2.7515359107727813E-7</v>
      </c>
      <c r="AG52" s="25">
        <f t="shared" si="405"/>
        <v>2.5279584248500979E-7</v>
      </c>
      <c r="AH52" s="25">
        <f>AH47-AH50-AH51</f>
        <v>2.2937772571820121E-7</v>
      </c>
      <c r="AI52" s="24"/>
      <c r="AJ52" s="25">
        <f>AJ47-AJ50-AJ51</f>
        <v>5.8554420207598117E-7</v>
      </c>
      <c r="AK52" s="25">
        <f t="shared" ref="AK52:BM52" si="406">AK47-AK50-AK51</f>
        <v>5.8860399258113929E-7</v>
      </c>
      <c r="AL52" s="25">
        <f t="shared" si="406"/>
        <v>5.9153406929439847E-7</v>
      </c>
      <c r="AM52" s="25">
        <f t="shared" si="406"/>
        <v>5.9432763486888634E-7</v>
      </c>
      <c r="AN52" s="25">
        <f t="shared" si="406"/>
        <v>5.9697766367294378E-7</v>
      </c>
      <c r="AO52" s="25">
        <f t="shared" si="406"/>
        <v>5.9947689519979451E-7</v>
      </c>
      <c r="AP52" s="25">
        <f t="shared" si="406"/>
        <v>6.0181782730109319E-7</v>
      </c>
      <c r="AQ52" s="25">
        <f t="shared" si="406"/>
        <v>6.039927092398633E-7</v>
      </c>
      <c r="AR52" s="25">
        <f t="shared" si="406"/>
        <v>6.0599353455822208E-7</v>
      </c>
      <c r="AS52" s="25">
        <f t="shared" si="406"/>
        <v>6.0781203375517705E-7</v>
      </c>
      <c r="AT52" s="25">
        <f t="shared" si="406"/>
        <v>6.0943966676966394E-7</v>
      </c>
      <c r="AU52" s="25">
        <f t="shared" si="406"/>
        <v>6.1421614565294699E-7</v>
      </c>
      <c r="AV52" s="25">
        <f t="shared" si="406"/>
        <v>6.1892447375628254E-7</v>
      </c>
      <c r="AW52" s="25">
        <f t="shared" si="406"/>
        <v>6.2355968231972531E-7</v>
      </c>
      <c r="AX52" s="25">
        <f t="shared" si="406"/>
        <v>6.2811662394990597E-7</v>
      </c>
      <c r="AY52" s="25">
        <f t="shared" si="406"/>
        <v>6.325899673086512E-7</v>
      </c>
      <c r="AZ52" s="25">
        <f t="shared" si="406"/>
        <v>6.3697419165730199E-7</v>
      </c>
      <c r="BA52" s="25">
        <f t="shared" si="406"/>
        <v>6.412635812530129E-7</v>
      </c>
      <c r="BB52" s="25">
        <f t="shared" si="406"/>
        <v>6.454522195932227E-7</v>
      </c>
      <c r="BC52" s="25">
        <f t="shared" si="406"/>
        <v>6.4953398350438897E-7</v>
      </c>
      <c r="BD52" s="25">
        <f t="shared" si="406"/>
        <v>6.5350253707098354E-7</v>
      </c>
      <c r="BE52" s="25">
        <f t="shared" si="406"/>
        <v>6.5531295648919497E-7</v>
      </c>
      <c r="BF52" s="25">
        <f t="shared" si="406"/>
        <v>6.5691121890412312E-7</v>
      </c>
      <c r="BG52" s="25">
        <f t="shared" si="406"/>
        <v>6.5828761532666628E-7</v>
      </c>
      <c r="BH52" s="25">
        <f t="shared" si="406"/>
        <v>6.5943212255141966E-7</v>
      </c>
      <c r="BI52" s="25">
        <f t="shared" si="406"/>
        <v>6.6033439424125371E-7</v>
      </c>
      <c r="BJ52" s="25">
        <f t="shared" si="406"/>
        <v>6.6098375177601541E-7</v>
      </c>
      <c r="BK52" s="25">
        <f t="shared" si="406"/>
        <v>6.6136917485937688E-7</v>
      </c>
      <c r="BL52" s="25">
        <f t="shared" si="406"/>
        <v>6.6147929187770622E-7</v>
      </c>
      <c r="BM52" s="25">
        <f t="shared" si="406"/>
        <v>6.613023700046925E-7</v>
      </c>
      <c r="BN52" s="25">
        <f>BN47-BN50-BN51</f>
        <v>6.6082630504529393E-7</v>
      </c>
    </row>
    <row r="53" spans="1:66" s="62" customFormat="1">
      <c r="A53" s="684"/>
      <c r="B53" s="55" t="s">
        <v>885</v>
      </c>
      <c r="C53" s="56" t="s">
        <v>166</v>
      </c>
      <c r="D53" s="650">
        <f>D$7/(D$7+D$9)*D52</f>
        <v>9.8185371167294961E-8</v>
      </c>
      <c r="E53" s="650">
        <f t="shared" ref="E53" si="407">E$7/(E$7+E$9)*E52</f>
        <v>9.4847689928115957E-8</v>
      </c>
      <c r="F53" s="650">
        <f t="shared" ref="F53" si="408">F$7/(F$7+F$9)*F52</f>
        <v>9.1844591078306606E-8</v>
      </c>
      <c r="G53" s="650">
        <f t="shared" ref="G53" si="409">G$7/(G$7+G$9)*G52</f>
        <v>8.9088524218144103E-8</v>
      </c>
      <c r="H53" s="650">
        <f t="shared" ref="H53" si="410">H$7/(H$7+H$9)*H52</f>
        <v>8.6514323767112275E-8</v>
      </c>
      <c r="I53" s="650">
        <f t="shared" ref="I53" si="411">I$7/(I$7+I$9)*I52</f>
        <v>8.4072222051890494E-8</v>
      </c>
      <c r="J53" s="650">
        <f t="shared" ref="J53" si="412">J$7/(J$7+J$9)*J52</f>
        <v>8.1723312459072829E-8</v>
      </c>
      <c r="K53" s="650">
        <f t="shared" ref="K53" si="413">K$7/(K$7+K$9)*K52</f>
        <v>7.9436515015020898E-8</v>
      </c>
      <c r="L53" s="650">
        <f t="shared" ref="L53" si="414">L$7/(L$7+L$9)*L52</f>
        <v>7.7186493676244558E-8</v>
      </c>
      <c r="M53" s="650">
        <f t="shared" ref="M53" si="415">M$7/(M$7+M$9)*M52</f>
        <v>7.4952193804761629E-8</v>
      </c>
      <c r="N53" s="650">
        <f t="shared" ref="N53" si="416">N$7/(N$7+N$9)*N52</f>
        <v>7.2715793997930323E-8</v>
      </c>
      <c r="O53" s="650">
        <f t="shared" ref="O53" si="417">O$7/(O$7+O$9)*O52</f>
        <v>7.2146534530037426E-8</v>
      </c>
      <c r="P53" s="650">
        <f t="shared" ref="P53" si="418">P$7/(P$7+P$9)*P52</f>
        <v>7.1515669109567676E-8</v>
      </c>
      <c r="Q53" s="650">
        <f t="shared" ref="Q53" si="419">Q$7/(Q$7+Q$9)*Q52</f>
        <v>7.0819820574882906E-8</v>
      </c>
      <c r="R53" s="650">
        <f t="shared" ref="R53" si="420">R$7/(R$7+R$9)*R52</f>
        <v>7.0055449695504459E-8</v>
      </c>
      <c r="S53" s="650">
        <f t="shared" ref="S53" si="421">S$7/(S$7+S$9)*S52</f>
        <v>6.921884478081466E-8</v>
      </c>
      <c r="T53" s="650">
        <f t="shared" ref="T53" si="422">T$7/(T$7+T$9)*T52</f>
        <v>6.8357653823462754E-8</v>
      </c>
      <c r="U53" s="650">
        <f t="shared" ref="U53" si="423">U$7/(U$7+U$9)*U52</f>
        <v>6.7414921998611971E-8</v>
      </c>
      <c r="V53" s="650">
        <f t="shared" ref="V53" si="424">V$7/(V$7+V$9)*V52</f>
        <v>6.6386224664060677E-8</v>
      </c>
      <c r="W53" s="650">
        <f t="shared" ref="W53" si="425">W$7/(W$7+W$9)*W52</f>
        <v>6.526689515615026E-8</v>
      </c>
      <c r="X53" s="650">
        <f t="shared" ref="X53" si="426">X$7/(X$7+X$9)*X52</f>
        <v>6.4052008612833723E-8</v>
      </c>
      <c r="Y53" s="650">
        <f t="shared" ref="Y53" si="427">Y$7/(Y$7+Y$9)*Y52</f>
        <v>6.2206977227794389E-8</v>
      </c>
      <c r="Z53" s="650">
        <f t="shared" ref="Z53" si="428">Z$7/(Z$7+Z$9)*Z52</f>
        <v>6.0217384940642336E-8</v>
      </c>
      <c r="AA53" s="650">
        <f t="shared" ref="AA53" si="429">AA$7/(AA$7+AA$9)*AA52</f>
        <v>5.8074965123986824E-8</v>
      </c>
      <c r="AB53" s="650">
        <f t="shared" ref="AB53" si="430">AB$7/(AB$7+AB$9)*AB52</f>
        <v>5.5770921156581989E-8</v>
      </c>
      <c r="AC53" s="650">
        <f t="shared" ref="AC53" si="431">AC$7/(AC$7+AC$9)*AC52</f>
        <v>5.3295884709669262E-8</v>
      </c>
      <c r="AD53" s="650">
        <f t="shared" ref="AD53" si="432">AD$7/(AD$7+AD$9)*AD52</f>
        <v>5.0639870036799274E-8</v>
      </c>
      <c r="AE53" s="650">
        <f t="shared" ref="AE53" si="433">AE$7/(AE$7+AE$9)*AE52</f>
        <v>4.7792223812556771E-8</v>
      </c>
      <c r="AF53" s="650">
        <f t="shared" ref="AF53" si="434">AF$7/(AF$7+AF$9)*AF52</f>
        <v>4.4741570005544148E-8</v>
      </c>
      <c r="AG53" s="650">
        <f t="shared" ref="AG53" si="435">AG$7/(AG$7+AG$9)*AG52</f>
        <v>4.147574920183102E-8</v>
      </c>
      <c r="AH53" s="650">
        <f t="shared" ref="AH53" si="436">AH$7/(AH$7+AH$9)*AH52</f>
        <v>3.7981751715297816E-8</v>
      </c>
      <c r="AI53" s="650"/>
      <c r="AJ53" s="650">
        <f>AJ$7/(AJ$7+AJ$9)*AJ52</f>
        <v>9.8185371167294961E-8</v>
      </c>
      <c r="AK53" s="650">
        <f t="shared" ref="AK53" si="437">AK$7/(AK$7+AK$9)*AK52</f>
        <v>9.6359811287510643E-8</v>
      </c>
      <c r="AL53" s="650">
        <f t="shared" ref="AL53" si="438">AL$7/(AL$7+AL$9)*AL52</f>
        <v>9.4869530179052353E-8</v>
      </c>
      <c r="AM53" s="650">
        <f t="shared" ref="AM53" si="439">AM$7/(AM$7+AM$9)*AM52</f>
        <v>9.3639668379403881E-8</v>
      </c>
      <c r="AN53" s="650">
        <f t="shared" ref="AN53" si="440">AN$7/(AN$7+AN$9)*AN52</f>
        <v>9.2614945867531646E-8</v>
      </c>
      <c r="AO53" s="650">
        <f t="shared" ref="AO53" si="441">AO$7/(AO$7+AO$9)*AO52</f>
        <v>9.1753569365324609E-8</v>
      </c>
      <c r="AP53" s="650">
        <f t="shared" ref="AP53" si="442">AP$7/(AP$7+AP$9)*AP52</f>
        <v>9.1023276938518001E-8</v>
      </c>
      <c r="AQ53" s="650">
        <f t="shared" ref="AQ53" si="443">AQ$7/(AQ$7+AQ$9)*AQ52</f>
        <v>9.0398693270570857E-8</v>
      </c>
      <c r="AR53" s="650">
        <f t="shared" ref="AR53" si="444">AR$7/(AR$7+AR$9)*AR52</f>
        <v>8.9859515220325114E-8</v>
      </c>
      <c r="AS53" s="650">
        <f t="shared" ref="AS53" si="445">AS$7/(AS$7+AS$9)*AS52</f>
        <v>8.9389238476533507E-8</v>
      </c>
      <c r="AT53" s="650">
        <f t="shared" ref="AT53" si="446">AT$7/(AT$7+AT$9)*AT52</f>
        <v>8.8974245767366271E-8</v>
      </c>
      <c r="AU53" s="650">
        <f t="shared" ref="AU53" si="447">AU$7/(AU$7+AU$9)*AU52</f>
        <v>8.9978328928226573E-8</v>
      </c>
      <c r="AV53" s="650">
        <f t="shared" ref="AV53" si="448">AV$7/(AV$7+AV$9)*AV52</f>
        <v>9.0990819656396207E-8</v>
      </c>
      <c r="AW53" s="650">
        <f t="shared" ref="AW53" si="449">AW$7/(AW$7+AW$9)*AW52</f>
        <v>9.2011429289106212E-8</v>
      </c>
      <c r="AX53" s="650">
        <f t="shared" ref="AX53" si="450">AX$7/(AX$7+AX$9)*AX52</f>
        <v>9.3039856096099738E-8</v>
      </c>
      <c r="AY53" s="650">
        <f t="shared" ref="AY53" si="451">AY$7/(AY$7+AY$9)*AY52</f>
        <v>9.4075783885952571E-8</v>
      </c>
      <c r="AZ53" s="650">
        <f t="shared" ref="AZ53" si="452">AZ$7/(AZ$7+AZ$9)*AZ52</f>
        <v>9.5190656457842396E-8</v>
      </c>
      <c r="BA53" s="650">
        <f t="shared" ref="BA53" si="453">BA$7/(BA$7+BA$9)*BA52</f>
        <v>9.6314186480929304E-8</v>
      </c>
      <c r="BB53" s="650">
        <f t="shared" ref="BB53" si="454">BB$7/(BB$7+BB$9)*BB52</f>
        <v>9.7446136590703071E-8</v>
      </c>
      <c r="BC53" s="650">
        <f t="shared" ref="BC53" si="455">BC$7/(BC$7+BC$9)*BC52</f>
        <v>9.8586251899164719E-8</v>
      </c>
      <c r="BD53" s="650">
        <f t="shared" ref="BD53" si="456">BD$7/(BD$7+BD$9)*BD52</f>
        <v>9.9734258654021212E-8</v>
      </c>
      <c r="BE53" s="650">
        <f t="shared" ref="BE53" si="457">BE$7/(BE$7+BE$9)*BE52</f>
        <v>1.0073296838532588E-7</v>
      </c>
      <c r="BF53" s="650">
        <f t="shared" ref="BF53" si="458">BF$7/(BF$7+BF$9)*BF52</f>
        <v>1.0172784677650857E-7</v>
      </c>
      <c r="BG53" s="650">
        <f t="shared" ref="BG53" si="459">BG$7/(BG$7+BG$9)*BG52</f>
        <v>1.027179762488582E-7</v>
      </c>
      <c r="BH53" s="650">
        <f t="shared" ref="BH53" si="460">BH$7/(BH$7+BH$9)*BH52</f>
        <v>1.0370237351546064E-7</v>
      </c>
      <c r="BI53" s="650">
        <f t="shared" ref="BI53" si="461">BI$7/(BI$7+BI$9)*BI52</f>
        <v>1.0467998438948948E-7</v>
      </c>
      <c r="BJ53" s="650">
        <f t="shared" ref="BJ53" si="462">BJ$7/(BJ$7+BJ$9)*BJ52</f>
        <v>1.056496780970787E-7</v>
      </c>
      <c r="BK53" s="650">
        <f t="shared" ref="BK53" si="463">BK$7/(BK$7+BK$9)*BK52</f>
        <v>1.0661024103842928E-7</v>
      </c>
      <c r="BL53" s="650">
        <f t="shared" ref="BL53" si="464">BL$7/(BL$7+BL$9)*BL52</f>
        <v>1.0756036993335878E-7</v>
      </c>
      <c r="BM53" s="650">
        <f t="shared" ref="BM53" si="465">BM$7/(BM$7+BM$9)*BM52</f>
        <v>1.0849866427893294E-7</v>
      </c>
      <c r="BN53" s="650">
        <f t="shared" ref="BN53" si="466">BN$7/(BN$7+BN$9)*BN52</f>
        <v>1.0942361803692941E-7</v>
      </c>
    </row>
    <row r="54" spans="1:66">
      <c r="A54" s="685"/>
      <c r="B54" s="1" t="s">
        <v>1182</v>
      </c>
      <c r="C54" s="51" t="s">
        <v>166</v>
      </c>
      <c r="D54" s="24">
        <v>0</v>
      </c>
      <c r="E54" s="24">
        <v>0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24">
        <v>0</v>
      </c>
      <c r="L54" s="24">
        <v>0</v>
      </c>
      <c r="M54" s="24">
        <v>0</v>
      </c>
      <c r="N54" s="24">
        <v>0</v>
      </c>
      <c r="O54" s="24">
        <v>0</v>
      </c>
      <c r="P54" s="24">
        <v>0</v>
      </c>
      <c r="Q54" s="24">
        <v>0</v>
      </c>
      <c r="R54" s="24">
        <v>0</v>
      </c>
      <c r="S54" s="24">
        <v>0</v>
      </c>
      <c r="T54" s="24">
        <v>0</v>
      </c>
      <c r="U54" s="24">
        <v>0</v>
      </c>
      <c r="V54" s="24">
        <v>0</v>
      </c>
      <c r="W54" s="24">
        <v>0</v>
      </c>
      <c r="X54" s="24">
        <v>0</v>
      </c>
      <c r="Y54" s="24">
        <v>0</v>
      </c>
      <c r="Z54" s="24">
        <v>0</v>
      </c>
      <c r="AA54" s="24">
        <v>0</v>
      </c>
      <c r="AB54" s="24">
        <v>0</v>
      </c>
      <c r="AC54" s="24">
        <v>0</v>
      </c>
      <c r="AD54" s="24">
        <v>0</v>
      </c>
      <c r="AE54" s="24">
        <v>0</v>
      </c>
      <c r="AF54" s="24">
        <v>0</v>
      </c>
      <c r="AG54" s="24">
        <v>0</v>
      </c>
      <c r="AH54" s="24">
        <v>0</v>
      </c>
      <c r="AI54" s="24"/>
      <c r="AJ54" s="24">
        <v>0</v>
      </c>
      <c r="AK54" s="24">
        <v>0</v>
      </c>
      <c r="AL54" s="24">
        <v>0</v>
      </c>
      <c r="AM54" s="24">
        <v>0</v>
      </c>
      <c r="AN54" s="24">
        <v>0</v>
      </c>
      <c r="AO54" s="24">
        <v>0</v>
      </c>
      <c r="AP54" s="24">
        <v>0</v>
      </c>
      <c r="AQ54" s="24">
        <v>0</v>
      </c>
      <c r="AR54" s="24">
        <v>0</v>
      </c>
      <c r="AS54" s="24">
        <v>0</v>
      </c>
      <c r="AT54" s="24">
        <v>0</v>
      </c>
      <c r="AU54" s="24">
        <v>0</v>
      </c>
      <c r="AV54" s="24">
        <v>0</v>
      </c>
      <c r="AW54" s="24">
        <v>0</v>
      </c>
      <c r="AX54" s="24">
        <v>0</v>
      </c>
      <c r="AY54" s="24">
        <v>0</v>
      </c>
      <c r="AZ54" s="24">
        <v>0</v>
      </c>
      <c r="BA54" s="24">
        <v>0</v>
      </c>
      <c r="BB54" s="24">
        <v>0</v>
      </c>
      <c r="BC54" s="24">
        <v>0</v>
      </c>
      <c r="BD54" s="24">
        <v>0</v>
      </c>
      <c r="BE54" s="24">
        <v>0</v>
      </c>
      <c r="BF54" s="24">
        <v>0</v>
      </c>
      <c r="BG54" s="24">
        <v>0</v>
      </c>
      <c r="BH54" s="24">
        <v>0</v>
      </c>
      <c r="BI54" s="24">
        <v>0</v>
      </c>
      <c r="BJ54" s="24">
        <v>0</v>
      </c>
      <c r="BK54" s="24">
        <v>0</v>
      </c>
      <c r="BL54" s="24">
        <v>0</v>
      </c>
      <c r="BM54" s="24">
        <v>0</v>
      </c>
      <c r="BN54" s="24">
        <v>0</v>
      </c>
    </row>
    <row r="55" spans="1:66" s="63" customFormat="1">
      <c r="A55" s="686"/>
      <c r="B55" s="59" t="s">
        <v>27</v>
      </c>
      <c r="C55" s="262" t="s">
        <v>166</v>
      </c>
      <c r="D55" s="652">
        <f>D$9/(D$7+D$9)*D52</f>
        <v>4.8735883090868618E-7</v>
      </c>
      <c r="E55" s="652">
        <f t="shared" ref="E55:AH55" si="467">E$9/(E$7+E$9)*E52</f>
        <v>4.8451966491458589E-7</v>
      </c>
      <c r="F55" s="652">
        <f t="shared" si="467"/>
        <v>4.8082826395420268E-7</v>
      </c>
      <c r="G55" s="652">
        <f t="shared" si="467"/>
        <v>4.7635316100865861E-7</v>
      </c>
      <c r="H55" s="652">
        <f t="shared" si="467"/>
        <v>4.7113993379307525E-7</v>
      </c>
      <c r="I55" s="652">
        <f t="shared" si="467"/>
        <v>4.6521817609649884E-7</v>
      </c>
      <c r="J55" s="652">
        <f t="shared" si="467"/>
        <v>4.5860601865463885E-7</v>
      </c>
      <c r="K55" s="652">
        <f t="shared" si="467"/>
        <v>4.5131314718297306E-7</v>
      </c>
      <c r="L55" s="652">
        <f t="shared" si="467"/>
        <v>4.4334286827655046E-7</v>
      </c>
      <c r="M55" s="652">
        <f t="shared" si="467"/>
        <v>4.3469355469150675E-7</v>
      </c>
      <c r="N55" s="652">
        <f t="shared" si="467"/>
        <v>4.2535967582801619E-7</v>
      </c>
      <c r="O55" s="652">
        <f t="shared" si="467"/>
        <v>4.2034501192449431E-7</v>
      </c>
      <c r="P55" s="652">
        <f t="shared" si="467"/>
        <v>4.1493777790975644E-7</v>
      </c>
      <c r="Q55" s="652">
        <f t="shared" si="467"/>
        <v>4.0912473806096851E-7</v>
      </c>
      <c r="R55" s="652">
        <f t="shared" si="467"/>
        <v>4.0289232127463299E-7</v>
      </c>
      <c r="S55" s="652">
        <f t="shared" si="467"/>
        <v>3.9622661789129027E-7</v>
      </c>
      <c r="T55" s="652">
        <f t="shared" si="467"/>
        <v>3.8906183363509445E-7</v>
      </c>
      <c r="U55" s="652">
        <f t="shared" si="467"/>
        <v>3.8143623783839026E-7</v>
      </c>
      <c r="V55" s="652">
        <f t="shared" si="467"/>
        <v>3.7333501579731196E-7</v>
      </c>
      <c r="W55" s="652">
        <f t="shared" si="467"/>
        <v>3.6474302595432829E-7</v>
      </c>
      <c r="X55" s="652">
        <f t="shared" si="467"/>
        <v>3.556448006669697E-7</v>
      </c>
      <c r="Y55" s="652">
        <f t="shared" si="467"/>
        <v>3.4247719732632651E-7</v>
      </c>
      <c r="Z55" s="652">
        <f t="shared" si="467"/>
        <v>3.286385379364251E-7</v>
      </c>
      <c r="AA55" s="652">
        <f t="shared" si="467"/>
        <v>3.1410945378461257E-7</v>
      </c>
      <c r="AB55" s="652">
        <f t="shared" si="467"/>
        <v>2.9887030515488476E-7</v>
      </c>
      <c r="AC55" s="652">
        <f t="shared" si="467"/>
        <v>2.8290120158684681E-7</v>
      </c>
      <c r="AD55" s="652">
        <f t="shared" si="467"/>
        <v>2.661820255833346E-7</v>
      </c>
      <c r="AE55" s="652">
        <f t="shared" si="467"/>
        <v>2.4869246020773019E-7</v>
      </c>
      <c r="AF55" s="652">
        <f t="shared" si="467"/>
        <v>2.3041202107173399E-7</v>
      </c>
      <c r="AG55" s="652">
        <f t="shared" si="467"/>
        <v>2.1132009328317877E-7</v>
      </c>
      <c r="AH55" s="652">
        <f t="shared" si="467"/>
        <v>1.913959740029034E-7</v>
      </c>
      <c r="AI55" s="652"/>
      <c r="AJ55" s="652">
        <f>AJ$9/(AJ$7+AJ$9)*AJ52</f>
        <v>4.8735883090868618E-7</v>
      </c>
      <c r="AK55" s="652">
        <f t="shared" ref="AK55:BN55" si="468">AK$9/(AK$7+AK$9)*AK52</f>
        <v>4.9224418129362862E-7</v>
      </c>
      <c r="AL55" s="652">
        <f t="shared" si="468"/>
        <v>4.9666453911534614E-7</v>
      </c>
      <c r="AM55" s="652">
        <f t="shared" si="468"/>
        <v>5.0068796648948245E-7</v>
      </c>
      <c r="AN55" s="652">
        <f t="shared" si="468"/>
        <v>5.0436271780541214E-7</v>
      </c>
      <c r="AO55" s="652">
        <f t="shared" si="468"/>
        <v>5.077233258344699E-7</v>
      </c>
      <c r="AP55" s="652">
        <f t="shared" si="468"/>
        <v>5.1079455036257518E-7</v>
      </c>
      <c r="AQ55" s="652">
        <f t="shared" si="468"/>
        <v>5.1359401596929245E-7</v>
      </c>
      <c r="AR55" s="652">
        <f t="shared" si="468"/>
        <v>5.1613401933789708E-7</v>
      </c>
      <c r="AS55" s="652">
        <f t="shared" si="468"/>
        <v>5.1842279527864354E-7</v>
      </c>
      <c r="AT55" s="652">
        <f t="shared" si="468"/>
        <v>5.2046542100229764E-7</v>
      </c>
      <c r="AU55" s="652">
        <f t="shared" si="468"/>
        <v>5.2423781672472039E-7</v>
      </c>
      <c r="AV55" s="652">
        <f t="shared" si="468"/>
        <v>5.2793365409988632E-7</v>
      </c>
      <c r="AW55" s="652">
        <f t="shared" si="468"/>
        <v>5.3154825303061911E-7</v>
      </c>
      <c r="AX55" s="652">
        <f t="shared" si="468"/>
        <v>5.3507676785380622E-7</v>
      </c>
      <c r="AY55" s="652">
        <f t="shared" si="468"/>
        <v>5.3851418342269856E-7</v>
      </c>
      <c r="AZ55" s="652">
        <f t="shared" si="468"/>
        <v>5.4178353519945957E-7</v>
      </c>
      <c r="BA55" s="652">
        <f t="shared" si="468"/>
        <v>5.4494939477208365E-7</v>
      </c>
      <c r="BB55" s="652">
        <f t="shared" si="468"/>
        <v>5.4800608300251963E-7</v>
      </c>
      <c r="BC55" s="652">
        <f t="shared" si="468"/>
        <v>5.5094773160522423E-7</v>
      </c>
      <c r="BD55" s="652">
        <f t="shared" si="468"/>
        <v>5.5376827841696236E-7</v>
      </c>
      <c r="BE55" s="652">
        <f t="shared" si="468"/>
        <v>5.545799881038691E-7</v>
      </c>
      <c r="BF55" s="652">
        <f t="shared" si="468"/>
        <v>5.5518337212761454E-7</v>
      </c>
      <c r="BG55" s="652">
        <f t="shared" si="468"/>
        <v>5.5556963907780813E-7</v>
      </c>
      <c r="BH55" s="652">
        <f t="shared" si="468"/>
        <v>5.5572974903595893E-7</v>
      </c>
      <c r="BI55" s="652">
        <f t="shared" si="468"/>
        <v>5.556544098517643E-7</v>
      </c>
      <c r="BJ55" s="652">
        <f t="shared" si="468"/>
        <v>5.5533407367893676E-7</v>
      </c>
      <c r="BK55" s="652">
        <f t="shared" si="468"/>
        <v>5.5475893382094758E-7</v>
      </c>
      <c r="BL55" s="652">
        <f t="shared" si="468"/>
        <v>5.5391892194434743E-7</v>
      </c>
      <c r="BM55" s="652">
        <f t="shared" si="468"/>
        <v>5.5280370572575955E-7</v>
      </c>
      <c r="BN55" s="652">
        <f t="shared" si="468"/>
        <v>5.5140268700836448E-7</v>
      </c>
    </row>
    <row r="56" spans="1:66">
      <c r="A56" s="55" t="s">
        <v>303</v>
      </c>
      <c r="B56" s="55" t="s">
        <v>916</v>
      </c>
      <c r="C56" s="56" t="s">
        <v>166</v>
      </c>
      <c r="D56" s="24">
        <f>D6-D18-D29-D40-D47-D11</f>
        <v>28.986408735783659</v>
      </c>
      <c r="E56" s="24">
        <f t="shared" ref="E56:AH56" si="469">E6-E18-E29-E40-E47-E11</f>
        <v>32.538981899397555</v>
      </c>
      <c r="F56" s="24">
        <f t="shared" si="469"/>
        <v>36.072872382877449</v>
      </c>
      <c r="G56" s="24">
        <f t="shared" si="469"/>
        <v>39.587674661687416</v>
      </c>
      <c r="H56" s="24">
        <f t="shared" si="469"/>
        <v>43.082974284803818</v>
      </c>
      <c r="I56" s="24">
        <f t="shared" si="469"/>
        <v>46.558347676070056</v>
      </c>
      <c r="J56" s="24">
        <f t="shared" si="469"/>
        <v>50.013361931093236</v>
      </c>
      <c r="K56" s="24">
        <f t="shared" si="469"/>
        <v>53.447574609583185</v>
      </c>
      <c r="L56" s="24">
        <f t="shared" si="469"/>
        <v>56.86053352302936</v>
      </c>
      <c r="M56" s="24">
        <f t="shared" si="469"/>
        <v>60.251776517612214</v>
      </c>
      <c r="N56" s="24">
        <f t="shared" si="469"/>
        <v>63.620831252239675</v>
      </c>
      <c r="O56" s="24">
        <f t="shared" si="469"/>
        <v>64.283438865394629</v>
      </c>
      <c r="P56" s="24">
        <f t="shared" si="469"/>
        <v>64.922882061705707</v>
      </c>
      <c r="Q56" s="24">
        <f t="shared" si="469"/>
        <v>65.538656556075551</v>
      </c>
      <c r="R56" s="24">
        <f t="shared" si="469"/>
        <v>66.130246937299489</v>
      </c>
      <c r="S56" s="24">
        <f t="shared" si="469"/>
        <v>66.697126420028837</v>
      </c>
      <c r="T56" s="24">
        <f t="shared" si="469"/>
        <v>67.038756591160762</v>
      </c>
      <c r="U56" s="24">
        <f t="shared" si="469"/>
        <v>67.354587150528573</v>
      </c>
      <c r="V56" s="24">
        <f t="shared" si="469"/>
        <v>67.644055645763643</v>
      </c>
      <c r="W56" s="24">
        <f t="shared" si="469"/>
        <v>67.90658720119724</v>
      </c>
      <c r="X56" s="24">
        <f t="shared" si="469"/>
        <v>68.14159424066753</v>
      </c>
      <c r="Y56" s="24">
        <f t="shared" si="469"/>
        <v>67.948476204093566</v>
      </c>
      <c r="Z56" s="24">
        <f t="shared" si="469"/>
        <v>67.726619257676049</v>
      </c>
      <c r="AA56" s="24">
        <f t="shared" si="469"/>
        <v>67.475395997579739</v>
      </c>
      <c r="AB56" s="24">
        <f t="shared" si="469"/>
        <v>67.194165146950951</v>
      </c>
      <c r="AC56" s="24">
        <f t="shared" si="469"/>
        <v>66.882271246118762</v>
      </c>
      <c r="AD56" s="24">
        <f t="shared" si="469"/>
        <v>66.539044335825878</v>
      </c>
      <c r="AE56" s="24">
        <f t="shared" si="469"/>
        <v>66.163799633331678</v>
      </c>
      <c r="AF56" s="24">
        <f t="shared" si="469"/>
        <v>65.755837201225887</v>
      </c>
      <c r="AG56" s="24">
        <f t="shared" si="469"/>
        <v>65.314441608787675</v>
      </c>
      <c r="AH56" s="24">
        <f t="shared" si="469"/>
        <v>64.838881585722191</v>
      </c>
      <c r="AI56" s="24"/>
      <c r="AJ56" s="24">
        <f>AJ6-AJ18-AJ29-AJ40-AJ47-AJ11</f>
        <v>28.986408735783659</v>
      </c>
      <c r="AK56" s="24">
        <f t="shared" ref="AK56:BN56" si="470">AK6-AK18-AK29-AK40-AK47-AK11</f>
        <v>32.538981899397555</v>
      </c>
      <c r="AL56" s="24">
        <f t="shared" si="470"/>
        <v>36.072872382877449</v>
      </c>
      <c r="AM56" s="24">
        <f t="shared" si="470"/>
        <v>39.587674661687416</v>
      </c>
      <c r="AN56" s="24">
        <f t="shared" si="470"/>
        <v>43.082974284803818</v>
      </c>
      <c r="AO56" s="24">
        <f t="shared" si="470"/>
        <v>46.558347676070056</v>
      </c>
      <c r="AP56" s="24">
        <f t="shared" si="470"/>
        <v>50.013361931093236</v>
      </c>
      <c r="AQ56" s="24">
        <f t="shared" si="470"/>
        <v>53.447574609583185</v>
      </c>
      <c r="AR56" s="24">
        <f t="shared" si="470"/>
        <v>56.86053352302936</v>
      </c>
      <c r="AS56" s="24">
        <f t="shared" si="470"/>
        <v>60.251776517612214</v>
      </c>
      <c r="AT56" s="24">
        <f t="shared" si="470"/>
        <v>63.620831252239675</v>
      </c>
      <c r="AU56" s="24">
        <f t="shared" si="470"/>
        <v>64.283438865394629</v>
      </c>
      <c r="AV56" s="24">
        <f t="shared" si="470"/>
        <v>64.922882061705707</v>
      </c>
      <c r="AW56" s="24">
        <f t="shared" si="470"/>
        <v>65.538656556075551</v>
      </c>
      <c r="AX56" s="24">
        <f t="shared" si="470"/>
        <v>66.130246937299489</v>
      </c>
      <c r="AY56" s="24">
        <f t="shared" si="470"/>
        <v>66.697126420028837</v>
      </c>
      <c r="AZ56" s="24">
        <f t="shared" si="470"/>
        <v>67.038756591160762</v>
      </c>
      <c r="BA56" s="24">
        <f t="shared" si="470"/>
        <v>67.354587150528573</v>
      </c>
      <c r="BB56" s="24">
        <f t="shared" si="470"/>
        <v>67.644055645763643</v>
      </c>
      <c r="BC56" s="24">
        <f t="shared" si="470"/>
        <v>67.90658720119724</v>
      </c>
      <c r="BD56" s="24">
        <f t="shared" si="470"/>
        <v>68.14159424066753</v>
      </c>
      <c r="BE56" s="24">
        <f t="shared" si="470"/>
        <v>67.948476204093566</v>
      </c>
      <c r="BF56" s="24">
        <f t="shared" si="470"/>
        <v>67.726619257676049</v>
      </c>
      <c r="BG56" s="24">
        <f t="shared" si="470"/>
        <v>67.475395997579739</v>
      </c>
      <c r="BH56" s="24">
        <f t="shared" si="470"/>
        <v>67.194165146950951</v>
      </c>
      <c r="BI56" s="24">
        <f t="shared" si="470"/>
        <v>66.882271246118762</v>
      </c>
      <c r="BJ56" s="24">
        <f t="shared" si="470"/>
        <v>66.539044335825878</v>
      </c>
      <c r="BK56" s="24">
        <f t="shared" si="470"/>
        <v>66.163799633331678</v>
      </c>
      <c r="BL56" s="24">
        <f t="shared" si="470"/>
        <v>65.755837201225887</v>
      </c>
      <c r="BM56" s="24">
        <f t="shared" si="470"/>
        <v>65.314441608787675</v>
      </c>
      <c r="BN56" s="24">
        <f t="shared" si="470"/>
        <v>64.838881585722191</v>
      </c>
    </row>
    <row r="57" spans="1:66">
      <c r="B57" s="1" t="s">
        <v>164</v>
      </c>
      <c r="C57" s="51" t="s">
        <v>166</v>
      </c>
      <c r="D57" s="24">
        <v>0</v>
      </c>
      <c r="E57" s="24">
        <f>E56*'R&amp;S - Others'!$D$7*'R&amp;S - Others'!$B$11*'R&amp;S - Others'!$B$15*(E$3-$D$3)/10</f>
        <v>0.1610679604020179</v>
      </c>
      <c r="F57" s="24">
        <f>F56*'R&amp;S - Others'!$D$7*'R&amp;S - Others'!$B$11*'R&amp;S - Others'!$B$15*(F$3-$D$3)/10</f>
        <v>0.35712143659048673</v>
      </c>
      <c r="G57" s="24">
        <f>G56*'R&amp;S - Others'!$D$7*'R&amp;S - Others'!$B$11*'R&amp;S - Others'!$B$15*(G$3-$D$3)/10</f>
        <v>0.5878769687260581</v>
      </c>
      <c r="H57" s="24">
        <f>H56*'R&amp;S - Others'!$D$7*'R&amp;S - Others'!$B$11*'R&amp;S - Others'!$B$15*(H$3-$D$3)/10</f>
        <v>0.85304289083911544</v>
      </c>
      <c r="I57" s="24">
        <f>I56*'R&amp;S - Others'!$D$7*'R&amp;S - Others'!$B$11*'R&amp;S - Others'!$B$15*(I$3-$D$3)/10</f>
        <v>1.1523191049827339</v>
      </c>
      <c r="J57" s="24">
        <f>J56*'R&amp;S - Others'!$D$7*'R&amp;S - Others'!$B$11*'R&amp;S - Others'!$B$15*(J$3-$D$3)/10</f>
        <v>1.4853968493534691</v>
      </c>
      <c r="K57" s="24">
        <f>K56*'R&amp;S - Others'!$D$7*'R&amp;S - Others'!$B$11*'R&amp;S - Others'!$B$15*(K$3-$D$3)/10</f>
        <v>1.8519584602220576</v>
      </c>
      <c r="L57" s="24">
        <f>L56*'R&amp;S - Others'!$D$7*'R&amp;S - Others'!$B$11*'R&amp;S - Others'!$B$15*(L$3-$D$3)/10</f>
        <v>2.2516771275119627</v>
      </c>
      <c r="M57" s="24">
        <f>M56*'R&amp;S - Others'!$D$7*'R&amp;S - Others'!$B$11*'R&amp;S - Others'!$B$15*(M$3-$D$3)/10</f>
        <v>2.684216643859624</v>
      </c>
      <c r="N57" s="24">
        <f>N56*'R&amp;S - Others'!$D$7*'R&amp;S - Others'!$B$11*'R&amp;S - Others'!$B$15*(N$3-$D$3)/10</f>
        <v>3.1492311469858638</v>
      </c>
      <c r="O57" s="24">
        <f>O56*'R&amp;S - Others'!$D$7*'R&amp;S - Others'!$B$11*('R&amp;S - Others'!$B$15+('R&amp;S - Others'!$B$16-'R&amp;S - Others'!$B$15)*(O$3-$N$3)/10)</f>
        <v>3.5002332462207373</v>
      </c>
      <c r="P57" s="24">
        <f>P56*'R&amp;S - Others'!$D$7*'R&amp;S - Others'!$B$11*('R&amp;S - Others'!$B$15+('R&amp;S - Others'!$B$16-'R&amp;S - Others'!$B$15)*(P$3-$N$3)/10)</f>
        <v>3.8564191944653192</v>
      </c>
      <c r="Q57" s="24">
        <f>Q56*'R&amp;S - Others'!$D$7*'R&amp;S - Others'!$B$11*('R&amp;S - Others'!$B$15+('R&amp;S - Others'!$B$16-'R&amp;S - Others'!$B$15)*(Q$3-$N$3)/10)</f>
        <v>4.2174125493834618</v>
      </c>
      <c r="R57" s="24">
        <f>R56*'R&amp;S - Others'!$D$7*'R&amp;S - Others'!$B$11*('R&amp;S - Others'!$B$15+('R&amp;S - Others'!$B$16-'R&amp;S - Others'!$B$15)*(R$3-$N$3)/10)</f>
        <v>4.5828261127548551</v>
      </c>
      <c r="S57" s="24">
        <f>S56*'R&amp;S - Others'!$D$7*'R&amp;S - Others'!$B$11*('R&amp;S - Others'!$B$15+('R&amp;S - Others'!$B$16-'R&amp;S - Others'!$B$15)*(S$3-$N$3)/10)</f>
        <v>4.9522616366871413</v>
      </c>
      <c r="T57" s="24">
        <f>T56*'R&amp;S - Others'!$D$7*'R&amp;S - Others'!$B$11*('R&amp;S - Others'!$B$15+('R&amp;S - Others'!$B$16-'R&amp;S - Others'!$B$15)*(T$3-$N$3)/10)</f>
        <v>5.3094695220199322</v>
      </c>
      <c r="U57" s="24">
        <f>U56*'R&amp;S - Others'!$D$7*'R&amp;S - Others'!$B$11*('R&amp;S - Others'!$B$15+('R&amp;S - Others'!$B$16-'R&amp;S - Others'!$B$15)*(U$3-$N$3)/10)</f>
        <v>5.6678885087169801</v>
      </c>
      <c r="V57" s="24">
        <f>V56*'R&amp;S - Others'!$D$7*'R&amp;S - Others'!$B$11*('R&amp;S - Others'!$B$15+('R&amp;S - Others'!$B$16-'R&amp;S - Others'!$B$15)*(V$3-$N$3)/10)</f>
        <v>6.0270853580375414</v>
      </c>
      <c r="W57" s="24">
        <f>W56*'R&amp;S - Others'!$D$7*'R&amp;S - Others'!$B$11*('R&amp;S - Others'!$B$15+('R&amp;S - Others'!$B$16-'R&amp;S - Others'!$B$15)*(W$3-$N$3)/10)</f>
        <v>6.3866145262726004</v>
      </c>
      <c r="X57" s="24">
        <f>X56*'R&amp;S - Others'!$D$7*'R&amp;S - Others'!$B$11*('R&amp;S - Others'!$B$15+('R&amp;S - Others'!$B$16-'R&amp;S - Others'!$B$15)*(X$3-$N$3)/10)</f>
        <v>6.7460178298260853</v>
      </c>
      <c r="Y57" s="24">
        <f>Y56*'R&amp;S - Others'!$D$7*'R&amp;S - Others'!$B$11*('R&amp;S - Others'!$B$16+('R&amp;S - Others'!$B$17-'R&amp;S - Others'!$B$16)*(Y$3-$X$3)/10)</f>
        <v>7.0734363728461407</v>
      </c>
      <c r="Z57" s="24">
        <f>Z56*'R&amp;S - Others'!$D$7*'R&amp;S - Others'!$B$11*('R&amp;S - Others'!$B$16+('R&amp;S - Others'!$B$17-'R&amp;S - Others'!$B$16)*(Z$3-$X$3)/10)</f>
        <v>7.3957468229382233</v>
      </c>
      <c r="AA57" s="24">
        <f>AA56*'R&amp;S - Others'!$D$7*'R&amp;S - Others'!$B$11*('R&amp;S - Others'!$B$16+('R&amp;S - Others'!$B$17-'R&amp;S - Others'!$B$16)*(AA$3-$X$3)/10)</f>
        <v>7.712437762523364</v>
      </c>
      <c r="AB57" s="24">
        <f>AB56*'R&amp;S - Others'!$D$7*'R&amp;S - Others'!$B$11*('R&amp;S - Others'!$B$16+('R&amp;S - Others'!$B$17-'R&amp;S - Others'!$B$16)*(AB$3-$X$3)/10)</f>
        <v>8.0229833185459434</v>
      </c>
      <c r="AC57" s="24">
        <f>AC56*'R&amp;S - Others'!$D$7*'R&amp;S - Others'!$B$11*('R&amp;S - Others'!$B$16+('R&amp;S - Others'!$B$17-'R&amp;S - Others'!$B$16)*(AC$3-$X$3)/10)</f>
        <v>8.3268427701417878</v>
      </c>
      <c r="AD57" s="24">
        <f>AD56*'R&amp;S - Others'!$D$7*'R&amp;S - Others'!$B$11*('R&amp;S - Others'!$B$16+('R&amp;S - Others'!$B$17-'R&amp;S - Others'!$B$16)*(AD$3-$X$3)/10)</f>
        <v>8.6234601459230351</v>
      </c>
      <c r="AE57" s="24">
        <f>AE56*'R&amp;S - Others'!$D$7*'R&amp;S - Others'!$B$11*('R&amp;S - Others'!$B$16+('R&amp;S - Others'!$B$17-'R&amp;S - Others'!$B$16)*(AE$3-$X$3)/10)</f>
        <v>8.912263810609776</v>
      </c>
      <c r="AF57" s="24">
        <f>AF56*'R&amp;S - Others'!$D$7*'R&amp;S - Others'!$B$11*('R&amp;S - Others'!$B$16+('R&amp;S - Others'!$B$17-'R&amp;S - Others'!$B$16)*(AF$3-$X$3)/10)</f>
        <v>9.1926660407313783</v>
      </c>
      <c r="AG57" s="24">
        <f>AG56*'R&amp;S - Others'!$D$7*'R&amp;S - Others'!$B$11*('R&amp;S - Others'!$B$16+('R&amp;S - Others'!$B$17-'R&amp;S - Others'!$B$16)*(AG$3-$X$3)/10)</f>
        <v>9.4640625891133325</v>
      </c>
      <c r="AH57" s="24">
        <f>AH56*'R&amp;S - Others'!$D$7*'R&amp;S - Others'!$B$11*('R&amp;S - Others'!$B$16+('R&amp;S - Others'!$B$17-'R&amp;S - Others'!$B$16)*(AH$3-$X$3)/10)</f>
        <v>9.7258322378583291</v>
      </c>
      <c r="AI57" s="24"/>
      <c r="AJ57" s="24">
        <v>0</v>
      </c>
      <c r="AK57" s="24">
        <f>AK56*'R&amp;S - Others'!$D$7*'R&amp;S - Others'!$B$12*'R&amp;S - Others'!$B$15*(AK$3-$D$3)/10</f>
        <v>8.0533980201008951E-2</v>
      </c>
      <c r="AL57" s="24">
        <f>AL56*'R&amp;S - Others'!$D$7*'R&amp;S - Others'!$B$12*'R&amp;S - Others'!$B$15*(AL$3-$D$3)/10</f>
        <v>0.17856071829524336</v>
      </c>
      <c r="AM57" s="24">
        <f>AM56*'R&amp;S - Others'!$D$7*'R&amp;S - Others'!$B$12*'R&amp;S - Others'!$B$15*(AM$3-$D$3)/10</f>
        <v>0.29393848436302905</v>
      </c>
      <c r="AN57" s="24">
        <f>AN56*'R&amp;S - Others'!$D$7*'R&amp;S - Others'!$B$12*'R&amp;S - Others'!$B$15*(AN$3-$D$3)/10</f>
        <v>0.42652144541955772</v>
      </c>
      <c r="AO57" s="24">
        <f>AO56*'R&amp;S - Others'!$D$7*'R&amp;S - Others'!$B$12*'R&amp;S - Others'!$B$15*(AO$3-$D$3)/10</f>
        <v>0.57615955249136697</v>
      </c>
      <c r="AP57" s="24">
        <f>AP56*'R&amp;S - Others'!$D$7*'R&amp;S - Others'!$B$12*'R&amp;S - Others'!$B$15*(AP$3-$D$3)/10</f>
        <v>0.74269842467673453</v>
      </c>
      <c r="AQ57" s="24">
        <f>AQ56*'R&amp;S - Others'!$D$7*'R&amp;S - Others'!$B$12*'R&amp;S - Others'!$B$15*(AQ$3-$D$3)/10</f>
        <v>0.92597923011102878</v>
      </c>
      <c r="AR57" s="24">
        <f>AR56*'R&amp;S - Others'!$D$7*'R&amp;S - Others'!$B$12*'R&amp;S - Others'!$B$15*(AR$3-$D$3)/10</f>
        <v>1.1258385637559813</v>
      </c>
      <c r="AS57" s="24">
        <f>AS56*'R&amp;S - Others'!$D$7*'R&amp;S - Others'!$B$12*'R&amp;S - Others'!$B$15*(AS$3-$D$3)/10</f>
        <v>1.342108321929812</v>
      </c>
      <c r="AT57" s="24">
        <f>AT56*'R&amp;S - Others'!$D$7*'R&amp;S - Others'!$B$12*'R&amp;S - Others'!$B$15*(AT$3-$D$3)/10</f>
        <v>1.5746155734929319</v>
      </c>
      <c r="AU57" s="24">
        <f>AU56*'R&amp;S - Others'!$D$7*'R&amp;S - Others'!$B$12*('R&amp;S - Others'!$B$15+('R&amp;S - Others'!$B$16-'R&amp;S - Others'!$B$15)*(AU$3-$N$3)/10)</f>
        <v>1.7501166231103686</v>
      </c>
      <c r="AV57" s="24">
        <f>AV56*'R&amp;S - Others'!$D$7*'R&amp;S - Others'!$B$12*('R&amp;S - Others'!$B$15+('R&amp;S - Others'!$B$16-'R&amp;S - Others'!$B$15)*(AV$3-$N$3)/10)</f>
        <v>1.9282095972326596</v>
      </c>
      <c r="AW57" s="24">
        <f>AW56*'R&amp;S - Others'!$D$7*'R&amp;S - Others'!$B$12*('R&amp;S - Others'!$B$15+('R&amp;S - Others'!$B$16-'R&amp;S - Others'!$B$15)*(AW$3-$N$3)/10)</f>
        <v>2.1087062746917309</v>
      </c>
      <c r="AX57" s="24">
        <f>AX56*'R&amp;S - Others'!$D$7*'R&amp;S - Others'!$B$12*('R&amp;S - Others'!$B$15+('R&amp;S - Others'!$B$16-'R&amp;S - Others'!$B$15)*(AX$3-$N$3)/10)</f>
        <v>2.2914130563774275</v>
      </c>
      <c r="AY57" s="24">
        <f>AY56*'R&amp;S - Others'!$D$7*'R&amp;S - Others'!$B$12*('R&amp;S - Others'!$B$15+('R&amp;S - Others'!$B$16-'R&amp;S - Others'!$B$15)*(AY$3-$N$3)/10)</f>
        <v>2.4761308183435706</v>
      </c>
      <c r="AZ57" s="24">
        <f>AZ56*'R&amp;S - Others'!$D$7*'R&amp;S - Others'!$B$12*('R&amp;S - Others'!$B$15+('R&amp;S - Others'!$B$16-'R&amp;S - Others'!$B$15)*(AZ$3-$N$3)/10)</f>
        <v>2.6547347610099661</v>
      </c>
      <c r="BA57" s="24">
        <f>BA56*'R&amp;S - Others'!$D$7*'R&amp;S - Others'!$B$12*('R&amp;S - Others'!$B$15+('R&amp;S - Others'!$B$16-'R&amp;S - Others'!$B$15)*(BA$3-$N$3)/10)</f>
        <v>2.8339442543584901</v>
      </c>
      <c r="BB57" s="24">
        <f>BB56*'R&amp;S - Others'!$D$7*'R&amp;S - Others'!$B$12*('R&amp;S - Others'!$B$15+('R&amp;S - Others'!$B$16-'R&amp;S - Others'!$B$15)*(BB$3-$N$3)/10)</f>
        <v>3.0135426790187707</v>
      </c>
      <c r="BC57" s="24">
        <f>BC56*'R&amp;S - Others'!$D$7*'R&amp;S - Others'!$B$12*('R&amp;S - Others'!$B$15+('R&amp;S - Others'!$B$16-'R&amp;S - Others'!$B$15)*(BC$3-$N$3)/10)</f>
        <v>3.1933072631363002</v>
      </c>
      <c r="BD57" s="24">
        <f>BD56*'R&amp;S - Others'!$D$7*'R&amp;S - Others'!$B$12*('R&amp;S - Others'!$B$15+('R&amp;S - Others'!$B$16-'R&amp;S - Others'!$B$15)*(BD$3-$N$3)/10)</f>
        <v>3.3730089149130427</v>
      </c>
      <c r="BE57" s="24">
        <f>BE56*'R&amp;S - Others'!$D$7*'R&amp;S - Others'!$B$12*('R&amp;S - Others'!$B$16+('R&amp;S - Others'!$B$17-'R&amp;S - Others'!$B$16)*(BE$3-$X$3)/10)</f>
        <v>3.5367181864230703</v>
      </c>
      <c r="BF57" s="24">
        <f>BF56*'R&amp;S - Others'!$D$7*'R&amp;S - Others'!$B$12*('R&amp;S - Others'!$B$16+('R&amp;S - Others'!$B$17-'R&amp;S - Others'!$B$16)*(BF$3-$X$3)/10)</f>
        <v>3.6978734114691116</v>
      </c>
      <c r="BG57" s="24">
        <f>BG56*'R&amp;S - Others'!$D$7*'R&amp;S - Others'!$B$12*('R&amp;S - Others'!$B$16+('R&amp;S - Others'!$B$17-'R&amp;S - Others'!$B$16)*(BG$3-$X$3)/10)</f>
        <v>3.856218881261682</v>
      </c>
      <c r="BH57" s="24">
        <f>BH56*'R&amp;S - Others'!$D$7*'R&amp;S - Others'!$B$12*('R&amp;S - Others'!$B$16+('R&amp;S - Others'!$B$17-'R&amp;S - Others'!$B$16)*(BH$3-$X$3)/10)</f>
        <v>4.0114916592729717</v>
      </c>
      <c r="BI57" s="24">
        <f>BI56*'R&amp;S - Others'!$D$7*'R&amp;S - Others'!$B$12*('R&amp;S - Others'!$B$16+('R&amp;S - Others'!$B$17-'R&amp;S - Others'!$B$16)*(BI$3-$X$3)/10)</f>
        <v>4.1634213850708939</v>
      </c>
      <c r="BJ57" s="24">
        <f>BJ56*'R&amp;S - Others'!$D$7*'R&amp;S - Others'!$B$12*('R&amp;S - Others'!$B$16+('R&amp;S - Others'!$B$17-'R&amp;S - Others'!$B$16)*(BJ$3-$X$3)/10)</f>
        <v>4.3117300729615176</v>
      </c>
      <c r="BK57" s="24">
        <f>BK56*'R&amp;S - Others'!$D$7*'R&amp;S - Others'!$B$12*('R&amp;S - Others'!$B$16+('R&amp;S - Others'!$B$17-'R&amp;S - Others'!$B$16)*(BK$3-$X$3)/10)</f>
        <v>4.456131905304888</v>
      </c>
      <c r="BL57" s="24">
        <f>BL56*'R&amp;S - Others'!$D$7*'R&amp;S - Others'!$B$12*('R&amp;S - Others'!$B$16+('R&amp;S - Others'!$B$17-'R&amp;S - Others'!$B$16)*(BL$3-$X$3)/10)</f>
        <v>4.5963330203656891</v>
      </c>
      <c r="BM57" s="24">
        <f>BM56*'R&amp;S - Others'!$D$7*'R&amp;S - Others'!$B$12*('R&amp;S - Others'!$B$16+('R&amp;S - Others'!$B$17-'R&amp;S - Others'!$B$16)*(BM$3-$X$3)/10)</f>
        <v>4.7320312945566663</v>
      </c>
      <c r="BN57" s="24">
        <f>BN56*'R&amp;S - Others'!$D$7*'R&amp;S - Others'!$B$12*('R&amp;S - Others'!$B$16+('R&amp;S - Others'!$B$17-'R&amp;S - Others'!$B$16)*(BN$3-$X$3)/10)</f>
        <v>4.8629161189291645</v>
      </c>
    </row>
    <row r="58" spans="1:66">
      <c r="B58" s="1" t="s">
        <v>167</v>
      </c>
      <c r="C58" s="51" t="s">
        <v>166</v>
      </c>
      <c r="D58" s="24">
        <v>0</v>
      </c>
      <c r="E58" s="24">
        <f>E56*'R&amp;S - Others'!$D$8*'R&amp;S - Others'!$B$11*'R&amp;S - Others'!$C$15*(E$3-$D$3)/10</f>
        <v>5.3689320134005979E-2</v>
      </c>
      <c r="F58" s="24">
        <f>F56*'R&amp;S - Others'!$D$8*'R&amp;S - Others'!$B$11*'R&amp;S - Others'!$C$15*(F$3-$D$3)/10</f>
        <v>0.11904047886349559</v>
      </c>
      <c r="G58" s="24">
        <f>G56*'R&amp;S - Others'!$D$8*'R&amp;S - Others'!$B$11*'R&amp;S - Others'!$C$15*(G$3-$D$3)/10</f>
        <v>0.19595898957535271</v>
      </c>
      <c r="H58" s="24">
        <f>H56*'R&amp;S - Others'!$D$8*'R&amp;S - Others'!$B$11*'R&amp;S - Others'!$C$15*(H$3-$D$3)/10</f>
        <v>0.28434763027970528</v>
      </c>
      <c r="I58" s="24">
        <f>I56*'R&amp;S - Others'!$D$8*'R&amp;S - Others'!$B$11*'R&amp;S - Others'!$C$15*(I$3-$D$3)/10</f>
        <v>0.384106368327578</v>
      </c>
      <c r="J58" s="24">
        <f>J56*'R&amp;S - Others'!$D$8*'R&amp;S - Others'!$B$11*'R&amp;S - Others'!$C$15*(J$3-$D$3)/10</f>
        <v>0.49513228311782315</v>
      </c>
      <c r="K58" s="24">
        <f>K56*'R&amp;S - Others'!$D$8*'R&amp;S - Others'!$B$11*'R&amp;S - Others'!$C$15*(K$3-$D$3)/10</f>
        <v>0.61731948674068582</v>
      </c>
      <c r="L58" s="24">
        <f>L56*'R&amp;S - Others'!$D$8*'R&amp;S - Others'!$B$11*'R&amp;S - Others'!$C$15*(L$3-$D$3)/10</f>
        <v>0.75055904250398764</v>
      </c>
      <c r="M58" s="24">
        <f>M56*'R&amp;S - Others'!$D$8*'R&amp;S - Others'!$B$11*'R&amp;S - Others'!$C$15*(M$3-$D$3)/10</f>
        <v>0.89473888128654155</v>
      </c>
      <c r="N58" s="24">
        <f>N56*'R&amp;S - Others'!$D$8*'R&amp;S - Others'!$B$11*'R&amp;S - Others'!$C$15*(N$3-$D$3)/10</f>
        <v>1.0497437156619549</v>
      </c>
      <c r="O58" s="24">
        <f>O56*'R&amp;S - Others'!$D$8*'R&amp;S - Others'!$B$11*'R&amp;S - Others'!$C$15*(O$3-$D$3)/10</f>
        <v>1.1667444154069126</v>
      </c>
      <c r="P58" s="24">
        <f>P56*'R&amp;S - Others'!$D$8*'R&amp;S - Others'!$B$11*'R&amp;S - Others'!$C$15*(P$3-$D$3)/10</f>
        <v>1.2854730648217729</v>
      </c>
      <c r="Q58" s="24">
        <f>Q56*'R&amp;S - Others'!$D$8*'R&amp;S - Others'!$B$11*'R&amp;S - Others'!$C$15*(Q$3-$D$3)/10</f>
        <v>1.4058041831278207</v>
      </c>
      <c r="R58" s="24">
        <f>R56*'R&amp;S - Others'!$D$8*'R&amp;S - Others'!$B$11*'R&amp;S - Others'!$C$15*(R$3-$D$3)/10</f>
        <v>1.5276087042516184</v>
      </c>
      <c r="S58" s="24">
        <f>S56*'R&amp;S - Others'!$D$8*'R&amp;S - Others'!$B$11*'R&amp;S - Others'!$C$15*(S$3-$D$3)/10</f>
        <v>1.6507538788957141</v>
      </c>
      <c r="T58" s="24">
        <f>T56*'R&amp;S - Others'!$D$8*'R&amp;S - Others'!$B$11*'R&amp;S - Others'!$C$15*(T$3-$D$3)/10</f>
        <v>1.7698231740066444</v>
      </c>
      <c r="U58" s="24">
        <f>U56*'R&amp;S - Others'!$D$8*'R&amp;S - Others'!$B$11*'R&amp;S - Others'!$C$15*(U$3-$D$3)/10</f>
        <v>1.8892961695723269</v>
      </c>
      <c r="V58" s="24">
        <f>V56*'R&amp;S - Others'!$D$8*'R&amp;S - Others'!$B$11*'R&amp;S - Others'!$C$15*(V$3-$D$3)/10</f>
        <v>2.0090284526791802</v>
      </c>
      <c r="W58" s="24">
        <f>W56*'R&amp;S - Others'!$D$8*'R&amp;S - Others'!$B$11*'R&amp;S - Others'!$C$15*(W$3-$D$3)/10</f>
        <v>2.1288715087575336</v>
      </c>
      <c r="X58" s="24">
        <f>X56*'R&amp;S - Others'!$D$8*'R&amp;S - Others'!$B$11*'R&amp;S - Others'!$C$15*(X$3-$D$3)/10</f>
        <v>2.2486726099420289</v>
      </c>
      <c r="Y58" s="24">
        <f>Y56*'R&amp;S - Others'!$D$8*'R&amp;S - Others'!$B$11*('R&amp;S - Others'!$C$16+('R&amp;S - Others'!$C$17-'R&amp;S - Others'!$C$16)*(Y$3-$X$3)/10)</f>
        <v>2.3578121242820469</v>
      </c>
      <c r="Z58" s="24">
        <f>Z56*'R&amp;S - Others'!$D$8*'R&amp;S - Others'!$B$11*('R&amp;S - Others'!$C$16+('R&amp;S - Others'!$C$17-'R&amp;S - Others'!$C$16)*(Z$3-$X$3)/10)</f>
        <v>2.4652489409794081</v>
      </c>
      <c r="AA58" s="24">
        <f>AA56*'R&amp;S - Others'!$D$8*'R&amp;S - Others'!$B$11*('R&amp;S - Others'!$C$16+('R&amp;S - Others'!$C$17-'R&amp;S - Others'!$C$16)*(AA$3-$X$3)/10)</f>
        <v>2.5708125875077883</v>
      </c>
      <c r="AB58" s="24">
        <f>AB56*'R&amp;S - Others'!$D$8*'R&amp;S - Others'!$B$11*('R&amp;S - Others'!$C$16+('R&amp;S - Others'!$C$17-'R&amp;S - Others'!$C$16)*(AB$3-$X$3)/10)</f>
        <v>2.6743277728486481</v>
      </c>
      <c r="AC58" s="24">
        <f>AC56*'R&amp;S - Others'!$D$8*'R&amp;S - Others'!$B$11*('R&amp;S - Others'!$C$16+('R&amp;S - Others'!$C$17-'R&amp;S - Others'!$C$16)*(AC$3-$X$3)/10)</f>
        <v>2.7756142567139293</v>
      </c>
      <c r="AD58" s="24">
        <f>AD56*'R&amp;S - Others'!$D$8*'R&amp;S - Others'!$B$11*('R&amp;S - Others'!$C$16+('R&amp;S - Others'!$C$17-'R&amp;S - Others'!$C$16)*(AD$3-$X$3)/10)</f>
        <v>2.8744867153076785</v>
      </c>
      <c r="AE58" s="24">
        <f>AE56*'R&amp;S - Others'!$D$8*'R&amp;S - Others'!$B$11*('R&amp;S - Others'!$C$16+('R&amp;S - Others'!$C$17-'R&amp;S - Others'!$C$16)*(AE$3-$X$3)/10)</f>
        <v>2.9707546035365926</v>
      </c>
      <c r="AF58" s="24">
        <f>AF56*'R&amp;S - Others'!$D$8*'R&amp;S - Others'!$B$11*('R&amp;S - Others'!$C$16+('R&amp;S - Others'!$C$17-'R&amp;S - Others'!$C$16)*(AF$3-$X$3)/10)</f>
        <v>3.0642220135771261</v>
      </c>
      <c r="AG58" s="24">
        <f>AG56*'R&amp;S - Others'!$D$8*'R&amp;S - Others'!$B$11*('R&amp;S - Others'!$C$16+('R&amp;S - Others'!$C$17-'R&amp;S - Others'!$C$16)*(AG$3-$X$3)/10)</f>
        <v>3.1546875297044448</v>
      </c>
      <c r="AH58" s="24">
        <f>AH56*'R&amp;S - Others'!$D$8*'R&amp;S - Others'!$B$11*('R&amp;S - Others'!$C$16+('R&amp;S - Others'!$C$17-'R&amp;S - Others'!$C$16)*(AH$3-$X$3)/10)</f>
        <v>3.2419440792861098</v>
      </c>
      <c r="AI58" s="24"/>
      <c r="AJ58" s="24">
        <v>0</v>
      </c>
      <c r="AK58" s="24">
        <f>AK56*'R&amp;S - Others'!$D$8*'R&amp;S - Others'!$B$12*'R&amp;S - Others'!$C$15*(AK$3-$D$3)/10</f>
        <v>2.6844660067002989E-2</v>
      </c>
      <c r="AL58" s="24">
        <f>AL56*'R&amp;S - Others'!$D$8*'R&amp;S - Others'!$B$12*'R&amp;S - Others'!$C$15*(AL$3-$D$3)/10</f>
        <v>5.9520239431747793E-2</v>
      </c>
      <c r="AM58" s="24">
        <f>AM56*'R&amp;S - Others'!$D$8*'R&amp;S - Others'!$B$12*'R&amp;S - Others'!$C$15*(AM$3-$D$3)/10</f>
        <v>9.7979494787676355E-2</v>
      </c>
      <c r="AN58" s="24">
        <f>AN56*'R&amp;S - Others'!$D$8*'R&amp;S - Others'!$B$12*'R&amp;S - Others'!$C$15*(AN$3-$D$3)/10</f>
        <v>0.14217381513985264</v>
      </c>
      <c r="AO58" s="24">
        <f>AO56*'R&amp;S - Others'!$D$8*'R&amp;S - Others'!$B$12*'R&amp;S - Others'!$C$15*(AO$3-$D$3)/10</f>
        <v>0.192053184163789</v>
      </c>
      <c r="AP58" s="24">
        <f>AP56*'R&amp;S - Others'!$D$8*'R&amp;S - Others'!$B$12*'R&amp;S - Others'!$C$15*(AP$3-$D$3)/10</f>
        <v>0.24756614155891157</v>
      </c>
      <c r="AQ58" s="24">
        <f>AQ56*'R&amp;S - Others'!$D$8*'R&amp;S - Others'!$B$12*'R&amp;S - Others'!$C$15*(AQ$3-$D$3)/10</f>
        <v>0.30865974337034291</v>
      </c>
      <c r="AR58" s="24">
        <f>AR56*'R&amp;S - Others'!$D$8*'R&amp;S - Others'!$B$12*'R&amp;S - Others'!$C$15*(AR$3-$D$3)/10</f>
        <v>0.37527952125199382</v>
      </c>
      <c r="AS58" s="24">
        <f>AS56*'R&amp;S - Others'!$D$8*'R&amp;S - Others'!$B$12*'R&amp;S - Others'!$C$15*(AS$3-$D$3)/10</f>
        <v>0.44736944064327078</v>
      </c>
      <c r="AT58" s="24">
        <f>AT56*'R&amp;S - Others'!$D$8*'R&amp;S - Others'!$B$12*'R&amp;S - Others'!$C$15*(AT$3-$D$3)/10</f>
        <v>0.52487185783097745</v>
      </c>
      <c r="AU58" s="24">
        <f>AU56*'R&amp;S - Others'!$D$8*'R&amp;S - Others'!$B$12*'R&amp;S - Others'!$C$15*(AU$3-$D$3)/10</f>
        <v>0.58337220770345632</v>
      </c>
      <c r="AV58" s="24">
        <f>AV56*'R&amp;S - Others'!$D$8*'R&amp;S - Others'!$B$12*'R&amp;S - Others'!$C$15*(AV$3-$D$3)/10</f>
        <v>0.64273653241088646</v>
      </c>
      <c r="AW58" s="24">
        <f>AW56*'R&amp;S - Others'!$D$8*'R&amp;S - Others'!$B$12*'R&amp;S - Others'!$C$15*(AW$3-$D$3)/10</f>
        <v>0.70290209156391037</v>
      </c>
      <c r="AX58" s="24">
        <f>AX56*'R&amp;S - Others'!$D$8*'R&amp;S - Others'!$B$12*'R&amp;S - Others'!$C$15*(AX$3-$D$3)/10</f>
        <v>0.76380435212580922</v>
      </c>
      <c r="AY58" s="24">
        <f>AY56*'R&amp;S - Others'!$D$8*'R&amp;S - Others'!$B$12*'R&amp;S - Others'!$C$15*(AY$3-$D$3)/10</f>
        <v>0.82537693944785706</v>
      </c>
      <c r="AZ58" s="24">
        <f>AZ56*'R&amp;S - Others'!$D$8*'R&amp;S - Others'!$B$12*'R&amp;S - Others'!$C$15*(AZ$3-$D$3)/10</f>
        <v>0.88491158700332218</v>
      </c>
      <c r="BA58" s="24">
        <f>BA56*'R&amp;S - Others'!$D$8*'R&amp;S - Others'!$B$12*'R&amp;S - Others'!$C$15*(BA$3-$D$3)/10</f>
        <v>0.94464808478616347</v>
      </c>
      <c r="BB58" s="24">
        <f>BB56*'R&amp;S - Others'!$D$8*'R&amp;S - Others'!$B$12*'R&amp;S - Others'!$C$15*(BB$3-$D$3)/10</f>
        <v>1.0045142263395901</v>
      </c>
      <c r="BC58" s="24">
        <f>BC56*'R&amp;S - Others'!$D$8*'R&amp;S - Others'!$B$12*'R&amp;S - Others'!$C$15*(BC$3-$D$3)/10</f>
        <v>1.0644357543787668</v>
      </c>
      <c r="BD58" s="24">
        <f>BD56*'R&amp;S - Others'!$D$8*'R&amp;S - Others'!$B$12*'R&amp;S - Others'!$C$15*(BD$3-$D$3)/10</f>
        <v>1.1243363049710144</v>
      </c>
      <c r="BE58" s="24">
        <f>BE56*'R&amp;S - Others'!$D$8*'R&amp;S - Others'!$B$12*('R&amp;S - Others'!$C$16+('R&amp;S - Others'!$C$17-'R&amp;S - Others'!$C$16)*(BE$3-$X$3)/10)</f>
        <v>1.1789060621410234</v>
      </c>
      <c r="BF58" s="24">
        <f>BF56*'R&amp;S - Others'!$D$8*'R&amp;S - Others'!$B$12*('R&amp;S - Others'!$C$16+('R&amp;S - Others'!$C$17-'R&amp;S - Others'!$C$16)*(BF$3-$X$3)/10)</f>
        <v>1.232624470489704</v>
      </c>
      <c r="BG58" s="24">
        <f>BG56*'R&amp;S - Others'!$D$8*'R&amp;S - Others'!$B$12*('R&amp;S - Others'!$C$16+('R&amp;S - Others'!$C$17-'R&amp;S - Others'!$C$16)*(BG$3-$X$3)/10)</f>
        <v>1.2854062937538941</v>
      </c>
      <c r="BH58" s="24">
        <f>BH56*'R&amp;S - Others'!$D$8*'R&amp;S - Others'!$B$12*('R&amp;S - Others'!$C$16+('R&amp;S - Others'!$C$17-'R&amp;S - Others'!$C$16)*(BH$3-$X$3)/10)</f>
        <v>1.337163886424324</v>
      </c>
      <c r="BI58" s="24">
        <f>BI56*'R&amp;S - Others'!$D$8*'R&amp;S - Others'!$B$12*('R&amp;S - Others'!$C$16+('R&amp;S - Others'!$C$17-'R&amp;S - Others'!$C$16)*(BI$3-$X$3)/10)</f>
        <v>1.3878071283569646</v>
      </c>
      <c r="BJ58" s="24">
        <f>BJ56*'R&amp;S - Others'!$D$8*'R&amp;S - Others'!$B$12*('R&amp;S - Others'!$C$16+('R&amp;S - Others'!$C$17-'R&amp;S - Others'!$C$16)*(BJ$3-$X$3)/10)</f>
        <v>1.4372433576538393</v>
      </c>
      <c r="BK58" s="24">
        <f>BK56*'R&amp;S - Others'!$D$8*'R&amp;S - Others'!$B$12*('R&amp;S - Others'!$C$16+('R&amp;S - Others'!$C$17-'R&amp;S - Others'!$C$16)*(BK$3-$X$3)/10)</f>
        <v>1.4853773017682963</v>
      </c>
      <c r="BL58" s="24">
        <f>BL56*'R&amp;S - Others'!$D$8*'R&amp;S - Others'!$B$12*('R&amp;S - Others'!$C$16+('R&amp;S - Others'!$C$17-'R&amp;S - Others'!$C$16)*(BL$3-$X$3)/10)</f>
        <v>1.532111006788563</v>
      </c>
      <c r="BM58" s="24">
        <f>BM56*'R&amp;S - Others'!$D$8*'R&amp;S - Others'!$B$12*('R&amp;S - Others'!$C$16+('R&amp;S - Others'!$C$17-'R&amp;S - Others'!$C$16)*(BM$3-$X$3)/10)</f>
        <v>1.5773437648522224</v>
      </c>
      <c r="BN58" s="24">
        <f>BN56*'R&amp;S - Others'!$D$8*'R&amp;S - Others'!$B$12*('R&amp;S - Others'!$C$16+('R&amp;S - Others'!$C$17-'R&amp;S - Others'!$C$16)*(BN$3-$X$3)/10)</f>
        <v>1.6209720396430549</v>
      </c>
    </row>
    <row r="59" spans="1:66">
      <c r="A59" s="167"/>
      <c r="B59" s="167" t="s">
        <v>195</v>
      </c>
      <c r="C59" s="168" t="s">
        <v>166</v>
      </c>
      <c r="D59" s="654">
        <f>D56-D57-D58</f>
        <v>28.986408735783659</v>
      </c>
      <c r="E59" s="654">
        <f t="shared" ref="E59:AH59" si="471">E56-E57-E58</f>
        <v>32.324224618861535</v>
      </c>
      <c r="F59" s="654">
        <f t="shared" si="471"/>
        <v>35.596710467423463</v>
      </c>
      <c r="G59" s="654">
        <f t="shared" si="471"/>
        <v>38.803838703386006</v>
      </c>
      <c r="H59" s="654">
        <f t="shared" si="471"/>
        <v>41.945583763685001</v>
      </c>
      <c r="I59" s="654">
        <f t="shared" si="471"/>
        <v>45.02192220275974</v>
      </c>
      <c r="J59" s="654">
        <f t="shared" si="471"/>
        <v>48.032832798621939</v>
      </c>
      <c r="K59" s="654">
        <f t="shared" si="471"/>
        <v>50.978296662620444</v>
      </c>
      <c r="L59" s="654">
        <f t="shared" si="471"/>
        <v>53.858297353013413</v>
      </c>
      <c r="M59" s="654">
        <f t="shared" si="471"/>
        <v>56.67282099246605</v>
      </c>
      <c r="N59" s="654">
        <f t="shared" si="471"/>
        <v>59.421856389591859</v>
      </c>
      <c r="O59" s="654">
        <f t="shared" si="471"/>
        <v>59.616461203766981</v>
      </c>
      <c r="P59" s="654">
        <f t="shared" si="471"/>
        <v>59.780989802418617</v>
      </c>
      <c r="Q59" s="654">
        <f t="shared" si="471"/>
        <v>59.91543982356427</v>
      </c>
      <c r="R59" s="654">
        <f t="shared" si="471"/>
        <v>60.019812120293011</v>
      </c>
      <c r="S59" s="654">
        <f t="shared" si="471"/>
        <v>60.094110904445984</v>
      </c>
      <c r="T59" s="654">
        <f t="shared" si="471"/>
        <v>59.959463895134185</v>
      </c>
      <c r="U59" s="654">
        <f t="shared" si="471"/>
        <v>59.79740247223927</v>
      </c>
      <c r="V59" s="654">
        <f t="shared" si="471"/>
        <v>59.607941835046923</v>
      </c>
      <c r="W59" s="654">
        <f t="shared" si="471"/>
        <v>59.391101166167104</v>
      </c>
      <c r="X59" s="654">
        <f t="shared" si="471"/>
        <v>59.146903800899416</v>
      </c>
      <c r="Y59" s="654">
        <f t="shared" si="471"/>
        <v>58.517227706965379</v>
      </c>
      <c r="Z59" s="654">
        <f t="shared" si="471"/>
        <v>57.86562349375842</v>
      </c>
      <c r="AA59" s="654">
        <f t="shared" si="471"/>
        <v>57.192145647548585</v>
      </c>
      <c r="AB59" s="654">
        <f t="shared" si="471"/>
        <v>56.496854055556362</v>
      </c>
      <c r="AC59" s="654">
        <f t="shared" si="471"/>
        <v>55.779814219263045</v>
      </c>
      <c r="AD59" s="654">
        <f t="shared" si="471"/>
        <v>55.041097474595169</v>
      </c>
      <c r="AE59" s="654">
        <f t="shared" si="471"/>
        <v>54.280781219185315</v>
      </c>
      <c r="AF59" s="654">
        <f t="shared" si="471"/>
        <v>53.498949146917383</v>
      </c>
      <c r="AG59" s="654">
        <f t="shared" si="471"/>
        <v>52.695691489969896</v>
      </c>
      <c r="AH59" s="654">
        <f t="shared" si="471"/>
        <v>51.871105268577757</v>
      </c>
      <c r="AI59" s="24"/>
      <c r="AJ59" s="654">
        <f>AJ56-AJ57-AJ58</f>
        <v>28.986408735783659</v>
      </c>
      <c r="AK59" s="654">
        <f t="shared" ref="AK59" si="472">AK56-AK57-AK58</f>
        <v>32.431603259129538</v>
      </c>
      <c r="AL59" s="654">
        <f t="shared" ref="AL59" si="473">AL56-AL57-AL58</f>
        <v>35.834791425150456</v>
      </c>
      <c r="AM59" s="654">
        <f t="shared" ref="AM59" si="474">AM56-AM57-AM58</f>
        <v>39.195756682536704</v>
      </c>
      <c r="AN59" s="654">
        <f t="shared" ref="AN59" si="475">AN56-AN57-AN58</f>
        <v>42.514279024244402</v>
      </c>
      <c r="AO59" s="654">
        <f t="shared" ref="AO59" si="476">AO56-AO57-AO58</f>
        <v>45.790134939414898</v>
      </c>
      <c r="AP59" s="654">
        <f t="shared" ref="AP59" si="477">AP56-AP57-AP58</f>
        <v>49.023097364857591</v>
      </c>
      <c r="AQ59" s="654">
        <f t="shared" ref="AQ59" si="478">AQ56-AQ57-AQ58</f>
        <v>52.212935636101818</v>
      </c>
      <c r="AR59" s="654">
        <f t="shared" ref="AR59" si="479">AR56-AR57-AR58</f>
        <v>55.359415438021379</v>
      </c>
      <c r="AS59" s="654">
        <f t="shared" ref="AS59" si="480">AS56-AS57-AS58</f>
        <v>58.462298755039129</v>
      </c>
      <c r="AT59" s="654">
        <f t="shared" ref="AT59" si="481">AT56-AT57-AT58</f>
        <v>61.52134382091576</v>
      </c>
      <c r="AU59" s="654">
        <f t="shared" ref="AU59" si="482">AU56-AU57-AU58</f>
        <v>61.949950034580809</v>
      </c>
      <c r="AV59" s="654">
        <f t="shared" ref="AV59" si="483">AV56-AV57-AV58</f>
        <v>62.351935932062162</v>
      </c>
      <c r="AW59" s="654">
        <f t="shared" ref="AW59" si="484">AW56-AW57-AW58</f>
        <v>62.727048189819904</v>
      </c>
      <c r="AX59" s="654">
        <f t="shared" ref="AX59" si="485">AX56-AX57-AX58</f>
        <v>63.07502952879625</v>
      </c>
      <c r="AY59" s="654">
        <f t="shared" ref="AY59" si="486">AY56-AY57-AY58</f>
        <v>63.395618662237403</v>
      </c>
      <c r="AZ59" s="654">
        <f t="shared" ref="AZ59" si="487">AZ56-AZ57-AZ58</f>
        <v>63.499110243147477</v>
      </c>
      <c r="BA59" s="654">
        <f t="shared" ref="BA59" si="488">BA56-BA57-BA58</f>
        <v>63.575994811383922</v>
      </c>
      <c r="BB59" s="654">
        <f t="shared" ref="BB59" si="489">BB56-BB57-BB58</f>
        <v>63.625998740405286</v>
      </c>
      <c r="BC59" s="654">
        <f t="shared" ref="BC59" si="490">BC56-BC57-BC58</f>
        <v>63.648844183682172</v>
      </c>
      <c r="BD59" s="654">
        <f t="shared" ref="BD59" si="491">BD56-BD57-BD58</f>
        <v>63.644249020783469</v>
      </c>
      <c r="BE59" s="654">
        <f t="shared" ref="BE59" si="492">BE56-BE57-BE58</f>
        <v>63.232851955529469</v>
      </c>
      <c r="BF59" s="654">
        <f t="shared" ref="BF59" si="493">BF56-BF57-BF58</f>
        <v>62.796121375717227</v>
      </c>
      <c r="BG59" s="654">
        <f t="shared" ref="BG59" si="494">BG56-BG57-BG58</f>
        <v>62.333770822564162</v>
      </c>
      <c r="BH59" s="654">
        <f t="shared" ref="BH59" si="495">BH56-BH57-BH58</f>
        <v>61.84550960125366</v>
      </c>
      <c r="BI59" s="654">
        <f t="shared" ref="BI59" si="496">BI56-BI57-BI58</f>
        <v>61.331042732690904</v>
      </c>
      <c r="BJ59" s="654">
        <f t="shared" ref="BJ59" si="497">BJ56-BJ57-BJ58</f>
        <v>60.79007090521052</v>
      </c>
      <c r="BK59" s="654">
        <f t="shared" ref="BK59" si="498">BK56-BK57-BK58</f>
        <v>60.222290426258496</v>
      </c>
      <c r="BL59" s="654">
        <f t="shared" ref="BL59" si="499">BL56-BL57-BL58</f>
        <v>59.627393174071635</v>
      </c>
      <c r="BM59" s="654">
        <f t="shared" ref="BM59" si="500">BM56-BM57-BM58</f>
        <v>59.005066549378789</v>
      </c>
      <c r="BN59" s="654">
        <f t="shared" ref="BN59" si="501">BN56-BN57-BN58</f>
        <v>58.354993427149971</v>
      </c>
    </row>
    <row r="60" spans="1:66" s="62" customFormat="1">
      <c r="A60" s="684"/>
      <c r="B60" s="55" t="s">
        <v>885</v>
      </c>
      <c r="C60" s="56" t="s">
        <v>166</v>
      </c>
      <c r="D60" s="650">
        <f>D$7/(D$7+D$9)*D59</f>
        <v>4.860506329734835</v>
      </c>
      <c r="E60" s="650">
        <f t="shared" ref="E60:AH60" si="502">E$7/(E$7+E$9)*E59</f>
        <v>5.291768699409956</v>
      </c>
      <c r="F60" s="650">
        <f t="shared" si="502"/>
        <v>5.7089580689620609</v>
      </c>
      <c r="G60" s="650">
        <f t="shared" si="502"/>
        <v>6.1137634780091306</v>
      </c>
      <c r="H60" s="650">
        <f t="shared" si="502"/>
        <v>6.5074259994156076</v>
      </c>
      <c r="I60" s="650">
        <f t="shared" si="502"/>
        <v>6.8908778551246819</v>
      </c>
      <c r="J60" s="650">
        <f t="shared" si="502"/>
        <v>7.2648327178634799</v>
      </c>
      <c r="K60" s="650">
        <f t="shared" si="502"/>
        <v>7.6298460775463948</v>
      </c>
      <c r="L60" s="650">
        <f t="shared" si="502"/>
        <v>7.9863566436597386</v>
      </c>
      <c r="M60" s="650">
        <f t="shared" si="502"/>
        <v>8.3347153881358853</v>
      </c>
      <c r="N60" s="650">
        <f t="shared" si="502"/>
        <v>8.6752063290932835</v>
      </c>
      <c r="O60" s="650">
        <f t="shared" si="502"/>
        <v>8.7333906698707224</v>
      </c>
      <c r="P60" s="650">
        <f t="shared" si="502"/>
        <v>8.788667264973407</v>
      </c>
      <c r="Q60" s="650">
        <f t="shared" si="502"/>
        <v>8.8410226173424782</v>
      </c>
      <c r="R60" s="650">
        <f t="shared" si="502"/>
        <v>8.8904424268706546</v>
      </c>
      <c r="S60" s="650">
        <f t="shared" si="502"/>
        <v>8.9369115579203253</v>
      </c>
      <c r="T60" s="650">
        <f t="shared" si="502"/>
        <v>8.960458373027544</v>
      </c>
      <c r="U60" s="650">
        <f t="shared" si="502"/>
        <v>8.9812338345066074</v>
      </c>
      <c r="V60" s="650">
        <f t="shared" si="502"/>
        <v>8.9992155354417136</v>
      </c>
      <c r="W60" s="650">
        <f t="shared" si="502"/>
        <v>9.0143798613070754</v>
      </c>
      <c r="X60" s="650">
        <f t="shared" si="502"/>
        <v>9.0267019141238087</v>
      </c>
      <c r="Y60" s="650">
        <f t="shared" si="502"/>
        <v>8.9951129307480002</v>
      </c>
      <c r="Z60" s="650">
        <f t="shared" si="502"/>
        <v>8.9609449663841687</v>
      </c>
      <c r="AA60" s="650">
        <f t="shared" si="502"/>
        <v>8.9241561309503208</v>
      </c>
      <c r="AB60" s="650">
        <f t="shared" si="502"/>
        <v>8.8847019448327291</v>
      </c>
      <c r="AC60" s="650">
        <f t="shared" si="502"/>
        <v>8.8425351346878127</v>
      </c>
      <c r="AD60" s="650">
        <f t="shared" si="502"/>
        <v>8.7976054096280407</v>
      </c>
      <c r="AE60" s="650">
        <f t="shared" si="502"/>
        <v>8.7498592155614503</v>
      </c>
      <c r="AF60" s="650">
        <f t="shared" si="502"/>
        <v>8.6992394651596214</v>
      </c>
      <c r="AG60" s="650">
        <f t="shared" si="502"/>
        <v>8.645685240589561</v>
      </c>
      <c r="AH60" s="650">
        <f t="shared" si="502"/>
        <v>8.5891314657535833</v>
      </c>
      <c r="AI60" s="650"/>
      <c r="AJ60" s="650">
        <f>AJ$7/(AJ$7+AJ$9)*AJ59</f>
        <v>4.860506329734835</v>
      </c>
      <c r="AK60" s="650">
        <f t="shared" ref="AK60" si="503">AK$7/(AK$7+AK$9)*AK59</f>
        <v>5.3093475565752994</v>
      </c>
      <c r="AL60" s="650">
        <f t="shared" ref="AL60" si="504">AL$7/(AL$7+AL$9)*AL59</f>
        <v>5.7471412096746164</v>
      </c>
      <c r="AM60" s="650">
        <f t="shared" ref="AM60" si="505">AM$7/(AM$7+AM$9)*AM59</f>
        <v>6.1755123643917962</v>
      </c>
      <c r="AN60" s="650">
        <f t="shared" ref="AN60" si="506">AN$7/(AN$7+AN$9)*AN59</f>
        <v>6.5956532212647083</v>
      </c>
      <c r="AO60" s="650">
        <f t="shared" ref="AO60" si="507">AO$7/(AO$7+AO$9)*AO59</f>
        <v>7.0084574669236037</v>
      </c>
      <c r="AP60" s="650">
        <f t="shared" ref="AP60" si="508">AP$7/(AP$7+AP$9)*AP59</f>
        <v>7.41460748651581</v>
      </c>
      <c r="AQ60" s="650">
        <f t="shared" ref="AQ60" si="509">AQ$7/(AQ$7+AQ$9)*AQ59</f>
        <v>7.8146326621462299</v>
      </c>
      <c r="AR60" s="650">
        <f t="shared" ref="AR60" si="510">AR$7/(AR$7+AR$9)*AR59</f>
        <v>8.2089493541671459</v>
      </c>
      <c r="AS60" s="650">
        <f t="shared" ref="AS60" si="511">AS$7/(AS$7+AS$9)*AS59</f>
        <v>8.5978889444059625</v>
      </c>
      <c r="AT60" s="650">
        <f t="shared" ref="AT60" si="512">AT$7/(AT$7+AT$9)*AT59</f>
        <v>8.9817179017486115</v>
      </c>
      <c r="AU60" s="650">
        <f t="shared" ref="AU60" si="513">AU$7/(AU$7+AU$9)*AU59</f>
        <v>9.0752303089868622</v>
      </c>
      <c r="AV60" s="650">
        <f t="shared" ref="AV60" si="514">AV$7/(AV$7+AV$9)*AV59</f>
        <v>9.1666334071247402</v>
      </c>
      <c r="AW60" s="650">
        <f t="shared" ref="AW60" si="515">AW$7/(AW$7+AW$9)*AW59</f>
        <v>9.2558988701142901</v>
      </c>
      <c r="AX60" s="650">
        <f t="shared" ref="AX60" si="516">AX$7/(AX$7+AX$9)*AX59</f>
        <v>9.3429969003407134</v>
      </c>
      <c r="AY60" s="650">
        <f t="shared" ref="AY60" si="517">AY$7/(AY$7+AY$9)*AY59</f>
        <v>9.4278961551645608</v>
      </c>
      <c r="AZ60" s="650">
        <f t="shared" ref="AZ60" si="518">AZ$7/(AZ$7+AZ$9)*AZ59</f>
        <v>9.4894299764441961</v>
      </c>
      <c r="BA60" s="650">
        <f t="shared" ref="BA60" si="519">BA$7/(BA$7+BA$9)*BA59</f>
        <v>9.5487571709740777</v>
      </c>
      <c r="BB60" s="650">
        <f t="shared" ref="BB60" si="520">BB$7/(BB$7+BB$9)*BB59</f>
        <v>9.6058353752116172</v>
      </c>
      <c r="BC60" s="650">
        <f t="shared" ref="BC60" si="521">BC$7/(BC$7+BC$9)*BC59</f>
        <v>9.6606199908565298</v>
      </c>
      <c r="BD60" s="650">
        <f t="shared" ref="BD60" si="522">BD$7/(BD$7+BD$9)*BD59</f>
        <v>9.7130640412346061</v>
      </c>
      <c r="BE60" s="650">
        <f t="shared" ref="BE60" si="523">BE$7/(BE$7+BE$9)*BE59</f>
        <v>9.7199861743544922</v>
      </c>
      <c r="BF60" s="650">
        <f t="shared" ref="BF60" si="524">BF$7/(BF$7+BF$9)*BF59</f>
        <v>9.7244711760667126</v>
      </c>
      <c r="BG60" s="650">
        <f t="shared" ref="BG60" si="525">BG$7/(BG$7+BG$9)*BG59</f>
        <v>9.7264457689616624</v>
      </c>
      <c r="BH60" s="650">
        <f t="shared" ref="BH60" si="526">BH$7/(BH$7+BH$9)*BH59</f>
        <v>9.7258321479829259</v>
      </c>
      <c r="BI60" s="650">
        <f t="shared" ref="BI60" si="527">BI$7/(BI$7+BI$9)*BI59</f>
        <v>9.7225476241111792</v>
      </c>
      <c r="BJ60" s="650">
        <f t="shared" ref="BJ60" si="528">BJ$7/(BJ$7+BJ$9)*BJ59</f>
        <v>9.7165042338445087</v>
      </c>
      <c r="BK60" s="650">
        <f t="shared" ref="BK60" si="529">BK$7/(BK$7+BK$9)*BK59</f>
        <v>9.707608310585119</v>
      </c>
      <c r="BL60" s="650">
        <f t="shared" ref="BL60" si="530">BL$7/(BL$7+BL$9)*BL59</f>
        <v>9.6957600135284476</v>
      </c>
      <c r="BM60" s="650">
        <f t="shared" ref="BM60" si="531">BM$7/(BM$7+BM$9)*BM59</f>
        <v>9.6808528090587629</v>
      </c>
      <c r="BN60" s="650">
        <f t="shared" ref="BN60" si="532">BN$7/(BN$7+BN$9)*BN59</f>
        <v>9.6627728989727792</v>
      </c>
    </row>
    <row r="61" spans="1:66">
      <c r="A61" s="685"/>
      <c r="B61" s="1" t="s">
        <v>1182</v>
      </c>
      <c r="C61" s="51" t="s">
        <v>166</v>
      </c>
      <c r="D61" s="24">
        <v>0</v>
      </c>
      <c r="E61" s="24">
        <v>0</v>
      </c>
      <c r="F61" s="24">
        <v>0</v>
      </c>
      <c r="G61" s="24">
        <v>0</v>
      </c>
      <c r="H61" s="24">
        <v>0</v>
      </c>
      <c r="I61" s="24">
        <v>0</v>
      </c>
      <c r="J61" s="24">
        <v>0</v>
      </c>
      <c r="K61" s="24">
        <v>0</v>
      </c>
      <c r="L61" s="24">
        <v>0</v>
      </c>
      <c r="M61" s="24">
        <v>0</v>
      </c>
      <c r="N61" s="24">
        <v>0</v>
      </c>
      <c r="O61" s="24">
        <v>0</v>
      </c>
      <c r="P61" s="24">
        <v>0</v>
      </c>
      <c r="Q61" s="24">
        <v>0</v>
      </c>
      <c r="R61" s="24">
        <v>0</v>
      </c>
      <c r="S61" s="24">
        <v>0</v>
      </c>
      <c r="T61" s="24">
        <v>0</v>
      </c>
      <c r="U61" s="24">
        <v>0</v>
      </c>
      <c r="V61" s="24">
        <v>0</v>
      </c>
      <c r="W61" s="24">
        <v>0</v>
      </c>
      <c r="X61" s="24">
        <v>0</v>
      </c>
      <c r="Y61" s="24">
        <v>0</v>
      </c>
      <c r="Z61" s="24">
        <v>0</v>
      </c>
      <c r="AA61" s="24">
        <v>0</v>
      </c>
      <c r="AB61" s="24">
        <v>0</v>
      </c>
      <c r="AC61" s="24">
        <v>0</v>
      </c>
      <c r="AD61" s="24">
        <v>0</v>
      </c>
      <c r="AE61" s="24">
        <v>0</v>
      </c>
      <c r="AF61" s="24">
        <v>0</v>
      </c>
      <c r="AG61" s="24">
        <v>0</v>
      </c>
      <c r="AH61" s="24">
        <v>0</v>
      </c>
      <c r="AI61" s="24"/>
      <c r="AJ61" s="24">
        <v>0</v>
      </c>
      <c r="AK61" s="24">
        <v>0</v>
      </c>
      <c r="AL61" s="24">
        <v>0</v>
      </c>
      <c r="AM61" s="24">
        <v>0</v>
      </c>
      <c r="AN61" s="24">
        <v>0</v>
      </c>
      <c r="AO61" s="24">
        <v>0</v>
      </c>
      <c r="AP61" s="24">
        <v>0</v>
      </c>
      <c r="AQ61" s="24">
        <v>0</v>
      </c>
      <c r="AR61" s="24">
        <v>0</v>
      </c>
      <c r="AS61" s="24">
        <v>0</v>
      </c>
      <c r="AT61" s="24">
        <v>0</v>
      </c>
      <c r="AU61" s="24">
        <v>0</v>
      </c>
      <c r="AV61" s="24">
        <v>0</v>
      </c>
      <c r="AW61" s="24">
        <v>0</v>
      </c>
      <c r="AX61" s="24">
        <v>0</v>
      </c>
      <c r="AY61" s="24">
        <v>0</v>
      </c>
      <c r="AZ61" s="24">
        <v>0</v>
      </c>
      <c r="BA61" s="24">
        <v>0</v>
      </c>
      <c r="BB61" s="24">
        <v>0</v>
      </c>
      <c r="BC61" s="24">
        <v>0</v>
      </c>
      <c r="BD61" s="24">
        <v>0</v>
      </c>
      <c r="BE61" s="24">
        <v>0</v>
      </c>
      <c r="BF61" s="24">
        <v>0</v>
      </c>
      <c r="BG61" s="24">
        <v>0</v>
      </c>
      <c r="BH61" s="24">
        <v>0</v>
      </c>
      <c r="BI61" s="24">
        <v>0</v>
      </c>
      <c r="BJ61" s="24">
        <v>0</v>
      </c>
      <c r="BK61" s="24">
        <v>0</v>
      </c>
      <c r="BL61" s="24">
        <v>0</v>
      </c>
      <c r="BM61" s="24">
        <v>0</v>
      </c>
      <c r="BN61" s="24">
        <v>0</v>
      </c>
    </row>
    <row r="62" spans="1:66" s="63" customFormat="1">
      <c r="A62" s="686"/>
      <c r="B62" s="59" t="s">
        <v>27</v>
      </c>
      <c r="C62" s="262" t="s">
        <v>166</v>
      </c>
      <c r="D62" s="652">
        <f>D$9/(D$7+D$9)*D59</f>
        <v>24.125902406048823</v>
      </c>
      <c r="E62" s="652">
        <f t="shared" ref="E62:AH62" si="533">E$9/(E$7+E$9)*E59</f>
        <v>27.032455919451579</v>
      </c>
      <c r="F62" s="652">
        <f t="shared" si="533"/>
        <v>29.887752398461405</v>
      </c>
      <c r="G62" s="652">
        <f t="shared" si="533"/>
        <v>32.690075225376873</v>
      </c>
      <c r="H62" s="652">
        <f t="shared" si="533"/>
        <v>35.438157764269391</v>
      </c>
      <c r="I62" s="652">
        <f t="shared" si="533"/>
        <v>38.131044347635054</v>
      </c>
      <c r="J62" s="652">
        <f t="shared" si="533"/>
        <v>40.768000080758462</v>
      </c>
      <c r="K62" s="652">
        <f t="shared" si="533"/>
        <v>43.348450585074048</v>
      </c>
      <c r="L62" s="652">
        <f t="shared" si="533"/>
        <v>45.87194070935368</v>
      </c>
      <c r="M62" s="652">
        <f t="shared" si="533"/>
        <v>48.338105604330167</v>
      </c>
      <c r="N62" s="652">
        <f t="shared" si="533"/>
        <v>50.746650060498574</v>
      </c>
      <c r="O62" s="652">
        <f t="shared" si="533"/>
        <v>50.883070533896259</v>
      </c>
      <c r="P62" s="652">
        <f t="shared" si="533"/>
        <v>50.992322537445204</v>
      </c>
      <c r="Q62" s="652">
        <f t="shared" si="533"/>
        <v>51.074417206221796</v>
      </c>
      <c r="R62" s="652">
        <f t="shared" si="533"/>
        <v>51.129369693422355</v>
      </c>
      <c r="S62" s="652">
        <f t="shared" si="533"/>
        <v>51.157199346525651</v>
      </c>
      <c r="T62" s="652">
        <f t="shared" si="533"/>
        <v>50.999005522106636</v>
      </c>
      <c r="U62" s="652">
        <f t="shared" si="533"/>
        <v>50.816168637732666</v>
      </c>
      <c r="V62" s="652">
        <f t="shared" si="533"/>
        <v>50.608726299605216</v>
      </c>
      <c r="W62" s="652">
        <f t="shared" si="533"/>
        <v>50.376721304860027</v>
      </c>
      <c r="X62" s="652">
        <f t="shared" si="533"/>
        <v>50.120201886775604</v>
      </c>
      <c r="Y62" s="652">
        <f t="shared" si="533"/>
        <v>49.522114776217379</v>
      </c>
      <c r="Z62" s="652">
        <f t="shared" si="533"/>
        <v>48.904678527374251</v>
      </c>
      <c r="AA62" s="652">
        <f t="shared" si="533"/>
        <v>48.26798951659827</v>
      </c>
      <c r="AB62" s="652">
        <f t="shared" si="533"/>
        <v>47.612152110723628</v>
      </c>
      <c r="AC62" s="652">
        <f t="shared" si="533"/>
        <v>46.937279084575238</v>
      </c>
      <c r="AD62" s="652">
        <f t="shared" si="533"/>
        <v>46.243492064967128</v>
      </c>
      <c r="AE62" s="652">
        <f t="shared" si="533"/>
        <v>45.530922003623864</v>
      </c>
      <c r="AF62" s="652">
        <f t="shared" si="533"/>
        <v>44.799709681757761</v>
      </c>
      <c r="AG62" s="652">
        <f t="shared" si="533"/>
        <v>44.050006249380338</v>
      </c>
      <c r="AH62" s="652">
        <f t="shared" si="533"/>
        <v>43.281973802824176</v>
      </c>
      <c r="AI62" s="652"/>
      <c r="AJ62" s="652">
        <f>AJ$9/(AJ$7+AJ$9)*AJ59</f>
        <v>24.125902406048823</v>
      </c>
      <c r="AK62" s="652">
        <f t="shared" ref="AK62:BN62" si="534">AK$9/(AK$7+AK$9)*AK59</f>
        <v>27.122255702554238</v>
      </c>
      <c r="AL62" s="652">
        <f t="shared" si="534"/>
        <v>30.08765021547584</v>
      </c>
      <c r="AM62" s="652">
        <f t="shared" si="534"/>
        <v>33.020244318144904</v>
      </c>
      <c r="AN62" s="652">
        <f t="shared" si="534"/>
        <v>35.918625802979697</v>
      </c>
      <c r="AO62" s="652">
        <f t="shared" si="534"/>
        <v>38.781677472491289</v>
      </c>
      <c r="AP62" s="652">
        <f t="shared" si="534"/>
        <v>41.608489878341786</v>
      </c>
      <c r="AQ62" s="652">
        <f t="shared" si="534"/>
        <v>44.398302973955587</v>
      </c>
      <c r="AR62" s="652">
        <f t="shared" si="534"/>
        <v>47.150466083854241</v>
      </c>
      <c r="AS62" s="652">
        <f t="shared" si="534"/>
        <v>49.86440981063317</v>
      </c>
      <c r="AT62" s="652">
        <f t="shared" si="534"/>
        <v>52.53962591916715</v>
      </c>
      <c r="AU62" s="652">
        <f t="shared" si="534"/>
        <v>52.874719725593948</v>
      </c>
      <c r="AV62" s="652">
        <f t="shared" si="534"/>
        <v>53.18530252493742</v>
      </c>
      <c r="AW62" s="652">
        <f t="shared" si="534"/>
        <v>53.47114931970561</v>
      </c>
      <c r="AX62" s="652">
        <f t="shared" si="534"/>
        <v>53.732032628455535</v>
      </c>
      <c r="AY62" s="652">
        <f t="shared" si="534"/>
        <v>53.967722507072843</v>
      </c>
      <c r="AZ62" s="652">
        <f t="shared" si="534"/>
        <v>54.009680266703278</v>
      </c>
      <c r="BA62" s="652">
        <f t="shared" si="534"/>
        <v>54.027237640409851</v>
      </c>
      <c r="BB62" s="652">
        <f t="shared" si="534"/>
        <v>54.020163365193675</v>
      </c>
      <c r="BC62" s="652">
        <f t="shared" si="534"/>
        <v>53.988224192825633</v>
      </c>
      <c r="BD62" s="652">
        <f t="shared" si="534"/>
        <v>53.931184979548867</v>
      </c>
      <c r="BE62" s="652">
        <f t="shared" si="534"/>
        <v>53.512865781174973</v>
      </c>
      <c r="BF62" s="652">
        <f t="shared" si="534"/>
        <v>53.071650199650513</v>
      </c>
      <c r="BG62" s="652">
        <f t="shared" si="534"/>
        <v>52.607325053602501</v>
      </c>
      <c r="BH62" s="652">
        <f t="shared" si="534"/>
        <v>52.119677453270732</v>
      </c>
      <c r="BI62" s="652">
        <f t="shared" si="534"/>
        <v>51.608495108579724</v>
      </c>
      <c r="BJ62" s="652">
        <f t="shared" si="534"/>
        <v>51.073566671366017</v>
      </c>
      <c r="BK62" s="652">
        <f t="shared" si="534"/>
        <v>50.514682115673374</v>
      </c>
      <c r="BL62" s="652">
        <f t="shared" si="534"/>
        <v>49.931633160543186</v>
      </c>
      <c r="BM62" s="652">
        <f t="shared" si="534"/>
        <v>49.324213740320026</v>
      </c>
      <c r="BN62" s="652">
        <f t="shared" si="534"/>
        <v>48.692220528177188</v>
      </c>
    </row>
    <row r="63" spans="1:66" s="62" customFormat="1" outlineLevel="1">
      <c r="B63" s="55" t="s">
        <v>193</v>
      </c>
      <c r="C63" s="56" t="s">
        <v>166</v>
      </c>
      <c r="D63" s="650">
        <f>'Demand - Wind'!D40</f>
        <v>0</v>
      </c>
      <c r="E63" s="650">
        <f>'Demand - Wind'!E40</f>
        <v>10.044484767297053</v>
      </c>
      <c r="F63" s="650">
        <f>'Demand - Wind'!F40</f>
        <v>10.563453836521207</v>
      </c>
      <c r="G63" s="650">
        <f>'Demand - Wind'!G40</f>
        <v>11.109236515507382</v>
      </c>
      <c r="H63" s="650">
        <f>'Demand - Wind'!H40</f>
        <v>11.683218184832491</v>
      </c>
      <c r="I63" s="650">
        <f>'Demand - Wind'!I40</f>
        <v>12.286855803624624</v>
      </c>
      <c r="J63" s="650">
        <f>'Demand - Wind'!J40</f>
        <v>12.921681607817055</v>
      </c>
      <c r="K63" s="650">
        <f>'Demand - Wind'!K40</f>
        <v>13.589306999480009</v>
      </c>
      <c r="L63" s="650">
        <f>'Demand - Wind'!L40</f>
        <v>14.291426637102683</v>
      </c>
      <c r="M63" s="650">
        <f>'Demand - Wind'!M40</f>
        <v>15.029822737208285</v>
      </c>
      <c r="N63" s="650">
        <f>'Demand - Wind'!N40</f>
        <v>15.806369598220817</v>
      </c>
      <c r="O63" s="650">
        <f>'Demand - Wind'!O40</f>
        <v>16.623038358066864</v>
      </c>
      <c r="P63" s="650">
        <f>'Demand - Wind'!P40</f>
        <v>17.481901997588736</v>
      </c>
      <c r="Q63" s="650">
        <f>'Demand - Wind'!Q40</f>
        <v>18.385140602469157</v>
      </c>
      <c r="R63" s="650">
        <f>'Demand - Wind'!R40</f>
        <v>19.335046897024267</v>
      </c>
      <c r="S63" s="650">
        <f>'Demand - Wind'!S40</f>
        <v>20.334032063911419</v>
      </c>
      <c r="T63" s="650">
        <f>'Demand - Wind'!T40</f>
        <v>21.384631864524358</v>
      </c>
      <c r="U63" s="650">
        <f>'Demand - Wind'!U40</f>
        <v>22.489513075611018</v>
      </c>
      <c r="V63" s="650">
        <f>'Demand - Wind'!V40</f>
        <v>23.651480258452796</v>
      </c>
      <c r="W63" s="650">
        <f>'Demand - Wind'!W40</f>
        <v>24.873482877787257</v>
      </c>
      <c r="X63" s="650">
        <f>'Demand - Wind'!X40</f>
        <v>26.158622788544587</v>
      </c>
      <c r="Y63" s="650">
        <f>'Demand - Wind'!Y40</f>
        <v>27.510162109402103</v>
      </c>
      <c r="Z63" s="650">
        <f>'Demand - Wind'!Z40</f>
        <v>28.931531503141883</v>
      </c>
      <c r="AA63" s="650">
        <f>'Demand - Wind'!AA40</f>
        <v>30.426338884830439</v>
      </c>
      <c r="AB63" s="650">
        <f>'Demand - Wind'!AB40</f>
        <v>31.998378579924452</v>
      </c>
      <c r="AC63" s="650">
        <f>'Demand - Wind'!AC40</f>
        <v>33.651640955548913</v>
      </c>
      <c r="AD63" s="650">
        <f>'Demand - Wind'!AD40</f>
        <v>35.390322549394831</v>
      </c>
      <c r="AE63" s="650">
        <f>'Demand - Wind'!AE40</f>
        <v>37.218836721948485</v>
      </c>
      <c r="AF63" s="650">
        <f>'Demand - Wind'!AF40</f>
        <v>39.141824859088331</v>
      </c>
      <c r="AG63" s="650">
        <f>'Demand - Wind'!AG40</f>
        <v>41.164168153489115</v>
      </c>
      <c r="AH63" s="650">
        <f>'Demand - Wind'!AH40</f>
        <v>43.290999994735586</v>
      </c>
      <c r="AI63" s="650"/>
      <c r="AJ63" s="650">
        <f>D63</f>
        <v>0</v>
      </c>
      <c r="AK63" s="650">
        <f t="shared" ref="AK63:BN64" si="535">E63</f>
        <v>10.044484767297053</v>
      </c>
      <c r="AL63" s="650">
        <f t="shared" si="535"/>
        <v>10.563453836521207</v>
      </c>
      <c r="AM63" s="650">
        <f t="shared" si="535"/>
        <v>11.109236515507382</v>
      </c>
      <c r="AN63" s="650">
        <f t="shared" si="535"/>
        <v>11.683218184832491</v>
      </c>
      <c r="AO63" s="650">
        <f t="shared" si="535"/>
        <v>12.286855803624624</v>
      </c>
      <c r="AP63" s="650">
        <f t="shared" si="535"/>
        <v>12.921681607817055</v>
      </c>
      <c r="AQ63" s="650">
        <f t="shared" si="535"/>
        <v>13.589306999480009</v>
      </c>
      <c r="AR63" s="650">
        <f t="shared" si="535"/>
        <v>14.291426637102683</v>
      </c>
      <c r="AS63" s="650">
        <f t="shared" si="535"/>
        <v>15.029822737208285</v>
      </c>
      <c r="AT63" s="650">
        <f t="shared" si="535"/>
        <v>15.806369598220817</v>
      </c>
      <c r="AU63" s="650">
        <f t="shared" si="535"/>
        <v>16.623038358066864</v>
      </c>
      <c r="AV63" s="650">
        <f t="shared" si="535"/>
        <v>17.481901997588736</v>
      </c>
      <c r="AW63" s="650">
        <f t="shared" si="535"/>
        <v>18.385140602469157</v>
      </c>
      <c r="AX63" s="650">
        <f t="shared" si="535"/>
        <v>19.335046897024267</v>
      </c>
      <c r="AY63" s="650">
        <f t="shared" si="535"/>
        <v>20.334032063911419</v>
      </c>
      <c r="AZ63" s="650">
        <f t="shared" si="535"/>
        <v>21.384631864524358</v>
      </c>
      <c r="BA63" s="650">
        <f t="shared" si="535"/>
        <v>22.489513075611018</v>
      </c>
      <c r="BB63" s="650">
        <f t="shared" si="535"/>
        <v>23.651480258452796</v>
      </c>
      <c r="BC63" s="650">
        <f t="shared" si="535"/>
        <v>24.873482877787257</v>
      </c>
      <c r="BD63" s="650">
        <f t="shared" si="535"/>
        <v>26.158622788544587</v>
      </c>
      <c r="BE63" s="650">
        <f t="shared" si="535"/>
        <v>27.510162109402103</v>
      </c>
      <c r="BF63" s="650">
        <f t="shared" si="535"/>
        <v>28.931531503141883</v>
      </c>
      <c r="BG63" s="650">
        <f t="shared" si="535"/>
        <v>30.426338884830439</v>
      </c>
      <c r="BH63" s="650">
        <f t="shared" si="535"/>
        <v>31.998378579924452</v>
      </c>
      <c r="BI63" s="650">
        <f t="shared" si="535"/>
        <v>33.651640955548913</v>
      </c>
      <c r="BJ63" s="650">
        <f t="shared" si="535"/>
        <v>35.390322549394831</v>
      </c>
      <c r="BK63" s="650">
        <f t="shared" si="535"/>
        <v>37.218836721948485</v>
      </c>
      <c r="BL63" s="650">
        <f t="shared" si="535"/>
        <v>39.141824859088331</v>
      </c>
      <c r="BM63" s="650">
        <f t="shared" si="535"/>
        <v>41.164168153489115</v>
      </c>
      <c r="BN63" s="650">
        <f t="shared" si="535"/>
        <v>43.290999994735586</v>
      </c>
    </row>
    <row r="64" spans="1:66" outlineLevel="1">
      <c r="B64" s="1" t="s">
        <v>194</v>
      </c>
      <c r="C64" s="51" t="s">
        <v>166</v>
      </c>
      <c r="D64" s="24">
        <f>'Demand - Solar'!D35</f>
        <v>0</v>
      </c>
      <c r="E64" s="24">
        <f>'Demand - Solar'!E35</f>
        <v>71.840494990896303</v>
      </c>
      <c r="F64" s="24">
        <f>'Demand - Solar'!F35</f>
        <v>81.516358598279723</v>
      </c>
      <c r="G64" s="24">
        <f>'Demand - Solar'!G35</f>
        <v>92.495419470110605</v>
      </c>
      <c r="H64" s="24">
        <f>'Demand - Solar'!H35</f>
        <v>104.95319921138214</v>
      </c>
      <c r="I64" s="24">
        <f>'Demand - Solar'!I35</f>
        <v>119.08885961929785</v>
      </c>
      <c r="J64" s="24">
        <f>'Demand - Solar'!J35</f>
        <v>135.12838667129247</v>
      </c>
      <c r="K64" s="24">
        <f>'Demand - Solar'!K35</f>
        <v>153.32820334965578</v>
      </c>
      <c r="L64" s="24">
        <f>'Demand - Solar'!L35</f>
        <v>173.97926906077618</v>
      </c>
      <c r="M64" s="24">
        <f>'Demand - Solar'!M35</f>
        <v>197.41173118617868</v>
      </c>
      <c r="N64" s="24">
        <f>'Demand - Solar'!N35</f>
        <v>224.00020312943226</v>
      </c>
      <c r="O64" s="24">
        <f>'Demand - Solar'!O35</f>
        <v>254.16975323875769</v>
      </c>
      <c r="P64" s="24">
        <f>'Demand - Solar'!P35</f>
        <v>288.40270034988424</v>
      </c>
      <c r="Q64" s="24">
        <f>'Demand - Solar'!Q35</f>
        <v>327.24632458911304</v>
      </c>
      <c r="R64" s="24">
        <f>'Demand - Solar'!R35</f>
        <v>371.32161670873217</v>
      </c>
      <c r="S64" s="24">
        <f>'Demand - Solar'!S35</f>
        <v>421.33320582991087</v>
      </c>
      <c r="T64" s="24">
        <f>'Demand - Solar'!T35</f>
        <v>478.08062430730956</v>
      </c>
      <c r="U64" s="24">
        <f>'Demand - Solar'!U35</f>
        <v>542.4710898061403</v>
      </c>
      <c r="V64" s="24">
        <f>'Demand - Solar'!V35</f>
        <v>615.53400893800313</v>
      </c>
      <c r="W64" s="24">
        <f>'Demand - Solar'!W35</f>
        <v>698.43743432426766</v>
      </c>
      <c r="X64" s="24">
        <f>'Demand - Solar'!X35</f>
        <v>792.50673818511677</v>
      </c>
      <c r="Y64" s="24">
        <f>'Demand - Solar'!Y35</f>
        <v>899.24580098783349</v>
      </c>
      <c r="Z64" s="24">
        <f>'Demand - Solar'!Z35</f>
        <v>1020.3610538960039</v>
      </c>
      <c r="AA64" s="24">
        <f>'Demand - Solar'!AA35</f>
        <v>1157.788759384877</v>
      </c>
      <c r="AB64" s="24">
        <f>'Demand - Solar'!AB35</f>
        <v>1313.7259661564806</v>
      </c>
      <c r="AC64" s="24">
        <f>'Demand - Solar'!AC35</f>
        <v>1490.6656332289156</v>
      </c>
      <c r="AD64" s="24">
        <f>'Demand - Solar'!AD35</f>
        <v>1691.436484726592</v>
      </c>
      <c r="AE64" s="24">
        <f>'Demand - Solar'!AE35</f>
        <v>1919.2482325276135</v>
      </c>
      <c r="AF64" s="24">
        <f>'Demand - Solar'!AF35</f>
        <v>2177.7428897401255</v>
      </c>
      <c r="AG64" s="24">
        <f>'Demand - Solar'!AG35</f>
        <v>2471.0529953531886</v>
      </c>
      <c r="AH64" s="24">
        <f>'Demand - Solar'!AH35</f>
        <v>2803.8676808962596</v>
      </c>
      <c r="AI64" s="24"/>
      <c r="AJ64" s="24">
        <f>D64</f>
        <v>0</v>
      </c>
      <c r="AK64" s="24">
        <f t="shared" si="535"/>
        <v>71.840494990896303</v>
      </c>
      <c r="AL64" s="24">
        <f t="shared" si="535"/>
        <v>81.516358598279723</v>
      </c>
      <c r="AM64" s="24">
        <f t="shared" si="535"/>
        <v>92.495419470110605</v>
      </c>
      <c r="AN64" s="24">
        <f t="shared" si="535"/>
        <v>104.95319921138214</v>
      </c>
      <c r="AO64" s="24">
        <f t="shared" si="535"/>
        <v>119.08885961929785</v>
      </c>
      <c r="AP64" s="24">
        <f t="shared" si="535"/>
        <v>135.12838667129247</v>
      </c>
      <c r="AQ64" s="24">
        <f t="shared" si="535"/>
        <v>153.32820334965578</v>
      </c>
      <c r="AR64" s="24">
        <f t="shared" si="535"/>
        <v>173.97926906077618</v>
      </c>
      <c r="AS64" s="24">
        <f t="shared" si="535"/>
        <v>197.41173118617868</v>
      </c>
      <c r="AT64" s="24">
        <f t="shared" si="535"/>
        <v>224.00020312943226</v>
      </c>
      <c r="AU64" s="24">
        <f t="shared" si="535"/>
        <v>254.16975323875769</v>
      </c>
      <c r="AV64" s="24">
        <f t="shared" si="535"/>
        <v>288.40270034988424</v>
      </c>
      <c r="AW64" s="24">
        <f t="shared" si="535"/>
        <v>327.24632458911304</v>
      </c>
      <c r="AX64" s="24">
        <f t="shared" si="535"/>
        <v>371.32161670873217</v>
      </c>
      <c r="AY64" s="24">
        <f t="shared" si="535"/>
        <v>421.33320582991087</v>
      </c>
      <c r="AZ64" s="24">
        <f t="shared" si="535"/>
        <v>478.08062430730956</v>
      </c>
      <c r="BA64" s="24">
        <f t="shared" si="535"/>
        <v>542.4710898061403</v>
      </c>
      <c r="BB64" s="24">
        <f t="shared" si="535"/>
        <v>615.53400893800313</v>
      </c>
      <c r="BC64" s="24">
        <f t="shared" si="535"/>
        <v>698.43743432426766</v>
      </c>
      <c r="BD64" s="24">
        <f t="shared" si="535"/>
        <v>792.50673818511677</v>
      </c>
      <c r="BE64" s="24">
        <f t="shared" si="535"/>
        <v>899.24580098783349</v>
      </c>
      <c r="BF64" s="24">
        <f t="shared" si="535"/>
        <v>1020.3610538960039</v>
      </c>
      <c r="BG64" s="24">
        <f t="shared" si="535"/>
        <v>1157.788759384877</v>
      </c>
      <c r="BH64" s="24">
        <f t="shared" si="535"/>
        <v>1313.7259661564806</v>
      </c>
      <c r="BI64" s="24">
        <f t="shared" si="535"/>
        <v>1490.6656332289156</v>
      </c>
      <c r="BJ64" s="24">
        <f t="shared" si="535"/>
        <v>1691.436484726592</v>
      </c>
      <c r="BK64" s="24">
        <f t="shared" si="535"/>
        <v>1919.2482325276135</v>
      </c>
      <c r="BL64" s="24">
        <f t="shared" si="535"/>
        <v>2177.7428897401255</v>
      </c>
      <c r="BM64" s="24">
        <f t="shared" si="535"/>
        <v>2471.0529953531886</v>
      </c>
      <c r="BN64" s="24">
        <f t="shared" si="535"/>
        <v>2803.8676808962596</v>
      </c>
    </row>
    <row r="65" spans="1:66" s="180" customFormat="1" ht="15.65" customHeight="1">
      <c r="A65" s="177" t="s">
        <v>192</v>
      </c>
      <c r="B65" s="178" t="s">
        <v>225</v>
      </c>
      <c r="C65" s="179" t="s">
        <v>166</v>
      </c>
      <c r="D65" s="655">
        <f>D63+D64</f>
        <v>0</v>
      </c>
      <c r="E65" s="655">
        <f t="shared" ref="E65:AH65" si="536">E63+E64</f>
        <v>81.884979758193353</v>
      </c>
      <c r="F65" s="655">
        <f t="shared" si="536"/>
        <v>92.079812434800928</v>
      </c>
      <c r="G65" s="655">
        <f t="shared" si="536"/>
        <v>103.60465598561798</v>
      </c>
      <c r="H65" s="655">
        <f t="shared" si="536"/>
        <v>116.63641739621463</v>
      </c>
      <c r="I65" s="655">
        <f t="shared" si="536"/>
        <v>131.37571542292247</v>
      </c>
      <c r="J65" s="655">
        <f t="shared" si="536"/>
        <v>148.05006827910952</v>
      </c>
      <c r="K65" s="655">
        <f t="shared" si="536"/>
        <v>166.9175103491358</v>
      </c>
      <c r="L65" s="655">
        <f t="shared" si="536"/>
        <v>188.27069569787886</v>
      </c>
      <c r="M65" s="655">
        <f t="shared" si="536"/>
        <v>212.44155392338698</v>
      </c>
      <c r="N65" s="655">
        <f t="shared" si="536"/>
        <v>239.80657272765308</v>
      </c>
      <c r="O65" s="655">
        <f t="shared" si="536"/>
        <v>270.79279159682454</v>
      </c>
      <c r="P65" s="655">
        <f t="shared" si="536"/>
        <v>305.88460234747299</v>
      </c>
      <c r="Q65" s="655">
        <f t="shared" si="536"/>
        <v>345.63146519158221</v>
      </c>
      <c r="R65" s="655">
        <f t="shared" si="536"/>
        <v>390.65666360575642</v>
      </c>
      <c r="S65" s="655">
        <f t="shared" si="536"/>
        <v>441.66723789382229</v>
      </c>
      <c r="T65" s="655">
        <f t="shared" si="536"/>
        <v>499.46525617183391</v>
      </c>
      <c r="U65" s="655">
        <f t="shared" si="536"/>
        <v>564.96060288175136</v>
      </c>
      <c r="V65" s="655">
        <f t="shared" si="536"/>
        <v>639.18548919645593</v>
      </c>
      <c r="W65" s="655">
        <f t="shared" si="536"/>
        <v>723.31091720205495</v>
      </c>
      <c r="X65" s="655">
        <f t="shared" si="536"/>
        <v>818.66536097366134</v>
      </c>
      <c r="Y65" s="655">
        <f t="shared" si="536"/>
        <v>926.75596309723562</v>
      </c>
      <c r="Z65" s="655">
        <f t="shared" si="536"/>
        <v>1049.2925853991458</v>
      </c>
      <c r="AA65" s="655">
        <f t="shared" si="536"/>
        <v>1188.2150982697074</v>
      </c>
      <c r="AB65" s="655">
        <f t="shared" si="536"/>
        <v>1345.7243447364051</v>
      </c>
      <c r="AC65" s="655">
        <f t="shared" si="536"/>
        <v>1524.3172741844644</v>
      </c>
      <c r="AD65" s="655">
        <f t="shared" si="536"/>
        <v>1726.8268072759868</v>
      </c>
      <c r="AE65" s="655">
        <f t="shared" si="536"/>
        <v>1956.467069249562</v>
      </c>
      <c r="AF65" s="655">
        <f t="shared" si="536"/>
        <v>2216.884714599214</v>
      </c>
      <c r="AG65" s="655">
        <f t="shared" si="536"/>
        <v>2512.2171635066779</v>
      </c>
      <c r="AH65" s="655">
        <f t="shared" si="536"/>
        <v>2847.1586808909951</v>
      </c>
      <c r="AI65" s="656"/>
      <c r="AJ65" s="655">
        <f>AJ63+AJ64</f>
        <v>0</v>
      </c>
      <c r="AK65" s="655">
        <f t="shared" ref="AK65:BN65" si="537">AK63+AK64</f>
        <v>81.884979758193353</v>
      </c>
      <c r="AL65" s="655">
        <f t="shared" si="537"/>
        <v>92.079812434800928</v>
      </c>
      <c r="AM65" s="655">
        <f t="shared" si="537"/>
        <v>103.60465598561798</v>
      </c>
      <c r="AN65" s="655">
        <f t="shared" si="537"/>
        <v>116.63641739621463</v>
      </c>
      <c r="AO65" s="655">
        <f t="shared" si="537"/>
        <v>131.37571542292247</v>
      </c>
      <c r="AP65" s="655">
        <f t="shared" si="537"/>
        <v>148.05006827910952</v>
      </c>
      <c r="AQ65" s="655">
        <f t="shared" si="537"/>
        <v>166.9175103491358</v>
      </c>
      <c r="AR65" s="655">
        <f t="shared" si="537"/>
        <v>188.27069569787886</v>
      </c>
      <c r="AS65" s="655">
        <f t="shared" si="537"/>
        <v>212.44155392338698</v>
      </c>
      <c r="AT65" s="655">
        <f t="shared" si="537"/>
        <v>239.80657272765308</v>
      </c>
      <c r="AU65" s="655">
        <f t="shared" si="537"/>
        <v>270.79279159682454</v>
      </c>
      <c r="AV65" s="655">
        <f t="shared" si="537"/>
        <v>305.88460234747299</v>
      </c>
      <c r="AW65" s="655">
        <f t="shared" si="537"/>
        <v>345.63146519158221</v>
      </c>
      <c r="AX65" s="655">
        <f t="shared" si="537"/>
        <v>390.65666360575642</v>
      </c>
      <c r="AY65" s="655">
        <f t="shared" si="537"/>
        <v>441.66723789382229</v>
      </c>
      <c r="AZ65" s="655">
        <f t="shared" si="537"/>
        <v>499.46525617183391</v>
      </c>
      <c r="BA65" s="655">
        <f t="shared" si="537"/>
        <v>564.96060288175136</v>
      </c>
      <c r="BB65" s="655">
        <f t="shared" si="537"/>
        <v>639.18548919645593</v>
      </c>
      <c r="BC65" s="655">
        <f t="shared" si="537"/>
        <v>723.31091720205495</v>
      </c>
      <c r="BD65" s="655">
        <f t="shared" si="537"/>
        <v>818.66536097366134</v>
      </c>
      <c r="BE65" s="655">
        <f t="shared" si="537"/>
        <v>926.75596309723562</v>
      </c>
      <c r="BF65" s="655">
        <f t="shared" si="537"/>
        <v>1049.2925853991458</v>
      </c>
      <c r="BG65" s="655">
        <f t="shared" si="537"/>
        <v>1188.2150982697074</v>
      </c>
      <c r="BH65" s="655">
        <f t="shared" si="537"/>
        <v>1345.7243447364051</v>
      </c>
      <c r="BI65" s="655">
        <f t="shared" si="537"/>
        <v>1524.3172741844644</v>
      </c>
      <c r="BJ65" s="655">
        <f t="shared" si="537"/>
        <v>1726.8268072759868</v>
      </c>
      <c r="BK65" s="655">
        <f t="shared" si="537"/>
        <v>1956.467069249562</v>
      </c>
      <c r="BL65" s="655">
        <f t="shared" si="537"/>
        <v>2216.884714599214</v>
      </c>
      <c r="BM65" s="655">
        <f t="shared" si="537"/>
        <v>2512.2171635066779</v>
      </c>
      <c r="BN65" s="655">
        <f t="shared" si="537"/>
        <v>2847.1586808909951</v>
      </c>
    </row>
    <row r="66" spans="1:66">
      <c r="A66" s="685"/>
      <c r="B66" s="1" t="s">
        <v>885</v>
      </c>
      <c r="C66" s="51" t="s">
        <v>166</v>
      </c>
      <c r="D66" s="24">
        <f>D64+0.5*D63</f>
        <v>0</v>
      </c>
      <c r="E66" s="24">
        <f t="shared" ref="E66:AH66" si="538">E64+0.5*E63</f>
        <v>76.862737374544835</v>
      </c>
      <c r="F66" s="24">
        <f t="shared" si="538"/>
        <v>86.798085516540326</v>
      </c>
      <c r="G66" s="24">
        <f t="shared" si="538"/>
        <v>98.050037727864293</v>
      </c>
      <c r="H66" s="24">
        <f t="shared" si="538"/>
        <v>110.79480830379839</v>
      </c>
      <c r="I66" s="24">
        <f t="shared" si="538"/>
        <v>125.23228752111017</v>
      </c>
      <c r="J66" s="24">
        <f t="shared" si="538"/>
        <v>141.589227475201</v>
      </c>
      <c r="K66" s="24">
        <f t="shared" si="538"/>
        <v>160.12285684939579</v>
      </c>
      <c r="L66" s="24">
        <f t="shared" si="538"/>
        <v>181.12498237932752</v>
      </c>
      <c r="M66" s="24">
        <f t="shared" si="538"/>
        <v>204.92664255478283</v>
      </c>
      <c r="N66" s="24">
        <f>N64+0.5*N63</f>
        <v>231.90338792854268</v>
      </c>
      <c r="O66" s="24">
        <f t="shared" si="538"/>
        <v>262.4812724177911</v>
      </c>
      <c r="P66" s="24">
        <f t="shared" si="538"/>
        <v>297.14365134867859</v>
      </c>
      <c r="Q66" s="24">
        <f t="shared" si="538"/>
        <v>336.43889489034763</v>
      </c>
      <c r="R66" s="24">
        <f t="shared" si="538"/>
        <v>380.98914015724432</v>
      </c>
      <c r="S66" s="24">
        <f t="shared" si="538"/>
        <v>431.50022186186658</v>
      </c>
      <c r="T66" s="24">
        <f t="shared" si="538"/>
        <v>488.77294023957177</v>
      </c>
      <c r="U66" s="24">
        <f t="shared" si="538"/>
        <v>553.71584634394583</v>
      </c>
      <c r="V66" s="24">
        <f t="shared" si="538"/>
        <v>627.35974906722947</v>
      </c>
      <c r="W66" s="24">
        <f t="shared" si="538"/>
        <v>710.87417576316125</v>
      </c>
      <c r="X66" s="24">
        <f t="shared" si="538"/>
        <v>805.58604957938905</v>
      </c>
      <c r="Y66" s="24">
        <f t="shared" si="538"/>
        <v>913.0008820425345</v>
      </c>
      <c r="Z66" s="24">
        <f t="shared" si="538"/>
        <v>1034.8268196475749</v>
      </c>
      <c r="AA66" s="24">
        <f t="shared" si="538"/>
        <v>1173.0019288272922</v>
      </c>
      <c r="AB66" s="24">
        <f t="shared" si="538"/>
        <v>1329.7251554464428</v>
      </c>
      <c r="AC66" s="24">
        <f t="shared" si="538"/>
        <v>1507.49145370669</v>
      </c>
      <c r="AD66" s="24">
        <f t="shared" si="538"/>
        <v>1709.1316460012895</v>
      </c>
      <c r="AE66" s="24">
        <f t="shared" si="538"/>
        <v>1937.8576508885876</v>
      </c>
      <c r="AF66" s="24">
        <f t="shared" si="538"/>
        <v>2197.3138021696695</v>
      </c>
      <c r="AG66" s="24">
        <f t="shared" si="538"/>
        <v>2491.6350794299333</v>
      </c>
      <c r="AH66" s="24">
        <f t="shared" si="538"/>
        <v>2825.5131808936276</v>
      </c>
      <c r="AI66" s="24"/>
      <c r="AJ66" s="24">
        <f>AJ64+0.5*AJ63</f>
        <v>0</v>
      </c>
      <c r="AK66" s="24">
        <f t="shared" ref="AK66:BN66" si="539">AK64+0.5*AK63</f>
        <v>76.862737374544835</v>
      </c>
      <c r="AL66" s="24">
        <f t="shared" si="539"/>
        <v>86.798085516540326</v>
      </c>
      <c r="AM66" s="24">
        <f t="shared" si="539"/>
        <v>98.050037727864293</v>
      </c>
      <c r="AN66" s="24">
        <f t="shared" si="539"/>
        <v>110.79480830379839</v>
      </c>
      <c r="AO66" s="24">
        <f t="shared" si="539"/>
        <v>125.23228752111017</v>
      </c>
      <c r="AP66" s="24">
        <f t="shared" si="539"/>
        <v>141.589227475201</v>
      </c>
      <c r="AQ66" s="24">
        <f t="shared" si="539"/>
        <v>160.12285684939579</v>
      </c>
      <c r="AR66" s="24">
        <f t="shared" si="539"/>
        <v>181.12498237932752</v>
      </c>
      <c r="AS66" s="24">
        <f t="shared" si="539"/>
        <v>204.92664255478283</v>
      </c>
      <c r="AT66" s="24">
        <f t="shared" si="539"/>
        <v>231.90338792854268</v>
      </c>
      <c r="AU66" s="24">
        <f t="shared" si="539"/>
        <v>262.4812724177911</v>
      </c>
      <c r="AV66" s="24">
        <f t="shared" si="539"/>
        <v>297.14365134867859</v>
      </c>
      <c r="AW66" s="24">
        <f t="shared" si="539"/>
        <v>336.43889489034763</v>
      </c>
      <c r="AX66" s="24">
        <f t="shared" si="539"/>
        <v>380.98914015724432</v>
      </c>
      <c r="AY66" s="24">
        <f t="shared" si="539"/>
        <v>431.50022186186658</v>
      </c>
      <c r="AZ66" s="24">
        <f t="shared" si="539"/>
        <v>488.77294023957177</v>
      </c>
      <c r="BA66" s="24">
        <f t="shared" si="539"/>
        <v>553.71584634394583</v>
      </c>
      <c r="BB66" s="24">
        <f t="shared" si="539"/>
        <v>627.35974906722947</v>
      </c>
      <c r="BC66" s="24">
        <f t="shared" si="539"/>
        <v>710.87417576316125</v>
      </c>
      <c r="BD66" s="24">
        <f t="shared" si="539"/>
        <v>805.58604957938905</v>
      </c>
      <c r="BE66" s="24">
        <f t="shared" si="539"/>
        <v>913.0008820425345</v>
      </c>
      <c r="BF66" s="24">
        <f t="shared" si="539"/>
        <v>1034.8268196475749</v>
      </c>
      <c r="BG66" s="24">
        <f t="shared" si="539"/>
        <v>1173.0019288272922</v>
      </c>
      <c r="BH66" s="24">
        <f t="shared" si="539"/>
        <v>1329.7251554464428</v>
      </c>
      <c r="BI66" s="24">
        <f t="shared" si="539"/>
        <v>1507.49145370669</v>
      </c>
      <c r="BJ66" s="24">
        <f t="shared" si="539"/>
        <v>1709.1316460012895</v>
      </c>
      <c r="BK66" s="24">
        <f t="shared" si="539"/>
        <v>1937.8576508885876</v>
      </c>
      <c r="BL66" s="24">
        <f t="shared" si="539"/>
        <v>2197.3138021696695</v>
      </c>
      <c r="BM66" s="24">
        <f t="shared" si="539"/>
        <v>2491.6350794299333</v>
      </c>
      <c r="BN66" s="24">
        <f t="shared" si="539"/>
        <v>2825.5131808936276</v>
      </c>
    </row>
    <row r="67" spans="1:66">
      <c r="A67" s="685"/>
      <c r="B67" s="1" t="s">
        <v>1182</v>
      </c>
      <c r="C67" s="51" t="s">
        <v>166</v>
      </c>
      <c r="D67" s="24">
        <v>0</v>
      </c>
      <c r="E67" s="24">
        <v>0</v>
      </c>
      <c r="F67" s="24">
        <v>0</v>
      </c>
      <c r="G67" s="24">
        <v>0</v>
      </c>
      <c r="H67" s="24">
        <v>0</v>
      </c>
      <c r="I67" s="24">
        <v>0</v>
      </c>
      <c r="J67" s="24">
        <v>0</v>
      </c>
      <c r="K67" s="24">
        <v>0</v>
      </c>
      <c r="L67" s="24">
        <v>0</v>
      </c>
      <c r="M67" s="24">
        <v>0</v>
      </c>
      <c r="N67" s="24">
        <v>0</v>
      </c>
      <c r="O67" s="24">
        <v>0</v>
      </c>
      <c r="P67" s="24">
        <v>0</v>
      </c>
      <c r="Q67" s="24">
        <v>0</v>
      </c>
      <c r="R67" s="24">
        <v>0</v>
      </c>
      <c r="S67" s="24">
        <v>0</v>
      </c>
      <c r="T67" s="24">
        <v>0</v>
      </c>
      <c r="U67" s="24">
        <v>0</v>
      </c>
      <c r="V67" s="24">
        <v>0</v>
      </c>
      <c r="W67" s="24">
        <v>0</v>
      </c>
      <c r="X67" s="24">
        <v>0</v>
      </c>
      <c r="Y67" s="24">
        <v>0</v>
      </c>
      <c r="Z67" s="24">
        <v>0</v>
      </c>
      <c r="AA67" s="24">
        <v>0</v>
      </c>
      <c r="AB67" s="24">
        <v>0</v>
      </c>
      <c r="AC67" s="24">
        <v>0</v>
      </c>
      <c r="AD67" s="24">
        <v>0</v>
      </c>
      <c r="AE67" s="24">
        <v>0</v>
      </c>
      <c r="AF67" s="24">
        <v>0</v>
      </c>
      <c r="AG67" s="24">
        <v>0</v>
      </c>
      <c r="AH67" s="24">
        <v>0</v>
      </c>
      <c r="AI67" s="24"/>
      <c r="AJ67" s="24">
        <v>0</v>
      </c>
      <c r="AK67" s="24">
        <v>0</v>
      </c>
      <c r="AL67" s="24">
        <v>0</v>
      </c>
      <c r="AM67" s="24">
        <v>0</v>
      </c>
      <c r="AN67" s="24">
        <v>0</v>
      </c>
      <c r="AO67" s="24">
        <v>0</v>
      </c>
      <c r="AP67" s="24">
        <v>0</v>
      </c>
      <c r="AQ67" s="24">
        <v>0</v>
      </c>
      <c r="AR67" s="24">
        <v>0</v>
      </c>
      <c r="AS67" s="24">
        <v>0</v>
      </c>
      <c r="AT67" s="24">
        <v>0</v>
      </c>
      <c r="AU67" s="24">
        <v>0</v>
      </c>
      <c r="AV67" s="24">
        <v>0</v>
      </c>
      <c r="AW67" s="24">
        <v>0</v>
      </c>
      <c r="AX67" s="24">
        <v>0</v>
      </c>
      <c r="AY67" s="24">
        <v>0</v>
      </c>
      <c r="AZ67" s="24">
        <v>0</v>
      </c>
      <c r="BA67" s="24">
        <v>0</v>
      </c>
      <c r="BB67" s="24">
        <v>0</v>
      </c>
      <c r="BC67" s="24">
        <v>0</v>
      </c>
      <c r="BD67" s="24">
        <v>0</v>
      </c>
      <c r="BE67" s="24">
        <v>0</v>
      </c>
      <c r="BF67" s="24">
        <v>0</v>
      </c>
      <c r="BG67" s="24">
        <v>0</v>
      </c>
      <c r="BH67" s="24">
        <v>0</v>
      </c>
      <c r="BI67" s="24">
        <v>0</v>
      </c>
      <c r="BJ67" s="24">
        <v>0</v>
      </c>
      <c r="BK67" s="24">
        <v>0</v>
      </c>
      <c r="BL67" s="24">
        <v>0</v>
      </c>
      <c r="BM67" s="24">
        <v>0</v>
      </c>
      <c r="BN67" s="24">
        <v>0</v>
      </c>
    </row>
    <row r="68" spans="1:66" s="63" customFormat="1">
      <c r="A68" s="686"/>
      <c r="B68" s="59" t="s">
        <v>27</v>
      </c>
      <c r="C68" s="262" t="s">
        <v>166</v>
      </c>
      <c r="D68" s="652">
        <f>0.5*D63</f>
        <v>0</v>
      </c>
      <c r="E68" s="652">
        <f t="shared" ref="E68:AH68" si="540">0.5*E63</f>
        <v>5.0222423836485266</v>
      </c>
      <c r="F68" s="652">
        <f t="shared" si="540"/>
        <v>5.2817269182606035</v>
      </c>
      <c r="G68" s="652">
        <f t="shared" si="540"/>
        <v>5.5546182577536909</v>
      </c>
      <c r="H68" s="652">
        <f t="shared" si="540"/>
        <v>5.8416090924162454</v>
      </c>
      <c r="I68" s="652">
        <f t="shared" si="540"/>
        <v>6.1434279018123119</v>
      </c>
      <c r="J68" s="652">
        <f t="shared" si="540"/>
        <v>6.4608408039085274</v>
      </c>
      <c r="K68" s="652">
        <f t="shared" si="540"/>
        <v>6.7946534997400043</v>
      </c>
      <c r="L68" s="652">
        <f t="shared" si="540"/>
        <v>7.1457133185513415</v>
      </c>
      <c r="M68" s="652">
        <f t="shared" si="540"/>
        <v>7.5149113686041424</v>
      </c>
      <c r="N68" s="652">
        <f t="shared" si="540"/>
        <v>7.9031847991104085</v>
      </c>
      <c r="O68" s="652">
        <f t="shared" si="540"/>
        <v>8.3115191790334322</v>
      </c>
      <c r="P68" s="652">
        <f t="shared" si="540"/>
        <v>8.7409509987943679</v>
      </c>
      <c r="Q68" s="652">
        <f t="shared" si="540"/>
        <v>9.1925703012345785</v>
      </c>
      <c r="R68" s="652">
        <f t="shared" si="540"/>
        <v>9.6675234485121333</v>
      </c>
      <c r="S68" s="652">
        <f t="shared" si="540"/>
        <v>10.167016031955709</v>
      </c>
      <c r="T68" s="652">
        <f t="shared" si="540"/>
        <v>10.692315932262179</v>
      </c>
      <c r="U68" s="652">
        <f t="shared" si="540"/>
        <v>11.244756537805509</v>
      </c>
      <c r="V68" s="652">
        <f t="shared" si="540"/>
        <v>11.825740129226398</v>
      </c>
      <c r="W68" s="652">
        <f t="shared" si="540"/>
        <v>12.436741438893629</v>
      </c>
      <c r="X68" s="652">
        <f t="shared" si="540"/>
        <v>13.079311394272294</v>
      </c>
      <c r="Y68" s="652">
        <f t="shared" si="540"/>
        <v>13.755081054701051</v>
      </c>
      <c r="Z68" s="652">
        <f t="shared" si="540"/>
        <v>14.465765751570942</v>
      </c>
      <c r="AA68" s="652">
        <f t="shared" si="540"/>
        <v>15.21316944241522</v>
      </c>
      <c r="AB68" s="652">
        <f t="shared" si="540"/>
        <v>15.999189289962226</v>
      </c>
      <c r="AC68" s="652">
        <f t="shared" si="540"/>
        <v>16.825820477774457</v>
      </c>
      <c r="AD68" s="652">
        <f t="shared" si="540"/>
        <v>17.695161274697416</v>
      </c>
      <c r="AE68" s="652">
        <f t="shared" si="540"/>
        <v>18.609418360974242</v>
      </c>
      <c r="AF68" s="652">
        <f t="shared" si="540"/>
        <v>19.570912429544165</v>
      </c>
      <c r="AG68" s="652">
        <f t="shared" si="540"/>
        <v>20.582084076744557</v>
      </c>
      <c r="AH68" s="652">
        <f t="shared" si="540"/>
        <v>21.645499997367793</v>
      </c>
      <c r="AI68" s="652"/>
      <c r="AJ68" s="652">
        <f>0.5*AJ63</f>
        <v>0</v>
      </c>
      <c r="AK68" s="652">
        <f t="shared" ref="AK68:BN68" si="541">0.5*AK63</f>
        <v>5.0222423836485266</v>
      </c>
      <c r="AL68" s="652">
        <f t="shared" si="541"/>
        <v>5.2817269182606035</v>
      </c>
      <c r="AM68" s="652">
        <f t="shared" si="541"/>
        <v>5.5546182577536909</v>
      </c>
      <c r="AN68" s="652">
        <f t="shared" si="541"/>
        <v>5.8416090924162454</v>
      </c>
      <c r="AO68" s="652">
        <f t="shared" si="541"/>
        <v>6.1434279018123119</v>
      </c>
      <c r="AP68" s="652">
        <f t="shared" si="541"/>
        <v>6.4608408039085274</v>
      </c>
      <c r="AQ68" s="652">
        <f t="shared" si="541"/>
        <v>6.7946534997400043</v>
      </c>
      <c r="AR68" s="652">
        <f t="shared" si="541"/>
        <v>7.1457133185513415</v>
      </c>
      <c r="AS68" s="652">
        <f t="shared" si="541"/>
        <v>7.5149113686041424</v>
      </c>
      <c r="AT68" s="652">
        <f t="shared" si="541"/>
        <v>7.9031847991104085</v>
      </c>
      <c r="AU68" s="652">
        <f t="shared" si="541"/>
        <v>8.3115191790334322</v>
      </c>
      <c r="AV68" s="652">
        <f t="shared" si="541"/>
        <v>8.7409509987943679</v>
      </c>
      <c r="AW68" s="652">
        <f t="shared" si="541"/>
        <v>9.1925703012345785</v>
      </c>
      <c r="AX68" s="652">
        <f t="shared" si="541"/>
        <v>9.6675234485121333</v>
      </c>
      <c r="AY68" s="652">
        <f t="shared" si="541"/>
        <v>10.167016031955709</v>
      </c>
      <c r="AZ68" s="652">
        <f t="shared" si="541"/>
        <v>10.692315932262179</v>
      </c>
      <c r="BA68" s="652">
        <f t="shared" si="541"/>
        <v>11.244756537805509</v>
      </c>
      <c r="BB68" s="652">
        <f t="shared" si="541"/>
        <v>11.825740129226398</v>
      </c>
      <c r="BC68" s="652">
        <f t="shared" si="541"/>
        <v>12.436741438893629</v>
      </c>
      <c r="BD68" s="652">
        <f t="shared" si="541"/>
        <v>13.079311394272294</v>
      </c>
      <c r="BE68" s="652">
        <f t="shared" si="541"/>
        <v>13.755081054701051</v>
      </c>
      <c r="BF68" s="652">
        <f t="shared" si="541"/>
        <v>14.465765751570942</v>
      </c>
      <c r="BG68" s="652">
        <f t="shared" si="541"/>
        <v>15.21316944241522</v>
      </c>
      <c r="BH68" s="652">
        <f t="shared" si="541"/>
        <v>15.999189289962226</v>
      </c>
      <c r="BI68" s="652">
        <f t="shared" si="541"/>
        <v>16.825820477774457</v>
      </c>
      <c r="BJ68" s="652">
        <f t="shared" si="541"/>
        <v>17.695161274697416</v>
      </c>
      <c r="BK68" s="652">
        <f t="shared" si="541"/>
        <v>18.609418360974242</v>
      </c>
      <c r="BL68" s="652">
        <f t="shared" si="541"/>
        <v>19.570912429544165</v>
      </c>
      <c r="BM68" s="652">
        <f t="shared" si="541"/>
        <v>20.582084076744557</v>
      </c>
      <c r="BN68" s="652">
        <f t="shared" si="541"/>
        <v>21.645499997367793</v>
      </c>
    </row>
    <row r="69" spans="1:66">
      <c r="A69" s="1" t="s">
        <v>78</v>
      </c>
      <c r="B69" s="1" t="s">
        <v>164</v>
      </c>
      <c r="C69" s="51" t="s">
        <v>166</v>
      </c>
      <c r="D69" s="25">
        <f t="shared" ref="D69:AH69" si="542">D23+D32+D41+D50+D57</f>
        <v>0</v>
      </c>
      <c r="E69" s="25">
        <f t="shared" si="542"/>
        <v>0.27480828942067437</v>
      </c>
      <c r="F69" s="25">
        <f t="shared" si="542"/>
        <v>0.5886465844461275</v>
      </c>
      <c r="G69" s="25">
        <f t="shared" si="542"/>
        <v>0.94133912243223217</v>
      </c>
      <c r="H69" s="25">
        <f t="shared" si="542"/>
        <v>1.3327044799291561</v>
      </c>
      <c r="I69" s="25">
        <f t="shared" si="542"/>
        <v>1.7625554031498869</v>
      </c>
      <c r="J69" s="25">
        <f t="shared" si="542"/>
        <v>2.2306986336010874</v>
      </c>
      <c r="K69" s="25">
        <f t="shared" si="542"/>
        <v>2.7369347287429662</v>
      </c>
      <c r="L69" s="25">
        <f t="shared" si="542"/>
        <v>3.2810578775411905</v>
      </c>
      <c r="M69" s="25">
        <f t="shared" si="542"/>
        <v>3.8628557107703054</v>
      </c>
      <c r="N69" s="25">
        <f t="shared" si="542"/>
        <v>4.4821091059242235</v>
      </c>
      <c r="O69" s="25">
        <f t="shared" si="542"/>
        <v>5.1094866179260796</v>
      </c>
      <c r="P69" s="25">
        <f t="shared" si="542"/>
        <v>5.7526801505038891</v>
      </c>
      <c r="Q69" s="25">
        <f t="shared" si="542"/>
        <v>6.4116225885011886</v>
      </c>
      <c r="R69" s="25">
        <f t="shared" si="542"/>
        <v>7.0862439783239974</v>
      </c>
      <c r="S69" s="25">
        <f t="shared" si="542"/>
        <v>7.7764714220180062</v>
      </c>
      <c r="T69" s="25">
        <f t="shared" si="542"/>
        <v>8.4663889677744315</v>
      </c>
      <c r="U69" s="25">
        <f t="shared" si="542"/>
        <v>9.1697774967528716</v>
      </c>
      <c r="V69" s="25">
        <f t="shared" si="542"/>
        <v>9.886554606106241</v>
      </c>
      <c r="W69" s="25">
        <f t="shared" si="542"/>
        <v>10.61663448808951</v>
      </c>
      <c r="X69" s="25">
        <f t="shared" si="542"/>
        <v>11.359927805130415</v>
      </c>
      <c r="Y69" s="25">
        <f t="shared" si="542"/>
        <v>12.289227173110064</v>
      </c>
      <c r="Z69" s="25">
        <f t="shared" si="542"/>
        <v>13.234858970612262</v>
      </c>
      <c r="AA69" s="25">
        <f t="shared" si="542"/>
        <v>14.196906268987711</v>
      </c>
      <c r="AB69" s="25">
        <f t="shared" si="542"/>
        <v>15.175452373553767</v>
      </c>
      <c r="AC69" s="25">
        <f t="shared" si="542"/>
        <v>16.170580770370528</v>
      </c>
      <c r="AD69" s="25">
        <f t="shared" si="542"/>
        <v>17.182375070113544</v>
      </c>
      <c r="AE69" s="25">
        <f t="shared" si="542"/>
        <v>18.210918948932861</v>
      </c>
      <c r="AF69" s="25">
        <f t="shared" si="542"/>
        <v>19.256296086184197</v>
      </c>
      <c r="AG69" s="25">
        <f t="shared" si="542"/>
        <v>20.318590098914502</v>
      </c>
      <c r="AH69" s="25">
        <f t="shared" si="542"/>
        <v>21.397884472980412</v>
      </c>
      <c r="AI69" s="24"/>
      <c r="AJ69" s="25">
        <f t="shared" ref="AJ69:BN69" si="543">AJ23+AJ32+AJ41+AJ50+AJ57</f>
        <v>0</v>
      </c>
      <c r="AK69" s="25">
        <f t="shared" si="543"/>
        <v>0.13110940690912876</v>
      </c>
      <c r="AL69" s="25">
        <f t="shared" si="543"/>
        <v>0.28151778722638821</v>
      </c>
      <c r="AM69" s="25">
        <f t="shared" si="543"/>
        <v>0.45113170870567165</v>
      </c>
      <c r="AN69" s="25">
        <f t="shared" si="543"/>
        <v>0.63985478208981805</v>
      </c>
      <c r="AO69" s="25">
        <f t="shared" si="543"/>
        <v>0.84758757364067261</v>
      </c>
      <c r="AP69" s="25">
        <f t="shared" si="543"/>
        <v>1.0742275151949165</v>
      </c>
      <c r="AQ69" s="25">
        <f t="shared" si="543"/>
        <v>1.3196688116779036</v>
      </c>
      <c r="AR69" s="25">
        <f t="shared" si="543"/>
        <v>1.5838023460058956</v>
      </c>
      <c r="AS69" s="25">
        <f t="shared" si="543"/>
        <v>1.8665155813052798</v>
      </c>
      <c r="AT69" s="25">
        <f t="shared" si="543"/>
        <v>2.1676924603753869</v>
      </c>
      <c r="AU69" s="25">
        <f t="shared" si="543"/>
        <v>2.4735466636387549</v>
      </c>
      <c r="AV69" s="25">
        <f t="shared" si="543"/>
        <v>2.7870561140445385</v>
      </c>
      <c r="AW69" s="25">
        <f t="shared" si="543"/>
        <v>3.1081808294295428</v>
      </c>
      <c r="AX69" s="25">
        <f t="shared" si="543"/>
        <v>3.436879261857047</v>
      </c>
      <c r="AY69" s="25">
        <f t="shared" si="543"/>
        <v>3.7731082415151436</v>
      </c>
      <c r="AZ69" s="25">
        <f t="shared" si="543"/>
        <v>4.1089029187648238</v>
      </c>
      <c r="BA69" s="25">
        <f t="shared" si="543"/>
        <v>4.4511467042806903</v>
      </c>
      <c r="BB69" s="25">
        <f t="shared" si="543"/>
        <v>4.7997912072255362</v>
      </c>
      <c r="BC69" s="25">
        <f t="shared" si="543"/>
        <v>5.1547861713982854</v>
      </c>
      <c r="BD69" s="25">
        <f t="shared" si="543"/>
        <v>5.516079409293031</v>
      </c>
      <c r="BE69" s="25">
        <f t="shared" si="543"/>
        <v>5.9698425748410724</v>
      </c>
      <c r="BF69" s="25">
        <f t="shared" si="543"/>
        <v>6.4314401968083654</v>
      </c>
      <c r="BG69" s="25">
        <f t="shared" si="543"/>
        <v>6.9009055653020477</v>
      </c>
      <c r="BH69" s="25">
        <f t="shared" si="543"/>
        <v>7.3782719015657019</v>
      </c>
      <c r="BI69" s="25">
        <f t="shared" si="543"/>
        <v>7.8635723274149978</v>
      </c>
      <c r="BJ69" s="25">
        <f t="shared" si="543"/>
        <v>8.3568398331407998</v>
      </c>
      <c r="BK69" s="25">
        <f t="shared" si="543"/>
        <v>8.8581072438229249</v>
      </c>
      <c r="BL69" s="25">
        <f t="shared" si="543"/>
        <v>9.3674071839959083</v>
      </c>
      <c r="BM69" s="25">
        <f t="shared" si="543"/>
        <v>9.8847720406061246</v>
      </c>
      <c r="BN69" s="25">
        <f t="shared" si="543"/>
        <v>10.410233924197879</v>
      </c>
    </row>
    <row r="70" spans="1:66">
      <c r="B70" s="1" t="s">
        <v>167</v>
      </c>
      <c r="C70" s="51" t="s">
        <v>166</v>
      </c>
      <c r="D70" s="25">
        <f t="shared" ref="D70:AH70" si="544">D24+D35+D42+D51+D58</f>
        <v>0</v>
      </c>
      <c r="E70" s="25">
        <f t="shared" si="544"/>
        <v>7.7379930372329125E-2</v>
      </c>
      <c r="F70" s="25">
        <f t="shared" si="544"/>
        <v>0.16721458470427797</v>
      </c>
      <c r="G70" s="25">
        <f t="shared" si="544"/>
        <v>0.26942943045678402</v>
      </c>
      <c r="H70" s="25">
        <f t="shared" si="544"/>
        <v>0.38394764706899903</v>
      </c>
      <c r="I70" s="25">
        <f t="shared" si="544"/>
        <v>0.51069006009583084</v>
      </c>
      <c r="J70" s="25">
        <f t="shared" si="544"/>
        <v>0.64957507352547805</v>
      </c>
      <c r="K70" s="25">
        <f t="shared" si="544"/>
        <v>0.80051860022807109</v>
      </c>
      <c r="L70" s="25">
        <f t="shared" si="544"/>
        <v>0.96343399048523737</v>
      </c>
      <c r="M70" s="25">
        <f t="shared" si="544"/>
        <v>1.1382319585491061</v>
      </c>
      <c r="N70" s="25">
        <f t="shared" si="544"/>
        <v>1.3248205071778933</v>
      </c>
      <c r="O70" s="25">
        <f t="shared" si="544"/>
        <v>1.4758348329329916</v>
      </c>
      <c r="P70" s="25">
        <f t="shared" si="544"/>
        <v>1.6296311713723197</v>
      </c>
      <c r="Q70" s="25">
        <f t="shared" si="544"/>
        <v>1.7861097639548529</v>
      </c>
      <c r="R70" s="25">
        <f t="shared" si="544"/>
        <v>1.9451678332586473</v>
      </c>
      <c r="S70" s="25">
        <f t="shared" si="544"/>
        <v>2.1066994968334352</v>
      </c>
      <c r="T70" s="25">
        <f t="shared" si="544"/>
        <v>2.2653156786869051</v>
      </c>
      <c r="U70" s="25">
        <f t="shared" si="544"/>
        <v>2.4255240183413904</v>
      </c>
      <c r="V70" s="25">
        <f t="shared" si="544"/>
        <v>2.5872087773960173</v>
      </c>
      <c r="W70" s="25">
        <f t="shared" si="544"/>
        <v>2.7502507435276859</v>
      </c>
      <c r="X70" s="25">
        <f t="shared" si="544"/>
        <v>2.914527131862477</v>
      </c>
      <c r="Y70" s="25">
        <f t="shared" si="544"/>
        <v>3.0700909420416389</v>
      </c>
      <c r="Z70" s="25">
        <f t="shared" si="544"/>
        <v>3.2253137698840826</v>
      </c>
      <c r="AA70" s="25">
        <f t="shared" si="544"/>
        <v>3.3800577220365193</v>
      </c>
      <c r="AB70" s="25">
        <f t="shared" si="544"/>
        <v>3.5341807970975272</v>
      </c>
      <c r="AC70" s="25">
        <f t="shared" si="544"/>
        <v>3.6875367695353241</v>
      </c>
      <c r="AD70" s="25">
        <f t="shared" si="544"/>
        <v>3.8399750704382583</v>
      </c>
      <c r="AE70" s="25">
        <f t="shared" si="544"/>
        <v>3.991340665013746</v>
      </c>
      <c r="AF70" s="25">
        <f t="shared" si="544"/>
        <v>4.1414739267491498</v>
      </c>
      <c r="AG70" s="25">
        <f t="shared" si="544"/>
        <v>4.290210508145833</v>
      </c>
      <c r="AH70" s="25">
        <f t="shared" si="544"/>
        <v>4.4373812079353501</v>
      </c>
      <c r="AI70" s="24"/>
      <c r="AJ70" s="25">
        <f t="shared" ref="AJ70:BN70" si="545">AJ24+AJ35+AJ42+AJ51+AJ58</f>
        <v>0</v>
      </c>
      <c r="AK70" s="25">
        <f t="shared" si="545"/>
        <v>3.9361720681251322E-2</v>
      </c>
      <c r="AL70" s="25">
        <f t="shared" si="545"/>
        <v>8.4969612496174934E-2</v>
      </c>
      <c r="AM70" s="25">
        <f t="shared" si="545"/>
        <v>0.13678680416747072</v>
      </c>
      <c r="AN70" s="25">
        <f t="shared" si="545"/>
        <v>0.19477528778013389</v>
      </c>
      <c r="AO70" s="25">
        <f t="shared" si="545"/>
        <v>0.258895885979257</v>
      </c>
      <c r="AP70" s="25">
        <f t="shared" si="545"/>
        <v>0.32910821825999548</v>
      </c>
      <c r="AQ70" s="25">
        <f t="shared" si="545"/>
        <v>0.4053706663252899</v>
      </c>
      <c r="AR70" s="25">
        <f t="shared" si="545"/>
        <v>0.4876403384862894</v>
      </c>
      <c r="AS70" s="25">
        <f t="shared" si="545"/>
        <v>0.57587303307977045</v>
      </c>
      <c r="AT70" s="25">
        <f t="shared" si="545"/>
        <v>0.6700232008761583</v>
      </c>
      <c r="AU70" s="25">
        <f t="shared" si="545"/>
        <v>0.74686986400402011</v>
      </c>
      <c r="AV70" s="25">
        <f t="shared" si="545"/>
        <v>0.82514354734333728</v>
      </c>
      <c r="AW70" s="25">
        <f t="shared" si="545"/>
        <v>0.90479511746989005</v>
      </c>
      <c r="AX70" s="25">
        <f t="shared" si="545"/>
        <v>0.98577394534397644</v>
      </c>
      <c r="AY70" s="25">
        <f t="shared" si="545"/>
        <v>1.0680278634776246</v>
      </c>
      <c r="AZ70" s="25">
        <f t="shared" si="545"/>
        <v>1.1488631219226806</v>
      </c>
      <c r="BA70" s="25">
        <f t="shared" si="545"/>
        <v>1.2305343430482054</v>
      </c>
      <c r="BB70" s="25">
        <f t="shared" si="545"/>
        <v>1.3129844750747675</v>
      </c>
      <c r="BC70" s="25">
        <f t="shared" si="545"/>
        <v>1.3961547443323892</v>
      </c>
      <c r="BD70" s="25">
        <f t="shared" si="545"/>
        <v>1.4799846062080124</v>
      </c>
      <c r="BE70" s="25">
        <f t="shared" si="545"/>
        <v>1.5594135592573002</v>
      </c>
      <c r="BF70" s="25">
        <f t="shared" si="545"/>
        <v>1.6387136851572064</v>
      </c>
      <c r="BG70" s="25">
        <f t="shared" si="545"/>
        <v>1.7178168810022179</v>
      </c>
      <c r="BH70" s="25">
        <f t="shared" si="545"/>
        <v>1.7966530053221992</v>
      </c>
      <c r="BI70" s="25">
        <f t="shared" si="545"/>
        <v>1.8751498203087635</v>
      </c>
      <c r="BJ70" s="25">
        <f t="shared" si="545"/>
        <v>1.9532329324624635</v>
      </c>
      <c r="BK70" s="25">
        <f t="shared" si="545"/>
        <v>2.0308257316187368</v>
      </c>
      <c r="BL70" s="25">
        <f t="shared" si="545"/>
        <v>2.1078493283094271</v>
      </c>
      <c r="BM70" s="25">
        <f t="shared" si="545"/>
        <v>2.1842224894155748</v>
      </c>
      <c r="BN70" s="25">
        <f t="shared" si="545"/>
        <v>2.2598615720660309</v>
      </c>
    </row>
    <row r="71" spans="1:66">
      <c r="B71" s="1" t="s">
        <v>244</v>
      </c>
      <c r="C71" s="51" t="s">
        <v>166</v>
      </c>
      <c r="D71" s="25">
        <f t="shared" ref="D71:AH71" si="546">D19+D65</f>
        <v>0</v>
      </c>
      <c r="E71" s="25">
        <f t="shared" si="546"/>
        <v>81.901954811256672</v>
      </c>
      <c r="F71" s="25">
        <f t="shared" si="546"/>
        <v>92.114339692731718</v>
      </c>
      <c r="G71" s="25">
        <f t="shared" si="546"/>
        <v>103.65732731759141</v>
      </c>
      <c r="H71" s="25">
        <f t="shared" si="546"/>
        <v>116.70783972237059</v>
      </c>
      <c r="I71" s="25">
        <f t="shared" si="546"/>
        <v>131.46651105504824</v>
      </c>
      <c r="J71" s="25">
        <f t="shared" si="546"/>
        <v>148.16087526855583</v>
      </c>
      <c r="K71" s="25">
        <f t="shared" si="546"/>
        <v>167.04898284211384</v>
      </c>
      <c r="L71" s="25">
        <f t="shared" si="546"/>
        <v>188.42350429828878</v>
      </c>
      <c r="M71" s="25">
        <f t="shared" si="546"/>
        <v>212.61638606333096</v>
      </c>
      <c r="N71" s="25">
        <f t="shared" si="546"/>
        <v>240.00413304578976</v>
      </c>
      <c r="O71" s="25">
        <f t="shared" si="546"/>
        <v>271.04394015125581</v>
      </c>
      <c r="P71" s="25">
        <f t="shared" si="546"/>
        <v>306.19110404330092</v>
      </c>
      <c r="Q71" s="25">
        <f t="shared" si="546"/>
        <v>345.99512945368207</v>
      </c>
      <c r="R71" s="25">
        <f t="shared" si="546"/>
        <v>391.0793453823913</v>
      </c>
      <c r="S71" s="25">
        <f t="shared" si="546"/>
        <v>442.1508386815147</v>
      </c>
      <c r="T71" s="25">
        <f t="shared" si="546"/>
        <v>500.01172506192631</v>
      </c>
      <c r="U71" s="25">
        <f t="shared" si="546"/>
        <v>565.57193762909776</v>
      </c>
      <c r="V71" s="25">
        <f t="shared" si="546"/>
        <v>639.86373731069364</v>
      </c>
      <c r="W71" s="25">
        <f t="shared" si="546"/>
        <v>724.05817706191635</v>
      </c>
      <c r="X71" s="25">
        <f t="shared" si="546"/>
        <v>819.48378296479268</v>
      </c>
      <c r="Y71" s="25">
        <f t="shared" si="546"/>
        <v>927.62396976928676</v>
      </c>
      <c r="Z71" s="25">
        <f t="shared" si="546"/>
        <v>1050.2116261073127</v>
      </c>
      <c r="AA71" s="25">
        <f t="shared" si="546"/>
        <v>1189.1866573172895</v>
      </c>
      <c r="AB71" s="25">
        <f t="shared" si="546"/>
        <v>1346.749942144178</v>
      </c>
      <c r="AC71" s="25">
        <f t="shared" si="546"/>
        <v>1525.3984664761099</v>
      </c>
      <c r="AD71" s="25">
        <f t="shared" si="546"/>
        <v>1727.9651882799058</v>
      </c>
      <c r="AE71" s="25">
        <f t="shared" si="546"/>
        <v>1957.6642709173993</v>
      </c>
      <c r="AF71" s="25">
        <f t="shared" si="546"/>
        <v>2218.1424078414329</v>
      </c>
      <c r="AG71" s="25">
        <f t="shared" si="546"/>
        <v>2513.5370590455254</v>
      </c>
      <c r="AH71" s="25">
        <f t="shared" si="546"/>
        <v>2848.5425301312093</v>
      </c>
      <c r="AI71" s="24"/>
      <c r="AJ71" s="25">
        <f t="shared" ref="AJ71:BN71" si="547">AJ19+AJ65</f>
        <v>0</v>
      </c>
      <c r="AK71" s="25">
        <f t="shared" si="547"/>
        <v>81.901954811256672</v>
      </c>
      <c r="AL71" s="25">
        <f t="shared" si="547"/>
        <v>92.114339692731718</v>
      </c>
      <c r="AM71" s="25">
        <f t="shared" si="547"/>
        <v>103.65732731759141</v>
      </c>
      <c r="AN71" s="25">
        <f t="shared" si="547"/>
        <v>116.70783972237059</v>
      </c>
      <c r="AO71" s="25">
        <f t="shared" si="547"/>
        <v>131.46651105504824</v>
      </c>
      <c r="AP71" s="25">
        <f t="shared" si="547"/>
        <v>148.16087526855583</v>
      </c>
      <c r="AQ71" s="25">
        <f t="shared" si="547"/>
        <v>167.04898284211384</v>
      </c>
      <c r="AR71" s="25">
        <f t="shared" si="547"/>
        <v>188.42350429828878</v>
      </c>
      <c r="AS71" s="25">
        <f t="shared" si="547"/>
        <v>212.61638606333096</v>
      </c>
      <c r="AT71" s="25">
        <f t="shared" si="547"/>
        <v>240.00413304578976</v>
      </c>
      <c r="AU71" s="25">
        <f t="shared" si="547"/>
        <v>271.04394015125581</v>
      </c>
      <c r="AV71" s="25">
        <f t="shared" si="547"/>
        <v>306.19110404330092</v>
      </c>
      <c r="AW71" s="25">
        <f t="shared" si="547"/>
        <v>345.99512945368207</v>
      </c>
      <c r="AX71" s="25">
        <f t="shared" si="547"/>
        <v>391.0793453823913</v>
      </c>
      <c r="AY71" s="25">
        <f t="shared" si="547"/>
        <v>442.1508386815147</v>
      </c>
      <c r="AZ71" s="25">
        <f t="shared" si="547"/>
        <v>500.01172506192631</v>
      </c>
      <c r="BA71" s="25">
        <f t="shared" si="547"/>
        <v>565.57193762909776</v>
      </c>
      <c r="BB71" s="25">
        <f t="shared" si="547"/>
        <v>639.86373731069364</v>
      </c>
      <c r="BC71" s="25">
        <f t="shared" si="547"/>
        <v>724.05817706191635</v>
      </c>
      <c r="BD71" s="25">
        <f t="shared" si="547"/>
        <v>819.48378296479268</v>
      </c>
      <c r="BE71" s="25">
        <f t="shared" si="547"/>
        <v>927.62396976928676</v>
      </c>
      <c r="BF71" s="25">
        <f t="shared" si="547"/>
        <v>1050.2116261073127</v>
      </c>
      <c r="BG71" s="25">
        <f t="shared" si="547"/>
        <v>1189.1866573172895</v>
      </c>
      <c r="BH71" s="25">
        <f t="shared" si="547"/>
        <v>1346.749942144178</v>
      </c>
      <c r="BI71" s="25">
        <f t="shared" si="547"/>
        <v>1525.3984664761099</v>
      </c>
      <c r="BJ71" s="25">
        <f t="shared" si="547"/>
        <v>1727.9651882799058</v>
      </c>
      <c r="BK71" s="25">
        <f t="shared" si="547"/>
        <v>1957.6642709173993</v>
      </c>
      <c r="BL71" s="25">
        <f t="shared" si="547"/>
        <v>2218.1424078414329</v>
      </c>
      <c r="BM71" s="25">
        <f t="shared" si="547"/>
        <v>2513.5370590455254</v>
      </c>
      <c r="BN71" s="25">
        <f t="shared" si="547"/>
        <v>2848.5425301312093</v>
      </c>
    </row>
    <row r="72" spans="1:66">
      <c r="A72" s="64" t="s">
        <v>917</v>
      </c>
      <c r="B72" s="64"/>
      <c r="C72" s="65" t="s">
        <v>166</v>
      </c>
      <c r="D72" s="657">
        <f t="shared" ref="D72:AH72" si="548">D14+D71-D69-D70</f>
        <v>70.960266702016895</v>
      </c>
      <c r="E72" s="657">
        <f t="shared" si="548"/>
        <v>156.36442711970346</v>
      </c>
      <c r="F72" s="657">
        <f t="shared" si="548"/>
        <v>170.00111922145067</v>
      </c>
      <c r="G72" s="657">
        <f t="shared" si="548"/>
        <v>184.88985470445556</v>
      </c>
      <c r="H72" s="657">
        <f t="shared" si="548"/>
        <v>201.20687463246247</v>
      </c>
      <c r="I72" s="657">
        <f t="shared" si="548"/>
        <v>219.15211161579523</v>
      </c>
      <c r="J72" s="657">
        <f t="shared" si="548"/>
        <v>238.95237692130493</v>
      </c>
      <c r="K72" s="657">
        <f t="shared" si="548"/>
        <v>260.86497659421559</v>
      </c>
      <c r="L72" s="657">
        <f t="shared" si="548"/>
        <v>285.18181435933724</v>
      </c>
      <c r="M72" s="657">
        <f t="shared" si="548"/>
        <v>312.23404684877062</v>
      </c>
      <c r="N72" s="657">
        <f t="shared" si="548"/>
        <v>342.39736553065694</v>
      </c>
      <c r="O72" s="657">
        <f t="shared" si="548"/>
        <v>372.43949632678823</v>
      </c>
      <c r="P72" s="657">
        <f t="shared" si="548"/>
        <v>406.48376412801622</v>
      </c>
      <c r="Q72" s="657">
        <f t="shared" si="548"/>
        <v>445.07689495468713</v>
      </c>
      <c r="R72" s="657">
        <f t="shared" si="548"/>
        <v>488.83935527869096</v>
      </c>
      <c r="S72" s="657">
        <f t="shared" si="548"/>
        <v>538.47528323259985</v>
      </c>
      <c r="T72" s="657">
        <f t="shared" si="548"/>
        <v>594.60487717694616</v>
      </c>
      <c r="U72" s="657">
        <f t="shared" si="548"/>
        <v>658.31646173020022</v>
      </c>
      <c r="V72" s="657">
        <f t="shared" si="548"/>
        <v>730.63907562236238</v>
      </c>
      <c r="W72" s="657">
        <f t="shared" si="548"/>
        <v>812.74045325631926</v>
      </c>
      <c r="X72" s="657">
        <f t="shared" si="548"/>
        <v>905.94570309130938</v>
      </c>
      <c r="Y72" s="657">
        <f t="shared" si="548"/>
        <v>1012.0765194479641</v>
      </c>
      <c r="Z72" s="657">
        <f t="shared" si="548"/>
        <v>1132.5600013756182</v>
      </c>
      <c r="AA72" s="657">
        <f t="shared" si="548"/>
        <v>1269.3335783371576</v>
      </c>
      <c r="AB72" s="657">
        <f t="shared" si="548"/>
        <v>1424.5955823558259</v>
      </c>
      <c r="AC72" s="657">
        <f t="shared" si="548"/>
        <v>1600.8403798227653</v>
      </c>
      <c r="AD72" s="657">
        <f t="shared" si="548"/>
        <v>1800.8982344525209</v>
      </c>
      <c r="AE72" s="657">
        <f t="shared" si="548"/>
        <v>2027.9805385671004</v>
      </c>
      <c r="AF72" s="657">
        <f t="shared" si="548"/>
        <v>2285.7311357061162</v>
      </c>
      <c r="AG72" s="657">
        <f t="shared" si="548"/>
        <v>2578.2845549356111</v>
      </c>
      <c r="AH72" s="657">
        <f t="shared" si="548"/>
        <v>2910.3320877181554</v>
      </c>
      <c r="AI72" s="24"/>
      <c r="AJ72" s="657">
        <f t="shared" ref="AJ72:BN72" si="549">AJ14+AJ71-AJ69-AJ70</f>
        <v>70.960266702016895</v>
      </c>
      <c r="AK72" s="657">
        <f t="shared" si="549"/>
        <v>156.54614421190607</v>
      </c>
      <c r="AL72" s="657">
        <f t="shared" si="549"/>
        <v>170.39049299087853</v>
      </c>
      <c r="AM72" s="657">
        <f t="shared" si="549"/>
        <v>185.51270474447145</v>
      </c>
      <c r="AN72" s="657">
        <f t="shared" si="549"/>
        <v>202.08889668959065</v>
      </c>
      <c r="AO72" s="657">
        <f t="shared" si="549"/>
        <v>220.31887361942103</v>
      </c>
      <c r="AP72" s="657">
        <f t="shared" si="549"/>
        <v>240.42931489497661</v>
      </c>
      <c r="AQ72" s="657">
        <f t="shared" si="549"/>
        <v>262.67739044518351</v>
      </c>
      <c r="AR72" s="657">
        <f t="shared" si="549"/>
        <v>287.35486354287144</v>
      </c>
      <c r="AS72" s="657">
        <f t="shared" si="549"/>
        <v>314.792745903705</v>
      </c>
      <c r="AT72" s="657">
        <f t="shared" si="549"/>
        <v>345.36657948250752</v>
      </c>
      <c r="AU72" s="657">
        <f t="shared" si="549"/>
        <v>375.80440125000456</v>
      </c>
      <c r="AV72" s="657">
        <f t="shared" si="549"/>
        <v>410.2538757885045</v>
      </c>
      <c r="AW72" s="657">
        <f t="shared" si="549"/>
        <v>449.26165136024372</v>
      </c>
      <c r="AX72" s="657">
        <f t="shared" si="549"/>
        <v>493.44811388307261</v>
      </c>
      <c r="AY72" s="657">
        <f t="shared" si="549"/>
        <v>543.51731804645863</v>
      </c>
      <c r="AZ72" s="657">
        <f t="shared" si="549"/>
        <v>600.07881578271997</v>
      </c>
      <c r="BA72" s="657">
        <f t="shared" si="549"/>
        <v>664.23008219796554</v>
      </c>
      <c r="BB72" s="657">
        <f t="shared" si="549"/>
        <v>737.00006332356418</v>
      </c>
      <c r="BC72" s="657">
        <f t="shared" si="549"/>
        <v>819.5563975722057</v>
      </c>
      <c r="BD72" s="657">
        <f t="shared" si="549"/>
        <v>913.22409401280106</v>
      </c>
      <c r="BE72" s="657">
        <f t="shared" si="549"/>
        <v>1019.9065814290173</v>
      </c>
      <c r="BF72" s="657">
        <f t="shared" si="549"/>
        <v>1140.950020234149</v>
      </c>
      <c r="BG72" s="657">
        <f t="shared" si="549"/>
        <v>1278.2918198818777</v>
      </c>
      <c r="BH72" s="657">
        <f t="shared" si="549"/>
        <v>1434.1302906195892</v>
      </c>
      <c r="BI72" s="657">
        <f t="shared" si="549"/>
        <v>1610.9597752149477</v>
      </c>
      <c r="BJ72" s="657">
        <f t="shared" si="549"/>
        <v>1811.6105118274693</v>
      </c>
      <c r="BK72" s="657">
        <f t="shared" si="549"/>
        <v>2039.2938652056055</v>
      </c>
      <c r="BL72" s="657">
        <f t="shared" si="549"/>
        <v>2297.6536492067444</v>
      </c>
      <c r="BM72" s="657">
        <f t="shared" si="549"/>
        <v>2590.8243610126497</v>
      </c>
      <c r="BN72" s="657">
        <f t="shared" si="549"/>
        <v>2923.4972579028072</v>
      </c>
    </row>
    <row r="73" spans="1:66" s="62" customFormat="1">
      <c r="A73" s="684"/>
      <c r="B73" s="55" t="s">
        <v>885</v>
      </c>
      <c r="C73" s="56" t="s">
        <v>166</v>
      </c>
      <c r="D73" s="650">
        <f>D26+D37+D44+D53+D60+D66</f>
        <v>7.192774760698633</v>
      </c>
      <c r="E73" s="650">
        <f t="shared" ref="E73:AG73" si="550">E26+E37+E44+E53+E60+E66</f>
        <v>84.44953308742349</v>
      </c>
      <c r="F73" s="650">
        <f t="shared" si="550"/>
        <v>94.772970377705946</v>
      </c>
      <c r="G73" s="650">
        <f t="shared" si="550"/>
        <v>106.40704290688653</v>
      </c>
      <c r="H73" s="650">
        <f t="shared" si="550"/>
        <v>119.52793612829714</v>
      </c>
      <c r="I73" s="650">
        <f t="shared" si="550"/>
        <v>134.33551705491175</v>
      </c>
      <c r="J73" s="650">
        <f t="shared" si="550"/>
        <v>151.05651840188597</v>
      </c>
      <c r="K73" s="650">
        <f t="shared" si="550"/>
        <v>169.94815222028143</v>
      </c>
      <c r="L73" s="650">
        <f t="shared" si="550"/>
        <v>191.30221057990539</v>
      </c>
      <c r="M73" s="650">
        <f t="shared" si="550"/>
        <v>215.44971872020358</v>
      </c>
      <c r="N73" s="650">
        <f t="shared" si="550"/>
        <v>242.76621496210367</v>
      </c>
      <c r="O73" s="650">
        <f t="shared" si="550"/>
        <v>273.4119811269415</v>
      </c>
      <c r="P73" s="650">
        <f t="shared" si="550"/>
        <v>308.13888733595098</v>
      </c>
      <c r="Q73" s="650">
        <f t="shared" si="550"/>
        <v>347.49525652311104</v>
      </c>
      <c r="R73" s="650">
        <f t="shared" si="550"/>
        <v>392.10317627852385</v>
      </c>
      <c r="S73" s="650">
        <f t="shared" si="550"/>
        <v>442.66842936396671</v>
      </c>
      <c r="T73" s="650">
        <f t="shared" si="550"/>
        <v>499.97349494379057</v>
      </c>
      <c r="U73" s="650">
        <f t="shared" si="550"/>
        <v>564.94536131398741</v>
      </c>
      <c r="V73" s="650">
        <f t="shared" si="550"/>
        <v>638.61477370659884</v>
      </c>
      <c r="W73" s="650">
        <f t="shared" si="550"/>
        <v>722.15119239701119</v>
      </c>
      <c r="X73" s="650">
        <f t="shared" si="550"/>
        <v>816.88146981154478</v>
      </c>
      <c r="Y73" s="650">
        <f t="shared" si="550"/>
        <v>924.23837180689736</v>
      </c>
      <c r="Z73" s="650">
        <f t="shared" si="550"/>
        <v>1046.0012529777653</v>
      </c>
      <c r="AA73" s="650">
        <f t="shared" si="550"/>
        <v>1184.1079952671232</v>
      </c>
      <c r="AB73" s="650">
        <f t="shared" si="550"/>
        <v>1340.7573484998568</v>
      </c>
      <c r="AC73" s="650">
        <f t="shared" si="550"/>
        <v>1518.4440583815497</v>
      </c>
      <c r="AD73" s="650">
        <f t="shared" si="550"/>
        <v>1719.9987253601776</v>
      </c>
      <c r="AE73" s="650">
        <f t="shared" si="550"/>
        <v>1948.6330315098908</v>
      </c>
      <c r="AF73" s="650">
        <f t="shared" si="550"/>
        <v>2207.9910584110362</v>
      </c>
      <c r="AG73" s="650">
        <f t="shared" si="550"/>
        <v>2502.2075163735076</v>
      </c>
      <c r="AH73" s="650">
        <f>AH26+AH37+AH44+AH53+AH60+AH66</f>
        <v>2835.9738158380446</v>
      </c>
      <c r="AI73" s="650"/>
      <c r="AJ73" s="650">
        <f>AJ26+AJ37+AJ44+AJ53+AJ60+AJ66</f>
        <v>7.192774760698633</v>
      </c>
      <c r="AK73" s="650">
        <f t="shared" ref="AK73:BM73" si="551">AK26+AK37+AK44+AK53+AK60+AK66</f>
        <v>84.479281823302045</v>
      </c>
      <c r="AL73" s="650">
        <f t="shared" si="551"/>
        <v>94.835417679538836</v>
      </c>
      <c r="AM73" s="650">
        <f t="shared" si="551"/>
        <v>106.50517644094313</v>
      </c>
      <c r="AN73" s="650">
        <f t="shared" si="551"/>
        <v>119.66477278073118</v>
      </c>
      <c r="AO73" s="650">
        <f t="shared" si="551"/>
        <v>134.51409704571662</v>
      </c>
      <c r="AP73" s="650">
        <f t="shared" si="551"/>
        <v>151.27990117338248</v>
      </c>
      <c r="AQ73" s="650">
        <f t="shared" si="551"/>
        <v>170.21941351414569</v>
      </c>
      <c r="AR73" s="650">
        <f t="shared" si="551"/>
        <v>191.62444033162157</v>
      </c>
      <c r="AS73" s="650">
        <f t="shared" si="551"/>
        <v>215.8260195291858</v>
      </c>
      <c r="AT73" s="650">
        <f t="shared" si="551"/>
        <v>243.19970097604852</v>
      </c>
      <c r="AU73" s="650">
        <f t="shared" si="551"/>
        <v>273.90491594172317</v>
      </c>
      <c r="AV73" s="650">
        <f t="shared" si="551"/>
        <v>308.6931480975299</v>
      </c>
      <c r="AW73" s="650">
        <f t="shared" si="551"/>
        <v>348.11275221601664</v>
      </c>
      <c r="AX73" s="650">
        <f t="shared" si="551"/>
        <v>392.78584924240249</v>
      </c>
      <c r="AY73" s="650">
        <f t="shared" si="551"/>
        <v>443.41825690156122</v>
      </c>
      <c r="AZ73" s="650">
        <f t="shared" si="551"/>
        <v>500.79153092722316</v>
      </c>
      <c r="BA73" s="650">
        <f t="shared" si="551"/>
        <v>565.8335538781073</v>
      </c>
      <c r="BB73" s="650">
        <f t="shared" si="551"/>
        <v>639.57511384885402</v>
      </c>
      <c r="BC73" s="650">
        <f t="shared" si="551"/>
        <v>723.18571625614982</v>
      </c>
      <c r="BD73" s="650">
        <f t="shared" si="551"/>
        <v>817.99226109630808</v>
      </c>
      <c r="BE73" s="650">
        <f t="shared" si="551"/>
        <v>925.44198815261745</v>
      </c>
      <c r="BF73" s="650">
        <f t="shared" si="551"/>
        <v>1047.3005131035345</v>
      </c>
      <c r="BG73" s="650">
        <f t="shared" si="551"/>
        <v>1185.5058226313299</v>
      </c>
      <c r="BH73" s="650">
        <f t="shared" si="551"/>
        <v>1342.256777848103</v>
      </c>
      <c r="BI73" s="650">
        <f t="shared" si="551"/>
        <v>1520.0482428082928</v>
      </c>
      <c r="BJ73" s="650">
        <f t="shared" si="551"/>
        <v>1721.7109439333408</v>
      </c>
      <c r="BK73" s="650">
        <f t="shared" si="551"/>
        <v>1950.4566975132752</v>
      </c>
      <c r="BL73" s="650">
        <f t="shared" si="551"/>
        <v>2209.929728265723</v>
      </c>
      <c r="BM73" s="650">
        <f t="shared" si="551"/>
        <v>2504.2648993066218</v>
      </c>
      <c r="BN73" s="650">
        <f>BN26+BN37+BN44+BN53+BN60+BN66</f>
        <v>2838.1537843754318</v>
      </c>
    </row>
    <row r="74" spans="1:66">
      <c r="A74" s="685"/>
      <c r="B74" s="1" t="s">
        <v>1182</v>
      </c>
      <c r="C74" s="51" t="s">
        <v>166</v>
      </c>
      <c r="D74" s="24">
        <f>D16</f>
        <v>28.065001267929215</v>
      </c>
      <c r="E74" s="24">
        <f t="shared" ref="E74:AH74" si="552">E16</f>
        <v>28.136286371149751</v>
      </c>
      <c r="F74" s="24">
        <f t="shared" si="552"/>
        <v>28.196004203447703</v>
      </c>
      <c r="G74" s="24">
        <f t="shared" si="552"/>
        <v>28.243584960541014</v>
      </c>
      <c r="H74" s="24">
        <f t="shared" si="552"/>
        <v>28.278438746237001</v>
      </c>
      <c r="I74" s="24">
        <f t="shared" si="552"/>
        <v>28.29995494963087</v>
      </c>
      <c r="J74" s="24">
        <f t="shared" si="552"/>
        <v>28.307501604284109</v>
      </c>
      <c r="K74" s="24">
        <f t="shared" si="552"/>
        <v>28.30042472888303</v>
      </c>
      <c r="L74" s="24">
        <f t="shared" si="552"/>
        <v>28.278047648864838</v>
      </c>
      <c r="M74" s="24">
        <f t="shared" si="552"/>
        <v>28.239670298484235</v>
      </c>
      <c r="N74" s="24">
        <f t="shared" si="552"/>
        <v>28.184568502779875</v>
      </c>
      <c r="O74" s="24">
        <f t="shared" si="552"/>
        <v>27.030762729697322</v>
      </c>
      <c r="P74" s="24">
        <f t="shared" si="552"/>
        <v>25.808972254315002</v>
      </c>
      <c r="Q74" s="24">
        <f t="shared" si="552"/>
        <v>24.516680143581084</v>
      </c>
      <c r="R74" s="24">
        <f t="shared" si="552"/>
        <v>23.151289649430872</v>
      </c>
      <c r="S74" s="24">
        <f t="shared" si="552"/>
        <v>21.710121868753799</v>
      </c>
      <c r="T74" s="24">
        <f t="shared" si="552"/>
        <v>20.190413337941031</v>
      </c>
      <c r="U74" s="24">
        <f t="shared" si="552"/>
        <v>18.589313560242303</v>
      </c>
      <c r="V74" s="24">
        <f t="shared" si="552"/>
        <v>16.903882464113668</v>
      </c>
      <c r="W74" s="24">
        <f t="shared" si="552"/>
        <v>15.131087790689747</v>
      </c>
      <c r="X74" s="24">
        <f t="shared" si="552"/>
        <v>13.26780240846481</v>
      </c>
      <c r="Y74" s="24">
        <f t="shared" si="552"/>
        <v>12.215665677473545</v>
      </c>
      <c r="Z74" s="24">
        <f t="shared" si="552"/>
        <v>11.108111989382607</v>
      </c>
      <c r="AA74" s="24">
        <f t="shared" si="552"/>
        <v>9.9431487444961135</v>
      </c>
      <c r="AB74" s="24">
        <f t="shared" si="552"/>
        <v>8.7187209991024446</v>
      </c>
      <c r="AC74" s="24">
        <f t="shared" si="552"/>
        <v>7.4327096517348323</v>
      </c>
      <c r="AD74" s="24">
        <f t="shared" si="552"/>
        <v>6.0829295789797868</v>
      </c>
      <c r="AE74" s="24">
        <f t="shared" si="552"/>
        <v>4.6671277194722407</v>
      </c>
      <c r="AF74" s="24">
        <f t="shared" si="552"/>
        <v>3.1829811046800671</v>
      </c>
      <c r="AG74" s="24">
        <f t="shared" si="552"/>
        <v>1.6280948350438535</v>
      </c>
      <c r="AH74" s="24">
        <f t="shared" si="552"/>
        <v>0</v>
      </c>
      <c r="AI74" s="24"/>
      <c r="AJ74" s="24">
        <f>AJ16</f>
        <v>28.065001267929215</v>
      </c>
      <c r="AK74" s="24">
        <f t="shared" ref="AK74:BN74" si="553">AK16</f>
        <v>28.136286371149751</v>
      </c>
      <c r="AL74" s="24">
        <f t="shared" si="553"/>
        <v>28.196004203447703</v>
      </c>
      <c r="AM74" s="24">
        <f t="shared" si="553"/>
        <v>28.243584960541014</v>
      </c>
      <c r="AN74" s="24">
        <f t="shared" si="553"/>
        <v>28.278438746237001</v>
      </c>
      <c r="AO74" s="24">
        <f t="shared" si="553"/>
        <v>28.29995494963087</v>
      </c>
      <c r="AP74" s="24">
        <f t="shared" si="553"/>
        <v>28.307501604284109</v>
      </c>
      <c r="AQ74" s="24">
        <f t="shared" si="553"/>
        <v>28.30042472888303</v>
      </c>
      <c r="AR74" s="24">
        <f t="shared" si="553"/>
        <v>28.278047648864838</v>
      </c>
      <c r="AS74" s="24">
        <f t="shared" si="553"/>
        <v>28.239670298484235</v>
      </c>
      <c r="AT74" s="24">
        <f t="shared" si="553"/>
        <v>28.184568502779875</v>
      </c>
      <c r="AU74" s="24">
        <f t="shared" si="553"/>
        <v>27.030762729697322</v>
      </c>
      <c r="AV74" s="24">
        <f t="shared" si="553"/>
        <v>25.808972254315002</v>
      </c>
      <c r="AW74" s="24">
        <f t="shared" si="553"/>
        <v>24.516680143581084</v>
      </c>
      <c r="AX74" s="24">
        <f t="shared" si="553"/>
        <v>23.151289649430872</v>
      </c>
      <c r="AY74" s="24">
        <f t="shared" si="553"/>
        <v>21.710121868753799</v>
      </c>
      <c r="AZ74" s="24">
        <f t="shared" si="553"/>
        <v>20.190413337941031</v>
      </c>
      <c r="BA74" s="24">
        <f t="shared" si="553"/>
        <v>18.589313560242303</v>
      </c>
      <c r="BB74" s="24">
        <f t="shared" si="553"/>
        <v>16.903882464113668</v>
      </c>
      <c r="BC74" s="24">
        <f t="shared" si="553"/>
        <v>15.131087790689747</v>
      </c>
      <c r="BD74" s="24">
        <f t="shared" si="553"/>
        <v>13.26780240846481</v>
      </c>
      <c r="BE74" s="24">
        <f t="shared" si="553"/>
        <v>12.215665677473545</v>
      </c>
      <c r="BF74" s="24">
        <f t="shared" si="553"/>
        <v>11.108111989382607</v>
      </c>
      <c r="BG74" s="24">
        <f t="shared" si="553"/>
        <v>9.9431487444961135</v>
      </c>
      <c r="BH74" s="24">
        <f t="shared" si="553"/>
        <v>8.7187209991024446</v>
      </c>
      <c r="BI74" s="24">
        <f t="shared" si="553"/>
        <v>7.4327096517348323</v>
      </c>
      <c r="BJ74" s="24">
        <f t="shared" si="553"/>
        <v>6.0829295789797868</v>
      </c>
      <c r="BK74" s="24">
        <f t="shared" si="553"/>
        <v>4.6671277194722407</v>
      </c>
      <c r="BL74" s="24">
        <f t="shared" si="553"/>
        <v>3.1829811046800671</v>
      </c>
      <c r="BM74" s="24">
        <f t="shared" si="553"/>
        <v>1.6280948350438535</v>
      </c>
      <c r="BN74" s="24">
        <f t="shared" si="553"/>
        <v>0</v>
      </c>
    </row>
    <row r="75" spans="1:66" s="63" customFormat="1">
      <c r="A75" s="686"/>
      <c r="B75" s="59" t="s">
        <v>27</v>
      </c>
      <c r="C75" s="262" t="s">
        <v>166</v>
      </c>
      <c r="D75" s="652">
        <f>D28+D39+D46+D55+D62+D68</f>
        <v>35.70249067338905</v>
      </c>
      <c r="E75" s="652">
        <f t="shared" ref="E75:AH75" si="554">E28+E39+E46+E55+E62+E68</f>
        <v>43.778607661130238</v>
      </c>
      <c r="F75" s="652">
        <f t="shared" si="554"/>
        <v>47.032144640297034</v>
      </c>
      <c r="G75" s="652">
        <f t="shared" si="554"/>
        <v>50.239226837028028</v>
      </c>
      <c r="H75" s="652">
        <f t="shared" si="554"/>
        <v>53.40049975792833</v>
      </c>
      <c r="I75" s="652">
        <f t="shared" si="554"/>
        <v>56.516639611252643</v>
      </c>
      <c r="J75" s="652">
        <f t="shared" si="554"/>
        <v>59.58835691513486</v>
      </c>
      <c r="K75" s="652">
        <f t="shared" si="554"/>
        <v>62.616399645051175</v>
      </c>
      <c r="L75" s="652">
        <f t="shared" si="554"/>
        <v>65.601556130566934</v>
      </c>
      <c r="M75" s="652">
        <f t="shared" si="554"/>
        <v>68.544657830082812</v>
      </c>
      <c r="N75" s="652">
        <f t="shared" si="554"/>
        <v>71.446582065773413</v>
      </c>
      <c r="O75" s="652">
        <f t="shared" si="554"/>
        <v>71.996752470149417</v>
      </c>
      <c r="P75" s="652">
        <f t="shared" si="554"/>
        <v>72.535904537750085</v>
      </c>
      <c r="Q75" s="652">
        <f t="shared" si="554"/>
        <v>73.064958287994969</v>
      </c>
      <c r="R75" s="652">
        <f t="shared" si="554"/>
        <v>73.58488935073629</v>
      </c>
      <c r="S75" s="652">
        <f t="shared" si="554"/>
        <v>74.096731999879395</v>
      </c>
      <c r="T75" s="652">
        <f t="shared" si="554"/>
        <v>74.44096889521451</v>
      </c>
      <c r="U75" s="652">
        <f t="shared" si="554"/>
        <v>74.781786855970523</v>
      </c>
      <c r="V75" s="652">
        <f t="shared" si="554"/>
        <v>75.120419451649852</v>
      </c>
      <c r="W75" s="652">
        <f t="shared" si="554"/>
        <v>75.458173068618265</v>
      </c>
      <c r="X75" s="652">
        <f t="shared" si="554"/>
        <v>75.796430871299705</v>
      </c>
      <c r="Y75" s="652">
        <f t="shared" si="554"/>
        <v>75.622481963593032</v>
      </c>
      <c r="Z75" s="652">
        <f t="shared" si="554"/>
        <v>75.450636408470274</v>
      </c>
      <c r="AA75" s="652">
        <f t="shared" si="554"/>
        <v>75.282434325538517</v>
      </c>
      <c r="AB75" s="652">
        <f t="shared" si="554"/>
        <v>75.119512856866749</v>
      </c>
      <c r="AC75" s="652">
        <f t="shared" si="554"/>
        <v>74.963611789481192</v>
      </c>
      <c r="AD75" s="652">
        <f t="shared" si="554"/>
        <v>74.81657951336345</v>
      </c>
      <c r="AE75" s="652">
        <f t="shared" si="554"/>
        <v>74.680379337737349</v>
      </c>
      <c r="AF75" s="652">
        <f t="shared" si="554"/>
        <v>74.557096190399946</v>
      </c>
      <c r="AG75" s="652">
        <f t="shared" si="554"/>
        <v>74.448943727059429</v>
      </c>
      <c r="AH75" s="652">
        <f t="shared" si="554"/>
        <v>74.358271880110991</v>
      </c>
      <c r="AI75" s="652"/>
      <c r="AJ75" s="652">
        <f>AJ28+AJ39+AJ46+AJ55+AJ62+AJ68</f>
        <v>35.70249067338905</v>
      </c>
      <c r="AK75" s="652">
        <f t="shared" ref="AK75:BN75" si="555">AK28+AK39+AK46+AK55+AK62+AK68</f>
        <v>43.9305760174543</v>
      </c>
      <c r="AL75" s="652">
        <f t="shared" si="555"/>
        <v>47.359071107891978</v>
      </c>
      <c r="AM75" s="652">
        <f t="shared" si="555"/>
        <v>50.763943342987289</v>
      </c>
      <c r="AN75" s="652">
        <f t="shared" si="555"/>
        <v>54.145685162622499</v>
      </c>
      <c r="AO75" s="652">
        <f t="shared" si="555"/>
        <v>57.504821624073571</v>
      </c>
      <c r="AP75" s="652">
        <f t="shared" si="555"/>
        <v>60.841912117310002</v>
      </c>
      <c r="AQ75" s="652">
        <f t="shared" si="555"/>
        <v>64.157552202154776</v>
      </c>
      <c r="AR75" s="652">
        <f t="shared" si="555"/>
        <v>67.452375562384987</v>
      </c>
      <c r="AS75" s="652">
        <f t="shared" si="555"/>
        <v>70.727056076034941</v>
      </c>
      <c r="AT75" s="652">
        <f t="shared" si="555"/>
        <v>73.98231000367916</v>
      </c>
      <c r="AU75" s="652">
        <f t="shared" si="555"/>
        <v>74.868722578584027</v>
      </c>
      <c r="AV75" s="652">
        <f t="shared" si="555"/>
        <v>75.751755436659522</v>
      </c>
      <c r="AW75" s="652">
        <f t="shared" si="555"/>
        <v>76.632219000645975</v>
      </c>
      <c r="AX75" s="652">
        <f t="shared" si="555"/>
        <v>77.510974991239266</v>
      </c>
      <c r="AY75" s="652">
        <f t="shared" si="555"/>
        <v>78.388939276143589</v>
      </c>
      <c r="AZ75" s="652">
        <f t="shared" si="555"/>
        <v>79.096871517555797</v>
      </c>
      <c r="BA75" s="652">
        <f t="shared" si="555"/>
        <v>79.807214759616045</v>
      </c>
      <c r="BB75" s="652">
        <f t="shared" si="555"/>
        <v>80.521067010596582</v>
      </c>
      <c r="BC75" s="652">
        <f t="shared" si="555"/>
        <v>81.239593525366118</v>
      </c>
      <c r="BD75" s="652">
        <f t="shared" si="555"/>
        <v>81.964030508028259</v>
      </c>
      <c r="BE75" s="652">
        <f t="shared" si="555"/>
        <v>82.248927598926201</v>
      </c>
      <c r="BF75" s="652">
        <f t="shared" si="555"/>
        <v>82.541395141231732</v>
      </c>
      <c r="BG75" s="652">
        <f t="shared" si="555"/>
        <v>82.842848506051638</v>
      </c>
      <c r="BH75" s="652">
        <f t="shared" si="555"/>
        <v>83.154791772384158</v>
      </c>
      <c r="BI75" s="652">
        <f t="shared" si="555"/>
        <v>83.478822754920131</v>
      </c>
      <c r="BJ75" s="652">
        <f t="shared" si="555"/>
        <v>83.816638315148865</v>
      </c>
      <c r="BK75" s="652">
        <f t="shared" si="555"/>
        <v>84.170039972857808</v>
      </c>
      <c r="BL75" s="652">
        <f t="shared" si="555"/>
        <v>84.540939836340954</v>
      </c>
      <c r="BM75" s="652">
        <f t="shared" si="555"/>
        <v>84.931366870983993</v>
      </c>
      <c r="BN75" s="652">
        <f t="shared" si="555"/>
        <v>85.343473527375721</v>
      </c>
    </row>
    <row r="76" spans="1:66">
      <c r="A76" s="485"/>
      <c r="C76" s="51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24"/>
      <c r="AB76" s="24"/>
      <c r="AC76" s="24"/>
      <c r="AD76" s="24"/>
      <c r="AE76" s="24"/>
      <c r="AF76" s="24"/>
      <c r="AG76" s="24"/>
      <c r="AH76" s="24"/>
      <c r="AI76" s="24"/>
      <c r="AJ76" s="24"/>
      <c r="AK76" s="24"/>
      <c r="AL76" s="24"/>
      <c r="AM76" s="24"/>
      <c r="AN76" s="24"/>
      <c r="AO76" s="24"/>
      <c r="AP76" s="24"/>
      <c r="AQ76" s="24"/>
      <c r="AR76" s="24"/>
      <c r="AS76" s="24"/>
      <c r="AT76" s="24"/>
      <c r="AU76" s="24"/>
      <c r="AV76" s="24"/>
      <c r="AW76" s="24"/>
      <c r="AX76" s="24"/>
      <c r="AY76" s="24"/>
      <c r="AZ76" s="24"/>
      <c r="BA76" s="24"/>
      <c r="BB76" s="24"/>
      <c r="BC76" s="24"/>
      <c r="BD76" s="24"/>
      <c r="BE76" s="24"/>
      <c r="BF76" s="24"/>
      <c r="BG76" s="24"/>
      <c r="BH76" s="24"/>
      <c r="BI76" s="24"/>
      <c r="BJ76" s="24"/>
      <c r="BK76" s="24"/>
      <c r="BL76" s="24"/>
      <c r="BM76" s="24"/>
      <c r="BN76" s="24"/>
    </row>
    <row r="77" spans="1:66">
      <c r="A77" s="55" t="s">
        <v>400</v>
      </c>
      <c r="B77" s="55" t="s">
        <v>195</v>
      </c>
      <c r="C77" s="95" t="s">
        <v>166</v>
      </c>
      <c r="D77" s="653">
        <f t="shared" ref="D77:AH77" si="556">D36</f>
        <v>1.971668941623115</v>
      </c>
      <c r="E77" s="653">
        <f t="shared" si="556"/>
        <v>1.9956516246582132</v>
      </c>
      <c r="F77" s="653">
        <f t="shared" si="556"/>
        <v>2.0199193757057365</v>
      </c>
      <c r="G77" s="653">
        <f t="shared" si="556"/>
        <v>2.0444754760641564</v>
      </c>
      <c r="H77" s="653">
        <f t="shared" si="556"/>
        <v>2.0693232430349746</v>
      </c>
      <c r="I77" s="653">
        <f t="shared" si="556"/>
        <v>2.0944660302876663</v>
      </c>
      <c r="J77" s="653">
        <f t="shared" si="556"/>
        <v>2.1199072282277993</v>
      </c>
      <c r="K77" s="653">
        <f t="shared" si="556"/>
        <v>2.1456502643683195</v>
      </c>
      <c r="L77" s="653">
        <f t="shared" si="556"/>
        <v>2.1716986037040416</v>
      </c>
      <c r="M77" s="653">
        <f t="shared" si="556"/>
        <v>2.1980557490893475</v>
      </c>
      <c r="N77" s="653">
        <f t="shared" si="556"/>
        <v>2.2247252416191161</v>
      </c>
      <c r="O77" s="653">
        <f t="shared" si="556"/>
        <v>2.2462426616238571</v>
      </c>
      <c r="P77" s="653">
        <f t="shared" si="556"/>
        <v>2.2679265232413734</v>
      </c>
      <c r="Q77" s="653">
        <f t="shared" si="556"/>
        <v>2.2897772694225016</v>
      </c>
      <c r="R77" s="653">
        <f t="shared" si="556"/>
        <v>2.3117953228981465</v>
      </c>
      <c r="S77" s="653">
        <f t="shared" si="556"/>
        <v>2.333981085526303</v>
      </c>
      <c r="T77" s="653">
        <f t="shared" si="556"/>
        <v>2.3563349376247591</v>
      </c>
      <c r="U77" s="653">
        <f t="shared" si="556"/>
        <v>2.3788572372892092</v>
      </c>
      <c r="V77" s="653">
        <f t="shared" si="556"/>
        <v>2.4015483196964893</v>
      </c>
      <c r="W77" s="653">
        <f t="shared" si="556"/>
        <v>2.4244084963926644</v>
      </c>
      <c r="X77" s="653">
        <f t="shared" si="556"/>
        <v>2.447438054565672</v>
      </c>
      <c r="Y77" s="653">
        <f t="shared" si="556"/>
        <v>2.4706187751480453</v>
      </c>
      <c r="Z77" s="653">
        <f t="shared" si="556"/>
        <v>2.4939688580480306</v>
      </c>
      <c r="AA77" s="653">
        <f t="shared" si="556"/>
        <v>2.5174885019892859</v>
      </c>
      <c r="AB77" s="653">
        <f t="shared" si="556"/>
        <v>2.5411778780647194</v>
      </c>
      <c r="AC77" s="653">
        <f t="shared" si="556"/>
        <v>2.5650371289238749</v>
      </c>
      <c r="AD77" s="653">
        <f t="shared" si="556"/>
        <v>2.5890663679429866</v>
      </c>
      <c r="AE77" s="653">
        <f t="shared" si="556"/>
        <v>2.6132656783773638</v>
      </c>
      <c r="AF77" s="653">
        <f t="shared" si="556"/>
        <v>2.6376351124957864</v>
      </c>
      <c r="AG77" s="653">
        <f t="shared" si="556"/>
        <v>2.6621746906965633</v>
      </c>
      <c r="AH77" s="653">
        <f t="shared" si="556"/>
        <v>2.6868844006049128</v>
      </c>
      <c r="AI77" s="24"/>
      <c r="AJ77" s="653">
        <f t="shared" ref="AJ77:BN77" si="557">AJ36</f>
        <v>1.971668941623115</v>
      </c>
      <c r="AK77" s="653">
        <f t="shared" si="557"/>
        <v>1.9964554920673339</v>
      </c>
      <c r="AL77" s="653">
        <f t="shared" si="557"/>
        <v>2.0215496188114326</v>
      </c>
      <c r="AM77" s="653">
        <f t="shared" si="557"/>
        <v>2.0469550758279209</v>
      </c>
      <c r="AN77" s="653">
        <f t="shared" si="557"/>
        <v>2.0726756619155839</v>
      </c>
      <c r="AO77" s="653">
        <f t="shared" si="557"/>
        <v>2.0987152212188387</v>
      </c>
      <c r="AP77" s="653">
        <f t="shared" si="557"/>
        <v>2.1250776437528494</v>
      </c>
      <c r="AQ77" s="653">
        <f t="shared" si="557"/>
        <v>2.1517668659344538</v>
      </c>
      <c r="AR77" s="653">
        <f t="shared" si="557"/>
        <v>2.1787868711189673</v>
      </c>
      <c r="AS77" s="653">
        <f t="shared" si="557"/>
        <v>2.2061416901429243</v>
      </c>
      <c r="AT77" s="653">
        <f t="shared" si="557"/>
        <v>2.2338354018728124</v>
      </c>
      <c r="AU77" s="653">
        <f t="shared" si="557"/>
        <v>2.2577911222830838</v>
      </c>
      <c r="AV77" s="653">
        <f t="shared" si="557"/>
        <v>2.2819797711260752</v>
      </c>
      <c r="AW77" s="653">
        <f t="shared" si="557"/>
        <v>2.3064031750767029</v>
      </c>
      <c r="AX77" s="653">
        <f t="shared" si="557"/>
        <v>2.3310631663028074</v>
      </c>
      <c r="AY77" s="653">
        <f t="shared" si="557"/>
        <v>2.3559615822609286</v>
      </c>
      <c r="AZ77" s="653">
        <f t="shared" si="557"/>
        <v>2.3811002654852809</v>
      </c>
      <c r="BA77" s="653">
        <f t="shared" si="557"/>
        <v>2.4064810633697924</v>
      </c>
      <c r="BB77" s="653">
        <f t="shared" si="557"/>
        <v>2.432105827943035</v>
      </c>
      <c r="BC77" s="653">
        <f t="shared" si="557"/>
        <v>2.4579764156359079</v>
      </c>
      <c r="BD77" s="653">
        <f t="shared" si="557"/>
        <v>2.4840946870419041</v>
      </c>
      <c r="BE77" s="653">
        <f t="shared" si="557"/>
        <v>2.5104766579535798</v>
      </c>
      <c r="BF77" s="653">
        <f t="shared" si="557"/>
        <v>2.5371104414921222</v>
      </c>
      <c r="BG77" s="653">
        <f t="shared" si="557"/>
        <v>2.5639979175447856</v>
      </c>
      <c r="BH77" s="653">
        <f t="shared" si="557"/>
        <v>2.5911409692803908</v>
      </c>
      <c r="BI77" s="653">
        <f t="shared" si="557"/>
        <v>2.6185414828727542</v>
      </c>
      <c r="BJ77" s="653">
        <f t="shared" si="557"/>
        <v>2.6462013472157246</v>
      </c>
      <c r="BK77" s="653">
        <f t="shared" si="557"/>
        <v>2.6741224536296553</v>
      </c>
      <c r="BL77" s="653">
        <f t="shared" si="557"/>
        <v>2.702306695559122</v>
      </c>
      <c r="BM77" s="653">
        <f t="shared" si="557"/>
        <v>2.7307559682617017</v>
      </c>
      <c r="BN77" s="653">
        <f t="shared" si="557"/>
        <v>2.7594721684876244</v>
      </c>
    </row>
    <row r="78" spans="1:66">
      <c r="A78"/>
      <c r="B78" t="s">
        <v>262</v>
      </c>
      <c r="C78" s="51" t="s">
        <v>166</v>
      </c>
      <c r="D78" s="24">
        <f>'Methanol Recycling HC'!C73</f>
        <v>0</v>
      </c>
      <c r="E78" s="24">
        <f>'Methanol Recycling HC'!D73</f>
        <v>14.560577840576196</v>
      </c>
      <c r="F78" s="24">
        <f>'Methanol Recycling HC'!E73</f>
        <v>30.920578736102513</v>
      </c>
      <c r="G78" s="24">
        <f>'Methanol Recycling HC'!F73</f>
        <v>49.069902788668777</v>
      </c>
      <c r="H78" s="24">
        <f>'Methanol Recycling HC'!G73</f>
        <v>68.998450100364892</v>
      </c>
      <c r="I78" s="24">
        <f>'Methanol Recycling HC'!H73</f>
        <v>90.696120773280626</v>
      </c>
      <c r="J78" s="24">
        <f>'Methanol Recycling HC'!I73</f>
        <v>114.15281490950589</v>
      </c>
      <c r="K78" s="24">
        <f>'Methanol Recycling HC'!J73</f>
        <v>139.35843261113047</v>
      </c>
      <c r="L78" s="24">
        <f>'Methanol Recycling HC'!K73</f>
        <v>166.30287398024421</v>
      </c>
      <c r="M78" s="24">
        <f>'Methanol Recycling HC'!L73</f>
        <v>194.97603911893705</v>
      </c>
      <c r="N78" s="24">
        <f>'Methanol Recycling HC'!M73</f>
        <v>225.36782812929866</v>
      </c>
      <c r="O78" s="24">
        <f>'Methanol Recycling HC'!N73</f>
        <v>265.90701606002347</v>
      </c>
      <c r="P78" s="24">
        <f>'Methanol Recycling HC'!O73</f>
        <v>309.54022565845577</v>
      </c>
      <c r="Q78" s="24">
        <f>'Methanol Recycling HC'!P73</f>
        <v>356.22290196530821</v>
      </c>
      <c r="R78" s="24">
        <f>'Methanol Recycling HC'!Q73</f>
        <v>405.91049002129324</v>
      </c>
      <c r="S78" s="24">
        <f>'Methanol Recycling HC'!R73</f>
        <v>458.55843486712348</v>
      </c>
      <c r="T78" s="24">
        <f>'Methanol Recycling HC'!S73</f>
        <v>514.12218154351115</v>
      </c>
      <c r="U78" s="24">
        <f>'Methanol Recycling HC'!T73</f>
        <v>572.5571750911688</v>
      </c>
      <c r="V78" s="24">
        <f>'Methanol Recycling HC'!U73</f>
        <v>633.81886055080929</v>
      </c>
      <c r="W78" s="24">
        <f>'Methanol Recycling HC'!V73</f>
        <v>697.86268296314461</v>
      </c>
      <c r="X78" s="24">
        <f>'Methanol Recycling HC'!W73</f>
        <v>764.64408736888731</v>
      </c>
      <c r="Y78" s="24">
        <f>'Methanol Recycling HC'!X73</f>
        <v>861.00596643159531</v>
      </c>
      <c r="Z78" s="24">
        <f>'Methanol Recycling HC'!Y73</f>
        <v>962.32295350153458</v>
      </c>
      <c r="AA78" s="24">
        <f>'Methanol Recycling HC'!Z73</f>
        <v>1068.5159585434801</v>
      </c>
      <c r="AB78" s="24">
        <f>'Methanol Recycling HC'!AA73</f>
        <v>1179.505891522208</v>
      </c>
      <c r="AC78" s="24">
        <f>'Methanol Recycling HC'!AB73</f>
        <v>1295.2136624024934</v>
      </c>
      <c r="AD78" s="24">
        <f>'Methanol Recycling HC'!AC73</f>
        <v>1415.5601811491117</v>
      </c>
      <c r="AE78" s="24">
        <f>'Methanol Recycling HC'!AD73</f>
        <v>1540.4663577268389</v>
      </c>
      <c r="AF78" s="24">
        <f>'Methanol Recycling HC'!AE73</f>
        <v>1669.8531021004499</v>
      </c>
      <c r="AG78" s="24">
        <f>'Methanol Recycling HC'!AF73</f>
        <v>1803.6413242347201</v>
      </c>
      <c r="AH78" s="24">
        <f>'Methanol Recycling HC'!AG73</f>
        <v>1941.7519340944268</v>
      </c>
      <c r="AI78" s="24"/>
      <c r="AJ78" s="24">
        <f>D78</f>
        <v>0</v>
      </c>
      <c r="AK78" s="24">
        <f t="shared" ref="AK78:BN79" si="558">E78</f>
        <v>14.560577840576196</v>
      </c>
      <c r="AL78" s="24">
        <f t="shared" si="558"/>
        <v>30.920578736102513</v>
      </c>
      <c r="AM78" s="24">
        <f t="shared" si="558"/>
        <v>49.069902788668777</v>
      </c>
      <c r="AN78" s="24">
        <f t="shared" si="558"/>
        <v>68.998450100364892</v>
      </c>
      <c r="AO78" s="24">
        <f t="shared" si="558"/>
        <v>90.696120773280626</v>
      </c>
      <c r="AP78" s="24">
        <f t="shared" si="558"/>
        <v>114.15281490950589</v>
      </c>
      <c r="AQ78" s="24">
        <f t="shared" si="558"/>
        <v>139.35843261113047</v>
      </c>
      <c r="AR78" s="24">
        <f t="shared" si="558"/>
        <v>166.30287398024421</v>
      </c>
      <c r="AS78" s="24">
        <f t="shared" si="558"/>
        <v>194.97603911893705</v>
      </c>
      <c r="AT78" s="24">
        <f t="shared" si="558"/>
        <v>225.36782812929866</v>
      </c>
      <c r="AU78" s="24">
        <f t="shared" si="558"/>
        <v>265.90701606002347</v>
      </c>
      <c r="AV78" s="24">
        <f t="shared" si="558"/>
        <v>309.54022565845577</v>
      </c>
      <c r="AW78" s="24">
        <f t="shared" si="558"/>
        <v>356.22290196530821</v>
      </c>
      <c r="AX78" s="24">
        <f t="shared" si="558"/>
        <v>405.91049002129324</v>
      </c>
      <c r="AY78" s="24">
        <f t="shared" si="558"/>
        <v>458.55843486712348</v>
      </c>
      <c r="AZ78" s="24">
        <f t="shared" si="558"/>
        <v>514.12218154351115</v>
      </c>
      <c r="BA78" s="24">
        <f t="shared" si="558"/>
        <v>572.5571750911688</v>
      </c>
      <c r="BB78" s="24">
        <f t="shared" si="558"/>
        <v>633.81886055080929</v>
      </c>
      <c r="BC78" s="24">
        <f t="shared" si="558"/>
        <v>697.86268296314461</v>
      </c>
      <c r="BD78" s="24">
        <f t="shared" si="558"/>
        <v>764.64408736888731</v>
      </c>
      <c r="BE78" s="24">
        <f t="shared" si="558"/>
        <v>861.00596643159531</v>
      </c>
      <c r="BF78" s="24">
        <f t="shared" si="558"/>
        <v>962.32295350153458</v>
      </c>
      <c r="BG78" s="24">
        <f t="shared" si="558"/>
        <v>1068.5159585434801</v>
      </c>
      <c r="BH78" s="24">
        <f t="shared" si="558"/>
        <v>1179.505891522208</v>
      </c>
      <c r="BI78" s="24">
        <f t="shared" si="558"/>
        <v>1295.2136624024934</v>
      </c>
      <c r="BJ78" s="24">
        <f t="shared" si="558"/>
        <v>1415.5601811491117</v>
      </c>
      <c r="BK78" s="24">
        <f t="shared" si="558"/>
        <v>1540.4663577268389</v>
      </c>
      <c r="BL78" s="24">
        <f t="shared" si="558"/>
        <v>1669.8531021004499</v>
      </c>
      <c r="BM78" s="24">
        <f t="shared" si="558"/>
        <v>1803.6413242347201</v>
      </c>
      <c r="BN78" s="24">
        <f t="shared" si="558"/>
        <v>1941.7519340944268</v>
      </c>
    </row>
    <row r="79" spans="1:66">
      <c r="A79"/>
      <c r="B79" s="169" t="s">
        <v>265</v>
      </c>
      <c r="C79" s="51" t="s">
        <v>166</v>
      </c>
      <c r="D79" s="24">
        <f>'Methanol Recycling HC'!C154</f>
        <v>0</v>
      </c>
      <c r="E79" s="24">
        <f>'Methanol Recycling HC'!D154</f>
        <v>3.4243772814144808</v>
      </c>
      <c r="F79" s="24">
        <f>'Methanol Recycling HC'!E154</f>
        <v>6.8378452961727394</v>
      </c>
      <c r="G79" s="24">
        <f>'Methanol Recycling HC'!F154</f>
        <v>10.224602280103577</v>
      </c>
      <c r="H79" s="24">
        <f>'Methanol Recycling HC'!G154</f>
        <v>13.568846469035774</v>
      </c>
      <c r="I79" s="24">
        <f>'Methanol Recycling HC'!H154</f>
        <v>16.854776098798126</v>
      </c>
      <c r="J79" s="24">
        <f>'Methanol Recycling HC'!I154</f>
        <v>20.066589405219439</v>
      </c>
      <c r="K79" s="24">
        <f>'Methanol Recycling HC'!J154</f>
        <v>23.188484624128478</v>
      </c>
      <c r="L79" s="24">
        <f>'Methanol Recycling HC'!K154</f>
        <v>26.204659991354049</v>
      </c>
      <c r="M79" s="24">
        <f>'Methanol Recycling HC'!L154</f>
        <v>29.099313742724945</v>
      </c>
      <c r="N79" s="24">
        <f>'Methanol Recycling HC'!M154</f>
        <v>31.856644114069951</v>
      </c>
      <c r="O79" s="24">
        <f>'Methanol Recycling HC'!N154</f>
        <v>38.001856010299576</v>
      </c>
      <c r="P79" s="24">
        <f>'Methanol Recycling HC'!O154</f>
        <v>43.872684717760691</v>
      </c>
      <c r="Q79" s="24">
        <f>'Methanol Recycling HC'!P154</f>
        <v>49.221234378175168</v>
      </c>
      <c r="R79" s="24">
        <f>'Methanol Recycling HC'!Q154</f>
        <v>54.19169517814489</v>
      </c>
      <c r="S79" s="24">
        <f>'Methanol Recycling HC'!R154</f>
        <v>58.75427769702322</v>
      </c>
      <c r="T79" s="24">
        <f>'Methanol Recycling HC'!S154</f>
        <v>62.8796997299495</v>
      </c>
      <c r="U79" s="24">
        <f>'Methanol Recycling HC'!T154</f>
        <v>66.53919348178421</v>
      </c>
      <c r="V79" s="24">
        <f>'Methanol Recycling HC'!U154</f>
        <v>69.704512761044768</v>
      </c>
      <c r="W79" s="24">
        <f>'Methanol Recycling HC'!V154</f>
        <v>72.347940173840684</v>
      </c>
      <c r="X79" s="24">
        <f>'Methanol Recycling HC'!W154</f>
        <v>74.442294317809342</v>
      </c>
      <c r="Y79" s="24">
        <f>'Methanol Recycling HC'!X154</f>
        <v>79.374052080494735</v>
      </c>
      <c r="Z79" s="24">
        <f>'Methanol Recycling HC'!Y154</f>
        <v>83.404031270930872</v>
      </c>
      <c r="AA79" s="24">
        <f>'Methanol Recycling HC'!Z154</f>
        <v>85.63026609827017</v>
      </c>
      <c r="AB79" s="24">
        <f>'Methanol Recycling HC'!AA154</f>
        <v>86.809638191987787</v>
      </c>
      <c r="AC79" s="24">
        <f>'Methanol Recycling HC'!AB154</f>
        <v>86.925368482165524</v>
      </c>
      <c r="AD79" s="24">
        <f>'Methanol Recycling HC'!AC154</f>
        <v>85.964408549928365</v>
      </c>
      <c r="AE79" s="24">
        <f>'Methanol Recycling HC'!AD154</f>
        <v>83.917530903300403</v>
      </c>
      <c r="AF79" s="24">
        <f>'Methanol Recycling HC'!AE154</f>
        <v>80.779419253060468</v>
      </c>
      <c r="AG79" s="24">
        <f>'Methanol Recycling HC'!AF154</f>
        <v>76.548758788597752</v>
      </c>
      <c r="AH79" s="24">
        <f>'Methanol Recycling HC'!AG154</f>
        <v>71.228326453767579</v>
      </c>
      <c r="AI79" s="24"/>
      <c r="AJ79" s="24">
        <f>D79</f>
        <v>0</v>
      </c>
      <c r="AK79" s="24">
        <f t="shared" si="558"/>
        <v>3.4243772814144808</v>
      </c>
      <c r="AL79" s="24">
        <f t="shared" si="558"/>
        <v>6.8378452961727394</v>
      </c>
      <c r="AM79" s="24">
        <f t="shared" si="558"/>
        <v>10.224602280103577</v>
      </c>
      <c r="AN79" s="24">
        <f t="shared" si="558"/>
        <v>13.568846469035774</v>
      </c>
      <c r="AO79" s="24">
        <f t="shared" si="558"/>
        <v>16.854776098798126</v>
      </c>
      <c r="AP79" s="24">
        <f t="shared" si="558"/>
        <v>20.066589405219439</v>
      </c>
      <c r="AQ79" s="24">
        <f t="shared" si="558"/>
        <v>23.188484624128478</v>
      </c>
      <c r="AR79" s="24">
        <f t="shared" si="558"/>
        <v>26.204659991354049</v>
      </c>
      <c r="AS79" s="24">
        <f t="shared" si="558"/>
        <v>29.099313742724945</v>
      </c>
      <c r="AT79" s="24">
        <f t="shared" si="558"/>
        <v>31.856644114069951</v>
      </c>
      <c r="AU79" s="24">
        <f t="shared" si="558"/>
        <v>38.001856010299576</v>
      </c>
      <c r="AV79" s="24">
        <f t="shared" si="558"/>
        <v>43.872684717760691</v>
      </c>
      <c r="AW79" s="24">
        <f t="shared" si="558"/>
        <v>49.221234378175168</v>
      </c>
      <c r="AX79" s="24">
        <f t="shared" si="558"/>
        <v>54.19169517814489</v>
      </c>
      <c r="AY79" s="24">
        <f t="shared" si="558"/>
        <v>58.75427769702322</v>
      </c>
      <c r="AZ79" s="24">
        <f t="shared" si="558"/>
        <v>62.8796997299495</v>
      </c>
      <c r="BA79" s="24">
        <f t="shared" si="558"/>
        <v>66.53919348178421</v>
      </c>
      <c r="BB79" s="24">
        <f t="shared" si="558"/>
        <v>69.704512761044768</v>
      </c>
      <c r="BC79" s="24">
        <f t="shared" si="558"/>
        <v>72.347940173840684</v>
      </c>
      <c r="BD79" s="24">
        <f t="shared" si="558"/>
        <v>74.442294317809342</v>
      </c>
      <c r="BE79" s="24">
        <f t="shared" si="558"/>
        <v>79.374052080494735</v>
      </c>
      <c r="BF79" s="24">
        <f t="shared" si="558"/>
        <v>83.404031270930872</v>
      </c>
      <c r="BG79" s="24">
        <f t="shared" si="558"/>
        <v>85.63026609827017</v>
      </c>
      <c r="BH79" s="24">
        <f t="shared" si="558"/>
        <v>86.809638191987787</v>
      </c>
      <c r="BI79" s="24">
        <f t="shared" si="558"/>
        <v>86.925368482165524</v>
      </c>
      <c r="BJ79" s="24">
        <f t="shared" si="558"/>
        <v>85.964408549928365</v>
      </c>
      <c r="BK79" s="24">
        <f t="shared" si="558"/>
        <v>83.917530903300403</v>
      </c>
      <c r="BL79" s="24">
        <f t="shared" si="558"/>
        <v>80.779419253060468</v>
      </c>
      <c r="BM79" s="24">
        <f t="shared" si="558"/>
        <v>76.548758788597752</v>
      </c>
      <c r="BN79" s="24">
        <f t="shared" si="558"/>
        <v>71.228326453767579</v>
      </c>
    </row>
    <row r="80" spans="1:66">
      <c r="A80" s="59"/>
      <c r="B80" s="59" t="s">
        <v>263</v>
      </c>
      <c r="C80" s="60" t="s">
        <v>166</v>
      </c>
      <c r="D80" s="651">
        <f>D77-D78-D79</f>
        <v>1.971668941623115</v>
      </c>
      <c r="E80" s="651">
        <f t="shared" ref="E80:AG80" si="559">E77-E78-E79</f>
        <v>-15.989303497332463</v>
      </c>
      <c r="F80" s="651">
        <f t="shared" si="559"/>
        <v>-35.738504656569518</v>
      </c>
      <c r="G80" s="651">
        <f t="shared" si="559"/>
        <v>-57.250029592708195</v>
      </c>
      <c r="H80" s="651">
        <f t="shared" si="559"/>
        <v>-80.497973326365695</v>
      </c>
      <c r="I80" s="651">
        <f t="shared" si="559"/>
        <v>-105.45643084179109</v>
      </c>
      <c r="J80" s="651">
        <f t="shared" si="559"/>
        <v>-132.09949708649754</v>
      </c>
      <c r="K80" s="651">
        <f t="shared" si="559"/>
        <v>-160.40126697089062</v>
      </c>
      <c r="L80" s="651">
        <f t="shared" si="559"/>
        <v>-190.33583536789422</v>
      </c>
      <c r="M80" s="651">
        <f t="shared" si="559"/>
        <v>-221.87729711257265</v>
      </c>
      <c r="N80" s="651">
        <f t="shared" si="559"/>
        <v>-254.99974700174948</v>
      </c>
      <c r="O80" s="651">
        <f t="shared" si="559"/>
        <v>-301.66262940869922</v>
      </c>
      <c r="P80" s="651">
        <f t="shared" si="559"/>
        <v>-351.14498385297509</v>
      </c>
      <c r="Q80" s="651">
        <f t="shared" si="559"/>
        <v>-403.15435907406084</v>
      </c>
      <c r="R80" s="651">
        <f t="shared" si="559"/>
        <v>-457.79038987653996</v>
      </c>
      <c r="S80" s="651">
        <f t="shared" si="559"/>
        <v>-514.97873147862038</v>
      </c>
      <c r="T80" s="651">
        <f t="shared" si="559"/>
        <v>-574.64554633583589</v>
      </c>
      <c r="U80" s="651">
        <f t="shared" si="559"/>
        <v>-636.71751133566374</v>
      </c>
      <c r="V80" s="651">
        <f t="shared" si="559"/>
        <v>-701.12182499215749</v>
      </c>
      <c r="W80" s="651">
        <f t="shared" si="559"/>
        <v>-767.78621464059268</v>
      </c>
      <c r="X80" s="651">
        <f t="shared" si="559"/>
        <v>-836.63894363213103</v>
      </c>
      <c r="Y80" s="651">
        <f t="shared" si="559"/>
        <v>-937.90939973694196</v>
      </c>
      <c r="Z80" s="651">
        <f t="shared" si="559"/>
        <v>-1043.2330159144174</v>
      </c>
      <c r="AA80" s="651">
        <f t="shared" si="559"/>
        <v>-1151.628736139761</v>
      </c>
      <c r="AB80" s="651">
        <f t="shared" si="559"/>
        <v>-1263.774351836131</v>
      </c>
      <c r="AC80" s="651">
        <f t="shared" si="559"/>
        <v>-1379.573993755735</v>
      </c>
      <c r="AD80" s="651">
        <f t="shared" si="559"/>
        <v>-1498.9355233310971</v>
      </c>
      <c r="AE80" s="651">
        <f t="shared" si="559"/>
        <v>-1621.7706229517619</v>
      </c>
      <c r="AF80" s="651">
        <f t="shared" si="559"/>
        <v>-1747.9948862410147</v>
      </c>
      <c r="AG80" s="651">
        <f t="shared" si="559"/>
        <v>-1877.5279083326213</v>
      </c>
      <c r="AH80" s="651">
        <f>AH77-AH78-AH79</f>
        <v>-2010.2933761475895</v>
      </c>
      <c r="AI80" s="24"/>
      <c r="AJ80" s="651">
        <f>AJ77-AJ78-AJ79</f>
        <v>1.971668941623115</v>
      </c>
      <c r="AK80" s="651">
        <f t="shared" ref="AK80:BM80" si="560">AK77-AK78-AK79</f>
        <v>-15.988499629923343</v>
      </c>
      <c r="AL80" s="651">
        <f t="shared" si="560"/>
        <v>-35.736874413463816</v>
      </c>
      <c r="AM80" s="651">
        <f t="shared" si="560"/>
        <v>-57.247549992944428</v>
      </c>
      <c r="AN80" s="651">
        <f t="shared" si="560"/>
        <v>-80.494620907485086</v>
      </c>
      <c r="AO80" s="651">
        <f t="shared" si="560"/>
        <v>-105.45218165085991</v>
      </c>
      <c r="AP80" s="651">
        <f t="shared" si="560"/>
        <v>-132.09432667097249</v>
      </c>
      <c r="AQ80" s="651">
        <f t="shared" si="560"/>
        <v>-160.39515036932448</v>
      </c>
      <c r="AR80" s="651">
        <f t="shared" si="560"/>
        <v>-190.32874710047929</v>
      </c>
      <c r="AS80" s="651">
        <f t="shared" si="560"/>
        <v>-221.86921117151908</v>
      </c>
      <c r="AT80" s="651">
        <f t="shared" si="560"/>
        <v>-254.99063684149579</v>
      </c>
      <c r="AU80" s="651">
        <f t="shared" si="560"/>
        <v>-301.65108094803998</v>
      </c>
      <c r="AV80" s="651">
        <f t="shared" si="560"/>
        <v>-351.13093060509038</v>
      </c>
      <c r="AW80" s="651">
        <f t="shared" si="560"/>
        <v>-403.13773316840667</v>
      </c>
      <c r="AX80" s="651">
        <f t="shared" si="560"/>
        <v>-457.77112203313533</v>
      </c>
      <c r="AY80" s="651">
        <f t="shared" si="560"/>
        <v>-514.95675098188576</v>
      </c>
      <c r="AZ80" s="651">
        <f t="shared" si="560"/>
        <v>-574.62078100797544</v>
      </c>
      <c r="BA80" s="651">
        <f t="shared" si="560"/>
        <v>-636.68988750958317</v>
      </c>
      <c r="BB80" s="651">
        <f t="shared" si="560"/>
        <v>-701.091267483911</v>
      </c>
      <c r="BC80" s="651">
        <f t="shared" si="560"/>
        <v>-767.75264672134938</v>
      </c>
      <c r="BD80" s="651">
        <f t="shared" si="560"/>
        <v>-836.60228699965478</v>
      </c>
      <c r="BE80" s="651">
        <f t="shared" si="560"/>
        <v>-937.8695418541364</v>
      </c>
      <c r="BF80" s="651">
        <f t="shared" si="560"/>
        <v>-1043.1898743309732</v>
      </c>
      <c r="BG80" s="651">
        <f t="shared" si="560"/>
        <v>-1151.5822267242054</v>
      </c>
      <c r="BH80" s="651">
        <f t="shared" si="560"/>
        <v>-1263.7243887449154</v>
      </c>
      <c r="BI80" s="651">
        <f t="shared" si="560"/>
        <v>-1379.5204894017861</v>
      </c>
      <c r="BJ80" s="651">
        <f t="shared" si="560"/>
        <v>-1498.8783883518242</v>
      </c>
      <c r="BK80" s="651">
        <f t="shared" si="560"/>
        <v>-1621.7097661765094</v>
      </c>
      <c r="BL80" s="651">
        <f t="shared" si="560"/>
        <v>-1747.9302146579512</v>
      </c>
      <c r="BM80" s="651">
        <f t="shared" si="560"/>
        <v>-1877.4593270550561</v>
      </c>
      <c r="BN80" s="651">
        <f>BN77-BN78-BN79</f>
        <v>-2010.2207883797066</v>
      </c>
    </row>
    <row r="81" spans="1:66" s="62" customFormat="1">
      <c r="A81" s="684"/>
      <c r="B81" s="55" t="s">
        <v>885</v>
      </c>
      <c r="C81" s="56" t="s">
        <v>166</v>
      </c>
      <c r="D81" s="650">
        <f>D37</f>
        <v>0.33061389074632619</v>
      </c>
      <c r="E81" s="650">
        <f t="shared" ref="E81:AH82" si="561">E37</f>
        <v>0.32670626834249805</v>
      </c>
      <c r="F81" s="650">
        <f t="shared" si="561"/>
        <v>0.32395226601461719</v>
      </c>
      <c r="G81" s="650">
        <f t="shared" si="561"/>
        <v>0.32211863348859021</v>
      </c>
      <c r="H81" s="650">
        <f t="shared" si="561"/>
        <v>0.32103422254857666</v>
      </c>
      <c r="I81" s="650">
        <f t="shared" si="561"/>
        <v>0.32057071045126301</v>
      </c>
      <c r="J81" s="650">
        <f t="shared" si="561"/>
        <v>0.32063008765342793</v>
      </c>
      <c r="K81" s="650">
        <f t="shared" si="561"/>
        <v>0.32113629377854319</v>
      </c>
      <c r="L81" s="650">
        <f t="shared" si="561"/>
        <v>0.32202948151215444</v>
      </c>
      <c r="M81" s="650">
        <f t="shared" si="561"/>
        <v>0.32326199322865851</v>
      </c>
      <c r="N81" s="650">
        <f t="shared" si="561"/>
        <v>0.32479548215474896</v>
      </c>
      <c r="O81" s="650">
        <f t="shared" si="561"/>
        <v>0.32905869129400478</v>
      </c>
      <c r="P81" s="650">
        <f t="shared" si="561"/>
        <v>0.33341789187588861</v>
      </c>
      <c r="Q81" s="650">
        <f t="shared" si="561"/>
        <v>0.33787572430836504</v>
      </c>
      <c r="R81" s="650">
        <f t="shared" si="561"/>
        <v>0.3424349809649902</v>
      </c>
      <c r="S81" s="650">
        <f t="shared" si="561"/>
        <v>0.34709861291357003</v>
      </c>
      <c r="T81" s="650">
        <f t="shared" si="561"/>
        <v>0.35213525521882677</v>
      </c>
      <c r="U81" s="650">
        <f t="shared" si="561"/>
        <v>0.35729098963657185</v>
      </c>
      <c r="V81" s="650">
        <f t="shared" si="561"/>
        <v>0.36256999121918393</v>
      </c>
      <c r="W81" s="650">
        <f t="shared" si="561"/>
        <v>0.36797666142471719</v>
      </c>
      <c r="X81" s="650">
        <f t="shared" si="561"/>
        <v>0.37351564244536933</v>
      </c>
      <c r="Y81" s="650">
        <f t="shared" si="561"/>
        <v>0.3797769607707796</v>
      </c>
      <c r="Z81" s="650">
        <f t="shared" si="561"/>
        <v>0.38621060891627546</v>
      </c>
      <c r="AA81" s="650">
        <f t="shared" si="561"/>
        <v>0.39282422778953036</v>
      </c>
      <c r="AB81" s="650">
        <f t="shared" si="561"/>
        <v>0.39962593338747249</v>
      </c>
      <c r="AC81" s="650">
        <f t="shared" si="561"/>
        <v>0.4066243541997186</v>
      </c>
      <c r="AD81" s="650">
        <f t="shared" si="561"/>
        <v>0.41382867220288422</v>
      </c>
      <c r="AE81" s="650">
        <f t="shared" si="561"/>
        <v>0.42124866785408083</v>
      </c>
      <c r="AF81" s="650">
        <f t="shared" si="561"/>
        <v>0.42889476954588374</v>
      </c>
      <c r="AG81" s="650">
        <f t="shared" si="561"/>
        <v>0.43677810804716904</v>
      </c>
      <c r="AH81" s="650">
        <f t="shared" si="561"/>
        <v>0.444910576525891</v>
      </c>
      <c r="AI81" s="650"/>
      <c r="AJ81" s="650">
        <f>AJ37</f>
        <v>0.33061389074632619</v>
      </c>
      <c r="AK81" s="650">
        <f t="shared" ref="AK81:BN81" si="562">AK37</f>
        <v>0.32683786872716991</v>
      </c>
      <c r="AL81" s="650">
        <f t="shared" si="562"/>
        <v>0.32421372246411551</v>
      </c>
      <c r="AM81" s="650">
        <f t="shared" si="562"/>
        <v>0.32250930840587516</v>
      </c>
      <c r="AN81" s="650">
        <f t="shared" si="562"/>
        <v>0.32155431586537292</v>
      </c>
      <c r="AO81" s="650">
        <f t="shared" si="562"/>
        <v>0.32122107485725049</v>
      </c>
      <c r="AP81" s="650">
        <f t="shared" si="562"/>
        <v>0.32141209865887521</v>
      </c>
      <c r="AQ81" s="650">
        <f t="shared" si="562"/>
        <v>0.32205175646605005</v>
      </c>
      <c r="AR81" s="650">
        <f t="shared" si="562"/>
        <v>0.32308056248469585</v>
      </c>
      <c r="AS81" s="650">
        <f t="shared" si="562"/>
        <v>0.32445117026531534</v>
      </c>
      <c r="AT81" s="650">
        <f t="shared" si="562"/>
        <v>0.32612550657158562</v>
      </c>
      <c r="AU81" s="650">
        <f t="shared" si="562"/>
        <v>0.33075045924762303</v>
      </c>
      <c r="AV81" s="650">
        <f t="shared" si="562"/>
        <v>0.33548392189745641</v>
      </c>
      <c r="AW81" s="650">
        <f t="shared" si="562"/>
        <v>0.34032901528570653</v>
      </c>
      <c r="AX81" s="650">
        <f t="shared" si="562"/>
        <v>0.34528903275935063</v>
      </c>
      <c r="AY81" s="650">
        <f t="shared" si="562"/>
        <v>0.35036744828462424</v>
      </c>
      <c r="AZ81" s="650">
        <f t="shared" si="562"/>
        <v>0.35583623376287599</v>
      </c>
      <c r="BA81" s="650">
        <f t="shared" si="562"/>
        <v>0.36143993308856609</v>
      </c>
      <c r="BB81" s="650">
        <f t="shared" si="562"/>
        <v>0.36718336310338173</v>
      </c>
      <c r="BC81" s="650">
        <f t="shared" si="562"/>
        <v>0.37307159937452328</v>
      </c>
      <c r="BD81" s="650">
        <f t="shared" si="562"/>
        <v>0.37910999266955647</v>
      </c>
      <c r="BE81" s="650">
        <f t="shared" si="562"/>
        <v>0.38590380872761859</v>
      </c>
      <c r="BF81" s="650">
        <f t="shared" si="562"/>
        <v>0.39289142097124058</v>
      </c>
      <c r="BG81" s="650">
        <f t="shared" si="562"/>
        <v>0.40008147056783688</v>
      </c>
      <c r="BH81" s="650">
        <f t="shared" si="562"/>
        <v>0.40748313501603067</v>
      </c>
      <c r="BI81" s="650">
        <f t="shared" si="562"/>
        <v>0.41510617035980812</v>
      </c>
      <c r="BJ81" s="650">
        <f t="shared" si="562"/>
        <v>0.42296095745502382</v>
      </c>
      <c r="BK81" s="650">
        <f t="shared" si="562"/>
        <v>0.43105855274907584</v>
      </c>
      <c r="BL81" s="650">
        <f t="shared" si="562"/>
        <v>0.43941074409547604</v>
      </c>
      <c r="BM81" s="650">
        <f t="shared" si="562"/>
        <v>0.44803011219514677</v>
      </c>
      <c r="BN81" s="650">
        <f t="shared" si="562"/>
        <v>0.45693009833715836</v>
      </c>
    </row>
    <row r="82" spans="1:66">
      <c r="A82" s="685"/>
      <c r="B82" s="1" t="s">
        <v>1182</v>
      </c>
      <c r="C82" s="51" t="s">
        <v>166</v>
      </c>
      <c r="D82" s="24">
        <f t="shared" ref="D82:S82" si="563">D38</f>
        <v>0</v>
      </c>
      <c r="E82" s="24">
        <f t="shared" si="563"/>
        <v>0</v>
      </c>
      <c r="F82" s="24">
        <f t="shared" si="563"/>
        <v>0</v>
      </c>
      <c r="G82" s="24">
        <f t="shared" si="563"/>
        <v>0</v>
      </c>
      <c r="H82" s="24">
        <f t="shared" si="563"/>
        <v>0</v>
      </c>
      <c r="I82" s="24">
        <f t="shared" si="563"/>
        <v>0</v>
      </c>
      <c r="J82" s="24">
        <f t="shared" si="563"/>
        <v>0</v>
      </c>
      <c r="K82" s="24">
        <f t="shared" si="563"/>
        <v>0</v>
      </c>
      <c r="L82" s="24">
        <f t="shared" si="563"/>
        <v>0</v>
      </c>
      <c r="M82" s="24">
        <f t="shared" si="563"/>
        <v>0</v>
      </c>
      <c r="N82" s="24">
        <f t="shared" si="563"/>
        <v>0</v>
      </c>
      <c r="O82" s="24">
        <f t="shared" si="563"/>
        <v>0</v>
      </c>
      <c r="P82" s="24">
        <f t="shared" si="563"/>
        <v>0</v>
      </c>
      <c r="Q82" s="24">
        <f t="shared" si="563"/>
        <v>0</v>
      </c>
      <c r="R82" s="24">
        <f t="shared" si="563"/>
        <v>0</v>
      </c>
      <c r="S82" s="24">
        <f t="shared" si="563"/>
        <v>0</v>
      </c>
      <c r="T82" s="24">
        <f t="shared" si="561"/>
        <v>0</v>
      </c>
      <c r="U82" s="24">
        <f t="shared" si="561"/>
        <v>0</v>
      </c>
      <c r="V82" s="24">
        <f t="shared" si="561"/>
        <v>0</v>
      </c>
      <c r="W82" s="24">
        <f t="shared" si="561"/>
        <v>0</v>
      </c>
      <c r="X82" s="24">
        <f t="shared" si="561"/>
        <v>0</v>
      </c>
      <c r="Y82" s="24">
        <f t="shared" si="561"/>
        <v>0</v>
      </c>
      <c r="Z82" s="24">
        <f t="shared" si="561"/>
        <v>0</v>
      </c>
      <c r="AA82" s="24">
        <f t="shared" si="561"/>
        <v>0</v>
      </c>
      <c r="AB82" s="24">
        <f t="shared" si="561"/>
        <v>0</v>
      </c>
      <c r="AC82" s="24">
        <f t="shared" si="561"/>
        <v>0</v>
      </c>
      <c r="AD82" s="24">
        <f t="shared" si="561"/>
        <v>0</v>
      </c>
      <c r="AE82" s="24">
        <f t="shared" si="561"/>
        <v>0</v>
      </c>
      <c r="AF82" s="24">
        <f t="shared" si="561"/>
        <v>0</v>
      </c>
      <c r="AG82" s="24">
        <f t="shared" si="561"/>
        <v>0</v>
      </c>
      <c r="AH82" s="24">
        <f t="shared" si="561"/>
        <v>0</v>
      </c>
      <c r="AI82" s="24"/>
      <c r="AJ82" s="24">
        <f t="shared" ref="AJ82:BN82" si="564">AJ38</f>
        <v>0</v>
      </c>
      <c r="AK82" s="24">
        <f t="shared" si="564"/>
        <v>0</v>
      </c>
      <c r="AL82" s="24">
        <f t="shared" si="564"/>
        <v>0</v>
      </c>
      <c r="AM82" s="24">
        <f t="shared" si="564"/>
        <v>0</v>
      </c>
      <c r="AN82" s="24">
        <f t="shared" si="564"/>
        <v>0</v>
      </c>
      <c r="AO82" s="24">
        <f t="shared" si="564"/>
        <v>0</v>
      </c>
      <c r="AP82" s="24">
        <f t="shared" si="564"/>
        <v>0</v>
      </c>
      <c r="AQ82" s="24">
        <f t="shared" si="564"/>
        <v>0</v>
      </c>
      <c r="AR82" s="24">
        <f t="shared" si="564"/>
        <v>0</v>
      </c>
      <c r="AS82" s="24">
        <f t="shared" si="564"/>
        <v>0</v>
      </c>
      <c r="AT82" s="24">
        <f t="shared" si="564"/>
        <v>0</v>
      </c>
      <c r="AU82" s="24">
        <f t="shared" si="564"/>
        <v>0</v>
      </c>
      <c r="AV82" s="24">
        <f t="shared" si="564"/>
        <v>0</v>
      </c>
      <c r="AW82" s="24">
        <f t="shared" si="564"/>
        <v>0</v>
      </c>
      <c r="AX82" s="24">
        <f t="shared" si="564"/>
        <v>0</v>
      </c>
      <c r="AY82" s="24">
        <f t="shared" si="564"/>
        <v>0</v>
      </c>
      <c r="AZ82" s="24">
        <f t="shared" si="564"/>
        <v>0</v>
      </c>
      <c r="BA82" s="24">
        <f t="shared" si="564"/>
        <v>0</v>
      </c>
      <c r="BB82" s="24">
        <f t="shared" si="564"/>
        <v>0</v>
      </c>
      <c r="BC82" s="24">
        <f t="shared" si="564"/>
        <v>0</v>
      </c>
      <c r="BD82" s="24">
        <f t="shared" si="564"/>
        <v>0</v>
      </c>
      <c r="BE82" s="24">
        <f t="shared" si="564"/>
        <v>0</v>
      </c>
      <c r="BF82" s="24">
        <f t="shared" si="564"/>
        <v>0</v>
      </c>
      <c r="BG82" s="24">
        <f t="shared" si="564"/>
        <v>0</v>
      </c>
      <c r="BH82" s="24">
        <f t="shared" si="564"/>
        <v>0</v>
      </c>
      <c r="BI82" s="24">
        <f t="shared" si="564"/>
        <v>0</v>
      </c>
      <c r="BJ82" s="24">
        <f t="shared" si="564"/>
        <v>0</v>
      </c>
      <c r="BK82" s="24">
        <f t="shared" si="564"/>
        <v>0</v>
      </c>
      <c r="BL82" s="24">
        <f t="shared" si="564"/>
        <v>0</v>
      </c>
      <c r="BM82" s="24">
        <f t="shared" si="564"/>
        <v>0</v>
      </c>
      <c r="BN82" s="24">
        <f t="shared" si="564"/>
        <v>0</v>
      </c>
    </row>
    <row r="83" spans="1:66" s="63" customFormat="1">
      <c r="A83" s="686"/>
      <c r="B83" s="59" t="s">
        <v>27</v>
      </c>
      <c r="C83" s="262" t="s">
        <v>166</v>
      </c>
      <c r="D83" s="652">
        <f>D39-(D77-D80)</f>
        <v>1.6410550508767887</v>
      </c>
      <c r="E83" s="652">
        <f t="shared" ref="E83:AH83" si="565">E39-(E77-E80)</f>
        <v>-16.316009765674963</v>
      </c>
      <c r="F83" s="652">
        <f t="shared" si="565"/>
        <v>-36.06245692258414</v>
      </c>
      <c r="G83" s="652">
        <f t="shared" si="565"/>
        <v>-57.572148226196788</v>
      </c>
      <c r="H83" s="652">
        <f t="shared" si="565"/>
        <v>-80.819007548914271</v>
      </c>
      <c r="I83" s="652">
        <f t="shared" si="565"/>
        <v>-105.77700155224235</v>
      </c>
      <c r="J83" s="652">
        <f t="shared" si="565"/>
        <v>-132.42012717415096</v>
      </c>
      <c r="K83" s="652">
        <f t="shared" si="565"/>
        <v>-160.72240326466917</v>
      </c>
      <c r="L83" s="652">
        <f t="shared" si="565"/>
        <v>-190.65786484940637</v>
      </c>
      <c r="M83" s="652">
        <f t="shared" si="565"/>
        <v>-222.20055910580132</v>
      </c>
      <c r="N83" s="652">
        <f t="shared" si="565"/>
        <v>-255.32454248390425</v>
      </c>
      <c r="O83" s="652">
        <f t="shared" si="565"/>
        <v>-301.99168809999321</v>
      </c>
      <c r="P83" s="652">
        <f t="shared" si="565"/>
        <v>-351.478401744851</v>
      </c>
      <c r="Q83" s="652">
        <f t="shared" si="565"/>
        <v>-403.49223479836922</v>
      </c>
      <c r="R83" s="652">
        <f t="shared" si="565"/>
        <v>-458.13282485750494</v>
      </c>
      <c r="S83" s="652">
        <f t="shared" si="565"/>
        <v>-515.32583009153393</v>
      </c>
      <c r="T83" s="652">
        <f t="shared" si="565"/>
        <v>-574.99768159105474</v>
      </c>
      <c r="U83" s="652">
        <f t="shared" si="565"/>
        <v>-637.07480232530031</v>
      </c>
      <c r="V83" s="652">
        <f t="shared" si="565"/>
        <v>-701.48439498337666</v>
      </c>
      <c r="W83" s="652">
        <f t="shared" si="565"/>
        <v>-768.15419130201735</v>
      </c>
      <c r="X83" s="652">
        <f t="shared" si="565"/>
        <v>-837.01245927457637</v>
      </c>
      <c r="Y83" s="652">
        <f t="shared" si="565"/>
        <v>-938.28917669771272</v>
      </c>
      <c r="Z83" s="652">
        <f t="shared" si="565"/>
        <v>-1043.6192265233335</v>
      </c>
      <c r="AA83" s="652">
        <f t="shared" si="565"/>
        <v>-1152.0215603675504</v>
      </c>
      <c r="AB83" s="652">
        <f t="shared" si="565"/>
        <v>-1264.1739777695184</v>
      </c>
      <c r="AC83" s="652">
        <f t="shared" si="565"/>
        <v>-1379.9806181099348</v>
      </c>
      <c r="AD83" s="652">
        <f t="shared" si="565"/>
        <v>-1499.3493520032998</v>
      </c>
      <c r="AE83" s="652">
        <f t="shared" si="565"/>
        <v>-1622.1918716196158</v>
      </c>
      <c r="AF83" s="652">
        <f t="shared" si="565"/>
        <v>-1748.4237810105608</v>
      </c>
      <c r="AG83" s="652">
        <f t="shared" si="565"/>
        <v>-1877.9646864406684</v>
      </c>
      <c r="AH83" s="652">
        <f t="shared" si="565"/>
        <v>-2010.7382867241154</v>
      </c>
      <c r="AI83" s="652"/>
      <c r="AJ83" s="652">
        <f>AJ39-(AJ77-AJ80)</f>
        <v>1.6410550508767887</v>
      </c>
      <c r="AK83" s="652">
        <f t="shared" ref="AK83:BM83" si="566">AK39-(AK77-AK80)</f>
        <v>-16.315337498650514</v>
      </c>
      <c r="AL83" s="652">
        <f t="shared" si="566"/>
        <v>-36.061088135927932</v>
      </c>
      <c r="AM83" s="652">
        <f t="shared" si="566"/>
        <v>-57.570059301350305</v>
      </c>
      <c r="AN83" s="652">
        <f t="shared" si="566"/>
        <v>-80.816175223350456</v>
      </c>
      <c r="AO83" s="652">
        <f t="shared" si="566"/>
        <v>-105.77340272571716</v>
      </c>
      <c r="AP83" s="652">
        <f t="shared" si="566"/>
        <v>-132.41573876963139</v>
      </c>
      <c r="AQ83" s="652">
        <f t="shared" si="566"/>
        <v>-160.71720212579055</v>
      </c>
      <c r="AR83" s="652">
        <f t="shared" si="566"/>
        <v>-190.651827662964</v>
      </c>
      <c r="AS83" s="652">
        <f t="shared" si="566"/>
        <v>-222.19366234178437</v>
      </c>
      <c r="AT83" s="652">
        <f t="shared" si="566"/>
        <v>-255.31676234806739</v>
      </c>
      <c r="AU83" s="652">
        <f t="shared" si="566"/>
        <v>-301.98183140728759</v>
      </c>
      <c r="AV83" s="652">
        <f t="shared" si="566"/>
        <v>-351.46641452698788</v>
      </c>
      <c r="AW83" s="652">
        <f t="shared" si="566"/>
        <v>-403.47806218369237</v>
      </c>
      <c r="AX83" s="652">
        <f t="shared" si="566"/>
        <v>-458.11641106589468</v>
      </c>
      <c r="AY83" s="652">
        <f t="shared" si="566"/>
        <v>-515.30711843017036</v>
      </c>
      <c r="AZ83" s="652">
        <f t="shared" si="566"/>
        <v>-574.97661724173838</v>
      </c>
      <c r="BA83" s="652">
        <f t="shared" si="566"/>
        <v>-637.05132744267178</v>
      </c>
      <c r="BB83" s="652">
        <f t="shared" si="566"/>
        <v>-701.45845084701432</v>
      </c>
      <c r="BC83" s="652">
        <f t="shared" si="566"/>
        <v>-768.12571832072388</v>
      </c>
      <c r="BD83" s="652">
        <f t="shared" si="566"/>
        <v>-836.98139699232433</v>
      </c>
      <c r="BE83" s="652">
        <f t="shared" si="566"/>
        <v>-938.25544566286408</v>
      </c>
      <c r="BF83" s="652">
        <f t="shared" si="566"/>
        <v>-1043.5827657519444</v>
      </c>
      <c r="BG83" s="652">
        <f t="shared" si="566"/>
        <v>-1151.9823081947732</v>
      </c>
      <c r="BH83" s="652">
        <f t="shared" si="566"/>
        <v>-1264.1318718799314</v>
      </c>
      <c r="BI83" s="652">
        <f t="shared" si="566"/>
        <v>-1379.935595572146</v>
      </c>
      <c r="BJ83" s="652">
        <f t="shared" si="566"/>
        <v>-1499.3013493092792</v>
      </c>
      <c r="BK83" s="652">
        <f t="shared" si="566"/>
        <v>-1622.1408247292586</v>
      </c>
      <c r="BL83" s="652">
        <f t="shared" si="566"/>
        <v>-1748.3696254020467</v>
      </c>
      <c r="BM83" s="652">
        <f t="shared" si="566"/>
        <v>-1877.9073571672513</v>
      </c>
      <c r="BN83" s="652">
        <f>BN39-(BN77-BN80)</f>
        <v>-2010.677718478044</v>
      </c>
    </row>
    <row r="84" spans="1:66">
      <c r="A84" s="55" t="s">
        <v>258</v>
      </c>
      <c r="B84" s="55" t="s">
        <v>195</v>
      </c>
      <c r="C84" s="95" t="s">
        <v>166</v>
      </c>
      <c r="D84" s="653">
        <f t="shared" ref="D84:AH84" si="567">D25</f>
        <v>8.3456504736096182</v>
      </c>
      <c r="E84" s="653">
        <f t="shared" si="567"/>
        <v>8.4585772761667908</v>
      </c>
      <c r="F84" s="653">
        <f t="shared" si="567"/>
        <v>8.5727452498312093</v>
      </c>
      <c r="G84" s="653">
        <f t="shared" si="567"/>
        <v>8.6881607889722989</v>
      </c>
      <c r="H84" s="653">
        <f t="shared" si="567"/>
        <v>8.8048300927863661</v>
      </c>
      <c r="I84" s="653">
        <f t="shared" si="567"/>
        <v>8.9227591558967063</v>
      </c>
      <c r="J84" s="653">
        <f t="shared" si="567"/>
        <v>9.0419537586749801</v>
      </c>
      <c r="K84" s="653">
        <f t="shared" si="567"/>
        <v>9.1624194572767781</v>
      </c>
      <c r="L84" s="653">
        <f t="shared" si="567"/>
        <v>9.28416157338423</v>
      </c>
      <c r="M84" s="653">
        <f t="shared" si="567"/>
        <v>9.407185183648247</v>
      </c>
      <c r="N84" s="653">
        <f t="shared" si="567"/>
        <v>9.5314951088229467</v>
      </c>
      <c r="O84" s="653">
        <f t="shared" si="567"/>
        <v>9.5742349623180818</v>
      </c>
      <c r="P84" s="653">
        <f t="shared" si="567"/>
        <v>9.6140182595881285</v>
      </c>
      <c r="Q84" s="653">
        <f t="shared" si="567"/>
        <v>9.6507039890481021</v>
      </c>
      <c r="R84" s="653">
        <f t="shared" si="567"/>
        <v>9.6841467208373224</v>
      </c>
      <c r="S84" s="653">
        <f t="shared" si="567"/>
        <v>9.7141964892188444</v>
      </c>
      <c r="T84" s="653">
        <f t="shared" si="567"/>
        <v>9.7406986721191195</v>
      </c>
      <c r="U84" s="653">
        <f t="shared" si="567"/>
        <v>9.7634938677422554</v>
      </c>
      <c r="V84" s="653">
        <f t="shared" si="567"/>
        <v>9.7824177681918929</v>
      </c>
      <c r="W84" s="653">
        <f t="shared" si="567"/>
        <v>9.7973010300321555</v>
      </c>
      <c r="X84" s="653">
        <f t="shared" si="567"/>
        <v>9.8079691417176491</v>
      </c>
      <c r="Y84" s="653">
        <f t="shared" si="567"/>
        <v>9.5892953861333119</v>
      </c>
      <c r="Z84" s="653">
        <f t="shared" si="567"/>
        <v>9.358001410386791</v>
      </c>
      <c r="AA84" s="653">
        <f t="shared" si="567"/>
        <v>9.1136813599482931</v>
      </c>
      <c r="AB84" s="653">
        <f t="shared" si="567"/>
        <v>8.8559185490937384</v>
      </c>
      <c r="AC84" s="653">
        <f t="shared" si="567"/>
        <v>8.5842851983865618</v>
      </c>
      <c r="AD84" s="653">
        <f t="shared" si="567"/>
        <v>8.2983421661678136</v>
      </c>
      <c r="AE84" s="653">
        <f t="shared" si="567"/>
        <v>7.9976386739232987</v>
      </c>
      <c r="AF84" s="653">
        <f t="shared" si="567"/>
        <v>7.6817120253938178</v>
      </c>
      <c r="AG84" s="653">
        <f t="shared" si="567"/>
        <v>7.3500873192916742</v>
      </c>
      <c r="AH84" s="653">
        <f t="shared" si="567"/>
        <v>7.0022771554837426</v>
      </c>
      <c r="AI84" s="24"/>
      <c r="AJ84" s="653">
        <f t="shared" ref="AJ84:BN84" si="568">AJ25</f>
        <v>8.3456504736096182</v>
      </c>
      <c r="AK84" s="653">
        <f t="shared" si="568"/>
        <v>8.4815394304455474</v>
      </c>
      <c r="AL84" s="653">
        <f t="shared" si="568"/>
        <v>8.6195434952306105</v>
      </c>
      <c r="AM84" s="653">
        <f t="shared" si="568"/>
        <v>8.7596937249254161</v>
      </c>
      <c r="AN84" s="653">
        <f t="shared" si="568"/>
        <v>8.9020215942194127</v>
      </c>
      <c r="AO84" s="653">
        <f t="shared" si="568"/>
        <v>9.0465590003002063</v>
      </c>
      <c r="AP84" s="653">
        <f t="shared" si="568"/>
        <v>9.1933382676565163</v>
      </c>
      <c r="AQ84" s="653">
        <f t="shared" si="568"/>
        <v>9.3423921529144121</v>
      </c>
      <c r="AR84" s="653">
        <f t="shared" si="568"/>
        <v>9.4937538497064491</v>
      </c>
      <c r="AS84" s="653">
        <f t="shared" si="568"/>
        <v>9.6474569935732557</v>
      </c>
      <c r="AT84" s="653">
        <f t="shared" si="568"/>
        <v>9.8035356668971758</v>
      </c>
      <c r="AU84" s="653">
        <f t="shared" si="568"/>
        <v>9.9356628470001258</v>
      </c>
      <c r="AV84" s="653">
        <f t="shared" si="568"/>
        <v>10.068621574840106</v>
      </c>
      <c r="AW84" s="653">
        <f t="shared" si="568"/>
        <v>10.202387869857294</v>
      </c>
      <c r="AX84" s="653">
        <f t="shared" si="568"/>
        <v>10.336936456672248</v>
      </c>
      <c r="AY84" s="653">
        <f t="shared" si="568"/>
        <v>10.472240723926674</v>
      </c>
      <c r="AZ84" s="653">
        <f t="shared" si="568"/>
        <v>10.608272682029824</v>
      </c>
      <c r="BA84" s="653">
        <f t="shared" si="568"/>
        <v>10.745002919784085</v>
      </c>
      <c r="BB84" s="653">
        <f t="shared" si="568"/>
        <v>10.882400559862663</v>
      </c>
      <c r="BC84" s="653">
        <f t="shared" si="568"/>
        <v>11.020433213111652</v>
      </c>
      <c r="BD84" s="653">
        <f t="shared" si="568"/>
        <v>11.159066931648141</v>
      </c>
      <c r="BE84" s="653">
        <f t="shared" si="568"/>
        <v>11.173902207524687</v>
      </c>
      <c r="BF84" s="653">
        <f t="shared" si="568"/>
        <v>11.184841507742609</v>
      </c>
      <c r="BG84" s="653">
        <f t="shared" si="568"/>
        <v>11.191728099854966</v>
      </c>
      <c r="BH84" s="653">
        <f t="shared" si="568"/>
        <v>11.194400708756632</v>
      </c>
      <c r="BI84" s="653">
        <f t="shared" si="568"/>
        <v>11.192693401754825</v>
      </c>
      <c r="BJ84" s="653">
        <f t="shared" si="568"/>
        <v>11.186435470946707</v>
      </c>
      <c r="BK84" s="653">
        <f t="shared" si="568"/>
        <v>11.175451312844007</v>
      </c>
      <c r="BL84" s="653">
        <f t="shared" si="568"/>
        <v>11.159560305183398</v>
      </c>
      <c r="BM84" s="653">
        <f t="shared" si="568"/>
        <v>11.138576680859966</v>
      </c>
      <c r="BN84" s="653">
        <f t="shared" si="568"/>
        <v>11.112309398919852</v>
      </c>
    </row>
    <row r="85" spans="1:66">
      <c r="A85"/>
      <c r="B85" t="s">
        <v>262</v>
      </c>
      <c r="C85" s="51" t="s">
        <v>166</v>
      </c>
      <c r="D85" s="24">
        <f>'Methanol Recycling HC'!C138</f>
        <v>0</v>
      </c>
      <c r="E85" s="24">
        <f>'Methanol Recycling HC'!D138</f>
        <v>6.5826525655209487</v>
      </c>
      <c r="F85" s="24">
        <f>'Methanol Recycling HC'!E138</f>
        <v>15.085123576696514</v>
      </c>
      <c r="G85" s="24">
        <f>'Methanol Recycling HC'!F138</f>
        <v>25.639094401620106</v>
      </c>
      <c r="H85" s="24">
        <f>'Methanol Recycling HC'!G138</f>
        <v>38.376246408385114</v>
      </c>
      <c r="I85" s="24">
        <f>'Methanol Recycling HC'!H138</f>
        <v>53.428260965084945</v>
      </c>
      <c r="J85" s="24">
        <f>'Methanol Recycling HC'!I138</f>
        <v>70.926819439813016</v>
      </c>
      <c r="K85" s="24">
        <f>'Methanol Recycling HC'!J138</f>
        <v>91.003603200662724</v>
      </c>
      <c r="L85" s="24">
        <f>'Methanol Recycling HC'!K138</f>
        <v>113.79029361572742</v>
      </c>
      <c r="M85" s="24">
        <f>'Methanol Recycling HC'!L138</f>
        <v>139.4185720531006</v>
      </c>
      <c r="N85" s="24">
        <f>'Methanol Recycling HC'!M138</f>
        <v>168.02011988087554</v>
      </c>
      <c r="O85" s="24">
        <f>'Methanol Recycling HC'!N138</f>
        <v>215.20052972431179</v>
      </c>
      <c r="P85" s="24">
        <f>'Methanol Recycling HC'!O138</f>
        <v>268.52224123244213</v>
      </c>
      <c r="Q85" s="24">
        <f>'Methanol Recycling HC'!P138</f>
        <v>327.10984432229787</v>
      </c>
      <c r="R85" s="24">
        <f>'Methanol Recycling HC'!Q138</f>
        <v>391.93189392403207</v>
      </c>
      <c r="S85" s="24">
        <f>'Methanol Recycling HC'!R138</f>
        <v>463.18981674636649</v>
      </c>
      <c r="T85" s="24">
        <f>'Methanol Recycling HC'!S138</f>
        <v>541.08031312095591</v>
      </c>
      <c r="U85" s="24">
        <f>'Methanol Recycling HC'!T138</f>
        <v>625.79529705292543</v>
      </c>
      <c r="V85" s="24">
        <f>'Methanol Recycling HC'!U138</f>
        <v>717.52183627140812</v>
      </c>
      <c r="W85" s="24">
        <f>'Methanol Recycling HC'!V138</f>
        <v>816.44209228008356</v>
      </c>
      <c r="X85" s="24">
        <f>'Methanol Recycling HC'!W138</f>
        <v>922.73326040771576</v>
      </c>
      <c r="Y85" s="24">
        <f>'Methanol Recycling HC'!X138</f>
        <v>1076.4965807920833</v>
      </c>
      <c r="Z85" s="24">
        <f>'Methanol Recycling HC'!Y138</f>
        <v>1242.4648273264363</v>
      </c>
      <c r="AA85" s="24">
        <f>'Methanol Recycling HC'!Z138</f>
        <v>1408.647060810554</v>
      </c>
      <c r="AB85" s="24">
        <f>'Methanol Recycling HC'!AA138</f>
        <v>1583.9699673403345</v>
      </c>
      <c r="AC85" s="24">
        <f>'Methanol Recycling HC'!AB138</f>
        <v>1768.2302013623773</v>
      </c>
      <c r="AD85" s="24">
        <f>'Methanol Recycling HC'!AC138</f>
        <v>1961.1870594079401</v>
      </c>
      <c r="AE85" s="24">
        <f>'Methanol Recycling HC'!AD138</f>
        <v>2162.5617277941442</v>
      </c>
      <c r="AF85" s="24">
        <f>'Methanol Recycling HC'!AE138</f>
        <v>2372.036530325181</v>
      </c>
      <c r="AG85" s="24">
        <f>'Methanol Recycling HC'!AF138</f>
        <v>2589.2541759935075</v>
      </c>
      <c r="AH85" s="24">
        <f>'Methanol Recycling HC'!AG138</f>
        <v>2813.817006681053</v>
      </c>
      <c r="AI85" s="24"/>
      <c r="AJ85" s="24">
        <f>D85</f>
        <v>0</v>
      </c>
      <c r="AK85" s="24">
        <f t="shared" ref="AK85:BN85" si="569">E85</f>
        <v>6.5826525655209487</v>
      </c>
      <c r="AL85" s="24">
        <f t="shared" si="569"/>
        <v>15.085123576696514</v>
      </c>
      <c r="AM85" s="24">
        <f t="shared" si="569"/>
        <v>25.639094401620106</v>
      </c>
      <c r="AN85" s="24">
        <f t="shared" si="569"/>
        <v>38.376246408385114</v>
      </c>
      <c r="AO85" s="24">
        <f t="shared" si="569"/>
        <v>53.428260965084945</v>
      </c>
      <c r="AP85" s="24">
        <f t="shared" si="569"/>
        <v>70.926819439813016</v>
      </c>
      <c r="AQ85" s="24">
        <f t="shared" si="569"/>
        <v>91.003603200662724</v>
      </c>
      <c r="AR85" s="24">
        <f t="shared" si="569"/>
        <v>113.79029361572742</v>
      </c>
      <c r="AS85" s="24">
        <f t="shared" si="569"/>
        <v>139.4185720531006</v>
      </c>
      <c r="AT85" s="24">
        <f t="shared" si="569"/>
        <v>168.02011988087554</v>
      </c>
      <c r="AU85" s="24">
        <f t="shared" si="569"/>
        <v>215.20052972431179</v>
      </c>
      <c r="AV85" s="24">
        <f t="shared" si="569"/>
        <v>268.52224123244213</v>
      </c>
      <c r="AW85" s="24">
        <f t="shared" si="569"/>
        <v>327.10984432229787</v>
      </c>
      <c r="AX85" s="24">
        <f t="shared" si="569"/>
        <v>391.93189392403207</v>
      </c>
      <c r="AY85" s="24">
        <f t="shared" si="569"/>
        <v>463.18981674636649</v>
      </c>
      <c r="AZ85" s="24">
        <f t="shared" si="569"/>
        <v>541.08031312095591</v>
      </c>
      <c r="BA85" s="24">
        <f t="shared" si="569"/>
        <v>625.79529705292543</v>
      </c>
      <c r="BB85" s="24">
        <f t="shared" si="569"/>
        <v>717.52183627140812</v>
      </c>
      <c r="BC85" s="24">
        <f t="shared" si="569"/>
        <v>816.44209228008356</v>
      </c>
      <c r="BD85" s="24">
        <f t="shared" si="569"/>
        <v>922.73326040771576</v>
      </c>
      <c r="BE85" s="24">
        <f t="shared" si="569"/>
        <v>1076.4965807920833</v>
      </c>
      <c r="BF85" s="24">
        <f t="shared" si="569"/>
        <v>1242.4648273264363</v>
      </c>
      <c r="BG85" s="24">
        <f t="shared" si="569"/>
        <v>1408.647060810554</v>
      </c>
      <c r="BH85" s="24">
        <f t="shared" si="569"/>
        <v>1583.9699673403345</v>
      </c>
      <c r="BI85" s="24">
        <f t="shared" si="569"/>
        <v>1768.2302013623773</v>
      </c>
      <c r="BJ85" s="24">
        <f t="shared" si="569"/>
        <v>1961.1870594079401</v>
      </c>
      <c r="BK85" s="24">
        <f t="shared" si="569"/>
        <v>2162.5617277941442</v>
      </c>
      <c r="BL85" s="24">
        <f t="shared" si="569"/>
        <v>2372.036530325181</v>
      </c>
      <c r="BM85" s="24">
        <f t="shared" si="569"/>
        <v>2589.2541759935075</v>
      </c>
      <c r="BN85" s="24">
        <f t="shared" si="569"/>
        <v>2813.817006681053</v>
      </c>
    </row>
    <row r="86" spans="1:66">
      <c r="A86" s="59"/>
      <c r="B86" s="59" t="s">
        <v>263</v>
      </c>
      <c r="C86" s="60" t="s">
        <v>166</v>
      </c>
      <c r="D86" s="651">
        <f>D84-D85</f>
        <v>8.3456504736096182</v>
      </c>
      <c r="E86" s="651">
        <f t="shared" ref="E86:AG86" si="570">E84-E85</f>
        <v>1.8759247106458421</v>
      </c>
      <c r="F86" s="651">
        <f t="shared" si="570"/>
        <v>-6.5123783268653046</v>
      </c>
      <c r="G86" s="651">
        <f t="shared" si="570"/>
        <v>-16.950933612647809</v>
      </c>
      <c r="H86" s="651">
        <f t="shared" si="570"/>
        <v>-29.571416315598746</v>
      </c>
      <c r="I86" s="651">
        <f t="shared" si="570"/>
        <v>-44.505501809188239</v>
      </c>
      <c r="J86" s="651">
        <f t="shared" si="570"/>
        <v>-61.884865681138038</v>
      </c>
      <c r="K86" s="651">
        <f t="shared" si="570"/>
        <v>-81.84118374338594</v>
      </c>
      <c r="L86" s="651">
        <f t="shared" si="570"/>
        <v>-104.5061320423432</v>
      </c>
      <c r="M86" s="651">
        <f t="shared" si="570"/>
        <v>-130.01138686945237</v>
      </c>
      <c r="N86" s="651">
        <f t="shared" si="570"/>
        <v>-158.48862477205259</v>
      </c>
      <c r="O86" s="651">
        <f t="shared" si="570"/>
        <v>-205.62629476199371</v>
      </c>
      <c r="P86" s="651">
        <f t="shared" si="570"/>
        <v>-258.90822297285399</v>
      </c>
      <c r="Q86" s="651">
        <f t="shared" si="570"/>
        <v>-317.45914033324976</v>
      </c>
      <c r="R86" s="651">
        <f t="shared" si="570"/>
        <v>-382.24774720319476</v>
      </c>
      <c r="S86" s="651">
        <f t="shared" si="570"/>
        <v>-453.47562025714763</v>
      </c>
      <c r="T86" s="651">
        <f t="shared" si="570"/>
        <v>-531.33961444883676</v>
      </c>
      <c r="U86" s="651">
        <f t="shared" si="570"/>
        <v>-616.03180318518321</v>
      </c>
      <c r="V86" s="651">
        <f t="shared" si="570"/>
        <v>-707.73941850321626</v>
      </c>
      <c r="W86" s="651">
        <f t="shared" si="570"/>
        <v>-806.64479125005141</v>
      </c>
      <c r="X86" s="651">
        <f t="shared" si="570"/>
        <v>-912.92529126599811</v>
      </c>
      <c r="Y86" s="651">
        <f t="shared" si="570"/>
        <v>-1066.90728540595</v>
      </c>
      <c r="Z86" s="651">
        <f t="shared" si="570"/>
        <v>-1233.1068259160495</v>
      </c>
      <c r="AA86" s="651">
        <f t="shared" si="570"/>
        <v>-1399.5333794506057</v>
      </c>
      <c r="AB86" s="651">
        <f t="shared" si="570"/>
        <v>-1575.1140487912407</v>
      </c>
      <c r="AC86" s="651">
        <f t="shared" si="570"/>
        <v>-1759.6459161639907</v>
      </c>
      <c r="AD86" s="651">
        <f t="shared" si="570"/>
        <v>-1952.8887172417722</v>
      </c>
      <c r="AE86" s="651">
        <f t="shared" si="570"/>
        <v>-2154.5640891202211</v>
      </c>
      <c r="AF86" s="651">
        <f t="shared" si="570"/>
        <v>-2364.3548182997874</v>
      </c>
      <c r="AG86" s="651">
        <f t="shared" si="570"/>
        <v>-2581.9040886742159</v>
      </c>
      <c r="AH86" s="651">
        <f>AH84-AH85</f>
        <v>-2806.8147295255694</v>
      </c>
      <c r="AI86" s="24"/>
      <c r="AJ86" s="651">
        <f>AJ84-AJ85</f>
        <v>8.3456504736096182</v>
      </c>
      <c r="AK86" s="651">
        <f t="shared" ref="AK86:BN86" si="571">AK84-AK85</f>
        <v>1.8988868649245987</v>
      </c>
      <c r="AL86" s="651">
        <f t="shared" si="571"/>
        <v>-6.4655800814659035</v>
      </c>
      <c r="AM86" s="651">
        <f t="shared" si="571"/>
        <v>-16.87940067669469</v>
      </c>
      <c r="AN86" s="651">
        <f t="shared" si="571"/>
        <v>-29.474224814165702</v>
      </c>
      <c r="AO86" s="651">
        <f t="shared" si="571"/>
        <v>-44.381701964784739</v>
      </c>
      <c r="AP86" s="651">
        <f t="shared" si="571"/>
        <v>-61.733481172156502</v>
      </c>
      <c r="AQ86" s="651">
        <f t="shared" si="571"/>
        <v>-81.66121104774831</v>
      </c>
      <c r="AR86" s="651">
        <f t="shared" si="571"/>
        <v>-104.29653976602097</v>
      </c>
      <c r="AS86" s="651">
        <f t="shared" si="571"/>
        <v>-129.77111505952735</v>
      </c>
      <c r="AT86" s="651">
        <f t="shared" si="571"/>
        <v>-158.21658421397836</v>
      </c>
      <c r="AU86" s="651">
        <f t="shared" si="571"/>
        <v>-205.26486687731168</v>
      </c>
      <c r="AV86" s="651">
        <f t="shared" si="571"/>
        <v>-258.45361965760202</v>
      </c>
      <c r="AW86" s="651">
        <f t="shared" si="571"/>
        <v>-316.90745645244056</v>
      </c>
      <c r="AX86" s="651">
        <f t="shared" si="571"/>
        <v>-381.59495746735979</v>
      </c>
      <c r="AY86" s="651">
        <f t="shared" si="571"/>
        <v>-452.7175760224398</v>
      </c>
      <c r="AZ86" s="651">
        <f t="shared" si="571"/>
        <v>-530.47204043892611</v>
      </c>
      <c r="BA86" s="651">
        <f t="shared" si="571"/>
        <v>-615.05029413314139</v>
      </c>
      <c r="BB86" s="651">
        <f t="shared" si="571"/>
        <v>-706.6394357115455</v>
      </c>
      <c r="BC86" s="651">
        <f t="shared" si="571"/>
        <v>-805.42165906697187</v>
      </c>
      <c r="BD86" s="651">
        <f t="shared" si="571"/>
        <v>-911.57419347606765</v>
      </c>
      <c r="BE86" s="651">
        <f t="shared" si="571"/>
        <v>-1065.3226785845586</v>
      </c>
      <c r="BF86" s="651">
        <f t="shared" si="571"/>
        <v>-1231.2799858186936</v>
      </c>
      <c r="BG86" s="651">
        <f t="shared" si="571"/>
        <v>-1397.4553327106989</v>
      </c>
      <c r="BH86" s="651">
        <f t="shared" si="571"/>
        <v>-1572.7755666315779</v>
      </c>
      <c r="BI86" s="651">
        <f t="shared" si="571"/>
        <v>-1757.0375079606224</v>
      </c>
      <c r="BJ86" s="651">
        <f t="shared" si="571"/>
        <v>-1950.0006239369934</v>
      </c>
      <c r="BK86" s="651">
        <f t="shared" si="571"/>
        <v>-2151.3862764813002</v>
      </c>
      <c r="BL86" s="651">
        <f t="shared" si="571"/>
        <v>-2360.8769700199978</v>
      </c>
      <c r="BM86" s="651">
        <f t="shared" si="571"/>
        <v>-2578.1155993126476</v>
      </c>
      <c r="BN86" s="651">
        <f t="shared" si="571"/>
        <v>-2802.7046972821331</v>
      </c>
    </row>
    <row r="87" spans="1:66" s="62" customFormat="1">
      <c r="A87" s="684"/>
      <c r="B87" s="55" t="s">
        <v>885</v>
      </c>
      <c r="C87" s="56" t="s">
        <v>166</v>
      </c>
      <c r="D87" s="650">
        <f>D26</f>
        <v>1.3994174760482763</v>
      </c>
      <c r="E87" s="650">
        <f t="shared" ref="E87:AH87" si="572">E26</f>
        <v>1.3847458059501703</v>
      </c>
      <c r="F87" s="650">
        <f t="shared" si="572"/>
        <v>1.3748866826323491</v>
      </c>
      <c r="G87" s="650">
        <f t="shared" si="572"/>
        <v>1.3688686969532948</v>
      </c>
      <c r="H87" s="650">
        <f t="shared" si="572"/>
        <v>1.3659788498602432</v>
      </c>
      <c r="I87" s="650">
        <f t="shared" si="572"/>
        <v>1.365682326868991</v>
      </c>
      <c r="J87" s="650">
        <f t="shared" si="572"/>
        <v>1.367570423648119</v>
      </c>
      <c r="K87" s="650">
        <f t="shared" si="572"/>
        <v>1.3713257353339061</v>
      </c>
      <c r="L87" s="650">
        <f t="shared" si="572"/>
        <v>1.3766982824654601</v>
      </c>
      <c r="M87" s="650">
        <f t="shared" si="572"/>
        <v>1.3834887647399816</v>
      </c>
      <c r="N87" s="650">
        <f t="shared" si="572"/>
        <v>1.3915365779158964</v>
      </c>
      <c r="O87" s="650">
        <f t="shared" si="572"/>
        <v>1.4025578271958115</v>
      </c>
      <c r="P87" s="650">
        <f t="shared" si="572"/>
        <v>1.4133992736179206</v>
      </c>
      <c r="Q87" s="650">
        <f t="shared" si="572"/>
        <v>1.424041824473014</v>
      </c>
      <c r="R87" s="650">
        <f t="shared" si="572"/>
        <v>1.4344654845372773</v>
      </c>
      <c r="S87" s="650">
        <f t="shared" si="572"/>
        <v>1.4446492938126829</v>
      </c>
      <c r="T87" s="650">
        <f t="shared" si="572"/>
        <v>1.4556688686939887</v>
      </c>
      <c r="U87" s="650">
        <f t="shared" si="572"/>
        <v>1.4664219153779039</v>
      </c>
      <c r="V87" s="650">
        <f t="shared" si="572"/>
        <v>1.4768851807920209</v>
      </c>
      <c r="W87" s="650">
        <f t="shared" si="572"/>
        <v>1.4870341072341591</v>
      </c>
      <c r="X87" s="650">
        <f t="shared" si="572"/>
        <v>1.4968427446892609</v>
      </c>
      <c r="Y87" s="650">
        <f t="shared" si="572"/>
        <v>1.4740410355137628</v>
      </c>
      <c r="Z87" s="650">
        <f t="shared" si="572"/>
        <v>1.4491598045749305</v>
      </c>
      <c r="AA87" s="650">
        <f t="shared" si="572"/>
        <v>1.4220819041328681</v>
      </c>
      <c r="AB87" s="650">
        <f t="shared" si="572"/>
        <v>1.3926827975065832</v>
      </c>
      <c r="AC87" s="650">
        <f t="shared" si="572"/>
        <v>1.3608299800808583</v>
      </c>
      <c r="AD87" s="650">
        <f t="shared" si="572"/>
        <v>1.3263823448600194</v>
      </c>
      <c r="AE87" s="650">
        <f t="shared" si="572"/>
        <v>1.2891894862601008</v>
      </c>
      <c r="AF87" s="650">
        <f t="shared" si="572"/>
        <v>1.2490909349973207</v>
      </c>
      <c r="AG87" s="650">
        <f t="shared" si="572"/>
        <v>1.2059153159711355</v>
      </c>
      <c r="AH87" s="650">
        <f t="shared" si="572"/>
        <v>1.1594794199329765</v>
      </c>
      <c r="AI87" s="650"/>
      <c r="AJ87" s="650">
        <f>AJ26</f>
        <v>1.3994174760482763</v>
      </c>
      <c r="AK87" s="650">
        <f t="shared" ref="AK87:BN87" si="573">AK26</f>
        <v>1.3885049188358183</v>
      </c>
      <c r="AL87" s="650">
        <f t="shared" si="573"/>
        <v>1.3823921295452226</v>
      </c>
      <c r="AM87" s="650">
        <f t="shared" si="573"/>
        <v>1.380139114157322</v>
      </c>
      <c r="AN87" s="650">
        <f t="shared" si="573"/>
        <v>1.381057111898766</v>
      </c>
      <c r="AO87" s="650">
        <f t="shared" si="573"/>
        <v>1.3846306428121888</v>
      </c>
      <c r="AP87" s="650">
        <f t="shared" si="573"/>
        <v>1.3904669106914214</v>
      </c>
      <c r="AQ87" s="650">
        <f t="shared" si="573"/>
        <v>1.3982619818500264</v>
      </c>
      <c r="AR87" s="650">
        <f t="shared" si="573"/>
        <v>1.4077775915177739</v>
      </c>
      <c r="AS87" s="650">
        <f t="shared" si="573"/>
        <v>1.4188248767677107</v>
      </c>
      <c r="AT87" s="650">
        <f t="shared" si="573"/>
        <v>1.4312527381735385</v>
      </c>
      <c r="AU87" s="650">
        <f t="shared" si="573"/>
        <v>1.455504460595008</v>
      </c>
      <c r="AV87" s="650">
        <f t="shared" si="573"/>
        <v>1.480232514226824</v>
      </c>
      <c r="AW87" s="650">
        <f t="shared" si="573"/>
        <v>1.5054473800730426</v>
      </c>
      <c r="AX87" s="650">
        <f t="shared" si="573"/>
        <v>1.5311600485199306</v>
      </c>
      <c r="AY87" s="650">
        <f t="shared" si="573"/>
        <v>1.5573820421737885</v>
      </c>
      <c r="AZ87" s="650">
        <f t="shared" si="573"/>
        <v>1.5853208084598529</v>
      </c>
      <c r="BA87" s="650">
        <f t="shared" si="573"/>
        <v>1.6138390596454162</v>
      </c>
      <c r="BB87" s="650">
        <f t="shared" si="573"/>
        <v>1.6429533576620696</v>
      </c>
      <c r="BC87" s="650">
        <f t="shared" si="573"/>
        <v>1.6726810796319254</v>
      </c>
      <c r="BD87" s="650">
        <f t="shared" si="573"/>
        <v>1.7030404697229855</v>
      </c>
      <c r="BE87" s="650">
        <f t="shared" si="573"/>
        <v>1.7176225903445363</v>
      </c>
      <c r="BF87" s="650">
        <f t="shared" si="573"/>
        <v>1.7320603003512378</v>
      </c>
      <c r="BG87" s="650">
        <f t="shared" si="573"/>
        <v>1.7463364559488366</v>
      </c>
      <c r="BH87" s="650">
        <f t="shared" si="573"/>
        <v>1.7604327782662677</v>
      </c>
      <c r="BI87" s="650">
        <f t="shared" si="573"/>
        <v>1.7743297650250418</v>
      </c>
      <c r="BJ87" s="650">
        <f t="shared" si="573"/>
        <v>1.7880065937834859</v>
      </c>
      <c r="BK87" s="650">
        <f t="shared" si="573"/>
        <v>1.8014410157970469</v>
      </c>
      <c r="BL87" s="650">
        <f t="shared" si="573"/>
        <v>1.8146092394092177</v>
      </c>
      <c r="BM87" s="650">
        <f t="shared" si="573"/>
        <v>1.8274858017417981</v>
      </c>
      <c r="BN87" s="650">
        <f t="shared" si="573"/>
        <v>1.8400434272849411</v>
      </c>
    </row>
    <row r="88" spans="1:66">
      <c r="A88" s="685"/>
      <c r="B88" s="1" t="s">
        <v>1182</v>
      </c>
      <c r="C88" s="51" t="s">
        <v>166</v>
      </c>
      <c r="D88" s="24">
        <f t="shared" ref="D88" si="574">D27</f>
        <v>0</v>
      </c>
      <c r="E88" s="24">
        <v>0</v>
      </c>
      <c r="F88" s="24">
        <v>0</v>
      </c>
      <c r="G88" s="24">
        <v>0</v>
      </c>
      <c r="H88" s="24">
        <v>0</v>
      </c>
      <c r="I88" s="24">
        <v>0</v>
      </c>
      <c r="J88" s="24">
        <v>0</v>
      </c>
      <c r="K88" s="24">
        <v>0</v>
      </c>
      <c r="L88" s="24">
        <v>0</v>
      </c>
      <c r="M88" s="24">
        <v>0</v>
      </c>
      <c r="N88" s="24">
        <v>0</v>
      </c>
      <c r="O88" s="24">
        <v>0</v>
      </c>
      <c r="P88" s="24">
        <v>0</v>
      </c>
      <c r="Q88" s="24">
        <v>0</v>
      </c>
      <c r="R88" s="24">
        <v>0</v>
      </c>
      <c r="S88" s="24">
        <v>0</v>
      </c>
      <c r="T88" s="24">
        <v>0</v>
      </c>
      <c r="U88" s="24">
        <v>0</v>
      </c>
      <c r="V88" s="24">
        <v>0</v>
      </c>
      <c r="W88" s="24">
        <v>0</v>
      </c>
      <c r="X88" s="24">
        <v>0</v>
      </c>
      <c r="Y88" s="24">
        <v>0</v>
      </c>
      <c r="Z88" s="24">
        <v>0</v>
      </c>
      <c r="AA88" s="24">
        <v>0</v>
      </c>
      <c r="AB88" s="24">
        <v>0</v>
      </c>
      <c r="AC88" s="24">
        <v>0</v>
      </c>
      <c r="AD88" s="24">
        <v>0</v>
      </c>
      <c r="AE88" s="24">
        <v>0</v>
      </c>
      <c r="AF88" s="24">
        <v>0</v>
      </c>
      <c r="AG88" s="24">
        <v>0</v>
      </c>
      <c r="AH88" s="24">
        <v>0</v>
      </c>
      <c r="AI88" s="24"/>
      <c r="AJ88" s="24">
        <f t="shared" ref="AJ88" si="575">AJ27</f>
        <v>0</v>
      </c>
      <c r="AK88" s="24">
        <v>0</v>
      </c>
      <c r="AL88" s="24">
        <v>0</v>
      </c>
      <c r="AM88" s="24">
        <v>0</v>
      </c>
      <c r="AN88" s="24">
        <v>0</v>
      </c>
      <c r="AO88" s="24">
        <v>0</v>
      </c>
      <c r="AP88" s="24">
        <v>0</v>
      </c>
      <c r="AQ88" s="24">
        <v>0</v>
      </c>
      <c r="AR88" s="24">
        <v>0</v>
      </c>
      <c r="AS88" s="24">
        <v>0</v>
      </c>
      <c r="AT88" s="24">
        <v>0</v>
      </c>
      <c r="AU88" s="24">
        <v>0</v>
      </c>
      <c r="AV88" s="24">
        <v>0</v>
      </c>
      <c r="AW88" s="24">
        <v>0</v>
      </c>
      <c r="AX88" s="24">
        <v>0</v>
      </c>
      <c r="AY88" s="24">
        <v>0</v>
      </c>
      <c r="AZ88" s="24">
        <v>0</v>
      </c>
      <c r="BA88" s="24">
        <v>0</v>
      </c>
      <c r="BB88" s="24">
        <v>0</v>
      </c>
      <c r="BC88" s="24">
        <v>0</v>
      </c>
      <c r="BD88" s="24">
        <v>0</v>
      </c>
      <c r="BE88" s="24">
        <v>0</v>
      </c>
      <c r="BF88" s="24">
        <v>0</v>
      </c>
      <c r="BG88" s="24">
        <v>0</v>
      </c>
      <c r="BH88" s="24">
        <v>0</v>
      </c>
      <c r="BI88" s="24">
        <v>0</v>
      </c>
      <c r="BJ88" s="24">
        <v>0</v>
      </c>
      <c r="BK88" s="24">
        <v>0</v>
      </c>
      <c r="BL88" s="24">
        <v>0</v>
      </c>
      <c r="BM88" s="24">
        <v>0</v>
      </c>
      <c r="BN88" s="24">
        <v>0</v>
      </c>
    </row>
    <row r="89" spans="1:66" s="63" customFormat="1">
      <c r="A89" s="686"/>
      <c r="B89" s="59" t="s">
        <v>27</v>
      </c>
      <c r="C89" s="262" t="s">
        <v>166</v>
      </c>
      <c r="D89" s="652">
        <f>D28-(D84-D86)</f>
        <v>6.9462329975613422</v>
      </c>
      <c r="E89" s="652">
        <f t="shared" ref="E89:AH89" si="576">E28-(E84-E86)</f>
        <v>0.49117890469567183</v>
      </c>
      <c r="F89" s="652">
        <f t="shared" si="576"/>
        <v>-7.8872650094976535</v>
      </c>
      <c r="G89" s="652">
        <f t="shared" si="576"/>
        <v>-18.319802309601101</v>
      </c>
      <c r="H89" s="652">
        <f t="shared" si="576"/>
        <v>-30.937395165458991</v>
      </c>
      <c r="I89" s="652">
        <f t="shared" si="576"/>
        <v>-45.871184136057231</v>
      </c>
      <c r="J89" s="652">
        <f t="shared" si="576"/>
        <v>-63.252436104786156</v>
      </c>
      <c r="K89" s="652">
        <f t="shared" si="576"/>
        <v>-83.212509478719852</v>
      </c>
      <c r="L89" s="652">
        <f t="shared" si="576"/>
        <v>-105.88283032480865</v>
      </c>
      <c r="M89" s="652">
        <f t="shared" si="576"/>
        <v>-131.39487563419235</v>
      </c>
      <c r="N89" s="652">
        <f t="shared" si="576"/>
        <v>-159.88016134996849</v>
      </c>
      <c r="O89" s="652">
        <f t="shared" si="576"/>
        <v>-207.02885258918951</v>
      </c>
      <c r="P89" s="652">
        <f t="shared" si="576"/>
        <v>-260.32162224647192</v>
      </c>
      <c r="Q89" s="652">
        <f t="shared" si="576"/>
        <v>-318.88318215772279</v>
      </c>
      <c r="R89" s="652">
        <f t="shared" si="576"/>
        <v>-383.68221268773203</v>
      </c>
      <c r="S89" s="652">
        <f t="shared" si="576"/>
        <v>-454.92026955096031</v>
      </c>
      <c r="T89" s="652">
        <f t="shared" si="576"/>
        <v>-532.79528331753079</v>
      </c>
      <c r="U89" s="652">
        <f t="shared" si="576"/>
        <v>-617.49822510056106</v>
      </c>
      <c r="V89" s="652">
        <f t="shared" si="576"/>
        <v>-709.21630368400827</v>
      </c>
      <c r="W89" s="652">
        <f t="shared" si="576"/>
        <v>-808.13182535728561</v>
      </c>
      <c r="X89" s="652">
        <f t="shared" si="576"/>
        <v>-914.42213401068739</v>
      </c>
      <c r="Y89" s="652">
        <f t="shared" si="576"/>
        <v>-1068.3813264414637</v>
      </c>
      <c r="Z89" s="652">
        <f t="shared" si="576"/>
        <v>-1234.5559857206244</v>
      </c>
      <c r="AA89" s="652">
        <f t="shared" si="576"/>
        <v>-1400.9554613547386</v>
      </c>
      <c r="AB89" s="652">
        <f t="shared" si="576"/>
        <v>-1576.5067315887472</v>
      </c>
      <c r="AC89" s="652">
        <f t="shared" si="576"/>
        <v>-1761.0067461440717</v>
      </c>
      <c r="AD89" s="652">
        <f t="shared" si="576"/>
        <v>-1954.2150995866323</v>
      </c>
      <c r="AE89" s="652">
        <f t="shared" si="576"/>
        <v>-2155.8532786064811</v>
      </c>
      <c r="AF89" s="652">
        <f t="shared" si="576"/>
        <v>-2365.6039092347846</v>
      </c>
      <c r="AG89" s="652">
        <f t="shared" si="576"/>
        <v>-2583.1100039901871</v>
      </c>
      <c r="AH89" s="652">
        <f t="shared" si="576"/>
        <v>-2807.9742089455021</v>
      </c>
      <c r="AI89" s="652"/>
      <c r="AJ89" s="652">
        <f>AJ28-(AJ84-AJ86)</f>
        <v>6.9462329975613422</v>
      </c>
      <c r="AK89" s="652">
        <f t="shared" ref="AK89:BN89" si="577">AK28-(AK84-AK86)</f>
        <v>0.51038194608877951</v>
      </c>
      <c r="AL89" s="652">
        <f t="shared" si="577"/>
        <v>-7.8479722110111263</v>
      </c>
      <c r="AM89" s="652">
        <f t="shared" si="577"/>
        <v>-18.259539790852013</v>
      </c>
      <c r="AN89" s="652">
        <f t="shared" si="577"/>
        <v>-30.855281926064468</v>
      </c>
      <c r="AO89" s="652">
        <f t="shared" si="577"/>
        <v>-45.766332607596929</v>
      </c>
      <c r="AP89" s="652">
        <f t="shared" si="577"/>
        <v>-63.123948082847917</v>
      </c>
      <c r="AQ89" s="652">
        <f t="shared" si="577"/>
        <v>-83.059473029598337</v>
      </c>
      <c r="AR89" s="652">
        <f t="shared" si="577"/>
        <v>-105.70431735753874</v>
      </c>
      <c r="AS89" s="652">
        <f t="shared" si="577"/>
        <v>-131.18993993629505</v>
      </c>
      <c r="AT89" s="652">
        <f t="shared" si="577"/>
        <v>-159.64783695215189</v>
      </c>
      <c r="AU89" s="652">
        <f t="shared" si="577"/>
        <v>-206.72037133790667</v>
      </c>
      <c r="AV89" s="652">
        <f t="shared" si="577"/>
        <v>-259.93385217182885</v>
      </c>
      <c r="AW89" s="652">
        <f t="shared" si="577"/>
        <v>-318.41290383251362</v>
      </c>
      <c r="AX89" s="652">
        <f t="shared" si="577"/>
        <v>-383.12611751587968</v>
      </c>
      <c r="AY89" s="652">
        <f t="shared" si="577"/>
        <v>-454.2749580646136</v>
      </c>
      <c r="AZ89" s="652">
        <f t="shared" si="577"/>
        <v>-532.05736124738598</v>
      </c>
      <c r="BA89" s="652">
        <f t="shared" si="577"/>
        <v>-616.66413319278672</v>
      </c>
      <c r="BB89" s="652">
        <f t="shared" si="577"/>
        <v>-708.28238906920751</v>
      </c>
      <c r="BC89" s="652">
        <f t="shared" si="577"/>
        <v>-807.09434014660383</v>
      </c>
      <c r="BD89" s="652">
        <f t="shared" si="577"/>
        <v>-913.27723394579061</v>
      </c>
      <c r="BE89" s="652">
        <f t="shared" si="577"/>
        <v>-1067.0403011749031</v>
      </c>
      <c r="BF89" s="652">
        <f t="shared" si="577"/>
        <v>-1233.012046119045</v>
      </c>
      <c r="BG89" s="652">
        <f t="shared" si="577"/>
        <v>-1399.2016691666479</v>
      </c>
      <c r="BH89" s="652">
        <f t="shared" si="577"/>
        <v>-1574.5359994098442</v>
      </c>
      <c r="BI89" s="652">
        <f t="shared" si="577"/>
        <v>-1758.8118377256476</v>
      </c>
      <c r="BJ89" s="652">
        <f t="shared" si="577"/>
        <v>-1951.7886305307768</v>
      </c>
      <c r="BK89" s="652">
        <f t="shared" si="577"/>
        <v>-2153.1877174970973</v>
      </c>
      <c r="BL89" s="652">
        <f t="shared" si="577"/>
        <v>-2362.6915792594068</v>
      </c>
      <c r="BM89" s="652">
        <f t="shared" si="577"/>
        <v>-2579.9430851143893</v>
      </c>
      <c r="BN89" s="652">
        <f t="shared" si="577"/>
        <v>-2804.544740709418</v>
      </c>
    </row>
    <row r="90" spans="1:66">
      <c r="A90" s="55" t="s">
        <v>532</v>
      </c>
      <c r="B90" s="55" t="s">
        <v>195</v>
      </c>
      <c r="C90" s="51" t="s">
        <v>166</v>
      </c>
      <c r="D90" s="25">
        <f t="shared" ref="D90:AH90" si="578">D52</f>
        <v>5.8554420207598117E-7</v>
      </c>
      <c r="E90" s="25">
        <f t="shared" si="578"/>
        <v>5.7936735484270182E-7</v>
      </c>
      <c r="F90" s="25">
        <f t="shared" si="578"/>
        <v>5.7267285503250927E-7</v>
      </c>
      <c r="G90" s="25">
        <f t="shared" si="578"/>
        <v>5.6544168522680274E-7</v>
      </c>
      <c r="H90" s="25">
        <f t="shared" si="578"/>
        <v>5.5765425756018752E-7</v>
      </c>
      <c r="I90" s="25">
        <f t="shared" si="578"/>
        <v>5.4929039814838935E-7</v>
      </c>
      <c r="J90" s="25">
        <f t="shared" si="578"/>
        <v>5.4032933111371166E-7</v>
      </c>
      <c r="K90" s="25">
        <f t="shared" si="578"/>
        <v>5.3074966219799395E-7</v>
      </c>
      <c r="L90" s="25">
        <f t="shared" si="578"/>
        <v>5.2052936195279499E-7</v>
      </c>
      <c r="M90" s="25">
        <f t="shared" si="578"/>
        <v>5.0964574849626834E-7</v>
      </c>
      <c r="N90" s="25">
        <f t="shared" si="578"/>
        <v>4.9807546982594648E-7</v>
      </c>
      <c r="O90" s="25">
        <f t="shared" si="578"/>
        <v>4.9249154645453173E-7</v>
      </c>
      <c r="P90" s="25">
        <f t="shared" si="578"/>
        <v>4.8645344701932413E-7</v>
      </c>
      <c r="Q90" s="25">
        <f t="shared" si="578"/>
        <v>4.7994455863585145E-7</v>
      </c>
      <c r="R90" s="25">
        <f t="shared" si="578"/>
        <v>4.7294777097013745E-7</v>
      </c>
      <c r="S90" s="25">
        <f t="shared" si="578"/>
        <v>4.6544546267210495E-7</v>
      </c>
      <c r="T90" s="25">
        <f t="shared" si="578"/>
        <v>4.5741948745855724E-7</v>
      </c>
      <c r="U90" s="25">
        <f t="shared" si="578"/>
        <v>4.4885115983700219E-7</v>
      </c>
      <c r="V90" s="25">
        <f t="shared" si="578"/>
        <v>4.3972124046137262E-7</v>
      </c>
      <c r="W90" s="25">
        <f t="shared" si="578"/>
        <v>4.3000992111047856E-7</v>
      </c>
      <c r="X90" s="25">
        <f t="shared" si="578"/>
        <v>4.1969680927980341E-7</v>
      </c>
      <c r="Y90" s="25">
        <f t="shared" si="578"/>
        <v>4.046841745541209E-7</v>
      </c>
      <c r="Z90" s="25">
        <f t="shared" si="578"/>
        <v>3.8885592287706744E-7</v>
      </c>
      <c r="AA90" s="25">
        <f t="shared" si="578"/>
        <v>3.7218441890859935E-7</v>
      </c>
      <c r="AB90" s="25">
        <f t="shared" si="578"/>
        <v>3.5464122631146678E-7</v>
      </c>
      <c r="AC90" s="25">
        <f t="shared" si="578"/>
        <v>3.3619708629651603E-7</v>
      </c>
      <c r="AD90" s="25">
        <f t="shared" si="578"/>
        <v>3.1682189562013388E-7</v>
      </c>
      <c r="AE90" s="25">
        <f t="shared" si="578"/>
        <v>2.9648468402028698E-7</v>
      </c>
      <c r="AF90" s="25">
        <f t="shared" si="578"/>
        <v>2.7515359107727813E-7</v>
      </c>
      <c r="AG90" s="25">
        <f t="shared" si="578"/>
        <v>2.5279584248500979E-7</v>
      </c>
      <c r="AH90" s="25">
        <f t="shared" si="578"/>
        <v>2.2937772571820121E-7</v>
      </c>
      <c r="AI90" s="24"/>
      <c r="AJ90" s="25">
        <f t="shared" ref="AJ90:BN90" si="579">AJ52</f>
        <v>5.8554420207598117E-7</v>
      </c>
      <c r="AK90" s="25">
        <f t="shared" si="579"/>
        <v>5.8860399258113929E-7</v>
      </c>
      <c r="AL90" s="25">
        <f t="shared" si="579"/>
        <v>5.9153406929439847E-7</v>
      </c>
      <c r="AM90" s="25">
        <f t="shared" si="579"/>
        <v>5.9432763486888634E-7</v>
      </c>
      <c r="AN90" s="25">
        <f t="shared" si="579"/>
        <v>5.9697766367294378E-7</v>
      </c>
      <c r="AO90" s="25">
        <f t="shared" si="579"/>
        <v>5.9947689519979451E-7</v>
      </c>
      <c r="AP90" s="25">
        <f t="shared" si="579"/>
        <v>6.0181782730109319E-7</v>
      </c>
      <c r="AQ90" s="25">
        <f t="shared" si="579"/>
        <v>6.039927092398633E-7</v>
      </c>
      <c r="AR90" s="25">
        <f t="shared" si="579"/>
        <v>6.0599353455822208E-7</v>
      </c>
      <c r="AS90" s="25">
        <f t="shared" si="579"/>
        <v>6.0781203375517705E-7</v>
      </c>
      <c r="AT90" s="25">
        <f t="shared" si="579"/>
        <v>6.0943966676966394E-7</v>
      </c>
      <c r="AU90" s="25">
        <f t="shared" si="579"/>
        <v>6.1421614565294699E-7</v>
      </c>
      <c r="AV90" s="25">
        <f t="shared" si="579"/>
        <v>6.1892447375628254E-7</v>
      </c>
      <c r="AW90" s="25">
        <f t="shared" si="579"/>
        <v>6.2355968231972531E-7</v>
      </c>
      <c r="AX90" s="25">
        <f t="shared" si="579"/>
        <v>6.2811662394990597E-7</v>
      </c>
      <c r="AY90" s="25">
        <f t="shared" si="579"/>
        <v>6.325899673086512E-7</v>
      </c>
      <c r="AZ90" s="25">
        <f t="shared" si="579"/>
        <v>6.3697419165730199E-7</v>
      </c>
      <c r="BA90" s="25">
        <f t="shared" si="579"/>
        <v>6.412635812530129E-7</v>
      </c>
      <c r="BB90" s="25">
        <f t="shared" si="579"/>
        <v>6.454522195932227E-7</v>
      </c>
      <c r="BC90" s="25">
        <f t="shared" si="579"/>
        <v>6.4953398350438897E-7</v>
      </c>
      <c r="BD90" s="25">
        <f t="shared" si="579"/>
        <v>6.5350253707098354E-7</v>
      </c>
      <c r="BE90" s="25">
        <f t="shared" si="579"/>
        <v>6.5531295648919497E-7</v>
      </c>
      <c r="BF90" s="25">
        <f t="shared" si="579"/>
        <v>6.5691121890412312E-7</v>
      </c>
      <c r="BG90" s="25">
        <f t="shared" si="579"/>
        <v>6.5828761532666628E-7</v>
      </c>
      <c r="BH90" s="25">
        <f t="shared" si="579"/>
        <v>6.5943212255141966E-7</v>
      </c>
      <c r="BI90" s="25">
        <f t="shared" si="579"/>
        <v>6.6033439424125371E-7</v>
      </c>
      <c r="BJ90" s="25">
        <f t="shared" si="579"/>
        <v>6.6098375177601541E-7</v>
      </c>
      <c r="BK90" s="25">
        <f t="shared" si="579"/>
        <v>6.6136917485937688E-7</v>
      </c>
      <c r="BL90" s="25">
        <f t="shared" si="579"/>
        <v>6.6147929187770622E-7</v>
      </c>
      <c r="BM90" s="25">
        <f t="shared" si="579"/>
        <v>6.613023700046925E-7</v>
      </c>
      <c r="BN90" s="25">
        <f t="shared" si="579"/>
        <v>6.6082630504529393E-7</v>
      </c>
    </row>
    <row r="91" spans="1:66">
      <c r="A91"/>
      <c r="B91" t="s">
        <v>262</v>
      </c>
      <c r="C91" s="51" t="s">
        <v>166</v>
      </c>
      <c r="D91" s="24">
        <f>'Methanol Recycling HC'!C192</f>
        <v>0</v>
      </c>
      <c r="E91" s="24">
        <f>'Methanol Recycling HC'!D192</f>
        <v>-7.3352743119586172E-2</v>
      </c>
      <c r="F91" s="24">
        <f>'Methanol Recycling HC'!E192</f>
        <v>-5.4920798713417165E-2</v>
      </c>
      <c r="G91" s="24">
        <f>'Methanol Recycling HC'!F192</f>
        <v>-3.4561270602690167E-2</v>
      </c>
      <c r="H91" s="24">
        <f>'Methanol Recycling HC'!G192</f>
        <v>-1.219000623018035E-2</v>
      </c>
      <c r="I91" s="24">
        <f>'Methanol Recycling HC'!H192</f>
        <v>1.2277146961337138E-2</v>
      </c>
      <c r="J91" s="24">
        <f>'Methanol Recycling HC'!I192</f>
        <v>3.2917469082039547E-2</v>
      </c>
      <c r="K91" s="24">
        <f>'Methanol Recycling HC'!J192</f>
        <v>5.4035261326824818E-2</v>
      </c>
      <c r="L91" s="24">
        <f>'Methanol Recycling HC'!K192</f>
        <v>7.5496984533231282E-2</v>
      </c>
      <c r="M91" s="24">
        <f>'Methanol Recycling HC'!L192</f>
        <v>9.7158698282724804E-2</v>
      </c>
      <c r="N91" s="24">
        <f>'Methanol Recycling HC'!M192</f>
        <v>0.11886606090069798</v>
      </c>
      <c r="O91" s="24">
        <f>'Methanol Recycling HC'!N192</f>
        <v>0.15000841699156156</v>
      </c>
      <c r="P91" s="24">
        <f>'Methanol Recycling HC'!O192</f>
        <v>0.18165139938574185</v>
      </c>
      <c r="Q91" s="24">
        <f>'Methanol Recycling HC'!P192</f>
        <v>0.21349987840720727</v>
      </c>
      <c r="R91" s="24">
        <f>'Methanol Recycling HC'!Q192</f>
        <v>0.24523680173251058</v>
      </c>
      <c r="S91" s="24">
        <f>'Methanol Recycling HC'!R192</f>
        <v>0.2765231943907891</v>
      </c>
      <c r="T91" s="24">
        <f>'Methanol Recycling HC'!S192</f>
        <v>0.31337368664231757</v>
      </c>
      <c r="U91" s="24">
        <f>'Methanol Recycling HC'!T192</f>
        <v>0.35050309730225027</v>
      </c>
      <c r="V91" s="24">
        <f>'Methanol Recycling HC'!U192</f>
        <v>0.38766197362991039</v>
      </c>
      <c r="W91" s="24">
        <f>'Methanol Recycling HC'!V192</f>
        <v>0.42458539642139681</v>
      </c>
      <c r="X91" s="24">
        <f>'Methanol Recycling HC'!W192</f>
        <v>0.46099298000958278</v>
      </c>
      <c r="Y91" s="24">
        <f>'Methanol Recycling HC'!X192</f>
        <v>0.51296557746167282</v>
      </c>
      <c r="Z91" s="24">
        <f>'Methanol Recycling HC'!Y192</f>
        <v>0.5643064578657554</v>
      </c>
      <c r="AA91" s="24">
        <f>'Methanol Recycling HC'!Z192</f>
        <v>0.6145360154167484</v>
      </c>
      <c r="AB91" s="24">
        <f>'Methanol Recycling HC'!AA192</f>
        <v>0.66314876606423656</v>
      </c>
      <c r="AC91" s="24">
        <f>'Methanol Recycling HC'!AB192</f>
        <v>0.70961334751247285</v>
      </c>
      <c r="AD91" s="24">
        <f>'Methanol Recycling HC'!AC192</f>
        <v>0.74430823719648342</v>
      </c>
      <c r="AE91" s="24">
        <f>'Methanol Recycling HC'!AD192</f>
        <v>0.77394599452311974</v>
      </c>
      <c r="AF91" s="24">
        <f>'Methanol Recycling HC'!AE192</f>
        <v>0.79776293625974504</v>
      </c>
      <c r="AG91" s="24">
        <f>'Methanol Recycling HC'!AF192</f>
        <v>0.81496415908875552</v>
      </c>
      <c r="AH91" s="24">
        <f>'Methanol Recycling HC'!AG192</f>
        <v>0.82472353960758349</v>
      </c>
      <c r="AI91" s="24"/>
      <c r="AJ91" s="24">
        <f>D91</f>
        <v>0</v>
      </c>
      <c r="AK91" s="24">
        <f>E91</f>
        <v>-7.3352743119586172E-2</v>
      </c>
      <c r="AL91" s="24">
        <f>F91</f>
        <v>-5.4920798713417165E-2</v>
      </c>
      <c r="AM91" s="24">
        <f t="shared" ref="AK91:BN92" si="580">G91</f>
        <v>-3.4561270602690167E-2</v>
      </c>
      <c r="AN91" s="24">
        <f t="shared" si="580"/>
        <v>-1.219000623018035E-2</v>
      </c>
      <c r="AO91" s="24">
        <f t="shared" si="580"/>
        <v>1.2277146961337138E-2</v>
      </c>
      <c r="AP91" s="24">
        <f t="shared" si="580"/>
        <v>3.2917469082039547E-2</v>
      </c>
      <c r="AQ91" s="24">
        <f t="shared" si="580"/>
        <v>5.4035261326824818E-2</v>
      </c>
      <c r="AR91" s="24">
        <f t="shared" si="580"/>
        <v>7.5496984533231282E-2</v>
      </c>
      <c r="AS91" s="24">
        <f t="shared" si="580"/>
        <v>9.7158698282724804E-2</v>
      </c>
      <c r="AT91" s="24">
        <f t="shared" si="580"/>
        <v>0.11886606090069798</v>
      </c>
      <c r="AU91" s="24">
        <f t="shared" si="580"/>
        <v>0.15000841699156156</v>
      </c>
      <c r="AV91" s="24">
        <f t="shared" si="580"/>
        <v>0.18165139938574185</v>
      </c>
      <c r="AW91" s="24">
        <f t="shared" si="580"/>
        <v>0.21349987840720727</v>
      </c>
      <c r="AX91" s="24">
        <f t="shared" si="580"/>
        <v>0.24523680173251058</v>
      </c>
      <c r="AY91" s="24">
        <f t="shared" si="580"/>
        <v>0.2765231943907891</v>
      </c>
      <c r="AZ91" s="24">
        <f t="shared" si="580"/>
        <v>0.31337368664231757</v>
      </c>
      <c r="BA91" s="24">
        <f t="shared" si="580"/>
        <v>0.35050309730225027</v>
      </c>
      <c r="BB91" s="24">
        <f t="shared" si="580"/>
        <v>0.38766197362991039</v>
      </c>
      <c r="BC91" s="24">
        <f t="shared" si="580"/>
        <v>0.42458539642139681</v>
      </c>
      <c r="BD91" s="24">
        <f t="shared" si="580"/>
        <v>0.46099298000958278</v>
      </c>
      <c r="BE91" s="24">
        <f t="shared" si="580"/>
        <v>0.51296557746167282</v>
      </c>
      <c r="BF91" s="24">
        <f t="shared" si="580"/>
        <v>0.5643064578657554</v>
      </c>
      <c r="BG91" s="24">
        <f t="shared" si="580"/>
        <v>0.6145360154167484</v>
      </c>
      <c r="BH91" s="24">
        <f t="shared" si="580"/>
        <v>0.66314876606423656</v>
      </c>
      <c r="BI91" s="24">
        <f t="shared" si="580"/>
        <v>0.70961334751247285</v>
      </c>
      <c r="BJ91" s="24">
        <f t="shared" si="580"/>
        <v>0.74430823719648342</v>
      </c>
      <c r="BK91" s="24">
        <f t="shared" si="580"/>
        <v>0.77394599452311974</v>
      </c>
      <c r="BL91" s="24">
        <f t="shared" si="580"/>
        <v>0.79776293625974504</v>
      </c>
      <c r="BM91" s="24">
        <f t="shared" si="580"/>
        <v>0.81496415908875552</v>
      </c>
      <c r="BN91" s="24">
        <f t="shared" si="580"/>
        <v>0.82472353960758349</v>
      </c>
    </row>
    <row r="92" spans="1:66">
      <c r="A92"/>
      <c r="B92" t="s">
        <v>264</v>
      </c>
      <c r="C92" s="51" t="s">
        <v>166</v>
      </c>
      <c r="D92" s="24">
        <f>'Methanol Recycling HC'!C81</f>
        <v>0</v>
      </c>
      <c r="E92" s="24">
        <f>'Methanol Recycling HC'!D81</f>
        <v>3.2161310661201004</v>
      </c>
      <c r="F92" s="24">
        <f>'Methanol Recycling HC'!E81</f>
        <v>6.5086744544781574</v>
      </c>
      <c r="G92" s="24">
        <f>'Methanol Recycling HC'!F81</f>
        <v>9.8647566497001336</v>
      </c>
      <c r="H92" s="24">
        <f>'Methanol Recycling HC'!G81</f>
        <v>13.271594403347065</v>
      </c>
      <c r="I92" s="24">
        <f>'Methanol Recycling HC'!H81</f>
        <v>16.716494733915027</v>
      </c>
      <c r="J92" s="24">
        <f>'Methanol Recycling HC'!I81</f>
        <v>20.186854926835203</v>
      </c>
      <c r="K92" s="24">
        <f>'Methanol Recycling HC'!J81</f>
        <v>23.670162534473793</v>
      </c>
      <c r="L92" s="24">
        <f>'Methanol Recycling HC'!K81</f>
        <v>27.153995376132094</v>
      </c>
      <c r="M92" s="24">
        <f>'Methanol Recycling HC'!L81</f>
        <v>30.626021538046466</v>
      </c>
      <c r="N92" s="24">
        <f>'Methanol Recycling HC'!M81</f>
        <v>34.073999373388311</v>
      </c>
      <c r="O92" s="24">
        <f>'Methanol Recycling HC'!N81</f>
        <v>38.61999164620056</v>
      </c>
      <c r="P92" s="24">
        <f>'Methanol Recycling HC'!O81</f>
        <v>43.248957640571433</v>
      </c>
      <c r="Q92" s="24">
        <f>'Methanol Recycling HC'!P81</f>
        <v>47.931488926517474</v>
      </c>
      <c r="R92" s="24">
        <f>'Methanol Recycling HC'!Q81</f>
        <v>52.638658165417546</v>
      </c>
      <c r="S92" s="24">
        <f>'Methanol Recycling HC'!R81</f>
        <v>57.342019110012934</v>
      </c>
      <c r="T92" s="24">
        <f>'Methanol Recycling HC'!S81</f>
        <v>62.013606604407208</v>
      </c>
      <c r="U92" s="24">
        <f>'Methanol Recycling HC'!T81</f>
        <v>66.625936584066352</v>
      </c>
      <c r="V92" s="24">
        <f>'Methanol Recycling HC'!U81</f>
        <v>71.152006075818733</v>
      </c>
      <c r="W92" s="24">
        <f>'Methanol Recycling HC'!V81</f>
        <v>75.565293197855027</v>
      </c>
      <c r="X92" s="24">
        <f>'Methanol Recycling HC'!W81</f>
        <v>79.839757159728322</v>
      </c>
      <c r="Y92" s="24">
        <f>'Methanol Recycling HC'!X81</f>
        <v>85.739892607732273</v>
      </c>
      <c r="Z92" s="24">
        <f>'Methanol Recycling HC'!Y81</f>
        <v>91.48772358456921</v>
      </c>
      <c r="AA92" s="24">
        <f>'Methanol Recycling HC'!Z81</f>
        <v>97.042134078456783</v>
      </c>
      <c r="AB92" s="24">
        <f>'Methanol Recycling HC'!AA81</f>
        <v>102.36277609761468</v>
      </c>
      <c r="AC92" s="24">
        <f>'Methanol Recycling HC'!AB81</f>
        <v>107.41006967026448</v>
      </c>
      <c r="AD92" s="24">
        <f>'Methanol Recycling HC'!AC81</f>
        <v>112.14520284462968</v>
      </c>
      <c r="AE92" s="24">
        <f>'Methanol Recycling HC'!AD81</f>
        <v>116.53013168893578</v>
      </c>
      <c r="AF92" s="24">
        <f>'Methanol Recycling HC'!AE81</f>
        <v>120.52758029141009</v>
      </c>
      <c r="AG92" s="24">
        <f>'Methanol Recycling HC'!AF81</f>
        <v>124.101040760282</v>
      </c>
      <c r="AH92" s="24">
        <f>'Methanol Recycling HC'!AG81</f>
        <v>127.21477322378261</v>
      </c>
      <c r="AI92" s="24"/>
      <c r="AJ92" s="24">
        <f>D92</f>
        <v>0</v>
      </c>
      <c r="AK92" s="24">
        <f t="shared" si="580"/>
        <v>3.2161310661201004</v>
      </c>
      <c r="AL92" s="24">
        <f t="shared" si="580"/>
        <v>6.5086744544781574</v>
      </c>
      <c r="AM92" s="24">
        <f t="shared" si="580"/>
        <v>9.8647566497001336</v>
      </c>
      <c r="AN92" s="24">
        <f t="shared" si="580"/>
        <v>13.271594403347065</v>
      </c>
      <c r="AO92" s="24">
        <f t="shared" si="580"/>
        <v>16.716494733915027</v>
      </c>
      <c r="AP92" s="24">
        <f t="shared" si="580"/>
        <v>20.186854926835203</v>
      </c>
      <c r="AQ92" s="24">
        <f t="shared" si="580"/>
        <v>23.670162534473793</v>
      </c>
      <c r="AR92" s="24">
        <f t="shared" si="580"/>
        <v>27.153995376132094</v>
      </c>
      <c r="AS92" s="24">
        <f t="shared" si="580"/>
        <v>30.626021538046466</v>
      </c>
      <c r="AT92" s="24">
        <f t="shared" si="580"/>
        <v>34.073999373388311</v>
      </c>
      <c r="AU92" s="24">
        <f t="shared" si="580"/>
        <v>38.61999164620056</v>
      </c>
      <c r="AV92" s="24">
        <f t="shared" si="580"/>
        <v>43.248957640571433</v>
      </c>
      <c r="AW92" s="24">
        <f t="shared" si="580"/>
        <v>47.931488926517474</v>
      </c>
      <c r="AX92" s="24">
        <f t="shared" si="580"/>
        <v>52.638658165417546</v>
      </c>
      <c r="AY92" s="24">
        <f t="shared" si="580"/>
        <v>57.342019110012934</v>
      </c>
      <c r="AZ92" s="24">
        <f t="shared" si="580"/>
        <v>62.013606604407208</v>
      </c>
      <c r="BA92" s="24">
        <f t="shared" si="580"/>
        <v>66.625936584066352</v>
      </c>
      <c r="BB92" s="24">
        <f t="shared" si="580"/>
        <v>71.152006075818733</v>
      </c>
      <c r="BC92" s="24">
        <f t="shared" si="580"/>
        <v>75.565293197855027</v>
      </c>
      <c r="BD92" s="24">
        <f t="shared" si="580"/>
        <v>79.839757159728322</v>
      </c>
      <c r="BE92" s="24">
        <f t="shared" si="580"/>
        <v>85.739892607732273</v>
      </c>
      <c r="BF92" s="24">
        <f t="shared" si="580"/>
        <v>91.48772358456921</v>
      </c>
      <c r="BG92" s="24">
        <f t="shared" si="580"/>
        <v>97.042134078456783</v>
      </c>
      <c r="BH92" s="24">
        <f t="shared" si="580"/>
        <v>102.36277609761468</v>
      </c>
      <c r="BI92" s="24">
        <f t="shared" si="580"/>
        <v>107.41006967026448</v>
      </c>
      <c r="BJ92" s="24">
        <f t="shared" si="580"/>
        <v>112.14520284462968</v>
      </c>
      <c r="BK92" s="24">
        <f t="shared" si="580"/>
        <v>116.53013168893578</v>
      </c>
      <c r="BL92" s="24">
        <f t="shared" si="580"/>
        <v>120.52758029141009</v>
      </c>
      <c r="BM92" s="24">
        <f t="shared" si="580"/>
        <v>124.101040760282</v>
      </c>
      <c r="BN92" s="24">
        <f t="shared" si="580"/>
        <v>127.21477322378261</v>
      </c>
    </row>
    <row r="93" spans="1:66">
      <c r="A93" s="59"/>
      <c r="B93" s="59" t="s">
        <v>263</v>
      </c>
      <c r="C93" s="51" t="s">
        <v>166</v>
      </c>
      <c r="D93" s="651">
        <f>IF(D90-D91-D92&lt;0,0,D90-D91-D92)</f>
        <v>5.8554420207598117E-7</v>
      </c>
      <c r="E93" s="651">
        <f t="shared" ref="E93:AG93" si="581">IF(E90-E91-E92&lt;0,0,E90-E91-E92)</f>
        <v>0</v>
      </c>
      <c r="F93" s="651">
        <f t="shared" si="581"/>
        <v>0</v>
      </c>
      <c r="G93" s="651">
        <f t="shared" si="581"/>
        <v>0</v>
      </c>
      <c r="H93" s="651">
        <f t="shared" si="581"/>
        <v>0</v>
      </c>
      <c r="I93" s="651">
        <f t="shared" si="581"/>
        <v>0</v>
      </c>
      <c r="J93" s="651">
        <f t="shared" si="581"/>
        <v>0</v>
      </c>
      <c r="K93" s="651">
        <f t="shared" si="581"/>
        <v>0</v>
      </c>
      <c r="L93" s="651">
        <f t="shared" si="581"/>
        <v>0</v>
      </c>
      <c r="M93" s="651">
        <f t="shared" si="581"/>
        <v>0</v>
      </c>
      <c r="N93" s="651">
        <f t="shared" si="581"/>
        <v>0</v>
      </c>
      <c r="O93" s="651">
        <f t="shared" si="581"/>
        <v>0</v>
      </c>
      <c r="P93" s="651">
        <f t="shared" si="581"/>
        <v>0</v>
      </c>
      <c r="Q93" s="651">
        <f t="shared" si="581"/>
        <v>0</v>
      </c>
      <c r="R93" s="651">
        <f t="shared" si="581"/>
        <v>0</v>
      </c>
      <c r="S93" s="651">
        <f t="shared" si="581"/>
        <v>0</v>
      </c>
      <c r="T93" s="651">
        <f t="shared" si="581"/>
        <v>0</v>
      </c>
      <c r="U93" s="651">
        <f t="shared" si="581"/>
        <v>0</v>
      </c>
      <c r="V93" s="651">
        <f t="shared" si="581"/>
        <v>0</v>
      </c>
      <c r="W93" s="651">
        <f t="shared" si="581"/>
        <v>0</v>
      </c>
      <c r="X93" s="651">
        <f t="shared" si="581"/>
        <v>0</v>
      </c>
      <c r="Y93" s="651">
        <f t="shared" si="581"/>
        <v>0</v>
      </c>
      <c r="Z93" s="651">
        <f t="shared" si="581"/>
        <v>0</v>
      </c>
      <c r="AA93" s="651">
        <f t="shared" si="581"/>
        <v>0</v>
      </c>
      <c r="AB93" s="651">
        <f t="shared" si="581"/>
        <v>0</v>
      </c>
      <c r="AC93" s="651">
        <f t="shared" si="581"/>
        <v>0</v>
      </c>
      <c r="AD93" s="651">
        <f t="shared" si="581"/>
        <v>0</v>
      </c>
      <c r="AE93" s="651">
        <f t="shared" si="581"/>
        <v>0</v>
      </c>
      <c r="AF93" s="651">
        <f t="shared" si="581"/>
        <v>0</v>
      </c>
      <c r="AG93" s="651">
        <f t="shared" si="581"/>
        <v>0</v>
      </c>
      <c r="AH93" s="651">
        <f>IF(AH90-AH91-AH92&lt;0,0,AH90-AH91-AH92)</f>
        <v>0</v>
      </c>
      <c r="AI93" s="24"/>
      <c r="AJ93" s="651">
        <f>IF(AJ90-AJ91-AJ92&lt;0,0,AJ90-AJ91-AJ92)</f>
        <v>5.8554420207598117E-7</v>
      </c>
      <c r="AK93" s="651">
        <f t="shared" ref="AK93" si="582">IF(AK90-AK91-AK92&lt;0,0,AK90-AK91-AK92)</f>
        <v>0</v>
      </c>
      <c r="AL93" s="651">
        <f t="shared" ref="AL93" si="583">IF(AL90-AL91-AL92&lt;0,0,AL90-AL91-AL92)</f>
        <v>0</v>
      </c>
      <c r="AM93" s="651">
        <f t="shared" ref="AM93" si="584">IF(AM90-AM91-AM92&lt;0,0,AM90-AM91-AM92)</f>
        <v>0</v>
      </c>
      <c r="AN93" s="651">
        <f t="shared" ref="AN93" si="585">IF(AN90-AN91-AN92&lt;0,0,AN90-AN91-AN92)</f>
        <v>0</v>
      </c>
      <c r="AO93" s="651">
        <f t="shared" ref="AO93" si="586">IF(AO90-AO91-AO92&lt;0,0,AO90-AO91-AO92)</f>
        <v>0</v>
      </c>
      <c r="AP93" s="651">
        <f t="shared" ref="AP93" si="587">IF(AP90-AP91-AP92&lt;0,0,AP90-AP91-AP92)</f>
        <v>0</v>
      </c>
      <c r="AQ93" s="651">
        <f t="shared" ref="AQ93" si="588">IF(AQ90-AQ91-AQ92&lt;0,0,AQ90-AQ91-AQ92)</f>
        <v>0</v>
      </c>
      <c r="AR93" s="651">
        <f t="shared" ref="AR93" si="589">IF(AR90-AR91-AR92&lt;0,0,AR90-AR91-AR92)</f>
        <v>0</v>
      </c>
      <c r="AS93" s="651">
        <f t="shared" ref="AS93" si="590">IF(AS90-AS91-AS92&lt;0,0,AS90-AS91-AS92)</f>
        <v>0</v>
      </c>
      <c r="AT93" s="651">
        <f t="shared" ref="AT93" si="591">IF(AT90-AT91-AT92&lt;0,0,AT90-AT91-AT92)</f>
        <v>0</v>
      </c>
      <c r="AU93" s="651">
        <f t="shared" ref="AU93" si="592">IF(AU90-AU91-AU92&lt;0,0,AU90-AU91-AU92)</f>
        <v>0</v>
      </c>
      <c r="AV93" s="651">
        <f t="shared" ref="AV93" si="593">IF(AV90-AV91-AV92&lt;0,0,AV90-AV91-AV92)</f>
        <v>0</v>
      </c>
      <c r="AW93" s="651">
        <f t="shared" ref="AW93" si="594">IF(AW90-AW91-AW92&lt;0,0,AW90-AW91-AW92)</f>
        <v>0</v>
      </c>
      <c r="AX93" s="651">
        <f t="shared" ref="AX93" si="595">IF(AX90-AX91-AX92&lt;0,0,AX90-AX91-AX92)</f>
        <v>0</v>
      </c>
      <c r="AY93" s="651">
        <f t="shared" ref="AY93" si="596">IF(AY90-AY91-AY92&lt;0,0,AY90-AY91-AY92)</f>
        <v>0</v>
      </c>
      <c r="AZ93" s="651">
        <f t="shared" ref="AZ93" si="597">IF(AZ90-AZ91-AZ92&lt;0,0,AZ90-AZ91-AZ92)</f>
        <v>0</v>
      </c>
      <c r="BA93" s="651">
        <f t="shared" ref="BA93" si="598">IF(BA90-BA91-BA92&lt;0,0,BA90-BA91-BA92)</f>
        <v>0</v>
      </c>
      <c r="BB93" s="651">
        <f t="shared" ref="BB93" si="599">IF(BB90-BB91-BB92&lt;0,0,BB90-BB91-BB92)</f>
        <v>0</v>
      </c>
      <c r="BC93" s="651">
        <f t="shared" ref="BC93" si="600">IF(BC90-BC91-BC92&lt;0,0,BC90-BC91-BC92)</f>
        <v>0</v>
      </c>
      <c r="BD93" s="651">
        <f t="shared" ref="BD93" si="601">IF(BD90-BD91-BD92&lt;0,0,BD90-BD91-BD92)</f>
        <v>0</v>
      </c>
      <c r="BE93" s="651">
        <f t="shared" ref="BE93" si="602">IF(BE90-BE91-BE92&lt;0,0,BE90-BE91-BE92)</f>
        <v>0</v>
      </c>
      <c r="BF93" s="651">
        <f t="shared" ref="BF93" si="603">IF(BF90-BF91-BF92&lt;0,0,BF90-BF91-BF92)</f>
        <v>0</v>
      </c>
      <c r="BG93" s="651">
        <f t="shared" ref="BG93" si="604">IF(BG90-BG91-BG92&lt;0,0,BG90-BG91-BG92)</f>
        <v>0</v>
      </c>
      <c r="BH93" s="651">
        <f t="shared" ref="BH93" si="605">IF(BH90-BH91-BH92&lt;0,0,BH90-BH91-BH92)</f>
        <v>0</v>
      </c>
      <c r="BI93" s="651">
        <f t="shared" ref="BI93" si="606">IF(BI90-BI91-BI92&lt;0,0,BI90-BI91-BI92)</f>
        <v>0</v>
      </c>
      <c r="BJ93" s="651">
        <f t="shared" ref="BJ93" si="607">IF(BJ90-BJ91-BJ92&lt;0,0,BJ90-BJ91-BJ92)</f>
        <v>0</v>
      </c>
      <c r="BK93" s="651">
        <f t="shared" ref="BK93" si="608">IF(BK90-BK91-BK92&lt;0,0,BK90-BK91-BK92)</f>
        <v>0</v>
      </c>
      <c r="BL93" s="651">
        <f t="shared" ref="BL93" si="609">IF(BL90-BL91-BL92&lt;0,0,BL90-BL91-BL92)</f>
        <v>0</v>
      </c>
      <c r="BM93" s="651">
        <f t="shared" ref="BM93" si="610">IF(BM90-BM91-BM92&lt;0,0,BM90-BM91-BM92)</f>
        <v>0</v>
      </c>
      <c r="BN93" s="651">
        <f t="shared" ref="BN93" si="611">IF(BN90-BN91-BN92&lt;0,0,BN90-BN91-BN92)</f>
        <v>0</v>
      </c>
    </row>
    <row r="94" spans="1:66" s="62" customFormat="1">
      <c r="A94" s="684"/>
      <c r="B94" s="55" t="s">
        <v>885</v>
      </c>
      <c r="C94" s="56" t="s">
        <v>166</v>
      </c>
      <c r="D94" s="650">
        <f>D53</f>
        <v>9.8185371167294961E-8</v>
      </c>
      <c r="E94" s="650">
        <f t="shared" ref="E94:AH95" si="612">E53</f>
        <v>9.4847689928115957E-8</v>
      </c>
      <c r="F94" s="650">
        <f t="shared" si="612"/>
        <v>9.1844591078306606E-8</v>
      </c>
      <c r="G94" s="650">
        <f t="shared" si="612"/>
        <v>8.9088524218144103E-8</v>
      </c>
      <c r="H94" s="650">
        <f t="shared" si="612"/>
        <v>8.6514323767112275E-8</v>
      </c>
      <c r="I94" s="650">
        <f t="shared" si="612"/>
        <v>8.4072222051890494E-8</v>
      </c>
      <c r="J94" s="650">
        <f t="shared" si="612"/>
        <v>8.1723312459072829E-8</v>
      </c>
      <c r="K94" s="650">
        <f t="shared" si="612"/>
        <v>7.9436515015020898E-8</v>
      </c>
      <c r="L94" s="650">
        <f t="shared" si="612"/>
        <v>7.7186493676244558E-8</v>
      </c>
      <c r="M94" s="650">
        <f t="shared" si="612"/>
        <v>7.4952193804761629E-8</v>
      </c>
      <c r="N94" s="650">
        <f t="shared" si="612"/>
        <v>7.2715793997930323E-8</v>
      </c>
      <c r="O94" s="650">
        <f t="shared" si="612"/>
        <v>7.2146534530037426E-8</v>
      </c>
      <c r="P94" s="650">
        <f t="shared" si="612"/>
        <v>7.1515669109567676E-8</v>
      </c>
      <c r="Q94" s="650">
        <f t="shared" si="612"/>
        <v>7.0819820574882906E-8</v>
      </c>
      <c r="R94" s="650">
        <f t="shared" si="612"/>
        <v>7.0055449695504459E-8</v>
      </c>
      <c r="S94" s="650">
        <f t="shared" si="612"/>
        <v>6.921884478081466E-8</v>
      </c>
      <c r="T94" s="650">
        <f t="shared" si="612"/>
        <v>6.8357653823462754E-8</v>
      </c>
      <c r="U94" s="650">
        <f t="shared" si="612"/>
        <v>6.7414921998611971E-8</v>
      </c>
      <c r="V94" s="650">
        <f t="shared" si="612"/>
        <v>6.6386224664060677E-8</v>
      </c>
      <c r="W94" s="650">
        <f t="shared" si="612"/>
        <v>6.526689515615026E-8</v>
      </c>
      <c r="X94" s="650">
        <f t="shared" si="612"/>
        <v>6.4052008612833723E-8</v>
      </c>
      <c r="Y94" s="650">
        <f t="shared" si="612"/>
        <v>6.2206977227794389E-8</v>
      </c>
      <c r="Z94" s="650">
        <f t="shared" si="612"/>
        <v>6.0217384940642336E-8</v>
      </c>
      <c r="AA94" s="650">
        <f t="shared" si="612"/>
        <v>5.8074965123986824E-8</v>
      </c>
      <c r="AB94" s="650">
        <f t="shared" si="612"/>
        <v>5.5770921156581989E-8</v>
      </c>
      <c r="AC94" s="650">
        <f t="shared" si="612"/>
        <v>5.3295884709669262E-8</v>
      </c>
      <c r="AD94" s="650">
        <f t="shared" si="612"/>
        <v>5.0639870036799274E-8</v>
      </c>
      <c r="AE94" s="650">
        <f t="shared" si="612"/>
        <v>4.7792223812556771E-8</v>
      </c>
      <c r="AF94" s="650">
        <f t="shared" si="612"/>
        <v>4.4741570005544148E-8</v>
      </c>
      <c r="AG94" s="650">
        <f t="shared" si="612"/>
        <v>4.147574920183102E-8</v>
      </c>
      <c r="AH94" s="650">
        <f t="shared" si="612"/>
        <v>3.7981751715297816E-8</v>
      </c>
      <c r="AI94" s="650"/>
      <c r="AJ94" s="650">
        <f>AJ53</f>
        <v>9.8185371167294961E-8</v>
      </c>
      <c r="AK94" s="650">
        <f t="shared" ref="AK94:BN94" si="613">AK53</f>
        <v>9.6359811287510643E-8</v>
      </c>
      <c r="AL94" s="650">
        <f t="shared" si="613"/>
        <v>9.4869530179052353E-8</v>
      </c>
      <c r="AM94" s="650">
        <f t="shared" si="613"/>
        <v>9.3639668379403881E-8</v>
      </c>
      <c r="AN94" s="650">
        <f t="shared" si="613"/>
        <v>9.2614945867531646E-8</v>
      </c>
      <c r="AO94" s="650">
        <f t="shared" si="613"/>
        <v>9.1753569365324609E-8</v>
      </c>
      <c r="AP94" s="650">
        <f t="shared" si="613"/>
        <v>9.1023276938518001E-8</v>
      </c>
      <c r="AQ94" s="650">
        <f t="shared" si="613"/>
        <v>9.0398693270570857E-8</v>
      </c>
      <c r="AR94" s="650">
        <f t="shared" si="613"/>
        <v>8.9859515220325114E-8</v>
      </c>
      <c r="AS94" s="650">
        <f t="shared" si="613"/>
        <v>8.9389238476533507E-8</v>
      </c>
      <c r="AT94" s="650">
        <f t="shared" si="613"/>
        <v>8.8974245767366271E-8</v>
      </c>
      <c r="AU94" s="650">
        <f t="shared" si="613"/>
        <v>8.9978328928226573E-8</v>
      </c>
      <c r="AV94" s="650">
        <f t="shared" si="613"/>
        <v>9.0990819656396207E-8</v>
      </c>
      <c r="AW94" s="650">
        <f t="shared" si="613"/>
        <v>9.2011429289106212E-8</v>
      </c>
      <c r="AX94" s="650">
        <f t="shared" si="613"/>
        <v>9.3039856096099738E-8</v>
      </c>
      <c r="AY94" s="650">
        <f t="shared" si="613"/>
        <v>9.4075783885952571E-8</v>
      </c>
      <c r="AZ94" s="650">
        <f t="shared" si="613"/>
        <v>9.5190656457842396E-8</v>
      </c>
      <c r="BA94" s="650">
        <f t="shared" si="613"/>
        <v>9.6314186480929304E-8</v>
      </c>
      <c r="BB94" s="650">
        <f t="shared" si="613"/>
        <v>9.7446136590703071E-8</v>
      </c>
      <c r="BC94" s="650">
        <f t="shared" si="613"/>
        <v>9.8586251899164719E-8</v>
      </c>
      <c r="BD94" s="650">
        <f t="shared" si="613"/>
        <v>9.9734258654021212E-8</v>
      </c>
      <c r="BE94" s="650">
        <f t="shared" si="613"/>
        <v>1.0073296838532588E-7</v>
      </c>
      <c r="BF94" s="650">
        <f t="shared" si="613"/>
        <v>1.0172784677650857E-7</v>
      </c>
      <c r="BG94" s="650">
        <f t="shared" si="613"/>
        <v>1.027179762488582E-7</v>
      </c>
      <c r="BH94" s="650">
        <f t="shared" si="613"/>
        <v>1.0370237351546064E-7</v>
      </c>
      <c r="BI94" s="650">
        <f t="shared" si="613"/>
        <v>1.0467998438948948E-7</v>
      </c>
      <c r="BJ94" s="650">
        <f t="shared" si="613"/>
        <v>1.056496780970787E-7</v>
      </c>
      <c r="BK94" s="650">
        <f t="shared" si="613"/>
        <v>1.0661024103842928E-7</v>
      </c>
      <c r="BL94" s="650">
        <f t="shared" si="613"/>
        <v>1.0756036993335878E-7</v>
      </c>
      <c r="BM94" s="650">
        <f t="shared" si="613"/>
        <v>1.0849866427893294E-7</v>
      </c>
      <c r="BN94" s="650">
        <f t="shared" si="613"/>
        <v>1.0942361803692941E-7</v>
      </c>
    </row>
    <row r="95" spans="1:66">
      <c r="A95" s="685"/>
      <c r="B95" s="1" t="s">
        <v>1182</v>
      </c>
      <c r="C95" s="51" t="s">
        <v>166</v>
      </c>
      <c r="D95" s="24">
        <f t="shared" ref="D95:S95" si="614">D54</f>
        <v>0</v>
      </c>
      <c r="E95" s="24">
        <f t="shared" si="614"/>
        <v>0</v>
      </c>
      <c r="F95" s="24">
        <f t="shared" si="614"/>
        <v>0</v>
      </c>
      <c r="G95" s="24">
        <f t="shared" si="614"/>
        <v>0</v>
      </c>
      <c r="H95" s="24">
        <f t="shared" si="614"/>
        <v>0</v>
      </c>
      <c r="I95" s="24">
        <f t="shared" si="614"/>
        <v>0</v>
      </c>
      <c r="J95" s="24">
        <f t="shared" si="614"/>
        <v>0</v>
      </c>
      <c r="K95" s="24">
        <f t="shared" si="614"/>
        <v>0</v>
      </c>
      <c r="L95" s="24">
        <f t="shared" si="614"/>
        <v>0</v>
      </c>
      <c r="M95" s="24">
        <f t="shared" si="614"/>
        <v>0</v>
      </c>
      <c r="N95" s="24">
        <f t="shared" si="614"/>
        <v>0</v>
      </c>
      <c r="O95" s="24">
        <f t="shared" si="614"/>
        <v>0</v>
      </c>
      <c r="P95" s="24">
        <f t="shared" si="614"/>
        <v>0</v>
      </c>
      <c r="Q95" s="24">
        <f t="shared" si="614"/>
        <v>0</v>
      </c>
      <c r="R95" s="24">
        <f t="shared" si="614"/>
        <v>0</v>
      </c>
      <c r="S95" s="24">
        <f t="shared" si="614"/>
        <v>0</v>
      </c>
      <c r="T95" s="24">
        <f t="shared" si="612"/>
        <v>0</v>
      </c>
      <c r="U95" s="24">
        <f t="shared" si="612"/>
        <v>0</v>
      </c>
      <c r="V95" s="24">
        <f t="shared" si="612"/>
        <v>0</v>
      </c>
      <c r="W95" s="24">
        <f t="shared" si="612"/>
        <v>0</v>
      </c>
      <c r="X95" s="24">
        <f t="shared" si="612"/>
        <v>0</v>
      </c>
      <c r="Y95" s="24">
        <f t="shared" si="612"/>
        <v>0</v>
      </c>
      <c r="Z95" s="24">
        <f t="shared" si="612"/>
        <v>0</v>
      </c>
      <c r="AA95" s="24">
        <f t="shared" si="612"/>
        <v>0</v>
      </c>
      <c r="AB95" s="24">
        <f t="shared" si="612"/>
        <v>0</v>
      </c>
      <c r="AC95" s="24">
        <f t="shared" si="612"/>
        <v>0</v>
      </c>
      <c r="AD95" s="24">
        <f t="shared" si="612"/>
        <v>0</v>
      </c>
      <c r="AE95" s="24">
        <f t="shared" si="612"/>
        <v>0</v>
      </c>
      <c r="AF95" s="24">
        <f t="shared" si="612"/>
        <v>0</v>
      </c>
      <c r="AG95" s="24">
        <f t="shared" si="612"/>
        <v>0</v>
      </c>
      <c r="AH95" s="24">
        <f t="shared" si="612"/>
        <v>0</v>
      </c>
      <c r="AI95" s="24"/>
      <c r="AJ95" s="24">
        <f t="shared" ref="AJ95:BN95" si="615">AJ54</f>
        <v>0</v>
      </c>
      <c r="AK95" s="24">
        <f t="shared" si="615"/>
        <v>0</v>
      </c>
      <c r="AL95" s="24">
        <f t="shared" si="615"/>
        <v>0</v>
      </c>
      <c r="AM95" s="24">
        <f t="shared" si="615"/>
        <v>0</v>
      </c>
      <c r="AN95" s="24">
        <f t="shared" si="615"/>
        <v>0</v>
      </c>
      <c r="AO95" s="24">
        <f t="shared" si="615"/>
        <v>0</v>
      </c>
      <c r="AP95" s="24">
        <f t="shared" si="615"/>
        <v>0</v>
      </c>
      <c r="AQ95" s="24">
        <f t="shared" si="615"/>
        <v>0</v>
      </c>
      <c r="AR95" s="24">
        <f t="shared" si="615"/>
        <v>0</v>
      </c>
      <c r="AS95" s="24">
        <f t="shared" si="615"/>
        <v>0</v>
      </c>
      <c r="AT95" s="24">
        <f t="shared" si="615"/>
        <v>0</v>
      </c>
      <c r="AU95" s="24">
        <f t="shared" si="615"/>
        <v>0</v>
      </c>
      <c r="AV95" s="24">
        <f t="shared" si="615"/>
        <v>0</v>
      </c>
      <c r="AW95" s="24">
        <f t="shared" si="615"/>
        <v>0</v>
      </c>
      <c r="AX95" s="24">
        <f t="shared" si="615"/>
        <v>0</v>
      </c>
      <c r="AY95" s="24">
        <f t="shared" si="615"/>
        <v>0</v>
      </c>
      <c r="AZ95" s="24">
        <f t="shared" si="615"/>
        <v>0</v>
      </c>
      <c r="BA95" s="24">
        <f t="shared" si="615"/>
        <v>0</v>
      </c>
      <c r="BB95" s="24">
        <f t="shared" si="615"/>
        <v>0</v>
      </c>
      <c r="BC95" s="24">
        <f t="shared" si="615"/>
        <v>0</v>
      </c>
      <c r="BD95" s="24">
        <f t="shared" si="615"/>
        <v>0</v>
      </c>
      <c r="BE95" s="24">
        <f t="shared" si="615"/>
        <v>0</v>
      </c>
      <c r="BF95" s="24">
        <f t="shared" si="615"/>
        <v>0</v>
      </c>
      <c r="BG95" s="24">
        <f t="shared" si="615"/>
        <v>0</v>
      </c>
      <c r="BH95" s="24">
        <f t="shared" si="615"/>
        <v>0</v>
      </c>
      <c r="BI95" s="24">
        <f t="shared" si="615"/>
        <v>0</v>
      </c>
      <c r="BJ95" s="24">
        <f t="shared" si="615"/>
        <v>0</v>
      </c>
      <c r="BK95" s="24">
        <f t="shared" si="615"/>
        <v>0</v>
      </c>
      <c r="BL95" s="24">
        <f t="shared" si="615"/>
        <v>0</v>
      </c>
      <c r="BM95" s="24">
        <f t="shared" si="615"/>
        <v>0</v>
      </c>
      <c r="BN95" s="24">
        <f t="shared" si="615"/>
        <v>0</v>
      </c>
    </row>
    <row r="96" spans="1:66" s="63" customFormat="1">
      <c r="A96" s="686"/>
      <c r="B96" s="59" t="s">
        <v>27</v>
      </c>
      <c r="C96" s="262" t="s">
        <v>166</v>
      </c>
      <c r="D96" s="652">
        <f>D55-(D90-D93)</f>
        <v>4.8735883090868618E-7</v>
      </c>
      <c r="E96" s="652">
        <f t="shared" ref="E96:AH96" si="616">E55-(E90-E93)</f>
        <v>-9.4847689928115931E-8</v>
      </c>
      <c r="F96" s="652">
        <f t="shared" si="616"/>
        <v>-9.1844591078306593E-8</v>
      </c>
      <c r="G96" s="652">
        <f t="shared" si="616"/>
        <v>-8.9088524218144129E-8</v>
      </c>
      <c r="H96" s="652">
        <f t="shared" si="616"/>
        <v>-8.6514323767112275E-8</v>
      </c>
      <c r="I96" s="652">
        <f t="shared" si="616"/>
        <v>-8.4072222051890507E-8</v>
      </c>
      <c r="J96" s="652">
        <f t="shared" si="616"/>
        <v>-8.1723312459072816E-8</v>
      </c>
      <c r="K96" s="652">
        <f t="shared" si="616"/>
        <v>-7.9436515015020898E-8</v>
      </c>
      <c r="L96" s="652">
        <f t="shared" si="616"/>
        <v>-7.7186493676244532E-8</v>
      </c>
      <c r="M96" s="652">
        <f t="shared" si="616"/>
        <v>-7.495219380476159E-8</v>
      </c>
      <c r="N96" s="652">
        <f t="shared" si="616"/>
        <v>-7.2715793997930296E-8</v>
      </c>
      <c r="O96" s="652">
        <f t="shared" si="616"/>
        <v>-7.2146534530037426E-8</v>
      </c>
      <c r="P96" s="652">
        <f t="shared" si="616"/>
        <v>-7.1515669109567689E-8</v>
      </c>
      <c r="Q96" s="652">
        <f t="shared" si="616"/>
        <v>-7.0819820574882933E-8</v>
      </c>
      <c r="R96" s="652">
        <f t="shared" si="616"/>
        <v>-7.0055449695504459E-8</v>
      </c>
      <c r="S96" s="652">
        <f t="shared" si="616"/>
        <v>-6.9218844780814687E-8</v>
      </c>
      <c r="T96" s="652">
        <f t="shared" si="616"/>
        <v>-6.8357653823462794E-8</v>
      </c>
      <c r="U96" s="652">
        <f t="shared" si="616"/>
        <v>-6.7414921998611931E-8</v>
      </c>
      <c r="V96" s="652">
        <f t="shared" si="616"/>
        <v>-6.6386224664060664E-8</v>
      </c>
      <c r="W96" s="652">
        <f t="shared" si="616"/>
        <v>-6.5266895156150273E-8</v>
      </c>
      <c r="X96" s="652">
        <f t="shared" si="616"/>
        <v>-6.405200861283371E-8</v>
      </c>
      <c r="Y96" s="652">
        <f t="shared" si="616"/>
        <v>-6.2206977227794389E-8</v>
      </c>
      <c r="Z96" s="652">
        <f t="shared" si="616"/>
        <v>-6.0217384940642349E-8</v>
      </c>
      <c r="AA96" s="652">
        <f t="shared" si="616"/>
        <v>-5.8074965123986778E-8</v>
      </c>
      <c r="AB96" s="652">
        <f t="shared" si="616"/>
        <v>-5.5770921156582016E-8</v>
      </c>
      <c r="AC96" s="652">
        <f t="shared" si="616"/>
        <v>-5.3295884709669223E-8</v>
      </c>
      <c r="AD96" s="652">
        <f t="shared" si="616"/>
        <v>-5.0639870036799281E-8</v>
      </c>
      <c r="AE96" s="652">
        <f t="shared" si="616"/>
        <v>-4.7792223812556798E-8</v>
      </c>
      <c r="AF96" s="652">
        <f t="shared" si="616"/>
        <v>-4.4741570005544141E-8</v>
      </c>
      <c r="AG96" s="652">
        <f t="shared" si="616"/>
        <v>-4.147574920183102E-8</v>
      </c>
      <c r="AH96" s="652">
        <f t="shared" si="616"/>
        <v>-3.7981751715297803E-8</v>
      </c>
      <c r="AI96" s="652"/>
      <c r="AJ96" s="652">
        <f>AJ55-(AJ90-AJ93)</f>
        <v>4.8735883090868618E-7</v>
      </c>
      <c r="AK96" s="652">
        <f t="shared" ref="AK96:BN96" si="617">AK55-(AK90-AK93)</f>
        <v>-9.635981128751067E-8</v>
      </c>
      <c r="AL96" s="652">
        <f t="shared" si="617"/>
        <v>-9.4869530179052327E-8</v>
      </c>
      <c r="AM96" s="652">
        <f t="shared" si="617"/>
        <v>-9.3639668379403895E-8</v>
      </c>
      <c r="AN96" s="652">
        <f t="shared" si="617"/>
        <v>-9.2614945867531646E-8</v>
      </c>
      <c r="AO96" s="652">
        <f t="shared" si="617"/>
        <v>-9.1753569365324609E-8</v>
      </c>
      <c r="AP96" s="652">
        <f t="shared" si="617"/>
        <v>-9.1023276938518014E-8</v>
      </c>
      <c r="AQ96" s="652">
        <f t="shared" si="617"/>
        <v>-9.0398693270570844E-8</v>
      </c>
      <c r="AR96" s="652">
        <f t="shared" si="617"/>
        <v>-8.9859515220324995E-8</v>
      </c>
      <c r="AS96" s="652">
        <f t="shared" si="617"/>
        <v>-8.9389238476533507E-8</v>
      </c>
      <c r="AT96" s="652">
        <f t="shared" si="617"/>
        <v>-8.8974245767366298E-8</v>
      </c>
      <c r="AU96" s="652">
        <f t="shared" si="617"/>
        <v>-8.9978328928226599E-8</v>
      </c>
      <c r="AV96" s="652">
        <f t="shared" si="617"/>
        <v>-9.0990819656396221E-8</v>
      </c>
      <c r="AW96" s="652">
        <f t="shared" si="617"/>
        <v>-9.2011429289106199E-8</v>
      </c>
      <c r="AX96" s="652">
        <f t="shared" si="617"/>
        <v>-9.3039856096099751E-8</v>
      </c>
      <c r="AY96" s="652">
        <f t="shared" si="617"/>
        <v>-9.4075783885952637E-8</v>
      </c>
      <c r="AZ96" s="652">
        <f t="shared" si="617"/>
        <v>-9.5190656457842422E-8</v>
      </c>
      <c r="BA96" s="652">
        <f t="shared" si="617"/>
        <v>-9.6314186480929251E-8</v>
      </c>
      <c r="BB96" s="652">
        <f t="shared" si="617"/>
        <v>-9.7446136590703071E-8</v>
      </c>
      <c r="BC96" s="652">
        <f t="shared" si="617"/>
        <v>-9.8586251899164745E-8</v>
      </c>
      <c r="BD96" s="652">
        <f t="shared" si="617"/>
        <v>-9.9734258654021185E-8</v>
      </c>
      <c r="BE96" s="652">
        <f t="shared" si="617"/>
        <v>-1.0073296838532587E-7</v>
      </c>
      <c r="BF96" s="652">
        <f t="shared" si="617"/>
        <v>-1.0172784677650858E-7</v>
      </c>
      <c r="BG96" s="652">
        <f t="shared" si="617"/>
        <v>-1.0271797624885815E-7</v>
      </c>
      <c r="BH96" s="652">
        <f t="shared" si="617"/>
        <v>-1.0370237351546072E-7</v>
      </c>
      <c r="BI96" s="652">
        <f t="shared" si="617"/>
        <v>-1.0467998438948942E-7</v>
      </c>
      <c r="BJ96" s="652">
        <f t="shared" si="617"/>
        <v>-1.0564967809707865E-7</v>
      </c>
      <c r="BK96" s="652">
        <f t="shared" si="617"/>
        <v>-1.066102410384293E-7</v>
      </c>
      <c r="BL96" s="652">
        <f t="shared" si="617"/>
        <v>-1.0756036993335879E-7</v>
      </c>
      <c r="BM96" s="652">
        <f t="shared" si="617"/>
        <v>-1.0849866427893295E-7</v>
      </c>
      <c r="BN96" s="652">
        <f t="shared" si="617"/>
        <v>-1.0942361803692945E-7</v>
      </c>
    </row>
    <row r="97" spans="1:66">
      <c r="A97" s="55" t="s">
        <v>259</v>
      </c>
      <c r="B97" s="55" t="s">
        <v>195</v>
      </c>
      <c r="C97" s="95" t="s">
        <v>166</v>
      </c>
      <c r="D97" s="653">
        <f t="shared" ref="D97:AH97" si="618">D43</f>
        <v>3.5915366975270882</v>
      </c>
      <c r="E97" s="653">
        <f t="shared" si="618"/>
        <v>3.5647068913064808</v>
      </c>
      <c r="F97" s="653">
        <f t="shared" si="618"/>
        <v>3.5359269175687875</v>
      </c>
      <c r="G97" s="653">
        <f t="shared" si="618"/>
        <v>3.5051382244324256</v>
      </c>
      <c r="H97" s="653">
        <f t="shared" si="618"/>
        <v>3.4722808328502492</v>
      </c>
      <c r="I97" s="653">
        <f t="shared" si="618"/>
        <v>3.4372933050074184</v>
      </c>
      <c r="J97" s="653">
        <f t="shared" si="618"/>
        <v>3.4001127120572368</v>
      </c>
      <c r="K97" s="653">
        <f t="shared" si="618"/>
        <v>3.3606746011816027</v>
      </c>
      <c r="L97" s="653">
        <f t="shared" si="618"/>
        <v>3.3189129619624125</v>
      </c>
      <c r="M97" s="653">
        <f t="shared" si="618"/>
        <v>3.274760192050028</v>
      </c>
      <c r="N97" s="653">
        <f t="shared" si="618"/>
        <v>3.2281470621146151</v>
      </c>
      <c r="O97" s="653">
        <f t="shared" si="618"/>
        <v>3.1790026800658961</v>
      </c>
      <c r="P97" s="653">
        <f t="shared" si="618"/>
        <v>3.1272544545265699</v>
      </c>
      <c r="Q97" s="653">
        <f t="shared" si="618"/>
        <v>3.0728280575443674</v>
      </c>
      <c r="R97" s="653">
        <f t="shared" si="618"/>
        <v>3.0156473865274123</v>
      </c>
      <c r="S97" s="653">
        <f t="shared" si="618"/>
        <v>2.9556345253872496</v>
      </c>
      <c r="T97" s="653">
        <f t="shared" si="618"/>
        <v>2.8927097048736146</v>
      </c>
      <c r="U97" s="653">
        <f t="shared" si="618"/>
        <v>2.8267912620846798</v>
      </c>
      <c r="V97" s="653">
        <f t="shared" si="618"/>
        <v>2.7577955991362129</v>
      </c>
      <c r="W97" s="653">
        <f t="shared" si="618"/>
        <v>2.6856371409727555</v>
      </c>
      <c r="X97" s="653">
        <f t="shared" si="618"/>
        <v>2.61022829230359</v>
      </c>
      <c r="Y97" s="653">
        <f t="shared" si="618"/>
        <v>2.5277484003239072</v>
      </c>
      <c r="Z97" s="653">
        <f t="shared" si="618"/>
        <v>2.441709836040439</v>
      </c>
      <c r="AA97" s="653">
        <f t="shared" si="618"/>
        <v>2.35201544128364</v>
      </c>
      <c r="AB97" s="653">
        <f t="shared" si="618"/>
        <v>2.2585657829624939</v>
      </c>
      <c r="AC97" s="653">
        <f t="shared" si="618"/>
        <v>2.1612591037958975</v>
      </c>
      <c r="AD97" s="653">
        <f t="shared" si="618"/>
        <v>2.0599912720263611</v>
      </c>
      <c r="AE97" s="653">
        <f t="shared" si="618"/>
        <v>1.9546557300956637</v>
      </c>
      <c r="AF97" s="653">
        <f t="shared" si="618"/>
        <v>1.845143442261707</v>
      </c>
      <c r="AG97" s="653">
        <f t="shared" si="618"/>
        <v>1.7313428411353979</v>
      </c>
      <c r="AH97" s="653">
        <f t="shared" si="618"/>
        <v>1.6131397731159802</v>
      </c>
      <c r="AI97" s="24"/>
      <c r="AJ97" s="653">
        <f t="shared" ref="AJ97:BN97" si="619">AJ43</f>
        <v>3.5915366975270882</v>
      </c>
      <c r="AK97" s="653">
        <f t="shared" si="619"/>
        <v>3.6152793123165785</v>
      </c>
      <c r="AL97" s="653">
        <f t="shared" si="619"/>
        <v>3.6387912219033258</v>
      </c>
      <c r="AM97" s="653">
        <f t="shared" si="619"/>
        <v>3.6620577206947638</v>
      </c>
      <c r="AN97" s="653">
        <f t="shared" si="619"/>
        <v>3.6850636697819801</v>
      </c>
      <c r="AO97" s="653">
        <f t="shared" si="619"/>
        <v>3.7077934864568811</v>
      </c>
      <c r="AP97" s="653">
        <f t="shared" si="619"/>
        <v>3.7302311334981617</v>
      </c>
      <c r="AQ97" s="653">
        <f t="shared" si="619"/>
        <v>3.7523601082212599</v>
      </c>
      <c r="AR97" s="653">
        <f t="shared" si="619"/>
        <v>3.7741634312873624</v>
      </c>
      <c r="AS97" s="653">
        <f t="shared" si="619"/>
        <v>3.7956236352664363</v>
      </c>
      <c r="AT97" s="653">
        <f t="shared" si="619"/>
        <v>3.8167227529491567</v>
      </c>
      <c r="AU97" s="653">
        <f t="shared" si="619"/>
        <v>3.8374423054024973</v>
      </c>
      <c r="AV97" s="653">
        <f t="shared" si="619"/>
        <v>3.8577632897636502</v>
      </c>
      <c r="AW97" s="653">
        <f t="shared" si="619"/>
        <v>3.8776661667668209</v>
      </c>
      <c r="AX97" s="653">
        <f t="shared" si="619"/>
        <v>3.8971308479973574</v>
      </c>
      <c r="AY97" s="653">
        <f t="shared" si="619"/>
        <v>3.9161366828675357</v>
      </c>
      <c r="AZ97" s="653">
        <f t="shared" si="619"/>
        <v>3.9346624453082297</v>
      </c>
      <c r="BA97" s="653">
        <f t="shared" si="619"/>
        <v>3.952686320170558</v>
      </c>
      <c r="BB97" s="653">
        <f t="shared" si="619"/>
        <v>3.9701858893315123</v>
      </c>
      <c r="BC97" s="653">
        <f t="shared" si="619"/>
        <v>3.9871381174974094</v>
      </c>
      <c r="BD97" s="653">
        <f t="shared" si="619"/>
        <v>4.0035193376989291</v>
      </c>
      <c r="BE97" s="653">
        <f t="shared" si="619"/>
        <v>4.0177211779874522</v>
      </c>
      <c r="BF97" s="653">
        <f t="shared" si="619"/>
        <v>4.0312488637571899</v>
      </c>
      <c r="BG97" s="653">
        <f t="shared" si="619"/>
        <v>4.044075369422659</v>
      </c>
      <c r="BH97" s="653">
        <f t="shared" si="619"/>
        <v>4.0561729453591298</v>
      </c>
      <c r="BI97" s="653">
        <f t="shared" si="619"/>
        <v>4.0675131010956767</v>
      </c>
      <c r="BJ97" s="653">
        <f t="shared" si="619"/>
        <v>4.0780665881460578</v>
      </c>
      <c r="BK97" s="653">
        <f t="shared" si="619"/>
        <v>4.0878033824699358</v>
      </c>
      <c r="BL97" s="653">
        <f t="shared" si="619"/>
        <v>4.0966926665568506</v>
      </c>
      <c r="BM97" s="653">
        <f t="shared" si="619"/>
        <v>4.1047028111251862</v>
      </c>
      <c r="BN97" s="653">
        <f t="shared" si="619"/>
        <v>4.1118013564282112</v>
      </c>
    </row>
    <row r="98" spans="1:66">
      <c r="A98"/>
      <c r="B98" t="s">
        <v>262</v>
      </c>
      <c r="C98" s="51" t="s">
        <v>166</v>
      </c>
      <c r="D98" s="24">
        <f>'Methanol Recycling HC'!C223</f>
        <v>0</v>
      </c>
      <c r="E98" s="24">
        <f>'Methanol Recycling HC'!D223</f>
        <v>10.47477828130495</v>
      </c>
      <c r="F98" s="24">
        <f>'Methanol Recycling HC'!E223</f>
        <v>22.126107720074259</v>
      </c>
      <c r="G98" s="24">
        <f>'Methanol Recycling HC'!F223</f>
        <v>34.953988316307921</v>
      </c>
      <c r="H98" s="24">
        <f>'Methanol Recycling HC'!G223</f>
        <v>48.958420070005943</v>
      </c>
      <c r="I98" s="24">
        <f>'Methanol Recycling HC'!H223</f>
        <v>64.139402981168317</v>
      </c>
      <c r="J98" s="24">
        <f>'Methanol Recycling HC'!I223</f>
        <v>80.496937049795051</v>
      </c>
      <c r="K98" s="24">
        <f>'Methanol Recycling HC'!J223</f>
        <v>98.031022275886144</v>
      </c>
      <c r="L98" s="24">
        <f>'Methanol Recycling HC'!K223</f>
        <v>116.7416586594416</v>
      </c>
      <c r="M98" s="24">
        <f>'Methanol Recycling HC'!L223</f>
        <v>136.6288462004614</v>
      </c>
      <c r="N98" s="24">
        <f>'Methanol Recycling HC'!M223</f>
        <v>157.69258489894554</v>
      </c>
      <c r="O98" s="24">
        <f>'Methanol Recycling HC'!N223</f>
        <v>196.62287687693163</v>
      </c>
      <c r="P98" s="24">
        <f>'Methanol Recycling HC'!O223</f>
        <v>238.03297667911187</v>
      </c>
      <c r="Q98" s="24">
        <f>'Methanol Recycling HC'!P223</f>
        <v>281.92288430548621</v>
      </c>
      <c r="R98" s="24">
        <f>'Methanol Recycling HC'!Q223</f>
        <v>328.29259975605459</v>
      </c>
      <c r="S98" s="24">
        <f>'Methanol Recycling HC'!R223</f>
        <v>377.14212303081706</v>
      </c>
      <c r="T98" s="24">
        <f>'Methanol Recycling HC'!S223</f>
        <v>428.47145412977369</v>
      </c>
      <c r="U98" s="24">
        <f>'Methanol Recycling HC'!T223</f>
        <v>482.28059305292442</v>
      </c>
      <c r="V98" s="24">
        <f>'Methanol Recycling HC'!U223</f>
        <v>538.56953980026913</v>
      </c>
      <c r="W98" s="24">
        <f>'Methanol Recycling HC'!V223</f>
        <v>597.33829437180805</v>
      </c>
      <c r="X98" s="24">
        <f>'Methanol Recycling HC'!W223</f>
        <v>658.58685676754101</v>
      </c>
      <c r="Y98" s="24">
        <f>'Methanol Recycling HC'!X223</f>
        <v>752.04063047629518</v>
      </c>
      <c r="Z98" s="24">
        <f>'Methanol Recycling HC'!Y223</f>
        <v>849.64358000620393</v>
      </c>
      <c r="AA98" s="24">
        <f>'Methanol Recycling HC'!Z223</f>
        <v>951.39570535726671</v>
      </c>
      <c r="AB98" s="24">
        <f>'Methanol Recycling HC'!AA223</f>
        <v>1057.297006529484</v>
      </c>
      <c r="AC98" s="24">
        <f>'Methanol Recycling HC'!AB223</f>
        <v>1167.3474835228556</v>
      </c>
      <c r="AD98" s="24">
        <f>'Methanol Recycling HC'!AC223</f>
        <v>1281.5471363373813</v>
      </c>
      <c r="AE98" s="24">
        <f>'Methanol Recycling HC'!AD223</f>
        <v>1399.8959649730612</v>
      </c>
      <c r="AF98" s="24">
        <f>'Methanol Recycling HC'!AE223</f>
        <v>1522.3939694298956</v>
      </c>
      <c r="AG98" s="24">
        <f>'Methanol Recycling HC'!AF223</f>
        <v>1649.0411497078846</v>
      </c>
      <c r="AH98" s="24">
        <f>'Methanol Recycling HC'!AG223</f>
        <v>1779.8375058070271</v>
      </c>
      <c r="AI98" s="24"/>
      <c r="AJ98" s="24">
        <f>D98</f>
        <v>0</v>
      </c>
      <c r="AK98" s="24">
        <f>E98</f>
        <v>10.47477828130495</v>
      </c>
      <c r="AL98" s="24">
        <f t="shared" ref="AK98:BN101" si="620">F98</f>
        <v>22.126107720074259</v>
      </c>
      <c r="AM98" s="24">
        <f t="shared" si="620"/>
        <v>34.953988316307921</v>
      </c>
      <c r="AN98" s="24">
        <f t="shared" si="620"/>
        <v>48.958420070005943</v>
      </c>
      <c r="AO98" s="24">
        <f t="shared" si="620"/>
        <v>64.139402981168317</v>
      </c>
      <c r="AP98" s="24">
        <f t="shared" si="620"/>
        <v>80.496937049795051</v>
      </c>
      <c r="AQ98" s="24">
        <f t="shared" si="620"/>
        <v>98.031022275886144</v>
      </c>
      <c r="AR98" s="24">
        <f t="shared" si="620"/>
        <v>116.7416586594416</v>
      </c>
      <c r="AS98" s="24">
        <f t="shared" si="620"/>
        <v>136.6288462004614</v>
      </c>
      <c r="AT98" s="24">
        <f t="shared" si="620"/>
        <v>157.69258489894554</v>
      </c>
      <c r="AU98" s="24">
        <f t="shared" si="620"/>
        <v>196.62287687693163</v>
      </c>
      <c r="AV98" s="24">
        <f t="shared" si="620"/>
        <v>238.03297667911187</v>
      </c>
      <c r="AW98" s="24">
        <f t="shared" si="620"/>
        <v>281.92288430548621</v>
      </c>
      <c r="AX98" s="24">
        <f t="shared" si="620"/>
        <v>328.29259975605459</v>
      </c>
      <c r="AY98" s="24">
        <f t="shared" si="620"/>
        <v>377.14212303081706</v>
      </c>
      <c r="AZ98" s="24">
        <f t="shared" si="620"/>
        <v>428.47145412977369</v>
      </c>
      <c r="BA98" s="24">
        <f t="shared" si="620"/>
        <v>482.28059305292442</v>
      </c>
      <c r="BB98" s="24">
        <f t="shared" si="620"/>
        <v>538.56953980026913</v>
      </c>
      <c r="BC98" s="24">
        <f t="shared" si="620"/>
        <v>597.33829437180805</v>
      </c>
      <c r="BD98" s="24">
        <f t="shared" si="620"/>
        <v>658.58685676754101</v>
      </c>
      <c r="BE98" s="24">
        <f t="shared" si="620"/>
        <v>752.04063047629518</v>
      </c>
      <c r="BF98" s="24">
        <f t="shared" si="620"/>
        <v>849.64358000620393</v>
      </c>
      <c r="BG98" s="24">
        <f t="shared" si="620"/>
        <v>951.39570535726671</v>
      </c>
      <c r="BH98" s="24">
        <f t="shared" si="620"/>
        <v>1057.297006529484</v>
      </c>
      <c r="BI98" s="24">
        <f t="shared" si="620"/>
        <v>1167.3474835228556</v>
      </c>
      <c r="BJ98" s="24">
        <f t="shared" si="620"/>
        <v>1281.5471363373813</v>
      </c>
      <c r="BK98" s="24">
        <f t="shared" si="620"/>
        <v>1399.8959649730612</v>
      </c>
      <c r="BL98" s="24">
        <f t="shared" si="620"/>
        <v>1522.3939694298956</v>
      </c>
      <c r="BM98" s="24">
        <f t="shared" si="620"/>
        <v>1649.0411497078846</v>
      </c>
      <c r="BN98" s="24">
        <f t="shared" si="620"/>
        <v>1779.8375058070271</v>
      </c>
    </row>
    <row r="99" spans="1:66">
      <c r="A99"/>
      <c r="B99" t="s">
        <v>264</v>
      </c>
      <c r="C99" s="51" t="s">
        <v>166</v>
      </c>
      <c r="D99" s="24">
        <f>'Methanol Recycling HC'!C105</f>
        <v>0</v>
      </c>
      <c r="E99" s="24">
        <f>'Methanol Recycling HC'!D105</f>
        <v>18.264665403334401</v>
      </c>
      <c r="F99" s="24">
        <f>'Methanol Recycling HC'!E105</f>
        <v>37.814327070658763</v>
      </c>
      <c r="G99" s="24">
        <f>'Methanol Recycling HC'!F105</f>
        <v>58.654010079891066</v>
      </c>
      <c r="H99" s="24">
        <f>'Methanol Recycling HC'!G105</f>
        <v>80.788649242014301</v>
      </c>
      <c r="I99" s="24">
        <f>'Methanol Recycling HC'!H105</f>
        <v>104.22308910107623</v>
      </c>
      <c r="J99" s="24">
        <f>'Methanol Recycling HC'!I105</f>
        <v>128.96208393418974</v>
      </c>
      <c r="K99" s="24">
        <f>'Methanol Recycling HC'!J105</f>
        <v>155.01029775153251</v>
      </c>
      <c r="L99" s="24">
        <f>'Methanol Recycling HC'!K105</f>
        <v>182.37230429634727</v>
      </c>
      <c r="M99" s="24">
        <f>'Methanol Recycling HC'!L105</f>
        <v>211.05258704494162</v>
      </c>
      <c r="N99" s="24">
        <f>'Methanol Recycling HC'!M105</f>
        <v>241.055539206688</v>
      </c>
      <c r="O99" s="24">
        <f>'Methanol Recycling HC'!N105</f>
        <v>280.62607523288449</v>
      </c>
      <c r="P99" s="24">
        <f>'Methanol Recycling HC'!O105</f>
        <v>322.96413480918045</v>
      </c>
      <c r="Q99" s="24">
        <f>'Methanol Recycling HC'!P105</f>
        <v>368.05729692418669</v>
      </c>
      <c r="R99" s="24">
        <f>'Methanol Recycling HC'!Q105</f>
        <v>415.89265947515179</v>
      </c>
      <c r="S99" s="24">
        <f>'Methanol Recycling HC'!R105</f>
        <v>466.45683926796221</v>
      </c>
      <c r="T99" s="24">
        <f>'Methanol Recycling HC'!S105</f>
        <v>519.73597201714153</v>
      </c>
      <c r="U99" s="24">
        <f>'Methanol Recycling HC'!T105</f>
        <v>575.7157123458511</v>
      </c>
      <c r="V99" s="24">
        <f>'Methanol Recycling HC'!U105</f>
        <v>634.38123378589023</v>
      </c>
      <c r="W99" s="24">
        <f>'Methanol Recycling HC'!V105</f>
        <v>695.71722877769537</v>
      </c>
      <c r="X99" s="24">
        <f>'Methanol Recycling HC'!W105</f>
        <v>759.70790867034111</v>
      </c>
      <c r="Y99" s="24">
        <f>'Methanol Recycling HC'!X105</f>
        <v>843.95513271691175</v>
      </c>
      <c r="Z99" s="24">
        <f>'Methanol Recycling HC'!Y105</f>
        <v>932.45172443938952</v>
      </c>
      <c r="AA99" s="24">
        <f>'Methanol Recycling HC'!Z105</f>
        <v>1025.1720228293118</v>
      </c>
      <c r="AB99" s="24">
        <f>'Methanol Recycling HC'!AA105</f>
        <v>1122.0895988582156</v>
      </c>
      <c r="AC99" s="24">
        <f>'Methanol Recycling HC'!AB105</f>
        <v>1223.1772554776351</v>
      </c>
      <c r="AD99" s="24">
        <f>'Methanol Recycling HC'!AC105</f>
        <v>1328.4070276191017</v>
      </c>
      <c r="AE99" s="24">
        <f>'Methanol Recycling HC'!AD105</f>
        <v>1437.7501821941473</v>
      </c>
      <c r="AF99" s="24">
        <f>'Methanol Recycling HC'!AE105</f>
        <v>1551.1772180942992</v>
      </c>
      <c r="AG99" s="24">
        <f>'Methanol Recycling HC'!AF105</f>
        <v>1668.6578661910842</v>
      </c>
      <c r="AH99" s="24">
        <f>'Methanol Recycling HC'!AG105</f>
        <v>1790.1610893360287</v>
      </c>
      <c r="AI99" s="24"/>
      <c r="AJ99" s="24">
        <f t="shared" ref="AJ99:AJ101" si="621">D99</f>
        <v>0</v>
      </c>
      <c r="AK99" s="24">
        <f t="shared" si="620"/>
        <v>18.264665403334401</v>
      </c>
      <c r="AL99" s="24">
        <f t="shared" si="620"/>
        <v>37.814327070658763</v>
      </c>
      <c r="AM99" s="24">
        <f t="shared" si="620"/>
        <v>58.654010079891066</v>
      </c>
      <c r="AN99" s="24">
        <f t="shared" si="620"/>
        <v>80.788649242014301</v>
      </c>
      <c r="AO99" s="24">
        <f t="shared" si="620"/>
        <v>104.22308910107623</v>
      </c>
      <c r="AP99" s="24">
        <f t="shared" si="620"/>
        <v>128.96208393418974</v>
      </c>
      <c r="AQ99" s="24">
        <f t="shared" si="620"/>
        <v>155.01029775153251</v>
      </c>
      <c r="AR99" s="24">
        <f t="shared" si="620"/>
        <v>182.37230429634727</v>
      </c>
      <c r="AS99" s="24">
        <f t="shared" si="620"/>
        <v>211.05258704494162</v>
      </c>
      <c r="AT99" s="24">
        <f t="shared" si="620"/>
        <v>241.055539206688</v>
      </c>
      <c r="AU99" s="24">
        <f t="shared" si="620"/>
        <v>280.62607523288449</v>
      </c>
      <c r="AV99" s="24">
        <f t="shared" si="620"/>
        <v>322.96413480918045</v>
      </c>
      <c r="AW99" s="24">
        <f t="shared" si="620"/>
        <v>368.05729692418669</v>
      </c>
      <c r="AX99" s="24">
        <f t="shared" si="620"/>
        <v>415.89265947515179</v>
      </c>
      <c r="AY99" s="24">
        <f t="shared" si="620"/>
        <v>466.45683926796221</v>
      </c>
      <c r="AZ99" s="24">
        <f t="shared" si="620"/>
        <v>519.73597201714153</v>
      </c>
      <c r="BA99" s="24">
        <f t="shared" si="620"/>
        <v>575.7157123458511</v>
      </c>
      <c r="BB99" s="24">
        <f t="shared" si="620"/>
        <v>634.38123378589023</v>
      </c>
      <c r="BC99" s="24">
        <f t="shared" si="620"/>
        <v>695.71722877769537</v>
      </c>
      <c r="BD99" s="24">
        <f t="shared" si="620"/>
        <v>759.70790867034111</v>
      </c>
      <c r="BE99" s="24">
        <f t="shared" si="620"/>
        <v>843.95513271691175</v>
      </c>
      <c r="BF99" s="24">
        <f t="shared" si="620"/>
        <v>932.45172443938952</v>
      </c>
      <c r="BG99" s="24">
        <f t="shared" si="620"/>
        <v>1025.1720228293118</v>
      </c>
      <c r="BH99" s="24">
        <f t="shared" si="620"/>
        <v>1122.0895988582156</v>
      </c>
      <c r="BI99" s="24">
        <f t="shared" si="620"/>
        <v>1223.1772554776351</v>
      </c>
      <c r="BJ99" s="24">
        <f t="shared" si="620"/>
        <v>1328.4070276191017</v>
      </c>
      <c r="BK99" s="24">
        <f t="shared" si="620"/>
        <v>1437.7501821941473</v>
      </c>
      <c r="BL99" s="24">
        <f t="shared" si="620"/>
        <v>1551.1772180942992</v>
      </c>
      <c r="BM99" s="24">
        <f t="shared" si="620"/>
        <v>1668.6578661910842</v>
      </c>
      <c r="BN99" s="24">
        <f t="shared" si="620"/>
        <v>1790.1610893360287</v>
      </c>
    </row>
    <row r="100" spans="1:66">
      <c r="A100" s="169"/>
      <c r="B100" s="169" t="s">
        <v>265</v>
      </c>
      <c r="C100" s="165" t="s">
        <v>166</v>
      </c>
      <c r="D100" s="94">
        <f>'Methanol Recycling HC'!C146</f>
        <v>0</v>
      </c>
      <c r="E100" s="94">
        <f>'Methanol Recycling HC'!D146</f>
        <v>14.838968219462764</v>
      </c>
      <c r="F100" s="94">
        <f>'Methanol Recycling HC'!E146</f>
        <v>29.630662950081877</v>
      </c>
      <c r="G100" s="94">
        <f>'Methanol Recycling HC'!F146</f>
        <v>44.306609880448825</v>
      </c>
      <c r="H100" s="94">
        <f>'Methanol Recycling HC'!G146</f>
        <v>58.798334699155056</v>
      </c>
      <c r="I100" s="94">
        <f>'Methanol Recycling HC'!H146</f>
        <v>73.037363094791885</v>
      </c>
      <c r="J100" s="94">
        <f>'Methanol Recycling HC'!I146</f>
        <v>86.955220755950904</v>
      </c>
      <c r="K100" s="94">
        <f>'Methanol Recycling HC'!J146</f>
        <v>100.48343337122338</v>
      </c>
      <c r="L100" s="94">
        <f>'Methanol Recycling HC'!K146</f>
        <v>113.55352662920089</v>
      </c>
      <c r="M100" s="94">
        <f>'Methanol Recycling HC'!L146</f>
        <v>126.09702621847478</v>
      </c>
      <c r="N100" s="94">
        <f>'Methanol Recycling HC'!M146</f>
        <v>138.04545782763651</v>
      </c>
      <c r="O100" s="94">
        <f>'Methanol Recycling HC'!N146</f>
        <v>164.67470937796483</v>
      </c>
      <c r="P100" s="94">
        <f>'Methanol Recycling HC'!O146</f>
        <v>190.11496711029633</v>
      </c>
      <c r="Q100" s="94">
        <f>'Methanol Recycling HC'!P146</f>
        <v>213.29201563875901</v>
      </c>
      <c r="R100" s="94">
        <f>'Methanol Recycling HC'!Q146</f>
        <v>234.83067910529448</v>
      </c>
      <c r="S100" s="94">
        <f>'Methanol Recycling HC'!R146</f>
        <v>254.60187002043395</v>
      </c>
      <c r="T100" s="94">
        <f>'Methanol Recycling HC'!S146</f>
        <v>272.47869882978114</v>
      </c>
      <c r="U100" s="94">
        <f>'Methanol Recycling HC'!T146</f>
        <v>288.33650508773161</v>
      </c>
      <c r="V100" s="94">
        <f>'Methanol Recycling HC'!U146</f>
        <v>302.05288863119404</v>
      </c>
      <c r="W100" s="94">
        <f>'Methanol Recycling HC'!V146</f>
        <v>313.50774075330969</v>
      </c>
      <c r="X100" s="94">
        <f>'Methanol Recycling HC'!W146</f>
        <v>322.58327537717383</v>
      </c>
      <c r="Y100" s="94">
        <f>'Methanol Recycling HC'!X146</f>
        <v>343.95422568214383</v>
      </c>
      <c r="Z100" s="94">
        <f>'Methanol Recycling HC'!Y146</f>
        <v>361.41746884070056</v>
      </c>
      <c r="AA100" s="94">
        <f>'Methanol Recycling HC'!Z146</f>
        <v>371.06448642583746</v>
      </c>
      <c r="AB100" s="94">
        <f>'Methanol Recycling HC'!AA146</f>
        <v>376.17509883194708</v>
      </c>
      <c r="AC100" s="94">
        <f>'Methanol Recycling HC'!AB146</f>
        <v>376.67659675605057</v>
      </c>
      <c r="AD100" s="94">
        <f>'Methanol Recycling HC'!AC146</f>
        <v>372.51243704968959</v>
      </c>
      <c r="AE100" s="94">
        <f>'Methanol Recycling HC'!AD146</f>
        <v>363.64263391430177</v>
      </c>
      <c r="AF100" s="94">
        <f>'Methanol Recycling HC'!AE146</f>
        <v>350.04415009659533</v>
      </c>
      <c r="AG100" s="94">
        <f>'Methanol Recycling HC'!AF146</f>
        <v>331.71128808392359</v>
      </c>
      <c r="AH100" s="94">
        <f>'Methanol Recycling HC'!AG146</f>
        <v>308.65608129965955</v>
      </c>
      <c r="AI100" s="24"/>
      <c r="AJ100" s="24">
        <f t="shared" si="621"/>
        <v>0</v>
      </c>
      <c r="AK100" s="24">
        <f t="shared" si="620"/>
        <v>14.838968219462764</v>
      </c>
      <c r="AL100" s="24">
        <f t="shared" si="620"/>
        <v>29.630662950081877</v>
      </c>
      <c r="AM100" s="24">
        <f t="shared" si="620"/>
        <v>44.306609880448825</v>
      </c>
      <c r="AN100" s="24">
        <f t="shared" si="620"/>
        <v>58.798334699155056</v>
      </c>
      <c r="AO100" s="24">
        <f t="shared" si="620"/>
        <v>73.037363094791885</v>
      </c>
      <c r="AP100" s="24">
        <f t="shared" si="620"/>
        <v>86.955220755950904</v>
      </c>
      <c r="AQ100" s="24">
        <f t="shared" si="620"/>
        <v>100.48343337122338</v>
      </c>
      <c r="AR100" s="24">
        <f t="shared" si="620"/>
        <v>113.55352662920089</v>
      </c>
      <c r="AS100" s="24">
        <f t="shared" si="620"/>
        <v>126.09702621847478</v>
      </c>
      <c r="AT100" s="24">
        <f t="shared" si="620"/>
        <v>138.04545782763651</v>
      </c>
      <c r="AU100" s="24">
        <f t="shared" si="620"/>
        <v>164.67470937796483</v>
      </c>
      <c r="AV100" s="24">
        <f t="shared" si="620"/>
        <v>190.11496711029633</v>
      </c>
      <c r="AW100" s="24">
        <f t="shared" si="620"/>
        <v>213.29201563875901</v>
      </c>
      <c r="AX100" s="24">
        <f t="shared" si="620"/>
        <v>234.83067910529448</v>
      </c>
      <c r="AY100" s="24">
        <f t="shared" si="620"/>
        <v>254.60187002043395</v>
      </c>
      <c r="AZ100" s="24">
        <f t="shared" si="620"/>
        <v>272.47869882978114</v>
      </c>
      <c r="BA100" s="24">
        <f t="shared" si="620"/>
        <v>288.33650508773161</v>
      </c>
      <c r="BB100" s="24">
        <f t="shared" si="620"/>
        <v>302.05288863119404</v>
      </c>
      <c r="BC100" s="24">
        <f t="shared" si="620"/>
        <v>313.50774075330969</v>
      </c>
      <c r="BD100" s="24">
        <f t="shared" si="620"/>
        <v>322.58327537717383</v>
      </c>
      <c r="BE100" s="24">
        <f t="shared" si="620"/>
        <v>343.95422568214383</v>
      </c>
      <c r="BF100" s="24">
        <f t="shared" si="620"/>
        <v>361.41746884070056</v>
      </c>
      <c r="BG100" s="24">
        <f t="shared" si="620"/>
        <v>371.06448642583746</v>
      </c>
      <c r="BH100" s="24">
        <f t="shared" si="620"/>
        <v>376.17509883194708</v>
      </c>
      <c r="BI100" s="24">
        <f t="shared" si="620"/>
        <v>376.67659675605057</v>
      </c>
      <c r="BJ100" s="24">
        <f t="shared" si="620"/>
        <v>372.51243704968959</v>
      </c>
      <c r="BK100" s="24">
        <f t="shared" si="620"/>
        <v>363.64263391430177</v>
      </c>
      <c r="BL100" s="24">
        <f t="shared" si="620"/>
        <v>350.04415009659533</v>
      </c>
      <c r="BM100" s="24">
        <f t="shared" si="620"/>
        <v>331.71128808392359</v>
      </c>
      <c r="BN100" s="24">
        <f t="shared" si="620"/>
        <v>308.65608129965955</v>
      </c>
    </row>
    <row r="101" spans="1:66">
      <c r="A101" s="169"/>
      <c r="B101" s="169" t="s">
        <v>1187</v>
      </c>
      <c r="C101" s="165" t="s">
        <v>166</v>
      </c>
      <c r="D101" s="94">
        <f>'Methanol Recycling HC'!C200</f>
        <v>0</v>
      </c>
      <c r="E101" s="94">
        <f>'Methanol Recycling HC'!D200</f>
        <v>-7.3352743119586172E-2</v>
      </c>
      <c r="F101" s="94">
        <f>'Methanol Recycling HC'!E200</f>
        <v>-5.4920798713417165E-2</v>
      </c>
      <c r="G101" s="94">
        <f>'Methanol Recycling HC'!F200</f>
        <v>-3.4561270602690167E-2</v>
      </c>
      <c r="H101" s="94">
        <f>'Methanol Recycling HC'!G200</f>
        <v>-1.219000623018035E-2</v>
      </c>
      <c r="I101" s="94">
        <f>'Methanol Recycling HC'!H200</f>
        <v>1.2277146961337138E-2</v>
      </c>
      <c r="J101" s="94">
        <f>'Methanol Recycling HC'!I200</f>
        <v>3.2917469082039547E-2</v>
      </c>
      <c r="K101" s="94">
        <f>'Methanol Recycling HC'!J200</f>
        <v>5.4035261326824818E-2</v>
      </c>
      <c r="L101" s="94">
        <f>'Methanol Recycling HC'!K200</f>
        <v>7.5496984533231282E-2</v>
      </c>
      <c r="M101" s="94">
        <f>'Methanol Recycling HC'!L200</f>
        <v>9.7158698282724804E-2</v>
      </c>
      <c r="N101" s="94">
        <f>'Methanol Recycling HC'!M200</f>
        <v>0.11886606090069798</v>
      </c>
      <c r="O101" s="94">
        <f>'Methanol Recycling HC'!N200</f>
        <v>0.15000841699156156</v>
      </c>
      <c r="P101" s="94">
        <f>'Methanol Recycling HC'!O200</f>
        <v>0.18165139938574185</v>
      </c>
      <c r="Q101" s="94">
        <f>'Methanol Recycling HC'!P200</f>
        <v>0.21349987840720727</v>
      </c>
      <c r="R101" s="94">
        <f>'Methanol Recycling HC'!Q200</f>
        <v>0.24523680173251058</v>
      </c>
      <c r="S101" s="94">
        <f>'Methanol Recycling HC'!R200</f>
        <v>0.2765231943907891</v>
      </c>
      <c r="T101" s="94">
        <f>'Methanol Recycling HC'!S200</f>
        <v>0.31337368664231757</v>
      </c>
      <c r="U101" s="94">
        <f>'Methanol Recycling HC'!T200</f>
        <v>0.35050309730225027</v>
      </c>
      <c r="V101" s="94">
        <f>'Methanol Recycling HC'!U200</f>
        <v>0.38766197362991039</v>
      </c>
      <c r="W101" s="94">
        <f>'Methanol Recycling HC'!V200</f>
        <v>0.42458539642139681</v>
      </c>
      <c r="X101" s="94">
        <f>'Methanol Recycling HC'!W200</f>
        <v>0.46099298000958278</v>
      </c>
      <c r="Y101" s="94">
        <f>'Methanol Recycling HC'!X200</f>
        <v>0.51296557746167282</v>
      </c>
      <c r="Z101" s="94">
        <f>'Methanol Recycling HC'!Y200</f>
        <v>0.5643064578657554</v>
      </c>
      <c r="AA101" s="94">
        <f>'Methanol Recycling HC'!Z200</f>
        <v>0.6145360154167484</v>
      </c>
      <c r="AB101" s="94">
        <f>'Methanol Recycling HC'!AA200</f>
        <v>0.66314876606423656</v>
      </c>
      <c r="AC101" s="94">
        <f>'Methanol Recycling HC'!AB200</f>
        <v>0.70961334751247285</v>
      </c>
      <c r="AD101" s="94">
        <f>'Methanol Recycling HC'!AC200</f>
        <v>0.74430823719648342</v>
      </c>
      <c r="AE101" s="94">
        <f>'Methanol Recycling HC'!AD200</f>
        <v>0.77394599452311974</v>
      </c>
      <c r="AF101" s="94">
        <f>'Methanol Recycling HC'!AE200</f>
        <v>0.79776293625974504</v>
      </c>
      <c r="AG101" s="94">
        <f>'Methanol Recycling HC'!AF200</f>
        <v>0.81496415908875552</v>
      </c>
      <c r="AH101" s="94">
        <f>'Methanol Recycling HC'!AG200</f>
        <v>0.82472353960758349</v>
      </c>
      <c r="AI101" s="24"/>
      <c r="AJ101" s="24">
        <f t="shared" si="621"/>
        <v>0</v>
      </c>
      <c r="AK101" s="24">
        <f t="shared" si="620"/>
        <v>-7.3352743119586172E-2</v>
      </c>
      <c r="AL101" s="24">
        <f t="shared" si="620"/>
        <v>-5.4920798713417165E-2</v>
      </c>
      <c r="AM101" s="24">
        <f t="shared" si="620"/>
        <v>-3.4561270602690167E-2</v>
      </c>
      <c r="AN101" s="24">
        <f t="shared" si="620"/>
        <v>-1.219000623018035E-2</v>
      </c>
      <c r="AO101" s="24">
        <f t="shared" si="620"/>
        <v>1.2277146961337138E-2</v>
      </c>
      <c r="AP101" s="24">
        <f t="shared" si="620"/>
        <v>3.2917469082039547E-2</v>
      </c>
      <c r="AQ101" s="24">
        <f t="shared" si="620"/>
        <v>5.4035261326824818E-2</v>
      </c>
      <c r="AR101" s="24">
        <f t="shared" si="620"/>
        <v>7.5496984533231282E-2</v>
      </c>
      <c r="AS101" s="24">
        <f t="shared" si="620"/>
        <v>9.7158698282724804E-2</v>
      </c>
      <c r="AT101" s="24">
        <f t="shared" si="620"/>
        <v>0.11886606090069798</v>
      </c>
      <c r="AU101" s="24">
        <f t="shared" si="620"/>
        <v>0.15000841699156156</v>
      </c>
      <c r="AV101" s="24">
        <f t="shared" si="620"/>
        <v>0.18165139938574185</v>
      </c>
      <c r="AW101" s="24">
        <f t="shared" si="620"/>
        <v>0.21349987840720727</v>
      </c>
      <c r="AX101" s="24">
        <f t="shared" si="620"/>
        <v>0.24523680173251058</v>
      </c>
      <c r="AY101" s="24">
        <f t="shared" si="620"/>
        <v>0.2765231943907891</v>
      </c>
      <c r="AZ101" s="24">
        <f t="shared" si="620"/>
        <v>0.31337368664231757</v>
      </c>
      <c r="BA101" s="24">
        <f t="shared" si="620"/>
        <v>0.35050309730225027</v>
      </c>
      <c r="BB101" s="24">
        <f t="shared" si="620"/>
        <v>0.38766197362991039</v>
      </c>
      <c r="BC101" s="24">
        <f t="shared" si="620"/>
        <v>0.42458539642139681</v>
      </c>
      <c r="BD101" s="24">
        <f t="shared" si="620"/>
        <v>0.46099298000958278</v>
      </c>
      <c r="BE101" s="24">
        <f t="shared" si="620"/>
        <v>0.51296557746167282</v>
      </c>
      <c r="BF101" s="24">
        <f t="shared" si="620"/>
        <v>0.5643064578657554</v>
      </c>
      <c r="BG101" s="24">
        <f t="shared" si="620"/>
        <v>0.6145360154167484</v>
      </c>
      <c r="BH101" s="24">
        <f t="shared" si="620"/>
        <v>0.66314876606423656</v>
      </c>
      <c r="BI101" s="24">
        <f t="shared" si="620"/>
        <v>0.70961334751247285</v>
      </c>
      <c r="BJ101" s="24">
        <f t="shared" si="620"/>
        <v>0.74430823719648342</v>
      </c>
      <c r="BK101" s="24">
        <f t="shared" si="620"/>
        <v>0.77394599452311974</v>
      </c>
      <c r="BL101" s="24">
        <f t="shared" si="620"/>
        <v>0.79776293625974504</v>
      </c>
      <c r="BM101" s="24">
        <f t="shared" si="620"/>
        <v>0.81496415908875552</v>
      </c>
      <c r="BN101" s="24">
        <f t="shared" si="620"/>
        <v>0.82472353960758349</v>
      </c>
    </row>
    <row r="102" spans="1:66">
      <c r="A102" s="224"/>
      <c r="B102" s="224" t="s">
        <v>263</v>
      </c>
      <c r="C102" s="225" t="s">
        <v>166</v>
      </c>
      <c r="D102" s="658">
        <f>D97-D98-D99-D100-D101</f>
        <v>3.5915366975270882</v>
      </c>
      <c r="E102" s="658">
        <f t="shared" ref="E102:AG102" si="622">E97-E98-E99-E100-E101</f>
        <v>-39.940352269676048</v>
      </c>
      <c r="F102" s="658">
        <f t="shared" si="622"/>
        <v>-85.980250024532708</v>
      </c>
      <c r="G102" s="658">
        <f t="shared" si="622"/>
        <v>-134.3749087816127</v>
      </c>
      <c r="H102" s="658">
        <f t="shared" si="622"/>
        <v>-185.06093317209485</v>
      </c>
      <c r="I102" s="658">
        <f t="shared" si="622"/>
        <v>-237.97483901899037</v>
      </c>
      <c r="J102" s="658">
        <f t="shared" si="622"/>
        <v>-293.04704649696049</v>
      </c>
      <c r="K102" s="658">
        <f t="shared" si="622"/>
        <v>-350.21811405878725</v>
      </c>
      <c r="L102" s="658">
        <f t="shared" si="622"/>
        <v>-409.42407360756062</v>
      </c>
      <c r="M102" s="658">
        <f t="shared" si="622"/>
        <v>-470.60085797011044</v>
      </c>
      <c r="N102" s="658">
        <f t="shared" si="622"/>
        <v>-533.68430093205609</v>
      </c>
      <c r="O102" s="658">
        <f t="shared" si="622"/>
        <v>-638.89466722470661</v>
      </c>
      <c r="P102" s="658">
        <f t="shared" si="622"/>
        <v>-748.16647554344786</v>
      </c>
      <c r="Q102" s="658">
        <f t="shared" si="622"/>
        <v>-860.41286868929478</v>
      </c>
      <c r="R102" s="658">
        <f t="shared" si="622"/>
        <v>-976.24552775170594</v>
      </c>
      <c r="S102" s="658">
        <f t="shared" si="622"/>
        <v>-1095.5217209882169</v>
      </c>
      <c r="T102" s="658">
        <f t="shared" si="622"/>
        <v>-1218.1067889584649</v>
      </c>
      <c r="U102" s="658">
        <f t="shared" si="622"/>
        <v>-1343.8565223217247</v>
      </c>
      <c r="V102" s="658">
        <f t="shared" si="622"/>
        <v>-1472.6335285918472</v>
      </c>
      <c r="W102" s="658">
        <f t="shared" si="622"/>
        <v>-1604.3022121582617</v>
      </c>
      <c r="X102" s="658">
        <f t="shared" si="622"/>
        <v>-1738.7288055027618</v>
      </c>
      <c r="Y102" s="658">
        <f t="shared" si="622"/>
        <v>-1937.9352060524884</v>
      </c>
      <c r="Z102" s="658">
        <f t="shared" si="622"/>
        <v>-2141.6353699081192</v>
      </c>
      <c r="AA102" s="658">
        <f t="shared" si="622"/>
        <v>-2345.894735186549</v>
      </c>
      <c r="AB102" s="658">
        <f t="shared" si="622"/>
        <v>-2553.9662872027484</v>
      </c>
      <c r="AC102" s="658">
        <f t="shared" si="622"/>
        <v>-2765.7496900002579</v>
      </c>
      <c r="AD102" s="658">
        <f t="shared" si="622"/>
        <v>-2981.150917971343</v>
      </c>
      <c r="AE102" s="658">
        <f t="shared" si="622"/>
        <v>-3200.1080713459378</v>
      </c>
      <c r="AF102" s="658">
        <f t="shared" si="622"/>
        <v>-3422.567957114788</v>
      </c>
      <c r="AG102" s="658">
        <f t="shared" si="622"/>
        <v>-3648.4939253008461</v>
      </c>
      <c r="AH102" s="658">
        <f>AH97-AH98-AH99-AH100-AH101</f>
        <v>-3877.8662602092068</v>
      </c>
      <c r="AI102" s="24"/>
      <c r="AJ102" s="658">
        <f>AJ97-AJ98-AJ99-AJ100-AJ101</f>
        <v>3.5915366975270882</v>
      </c>
      <c r="AK102" s="658">
        <f t="shared" ref="AK102" si="623">AK97-AK98-AK99-AK100-AK101</f>
        <v>-39.889779848665952</v>
      </c>
      <c r="AL102" s="658">
        <f t="shared" ref="AL102" si="624">AL97-AL98-AL99-AL100-AL101</f>
        <v>-85.877385720198163</v>
      </c>
      <c r="AM102" s="658">
        <f t="shared" ref="AM102" si="625">AM97-AM98-AM99-AM100-AM101</f>
        <v>-134.21798928535034</v>
      </c>
      <c r="AN102" s="658">
        <f t="shared" ref="AN102" si="626">AN97-AN98-AN99-AN100-AN101</f>
        <v>-184.84815033516313</v>
      </c>
      <c r="AO102" s="658">
        <f t="shared" ref="AO102" si="627">AO97-AO98-AO99-AO100-AO101</f>
        <v>-237.70433883754089</v>
      </c>
      <c r="AP102" s="658">
        <f t="shared" ref="AP102" si="628">AP97-AP98-AP99-AP100-AP101</f>
        <v>-292.7169280755196</v>
      </c>
      <c r="AQ102" s="658">
        <f t="shared" ref="AQ102" si="629">AQ97-AQ98-AQ99-AQ100-AQ101</f>
        <v>-349.8264285517476</v>
      </c>
      <c r="AR102" s="658">
        <f t="shared" ref="AR102" si="630">AR97-AR98-AR99-AR100-AR101</f>
        <v>-408.96882313823556</v>
      </c>
      <c r="AS102" s="658">
        <f t="shared" ref="AS102" si="631">AS97-AS98-AS99-AS100-AS101</f>
        <v>-470.07999452689404</v>
      </c>
      <c r="AT102" s="658">
        <f t="shared" ref="AT102" si="632">AT97-AT98-AT99-AT100-AT101</f>
        <v>-533.09572524122154</v>
      </c>
      <c r="AU102" s="658">
        <f t="shared" ref="AU102" si="633">AU97-AU98-AU99-AU100-AU101</f>
        <v>-638.23622759937007</v>
      </c>
      <c r="AV102" s="658">
        <f t="shared" ref="AV102" si="634">AV97-AV98-AV99-AV100-AV101</f>
        <v>-747.43596670821069</v>
      </c>
      <c r="AW102" s="658">
        <f t="shared" ref="AW102" si="635">AW97-AW98-AW99-AW100-AW101</f>
        <v>-859.60803058007241</v>
      </c>
      <c r="AX102" s="658">
        <f t="shared" ref="AX102" si="636">AX97-AX98-AX99-AX100-AX101</f>
        <v>-975.36404429023605</v>
      </c>
      <c r="AY102" s="658">
        <f t="shared" ref="AY102" si="637">AY97-AY98-AY99-AY100-AY101</f>
        <v>-1094.5612188307366</v>
      </c>
      <c r="AZ102" s="658">
        <f t="shared" ref="AZ102" si="638">AZ97-AZ98-AZ99-AZ100-AZ101</f>
        <v>-1217.0648362180305</v>
      </c>
      <c r="BA102" s="658">
        <f t="shared" ref="BA102" si="639">BA97-BA98-BA99-BA100-BA101</f>
        <v>-1342.7306272636388</v>
      </c>
      <c r="BB102" s="658">
        <f t="shared" ref="BB102" si="640">BB97-BB98-BB99-BB100-BB101</f>
        <v>-1471.4211383016518</v>
      </c>
      <c r="BC102" s="658">
        <f t="shared" ref="BC102" si="641">BC97-BC98-BC99-BC100-BC101</f>
        <v>-1603.0007111817372</v>
      </c>
      <c r="BD102" s="658">
        <f t="shared" ref="BD102" si="642">BD97-BD98-BD99-BD100-BD101</f>
        <v>-1737.3355144573668</v>
      </c>
      <c r="BE102" s="658">
        <f t="shared" ref="BE102" si="643">BE97-BE98-BE99-BE100-BE101</f>
        <v>-1936.4452332748251</v>
      </c>
      <c r="BF102" s="658">
        <f t="shared" ref="BF102" si="644">BF97-BF98-BF99-BF100-BF101</f>
        <v>-2140.0458308804027</v>
      </c>
      <c r="BG102" s="658">
        <f t="shared" ref="BG102" si="645">BG97-BG98-BG99-BG100-BG101</f>
        <v>-2344.2026752584102</v>
      </c>
      <c r="BH102" s="658">
        <f t="shared" ref="BH102" si="646">BH97-BH98-BH99-BH100-BH101</f>
        <v>-2552.1686800403522</v>
      </c>
      <c r="BI102" s="658">
        <f t="shared" ref="BI102" si="647">BI97-BI98-BI99-BI100-BI101</f>
        <v>-2763.8434360029578</v>
      </c>
      <c r="BJ102" s="658">
        <f t="shared" ref="BJ102" si="648">BJ97-BJ98-BJ99-BJ100-BJ101</f>
        <v>-2979.1328426552227</v>
      </c>
      <c r="BK102" s="658">
        <f t="shared" ref="BK102" si="649">BK97-BK98-BK99-BK100-BK101</f>
        <v>-3197.9749236935636</v>
      </c>
      <c r="BL102" s="658">
        <f t="shared" ref="BL102" si="650">BL97-BL98-BL99-BL100-BL101</f>
        <v>-3420.3164078904933</v>
      </c>
      <c r="BM102" s="658">
        <f t="shared" ref="BM102" si="651">BM97-BM98-BM99-BM100-BM101</f>
        <v>-3646.1205653308562</v>
      </c>
      <c r="BN102" s="658">
        <f t="shared" ref="BN102" si="652">BN97-BN98-BN99-BN100-BN101</f>
        <v>-3875.3675986258945</v>
      </c>
    </row>
    <row r="103" spans="1:66" s="62" customFormat="1">
      <c r="A103" s="684"/>
      <c r="B103" s="55" t="s">
        <v>885</v>
      </c>
      <c r="C103" s="56" t="s">
        <v>166</v>
      </c>
      <c r="D103" s="650">
        <f>D44-0.3*(D97-D102)</f>
        <v>0.60223696598382381</v>
      </c>
      <c r="E103" s="650">
        <f t="shared" ref="E103:AH103" si="653">E44-0.3*(E97-E102)</f>
        <v>-12.467942903966412</v>
      </c>
      <c r="F103" s="650">
        <f t="shared" si="653"/>
        <v>-26.28776533091844</v>
      </c>
      <c r="G103" s="650">
        <f t="shared" si="653"/>
        <v>-40.811759820330842</v>
      </c>
      <c r="H103" s="650">
        <f t="shared" si="653"/>
        <v>-56.021275535323525</v>
      </c>
      <c r="I103" s="650">
        <f t="shared" si="653"/>
        <v>-71.897541139914907</v>
      </c>
      <c r="J103" s="650">
        <f t="shared" si="653"/>
        <v>-88.419890146908699</v>
      </c>
      <c r="K103" s="650">
        <f t="shared" si="653"/>
        <v>-105.57064941320036</v>
      </c>
      <c r="L103" s="650">
        <f t="shared" si="653"/>
        <v>-123.33075225510288</v>
      </c>
      <c r="M103" s="650">
        <f t="shared" si="653"/>
        <v>-141.68107550428411</v>
      </c>
      <c r="N103" s="650">
        <f t="shared" si="653"/>
        <v>-160.60244582656995</v>
      </c>
      <c r="O103" s="650">
        <f t="shared" si="653"/>
        <v>-192.15639952278843</v>
      </c>
      <c r="P103" s="650">
        <f t="shared" si="653"/>
        <v>-224.9283675141028</v>
      </c>
      <c r="Q103" s="650">
        <f t="shared" si="653"/>
        <v>-258.59228762823199</v>
      </c>
      <c r="R103" s="650">
        <f t="shared" si="653"/>
        <v>-293.33165938261885</v>
      </c>
      <c r="S103" s="650">
        <f t="shared" si="653"/>
        <v>-329.10365868584654</v>
      </c>
      <c r="T103" s="650">
        <f t="shared" si="653"/>
        <v>-365.86755746008077</v>
      </c>
      <c r="U103" s="650">
        <f t="shared" si="653"/>
        <v>-403.58042591203724</v>
      </c>
      <c r="V103" s="650">
        <f t="shared" si="653"/>
        <v>-442.20104339176481</v>
      </c>
      <c r="W103" s="650">
        <f t="shared" si="653"/>
        <v>-481.6887288511532</v>
      </c>
      <c r="X103" s="650">
        <f t="shared" si="653"/>
        <v>-522.00335027167444</v>
      </c>
      <c r="Y103" s="650">
        <f t="shared" si="653"/>
        <v>-581.75032756072028</v>
      </c>
      <c r="Z103" s="650">
        <f t="shared" si="653"/>
        <v>-642.8450060331503</v>
      </c>
      <c r="AA103" s="650">
        <f t="shared" si="653"/>
        <v>-704.10702106946644</v>
      </c>
      <c r="AB103" s="650">
        <f t="shared" si="653"/>
        <v>-766.51227357379696</v>
      </c>
      <c r="AC103" s="650">
        <f t="shared" si="653"/>
        <v>-830.03066957862063</v>
      </c>
      <c r="AD103" s="650">
        <f t="shared" si="653"/>
        <v>-894.63400989145339</v>
      </c>
      <c r="AE103" s="650">
        <f t="shared" si="653"/>
        <v>-960.30373491897456</v>
      </c>
      <c r="AF103" s="650">
        <f t="shared" si="653"/>
        <v>-1027.0238991401927</v>
      </c>
      <c r="AG103" s="650">
        <f t="shared" si="653"/>
        <v>-1094.7835222051035</v>
      </c>
      <c r="AH103" s="650">
        <f t="shared" si="653"/>
        <v>-1163.576706550474</v>
      </c>
      <c r="AI103" s="650"/>
      <c r="AJ103" s="650">
        <f>AJ44-0.5*(AJ97-AJ102)</f>
        <v>0.60223696598382381</v>
      </c>
      <c r="AK103" s="650">
        <f t="shared" ref="AK103" si="654">AK44-0.5*(AK97-AK102)</f>
        <v>-21.160675572232151</v>
      </c>
      <c r="AL103" s="650">
        <f t="shared" ref="AL103" si="655">AL44-0.5*(AL97-AL102)</f>
        <v>-44.174503464605714</v>
      </c>
      <c r="AM103" s="650">
        <f t="shared" ref="AM103" si="656">AM44-0.5*(AM97-AM102)</f>
        <v>-68.363045670538384</v>
      </c>
      <c r="AN103" s="650">
        <f t="shared" ref="AN103" si="657">AN44-0.5*(AN97-AN102)</f>
        <v>-93.694907267183552</v>
      </c>
      <c r="AO103" s="650">
        <f t="shared" ref="AO103" si="658">AO44-0.5*(AO97-AO102)</f>
        <v>-120.13856591373906</v>
      </c>
      <c r="AP103" s="650">
        <f t="shared" ref="AP103" si="659">AP44-0.5*(AP97-AP102)</f>
        <v>-147.65939249321679</v>
      </c>
      <c r="AQ103" s="650">
        <f t="shared" ref="AQ103" si="660">AQ44-0.5*(AQ97-AQ102)</f>
        <v>-176.22778415609554</v>
      </c>
      <c r="AR103" s="650">
        <f t="shared" ref="AR103" si="661">AR44-0.5*(AR97-AR102)</f>
        <v>-205.81184293049654</v>
      </c>
      <c r="AS103" s="650">
        <f t="shared" ref="AS103" si="662">AS44-0.5*(AS97-AS102)</f>
        <v>-236.37959718750548</v>
      </c>
      <c r="AT103" s="650">
        <f t="shared" ref="AT103" si="663">AT44-0.5*(AT97-AT102)</f>
        <v>-267.89900718504754</v>
      </c>
      <c r="AU103" s="650">
        <f t="shared" ref="AU103" si="664">AU44-0.5*(AU97-AU102)</f>
        <v>-320.47467674726204</v>
      </c>
      <c r="AV103" s="650">
        <f t="shared" ref="AV103" si="665">AV44-0.5*(AV97-AV102)</f>
        <v>-375.07971818437568</v>
      </c>
      <c r="AW103" s="650">
        <f t="shared" ref="AW103" si="666">AW44-0.5*(AW97-AW102)</f>
        <v>-431.17066640523512</v>
      </c>
      <c r="AX103" s="650">
        <f t="shared" ref="AX103" si="667">AX44-0.5*(AX97-AX102)</f>
        <v>-489.05332455861839</v>
      </c>
      <c r="AY103" s="650">
        <f t="shared" ref="AY103" si="668">AY44-0.5*(AY97-AY102)</f>
        <v>-548.65628845680624</v>
      </c>
      <c r="AZ103" s="650">
        <f t="shared" ref="AZ103" si="669">AZ44-0.5*(AZ97-AZ102)</f>
        <v>-609.91174575787556</v>
      </c>
      <c r="BA103" s="650">
        <f t="shared" ref="BA103" si="670">BA44-0.5*(BA97-BA102)</f>
        <v>-672.74798551776553</v>
      </c>
      <c r="BB103" s="650">
        <f t="shared" ref="BB103" si="671">BB44-0.5*(BB97-BB102)</f>
        <v>-737.09626950729034</v>
      </c>
      <c r="BC103" s="650">
        <f t="shared" ref="BC103" si="672">BC44-0.5*(BC97-BC102)</f>
        <v>-802.88875692507793</v>
      </c>
      <c r="BD103" s="650">
        <f t="shared" ref="BD103" si="673">BD44-0.5*(BD97-BD102)</f>
        <v>-870.0585199839752</v>
      </c>
      <c r="BE103" s="650">
        <f t="shared" ref="BE103" si="674">BE44-0.5*(BE97-BE102)</f>
        <v>-969.61388379048287</v>
      </c>
      <c r="BF103" s="650">
        <f t="shared" ref="BF103" si="675">BF44-0.5*(BF97-BF102)</f>
        <v>-1071.4142694152374</v>
      </c>
      <c r="BG103" s="650">
        <f t="shared" ref="BG103" si="676">BG44-0.5*(BG97-BG102)</f>
        <v>-1173.4923453080748</v>
      </c>
      <c r="BH103" s="650">
        <f t="shared" ref="BH103" si="677">BH44-0.5*(BH97-BH102)</f>
        <v>-1277.4745522561634</v>
      </c>
      <c r="BI103" s="650">
        <f t="shared" ref="BI103" si="678">BI44-0.5*(BI97-BI102)</f>
        <v>-1383.3106691145999</v>
      </c>
      <c r="BJ103" s="650">
        <f t="shared" ref="BJ103" si="679">BJ44-0.5*(BJ97-BJ102)</f>
        <v>-1490.9536285803658</v>
      </c>
      <c r="BK103" s="650">
        <f t="shared" ref="BK103" si="680">BK44-0.5*(BK97-BK102)</f>
        <v>-1600.3724248990707</v>
      </c>
      <c r="BL103" s="650">
        <f t="shared" ref="BL103" si="681">BL44-0.5*(BL97-BL102)</f>
        <v>-1711.540404287065</v>
      </c>
      <c r="BM103" s="650">
        <f t="shared" ref="BM103" si="682">BM44-0.5*(BM97-BM102)</f>
        <v>-1824.4391830257964</v>
      </c>
      <c r="BN103" s="650">
        <f t="shared" ref="BN103" si="683">BN44-0.5*(BN97-BN102)</f>
        <v>-1939.0588430433759</v>
      </c>
    </row>
    <row r="104" spans="1:66">
      <c r="A104" s="685"/>
      <c r="B104" s="1" t="s">
        <v>1182</v>
      </c>
      <c r="C104" s="51" t="s">
        <v>166</v>
      </c>
      <c r="D104" s="24">
        <f t="shared" ref="D104" si="684">D45</f>
        <v>0</v>
      </c>
      <c r="E104" s="24">
        <f t="shared" ref="E104:AH104" si="685">E45</f>
        <v>0</v>
      </c>
      <c r="F104" s="24">
        <f t="shared" si="685"/>
        <v>0</v>
      </c>
      <c r="G104" s="24">
        <f t="shared" si="685"/>
        <v>0</v>
      </c>
      <c r="H104" s="24">
        <f t="shared" si="685"/>
        <v>0</v>
      </c>
      <c r="I104" s="24">
        <f t="shared" si="685"/>
        <v>0</v>
      </c>
      <c r="J104" s="24">
        <f t="shared" si="685"/>
        <v>0</v>
      </c>
      <c r="K104" s="24">
        <f t="shared" si="685"/>
        <v>0</v>
      </c>
      <c r="L104" s="24">
        <f t="shared" si="685"/>
        <v>0</v>
      </c>
      <c r="M104" s="24">
        <f t="shared" si="685"/>
        <v>0</v>
      </c>
      <c r="N104" s="24">
        <f t="shared" si="685"/>
        <v>0</v>
      </c>
      <c r="O104" s="24">
        <f t="shared" si="685"/>
        <v>0</v>
      </c>
      <c r="P104" s="24">
        <f t="shared" si="685"/>
        <v>0</v>
      </c>
      <c r="Q104" s="24">
        <f t="shared" si="685"/>
        <v>0</v>
      </c>
      <c r="R104" s="24">
        <f t="shared" si="685"/>
        <v>0</v>
      </c>
      <c r="S104" s="24">
        <f t="shared" si="685"/>
        <v>0</v>
      </c>
      <c r="T104" s="24">
        <f t="shared" si="685"/>
        <v>0</v>
      </c>
      <c r="U104" s="24">
        <f t="shared" si="685"/>
        <v>0</v>
      </c>
      <c r="V104" s="24">
        <f t="shared" si="685"/>
        <v>0</v>
      </c>
      <c r="W104" s="24">
        <f t="shared" si="685"/>
        <v>0</v>
      </c>
      <c r="X104" s="24">
        <f t="shared" si="685"/>
        <v>0</v>
      </c>
      <c r="Y104" s="24">
        <f t="shared" si="685"/>
        <v>0</v>
      </c>
      <c r="Z104" s="24">
        <f t="shared" si="685"/>
        <v>0</v>
      </c>
      <c r="AA104" s="24">
        <f t="shared" si="685"/>
        <v>0</v>
      </c>
      <c r="AB104" s="24">
        <f t="shared" si="685"/>
        <v>0</v>
      </c>
      <c r="AC104" s="24">
        <f t="shared" si="685"/>
        <v>0</v>
      </c>
      <c r="AD104" s="24">
        <f t="shared" si="685"/>
        <v>0</v>
      </c>
      <c r="AE104" s="24">
        <f t="shared" si="685"/>
        <v>0</v>
      </c>
      <c r="AF104" s="24">
        <f t="shared" si="685"/>
        <v>0</v>
      </c>
      <c r="AG104" s="24">
        <f t="shared" si="685"/>
        <v>0</v>
      </c>
      <c r="AH104" s="24">
        <f t="shared" si="685"/>
        <v>0</v>
      </c>
      <c r="AI104" s="24"/>
      <c r="AJ104" s="24">
        <f t="shared" ref="AJ104:BN104" si="686">AJ45</f>
        <v>0</v>
      </c>
      <c r="AK104" s="24">
        <f t="shared" si="686"/>
        <v>0</v>
      </c>
      <c r="AL104" s="24">
        <f t="shared" si="686"/>
        <v>0</v>
      </c>
      <c r="AM104" s="24">
        <f t="shared" si="686"/>
        <v>0</v>
      </c>
      <c r="AN104" s="24">
        <f t="shared" si="686"/>
        <v>0</v>
      </c>
      <c r="AO104" s="24">
        <f t="shared" si="686"/>
        <v>0</v>
      </c>
      <c r="AP104" s="24">
        <f t="shared" si="686"/>
        <v>0</v>
      </c>
      <c r="AQ104" s="24">
        <f t="shared" si="686"/>
        <v>0</v>
      </c>
      <c r="AR104" s="24">
        <f t="shared" si="686"/>
        <v>0</v>
      </c>
      <c r="AS104" s="24">
        <f t="shared" si="686"/>
        <v>0</v>
      </c>
      <c r="AT104" s="24">
        <f t="shared" si="686"/>
        <v>0</v>
      </c>
      <c r="AU104" s="24">
        <f t="shared" si="686"/>
        <v>0</v>
      </c>
      <c r="AV104" s="24">
        <f t="shared" si="686"/>
        <v>0</v>
      </c>
      <c r="AW104" s="24">
        <f t="shared" si="686"/>
        <v>0</v>
      </c>
      <c r="AX104" s="24">
        <f t="shared" si="686"/>
        <v>0</v>
      </c>
      <c r="AY104" s="24">
        <f t="shared" si="686"/>
        <v>0</v>
      </c>
      <c r="AZ104" s="24">
        <f t="shared" si="686"/>
        <v>0</v>
      </c>
      <c r="BA104" s="24">
        <f t="shared" si="686"/>
        <v>0</v>
      </c>
      <c r="BB104" s="24">
        <f t="shared" si="686"/>
        <v>0</v>
      </c>
      <c r="BC104" s="24">
        <f t="shared" si="686"/>
        <v>0</v>
      </c>
      <c r="BD104" s="24">
        <f t="shared" si="686"/>
        <v>0</v>
      </c>
      <c r="BE104" s="24">
        <f t="shared" si="686"/>
        <v>0</v>
      </c>
      <c r="BF104" s="24">
        <f t="shared" si="686"/>
        <v>0</v>
      </c>
      <c r="BG104" s="24">
        <f t="shared" si="686"/>
        <v>0</v>
      </c>
      <c r="BH104" s="24">
        <f t="shared" si="686"/>
        <v>0</v>
      </c>
      <c r="BI104" s="24">
        <f t="shared" si="686"/>
        <v>0</v>
      </c>
      <c r="BJ104" s="24">
        <f t="shared" si="686"/>
        <v>0</v>
      </c>
      <c r="BK104" s="24">
        <f t="shared" si="686"/>
        <v>0</v>
      </c>
      <c r="BL104" s="24">
        <f t="shared" si="686"/>
        <v>0</v>
      </c>
      <c r="BM104" s="24">
        <f t="shared" si="686"/>
        <v>0</v>
      </c>
      <c r="BN104" s="24">
        <f t="shared" si="686"/>
        <v>0</v>
      </c>
    </row>
    <row r="105" spans="1:66" s="63" customFormat="1">
      <c r="A105" s="686"/>
      <c r="B105" s="59" t="s">
        <v>27</v>
      </c>
      <c r="C105" s="262" t="s">
        <v>166</v>
      </c>
      <c r="D105" s="652">
        <f>D46-0.7*(D97-D102)</f>
        <v>2.9892997315432641</v>
      </c>
      <c r="E105" s="652">
        <f t="shared" ref="E105:AH105" si="687">E46-0.7*(E97-E102)</f>
        <v>-27.47240936570963</v>
      </c>
      <c r="F105" s="652">
        <f t="shared" si="687"/>
        <v>-59.692484693614261</v>
      </c>
      <c r="G105" s="652">
        <f t="shared" si="687"/>
        <v>-93.56314896128184</v>
      </c>
      <c r="H105" s="652">
        <f t="shared" si="687"/>
        <v>-129.03965763677132</v>
      </c>
      <c r="I105" s="652">
        <f t="shared" si="687"/>
        <v>-166.07729787907545</v>
      </c>
      <c r="J105" s="652">
        <f t="shared" si="687"/>
        <v>-204.62715635005179</v>
      </c>
      <c r="K105" s="652">
        <f t="shared" si="687"/>
        <v>-244.64746464558687</v>
      </c>
      <c r="L105" s="652">
        <f t="shared" si="687"/>
        <v>-286.09332135245768</v>
      </c>
      <c r="M105" s="652">
        <f t="shared" si="687"/>
        <v>-328.9197824658263</v>
      </c>
      <c r="N105" s="652">
        <f t="shared" si="687"/>
        <v>-373.08185510548617</v>
      </c>
      <c r="O105" s="652">
        <f t="shared" si="687"/>
        <v>-446.73826770191812</v>
      </c>
      <c r="P105" s="652">
        <f t="shared" si="687"/>
        <v>-523.23810802934509</v>
      </c>
      <c r="Q105" s="652">
        <f t="shared" si="687"/>
        <v>-601.82058106106274</v>
      </c>
      <c r="R105" s="652">
        <f t="shared" si="687"/>
        <v>-682.91386836908703</v>
      </c>
      <c r="S105" s="652">
        <f t="shared" si="687"/>
        <v>-766.41806230237034</v>
      </c>
      <c r="T105" s="652">
        <f t="shared" si="687"/>
        <v>-852.23923149838413</v>
      </c>
      <c r="U105" s="652">
        <f t="shared" si="687"/>
        <v>-940.2760964096874</v>
      </c>
      <c r="V105" s="652">
        <f t="shared" si="687"/>
        <v>-1030.4324852000823</v>
      </c>
      <c r="W105" s="652">
        <f t="shared" si="687"/>
        <v>-1122.6134833071085</v>
      </c>
      <c r="X105" s="652">
        <f t="shared" si="687"/>
        <v>-1216.7254552310874</v>
      </c>
      <c r="Y105" s="652">
        <f t="shared" si="687"/>
        <v>-1356.1848784917679</v>
      </c>
      <c r="Z105" s="652">
        <f t="shared" si="687"/>
        <v>-1498.7903638749685</v>
      </c>
      <c r="AA105" s="652">
        <f t="shared" si="687"/>
        <v>-1641.7877141170823</v>
      </c>
      <c r="AB105" s="652">
        <f t="shared" si="687"/>
        <v>-1787.4540136289515</v>
      </c>
      <c r="AC105" s="652">
        <f t="shared" si="687"/>
        <v>-1935.7190204216374</v>
      </c>
      <c r="AD105" s="652">
        <f t="shared" si="687"/>
        <v>-2086.5169080798896</v>
      </c>
      <c r="AE105" s="652">
        <f t="shared" si="687"/>
        <v>-2239.8043364269624</v>
      </c>
      <c r="AF105" s="652">
        <f t="shared" si="687"/>
        <v>-2395.544057974595</v>
      </c>
      <c r="AG105" s="652">
        <f t="shared" si="687"/>
        <v>-2553.7104030957421</v>
      </c>
      <c r="AH105" s="652">
        <f t="shared" si="687"/>
        <v>-2714.2895536587325</v>
      </c>
      <c r="AI105" s="652"/>
      <c r="AJ105" s="652">
        <f>AJ46-0.5*(AJ97-AJ102)</f>
        <v>2.9892997315432641</v>
      </c>
      <c r="AK105" s="652">
        <f t="shared" ref="AK105:BN105" si="688">AK46-0.5*(AK97-AK102)</f>
        <v>-18.729104276433805</v>
      </c>
      <c r="AL105" s="652">
        <f t="shared" si="688"/>
        <v>-41.702882255592456</v>
      </c>
      <c r="AM105" s="652">
        <f t="shared" si="688"/>
        <v>-65.854943614811958</v>
      </c>
      <c r="AN105" s="652">
        <f t="shared" si="688"/>
        <v>-91.153243067979574</v>
      </c>
      <c r="AO105" s="652">
        <f t="shared" si="688"/>
        <v>-117.56577292380184</v>
      </c>
      <c r="AP105" s="652">
        <f t="shared" si="688"/>
        <v>-145.05753558230279</v>
      </c>
      <c r="AQ105" s="652">
        <f t="shared" si="688"/>
        <v>-173.59864439565206</v>
      </c>
      <c r="AR105" s="652">
        <f t="shared" si="688"/>
        <v>-203.15698020773902</v>
      </c>
      <c r="AS105" s="652">
        <f t="shared" si="688"/>
        <v>-233.70039733938856</v>
      </c>
      <c r="AT105" s="652">
        <f t="shared" si="688"/>
        <v>-265.19671805617406</v>
      </c>
      <c r="AU105" s="652">
        <f t="shared" si="688"/>
        <v>-317.76155085210803</v>
      </c>
      <c r="AV105" s="652">
        <f t="shared" si="688"/>
        <v>-372.35624852383495</v>
      </c>
      <c r="AW105" s="652">
        <f t="shared" si="688"/>
        <v>-428.43736417483734</v>
      </c>
      <c r="AX105" s="652">
        <f t="shared" si="688"/>
        <v>-486.31071973161761</v>
      </c>
      <c r="AY105" s="652">
        <f t="shared" si="688"/>
        <v>-545.90493037393037</v>
      </c>
      <c r="AZ105" s="652">
        <f t="shared" si="688"/>
        <v>-607.15309046015489</v>
      </c>
      <c r="BA105" s="652">
        <f t="shared" si="688"/>
        <v>-669.98264174587337</v>
      </c>
      <c r="BB105" s="652">
        <f t="shared" si="688"/>
        <v>-734.32486879436146</v>
      </c>
      <c r="BC105" s="652">
        <f t="shared" si="688"/>
        <v>-800.11195425665926</v>
      </c>
      <c r="BD105" s="652">
        <f t="shared" si="688"/>
        <v>-867.27699447339148</v>
      </c>
      <c r="BE105" s="652">
        <f t="shared" si="688"/>
        <v>-966.83134948434213</v>
      </c>
      <c r="BF105" s="652">
        <f t="shared" si="688"/>
        <v>-1068.6315614651653</v>
      </c>
      <c r="BG105" s="652">
        <f t="shared" si="688"/>
        <v>-1170.7103299503351</v>
      </c>
      <c r="BH105" s="652">
        <f t="shared" si="688"/>
        <v>-1274.694127784189</v>
      </c>
      <c r="BI105" s="652">
        <f t="shared" si="688"/>
        <v>-1380.5327668883579</v>
      </c>
      <c r="BJ105" s="652">
        <f t="shared" si="688"/>
        <v>-1488.1792140748569</v>
      </c>
      <c r="BK105" s="652">
        <f t="shared" si="688"/>
        <v>-1597.6024987944932</v>
      </c>
      <c r="BL105" s="652">
        <f t="shared" si="688"/>
        <v>-1708.7760036034283</v>
      </c>
      <c r="BM105" s="652">
        <f t="shared" si="688"/>
        <v>-1821.6813823050597</v>
      </c>
      <c r="BN105" s="652">
        <f t="shared" si="688"/>
        <v>-1936.3087555825186</v>
      </c>
    </row>
    <row r="106" spans="1:66">
      <c r="A106" s="167" t="s">
        <v>304</v>
      </c>
      <c r="B106" s="226" t="s">
        <v>195</v>
      </c>
      <c r="C106" s="227" t="s">
        <v>166</v>
      </c>
      <c r="D106" s="654">
        <f>D59+D65</f>
        <v>28.986408735783659</v>
      </c>
      <c r="E106" s="654">
        <f t="shared" ref="E106:AH106" si="689">E59+E65</f>
        <v>114.20920437705489</v>
      </c>
      <c r="F106" s="654">
        <f t="shared" si="689"/>
        <v>127.67652290222439</v>
      </c>
      <c r="G106" s="654">
        <f t="shared" si="689"/>
        <v>142.40849468900399</v>
      </c>
      <c r="H106" s="654">
        <f t="shared" si="689"/>
        <v>158.58200115989962</v>
      </c>
      <c r="I106" s="654">
        <f t="shared" si="689"/>
        <v>176.39763762568219</v>
      </c>
      <c r="J106" s="654">
        <f t="shared" si="689"/>
        <v>196.08290107773146</v>
      </c>
      <c r="K106" s="654">
        <f t="shared" si="689"/>
        <v>217.89580701175623</v>
      </c>
      <c r="L106" s="654">
        <f t="shared" si="689"/>
        <v>242.12899305089229</v>
      </c>
      <c r="M106" s="654">
        <f t="shared" si="689"/>
        <v>269.11437491585303</v>
      </c>
      <c r="N106" s="654">
        <f t="shared" si="689"/>
        <v>299.22842911724496</v>
      </c>
      <c r="O106" s="654">
        <f t="shared" si="689"/>
        <v>330.4092528005915</v>
      </c>
      <c r="P106" s="654">
        <f t="shared" si="689"/>
        <v>365.66559214989161</v>
      </c>
      <c r="Q106" s="654">
        <f t="shared" si="689"/>
        <v>405.54690501514648</v>
      </c>
      <c r="R106" s="654">
        <f t="shared" si="689"/>
        <v>450.67647572604943</v>
      </c>
      <c r="S106" s="654">
        <f t="shared" si="689"/>
        <v>501.76134879826827</v>
      </c>
      <c r="T106" s="654">
        <f t="shared" si="689"/>
        <v>559.42472006696812</v>
      </c>
      <c r="U106" s="654">
        <f t="shared" si="689"/>
        <v>624.7580053539906</v>
      </c>
      <c r="V106" s="654">
        <f t="shared" si="689"/>
        <v>698.79343103150291</v>
      </c>
      <c r="W106" s="654">
        <f t="shared" si="689"/>
        <v>782.70201836822207</v>
      </c>
      <c r="X106" s="654">
        <f t="shared" si="689"/>
        <v>877.81226477456073</v>
      </c>
      <c r="Y106" s="654">
        <f t="shared" si="689"/>
        <v>985.27319080420102</v>
      </c>
      <c r="Z106" s="654">
        <f t="shared" si="689"/>
        <v>1107.1582088929042</v>
      </c>
      <c r="AA106" s="654">
        <f t="shared" si="689"/>
        <v>1245.407243917256</v>
      </c>
      <c r="AB106" s="654">
        <f t="shared" si="689"/>
        <v>1402.2211987919616</v>
      </c>
      <c r="AC106" s="654">
        <f t="shared" si="689"/>
        <v>1580.0970884037274</v>
      </c>
      <c r="AD106" s="654">
        <f t="shared" si="689"/>
        <v>1781.8679047505818</v>
      </c>
      <c r="AE106" s="654">
        <f t="shared" si="689"/>
        <v>2010.7478504687474</v>
      </c>
      <c r="AF106" s="654">
        <f t="shared" si="689"/>
        <v>2270.3836637461313</v>
      </c>
      <c r="AG106" s="654">
        <f t="shared" si="689"/>
        <v>2564.9128549966476</v>
      </c>
      <c r="AH106" s="654">
        <f t="shared" si="689"/>
        <v>2899.0297861595727</v>
      </c>
      <c r="AI106" s="654"/>
      <c r="AJ106" s="654">
        <f>AJ59+AJ65</f>
        <v>28.986408735783659</v>
      </c>
      <c r="AK106" s="654">
        <f t="shared" ref="AK106:BN106" si="690">AK59+AK65</f>
        <v>114.3165830173229</v>
      </c>
      <c r="AL106" s="654">
        <f t="shared" si="690"/>
        <v>127.91460385995138</v>
      </c>
      <c r="AM106" s="654">
        <f t="shared" si="690"/>
        <v>142.80041266815468</v>
      </c>
      <c r="AN106" s="654">
        <f t="shared" si="690"/>
        <v>159.15069642045904</v>
      </c>
      <c r="AO106" s="654">
        <f t="shared" si="690"/>
        <v>177.16585036233738</v>
      </c>
      <c r="AP106" s="654">
        <f t="shared" si="690"/>
        <v>197.07316564396712</v>
      </c>
      <c r="AQ106" s="654">
        <f t="shared" si="690"/>
        <v>219.1304459852376</v>
      </c>
      <c r="AR106" s="654">
        <f t="shared" si="690"/>
        <v>243.63011113590025</v>
      </c>
      <c r="AS106" s="654">
        <f t="shared" si="690"/>
        <v>270.90385267842612</v>
      </c>
      <c r="AT106" s="654">
        <f t="shared" si="690"/>
        <v>301.32791654856885</v>
      </c>
      <c r="AU106" s="654">
        <f t="shared" si="690"/>
        <v>332.74274163140535</v>
      </c>
      <c r="AV106" s="654">
        <f t="shared" si="690"/>
        <v>368.23653827953513</v>
      </c>
      <c r="AW106" s="654">
        <f t="shared" si="690"/>
        <v>408.35851338140213</v>
      </c>
      <c r="AX106" s="654">
        <f t="shared" si="690"/>
        <v>453.73169313455264</v>
      </c>
      <c r="AY106" s="654">
        <f t="shared" si="690"/>
        <v>505.06285655605967</v>
      </c>
      <c r="AZ106" s="654">
        <f t="shared" si="690"/>
        <v>562.96436641498144</v>
      </c>
      <c r="BA106" s="654">
        <f t="shared" si="690"/>
        <v>628.53659769313526</v>
      </c>
      <c r="BB106" s="654">
        <f t="shared" si="690"/>
        <v>702.81148793686123</v>
      </c>
      <c r="BC106" s="654">
        <f t="shared" si="690"/>
        <v>786.95976138573712</v>
      </c>
      <c r="BD106" s="654">
        <f t="shared" si="690"/>
        <v>882.30960999444483</v>
      </c>
      <c r="BE106" s="654">
        <f t="shared" si="690"/>
        <v>989.98881505276506</v>
      </c>
      <c r="BF106" s="654">
        <f t="shared" si="690"/>
        <v>1112.0887067748629</v>
      </c>
      <c r="BG106" s="654">
        <f t="shared" si="690"/>
        <v>1250.5488690922716</v>
      </c>
      <c r="BH106" s="654">
        <f t="shared" si="690"/>
        <v>1407.5698543376589</v>
      </c>
      <c r="BI106" s="654">
        <f t="shared" si="690"/>
        <v>1585.6483169171554</v>
      </c>
      <c r="BJ106" s="654">
        <f t="shared" si="690"/>
        <v>1787.6168781811973</v>
      </c>
      <c r="BK106" s="654">
        <f t="shared" si="690"/>
        <v>2016.6893596758205</v>
      </c>
      <c r="BL106" s="654">
        <f t="shared" si="690"/>
        <v>2276.5121077732856</v>
      </c>
      <c r="BM106" s="654">
        <f t="shared" si="690"/>
        <v>2571.2222300560566</v>
      </c>
      <c r="BN106" s="654">
        <f t="shared" si="690"/>
        <v>2905.5136743181451</v>
      </c>
    </row>
    <row r="107" spans="1:66">
      <c r="A107" s="167"/>
      <c r="B107" s="169" t="s">
        <v>262</v>
      </c>
      <c r="C107" s="165" t="s">
        <v>166</v>
      </c>
      <c r="D107" s="94">
        <f>'Methanol Recycling HC'!C238</f>
        <v>0</v>
      </c>
      <c r="E107" s="94">
        <f>'Methanol Recycling HC'!D238</f>
        <v>215.41844162272537</v>
      </c>
      <c r="F107" s="94">
        <f>'Methanol Recycling HC'!E238</f>
        <v>430.83688324545165</v>
      </c>
      <c r="G107" s="94">
        <f>'Methanol Recycling HC'!F238</f>
        <v>646.25532486817701</v>
      </c>
      <c r="H107" s="94">
        <f>'Methanol Recycling HC'!G238</f>
        <v>861.67376649090238</v>
      </c>
      <c r="I107" s="94">
        <f>'Methanol Recycling HC'!H238</f>
        <v>1077.0922081136287</v>
      </c>
      <c r="J107" s="94">
        <f>'Methanol Recycling HC'!I238</f>
        <v>1252.5390027750609</v>
      </c>
      <c r="K107" s="94">
        <f>'Methanol Recycling HC'!J238</f>
        <v>1425.1422740070693</v>
      </c>
      <c r="L107" s="94">
        <f>'Methanol Recycling HC'!K238</f>
        <v>1594.9020218096603</v>
      </c>
      <c r="M107" s="94">
        <f>'Methanol Recycling HC'!L238</f>
        <v>1761.8182461828319</v>
      </c>
      <c r="N107" s="94">
        <f>'Methanol Recycling HC'!M238</f>
        <v>1925.8909471265797</v>
      </c>
      <c r="O107" s="94">
        <f>'Methanol Recycling HC'!N238</f>
        <v>2316.2882282729352</v>
      </c>
      <c r="P107" s="94">
        <f>'Methanol Recycling HC'!O238</f>
        <v>2700.6922369603581</v>
      </c>
      <c r="Q107" s="94">
        <f>'Methanol Recycling HC'!P238</f>
        <v>3079.1029731888493</v>
      </c>
      <c r="R107" s="94">
        <f>'Methanol Recycling HC'!Q238</f>
        <v>3451.5204369584089</v>
      </c>
      <c r="S107" s="94">
        <f>'Methanol Recycling HC'!R238</f>
        <v>3817.9446282690378</v>
      </c>
      <c r="T107" s="94">
        <f>'Methanol Recycling HC'!S238</f>
        <v>4178.375547120736</v>
      </c>
      <c r="U107" s="94">
        <f>'Methanol Recycling HC'!T238</f>
        <v>4532.8131935135016</v>
      </c>
      <c r="V107" s="94">
        <f>'Methanol Recycling HC'!U238</f>
        <v>4881.2575674473364</v>
      </c>
      <c r="W107" s="94">
        <f>'Methanol Recycling HC'!V238</f>
        <v>5223.7086689222369</v>
      </c>
      <c r="X107" s="94">
        <f>'Methanol Recycling HC'!W238</f>
        <v>5560.1664979382103</v>
      </c>
      <c r="Y107" s="94">
        <f>'Methanol Recycling HC'!X238</f>
        <v>6164.0042557079823</v>
      </c>
      <c r="Z107" s="94">
        <f>'Methanol Recycling HC'!Y238</f>
        <v>6757.8141633622827</v>
      </c>
      <c r="AA107" s="94">
        <f>'Methanol Recycling HC'!Z238</f>
        <v>7341.596220901115</v>
      </c>
      <c r="AB107" s="94">
        <f>'Methanol Recycling HC'!AA238</f>
        <v>7915.3504283244774</v>
      </c>
      <c r="AC107" s="94">
        <f>'Methanol Recycling HC'!AB238</f>
        <v>8479.0767856323728</v>
      </c>
      <c r="AD107" s="94">
        <f>'Methanol Recycling HC'!AC238</f>
        <v>9029.5720017199092</v>
      </c>
      <c r="AE107" s="94">
        <f>'Methanol Recycling HC'!AD238</f>
        <v>9569.7354934460564</v>
      </c>
      <c r="AF107" s="94">
        <f>'Methanol Recycling HC'!AE238</f>
        <v>10099.567260810803</v>
      </c>
      <c r="AG107" s="94">
        <f>'Methanol Recycling HC'!AF238</f>
        <v>10619.067303814165</v>
      </c>
      <c r="AH107" s="94">
        <f>'Methanol Recycling HC'!AG238</f>
        <v>11128.235622456123</v>
      </c>
      <c r="AI107" s="24"/>
      <c r="AJ107" s="94">
        <f>D107</f>
        <v>0</v>
      </c>
      <c r="AK107" s="94">
        <f t="shared" ref="AK107:BN109" si="691">E107</f>
        <v>215.41844162272537</v>
      </c>
      <c r="AL107" s="94">
        <f t="shared" si="691"/>
        <v>430.83688324545165</v>
      </c>
      <c r="AM107" s="94">
        <f t="shared" si="691"/>
        <v>646.25532486817701</v>
      </c>
      <c r="AN107" s="94">
        <f t="shared" si="691"/>
        <v>861.67376649090238</v>
      </c>
      <c r="AO107" s="94">
        <f t="shared" si="691"/>
        <v>1077.0922081136287</v>
      </c>
      <c r="AP107" s="94">
        <f t="shared" si="691"/>
        <v>1252.5390027750609</v>
      </c>
      <c r="AQ107" s="94">
        <f t="shared" si="691"/>
        <v>1425.1422740070693</v>
      </c>
      <c r="AR107" s="94">
        <f t="shared" si="691"/>
        <v>1594.9020218096603</v>
      </c>
      <c r="AS107" s="94">
        <f t="shared" si="691"/>
        <v>1761.8182461828319</v>
      </c>
      <c r="AT107" s="94">
        <f t="shared" si="691"/>
        <v>1925.8909471265797</v>
      </c>
      <c r="AU107" s="94">
        <f t="shared" si="691"/>
        <v>2316.2882282729352</v>
      </c>
      <c r="AV107" s="94">
        <f t="shared" si="691"/>
        <v>2700.6922369603581</v>
      </c>
      <c r="AW107" s="94">
        <f t="shared" si="691"/>
        <v>3079.1029731888493</v>
      </c>
      <c r="AX107" s="94">
        <f t="shared" si="691"/>
        <v>3451.5204369584089</v>
      </c>
      <c r="AY107" s="94">
        <f t="shared" si="691"/>
        <v>3817.9446282690378</v>
      </c>
      <c r="AZ107" s="94">
        <f t="shared" si="691"/>
        <v>4178.375547120736</v>
      </c>
      <c r="BA107" s="94">
        <f t="shared" si="691"/>
        <v>4532.8131935135016</v>
      </c>
      <c r="BB107" s="94">
        <f t="shared" si="691"/>
        <v>4881.2575674473364</v>
      </c>
      <c r="BC107" s="94">
        <f t="shared" si="691"/>
        <v>5223.7086689222369</v>
      </c>
      <c r="BD107" s="94">
        <f t="shared" si="691"/>
        <v>5560.1664979382103</v>
      </c>
      <c r="BE107" s="94">
        <f t="shared" si="691"/>
        <v>6164.0042557079823</v>
      </c>
      <c r="BF107" s="94">
        <f t="shared" si="691"/>
        <v>6757.8141633622827</v>
      </c>
      <c r="BG107" s="94">
        <f t="shared" si="691"/>
        <v>7341.596220901115</v>
      </c>
      <c r="BH107" s="94">
        <f t="shared" si="691"/>
        <v>7915.3504283244774</v>
      </c>
      <c r="BI107" s="94">
        <f t="shared" si="691"/>
        <v>8479.0767856323728</v>
      </c>
      <c r="BJ107" s="94">
        <f t="shared" si="691"/>
        <v>9029.5720017199092</v>
      </c>
      <c r="BK107" s="94">
        <f t="shared" si="691"/>
        <v>9569.7354934460564</v>
      </c>
      <c r="BL107" s="94">
        <f t="shared" si="691"/>
        <v>10099.567260810803</v>
      </c>
      <c r="BM107" s="94">
        <f t="shared" si="691"/>
        <v>10619.067303814165</v>
      </c>
      <c r="BN107" s="94">
        <f t="shared" si="691"/>
        <v>11128.235622456123</v>
      </c>
    </row>
    <row r="108" spans="1:66">
      <c r="A108"/>
      <c r="B108" t="s">
        <v>264</v>
      </c>
      <c r="C108" s="51" t="s">
        <v>166</v>
      </c>
      <c r="D108" s="24">
        <f>'Methanol Recycling HC'!C97</f>
        <v>0</v>
      </c>
      <c r="E108" s="24">
        <f>'Methanol Recycling HC'!D97</f>
        <v>3.9315498442340466</v>
      </c>
      <c r="F108" s="24">
        <f>'Methanol Recycling HC'!E97</f>
        <v>8.1122732106293594</v>
      </c>
      <c r="G108" s="24">
        <f>'Methanol Recycling HC'!F97</f>
        <v>12.540733629029829</v>
      </c>
      <c r="H108" s="24">
        <f>'Methanol Recycling HC'!G97</f>
        <v>17.215494629279355</v>
      </c>
      <c r="I108" s="24">
        <f>'Methanol Recycling HC'!H97</f>
        <v>22.135119741221818</v>
      </c>
      <c r="J108" s="24">
        <f>'Methanol Recycling HC'!I97</f>
        <v>27.298172494701127</v>
      </c>
      <c r="K108" s="24">
        <f>'Methanol Recycling HC'!J97</f>
        <v>32.703216419561159</v>
      </c>
      <c r="L108" s="24">
        <f>'Methanol Recycling HC'!K97</f>
        <v>38.348815045645814</v>
      </c>
      <c r="M108" s="24">
        <f>'Methanol Recycling HC'!L97</f>
        <v>44.233531902798994</v>
      </c>
      <c r="N108" s="24">
        <f>'Methanol Recycling HC'!M97</f>
        <v>50.355930520864582</v>
      </c>
      <c r="O108" s="24">
        <f>'Methanol Recycling HC'!N97</f>
        <v>58.430413709081279</v>
      </c>
      <c r="P108" s="24">
        <f>'Methanol Recycling HC'!O97</f>
        <v>67.026612752681302</v>
      </c>
      <c r="Q108" s="24">
        <f>'Methanol Recycling HC'!P97</f>
        <v>76.136871765443388</v>
      </c>
      <c r="R108" s="24">
        <f>'Methanol Recycling HC'!Q97</f>
        <v>85.753534861146221</v>
      </c>
      <c r="S108" s="24">
        <f>'Methanol Recycling HC'!R97</f>
        <v>95.868946153568587</v>
      </c>
      <c r="T108" s="24">
        <f>'Methanol Recycling HC'!S97</f>
        <v>106.47544975648913</v>
      </c>
      <c r="U108" s="24">
        <f>'Methanol Recycling HC'!T97</f>
        <v>117.5653897836866</v>
      </c>
      <c r="V108" s="24">
        <f>'Methanol Recycling HC'!U97</f>
        <v>129.13111034893973</v>
      </c>
      <c r="W108" s="24">
        <f>'Methanol Recycling HC'!V97</f>
        <v>141.16495556602717</v>
      </c>
      <c r="X108" s="24">
        <f>'Methanol Recycling HC'!W97</f>
        <v>153.65926954872765</v>
      </c>
      <c r="Y108" s="24">
        <f>'Methanol Recycling HC'!X97</f>
        <v>170.15860362523577</v>
      </c>
      <c r="Z108" s="24">
        <f>'Methanol Recycling HC'!Y97</f>
        <v>187.40780785797006</v>
      </c>
      <c r="AA108" s="24">
        <f>'Methanol Recycling HC'!Z97</f>
        <v>205.39466029864681</v>
      </c>
      <c r="AB108" s="24">
        <f>'Methanol Recycling HC'!AA97</f>
        <v>224.10693899898263</v>
      </c>
      <c r="AC108" s="24">
        <f>'Methanol Recycling HC'!AB97</f>
        <v>243.53242201069406</v>
      </c>
      <c r="AD108" s="24">
        <f>'Methanol Recycling HC'!AC97</f>
        <v>263.65888738549734</v>
      </c>
      <c r="AE108" s="24">
        <f>'Methanol Recycling HC'!AD97</f>
        <v>284.47411317510893</v>
      </c>
      <c r="AF108" s="24">
        <f>'Methanol Recycling HC'!AE97</f>
        <v>305.9658774312453</v>
      </c>
      <c r="AG108" s="24">
        <f>'Methanol Recycling HC'!AF97</f>
        <v>328.121958205623</v>
      </c>
      <c r="AH108" s="24">
        <f>'Methanol Recycling HC'!AG97</f>
        <v>350.93013354995855</v>
      </c>
      <c r="AI108" s="24"/>
      <c r="AJ108" s="94">
        <f t="shared" ref="AJ108:AJ109" si="692">D108</f>
        <v>0</v>
      </c>
      <c r="AK108" s="94">
        <f t="shared" si="691"/>
        <v>3.9315498442340466</v>
      </c>
      <c r="AL108" s="94">
        <f t="shared" si="691"/>
        <v>8.1122732106293594</v>
      </c>
      <c r="AM108" s="94">
        <f t="shared" si="691"/>
        <v>12.540733629029829</v>
      </c>
      <c r="AN108" s="94">
        <f t="shared" si="691"/>
        <v>17.215494629279355</v>
      </c>
      <c r="AO108" s="94">
        <f t="shared" si="691"/>
        <v>22.135119741221818</v>
      </c>
      <c r="AP108" s="94">
        <f t="shared" si="691"/>
        <v>27.298172494701127</v>
      </c>
      <c r="AQ108" s="94">
        <f t="shared" si="691"/>
        <v>32.703216419561159</v>
      </c>
      <c r="AR108" s="94">
        <f t="shared" si="691"/>
        <v>38.348815045645814</v>
      </c>
      <c r="AS108" s="94">
        <f t="shared" si="691"/>
        <v>44.233531902798994</v>
      </c>
      <c r="AT108" s="94">
        <f t="shared" si="691"/>
        <v>50.355930520864582</v>
      </c>
      <c r="AU108" s="94">
        <f t="shared" si="691"/>
        <v>58.430413709081279</v>
      </c>
      <c r="AV108" s="94">
        <f t="shared" si="691"/>
        <v>67.026612752681302</v>
      </c>
      <c r="AW108" s="94">
        <f t="shared" si="691"/>
        <v>76.136871765443388</v>
      </c>
      <c r="AX108" s="94">
        <f t="shared" si="691"/>
        <v>85.753534861146221</v>
      </c>
      <c r="AY108" s="94">
        <f t="shared" si="691"/>
        <v>95.868946153568587</v>
      </c>
      <c r="AZ108" s="94">
        <f t="shared" si="691"/>
        <v>106.47544975648913</v>
      </c>
      <c r="BA108" s="94">
        <f t="shared" si="691"/>
        <v>117.5653897836866</v>
      </c>
      <c r="BB108" s="94">
        <f t="shared" si="691"/>
        <v>129.13111034893973</v>
      </c>
      <c r="BC108" s="94">
        <f t="shared" si="691"/>
        <v>141.16495556602717</v>
      </c>
      <c r="BD108" s="94">
        <f t="shared" si="691"/>
        <v>153.65926954872765</v>
      </c>
      <c r="BE108" s="94">
        <f t="shared" si="691"/>
        <v>170.15860362523577</v>
      </c>
      <c r="BF108" s="94">
        <f t="shared" si="691"/>
        <v>187.40780785797006</v>
      </c>
      <c r="BG108" s="94">
        <f t="shared" si="691"/>
        <v>205.39466029864681</v>
      </c>
      <c r="BH108" s="94">
        <f t="shared" si="691"/>
        <v>224.10693899898263</v>
      </c>
      <c r="BI108" s="94">
        <f t="shared" si="691"/>
        <v>243.53242201069406</v>
      </c>
      <c r="BJ108" s="94">
        <f t="shared" si="691"/>
        <v>263.65888738549734</v>
      </c>
      <c r="BK108" s="94">
        <f t="shared" si="691"/>
        <v>284.47411317510893</v>
      </c>
      <c r="BL108" s="94">
        <f t="shared" si="691"/>
        <v>305.9658774312453</v>
      </c>
      <c r="BM108" s="94">
        <f t="shared" si="691"/>
        <v>328.121958205623</v>
      </c>
      <c r="BN108" s="94">
        <f t="shared" si="691"/>
        <v>350.93013354995855</v>
      </c>
    </row>
    <row r="109" spans="1:66">
      <c r="A109" s="169"/>
      <c r="B109" s="169" t="s">
        <v>265</v>
      </c>
      <c r="C109" s="165" t="s">
        <v>166</v>
      </c>
      <c r="D109" s="94">
        <f>'Methanol Recycling HC'!C162</f>
        <v>0</v>
      </c>
      <c r="E109" s="94">
        <f>'Methanol Recycling HC'!D162</f>
        <v>10.273131844243444</v>
      </c>
      <c r="F109" s="94">
        <f>'Methanol Recycling HC'!E162</f>
        <v>20.51353588851822</v>
      </c>
      <c r="G109" s="94">
        <f>'Methanol Recycling HC'!F162</f>
        <v>30.673806840310718</v>
      </c>
      <c r="H109" s="94">
        <f>'Methanol Recycling HC'!G162</f>
        <v>40.706539407107329</v>
      </c>
      <c r="I109" s="94">
        <f>'Methanol Recycling HC'!H162</f>
        <v>50.564328296394365</v>
      </c>
      <c r="J109" s="94">
        <f>'Methanol Recycling HC'!I162</f>
        <v>60.19976821565831</v>
      </c>
      <c r="K109" s="94">
        <f>'Methanol Recycling HC'!J162</f>
        <v>69.565453872385419</v>
      </c>
      <c r="L109" s="94">
        <f>'Methanol Recycling HC'!K162</f>
        <v>78.613979974062147</v>
      </c>
      <c r="M109" s="94">
        <f>'Methanol Recycling HC'!L162</f>
        <v>87.297941228174835</v>
      </c>
      <c r="N109" s="94">
        <f>'Methanol Recycling HC'!M162</f>
        <v>95.569932342209853</v>
      </c>
      <c r="O109" s="94">
        <f>'Methanol Recycling HC'!N162</f>
        <v>114.00556803089873</v>
      </c>
      <c r="P109" s="94">
        <f>'Methanol Recycling HC'!O162</f>
        <v>131.61805415328206</v>
      </c>
      <c r="Q109" s="94">
        <f>'Methanol Recycling HC'!P162</f>
        <v>147.66370313452546</v>
      </c>
      <c r="R109" s="94">
        <f>'Methanol Recycling HC'!Q162</f>
        <v>162.57508553443463</v>
      </c>
      <c r="S109" s="94">
        <f>'Methanol Recycling HC'!R162</f>
        <v>176.26283309106964</v>
      </c>
      <c r="T109" s="94">
        <f>'Methanol Recycling HC'!S162</f>
        <v>188.63909918984845</v>
      </c>
      <c r="U109" s="94">
        <f>'Methanol Recycling HC'!T162</f>
        <v>199.61758044535264</v>
      </c>
      <c r="V109" s="94">
        <f>'Methanol Recycling HC'!U162</f>
        <v>209.11353828313429</v>
      </c>
      <c r="W109" s="94">
        <f>'Methanol Recycling HC'!V162</f>
        <v>217.04382052152206</v>
      </c>
      <c r="X109" s="94">
        <f>'Methanol Recycling HC'!W162</f>
        <v>223.326882953428</v>
      </c>
      <c r="Y109" s="94">
        <f>'Methanol Recycling HC'!X162</f>
        <v>238.12215624148419</v>
      </c>
      <c r="Z109" s="94">
        <f>'Methanol Recycling HC'!Y162</f>
        <v>250.21209381279263</v>
      </c>
      <c r="AA109" s="94">
        <f>'Methanol Recycling HC'!Z162</f>
        <v>256.89079829481057</v>
      </c>
      <c r="AB109" s="94">
        <f>'Methanol Recycling HC'!AA162</f>
        <v>260.4289145759634</v>
      </c>
      <c r="AC109" s="94">
        <f>'Methanol Recycling HC'!AB162</f>
        <v>260.77610544649656</v>
      </c>
      <c r="AD109" s="94">
        <f>'Methanol Recycling HC'!AC162</f>
        <v>257.89322564978511</v>
      </c>
      <c r="AE109" s="94">
        <f>'Methanol Recycling HC'!AD162</f>
        <v>251.75259270990122</v>
      </c>
      <c r="AF109" s="94">
        <f>'Methanol Recycling HC'!AE162</f>
        <v>242.3382577591814</v>
      </c>
      <c r="AG109" s="94">
        <f>'Methanol Recycling HC'!AF162</f>
        <v>229.64627636579323</v>
      </c>
      <c r="AH109" s="94">
        <f>'Methanol Recycling HC'!AG162</f>
        <v>213.68497936130274</v>
      </c>
      <c r="AI109" s="24"/>
      <c r="AJ109" s="94">
        <f t="shared" si="692"/>
        <v>0</v>
      </c>
      <c r="AK109" s="94">
        <f t="shared" si="691"/>
        <v>10.273131844243444</v>
      </c>
      <c r="AL109" s="94">
        <f t="shared" si="691"/>
        <v>20.51353588851822</v>
      </c>
      <c r="AM109" s="94">
        <f t="shared" si="691"/>
        <v>30.673806840310718</v>
      </c>
      <c r="AN109" s="94">
        <f t="shared" si="691"/>
        <v>40.706539407107329</v>
      </c>
      <c r="AO109" s="94">
        <f t="shared" si="691"/>
        <v>50.564328296394365</v>
      </c>
      <c r="AP109" s="94">
        <f t="shared" si="691"/>
        <v>60.19976821565831</v>
      </c>
      <c r="AQ109" s="94">
        <f t="shared" si="691"/>
        <v>69.565453872385419</v>
      </c>
      <c r="AR109" s="94">
        <f t="shared" si="691"/>
        <v>78.613979974062147</v>
      </c>
      <c r="AS109" s="94">
        <f t="shared" si="691"/>
        <v>87.297941228174835</v>
      </c>
      <c r="AT109" s="94">
        <f t="shared" si="691"/>
        <v>95.569932342209853</v>
      </c>
      <c r="AU109" s="94">
        <f t="shared" si="691"/>
        <v>114.00556803089873</v>
      </c>
      <c r="AV109" s="94">
        <f t="shared" si="691"/>
        <v>131.61805415328206</v>
      </c>
      <c r="AW109" s="94">
        <f t="shared" si="691"/>
        <v>147.66370313452546</v>
      </c>
      <c r="AX109" s="94">
        <f t="shared" si="691"/>
        <v>162.57508553443463</v>
      </c>
      <c r="AY109" s="94">
        <f t="shared" si="691"/>
        <v>176.26283309106964</v>
      </c>
      <c r="AZ109" s="94">
        <f t="shared" si="691"/>
        <v>188.63909918984845</v>
      </c>
      <c r="BA109" s="94">
        <f t="shared" si="691"/>
        <v>199.61758044535264</v>
      </c>
      <c r="BB109" s="94">
        <f t="shared" si="691"/>
        <v>209.11353828313429</v>
      </c>
      <c r="BC109" s="94">
        <f t="shared" si="691"/>
        <v>217.04382052152206</v>
      </c>
      <c r="BD109" s="94">
        <f t="shared" si="691"/>
        <v>223.326882953428</v>
      </c>
      <c r="BE109" s="94">
        <f t="shared" si="691"/>
        <v>238.12215624148419</v>
      </c>
      <c r="BF109" s="94">
        <f t="shared" si="691"/>
        <v>250.21209381279263</v>
      </c>
      <c r="BG109" s="94">
        <f t="shared" si="691"/>
        <v>256.89079829481057</v>
      </c>
      <c r="BH109" s="94">
        <f t="shared" si="691"/>
        <v>260.4289145759634</v>
      </c>
      <c r="BI109" s="94">
        <f t="shared" si="691"/>
        <v>260.77610544649656</v>
      </c>
      <c r="BJ109" s="94">
        <f t="shared" si="691"/>
        <v>257.89322564978511</v>
      </c>
      <c r="BK109" s="94">
        <f t="shared" si="691"/>
        <v>251.75259270990122</v>
      </c>
      <c r="BL109" s="94">
        <f t="shared" si="691"/>
        <v>242.3382577591814</v>
      </c>
      <c r="BM109" s="94">
        <f t="shared" si="691"/>
        <v>229.64627636579323</v>
      </c>
      <c r="BN109" s="94">
        <f t="shared" si="691"/>
        <v>213.68497936130274</v>
      </c>
    </row>
    <row r="110" spans="1:66">
      <c r="A110" s="167"/>
      <c r="B110" s="224" t="s">
        <v>263</v>
      </c>
      <c r="C110" s="168" t="s">
        <v>166</v>
      </c>
      <c r="D110" s="658">
        <f t="shared" ref="D110:AH110" si="693">D106-D107-D108-D109</f>
        <v>28.986408735783659</v>
      </c>
      <c r="E110" s="658">
        <f t="shared" si="693"/>
        <v>-115.41391893414797</v>
      </c>
      <c r="F110" s="658">
        <f t="shared" si="693"/>
        <v>-331.78616944237484</v>
      </c>
      <c r="G110" s="658">
        <f t="shared" si="693"/>
        <v>-547.0613706485135</v>
      </c>
      <c r="H110" s="658">
        <f t="shared" si="693"/>
        <v>-761.01379936738942</v>
      </c>
      <c r="I110" s="658">
        <f t="shared" si="693"/>
        <v>-973.39401852556273</v>
      </c>
      <c r="J110" s="658">
        <f t="shared" si="693"/>
        <v>-1143.9540424076886</v>
      </c>
      <c r="K110" s="658">
        <f t="shared" si="693"/>
        <v>-1309.5151372872597</v>
      </c>
      <c r="L110" s="658">
        <f t="shared" si="693"/>
        <v>-1469.7358237784758</v>
      </c>
      <c r="M110" s="658">
        <f t="shared" si="693"/>
        <v>-1624.2353443979528</v>
      </c>
      <c r="N110" s="658">
        <f t="shared" si="693"/>
        <v>-1772.5883808724091</v>
      </c>
      <c r="O110" s="658">
        <f t="shared" si="693"/>
        <v>-2158.3149572123234</v>
      </c>
      <c r="P110" s="658">
        <f t="shared" si="693"/>
        <v>-2533.67131171643</v>
      </c>
      <c r="Q110" s="658">
        <f t="shared" si="693"/>
        <v>-2897.3566430736714</v>
      </c>
      <c r="R110" s="658">
        <f t="shared" si="693"/>
        <v>-3249.1725816279404</v>
      </c>
      <c r="S110" s="658">
        <f t="shared" si="693"/>
        <v>-3588.3150587154082</v>
      </c>
      <c r="T110" s="658">
        <f t="shared" si="693"/>
        <v>-3914.0653760001055</v>
      </c>
      <c r="U110" s="658">
        <f t="shared" si="693"/>
        <v>-4225.2381583885499</v>
      </c>
      <c r="V110" s="658">
        <f t="shared" si="693"/>
        <v>-4520.7087850479074</v>
      </c>
      <c r="W110" s="658">
        <f t="shared" si="693"/>
        <v>-4799.2154266415637</v>
      </c>
      <c r="X110" s="658">
        <f t="shared" si="693"/>
        <v>-5059.340385665806</v>
      </c>
      <c r="Y110" s="658">
        <f t="shared" si="693"/>
        <v>-5587.0118247705004</v>
      </c>
      <c r="Z110" s="658">
        <f t="shared" si="693"/>
        <v>-6088.2758561401415</v>
      </c>
      <c r="AA110" s="658">
        <f t="shared" si="693"/>
        <v>-6558.4744355773164</v>
      </c>
      <c r="AB110" s="658">
        <f t="shared" si="693"/>
        <v>-6997.6650831074612</v>
      </c>
      <c r="AC110" s="658">
        <f t="shared" si="693"/>
        <v>-7403.2882246858362</v>
      </c>
      <c r="AD110" s="658">
        <f t="shared" si="693"/>
        <v>-7769.2562100046089</v>
      </c>
      <c r="AE110" s="658">
        <f t="shared" si="693"/>
        <v>-8095.2143488623187</v>
      </c>
      <c r="AF110" s="658">
        <f t="shared" si="693"/>
        <v>-8377.4877322550983</v>
      </c>
      <c r="AG110" s="658">
        <f t="shared" si="693"/>
        <v>-8611.9226833889334</v>
      </c>
      <c r="AH110" s="658">
        <f t="shared" si="693"/>
        <v>-8793.8209492078113</v>
      </c>
      <c r="AI110" s="24"/>
      <c r="AJ110" s="658">
        <f t="shared" ref="AJ110:BN110" si="694">AJ106-AJ107-AJ108-AJ109</f>
        <v>28.986408735783659</v>
      </c>
      <c r="AK110" s="658">
        <f t="shared" si="694"/>
        <v>-115.30654029387995</v>
      </c>
      <c r="AL110" s="658">
        <f t="shared" si="694"/>
        <v>-331.54808848464785</v>
      </c>
      <c r="AM110" s="658">
        <f t="shared" si="694"/>
        <v>-546.66945266936284</v>
      </c>
      <c r="AN110" s="658">
        <f t="shared" si="694"/>
        <v>-760.44510410682994</v>
      </c>
      <c r="AO110" s="658">
        <f t="shared" si="694"/>
        <v>-972.62580578890754</v>
      </c>
      <c r="AP110" s="658">
        <f t="shared" si="694"/>
        <v>-1142.9637778414531</v>
      </c>
      <c r="AQ110" s="658">
        <f t="shared" si="694"/>
        <v>-1308.2804983137783</v>
      </c>
      <c r="AR110" s="658">
        <f t="shared" si="694"/>
        <v>-1468.234705693468</v>
      </c>
      <c r="AS110" s="658">
        <f t="shared" si="694"/>
        <v>-1622.4458666353796</v>
      </c>
      <c r="AT110" s="658">
        <f t="shared" si="694"/>
        <v>-1770.4888934410853</v>
      </c>
      <c r="AU110" s="658">
        <f t="shared" si="694"/>
        <v>-2155.9814683815098</v>
      </c>
      <c r="AV110" s="658">
        <f t="shared" si="694"/>
        <v>-2531.1003655867862</v>
      </c>
      <c r="AW110" s="658">
        <f t="shared" si="694"/>
        <v>-2894.5450347074157</v>
      </c>
      <c r="AX110" s="658">
        <f t="shared" si="694"/>
        <v>-3246.1173642194371</v>
      </c>
      <c r="AY110" s="658">
        <f t="shared" si="694"/>
        <v>-3585.0135509576166</v>
      </c>
      <c r="AZ110" s="658">
        <f t="shared" si="694"/>
        <v>-3910.5257296520917</v>
      </c>
      <c r="BA110" s="658">
        <f t="shared" si="694"/>
        <v>-4221.4595660494051</v>
      </c>
      <c r="BB110" s="658">
        <f t="shared" si="694"/>
        <v>-4516.6907281425492</v>
      </c>
      <c r="BC110" s="658">
        <f t="shared" si="694"/>
        <v>-4794.9576836240494</v>
      </c>
      <c r="BD110" s="658">
        <f t="shared" si="694"/>
        <v>-5054.8430404459214</v>
      </c>
      <c r="BE110" s="658">
        <f t="shared" si="694"/>
        <v>-5582.296200521937</v>
      </c>
      <c r="BF110" s="658">
        <f t="shared" si="694"/>
        <v>-6083.3453582581833</v>
      </c>
      <c r="BG110" s="658">
        <f t="shared" si="694"/>
        <v>-6553.3328104023012</v>
      </c>
      <c r="BH110" s="658">
        <f t="shared" si="694"/>
        <v>-6992.3164275617637</v>
      </c>
      <c r="BI110" s="658">
        <f t="shared" si="694"/>
        <v>-7397.736996172408</v>
      </c>
      <c r="BJ110" s="658">
        <f t="shared" si="694"/>
        <v>-7763.5072365739943</v>
      </c>
      <c r="BK110" s="658">
        <f t="shared" si="694"/>
        <v>-8089.2728396552466</v>
      </c>
      <c r="BL110" s="658">
        <f t="shared" si="694"/>
        <v>-8371.3592882279445</v>
      </c>
      <c r="BM110" s="658">
        <f t="shared" si="694"/>
        <v>-8605.6133083295244</v>
      </c>
      <c r="BN110" s="658">
        <f t="shared" si="694"/>
        <v>-8787.3370610492384</v>
      </c>
    </row>
    <row r="111" spans="1:66" s="62" customFormat="1">
      <c r="A111" s="684"/>
      <c r="B111" s="55" t="s">
        <v>885</v>
      </c>
      <c r="C111" s="56" t="s">
        <v>166</v>
      </c>
      <c r="D111" s="650">
        <f>D60+D66-(D60+D66)/SUM(D$60:D$62,D$66:D$68)*(D$106-D$110)</f>
        <v>4.860506329734835</v>
      </c>
      <c r="E111" s="650">
        <f t="shared" ref="E111:AH113" si="695">E60+E66-(E60+E66)/SUM(E$60:E$62,E$66:E$68)*(E$106-E$110)</f>
        <v>-83.021097606028945</v>
      </c>
      <c r="F111" s="650">
        <f t="shared" si="695"/>
        <v>-240.39311958062353</v>
      </c>
      <c r="G111" s="650">
        <f t="shared" si="695"/>
        <v>-400.14461204781202</v>
      </c>
      <c r="H111" s="650">
        <f t="shared" si="695"/>
        <v>-562.91772299784679</v>
      </c>
      <c r="I111" s="650">
        <f t="shared" si="695"/>
        <v>-729.07948551328195</v>
      </c>
      <c r="J111" s="650">
        <f t="shared" si="695"/>
        <v>-868.41944376960237</v>
      </c>
      <c r="K111" s="650">
        <f t="shared" si="695"/>
        <v>-1008.163978996766</v>
      </c>
      <c r="L111" s="650">
        <f t="shared" si="695"/>
        <v>-1147.9158532096183</v>
      </c>
      <c r="M111" s="650">
        <f t="shared" si="695"/>
        <v>-1287.1353872252278</v>
      </c>
      <c r="N111" s="650">
        <f t="shared" si="695"/>
        <v>-1425.1547626198676</v>
      </c>
      <c r="O111" s="650">
        <f t="shared" si="695"/>
        <v>-1771.6412570040281</v>
      </c>
      <c r="P111" s="650">
        <f t="shared" si="695"/>
        <v>-2119.7836373966593</v>
      </c>
      <c r="Q111" s="650">
        <f t="shared" si="695"/>
        <v>-2466.7900317805952</v>
      </c>
      <c r="R111" s="650">
        <f t="shared" si="695"/>
        <v>-2810.8546110112206</v>
      </c>
      <c r="S111" s="650">
        <f t="shared" si="695"/>
        <v>-3149.758748960704</v>
      </c>
      <c r="T111" s="650">
        <f t="shared" si="695"/>
        <v>-3482.4364961119736</v>
      </c>
      <c r="U111" s="650">
        <f t="shared" si="695"/>
        <v>-3805.5201444544923</v>
      </c>
      <c r="V111" s="650">
        <f t="shared" si="695"/>
        <v>-4116.8010945334654</v>
      </c>
      <c r="W111" s="650">
        <f t="shared" si="695"/>
        <v>-4414.0684200846199</v>
      </c>
      <c r="X111" s="650">
        <f t="shared" si="695"/>
        <v>-4695.0849944753609</v>
      </c>
      <c r="Y111" s="650">
        <f t="shared" si="695"/>
        <v>-5228.1971887434102</v>
      </c>
      <c r="Z111" s="650">
        <f t="shared" si="695"/>
        <v>-5739.8010466707965</v>
      </c>
      <c r="AA111" s="650">
        <f t="shared" si="695"/>
        <v>-6224.1745025979862</v>
      </c>
      <c r="AB111" s="650">
        <f t="shared" si="695"/>
        <v>-6680.2181189674975</v>
      </c>
      <c r="AC111" s="650">
        <f t="shared" si="695"/>
        <v>-7104.5365798509592</v>
      </c>
      <c r="AD111" s="650">
        <f t="shared" si="695"/>
        <v>-7490.472480753896</v>
      </c>
      <c r="AE111" s="650">
        <f t="shared" si="695"/>
        <v>-7836.9871407420351</v>
      </c>
      <c r="AF111" s="650">
        <f t="shared" si="695"/>
        <v>-8139.9666006216594</v>
      </c>
      <c r="AG111" s="650">
        <f t="shared" si="695"/>
        <v>-8394.9147005757623</v>
      </c>
      <c r="AH111" s="650">
        <f t="shared" si="695"/>
        <v>-8596.8721003173559</v>
      </c>
      <c r="AI111" s="650"/>
      <c r="AJ111" s="650">
        <f>AJ60+AJ66-(AJ60+AJ66)/SUM(AJ$60:AJ$62,AJ$66:AJ$68)*(AJ$106-AJ$110)</f>
        <v>4.860506329734835</v>
      </c>
      <c r="AK111" s="650">
        <f t="shared" ref="AK111:BN111" si="696">AK60+AK66-(AK60+AK66)/SUM(AK$60:AK$62,AK$66:AK$68)*(AK$106-AK$110)</f>
        <v>-82.883677696231899</v>
      </c>
      <c r="AL111" s="650">
        <f t="shared" si="696"/>
        <v>-239.87247814994379</v>
      </c>
      <c r="AM111" s="650">
        <f t="shared" si="696"/>
        <v>-398.99691715528957</v>
      </c>
      <c r="AN111" s="650">
        <f t="shared" si="696"/>
        <v>-560.90864660583281</v>
      </c>
      <c r="AO111" s="650">
        <f t="shared" si="696"/>
        <v>-725.99070807979206</v>
      </c>
      <c r="AP111" s="650">
        <f t="shared" si="696"/>
        <v>-864.1764370314296</v>
      </c>
      <c r="AQ111" s="650">
        <f t="shared" si="696"/>
        <v>-1002.6417893501048</v>
      </c>
      <c r="AR111" s="650">
        <f t="shared" si="696"/>
        <v>-1141.019261701399</v>
      </c>
      <c r="AS111" s="650">
        <f t="shared" si="696"/>
        <v>-1278.8005417085878</v>
      </c>
      <c r="AT111" s="650">
        <f t="shared" si="696"/>
        <v>-1415.3497935169553</v>
      </c>
      <c r="AU111" s="650">
        <f t="shared" si="696"/>
        <v>-1759.5298536849214</v>
      </c>
      <c r="AV111" s="650">
        <f t="shared" si="696"/>
        <v>-2105.4458021758296</v>
      </c>
      <c r="AW111" s="650">
        <f t="shared" si="696"/>
        <v>-2450.3692613577846</v>
      </c>
      <c r="AX111" s="650">
        <f t="shared" si="696"/>
        <v>-2792.540056353886</v>
      </c>
      <c r="AY111" s="650">
        <f t="shared" si="696"/>
        <v>-3129.775348890345</v>
      </c>
      <c r="AZ111" s="650">
        <f t="shared" si="696"/>
        <v>-3461.0855235034182</v>
      </c>
      <c r="BA111" s="650">
        <f t="shared" si="696"/>
        <v>-3783.0712761231689</v>
      </c>
      <c r="BB111" s="650">
        <f t="shared" si="696"/>
        <v>-4093.5252180390294</v>
      </c>
      <c r="BC111" s="650">
        <f t="shared" si="696"/>
        <v>-4390.2293671731177</v>
      </c>
      <c r="BD111" s="650">
        <f t="shared" si="696"/>
        <v>-4670.9329737357002</v>
      </c>
      <c r="BE111" s="650">
        <f t="shared" si="696"/>
        <v>-5202.9892847980373</v>
      </c>
      <c r="BF111" s="650">
        <f t="shared" si="696"/>
        <v>-5713.9023243233114</v>
      </c>
      <c r="BG111" s="650">
        <f t="shared" si="696"/>
        <v>-6197.9286492509873</v>
      </c>
      <c r="BH111" s="650">
        <f t="shared" si="696"/>
        <v>-6653.9256404276284</v>
      </c>
      <c r="BI111" s="650">
        <f t="shared" si="696"/>
        <v>-7078.4612382255345</v>
      </c>
      <c r="BJ111" s="650">
        <f t="shared" si="696"/>
        <v>-7464.8489929785019</v>
      </c>
      <c r="BK111" s="650">
        <f t="shared" si="696"/>
        <v>-7812.004699240586</v>
      </c>
      <c r="BL111" s="650">
        <f t="shared" si="696"/>
        <v>-8115.7793690197987</v>
      </c>
      <c r="BM111" s="650">
        <f t="shared" si="696"/>
        <v>-8371.644202198444</v>
      </c>
      <c r="BN111" s="650">
        <f t="shared" si="696"/>
        <v>-8574.6100435077024</v>
      </c>
    </row>
    <row r="112" spans="1:66">
      <c r="A112" s="685"/>
      <c r="B112" s="1" t="s">
        <v>1182</v>
      </c>
      <c r="C112" s="51" t="s">
        <v>166</v>
      </c>
      <c r="D112" s="24">
        <f t="shared" ref="D112:S113" si="697">D61+D67-(D61+D67)/SUM(D$60:D$62,D$66:D$68)*(D$106-D$110)</f>
        <v>0</v>
      </c>
      <c r="E112" s="24">
        <f t="shared" si="697"/>
        <v>0</v>
      </c>
      <c r="F112" s="24">
        <f t="shared" si="697"/>
        <v>0</v>
      </c>
      <c r="G112" s="24">
        <f t="shared" si="697"/>
        <v>0</v>
      </c>
      <c r="H112" s="24">
        <f t="shared" si="697"/>
        <v>0</v>
      </c>
      <c r="I112" s="24">
        <f t="shared" si="697"/>
        <v>0</v>
      </c>
      <c r="J112" s="24">
        <f t="shared" si="697"/>
        <v>0</v>
      </c>
      <c r="K112" s="24">
        <f t="shared" si="697"/>
        <v>0</v>
      </c>
      <c r="L112" s="24">
        <f t="shared" si="697"/>
        <v>0</v>
      </c>
      <c r="M112" s="24">
        <f t="shared" si="697"/>
        <v>0</v>
      </c>
      <c r="N112" s="24">
        <f t="shared" si="697"/>
        <v>0</v>
      </c>
      <c r="O112" s="24">
        <f t="shared" si="697"/>
        <v>0</v>
      </c>
      <c r="P112" s="24">
        <f t="shared" si="697"/>
        <v>0</v>
      </c>
      <c r="Q112" s="24">
        <f t="shared" si="697"/>
        <v>0</v>
      </c>
      <c r="R112" s="24">
        <f t="shared" si="697"/>
        <v>0</v>
      </c>
      <c r="S112" s="24">
        <f t="shared" si="697"/>
        <v>0</v>
      </c>
      <c r="T112" s="24">
        <f t="shared" si="695"/>
        <v>0</v>
      </c>
      <c r="U112" s="24">
        <f t="shared" si="695"/>
        <v>0</v>
      </c>
      <c r="V112" s="24">
        <f t="shared" si="695"/>
        <v>0</v>
      </c>
      <c r="W112" s="24">
        <f t="shared" si="695"/>
        <v>0</v>
      </c>
      <c r="X112" s="24">
        <f t="shared" si="695"/>
        <v>0</v>
      </c>
      <c r="Y112" s="24">
        <f t="shared" si="695"/>
        <v>0</v>
      </c>
      <c r="Z112" s="24">
        <f t="shared" si="695"/>
        <v>0</v>
      </c>
      <c r="AA112" s="24">
        <f t="shared" si="695"/>
        <v>0</v>
      </c>
      <c r="AB112" s="24">
        <f t="shared" si="695"/>
        <v>0</v>
      </c>
      <c r="AC112" s="24">
        <f t="shared" si="695"/>
        <v>0</v>
      </c>
      <c r="AD112" s="24">
        <f t="shared" si="695"/>
        <v>0</v>
      </c>
      <c r="AE112" s="24">
        <f t="shared" si="695"/>
        <v>0</v>
      </c>
      <c r="AF112" s="24">
        <f t="shared" si="695"/>
        <v>0</v>
      </c>
      <c r="AG112" s="24">
        <f t="shared" si="695"/>
        <v>0</v>
      </c>
      <c r="AH112" s="24">
        <f t="shared" si="695"/>
        <v>0</v>
      </c>
      <c r="AI112" s="24"/>
      <c r="AJ112" s="24">
        <f t="shared" ref="AJ112:BN112" si="698">AJ61+AJ67-(AJ61+AJ67)/SUM(AJ$60:AJ$62,AJ$66:AJ$68)*(AJ$106-AJ$110)</f>
        <v>0</v>
      </c>
      <c r="AK112" s="24">
        <f t="shared" si="698"/>
        <v>0</v>
      </c>
      <c r="AL112" s="24">
        <f t="shared" si="698"/>
        <v>0</v>
      </c>
      <c r="AM112" s="24">
        <f t="shared" si="698"/>
        <v>0</v>
      </c>
      <c r="AN112" s="24">
        <f t="shared" si="698"/>
        <v>0</v>
      </c>
      <c r="AO112" s="24">
        <f t="shared" si="698"/>
        <v>0</v>
      </c>
      <c r="AP112" s="24">
        <f t="shared" si="698"/>
        <v>0</v>
      </c>
      <c r="AQ112" s="24">
        <f t="shared" si="698"/>
        <v>0</v>
      </c>
      <c r="AR112" s="24">
        <f t="shared" si="698"/>
        <v>0</v>
      </c>
      <c r="AS112" s="24">
        <f t="shared" si="698"/>
        <v>0</v>
      </c>
      <c r="AT112" s="24">
        <f t="shared" si="698"/>
        <v>0</v>
      </c>
      <c r="AU112" s="24">
        <f t="shared" si="698"/>
        <v>0</v>
      </c>
      <c r="AV112" s="24">
        <f t="shared" si="698"/>
        <v>0</v>
      </c>
      <c r="AW112" s="24">
        <f t="shared" si="698"/>
        <v>0</v>
      </c>
      <c r="AX112" s="24">
        <f t="shared" si="698"/>
        <v>0</v>
      </c>
      <c r="AY112" s="24">
        <f t="shared" si="698"/>
        <v>0</v>
      </c>
      <c r="AZ112" s="24">
        <f t="shared" si="698"/>
        <v>0</v>
      </c>
      <c r="BA112" s="24">
        <f t="shared" si="698"/>
        <v>0</v>
      </c>
      <c r="BB112" s="24">
        <f t="shared" si="698"/>
        <v>0</v>
      </c>
      <c r="BC112" s="24">
        <f t="shared" si="698"/>
        <v>0</v>
      </c>
      <c r="BD112" s="24">
        <f t="shared" si="698"/>
        <v>0</v>
      </c>
      <c r="BE112" s="24">
        <f t="shared" si="698"/>
        <v>0</v>
      </c>
      <c r="BF112" s="24">
        <f t="shared" si="698"/>
        <v>0</v>
      </c>
      <c r="BG112" s="24">
        <f t="shared" si="698"/>
        <v>0</v>
      </c>
      <c r="BH112" s="24">
        <f t="shared" si="698"/>
        <v>0</v>
      </c>
      <c r="BI112" s="24">
        <f t="shared" si="698"/>
        <v>0</v>
      </c>
      <c r="BJ112" s="24">
        <f t="shared" si="698"/>
        <v>0</v>
      </c>
      <c r="BK112" s="24">
        <f t="shared" si="698"/>
        <v>0</v>
      </c>
      <c r="BL112" s="24">
        <f t="shared" si="698"/>
        <v>0</v>
      </c>
      <c r="BM112" s="24">
        <f t="shared" si="698"/>
        <v>0</v>
      </c>
      <c r="BN112" s="24">
        <f t="shared" si="698"/>
        <v>0</v>
      </c>
    </row>
    <row r="113" spans="1:67" s="63" customFormat="1">
      <c r="A113" s="686"/>
      <c r="B113" s="59" t="s">
        <v>27</v>
      </c>
      <c r="C113" s="262" t="s">
        <v>166</v>
      </c>
      <c r="D113" s="652">
        <f t="shared" si="697"/>
        <v>24.125902406048823</v>
      </c>
      <c r="E113" s="652">
        <f t="shared" si="695"/>
        <v>-32.392821328118991</v>
      </c>
      <c r="F113" s="652">
        <f t="shared" si="695"/>
        <v>-91.393049861751336</v>
      </c>
      <c r="G113" s="652">
        <f t="shared" si="695"/>
        <v>-146.91675860070146</v>
      </c>
      <c r="H113" s="652">
        <f t="shared" si="695"/>
        <v>-198.09607636954269</v>
      </c>
      <c r="I113" s="652">
        <f t="shared" si="695"/>
        <v>-244.3145330122808</v>
      </c>
      <c r="J113" s="652">
        <f t="shared" si="695"/>
        <v>-275.53459863808632</v>
      </c>
      <c r="K113" s="652">
        <f t="shared" si="695"/>
        <v>-301.35115829049369</v>
      </c>
      <c r="L113" s="652">
        <f t="shared" si="695"/>
        <v>-321.81997056885734</v>
      </c>
      <c r="M113" s="652">
        <f t="shared" si="695"/>
        <v>-337.09995717272477</v>
      </c>
      <c r="N113" s="652">
        <f t="shared" si="695"/>
        <v>-347.43361825254112</v>
      </c>
      <c r="O113" s="652">
        <f t="shared" si="695"/>
        <v>-386.67370020829566</v>
      </c>
      <c r="P113" s="652">
        <f t="shared" si="695"/>
        <v>-413.88767431977072</v>
      </c>
      <c r="Q113" s="652">
        <f t="shared" si="695"/>
        <v>-430.56661129307622</v>
      </c>
      <c r="R113" s="652">
        <f t="shared" si="695"/>
        <v>-438.31797061671961</v>
      </c>
      <c r="S113" s="652">
        <f t="shared" si="695"/>
        <v>-438.55630975470456</v>
      </c>
      <c r="T113" s="652">
        <f t="shared" si="695"/>
        <v>-431.62887988813236</v>
      </c>
      <c r="U113" s="652">
        <f t="shared" si="695"/>
        <v>-419.71801393405804</v>
      </c>
      <c r="V113" s="652">
        <f t="shared" si="695"/>
        <v>-403.90769051444266</v>
      </c>
      <c r="W113" s="652">
        <f t="shared" si="695"/>
        <v>-385.14700655694242</v>
      </c>
      <c r="X113" s="652">
        <f t="shared" si="695"/>
        <v>-364.25539119044504</v>
      </c>
      <c r="Y113" s="652">
        <f t="shared" si="695"/>
        <v>-358.81463602709096</v>
      </c>
      <c r="Z113" s="652">
        <f t="shared" si="695"/>
        <v>-348.47480946934513</v>
      </c>
      <c r="AA113" s="652">
        <f t="shared" si="695"/>
        <v>-334.2999329793293</v>
      </c>
      <c r="AB113" s="652">
        <f t="shared" si="695"/>
        <v>-317.4469641399628</v>
      </c>
      <c r="AC113" s="652">
        <f t="shared" si="695"/>
        <v>-298.75164483487731</v>
      </c>
      <c r="AD113" s="652">
        <f t="shared" si="695"/>
        <v>-278.7837292507125</v>
      </c>
      <c r="AE113" s="652">
        <f t="shared" si="695"/>
        <v>-258.22720812028439</v>
      </c>
      <c r="AF113" s="652">
        <f t="shared" si="695"/>
        <v>-237.52113163344183</v>
      </c>
      <c r="AG113" s="652">
        <f t="shared" si="695"/>
        <v>-217.00798281317236</v>
      </c>
      <c r="AH113" s="652">
        <f t="shared" si="695"/>
        <v>-196.94884889045485</v>
      </c>
      <c r="AI113" s="652"/>
      <c r="AJ113" s="652">
        <f t="shared" ref="AJ113:BN113" si="699">AJ62+AJ68-(AJ62+AJ68)/SUM(AJ$60:AJ$62,AJ$66:AJ$68)*(AJ$106-AJ$110)</f>
        <v>24.125902406048823</v>
      </c>
      <c r="AK113" s="652">
        <f t="shared" si="699"/>
        <v>-32.422862597648042</v>
      </c>
      <c r="AL113" s="652">
        <f t="shared" si="699"/>
        <v>-91.675610334704032</v>
      </c>
      <c r="AM113" s="652">
        <f t="shared" si="699"/>
        <v>-147.6725355140731</v>
      </c>
      <c r="AN113" s="652">
        <f t="shared" si="699"/>
        <v>-199.53645750099724</v>
      </c>
      <c r="AO113" s="652">
        <f t="shared" si="699"/>
        <v>-246.63509770911548</v>
      </c>
      <c r="AP113" s="652">
        <f t="shared" si="699"/>
        <v>-278.78734081002358</v>
      </c>
      <c r="AQ113" s="652">
        <f t="shared" si="699"/>
        <v>-305.63870896367354</v>
      </c>
      <c r="AR113" s="652">
        <f t="shared" si="699"/>
        <v>-327.21544399206897</v>
      </c>
      <c r="AS113" s="652">
        <f t="shared" si="699"/>
        <v>-343.64532492679177</v>
      </c>
      <c r="AT113" s="652">
        <f t="shared" si="699"/>
        <v>-355.13909992413039</v>
      </c>
      <c r="AU113" s="652">
        <f t="shared" si="699"/>
        <v>-396.45161469658848</v>
      </c>
      <c r="AV113" s="652">
        <f t="shared" si="699"/>
        <v>-425.6545634109566</v>
      </c>
      <c r="AW113" s="652">
        <f t="shared" si="699"/>
        <v>-444.17577334963141</v>
      </c>
      <c r="AX113" s="652">
        <f t="shared" si="699"/>
        <v>-453.57730786555089</v>
      </c>
      <c r="AY113" s="652">
        <f t="shared" si="699"/>
        <v>-455.23820206727186</v>
      </c>
      <c r="AZ113" s="652">
        <f t="shared" si="699"/>
        <v>-449.44020614867287</v>
      </c>
      <c r="BA113" s="652">
        <f t="shared" si="699"/>
        <v>-438.38828992623633</v>
      </c>
      <c r="BB113" s="652">
        <f t="shared" si="699"/>
        <v>-423.16551010352077</v>
      </c>
      <c r="BC113" s="652">
        <f t="shared" si="699"/>
        <v>-404.72831645093089</v>
      </c>
      <c r="BD113" s="652">
        <f t="shared" si="699"/>
        <v>-383.91006671022114</v>
      </c>
      <c r="BE113" s="652">
        <f t="shared" si="699"/>
        <v>-379.30691572389958</v>
      </c>
      <c r="BF113" s="652">
        <f t="shared" si="699"/>
        <v>-369.44303393487348</v>
      </c>
      <c r="BG113" s="652">
        <f t="shared" si="699"/>
        <v>-355.40416115131268</v>
      </c>
      <c r="BH113" s="652">
        <f t="shared" si="699"/>
        <v>-338.39078713413386</v>
      </c>
      <c r="BI113" s="652">
        <f t="shared" si="699"/>
        <v>-319.27575794687436</v>
      </c>
      <c r="BJ113" s="652">
        <f t="shared" si="699"/>
        <v>-298.65824359549129</v>
      </c>
      <c r="BK113" s="652">
        <f t="shared" si="699"/>
        <v>-277.2681404146598</v>
      </c>
      <c r="BL113" s="652">
        <f t="shared" si="699"/>
        <v>-255.57991920814672</v>
      </c>
      <c r="BM113" s="652">
        <f t="shared" si="699"/>
        <v>-233.9691061310802</v>
      </c>
      <c r="BN113" s="652">
        <f t="shared" si="699"/>
        <v>-212.72701754153468</v>
      </c>
    </row>
    <row r="114" spans="1:67">
      <c r="A114" s="55" t="s">
        <v>78</v>
      </c>
      <c r="B114" s="55" t="s">
        <v>260</v>
      </c>
      <c r="C114" s="95" t="s">
        <v>166</v>
      </c>
      <c r="D114" s="653">
        <f t="shared" ref="D114:AG114" si="700">D79+D99+D100+D108+D109+IF(D92&lt;0,0,D92)+D101</f>
        <v>0</v>
      </c>
      <c r="E114" s="653">
        <f t="shared" si="700"/>
        <v>53.875470915689654</v>
      </c>
      <c r="F114" s="653">
        <f t="shared" si="700"/>
        <v>109.36239807182569</v>
      </c>
      <c r="G114" s="653">
        <f t="shared" si="700"/>
        <v>166.22995808888143</v>
      </c>
      <c r="H114" s="653">
        <f t="shared" si="700"/>
        <v>224.3372688437087</v>
      </c>
      <c r="I114" s="653">
        <f t="shared" si="700"/>
        <v>283.54344821315874</v>
      </c>
      <c r="J114" s="653">
        <f t="shared" si="700"/>
        <v>343.70160720163682</v>
      </c>
      <c r="K114" s="653">
        <f t="shared" si="700"/>
        <v>404.67508383463155</v>
      </c>
      <c r="L114" s="653">
        <f t="shared" si="700"/>
        <v>466.32277829727553</v>
      </c>
      <c r="M114" s="653">
        <f t="shared" si="700"/>
        <v>528.50358037344427</v>
      </c>
      <c r="N114" s="653">
        <f t="shared" si="700"/>
        <v>591.07636944575802</v>
      </c>
      <c r="O114" s="653">
        <f t="shared" si="700"/>
        <v>694.50862242432117</v>
      </c>
      <c r="P114" s="653">
        <f t="shared" si="700"/>
        <v>799.02706258315811</v>
      </c>
      <c r="Q114" s="653">
        <f t="shared" si="700"/>
        <v>902.51611064601434</v>
      </c>
      <c r="R114" s="653">
        <f t="shared" si="700"/>
        <v>1006.127549121322</v>
      </c>
      <c r="S114" s="653">
        <f t="shared" si="700"/>
        <v>1109.5633085344614</v>
      </c>
      <c r="T114" s="653">
        <f t="shared" si="700"/>
        <v>1212.5358998142592</v>
      </c>
      <c r="U114" s="653">
        <f t="shared" si="700"/>
        <v>1314.7508208257746</v>
      </c>
      <c r="V114" s="653">
        <f t="shared" si="700"/>
        <v>1415.9229518596517</v>
      </c>
      <c r="W114" s="653">
        <f t="shared" si="700"/>
        <v>1515.7715643866713</v>
      </c>
      <c r="X114" s="653">
        <f t="shared" si="700"/>
        <v>1614.020381007218</v>
      </c>
      <c r="Y114" s="653">
        <f t="shared" si="700"/>
        <v>1761.8170285314643</v>
      </c>
      <c r="Z114" s="653">
        <f t="shared" si="700"/>
        <v>1906.9451562642187</v>
      </c>
      <c r="AA114" s="653">
        <f t="shared" si="700"/>
        <v>2041.8089040407501</v>
      </c>
      <c r="AB114" s="653">
        <f t="shared" si="700"/>
        <v>2172.6361143207755</v>
      </c>
      <c r="AC114" s="653">
        <f t="shared" si="700"/>
        <v>2299.2074311908191</v>
      </c>
      <c r="AD114" s="653">
        <f t="shared" si="700"/>
        <v>2421.325497335828</v>
      </c>
      <c r="AE114" s="653">
        <f t="shared" si="700"/>
        <v>2538.8411305802188</v>
      </c>
      <c r="AF114" s="653">
        <f t="shared" si="700"/>
        <v>2651.6302658620521</v>
      </c>
      <c r="AG114" s="653">
        <f t="shared" si="700"/>
        <v>2759.6021525543929</v>
      </c>
      <c r="AH114" s="653">
        <f>AH79+AH99+AH100+AH108+AH109+IF(AH92&lt;0,0,AH92)+AH101</f>
        <v>2862.7001067641072</v>
      </c>
      <c r="AI114" s="24"/>
      <c r="AJ114" s="653">
        <f t="shared" ref="AJ114:BM114" si="701">AJ79+AJ99+AJ100+AJ108+AJ109+IF(AJ92&lt;0,0,AJ92)+AJ101</f>
        <v>0</v>
      </c>
      <c r="AK114" s="653">
        <f t="shared" si="701"/>
        <v>53.875470915689654</v>
      </c>
      <c r="AL114" s="653">
        <f t="shared" si="701"/>
        <v>109.36239807182569</v>
      </c>
      <c r="AM114" s="653">
        <f t="shared" si="701"/>
        <v>166.22995808888143</v>
      </c>
      <c r="AN114" s="653">
        <f t="shared" si="701"/>
        <v>224.3372688437087</v>
      </c>
      <c r="AO114" s="653">
        <f t="shared" si="701"/>
        <v>283.54344821315874</v>
      </c>
      <c r="AP114" s="653">
        <f t="shared" si="701"/>
        <v>343.70160720163682</v>
      </c>
      <c r="AQ114" s="653">
        <f t="shared" si="701"/>
        <v>404.67508383463155</v>
      </c>
      <c r="AR114" s="653">
        <f t="shared" si="701"/>
        <v>466.32277829727553</v>
      </c>
      <c r="AS114" s="653">
        <f t="shared" si="701"/>
        <v>528.50358037344427</v>
      </c>
      <c r="AT114" s="653">
        <f t="shared" si="701"/>
        <v>591.07636944575802</v>
      </c>
      <c r="AU114" s="653">
        <f t="shared" si="701"/>
        <v>694.50862242432117</v>
      </c>
      <c r="AV114" s="653">
        <f t="shared" si="701"/>
        <v>799.02706258315811</v>
      </c>
      <c r="AW114" s="653">
        <f t="shared" si="701"/>
        <v>902.51611064601434</v>
      </c>
      <c r="AX114" s="653">
        <f t="shared" si="701"/>
        <v>1006.127549121322</v>
      </c>
      <c r="AY114" s="653">
        <f t="shared" si="701"/>
        <v>1109.5633085344614</v>
      </c>
      <c r="AZ114" s="653">
        <f t="shared" si="701"/>
        <v>1212.5358998142592</v>
      </c>
      <c r="BA114" s="653">
        <f t="shared" si="701"/>
        <v>1314.7508208257746</v>
      </c>
      <c r="BB114" s="653">
        <f t="shared" si="701"/>
        <v>1415.9229518596517</v>
      </c>
      <c r="BC114" s="653">
        <f t="shared" si="701"/>
        <v>1515.7715643866713</v>
      </c>
      <c r="BD114" s="653">
        <f t="shared" si="701"/>
        <v>1614.020381007218</v>
      </c>
      <c r="BE114" s="653">
        <f t="shared" si="701"/>
        <v>1761.8170285314643</v>
      </c>
      <c r="BF114" s="653">
        <f t="shared" si="701"/>
        <v>1906.9451562642187</v>
      </c>
      <c r="BG114" s="653">
        <f t="shared" si="701"/>
        <v>2041.8089040407501</v>
      </c>
      <c r="BH114" s="653">
        <f t="shared" si="701"/>
        <v>2172.6361143207755</v>
      </c>
      <c r="BI114" s="653">
        <f t="shared" si="701"/>
        <v>2299.2074311908191</v>
      </c>
      <c r="BJ114" s="653">
        <f t="shared" si="701"/>
        <v>2421.325497335828</v>
      </c>
      <c r="BK114" s="653">
        <f t="shared" si="701"/>
        <v>2538.8411305802188</v>
      </c>
      <c r="BL114" s="653">
        <f t="shared" si="701"/>
        <v>2651.6302658620521</v>
      </c>
      <c r="BM114" s="653">
        <f t="shared" si="701"/>
        <v>2759.6021525543929</v>
      </c>
      <c r="BN114" s="653">
        <f>BN79+BN99+BN100+BN108+BN109+IF(BN92&lt;0,0,BN92)+BN101</f>
        <v>2862.7001067641072</v>
      </c>
    </row>
    <row r="115" spans="1:67">
      <c r="A115" s="63"/>
      <c r="B115" s="59" t="s">
        <v>261</v>
      </c>
      <c r="C115" s="60" t="s">
        <v>166</v>
      </c>
      <c r="D115" s="651">
        <f t="shared" ref="D115:AG115" si="702">D78+D85+D98+D107+IF(D93=0,0,D91)</f>
        <v>0</v>
      </c>
      <c r="E115" s="651">
        <f t="shared" si="702"/>
        <v>247.03645031012746</v>
      </c>
      <c r="F115" s="651">
        <f t="shared" si="702"/>
        <v>498.96869327832496</v>
      </c>
      <c r="G115" s="651">
        <f t="shared" si="702"/>
        <v>755.9183103747738</v>
      </c>
      <c r="H115" s="651">
        <f t="shared" si="702"/>
        <v>1018.0068830696583</v>
      </c>
      <c r="I115" s="651">
        <f t="shared" si="702"/>
        <v>1285.3559928331624</v>
      </c>
      <c r="J115" s="651">
        <f t="shared" si="702"/>
        <v>1518.115574174175</v>
      </c>
      <c r="K115" s="651">
        <f t="shared" si="702"/>
        <v>1753.5353320947486</v>
      </c>
      <c r="L115" s="651">
        <f t="shared" si="702"/>
        <v>1991.7368480650734</v>
      </c>
      <c r="M115" s="651">
        <f t="shared" si="702"/>
        <v>2232.8417035553312</v>
      </c>
      <c r="N115" s="651">
        <f t="shared" si="702"/>
        <v>2476.9714800356996</v>
      </c>
      <c r="O115" s="651">
        <f t="shared" si="702"/>
        <v>2994.018650934202</v>
      </c>
      <c r="P115" s="651">
        <f t="shared" si="702"/>
        <v>3516.7876805303677</v>
      </c>
      <c r="Q115" s="651">
        <f t="shared" si="702"/>
        <v>4044.3586037819414</v>
      </c>
      <c r="R115" s="651">
        <f t="shared" si="702"/>
        <v>4577.6554206597884</v>
      </c>
      <c r="S115" s="651">
        <f t="shared" si="702"/>
        <v>5116.8350029133453</v>
      </c>
      <c r="T115" s="651">
        <f t="shared" si="702"/>
        <v>5662.0494959149764</v>
      </c>
      <c r="U115" s="651">
        <f t="shared" si="702"/>
        <v>6213.4462587105199</v>
      </c>
      <c r="V115" s="651">
        <f t="shared" si="702"/>
        <v>6771.1678040698225</v>
      </c>
      <c r="W115" s="651">
        <f t="shared" si="702"/>
        <v>7335.3517385372725</v>
      </c>
      <c r="X115" s="651">
        <f t="shared" si="702"/>
        <v>7906.1307024823545</v>
      </c>
      <c r="Y115" s="651">
        <f t="shared" si="702"/>
        <v>8853.5474334079554</v>
      </c>
      <c r="Z115" s="651">
        <f t="shared" si="702"/>
        <v>9812.2455241964581</v>
      </c>
      <c r="AA115" s="651">
        <f t="shared" si="702"/>
        <v>10770.154945612416</v>
      </c>
      <c r="AB115" s="651">
        <f t="shared" si="702"/>
        <v>11736.123293716504</v>
      </c>
      <c r="AC115" s="651">
        <f t="shared" si="702"/>
        <v>12709.868132920099</v>
      </c>
      <c r="AD115" s="651">
        <f t="shared" si="702"/>
        <v>13687.866378614342</v>
      </c>
      <c r="AE115" s="651">
        <f t="shared" si="702"/>
        <v>14672.659543940101</v>
      </c>
      <c r="AF115" s="651">
        <f t="shared" si="702"/>
        <v>15663.85086266633</v>
      </c>
      <c r="AG115" s="651">
        <f t="shared" si="702"/>
        <v>16661.003953750278</v>
      </c>
      <c r="AH115" s="651">
        <f>AH78+AH85+AH98+AH107+IF(AH93=0,0,AH91)</f>
        <v>17663.642069038629</v>
      </c>
      <c r="AI115" s="24"/>
      <c r="AJ115" s="651">
        <f t="shared" ref="AJ115:BM115" si="703">AJ78+AJ85+AJ98+AJ107+IF(AJ93=0,0,AJ91)</f>
        <v>0</v>
      </c>
      <c r="AK115" s="651">
        <f t="shared" si="703"/>
        <v>247.03645031012746</v>
      </c>
      <c r="AL115" s="651">
        <f t="shared" si="703"/>
        <v>498.96869327832496</v>
      </c>
      <c r="AM115" s="651">
        <f t="shared" si="703"/>
        <v>755.9183103747738</v>
      </c>
      <c r="AN115" s="651">
        <f t="shared" si="703"/>
        <v>1018.0068830696583</v>
      </c>
      <c r="AO115" s="651">
        <f t="shared" si="703"/>
        <v>1285.3559928331624</v>
      </c>
      <c r="AP115" s="651">
        <f t="shared" si="703"/>
        <v>1518.115574174175</v>
      </c>
      <c r="AQ115" s="651">
        <f t="shared" si="703"/>
        <v>1753.5353320947486</v>
      </c>
      <c r="AR115" s="651">
        <f t="shared" si="703"/>
        <v>1991.7368480650734</v>
      </c>
      <c r="AS115" s="651">
        <f t="shared" si="703"/>
        <v>2232.8417035553312</v>
      </c>
      <c r="AT115" s="651">
        <f t="shared" si="703"/>
        <v>2476.9714800356996</v>
      </c>
      <c r="AU115" s="651">
        <f t="shared" si="703"/>
        <v>2994.018650934202</v>
      </c>
      <c r="AV115" s="651">
        <f t="shared" si="703"/>
        <v>3516.7876805303677</v>
      </c>
      <c r="AW115" s="651">
        <f t="shared" si="703"/>
        <v>4044.3586037819414</v>
      </c>
      <c r="AX115" s="651">
        <f t="shared" si="703"/>
        <v>4577.6554206597884</v>
      </c>
      <c r="AY115" s="651">
        <f t="shared" si="703"/>
        <v>5116.8350029133453</v>
      </c>
      <c r="AZ115" s="651">
        <f t="shared" si="703"/>
        <v>5662.0494959149764</v>
      </c>
      <c r="BA115" s="651">
        <f t="shared" si="703"/>
        <v>6213.4462587105199</v>
      </c>
      <c r="BB115" s="651">
        <f t="shared" si="703"/>
        <v>6771.1678040698225</v>
      </c>
      <c r="BC115" s="651">
        <f t="shared" si="703"/>
        <v>7335.3517385372725</v>
      </c>
      <c r="BD115" s="651">
        <f t="shared" si="703"/>
        <v>7906.1307024823545</v>
      </c>
      <c r="BE115" s="651">
        <f t="shared" si="703"/>
        <v>8853.5474334079554</v>
      </c>
      <c r="BF115" s="651">
        <f t="shared" si="703"/>
        <v>9812.2455241964581</v>
      </c>
      <c r="BG115" s="651">
        <f t="shared" si="703"/>
        <v>10770.154945612416</v>
      </c>
      <c r="BH115" s="651">
        <f t="shared" si="703"/>
        <v>11736.123293716504</v>
      </c>
      <c r="BI115" s="651">
        <f t="shared" si="703"/>
        <v>12709.868132920099</v>
      </c>
      <c r="BJ115" s="651">
        <f t="shared" si="703"/>
        <v>13687.866378614342</v>
      </c>
      <c r="BK115" s="651">
        <f t="shared" si="703"/>
        <v>14672.659543940101</v>
      </c>
      <c r="BL115" s="651">
        <f t="shared" si="703"/>
        <v>15663.85086266633</v>
      </c>
      <c r="BM115" s="651">
        <f t="shared" si="703"/>
        <v>16661.003953750278</v>
      </c>
      <c r="BN115" s="651">
        <f>BN78+BN85+BN98+BN107+IF(BN93=0,0,BN91)</f>
        <v>17663.642069038629</v>
      </c>
    </row>
    <row r="116" spans="1:67">
      <c r="A116" s="97" t="s">
        <v>918</v>
      </c>
      <c r="B116" s="97"/>
      <c r="C116" s="98" t="s">
        <v>166</v>
      </c>
      <c r="D116" s="659">
        <f t="shared" ref="D116:AH116" si="704">D72-D114-D115</f>
        <v>70.960266702016895</v>
      </c>
      <c r="E116" s="659">
        <f t="shared" si="704"/>
        <v>-144.54749410611365</v>
      </c>
      <c r="F116" s="659">
        <f t="shared" si="704"/>
        <v>-438.32997212869998</v>
      </c>
      <c r="G116" s="659">
        <f t="shared" si="704"/>
        <v>-737.2584137591997</v>
      </c>
      <c r="H116" s="659">
        <f t="shared" si="704"/>
        <v>-1041.1372772809045</v>
      </c>
      <c r="I116" s="659">
        <f t="shared" si="704"/>
        <v>-1349.747329430526</v>
      </c>
      <c r="J116" s="659">
        <f t="shared" si="704"/>
        <v>-1622.8648044545068</v>
      </c>
      <c r="K116" s="659">
        <f t="shared" si="704"/>
        <v>-1897.3454393351644</v>
      </c>
      <c r="L116" s="659">
        <f t="shared" si="704"/>
        <v>-2172.877812003012</v>
      </c>
      <c r="M116" s="659">
        <f t="shared" si="704"/>
        <v>-2449.1112370800047</v>
      </c>
      <c r="N116" s="659">
        <f t="shared" si="704"/>
        <v>-2725.6504839508007</v>
      </c>
      <c r="O116" s="659">
        <f t="shared" si="704"/>
        <v>-3316.0877770317347</v>
      </c>
      <c r="P116" s="659">
        <f t="shared" si="704"/>
        <v>-3909.3309789855093</v>
      </c>
      <c r="Q116" s="659">
        <f t="shared" si="704"/>
        <v>-4501.7978194732686</v>
      </c>
      <c r="R116" s="659">
        <f t="shared" si="704"/>
        <v>-5094.9436145024192</v>
      </c>
      <c r="S116" s="659">
        <f t="shared" si="704"/>
        <v>-5687.9230282152066</v>
      </c>
      <c r="T116" s="659">
        <f t="shared" si="704"/>
        <v>-6279.9805185522891</v>
      </c>
      <c r="U116" s="659">
        <f t="shared" si="704"/>
        <v>-6869.8806178060941</v>
      </c>
      <c r="V116" s="659">
        <f t="shared" si="704"/>
        <v>-7456.4516803071119</v>
      </c>
      <c r="W116" s="659">
        <f t="shared" si="704"/>
        <v>-8038.3828496676242</v>
      </c>
      <c r="X116" s="659">
        <f t="shared" si="704"/>
        <v>-8614.2053803982635</v>
      </c>
      <c r="Y116" s="659">
        <f t="shared" si="704"/>
        <v>-9603.2879424914554</v>
      </c>
      <c r="Z116" s="659">
        <f t="shared" si="704"/>
        <v>-10586.630679085058</v>
      </c>
      <c r="AA116" s="659">
        <f t="shared" si="704"/>
        <v>-11542.630271316008</v>
      </c>
      <c r="AB116" s="659">
        <f t="shared" si="704"/>
        <v>-12484.163825681453</v>
      </c>
      <c r="AC116" s="659">
        <f t="shared" si="704"/>
        <v>-13408.235184288153</v>
      </c>
      <c r="AD116" s="659">
        <f t="shared" si="704"/>
        <v>-14308.29364149765</v>
      </c>
      <c r="AE116" s="659">
        <f t="shared" si="704"/>
        <v>-15183.520135953218</v>
      </c>
      <c r="AF116" s="659">
        <f t="shared" si="704"/>
        <v>-16029.749992822266</v>
      </c>
      <c r="AG116" s="659">
        <f t="shared" si="704"/>
        <v>-16842.321551369059</v>
      </c>
      <c r="AH116" s="659">
        <f t="shared" si="704"/>
        <v>-17616.010088084582</v>
      </c>
      <c r="AI116" s="24"/>
      <c r="AJ116" s="659">
        <f t="shared" ref="AJ116:BN116" si="705">AJ72-AJ114-AJ115</f>
        <v>70.960266702016895</v>
      </c>
      <c r="AK116" s="659">
        <f t="shared" si="705"/>
        <v>-144.36577701391104</v>
      </c>
      <c r="AL116" s="659">
        <f t="shared" si="705"/>
        <v>-437.94059835927214</v>
      </c>
      <c r="AM116" s="659">
        <f t="shared" si="705"/>
        <v>-736.63556371918378</v>
      </c>
      <c r="AN116" s="659">
        <f t="shared" si="705"/>
        <v>-1040.2552552237764</v>
      </c>
      <c r="AO116" s="659">
        <f t="shared" si="705"/>
        <v>-1348.5805674269002</v>
      </c>
      <c r="AP116" s="659">
        <f t="shared" si="705"/>
        <v>-1621.3878664808351</v>
      </c>
      <c r="AQ116" s="659">
        <f t="shared" si="705"/>
        <v>-1895.5330254841965</v>
      </c>
      <c r="AR116" s="659">
        <f t="shared" si="705"/>
        <v>-2170.7047628194778</v>
      </c>
      <c r="AS116" s="659">
        <f t="shared" si="705"/>
        <v>-2446.5525380250706</v>
      </c>
      <c r="AT116" s="659">
        <f t="shared" si="705"/>
        <v>-2722.68126999895</v>
      </c>
      <c r="AU116" s="659">
        <f t="shared" si="705"/>
        <v>-3312.7228721085185</v>
      </c>
      <c r="AV116" s="659">
        <f t="shared" si="705"/>
        <v>-3905.5608673250213</v>
      </c>
      <c r="AW116" s="659">
        <f t="shared" si="705"/>
        <v>-4497.6130630677117</v>
      </c>
      <c r="AX116" s="659">
        <f t="shared" si="705"/>
        <v>-5090.3348558980379</v>
      </c>
      <c r="AY116" s="659">
        <f t="shared" si="705"/>
        <v>-5682.880993401348</v>
      </c>
      <c r="AZ116" s="659">
        <f t="shared" si="705"/>
        <v>-6274.5065799465156</v>
      </c>
      <c r="BA116" s="659">
        <f t="shared" si="705"/>
        <v>-6863.9669973383288</v>
      </c>
      <c r="BB116" s="659">
        <f t="shared" si="705"/>
        <v>-7450.0906926059097</v>
      </c>
      <c r="BC116" s="659">
        <f t="shared" si="705"/>
        <v>-8031.5669053517377</v>
      </c>
      <c r="BD116" s="659">
        <f t="shared" si="705"/>
        <v>-8606.9269894767713</v>
      </c>
      <c r="BE116" s="659">
        <f t="shared" si="705"/>
        <v>-9595.4578805104029</v>
      </c>
      <c r="BF116" s="659">
        <f t="shared" si="705"/>
        <v>-10578.240660226527</v>
      </c>
      <c r="BG116" s="659">
        <f t="shared" si="705"/>
        <v>-11533.672029771289</v>
      </c>
      <c r="BH116" s="659">
        <f t="shared" si="705"/>
        <v>-12474.629117417691</v>
      </c>
      <c r="BI116" s="659">
        <f t="shared" si="705"/>
        <v>-13398.11578889597</v>
      </c>
      <c r="BJ116" s="659">
        <f t="shared" si="705"/>
        <v>-14297.581364122701</v>
      </c>
      <c r="BK116" s="659">
        <f t="shared" si="705"/>
        <v>-15172.206809314714</v>
      </c>
      <c r="BL116" s="659">
        <f t="shared" si="705"/>
        <v>-16017.827479321637</v>
      </c>
      <c r="BM116" s="659">
        <f t="shared" si="705"/>
        <v>-16829.781745292021</v>
      </c>
      <c r="BN116" s="659">
        <f t="shared" si="705"/>
        <v>-17602.844917899929</v>
      </c>
      <c r="BO116" s="41"/>
    </row>
    <row r="117" spans="1:67" s="62" customFormat="1">
      <c r="A117" s="684"/>
      <c r="B117" s="55" t="s">
        <v>885</v>
      </c>
      <c r="C117" s="56" t="s">
        <v>166</v>
      </c>
      <c r="D117" s="650">
        <f>D81+D87+D94+D103+D111</f>
        <v>7.192774760698633</v>
      </c>
      <c r="E117" s="650">
        <f t="shared" ref="E117:AH117" si="706">E81+E87+E94+E103+E111</f>
        <v>-93.777588340855004</v>
      </c>
      <c r="F117" s="650">
        <f t="shared" si="706"/>
        <v>-264.98204587105045</v>
      </c>
      <c r="G117" s="650">
        <f t="shared" si="706"/>
        <v>-439.26538444861245</v>
      </c>
      <c r="H117" s="650">
        <f t="shared" si="706"/>
        <v>-617.25198537424717</v>
      </c>
      <c r="I117" s="650">
        <f t="shared" si="706"/>
        <v>-799.29077353180435</v>
      </c>
      <c r="J117" s="650">
        <f t="shared" si="706"/>
        <v>-955.15113332348619</v>
      </c>
      <c r="K117" s="650">
        <f t="shared" si="706"/>
        <v>-1112.0421663014174</v>
      </c>
      <c r="L117" s="650">
        <f t="shared" si="706"/>
        <v>-1269.547877623557</v>
      </c>
      <c r="M117" s="650">
        <f t="shared" si="706"/>
        <v>-1427.1097118965911</v>
      </c>
      <c r="N117" s="650">
        <f t="shared" si="706"/>
        <v>-1584.0408763136511</v>
      </c>
      <c r="O117" s="650">
        <f t="shared" si="706"/>
        <v>-1962.0660399361802</v>
      </c>
      <c r="P117" s="650">
        <f t="shared" si="706"/>
        <v>-2342.9651876737526</v>
      </c>
      <c r="Q117" s="650">
        <f t="shared" si="706"/>
        <v>-2723.620401789226</v>
      </c>
      <c r="R117" s="650">
        <f t="shared" si="706"/>
        <v>-3102.4093698582819</v>
      </c>
      <c r="S117" s="650">
        <f t="shared" si="706"/>
        <v>-3477.0706596706054</v>
      </c>
      <c r="T117" s="650">
        <f t="shared" si="706"/>
        <v>-3846.4962493797839</v>
      </c>
      <c r="U117" s="650">
        <f t="shared" si="706"/>
        <v>-4207.2768573941003</v>
      </c>
      <c r="V117" s="650">
        <f t="shared" si="706"/>
        <v>-4557.1626826868323</v>
      </c>
      <c r="W117" s="650">
        <f t="shared" si="706"/>
        <v>-4893.9021381018474</v>
      </c>
      <c r="X117" s="650">
        <f t="shared" si="706"/>
        <v>-5215.2179862958483</v>
      </c>
      <c r="Y117" s="650">
        <f t="shared" si="706"/>
        <v>-5808.0936982456387</v>
      </c>
      <c r="Z117" s="650">
        <f t="shared" si="706"/>
        <v>-6380.8106822302379</v>
      </c>
      <c r="AA117" s="650">
        <f t="shared" si="706"/>
        <v>-6926.4666174774557</v>
      </c>
      <c r="AB117" s="650">
        <f t="shared" si="706"/>
        <v>-7444.9380837546296</v>
      </c>
      <c r="AC117" s="650">
        <f t="shared" si="706"/>
        <v>-7932.7997950420031</v>
      </c>
      <c r="AD117" s="650">
        <f t="shared" si="706"/>
        <v>-8383.3662795776472</v>
      </c>
      <c r="AE117" s="650">
        <f t="shared" si="706"/>
        <v>-8795.5804374591025</v>
      </c>
      <c r="AF117" s="650">
        <f t="shared" si="706"/>
        <v>-9165.3125140125667</v>
      </c>
      <c r="AG117" s="650">
        <f t="shared" si="706"/>
        <v>-9488.055529315372</v>
      </c>
      <c r="AH117" s="650">
        <f t="shared" si="706"/>
        <v>-9758.8444168333899</v>
      </c>
      <c r="AI117" s="650"/>
      <c r="AJ117" s="650">
        <f>AJ81+AJ87+AJ94+AJ103+AJ111</f>
        <v>7.192774760698633</v>
      </c>
      <c r="AK117" s="650">
        <f t="shared" ref="AK117:BN117" si="707">AK81+AK87+AK94+AK103+AK111</f>
        <v>-102.32901038454125</v>
      </c>
      <c r="AL117" s="650">
        <f t="shared" si="707"/>
        <v>-282.34037566767063</v>
      </c>
      <c r="AM117" s="650">
        <f t="shared" si="707"/>
        <v>-465.65731430962506</v>
      </c>
      <c r="AN117" s="650">
        <f t="shared" si="707"/>
        <v>-652.90094235263723</v>
      </c>
      <c r="AO117" s="650">
        <f t="shared" si="707"/>
        <v>-844.42342218410806</v>
      </c>
      <c r="AP117" s="650">
        <f t="shared" si="707"/>
        <v>-1010.1239504242728</v>
      </c>
      <c r="AQ117" s="650">
        <f t="shared" si="707"/>
        <v>-1177.1492596774856</v>
      </c>
      <c r="AR117" s="650">
        <f t="shared" si="707"/>
        <v>-1345.1002463880336</v>
      </c>
      <c r="AS117" s="650">
        <f t="shared" si="707"/>
        <v>-1513.4368627596712</v>
      </c>
      <c r="AT117" s="650">
        <f t="shared" si="707"/>
        <v>-1681.4914223682836</v>
      </c>
      <c r="AU117" s="650">
        <f t="shared" si="707"/>
        <v>-2078.2182754223622</v>
      </c>
      <c r="AV117" s="650">
        <f t="shared" si="707"/>
        <v>-2478.7098038330901</v>
      </c>
      <c r="AW117" s="650">
        <f t="shared" si="707"/>
        <v>-2879.6941512756493</v>
      </c>
      <c r="AX117" s="650">
        <f t="shared" si="707"/>
        <v>-3279.7169317381854</v>
      </c>
      <c r="AY117" s="650">
        <f t="shared" si="707"/>
        <v>-3676.5238877626171</v>
      </c>
      <c r="AZ117" s="650">
        <f t="shared" si="707"/>
        <v>-4069.0561121238807</v>
      </c>
      <c r="BA117" s="650">
        <f t="shared" si="707"/>
        <v>-4453.8439825518863</v>
      </c>
      <c r="BB117" s="650">
        <f t="shared" si="707"/>
        <v>-4828.6113507281079</v>
      </c>
      <c r="BC117" s="650">
        <f t="shared" si="707"/>
        <v>-5191.0723713206025</v>
      </c>
      <c r="BD117" s="650">
        <f t="shared" si="707"/>
        <v>-5538.9093431575484</v>
      </c>
      <c r="BE117" s="650">
        <f t="shared" si="707"/>
        <v>-6170.4996420887146</v>
      </c>
      <c r="BF117" s="650">
        <f t="shared" si="707"/>
        <v>-6783.1916419154986</v>
      </c>
      <c r="BG117" s="650">
        <f t="shared" si="707"/>
        <v>-7369.2745765298278</v>
      </c>
      <c r="BH117" s="650">
        <f t="shared" si="707"/>
        <v>-7929.2322766668076</v>
      </c>
      <c r="BI117" s="650">
        <f t="shared" si="707"/>
        <v>-8459.5824713000693</v>
      </c>
      <c r="BJ117" s="650">
        <f t="shared" si="707"/>
        <v>-8953.59165390198</v>
      </c>
      <c r="BK117" s="650">
        <f t="shared" si="707"/>
        <v>-9410.1446244645012</v>
      </c>
      <c r="BL117" s="650">
        <f t="shared" si="707"/>
        <v>-9825.0657532157984</v>
      </c>
      <c r="BM117" s="650">
        <f t="shared" si="707"/>
        <v>-10193.807869201804</v>
      </c>
      <c r="BN117" s="650">
        <f t="shared" si="707"/>
        <v>-10511.371912916033</v>
      </c>
      <c r="BO117" s="57"/>
    </row>
    <row r="118" spans="1:67">
      <c r="A118" s="685"/>
      <c r="B118" s="1" t="s">
        <v>1182</v>
      </c>
      <c r="C118" s="51" t="s">
        <v>166</v>
      </c>
      <c r="D118" s="24">
        <f>D16</f>
        <v>28.065001267929215</v>
      </c>
      <c r="E118" s="24">
        <f t="shared" ref="E118:AH118" si="708">E16</f>
        <v>28.136286371149751</v>
      </c>
      <c r="F118" s="24">
        <f t="shared" si="708"/>
        <v>28.196004203447703</v>
      </c>
      <c r="G118" s="24">
        <f t="shared" si="708"/>
        <v>28.243584960541014</v>
      </c>
      <c r="H118" s="24">
        <f t="shared" si="708"/>
        <v>28.278438746237001</v>
      </c>
      <c r="I118" s="24">
        <f t="shared" si="708"/>
        <v>28.29995494963087</v>
      </c>
      <c r="J118" s="24">
        <f t="shared" si="708"/>
        <v>28.307501604284109</v>
      </c>
      <c r="K118" s="24">
        <f t="shared" si="708"/>
        <v>28.30042472888303</v>
      </c>
      <c r="L118" s="24">
        <f t="shared" si="708"/>
        <v>28.278047648864838</v>
      </c>
      <c r="M118" s="24">
        <f t="shared" si="708"/>
        <v>28.239670298484235</v>
      </c>
      <c r="N118" s="24">
        <f t="shared" si="708"/>
        <v>28.184568502779875</v>
      </c>
      <c r="O118" s="24">
        <f t="shared" si="708"/>
        <v>27.030762729697322</v>
      </c>
      <c r="P118" s="24">
        <f t="shared" si="708"/>
        <v>25.808972254315002</v>
      </c>
      <c r="Q118" s="24">
        <f t="shared" si="708"/>
        <v>24.516680143581084</v>
      </c>
      <c r="R118" s="24">
        <f t="shared" si="708"/>
        <v>23.151289649430872</v>
      </c>
      <c r="S118" s="24">
        <f t="shared" si="708"/>
        <v>21.710121868753799</v>
      </c>
      <c r="T118" s="24">
        <f t="shared" si="708"/>
        <v>20.190413337941031</v>
      </c>
      <c r="U118" s="24">
        <f t="shared" si="708"/>
        <v>18.589313560242303</v>
      </c>
      <c r="V118" s="24">
        <f t="shared" si="708"/>
        <v>16.903882464113668</v>
      </c>
      <c r="W118" s="24">
        <f t="shared" si="708"/>
        <v>15.131087790689747</v>
      </c>
      <c r="X118" s="24">
        <f t="shared" si="708"/>
        <v>13.26780240846481</v>
      </c>
      <c r="Y118" s="24">
        <f t="shared" si="708"/>
        <v>12.215665677473545</v>
      </c>
      <c r="Z118" s="24">
        <f t="shared" si="708"/>
        <v>11.108111989382607</v>
      </c>
      <c r="AA118" s="24">
        <f t="shared" si="708"/>
        <v>9.9431487444961135</v>
      </c>
      <c r="AB118" s="24">
        <f t="shared" si="708"/>
        <v>8.7187209991024446</v>
      </c>
      <c r="AC118" s="24">
        <f t="shared" si="708"/>
        <v>7.4327096517348323</v>
      </c>
      <c r="AD118" s="24">
        <f t="shared" si="708"/>
        <v>6.0829295789797868</v>
      </c>
      <c r="AE118" s="24">
        <f t="shared" si="708"/>
        <v>4.6671277194722407</v>
      </c>
      <c r="AF118" s="24">
        <f t="shared" si="708"/>
        <v>3.1829811046800671</v>
      </c>
      <c r="AG118" s="24">
        <f t="shared" si="708"/>
        <v>1.6280948350438535</v>
      </c>
      <c r="AH118" s="24">
        <f t="shared" si="708"/>
        <v>0</v>
      </c>
      <c r="AI118" s="24"/>
      <c r="AJ118" s="24">
        <f>AJ16</f>
        <v>28.065001267929215</v>
      </c>
      <c r="AK118" s="24">
        <f t="shared" ref="AK118:BN118" si="709">AK16</f>
        <v>28.136286371149751</v>
      </c>
      <c r="AL118" s="24">
        <f t="shared" si="709"/>
        <v>28.196004203447703</v>
      </c>
      <c r="AM118" s="24">
        <f t="shared" si="709"/>
        <v>28.243584960541014</v>
      </c>
      <c r="AN118" s="24">
        <f t="shared" si="709"/>
        <v>28.278438746237001</v>
      </c>
      <c r="AO118" s="24">
        <f t="shared" si="709"/>
        <v>28.29995494963087</v>
      </c>
      <c r="AP118" s="24">
        <f t="shared" si="709"/>
        <v>28.307501604284109</v>
      </c>
      <c r="AQ118" s="24">
        <f t="shared" si="709"/>
        <v>28.30042472888303</v>
      </c>
      <c r="AR118" s="24">
        <f t="shared" si="709"/>
        <v>28.278047648864838</v>
      </c>
      <c r="AS118" s="24">
        <f t="shared" si="709"/>
        <v>28.239670298484235</v>
      </c>
      <c r="AT118" s="24">
        <f t="shared" si="709"/>
        <v>28.184568502779875</v>
      </c>
      <c r="AU118" s="24">
        <f t="shared" si="709"/>
        <v>27.030762729697322</v>
      </c>
      <c r="AV118" s="24">
        <f t="shared" si="709"/>
        <v>25.808972254315002</v>
      </c>
      <c r="AW118" s="24">
        <f t="shared" si="709"/>
        <v>24.516680143581084</v>
      </c>
      <c r="AX118" s="24">
        <f t="shared" si="709"/>
        <v>23.151289649430872</v>
      </c>
      <c r="AY118" s="24">
        <f t="shared" si="709"/>
        <v>21.710121868753799</v>
      </c>
      <c r="AZ118" s="24">
        <f t="shared" si="709"/>
        <v>20.190413337941031</v>
      </c>
      <c r="BA118" s="24">
        <f t="shared" si="709"/>
        <v>18.589313560242303</v>
      </c>
      <c r="BB118" s="24">
        <f t="shared" si="709"/>
        <v>16.903882464113668</v>
      </c>
      <c r="BC118" s="24">
        <f t="shared" si="709"/>
        <v>15.131087790689747</v>
      </c>
      <c r="BD118" s="24">
        <f t="shared" si="709"/>
        <v>13.26780240846481</v>
      </c>
      <c r="BE118" s="24">
        <f t="shared" si="709"/>
        <v>12.215665677473545</v>
      </c>
      <c r="BF118" s="24">
        <f t="shared" si="709"/>
        <v>11.108111989382607</v>
      </c>
      <c r="BG118" s="24">
        <f t="shared" si="709"/>
        <v>9.9431487444961135</v>
      </c>
      <c r="BH118" s="24">
        <f t="shared" si="709"/>
        <v>8.7187209991024446</v>
      </c>
      <c r="BI118" s="24">
        <f t="shared" si="709"/>
        <v>7.4327096517348323</v>
      </c>
      <c r="BJ118" s="24">
        <f t="shared" si="709"/>
        <v>6.0829295789797868</v>
      </c>
      <c r="BK118" s="24">
        <f t="shared" si="709"/>
        <v>4.6671277194722407</v>
      </c>
      <c r="BL118" s="24">
        <f t="shared" si="709"/>
        <v>3.1829811046800671</v>
      </c>
      <c r="BM118" s="24">
        <f t="shared" si="709"/>
        <v>1.6280948350438535</v>
      </c>
      <c r="BN118" s="24">
        <f t="shared" si="709"/>
        <v>0</v>
      </c>
    </row>
    <row r="119" spans="1:67" s="63" customFormat="1">
      <c r="A119" s="686"/>
      <c r="B119" s="59" t="s">
        <v>27</v>
      </c>
      <c r="C119" s="262" t="s">
        <v>166</v>
      </c>
      <c r="D119" s="652">
        <f t="shared" ref="D119:S119" si="710">D83+D89+D96+D105+D113</f>
        <v>35.70249067338905</v>
      </c>
      <c r="E119" s="652">
        <f t="shared" si="710"/>
        <v>-75.690061649655604</v>
      </c>
      <c r="F119" s="652">
        <f t="shared" si="710"/>
        <v>-195.03525657929197</v>
      </c>
      <c r="G119" s="652">
        <f t="shared" si="710"/>
        <v>-316.37185818686976</v>
      </c>
      <c r="H119" s="652">
        <f t="shared" si="710"/>
        <v>-438.89213680720161</v>
      </c>
      <c r="I119" s="652">
        <f t="shared" si="710"/>
        <v>-562.04001666372801</v>
      </c>
      <c r="J119" s="652">
        <f t="shared" si="710"/>
        <v>-675.83431834879855</v>
      </c>
      <c r="K119" s="652">
        <f t="shared" si="710"/>
        <v>-789.93353575890615</v>
      </c>
      <c r="L119" s="652">
        <f t="shared" si="710"/>
        <v>-904.45398717271655</v>
      </c>
      <c r="M119" s="652">
        <f t="shared" si="710"/>
        <v>-1019.6151744534969</v>
      </c>
      <c r="N119" s="652">
        <f t="shared" si="710"/>
        <v>-1135.7201772646158</v>
      </c>
      <c r="O119" s="652">
        <f t="shared" si="710"/>
        <v>-1342.432508671543</v>
      </c>
      <c r="P119" s="652">
        <f t="shared" si="710"/>
        <v>-1548.9258064119542</v>
      </c>
      <c r="Q119" s="652">
        <f t="shared" si="710"/>
        <v>-1754.7626093810509</v>
      </c>
      <c r="R119" s="652">
        <f t="shared" si="710"/>
        <v>-1963.0468766010988</v>
      </c>
      <c r="S119" s="652">
        <f t="shared" si="710"/>
        <v>-2175.2204717687882</v>
      </c>
      <c r="T119" s="652">
        <f t="shared" ref="T119:AH119" si="711">T83+T89+T96+T105+T113</f>
        <v>-2391.6610763634594</v>
      </c>
      <c r="U119" s="652">
        <f t="shared" si="711"/>
        <v>-2614.5671378370216</v>
      </c>
      <c r="V119" s="652">
        <f t="shared" si="711"/>
        <v>-2845.0408744482961</v>
      </c>
      <c r="W119" s="652">
        <f t="shared" si="711"/>
        <v>-3084.0465065886206</v>
      </c>
      <c r="X119" s="652">
        <f t="shared" si="711"/>
        <v>-3332.4154397708485</v>
      </c>
      <c r="Y119" s="652">
        <f t="shared" si="711"/>
        <v>-3721.670017720242</v>
      </c>
      <c r="Z119" s="652">
        <f t="shared" si="711"/>
        <v>-4125.4403856484887</v>
      </c>
      <c r="AA119" s="652">
        <f t="shared" si="711"/>
        <v>-4529.0646688767756</v>
      </c>
      <c r="AB119" s="652">
        <f t="shared" si="711"/>
        <v>-4945.5816871829511</v>
      </c>
      <c r="AC119" s="652">
        <f t="shared" si="711"/>
        <v>-5375.458029563817</v>
      </c>
      <c r="AD119" s="652">
        <f t="shared" si="711"/>
        <v>-5818.8650889711744</v>
      </c>
      <c r="AE119" s="652">
        <f t="shared" si="711"/>
        <v>-6276.0766948211358</v>
      </c>
      <c r="AF119" s="652">
        <f t="shared" si="711"/>
        <v>-6747.0928798981231</v>
      </c>
      <c r="AG119" s="652">
        <f t="shared" si="711"/>
        <v>-7231.7930763812446</v>
      </c>
      <c r="AH119" s="652">
        <f t="shared" si="711"/>
        <v>-7729.950898256785</v>
      </c>
      <c r="AI119" s="652"/>
      <c r="AJ119" s="652">
        <f t="shared" ref="AJ119:BN119" si="712">AJ83+AJ89+AJ96+AJ105+AJ113</f>
        <v>35.70249067338905</v>
      </c>
      <c r="AK119" s="652">
        <f t="shared" si="712"/>
        <v>-66.956922523003385</v>
      </c>
      <c r="AL119" s="652">
        <f t="shared" si="712"/>
        <v>-177.28755303210508</v>
      </c>
      <c r="AM119" s="652">
        <f t="shared" si="712"/>
        <v>-289.35707831472706</v>
      </c>
      <c r="AN119" s="652">
        <f t="shared" si="712"/>
        <v>-402.36115781100671</v>
      </c>
      <c r="AO119" s="652">
        <f t="shared" si="712"/>
        <v>-515.74060605798502</v>
      </c>
      <c r="AP119" s="652">
        <f t="shared" si="712"/>
        <v>-619.38456333582894</v>
      </c>
      <c r="AQ119" s="652">
        <f t="shared" si="712"/>
        <v>-723.01402860511325</v>
      </c>
      <c r="AR119" s="652">
        <f t="shared" si="712"/>
        <v>-826.7285693101702</v>
      </c>
      <c r="AS119" s="652">
        <f t="shared" si="712"/>
        <v>-930.72932463364896</v>
      </c>
      <c r="AT119" s="652">
        <f t="shared" si="712"/>
        <v>-1035.3004173694981</v>
      </c>
      <c r="AU119" s="652">
        <f t="shared" si="712"/>
        <v>-1222.915368383869</v>
      </c>
      <c r="AV119" s="652">
        <f t="shared" si="712"/>
        <v>-1409.4110787245991</v>
      </c>
      <c r="AW119" s="652">
        <f t="shared" si="712"/>
        <v>-1594.5041036326861</v>
      </c>
      <c r="AX119" s="652">
        <f t="shared" si="712"/>
        <v>-1781.1305562719829</v>
      </c>
      <c r="AY119" s="652">
        <f t="shared" si="712"/>
        <v>-1970.7252090300619</v>
      </c>
      <c r="AZ119" s="652">
        <f t="shared" si="712"/>
        <v>-2163.6272751931429</v>
      </c>
      <c r="BA119" s="652">
        <f t="shared" si="712"/>
        <v>-2362.0863924038822</v>
      </c>
      <c r="BB119" s="652">
        <f t="shared" si="712"/>
        <v>-2567.2312189115505</v>
      </c>
      <c r="BC119" s="652">
        <f t="shared" si="712"/>
        <v>-2780.0603292735041</v>
      </c>
      <c r="BD119" s="652">
        <f t="shared" si="712"/>
        <v>-3001.4456922214617</v>
      </c>
      <c r="BE119" s="652">
        <f t="shared" si="712"/>
        <v>-3351.4340121467421</v>
      </c>
      <c r="BF119" s="652">
        <f t="shared" si="712"/>
        <v>-3714.6694073727558</v>
      </c>
      <c r="BG119" s="652">
        <f t="shared" si="712"/>
        <v>-4077.2984685657866</v>
      </c>
      <c r="BH119" s="652">
        <f t="shared" si="712"/>
        <v>-4451.7527863118003</v>
      </c>
      <c r="BI119" s="652">
        <f t="shared" si="712"/>
        <v>-4838.5559582377064</v>
      </c>
      <c r="BJ119" s="652">
        <f t="shared" si="712"/>
        <v>-5237.9274376160538</v>
      </c>
      <c r="BK119" s="652">
        <f t="shared" si="712"/>
        <v>-5650.1991815421188</v>
      </c>
      <c r="BL119" s="652">
        <f t="shared" si="712"/>
        <v>-6075.4171275805893</v>
      </c>
      <c r="BM119" s="652">
        <f t="shared" si="712"/>
        <v>-6513.5009308262797</v>
      </c>
      <c r="BN119" s="652">
        <f t="shared" si="712"/>
        <v>-6964.2582324209397</v>
      </c>
    </row>
    <row r="120" spans="1:67">
      <c r="A120" s="1" t="s">
        <v>843</v>
      </c>
      <c r="C120" s="56" t="s">
        <v>166</v>
      </c>
      <c r="D120" s="25">
        <f>'Methanol Recycling HC'!C333</f>
        <v>1.7943769593310288E-2</v>
      </c>
      <c r="E120" s="25">
        <f>'Methanol Recycling HC'!D333</f>
        <v>3.6604054272690902E-2</v>
      </c>
      <c r="F120" s="25">
        <f>'Methanol Recycling HC'!E333</f>
        <v>7.4425643669265795E-2</v>
      </c>
      <c r="G120" s="25">
        <f>'Methanol Recycling HC'!F333</f>
        <v>0.15075301649119444</v>
      </c>
      <c r="H120" s="25">
        <f>'Methanol Recycling HC'!G333</f>
        <v>0.303920693894766</v>
      </c>
      <c r="I120" s="25">
        <f>'Methanol Recycling HC'!H333</f>
        <v>0.60902810565804533</v>
      </c>
      <c r="J120" s="25">
        <f>'Methanol Recycling HC'!I333</f>
        <v>1.2048637085229814</v>
      </c>
      <c r="K120" s="25">
        <f>'Methanol Recycling HC'!J333</f>
        <v>2.3589124482474548</v>
      </c>
      <c r="L120" s="25">
        <f>'Methanol Recycling HC'!K333</f>
        <v>4.5550601787995051</v>
      </c>
      <c r="M120" s="25">
        <f>'Methanol Recycling HC'!L333</f>
        <v>8.637143845621301</v>
      </c>
      <c r="N120" s="25">
        <f>'Methanol Recycling HC'!M333</f>
        <v>16.061990523557601</v>
      </c>
      <c r="O120" s="25">
        <f>'Methanol Recycling HC'!N333</f>
        <v>28.401565033833776</v>
      </c>
      <c r="P120" s="25">
        <f>'Methanol Recycling HC'!O333</f>
        <v>48.560821424144308</v>
      </c>
      <c r="Q120" s="25">
        <f>'Methanol Recycling HC'!P333</f>
        <v>79.301543845279909</v>
      </c>
      <c r="R120" s="25">
        <f>'Methanol Recycling HC'!Q333</f>
        <v>122.8958348255334</v>
      </c>
      <c r="S120" s="25">
        <f>'Methanol Recycling HC'!R333</f>
        <v>179.95202899841289</v>
      </c>
      <c r="T120" s="25">
        <f>'Methanol Recycling HC'!S333</f>
        <v>248.39872649307335</v>
      </c>
      <c r="U120" s="25">
        <f>'Methanol Recycling HC'!T333</f>
        <v>323.89419746101242</v>
      </c>
      <c r="V120" s="25">
        <f>'Methanol Recycling HC'!U333</f>
        <v>400.88350736872951</v>
      </c>
      <c r="W120" s="25">
        <f>'Methanol Recycling HC'!V333</f>
        <v>474.25314209371942</v>
      </c>
      <c r="X120" s="25">
        <f>'Methanol Recycling HC'!W333</f>
        <v>540.52201344437628</v>
      </c>
      <c r="Y120" s="25">
        <f>'Methanol Recycling HC'!X333</f>
        <v>588.98721837047913</v>
      </c>
      <c r="Z120" s="25">
        <f>'Methanol Recycling HC'!Y333</f>
        <v>627.50590158728482</v>
      </c>
      <c r="AA120" s="25">
        <f>'Methanol Recycling HC'!Z333</f>
        <v>657.55306086089979</v>
      </c>
      <c r="AB120" s="25">
        <f>'Methanol Recycling HC'!AA333</f>
        <v>682.41037872980769</v>
      </c>
      <c r="AC120" s="25">
        <f>'Methanol Recycling HC'!AB333</f>
        <v>705.5257362733937</v>
      </c>
      <c r="AD120" s="25">
        <f>'Methanol Recycling HC'!AC333</f>
        <v>730.63401077182959</v>
      </c>
      <c r="AE120" s="25">
        <f>'Methanol Recycling HC'!AD333</f>
        <v>761.8151729967625</v>
      </c>
      <c r="AF120" s="25">
        <f>'Methanol Recycling HC'!AE333</f>
        <v>802.29218973247794</v>
      </c>
      <c r="AG120" s="25">
        <f>'Methanol Recycling HC'!AF333</f>
        <v>853.34681781477423</v>
      </c>
      <c r="AH120" s="25">
        <f>'Methanol Recycling HC'!AG333</f>
        <v>913.17142365856444</v>
      </c>
      <c r="AI120" s="24"/>
      <c r="AJ120" s="24">
        <f>D120/2</f>
        <v>8.971884796655144E-3</v>
      </c>
      <c r="AK120" s="24">
        <f t="shared" ref="AK120:BN120" si="713">E120/2</f>
        <v>1.8302027136345451E-2</v>
      </c>
      <c r="AL120" s="24">
        <f t="shared" si="713"/>
        <v>3.7212821834632898E-2</v>
      </c>
      <c r="AM120" s="24">
        <f t="shared" si="713"/>
        <v>7.5376508245597218E-2</v>
      </c>
      <c r="AN120" s="24">
        <f t="shared" si="713"/>
        <v>0.151960346947383</v>
      </c>
      <c r="AO120" s="24">
        <f t="shared" si="713"/>
        <v>0.30451405282902266</v>
      </c>
      <c r="AP120" s="24">
        <f t="shared" si="713"/>
        <v>0.60243185426149071</v>
      </c>
      <c r="AQ120" s="24">
        <f t="shared" si="713"/>
        <v>1.1794562241237274</v>
      </c>
      <c r="AR120" s="24">
        <f t="shared" si="713"/>
        <v>2.2775300893997525</v>
      </c>
      <c r="AS120" s="24">
        <f t="shared" si="713"/>
        <v>4.3185719228106505</v>
      </c>
      <c r="AT120" s="24">
        <f t="shared" si="713"/>
        <v>8.0309952617788003</v>
      </c>
      <c r="AU120" s="24">
        <f t="shared" si="713"/>
        <v>14.200782516916888</v>
      </c>
      <c r="AV120" s="24">
        <f t="shared" si="713"/>
        <v>24.280410712072154</v>
      </c>
      <c r="AW120" s="24">
        <f t="shared" si="713"/>
        <v>39.650771922639954</v>
      </c>
      <c r="AX120" s="24">
        <f t="shared" si="713"/>
        <v>61.447917412766699</v>
      </c>
      <c r="AY120" s="24">
        <f t="shared" si="713"/>
        <v>89.976014499206443</v>
      </c>
      <c r="AZ120" s="24">
        <f t="shared" si="713"/>
        <v>124.19936324653668</v>
      </c>
      <c r="BA120" s="24">
        <f t="shared" si="713"/>
        <v>161.94709873050621</v>
      </c>
      <c r="BB120" s="24">
        <f t="shared" si="713"/>
        <v>200.44175368436476</v>
      </c>
      <c r="BC120" s="24">
        <f t="shared" si="713"/>
        <v>237.12657104685971</v>
      </c>
      <c r="BD120" s="24">
        <f t="shared" si="713"/>
        <v>270.26100672218814</v>
      </c>
      <c r="BE120" s="24">
        <f t="shared" si="713"/>
        <v>294.49360918523956</v>
      </c>
      <c r="BF120" s="24">
        <f t="shared" si="713"/>
        <v>313.75295079364241</v>
      </c>
      <c r="BG120" s="24">
        <f t="shared" si="713"/>
        <v>328.7765304304499</v>
      </c>
      <c r="BH120" s="24">
        <f t="shared" si="713"/>
        <v>341.20518936490384</v>
      </c>
      <c r="BI120" s="24">
        <f t="shared" si="713"/>
        <v>352.76286813669685</v>
      </c>
      <c r="BJ120" s="24">
        <f t="shared" si="713"/>
        <v>365.3170053859148</v>
      </c>
      <c r="BK120" s="24">
        <f t="shared" si="713"/>
        <v>380.90758649838125</v>
      </c>
      <c r="BL120" s="24">
        <f t="shared" si="713"/>
        <v>401.14609486623897</v>
      </c>
      <c r="BM120" s="24">
        <f t="shared" si="713"/>
        <v>426.67340890738711</v>
      </c>
      <c r="BN120" s="24">
        <f t="shared" si="713"/>
        <v>456.58571182928222</v>
      </c>
    </row>
    <row r="121" spans="1:67">
      <c r="A121" s="1" t="s">
        <v>844</v>
      </c>
      <c r="C121" s="262" t="s">
        <v>166</v>
      </c>
      <c r="D121" s="25">
        <f>'Methanol Recycling HC'!C335</f>
        <v>9.56962254267332E-2</v>
      </c>
      <c r="E121" s="25">
        <f>'Methanol Recycling HC'!D335</f>
        <v>0.1952137097501368</v>
      </c>
      <c r="F121" s="25">
        <f>'Methanol Recycling HC'!E335</f>
        <v>0.39692067695514005</v>
      </c>
      <c r="G121" s="25">
        <f>'Methanol Recycling HC'!F335</f>
        <v>0.80398349827673832</v>
      </c>
      <c r="H121" s="25">
        <f>'Methanol Recycling HC'!G335</f>
        <v>1.6208446660865334</v>
      </c>
      <c r="I121" s="25">
        <f>'Methanol Recycling HC'!H335</f>
        <v>3.2480182375946742</v>
      </c>
      <c r="J121" s="25">
        <f>'Methanol Recycling HC'!I335</f>
        <v>6.4256793122383238</v>
      </c>
      <c r="K121" s="25">
        <f>'Methanol Recycling HC'!J335</f>
        <v>12.580356442693875</v>
      </c>
      <c r="L121" s="25">
        <f>'Methanol Recycling HC'!K335</f>
        <v>24.292669577369296</v>
      </c>
      <c r="M121" s="25">
        <f>'Methanol Recycling HC'!L335</f>
        <v>46.062900005238859</v>
      </c>
      <c r="N121" s="25">
        <f>'Methanol Recycling HC'!M335</f>
        <v>85.660477189668356</v>
      </c>
      <c r="O121" s="25">
        <f>'Methanol Recycling HC'!N335</f>
        <v>151.46887368432681</v>
      </c>
      <c r="P121" s="25">
        <f>'Methanol Recycling HC'!O335</f>
        <v>258.98054975275397</v>
      </c>
      <c r="Q121" s="25">
        <f>'Methanol Recycling HC'!P335</f>
        <v>422.92442382536586</v>
      </c>
      <c r="R121" s="25">
        <f>'Methanol Recycling HC'!Q335</f>
        <v>655.41788487160295</v>
      </c>
      <c r="S121" s="25">
        <f>'Methanol Recycling HC'!R335</f>
        <v>959.7052527608414</v>
      </c>
      <c r="T121" s="25">
        <f>'Methanol Recycling HC'!S335</f>
        <v>1324.7395093089424</v>
      </c>
      <c r="U121" s="25">
        <f>'Methanol Recycling HC'!T335</f>
        <v>1727.3657005825276</v>
      </c>
      <c r="V121" s="25">
        <f>'Methanol Recycling HC'!U335</f>
        <v>2137.958709931258</v>
      </c>
      <c r="W121" s="25">
        <f>'Methanol Recycling HC'!V335</f>
        <v>2529.2475674708307</v>
      </c>
      <c r="X121" s="25">
        <f>'Methanol Recycling HC'!W335</f>
        <v>2882.6672220517676</v>
      </c>
      <c r="Y121" s="25">
        <f>'Methanol Recycling HC'!X335</f>
        <v>3141.137837818605</v>
      </c>
      <c r="Z121" s="25">
        <f>'Methanol Recycling HC'!Y335</f>
        <v>3346.5624880342762</v>
      </c>
      <c r="AA121" s="25">
        <f>'Methanol Recycling HC'!Z335</f>
        <v>3506.8075085874157</v>
      </c>
      <c r="AB121" s="25">
        <f>'Methanol Recycling HC'!AA335</f>
        <v>3639.3744969182185</v>
      </c>
      <c r="AC121" s="25">
        <f>'Methanol Recycling HC'!AB335</f>
        <v>3762.6514067563403</v>
      </c>
      <c r="AD121" s="25">
        <f>'Methanol Recycling HC'!AC335</f>
        <v>3896.5567761930056</v>
      </c>
      <c r="AE121" s="25">
        <f>'Methanol Recycling HC'!AD335</f>
        <v>4062.8495673385833</v>
      </c>
      <c r="AF121" s="25">
        <f>'Methanol Recycling HC'!AE335</f>
        <v>4278.7182396373391</v>
      </c>
      <c r="AG121" s="25">
        <f>'Methanol Recycling HC'!AF335</f>
        <v>4550.9985524576132</v>
      </c>
      <c r="AH121" s="25">
        <f>'Methanol Recycling HC'!AG335</f>
        <v>4870.0501841185087</v>
      </c>
      <c r="AI121" s="24"/>
      <c r="AJ121" s="24">
        <f>D121/2</f>
        <v>4.78481127133666E-2</v>
      </c>
      <c r="AK121" s="24">
        <f t="shared" ref="AK121" si="714">E121/2</f>
        <v>9.76068548750684E-2</v>
      </c>
      <c r="AL121" s="24">
        <f t="shared" ref="AL121" si="715">F121/2</f>
        <v>0.19846033847757003</v>
      </c>
      <c r="AM121" s="24">
        <f t="shared" ref="AM121" si="716">G121/2</f>
        <v>0.40199174913836916</v>
      </c>
      <c r="AN121" s="24">
        <f t="shared" ref="AN121" si="717">H121/2</f>
        <v>0.81042233304326672</v>
      </c>
      <c r="AO121" s="24">
        <f t="shared" ref="AO121" si="718">I121/2</f>
        <v>1.6240091187973371</v>
      </c>
      <c r="AP121" s="24">
        <f t="shared" ref="AP121" si="719">J121/2</f>
        <v>3.2128396561191619</v>
      </c>
      <c r="AQ121" s="24">
        <f t="shared" ref="AQ121" si="720">K121/2</f>
        <v>6.2901782213469373</v>
      </c>
      <c r="AR121" s="24">
        <f t="shared" ref="AR121" si="721">L121/2</f>
        <v>12.146334788684648</v>
      </c>
      <c r="AS121" s="24">
        <f t="shared" ref="AS121" si="722">M121/2</f>
        <v>23.03145000261943</v>
      </c>
      <c r="AT121" s="24">
        <f t="shared" ref="AT121" si="723">N121/2</f>
        <v>42.830238594834178</v>
      </c>
      <c r="AU121" s="24">
        <f t="shared" ref="AU121" si="724">O121/2</f>
        <v>75.734436842163404</v>
      </c>
      <c r="AV121" s="24">
        <f t="shared" ref="AV121" si="725">P121/2</f>
        <v>129.49027487637699</v>
      </c>
      <c r="AW121" s="24">
        <f t="shared" ref="AW121" si="726">Q121/2</f>
        <v>211.46221191268293</v>
      </c>
      <c r="AX121" s="24">
        <f t="shared" ref="AX121" si="727">R121/2</f>
        <v>327.70894243580148</v>
      </c>
      <c r="AY121" s="24">
        <f t="shared" ref="AY121" si="728">S121/2</f>
        <v>479.8526263804207</v>
      </c>
      <c r="AZ121" s="24">
        <f t="shared" ref="AZ121" si="729">T121/2</f>
        <v>662.36975465447119</v>
      </c>
      <c r="BA121" s="24">
        <f t="shared" ref="BA121" si="730">U121/2</f>
        <v>863.68285029126378</v>
      </c>
      <c r="BB121" s="24">
        <f t="shared" ref="BB121" si="731">V121/2</f>
        <v>1068.979354965629</v>
      </c>
      <c r="BC121" s="24">
        <f t="shared" ref="BC121" si="732">W121/2</f>
        <v>1264.6237837354154</v>
      </c>
      <c r="BD121" s="24">
        <f t="shared" ref="BD121" si="733">X121/2</f>
        <v>1441.3336110258838</v>
      </c>
      <c r="BE121" s="24">
        <f t="shared" ref="BE121" si="734">Y121/2</f>
        <v>1570.5689189093025</v>
      </c>
      <c r="BF121" s="24">
        <f t="shared" ref="BF121" si="735">Z121/2</f>
        <v>1673.2812440171381</v>
      </c>
      <c r="BG121" s="24">
        <f t="shared" ref="BG121" si="736">AA121/2</f>
        <v>1753.4037542937078</v>
      </c>
      <c r="BH121" s="24">
        <f t="shared" ref="BH121" si="737">AB121/2</f>
        <v>1819.6872484591092</v>
      </c>
      <c r="BI121" s="24">
        <f t="shared" ref="BI121" si="738">AC121/2</f>
        <v>1881.3257033781701</v>
      </c>
      <c r="BJ121" s="24">
        <f t="shared" ref="BJ121" si="739">AD121/2</f>
        <v>1948.2783880965028</v>
      </c>
      <c r="BK121" s="24">
        <f t="shared" ref="BK121" si="740">AE121/2</f>
        <v>2031.4247836692916</v>
      </c>
      <c r="BL121" s="24">
        <f t="shared" ref="BL121" si="741">AF121/2</f>
        <v>2139.3591198186696</v>
      </c>
      <c r="BM121" s="24">
        <f t="shared" ref="BM121" si="742">AG121/2</f>
        <v>2275.4992762288066</v>
      </c>
      <c r="BN121" s="24">
        <f t="shared" ref="BN121" si="743">AH121/2</f>
        <v>2435.0250920592543</v>
      </c>
    </row>
    <row r="122" spans="1:67" s="99" customFormat="1">
      <c r="A122" s="97" t="s">
        <v>1285</v>
      </c>
      <c r="B122" s="97"/>
      <c r="C122" s="98" t="s">
        <v>166</v>
      </c>
      <c r="D122" s="659">
        <f>D116-D120-D121</f>
        <v>70.846626706996844</v>
      </c>
      <c r="E122" s="659">
        <f t="shared" ref="E122:AH122" si="744">E116-E120-E121</f>
        <v>-144.77931187013647</v>
      </c>
      <c r="F122" s="659">
        <f t="shared" si="744"/>
        <v>-438.80131844932436</v>
      </c>
      <c r="G122" s="659">
        <f t="shared" si="744"/>
        <v>-738.21315027396759</v>
      </c>
      <c r="H122" s="659">
        <f t="shared" si="744"/>
        <v>-1043.0620426408857</v>
      </c>
      <c r="I122" s="659">
        <f t="shared" si="744"/>
        <v>-1353.6043757737787</v>
      </c>
      <c r="J122" s="659">
        <f t="shared" si="744"/>
        <v>-1630.4953474752681</v>
      </c>
      <c r="K122" s="659">
        <f t="shared" si="744"/>
        <v>-1912.284708226106</v>
      </c>
      <c r="L122" s="659">
        <f t="shared" si="744"/>
        <v>-2201.7255417591809</v>
      </c>
      <c r="M122" s="659">
        <f t="shared" si="744"/>
        <v>-2503.811280930865</v>
      </c>
      <c r="N122" s="659">
        <f t="shared" si="744"/>
        <v>-2827.3729516640265</v>
      </c>
      <c r="O122" s="659">
        <f t="shared" si="744"/>
        <v>-3495.9582157498953</v>
      </c>
      <c r="P122" s="659">
        <f t="shared" si="744"/>
        <v>-4216.8723501624072</v>
      </c>
      <c r="Q122" s="659">
        <f t="shared" si="744"/>
        <v>-5004.0237871439149</v>
      </c>
      <c r="R122" s="659">
        <f t="shared" si="744"/>
        <v>-5873.2573341995558</v>
      </c>
      <c r="S122" s="659">
        <f t="shared" si="744"/>
        <v>-6827.5803099744608</v>
      </c>
      <c r="T122" s="659">
        <f t="shared" si="744"/>
        <v>-7853.1187543543047</v>
      </c>
      <c r="U122" s="659">
        <f t="shared" si="744"/>
        <v>-8921.1405158496345</v>
      </c>
      <c r="V122" s="659">
        <f t="shared" si="744"/>
        <v>-9995.2938976071</v>
      </c>
      <c r="W122" s="659">
        <f t="shared" si="744"/>
        <v>-11041.883559232176</v>
      </c>
      <c r="X122" s="659">
        <f t="shared" si="744"/>
        <v>-12037.394615894409</v>
      </c>
      <c r="Y122" s="659">
        <f t="shared" si="744"/>
        <v>-13333.41299868054</v>
      </c>
      <c r="Z122" s="659">
        <f t="shared" si="744"/>
        <v>-14560.699068706619</v>
      </c>
      <c r="AA122" s="659">
        <f t="shared" si="744"/>
        <v>-15706.990840764323</v>
      </c>
      <c r="AB122" s="659">
        <f t="shared" si="744"/>
        <v>-16805.948701329478</v>
      </c>
      <c r="AC122" s="659">
        <f t="shared" si="744"/>
        <v>-17876.412327317885</v>
      </c>
      <c r="AD122" s="659">
        <f t="shared" si="744"/>
        <v>-18935.484428462485</v>
      </c>
      <c r="AE122" s="659">
        <f t="shared" si="744"/>
        <v>-20008.184876288564</v>
      </c>
      <c r="AF122" s="659">
        <f t="shared" si="744"/>
        <v>-21110.760422192085</v>
      </c>
      <c r="AG122" s="659">
        <f t="shared" si="744"/>
        <v>-22246.666921641445</v>
      </c>
      <c r="AH122" s="659">
        <f t="shared" si="744"/>
        <v>-23399.231695861657</v>
      </c>
      <c r="AI122" s="660"/>
      <c r="AJ122" s="659">
        <f>AJ116-AJ120-AJ121</f>
        <v>70.903446704506877</v>
      </c>
      <c r="AK122" s="659">
        <f t="shared" ref="AK122" si="745">AK116-AK120-AK121</f>
        <v>-144.48168589592245</v>
      </c>
      <c r="AL122" s="659">
        <f t="shared" ref="AL122" si="746">AL116-AL120-AL121</f>
        <v>-438.17627151958436</v>
      </c>
      <c r="AM122" s="659">
        <f t="shared" ref="AM122" si="747">AM116-AM120-AM121</f>
        <v>-737.11293197656778</v>
      </c>
      <c r="AN122" s="659">
        <f t="shared" ref="AN122" si="748">AN116-AN120-AN121</f>
        <v>-1041.2176379037671</v>
      </c>
      <c r="AO122" s="659">
        <f t="shared" ref="AO122" si="749">AO116-AO120-AO121</f>
        <v>-1350.5090905985267</v>
      </c>
      <c r="AP122" s="659">
        <f t="shared" ref="AP122" si="750">AP116-AP120-AP121</f>
        <v>-1625.2031379912157</v>
      </c>
      <c r="AQ122" s="659">
        <f t="shared" ref="AQ122" si="751">AQ116-AQ120-AQ121</f>
        <v>-1903.0026599296671</v>
      </c>
      <c r="AR122" s="659">
        <f t="shared" ref="AR122" si="752">AR116-AR120-AR121</f>
        <v>-2185.128627697562</v>
      </c>
      <c r="AS122" s="659">
        <f t="shared" ref="AS122" si="753">AS116-AS120-AS121</f>
        <v>-2473.9025599505007</v>
      </c>
      <c r="AT122" s="659">
        <f t="shared" ref="AT122" si="754">AT116-AT120-AT121</f>
        <v>-2773.5425038555632</v>
      </c>
      <c r="AU122" s="659">
        <f t="shared" ref="AU122" si="755">AU116-AU120-AU121</f>
        <v>-3402.6580914675988</v>
      </c>
      <c r="AV122" s="659">
        <f t="shared" ref="AV122" si="756">AV116-AV120-AV121</f>
        <v>-4059.3315529134707</v>
      </c>
      <c r="AW122" s="659">
        <f t="shared" ref="AW122" si="757">AW116-AW120-AW121</f>
        <v>-4748.7260469030343</v>
      </c>
      <c r="AX122" s="659">
        <f t="shared" ref="AX122" si="758">AX116-AX120-AX121</f>
        <v>-5479.4917157466061</v>
      </c>
      <c r="AY122" s="659">
        <f t="shared" ref="AY122" si="759">AY116-AY120-AY121</f>
        <v>-6252.7096342809746</v>
      </c>
      <c r="AZ122" s="659">
        <f t="shared" ref="AZ122" si="760">AZ116-AZ120-AZ121</f>
        <v>-7061.0756978475229</v>
      </c>
      <c r="BA122" s="659">
        <f t="shared" ref="BA122" si="761">BA116-BA120-BA121</f>
        <v>-7889.5969463600986</v>
      </c>
      <c r="BB122" s="659">
        <f t="shared" ref="BB122" si="762">BB116-BB120-BB121</f>
        <v>-8719.5118012559033</v>
      </c>
      <c r="BC122" s="659">
        <f t="shared" ref="BC122" si="763">BC116-BC120-BC121</f>
        <v>-9533.317260134012</v>
      </c>
      <c r="BD122" s="659">
        <f t="shared" ref="BD122" si="764">BD116-BD120-BD121</f>
        <v>-10318.521607224844</v>
      </c>
      <c r="BE122" s="659">
        <f t="shared" ref="BE122" si="765">BE116-BE120-BE121</f>
        <v>-11460.520408604945</v>
      </c>
      <c r="BF122" s="659">
        <f t="shared" ref="BF122" si="766">BF116-BF120-BF121</f>
        <v>-12565.274855037309</v>
      </c>
      <c r="BG122" s="659">
        <f t="shared" ref="BG122" si="767">BG116-BG120-BG121</f>
        <v>-13615.852314495447</v>
      </c>
      <c r="BH122" s="659">
        <f t="shared" ref="BH122" si="768">BH116-BH120-BH121</f>
        <v>-14635.521555241705</v>
      </c>
      <c r="BI122" s="659">
        <f t="shared" ref="BI122" si="769">BI116-BI120-BI121</f>
        <v>-15632.204360410837</v>
      </c>
      <c r="BJ122" s="659">
        <f t="shared" ref="BJ122" si="770">BJ116-BJ120-BJ121</f>
        <v>-16611.176757605117</v>
      </c>
      <c r="BK122" s="659">
        <f t="shared" ref="BK122" si="771">BK116-BK120-BK121</f>
        <v>-17584.539179482384</v>
      </c>
      <c r="BL122" s="659">
        <f t="shared" ref="BL122" si="772">BL116-BL120-BL121</f>
        <v>-18558.332694006545</v>
      </c>
      <c r="BM122" s="659">
        <f t="shared" ref="BM122" si="773">BM116-BM120-BM121</f>
        <v>-19531.954430428214</v>
      </c>
      <c r="BN122" s="659">
        <f t="shared" ref="BN122" si="774">BN116-BN120-BN121</f>
        <v>-20494.455721788465</v>
      </c>
    </row>
    <row r="123" spans="1:67" s="62" customFormat="1">
      <c r="A123" s="684"/>
      <c r="B123" s="55" t="s">
        <v>885</v>
      </c>
      <c r="C123" s="56" t="s">
        <v>166</v>
      </c>
      <c r="D123" s="650">
        <f>D117</f>
        <v>7.192774760698633</v>
      </c>
      <c r="E123" s="650">
        <f t="shared" ref="E123:AH123" si="775">E117</f>
        <v>-93.777588340855004</v>
      </c>
      <c r="F123" s="650">
        <f t="shared" si="775"/>
        <v>-264.98204587105045</v>
      </c>
      <c r="G123" s="650">
        <f t="shared" si="775"/>
        <v>-439.26538444861245</v>
      </c>
      <c r="H123" s="650">
        <f t="shared" si="775"/>
        <v>-617.25198537424717</v>
      </c>
      <c r="I123" s="650">
        <f t="shared" si="775"/>
        <v>-799.29077353180435</v>
      </c>
      <c r="J123" s="650">
        <f t="shared" si="775"/>
        <v>-955.15113332348619</v>
      </c>
      <c r="K123" s="650">
        <f t="shared" si="775"/>
        <v>-1112.0421663014174</v>
      </c>
      <c r="L123" s="650">
        <f t="shared" si="775"/>
        <v>-1269.547877623557</v>
      </c>
      <c r="M123" s="650">
        <f t="shared" si="775"/>
        <v>-1427.1097118965911</v>
      </c>
      <c r="N123" s="650">
        <f t="shared" si="775"/>
        <v>-1584.0408763136511</v>
      </c>
      <c r="O123" s="650">
        <f t="shared" si="775"/>
        <v>-1962.0660399361802</v>
      </c>
      <c r="P123" s="650">
        <f t="shared" si="775"/>
        <v>-2342.9651876737526</v>
      </c>
      <c r="Q123" s="650">
        <f t="shared" si="775"/>
        <v>-2723.620401789226</v>
      </c>
      <c r="R123" s="650">
        <f t="shared" si="775"/>
        <v>-3102.4093698582819</v>
      </c>
      <c r="S123" s="650">
        <f t="shared" si="775"/>
        <v>-3477.0706596706054</v>
      </c>
      <c r="T123" s="650">
        <f t="shared" si="775"/>
        <v>-3846.4962493797839</v>
      </c>
      <c r="U123" s="650">
        <f t="shared" si="775"/>
        <v>-4207.2768573941003</v>
      </c>
      <c r="V123" s="650">
        <f t="shared" si="775"/>
        <v>-4557.1626826868323</v>
      </c>
      <c r="W123" s="650">
        <f t="shared" si="775"/>
        <v>-4893.9021381018474</v>
      </c>
      <c r="X123" s="650">
        <f t="shared" si="775"/>
        <v>-5215.2179862958483</v>
      </c>
      <c r="Y123" s="650">
        <f t="shared" si="775"/>
        <v>-5808.0936982456387</v>
      </c>
      <c r="Z123" s="650">
        <f t="shared" si="775"/>
        <v>-6380.8106822302379</v>
      </c>
      <c r="AA123" s="650">
        <f t="shared" si="775"/>
        <v>-6926.4666174774557</v>
      </c>
      <c r="AB123" s="650">
        <f t="shared" si="775"/>
        <v>-7444.9380837546296</v>
      </c>
      <c r="AC123" s="650">
        <f t="shared" si="775"/>
        <v>-7932.7997950420031</v>
      </c>
      <c r="AD123" s="650">
        <f t="shared" si="775"/>
        <v>-8383.3662795776472</v>
      </c>
      <c r="AE123" s="650">
        <f t="shared" si="775"/>
        <v>-8795.5804374591025</v>
      </c>
      <c r="AF123" s="650">
        <f t="shared" si="775"/>
        <v>-9165.3125140125667</v>
      </c>
      <c r="AG123" s="650">
        <f t="shared" si="775"/>
        <v>-9488.055529315372</v>
      </c>
      <c r="AH123" s="650">
        <f t="shared" si="775"/>
        <v>-9758.8444168333899</v>
      </c>
      <c r="AI123" s="650"/>
      <c r="AJ123" s="650">
        <f>AJ117</f>
        <v>7.192774760698633</v>
      </c>
      <c r="AK123" s="650">
        <f t="shared" ref="AK123:BN123" si="776">AK117</f>
        <v>-102.32901038454125</v>
      </c>
      <c r="AL123" s="650">
        <f t="shared" si="776"/>
        <v>-282.34037566767063</v>
      </c>
      <c r="AM123" s="650">
        <f t="shared" si="776"/>
        <v>-465.65731430962506</v>
      </c>
      <c r="AN123" s="650">
        <f t="shared" si="776"/>
        <v>-652.90094235263723</v>
      </c>
      <c r="AO123" s="650">
        <f t="shared" si="776"/>
        <v>-844.42342218410806</v>
      </c>
      <c r="AP123" s="650">
        <f t="shared" si="776"/>
        <v>-1010.1239504242728</v>
      </c>
      <c r="AQ123" s="650">
        <f t="shared" si="776"/>
        <v>-1177.1492596774856</v>
      </c>
      <c r="AR123" s="650">
        <f t="shared" si="776"/>
        <v>-1345.1002463880336</v>
      </c>
      <c r="AS123" s="650">
        <f t="shared" si="776"/>
        <v>-1513.4368627596712</v>
      </c>
      <c r="AT123" s="650">
        <f t="shared" si="776"/>
        <v>-1681.4914223682836</v>
      </c>
      <c r="AU123" s="650">
        <f t="shared" si="776"/>
        <v>-2078.2182754223622</v>
      </c>
      <c r="AV123" s="650">
        <f t="shared" si="776"/>
        <v>-2478.7098038330901</v>
      </c>
      <c r="AW123" s="650">
        <f t="shared" si="776"/>
        <v>-2879.6941512756493</v>
      </c>
      <c r="AX123" s="650">
        <f t="shared" si="776"/>
        <v>-3279.7169317381854</v>
      </c>
      <c r="AY123" s="650">
        <f t="shared" si="776"/>
        <v>-3676.5238877626171</v>
      </c>
      <c r="AZ123" s="650">
        <f t="shared" si="776"/>
        <v>-4069.0561121238807</v>
      </c>
      <c r="BA123" s="650">
        <f t="shared" si="776"/>
        <v>-4453.8439825518863</v>
      </c>
      <c r="BB123" s="650">
        <f t="shared" si="776"/>
        <v>-4828.6113507281079</v>
      </c>
      <c r="BC123" s="650">
        <f t="shared" si="776"/>
        <v>-5191.0723713206025</v>
      </c>
      <c r="BD123" s="650">
        <f t="shared" si="776"/>
        <v>-5538.9093431575484</v>
      </c>
      <c r="BE123" s="650">
        <f t="shared" si="776"/>
        <v>-6170.4996420887146</v>
      </c>
      <c r="BF123" s="650">
        <f t="shared" si="776"/>
        <v>-6783.1916419154986</v>
      </c>
      <c r="BG123" s="650">
        <f t="shared" si="776"/>
        <v>-7369.2745765298278</v>
      </c>
      <c r="BH123" s="650">
        <f t="shared" si="776"/>
        <v>-7929.2322766668076</v>
      </c>
      <c r="BI123" s="650">
        <f t="shared" si="776"/>
        <v>-8459.5824713000693</v>
      </c>
      <c r="BJ123" s="650">
        <f t="shared" si="776"/>
        <v>-8953.59165390198</v>
      </c>
      <c r="BK123" s="650">
        <f t="shared" si="776"/>
        <v>-9410.1446244645012</v>
      </c>
      <c r="BL123" s="650">
        <f t="shared" si="776"/>
        <v>-9825.0657532157984</v>
      </c>
      <c r="BM123" s="650">
        <f t="shared" si="776"/>
        <v>-10193.807869201804</v>
      </c>
      <c r="BN123" s="650">
        <f t="shared" si="776"/>
        <v>-10511.371912916033</v>
      </c>
    </row>
    <row r="124" spans="1:67">
      <c r="A124" s="685"/>
      <c r="B124" s="1" t="s">
        <v>1182</v>
      </c>
      <c r="C124" s="51" t="s">
        <v>166</v>
      </c>
      <c r="D124" s="24">
        <f>D118</f>
        <v>28.065001267929215</v>
      </c>
      <c r="E124" s="24">
        <f t="shared" ref="E124:AH124" si="777">E118</f>
        <v>28.136286371149751</v>
      </c>
      <c r="F124" s="24">
        <f t="shared" si="777"/>
        <v>28.196004203447703</v>
      </c>
      <c r="G124" s="24">
        <f t="shared" si="777"/>
        <v>28.243584960541014</v>
      </c>
      <c r="H124" s="24">
        <f t="shared" si="777"/>
        <v>28.278438746237001</v>
      </c>
      <c r="I124" s="24">
        <f t="shared" si="777"/>
        <v>28.29995494963087</v>
      </c>
      <c r="J124" s="24">
        <f t="shared" si="777"/>
        <v>28.307501604284109</v>
      </c>
      <c r="K124" s="24">
        <f t="shared" si="777"/>
        <v>28.30042472888303</v>
      </c>
      <c r="L124" s="24">
        <f t="shared" si="777"/>
        <v>28.278047648864838</v>
      </c>
      <c r="M124" s="24">
        <f t="shared" si="777"/>
        <v>28.239670298484235</v>
      </c>
      <c r="N124" s="24">
        <f t="shared" si="777"/>
        <v>28.184568502779875</v>
      </c>
      <c r="O124" s="24">
        <f t="shared" si="777"/>
        <v>27.030762729697322</v>
      </c>
      <c r="P124" s="24">
        <f t="shared" si="777"/>
        <v>25.808972254315002</v>
      </c>
      <c r="Q124" s="24">
        <f t="shared" si="777"/>
        <v>24.516680143581084</v>
      </c>
      <c r="R124" s="24">
        <f t="shared" si="777"/>
        <v>23.151289649430872</v>
      </c>
      <c r="S124" s="24">
        <f t="shared" si="777"/>
        <v>21.710121868753799</v>
      </c>
      <c r="T124" s="24">
        <f t="shared" si="777"/>
        <v>20.190413337941031</v>
      </c>
      <c r="U124" s="24">
        <f t="shared" si="777"/>
        <v>18.589313560242303</v>
      </c>
      <c r="V124" s="24">
        <f t="shared" si="777"/>
        <v>16.903882464113668</v>
      </c>
      <c r="W124" s="24">
        <f t="shared" si="777"/>
        <v>15.131087790689747</v>
      </c>
      <c r="X124" s="24">
        <f t="shared" si="777"/>
        <v>13.26780240846481</v>
      </c>
      <c r="Y124" s="24">
        <f t="shared" si="777"/>
        <v>12.215665677473545</v>
      </c>
      <c r="Z124" s="24">
        <f t="shared" si="777"/>
        <v>11.108111989382607</v>
      </c>
      <c r="AA124" s="24">
        <f t="shared" si="777"/>
        <v>9.9431487444961135</v>
      </c>
      <c r="AB124" s="24">
        <f t="shared" si="777"/>
        <v>8.7187209991024446</v>
      </c>
      <c r="AC124" s="24">
        <f t="shared" si="777"/>
        <v>7.4327096517348323</v>
      </c>
      <c r="AD124" s="24">
        <f t="shared" si="777"/>
        <v>6.0829295789797868</v>
      </c>
      <c r="AE124" s="24">
        <f t="shared" si="777"/>
        <v>4.6671277194722407</v>
      </c>
      <c r="AF124" s="24">
        <f t="shared" si="777"/>
        <v>3.1829811046800671</v>
      </c>
      <c r="AG124" s="24">
        <f t="shared" si="777"/>
        <v>1.6280948350438535</v>
      </c>
      <c r="AH124" s="24">
        <f t="shared" si="777"/>
        <v>0</v>
      </c>
      <c r="AI124" s="24"/>
      <c r="AJ124" s="24">
        <f>AJ118</f>
        <v>28.065001267929215</v>
      </c>
      <c r="AK124" s="24">
        <f t="shared" ref="AK124:BN124" si="778">AK118</f>
        <v>28.136286371149751</v>
      </c>
      <c r="AL124" s="24">
        <f t="shared" si="778"/>
        <v>28.196004203447703</v>
      </c>
      <c r="AM124" s="24">
        <f t="shared" si="778"/>
        <v>28.243584960541014</v>
      </c>
      <c r="AN124" s="24">
        <f t="shared" si="778"/>
        <v>28.278438746237001</v>
      </c>
      <c r="AO124" s="24">
        <f t="shared" si="778"/>
        <v>28.29995494963087</v>
      </c>
      <c r="AP124" s="24">
        <f t="shared" si="778"/>
        <v>28.307501604284109</v>
      </c>
      <c r="AQ124" s="24">
        <f t="shared" si="778"/>
        <v>28.30042472888303</v>
      </c>
      <c r="AR124" s="24">
        <f t="shared" si="778"/>
        <v>28.278047648864838</v>
      </c>
      <c r="AS124" s="24">
        <f t="shared" si="778"/>
        <v>28.239670298484235</v>
      </c>
      <c r="AT124" s="24">
        <f t="shared" si="778"/>
        <v>28.184568502779875</v>
      </c>
      <c r="AU124" s="24">
        <f t="shared" si="778"/>
        <v>27.030762729697322</v>
      </c>
      <c r="AV124" s="24">
        <f t="shared" si="778"/>
        <v>25.808972254315002</v>
      </c>
      <c r="AW124" s="24">
        <f t="shared" si="778"/>
        <v>24.516680143581084</v>
      </c>
      <c r="AX124" s="24">
        <f t="shared" si="778"/>
        <v>23.151289649430872</v>
      </c>
      <c r="AY124" s="24">
        <f t="shared" si="778"/>
        <v>21.710121868753799</v>
      </c>
      <c r="AZ124" s="24">
        <f t="shared" si="778"/>
        <v>20.190413337941031</v>
      </c>
      <c r="BA124" s="24">
        <f t="shared" si="778"/>
        <v>18.589313560242303</v>
      </c>
      <c r="BB124" s="24">
        <f t="shared" si="778"/>
        <v>16.903882464113668</v>
      </c>
      <c r="BC124" s="24">
        <f t="shared" si="778"/>
        <v>15.131087790689747</v>
      </c>
      <c r="BD124" s="24">
        <f t="shared" si="778"/>
        <v>13.26780240846481</v>
      </c>
      <c r="BE124" s="24">
        <f t="shared" si="778"/>
        <v>12.215665677473545</v>
      </c>
      <c r="BF124" s="24">
        <f t="shared" si="778"/>
        <v>11.108111989382607</v>
      </c>
      <c r="BG124" s="24">
        <f t="shared" si="778"/>
        <v>9.9431487444961135</v>
      </c>
      <c r="BH124" s="24">
        <f t="shared" si="778"/>
        <v>8.7187209991024446</v>
      </c>
      <c r="BI124" s="24">
        <f t="shared" si="778"/>
        <v>7.4327096517348323</v>
      </c>
      <c r="BJ124" s="24">
        <f t="shared" si="778"/>
        <v>6.0829295789797868</v>
      </c>
      <c r="BK124" s="24">
        <f t="shared" si="778"/>
        <v>4.6671277194722407</v>
      </c>
      <c r="BL124" s="24">
        <f t="shared" si="778"/>
        <v>3.1829811046800671</v>
      </c>
      <c r="BM124" s="24">
        <f t="shared" si="778"/>
        <v>1.6280948350438535</v>
      </c>
      <c r="BN124" s="24">
        <f t="shared" si="778"/>
        <v>0</v>
      </c>
    </row>
    <row r="125" spans="1:67" s="63" customFormat="1">
      <c r="A125" s="686"/>
      <c r="B125" s="59" t="s">
        <v>27</v>
      </c>
      <c r="C125" s="262" t="s">
        <v>166</v>
      </c>
      <c r="D125" s="652">
        <f>D119-D120-D121</f>
        <v>35.588850678369006</v>
      </c>
      <c r="E125" s="652">
        <f t="shared" ref="E125:AH125" si="779">E119-E120-E121</f>
        <v>-75.921879413678425</v>
      </c>
      <c r="F125" s="652">
        <f t="shared" si="779"/>
        <v>-195.50660289991637</v>
      </c>
      <c r="G125" s="652">
        <f t="shared" si="779"/>
        <v>-317.3265947016377</v>
      </c>
      <c r="H125" s="652">
        <f t="shared" si="779"/>
        <v>-440.81690216718295</v>
      </c>
      <c r="I125" s="652">
        <f t="shared" si="779"/>
        <v>-565.89706300698072</v>
      </c>
      <c r="J125" s="652">
        <f t="shared" si="779"/>
        <v>-683.46486136955991</v>
      </c>
      <c r="K125" s="652">
        <f t="shared" si="779"/>
        <v>-804.87280464984747</v>
      </c>
      <c r="L125" s="652">
        <f t="shared" si="779"/>
        <v>-933.30171692888541</v>
      </c>
      <c r="M125" s="652">
        <f t="shared" si="779"/>
        <v>-1074.3152183043571</v>
      </c>
      <c r="N125" s="652">
        <f t="shared" si="779"/>
        <v>-1237.4426449778418</v>
      </c>
      <c r="O125" s="652">
        <f t="shared" si="779"/>
        <v>-1522.3029473897036</v>
      </c>
      <c r="P125" s="652">
        <f t="shared" si="779"/>
        <v>-1856.4671775888523</v>
      </c>
      <c r="Q125" s="652">
        <f t="shared" si="779"/>
        <v>-2256.9885770516967</v>
      </c>
      <c r="R125" s="652">
        <f t="shared" si="779"/>
        <v>-2741.3605962982351</v>
      </c>
      <c r="S125" s="652">
        <f t="shared" si="779"/>
        <v>-3314.8777535280424</v>
      </c>
      <c r="T125" s="652">
        <f t="shared" si="779"/>
        <v>-3964.7993121654754</v>
      </c>
      <c r="U125" s="652">
        <f t="shared" si="779"/>
        <v>-4665.8270358805621</v>
      </c>
      <c r="V125" s="652">
        <f t="shared" si="779"/>
        <v>-5383.8830917482837</v>
      </c>
      <c r="W125" s="652">
        <f t="shared" si="779"/>
        <v>-6087.5472161531707</v>
      </c>
      <c r="X125" s="652">
        <f t="shared" si="779"/>
        <v>-6755.6046752669918</v>
      </c>
      <c r="Y125" s="652">
        <f t="shared" si="779"/>
        <v>-7451.7950739093267</v>
      </c>
      <c r="Z125" s="652">
        <f t="shared" si="779"/>
        <v>-8099.5087752700492</v>
      </c>
      <c r="AA125" s="652">
        <f t="shared" si="779"/>
        <v>-8693.4252383250914</v>
      </c>
      <c r="AB125" s="652">
        <f t="shared" si="779"/>
        <v>-9267.3665628309773</v>
      </c>
      <c r="AC125" s="652">
        <f t="shared" si="779"/>
        <v>-9843.635172593551</v>
      </c>
      <c r="AD125" s="652">
        <f t="shared" si="779"/>
        <v>-10446.05587593601</v>
      </c>
      <c r="AE125" s="652">
        <f t="shared" si="779"/>
        <v>-11100.74143515648</v>
      </c>
      <c r="AF125" s="652">
        <f t="shared" si="779"/>
        <v>-11828.103309267939</v>
      </c>
      <c r="AG125" s="652">
        <f t="shared" si="779"/>
        <v>-12636.138446653633</v>
      </c>
      <c r="AH125" s="652">
        <f t="shared" si="779"/>
        <v>-13513.172506033858</v>
      </c>
      <c r="AI125" s="652"/>
      <c r="AJ125" s="652">
        <f>AJ119-AJ120-AJ121</f>
        <v>35.645670675879025</v>
      </c>
      <c r="AK125" s="652">
        <f t="shared" ref="AK125:BN125" si="780">AK119-AK120-AK121</f>
        <v>-67.072831405014796</v>
      </c>
      <c r="AL125" s="652">
        <f t="shared" si="780"/>
        <v>-177.52322619241727</v>
      </c>
      <c r="AM125" s="652">
        <f t="shared" si="780"/>
        <v>-289.83444657211101</v>
      </c>
      <c r="AN125" s="652">
        <f t="shared" si="780"/>
        <v>-403.32354049099735</v>
      </c>
      <c r="AO125" s="652">
        <f t="shared" si="780"/>
        <v>-517.66912922961137</v>
      </c>
      <c r="AP125" s="652">
        <f t="shared" si="780"/>
        <v>-623.19983484620957</v>
      </c>
      <c r="AQ125" s="652">
        <f t="shared" si="780"/>
        <v>-730.48366305058403</v>
      </c>
      <c r="AR125" s="652">
        <f t="shared" si="780"/>
        <v>-841.15243418825457</v>
      </c>
      <c r="AS125" s="652">
        <f t="shared" si="780"/>
        <v>-958.079346559079</v>
      </c>
      <c r="AT125" s="652">
        <f t="shared" si="780"/>
        <v>-1086.161651226111</v>
      </c>
      <c r="AU125" s="652">
        <f t="shared" si="780"/>
        <v>-1312.8505877429493</v>
      </c>
      <c r="AV125" s="652">
        <f t="shared" si="780"/>
        <v>-1563.1817643130482</v>
      </c>
      <c r="AW125" s="652">
        <f t="shared" si="780"/>
        <v>-1845.617087468009</v>
      </c>
      <c r="AX125" s="652">
        <f t="shared" si="780"/>
        <v>-2170.2874161205509</v>
      </c>
      <c r="AY125" s="652">
        <f t="shared" si="780"/>
        <v>-2540.5538499096888</v>
      </c>
      <c r="AZ125" s="652">
        <f t="shared" si="780"/>
        <v>-2950.1963930941506</v>
      </c>
      <c r="BA125" s="652">
        <f t="shared" si="780"/>
        <v>-3387.716341425652</v>
      </c>
      <c r="BB125" s="652">
        <f t="shared" si="780"/>
        <v>-3836.6523275615446</v>
      </c>
      <c r="BC125" s="652">
        <f t="shared" si="780"/>
        <v>-4281.8106840557793</v>
      </c>
      <c r="BD125" s="652">
        <f t="shared" si="780"/>
        <v>-4713.0403099695341</v>
      </c>
      <c r="BE125" s="652">
        <f t="shared" si="780"/>
        <v>-5216.4965402412845</v>
      </c>
      <c r="BF125" s="652">
        <f t="shared" si="780"/>
        <v>-5701.7036021835365</v>
      </c>
      <c r="BG125" s="652">
        <f t="shared" si="780"/>
        <v>-6159.4787532899445</v>
      </c>
      <c r="BH125" s="652">
        <f t="shared" si="780"/>
        <v>-6612.6452241358138</v>
      </c>
      <c r="BI125" s="652">
        <f t="shared" si="780"/>
        <v>-7072.6445297525734</v>
      </c>
      <c r="BJ125" s="652">
        <f t="shared" si="780"/>
        <v>-7551.5228310984712</v>
      </c>
      <c r="BK125" s="652">
        <f t="shared" si="780"/>
        <v>-8062.5315517097915</v>
      </c>
      <c r="BL125" s="652">
        <f t="shared" si="780"/>
        <v>-8615.9223422654977</v>
      </c>
      <c r="BM125" s="652">
        <f t="shared" si="780"/>
        <v>-9215.6736159624743</v>
      </c>
      <c r="BN125" s="652">
        <f t="shared" si="780"/>
        <v>-9855.8690363094756</v>
      </c>
    </row>
    <row r="126" spans="1:67" s="401" customFormat="1">
      <c r="A126" s="400" t="s">
        <v>723</v>
      </c>
      <c r="C126" s="404" t="s">
        <v>166</v>
      </c>
      <c r="D126" s="661">
        <f>'Methanol Recycling HC'!C342</f>
        <v>23594.795609179106</v>
      </c>
      <c r="E126" s="661">
        <f>'Methanol Recycling HC'!D342</f>
        <v>24124.70282615074</v>
      </c>
      <c r="F126" s="661">
        <f>'Methanol Recycling HC'!E342</f>
        <v>24649.511592468625</v>
      </c>
      <c r="G126" s="661">
        <f>'Methanol Recycling HC'!F342</f>
        <v>25171.626547027434</v>
      </c>
      <c r="H126" s="661">
        <f>'Methanol Recycling HC'!G342</f>
        <v>25690.79224660925</v>
      </c>
      <c r="I126" s="661">
        <f>'Methanol Recycling HC'!H342</f>
        <v>26206.520431516161</v>
      </c>
      <c r="J126" s="661">
        <f>'Methanol Recycling HC'!I342</f>
        <v>26585.004387214496</v>
      </c>
      <c r="K126" s="661">
        <f>'Methanol Recycling HC'!J342</f>
        <v>26951.423009831102</v>
      </c>
      <c r="L126" s="661">
        <f>'Methanol Recycling HC'!K342</f>
        <v>27302.633988865167</v>
      </c>
      <c r="M126" s="661">
        <f>'Methanol Recycling HC'!L342</f>
        <v>27633.216069733295</v>
      </c>
      <c r="N126" s="661">
        <f>'Methanol Recycling HC'!M342</f>
        <v>27933.866527897801</v>
      </c>
      <c r="O126" s="661">
        <f>'Methanol Recycling HC'!N342</f>
        <v>27874.77809953543</v>
      </c>
      <c r="P126" s="661">
        <f>'Methanol Recycling HC'!O342</f>
        <v>27753.223420635135</v>
      </c>
      <c r="Q126" s="661">
        <f>'Methanol Recycling HC'!P342</f>
        <v>27541.819857404982</v>
      </c>
      <c r="R126" s="661">
        <f>'Methanol Recycling HC'!Q342</f>
        <v>27236.187167598298</v>
      </c>
      <c r="S126" s="661">
        <f>'Methanol Recycling HC'!R342</f>
        <v>26832.514081020297</v>
      </c>
      <c r="T126" s="661">
        <f>'Methanol Recycling HC'!S342</f>
        <v>26344.005824853313</v>
      </c>
      <c r="U126" s="661">
        <f>'Methanol Recycling HC'!T342</f>
        <v>25798.157063136885</v>
      </c>
      <c r="V126" s="661">
        <f>'Methanol Recycling HC'!U342</f>
        <v>25230.192551050586</v>
      </c>
      <c r="W126" s="661">
        <f>'Methanol Recycling HC'!V342</f>
        <v>24672.542668240323</v>
      </c>
      <c r="X126" s="661">
        <f>'Methanol Recycling HC'!W342</f>
        <v>24147.300641963651</v>
      </c>
      <c r="Y126" s="661">
        <f>'Methanol Recycling HC'!X342</f>
        <v>23298.137826890099</v>
      </c>
      <c r="Z126" s="661">
        <f>'Methanol Recycling HC'!Y342</f>
        <v>22495.355734324115</v>
      </c>
      <c r="AA126" s="661">
        <f>'Methanol Recycling HC'!Z342</f>
        <v>21711.037619881583</v>
      </c>
      <c r="AB126" s="661">
        <f>'Methanol Recycling HC'!AA342</f>
        <v>20945.267840819157</v>
      </c>
      <c r="AC126" s="661">
        <f>'Methanol Recycling HC'!AB342</f>
        <v>20176.576711297319</v>
      </c>
      <c r="AD126" s="661">
        <f>'Methanol Recycling HC'!AC342</f>
        <v>19376.828533751861</v>
      </c>
      <c r="AE126" s="661">
        <f>'Methanol Recycling HC'!AD342</f>
        <v>18525.431737367795</v>
      </c>
      <c r="AF126" s="661">
        <f>'Methanol Recycling HC'!AE342</f>
        <v>17602.359897806487</v>
      </c>
      <c r="AG126" s="661">
        <f>'Methanol Recycling HC'!AF342</f>
        <v>16599.887316699052</v>
      </c>
      <c r="AH126" s="661">
        <f>'Methanol Recycling HC'!AG342</f>
        <v>15529.860587847214</v>
      </c>
      <c r="AI126" s="661"/>
      <c r="AJ126" s="661">
        <f>'Methanol Recycling LC'!C342</f>
        <v>23594.84345729182</v>
      </c>
      <c r="AK126" s="661">
        <f>'Methanol Recycling LC'!D342</f>
        <v>24123.279037231234</v>
      </c>
      <c r="AL126" s="661">
        <f>'Methanol Recycling LC'!E342</f>
        <v>24649.236473390487</v>
      </c>
      <c r="AM126" s="661">
        <f>'Methanol Recycling LC'!F342</f>
        <v>25172.628152906243</v>
      </c>
      <c r="AN126" s="661">
        <f>'Methanol Recycling LC'!G342</f>
        <v>25693.296827152928</v>
      </c>
      <c r="AO126" s="661">
        <f>'Methanol Recycling LC'!H342</f>
        <v>26210.950425708099</v>
      </c>
      <c r="AP126" s="661">
        <f>'Methanol Recycling LC'!I342</f>
        <v>26658.633715107499</v>
      </c>
      <c r="AQ126" s="661">
        <f>'Methanol Recycling LC'!J342</f>
        <v>27098.741419363352</v>
      </c>
      <c r="AR126" s="661">
        <f>'Methanol Recycling LC'!K342</f>
        <v>27529.419429792459</v>
      </c>
      <c r="AS126" s="661">
        <f>'Methanol Recycling LC'!L342</f>
        <v>27947.460761606388</v>
      </c>
      <c r="AT126" s="661">
        <f>'Methanol Recycling LC'!M342</f>
        <v>28347.346668083515</v>
      </c>
      <c r="AU126" s="661">
        <f>'Methanol Recycling LC'!N342</f>
        <v>28399.949977769742</v>
      </c>
      <c r="AV126" s="661">
        <f>'Methanol Recycling LC'!O342</f>
        <v>28411.642821664776</v>
      </c>
      <c r="AW126" s="661">
        <f>'Methanol Recycling LC'!P342</f>
        <v>28369.694467834444</v>
      </c>
      <c r="AX126" s="661">
        <f>'Methanol Recycling LC'!Q342</f>
        <v>28267.253329400111</v>
      </c>
      <c r="AY126" s="661">
        <f>'Methanol Recycling LC'!R342</f>
        <v>28101.541809671151</v>
      </c>
      <c r="AZ126" s="661">
        <f>'Methanol Recycling LC'!S342</f>
        <v>27879.883455084073</v>
      </c>
      <c r="BA126" s="661">
        <f>'Methanol Recycling LC'!T342</f>
        <v>27618.284240208086</v>
      </c>
      <c r="BB126" s="661">
        <f>'Methanol Recycling LC'!U342</f>
        <v>27337.591345442845</v>
      </c>
      <c r="BC126" s="661">
        <f>'Methanol Recycling LC'!V342</f>
        <v>27057.24703823858</v>
      </c>
      <c r="BD126" s="661">
        <f>'Methanol Recycling LC'!W342</f>
        <v>26790.703228552866</v>
      </c>
      <c r="BE126" s="661">
        <f>'Methanol Recycling LC'!X342</f>
        <v>26136.219821171417</v>
      </c>
      <c r="BF126" s="661">
        <f>'Methanol Recycling LC'!Y342</f>
        <v>25500.396572461141</v>
      </c>
      <c r="BG126" s="661">
        <f>'Methanol Recycling LC'!Z342</f>
        <v>24870.69397032808</v>
      </c>
      <c r="BH126" s="661">
        <f>'Methanol Recycling LC'!AA342</f>
        <v>24242.505964979988</v>
      </c>
      <c r="BI126" s="661">
        <f>'Methanol Recycling LC'!AB342</f>
        <v>23602.687065845792</v>
      </c>
      <c r="BJ126" s="661">
        <f>'Methanol Recycling LC'!AC342</f>
        <v>22933.974534129444</v>
      </c>
      <c r="BK126" s="661">
        <f>'Methanol Recycling LC'!AD342</f>
        <v>22222.86231637848</v>
      </c>
      <c r="BL126" s="661">
        <f>'Methanol Recycling LC'!AE342</f>
        <v>21456.197049061</v>
      </c>
      <c r="BM126" s="661">
        <f>'Methanol Recycling LC'!AF342</f>
        <v>20628.282006673351</v>
      </c>
      <c r="BN126" s="661">
        <f>'Methanol Recycling LC'!AG342</f>
        <v>19745.692534322716</v>
      </c>
    </row>
    <row r="127" spans="1:67" s="403" customFormat="1">
      <c r="A127" s="402" t="s">
        <v>724</v>
      </c>
      <c r="C127" s="406" t="s">
        <v>166</v>
      </c>
      <c r="D127" s="662">
        <f>'Methanol Recycling HC'!C343</f>
        <v>97805.35540643477</v>
      </c>
      <c r="E127" s="662">
        <f>'Methanol Recycling HC'!D343</f>
        <v>97976.038981309597</v>
      </c>
      <c r="F127" s="662">
        <f>'Methanol Recycling HC'!E343</f>
        <v>98137.285070437007</v>
      </c>
      <c r="G127" s="662">
        <f>'Methanol Recycling HC'!F343</f>
        <v>98291.531430174611</v>
      </c>
      <c r="H127" s="662">
        <f>'Methanol Recycling HC'!G343</f>
        <v>98438.555714773946</v>
      </c>
      <c r="I127" s="662">
        <f>'Methanol Recycling HC'!H343</f>
        <v>98577.902742013102</v>
      </c>
      <c r="J127" s="662">
        <f>'Methanol Recycling HC'!I343</f>
        <v>98204.787999064458</v>
      </c>
      <c r="K127" s="662">
        <f>'Methanol Recycling HC'!J343</f>
        <v>97819.280854378972</v>
      </c>
      <c r="L127" s="662">
        <f>'Methanol Recycling HC'!K343</f>
        <v>97418.337917357901</v>
      </c>
      <c r="M127" s="662">
        <f>'Methanol Recycling HC'!L343</f>
        <v>96996.636195371742</v>
      </c>
      <c r="N127" s="662">
        <f>'Methanol Recycling HC'!M343</f>
        <v>96544.970567888449</v>
      </c>
      <c r="O127" s="662">
        <f>'Methanol Recycling HC'!N343</f>
        <v>95718.755072425964</v>
      </c>
      <c r="P127" s="662">
        <f>'Methanol Recycling HC'!O343</f>
        <v>94830.401621811528</v>
      </c>
      <c r="Q127" s="662">
        <f>'Methanol Recycling HC'!P343</f>
        <v>93830.209823151177</v>
      </c>
      <c r="R127" s="662">
        <f>'Methanol Recycling HC'!Q343</f>
        <v>92736.432218037255</v>
      </c>
      <c r="S127" s="662">
        <f>'Methanol Recycling HC'!R343</f>
        <v>91545.360838438835</v>
      </c>
      <c r="T127" s="662">
        <f>'Methanol Recycling HC'!S343</f>
        <v>90270.424826036324</v>
      </c>
      <c r="U127" s="662">
        <f>'Methanol Recycling HC'!T343</f>
        <v>88939.098032476963</v>
      </c>
      <c r="V127" s="662">
        <f>'Methanol Recycling HC'!U343</f>
        <v>87586.706467321885</v>
      </c>
      <c r="W127" s="662">
        <f>'Methanol Recycling HC'!V343</f>
        <v>86245.781088000527</v>
      </c>
      <c r="X127" s="662">
        <f>'Methanol Recycling HC'!W343</f>
        <v>84938.515022321983</v>
      </c>
      <c r="Y127" s="662">
        <f>'Methanol Recycling HC'!X343</f>
        <v>83308.637669769349</v>
      </c>
      <c r="Z127" s="662">
        <f>'Methanol Recycling HC'!Y343</f>
        <v>81726.590805443193</v>
      </c>
      <c r="AA127" s="662">
        <f>'Methanol Recycling HC'!Z343</f>
        <v>80113.635329814628</v>
      </c>
      <c r="AB127" s="662">
        <f>'Methanol Recycling HC'!AA343</f>
        <v>78520.702858150034</v>
      </c>
      <c r="AC127" s="662">
        <f>'Methanol Recycling HC'!AB343</f>
        <v>76926.446771170333</v>
      </c>
      <c r="AD127" s="662">
        <f>'Methanol Recycling HC'!AC343</f>
        <v>75292.853318694833</v>
      </c>
      <c r="AE127" s="662">
        <f>'Methanol Recycling HC'!AD343</f>
        <v>73609.595650501826</v>
      </c>
      <c r="AF127" s="662">
        <f>'Methanol Recycling HC'!AE343</f>
        <v>71856.770663583651</v>
      </c>
      <c r="AG127" s="662">
        <f>'Methanol Recycling HC'!AF343</f>
        <v>70026.775465333776</v>
      </c>
      <c r="AH127" s="662">
        <f>'Methanol Recycling HC'!AG343</f>
        <v>68131.578934992533</v>
      </c>
      <c r="AI127" s="662"/>
      <c r="AJ127" s="662">
        <f>'Methanol Recycling LC'!C343</f>
        <v>97805.403254547477</v>
      </c>
      <c r="AK127" s="662">
        <f>'Methanol Recycling LC'!D343</f>
        <v>97977.261311939088</v>
      </c>
      <c r="AL127" s="662">
        <f>'Methanol Recycling LC'!E343</f>
        <v>98142.27698730641</v>
      </c>
      <c r="AM127" s="662">
        <f>'Methanol Recycling LC'!F343</f>
        <v>98300.395310045948</v>
      </c>
      <c r="AN127" s="662">
        <f>'Methanol Recycling LC'!G343</f>
        <v>98451.491658237414</v>
      </c>
      <c r="AO127" s="662">
        <f>'Methanol Recycling LC'!H343</f>
        <v>98595.306572609217</v>
      </c>
      <c r="AP127" s="662">
        <f>'Methanol Recycling LC'!I343</f>
        <v>98479.411987405183</v>
      </c>
      <c r="AQ127" s="662">
        <f>'Methanol Recycling LC'!J343</f>
        <v>98353.663924096909</v>
      </c>
      <c r="AR127" s="662">
        <f>'Methanol Recycling LC'!K343</f>
        <v>98216.273789691812</v>
      </c>
      <c r="AS127" s="662">
        <f>'Methanol Recycling LC'!L343</f>
        <v>98064.099780560151</v>
      </c>
      <c r="AT127" s="662">
        <f>'Methanol Recycling LC'!M343</f>
        <v>97891.687996607172</v>
      </c>
      <c r="AU127" s="662">
        <f>'Methanol Recycling LC'!N343</f>
        <v>97358.873422293254</v>
      </c>
      <c r="AV127" s="662">
        <f>'Methanol Recycling LC'!O343</f>
        <v>96783.319618651614</v>
      </c>
      <c r="AW127" s="662">
        <f>'Methanol Recycling LC'!P343</f>
        <v>96147.725713207372</v>
      </c>
      <c r="AX127" s="662">
        <f>'Methanol Recycling LC'!Q343</f>
        <v>95449.924773740844</v>
      </c>
      <c r="AY127" s="662">
        <f>'Methanol Recycling LC'!R343</f>
        <v>94687.206351659755</v>
      </c>
      <c r="AZ127" s="662">
        <f>'Methanol Recycling LC'!S343</f>
        <v>93867.021447376872</v>
      </c>
      <c r="BA127" s="662">
        <f>'Methanol Recycling LC'!T343</f>
        <v>93005.381125703076</v>
      </c>
      <c r="BB127" s="662">
        <f>'Methanol Recycling LC'!U343</f>
        <v>92123.198690377263</v>
      </c>
      <c r="BC127" s="662">
        <f>'Methanol Recycling LC'!V343</f>
        <v>91239.98219360059</v>
      </c>
      <c r="BD127" s="662">
        <f>'Methanol Recycling LC'!W343</f>
        <v>90369.248991176151</v>
      </c>
      <c r="BE127" s="662">
        <f>'Methanol Recycling LC'!X343</f>
        <v>89109.355624997464</v>
      </c>
      <c r="BF127" s="662">
        <f>'Methanol Recycling LC'!Y343</f>
        <v>87866.934673213254</v>
      </c>
      <c r="BG127" s="662">
        <f>'Methanol Recycling LC'!Z343</f>
        <v>86613.311175418814</v>
      </c>
      <c r="BH127" s="662">
        <f>'Methanol Recycling LC'!AA343</f>
        <v>85359.932340179133</v>
      </c>
      <c r="BI127" s="662">
        <f>'Methanol Recycling LC'!AB343</f>
        <v>84093.728100726381</v>
      </c>
      <c r="BJ127" s="662">
        <f>'Methanol Recycling LC'!AC343</f>
        <v>82792.510599899484</v>
      </c>
      <c r="BK127" s="662">
        <f>'Methanol Recycling LC'!AD343</f>
        <v>81447.920069906104</v>
      </c>
      <c r="BL127" s="662">
        <f>'Methanol Recycling LC'!AE343</f>
        <v>80046.878750663469</v>
      </c>
      <c r="BM127" s="662">
        <f>'Methanol Recycling LC'!AF343</f>
        <v>78583.765279753105</v>
      </c>
      <c r="BN127" s="662">
        <f>'Methanol Recycling LC'!AG343</f>
        <v>77065.230122625624</v>
      </c>
    </row>
    <row r="128" spans="1:67">
      <c r="A128" s="97" t="s">
        <v>1286</v>
      </c>
      <c r="D128" s="24">
        <f>D116+D5</f>
        <v>102.16223893794904</v>
      </c>
      <c r="E128" s="24">
        <f t="shared" ref="E128:AH128" si="781">E116</f>
        <v>-144.54749410611365</v>
      </c>
      <c r="F128" s="24">
        <f t="shared" si="781"/>
        <v>-438.32997212869998</v>
      </c>
      <c r="G128" s="24">
        <f t="shared" si="781"/>
        <v>-737.2584137591997</v>
      </c>
      <c r="H128" s="24">
        <f t="shared" si="781"/>
        <v>-1041.1372772809045</v>
      </c>
      <c r="I128" s="24">
        <f t="shared" si="781"/>
        <v>-1349.747329430526</v>
      </c>
      <c r="J128" s="24">
        <f t="shared" si="781"/>
        <v>-1622.8648044545068</v>
      </c>
      <c r="K128" s="24">
        <f t="shared" si="781"/>
        <v>-1897.3454393351644</v>
      </c>
      <c r="L128" s="24">
        <f t="shared" si="781"/>
        <v>-2172.877812003012</v>
      </c>
      <c r="M128" s="24">
        <f t="shared" si="781"/>
        <v>-2449.1112370800047</v>
      </c>
      <c r="N128" s="24">
        <f t="shared" si="781"/>
        <v>-2725.6504839508007</v>
      </c>
      <c r="O128" s="24">
        <f t="shared" si="781"/>
        <v>-3316.0877770317347</v>
      </c>
      <c r="P128" s="24">
        <f t="shared" si="781"/>
        <v>-3909.3309789855093</v>
      </c>
      <c r="Q128" s="24">
        <f t="shared" si="781"/>
        <v>-4501.7978194732686</v>
      </c>
      <c r="R128" s="24">
        <f t="shared" si="781"/>
        <v>-5094.9436145024192</v>
      </c>
      <c r="S128" s="24">
        <f t="shared" si="781"/>
        <v>-5687.9230282152066</v>
      </c>
      <c r="T128" s="24">
        <f t="shared" si="781"/>
        <v>-6279.9805185522891</v>
      </c>
      <c r="U128" s="24">
        <f t="shared" si="781"/>
        <v>-6869.8806178060941</v>
      </c>
      <c r="V128" s="24">
        <f t="shared" si="781"/>
        <v>-7456.4516803071119</v>
      </c>
      <c r="W128" s="24">
        <f t="shared" si="781"/>
        <v>-8038.3828496676242</v>
      </c>
      <c r="X128" s="24">
        <f t="shared" si="781"/>
        <v>-8614.2053803982635</v>
      </c>
      <c r="Y128" s="24">
        <f t="shared" si="781"/>
        <v>-9603.2879424914554</v>
      </c>
      <c r="Z128" s="24">
        <f t="shared" si="781"/>
        <v>-10586.630679085058</v>
      </c>
      <c r="AA128" s="24">
        <f t="shared" si="781"/>
        <v>-11542.630271316008</v>
      </c>
      <c r="AB128" s="24">
        <f t="shared" si="781"/>
        <v>-12484.163825681453</v>
      </c>
      <c r="AC128" s="24">
        <f t="shared" si="781"/>
        <v>-13408.235184288153</v>
      </c>
      <c r="AD128" s="24">
        <f t="shared" si="781"/>
        <v>-14308.29364149765</v>
      </c>
      <c r="AE128" s="24">
        <f t="shared" si="781"/>
        <v>-15183.520135953218</v>
      </c>
      <c r="AF128" s="24">
        <f t="shared" si="781"/>
        <v>-16029.749992822266</v>
      </c>
      <c r="AG128" s="24">
        <f t="shared" si="781"/>
        <v>-16842.321551369059</v>
      </c>
      <c r="AH128" s="24">
        <f t="shared" si="781"/>
        <v>-17616.010088084582</v>
      </c>
      <c r="AI128" s="24"/>
      <c r="AJ128" s="24">
        <f>AJ116+AJ5</f>
        <v>102.16223893794904</v>
      </c>
      <c r="AK128" s="24">
        <f t="shared" ref="AK128:BN128" si="782">AK116</f>
        <v>-144.36577701391104</v>
      </c>
      <c r="AL128" s="24">
        <f t="shared" si="782"/>
        <v>-437.94059835927214</v>
      </c>
      <c r="AM128" s="24">
        <f t="shared" si="782"/>
        <v>-736.63556371918378</v>
      </c>
      <c r="AN128" s="24">
        <f t="shared" si="782"/>
        <v>-1040.2552552237764</v>
      </c>
      <c r="AO128" s="24">
        <f t="shared" si="782"/>
        <v>-1348.5805674269002</v>
      </c>
      <c r="AP128" s="24">
        <f t="shared" si="782"/>
        <v>-1621.3878664808351</v>
      </c>
      <c r="AQ128" s="24">
        <f t="shared" si="782"/>
        <v>-1895.5330254841965</v>
      </c>
      <c r="AR128" s="24">
        <f t="shared" si="782"/>
        <v>-2170.7047628194778</v>
      </c>
      <c r="AS128" s="24">
        <f t="shared" si="782"/>
        <v>-2446.5525380250706</v>
      </c>
      <c r="AT128" s="24">
        <f t="shared" si="782"/>
        <v>-2722.68126999895</v>
      </c>
      <c r="AU128" s="24">
        <f t="shared" si="782"/>
        <v>-3312.7228721085185</v>
      </c>
      <c r="AV128" s="24">
        <f t="shared" si="782"/>
        <v>-3905.5608673250213</v>
      </c>
      <c r="AW128" s="24">
        <f t="shared" si="782"/>
        <v>-4497.6130630677117</v>
      </c>
      <c r="AX128" s="24">
        <f t="shared" si="782"/>
        <v>-5090.3348558980379</v>
      </c>
      <c r="AY128" s="24">
        <f t="shared" si="782"/>
        <v>-5682.880993401348</v>
      </c>
      <c r="AZ128" s="24">
        <f t="shared" si="782"/>
        <v>-6274.5065799465156</v>
      </c>
      <c r="BA128" s="24">
        <f t="shared" si="782"/>
        <v>-6863.9669973383288</v>
      </c>
      <c r="BB128" s="24">
        <f t="shared" si="782"/>
        <v>-7450.0906926059097</v>
      </c>
      <c r="BC128" s="24">
        <f t="shared" si="782"/>
        <v>-8031.5669053517377</v>
      </c>
      <c r="BD128" s="24">
        <f t="shared" si="782"/>
        <v>-8606.9269894767713</v>
      </c>
      <c r="BE128" s="24">
        <f t="shared" si="782"/>
        <v>-9595.4578805104029</v>
      </c>
      <c r="BF128" s="24">
        <f t="shared" si="782"/>
        <v>-10578.240660226527</v>
      </c>
      <c r="BG128" s="24">
        <f t="shared" si="782"/>
        <v>-11533.672029771289</v>
      </c>
      <c r="BH128" s="24">
        <f t="shared" si="782"/>
        <v>-12474.629117417691</v>
      </c>
      <c r="BI128" s="24">
        <f t="shared" si="782"/>
        <v>-13398.11578889597</v>
      </c>
      <c r="BJ128" s="24">
        <f t="shared" si="782"/>
        <v>-14297.581364122701</v>
      </c>
      <c r="BK128" s="24">
        <f t="shared" si="782"/>
        <v>-15172.206809314714</v>
      </c>
      <c r="BL128" s="24">
        <f t="shared" si="782"/>
        <v>-16017.827479321637</v>
      </c>
      <c r="BM128" s="24">
        <f t="shared" si="782"/>
        <v>-16829.781745292021</v>
      </c>
      <c r="BN128" s="24">
        <f t="shared" si="782"/>
        <v>-17602.844917899929</v>
      </c>
    </row>
  </sheetData>
  <mergeCells count="18">
    <mergeCell ref="A94:A96"/>
    <mergeCell ref="A103:A105"/>
    <mergeCell ref="A111:A113"/>
    <mergeCell ref="A117:A119"/>
    <mergeCell ref="A123:A125"/>
    <mergeCell ref="D1:AH1"/>
    <mergeCell ref="AJ1:BN1"/>
    <mergeCell ref="A81:A83"/>
    <mergeCell ref="A87:A89"/>
    <mergeCell ref="A7:A9"/>
    <mergeCell ref="A15:A17"/>
    <mergeCell ref="A26:A28"/>
    <mergeCell ref="A37:A39"/>
    <mergeCell ref="A44:A46"/>
    <mergeCell ref="A53:A55"/>
    <mergeCell ref="A60:A62"/>
    <mergeCell ref="A66:A68"/>
    <mergeCell ref="A73:A75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C5642-89C9-4C4F-847C-7C5A2116916C}">
  <sheetPr>
    <tabColor theme="9"/>
  </sheetPr>
  <dimension ref="A2:AU278"/>
  <sheetViews>
    <sheetView zoomScale="60" zoomScaleNormal="60" workbookViewId="0">
      <pane xSplit="3" ySplit="3" topLeftCell="D135" activePane="bottomRight" state="frozen"/>
      <selection activeCell="B152" sqref="B152"/>
      <selection pane="topRight" activeCell="B152" sqref="B152"/>
      <selection pane="bottomLeft" activeCell="B152" sqref="B152"/>
      <selection pane="bottomRight" activeCell="D148" sqref="D148"/>
    </sheetView>
  </sheetViews>
  <sheetFormatPr defaultRowHeight="14.75" outlineLevelRow="1" outlineLevelCol="1"/>
  <cols>
    <col min="1" max="1" width="29.36328125" style="1" customWidth="1"/>
    <col min="2" max="2" width="57.54296875" style="1" customWidth="1"/>
    <col min="3" max="3" width="10.54296875" customWidth="1"/>
    <col min="4" max="4" width="15.76953125" customWidth="1"/>
    <col min="5" max="13" width="8.81640625" hidden="1" customWidth="1" outlineLevel="1"/>
    <col min="14" max="14" width="12.453125" bestFit="1" customWidth="1" collapsed="1"/>
    <col min="15" max="23" width="8.81640625" hidden="1" customWidth="1" outlineLevel="1"/>
    <col min="24" max="24" width="12.453125" bestFit="1" customWidth="1" collapsed="1"/>
    <col min="25" max="33" width="8.81640625" hidden="1" customWidth="1" outlineLevel="1"/>
    <col min="34" max="34" width="12.453125" bestFit="1" customWidth="1" collapsed="1"/>
    <col min="36" max="36" width="18.36328125" customWidth="1"/>
    <col min="37" max="47" width="15.36328125" customWidth="1"/>
  </cols>
  <sheetData>
    <row r="2" spans="1:41" s="50" customFormat="1">
      <c r="A2" s="49" t="s">
        <v>248</v>
      </c>
      <c r="B2" s="49"/>
      <c r="C2" s="49"/>
    </row>
    <row r="3" spans="1:41" s="1" customFormat="1">
      <c r="D3" s="1">
        <v>2020</v>
      </c>
      <c r="E3" s="1">
        <f>D3+1</f>
        <v>2021</v>
      </c>
      <c r="F3" s="1">
        <f t="shared" ref="F3:AH3" si="0">E3+1</f>
        <v>2022</v>
      </c>
      <c r="G3" s="1">
        <f t="shared" si="0"/>
        <v>2023</v>
      </c>
      <c r="H3" s="1">
        <f t="shared" si="0"/>
        <v>2024</v>
      </c>
      <c r="I3" s="1">
        <f t="shared" si="0"/>
        <v>2025</v>
      </c>
      <c r="J3" s="1">
        <f t="shared" si="0"/>
        <v>2026</v>
      </c>
      <c r="K3" s="1">
        <f t="shared" si="0"/>
        <v>2027</v>
      </c>
      <c r="L3" s="1">
        <f t="shared" si="0"/>
        <v>2028</v>
      </c>
      <c r="M3" s="1">
        <f t="shared" si="0"/>
        <v>2029</v>
      </c>
      <c r="N3" s="1">
        <f t="shared" si="0"/>
        <v>2030</v>
      </c>
      <c r="O3" s="1">
        <f t="shared" si="0"/>
        <v>2031</v>
      </c>
      <c r="P3" s="1">
        <f t="shared" si="0"/>
        <v>2032</v>
      </c>
      <c r="Q3" s="1">
        <f t="shared" si="0"/>
        <v>2033</v>
      </c>
      <c r="R3" s="1">
        <f>Q3+1</f>
        <v>2034</v>
      </c>
      <c r="S3" s="1">
        <f t="shared" si="0"/>
        <v>2035</v>
      </c>
      <c r="T3" s="1">
        <f t="shared" si="0"/>
        <v>2036</v>
      </c>
      <c r="U3" s="1">
        <f t="shared" si="0"/>
        <v>2037</v>
      </c>
      <c r="V3" s="1">
        <f t="shared" si="0"/>
        <v>2038</v>
      </c>
      <c r="W3" s="1">
        <f t="shared" si="0"/>
        <v>2039</v>
      </c>
      <c r="X3" s="1">
        <f t="shared" si="0"/>
        <v>2040</v>
      </c>
      <c r="Y3" s="1">
        <f t="shared" si="0"/>
        <v>2041</v>
      </c>
      <c r="Z3" s="1">
        <f t="shared" si="0"/>
        <v>2042</v>
      </c>
      <c r="AA3" s="1">
        <f t="shared" si="0"/>
        <v>2043</v>
      </c>
      <c r="AB3" s="1">
        <f t="shared" si="0"/>
        <v>2044</v>
      </c>
      <c r="AC3" s="1">
        <f>AB3+1</f>
        <v>2045</v>
      </c>
      <c r="AD3" s="1">
        <f t="shared" si="0"/>
        <v>2046</v>
      </c>
      <c r="AE3" s="1">
        <f t="shared" si="0"/>
        <v>2047</v>
      </c>
      <c r="AF3" s="1">
        <f t="shared" si="0"/>
        <v>2048</v>
      </c>
      <c r="AG3" s="1">
        <f>AF3+1</f>
        <v>2049</v>
      </c>
      <c r="AH3" s="1">
        <f t="shared" si="0"/>
        <v>2050</v>
      </c>
    </row>
    <row r="4" spans="1:41">
      <c r="A4" s="1" t="s">
        <v>534</v>
      </c>
      <c r="C4" s="51" t="s">
        <v>166</v>
      </c>
      <c r="D4" s="101">
        <f>'Yearly Demand - Eth-Prop'!L3</f>
        <v>1049369.6122000003</v>
      </c>
      <c r="E4" s="101">
        <f>'Yearly Demand - Eth-Prop'!M3</f>
        <v>1049369.6122000003</v>
      </c>
      <c r="F4" s="101">
        <f>'Yearly Demand - Eth-Prop'!N3</f>
        <v>1049369.6122000003</v>
      </c>
      <c r="G4" s="101">
        <f>'Yearly Demand - Eth-Prop'!O3</f>
        <v>1049369.6122000003</v>
      </c>
      <c r="H4" s="101">
        <f>'Yearly Demand - Eth-Prop'!P3</f>
        <v>1049369.6122000003</v>
      </c>
      <c r="I4" s="101">
        <f>'Yearly Demand - Eth-Prop'!Q3</f>
        <v>1049369.6122000003</v>
      </c>
      <c r="J4" s="101">
        <f>'Yearly Demand - Eth-Prop'!R3</f>
        <v>1049369.6122000003</v>
      </c>
      <c r="K4" s="101">
        <f>'Yearly Demand - Eth-Prop'!S3</f>
        <v>1049369.6122000003</v>
      </c>
      <c r="L4" s="101">
        <f>'Yearly Demand - Eth-Prop'!T3</f>
        <v>1049369.6122000003</v>
      </c>
      <c r="M4" s="101">
        <f>'Yearly Demand - Eth-Prop'!U3</f>
        <v>1049369.6122000003</v>
      </c>
      <c r="N4" s="101">
        <f>'Yearly Demand - Eth-Prop'!V3</f>
        <v>1049369.6122000003</v>
      </c>
      <c r="O4" s="101">
        <f>'Yearly Demand - Eth-Prop'!W3</f>
        <v>1049369.6122000003</v>
      </c>
      <c r="P4" s="101">
        <f>'Yearly Demand - Eth-Prop'!X3</f>
        <v>1049369.6122000003</v>
      </c>
      <c r="Q4" s="101">
        <f>'Yearly Demand - Eth-Prop'!Y3</f>
        <v>1049369.6122000003</v>
      </c>
      <c r="R4" s="101">
        <f>'Yearly Demand - Eth-Prop'!Z3</f>
        <v>1049369.6122000003</v>
      </c>
      <c r="S4" s="101">
        <f>'Yearly Demand - Eth-Prop'!AA3</f>
        <v>1049369.6122000003</v>
      </c>
      <c r="T4" s="101">
        <f>'Yearly Demand - Eth-Prop'!AB3</f>
        <v>1049369.6122000003</v>
      </c>
      <c r="U4" s="101">
        <f>'Yearly Demand - Eth-Prop'!AC3</f>
        <v>1049369.6122000003</v>
      </c>
      <c r="V4" s="101">
        <f>'Yearly Demand - Eth-Prop'!AD3</f>
        <v>1049369.6122000003</v>
      </c>
      <c r="W4" s="101">
        <f>'Yearly Demand - Eth-Prop'!AE3</f>
        <v>1049369.6122000003</v>
      </c>
      <c r="X4" s="101">
        <f>'Yearly Demand - Eth-Prop'!AF3</f>
        <v>1049369.6122000003</v>
      </c>
      <c r="Y4" s="101">
        <f>'Yearly Demand - Eth-Prop'!AG3</f>
        <v>1049369.6122000003</v>
      </c>
      <c r="Z4" s="101">
        <f>'Yearly Demand - Eth-Prop'!AH3</f>
        <v>1049369.6122000003</v>
      </c>
      <c r="AA4" s="101">
        <f>'Yearly Demand - Eth-Prop'!AI3</f>
        <v>1049369.6122000003</v>
      </c>
      <c r="AB4" s="101">
        <f>'Yearly Demand - Eth-Prop'!AJ3</f>
        <v>1049369.6122000003</v>
      </c>
      <c r="AC4" s="101">
        <f>'Yearly Demand - Eth-Prop'!AK3</f>
        <v>1049369.6122000003</v>
      </c>
      <c r="AD4" s="101">
        <f>'Yearly Demand - Eth-Prop'!AL3</f>
        <v>1049369.6122000003</v>
      </c>
      <c r="AE4" s="101">
        <f>'Yearly Demand - Eth-Prop'!AM3</f>
        <v>1049369.6122000003</v>
      </c>
      <c r="AF4" s="101">
        <f>'Yearly Demand - Eth-Prop'!AN3</f>
        <v>1049369.6122000003</v>
      </c>
      <c r="AG4" s="101">
        <f>'Yearly Demand - Eth-Prop'!AO3</f>
        <v>1049369.6122000003</v>
      </c>
      <c r="AH4" s="101">
        <f>'Yearly Demand - Eth-Prop'!AP3</f>
        <v>1049369.6122000003</v>
      </c>
    </row>
    <row r="5" spans="1:41" s="62" customFormat="1">
      <c r="A5" s="688" t="s">
        <v>685</v>
      </c>
      <c r="B5" s="55" t="s">
        <v>141</v>
      </c>
      <c r="C5" s="56" t="s">
        <v>166</v>
      </c>
      <c r="D5" s="630">
        <f>D4*'Demand - Ethylene'!$C$6</f>
        <v>458015.06089865312</v>
      </c>
      <c r="E5" s="630">
        <f>E4*'Demand - Ethylene'!$C$6</f>
        <v>458015.06089865312</v>
      </c>
      <c r="F5" s="630">
        <f>F4*'Demand - Ethylene'!$C$6</f>
        <v>458015.06089865312</v>
      </c>
      <c r="G5" s="630">
        <f>G4*'Demand - Ethylene'!$C$6</f>
        <v>458015.06089865312</v>
      </c>
      <c r="H5" s="630">
        <f>H4*'Demand - Ethylene'!$C$6</f>
        <v>458015.06089865312</v>
      </c>
      <c r="I5" s="630">
        <f>I4*'Demand - Ethylene'!$C$6</f>
        <v>458015.06089865312</v>
      </c>
      <c r="J5" s="630">
        <f>J4*'Demand - Ethylene'!$C$6</f>
        <v>458015.06089865312</v>
      </c>
      <c r="K5" s="630">
        <f>K4*'Demand - Ethylene'!$C$6</f>
        <v>458015.06089865312</v>
      </c>
      <c r="L5" s="630">
        <f>L4*'Demand - Ethylene'!$C$6</f>
        <v>458015.06089865312</v>
      </c>
      <c r="M5" s="630">
        <f>M4*'Demand - Ethylene'!$C$6</f>
        <v>458015.06089865312</v>
      </c>
      <c r="N5" s="630">
        <f>N4*'Demand - Ethylene'!$C$6</f>
        <v>458015.06089865312</v>
      </c>
      <c r="O5" s="630">
        <f>O4*'Demand - Ethylene'!$C$6</f>
        <v>458015.06089865312</v>
      </c>
      <c r="P5" s="630">
        <f>P4*'Demand - Ethylene'!$C$6</f>
        <v>458015.06089865312</v>
      </c>
      <c r="Q5" s="630">
        <f>Q4*'Demand - Ethylene'!$C$6</f>
        <v>458015.06089865312</v>
      </c>
      <c r="R5" s="630">
        <f>R4*'Demand - Ethylene'!$C$6</f>
        <v>458015.06089865312</v>
      </c>
      <c r="S5" s="630">
        <f>S4*'Demand - Ethylene'!$C$6</f>
        <v>458015.06089865312</v>
      </c>
      <c r="T5" s="630">
        <f>T4*'Demand - Ethylene'!$C$6</f>
        <v>458015.06089865312</v>
      </c>
      <c r="U5" s="630">
        <f>U4*'Demand - Ethylene'!$C$6</f>
        <v>458015.06089865312</v>
      </c>
      <c r="V5" s="630">
        <f>V4*'Demand - Ethylene'!$C$6</f>
        <v>458015.06089865312</v>
      </c>
      <c r="W5" s="630">
        <f>W4*'Demand - Ethylene'!$C$6</f>
        <v>458015.06089865312</v>
      </c>
      <c r="X5" s="630">
        <f>X4*'Demand - Ethylene'!$C$6</f>
        <v>458015.06089865312</v>
      </c>
      <c r="Y5" s="630">
        <f>Y4*'Demand - Ethylene'!$C$6</f>
        <v>458015.06089865312</v>
      </c>
      <c r="Z5" s="630">
        <f>Z4*'Demand - Ethylene'!$C$6</f>
        <v>458015.06089865312</v>
      </c>
      <c r="AA5" s="630">
        <f>AA4*'Demand - Ethylene'!$C$6</f>
        <v>458015.06089865312</v>
      </c>
      <c r="AB5" s="630">
        <f>AB4*'Demand - Ethylene'!$C$6</f>
        <v>458015.06089865312</v>
      </c>
      <c r="AC5" s="630">
        <f>AC4*'Demand - Ethylene'!$C$6</f>
        <v>458015.06089865312</v>
      </c>
      <c r="AD5" s="630">
        <f>AD4*'Demand - Ethylene'!$C$6</f>
        <v>458015.06089865312</v>
      </c>
      <c r="AE5" s="630">
        <f>AE4*'Demand - Ethylene'!$C$6</f>
        <v>458015.06089865312</v>
      </c>
      <c r="AF5" s="630">
        <f>AF4*'Demand - Ethylene'!$C$6</f>
        <v>458015.06089865312</v>
      </c>
      <c r="AG5" s="630">
        <f>AG4*'Demand - Ethylene'!$C$6</f>
        <v>458015.06089865312</v>
      </c>
      <c r="AH5" s="630">
        <f>AH4*'Demand - Ethylene'!$C$6</f>
        <v>458015.06089865312</v>
      </c>
      <c r="AM5" s="62" t="s">
        <v>1412</v>
      </c>
      <c r="AN5" s="62">
        <v>2020</v>
      </c>
    </row>
    <row r="6" spans="1:41">
      <c r="A6" s="689"/>
      <c r="B6" s="1" t="s">
        <v>18</v>
      </c>
      <c r="C6" s="51" t="s">
        <v>166</v>
      </c>
      <c r="D6" s="196">
        <f>D4*'Demand - Ethylene'!$C$7</f>
        <v>212281.12097997082</v>
      </c>
      <c r="E6" s="196">
        <f>E4*'Demand - Ethylene'!$C$7</f>
        <v>212281.12097997082</v>
      </c>
      <c r="F6" s="196">
        <f>F4*'Demand - Ethylene'!$C$7</f>
        <v>212281.12097997082</v>
      </c>
      <c r="G6" s="196">
        <f>G4*'Demand - Ethylene'!$C$7</f>
        <v>212281.12097997082</v>
      </c>
      <c r="H6" s="196">
        <f>H4*'Demand - Ethylene'!$C$7</f>
        <v>212281.12097997082</v>
      </c>
      <c r="I6" s="196">
        <f>I4*'Demand - Ethylene'!$C$7</f>
        <v>212281.12097997082</v>
      </c>
      <c r="J6" s="196">
        <f>J4*'Demand - Ethylene'!$C$7</f>
        <v>212281.12097997082</v>
      </c>
      <c r="K6" s="196">
        <f>K4*'Demand - Ethylene'!$C$7</f>
        <v>212281.12097997082</v>
      </c>
      <c r="L6" s="196">
        <f>L4*'Demand - Ethylene'!$C$7</f>
        <v>212281.12097997082</v>
      </c>
      <c r="M6" s="196">
        <f>M4*'Demand - Ethylene'!$C$7</f>
        <v>212281.12097997082</v>
      </c>
      <c r="N6" s="196">
        <f>N4*'Demand - Ethylene'!$C$7</f>
        <v>212281.12097997082</v>
      </c>
      <c r="O6" s="196">
        <f>O4*'Demand - Ethylene'!$C$7</f>
        <v>212281.12097997082</v>
      </c>
      <c r="P6" s="196">
        <f>P4*'Demand - Ethylene'!$C$7</f>
        <v>212281.12097997082</v>
      </c>
      <c r="Q6" s="196">
        <f>Q4*'Demand - Ethylene'!$C$7</f>
        <v>212281.12097997082</v>
      </c>
      <c r="R6" s="196">
        <f>R4*'Demand - Ethylene'!$C$7</f>
        <v>212281.12097997082</v>
      </c>
      <c r="S6" s="196">
        <f>S4*'Demand - Ethylene'!$C$7</f>
        <v>212281.12097997082</v>
      </c>
      <c r="T6" s="196">
        <f>T4*'Demand - Ethylene'!$C$7</f>
        <v>212281.12097997082</v>
      </c>
      <c r="U6" s="196">
        <f>U4*'Demand - Ethylene'!$C$7</f>
        <v>212281.12097997082</v>
      </c>
      <c r="V6" s="196">
        <f>V4*'Demand - Ethylene'!$C$7</f>
        <v>212281.12097997082</v>
      </c>
      <c r="W6" s="196">
        <f>W4*'Demand - Ethylene'!$C$7</f>
        <v>212281.12097997082</v>
      </c>
      <c r="X6" s="196">
        <f>X4*'Demand - Ethylene'!$C$7</f>
        <v>212281.12097997082</v>
      </c>
      <c r="Y6" s="196">
        <f>Y4*'Demand - Ethylene'!$C$7</f>
        <v>212281.12097997082</v>
      </c>
      <c r="Z6" s="196">
        <f>Z4*'Demand - Ethylene'!$C$7</f>
        <v>212281.12097997082</v>
      </c>
      <c r="AA6" s="196">
        <f>AA4*'Demand - Ethylene'!$C$7</f>
        <v>212281.12097997082</v>
      </c>
      <c r="AB6" s="196">
        <f>AB4*'Demand - Ethylene'!$C$7</f>
        <v>212281.12097997082</v>
      </c>
      <c r="AC6" s="196">
        <f>AC4*'Demand - Ethylene'!$C$7</f>
        <v>212281.12097997082</v>
      </c>
      <c r="AD6" s="196">
        <f>AD4*'Demand - Ethylene'!$C$7</f>
        <v>212281.12097997082</v>
      </c>
      <c r="AE6" s="196">
        <f>AE4*'Demand - Ethylene'!$C$7</f>
        <v>212281.12097997082</v>
      </c>
      <c r="AF6" s="196">
        <f>AF4*'Demand - Ethylene'!$C$7</f>
        <v>212281.12097997082</v>
      </c>
      <c r="AG6" s="196">
        <f>AG4*'Demand - Ethylene'!$C$7</f>
        <v>212281.12097997082</v>
      </c>
      <c r="AH6" s="196">
        <f>AH4*'Demand - Ethylene'!$C$7</f>
        <v>212281.12097997082</v>
      </c>
      <c r="AM6" s="55" t="s">
        <v>16</v>
      </c>
      <c r="AN6" s="41">
        <f>D5</f>
        <v>458015.06089865312</v>
      </c>
      <c r="AO6" s="41">
        <f>AN6</f>
        <v>458015.06089865312</v>
      </c>
    </row>
    <row r="7" spans="1:41">
      <c r="A7" s="689"/>
      <c r="B7" s="1" t="s">
        <v>684</v>
      </c>
      <c r="C7" s="51" t="s">
        <v>166</v>
      </c>
      <c r="D7" s="196">
        <f>D4*'Demand - Ethylene'!$C$8</f>
        <v>181955.2465542607</v>
      </c>
      <c r="E7" s="196">
        <f>E4*'Demand - Ethylene'!$C$8</f>
        <v>181955.2465542607</v>
      </c>
      <c r="F7" s="196">
        <f>F4*'Demand - Ethylene'!$C$8</f>
        <v>181955.2465542607</v>
      </c>
      <c r="G7" s="196">
        <f>G4*'Demand - Ethylene'!$C$8</f>
        <v>181955.2465542607</v>
      </c>
      <c r="H7" s="196">
        <f>H4*'Demand - Ethylene'!$C$8</f>
        <v>181955.2465542607</v>
      </c>
      <c r="I7" s="196">
        <f>I4*'Demand - Ethylene'!$C$8</f>
        <v>181955.2465542607</v>
      </c>
      <c r="J7" s="196">
        <f>J4*'Demand - Ethylene'!$C$8</f>
        <v>181955.2465542607</v>
      </c>
      <c r="K7" s="196">
        <f>K4*'Demand - Ethylene'!$C$8</f>
        <v>181955.2465542607</v>
      </c>
      <c r="L7" s="196">
        <f>L4*'Demand - Ethylene'!$C$8</f>
        <v>181955.2465542607</v>
      </c>
      <c r="M7" s="196">
        <f>M4*'Demand - Ethylene'!$C$8</f>
        <v>181955.2465542607</v>
      </c>
      <c r="N7" s="196">
        <f>N4*'Demand - Ethylene'!$C$8</f>
        <v>181955.2465542607</v>
      </c>
      <c r="O7" s="196">
        <f>O4*'Demand - Ethylene'!$C$8</f>
        <v>181955.2465542607</v>
      </c>
      <c r="P7" s="196">
        <f>P4*'Demand - Ethylene'!$C$8</f>
        <v>181955.2465542607</v>
      </c>
      <c r="Q7" s="196">
        <f>Q4*'Demand - Ethylene'!$C$8</f>
        <v>181955.2465542607</v>
      </c>
      <c r="R7" s="196">
        <f>R4*'Demand - Ethylene'!$C$8</f>
        <v>181955.2465542607</v>
      </c>
      <c r="S7" s="196">
        <f>S4*'Demand - Ethylene'!$C$8</f>
        <v>181955.2465542607</v>
      </c>
      <c r="T7" s="196">
        <f>T4*'Demand - Ethylene'!$C$8</f>
        <v>181955.2465542607</v>
      </c>
      <c r="U7" s="196">
        <f>U4*'Demand - Ethylene'!$C$8</f>
        <v>181955.2465542607</v>
      </c>
      <c r="V7" s="196">
        <f>V4*'Demand - Ethylene'!$C$8</f>
        <v>181955.2465542607</v>
      </c>
      <c r="W7" s="196">
        <f>W4*'Demand - Ethylene'!$C$8</f>
        <v>181955.2465542607</v>
      </c>
      <c r="X7" s="196">
        <f>X4*'Demand - Ethylene'!$C$8</f>
        <v>181955.2465542607</v>
      </c>
      <c r="Y7" s="196">
        <f>Y4*'Demand - Ethylene'!$C$8</f>
        <v>181955.2465542607</v>
      </c>
      <c r="Z7" s="196">
        <f>Z4*'Demand - Ethylene'!$C$8</f>
        <v>181955.2465542607</v>
      </c>
      <c r="AA7" s="196">
        <f>AA4*'Demand - Ethylene'!$C$8</f>
        <v>181955.2465542607</v>
      </c>
      <c r="AB7" s="196">
        <f>AB4*'Demand - Ethylene'!$C$8</f>
        <v>181955.2465542607</v>
      </c>
      <c r="AC7" s="196">
        <f>AC4*'Demand - Ethylene'!$C$8</f>
        <v>181955.2465542607</v>
      </c>
      <c r="AD7" s="196">
        <f>AD4*'Demand - Ethylene'!$C$8</f>
        <v>181955.2465542607</v>
      </c>
      <c r="AE7" s="196">
        <f>AE4*'Demand - Ethylene'!$C$8</f>
        <v>181955.2465542607</v>
      </c>
      <c r="AF7" s="196">
        <f>AF4*'Demand - Ethylene'!$C$8</f>
        <v>181955.2465542607</v>
      </c>
      <c r="AG7" s="196">
        <f>AG4*'Demand - Ethylene'!$C$8</f>
        <v>181955.2465542607</v>
      </c>
      <c r="AH7" s="196">
        <f>AH4*'Demand - Ethylene'!$C$8</f>
        <v>181955.2465542607</v>
      </c>
      <c r="AM7" s="1" t="s">
        <v>18</v>
      </c>
      <c r="AN7" s="41">
        <f t="shared" ref="AN7:AN8" si="1">D6</f>
        <v>212281.12097997082</v>
      </c>
      <c r="AO7" s="41">
        <f>AN7*44/28</f>
        <v>333584.61868281133</v>
      </c>
    </row>
    <row r="8" spans="1:41" s="63" customFormat="1">
      <c r="A8" s="690"/>
      <c r="B8" s="59" t="s">
        <v>27</v>
      </c>
      <c r="C8" s="262" t="s">
        <v>166</v>
      </c>
      <c r="D8" s="599">
        <f t="shared" ref="D8:AH8" si="2">D4-SUM(D6,D5,D7)</f>
        <v>197118.1837671157</v>
      </c>
      <c r="E8" s="599">
        <f t="shared" si="2"/>
        <v>197118.1837671157</v>
      </c>
      <c r="F8" s="599">
        <f t="shared" si="2"/>
        <v>197118.1837671157</v>
      </c>
      <c r="G8" s="599">
        <f t="shared" si="2"/>
        <v>197118.1837671157</v>
      </c>
      <c r="H8" s="599">
        <f t="shared" si="2"/>
        <v>197118.1837671157</v>
      </c>
      <c r="I8" s="599">
        <f t="shared" si="2"/>
        <v>197118.1837671157</v>
      </c>
      <c r="J8" s="599">
        <f t="shared" si="2"/>
        <v>197118.1837671157</v>
      </c>
      <c r="K8" s="599">
        <f t="shared" si="2"/>
        <v>197118.1837671157</v>
      </c>
      <c r="L8" s="599">
        <f t="shared" si="2"/>
        <v>197118.1837671157</v>
      </c>
      <c r="M8" s="599">
        <f t="shared" si="2"/>
        <v>197118.1837671157</v>
      </c>
      <c r="N8" s="599">
        <f t="shared" si="2"/>
        <v>197118.1837671157</v>
      </c>
      <c r="O8" s="599">
        <f t="shared" si="2"/>
        <v>197118.1837671157</v>
      </c>
      <c r="P8" s="599">
        <f t="shared" si="2"/>
        <v>197118.1837671157</v>
      </c>
      <c r="Q8" s="599">
        <f t="shared" si="2"/>
        <v>197118.1837671157</v>
      </c>
      <c r="R8" s="599">
        <f t="shared" si="2"/>
        <v>197118.1837671157</v>
      </c>
      <c r="S8" s="599">
        <f t="shared" si="2"/>
        <v>197118.1837671157</v>
      </c>
      <c r="T8" s="599">
        <f t="shared" si="2"/>
        <v>197118.1837671157</v>
      </c>
      <c r="U8" s="599">
        <f t="shared" si="2"/>
        <v>197118.1837671157</v>
      </c>
      <c r="V8" s="599">
        <f t="shared" si="2"/>
        <v>197118.1837671157</v>
      </c>
      <c r="W8" s="599">
        <f t="shared" si="2"/>
        <v>197118.1837671157</v>
      </c>
      <c r="X8" s="599">
        <f t="shared" si="2"/>
        <v>197118.1837671157</v>
      </c>
      <c r="Y8" s="599">
        <f t="shared" si="2"/>
        <v>197118.1837671157</v>
      </c>
      <c r="Z8" s="599">
        <f t="shared" si="2"/>
        <v>197118.1837671157</v>
      </c>
      <c r="AA8" s="599">
        <f t="shared" si="2"/>
        <v>197118.1837671157</v>
      </c>
      <c r="AB8" s="599">
        <f t="shared" si="2"/>
        <v>197118.1837671157</v>
      </c>
      <c r="AC8" s="599">
        <f t="shared" si="2"/>
        <v>197118.1837671157</v>
      </c>
      <c r="AD8" s="599">
        <f t="shared" si="2"/>
        <v>197118.1837671157</v>
      </c>
      <c r="AE8" s="599">
        <f t="shared" si="2"/>
        <v>197118.1837671157</v>
      </c>
      <c r="AF8" s="599">
        <f t="shared" si="2"/>
        <v>197118.1837671157</v>
      </c>
      <c r="AG8" s="599">
        <f t="shared" si="2"/>
        <v>197118.1837671157</v>
      </c>
      <c r="AH8" s="599">
        <f t="shared" si="2"/>
        <v>197118.1837671157</v>
      </c>
      <c r="AM8" s="1" t="s">
        <v>684</v>
      </c>
      <c r="AN8" s="41">
        <f t="shared" si="1"/>
        <v>181955.2465542607</v>
      </c>
      <c r="AO8" s="263">
        <f>AN8*83.5/28</f>
        <v>542616.53883145598</v>
      </c>
    </row>
    <row r="9" spans="1:41" s="62" customFormat="1">
      <c r="A9" s="688" t="s">
        <v>686</v>
      </c>
      <c r="B9" s="55" t="s">
        <v>683</v>
      </c>
      <c r="C9" s="56" t="s">
        <v>166</v>
      </c>
      <c r="D9" s="630">
        <f>D4*'Demand - Ethylene'!$O$14</f>
        <v>82940.175270187392</v>
      </c>
      <c r="E9" s="630">
        <f>E4*'Demand - Ethylene'!$O$14</f>
        <v>82940.175270187392</v>
      </c>
      <c r="F9" s="630">
        <f>F4*'Demand - Ethylene'!$O$14</f>
        <v>82940.175270187392</v>
      </c>
      <c r="G9" s="630">
        <f>G4*'Demand - Ethylene'!$O$14</f>
        <v>82940.175270187392</v>
      </c>
      <c r="H9" s="630">
        <f>H4*'Demand - Ethylene'!$O$14</f>
        <v>82940.175270187392</v>
      </c>
      <c r="I9" s="630">
        <f>I4*'Demand - Ethylene'!$O$14</f>
        <v>82940.175270187392</v>
      </c>
      <c r="J9" s="630">
        <f>J4*'Demand - Ethylene'!$O$14</f>
        <v>82940.175270187392</v>
      </c>
      <c r="K9" s="630">
        <f>K4*'Demand - Ethylene'!$O$14</f>
        <v>82940.175270187392</v>
      </c>
      <c r="L9" s="630">
        <f>L4*'Demand - Ethylene'!$O$14</f>
        <v>82940.175270187392</v>
      </c>
      <c r="M9" s="630">
        <f>M4*'Demand - Ethylene'!$O$14</f>
        <v>82940.175270187392</v>
      </c>
      <c r="N9" s="630">
        <f>N4*'Demand - Ethylene'!$O$14</f>
        <v>82940.175270187392</v>
      </c>
      <c r="O9" s="630">
        <f>O4*'Demand - Ethylene'!$O$14</f>
        <v>82940.175270187392</v>
      </c>
      <c r="P9" s="630">
        <f>P4*'Demand - Ethylene'!$O$14</f>
        <v>82940.175270187392</v>
      </c>
      <c r="Q9" s="630">
        <f>Q4*'Demand - Ethylene'!$O$14</f>
        <v>82940.175270187392</v>
      </c>
      <c r="R9" s="630">
        <f>R4*'Demand - Ethylene'!$O$14</f>
        <v>82940.175270187392</v>
      </c>
      <c r="S9" s="630">
        <f>S4*'Demand - Ethylene'!$O$14</f>
        <v>82940.175270187392</v>
      </c>
      <c r="T9" s="630">
        <f>T4*'Demand - Ethylene'!$O$14</f>
        <v>82940.175270187392</v>
      </c>
      <c r="U9" s="630">
        <f>U4*'Demand - Ethylene'!$O$14</f>
        <v>82940.175270187392</v>
      </c>
      <c r="V9" s="630">
        <f>V4*'Demand - Ethylene'!$O$14</f>
        <v>82940.175270187392</v>
      </c>
      <c r="W9" s="630">
        <f>W4*'Demand - Ethylene'!$O$14</f>
        <v>82940.175270187392</v>
      </c>
      <c r="X9" s="630">
        <f>X4*'Demand - Ethylene'!$O$14</f>
        <v>82940.175270187392</v>
      </c>
      <c r="Y9" s="630">
        <f>Y4*'Demand - Ethylene'!$O$14</f>
        <v>82940.175270187392</v>
      </c>
      <c r="Z9" s="630">
        <f>Z4*'Demand - Ethylene'!$O$14</f>
        <v>82940.175270187392</v>
      </c>
      <c r="AA9" s="630">
        <f>AA4*'Demand - Ethylene'!$O$14</f>
        <v>82940.175270187392</v>
      </c>
      <c r="AB9" s="630">
        <f>AB4*'Demand - Ethylene'!$O$14</f>
        <v>82940.175270187392</v>
      </c>
      <c r="AC9" s="630">
        <f>AC4*'Demand - Ethylene'!$O$14</f>
        <v>82940.175270187392</v>
      </c>
      <c r="AD9" s="630">
        <f>AD4*'Demand - Ethylene'!$O$14</f>
        <v>82940.175270187392</v>
      </c>
      <c r="AE9" s="630">
        <f>AE4*'Demand - Ethylene'!$O$14</f>
        <v>82940.175270187392</v>
      </c>
      <c r="AF9" s="630">
        <f>AF4*'Demand - Ethylene'!$O$14</f>
        <v>82940.175270187392</v>
      </c>
      <c r="AG9" s="630">
        <f>AG4*'Demand - Ethylene'!$O$14</f>
        <v>82940.175270187392</v>
      </c>
      <c r="AH9" s="630">
        <f>AH4*'Demand - Ethylene'!$O$14</f>
        <v>82940.175270187392</v>
      </c>
      <c r="AM9" s="62" t="s">
        <v>10</v>
      </c>
      <c r="AN9" s="57">
        <f>SUM('Demand - Propylene'!C25:C26)*'Demand - Propylene'!E2</f>
        <v>675502.49286335276</v>
      </c>
      <c r="AO9" s="57">
        <f>AN9</f>
        <v>675502.49286335276</v>
      </c>
    </row>
    <row r="10" spans="1:41" s="63" customFormat="1">
      <c r="A10" s="690"/>
      <c r="B10" s="59" t="s">
        <v>682</v>
      </c>
      <c r="C10" s="262" t="s">
        <v>166</v>
      </c>
      <c r="D10" s="599">
        <f>D4*'Demand - Ethylene'!$J$14</f>
        <v>74884.146910164345</v>
      </c>
      <c r="E10" s="599">
        <f>E4*'Demand - Ethylene'!$J$14</f>
        <v>74884.146910164345</v>
      </c>
      <c r="F10" s="599">
        <f>F4*'Demand - Ethylene'!$J$14</f>
        <v>74884.146910164345</v>
      </c>
      <c r="G10" s="599">
        <f>G4*'Demand - Ethylene'!$J$14</f>
        <v>74884.146910164345</v>
      </c>
      <c r="H10" s="599">
        <f>H4*'Demand - Ethylene'!$J$14</f>
        <v>74884.146910164345</v>
      </c>
      <c r="I10" s="599">
        <f>I4*'Demand - Ethylene'!$J$14</f>
        <v>74884.146910164345</v>
      </c>
      <c r="J10" s="599">
        <f>J4*'Demand - Ethylene'!$J$14</f>
        <v>74884.146910164345</v>
      </c>
      <c r="K10" s="599">
        <f>K4*'Demand - Ethylene'!$J$14</f>
        <v>74884.146910164345</v>
      </c>
      <c r="L10" s="599">
        <f>L4*'Demand - Ethylene'!$J$14</f>
        <v>74884.146910164345</v>
      </c>
      <c r="M10" s="599">
        <f>M4*'Demand - Ethylene'!$J$14</f>
        <v>74884.146910164345</v>
      </c>
      <c r="N10" s="599">
        <f>N4*'Demand - Ethylene'!$J$14</f>
        <v>74884.146910164345</v>
      </c>
      <c r="O10" s="599">
        <f>O4*'Demand - Ethylene'!$J$14</f>
        <v>74884.146910164345</v>
      </c>
      <c r="P10" s="599">
        <f>P4*'Demand - Ethylene'!$J$14</f>
        <v>74884.146910164345</v>
      </c>
      <c r="Q10" s="599">
        <f>Q4*'Demand - Ethylene'!$J$14</f>
        <v>74884.146910164345</v>
      </c>
      <c r="R10" s="599">
        <f>R4*'Demand - Ethylene'!$J$14</f>
        <v>74884.146910164345</v>
      </c>
      <c r="S10" s="599">
        <f>S4*'Demand - Ethylene'!$J$14</f>
        <v>74884.146910164345</v>
      </c>
      <c r="T10" s="599">
        <f>T4*'Demand - Ethylene'!$J$14</f>
        <v>74884.146910164345</v>
      </c>
      <c r="U10" s="599">
        <f>U4*'Demand - Ethylene'!$J$14</f>
        <v>74884.146910164345</v>
      </c>
      <c r="V10" s="599">
        <f>V4*'Demand - Ethylene'!$J$14</f>
        <v>74884.146910164345</v>
      </c>
      <c r="W10" s="599">
        <f>W4*'Demand - Ethylene'!$J$14</f>
        <v>74884.146910164345</v>
      </c>
      <c r="X10" s="599">
        <f>X4*'Demand - Ethylene'!$J$14</f>
        <v>74884.146910164345</v>
      </c>
      <c r="Y10" s="599">
        <f>Y4*'Demand - Ethylene'!$J$14</f>
        <v>74884.146910164345</v>
      </c>
      <c r="Z10" s="599">
        <f>Z4*'Demand - Ethylene'!$J$14</f>
        <v>74884.146910164345</v>
      </c>
      <c r="AA10" s="599">
        <f>AA4*'Demand - Ethylene'!$J$14</f>
        <v>74884.146910164345</v>
      </c>
      <c r="AB10" s="599">
        <f>AB4*'Demand - Ethylene'!$J$14</f>
        <v>74884.146910164345</v>
      </c>
      <c r="AC10" s="599">
        <f>AC4*'Demand - Ethylene'!$J$14</f>
        <v>74884.146910164345</v>
      </c>
      <c r="AD10" s="599">
        <f>AD4*'Demand - Ethylene'!$J$14</f>
        <v>74884.146910164345</v>
      </c>
      <c r="AE10" s="599">
        <f>AE4*'Demand - Ethylene'!$J$14</f>
        <v>74884.146910164345</v>
      </c>
      <c r="AF10" s="599">
        <f>AF4*'Demand - Ethylene'!$J$14</f>
        <v>74884.146910164345</v>
      </c>
      <c r="AG10" s="599">
        <f>AG4*'Demand - Ethylene'!$J$14</f>
        <v>74884.146910164345</v>
      </c>
      <c r="AH10" s="599">
        <f>AH4*'Demand - Ethylene'!$J$14</f>
        <v>74884.146910164345</v>
      </c>
      <c r="AM10" s="63" t="str">
        <f>'Yearly Methanol'!B7</f>
        <v>Acetic Acid</v>
      </c>
      <c r="AN10" s="263">
        <f>'Yearly Methanol'!D7</f>
        <v>7.192774760698633</v>
      </c>
      <c r="AO10" s="263">
        <f>AN10*60/31</f>
        <v>13.921499536836064</v>
      </c>
    </row>
    <row r="11" spans="1:41"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M11" s="1" t="s">
        <v>1413</v>
      </c>
      <c r="AN11" s="41">
        <f>'Demand - BTX'!E3</f>
        <v>610155.11032919493</v>
      </c>
      <c r="AO11" s="41">
        <f>AN11*106/(106-28)</f>
        <v>829185.14993454702</v>
      </c>
    </row>
    <row r="12" spans="1:41">
      <c r="A12" s="55" t="s">
        <v>165</v>
      </c>
      <c r="B12" s="55" t="s">
        <v>174</v>
      </c>
      <c r="C12" s="56" t="s">
        <v>166</v>
      </c>
      <c r="D12" s="630">
        <f>'R&amp;S - Transportation'!D4</f>
        <v>93277.946794923075</v>
      </c>
      <c r="E12" s="630">
        <f>D12*(1+'R&amp;S - Transportation'!$B$5)</f>
        <v>94863.671890436759</v>
      </c>
      <c r="F12" s="630">
        <f>E12*(1+'R&amp;S - Transportation'!$B$5)</f>
        <v>96476.354312574171</v>
      </c>
      <c r="G12" s="630">
        <f>F12*(1+'R&amp;S - Transportation'!$B$5)</f>
        <v>98116.452335887923</v>
      </c>
      <c r="H12" s="630">
        <f>G12*(1+'R&amp;S - Transportation'!$B$5)</f>
        <v>99784.432025598013</v>
      </c>
      <c r="I12" s="630">
        <f>H12*(1+'R&amp;S - Transportation'!$B$5)</f>
        <v>101480.76737003317</v>
      </c>
      <c r="J12" s="630">
        <f>I12*(1+'R&amp;S - Transportation'!$B$5)</f>
        <v>103205.94041532373</v>
      </c>
      <c r="K12" s="630">
        <f>J12*(1+'R&amp;S - Transportation'!$B$5)</f>
        <v>104960.44140238423</v>
      </c>
      <c r="L12" s="630">
        <f>K12*(1+'R&amp;S - Transportation'!$B$5)</f>
        <v>106744.76890622475</v>
      </c>
      <c r="M12" s="630">
        <f>L12*(1+'R&amp;S - Transportation'!$B$5)</f>
        <v>108559.42997763056</v>
      </c>
      <c r="N12" s="630">
        <f>M12*(1+'R&amp;S - Transportation'!$B$5)</f>
        <v>110404.94028725027</v>
      </c>
      <c r="O12" s="630">
        <f>N12*(1+'R&amp;S - Transportation'!$B$5)</f>
        <v>112281.82427213351</v>
      </c>
      <c r="P12" s="630">
        <f>O12*(1+'R&amp;S - Transportation'!$B$5)</f>
        <v>114190.61528475977</v>
      </c>
      <c r="Q12" s="630">
        <f>P12*(1+'R&amp;S - Transportation'!$B$5)</f>
        <v>116131.85574460067</v>
      </c>
      <c r="R12" s="630">
        <f>Q12*(1+'R&amp;S - Transportation'!$B$5)</f>
        <v>118106.09729225887</v>
      </c>
      <c r="S12" s="630">
        <f>R12*(1+'R&amp;S - Transportation'!$B$5)</f>
        <v>120113.90094622727</v>
      </c>
      <c r="T12" s="630">
        <f>S12*(1+'R&amp;S - Transportation'!$B$5)</f>
        <v>122155.83726231311</v>
      </c>
      <c r="U12" s="630">
        <f>T12*(1+'R&amp;S - Transportation'!$B$5)</f>
        <v>124232.48649577242</v>
      </c>
      <c r="V12" s="630">
        <f>U12*(1+'R&amp;S - Transportation'!$B$5)</f>
        <v>126344.43876620055</v>
      </c>
      <c r="W12" s="630">
        <f>V12*(1+'R&amp;S - Transportation'!$B$5)</f>
        <v>128492.29422522594</v>
      </c>
      <c r="X12" s="630">
        <f>W12*(1+'R&amp;S - Transportation'!$B$5)</f>
        <v>130676.66322705477</v>
      </c>
      <c r="Y12" s="630">
        <f>X12*(1+'R&amp;S - Transportation'!$B$5)</f>
        <v>132898.16650191467</v>
      </c>
      <c r="Z12" s="630">
        <f>Y12*(1+'R&amp;S - Transportation'!$B$5)</f>
        <v>135157.4353324472</v>
      </c>
      <c r="AA12" s="630">
        <f>Z12*(1+'R&amp;S - Transportation'!$B$5)</f>
        <v>137455.11173309881</v>
      </c>
      <c r="AB12" s="630">
        <f>AA12*(1+'R&amp;S - Transportation'!$B$5)</f>
        <v>139791.84863256148</v>
      </c>
      <c r="AC12" s="630">
        <f>AB12*(1+'R&amp;S - Transportation'!$B$5)</f>
        <v>142168.310059315</v>
      </c>
      <c r="AD12" s="630">
        <f>AC12*(1+'R&amp;S - Transportation'!$B$5)</f>
        <v>144585.17133032336</v>
      </c>
      <c r="AE12" s="630">
        <f>AD12*(1+'R&amp;S - Transportation'!$B$5)</f>
        <v>147043.11924293885</v>
      </c>
      <c r="AF12" s="630">
        <f>AE12*(1+'R&amp;S - Transportation'!$B$5)</f>
        <v>149542.8522700688</v>
      </c>
      <c r="AG12" s="630">
        <f>AF12*(1+'R&amp;S - Transportation'!$B$5)</f>
        <v>152085.08075865995</v>
      </c>
      <c r="AH12" s="630">
        <f>AG12*(1+'R&amp;S - Transportation'!$B$5)</f>
        <v>154670.52713155717</v>
      </c>
      <c r="AJ12" s="40"/>
      <c r="AM12" s="1" t="s">
        <v>1414</v>
      </c>
      <c r="AN12" s="41">
        <f>'Demand - BTX'!T3</f>
        <v>2386335.504290435</v>
      </c>
      <c r="AO12" s="41">
        <f>AN12*166/(166-64)</f>
        <v>3883644.0560020804</v>
      </c>
    </row>
    <row r="13" spans="1:41" outlineLevel="1">
      <c r="B13" s="1" t="s">
        <v>175</v>
      </c>
      <c r="C13" s="51" t="s">
        <v>166</v>
      </c>
      <c r="D13" s="196">
        <v>0</v>
      </c>
      <c r="E13" s="196">
        <f>E12*('R&amp;S - Transportation'!$B$8*'R&amp;S - Transportation'!$D$19*('Yearly HC Ethylene'!E3-'Yearly HC Ethylene'!$D$3)/10)</f>
        <v>189.72734378087355</v>
      </c>
      <c r="F13" s="196">
        <f>F12*('R&amp;S - Transportation'!$B$8*'R&amp;S - Transportation'!$D$19*('Yearly HC Ethylene'!F3-'Yearly HC Ethylene'!$D$3)/10)</f>
        <v>385.90541725029675</v>
      </c>
      <c r="G13" s="196">
        <f>G12*('R&amp;S - Transportation'!$B$8*'R&amp;S - Transportation'!$D$19*('Yearly HC Ethylene'!G3-'Yearly HC Ethylene'!$D$3)/10)</f>
        <v>588.6987140153276</v>
      </c>
      <c r="H13" s="196">
        <f>H12*('R&amp;S - Transportation'!$B$8*'R&amp;S - Transportation'!$D$19*('Yearly HC Ethylene'!H3-'Yearly HC Ethylene'!$D$3)/10)</f>
        <v>798.27545620478429</v>
      </c>
      <c r="I13" s="196">
        <f>I12*('R&amp;S - Transportation'!$B$8*'R&amp;S - Transportation'!$D$19*('Yearly HC Ethylene'!I3-'Yearly HC Ethylene'!$D$3)/10)</f>
        <v>1014.8076737003319</v>
      </c>
      <c r="J13" s="196">
        <f>J12*('R&amp;S - Transportation'!$B$8*'R&amp;S - Transportation'!$D$19*('Yearly HC Ethylene'!J3-'Yearly HC Ethylene'!$D$3)/10)</f>
        <v>1238.471284983885</v>
      </c>
      <c r="K13" s="196">
        <f>K12*('R&amp;S - Transportation'!$B$8*'R&amp;S - Transportation'!$D$19*('Yearly HC Ethylene'!K3-'Yearly HC Ethylene'!$D$3)/10)</f>
        <v>1469.4461796333794</v>
      </c>
      <c r="L13" s="196">
        <f>L12*('R&amp;S - Transportation'!$B$8*'R&amp;S - Transportation'!$D$19*('Yearly HC Ethylene'!L3-'Yearly HC Ethylene'!$D$3)/10)</f>
        <v>1707.9163024995964</v>
      </c>
      <c r="M13" s="196">
        <f>M12*('R&amp;S - Transportation'!$B$8*'R&amp;S - Transportation'!$D$19*('Yearly HC Ethylene'!M3-'Yearly HC Ethylene'!$D$3)/10)</f>
        <v>1954.0697395973507</v>
      </c>
      <c r="N13" s="196">
        <f>N12*('R&amp;S - Transportation'!$B$8*'R&amp;S - Transportation'!$D$19*('Yearly HC Ethylene'!N3-'Yearly HC Ethylene'!$D$3)/10)</f>
        <v>2208.0988057450058</v>
      </c>
      <c r="O13" s="196">
        <f>O12*('R&amp;S - Transportation'!$B$8*('R&amp;S - Transportation'!$D$19+('R&amp;S - Transportation'!$D$20-'R&amp;S - Transportation'!$D$19)*('Yearly HC Ethylene'!O3-'Yearly HC Ethylene'!$N$3)/10))</f>
        <v>2807.0456068033382</v>
      </c>
      <c r="P13" s="196">
        <f>P12*('R&amp;S - Transportation'!$B$8*('R&amp;S - Transportation'!$D$19+('R&amp;S - Transportation'!$D$20-'R&amp;S - Transportation'!$D$19)*('Yearly HC Ethylene'!P3-'Yearly HC Ethylene'!$N$3)/10))</f>
        <v>3425.7184585427931</v>
      </c>
      <c r="Q13" s="196">
        <f>Q12*('R&amp;S - Transportation'!$B$8*('R&amp;S - Transportation'!$D$19+('R&amp;S - Transportation'!$D$20-'R&amp;S - Transportation'!$D$19)*('Yearly HC Ethylene'!Q3-'Yearly HC Ethylene'!$N$3)/10))</f>
        <v>4064.614951061023</v>
      </c>
      <c r="R13" s="196">
        <f>R12*('R&amp;S - Transportation'!$B$8*('R&amp;S - Transportation'!$D$19+('R&amp;S - Transportation'!$D$20-'R&amp;S - Transportation'!$D$19)*('Yearly HC Ethylene'!R3-'Yearly HC Ethylene'!$N$3)/10))</f>
        <v>4724.2438916903557</v>
      </c>
      <c r="S13" s="196">
        <f>S12*('R&amp;S - Transportation'!$B$8*('R&amp;S - Transportation'!$D$19+('R&amp;S - Transportation'!$D$20-'R&amp;S - Transportation'!$D$19)*('Yearly HC Ethylene'!S3-'Yearly HC Ethylene'!$N$3)/10))</f>
        <v>5405.1255425802265</v>
      </c>
      <c r="T13" s="196">
        <f>T12*('R&amp;S - Transportation'!$B$8*('R&amp;S - Transportation'!$D$19+('R&amp;S - Transportation'!$D$20-'R&amp;S - Transportation'!$D$19)*('Yearly HC Ethylene'!T3-'Yearly HC Ethylene'!$N$3)/10))</f>
        <v>6107.7918631156554</v>
      </c>
      <c r="U13" s="196">
        <f>U12*('R&amp;S - Transportation'!$B$8*('R&amp;S - Transportation'!$D$19+('R&amp;S - Transportation'!$D$20-'R&amp;S - Transportation'!$D$19)*('Yearly HC Ethylene'!U3-'Yearly HC Ethylene'!$N$3)/10))</f>
        <v>6832.7867572674841</v>
      </c>
      <c r="V13" s="196">
        <f>V12*('R&amp;S - Transportation'!$B$8*('R&amp;S - Transportation'!$D$19+('R&amp;S - Transportation'!$D$20-'R&amp;S - Transportation'!$D$19)*('Yearly HC Ethylene'!V3-'Yearly HC Ethylene'!$N$3)/10))</f>
        <v>7580.6663259720326</v>
      </c>
      <c r="W13" s="196">
        <f>W12*('R&amp;S - Transportation'!$B$8*('R&amp;S - Transportation'!$D$19+('R&amp;S - Transportation'!$D$20-'R&amp;S - Transportation'!$D$19)*('Yearly HC Ethylene'!W3-'Yearly HC Ethylene'!$N$3)/10))</f>
        <v>8351.9991246396839</v>
      </c>
      <c r="X13" s="196">
        <f>X12*('R&amp;S - Transportation'!$B$8*('R&amp;S - Transportation'!$D$19+('R&amp;S - Transportation'!$D$20-'R&amp;S - Transportation'!$D$19)*('Yearly HC Ethylene'!X3-'Yearly HC Ethylene'!$N$3)/10))</f>
        <v>9147.3664258938334</v>
      </c>
      <c r="Y13" s="196">
        <f>Y12*('R&amp;S - Transportation'!$B$8*('R&amp;S - Transportation'!$D$20+('R&amp;S - Transportation'!$D$21-'R&amp;S - Transportation'!$D$20)*('Yearly HC Ethylene'!Y3-'Yearly HC Ethylene'!$X$3)/10))</f>
        <v>9701.5661546397714</v>
      </c>
      <c r="Z13" s="196">
        <f>Z12*('R&amp;S - Transportation'!$B$8*('R&amp;S - Transportation'!$D$20+('R&amp;S - Transportation'!$D$21-'R&amp;S - Transportation'!$D$20)*('Yearly HC Ethylene'!Z3-'Yearly HC Ethylene'!$X$3)/10))</f>
        <v>10271.965085265989</v>
      </c>
      <c r="AA13" s="196">
        <f>AA12*('R&amp;S - Transportation'!$B$8*('R&amp;S - Transportation'!$D$20+('R&amp;S - Transportation'!$D$21-'R&amp;S - Transportation'!$D$20)*('Yearly HC Ethylene'!AA3-'Yearly HC Ethylene'!$X$3)/10))</f>
        <v>10858.953826914805</v>
      </c>
      <c r="AB13" s="196">
        <f>AB12*('R&amp;S - Transportation'!$B$8*('R&amp;S - Transportation'!$D$20+('R&amp;S - Transportation'!$D$21-'R&amp;S - Transportation'!$D$20)*('Yearly HC Ethylene'!AB3-'Yearly HC Ethylene'!$X$3)/10))</f>
        <v>11462.931587870042</v>
      </c>
      <c r="AC13" s="196">
        <f>AC12*('R&amp;S - Transportation'!$B$8*('R&amp;S - Transportation'!$D$20+('R&amp;S - Transportation'!$D$21-'R&amp;S - Transportation'!$D$20)*('Yearly HC Ethylene'!AC3-'Yearly HC Ethylene'!$X$3)/10))</f>
        <v>12084.306355041776</v>
      </c>
      <c r="AD13" s="196">
        <f>AD12*('R&amp;S - Transportation'!$B$8*('R&amp;S - Transportation'!$D$20+('R&amp;S - Transportation'!$D$21-'R&amp;S - Transportation'!$D$20)*('Yearly HC Ethylene'!AD3-'Yearly HC Ethylene'!$X$3)/10))</f>
        <v>12723.495077068457</v>
      </c>
      <c r="AE13" s="196">
        <f>AE12*('R&amp;S - Transportation'!$B$8*('R&amp;S - Transportation'!$D$20+('R&amp;S - Transportation'!$D$21-'R&amp;S - Transportation'!$D$20)*('Yearly HC Ethylene'!AE3-'Yearly HC Ethylene'!$X$3)/10))</f>
        <v>13380.923851107436</v>
      </c>
      <c r="AF13" s="196">
        <f>AF12*('R&amp;S - Transportation'!$B$8*('R&amp;S - Transportation'!$D$20+('R&amp;S - Transportation'!$D$21-'R&amp;S - Transportation'!$D$20)*('Yearly HC Ethylene'!AF3-'Yearly HC Ethylene'!$X$3)/10))</f>
        <v>14057.028113386468</v>
      </c>
      <c r="AG13" s="196">
        <f>AG12*('R&amp;S - Transportation'!$B$8*('R&amp;S - Transportation'!$D$20+('R&amp;S - Transportation'!$D$21-'R&amp;S - Transportation'!$D$20)*('Yearly HC Ethylene'!AG3-'Yearly HC Ethylene'!$X$3)/10))</f>
        <v>14752.252833590017</v>
      </c>
      <c r="AH13" s="196">
        <f>AH12*('R&amp;S - Transportation'!$B$8*('R&amp;S - Transportation'!$D$20+('R&amp;S - Transportation'!$D$21-'R&amp;S - Transportation'!$D$20)*('Yearly HC Ethylene'!AH3-'Yearly HC Ethylene'!$X$3)/10))</f>
        <v>15467.052713155717</v>
      </c>
      <c r="AJ13" s="40"/>
    </row>
    <row r="14" spans="1:41" outlineLevel="1">
      <c r="B14" s="1" t="s">
        <v>176</v>
      </c>
      <c r="C14" s="51" t="s">
        <v>166</v>
      </c>
      <c r="D14" s="196">
        <f>SUM(D12:D13)</f>
        <v>93277.946794923075</v>
      </c>
      <c r="E14" s="196">
        <f t="shared" ref="E14:AH14" si="3">SUM(E12:E13)</f>
        <v>95053.399234217635</v>
      </c>
      <c r="F14" s="196">
        <f>SUM(F12:F13)</f>
        <v>96862.259729824465</v>
      </c>
      <c r="G14" s="196">
        <f t="shared" si="3"/>
        <v>98705.151049903245</v>
      </c>
      <c r="H14" s="196">
        <f>SUM(H12:H13)</f>
        <v>100582.70748180279</v>
      </c>
      <c r="I14" s="196">
        <f t="shared" si="3"/>
        <v>102495.57504373349</v>
      </c>
      <c r="J14" s="196">
        <f t="shared" si="3"/>
        <v>104444.41170030761</v>
      </c>
      <c r="K14" s="196">
        <f t="shared" si="3"/>
        <v>106429.8875820176</v>
      </c>
      <c r="L14" s="196">
        <f t="shared" si="3"/>
        <v>108452.68520872435</v>
      </c>
      <c r="M14" s="196">
        <f t="shared" si="3"/>
        <v>110513.49971722791</v>
      </c>
      <c r="N14" s="196">
        <f>SUM(N12:N13)</f>
        <v>112613.03909299527</v>
      </c>
      <c r="O14" s="196">
        <f t="shared" si="3"/>
        <v>115088.86987893685</v>
      </c>
      <c r="P14" s="196">
        <f t="shared" si="3"/>
        <v>117616.33374330256</v>
      </c>
      <c r="Q14" s="196">
        <f t="shared" si="3"/>
        <v>120196.4706956617</v>
      </c>
      <c r="R14" s="196">
        <f t="shared" si="3"/>
        <v>122830.34118394923</v>
      </c>
      <c r="S14" s="196">
        <f t="shared" si="3"/>
        <v>125519.02648880749</v>
      </c>
      <c r="T14" s="196">
        <f t="shared" si="3"/>
        <v>128263.62912542876</v>
      </c>
      <c r="U14" s="196">
        <f t="shared" si="3"/>
        <v>131065.27325303991</v>
      </c>
      <c r="V14" s="196">
        <f t="shared" si="3"/>
        <v>133925.10509217257</v>
      </c>
      <c r="W14" s="196">
        <f t="shared" si="3"/>
        <v>136844.29334986562</v>
      </c>
      <c r="X14" s="196">
        <f t="shared" si="3"/>
        <v>139824.02965294861</v>
      </c>
      <c r="Y14" s="196">
        <f t="shared" si="3"/>
        <v>142599.73265655444</v>
      </c>
      <c r="Z14" s="196">
        <f t="shared" si="3"/>
        <v>145429.40041771319</v>
      </c>
      <c r="AA14" s="196">
        <f t="shared" si="3"/>
        <v>148314.06556001361</v>
      </c>
      <c r="AB14" s="196">
        <f t="shared" si="3"/>
        <v>151254.78022043151</v>
      </c>
      <c r="AC14" s="196">
        <f t="shared" si="3"/>
        <v>154252.61641435677</v>
      </c>
      <c r="AD14" s="196">
        <f t="shared" si="3"/>
        <v>157308.66640739181</v>
      </c>
      <c r="AE14" s="196">
        <f t="shared" si="3"/>
        <v>160424.0430940463</v>
      </c>
      <c r="AF14" s="196">
        <f t="shared" si="3"/>
        <v>163599.88038345528</v>
      </c>
      <c r="AG14" s="196">
        <f t="shared" si="3"/>
        <v>166837.33359224998</v>
      </c>
      <c r="AH14" s="196">
        <f t="shared" si="3"/>
        <v>170137.57984471289</v>
      </c>
      <c r="AJ14" s="40"/>
    </row>
    <row r="15" spans="1:41" outlineLevel="1">
      <c r="B15" s="58" t="s">
        <v>134</v>
      </c>
      <c r="C15" s="51" t="s">
        <v>166</v>
      </c>
      <c r="D15" s="196">
        <v>0</v>
      </c>
      <c r="E15" s="196">
        <f>E14*'R&amp;S - Transportation'!$B$15*('R&amp;S - Transportation'!$B$10*'R&amp;S - Transportation'!$B$19*('Yearly HC Ethylene'!E$3-'Yearly HC Ethylene'!$D$3)/10)</f>
        <v>313.67621747291821</v>
      </c>
      <c r="F15" s="196">
        <f>F14*'R&amp;S - Transportation'!$B$15*('R&amp;S - Transportation'!$B$10*'R&amp;S - Transportation'!$B$19*('Yearly HC Ethylene'!F$3-'Yearly HC Ethylene'!$D$3)/10)</f>
        <v>639.29091421684143</v>
      </c>
      <c r="G15" s="196">
        <f>G14*'R&amp;S - Transportation'!$B$15*('R&amp;S - Transportation'!$B$10*'R&amp;S - Transportation'!$B$19*('Yearly HC Ethylene'!G$3-'Yearly HC Ethylene'!$D$3)/10)</f>
        <v>977.18099539404216</v>
      </c>
      <c r="H15" s="196">
        <f>H14*'R&amp;S - Transportation'!$B$15*('R&amp;S - Transportation'!$B$10*'R&amp;S - Transportation'!$B$19*('Yearly HC Ethylene'!H$3-'Yearly HC Ethylene'!$D$3)/10)</f>
        <v>1327.6917387597969</v>
      </c>
      <c r="I15" s="196">
        <f>I14*'R&amp;S - Transportation'!$B$15*('R&amp;S - Transportation'!$B$10*'R&amp;S - Transportation'!$B$19*('Yearly HC Ethylene'!I$3-'Yearly HC Ethylene'!$D$3)/10)</f>
        <v>1691.1769882216026</v>
      </c>
      <c r="J15" s="196">
        <f>J14*'R&amp;S - Transportation'!$B$15*('R&amp;S - Transportation'!$B$10*'R&amp;S - Transportation'!$B$19*('Yearly HC Ethylene'!J$3-'Yearly HC Ethylene'!$D$3)/10)</f>
        <v>2067.9993516660907</v>
      </c>
      <c r="K15" s="196">
        <f>K14*'R&amp;S - Transportation'!$B$15*('R&amp;S - Transportation'!$B$10*'R&amp;S - Transportation'!$B$19*('Yearly HC Ethylene'!K$3-'Yearly HC Ethylene'!$D$3)/10)</f>
        <v>2458.5304031446067</v>
      </c>
      <c r="L15" s="196">
        <f>L14*'R&amp;S - Transportation'!$B$15*('R&amp;S - Transportation'!$B$10*'R&amp;S - Transportation'!$B$19*('Yearly HC Ethylene'!L$3-'Yearly HC Ethylene'!$D$3)/10)</f>
        <v>2863.1508895103229</v>
      </c>
      <c r="M15" s="196">
        <f>M14*'R&amp;S - Transportation'!$B$15*('R&amp;S - Transportation'!$B$10*'R&amp;S - Transportation'!$B$19*('Yearly HC Ethylene'!M$3-'Yearly HC Ethylene'!$D$3)/10)</f>
        <v>3282.2509416016696</v>
      </c>
      <c r="N15" s="196">
        <f>N14*'R&amp;S - Transportation'!$B$15*('R&amp;S - Transportation'!$B$10*'R&amp;S - Transportation'!$B$19*('Yearly HC Ethylene'!N$3-'Yearly HC Ethylene'!$D$3)/10)</f>
        <v>3716.2302900688442</v>
      </c>
      <c r="O15" s="196">
        <f>O14*'R&amp;S - Transportation'!$B$15*('R&amp;S - Transportation'!$B$10*('R&amp;S - Transportation'!$B$19+('R&amp;S - Transportation'!$B$20-'R&amp;S - Transportation'!$B$19)*('Yearly HC Ethylene'!O3-'Yearly HC Ethylene'!$N$3)/10))</f>
        <v>4937.312517806391</v>
      </c>
      <c r="P15" s="196">
        <f>P14*'R&amp;S - Transportation'!$B$15*('R&amp;S - Transportation'!$B$10*('R&amp;S - Transportation'!$B$19+('R&amp;S - Transportation'!$B$20-'R&amp;S - Transportation'!$B$19)*('Yearly HC Ethylene'!P3-'Yearly HC Ethylene'!$N$3)/10))</f>
        <v>6210.1424216463765</v>
      </c>
      <c r="Q15" s="196">
        <f>Q14*'R&amp;S - Transportation'!$B$15*('R&amp;S - Transportation'!$B$10*('R&amp;S - Transportation'!$B$19+('R&amp;S - Transportation'!$B$20-'R&amp;S - Transportation'!$B$19)*('Yearly HC Ethylene'!Q3-'Yearly HC Ethylene'!$N$3)/10))</f>
        <v>7536.3187126179891</v>
      </c>
      <c r="R15" s="196">
        <f>R14*'R&amp;S - Transportation'!$B$15*('R&amp;S - Transportation'!$B$10*('R&amp;S - Transportation'!$B$19+('R&amp;S - Transportation'!$B$20-'R&amp;S - Transportation'!$B$19)*('Yearly HC Ethylene'!R3-'Yearly HC Ethylene'!$N$3)/10))</f>
        <v>8917.482769954715</v>
      </c>
      <c r="S15" s="196">
        <f>S14*'R&amp;S - Transportation'!$B$15*('R&amp;S - Transportation'!$B$10*('R&amp;S - Transportation'!$B$19+('R&amp;S - Transportation'!$B$20-'R&amp;S - Transportation'!$B$19)*('Yearly HC Ethylene'!S3-'Yearly HC Ethylene'!$N$3)/10))</f>
        <v>10355.319685326618</v>
      </c>
      <c r="T15" s="196">
        <f>T14*'R&amp;S - Transportation'!$B$15*('R&amp;S - Transportation'!$B$10*('R&amp;S - Transportation'!$B$19+('R&amp;S - Transportation'!$B$20-'R&amp;S - Transportation'!$B$19)*('Yearly HC Ethylene'!T3-'Yearly HC Ethylene'!$N$3)/10))</f>
        <v>11851.559331189619</v>
      </c>
      <c r="U15" s="196">
        <f>U14*'R&amp;S - Transportation'!$B$15*('R&amp;S - Transportation'!$B$10*('R&amp;S - Transportation'!$B$19+('R&amp;S - Transportation'!$B$20-'R&amp;S - Transportation'!$B$19)*('Yearly HC Ethylene'!U3-'Yearly HC Ethylene'!$N$3)/10))</f>
        <v>13407.977453785985</v>
      </c>
      <c r="V15" s="196">
        <f>V14*'R&amp;S - Transportation'!$B$15*('R&amp;S - Transportation'!$B$10*('R&amp;S - Transportation'!$B$19+('R&amp;S - Transportation'!$B$20-'R&amp;S - Transportation'!$B$19)*('Yearly HC Ethylene'!V3-'Yearly HC Ethylene'!$N$3)/10))</f>
        <v>15026.396791341767</v>
      </c>
      <c r="W15" s="196">
        <f>W14*'R&amp;S - Transportation'!$B$15*('R&amp;S - Transportation'!$B$10*('R&amp;S - Transportation'!$B$19+('R&amp;S - Transportation'!$B$20-'R&amp;S - Transportation'!$B$19)*('Yearly HC Ethylene'!W3-'Yearly HC Ethylene'!$N$3)/10))</f>
        <v>16708.688218018593</v>
      </c>
      <c r="X15" s="196">
        <f>X14*'R&amp;S - Transportation'!$B$15*('R&amp;S - Transportation'!$B$10*('R&amp;S - Transportation'!$B$19+('R&amp;S - Transportation'!$B$20-'R&amp;S - Transportation'!$B$19)*('Yearly HC Ethylene'!X3-'Yearly HC Ethylene'!$N$3)/10))</f>
        <v>18456.771914189216</v>
      </c>
      <c r="Y15" s="196">
        <f>Y14*'R&amp;S - Transportation'!$B$15*('R&amp;S - Transportation'!$B$10*('R&amp;S - Transportation'!$B$20+('R&amp;S - Transportation'!$B$21-'R&amp;S - Transportation'!$B$20)*('Yearly HC Ethylene'!Y3-'Yearly HC Ethylene'!$X$3)/10))</f>
        <v>21646.639417264967</v>
      </c>
      <c r="Z15" s="196">
        <f>Z14*'R&amp;S - Transportation'!$B$15*('R&amp;S - Transportation'!$B$10*('R&amp;S - Transportation'!$B$20+('R&amp;S - Transportation'!$B$21-'R&amp;S - Transportation'!$B$20)*('Yearly HC Ethylene'!Z3-'Yearly HC Ethylene'!$X$3)/10))</f>
        <v>24955.685111679584</v>
      </c>
      <c r="AA15" s="196">
        <f>AA14*'R&amp;S - Transportation'!$B$15*('R&amp;S - Transportation'!$B$10*('R&amp;S - Transportation'!$B$20+('R&amp;S - Transportation'!$B$21-'R&amp;S - Transportation'!$B$20)*('Yearly HC Ethylene'!AA3-'Yearly HC Ethylene'!$X$3)/10))</f>
        <v>28387.312148186611</v>
      </c>
      <c r="AB15" s="196">
        <f>AB14*'R&amp;S - Transportation'!$B$15*('R&amp;S - Transportation'!$B$10*('R&amp;S - Transportation'!$B$20+('R&amp;S - Transportation'!$B$21-'R&amp;S - Transportation'!$B$20)*('Yearly HC Ethylene'!AB3-'Yearly HC Ethylene'!$X$3)/10))</f>
        <v>31945.00958255514</v>
      </c>
      <c r="AC15" s="196">
        <f>AC14*'R&amp;S - Transportation'!$B$15*('R&amp;S - Transportation'!$B$10*('R&amp;S - Transportation'!$B$20+('R&amp;S - Transportation'!$B$21-'R&amp;S - Transportation'!$B$20)*('Yearly HC Ethylene'!AC3-'Yearly HC Ethylene'!$X$3)/10))</f>
        <v>35632.354391716413</v>
      </c>
      <c r="AD15" s="196">
        <f>AD14*'R&amp;S - Transportation'!$B$15*('R&amp;S - Transportation'!$B$10*('R&amp;S - Transportation'!$B$20+('R&amp;S - Transportation'!$B$21-'R&amp;S - Transportation'!$B$20)*('Yearly HC Ethylene'!AD3-'Yearly HC Ethylene'!$X$3)/10))</f>
        <v>39453.01353497387</v>
      </c>
      <c r="AE15" s="196">
        <f>AE14*'R&amp;S - Transportation'!$B$15*('R&amp;S - Transportation'!$B$10*('R&amp;S - Transportation'!$B$20+('R&amp;S - Transportation'!$B$21-'R&amp;S - Transportation'!$B$20)*('Yearly HC Ethylene'!AE3-'Yearly HC Ethylene'!$X$3)/10))</f>
        <v>43410.74606124893</v>
      </c>
      <c r="AF15" s="196">
        <f>AF14*'R&amp;S - Transportation'!$B$15*('R&amp;S - Transportation'!$B$10*('R&amp;S - Transportation'!$B$20+('R&amp;S - Transportation'!$B$21-'R&amp;S - Transportation'!$B$20)*('Yearly HC Ethylene'!AF3-'Yearly HC Ethylene'!$X$3)/10))</f>
        <v>47509.405263355409</v>
      </c>
      <c r="AG15" s="196">
        <f>AG14*'R&amp;S - Transportation'!$B$15*('R&amp;S - Transportation'!$B$10*('R&amp;S - Transportation'!$B$20+('R&amp;S - Transportation'!$B$21-'R&amp;S - Transportation'!$B$20)*('Yearly HC Ethylene'!AG3-'Yearly HC Ethylene'!$X$3)/10))</f>
        <v>51752.940880315939</v>
      </c>
      <c r="AH15" s="196">
        <f>AH14*'R&amp;S - Transportation'!$B$15*('R&amp;S - Transportation'!$B$10*('R&amp;S - Transportation'!$B$20+('R&amp;S - Transportation'!$B$21-'R&amp;S - Transportation'!$B$20)*('Yearly HC Ethylene'!AH3-'Yearly HC Ethylene'!$X$3)/10))</f>
        <v>56145.401348755258</v>
      </c>
      <c r="AM15" t="s">
        <v>1412</v>
      </c>
      <c r="AN15">
        <v>2020</v>
      </c>
    </row>
    <row r="16" spans="1:41" outlineLevel="1">
      <c r="B16" s="58" t="s">
        <v>177</v>
      </c>
      <c r="C16" s="51" t="s">
        <v>166</v>
      </c>
      <c r="D16" s="196">
        <v>0</v>
      </c>
      <c r="E16" s="196">
        <f>(E14-E15)*'R&amp;S - Transportation'!$B$15*('R&amp;S - Transportation'!$B$11*'R&amp;S - Transportation'!$B$19*('Yearly HC Ethylene'!E$3-'Yearly HC Ethylene'!$D$3)/10)</f>
        <v>198.95341833516392</v>
      </c>
      <c r="F16" s="196">
        <f>(F14-F15)*'R&amp;S - Transportation'!$B$15*('R&amp;S - Transportation'!$B$11*'R&amp;S - Transportation'!$B$19*('Yearly HC Ethylene'!F$3-'Yearly HC Ethylene'!$D$3)/10)</f>
        <v>404.13646902555212</v>
      </c>
      <c r="G16" s="196">
        <f>(G14-G15)*'R&amp;S - Transportation'!$B$15*('R&amp;S - Transportation'!$B$11*'R&amp;S - Transportation'!$B$19*('Yearly HC Ethylene'!G$3-'Yearly HC Ethylene'!$D$3)/10)</f>
        <v>615.68621134340799</v>
      </c>
      <c r="H16" s="196">
        <f>(H14-H15)*'R&amp;S - Transportation'!$B$15*('R&amp;S - Transportation'!$B$11*'R&amp;S - Transportation'!$B$19*('Yearly HC Ethylene'!H$3-'Yearly HC Ethylene'!$D$3)/10)</f>
        <v>833.74213224156131</v>
      </c>
      <c r="I16" s="196">
        <f>(I14-I15)*'R&amp;S - Transportation'!$B$15*('R&amp;S - Transportation'!$B$11*'R&amp;S - Transportation'!$B$19*('Yearly HC Ethylene'!I$3-'Yearly HC Ethylene'!$D$3)/10)</f>
        <v>1058.4461795828749</v>
      </c>
      <c r="J16" s="196">
        <f>(J14-J15)*'R&amp;S - Transportation'!$B$15*('R&amp;S - Transportation'!$B$11*'R&amp;S - Transportation'!$B$19*('Yearly HC Ethylene'!J$3-'Yearly HC Ethylene'!$D$3)/10)</f>
        <v>1289.9427955928832</v>
      </c>
      <c r="K16" s="196">
        <f>(K14-K15)*'R&amp;S - Transportation'!$B$15*('R&amp;S - Transportation'!$B$11*'R&amp;S - Transportation'!$B$19*('Yearly HC Ethylene'!K$3-'Yearly HC Ethylene'!$D$3)/10)</f>
        <v>1528.3789505294333</v>
      </c>
      <c r="L16" s="196">
        <f>(L14-L15)*'R&amp;S - Transportation'!$B$15*('R&amp;S - Transportation'!$B$11*'R&amp;S - Transportation'!$B$19*('Yearly HC Ethylene'!L$3-'Yearly HC Ethylene'!$D$3)/10)</f>
        <v>1773.904176562796</v>
      </c>
      <c r="M16" s="196">
        <f>(M14-M15)*'R&amp;S - Transportation'!$B$15*('R&amp;S - Transportation'!$B$11*'R&amp;S - Transportation'!$B$19*('Yearly HC Ethylene'!M$3-'Yearly HC Ethylene'!$D$3)/10)</f>
        <v>2026.6706018593359</v>
      </c>
      <c r="N16" s="196">
        <f>(N14-N15)*'R&amp;S - Transportation'!$B$15*('R&amp;S - Transportation'!$B$11*'R&amp;S - Transportation'!$B$19*('Yearly HC Ethylene'!N$3-'Yearly HC Ethylene'!$D$3)/10)</f>
        <v>2286.8329848614553</v>
      </c>
      <c r="O16" s="196">
        <f>(O14-O15)*'R&amp;S - Transportation'!$B$15*('R&amp;S - Transportation'!$B$11*('R&amp;S - Transportation'!$B$19+('R&amp;S - Transportation'!$B$20-'R&amp;S - Transportation'!$B$19)*('Yearly HC Ethylene'!O$3-'Yearly HC Ethylene'!$N$3)/10))</f>
        <v>3007.1375159588615</v>
      </c>
      <c r="P16" s="196">
        <f>(P14-P15)*'R&amp;S - Transportation'!$B$15*('R&amp;S - Transportation'!$B$11*('R&amp;S - Transportation'!$B$19+('R&amp;S - Transportation'!$B$20-'R&amp;S - Transportation'!$B$19)*('Yearly HC Ethylene'!P$3-'Yearly HC Ethylene'!$N$3)/10))</f>
        <v>3743.2480284076482</v>
      </c>
      <c r="Q16" s="196">
        <f>(Q14-Q15)*'R&amp;S - Transportation'!$B$15*('R&amp;S - Transportation'!$B$11*('R&amp;S - Transportation'!$B$19+('R&amp;S - Transportation'!$B$20-'R&amp;S - Transportation'!$B$19)*('Yearly HC Ethylene'!Q$3-'Yearly HC Ethylene'!$N$3)/10))</f>
        <v>4495.1400641234441</v>
      </c>
      <c r="R16" s="196">
        <f>(R14-R15)*'R&amp;S - Transportation'!$B$15*('R&amp;S - Transportation'!$B$11*('R&amp;S - Transportation'!$B$19+('R&amp;S - Transportation'!$B$20-'R&amp;S - Transportation'!$B$19)*('Yearly HC Ethylene'!R$3-'Yearly HC Ethylene'!$N$3)/10))</f>
        <v>5262.7740587265471</v>
      </c>
      <c r="S16" s="196">
        <f>(S14-S15)*'R&amp;S - Transportation'!$B$15*('R&amp;S - Transportation'!$B$11*('R&amp;S - Transportation'!$B$19+('R&amp;S - Transportation'!$B$20-'R&amp;S - Transportation'!$B$19)*('Yearly HC Ethylene'!S$3-'Yearly HC Ethylene'!$N$3)/10))</f>
        <v>6046.0946071827457</v>
      </c>
      <c r="T16" s="196">
        <f>(T14-T15)*'R&amp;S - Transportation'!$B$15*('R&amp;S - Transportation'!$B$11*('R&amp;S - Transportation'!$B$19+('R&amp;S - Transportation'!$B$20-'R&amp;S - Transportation'!$B$19)*('Yearly HC Ethylene'!T$3-'Yearly HC Ethylene'!$N$3)/10))</f>
        <v>6845.0297039012621</v>
      </c>
      <c r="U16" s="196">
        <f>(U14-U15)*'R&amp;S - Transportation'!$B$15*('R&amp;S - Transportation'!$B$11*('R&amp;S - Transportation'!$B$19+('R&amp;S - Transportation'!$B$20-'R&amp;S - Transportation'!$B$19)*('Yearly HC Ethylene'!U$3-'Yearly HC Ethylene'!$N$3)/10))</f>
        <v>7659.4899565314308</v>
      </c>
      <c r="V16" s="196">
        <f>(V14-V15)*'R&amp;S - Transportation'!$B$15*('R&amp;S - Transportation'!$B$11*('R&amp;S - Transportation'!$B$19+('R&amp;S - Transportation'!$B$20-'R&amp;S - Transportation'!$B$19)*('Yearly HC Ethylene'!V$3-'Yearly HC Ethylene'!$N$3)/10))</f>
        <v>8489.3677726793212</v>
      </c>
      <c r="W16" s="196">
        <f>(W14-W15)*'R&amp;S - Transportation'!$B$15*('R&amp;S - Transportation'!$B$11*('R&amp;S - Transportation'!$B$19+('R&amp;S - Transportation'!$B$20-'R&amp;S - Transportation'!$B$19)*('Yearly HC Ethylene'!W$3-'Yearly HC Ethylene'!$N$3)/10))</f>
        <v>9334.5365187445132</v>
      </c>
      <c r="X16" s="196">
        <f>(X14-X15)*'R&amp;S - Transportation'!$B$15*('R&amp;S - Transportation'!$B$11*('R&amp;S - Transportation'!$B$19+('R&amp;S - Transportation'!$B$20-'R&amp;S - Transportation'!$B$19)*('Yearly HC Ethylene'!X$3-'Yearly HC Ethylene'!$N$3)/10))</f>
        <v>10194.84965005579</v>
      </c>
      <c r="Y16" s="196">
        <f>(Y14-Y15)*'R&amp;S - Transportation'!$B$15*('R&amp;S - Transportation'!$B$11*('R&amp;S - Transportation'!$B$20+('R&amp;S - Transportation'!$B$21-'R&amp;S - Transportation'!$B$20)*('Yearly HC Ethylene'!Y$3-'Yearly HC Ethylene'!$X$3)/10))</f>
        <v>11684.068806915364</v>
      </c>
      <c r="Z16" s="196">
        <f>(Z14-Z15)*'R&amp;S - Transportation'!$B$15*('R&amp;S - Transportation'!$B$11*('R&amp;S - Transportation'!$B$20+('R&amp;S - Transportation'!$B$21-'R&amp;S - Transportation'!$B$20)*('Yearly HC Ethylene'!Z$3-'Yearly HC Ethylene'!$X$3)/10))</f>
        <v>13155.72971141887</v>
      </c>
      <c r="AA16" s="196">
        <f>(AA14-AA15)*'R&amp;S - Transportation'!$B$15*('R&amp;S - Transportation'!$B$11*('R&amp;S - Transportation'!$B$20+('R&amp;S - Transportation'!$B$21-'R&amp;S - Transportation'!$B$20)*('Yearly HC Ethylene'!AA$3-'Yearly HC Ethylene'!$X$3)/10))</f>
        <v>14607.078565560529</v>
      </c>
      <c r="AB16" s="196">
        <f>(AB14-AB15)*'R&amp;S - Transportation'!$B$15*('R&amp;S - Transportation'!$B$11*('R&amp;S - Transportation'!$B$20+('R&amp;S - Transportation'!$B$21-'R&amp;S - Transportation'!$B$20)*('Yearly HC Ethylene'!AB$3-'Yearly HC Ethylene'!$X$3)/10))</f>
        <v>16035.233173730583</v>
      </c>
      <c r="AC16" s="196">
        <f>(AC14-AC15)*'R&amp;S - Transportation'!$B$15*('R&amp;S - Transportation'!$B$11*('R&amp;S - Transportation'!$B$20+('R&amp;S - Transportation'!$B$21-'R&amp;S - Transportation'!$B$20)*('Yearly HC Ethylene'!AC$3-'Yearly HC Ethylene'!$X$3)/10))</f>
        <v>17437.178517328131</v>
      </c>
      <c r="AD16" s="196">
        <f>(AD14-AD15)*'R&amp;S - Transportation'!$B$15*('R&amp;S - Transportation'!$B$11*('R&amp;S - Transportation'!$B$20+('R&amp;S - Transportation'!$B$21-'R&amp;S - Transportation'!$B$20)*('Yearly HC Ethylene'!AD$3-'Yearly HC Ethylene'!$X$3)/10))</f>
        <v>18809.7621984379</v>
      </c>
      <c r="AE16" s="196">
        <f>(AE14-AE15)*'R&amp;S - Transportation'!$B$15*('R&amp;S - Transportation'!$B$11*('R&amp;S - Transportation'!$B$20+('R&amp;S - Transportation'!$B$21-'R&amp;S - Transportation'!$B$20)*('Yearly HC Ethylene'!AE$3-'Yearly HC Ethylene'!$X$3)/10))</f>
        <v>20149.689749047709</v>
      </c>
      <c r="AF16" s="196">
        <f>(AF14-AF15)*'R&amp;S - Transportation'!$B$15*('R&amp;S - Transportation'!$B$11*('R&amp;S - Transportation'!$B$20+('R&amp;S - Transportation'!$B$21-'R&amp;S - Transportation'!$B$20)*('Yearly HC Ethylene'!AF$3-'Yearly HC Ethylene'!$X$3)/10))</f>
        <v>21453.519802194456</v>
      </c>
      <c r="AG16" s="196">
        <f>(AG14-AG15)*'R&amp;S - Transportation'!$B$15*('R&amp;S - Transportation'!$B$11*('R&amp;S - Transportation'!$B$20+('R&amp;S - Transportation'!$B$21-'R&amp;S - Transportation'!$B$20)*('Yearly HC Ethylene'!AG$3-'Yearly HC Ethylene'!$X$3)/10))</f>
        <v>22717.659121335782</v>
      </c>
      <c r="AH16" s="196">
        <f>(AH14-AH15)*'R&amp;S - Transportation'!$B$15*('R&amp;S - Transportation'!$B$11*('R&amp;S - Transportation'!$B$20+('R&amp;S - Transportation'!$B$21-'R&amp;S - Transportation'!$B$20)*('Yearly HC Ethylene'!AH$3-'Yearly HC Ethylene'!$X$3)/10))</f>
        <v>23938.357484151104</v>
      </c>
      <c r="AM16" t="s">
        <v>16</v>
      </c>
      <c r="AN16">
        <v>99.242307692307676</v>
      </c>
    </row>
    <row r="17" spans="1:40" outlineLevel="1">
      <c r="B17" s="1" t="s">
        <v>164</v>
      </c>
      <c r="C17" s="51" t="s">
        <v>166</v>
      </c>
      <c r="D17" s="196">
        <f>SUM(D15:D16)</f>
        <v>0</v>
      </c>
      <c r="E17" s="196">
        <f t="shared" ref="E17:AH17" si="4">SUM(E15:E16)</f>
        <v>512.62963580808218</v>
      </c>
      <c r="F17" s="196">
        <f t="shared" si="4"/>
        <v>1043.4273832423935</v>
      </c>
      <c r="G17" s="196">
        <f t="shared" si="4"/>
        <v>1592.86720673745</v>
      </c>
      <c r="H17" s="196">
        <f t="shared" si="4"/>
        <v>2161.4338710013581</v>
      </c>
      <c r="I17" s="196">
        <f t="shared" si="4"/>
        <v>2749.6231678044778</v>
      </c>
      <c r="J17" s="196">
        <f t="shared" si="4"/>
        <v>3357.9421472589738</v>
      </c>
      <c r="K17" s="196">
        <f t="shared" si="4"/>
        <v>3986.9093536740402</v>
      </c>
      <c r="L17" s="196">
        <f t="shared" si="4"/>
        <v>4637.0550660731187</v>
      </c>
      <c r="M17" s="196">
        <f t="shared" si="4"/>
        <v>5308.9215434610051</v>
      </c>
      <c r="N17" s="196">
        <f>SUM(N15:N16)</f>
        <v>6003.0632749302995</v>
      </c>
      <c r="O17" s="196">
        <f t="shared" si="4"/>
        <v>7944.4500337652526</v>
      </c>
      <c r="P17" s="196">
        <f t="shared" si="4"/>
        <v>9953.3904500540248</v>
      </c>
      <c r="Q17" s="196">
        <f t="shared" si="4"/>
        <v>12031.458776741434</v>
      </c>
      <c r="R17" s="196">
        <f t="shared" si="4"/>
        <v>14180.256828681262</v>
      </c>
      <c r="S17" s="196">
        <f t="shared" si="4"/>
        <v>16401.414292509362</v>
      </c>
      <c r="T17" s="196">
        <f t="shared" si="4"/>
        <v>18696.589035090881</v>
      </c>
      <c r="U17" s="196">
        <f t="shared" si="4"/>
        <v>21067.467410317415</v>
      </c>
      <c r="V17" s="196">
        <f t="shared" si="4"/>
        <v>23515.76456402109</v>
      </c>
      <c r="W17" s="196">
        <f t="shared" si="4"/>
        <v>26043.224736763106</v>
      </c>
      <c r="X17" s="196">
        <f t="shared" si="4"/>
        <v>28651.621564245004</v>
      </c>
      <c r="Y17" s="196">
        <f t="shared" si="4"/>
        <v>33330.708224180329</v>
      </c>
      <c r="Z17" s="196">
        <f t="shared" si="4"/>
        <v>38111.414823098457</v>
      </c>
      <c r="AA17" s="196">
        <f t="shared" si="4"/>
        <v>42994.39071374714</v>
      </c>
      <c r="AB17" s="196">
        <f t="shared" si="4"/>
        <v>47980.242756285719</v>
      </c>
      <c r="AC17" s="196">
        <f t="shared" si="4"/>
        <v>53069.532909044545</v>
      </c>
      <c r="AD17" s="196">
        <f t="shared" si="4"/>
        <v>58262.77573341177</v>
      </c>
      <c r="AE17" s="196">
        <f t="shared" si="4"/>
        <v>63560.435810296636</v>
      </c>
      <c r="AF17" s="196">
        <f t="shared" si="4"/>
        <v>68962.925065549862</v>
      </c>
      <c r="AG17" s="196">
        <f t="shared" si="4"/>
        <v>74470.600001651721</v>
      </c>
      <c r="AH17" s="196">
        <f t="shared" si="4"/>
        <v>80083.758832906358</v>
      </c>
      <c r="AI17" s="41"/>
      <c r="AM17" t="s">
        <v>18</v>
      </c>
      <c r="AN17">
        <v>35.792307692307688</v>
      </c>
    </row>
    <row r="18" spans="1:40" outlineLevel="1">
      <c r="B18" s="1" t="s">
        <v>167</v>
      </c>
      <c r="C18" s="51" t="s">
        <v>166</v>
      </c>
      <c r="D18" s="196">
        <v>0</v>
      </c>
      <c r="E18" s="196">
        <v>0</v>
      </c>
      <c r="F18" s="196">
        <v>0</v>
      </c>
      <c r="G18" s="196">
        <v>0</v>
      </c>
      <c r="H18" s="196">
        <v>0</v>
      </c>
      <c r="I18" s="196">
        <v>0</v>
      </c>
      <c r="J18" s="196">
        <v>0</v>
      </c>
      <c r="K18" s="196">
        <v>0</v>
      </c>
      <c r="L18" s="196">
        <v>0</v>
      </c>
      <c r="M18" s="196">
        <v>0</v>
      </c>
      <c r="N18" s="196">
        <v>0</v>
      </c>
      <c r="O18" s="196">
        <v>0</v>
      </c>
      <c r="P18" s="196">
        <v>0</v>
      </c>
      <c r="Q18" s="196">
        <v>0</v>
      </c>
      <c r="R18" s="196">
        <v>0</v>
      </c>
      <c r="S18" s="196">
        <v>0</v>
      </c>
      <c r="T18" s="196">
        <v>0</v>
      </c>
      <c r="U18" s="196">
        <v>0</v>
      </c>
      <c r="V18" s="196">
        <v>0</v>
      </c>
      <c r="W18" s="196">
        <v>0</v>
      </c>
      <c r="X18" s="196">
        <v>0</v>
      </c>
      <c r="Y18" s="196">
        <v>0</v>
      </c>
      <c r="Z18" s="196">
        <v>0</v>
      </c>
      <c r="AA18" s="196">
        <v>0</v>
      </c>
      <c r="AB18" s="196">
        <v>0</v>
      </c>
      <c r="AC18" s="196">
        <v>0</v>
      </c>
      <c r="AD18" s="196">
        <v>0</v>
      </c>
      <c r="AE18" s="196">
        <v>0</v>
      </c>
      <c r="AF18" s="196">
        <v>0</v>
      </c>
      <c r="AG18" s="196">
        <v>0</v>
      </c>
      <c r="AH18" s="196">
        <v>0</v>
      </c>
      <c r="AM18" t="s">
        <v>684</v>
      </c>
      <c r="AN18">
        <v>58.22060439560439</v>
      </c>
    </row>
    <row r="19" spans="1:40" s="178" customFormat="1">
      <c r="A19" s="178" t="s">
        <v>195</v>
      </c>
      <c r="B19" s="178" t="s">
        <v>78</v>
      </c>
      <c r="C19" s="179" t="s">
        <v>166</v>
      </c>
      <c r="D19" s="640">
        <f>D14-D17-D18</f>
        <v>93277.946794923075</v>
      </c>
      <c r="E19" s="640">
        <f t="shared" ref="E19:AG19" si="5">E14-E17-E18</f>
        <v>94540.769598409548</v>
      </c>
      <c r="F19" s="640">
        <f t="shared" si="5"/>
        <v>95818.832346582072</v>
      </c>
      <c r="G19" s="640">
        <f t="shared" si="5"/>
        <v>97112.283843165787</v>
      </c>
      <c r="H19" s="640">
        <f>H14-H17-H18</f>
        <v>98421.273610801436</v>
      </c>
      <c r="I19" s="640">
        <f t="shared" si="5"/>
        <v>99745.951875929022</v>
      </c>
      <c r="J19" s="640">
        <f t="shared" si="5"/>
        <v>101086.46955304864</v>
      </c>
      <c r="K19" s="640">
        <f t="shared" si="5"/>
        <v>102442.97822834356</v>
      </c>
      <c r="L19" s="640">
        <f t="shared" si="5"/>
        <v>103815.63014265122</v>
      </c>
      <c r="M19" s="640">
        <f t="shared" si="5"/>
        <v>105204.5781737669</v>
      </c>
      <c r="N19" s="640">
        <f>N14-N17-N18</f>
        <v>106609.97581806497</v>
      </c>
      <c r="O19" s="640">
        <f t="shared" si="5"/>
        <v>107144.41984517159</v>
      </c>
      <c r="P19" s="640">
        <f t="shared" si="5"/>
        <v>107662.94329324854</v>
      </c>
      <c r="Q19" s="640">
        <f t="shared" si="5"/>
        <v>108165.01191892027</v>
      </c>
      <c r="R19" s="640">
        <f t="shared" si="5"/>
        <v>108650.08435526797</v>
      </c>
      <c r="S19" s="640">
        <f t="shared" si="5"/>
        <v>109117.61219629813</v>
      </c>
      <c r="T19" s="640">
        <f t="shared" si="5"/>
        <v>109567.04009033789</v>
      </c>
      <c r="U19" s="640">
        <f t="shared" si="5"/>
        <v>109997.80584272249</v>
      </c>
      <c r="V19" s="640">
        <f t="shared" si="5"/>
        <v>110409.34052815149</v>
      </c>
      <c r="W19" s="640">
        <f t="shared" si="5"/>
        <v>110801.06861310251</v>
      </c>
      <c r="X19" s="640">
        <f t="shared" si="5"/>
        <v>111172.40808870361</v>
      </c>
      <c r="Y19" s="640">
        <f t="shared" si="5"/>
        <v>109269.02443237411</v>
      </c>
      <c r="Z19" s="640">
        <f t="shared" si="5"/>
        <v>107317.98559461473</v>
      </c>
      <c r="AA19" s="640">
        <f t="shared" si="5"/>
        <v>105319.67484626647</v>
      </c>
      <c r="AB19" s="640">
        <f t="shared" si="5"/>
        <v>103274.53746414579</v>
      </c>
      <c r="AC19" s="640">
        <f t="shared" si="5"/>
        <v>101183.08350531223</v>
      </c>
      <c r="AD19" s="640">
        <f t="shared" si="5"/>
        <v>99045.89067398003</v>
      </c>
      <c r="AE19" s="640">
        <f t="shared" si="5"/>
        <v>96863.607283749661</v>
      </c>
      <c r="AF19" s="640">
        <f t="shared" si="5"/>
        <v>94636.95531790542</v>
      </c>
      <c r="AG19" s="640">
        <f t="shared" si="5"/>
        <v>92366.733590598262</v>
      </c>
      <c r="AH19" s="640">
        <f>AH14-AH17-AH18</f>
        <v>90053.821011806533</v>
      </c>
      <c r="AM19" s="178" t="s">
        <v>10</v>
      </c>
      <c r="AN19" s="178">
        <v>74.98846153846155</v>
      </c>
    </row>
    <row r="20" spans="1:40" s="62" customFormat="1">
      <c r="A20" s="688" t="s">
        <v>685</v>
      </c>
      <c r="B20" s="55" t="s">
        <v>141</v>
      </c>
      <c r="C20" s="56" t="s">
        <v>166</v>
      </c>
      <c r="D20" s="630">
        <f>D19*('Demand - Ethylene'!$C$75)</f>
        <v>7235.252082164473</v>
      </c>
      <c r="E20" s="630">
        <f>E19*('Demand - Ethylene'!$C$75)</f>
        <v>7333.2049384641314</v>
      </c>
      <c r="F20" s="630">
        <f>F19*('Demand - Ethylene'!$C$75)</f>
        <v>7432.3399052766235</v>
      </c>
      <c r="G20" s="630">
        <f>G19*('Demand - Ethylene'!$C$75)</f>
        <v>7532.6685247992118</v>
      </c>
      <c r="H20" s="630">
        <f>H19*('Demand - Ethylene'!$C$75)</f>
        <v>7634.2023949929899</v>
      </c>
      <c r="I20" s="630">
        <f>I19*('Demand - Ethylene'!$C$75)</f>
        <v>7736.9531684103567</v>
      </c>
      <c r="J20" s="630">
        <f>J19*('Demand - Ethylene'!$C$75)</f>
        <v>7840.9325509741875</v>
      </c>
      <c r="K20" s="630">
        <f>K19*('Demand - Ethylene'!$C$75)</f>
        <v>7946.1523007075302</v>
      </c>
      <c r="L20" s="630">
        <f>L19*('Demand - Ethylene'!$C$75)</f>
        <v>8052.6242264127177</v>
      </c>
      <c r="M20" s="630">
        <f>M19*('Demand - Ethylene'!$C$75)</f>
        <v>8160.3601862987362</v>
      </c>
      <c r="N20" s="630">
        <f>N19*('Demand - Ethylene'!$C$75)</f>
        <v>8269.372086555637</v>
      </c>
      <c r="O20" s="630">
        <f>O19*('Demand - Ethylene'!$C$75)</f>
        <v>8310.8270862934096</v>
      </c>
      <c r="P20" s="630">
        <f>P19*('Demand - Ethylene'!$C$75)</f>
        <v>8351.0471810345389</v>
      </c>
      <c r="Q20" s="630">
        <f>Q19*('Demand - Ethylene'!$C$75)</f>
        <v>8389.9909313431435</v>
      </c>
      <c r="R20" s="630">
        <f>R19*('Demand - Ethylene'!$C$75)</f>
        <v>8427.616345234399</v>
      </c>
      <c r="S20" s="630">
        <f>S19*('Demand - Ethylene'!$C$75)</f>
        <v>8463.8808847264645</v>
      </c>
      <c r="T20" s="630">
        <f>T19*('Demand - Ethylene'!$C$75)</f>
        <v>8498.7414730848577</v>
      </c>
      <c r="U20" s="630">
        <f>U19*('Demand - Ethylene'!$C$75)</f>
        <v>8532.15450278756</v>
      </c>
      <c r="V20" s="630">
        <f>V19*('Demand - Ethylene'!$C$75)</f>
        <v>8564.0758442401038</v>
      </c>
      <c r="W20" s="630">
        <f>W19*('Demand - Ethylene'!$C$75)</f>
        <v>8594.4608552707978</v>
      </c>
      <c r="X20" s="630">
        <f>X19*('Demand - Ethylene'!$C$75)</f>
        <v>8623.2643914371729</v>
      </c>
      <c r="Y20" s="630">
        <f>Y19*('Demand - Ethylene'!$C$75)</f>
        <v>8475.625415282464</v>
      </c>
      <c r="Z20" s="630">
        <f>Z19*('Demand - Ethylene'!$C$75)</f>
        <v>8324.2899892967507</v>
      </c>
      <c r="AA20" s="630">
        <f>AA19*('Demand - Ethylene'!$C$75)</f>
        <v>8169.2878424915079</v>
      </c>
      <c r="AB20" s="630">
        <f>AB19*('Demand - Ethylene'!$C$75)</f>
        <v>8010.6535134701653</v>
      </c>
      <c r="AC20" s="630">
        <f>AC19*('Demand - Ethylene'!$C$75)</f>
        <v>7848.4265656185944</v>
      </c>
      <c r="AD20" s="630">
        <f>AD19*('Demand - Ethylene'!$C$75)</f>
        <v>7682.6518094816493</v>
      </c>
      <c r="AE20" s="630">
        <f>AE19*('Demand - Ethylene'!$C$75)</f>
        <v>7513.3795325333685</v>
      </c>
      <c r="AF20" s="630">
        <f>AF19*('Demand - Ethylene'!$C$75)</f>
        <v>7340.6657365538131</v>
      </c>
      <c r="AG20" s="630">
        <f>AG19*('Demand - Ethylene'!$C$75)</f>
        <v>7164.5723828312357</v>
      </c>
      <c r="AH20" s="630">
        <f>AH19*('Demand - Ethylene'!$C$75)</f>
        <v>6985.1676454139442</v>
      </c>
      <c r="AM20" s="62" t="s">
        <v>885</v>
      </c>
      <c r="AN20" s="62">
        <v>13.921499536836064</v>
      </c>
    </row>
    <row r="21" spans="1:40">
      <c r="A21" s="689"/>
      <c r="B21" s="1" t="s">
        <v>18</v>
      </c>
      <c r="C21" s="51" t="s">
        <v>166</v>
      </c>
      <c r="D21" s="196">
        <f>D25/('Demand - Ethylene'!$K$14)</f>
        <v>0</v>
      </c>
      <c r="E21" s="196">
        <f>E25/('Demand - Ethylene'!$K$14)</f>
        <v>0</v>
      </c>
      <c r="F21" s="196">
        <f>F25/('Demand - Ethylene'!$K$14)</f>
        <v>0</v>
      </c>
      <c r="G21" s="196">
        <f>G25/('Demand - Ethylene'!$K$14)</f>
        <v>0</v>
      </c>
      <c r="H21" s="196">
        <f>H25/('Demand - Ethylene'!$K$14)</f>
        <v>0</v>
      </c>
      <c r="I21" s="196">
        <f>I25/('Demand - Ethylene'!$K$14)</f>
        <v>0</v>
      </c>
      <c r="J21" s="196">
        <f>J25/('Demand - Ethylene'!$K$14)</f>
        <v>0</v>
      </c>
      <c r="K21" s="196">
        <f>K25/('Demand - Ethylene'!$K$14)</f>
        <v>0</v>
      </c>
      <c r="L21" s="196">
        <f>L25/('Demand - Ethylene'!$K$14)</f>
        <v>0</v>
      </c>
      <c r="M21" s="196">
        <f>M25/('Demand - Ethylene'!$K$14)</f>
        <v>0</v>
      </c>
      <c r="N21" s="196">
        <f>N25/('Demand - Ethylene'!$K$14)</f>
        <v>0</v>
      </c>
      <c r="O21" s="196">
        <f>O25/('Demand - Ethylene'!$K$14)</f>
        <v>0</v>
      </c>
      <c r="P21" s="196">
        <f>P25/('Demand - Ethylene'!$K$14)</f>
        <v>0</v>
      </c>
      <c r="Q21" s="196">
        <f>Q25/('Demand - Ethylene'!$K$14)</f>
        <v>0</v>
      </c>
      <c r="R21" s="196">
        <f>R25/('Demand - Ethylene'!$K$14)</f>
        <v>0</v>
      </c>
      <c r="S21" s="196">
        <f>S25/('Demand - Ethylene'!$K$14)</f>
        <v>0</v>
      </c>
      <c r="T21" s="196">
        <f>T25/('Demand - Ethylene'!$K$14)</f>
        <v>0</v>
      </c>
      <c r="U21" s="196">
        <f>U25/('Demand - Ethylene'!$K$14)</f>
        <v>0</v>
      </c>
      <c r="V21" s="196">
        <f>V25/('Demand - Ethylene'!$K$14)</f>
        <v>0</v>
      </c>
      <c r="W21" s="196">
        <f>W25/('Demand - Ethylene'!$K$14)</f>
        <v>0</v>
      </c>
      <c r="X21" s="196">
        <f>X25/('Demand - Ethylene'!$K$14)</f>
        <v>0</v>
      </c>
      <c r="Y21" s="196">
        <f>Y25/('Demand - Ethylene'!$K$14)</f>
        <v>0</v>
      </c>
      <c r="Z21" s="196">
        <f>Z25/('Demand - Ethylene'!$K$14)</f>
        <v>0</v>
      </c>
      <c r="AA21" s="196">
        <f>AA25/('Demand - Ethylene'!$K$14)</f>
        <v>0</v>
      </c>
      <c r="AB21" s="196">
        <f>AB25/('Demand - Ethylene'!$K$14)</f>
        <v>0</v>
      </c>
      <c r="AC21" s="196">
        <f>AC25/('Demand - Ethylene'!$K$14)</f>
        <v>0</v>
      </c>
      <c r="AD21" s="196">
        <f>AD25/('Demand - Ethylene'!$K$14)</f>
        <v>0</v>
      </c>
      <c r="AE21" s="196">
        <f>AE25/('Demand - Ethylene'!$K$14)</f>
        <v>0</v>
      </c>
      <c r="AF21" s="196">
        <f>AF25/('Demand - Ethylene'!$K$14)</f>
        <v>0</v>
      </c>
      <c r="AG21" s="196">
        <f>AG25/('Demand - Ethylene'!$K$14)</f>
        <v>0</v>
      </c>
      <c r="AH21" s="196">
        <f>AH25/('Demand - Ethylene'!$K$14)</f>
        <v>0</v>
      </c>
      <c r="AM21" t="s">
        <v>1413</v>
      </c>
      <c r="AN21">
        <v>36.9543956043956</v>
      </c>
    </row>
    <row r="22" spans="1:40">
      <c r="A22" s="689"/>
      <c r="B22" s="1" t="s">
        <v>684</v>
      </c>
      <c r="C22" s="51" t="s">
        <v>166</v>
      </c>
      <c r="D22" s="196">
        <f>D24/('Demand - Ethylene'!$M$14)</f>
        <v>4665.5191424169407</v>
      </c>
      <c r="E22" s="196">
        <f>E24/('Demand - Ethylene'!$M$14)</f>
        <v>4728.6822390071775</v>
      </c>
      <c r="F22" s="196">
        <f>F24/('Demand - Ethylene'!$M$14)</f>
        <v>4792.6075978052068</v>
      </c>
      <c r="G22" s="196">
        <f>G24/('Demand - Ethylene'!$M$14)</f>
        <v>4857.3026615845019</v>
      </c>
      <c r="H22" s="196">
        <f>H24/('Demand - Ethylene'!$M$14)</f>
        <v>4922.7749090768148</v>
      </c>
      <c r="I22" s="196">
        <f>I24/('Demand - Ethylene'!$M$14)</f>
        <v>4989.0318542160994</v>
      </c>
      <c r="J22" s="196">
        <f>J24/('Demand - Ethylene'!$M$14)</f>
        <v>5056.0810453512786</v>
      </c>
      <c r="K22" s="196">
        <f>K24/('Demand - Ethylene'!$M$14)</f>
        <v>5123.9300644271098</v>
      </c>
      <c r="L22" s="196">
        <f>L24/('Demand - Ethylene'!$M$14)</f>
        <v>5192.5865261324425</v>
      </c>
      <c r="M22" s="196">
        <f>M24/('Demand - Ethylene'!$M$14)</f>
        <v>5262.0580770150918</v>
      </c>
      <c r="N22" s="196">
        <f>N24/('Demand - Ethylene'!$M$14)</f>
        <v>5332.352394562583</v>
      </c>
      <c r="O22" s="196">
        <f>O24/('Demand - Ethylene'!$M$14)</f>
        <v>5359.0838881759482</v>
      </c>
      <c r="P22" s="196">
        <f>P24/('Demand - Ethylene'!$M$14)</f>
        <v>5385.0190760303058</v>
      </c>
      <c r="Q22" s="196">
        <f>Q24/('Demand - Ethylene'!$M$14)</f>
        <v>5410.1312366681068</v>
      </c>
      <c r="R22" s="196">
        <f>R24/('Demand - Ethylene'!$M$14)</f>
        <v>5434.3932923307884</v>
      </c>
      <c r="S22" s="196">
        <f>S24/('Demand - Ethylene'!$M$14)</f>
        <v>5457.7778131836612</v>
      </c>
      <c r="T22" s="196">
        <f>T24/('Demand - Ethylene'!$M$14)</f>
        <v>5480.2570219873096</v>
      </c>
      <c r="U22" s="196">
        <f>U24/('Demand - Ethylene'!$M$14)</f>
        <v>5501.8027992337411</v>
      </c>
      <c r="V22" s="196">
        <f>V24/('Demand - Ethylene'!$M$14)</f>
        <v>5522.3866887661598</v>
      </c>
      <c r="W22" s="196">
        <f>W24/('Demand - Ethylene'!$M$14)</f>
        <v>5541.9799039017753</v>
      </c>
      <c r="X22" s="196">
        <f>X24/('Demand - Ethylene'!$M$14)</f>
        <v>5560.5533340777301</v>
      </c>
      <c r="Y22" s="196">
        <f>Y24/('Demand - Ethylene'!$M$14)</f>
        <v>5465.3510575579357</v>
      </c>
      <c r="Z22" s="196">
        <f>Z24/('Demand - Ethylene'!$M$14)</f>
        <v>5367.7651933967336</v>
      </c>
      <c r="AA22" s="196">
        <f>AA24/('Demand - Ethylene'!$M$14)</f>
        <v>5267.8149118000147</v>
      </c>
      <c r="AB22" s="196">
        <f>AB24/('Demand - Ethylene'!$M$14)</f>
        <v>5165.5224843505312</v>
      </c>
      <c r="AC22" s="196">
        <f>AC24/('Demand - Ethylene'!$M$14)</f>
        <v>5060.9134227695058</v>
      </c>
      <c r="AD22" s="196">
        <f>AD24/('Demand - Ethylene'!$M$14)</f>
        <v>4954.0166223120659</v>
      </c>
      <c r="AE22" s="196">
        <f>AE24/('Demand - Ethylene'!$M$14)</f>
        <v>4844.8645099303158</v>
      </c>
      <c r="AF22" s="196">
        <f>AF24/('Demand - Ethylene'!$M$14)</f>
        <v>4733.4931973414323</v>
      </c>
      <c r="AG22" s="196">
        <f>AG24/('Demand - Ethylene'!$M$14)</f>
        <v>4619.9426391417655</v>
      </c>
      <c r="AH22" s="196">
        <f>AH24/('Demand - Ethylene'!$M$14)</f>
        <v>4504.2567961116401</v>
      </c>
      <c r="AM22" t="s">
        <v>1414</v>
      </c>
      <c r="AN22">
        <v>72.069048712238668</v>
      </c>
    </row>
    <row r="23" spans="1:40" s="63" customFormat="1">
      <c r="A23" s="690"/>
      <c r="B23" s="59" t="s">
        <v>27</v>
      </c>
      <c r="C23" s="262" t="s">
        <v>166</v>
      </c>
      <c r="D23" s="599">
        <f>D19-SUM(D21,D20,D22)</f>
        <v>81377.175570341657</v>
      </c>
      <c r="E23" s="599">
        <f t="shared" ref="E23:AH23" si="6">E19-SUM(E21,E20,E22)</f>
        <v>82478.882420938244</v>
      </c>
      <c r="F23" s="599">
        <f t="shared" si="6"/>
        <v>83593.884843500244</v>
      </c>
      <c r="G23" s="599">
        <f t="shared" si="6"/>
        <v>84722.312656782073</v>
      </c>
      <c r="H23" s="599">
        <f t="shared" si="6"/>
        <v>85864.29630673163</v>
      </c>
      <c r="I23" s="599">
        <f t="shared" si="6"/>
        <v>87019.966853302569</v>
      </c>
      <c r="J23" s="599">
        <f t="shared" si="6"/>
        <v>88189.455956723163</v>
      </c>
      <c r="K23" s="599">
        <f t="shared" si="6"/>
        <v>89372.89586320892</v>
      </c>
      <c r="L23" s="599">
        <f t="shared" si="6"/>
        <v>90570.419390106064</v>
      </c>
      <c r="M23" s="599">
        <f t="shared" si="6"/>
        <v>91782.159910453076</v>
      </c>
      <c r="N23" s="599">
        <f t="shared" si="6"/>
        <v>93008.251336946749</v>
      </c>
      <c r="O23" s="599">
        <f t="shared" si="6"/>
        <v>93474.508870702237</v>
      </c>
      <c r="P23" s="599">
        <f t="shared" si="6"/>
        <v>93926.877036183694</v>
      </c>
      <c r="Q23" s="599">
        <f t="shared" si="6"/>
        <v>94364.889750909017</v>
      </c>
      <c r="R23" s="599">
        <f t="shared" si="6"/>
        <v>94788.074717702781</v>
      </c>
      <c r="S23" s="599">
        <f t="shared" si="6"/>
        <v>95195.953498388</v>
      </c>
      <c r="T23" s="599">
        <f t="shared" si="6"/>
        <v>95588.04159526572</v>
      </c>
      <c r="U23" s="599">
        <f t="shared" si="6"/>
        <v>95963.84854070119</v>
      </c>
      <c r="V23" s="599">
        <f t="shared" si="6"/>
        <v>96322.877995145216</v>
      </c>
      <c r="W23" s="599">
        <f t="shared" si="6"/>
        <v>96664.627853929938</v>
      </c>
      <c r="X23" s="599">
        <f t="shared" si="6"/>
        <v>96988.590363188705</v>
      </c>
      <c r="Y23" s="599">
        <f t="shared" si="6"/>
        <v>95328.047959533709</v>
      </c>
      <c r="Z23" s="599">
        <f t="shared" si="6"/>
        <v>93625.930411921247</v>
      </c>
      <c r="AA23" s="599">
        <f t="shared" si="6"/>
        <v>91882.572091974944</v>
      </c>
      <c r="AB23" s="599">
        <f t="shared" si="6"/>
        <v>90098.361466325092</v>
      </c>
      <c r="AC23" s="599">
        <f t="shared" si="6"/>
        <v>88273.743516924122</v>
      </c>
      <c r="AD23" s="599">
        <f t="shared" si="6"/>
        <v>86409.222242186312</v>
      </c>
      <c r="AE23" s="599">
        <f t="shared" si="6"/>
        <v>84505.363241285973</v>
      </c>
      <c r="AF23" s="599">
        <f t="shared" si="6"/>
        <v>82562.796384010173</v>
      </c>
      <c r="AG23" s="599">
        <f t="shared" si="6"/>
        <v>80582.218568625263</v>
      </c>
      <c r="AH23" s="599">
        <f t="shared" si="6"/>
        <v>78564.396570280951</v>
      </c>
    </row>
    <row r="24" spans="1:40" s="62" customFormat="1">
      <c r="A24" s="688" t="s">
        <v>686</v>
      </c>
      <c r="B24" s="55" t="s">
        <v>683</v>
      </c>
      <c r="C24" s="56" t="s">
        <v>166</v>
      </c>
      <c r="D24" s="630">
        <f>D19*'Demand - Ethylene'!$E$75</f>
        <v>2126.6711607740358</v>
      </c>
      <c r="E24" s="630">
        <f>E19*'Demand - Ethylene'!$E$75</f>
        <v>2155.4626268131301</v>
      </c>
      <c r="F24" s="630">
        <f>F19*'Demand - Ethylene'!$E$75</f>
        <v>2184.6015528035773</v>
      </c>
      <c r="G24" s="630">
        <f>G19*'Demand - Ethylene'!$E$75</f>
        <v>2214.0913313649803</v>
      </c>
      <c r="H24" s="630">
        <f>H19*'Demand - Ethylene'!$E$75</f>
        <v>2243.9353715077095</v>
      </c>
      <c r="I24" s="630">
        <f>I19*'Demand - Ethylene'!$E$75</f>
        <v>2274.1370982882599</v>
      </c>
      <c r="J24" s="630">
        <f>J19*'Demand - Ethylene'!$E$75</f>
        <v>2304.6999524504108</v>
      </c>
      <c r="K24" s="630">
        <f>K19*'Demand - Ethylene'!$E$75</f>
        <v>2335.6273900518408</v>
      </c>
      <c r="L24" s="630">
        <f>L19*'Demand - Ethylene'!$E$75</f>
        <v>2366.9228820758813</v>
      </c>
      <c r="M24" s="630">
        <f>M19*'Demand - Ethylene'!$E$75</f>
        <v>2398.5899140280508</v>
      </c>
      <c r="N24" s="630">
        <f>N19*'Demand - Ethylene'!$E$75</f>
        <v>2430.6319855170336</v>
      </c>
      <c r="O24" s="630">
        <f>O19*'Demand - Ethylene'!$E$75</f>
        <v>2442.8169310325525</v>
      </c>
      <c r="P24" s="630">
        <f>P19*'Demand - Ethylene'!$E$75</f>
        <v>2454.6388986154666</v>
      </c>
      <c r="Q24" s="630">
        <f>Q19*'Demand - Ethylene'!$E$75</f>
        <v>2466.0857078949739</v>
      </c>
      <c r="R24" s="630">
        <f>R19*'Demand - Ethylene'!$E$75</f>
        <v>2477.1450160885288</v>
      </c>
      <c r="S24" s="630">
        <f>S19*'Demand - Ethylene'!$E$75</f>
        <v>2487.804319927664</v>
      </c>
      <c r="T24" s="630">
        <f>T19*'Demand - Ethylene'!$E$75</f>
        <v>2498.0509577873408</v>
      </c>
      <c r="U24" s="630">
        <f>U19*'Demand - Ethylene'!$E$75</f>
        <v>2507.8721120271475</v>
      </c>
      <c r="V24" s="630">
        <f>V19*'Demand - Ethylene'!$E$75</f>
        <v>2517.2548115529448</v>
      </c>
      <c r="W24" s="630">
        <f>W19*'Demand - Ethylene'!$E$75</f>
        <v>2526.1859346078099</v>
      </c>
      <c r="X24" s="630">
        <f>X19*'Demand - Ethylene'!$E$75</f>
        <v>2534.6522118014323</v>
      </c>
      <c r="Y24" s="630">
        <f>Y19*'Demand - Ethylene'!$E$75</f>
        <v>2491.2564117340908</v>
      </c>
      <c r="Z24" s="630">
        <f>Z19*'Demand - Ethylene'!$E$75</f>
        <v>2446.7741072625395</v>
      </c>
      <c r="AA24" s="630">
        <f>AA19*'Demand - Ethylene'!$E$75</f>
        <v>2401.2140366906565</v>
      </c>
      <c r="AB24" s="630">
        <f>AB19*'Demand - Ethylene'!$E$75</f>
        <v>2354.5863520146718</v>
      </c>
      <c r="AC24" s="630">
        <f>AC19*'Demand - Ethylene'!$E$75</f>
        <v>2306.9026821745019</v>
      </c>
      <c r="AD24" s="630">
        <f>AD19*'Demand - Ethylene'!$E$75</f>
        <v>2258.1761984173086</v>
      </c>
      <c r="AE24" s="630">
        <f>AE19*'Demand - Ethylene'!$E$75</f>
        <v>2208.421681834277</v>
      </c>
      <c r="AF24" s="630">
        <f>AF19*'Demand - Ethylene'!$E$75</f>
        <v>2157.6555931332391</v>
      </c>
      <c r="AG24" s="630">
        <f>AG19*'Demand - Ethylene'!$E$75</f>
        <v>2105.8961447114016</v>
      </c>
      <c r="AH24" s="630">
        <f>AH19*'Demand - Ethylene'!$E$75</f>
        <v>2053.1633750941396</v>
      </c>
    </row>
    <row r="25" spans="1:40" s="63" customFormat="1">
      <c r="A25" s="690"/>
      <c r="B25" s="59" t="s">
        <v>682</v>
      </c>
      <c r="C25" s="262" t="s">
        <v>166</v>
      </c>
      <c r="D25" s="599">
        <f>D19*'Demand - Ethylene'!$D$75/'Demand - Ethylene'!$L$24</f>
        <v>0</v>
      </c>
      <c r="E25" s="599">
        <f>E19*'Demand - Ethylene'!$D$75/'Demand - Ethylene'!$L$24</f>
        <v>0</v>
      </c>
      <c r="F25" s="599">
        <f>F19*'Demand - Ethylene'!$D$75/'Demand - Ethylene'!$L$24</f>
        <v>0</v>
      </c>
      <c r="G25" s="599">
        <f>G19*'Demand - Ethylene'!$D$75/'Demand - Ethylene'!$L$24</f>
        <v>0</v>
      </c>
      <c r="H25" s="599">
        <f>H19*'Demand - Ethylene'!$D$75/'Demand - Ethylene'!$L$24</f>
        <v>0</v>
      </c>
      <c r="I25" s="599">
        <f>I19*'Demand - Ethylene'!$D$75/'Demand - Ethylene'!$L$24</f>
        <v>0</v>
      </c>
      <c r="J25" s="599">
        <f>J19*'Demand - Ethylene'!$D$75/'Demand - Ethylene'!$L$24</f>
        <v>0</v>
      </c>
      <c r="K25" s="599">
        <f>K19*'Demand - Ethylene'!$D$75/'Demand - Ethylene'!$L$24</f>
        <v>0</v>
      </c>
      <c r="L25" s="599">
        <f>L19*'Demand - Ethylene'!$D$75/'Demand - Ethylene'!$L$24</f>
        <v>0</v>
      </c>
      <c r="M25" s="599">
        <f>M19*'Demand - Ethylene'!$D$75/'Demand - Ethylene'!$L$24</f>
        <v>0</v>
      </c>
      <c r="N25" s="599">
        <f>N19*'Demand - Ethylene'!$D$75/'Demand - Ethylene'!$L$24</f>
        <v>0</v>
      </c>
      <c r="O25" s="599">
        <f>O19*'Demand - Ethylene'!$D$75/'Demand - Ethylene'!$L$24</f>
        <v>0</v>
      </c>
      <c r="P25" s="599">
        <f>P19*'Demand - Ethylene'!$D$75/'Demand - Ethylene'!$L$24</f>
        <v>0</v>
      </c>
      <c r="Q25" s="599">
        <f>Q19*'Demand - Ethylene'!$D$75/'Demand - Ethylene'!$L$24</f>
        <v>0</v>
      </c>
      <c r="R25" s="599">
        <f>R19*'Demand - Ethylene'!$D$75/'Demand - Ethylene'!$L$24</f>
        <v>0</v>
      </c>
      <c r="S25" s="599">
        <f>S19*'Demand - Ethylene'!$D$75/'Demand - Ethylene'!$L$24</f>
        <v>0</v>
      </c>
      <c r="T25" s="599">
        <f>T19*'Demand - Ethylene'!$D$75/'Demand - Ethylene'!$L$24</f>
        <v>0</v>
      </c>
      <c r="U25" s="599">
        <f>U19*'Demand - Ethylene'!$D$75/'Demand - Ethylene'!$L$24</f>
        <v>0</v>
      </c>
      <c r="V25" s="599">
        <f>V19*'Demand - Ethylene'!$D$75/'Demand - Ethylene'!$L$24</f>
        <v>0</v>
      </c>
      <c r="W25" s="599">
        <f>W19*'Demand - Ethylene'!$D$75/'Demand - Ethylene'!$L$24</f>
        <v>0</v>
      </c>
      <c r="X25" s="599">
        <f>X19*'Demand - Ethylene'!$D$75/'Demand - Ethylene'!$L$24</f>
        <v>0</v>
      </c>
      <c r="Y25" s="599">
        <f>Y19*'Demand - Ethylene'!$D$75/'Demand - Ethylene'!$L$24</f>
        <v>0</v>
      </c>
      <c r="Z25" s="599">
        <f>Z19*'Demand - Ethylene'!$D$75/'Demand - Ethylene'!$L$24</f>
        <v>0</v>
      </c>
      <c r="AA25" s="599">
        <f>AA19*'Demand - Ethylene'!$D$75/'Demand - Ethylene'!$L$24</f>
        <v>0</v>
      </c>
      <c r="AB25" s="599">
        <f>AB19*'Demand - Ethylene'!$D$75/'Demand - Ethylene'!$L$24</f>
        <v>0</v>
      </c>
      <c r="AC25" s="599">
        <f>AC19*'Demand - Ethylene'!$D$75/'Demand - Ethylene'!$L$24</f>
        <v>0</v>
      </c>
      <c r="AD25" s="599">
        <f>AD19*'Demand - Ethylene'!$D$75/'Demand - Ethylene'!$L$24</f>
        <v>0</v>
      </c>
      <c r="AE25" s="599">
        <f>AE19*'Demand - Ethylene'!$D$75/'Demand - Ethylene'!$L$24</f>
        <v>0</v>
      </c>
      <c r="AF25" s="599">
        <f>AF19*'Demand - Ethylene'!$D$75/'Demand - Ethylene'!$L$24</f>
        <v>0</v>
      </c>
      <c r="AG25" s="599">
        <f>AG19*'Demand - Ethylene'!$D$75/'Demand - Ethylene'!$L$24</f>
        <v>0</v>
      </c>
      <c r="AH25" s="599">
        <f>AH19*'Demand - Ethylene'!$D$75/'Demand - Ethylene'!$L$24</f>
        <v>0</v>
      </c>
    </row>
    <row r="26" spans="1:40">
      <c r="A26" s="1" t="s">
        <v>687</v>
      </c>
      <c r="B26" s="1" t="s">
        <v>174</v>
      </c>
      <c r="C26" s="51" t="s">
        <v>166</v>
      </c>
      <c r="D26" s="101">
        <f>'R&amp;S - Packaging and hh goods'!J4</f>
        <v>360575.67443292518</v>
      </c>
      <c r="E26" s="101">
        <f>D26*(1+'R&amp;S - Packaging and hh goods'!$C$5)</f>
        <v>360575.67443292518</v>
      </c>
      <c r="F26" s="101">
        <f>E26*(1+'R&amp;S - Packaging and hh goods'!$C$5)</f>
        <v>360575.67443292518</v>
      </c>
      <c r="G26" s="101">
        <f>F26*(1+'R&amp;S - Packaging and hh goods'!$C$5)</f>
        <v>360575.67443292518</v>
      </c>
      <c r="H26" s="101">
        <f>G26*(1+'R&amp;S - Packaging and hh goods'!$C$5)</f>
        <v>360575.67443292518</v>
      </c>
      <c r="I26" s="101">
        <f>H26*(1+'R&amp;S - Packaging and hh goods'!$C$5)</f>
        <v>360575.67443292518</v>
      </c>
      <c r="J26" s="101">
        <f>I26*(1+'R&amp;S - Packaging and hh goods'!$C$5)</f>
        <v>360575.67443292518</v>
      </c>
      <c r="K26" s="101">
        <f>J26*(1+'R&amp;S - Packaging and hh goods'!$C$5)</f>
        <v>360575.67443292518</v>
      </c>
      <c r="L26" s="101">
        <f>K26*(1+'R&amp;S - Packaging and hh goods'!$C$5)</f>
        <v>360575.67443292518</v>
      </c>
      <c r="M26" s="101">
        <f>L26*(1+'R&amp;S - Packaging and hh goods'!$C$5)</f>
        <v>360575.67443292518</v>
      </c>
      <c r="N26" s="101">
        <f>M26*(1+'R&amp;S - Packaging and hh goods'!$C$5)</f>
        <v>360575.67443292518</v>
      </c>
      <c r="O26" s="101">
        <f>N26*(1+'R&amp;S - Packaging and hh goods'!$C$5)</f>
        <v>360575.67443292518</v>
      </c>
      <c r="P26" s="101">
        <f>O26*(1+'R&amp;S - Packaging and hh goods'!$C$5)</f>
        <v>360575.67443292518</v>
      </c>
      <c r="Q26" s="101">
        <f>P26*(1+'R&amp;S - Packaging and hh goods'!$C$5)</f>
        <v>360575.67443292518</v>
      </c>
      <c r="R26" s="101">
        <f>Q26*(1+'R&amp;S - Packaging and hh goods'!$C$5)</f>
        <v>360575.67443292518</v>
      </c>
      <c r="S26" s="101">
        <f>R26*(1+'R&amp;S - Packaging and hh goods'!$C$5)</f>
        <v>360575.67443292518</v>
      </c>
      <c r="T26" s="101">
        <f>S26*(1+'R&amp;S - Packaging and hh goods'!$C$5)</f>
        <v>360575.67443292518</v>
      </c>
      <c r="U26" s="101">
        <f>T26*(1+'R&amp;S - Packaging and hh goods'!$C$5)</f>
        <v>360575.67443292518</v>
      </c>
      <c r="V26" s="101">
        <f>U26*(1+'R&amp;S - Packaging and hh goods'!$C$5)</f>
        <v>360575.67443292518</v>
      </c>
      <c r="W26" s="101">
        <f>V26*(1+'R&amp;S - Packaging and hh goods'!$C$5)</f>
        <v>360575.67443292518</v>
      </c>
      <c r="X26" s="101">
        <f>W26*(1+'R&amp;S - Packaging and hh goods'!$C$5)</f>
        <v>360575.67443292518</v>
      </c>
      <c r="Y26" s="101">
        <f>X26*(1+'R&amp;S - Packaging and hh goods'!$C$5)</f>
        <v>360575.67443292518</v>
      </c>
      <c r="Z26" s="101">
        <f>Y26*(1+'R&amp;S - Packaging and hh goods'!$C$5)</f>
        <v>360575.67443292518</v>
      </c>
      <c r="AA26" s="101">
        <f>Z26*(1+'R&amp;S - Packaging and hh goods'!$C$5)</f>
        <v>360575.67443292518</v>
      </c>
      <c r="AB26" s="101">
        <f>AA26*(1+'R&amp;S - Packaging and hh goods'!$C$5)</f>
        <v>360575.67443292518</v>
      </c>
      <c r="AC26" s="101">
        <f>AB26*(1+'R&amp;S - Packaging and hh goods'!$C$5)</f>
        <v>360575.67443292518</v>
      </c>
      <c r="AD26" s="101">
        <f>AC26*(1+'R&amp;S - Packaging and hh goods'!$C$5)</f>
        <v>360575.67443292518</v>
      </c>
      <c r="AE26" s="101">
        <f>AD26*(1+'R&amp;S - Packaging and hh goods'!$C$5)</f>
        <v>360575.67443292518</v>
      </c>
      <c r="AF26" s="101">
        <f>AE26*(1+'R&amp;S - Packaging and hh goods'!$C$5)</f>
        <v>360575.67443292518</v>
      </c>
      <c r="AG26" s="101">
        <f>AF26*(1+'R&amp;S - Packaging and hh goods'!$C$5)</f>
        <v>360575.67443292518</v>
      </c>
      <c r="AH26" s="101">
        <f>AG26*(1+'R&amp;S - Packaging and hh goods'!$C$5)</f>
        <v>360575.67443292518</v>
      </c>
    </row>
    <row r="27" spans="1:40" outlineLevel="1">
      <c r="B27" s="58" t="s">
        <v>146</v>
      </c>
      <c r="C27" s="51" t="s">
        <v>166</v>
      </c>
      <c r="D27" s="196">
        <v>0</v>
      </c>
      <c r="E27" s="196">
        <f>E26*'R&amp;S - Packaging and hh goods'!$C$7*('R&amp;S - Packaging and hh goods'!$B$14*'R&amp;S - Packaging and hh goods'!$B$19*('Yearly HC Ethylene'!E$3-'Yearly HC Ethylene'!$D$3)/10)</f>
        <v>363.46027982838859</v>
      </c>
      <c r="F27" s="196">
        <f>F26*'R&amp;S - Packaging and hh goods'!$C$7*('R&amp;S - Packaging and hh goods'!$B$14*'R&amp;S - Packaging and hh goods'!$B$19*('Yearly HC Ethylene'!F$3-'Yearly HC Ethylene'!$D$3)/10)</f>
        <v>726.92055965677719</v>
      </c>
      <c r="G27" s="196">
        <f>G26*'R&amp;S - Packaging and hh goods'!$C$7*('R&amp;S - Packaging and hh goods'!$B$14*'R&amp;S - Packaging and hh goods'!$B$19*('Yearly HC Ethylene'!G$3-'Yearly HC Ethylene'!$D$3)/10)</f>
        <v>1090.3808394851658</v>
      </c>
      <c r="H27" s="196">
        <f>H26*'R&amp;S - Packaging and hh goods'!$C$7*('R&amp;S - Packaging and hh goods'!$B$14*'R&amp;S - Packaging and hh goods'!$B$19*('Yearly HC Ethylene'!H$3-'Yearly HC Ethylene'!$D$3)/10)</f>
        <v>1453.8411193135544</v>
      </c>
      <c r="I27" s="196">
        <f>I26*'R&amp;S - Packaging and hh goods'!$C$7*('R&amp;S - Packaging and hh goods'!$B$14*'R&amp;S - Packaging and hh goods'!$B$19*('Yearly HC Ethylene'!I$3-'Yearly HC Ethylene'!$D$3)/10)</f>
        <v>1817.301399141943</v>
      </c>
      <c r="J27" s="196">
        <f>J26*'R&amp;S - Packaging and hh goods'!$C$7*('R&amp;S - Packaging and hh goods'!$B$14*'R&amp;S - Packaging and hh goods'!$B$19*('Yearly HC Ethylene'!J$3-'Yearly HC Ethylene'!$D$3)/10)</f>
        <v>2180.7616789703316</v>
      </c>
      <c r="K27" s="196">
        <f>K26*'R&amp;S - Packaging and hh goods'!$C$7*('R&amp;S - Packaging and hh goods'!$B$14*'R&amp;S - Packaging and hh goods'!$B$19*('Yearly HC Ethylene'!K$3-'Yearly HC Ethylene'!$D$3)/10)</f>
        <v>2544.2219587987206</v>
      </c>
      <c r="L27" s="196">
        <f>L26*'R&amp;S - Packaging and hh goods'!$C$7*('R&amp;S - Packaging and hh goods'!$B$14*'R&amp;S - Packaging and hh goods'!$B$19*('Yearly HC Ethylene'!L$3-'Yearly HC Ethylene'!$D$3)/10)</f>
        <v>2907.6822386271087</v>
      </c>
      <c r="M27" s="196">
        <f>M26*'R&amp;S - Packaging and hh goods'!$C$7*('R&amp;S - Packaging and hh goods'!$B$14*'R&amp;S - Packaging and hh goods'!$B$19*('Yearly HC Ethylene'!M$3-'Yearly HC Ethylene'!$D$3)/10)</f>
        <v>3271.1425184554969</v>
      </c>
      <c r="N27" s="196">
        <f>N26*'R&amp;S - Packaging and hh goods'!$C$7*('R&amp;S - Packaging and hh goods'!$B$14*'R&amp;S - Packaging and hh goods'!$B$19*('Yearly HC Ethylene'!N$3-'Yearly HC Ethylene'!$D$3)/10)</f>
        <v>3634.6027982838859</v>
      </c>
      <c r="O27" s="196">
        <f>O26*'R&amp;S - Packaging and hh goods'!$C$7*('R&amp;S - Packaging and hh goods'!$B$14*('R&amp;S - Packaging and hh goods'!$B$19+('R&amp;S - Packaging and hh goods'!$B$20-'R&amp;S - Packaging and hh goods'!$B$19)*('Yearly HC Ethylene'!O$3-'Yearly HC Ethylene'!$N$3)/10))</f>
        <v>5724.4994072971203</v>
      </c>
      <c r="P27" s="196">
        <f>P26*'R&amp;S - Packaging and hh goods'!$C$7*('R&amp;S - Packaging and hh goods'!$B$14*('R&amp;S - Packaging and hh goods'!$B$19+('R&amp;S - Packaging and hh goods'!$B$20-'R&amp;S - Packaging and hh goods'!$B$19)*('Yearly HC Ethylene'!P$3-'Yearly HC Ethylene'!$N$3)/10))</f>
        <v>7814.3960163103538</v>
      </c>
      <c r="Q27" s="196">
        <f>Q26*'R&amp;S - Packaging and hh goods'!$C$7*('R&amp;S - Packaging and hh goods'!$B$14*('R&amp;S - Packaging and hh goods'!$B$19+('R&amp;S - Packaging and hh goods'!$B$20-'R&amp;S - Packaging and hh goods'!$B$19)*('Yearly HC Ethylene'!Q$3-'Yearly HC Ethylene'!$N$3)/10))</f>
        <v>9904.292625323591</v>
      </c>
      <c r="R27" s="196">
        <f>R26*'R&amp;S - Packaging and hh goods'!$C$7*('R&amp;S - Packaging and hh goods'!$B$14*('R&amp;S - Packaging and hh goods'!$B$19+('R&amp;S - Packaging and hh goods'!$B$20-'R&amp;S - Packaging and hh goods'!$B$19)*('Yearly HC Ethylene'!R$3-'Yearly HC Ethylene'!$N$3)/10))</f>
        <v>11994.189234336824</v>
      </c>
      <c r="S27" s="196">
        <f>S26*'R&amp;S - Packaging and hh goods'!$C$7*('R&amp;S - Packaging and hh goods'!$B$14*('R&amp;S - Packaging and hh goods'!$B$19+('R&amp;S - Packaging and hh goods'!$B$20-'R&amp;S - Packaging and hh goods'!$B$19)*('Yearly HC Ethylene'!S$3-'Yearly HC Ethylene'!$N$3)/10))</f>
        <v>14084.08584335006</v>
      </c>
      <c r="T27" s="196">
        <f>T26*'R&amp;S - Packaging and hh goods'!$C$7*('R&amp;S - Packaging and hh goods'!$B$14*('R&amp;S - Packaging and hh goods'!$B$19+('R&amp;S - Packaging and hh goods'!$B$20-'R&amp;S - Packaging and hh goods'!$B$19)*('Yearly HC Ethylene'!T$3-'Yearly HC Ethylene'!$N$3)/10))</f>
        <v>16173.982452363294</v>
      </c>
      <c r="U27" s="196">
        <f>U26*'R&amp;S - Packaging and hh goods'!$C$7*('R&amp;S - Packaging and hh goods'!$B$14*('R&amp;S - Packaging and hh goods'!$B$19+('R&amp;S - Packaging and hh goods'!$B$20-'R&amp;S - Packaging and hh goods'!$B$19)*('Yearly HC Ethylene'!U$3-'Yearly HC Ethylene'!$N$3)/10))</f>
        <v>18263.879061376527</v>
      </c>
      <c r="V27" s="196">
        <f>V26*'R&amp;S - Packaging and hh goods'!$C$7*('R&amp;S - Packaging and hh goods'!$B$14*('R&amp;S - Packaging and hh goods'!$B$19+('R&amp;S - Packaging and hh goods'!$B$20-'R&amp;S - Packaging and hh goods'!$B$19)*('Yearly HC Ethylene'!V$3-'Yearly HC Ethylene'!$N$3)/10))</f>
        <v>20353.775670389761</v>
      </c>
      <c r="W27" s="196">
        <f>W26*'R&amp;S - Packaging and hh goods'!$C$7*('R&amp;S - Packaging and hh goods'!$B$14*('R&amp;S - Packaging and hh goods'!$B$19+('R&amp;S - Packaging and hh goods'!$B$20-'R&amp;S - Packaging and hh goods'!$B$19)*('Yearly HC Ethylene'!W$3-'Yearly HC Ethylene'!$N$3)/10))</f>
        <v>22443.672279402999</v>
      </c>
      <c r="X27" s="196">
        <f>X26*'R&amp;S - Packaging and hh goods'!$C$7*('R&amp;S - Packaging and hh goods'!$B$14*('R&amp;S - Packaging and hh goods'!$B$19+('R&amp;S - Packaging and hh goods'!$B$20-'R&amp;S - Packaging and hh goods'!$B$19)*('Yearly HC Ethylene'!X$3-'Yearly HC Ethylene'!$N$3)/10))</f>
        <v>24533.56888841623</v>
      </c>
      <c r="Y27" s="196">
        <f>Y26*'R&amp;S - Packaging and hh goods'!$C$7*('R&amp;S - Packaging and hh goods'!$B$14*('R&amp;S - Packaging and hh goods'!$B$20+('R&amp;S - Packaging and hh goods'!$B$21-'R&amp;S - Packaging and hh goods'!$B$20)*('Yearly HC Ethylene'!Y$3-'Yearly HC Ethylene'!$X$3)/10))</f>
        <v>26623.465497429468</v>
      </c>
      <c r="Z27" s="196">
        <f>Z26*'R&amp;S - Packaging and hh goods'!$C$7*('R&amp;S - Packaging and hh goods'!$B$14*('R&amp;S - Packaging and hh goods'!$B$20+('R&amp;S - Packaging and hh goods'!$B$21-'R&amp;S - Packaging and hh goods'!$B$20)*('Yearly HC Ethylene'!Z$3-'Yearly HC Ethylene'!$X$3)/10))</f>
        <v>28713.362106442699</v>
      </c>
      <c r="AA27" s="196">
        <f>AA26*'R&amp;S - Packaging and hh goods'!$C$7*('R&amp;S - Packaging and hh goods'!$B$14*('R&amp;S - Packaging and hh goods'!$B$20+('R&amp;S - Packaging and hh goods'!$B$21-'R&amp;S - Packaging and hh goods'!$B$20)*('Yearly HC Ethylene'!AA$3-'Yearly HC Ethylene'!$X$3)/10))</f>
        <v>30803.258715455937</v>
      </c>
      <c r="AB27" s="196">
        <f>AB26*'R&amp;S - Packaging and hh goods'!$C$7*('R&amp;S - Packaging and hh goods'!$B$14*('R&amp;S - Packaging and hh goods'!$B$20+('R&amp;S - Packaging and hh goods'!$B$21-'R&amp;S - Packaging and hh goods'!$B$20)*('Yearly HC Ethylene'!AB$3-'Yearly HC Ethylene'!$X$3)/10))</f>
        <v>32893.155324469168</v>
      </c>
      <c r="AC27" s="196">
        <f>AC26*'R&amp;S - Packaging and hh goods'!$C$7*('R&amp;S - Packaging and hh goods'!$B$14*('R&amp;S - Packaging and hh goods'!$B$20+('R&amp;S - Packaging and hh goods'!$B$21-'R&amp;S - Packaging and hh goods'!$B$20)*('Yearly HC Ethylene'!AC$3-'Yearly HC Ethylene'!$X$3)/10))</f>
        <v>34983.051933482406</v>
      </c>
      <c r="AD27" s="196">
        <f>AD26*'R&amp;S - Packaging and hh goods'!$C$7*('R&amp;S - Packaging and hh goods'!$B$14*('R&amp;S - Packaging and hh goods'!$B$20+('R&amp;S - Packaging and hh goods'!$B$21-'R&amp;S - Packaging and hh goods'!$B$20)*('Yearly HC Ethylene'!AD$3-'Yearly HC Ethylene'!$X$3)/10))</f>
        <v>37072.948542495637</v>
      </c>
      <c r="AE27" s="196">
        <f>AE26*'R&amp;S - Packaging and hh goods'!$C$7*('R&amp;S - Packaging and hh goods'!$B$14*('R&amp;S - Packaging and hh goods'!$B$20+('R&amp;S - Packaging and hh goods'!$B$21-'R&amp;S - Packaging and hh goods'!$B$20)*('Yearly HC Ethylene'!AE$3-'Yearly HC Ethylene'!$X$3)/10))</f>
        <v>39162.845151508867</v>
      </c>
      <c r="AF27" s="196">
        <f>AF26*'R&amp;S - Packaging and hh goods'!$C$7*('R&amp;S - Packaging and hh goods'!$B$14*('R&amp;S - Packaging and hh goods'!$B$20+('R&amp;S - Packaging and hh goods'!$B$21-'R&amp;S - Packaging and hh goods'!$B$20)*('Yearly HC Ethylene'!AF$3-'Yearly HC Ethylene'!$X$3)/10))</f>
        <v>41252.741760522105</v>
      </c>
      <c r="AG27" s="196">
        <f>AG26*'R&amp;S - Packaging and hh goods'!$C$7*('R&amp;S - Packaging and hh goods'!$B$14*('R&amp;S - Packaging and hh goods'!$B$20+('R&amp;S - Packaging and hh goods'!$B$21-'R&amp;S - Packaging and hh goods'!$B$20)*('Yearly HC Ethylene'!AG$3-'Yearly HC Ethylene'!$X$3)/10))</f>
        <v>43342.638369535336</v>
      </c>
      <c r="AH27" s="196">
        <f>AH26*'R&amp;S - Packaging and hh goods'!$C$7*('R&amp;S - Packaging and hh goods'!$B$14*('R&amp;S - Packaging and hh goods'!$B$20+('R&amp;S - Packaging and hh goods'!$B$21-'R&amp;S - Packaging and hh goods'!$B$20)*('Yearly HC Ethylene'!AH$3-'Yearly HC Ethylene'!$X$3)/10))</f>
        <v>45432.534978548574</v>
      </c>
    </row>
    <row r="28" spans="1:40" outlineLevel="1">
      <c r="B28" s="58" t="s">
        <v>188</v>
      </c>
      <c r="C28" s="51" t="s">
        <v>166</v>
      </c>
      <c r="D28" s="196">
        <v>0</v>
      </c>
      <c r="E28" s="196">
        <f>E26*'R&amp;S - Packaging and hh goods'!$C$8*('R&amp;S - Packaging and hh goods'!$B$14*'R&amp;S - Packaging and hh goods'!$C$19*('Yearly HC Ethylene'!E$3-'Yearly HC Ethylene'!$D$3)/10)</f>
        <v>2105.761938688283</v>
      </c>
      <c r="F28" s="196">
        <f>F26*'R&amp;S - Packaging and hh goods'!$C$8*('R&amp;S - Packaging and hh goods'!$B$14*'R&amp;S - Packaging and hh goods'!$C$19*('Yearly HC Ethylene'!F$3-'Yearly HC Ethylene'!$D$3)/10)</f>
        <v>4211.5238773765659</v>
      </c>
      <c r="G28" s="196">
        <f>G26*'R&amp;S - Packaging and hh goods'!$C$8*('R&amp;S - Packaging and hh goods'!$B$14*'R&amp;S - Packaging and hh goods'!$C$19*('Yearly HC Ethylene'!G$3-'Yearly HC Ethylene'!$D$3)/10)</f>
        <v>6317.2858160648502</v>
      </c>
      <c r="H28" s="196">
        <f>H26*'R&amp;S - Packaging and hh goods'!$C$8*('R&amp;S - Packaging and hh goods'!$B$14*'R&amp;S - Packaging and hh goods'!$C$19*('Yearly HC Ethylene'!H$3-'Yearly HC Ethylene'!$D$3)/10)</f>
        <v>8423.0477547531318</v>
      </c>
      <c r="I28" s="196">
        <f>I26*'R&amp;S - Packaging and hh goods'!$C$8*('R&amp;S - Packaging and hh goods'!$B$14*'R&amp;S - Packaging and hh goods'!$C$19*('Yearly HC Ethylene'!I$3-'Yearly HC Ethylene'!$D$3)/10)</f>
        <v>10528.809693441415</v>
      </c>
      <c r="J28" s="196">
        <f>J26*'R&amp;S - Packaging and hh goods'!$C$8*('R&amp;S - Packaging and hh goods'!$B$14*'R&amp;S - Packaging and hh goods'!$C$19*('Yearly HC Ethylene'!J$3-'Yearly HC Ethylene'!$D$3)/10)</f>
        <v>12634.5716321297</v>
      </c>
      <c r="K28" s="196">
        <f>K26*'R&amp;S - Packaging and hh goods'!$C$8*('R&amp;S - Packaging and hh goods'!$B$14*'R&amp;S - Packaging and hh goods'!$C$19*('Yearly HC Ethylene'!K$3-'Yearly HC Ethylene'!$D$3)/10)</f>
        <v>14740.333570817982</v>
      </c>
      <c r="L28" s="196">
        <f>L26*'R&amp;S - Packaging and hh goods'!$C$8*('R&amp;S - Packaging and hh goods'!$B$14*'R&amp;S - Packaging and hh goods'!$C$19*('Yearly HC Ethylene'!L$3-'Yearly HC Ethylene'!$D$3)/10)</f>
        <v>16846.095509506264</v>
      </c>
      <c r="M28" s="196">
        <f>M26*'R&amp;S - Packaging and hh goods'!$C$8*('R&amp;S - Packaging and hh goods'!$B$14*'R&amp;S - Packaging and hh goods'!$C$19*('Yearly HC Ethylene'!M$3-'Yearly HC Ethylene'!$D$3)/10)</f>
        <v>18951.857448194547</v>
      </c>
      <c r="N28" s="196">
        <f>N26*'R&amp;S - Packaging and hh goods'!$C$8*('R&amp;S - Packaging and hh goods'!$B$14*'R&amp;S - Packaging and hh goods'!$C$19*('Yearly HC Ethylene'!N$3-'Yearly HC Ethylene'!$D$3)/10)</f>
        <v>21057.61938688283</v>
      </c>
      <c r="O28" s="196">
        <f>O26*'R&amp;S - Packaging and hh goods'!$C$8*('R&amp;S - Packaging and hh goods'!$B$14*('R&amp;S - Packaging and hh goods'!$C$19+('R&amp;S - Packaging and hh goods'!$C$20-'R&amp;S - Packaging and hh goods'!$C$19)*('Yearly HC Ethylene'!O$3-'Yearly HC Ethylene'!$N$3)/10))</f>
        <v>25163.855167324982</v>
      </c>
      <c r="P28" s="196">
        <f>P26*'R&amp;S - Packaging and hh goods'!$C$8*('R&amp;S - Packaging and hh goods'!$B$14*('R&amp;S - Packaging and hh goods'!$C$19+('R&amp;S - Packaging and hh goods'!$C$20-'R&amp;S - Packaging and hh goods'!$C$19)*('Yearly HC Ethylene'!P$3-'Yearly HC Ethylene'!$N$3)/10))</f>
        <v>29270.090947767138</v>
      </c>
      <c r="Q28" s="196">
        <f>Q26*'R&amp;S - Packaging and hh goods'!$C$8*('R&amp;S - Packaging and hh goods'!$B$14*('R&amp;S - Packaging and hh goods'!$C$19+('R&amp;S - Packaging and hh goods'!$C$20-'R&amp;S - Packaging and hh goods'!$C$19)*('Yearly HC Ethylene'!Q$3-'Yearly HC Ethylene'!$N$3)/10))</f>
        <v>33376.326728209286</v>
      </c>
      <c r="R28" s="196">
        <f>R26*'R&amp;S - Packaging and hh goods'!$C$8*('R&amp;S - Packaging and hh goods'!$B$14*('R&amp;S - Packaging and hh goods'!$C$19+('R&amp;S - Packaging and hh goods'!$C$20-'R&amp;S - Packaging and hh goods'!$C$19)*('Yearly HC Ethylene'!R$3-'Yearly HC Ethylene'!$N$3)/10))</f>
        <v>37482.562508651434</v>
      </c>
      <c r="S28" s="196">
        <f>S26*'R&amp;S - Packaging and hh goods'!$C$8*('R&amp;S - Packaging and hh goods'!$B$14*('R&amp;S - Packaging and hh goods'!$C$19+('R&amp;S - Packaging and hh goods'!$C$20-'R&amp;S - Packaging and hh goods'!$C$19)*('Yearly HC Ethylene'!S$3-'Yearly HC Ethylene'!$N$3)/10))</f>
        <v>41588.798289093589</v>
      </c>
      <c r="T28" s="196">
        <f>T26*'R&amp;S - Packaging and hh goods'!$C$8*('R&amp;S - Packaging and hh goods'!$B$14*('R&amp;S - Packaging and hh goods'!$C$19+('R&amp;S - Packaging and hh goods'!$C$20-'R&amp;S - Packaging and hh goods'!$C$19)*('Yearly HC Ethylene'!T$3-'Yearly HC Ethylene'!$N$3)/10))</f>
        <v>45695.034069535737</v>
      </c>
      <c r="U28" s="196">
        <f>U26*'R&amp;S - Packaging and hh goods'!$C$8*('R&amp;S - Packaging and hh goods'!$B$14*('R&amp;S - Packaging and hh goods'!$C$19+('R&amp;S - Packaging and hh goods'!$C$20-'R&amp;S - Packaging and hh goods'!$C$19)*('Yearly HC Ethylene'!U$3-'Yearly HC Ethylene'!$N$3)/10))</f>
        <v>49801.269849977893</v>
      </c>
      <c r="V28" s="196">
        <f>V26*'R&amp;S - Packaging and hh goods'!$C$8*('R&amp;S - Packaging and hh goods'!$B$14*('R&amp;S - Packaging and hh goods'!$C$19+('R&amp;S - Packaging and hh goods'!$C$20-'R&amp;S - Packaging and hh goods'!$C$19)*('Yearly HC Ethylene'!V$3-'Yearly HC Ethylene'!$N$3)/10))</f>
        <v>53907.505630420048</v>
      </c>
      <c r="W28" s="196">
        <f>W26*'R&amp;S - Packaging and hh goods'!$C$8*('R&amp;S - Packaging and hh goods'!$B$14*('R&amp;S - Packaging and hh goods'!$C$19+('R&amp;S - Packaging and hh goods'!$C$20-'R&amp;S - Packaging and hh goods'!$C$19)*('Yearly HC Ethylene'!W$3-'Yearly HC Ethylene'!$N$3)/10))</f>
        <v>58013.741410862189</v>
      </c>
      <c r="X28" s="196">
        <f>X26*'R&amp;S - Packaging and hh goods'!$C$8*('R&amp;S - Packaging and hh goods'!$B$14*('R&amp;S - Packaging and hh goods'!$C$19+('R&amp;S - Packaging and hh goods'!$C$20-'R&amp;S - Packaging and hh goods'!$C$19)*('Yearly HC Ethylene'!X$3-'Yearly HC Ethylene'!$N$3)/10))</f>
        <v>62119.977191304344</v>
      </c>
      <c r="Y28" s="196">
        <f>Y26*'R&amp;S - Packaging and hh goods'!$C$8*('R&amp;S - Packaging and hh goods'!$B$14*('R&amp;S - Packaging and hh goods'!$C$20+('R&amp;S - Packaging and hh goods'!$C$21-'R&amp;S - Packaging and hh goods'!$C$20)*('Yearly HC Ethylene'!Y$3-'Yearly HC Ethylene'!$X$3)/10))</f>
        <v>66436.789165615322</v>
      </c>
      <c r="Z28" s="196">
        <f>Z26*'R&amp;S - Packaging and hh goods'!$C$8*('R&amp;S - Packaging and hh goods'!$B$14*('R&amp;S - Packaging and hh goods'!$C$20+('R&amp;S - Packaging and hh goods'!$C$21-'R&amp;S - Packaging and hh goods'!$C$20)*('Yearly HC Ethylene'!Z$3-'Yearly HC Ethylene'!$X$3)/10))</f>
        <v>70753.601139926293</v>
      </c>
      <c r="AA28" s="196">
        <f>AA26*'R&amp;S - Packaging and hh goods'!$C$8*('R&amp;S - Packaging and hh goods'!$B$14*('R&amp;S - Packaging and hh goods'!$C$20+('R&amp;S - Packaging and hh goods'!$C$21-'R&amp;S - Packaging and hh goods'!$C$20)*('Yearly HC Ethylene'!AA$3-'Yearly HC Ethylene'!$X$3)/10))</f>
        <v>75070.413114237279</v>
      </c>
      <c r="AB28" s="196">
        <f>AB26*'R&amp;S - Packaging and hh goods'!$C$8*('R&amp;S - Packaging and hh goods'!$B$14*('R&amp;S - Packaging and hh goods'!$C$20+('R&amp;S - Packaging and hh goods'!$C$21-'R&amp;S - Packaging and hh goods'!$C$20)*('Yearly HC Ethylene'!AB$3-'Yearly HC Ethylene'!$X$3)/10))</f>
        <v>79387.225088548264</v>
      </c>
      <c r="AC28" s="196">
        <f>AC26*'R&amp;S - Packaging and hh goods'!$C$8*('R&amp;S - Packaging and hh goods'!$B$14*('R&amp;S - Packaging and hh goods'!$C$20+('R&amp;S - Packaging and hh goods'!$C$21-'R&amp;S - Packaging and hh goods'!$C$20)*('Yearly HC Ethylene'!AC$3-'Yearly HC Ethylene'!$X$3)/10))</f>
        <v>83704.037062859235</v>
      </c>
      <c r="AD28" s="196">
        <f>AD26*'R&amp;S - Packaging and hh goods'!$C$8*('R&amp;S - Packaging and hh goods'!$B$14*('R&amp;S - Packaging and hh goods'!$C$20+('R&amp;S - Packaging and hh goods'!$C$21-'R&amp;S - Packaging and hh goods'!$C$20)*('Yearly HC Ethylene'!AD$3-'Yearly HC Ethylene'!$X$3)/10))</f>
        <v>88020.849037170221</v>
      </c>
      <c r="AE28" s="196">
        <f>AE26*'R&amp;S - Packaging and hh goods'!$C$8*('R&amp;S - Packaging and hh goods'!$B$14*('R&amp;S - Packaging and hh goods'!$C$20+('R&amp;S - Packaging and hh goods'!$C$21-'R&amp;S - Packaging and hh goods'!$C$20)*('Yearly HC Ethylene'!AE$3-'Yearly HC Ethylene'!$X$3)/10))</f>
        <v>92337.661011481207</v>
      </c>
      <c r="AF28" s="196">
        <f>AF26*'R&amp;S - Packaging and hh goods'!$C$8*('R&amp;S - Packaging and hh goods'!$B$14*('R&amp;S - Packaging and hh goods'!$C$20+('R&amp;S - Packaging and hh goods'!$C$21-'R&amp;S - Packaging and hh goods'!$C$20)*('Yearly HC Ethylene'!AF$3-'Yearly HC Ethylene'!$X$3)/10))</f>
        <v>96654.472985792177</v>
      </c>
      <c r="AG28" s="196">
        <f>AG26*'R&amp;S - Packaging and hh goods'!$C$8*('R&amp;S - Packaging and hh goods'!$B$14*('R&amp;S - Packaging and hh goods'!$C$20+('R&amp;S - Packaging and hh goods'!$C$21-'R&amp;S - Packaging and hh goods'!$C$20)*('Yearly HC Ethylene'!AG$3-'Yearly HC Ethylene'!$X$3)/10))</f>
        <v>100971.28496010318</v>
      </c>
      <c r="AH28" s="196">
        <f>AH26*'R&amp;S - Packaging and hh goods'!$C$8*('R&amp;S - Packaging and hh goods'!$B$14*('R&amp;S - Packaging and hh goods'!$C$20+('R&amp;S - Packaging and hh goods'!$C$21-'R&amp;S - Packaging and hh goods'!$C$20)*('Yearly HC Ethylene'!AH$3-'Yearly HC Ethylene'!$X$3)/10))</f>
        <v>105288.09693441415</v>
      </c>
    </row>
    <row r="29" spans="1:40" outlineLevel="1">
      <c r="B29" s="1" t="s">
        <v>164</v>
      </c>
      <c r="C29" s="51" t="s">
        <v>166</v>
      </c>
      <c r="D29" s="101">
        <f>SUM(D27:D28)</f>
        <v>0</v>
      </c>
      <c r="E29" s="101">
        <f t="shared" ref="E29:AH29" si="7">SUM(E27:E28)</f>
        <v>2469.2222185166715</v>
      </c>
      <c r="F29" s="101">
        <f t="shared" si="7"/>
        <v>4938.4444370333431</v>
      </c>
      <c r="G29" s="101">
        <f t="shared" si="7"/>
        <v>7407.666655550016</v>
      </c>
      <c r="H29" s="101">
        <f t="shared" si="7"/>
        <v>9876.8888740666862</v>
      </c>
      <c r="I29" s="101">
        <f t="shared" si="7"/>
        <v>12346.111092583358</v>
      </c>
      <c r="J29" s="101">
        <f t="shared" si="7"/>
        <v>14815.333311100032</v>
      </c>
      <c r="K29" s="101">
        <f t="shared" si="7"/>
        <v>17284.555529616704</v>
      </c>
      <c r="L29" s="101">
        <f t="shared" si="7"/>
        <v>19753.777748133372</v>
      </c>
      <c r="M29" s="101">
        <f t="shared" si="7"/>
        <v>22222.999966650044</v>
      </c>
      <c r="N29" s="101">
        <f t="shared" si="7"/>
        <v>24692.222185166716</v>
      </c>
      <c r="O29" s="101">
        <f t="shared" si="7"/>
        <v>30888.354574622103</v>
      </c>
      <c r="P29" s="101">
        <f t="shared" si="7"/>
        <v>37084.486964077492</v>
      </c>
      <c r="Q29" s="101">
        <f t="shared" si="7"/>
        <v>43280.619353532878</v>
      </c>
      <c r="R29" s="101">
        <f t="shared" si="7"/>
        <v>49476.751742988257</v>
      </c>
      <c r="S29" s="101">
        <f t="shared" si="7"/>
        <v>55672.884132443651</v>
      </c>
      <c r="T29" s="101">
        <f t="shared" si="7"/>
        <v>61869.01652189903</v>
      </c>
      <c r="U29" s="101">
        <f t="shared" si="7"/>
        <v>68065.148911354423</v>
      </c>
      <c r="V29" s="101">
        <f t="shared" si="7"/>
        <v>74261.281300809816</v>
      </c>
      <c r="W29" s="101">
        <f t="shared" si="7"/>
        <v>80457.413690265181</v>
      </c>
      <c r="X29" s="101">
        <f t="shared" si="7"/>
        <v>86653.546079720574</v>
      </c>
      <c r="Y29" s="101">
        <f t="shared" si="7"/>
        <v>93060.254663044791</v>
      </c>
      <c r="Z29" s="101">
        <f t="shared" si="7"/>
        <v>99466.963246368992</v>
      </c>
      <c r="AA29" s="101">
        <f t="shared" si="7"/>
        <v>105873.67182969322</v>
      </c>
      <c r="AB29" s="101">
        <f t="shared" si="7"/>
        <v>112280.38041301744</v>
      </c>
      <c r="AC29" s="101">
        <f t="shared" si="7"/>
        <v>118687.08899634164</v>
      </c>
      <c r="AD29" s="101">
        <f t="shared" si="7"/>
        <v>125093.79757966586</v>
      </c>
      <c r="AE29" s="101">
        <f t="shared" si="7"/>
        <v>131500.50616299006</v>
      </c>
      <c r="AF29" s="101">
        <f t="shared" si="7"/>
        <v>137907.21474631428</v>
      </c>
      <c r="AG29" s="101">
        <f t="shared" si="7"/>
        <v>144313.92332963852</v>
      </c>
      <c r="AH29" s="101">
        <f t="shared" si="7"/>
        <v>150720.63191296271</v>
      </c>
    </row>
    <row r="30" spans="1:40" outlineLevel="1">
      <c r="B30" s="58" t="s">
        <v>189</v>
      </c>
      <c r="C30" s="51" t="s">
        <v>166</v>
      </c>
      <c r="D30" s="196">
        <v>0</v>
      </c>
      <c r="E30" s="196">
        <f>E26*'R&amp;S - Packaging and hh goods'!$C$9*('R&amp;S - Packaging and hh goods'!$C$14*'R&amp;S - Packaging and hh goods'!$D$19*('Yearly HC Ethylene'!E$3-'Yearly HC Ethylene'!$D$3)/10)</f>
        <v>930.2852400369469</v>
      </c>
      <c r="F30" s="196">
        <f>F26*'R&amp;S - Packaging and hh goods'!$C$9*('R&amp;S - Packaging and hh goods'!$C$14*'R&amp;S - Packaging and hh goods'!$D$19*('Yearly HC Ethylene'!F$3-'Yearly HC Ethylene'!$D$3)/10)</f>
        <v>1860.5704800738938</v>
      </c>
      <c r="G30" s="196">
        <f>G26*'R&amp;S - Packaging and hh goods'!$C$9*('R&amp;S - Packaging and hh goods'!$C$14*'R&amp;S - Packaging and hh goods'!$D$19*('Yearly HC Ethylene'!G$3-'Yearly HC Ethylene'!$D$3)/10)</f>
        <v>2790.8557201108406</v>
      </c>
      <c r="H30" s="196">
        <f>H26*'R&amp;S - Packaging and hh goods'!$C$9*('R&amp;S - Packaging and hh goods'!$C$14*'R&amp;S - Packaging and hh goods'!$D$19*('Yearly HC Ethylene'!H$3-'Yearly HC Ethylene'!$D$3)/10)</f>
        <v>3721.1409601477876</v>
      </c>
      <c r="I30" s="196">
        <f>I26*'R&amp;S - Packaging and hh goods'!$C$9*('R&amp;S - Packaging and hh goods'!$C$14*'R&amp;S - Packaging and hh goods'!$D$19*('Yearly HC Ethylene'!I$3-'Yearly HC Ethylene'!$D$3)/10)</f>
        <v>4651.4262001847346</v>
      </c>
      <c r="J30" s="196">
        <f>J26*'R&amp;S - Packaging and hh goods'!$C$9*('R&amp;S - Packaging and hh goods'!$C$14*'R&amp;S - Packaging and hh goods'!$D$19*('Yearly HC Ethylene'!J$3-'Yearly HC Ethylene'!$D$3)/10)</f>
        <v>5581.7114402216812</v>
      </c>
      <c r="K30" s="196">
        <f>K26*'R&amp;S - Packaging and hh goods'!$C$9*('R&amp;S - Packaging and hh goods'!$C$14*'R&amp;S - Packaging and hh goods'!$D$19*('Yearly HC Ethylene'!K$3-'Yearly HC Ethylene'!$D$3)/10)</f>
        <v>6511.9966802586287</v>
      </c>
      <c r="L30" s="196">
        <f>L26*'R&amp;S - Packaging and hh goods'!$C$9*('R&amp;S - Packaging and hh goods'!$C$14*'R&amp;S - Packaging and hh goods'!$D$19*('Yearly HC Ethylene'!L$3-'Yearly HC Ethylene'!$D$3)/10)</f>
        <v>7442.2819202955752</v>
      </c>
      <c r="M30" s="196">
        <f>M26*'R&amp;S - Packaging and hh goods'!$C$9*('R&amp;S - Packaging and hh goods'!$C$14*'R&amp;S - Packaging and hh goods'!$D$19*('Yearly HC Ethylene'!M$3-'Yearly HC Ethylene'!$D$3)/10)</f>
        <v>8372.5671603325209</v>
      </c>
      <c r="N30" s="196">
        <f>N26*'R&amp;S - Packaging and hh goods'!$C$9*('R&amp;S - Packaging and hh goods'!$C$14*'R&amp;S - Packaging and hh goods'!$D$19*('Yearly HC Ethylene'!N$3-'Yearly HC Ethylene'!$D$3)/10)</f>
        <v>9302.8524003694693</v>
      </c>
      <c r="O30" s="196">
        <f>O26*'R&amp;S - Packaging and hh goods'!$C$9*('R&amp;S - Packaging and hh goods'!$C$14*'R&amp;S - Packaging and hh goods'!$D$19*('Yearly HC Ethylene'!O$3-'Yearly HC Ethylene'!$D$3)/10)</f>
        <v>10233.137640406414</v>
      </c>
      <c r="P30" s="196">
        <f>P26*'R&amp;S - Packaging and hh goods'!$C$9*('R&amp;S - Packaging and hh goods'!$C$14*'R&amp;S - Packaging and hh goods'!$D$19*('Yearly HC Ethylene'!P$3-'Yearly HC Ethylene'!$D$3)/10)</f>
        <v>11163.422880443362</v>
      </c>
      <c r="Q30" s="196">
        <f>Q26*'R&amp;S - Packaging and hh goods'!$C$9*('R&amp;S - Packaging and hh goods'!$C$14*'R&amp;S - Packaging and hh goods'!$D$19*('Yearly HC Ethylene'!Q$3-'Yearly HC Ethylene'!$D$3)/10)</f>
        <v>12093.708120480311</v>
      </c>
      <c r="R30" s="196">
        <f>R26*'R&amp;S - Packaging and hh goods'!$C$9*('R&amp;S - Packaging and hh goods'!$C$14*'R&amp;S - Packaging and hh goods'!$D$19*('Yearly HC Ethylene'!R$3-'Yearly HC Ethylene'!$D$3)/10)</f>
        <v>13023.993360517257</v>
      </c>
      <c r="S30" s="196">
        <f>S26*'R&amp;S - Packaging and hh goods'!$C$9*('R&amp;S - Packaging and hh goods'!$C$14*'R&amp;S - Packaging and hh goods'!$D$19*('Yearly HC Ethylene'!S$3-'Yearly HC Ethylene'!$D$3)/10)</f>
        <v>13954.278600554204</v>
      </c>
      <c r="T30" s="196">
        <f>T26*'R&amp;S - Packaging and hh goods'!$C$9*('R&amp;S - Packaging and hh goods'!$C$14*'R&amp;S - Packaging and hh goods'!$D$19*('Yearly HC Ethylene'!T$3-'Yearly HC Ethylene'!$D$3)/10)</f>
        <v>14884.56384059115</v>
      </c>
      <c r="U30" s="196">
        <f>U26*'R&amp;S - Packaging and hh goods'!$C$9*('R&amp;S - Packaging and hh goods'!$C$14*'R&amp;S - Packaging and hh goods'!$D$19*('Yearly HC Ethylene'!U$3-'Yearly HC Ethylene'!$D$3)/10)</f>
        <v>15814.849080628097</v>
      </c>
      <c r="V30" s="196">
        <f>V26*'R&amp;S - Packaging and hh goods'!$C$9*('R&amp;S - Packaging and hh goods'!$C$14*'R&amp;S - Packaging and hh goods'!$D$19*('Yearly HC Ethylene'!V$3-'Yearly HC Ethylene'!$D$3)/10)</f>
        <v>16745.134320665042</v>
      </c>
      <c r="W30" s="196">
        <f>W26*'R&amp;S - Packaging and hh goods'!$C$9*('R&amp;S - Packaging and hh goods'!$C$14*'R&amp;S - Packaging and hh goods'!$D$19*('Yearly HC Ethylene'!W$3-'Yearly HC Ethylene'!$D$3)/10)</f>
        <v>17675.419560701994</v>
      </c>
      <c r="X30" s="196">
        <f>X26*'R&amp;S - Packaging and hh goods'!$C$9*('R&amp;S - Packaging and hh goods'!$C$14*'R&amp;S - Packaging and hh goods'!$D$19*('Yearly HC Ethylene'!X$3-'Yearly HC Ethylene'!$D$3)/10)</f>
        <v>18605.704800738939</v>
      </c>
      <c r="Y30" s="196">
        <f>Y26*'R&amp;S - Packaging and hh goods'!$C$9*('R&amp;S - Packaging and hh goods'!$C$14*('R&amp;S - Packaging and hh goods'!$D$20+('R&amp;S - Packaging and hh goods'!$D$21-'R&amp;S - Packaging and hh goods'!$D$20)*('Yearly HC Ethylene'!Y$3-'Yearly HC Ethylene'!$X$3)/10))</f>
        <v>22078.769696876876</v>
      </c>
      <c r="Z30" s="196">
        <f>Z26*'R&amp;S - Packaging and hh goods'!$C$9*('R&amp;S - Packaging and hh goods'!$C$14*('R&amp;S - Packaging and hh goods'!$D$20+('R&amp;S - Packaging and hh goods'!$D$21-'R&amp;S - Packaging and hh goods'!$D$20)*('Yearly HC Ethylene'!Z$3-'Yearly HC Ethylene'!$X$3)/10))</f>
        <v>23071.073952916282</v>
      </c>
      <c r="AA30" s="196">
        <f>AA26*'R&amp;S - Packaging and hh goods'!$C$9*('R&amp;S - Packaging and hh goods'!$C$14*('R&amp;S - Packaging and hh goods'!$D$20+('R&amp;S - Packaging and hh goods'!$D$21-'R&amp;S - Packaging and hh goods'!$D$20)*('Yearly HC Ethylene'!AA$3-'Yearly HC Ethylene'!$X$3)/10))</f>
        <v>24063.378208955695</v>
      </c>
      <c r="AB30" s="196">
        <f>AB26*'R&amp;S - Packaging and hh goods'!$C$9*('R&amp;S - Packaging and hh goods'!$C$14*('R&amp;S - Packaging and hh goods'!$D$20+('R&amp;S - Packaging and hh goods'!$D$21-'R&amp;S - Packaging and hh goods'!$D$20)*('Yearly HC Ethylene'!AB$3-'Yearly HC Ethylene'!$X$3)/10))</f>
        <v>25055.682464995105</v>
      </c>
      <c r="AC30" s="196">
        <f>AC26*'R&amp;S - Packaging and hh goods'!$C$9*('R&amp;S - Packaging and hh goods'!$C$14*('R&amp;S - Packaging and hh goods'!$D$20+('R&amp;S - Packaging and hh goods'!$D$21-'R&amp;S - Packaging and hh goods'!$D$20)*('Yearly HC Ethylene'!AC$3-'Yearly HC Ethylene'!$X$3)/10))</f>
        <v>26047.986721034515</v>
      </c>
      <c r="AD30" s="196">
        <f>AD26*'R&amp;S - Packaging and hh goods'!$C$9*('R&amp;S - Packaging and hh goods'!$C$14*('R&amp;S - Packaging and hh goods'!$D$20+('R&amp;S - Packaging and hh goods'!$D$21-'R&amp;S - Packaging and hh goods'!$D$20)*('Yearly HC Ethylene'!AD$3-'Yearly HC Ethylene'!$X$3)/10))</f>
        <v>27040.290977073924</v>
      </c>
      <c r="AE30" s="196">
        <f>AE26*'R&amp;S - Packaging and hh goods'!$C$9*('R&amp;S - Packaging and hh goods'!$C$14*('R&amp;S - Packaging and hh goods'!$D$20+('R&amp;S - Packaging and hh goods'!$D$21-'R&amp;S - Packaging and hh goods'!$D$20)*('Yearly HC Ethylene'!AE$3-'Yearly HC Ethylene'!$X$3)/10))</f>
        <v>28032.595233113334</v>
      </c>
      <c r="AF30" s="196">
        <f>AF26*'R&amp;S - Packaging and hh goods'!$C$9*('R&amp;S - Packaging and hh goods'!$C$14*('R&amp;S - Packaging and hh goods'!$D$20+('R&amp;S - Packaging and hh goods'!$D$21-'R&amp;S - Packaging and hh goods'!$D$20)*('Yearly HC Ethylene'!AF$3-'Yearly HC Ethylene'!$X$3)/10))</f>
        <v>29024.89948915274</v>
      </c>
      <c r="AG30" s="196">
        <f>AG26*'R&amp;S - Packaging and hh goods'!$C$9*('R&amp;S - Packaging and hh goods'!$C$14*('R&amp;S - Packaging and hh goods'!$D$20+('R&amp;S - Packaging and hh goods'!$D$21-'R&amp;S - Packaging and hh goods'!$D$20)*('Yearly HC Ethylene'!AG$3-'Yearly HC Ethylene'!$X$3)/10))</f>
        <v>30017.203745192153</v>
      </c>
      <c r="AH30" s="196">
        <f>AH26*'R&amp;S - Packaging and hh goods'!$C$9*('R&amp;S - Packaging and hh goods'!$C$14*('R&amp;S - Packaging and hh goods'!$D$20+('R&amp;S - Packaging and hh goods'!$D$21-'R&amp;S - Packaging and hh goods'!$D$20)*('Yearly HC Ethylene'!AH$3-'Yearly HC Ethylene'!$X$3)/10))</f>
        <v>31009.508001231563</v>
      </c>
    </row>
    <row r="31" spans="1:40" outlineLevel="1">
      <c r="B31" s="58" t="s">
        <v>180</v>
      </c>
      <c r="C31" s="51" t="s">
        <v>166</v>
      </c>
      <c r="D31" s="196">
        <v>0</v>
      </c>
      <c r="E31" s="196">
        <f>E26*'R&amp;S - Packaging and hh goods'!$C$10*('R&amp;S - Packaging and hh goods'!$C$14*'R&amp;S - Packaging and hh goods'!$E$19*('Yearly HC Ethylene'!E$3-'Yearly HC Ethylene'!$D$3)/10)</f>
        <v>1396.1490114042865</v>
      </c>
      <c r="F31" s="196">
        <f>F26*'R&amp;S - Packaging and hh goods'!$C$10*('R&amp;S - Packaging and hh goods'!$C$14*'R&amp;S - Packaging and hh goods'!$E$19*('Yearly HC Ethylene'!F$3-'Yearly HC Ethylene'!$D$3)/10)</f>
        <v>2792.298022808573</v>
      </c>
      <c r="G31" s="196">
        <f>G26*'R&amp;S - Packaging and hh goods'!$C$10*('R&amp;S - Packaging and hh goods'!$C$14*'R&amp;S - Packaging and hh goods'!$E$19*('Yearly HC Ethylene'!G$3-'Yearly HC Ethylene'!$D$3)/10)</f>
        <v>4188.4470342128589</v>
      </c>
      <c r="H31" s="196">
        <f>H26*'R&amp;S - Packaging and hh goods'!$C$10*('R&amp;S - Packaging and hh goods'!$C$14*'R&amp;S - Packaging and hh goods'!$E$19*('Yearly HC Ethylene'!H$3-'Yearly HC Ethylene'!$D$3)/10)</f>
        <v>5584.596045617146</v>
      </c>
      <c r="I31" s="196">
        <f>I26*'R&amp;S - Packaging and hh goods'!$C$10*('R&amp;S - Packaging and hh goods'!$C$14*'R&amp;S - Packaging and hh goods'!$E$19*('Yearly HC Ethylene'!I$3-'Yearly HC Ethylene'!$D$3)/10)</f>
        <v>6980.7450570214323</v>
      </c>
      <c r="J31" s="196">
        <f>J26*'R&amp;S - Packaging and hh goods'!$C$10*('R&amp;S - Packaging and hh goods'!$C$14*'R&amp;S - Packaging and hh goods'!$E$19*('Yearly HC Ethylene'!J$3-'Yearly HC Ethylene'!$D$3)/10)</f>
        <v>8376.8940684257177</v>
      </c>
      <c r="K31" s="196">
        <f>K26*'R&amp;S - Packaging and hh goods'!$C$10*('R&amp;S - Packaging and hh goods'!$C$14*'R&amp;S - Packaging and hh goods'!$E$19*('Yearly HC Ethylene'!K$3-'Yearly HC Ethylene'!$D$3)/10)</f>
        <v>9773.0430798300058</v>
      </c>
      <c r="L31" s="196">
        <f>L26*'R&amp;S - Packaging and hh goods'!$C$10*('R&amp;S - Packaging and hh goods'!$C$14*'R&amp;S - Packaging and hh goods'!$E$19*('Yearly HC Ethylene'!L$3-'Yearly HC Ethylene'!$D$3)/10)</f>
        <v>11169.192091234292</v>
      </c>
      <c r="M31" s="196">
        <f>M26*'R&amp;S - Packaging and hh goods'!$C$10*('R&amp;S - Packaging and hh goods'!$C$14*'R&amp;S - Packaging and hh goods'!$E$19*('Yearly HC Ethylene'!M$3-'Yearly HC Ethylene'!$D$3)/10)</f>
        <v>12565.341102638577</v>
      </c>
      <c r="N31" s="196">
        <f>N26*'R&amp;S - Packaging and hh goods'!$C$10*('R&amp;S - Packaging and hh goods'!$C$14*'R&amp;S - Packaging and hh goods'!$E$19*('Yearly HC Ethylene'!N$3-'Yearly HC Ethylene'!$D$3)/10)</f>
        <v>13961.490114042865</v>
      </c>
      <c r="O31" s="196">
        <f>O26*'R&amp;S - Packaging and hh goods'!$C$10*('R&amp;S - Packaging and hh goods'!$C$14*'R&amp;S - Packaging and hh goods'!$E$19*('Yearly HC Ethylene'!O$3-'Yearly HC Ethylene'!$D$3)/10)</f>
        <v>15357.639125447149</v>
      </c>
      <c r="P31" s="196">
        <f>P26*'R&amp;S - Packaging and hh goods'!$C$10*('R&amp;S - Packaging and hh goods'!$C$14*('R&amp;S - Packaging and hh goods'!$E$19+('R&amp;S - Packaging and hh goods'!$E$20-'R&amp;S - Packaging and hh goods'!$E$19)*('Yearly HC Ethylene'!P$3-'Yearly HC Ethylene'!$O$3)/10))</f>
        <v>15488.528095266302</v>
      </c>
      <c r="Q31" s="196">
        <f>Q26*'R&amp;S - Packaging and hh goods'!$C$10*('R&amp;S - Packaging and hh goods'!$C$14*('R&amp;S - Packaging and hh goods'!$E$19+('R&amp;S - Packaging and hh goods'!$E$20-'R&amp;S - Packaging and hh goods'!$E$19)*('Yearly HC Ethylene'!Q$3-'Yearly HC Ethylene'!$O$3)/10))</f>
        <v>17015.56607648974</v>
      </c>
      <c r="R31" s="196">
        <f>R26*'R&amp;S - Packaging and hh goods'!$C$10*('R&amp;S - Packaging and hh goods'!$C$14*('R&amp;S - Packaging and hh goods'!$E$19+('R&amp;S - Packaging and hh goods'!$E$20-'R&amp;S - Packaging and hh goods'!$E$19)*('Yearly HC Ethylene'!R$3-'Yearly HC Ethylene'!$O$3)/10))</f>
        <v>18542.604057713179</v>
      </c>
      <c r="S31" s="196">
        <f>S26*'R&amp;S - Packaging and hh goods'!$C$10*('R&amp;S - Packaging and hh goods'!$C$14*('R&amp;S - Packaging and hh goods'!$E$19+('R&amp;S - Packaging and hh goods'!$E$20-'R&amp;S - Packaging and hh goods'!$E$19)*('Yearly HC Ethylene'!S$3-'Yearly HC Ethylene'!$O$3)/10))</f>
        <v>20069.642038936618</v>
      </c>
      <c r="T31" s="196">
        <f>T26*'R&amp;S - Packaging and hh goods'!$C$10*('R&amp;S - Packaging and hh goods'!$C$14*('R&amp;S - Packaging and hh goods'!$E$19+('R&amp;S - Packaging and hh goods'!$E$20-'R&amp;S - Packaging and hh goods'!$E$19)*('Yearly HC Ethylene'!T$3-'Yearly HC Ethylene'!$O$3)/10))</f>
        <v>21596.680020160056</v>
      </c>
      <c r="U31" s="196">
        <f>U26*'R&amp;S - Packaging and hh goods'!$C$10*('R&amp;S - Packaging and hh goods'!$C$14*('R&amp;S - Packaging and hh goods'!$E$19+('R&amp;S - Packaging and hh goods'!$E$20-'R&amp;S - Packaging and hh goods'!$E$19)*('Yearly HC Ethylene'!U$3-'Yearly HC Ethylene'!$O$3)/10))</f>
        <v>23123.718001383495</v>
      </c>
      <c r="V31" s="196">
        <f>V26*'R&amp;S - Packaging and hh goods'!$C$10*('R&amp;S - Packaging and hh goods'!$C$14*('R&amp;S - Packaging and hh goods'!$E$19+('R&amp;S - Packaging and hh goods'!$E$20-'R&amp;S - Packaging and hh goods'!$E$19)*('Yearly HC Ethylene'!V$3-'Yearly HC Ethylene'!$O$3)/10))</f>
        <v>24650.755982606934</v>
      </c>
      <c r="W31" s="196">
        <f>W26*'R&amp;S - Packaging and hh goods'!$C$10*('R&amp;S - Packaging and hh goods'!$C$14*('R&amp;S - Packaging and hh goods'!$E$19+('R&amp;S - Packaging and hh goods'!$E$20-'R&amp;S - Packaging and hh goods'!$E$19)*('Yearly HC Ethylene'!W$3-'Yearly HC Ethylene'!$O$3)/10))</f>
        <v>26177.793963830372</v>
      </c>
      <c r="X31" s="196">
        <f>X26*'R&amp;S - Packaging and hh goods'!$C$10*('R&amp;S - Packaging and hh goods'!$C$14*('R&amp;S - Packaging and hh goods'!$E$19+('R&amp;S - Packaging and hh goods'!$E$20-'R&amp;S - Packaging and hh goods'!$E$19)*('Yearly HC Ethylene'!X$3-'Yearly HC Ethylene'!$O$3)/10))</f>
        <v>27704.831945053807</v>
      </c>
      <c r="Y31" s="196">
        <f>Y26*'R&amp;S - Packaging and hh goods'!$C$10*('R&amp;S - Packaging and hh goods'!$C$14*('R&amp;S - Packaging and hh goods'!$E$20+('R&amp;S - Packaging and hh goods'!$E$21-'R&amp;S - Packaging and hh goods'!$E$20)*('Yearly HC Ethylene'!Y$3-'Yearly HC Ethylene'!$X$3)/10))</f>
        <v>30671.648594287919</v>
      </c>
      <c r="Z31" s="196">
        <f>Z26*'R&amp;S - Packaging and hh goods'!$C$10*('R&amp;S - Packaging and hh goods'!$C$14*('R&amp;S - Packaging and hh goods'!$E$20+('R&amp;S - Packaging and hh goods'!$E$21-'R&amp;S - Packaging and hh goods'!$E$20)*('Yearly HC Ethylene'!Z$3-'Yearly HC Ethylene'!$X$3)/10))</f>
        <v>32111.427262298585</v>
      </c>
      <c r="AA31" s="196">
        <f>AA26*'R&amp;S - Packaging and hh goods'!$C$10*('R&amp;S - Packaging and hh goods'!$C$14*('R&amp;S - Packaging and hh goods'!$E$20+('R&amp;S - Packaging and hh goods'!$E$21-'R&amp;S - Packaging and hh goods'!$E$20)*('Yearly HC Ethylene'!AA$3-'Yearly HC Ethylene'!$X$3)/10))</f>
        <v>33551.205930309261</v>
      </c>
      <c r="AB31" s="196">
        <f>AB26*'R&amp;S - Packaging and hh goods'!$C$10*('R&amp;S - Packaging and hh goods'!$C$14*('R&amp;S - Packaging and hh goods'!$E$20+('R&amp;S - Packaging and hh goods'!$E$21-'R&amp;S - Packaging and hh goods'!$E$20)*('Yearly HC Ethylene'!AB$3-'Yearly HC Ethylene'!$X$3)/10))</f>
        <v>34990.984598319927</v>
      </c>
      <c r="AC31" s="196">
        <f>AC26*'R&amp;S - Packaging and hh goods'!$C$10*('R&amp;S - Packaging and hh goods'!$C$14*('R&amp;S - Packaging and hh goods'!$E$20+('R&amp;S - Packaging and hh goods'!$E$21-'R&amp;S - Packaging and hh goods'!$E$20)*('Yearly HC Ethylene'!AC$3-'Yearly HC Ethylene'!$X$3)/10))</f>
        <v>36430.763266330599</v>
      </c>
      <c r="AD31" s="196">
        <f>AD26*'R&amp;S - Packaging and hh goods'!$C$10*('R&amp;S - Packaging and hh goods'!$C$14*('R&amp;S - Packaging and hh goods'!$E$20+('R&amp;S - Packaging and hh goods'!$E$21-'R&amp;S - Packaging and hh goods'!$E$20)*('Yearly HC Ethylene'!AD$3-'Yearly HC Ethylene'!$X$3)/10))</f>
        <v>37870.541934341265</v>
      </c>
      <c r="AE31" s="196">
        <f>AE26*'R&amp;S - Packaging and hh goods'!$C$10*('R&amp;S - Packaging and hh goods'!$C$14*('R&amp;S - Packaging and hh goods'!$E$20+('R&amp;S - Packaging and hh goods'!$E$21-'R&amp;S - Packaging and hh goods'!$E$20)*('Yearly HC Ethylene'!AE$3-'Yearly HC Ethylene'!$X$3)/10))</f>
        <v>39310.320602351938</v>
      </c>
      <c r="AF31" s="196">
        <f>AF26*'R&amp;S - Packaging and hh goods'!$C$10*('R&amp;S - Packaging and hh goods'!$C$14*('R&amp;S - Packaging and hh goods'!$E$20+('R&amp;S - Packaging and hh goods'!$E$21-'R&amp;S - Packaging and hh goods'!$E$20)*('Yearly HC Ethylene'!AF$3-'Yearly HC Ethylene'!$X$3)/10))</f>
        <v>40750.099270362603</v>
      </c>
      <c r="AG31" s="196">
        <f>AG26*'R&amp;S - Packaging and hh goods'!$C$10*('R&amp;S - Packaging and hh goods'!$C$14*('R&amp;S - Packaging and hh goods'!$E$20+('R&amp;S - Packaging and hh goods'!$E$21-'R&amp;S - Packaging and hh goods'!$E$20)*('Yearly HC Ethylene'!AG$3-'Yearly HC Ethylene'!$X$3)/10))</f>
        <v>42189.877938373284</v>
      </c>
      <c r="AH31" s="196">
        <f>AH26*'R&amp;S - Packaging and hh goods'!$C$10*('R&amp;S - Packaging and hh goods'!$C$14*('R&amp;S - Packaging and hh goods'!$E$20+('R&amp;S - Packaging and hh goods'!$E$21-'R&amp;S - Packaging and hh goods'!$E$20)*('Yearly HC Ethylene'!AH$3-'Yearly HC Ethylene'!$X$3)/10))</f>
        <v>43629.656606383949</v>
      </c>
    </row>
    <row r="32" spans="1:40" outlineLevel="1">
      <c r="B32" s="1" t="s">
        <v>167</v>
      </c>
      <c r="C32" s="51" t="s">
        <v>166</v>
      </c>
      <c r="D32" s="101">
        <f>SUM(D30:D31)</f>
        <v>0</v>
      </c>
      <c r="E32" s="101">
        <f t="shared" ref="E32:AH32" si="8">SUM(E30:E31)</f>
        <v>2326.4342514412333</v>
      </c>
      <c r="F32" s="101">
        <f t="shared" si="8"/>
        <v>4652.8685028824666</v>
      </c>
      <c r="G32" s="101">
        <f t="shared" si="8"/>
        <v>6979.3027543236994</v>
      </c>
      <c r="H32" s="101">
        <f t="shared" si="8"/>
        <v>9305.7370057649332</v>
      </c>
      <c r="I32" s="101">
        <f t="shared" si="8"/>
        <v>11632.171257206166</v>
      </c>
      <c r="J32" s="101">
        <f t="shared" si="8"/>
        <v>13958.605508647399</v>
      </c>
      <c r="K32" s="101">
        <f t="shared" si="8"/>
        <v>16285.039760088635</v>
      </c>
      <c r="L32" s="101">
        <f t="shared" si="8"/>
        <v>18611.474011529866</v>
      </c>
      <c r="M32" s="101">
        <f t="shared" si="8"/>
        <v>20937.908262971097</v>
      </c>
      <c r="N32" s="101">
        <f t="shared" si="8"/>
        <v>23264.342514412332</v>
      </c>
      <c r="O32" s="101">
        <f t="shared" si="8"/>
        <v>25590.776765853563</v>
      </c>
      <c r="P32" s="101">
        <f t="shared" si="8"/>
        <v>26651.950975709664</v>
      </c>
      <c r="Q32" s="101">
        <f t="shared" si="8"/>
        <v>29109.274196970051</v>
      </c>
      <c r="R32" s="101">
        <f t="shared" si="8"/>
        <v>31566.597418230434</v>
      </c>
      <c r="S32" s="101">
        <f t="shared" si="8"/>
        <v>34023.920639490825</v>
      </c>
      <c r="T32" s="101">
        <f t="shared" si="8"/>
        <v>36481.243860751209</v>
      </c>
      <c r="U32" s="101">
        <f t="shared" si="8"/>
        <v>38938.567082011592</v>
      </c>
      <c r="V32" s="101">
        <f t="shared" si="8"/>
        <v>41395.890303271975</v>
      </c>
      <c r="W32" s="101">
        <f t="shared" si="8"/>
        <v>43853.213524532366</v>
      </c>
      <c r="X32" s="101">
        <f t="shared" si="8"/>
        <v>46310.53674579275</v>
      </c>
      <c r="Y32" s="101">
        <f t="shared" si="8"/>
        <v>52750.418291164795</v>
      </c>
      <c r="Z32" s="101">
        <f t="shared" si="8"/>
        <v>55182.50121521487</v>
      </c>
      <c r="AA32" s="101">
        <f t="shared" si="8"/>
        <v>57614.58413926496</v>
      </c>
      <c r="AB32" s="101">
        <f t="shared" si="8"/>
        <v>60046.667063315035</v>
      </c>
      <c r="AC32" s="101">
        <f t="shared" si="8"/>
        <v>62478.74998736511</v>
      </c>
      <c r="AD32" s="101">
        <f t="shared" si="8"/>
        <v>64910.832911415186</v>
      </c>
      <c r="AE32" s="101">
        <f t="shared" si="8"/>
        <v>67342.915835465275</v>
      </c>
      <c r="AF32" s="101">
        <f t="shared" si="8"/>
        <v>69774.998759515351</v>
      </c>
      <c r="AG32" s="101">
        <f t="shared" si="8"/>
        <v>72207.08168356544</v>
      </c>
      <c r="AH32" s="101">
        <f t="shared" si="8"/>
        <v>74639.164607615516</v>
      </c>
    </row>
    <row r="33" spans="1:35" s="178" customFormat="1">
      <c r="A33" s="178" t="s">
        <v>195</v>
      </c>
      <c r="B33" s="178" t="s">
        <v>78</v>
      </c>
      <c r="C33" s="179" t="s">
        <v>166</v>
      </c>
      <c r="D33" s="640">
        <f>D26-D29-D32</f>
        <v>360575.67443292518</v>
      </c>
      <c r="E33" s="640">
        <f>E26-E29-E32</f>
        <v>355780.01796296728</v>
      </c>
      <c r="F33" s="640">
        <f t="shared" ref="F33:AH33" si="9">F26-F29-F32</f>
        <v>350984.36149300938</v>
      </c>
      <c r="G33" s="640">
        <f t="shared" si="9"/>
        <v>346188.70502305147</v>
      </c>
      <c r="H33" s="640">
        <f t="shared" si="9"/>
        <v>341393.04855309357</v>
      </c>
      <c r="I33" s="640">
        <f t="shared" si="9"/>
        <v>336597.39208313567</v>
      </c>
      <c r="J33" s="640">
        <f t="shared" si="9"/>
        <v>331801.73561317776</v>
      </c>
      <c r="K33" s="640">
        <f t="shared" si="9"/>
        <v>327006.07914321986</v>
      </c>
      <c r="L33" s="640">
        <f t="shared" si="9"/>
        <v>322210.42267326196</v>
      </c>
      <c r="M33" s="640">
        <f t="shared" si="9"/>
        <v>317414.76620330405</v>
      </c>
      <c r="N33" s="640">
        <f t="shared" si="9"/>
        <v>312619.10973334615</v>
      </c>
      <c r="O33" s="640">
        <f t="shared" si="9"/>
        <v>304096.54309244949</v>
      </c>
      <c r="P33" s="640">
        <f t="shared" si="9"/>
        <v>296839.23649313801</v>
      </c>
      <c r="Q33" s="640">
        <f t="shared" si="9"/>
        <v>288185.78088242223</v>
      </c>
      <c r="R33" s="640">
        <f t="shared" si="9"/>
        <v>279532.3252717065</v>
      </c>
      <c r="S33" s="640">
        <f t="shared" si="9"/>
        <v>270878.86966099072</v>
      </c>
      <c r="T33" s="640">
        <f t="shared" si="9"/>
        <v>262225.41405027494</v>
      </c>
      <c r="U33" s="640">
        <f t="shared" si="9"/>
        <v>253571.95843955915</v>
      </c>
      <c r="V33" s="640">
        <f t="shared" si="9"/>
        <v>244918.5028288434</v>
      </c>
      <c r="W33" s="640">
        <f t="shared" si="9"/>
        <v>236265.04721812767</v>
      </c>
      <c r="X33" s="640">
        <f t="shared" si="9"/>
        <v>227611.59160741183</v>
      </c>
      <c r="Y33" s="640">
        <f t="shared" si="9"/>
        <v>214765.00147871557</v>
      </c>
      <c r="Z33" s="640">
        <f t="shared" si="9"/>
        <v>205926.20997134133</v>
      </c>
      <c r="AA33" s="640">
        <f t="shared" si="9"/>
        <v>197087.41846396698</v>
      </c>
      <c r="AB33" s="640">
        <f t="shared" si="9"/>
        <v>188248.62695659272</v>
      </c>
      <c r="AC33" s="640">
        <f t="shared" si="9"/>
        <v>179409.83544921846</v>
      </c>
      <c r="AD33" s="640">
        <f t="shared" si="9"/>
        <v>170571.04394184414</v>
      </c>
      <c r="AE33" s="640">
        <f t="shared" si="9"/>
        <v>161732.25243446985</v>
      </c>
      <c r="AF33" s="640">
        <f t="shared" si="9"/>
        <v>152893.46092709556</v>
      </c>
      <c r="AG33" s="640">
        <f t="shared" si="9"/>
        <v>144054.66941972123</v>
      </c>
      <c r="AH33" s="640">
        <f t="shared" si="9"/>
        <v>135215.87791234697</v>
      </c>
    </row>
    <row r="34" spans="1:35" s="62" customFormat="1">
      <c r="A34" s="688" t="s">
        <v>685</v>
      </c>
      <c r="B34" s="55" t="s">
        <v>141</v>
      </c>
      <c r="C34" s="56" t="s">
        <v>166</v>
      </c>
      <c r="D34" s="630">
        <f>D26*('Demand - Ethylene'!$C$73)</f>
        <v>220273.23005700734</v>
      </c>
      <c r="E34" s="630">
        <f>E26*('Demand - Ethylene'!$C$73)-E$27/'R&amp;S - Packaging and hh goods'!$C$7*'R&amp;S - Packaging and hh goods'!$S7-E$28/'R&amp;S - Packaging and hh goods'!$C$8*'R&amp;S - Packaging and hh goods'!$S8-E$30/'R&amp;S - Packaging and hh goods'!$C$9*'R&amp;S - Packaging and hh goods'!$S9-E$31/'R&amp;S - Packaging and hh goods'!$C$10*'R&amp;S - Packaging and hh goods'!$S10</f>
        <v>216195.11917917093</v>
      </c>
      <c r="F34" s="630">
        <f>F26*('Demand - Ethylene'!$C$73)-F$27/'R&amp;S - Packaging and hh goods'!$C$7*'R&amp;S - Packaging and hh goods'!$S7-F$28/'R&amp;S - Packaging and hh goods'!$C$8*'R&amp;S - Packaging and hh goods'!$S8-F$30/'R&amp;S - Packaging and hh goods'!$C$9*'R&amp;S - Packaging and hh goods'!$S9-F$31/'R&amp;S - Packaging and hh goods'!$C$10*'R&amp;S - Packaging and hh goods'!$S10</f>
        <v>212117.00830133457</v>
      </c>
      <c r="G34" s="630">
        <f>G26*('Demand - Ethylene'!$C$73)-G$27/'R&amp;S - Packaging and hh goods'!$C$7*'R&amp;S - Packaging and hh goods'!$S7-G$28/'R&amp;S - Packaging and hh goods'!$C$8*'R&amp;S - Packaging and hh goods'!$S8-G$30/'R&amp;S - Packaging and hh goods'!$C$9*'R&amp;S - Packaging and hh goods'!$S9-G$31/'R&amp;S - Packaging and hh goods'!$C$10*'R&amp;S - Packaging and hh goods'!$S10</f>
        <v>208038.89742349819</v>
      </c>
      <c r="H34" s="630">
        <f>H26*('Demand - Ethylene'!$C$73)-H$27/'R&amp;S - Packaging and hh goods'!$C$7*'R&amp;S - Packaging and hh goods'!$S7-H$28/'R&amp;S - Packaging and hh goods'!$C$8*'R&amp;S - Packaging and hh goods'!$S8-H$30/'R&amp;S - Packaging and hh goods'!$C$9*'R&amp;S - Packaging and hh goods'!$S9-H$31/'R&amp;S - Packaging and hh goods'!$C$10*'R&amp;S - Packaging and hh goods'!$S10</f>
        <v>203960.7865456618</v>
      </c>
      <c r="I34" s="630">
        <f>I26*('Demand - Ethylene'!$C$73)-I$27/'R&amp;S - Packaging and hh goods'!$C$7*'R&amp;S - Packaging and hh goods'!$S7-I$28/'R&amp;S - Packaging and hh goods'!$C$8*'R&amp;S - Packaging and hh goods'!$S8-I$30/'R&amp;S - Packaging and hh goods'!$C$9*'R&amp;S - Packaging and hh goods'!$S9-I$31/'R&amp;S - Packaging and hh goods'!$C$10*'R&amp;S - Packaging and hh goods'!$S10</f>
        <v>199882.67566782542</v>
      </c>
      <c r="J34" s="630">
        <f>J26*('Demand - Ethylene'!$C$73)-J$27/'R&amp;S - Packaging and hh goods'!$C$7*'R&amp;S - Packaging and hh goods'!$S7-J$28/'R&amp;S - Packaging and hh goods'!$C$8*'R&amp;S - Packaging and hh goods'!$S8-J$30/'R&amp;S - Packaging and hh goods'!$C$9*'R&amp;S - Packaging and hh goods'!$S9-J$31/'R&amp;S - Packaging and hh goods'!$C$10*'R&amp;S - Packaging and hh goods'!$S10</f>
        <v>195804.56478998903</v>
      </c>
      <c r="K34" s="630">
        <f>K26*('Demand - Ethylene'!$C$73)-K$27/'R&amp;S - Packaging and hh goods'!$C$7*'R&amp;S - Packaging and hh goods'!$S7-K$28/'R&amp;S - Packaging and hh goods'!$C$8*'R&amp;S - Packaging and hh goods'!$S8-K$30/'R&amp;S - Packaging and hh goods'!$C$9*'R&amp;S - Packaging and hh goods'!$S9-K$31/'R&amp;S - Packaging and hh goods'!$C$10*'R&amp;S - Packaging and hh goods'!$S10</f>
        <v>191726.45391215262</v>
      </c>
      <c r="L34" s="630">
        <f>L26*('Demand - Ethylene'!$C$73)-L$27/'R&amp;S - Packaging and hh goods'!$C$7*'R&amp;S - Packaging and hh goods'!$S7-L$28/'R&amp;S - Packaging and hh goods'!$C$8*'R&amp;S - Packaging and hh goods'!$S8-L$30/'R&amp;S - Packaging and hh goods'!$C$9*'R&amp;S - Packaging and hh goods'!$S9-L$31/'R&amp;S - Packaging and hh goods'!$C$10*'R&amp;S - Packaging and hh goods'!$S10</f>
        <v>187648.34303431632</v>
      </c>
      <c r="M34" s="630">
        <f>M26*('Demand - Ethylene'!$C$73)-M$27/'R&amp;S - Packaging and hh goods'!$C$7*'R&amp;S - Packaging and hh goods'!$S7-M$28/'R&amp;S - Packaging and hh goods'!$C$8*'R&amp;S - Packaging and hh goods'!$S8-M$30/'R&amp;S - Packaging and hh goods'!$C$9*'R&amp;S - Packaging and hh goods'!$S9-M$31/'R&amp;S - Packaging and hh goods'!$C$10*'R&amp;S - Packaging and hh goods'!$S10</f>
        <v>183570.23215647991</v>
      </c>
      <c r="N34" s="630">
        <f>N26*('Demand - Ethylene'!$C$73)-N$27/'R&amp;S - Packaging and hh goods'!$C$7*'R&amp;S - Packaging and hh goods'!$S7-N$28/'R&amp;S - Packaging and hh goods'!$C$8*'R&amp;S - Packaging and hh goods'!$S8-N$30/'R&amp;S - Packaging and hh goods'!$C$9*'R&amp;S - Packaging and hh goods'!$S9-N$31/'R&amp;S - Packaging and hh goods'!$C$10*'R&amp;S - Packaging and hh goods'!$S10</f>
        <v>179492.12127864352</v>
      </c>
      <c r="O34" s="630">
        <f>O26*('Demand - Ethylene'!$C$73)-O$27/'R&amp;S - Packaging and hh goods'!$C$7*'R&amp;S - Packaging and hh goods'!$S7-O$28/'R&amp;S - Packaging and hh goods'!$C$8*'R&amp;S - Packaging and hh goods'!$S8-O$30/'R&amp;S - Packaging and hh goods'!$C$9*'R&amp;S - Packaging and hh goods'!$S9-O$31/'R&amp;S - Packaging and hh goods'!$C$10*'R&amp;S - Packaging and hh goods'!$S10</f>
        <v>172194.0696281211</v>
      </c>
      <c r="P34" s="630">
        <f>P26*('Demand - Ethylene'!$C$73)-P$27/'R&amp;S - Packaging and hh goods'!$C$7*'R&amp;S - Packaging and hh goods'!$S7-P$28/'R&amp;S - Packaging and hh goods'!$C$8*'R&amp;S - Packaging and hh goods'!$S8-P$30/'R&amp;S - Packaging and hh goods'!$C$9*'R&amp;S - Packaging and hh goods'!$S9-P$31/'R&amp;S - Packaging and hh goods'!$C$10*'R&amp;S - Packaging and hh goods'!$S10</f>
        <v>165962.60082257129</v>
      </c>
      <c r="Q34" s="630">
        <f>Q26*('Demand - Ethylene'!$C$73)-Q$27/'R&amp;S - Packaging and hh goods'!$C$7*'R&amp;S - Packaging and hh goods'!$S7-Q$28/'R&amp;S - Packaging and hh goods'!$C$8*'R&amp;S - Packaging and hh goods'!$S8-Q$30/'R&amp;S - Packaging and hh goods'!$C$9*'R&amp;S - Packaging and hh goods'!$S9-Q$31/'R&amp;S - Packaging and hh goods'!$C$10*'R&amp;S - Packaging and hh goods'!$S10</f>
        <v>158554.2130156724</v>
      </c>
      <c r="R34" s="630">
        <f>R26*('Demand - Ethylene'!$C$73)-R$27/'R&amp;S - Packaging and hh goods'!$C$7*'R&amp;S - Packaging and hh goods'!$S7-R$28/'R&amp;S - Packaging and hh goods'!$C$8*'R&amp;S - Packaging and hh goods'!$S8-R$30/'R&amp;S - Packaging and hh goods'!$C$9*'R&amp;S - Packaging and hh goods'!$S9-R$31/'R&amp;S - Packaging and hh goods'!$C$10*'R&amp;S - Packaging and hh goods'!$S10</f>
        <v>151145.82520877352</v>
      </c>
      <c r="S34" s="630">
        <f>S26*('Demand - Ethylene'!$C$73)-S$27/'R&amp;S - Packaging and hh goods'!$C$7*'R&amp;S - Packaging and hh goods'!$S7-S$28/'R&amp;S - Packaging and hh goods'!$C$8*'R&amp;S - Packaging and hh goods'!$S8-S$30/'R&amp;S - Packaging and hh goods'!$C$9*'R&amp;S - Packaging and hh goods'!$S9-S$31/'R&amp;S - Packaging and hh goods'!$C$10*'R&amp;S - Packaging and hh goods'!$S10</f>
        <v>143737.43740187463</v>
      </c>
      <c r="T34" s="630">
        <f>T26*('Demand - Ethylene'!$C$73)-T$27/'R&amp;S - Packaging and hh goods'!$C$7*'R&amp;S - Packaging and hh goods'!$S7-T$28/'R&amp;S - Packaging and hh goods'!$C$8*'R&amp;S - Packaging and hh goods'!$S8-T$30/'R&amp;S - Packaging and hh goods'!$C$9*'R&amp;S - Packaging and hh goods'!$S9-T$31/'R&amp;S - Packaging and hh goods'!$C$10*'R&amp;S - Packaging and hh goods'!$S10</f>
        <v>136329.04959497578</v>
      </c>
      <c r="U34" s="630">
        <f>U26*('Demand - Ethylene'!$C$73)-U$27/'R&amp;S - Packaging and hh goods'!$C$7*'R&amp;S - Packaging and hh goods'!$S7-U$28/'R&amp;S - Packaging and hh goods'!$C$8*'R&amp;S - Packaging and hh goods'!$S8-U$30/'R&amp;S - Packaging and hh goods'!$C$9*'R&amp;S - Packaging and hh goods'!$S9-U$31/'R&amp;S - Packaging and hh goods'!$C$10*'R&amp;S - Packaging and hh goods'!$S10</f>
        <v>128920.66178807688</v>
      </c>
      <c r="V34" s="630">
        <f>V26*('Demand - Ethylene'!$C$73)-V$27/'R&amp;S - Packaging and hh goods'!$C$7*'R&amp;S - Packaging and hh goods'!$S7-V$28/'R&amp;S - Packaging and hh goods'!$C$8*'R&amp;S - Packaging and hh goods'!$S8-V$30/'R&amp;S - Packaging and hh goods'!$C$9*'R&amp;S - Packaging and hh goods'!$S9-V$31/'R&amp;S - Packaging and hh goods'!$C$10*'R&amp;S - Packaging and hh goods'!$S10</f>
        <v>121512.27398117798</v>
      </c>
      <c r="W34" s="630">
        <f>W26*('Demand - Ethylene'!$C$73)-W$27/'R&amp;S - Packaging and hh goods'!$C$7*'R&amp;S - Packaging and hh goods'!$S7-W$28/'R&amp;S - Packaging and hh goods'!$C$8*'R&amp;S - Packaging and hh goods'!$S8-W$30/'R&amp;S - Packaging and hh goods'!$C$9*'R&amp;S - Packaging and hh goods'!$S9-W$31/'R&amp;S - Packaging and hh goods'!$C$10*'R&amp;S - Packaging and hh goods'!$S10</f>
        <v>114103.88617427912</v>
      </c>
      <c r="X34" s="630">
        <f>X26*('Demand - Ethylene'!$C$73)-X$27/'R&amp;S - Packaging and hh goods'!$C$7*'R&amp;S - Packaging and hh goods'!$S7-X$28/'R&amp;S - Packaging and hh goods'!$C$8*'R&amp;S - Packaging and hh goods'!$S8-X$30/'R&amp;S - Packaging and hh goods'!$C$9*'R&amp;S - Packaging and hh goods'!$S9-X$31/'R&amp;S - Packaging and hh goods'!$C$10*'R&amp;S - Packaging and hh goods'!$S10</f>
        <v>106695.49836738023</v>
      </c>
      <c r="Y34" s="630">
        <f>Y26*('Demand - Ethylene'!$C$73)-Y$27/'R&amp;S - Packaging and hh goods'!$C$7*'R&amp;S - Packaging and hh goods'!$S7-Y$28/'R&amp;S - Packaging and hh goods'!$C$8*'R&amp;S - Packaging and hh goods'!$S8-Y$30/'R&amp;S - Packaging and hh goods'!$C$9*'R&amp;S - Packaging and hh goods'!$S9-Y$31/'R&amp;S - Packaging and hh goods'!$C$10*'R&amp;S - Packaging and hh goods'!$S10</f>
        <v>95848.660929089005</v>
      </c>
      <c r="Z34" s="630">
        <f>Z26*('Demand - Ethylene'!$C$73)-Z$27/'R&amp;S - Packaging and hh goods'!$C$7*'R&amp;S - Packaging and hh goods'!$S7-Z$28/'R&amp;S - Packaging and hh goods'!$C$8*'R&amp;S - Packaging and hh goods'!$S8-Z$30/'R&amp;S - Packaging and hh goods'!$C$9*'R&amp;S - Packaging and hh goods'!$S9-Z$31/'R&amp;S - Packaging and hh goods'!$C$10*'R&amp;S - Packaging and hh goods'!$S10</f>
        <v>88279.45637139304</v>
      </c>
      <c r="AA34" s="630">
        <f>AA26*('Demand - Ethylene'!$C$73)-AA$27/'R&amp;S - Packaging and hh goods'!$C$7*'R&amp;S - Packaging and hh goods'!$S7-AA$28/'R&amp;S - Packaging and hh goods'!$C$8*'R&amp;S - Packaging and hh goods'!$S8-AA$30/'R&amp;S - Packaging and hh goods'!$C$9*'R&amp;S - Packaging and hh goods'!$S9-AA$31/'R&amp;S - Packaging and hh goods'!$C$10*'R&amp;S - Packaging and hh goods'!$S10</f>
        <v>80710.251813697047</v>
      </c>
      <c r="AB34" s="630">
        <f>AB26*('Demand - Ethylene'!$C$73)-AB$27/'R&amp;S - Packaging and hh goods'!$C$7*'R&amp;S - Packaging and hh goods'!$S7-AB$28/'R&amp;S - Packaging and hh goods'!$C$8*'R&amp;S - Packaging and hh goods'!$S8-AB$30/'R&amp;S - Packaging and hh goods'!$C$9*'R&amp;S - Packaging and hh goods'!$S9-AB$31/'R&amp;S - Packaging and hh goods'!$C$10*'R&amp;S - Packaging and hh goods'!$S10</f>
        <v>73141.047256001097</v>
      </c>
      <c r="AC34" s="630">
        <f>AC26*('Demand - Ethylene'!$C$73)-AC$27/'R&amp;S - Packaging and hh goods'!$C$7*'R&amp;S - Packaging and hh goods'!$S7-AC$28/'R&amp;S - Packaging and hh goods'!$C$8*'R&amp;S - Packaging and hh goods'!$S8-AC$30/'R&amp;S - Packaging and hh goods'!$C$9*'R&amp;S - Packaging and hh goods'!$S9-AC$31/'R&amp;S - Packaging and hh goods'!$C$10*'R&amp;S - Packaging and hh goods'!$S10</f>
        <v>65571.842698305103</v>
      </c>
      <c r="AD34" s="630">
        <f>AD26*('Demand - Ethylene'!$C$73)-AD$27/'R&amp;S - Packaging and hh goods'!$C$7*'R&amp;S - Packaging and hh goods'!$S7-AD$28/'R&amp;S - Packaging and hh goods'!$C$8*'R&amp;S - Packaging and hh goods'!$S8-AD$30/'R&amp;S - Packaging and hh goods'!$C$9*'R&amp;S - Packaging and hh goods'!$S9-AD$31/'R&amp;S - Packaging and hh goods'!$C$10*'R&amp;S - Packaging and hh goods'!$S10</f>
        <v>58002.638140609168</v>
      </c>
      <c r="AE34" s="630">
        <f>AE26*('Demand - Ethylene'!$C$73)-AE$27/'R&amp;S - Packaging and hh goods'!$C$7*'R&amp;S - Packaging and hh goods'!$S7-AE$28/'R&amp;S - Packaging and hh goods'!$C$8*'R&amp;S - Packaging and hh goods'!$S8-AE$30/'R&amp;S - Packaging and hh goods'!$C$9*'R&amp;S - Packaging and hh goods'!$S9-AE$31/'R&amp;S - Packaging and hh goods'!$C$10*'R&amp;S - Packaging and hh goods'!$S10</f>
        <v>50433.433582913181</v>
      </c>
      <c r="AF34" s="630">
        <f>AF26*('Demand - Ethylene'!$C$73)-AF$27/'R&amp;S - Packaging and hh goods'!$C$7*'R&amp;S - Packaging and hh goods'!$S7-AF$28/'R&amp;S - Packaging and hh goods'!$C$8*'R&amp;S - Packaging and hh goods'!$S8-AF$30/'R&amp;S - Packaging and hh goods'!$C$9*'R&amp;S - Packaging and hh goods'!$S9-AF$31/'R&amp;S - Packaging and hh goods'!$C$10*'R&amp;S - Packaging and hh goods'!$S10</f>
        <v>42864.229025217217</v>
      </c>
      <c r="AG34" s="630">
        <f>AG26*('Demand - Ethylene'!$C$73)-AG$27/'R&amp;S - Packaging and hh goods'!$C$7*'R&amp;S - Packaging and hh goods'!$S7-AG$28/'R&amp;S - Packaging and hh goods'!$C$8*'R&amp;S - Packaging and hh goods'!$S8-AG$30/'R&amp;S - Packaging and hh goods'!$C$9*'R&amp;S - Packaging and hh goods'!$S9-AG$31/'R&amp;S - Packaging and hh goods'!$C$10*'R&amp;S - Packaging and hh goods'!$S10</f>
        <v>35295.024467521253</v>
      </c>
      <c r="AH34" s="630">
        <f>AH26*('Demand - Ethylene'!$C$73)-AH$27/'R&amp;S - Packaging and hh goods'!$C$7*'R&amp;S - Packaging and hh goods'!$S7-AH$28/'R&amp;S - Packaging and hh goods'!$C$8*'R&amp;S - Packaging and hh goods'!$S8-AH$30/'R&amp;S - Packaging and hh goods'!$C$9*'R&amp;S - Packaging and hh goods'!$S9-AH$31/'R&amp;S - Packaging and hh goods'!$C$10*'R&amp;S - Packaging and hh goods'!$S10</f>
        <v>27725.819909825281</v>
      </c>
      <c r="AI34" s="57"/>
    </row>
    <row r="35" spans="1:35">
      <c r="A35" s="689"/>
      <c r="B35" s="1" t="s">
        <v>18</v>
      </c>
      <c r="C35" s="51" t="s">
        <v>166</v>
      </c>
      <c r="D35" s="196">
        <f>D39/('Demand - Ethylene'!$K$14)</f>
        <v>181040.18182479939</v>
      </c>
      <c r="E35" s="196">
        <f>E39/('Demand - Ethylene'!$K$14)</f>
        <v>178632.34740652959</v>
      </c>
      <c r="F35" s="196">
        <f>F39/('Demand - Ethylene'!$K$14)</f>
        <v>176224.51298825978</v>
      </c>
      <c r="G35" s="196">
        <f>G39/('Demand - Ethylene'!$K$14)</f>
        <v>173816.67856998992</v>
      </c>
      <c r="H35" s="196">
        <f>H39/('Demand - Ethylene'!$K$14)</f>
        <v>171408.84415172008</v>
      </c>
      <c r="I35" s="196">
        <f>I39/('Demand - Ethylene'!$K$14)</f>
        <v>169001.00973345028</v>
      </c>
      <c r="J35" s="196">
        <f>J39/('Demand - Ethylene'!$K$14)</f>
        <v>166593.17531518042</v>
      </c>
      <c r="K35" s="196">
        <f>K39/('Demand - Ethylene'!$K$14)</f>
        <v>164185.34089691061</v>
      </c>
      <c r="L35" s="196">
        <f>L39/('Demand - Ethylene'!$K$14)</f>
        <v>161777.50647864075</v>
      </c>
      <c r="M35" s="196">
        <f>M39/('Demand - Ethylene'!$K$14)</f>
        <v>159369.67206037094</v>
      </c>
      <c r="N35" s="196">
        <f>N39/('Demand - Ethylene'!$K$14)</f>
        <v>156961.83764210111</v>
      </c>
      <c r="O35" s="196">
        <f>O39/('Demand - Ethylene'!$K$14)</f>
        <v>152682.77190449016</v>
      </c>
      <c r="P35" s="196">
        <f>P39/('Demand - Ethylene'!$K$14)</f>
        <v>149038.97616490239</v>
      </c>
      <c r="Q35" s="196">
        <f>Q39/('Demand - Ethylene'!$K$14)</f>
        <v>144694.19284128904</v>
      </c>
      <c r="R35" s="196">
        <f>R39/('Demand - Ethylene'!$K$14)</f>
        <v>140349.4095176757</v>
      </c>
      <c r="S35" s="196">
        <f>S39/('Demand - Ethylene'!$K$14)</f>
        <v>136004.62619406232</v>
      </c>
      <c r="T35" s="196">
        <f>T39/('Demand - Ethylene'!$K$14)</f>
        <v>131659.84287044895</v>
      </c>
      <c r="U35" s="196">
        <f>U39/('Demand - Ethylene'!$K$14)</f>
        <v>127315.0595468356</v>
      </c>
      <c r="V35" s="196">
        <f>V39/('Demand - Ethylene'!$K$14)</f>
        <v>122970.27622322223</v>
      </c>
      <c r="W35" s="196">
        <f>W39/('Demand - Ethylene'!$K$14)</f>
        <v>118625.49289960889</v>
      </c>
      <c r="X35" s="196">
        <f>X39/('Demand - Ethylene'!$K$14)</f>
        <v>114280.7095759955</v>
      </c>
      <c r="Y35" s="196">
        <f>Y39/('Demand - Ethylene'!$K$14)</f>
        <v>107830.60997794155</v>
      </c>
      <c r="Z35" s="196">
        <f>Z39/('Demand - Ethylene'!$K$14)</f>
        <v>103392.77200087027</v>
      </c>
      <c r="AA35" s="196">
        <f>AA39/('Demand - Ethylene'!$K$14)</f>
        <v>98954.934023798924</v>
      </c>
      <c r="AB35" s="196">
        <f>AB39/('Demand - Ethylene'!$K$14)</f>
        <v>94517.096046727631</v>
      </c>
      <c r="AC35" s="196">
        <f>AC39/('Demand - Ethylene'!$K$14)</f>
        <v>90079.258069656338</v>
      </c>
      <c r="AD35" s="196">
        <f>AD39/('Demand - Ethylene'!$K$14)</f>
        <v>85641.420092585031</v>
      </c>
      <c r="AE35" s="196">
        <f>AE39/('Demand - Ethylene'!$K$14)</f>
        <v>81203.582115513724</v>
      </c>
      <c r="AF35" s="196">
        <f>AF39/('Demand - Ethylene'!$K$14)</f>
        <v>76765.744138442402</v>
      </c>
      <c r="AG35" s="196">
        <f>AG39/('Demand - Ethylene'!$K$14)</f>
        <v>72327.90616137108</v>
      </c>
      <c r="AH35" s="196">
        <f>AH39/('Demand - Ethylene'!$K$14)</f>
        <v>67890.068184299802</v>
      </c>
      <c r="AI35" s="41"/>
    </row>
    <row r="36" spans="1:35">
      <c r="A36" s="689"/>
      <c r="B36" s="1" t="s">
        <v>684</v>
      </c>
      <c r="C36" s="51" t="s">
        <v>166</v>
      </c>
      <c r="D36" s="196">
        <f>D38/('Demand - Ethylene'!$M$14)</f>
        <v>23327.595712084702</v>
      </c>
      <c r="E36" s="196">
        <f>E38/('Demand - Ethylene'!$M$14)</f>
        <v>23223.179005828024</v>
      </c>
      <c r="F36" s="196">
        <f>F38/('Demand - Ethylene'!$M$14)</f>
        <v>23118.76229957135</v>
      </c>
      <c r="G36" s="196">
        <f>G38/('Demand - Ethylene'!$M$14)</f>
        <v>23014.345593314676</v>
      </c>
      <c r="H36" s="196">
        <f>H38/('Demand - Ethylene'!$M$14)</f>
        <v>22909.928887057999</v>
      </c>
      <c r="I36" s="196">
        <f>I38/('Demand - Ethylene'!$M$14)</f>
        <v>22805.512180801321</v>
      </c>
      <c r="J36" s="196">
        <f>J38/('Demand - Ethylene'!$M$14)</f>
        <v>22701.095474544647</v>
      </c>
      <c r="K36" s="196">
        <f>K38/('Demand - Ethylene'!$M$14)</f>
        <v>22596.678768287969</v>
      </c>
      <c r="L36" s="196">
        <f>L38/('Demand - Ethylene'!$M$14)</f>
        <v>22492.262062031295</v>
      </c>
      <c r="M36" s="196">
        <f>M38/('Demand - Ethylene'!$M$14)</f>
        <v>22387.845355774618</v>
      </c>
      <c r="N36" s="196">
        <f>N38/('Demand - Ethylene'!$M$14)</f>
        <v>22283.428649517944</v>
      </c>
      <c r="O36" s="196">
        <f>O38/('Demand - Ethylene'!$M$14)</f>
        <v>21983.626136856732</v>
      </c>
      <c r="P36" s="196">
        <f>P38/('Demand - Ethylene'!$M$14)</f>
        <v>21683.82362419552</v>
      </c>
      <c r="Q36" s="196">
        <f>Q38/('Demand - Ethylene'!$M$14)</f>
        <v>21384.021111534308</v>
      </c>
      <c r="R36" s="196">
        <f>R38/('Demand - Ethylene'!$M$14)</f>
        <v>21084.218598873096</v>
      </c>
      <c r="S36" s="196">
        <f>S38/('Demand - Ethylene'!$M$14)</f>
        <v>20784.416086211884</v>
      </c>
      <c r="T36" s="196">
        <f>T38/('Demand - Ethylene'!$M$14)</f>
        <v>20484.613573550672</v>
      </c>
      <c r="U36" s="196">
        <f>U38/('Demand - Ethylene'!$M$14)</f>
        <v>20184.81106088946</v>
      </c>
      <c r="V36" s="196">
        <f>V38/('Demand - Ethylene'!$M$14)</f>
        <v>19885.008548228245</v>
      </c>
      <c r="W36" s="196">
        <f>W38/('Demand - Ethylene'!$M$14)</f>
        <v>19585.206035567029</v>
      </c>
      <c r="X36" s="196">
        <f>X38/('Demand - Ethylene'!$M$14)</f>
        <v>19285.403522905821</v>
      </c>
      <c r="Y36" s="196">
        <f>Y38/('Demand - Ethylene'!$M$14)</f>
        <v>18977.690653710011</v>
      </c>
      <c r="Z36" s="196">
        <f>Z38/('Demand - Ethylene'!$M$14)</f>
        <v>18669.977784514202</v>
      </c>
      <c r="AA36" s="196">
        <f>AA38/('Demand - Ethylene'!$M$14)</f>
        <v>18362.264915318392</v>
      </c>
      <c r="AB36" s="196">
        <f>AB38/('Demand - Ethylene'!$M$14)</f>
        <v>18054.552046122582</v>
      </c>
      <c r="AC36" s="196">
        <f>AC38/('Demand - Ethylene'!$M$14)</f>
        <v>17746.839176926773</v>
      </c>
      <c r="AD36" s="196">
        <f>AD38/('Demand - Ethylene'!$M$14)</f>
        <v>17439.126307730963</v>
      </c>
      <c r="AE36" s="196">
        <f>AE38/('Demand - Ethylene'!$M$14)</f>
        <v>17131.413438535154</v>
      </c>
      <c r="AF36" s="196">
        <f>AF38/('Demand - Ethylene'!$M$14)</f>
        <v>16823.700569339348</v>
      </c>
      <c r="AG36" s="196">
        <f>AG38/('Demand - Ethylene'!$M$14)</f>
        <v>16515.987700143538</v>
      </c>
      <c r="AH36" s="196">
        <f>AH38/('Demand - Ethylene'!$M$14)</f>
        <v>16208.274830947728</v>
      </c>
      <c r="AI36" s="41"/>
    </row>
    <row r="37" spans="1:35" s="63" customFormat="1">
      <c r="A37" s="690"/>
      <c r="B37" s="59" t="s">
        <v>27</v>
      </c>
      <c r="C37" s="262" t="s">
        <v>166</v>
      </c>
      <c r="D37" s="599">
        <f>D33-SUM(D35,D34,D36)</f>
        <v>-64065.333160966286</v>
      </c>
      <c r="E37" s="599">
        <f>E33-E34-E35-E36</f>
        <v>-62270.627628561262</v>
      </c>
      <c r="F37" s="599">
        <f t="shared" ref="F37:AG37" si="10">F33-F34-F35-F36</f>
        <v>-60475.922096156326</v>
      </c>
      <c r="G37" s="599">
        <f t="shared" si="10"/>
        <v>-58681.21656375131</v>
      </c>
      <c r="H37" s="599">
        <f t="shared" si="10"/>
        <v>-56886.511031346316</v>
      </c>
      <c r="I37" s="599">
        <f t="shared" si="10"/>
        <v>-55091.80549894135</v>
      </c>
      <c r="J37" s="599">
        <f t="shared" si="10"/>
        <v>-53297.099966536334</v>
      </c>
      <c r="K37" s="599">
        <f t="shared" si="10"/>
        <v>-51502.394434131333</v>
      </c>
      <c r="L37" s="599">
        <f t="shared" si="10"/>
        <v>-49707.688901726404</v>
      </c>
      <c r="M37" s="599">
        <f t="shared" si="10"/>
        <v>-47912.98336932141</v>
      </c>
      <c r="N37" s="599">
        <f t="shared" si="10"/>
        <v>-46118.277836916415</v>
      </c>
      <c r="O37" s="599">
        <f t="shared" si="10"/>
        <v>-42763.924577018508</v>
      </c>
      <c r="P37" s="599">
        <f t="shared" si="10"/>
        <v>-39846.164118531175</v>
      </c>
      <c r="Q37" s="599">
        <f t="shared" si="10"/>
        <v>-36446.646086073524</v>
      </c>
      <c r="R37" s="599">
        <f t="shared" si="10"/>
        <v>-33047.128053615801</v>
      </c>
      <c r="S37" s="599">
        <f t="shared" si="10"/>
        <v>-29647.610021158118</v>
      </c>
      <c r="T37" s="599">
        <f t="shared" si="10"/>
        <v>-26248.09198870046</v>
      </c>
      <c r="U37" s="599">
        <f t="shared" si="10"/>
        <v>-22848.573956242788</v>
      </c>
      <c r="V37" s="599">
        <f t="shared" si="10"/>
        <v>-19449.055923785054</v>
      </c>
      <c r="W37" s="599">
        <f t="shared" si="10"/>
        <v>-16049.537891327363</v>
      </c>
      <c r="X37" s="599">
        <f t="shared" si="10"/>
        <v>-12650.019858869724</v>
      </c>
      <c r="Y37" s="599">
        <f t="shared" si="10"/>
        <v>-7891.9600820250016</v>
      </c>
      <c r="Z37" s="599">
        <f t="shared" si="10"/>
        <v>-4415.9961854361827</v>
      </c>
      <c r="AA37" s="599">
        <f t="shared" si="10"/>
        <v>-940.03228884737837</v>
      </c>
      <c r="AB37" s="599">
        <f t="shared" si="10"/>
        <v>2535.9316077414114</v>
      </c>
      <c r="AC37" s="599">
        <f t="shared" si="10"/>
        <v>6011.8955043302449</v>
      </c>
      <c r="AD37" s="599">
        <f t="shared" si="10"/>
        <v>9487.8594009189765</v>
      </c>
      <c r="AE37" s="599">
        <f t="shared" si="10"/>
        <v>12963.823297507781</v>
      </c>
      <c r="AF37" s="599">
        <f t="shared" si="10"/>
        <v>16439.787194096596</v>
      </c>
      <c r="AG37" s="599">
        <f t="shared" si="10"/>
        <v>19915.751090685357</v>
      </c>
      <c r="AH37" s="599">
        <f>AH33-AH34-AH35-AH36</f>
        <v>23391.714987274161</v>
      </c>
      <c r="AI37" s="263"/>
    </row>
    <row r="38" spans="1:35" s="62" customFormat="1">
      <c r="A38" s="688" t="s">
        <v>686</v>
      </c>
      <c r="B38" s="55" t="s">
        <v>683</v>
      </c>
      <c r="C38" s="56" t="s">
        <v>166</v>
      </c>
      <c r="D38" s="630">
        <f>D33*'Demand - Ethylene'!$E$73</f>
        <v>10633.355803870178</v>
      </c>
      <c r="E38" s="630">
        <f>E26*'Demand - Ethylene'!$E$73-E$27/'R&amp;S - Packaging and hh goods'!$C$7*'R&amp;S - Packaging and hh goods'!$U9-E$28/'R&amp;S - Packaging and hh goods'!$C$8*'R&amp;S - Packaging and hh goods'!$U10-E$30/'R&amp;S - Packaging and hh goods'!$C$9*'R&amp;S - Packaging and hh goods'!$U11-E$31/'R&amp;S - Packaging and hh goods'!$C$10*'R&amp;S - Packaging and hh goods'!$U12</f>
        <v>10585.759814845031</v>
      </c>
      <c r="F38" s="630">
        <f>F26*'Demand - Ethylene'!$E$73-F$27/'R&amp;S - Packaging and hh goods'!$C$7*'R&amp;S - Packaging and hh goods'!$U9-F$28/'R&amp;S - Packaging and hh goods'!$C$8*'R&amp;S - Packaging and hh goods'!$U10-F$30/'R&amp;S - Packaging and hh goods'!$C$9*'R&amp;S - Packaging and hh goods'!$U11-F$31/'R&amp;S - Packaging and hh goods'!$C$10*'R&amp;S - Packaging and hh goods'!$U12</f>
        <v>10538.163825819885</v>
      </c>
      <c r="G38" s="630">
        <f>G26*'Demand - Ethylene'!$E$73-G$27/'R&amp;S - Packaging and hh goods'!$C$7*'R&amp;S - Packaging and hh goods'!$U9-G$28/'R&amp;S - Packaging and hh goods'!$C$8*'R&amp;S - Packaging and hh goods'!$U10-G$30/'R&amp;S - Packaging and hh goods'!$C$9*'R&amp;S - Packaging and hh goods'!$U11-G$31/'R&amp;S - Packaging and hh goods'!$C$10*'R&amp;S - Packaging and hh goods'!$U12</f>
        <v>10490.56783679474</v>
      </c>
      <c r="H38" s="630">
        <f>H26*'Demand - Ethylene'!$E$73-H$27/'R&amp;S - Packaging and hh goods'!$C$7*'R&amp;S - Packaging and hh goods'!$U9-H$28/'R&amp;S - Packaging and hh goods'!$C$8*'R&amp;S - Packaging and hh goods'!$U10-H$30/'R&amp;S - Packaging and hh goods'!$C$9*'R&amp;S - Packaging and hh goods'!$U11-H$31/'R&amp;S - Packaging and hh goods'!$C$10*'R&amp;S - Packaging and hh goods'!$U12</f>
        <v>10442.971847769593</v>
      </c>
      <c r="I38" s="630">
        <f>I26*'Demand - Ethylene'!$E$73-I$27/'R&amp;S - Packaging and hh goods'!$C$7*'R&amp;S - Packaging and hh goods'!$U9-I$28/'R&amp;S - Packaging and hh goods'!$C$8*'R&amp;S - Packaging and hh goods'!$U10-I$30/'R&amp;S - Packaging and hh goods'!$C$9*'R&amp;S - Packaging and hh goods'!$U11-I$31/'R&amp;S - Packaging and hh goods'!$C$10*'R&amp;S - Packaging and hh goods'!$U12</f>
        <v>10395.375858744446</v>
      </c>
      <c r="J38" s="630">
        <f>J26*'Demand - Ethylene'!$E$73-J$27/'R&amp;S - Packaging and hh goods'!$C$7*'R&amp;S - Packaging and hh goods'!$U9-J$28/'R&amp;S - Packaging and hh goods'!$C$8*'R&amp;S - Packaging and hh goods'!$U10-J$30/'R&amp;S - Packaging and hh goods'!$C$9*'R&amp;S - Packaging and hh goods'!$U11-J$31/'R&amp;S - Packaging and hh goods'!$C$10*'R&amp;S - Packaging and hh goods'!$U12</f>
        <v>10347.779869719301</v>
      </c>
      <c r="K38" s="630">
        <f>K26*'Demand - Ethylene'!$E$73-K$27/'R&amp;S - Packaging and hh goods'!$C$7*'R&amp;S - Packaging and hh goods'!$U9-K$28/'R&amp;S - Packaging and hh goods'!$C$8*'R&amp;S - Packaging and hh goods'!$U10-K$30/'R&amp;S - Packaging and hh goods'!$C$9*'R&amp;S - Packaging and hh goods'!$U11-K$31/'R&amp;S - Packaging and hh goods'!$C$10*'R&amp;S - Packaging and hh goods'!$U12</f>
        <v>10300.183880694154</v>
      </c>
      <c r="L38" s="630">
        <f>L26*'Demand - Ethylene'!$E$73-L$27/'R&amp;S - Packaging and hh goods'!$C$7*'R&amp;S - Packaging and hh goods'!$U9-L$28/'R&amp;S - Packaging and hh goods'!$C$8*'R&amp;S - Packaging and hh goods'!$U10-L$30/'R&amp;S - Packaging and hh goods'!$C$9*'R&amp;S - Packaging and hh goods'!$U11-L$31/'R&amp;S - Packaging and hh goods'!$C$10*'R&amp;S - Packaging and hh goods'!$U12</f>
        <v>10252.587891669009</v>
      </c>
      <c r="M38" s="630">
        <f>M26*'Demand - Ethylene'!$E$73-M$27/'R&amp;S - Packaging and hh goods'!$C$7*'R&amp;S - Packaging and hh goods'!$U9-M$28/'R&amp;S - Packaging and hh goods'!$C$8*'R&amp;S - Packaging and hh goods'!$U10-M$30/'R&amp;S - Packaging and hh goods'!$C$9*'R&amp;S - Packaging and hh goods'!$U11-M$31/'R&amp;S - Packaging and hh goods'!$C$10*'R&amp;S - Packaging and hh goods'!$U12</f>
        <v>10204.991902643862</v>
      </c>
      <c r="N38" s="630">
        <f>N26*'Demand - Ethylene'!$E$73-N$27/'R&amp;S - Packaging and hh goods'!$C$7*'R&amp;S - Packaging and hh goods'!$U9-N$28/'R&amp;S - Packaging and hh goods'!$C$8*'R&amp;S - Packaging and hh goods'!$U10-N$30/'R&amp;S - Packaging and hh goods'!$C$9*'R&amp;S - Packaging and hh goods'!$U11-N$31/'R&amp;S - Packaging and hh goods'!$C$10*'R&amp;S - Packaging and hh goods'!$U12</f>
        <v>10157.395913618717</v>
      </c>
      <c r="O38" s="630">
        <f>O26*'Demand - Ethylene'!$E$73-O$27/'R&amp;S - Packaging and hh goods'!$C$7*'R&amp;S - Packaging and hh goods'!$U9-O$28/'R&amp;S - Packaging and hh goods'!$C$8*'R&amp;S - Packaging and hh goods'!$U10-O$30/'R&amp;S - Packaging and hh goods'!$C$9*'R&amp;S - Packaging and hh goods'!$U11-O$31/'R&amp;S - Packaging and hh goods'!$C$10*'R&amp;S - Packaging and hh goods'!$U12</f>
        <v>10020.737733008638</v>
      </c>
      <c r="P38" s="630">
        <f>P26*'Demand - Ethylene'!$E$73-P$27/'R&amp;S - Packaging and hh goods'!$C$7*'R&amp;S - Packaging and hh goods'!$U9-P$28/'R&amp;S - Packaging and hh goods'!$C$8*'R&amp;S - Packaging and hh goods'!$U10-P$30/'R&amp;S - Packaging and hh goods'!$C$9*'R&amp;S - Packaging and hh goods'!$U11-P$31/'R&amp;S - Packaging and hh goods'!$C$10*'R&amp;S - Packaging and hh goods'!$U12</f>
        <v>9884.0795523985598</v>
      </c>
      <c r="Q38" s="630">
        <f>Q26*'Demand - Ethylene'!$E$73-Q$27/'R&amp;S - Packaging and hh goods'!$C$7*'R&amp;S - Packaging and hh goods'!$U9-Q$28/'R&amp;S - Packaging and hh goods'!$C$8*'R&amp;S - Packaging and hh goods'!$U10-Q$30/'R&amp;S - Packaging and hh goods'!$C$9*'R&amp;S - Packaging and hh goods'!$U11-Q$31/'R&amp;S - Packaging and hh goods'!$C$10*'R&amp;S - Packaging and hh goods'!$U12</f>
        <v>9747.4213717884813</v>
      </c>
      <c r="R38" s="630">
        <f>R26*'Demand - Ethylene'!$E$73-R$27/'R&amp;S - Packaging and hh goods'!$C$7*'R&amp;S - Packaging and hh goods'!$U9-R$28/'R&amp;S - Packaging and hh goods'!$C$8*'R&amp;S - Packaging and hh goods'!$U10-R$30/'R&amp;S - Packaging and hh goods'!$C$9*'R&amp;S - Packaging and hh goods'!$U11-R$31/'R&amp;S - Packaging and hh goods'!$C$10*'R&amp;S - Packaging and hh goods'!$U12</f>
        <v>9610.7631911784028</v>
      </c>
      <c r="S38" s="630">
        <f>S26*'Demand - Ethylene'!$E$73-S$27/'R&amp;S - Packaging and hh goods'!$C$7*'R&amp;S - Packaging and hh goods'!$U9-S$28/'R&amp;S - Packaging and hh goods'!$C$8*'R&amp;S - Packaging and hh goods'!$U10-S$30/'R&amp;S - Packaging and hh goods'!$C$9*'R&amp;S - Packaging and hh goods'!$U11-S$31/'R&amp;S - Packaging and hh goods'!$C$10*'R&amp;S - Packaging and hh goods'!$U12</f>
        <v>9474.1050105683244</v>
      </c>
      <c r="T38" s="630">
        <f>T26*'Demand - Ethylene'!$E$73-T$27/'R&amp;S - Packaging and hh goods'!$C$7*'R&amp;S - Packaging and hh goods'!$U9-T$28/'R&amp;S - Packaging and hh goods'!$C$8*'R&amp;S - Packaging and hh goods'!$U10-T$30/'R&amp;S - Packaging and hh goods'!$C$9*'R&amp;S - Packaging and hh goods'!$U11-T$31/'R&amp;S - Packaging and hh goods'!$C$10*'R&amp;S - Packaging and hh goods'!$U12</f>
        <v>9337.4468299582459</v>
      </c>
      <c r="U38" s="630">
        <f>U26*'Demand - Ethylene'!$E$73-U$27/'R&amp;S - Packaging and hh goods'!$C$7*'R&amp;S - Packaging and hh goods'!$U9-U$28/'R&amp;S - Packaging and hh goods'!$C$8*'R&amp;S - Packaging and hh goods'!$U10-U$30/'R&amp;S - Packaging and hh goods'!$C$9*'R&amp;S - Packaging and hh goods'!$U11-U$31/'R&amp;S - Packaging and hh goods'!$C$10*'R&amp;S - Packaging and hh goods'!$U12</f>
        <v>9200.7886493481674</v>
      </c>
      <c r="V38" s="630">
        <f>V26*'Demand - Ethylene'!$E$73-V$27/'R&amp;S - Packaging and hh goods'!$C$7*'R&amp;S - Packaging and hh goods'!$U9-V$28/'R&amp;S - Packaging and hh goods'!$C$8*'R&amp;S - Packaging and hh goods'!$U10-V$30/'R&amp;S - Packaging and hh goods'!$C$9*'R&amp;S - Packaging and hh goods'!$U11-V$31/'R&amp;S - Packaging and hh goods'!$C$10*'R&amp;S - Packaging and hh goods'!$U12</f>
        <v>9064.1304687380871</v>
      </c>
      <c r="W38" s="630">
        <f>W26*'Demand - Ethylene'!$E$73-W$27/'R&amp;S - Packaging and hh goods'!$C$7*'R&amp;S - Packaging and hh goods'!$U9-W$28/'R&amp;S - Packaging and hh goods'!$C$8*'R&amp;S - Packaging and hh goods'!$U10-W$30/'R&amp;S - Packaging and hh goods'!$C$9*'R&amp;S - Packaging and hh goods'!$U11-W$31/'R&amp;S - Packaging and hh goods'!$C$10*'R&amp;S - Packaging and hh goods'!$U12</f>
        <v>8927.4722881280068</v>
      </c>
      <c r="X38" s="630">
        <f>X26*'Demand - Ethylene'!$E$73-X$27/'R&amp;S - Packaging and hh goods'!$C$7*'R&amp;S - Packaging and hh goods'!$U9-X$28/'R&amp;S - Packaging and hh goods'!$C$8*'R&amp;S - Packaging and hh goods'!$U10-X$30/'R&amp;S - Packaging and hh goods'!$C$9*'R&amp;S - Packaging and hh goods'!$U11-X$31/'R&amp;S - Packaging and hh goods'!$C$10*'R&amp;S - Packaging and hh goods'!$U12</f>
        <v>8790.8141075179301</v>
      </c>
      <c r="Y38" s="630">
        <f>Y26*'Demand - Ethylene'!$E$73-Y$27/'R&amp;S - Packaging and hh goods'!$C$7*'R&amp;S - Packaging and hh goods'!$U9-Y$28/'R&amp;S - Packaging and hh goods'!$C$8*'R&amp;S - Packaging and hh goods'!$U10-Y$30/'R&amp;S - Packaging and hh goods'!$C$9*'R&amp;S - Packaging and hh goods'!$U11-Y$31/'R&amp;S - Packaging and hh goods'!$C$10*'R&amp;S - Packaging and hh goods'!$U12</f>
        <v>8650.5501701635221</v>
      </c>
      <c r="Z38" s="630">
        <f>Z26*'Demand - Ethylene'!$E$73-Z$27/'R&amp;S - Packaging and hh goods'!$C$7*'R&amp;S - Packaging and hh goods'!$U9-Z$28/'R&amp;S - Packaging and hh goods'!$C$8*'R&amp;S - Packaging and hh goods'!$U10-Z$30/'R&amp;S - Packaging and hh goods'!$C$9*'R&amp;S - Packaging and hh goods'!$U11-Z$31/'R&amp;S - Packaging and hh goods'!$C$10*'R&amp;S - Packaging and hh goods'!$U12</f>
        <v>8510.2862328091142</v>
      </c>
      <c r="AA38" s="630">
        <f>AA26*'Demand - Ethylene'!$E$73-AA$27/'R&amp;S - Packaging and hh goods'!$C$7*'R&amp;S - Packaging and hh goods'!$U9-AA$28/'R&amp;S - Packaging and hh goods'!$C$8*'R&amp;S - Packaging and hh goods'!$U10-AA$30/'R&amp;S - Packaging and hh goods'!$C$9*'R&amp;S - Packaging and hh goods'!$U11-AA$31/'R&amp;S - Packaging and hh goods'!$C$10*'R&amp;S - Packaging and hh goods'!$U12</f>
        <v>8370.0222954547062</v>
      </c>
      <c r="AB38" s="630">
        <f>AB26*'Demand - Ethylene'!$E$73-AB$27/'R&amp;S - Packaging and hh goods'!$C$7*'R&amp;S - Packaging and hh goods'!$U9-AB$28/'R&amp;S - Packaging and hh goods'!$C$8*'R&amp;S - Packaging and hh goods'!$U10-AB$30/'R&amp;S - Packaging and hh goods'!$C$9*'R&amp;S - Packaging and hh goods'!$U11-AB$31/'R&amp;S - Packaging and hh goods'!$C$10*'R&amp;S - Packaging and hh goods'!$U12</f>
        <v>8229.7583581002982</v>
      </c>
      <c r="AC38" s="630">
        <f>AC26*'Demand - Ethylene'!$E$73-AC$27/'R&amp;S - Packaging and hh goods'!$C$7*'R&amp;S - Packaging and hh goods'!$U9-AC$28/'R&amp;S - Packaging and hh goods'!$C$8*'R&amp;S - Packaging and hh goods'!$U10-AC$30/'R&amp;S - Packaging and hh goods'!$C$9*'R&amp;S - Packaging and hh goods'!$U11-AC$31/'R&amp;S - Packaging and hh goods'!$C$10*'R&amp;S - Packaging and hh goods'!$U12</f>
        <v>8089.4944207458902</v>
      </c>
      <c r="AD38" s="630">
        <f>AD26*'Demand - Ethylene'!$E$73-AD$27/'R&amp;S - Packaging and hh goods'!$C$7*'R&amp;S - Packaging and hh goods'!$U9-AD$28/'R&amp;S - Packaging and hh goods'!$C$8*'R&amp;S - Packaging and hh goods'!$U10-AD$30/'R&amp;S - Packaging and hh goods'!$C$9*'R&amp;S - Packaging and hh goods'!$U11-AD$31/'R&amp;S - Packaging and hh goods'!$C$10*'R&amp;S - Packaging and hh goods'!$U12</f>
        <v>7949.2304833914823</v>
      </c>
      <c r="AE38" s="630">
        <f>AE26*'Demand - Ethylene'!$E$73-AE$27/'R&amp;S - Packaging and hh goods'!$C$7*'R&amp;S - Packaging and hh goods'!$U9-AE$28/'R&amp;S - Packaging and hh goods'!$C$8*'R&amp;S - Packaging and hh goods'!$U10-AE$30/'R&amp;S - Packaging and hh goods'!$C$9*'R&amp;S - Packaging and hh goods'!$U11-AE$31/'R&amp;S - Packaging and hh goods'!$C$10*'R&amp;S - Packaging and hh goods'!$U12</f>
        <v>7808.9665460370743</v>
      </c>
      <c r="AF38" s="630">
        <f>AF26*'Demand - Ethylene'!$E$73-AF$27/'R&amp;S - Packaging and hh goods'!$C$7*'R&amp;S - Packaging and hh goods'!$U9-AF$28/'R&amp;S - Packaging and hh goods'!$C$8*'R&amp;S - Packaging and hh goods'!$U10-AF$30/'R&amp;S - Packaging and hh goods'!$C$9*'R&amp;S - Packaging and hh goods'!$U11-AF$31/'R&amp;S - Packaging and hh goods'!$C$10*'R&amp;S - Packaging and hh goods'!$U12</f>
        <v>7668.7026086826672</v>
      </c>
      <c r="AG38" s="630">
        <f>AG26*'Demand - Ethylene'!$E$73-AG$27/'R&amp;S - Packaging and hh goods'!$C$7*'R&amp;S - Packaging and hh goods'!$U9-AG$28/'R&amp;S - Packaging and hh goods'!$C$8*'R&amp;S - Packaging and hh goods'!$U10-AG$30/'R&amp;S - Packaging and hh goods'!$C$9*'R&amp;S - Packaging and hh goods'!$U11-AG$31/'R&amp;S - Packaging and hh goods'!$C$10*'R&amp;S - Packaging and hh goods'!$U12</f>
        <v>7528.4386713282593</v>
      </c>
      <c r="AH38" s="630">
        <f>AH26*'Demand - Ethylene'!$E$73-AH$27/'R&amp;S - Packaging and hh goods'!$C$7*'R&amp;S - Packaging and hh goods'!$U9-AH$28/'R&amp;S - Packaging and hh goods'!$C$8*'R&amp;S - Packaging and hh goods'!$U10-AH$30/'R&amp;S - Packaging and hh goods'!$C$9*'R&amp;S - Packaging and hh goods'!$U11-AH$31/'R&amp;S - Packaging and hh goods'!$C$10*'R&amp;S - Packaging and hh goods'!$U12</f>
        <v>7388.1747339738513</v>
      </c>
      <c r="AI38" s="57"/>
    </row>
    <row r="39" spans="1:35" s="63" customFormat="1">
      <c r="A39" s="690"/>
      <c r="B39" s="59" t="s">
        <v>682</v>
      </c>
      <c r="C39" s="262" t="s">
        <v>166</v>
      </c>
      <c r="D39" s="599">
        <f>D33*'Demand - Ethylene'!$D$73/'Demand - Ethylene'!$L$24</f>
        <v>60596.874982885318</v>
      </c>
      <c r="E39" s="599">
        <f>E33*'Demand - Ethylene'!$D$73/'Demand - Ethylene'!$L$24</f>
        <v>59790.936545612953</v>
      </c>
      <c r="F39" s="599">
        <f>F33*'Demand - Ethylene'!$D$73/'Demand - Ethylene'!$L$24</f>
        <v>58984.99810834058</v>
      </c>
      <c r="G39" s="599">
        <f>G33*'Demand - Ethylene'!$D$73/'Demand - Ethylene'!$L$24</f>
        <v>58179.0596710682</v>
      </c>
      <c r="H39" s="599">
        <f>H33*'Demand - Ethylene'!$D$73/'Demand - Ethylene'!$L$24</f>
        <v>57373.12123379582</v>
      </c>
      <c r="I39" s="599">
        <f>I33*'Demand - Ethylene'!$D$73/'Demand - Ethylene'!$L$24</f>
        <v>56567.182796523455</v>
      </c>
      <c r="J39" s="599">
        <f>J33*'Demand - Ethylene'!$D$73/'Demand - Ethylene'!$L$24</f>
        <v>55761.244359251075</v>
      </c>
      <c r="K39" s="599">
        <f>K33*'Demand - Ethylene'!$D$73/'Demand - Ethylene'!$L$24</f>
        <v>54955.305921978703</v>
      </c>
      <c r="L39" s="599">
        <f>L33*'Demand - Ethylene'!$D$73/'Demand - Ethylene'!$L$24</f>
        <v>54149.367484706323</v>
      </c>
      <c r="M39" s="599">
        <f>M33*'Demand - Ethylene'!$D$73/'Demand - Ethylene'!$L$24</f>
        <v>53343.429047433958</v>
      </c>
      <c r="N39" s="599">
        <f>N33*'Demand - Ethylene'!$D$73/'Demand - Ethylene'!$L$24</f>
        <v>52537.490610161578</v>
      </c>
      <c r="O39" s="599">
        <f>O33*'Demand - Ethylene'!$D$73/'Demand - Ethylene'!$L$24</f>
        <v>51105.222873066101</v>
      </c>
      <c r="P39" s="599">
        <f>P33*'Demand - Ethylene'!$D$73/'Demand - Ethylene'!$L$24</f>
        <v>49885.589570285563</v>
      </c>
      <c r="Q39" s="599">
        <f>Q33*'Demand - Ethylene'!$D$73/'Demand - Ethylene'!$L$24</f>
        <v>48431.325167571296</v>
      </c>
      <c r="R39" s="599">
        <f>R33*'Demand - Ethylene'!$D$73/'Demand - Ethylene'!$L$24</f>
        <v>46977.060764857037</v>
      </c>
      <c r="S39" s="599">
        <f>S33*'Demand - Ethylene'!$D$73/'Demand - Ethylene'!$L$24</f>
        <v>45522.79636214277</v>
      </c>
      <c r="T39" s="599">
        <f>T33*'Demand - Ethylene'!$D$73/'Demand - Ethylene'!$L$24</f>
        <v>44068.531959428503</v>
      </c>
      <c r="U39" s="599">
        <f>U33*'Demand - Ethylene'!$D$73/'Demand - Ethylene'!$L$24</f>
        <v>42614.267556714243</v>
      </c>
      <c r="V39" s="599">
        <f>V33*'Demand - Ethylene'!$D$73/'Demand - Ethylene'!$L$24</f>
        <v>41160.003153999976</v>
      </c>
      <c r="W39" s="599">
        <f>W33*'Demand - Ethylene'!$D$73/'Demand - Ethylene'!$L$24</f>
        <v>39705.738751285717</v>
      </c>
      <c r="X39" s="599">
        <f>X33*'Demand - Ethylene'!$D$73/'Demand - Ethylene'!$L$24</f>
        <v>38251.474348571443</v>
      </c>
      <c r="Y39" s="599">
        <f>Y33*'Demand - Ethylene'!$D$73/'Demand - Ethylene'!$L$24</f>
        <v>36092.528886681204</v>
      </c>
      <c r="Z39" s="599">
        <f>Z33*'Demand - Ethylene'!$D$73/'Demand - Ethylene'!$L$24</f>
        <v>34607.11769022575</v>
      </c>
      <c r="AA39" s="599">
        <f>AA33*'Demand - Ethylene'!$D$73/'Demand - Ethylene'!$L$24</f>
        <v>33121.706493770267</v>
      </c>
      <c r="AB39" s="599">
        <f>AB33*'Demand - Ethylene'!$D$73/'Demand - Ethylene'!$L$24</f>
        <v>31636.295297314806</v>
      </c>
      <c r="AC39" s="599">
        <f>AC33*'Demand - Ethylene'!$D$73/'Demand - Ethylene'!$L$24</f>
        <v>30150.884100859341</v>
      </c>
      <c r="AD39" s="599">
        <f>AD33*'Demand - Ethylene'!$D$73/'Demand - Ethylene'!$L$24</f>
        <v>28665.472904403872</v>
      </c>
      <c r="AE39" s="599">
        <f>AE33*'Demand - Ethylene'!$D$73/'Demand - Ethylene'!$L$24</f>
        <v>27180.061707948404</v>
      </c>
      <c r="AF39" s="599">
        <f>AF33*'Demand - Ethylene'!$D$73/'Demand - Ethylene'!$L$24</f>
        <v>25694.650511492935</v>
      </c>
      <c r="AG39" s="599">
        <f>AG33*'Demand - Ethylene'!$D$73/'Demand - Ethylene'!$L$24</f>
        <v>24209.239315037463</v>
      </c>
      <c r="AH39" s="599">
        <f>AH33*'Demand - Ethylene'!$D$73/'Demand - Ethylene'!$L$24</f>
        <v>22723.828118582001</v>
      </c>
      <c r="AI39" s="263"/>
    </row>
    <row r="40" spans="1:35" s="62" customFormat="1">
      <c r="A40" s="55" t="s">
        <v>190</v>
      </c>
      <c r="B40" s="55" t="s">
        <v>174</v>
      </c>
      <c r="C40" s="56" t="s">
        <v>166</v>
      </c>
      <c r="D40" s="630">
        <f>'R&amp;S - Buildings'!J4</f>
        <v>201906.27397932502</v>
      </c>
      <c r="E40" s="630">
        <f>D40*(1+'R&amp;S - Buildings'!$C$5)</f>
        <v>201906.27397932502</v>
      </c>
      <c r="F40" s="630">
        <f>E40*(1+'R&amp;S - Buildings'!$C$5)</f>
        <v>201906.27397932502</v>
      </c>
      <c r="G40" s="630">
        <f>F40*(1+'R&amp;S - Buildings'!$C$5)</f>
        <v>201906.27397932502</v>
      </c>
      <c r="H40" s="630">
        <f>G40*(1+'R&amp;S - Buildings'!$C$5)</f>
        <v>201906.27397932502</v>
      </c>
      <c r="I40" s="630">
        <f>H40*(1+'R&amp;S - Buildings'!$C$5)</f>
        <v>201906.27397932502</v>
      </c>
      <c r="J40" s="630">
        <f>I40*(1+'R&amp;S - Buildings'!$C$5)</f>
        <v>201906.27397932502</v>
      </c>
      <c r="K40" s="630">
        <f>J40*(1+'R&amp;S - Buildings'!$C$5)</f>
        <v>201906.27397932502</v>
      </c>
      <c r="L40" s="630">
        <f>K40*(1+'R&amp;S - Buildings'!$C$5)</f>
        <v>201906.27397932502</v>
      </c>
      <c r="M40" s="630">
        <f>L40*(1+'R&amp;S - Buildings'!$C$5)</f>
        <v>201906.27397932502</v>
      </c>
      <c r="N40" s="630">
        <f>M40*(1+'R&amp;S - Buildings'!$C$5)</f>
        <v>201906.27397932502</v>
      </c>
      <c r="O40" s="630">
        <f>N40*(1+'R&amp;S - Buildings'!$C$5)</f>
        <v>201906.27397932502</v>
      </c>
      <c r="P40" s="630">
        <f>O40*(1+'R&amp;S - Buildings'!$C$5)</f>
        <v>201906.27397932502</v>
      </c>
      <c r="Q40" s="630">
        <f>P40*(1+'R&amp;S - Buildings'!$C$5)</f>
        <v>201906.27397932502</v>
      </c>
      <c r="R40" s="630">
        <f>Q40*(1+'R&amp;S - Buildings'!$C$5)</f>
        <v>201906.27397932502</v>
      </c>
      <c r="S40" s="630">
        <f>R40*(1+'R&amp;S - Buildings'!$C$5)</f>
        <v>201906.27397932502</v>
      </c>
      <c r="T40" s="630">
        <f>S40*(1+'R&amp;S - Buildings'!$C$5)</f>
        <v>201906.27397932502</v>
      </c>
      <c r="U40" s="630">
        <f>T40*(1+'R&amp;S - Buildings'!$C$5)</f>
        <v>201906.27397932502</v>
      </c>
      <c r="V40" s="630">
        <f>U40*(1+'R&amp;S - Buildings'!$C$5)</f>
        <v>201906.27397932502</v>
      </c>
      <c r="W40" s="630">
        <f>V40*(1+'R&amp;S - Buildings'!$C$5)</f>
        <v>201906.27397932502</v>
      </c>
      <c r="X40" s="630">
        <f>W40*(1+'R&amp;S - Buildings'!$C$5)</f>
        <v>201906.27397932502</v>
      </c>
      <c r="Y40" s="630">
        <f>X40*(1+'R&amp;S - Buildings'!$C$5)</f>
        <v>201906.27397932502</v>
      </c>
      <c r="Z40" s="630">
        <f>Y40*(1+'R&amp;S - Buildings'!$C$5)</f>
        <v>201906.27397932502</v>
      </c>
      <c r="AA40" s="630">
        <f>Z40*(1+'R&amp;S - Buildings'!$C$5)</f>
        <v>201906.27397932502</v>
      </c>
      <c r="AB40" s="630">
        <f>AA40*(1+'R&amp;S - Buildings'!$C$5)</f>
        <v>201906.27397932502</v>
      </c>
      <c r="AC40" s="630">
        <f>AB40*(1+'R&amp;S - Buildings'!$C$5)</f>
        <v>201906.27397932502</v>
      </c>
      <c r="AD40" s="630">
        <f>AC40*(1+'R&amp;S - Buildings'!$C$5)</f>
        <v>201906.27397932502</v>
      </c>
      <c r="AE40" s="630">
        <f>AD40*(1+'R&amp;S - Buildings'!$C$5)</f>
        <v>201906.27397932502</v>
      </c>
      <c r="AF40" s="630">
        <f>AE40*(1+'R&amp;S - Buildings'!$C$5)</f>
        <v>201906.27397932502</v>
      </c>
      <c r="AG40" s="630">
        <f>AF40*(1+'R&amp;S - Buildings'!$C$5)</f>
        <v>201906.27397932502</v>
      </c>
      <c r="AH40" s="630">
        <f>AG40*(1+'R&amp;S - Buildings'!$C$5)</f>
        <v>201906.27397932502</v>
      </c>
    </row>
    <row r="41" spans="1:35" outlineLevel="1">
      <c r="B41" s="1" t="s">
        <v>164</v>
      </c>
      <c r="C41" s="51" t="s">
        <v>166</v>
      </c>
      <c r="D41" s="196">
        <v>0</v>
      </c>
      <c r="E41" s="196">
        <f>E40*'R&amp;S - Buildings'!$C$7*'R&amp;S - Buildings'!$B$11*'R&amp;S - Buildings'!$B$15*('Yearly HC Ethylene'!E$3-'Yearly HC Ethylene'!$D$3)/10</f>
        <v>3664.5988727247495</v>
      </c>
      <c r="F41" s="196">
        <f>F40*'R&amp;S - Buildings'!$C$7*'R&amp;S - Buildings'!$B$11*'R&amp;S - Buildings'!$B$15*('Yearly HC Ethylene'!F$3-'Yearly HC Ethylene'!$D$3)/10</f>
        <v>7329.1977454494991</v>
      </c>
      <c r="G41" s="196">
        <f>G40*'R&amp;S - Buildings'!$C$7*'R&amp;S - Buildings'!$B$11*'R&amp;S - Buildings'!$B$15*('Yearly HC Ethylene'!G$3-'Yearly HC Ethylene'!$D$3)/10</f>
        <v>10993.796618174249</v>
      </c>
      <c r="H41" s="196">
        <f>H40*'R&amp;S - Buildings'!$C$7*'R&amp;S - Buildings'!$B$11*'R&amp;S - Buildings'!$B$15*('Yearly HC Ethylene'!H$3-'Yearly HC Ethylene'!$D$3)/10</f>
        <v>14658.395490898998</v>
      </c>
      <c r="I41" s="196">
        <f>I40*'R&amp;S - Buildings'!$C$7*'R&amp;S - Buildings'!$B$11*'R&amp;S - Buildings'!$B$15*('Yearly HC Ethylene'!I$3-'Yearly HC Ethylene'!$D$3)/10</f>
        <v>18322.994363623748</v>
      </c>
      <c r="J41" s="196">
        <f>J40*'R&amp;S - Buildings'!$C$7*'R&amp;S - Buildings'!$B$11*'R&amp;S - Buildings'!$B$15*('Yearly HC Ethylene'!J$3-'Yearly HC Ethylene'!$D$3)/10</f>
        <v>21987.593236348497</v>
      </c>
      <c r="K41" s="196">
        <f>K40*'R&amp;S - Buildings'!$C$7*'R&amp;S - Buildings'!$B$11*'R&amp;S - Buildings'!$B$15*('Yearly HC Ethylene'!K$3-'Yearly HC Ethylene'!$D$3)/10</f>
        <v>25652.192109073247</v>
      </c>
      <c r="L41" s="196">
        <f>L40*'R&amp;S - Buildings'!$C$7*'R&amp;S - Buildings'!$B$11*'R&amp;S - Buildings'!$B$15*('Yearly HC Ethylene'!L$3-'Yearly HC Ethylene'!$D$3)/10</f>
        <v>29316.790981797996</v>
      </c>
      <c r="M41" s="196">
        <f>M40*'R&amp;S - Buildings'!$C$7*'R&amp;S - Buildings'!$B$11*'R&amp;S - Buildings'!$B$15*('Yearly HC Ethylene'!M$3-'Yearly HC Ethylene'!$D$3)/10</f>
        <v>32981.389854522749</v>
      </c>
      <c r="N41" s="196">
        <f>N40*'R&amp;S - Buildings'!$C$7*'R&amp;S - Buildings'!$B$11*'R&amp;S - Buildings'!$B$15*('Yearly HC Ethylene'!N$3-'Yearly HC Ethylene'!$D$3)/10</f>
        <v>36645.988727247495</v>
      </c>
      <c r="O41" s="196">
        <f>O40*'R&amp;S - Buildings'!$C$7*'R&amp;S - Buildings'!$B$11*('R&amp;S - Buildings'!$B$15+('R&amp;S - Buildings'!$B$16-'R&amp;S - Buildings'!$B$15)*('Yearly HC Ethylene'!O$3-'Yearly HC Ethylene'!$N$3)/10)</f>
        <v>40310.587599972241</v>
      </c>
      <c r="P41" s="196">
        <f>P40*'R&amp;S - Buildings'!$C$7*'R&amp;S - Buildings'!$B$11*('R&amp;S - Buildings'!$B$15+('R&amp;S - Buildings'!$B$16-'R&amp;S - Buildings'!$B$15)*('Yearly HC Ethylene'!P$3-'Yearly HC Ethylene'!$N$3)/10)</f>
        <v>43975.186472696994</v>
      </c>
      <c r="Q41" s="196">
        <f>Q40*'R&amp;S - Buildings'!$C$7*'R&amp;S - Buildings'!$B$11*('R&amp;S - Buildings'!$B$15+('R&amp;S - Buildings'!$B$16-'R&amp;S - Buildings'!$B$15)*('Yearly HC Ethylene'!Q$3-'Yearly HC Ethylene'!$N$3)/10)</f>
        <v>47639.785345421747</v>
      </c>
      <c r="R41" s="196">
        <f>R40*'R&amp;S - Buildings'!$C$7*'R&amp;S - Buildings'!$B$11*('R&amp;S - Buildings'!$B$15+('R&amp;S - Buildings'!$B$16-'R&amp;S - Buildings'!$B$15)*('Yearly HC Ethylene'!R$3-'Yearly HC Ethylene'!$N$3)/10)</f>
        <v>51304.384218146493</v>
      </c>
      <c r="S41" s="196">
        <f>S40*'R&amp;S - Buildings'!$C$7*'R&amp;S - Buildings'!$B$11*('R&amp;S - Buildings'!$B$15+('R&amp;S - Buildings'!$B$16-'R&amp;S - Buildings'!$B$15)*('Yearly HC Ethylene'!S$3-'Yearly HC Ethylene'!$N$3)/10)</f>
        <v>54968.983090871239</v>
      </c>
      <c r="T41" s="196">
        <f>T40*'R&amp;S - Buildings'!$C$7*'R&amp;S - Buildings'!$B$11*('R&amp;S - Buildings'!$B$15+('R&amp;S - Buildings'!$B$16-'R&amp;S - Buildings'!$B$15)*('Yearly HC Ethylene'!T$3-'Yearly HC Ethylene'!$N$3)/10)</f>
        <v>58633.581963595992</v>
      </c>
      <c r="U41" s="196">
        <f>U40*'R&amp;S - Buildings'!$C$7*'R&amp;S - Buildings'!$B$11*('R&amp;S - Buildings'!$B$15+('R&amp;S - Buildings'!$B$16-'R&amp;S - Buildings'!$B$15)*('Yearly HC Ethylene'!U$3-'Yearly HC Ethylene'!$N$3)/10)</f>
        <v>62298.180836320746</v>
      </c>
      <c r="V41" s="196">
        <f>V40*'R&amp;S - Buildings'!$C$7*'R&amp;S - Buildings'!$B$11*('R&amp;S - Buildings'!$B$15+('R&amp;S - Buildings'!$B$16-'R&amp;S - Buildings'!$B$15)*('Yearly HC Ethylene'!V$3-'Yearly HC Ethylene'!$N$3)/10)</f>
        <v>65962.779709045499</v>
      </c>
      <c r="W41" s="196">
        <f>W40*'R&amp;S - Buildings'!$C$7*'R&amp;S - Buildings'!$B$11*('R&amp;S - Buildings'!$B$15+('R&amp;S - Buildings'!$B$16-'R&amp;S - Buildings'!$B$15)*('Yearly HC Ethylene'!W$3-'Yearly HC Ethylene'!$N$3)/10)</f>
        <v>69627.378581770245</v>
      </c>
      <c r="X41" s="196">
        <f>X40*'R&amp;S - Buildings'!$C$7*'R&amp;S - Buildings'!$B$11*('R&amp;S - Buildings'!$B$15+('R&amp;S - Buildings'!$B$16-'R&amp;S - Buildings'!$B$15)*('Yearly HC Ethylene'!X$3-'Yearly HC Ethylene'!$N$3)/10)</f>
        <v>73291.977454494991</v>
      </c>
      <c r="Y41" s="196">
        <f>Y40*'R&amp;S - Buildings'!$C$7*'R&amp;S - Buildings'!$B$11*('R&amp;S - Buildings'!$B$16+('R&amp;S - Buildings'!$B$17-'R&amp;S - Buildings'!$B$16)*('Yearly HC Ethylene'!Y$3-'Yearly HC Ethylene'!$X$3)/10)</f>
        <v>77067.624777908379</v>
      </c>
      <c r="Z41" s="196">
        <f>Z40*'R&amp;S - Buildings'!$C$7*'R&amp;S - Buildings'!$B$11*('R&amp;S - Buildings'!$B$16+('R&amp;S - Buildings'!$B$17-'R&amp;S - Buildings'!$B$16)*('Yearly HC Ethylene'!Z$3-'Yearly HC Ethylene'!$X$3)/10)</f>
        <v>80843.272101321738</v>
      </c>
      <c r="AA41" s="196">
        <f>AA40*'R&amp;S - Buildings'!$C$7*'R&amp;S - Buildings'!$B$11*('R&amp;S - Buildings'!$B$16+('R&amp;S - Buildings'!$B$17-'R&amp;S - Buildings'!$B$16)*('Yearly HC Ethylene'!AA$3-'Yearly HC Ethylene'!$X$3)/10)</f>
        <v>84618.919424735126</v>
      </c>
      <c r="AB41" s="196">
        <f>AB40*'R&amp;S - Buildings'!$C$7*'R&amp;S - Buildings'!$B$11*('R&amp;S - Buildings'!$B$16+('R&amp;S - Buildings'!$B$17-'R&amp;S - Buildings'!$B$16)*('Yearly HC Ethylene'!AB$3-'Yearly HC Ethylene'!$X$3)/10)</f>
        <v>88394.5667481485</v>
      </c>
      <c r="AC41" s="196">
        <f>AC40*'R&amp;S - Buildings'!$C$7*'R&amp;S - Buildings'!$B$11*('R&amp;S - Buildings'!$B$16+('R&amp;S - Buildings'!$B$17-'R&amp;S - Buildings'!$B$16)*('Yearly HC Ethylene'!AC$3-'Yearly HC Ethylene'!$X$3)/10)</f>
        <v>92170.214071561888</v>
      </c>
      <c r="AD41" s="196">
        <f>AD40*'R&amp;S - Buildings'!$C$7*'R&amp;S - Buildings'!$B$11*('R&amp;S - Buildings'!$B$16+('R&amp;S - Buildings'!$B$17-'R&amp;S - Buildings'!$B$16)*('Yearly HC Ethylene'!AD$3-'Yearly HC Ethylene'!$X$3)/10)</f>
        <v>95945.861394975276</v>
      </c>
      <c r="AE41" s="196">
        <f>AE40*'R&amp;S - Buildings'!$C$7*'R&amp;S - Buildings'!$B$11*('R&amp;S - Buildings'!$B$16+('R&amp;S - Buildings'!$B$17-'R&amp;S - Buildings'!$B$16)*('Yearly HC Ethylene'!AE$3-'Yearly HC Ethylene'!$X$3)/10)</f>
        <v>99721.508718388635</v>
      </c>
      <c r="AF41" s="196">
        <f>AF40*'R&amp;S - Buildings'!$C$7*'R&amp;S - Buildings'!$B$11*('R&amp;S - Buildings'!$B$16+('R&amp;S - Buildings'!$B$17-'R&amp;S - Buildings'!$B$16)*('Yearly HC Ethylene'!AF$3-'Yearly HC Ethylene'!$X$3)/10)</f>
        <v>103497.15604180201</v>
      </c>
      <c r="AG41" s="196">
        <f>AG40*'R&amp;S - Buildings'!$C$7*'R&amp;S - Buildings'!$B$11*('R&amp;S - Buildings'!$B$16+('R&amp;S - Buildings'!$B$17-'R&amp;S - Buildings'!$B$16)*('Yearly HC Ethylene'!AG$3-'Yearly HC Ethylene'!$X$3)/10)</f>
        <v>107272.80336521538</v>
      </c>
      <c r="AH41" s="196">
        <f>AH40*'R&amp;S - Buildings'!$C$7*'R&amp;S - Buildings'!$B$11*('R&amp;S - Buildings'!$B$16+('R&amp;S - Buildings'!$B$17-'R&amp;S - Buildings'!$B$16)*('Yearly HC Ethylene'!AH$3-'Yearly HC Ethylene'!$X$3)/10)</f>
        <v>111048.45068862877</v>
      </c>
    </row>
    <row r="42" spans="1:35" outlineLevel="1">
      <c r="B42" s="1" t="s">
        <v>167</v>
      </c>
      <c r="C42" s="51" t="s">
        <v>166</v>
      </c>
      <c r="D42" s="196">
        <v>0</v>
      </c>
      <c r="E42" s="196">
        <f>E40*'R&amp;S - Buildings'!$C$8*'R&amp;S - Buildings'!$C$11*'R&amp;S - Buildings'!$B$15*('Yearly HC Ethylene'!E$3-'Yearly HC Ethylene'!$D$3)/10</f>
        <v>1290.8198817068937</v>
      </c>
      <c r="F42" s="196">
        <f>F40*'R&amp;S - Buildings'!$C$8*'R&amp;S - Buildings'!$C$11*'R&amp;S - Buildings'!$B$15*('Yearly HC Ethylene'!F$3-'Yearly HC Ethylene'!$D$3)/10</f>
        <v>2581.6397634137875</v>
      </c>
      <c r="G42" s="196">
        <f>G40*'R&amp;S - Buildings'!$C$8*'R&amp;S - Buildings'!$C$11*'R&amp;S - Buildings'!$B$15*('Yearly HC Ethylene'!G$3-'Yearly HC Ethylene'!$D$3)/10</f>
        <v>3872.4596451206817</v>
      </c>
      <c r="H42" s="196">
        <f>H40*'R&amp;S - Buildings'!$C$8*'R&amp;S - Buildings'!$C$11*'R&amp;S - Buildings'!$B$15*('Yearly HC Ethylene'!H$3-'Yearly HC Ethylene'!$D$3)/10</f>
        <v>5163.279526827575</v>
      </c>
      <c r="I42" s="196">
        <f>I40*'R&amp;S - Buildings'!$C$8*'R&amp;S - Buildings'!$C$11*'R&amp;S - Buildings'!$B$15*('Yearly HC Ethylene'!I$3-'Yearly HC Ethylene'!$D$3)/10</f>
        <v>6454.0994085344691</v>
      </c>
      <c r="J42" s="196">
        <f>J40*'R&amp;S - Buildings'!$C$8*'R&amp;S - Buildings'!$C$11*'R&amp;S - Buildings'!$B$15*('Yearly HC Ethylene'!J$3-'Yearly HC Ethylene'!$D$3)/10</f>
        <v>7744.9192902413633</v>
      </c>
      <c r="K42" s="196">
        <f>K40*'R&amp;S - Buildings'!$C$8*'R&amp;S - Buildings'!$C$11*'R&amp;S - Buildings'!$B$15*('Yearly HC Ethylene'!K$3-'Yearly HC Ethylene'!$D$3)/10</f>
        <v>9035.7391719482566</v>
      </c>
      <c r="L42" s="196">
        <f>L40*'R&amp;S - Buildings'!$C$8*'R&amp;S - Buildings'!$C$11*'R&amp;S - Buildings'!$B$15*('Yearly HC Ethylene'!L$3-'Yearly HC Ethylene'!$D$3)/10</f>
        <v>10326.55905365515</v>
      </c>
      <c r="M42" s="196">
        <f>M40*'R&amp;S - Buildings'!$C$8*'R&amp;S - Buildings'!$C$11*'R&amp;S - Buildings'!$B$15*('Yearly HC Ethylene'!M$3-'Yearly HC Ethylene'!$D$3)/10</f>
        <v>11617.378935362045</v>
      </c>
      <c r="N42" s="196">
        <f>N40*'R&amp;S - Buildings'!$C$8*'R&amp;S - Buildings'!$C$11*'R&amp;S - Buildings'!$B$15*('Yearly HC Ethylene'!N$3-'Yearly HC Ethylene'!$D$3)/10</f>
        <v>12908.198817068938</v>
      </c>
      <c r="O42" s="196">
        <f>O40*'R&amp;S - Buildings'!$C$8*'R&amp;S - Buildings'!$C$11*('R&amp;S - Buildings'!$B$15+('R&amp;S - Buildings'!$B$16-'R&amp;S - Buildings'!$B$15)*('Yearly HC Ethylene'!O$3-'Yearly HC Ethylene'!$N$3)/10)</f>
        <v>14199.01869877583</v>
      </c>
      <c r="P42" s="196">
        <f>P40*'R&amp;S - Buildings'!$C$8*'R&amp;S - Buildings'!$C$11*('R&amp;S - Buildings'!$B$15+('R&amp;S - Buildings'!$B$16-'R&amp;S - Buildings'!$B$15)*('Yearly HC Ethylene'!P$3-'Yearly HC Ethylene'!$N$3)/10)</f>
        <v>15489.838580482725</v>
      </c>
      <c r="Q42" s="196">
        <f>Q40*'R&amp;S - Buildings'!$C$8*'R&amp;S - Buildings'!$C$11*('R&amp;S - Buildings'!$B$15+('R&amp;S - Buildings'!$B$16-'R&amp;S - Buildings'!$B$15)*('Yearly HC Ethylene'!Q$3-'Yearly HC Ethylene'!$N$3)/10)</f>
        <v>16780.658462189622</v>
      </c>
      <c r="R42" s="196">
        <f>R40*'R&amp;S - Buildings'!$C$8*'R&amp;S - Buildings'!$C$11*('R&amp;S - Buildings'!$B$15+('R&amp;S - Buildings'!$B$16-'R&amp;S - Buildings'!$B$15)*('Yearly HC Ethylene'!R$3-'Yearly HC Ethylene'!$N$3)/10)</f>
        <v>18071.478343896513</v>
      </c>
      <c r="S42" s="196">
        <f>S40*'R&amp;S - Buildings'!$C$8*'R&amp;S - Buildings'!$C$11*('R&amp;S - Buildings'!$B$15+('R&amp;S - Buildings'!$B$16-'R&amp;S - Buildings'!$B$15)*('Yearly HC Ethylene'!S$3-'Yearly HC Ethylene'!$N$3)/10)</f>
        <v>19362.298225603405</v>
      </c>
      <c r="T42" s="196">
        <f>T40*'R&amp;S - Buildings'!$C$8*'R&amp;S - Buildings'!$C$11*('R&amp;S - Buildings'!$B$15+('R&amp;S - Buildings'!$B$16-'R&amp;S - Buildings'!$B$15)*('Yearly HC Ethylene'!T$3-'Yearly HC Ethylene'!$N$3)/10)</f>
        <v>20653.1181073103</v>
      </c>
      <c r="U42" s="196">
        <f>U40*'R&amp;S - Buildings'!$C$8*'R&amp;S - Buildings'!$C$11*('R&amp;S - Buildings'!$B$15+('R&amp;S - Buildings'!$B$16-'R&amp;S - Buildings'!$B$15)*('Yearly HC Ethylene'!U$3-'Yearly HC Ethylene'!$N$3)/10)</f>
        <v>21943.937989017195</v>
      </c>
      <c r="V42" s="196">
        <f>V40*'R&amp;S - Buildings'!$C$8*'R&amp;S - Buildings'!$C$11*('R&amp;S - Buildings'!$B$15+('R&amp;S - Buildings'!$B$16-'R&amp;S - Buildings'!$B$15)*('Yearly HC Ethylene'!V$3-'Yearly HC Ethylene'!$N$3)/10)</f>
        <v>23234.75787072409</v>
      </c>
      <c r="W42" s="196">
        <f>W40*'R&amp;S - Buildings'!$C$8*'R&amp;S - Buildings'!$C$11*('R&amp;S - Buildings'!$B$15+('R&amp;S - Buildings'!$B$16-'R&amp;S - Buildings'!$B$15)*('Yearly HC Ethylene'!W$3-'Yearly HC Ethylene'!$N$3)/10)</f>
        <v>24525.577752430981</v>
      </c>
      <c r="X42" s="196">
        <f>X40*'R&amp;S - Buildings'!$C$8*'R&amp;S - Buildings'!$C$11*('R&amp;S - Buildings'!$B$15+('R&amp;S - Buildings'!$B$16-'R&amp;S - Buildings'!$B$15)*('Yearly HC Ethylene'!X$3-'Yearly HC Ethylene'!$N$3)/10)</f>
        <v>25816.397634137877</v>
      </c>
      <c r="Y42" s="196">
        <f>Y40*'R&amp;S - Buildings'!$C$8*'R&amp;S - Buildings'!$C$11*('R&amp;S - Buildings'!$B$16+('R&amp;S - Buildings'!$B$17-'R&amp;S - Buildings'!$B$16)*('Yearly HC Ethylene'!Y$3-'Yearly HC Ethylene'!$X$3)/10)</f>
        <v>27146.33326983589</v>
      </c>
      <c r="Z42" s="196">
        <f>Z40*'R&amp;S - Buildings'!$C$8*'R&amp;S - Buildings'!$C$11*('R&amp;S - Buildings'!$B$16+('R&amp;S - Buildings'!$B$17-'R&amp;S - Buildings'!$B$16)*('Yearly HC Ethylene'!Z$3-'Yearly HC Ethylene'!$X$3)/10)</f>
        <v>28476.268905533896</v>
      </c>
      <c r="AA42" s="196">
        <f>AA40*'R&amp;S - Buildings'!$C$8*'R&amp;S - Buildings'!$C$11*('R&amp;S - Buildings'!$B$16+('R&amp;S - Buildings'!$B$17-'R&amp;S - Buildings'!$B$16)*('Yearly HC Ethylene'!AA$3-'Yearly HC Ethylene'!$X$3)/10)</f>
        <v>29806.204541231909</v>
      </c>
      <c r="AB42" s="196">
        <f>AB40*'R&amp;S - Buildings'!$C$8*'R&amp;S - Buildings'!$C$11*('R&amp;S - Buildings'!$B$16+('R&amp;S - Buildings'!$B$17-'R&amp;S - Buildings'!$B$16)*('Yearly HC Ethylene'!AB$3-'Yearly HC Ethylene'!$X$3)/10)</f>
        <v>31136.140176929923</v>
      </c>
      <c r="AC42" s="196">
        <f>AC40*'R&amp;S - Buildings'!$C$8*'R&amp;S - Buildings'!$C$11*('R&amp;S - Buildings'!$B$16+('R&amp;S - Buildings'!$B$17-'R&amp;S - Buildings'!$B$16)*('Yearly HC Ethylene'!AC$3-'Yearly HC Ethylene'!$X$3)/10)</f>
        <v>32466.075812627936</v>
      </c>
      <c r="AD42" s="196">
        <f>AD40*'R&amp;S - Buildings'!$C$8*'R&amp;S - Buildings'!$C$11*('R&amp;S - Buildings'!$B$16+('R&amp;S - Buildings'!$B$17-'R&amp;S - Buildings'!$B$16)*('Yearly HC Ethylene'!AD$3-'Yearly HC Ethylene'!$X$3)/10)</f>
        <v>33796.011448325946</v>
      </c>
      <c r="AE42" s="196">
        <f>AE40*'R&amp;S - Buildings'!$C$8*'R&amp;S - Buildings'!$C$11*('R&amp;S - Buildings'!$B$16+('R&amp;S - Buildings'!$B$17-'R&amp;S - Buildings'!$B$16)*('Yearly HC Ethylene'!AE$3-'Yearly HC Ethylene'!$X$3)/10)</f>
        <v>35125.947084023959</v>
      </c>
      <c r="AF42" s="196">
        <f>AF40*'R&amp;S - Buildings'!$C$8*'R&amp;S - Buildings'!$C$11*('R&amp;S - Buildings'!$B$16+('R&amp;S - Buildings'!$B$17-'R&amp;S - Buildings'!$B$16)*('Yearly HC Ethylene'!AF$3-'Yearly HC Ethylene'!$X$3)/10)</f>
        <v>36455.882719721965</v>
      </c>
      <c r="AG42" s="196">
        <f>AG40*'R&amp;S - Buildings'!$C$8*'R&amp;S - Buildings'!$C$11*('R&amp;S - Buildings'!$B$16+('R&amp;S - Buildings'!$B$17-'R&amp;S - Buildings'!$B$16)*('Yearly HC Ethylene'!AG$3-'Yearly HC Ethylene'!$X$3)/10)</f>
        <v>37785.818355419979</v>
      </c>
      <c r="AH42" s="196">
        <f>AH40*'R&amp;S - Buildings'!$C$8*'R&amp;S - Buildings'!$C$11*('R&amp;S - Buildings'!$B$16+('R&amp;S - Buildings'!$B$17-'R&amp;S - Buildings'!$B$16)*('Yearly HC Ethylene'!AH$3-'Yearly HC Ethylene'!$X$3)/10)</f>
        <v>39115.753991117992</v>
      </c>
    </row>
    <row r="43" spans="1:35" s="180" customFormat="1">
      <c r="A43" s="177" t="s">
        <v>195</v>
      </c>
      <c r="B43" s="178" t="s">
        <v>78</v>
      </c>
      <c r="C43" s="179" t="s">
        <v>166</v>
      </c>
      <c r="D43" s="640">
        <f>D40-D41-D42</f>
        <v>201906.27397932502</v>
      </c>
      <c r="E43" s="640">
        <f t="shared" ref="E43:AH43" si="11">E40-E41-E42</f>
        <v>196950.85522489337</v>
      </c>
      <c r="F43" s="640">
        <f t="shared" si="11"/>
        <v>191995.43647046175</v>
      </c>
      <c r="G43" s="640">
        <f t="shared" si="11"/>
        <v>187040.0177160301</v>
      </c>
      <c r="H43" s="640">
        <f t="shared" si="11"/>
        <v>182084.59896159847</v>
      </c>
      <c r="I43" s="640">
        <f t="shared" si="11"/>
        <v>177129.18020716679</v>
      </c>
      <c r="J43" s="640">
        <f t="shared" si="11"/>
        <v>172173.76145273517</v>
      </c>
      <c r="K43" s="640">
        <f t="shared" si="11"/>
        <v>167218.34269830352</v>
      </c>
      <c r="L43" s="640">
        <f t="shared" si="11"/>
        <v>162262.92394387187</v>
      </c>
      <c r="M43" s="640">
        <f t="shared" si="11"/>
        <v>157307.50518944024</v>
      </c>
      <c r="N43" s="640">
        <f t="shared" si="11"/>
        <v>152352.08643500859</v>
      </c>
      <c r="O43" s="640">
        <f t="shared" si="11"/>
        <v>147396.66768057697</v>
      </c>
      <c r="P43" s="640">
        <f t="shared" si="11"/>
        <v>142441.24892614529</v>
      </c>
      <c r="Q43" s="640">
        <f t="shared" si="11"/>
        <v>137485.83017171363</v>
      </c>
      <c r="R43" s="640">
        <f t="shared" si="11"/>
        <v>132530.41141728201</v>
      </c>
      <c r="S43" s="640">
        <f t="shared" si="11"/>
        <v>127574.99266285037</v>
      </c>
      <c r="T43" s="640">
        <f t="shared" si="11"/>
        <v>122619.57390841874</v>
      </c>
      <c r="U43" s="640">
        <f t="shared" si="11"/>
        <v>117664.15515398709</v>
      </c>
      <c r="V43" s="640">
        <f t="shared" si="11"/>
        <v>112708.73639955545</v>
      </c>
      <c r="W43" s="640">
        <f t="shared" si="11"/>
        <v>107753.31764512381</v>
      </c>
      <c r="X43" s="640">
        <f t="shared" si="11"/>
        <v>102797.89889069216</v>
      </c>
      <c r="Y43" s="640">
        <f t="shared" si="11"/>
        <v>97692.315931580757</v>
      </c>
      <c r="Z43" s="640">
        <f t="shared" si="11"/>
        <v>92586.732972469385</v>
      </c>
      <c r="AA43" s="640">
        <f t="shared" si="11"/>
        <v>87481.150013357983</v>
      </c>
      <c r="AB43" s="640">
        <f t="shared" si="11"/>
        <v>82375.567054246596</v>
      </c>
      <c r="AC43" s="640">
        <f t="shared" si="11"/>
        <v>77269.984095135194</v>
      </c>
      <c r="AD43" s="640">
        <f t="shared" si="11"/>
        <v>72164.401136023807</v>
      </c>
      <c r="AE43" s="640">
        <f t="shared" si="11"/>
        <v>67058.818176912435</v>
      </c>
      <c r="AF43" s="640">
        <f t="shared" si="11"/>
        <v>61953.235217801048</v>
      </c>
      <c r="AG43" s="640">
        <f t="shared" si="11"/>
        <v>56847.652258689661</v>
      </c>
      <c r="AH43" s="640">
        <f t="shared" si="11"/>
        <v>51742.069299578259</v>
      </c>
    </row>
    <row r="44" spans="1:35" s="62" customFormat="1">
      <c r="A44" s="688" t="s">
        <v>685</v>
      </c>
      <c r="B44" s="55" t="s">
        <v>141</v>
      </c>
      <c r="C44" s="56" t="s">
        <v>166</v>
      </c>
      <c r="D44" s="630">
        <f>D43*('Demand - Ethylene'!$C$74)</f>
        <v>35372.343512804095</v>
      </c>
      <c r="E44" s="630">
        <f>E43*('Demand - Ethylene'!$C$74)</f>
        <v>34504.194291995351</v>
      </c>
      <c r="F44" s="630">
        <f>F43*('Demand - Ethylene'!$C$74)</f>
        <v>33636.045071186607</v>
      </c>
      <c r="G44" s="630">
        <f>G43*('Demand - Ethylene'!$C$74)</f>
        <v>32767.895850377863</v>
      </c>
      <c r="H44" s="630">
        <f>H43*('Demand - Ethylene'!$C$74)</f>
        <v>31899.746629569123</v>
      </c>
      <c r="I44" s="630">
        <f>I43*('Demand - Ethylene'!$C$74)</f>
        <v>31031.597408760372</v>
      </c>
      <c r="J44" s="630">
        <f>J43*('Demand - Ethylene'!$C$74)</f>
        <v>30163.448187951628</v>
      </c>
      <c r="K44" s="630">
        <f>K43*('Demand - Ethylene'!$C$74)</f>
        <v>29295.298967142884</v>
      </c>
      <c r="L44" s="630">
        <f>L43*('Demand - Ethylene'!$C$74)</f>
        <v>28427.149746334137</v>
      </c>
      <c r="M44" s="630">
        <f>M43*('Demand - Ethylene'!$C$74)</f>
        <v>27559.000525525396</v>
      </c>
      <c r="N44" s="630">
        <f>N43*('Demand - Ethylene'!$C$74)</f>
        <v>26690.851304716653</v>
      </c>
      <c r="O44" s="630">
        <f>O43*('Demand - Ethylene'!$C$74)</f>
        <v>25822.702083907909</v>
      </c>
      <c r="P44" s="630">
        <f>P43*('Demand - Ethylene'!$C$74)</f>
        <v>24954.552863099158</v>
      </c>
      <c r="Q44" s="630">
        <f>Q43*('Demand - Ethylene'!$C$74)</f>
        <v>24086.403642290414</v>
      </c>
      <c r="R44" s="630">
        <f>R43*('Demand - Ethylene'!$C$74)</f>
        <v>23218.254421481673</v>
      </c>
      <c r="S44" s="630">
        <f>S43*('Demand - Ethylene'!$C$74)</f>
        <v>22350.10520067293</v>
      </c>
      <c r="T44" s="630">
        <f>T43*('Demand - Ethylene'!$C$74)</f>
        <v>21481.955979864186</v>
      </c>
      <c r="U44" s="630">
        <f>U43*('Demand - Ethylene'!$C$74)</f>
        <v>20613.806759055438</v>
      </c>
      <c r="V44" s="630">
        <f>V43*('Demand - Ethylene'!$C$74)</f>
        <v>19745.657538246698</v>
      </c>
      <c r="W44" s="630">
        <f>W43*('Demand - Ethylene'!$C$74)</f>
        <v>18877.508317437954</v>
      </c>
      <c r="X44" s="630">
        <f>X43*('Demand - Ethylene'!$C$74)</f>
        <v>18009.359096629207</v>
      </c>
      <c r="Y44" s="630">
        <f>Y43*('Demand - Ethylene'!$C$74)</f>
        <v>17114.902323674742</v>
      </c>
      <c r="Z44" s="630">
        <f>Z43*('Demand - Ethylene'!$C$74)</f>
        <v>16220.44555072028</v>
      </c>
      <c r="AA44" s="630">
        <f>AA43*('Demand - Ethylene'!$C$74)</f>
        <v>15325.988777765815</v>
      </c>
      <c r="AB44" s="630">
        <f>AB43*('Demand - Ethylene'!$C$74)</f>
        <v>14431.53200481135</v>
      </c>
      <c r="AC44" s="630">
        <f>AC43*('Demand - Ethylene'!$C$74)</f>
        <v>13537.075231856885</v>
      </c>
      <c r="AD44" s="630">
        <f>AD43*('Demand - Ethylene'!$C$74)</f>
        <v>12642.618458902421</v>
      </c>
      <c r="AE44" s="630">
        <f>AE43*('Demand - Ethylene'!$C$74)</f>
        <v>11748.16168594796</v>
      </c>
      <c r="AF44" s="630">
        <f>AF43*('Demand - Ethylene'!$C$74)</f>
        <v>10853.704912993497</v>
      </c>
      <c r="AG44" s="630">
        <f>AG43*('Demand - Ethylene'!$C$74)</f>
        <v>9959.2481400390334</v>
      </c>
      <c r="AH44" s="630">
        <f>AH43*('Demand - Ethylene'!$C$74)</f>
        <v>9064.7913670845683</v>
      </c>
      <c r="AI44" s="57"/>
    </row>
    <row r="45" spans="1:35">
      <c r="A45" s="689"/>
      <c r="B45" s="1" t="s">
        <v>18</v>
      </c>
      <c r="C45" s="51" t="s">
        <v>166</v>
      </c>
      <c r="D45" s="196">
        <f>D49/('Demand - Ethylene'!$K$14)</f>
        <v>12741.658619367416</v>
      </c>
      <c r="E45" s="196">
        <f>E49/('Demand - Ethylene'!$K$14)</f>
        <v>12428.938004794318</v>
      </c>
      <c r="F45" s="196">
        <f>F49/('Demand - Ethylene'!$K$14)</f>
        <v>12116.217390221222</v>
      </c>
      <c r="G45" s="196">
        <f>G49/('Demand - Ethylene'!$K$14)</f>
        <v>11803.496775648122</v>
      </c>
      <c r="H45" s="196">
        <f>H49/('Demand - Ethylene'!$K$14)</f>
        <v>11490.776161075024</v>
      </c>
      <c r="I45" s="196">
        <f>I49/('Demand - Ethylene'!$K$14)</f>
        <v>11178.055546501924</v>
      </c>
      <c r="J45" s="196">
        <f>J49/('Demand - Ethylene'!$K$14)</f>
        <v>10865.334931928828</v>
      </c>
      <c r="K45" s="196">
        <f>K49/('Demand - Ethylene'!$K$14)</f>
        <v>10552.61431735573</v>
      </c>
      <c r="L45" s="196">
        <f>L49/('Demand - Ethylene'!$K$14)</f>
        <v>10239.89370278263</v>
      </c>
      <c r="M45" s="196">
        <f>M49/('Demand - Ethylene'!$K$14)</f>
        <v>9927.1730882095326</v>
      </c>
      <c r="N45" s="196">
        <f>N49/('Demand - Ethylene'!$K$14)</f>
        <v>9614.4524736364328</v>
      </c>
      <c r="O45" s="196">
        <f>O49/('Demand - Ethylene'!$K$14)</f>
        <v>9301.7318590633367</v>
      </c>
      <c r="P45" s="196">
        <f>P49/('Demand - Ethylene'!$K$14)</f>
        <v>8989.011244490237</v>
      </c>
      <c r="Q45" s="196">
        <f>Q49/('Demand - Ethylene'!$K$14)</f>
        <v>8676.2906299171373</v>
      </c>
      <c r="R45" s="196">
        <f>R49/('Demand - Ethylene'!$K$14)</f>
        <v>8363.5700153440393</v>
      </c>
      <c r="S45" s="196">
        <f>S49/('Demand - Ethylene'!$K$14)</f>
        <v>8050.8494007709432</v>
      </c>
      <c r="T45" s="196">
        <f>T49/('Demand - Ethylene'!$K$14)</f>
        <v>7738.1287861978444</v>
      </c>
      <c r="U45" s="196">
        <f>U49/('Demand - Ethylene'!$K$14)</f>
        <v>7425.4081716247447</v>
      </c>
      <c r="V45" s="196">
        <f>V49/('Demand - Ethylene'!$K$14)</f>
        <v>7112.6875570516468</v>
      </c>
      <c r="W45" s="196">
        <f>W49/('Demand - Ethylene'!$K$14)</f>
        <v>6799.9669424785488</v>
      </c>
      <c r="X45" s="196">
        <f>X49/('Demand - Ethylene'!$K$14)</f>
        <v>6487.24632790545</v>
      </c>
      <c r="Y45" s="196">
        <f>Y49/('Demand - Ethylene'!$K$14)</f>
        <v>6165.0493310725597</v>
      </c>
      <c r="Z45" s="196">
        <f>Z49/('Demand - Ethylene'!$K$14)</f>
        <v>5842.852334239672</v>
      </c>
      <c r="AA45" s="196">
        <f>AA49/('Demand - Ethylene'!$K$14)</f>
        <v>5520.6553374067817</v>
      </c>
      <c r="AB45" s="196">
        <f>AB49/('Demand - Ethylene'!$K$14)</f>
        <v>5198.4583405738922</v>
      </c>
      <c r="AC45" s="196">
        <f>AC49/('Demand - Ethylene'!$K$14)</f>
        <v>4876.2613437410037</v>
      </c>
      <c r="AD45" s="196">
        <f>AD49/('Demand - Ethylene'!$K$14)</f>
        <v>4554.0643469081142</v>
      </c>
      <c r="AE45" s="196">
        <f>AE49/('Demand - Ethylene'!$K$14)</f>
        <v>4231.8673500752266</v>
      </c>
      <c r="AF45" s="196">
        <f>AF49/('Demand - Ethylene'!$K$14)</f>
        <v>3909.6703532423371</v>
      </c>
      <c r="AG45" s="196">
        <f>AG49/('Demand - Ethylene'!$K$14)</f>
        <v>3587.4733564094481</v>
      </c>
      <c r="AH45" s="196">
        <f>AH49/('Demand - Ethylene'!$K$14)</f>
        <v>3265.2763595765582</v>
      </c>
      <c r="AI45" s="41"/>
    </row>
    <row r="46" spans="1:35">
      <c r="A46" s="689"/>
      <c r="B46" s="1" t="s">
        <v>684</v>
      </c>
      <c r="C46" s="51" t="s">
        <v>166</v>
      </c>
      <c r="D46" s="196">
        <f>D48/('Demand - Ethylene'!$M$14)</f>
        <v>125969.0168452574</v>
      </c>
      <c r="E46" s="196">
        <f>E48/('Demand - Ethylene'!$M$14)</f>
        <v>122877.33863115583</v>
      </c>
      <c r="F46" s="196">
        <f>F48/('Demand - Ethylene'!$M$14)</f>
        <v>119785.66041705426</v>
      </c>
      <c r="G46" s="196">
        <f>G48/('Demand - Ethylene'!$M$14)</f>
        <v>116693.98220295265</v>
      </c>
      <c r="H46" s="196">
        <f>H48/('Demand - Ethylene'!$M$14)</f>
        <v>113602.30398885108</v>
      </c>
      <c r="I46" s="196">
        <f>I48/('Demand - Ethylene'!$M$14)</f>
        <v>110510.6257747495</v>
      </c>
      <c r="J46" s="196">
        <f>J48/('Demand - Ethylene'!$M$14)</f>
        <v>107418.94756064792</v>
      </c>
      <c r="K46" s="196">
        <f>K48/('Demand - Ethylene'!$M$14)</f>
        <v>104327.26934654634</v>
      </c>
      <c r="L46" s="196">
        <f>L48/('Demand - Ethylene'!$M$14)</f>
        <v>101235.59113244474</v>
      </c>
      <c r="M46" s="196">
        <f>M48/('Demand - Ethylene'!$M$14)</f>
        <v>98143.91291834318</v>
      </c>
      <c r="N46" s="196">
        <f>N48/('Demand - Ethylene'!$M$14)</f>
        <v>95052.234704241593</v>
      </c>
      <c r="O46" s="196">
        <f>O48/('Demand - Ethylene'!$M$14)</f>
        <v>91960.556490140021</v>
      </c>
      <c r="P46" s="196">
        <f>P48/('Demand - Ethylene'!$M$14)</f>
        <v>88868.87827603842</v>
      </c>
      <c r="Q46" s="196">
        <f>Q48/('Demand - Ethylene'!$M$14)</f>
        <v>85777.200061936834</v>
      </c>
      <c r="R46" s="196">
        <f>R48/('Demand - Ethylene'!$M$14)</f>
        <v>82685.521847835276</v>
      </c>
      <c r="S46" s="196">
        <f>S48/('Demand - Ethylene'!$M$14)</f>
        <v>79593.843633733675</v>
      </c>
      <c r="T46" s="196">
        <f>T48/('Demand - Ethylene'!$M$14)</f>
        <v>76502.165419632103</v>
      </c>
      <c r="U46" s="196">
        <f>U48/('Demand - Ethylene'!$M$14)</f>
        <v>73410.487205530517</v>
      </c>
      <c r="V46" s="196">
        <f>V48/('Demand - Ethylene'!$M$14)</f>
        <v>70318.808991428945</v>
      </c>
      <c r="W46" s="196">
        <f>W48/('Demand - Ethylene'!$M$14)</f>
        <v>67227.130777327373</v>
      </c>
      <c r="X46" s="196">
        <f>X48/('Demand - Ethylene'!$M$14)</f>
        <v>64135.452563225779</v>
      </c>
      <c r="Y46" s="196">
        <f>Y48/('Demand - Ethylene'!$M$14)</f>
        <v>60950.08713051505</v>
      </c>
      <c r="Z46" s="196">
        <f>Z48/('Demand - Ethylene'!$M$14)</f>
        <v>57764.721697804343</v>
      </c>
      <c r="AA46" s="196">
        <f>AA48/('Demand - Ethylene'!$M$14)</f>
        <v>54579.356265093622</v>
      </c>
      <c r="AB46" s="196">
        <f>AB48/('Demand - Ethylene'!$M$14)</f>
        <v>51393.9908323829</v>
      </c>
      <c r="AC46" s="196">
        <f>AC48/('Demand - Ethylene'!$M$14)</f>
        <v>48208.625399672172</v>
      </c>
      <c r="AD46" s="196">
        <f>AD48/('Demand - Ethylene'!$M$14)</f>
        <v>45023.259966961457</v>
      </c>
      <c r="AE46" s="196">
        <f>AE48/('Demand - Ethylene'!$M$14)</f>
        <v>41837.89453425075</v>
      </c>
      <c r="AF46" s="196">
        <f>AF48/('Demand - Ethylene'!$M$14)</f>
        <v>38652.529101540029</v>
      </c>
      <c r="AG46" s="196">
        <f>AG48/('Demand - Ethylene'!$M$14)</f>
        <v>35467.163668829307</v>
      </c>
      <c r="AH46" s="196">
        <f>AH48/('Demand - Ethylene'!$M$14)</f>
        <v>32281.798236118582</v>
      </c>
      <c r="AI46" s="41"/>
    </row>
    <row r="47" spans="1:35" s="63" customFormat="1">
      <c r="A47" s="690"/>
      <c r="B47" s="59" t="s">
        <v>27</v>
      </c>
      <c r="C47" s="262" t="s">
        <v>166</v>
      </c>
      <c r="D47" s="599">
        <f>D43-SUM(D45,D44,D46)</f>
        <v>27823.255001896119</v>
      </c>
      <c r="E47" s="599">
        <f t="shared" ref="E47:AH47" si="12">E43-SUM(E45,E44,E46)</f>
        <v>27140.384296947857</v>
      </c>
      <c r="F47" s="599">
        <f t="shared" si="12"/>
        <v>26457.513591999654</v>
      </c>
      <c r="G47" s="599">
        <f t="shared" si="12"/>
        <v>25774.64288705145</v>
      </c>
      <c r="H47" s="599">
        <f t="shared" si="12"/>
        <v>25091.772182103246</v>
      </c>
      <c r="I47" s="599">
        <f t="shared" si="12"/>
        <v>24408.901477155014</v>
      </c>
      <c r="J47" s="599">
        <f t="shared" si="12"/>
        <v>23726.030772206781</v>
      </c>
      <c r="K47" s="599">
        <f t="shared" si="12"/>
        <v>23043.160067258577</v>
      </c>
      <c r="L47" s="599">
        <f t="shared" si="12"/>
        <v>22360.289362310374</v>
      </c>
      <c r="M47" s="599">
        <f t="shared" si="12"/>
        <v>21677.418657362141</v>
      </c>
      <c r="N47" s="599">
        <f t="shared" si="12"/>
        <v>20994.547952413908</v>
      </c>
      <c r="O47" s="599">
        <f t="shared" si="12"/>
        <v>20311.677247465705</v>
      </c>
      <c r="P47" s="599">
        <f t="shared" si="12"/>
        <v>19628.806542517472</v>
      </c>
      <c r="Q47" s="599">
        <f t="shared" si="12"/>
        <v>18945.935837569254</v>
      </c>
      <c r="R47" s="599">
        <f t="shared" si="12"/>
        <v>18263.065132621021</v>
      </c>
      <c r="S47" s="599">
        <f t="shared" si="12"/>
        <v>17580.194427672817</v>
      </c>
      <c r="T47" s="599">
        <f t="shared" si="12"/>
        <v>16897.323722724599</v>
      </c>
      <c r="U47" s="599">
        <f t="shared" si="12"/>
        <v>16214.453017776381</v>
      </c>
      <c r="V47" s="599">
        <f t="shared" si="12"/>
        <v>15531.582312828163</v>
      </c>
      <c r="W47" s="599">
        <f t="shared" si="12"/>
        <v>14848.71160787993</v>
      </c>
      <c r="X47" s="599">
        <f t="shared" si="12"/>
        <v>14165.840902931726</v>
      </c>
      <c r="Y47" s="599">
        <f t="shared" si="12"/>
        <v>13462.277146318404</v>
      </c>
      <c r="Z47" s="599">
        <f t="shared" si="12"/>
        <v>12758.713389705081</v>
      </c>
      <c r="AA47" s="599">
        <f t="shared" si="12"/>
        <v>12055.149633091758</v>
      </c>
      <c r="AB47" s="599">
        <f t="shared" si="12"/>
        <v>11351.58587647845</v>
      </c>
      <c r="AC47" s="599">
        <f t="shared" si="12"/>
        <v>10648.022119865127</v>
      </c>
      <c r="AD47" s="599">
        <f t="shared" si="12"/>
        <v>9944.4583632518188</v>
      </c>
      <c r="AE47" s="599">
        <f t="shared" si="12"/>
        <v>9240.894606638496</v>
      </c>
      <c r="AF47" s="599">
        <f t="shared" si="12"/>
        <v>8537.3308500251878</v>
      </c>
      <c r="AG47" s="599">
        <f t="shared" si="12"/>
        <v>7833.7670934118723</v>
      </c>
      <c r="AH47" s="599">
        <f t="shared" si="12"/>
        <v>7130.2033367985496</v>
      </c>
      <c r="AI47" s="263"/>
    </row>
    <row r="48" spans="1:35" s="62" customFormat="1">
      <c r="A48" s="688" t="s">
        <v>686</v>
      </c>
      <c r="B48" s="55" t="s">
        <v>683</v>
      </c>
      <c r="C48" s="56" t="s">
        <v>166</v>
      </c>
      <c r="D48" s="630">
        <f>D43*'Demand - Ethylene'!$E$74</f>
        <v>57420.121340898964</v>
      </c>
      <c r="E48" s="630">
        <f>E43*'Demand - Ethylene'!$E$74</f>
        <v>56010.849897439177</v>
      </c>
      <c r="F48" s="630">
        <f>F43*'Demand - Ethylene'!$E$74</f>
        <v>54601.578453979389</v>
      </c>
      <c r="G48" s="630">
        <f>G43*'Demand - Ethylene'!$E$74</f>
        <v>53192.307010519595</v>
      </c>
      <c r="H48" s="630">
        <f>H43*'Demand - Ethylene'!$E$74</f>
        <v>51783.035567059807</v>
      </c>
      <c r="I48" s="630">
        <f>I43*'Demand - Ethylene'!$E$74</f>
        <v>50373.764123600013</v>
      </c>
      <c r="J48" s="630">
        <f>J43*'Demand - Ethylene'!$E$74</f>
        <v>48964.492680140225</v>
      </c>
      <c r="K48" s="630">
        <f>K43*'Demand - Ethylene'!$E$74</f>
        <v>47555.221236680431</v>
      </c>
      <c r="L48" s="630">
        <f>L43*'Demand - Ethylene'!$E$74</f>
        <v>46145.949793220636</v>
      </c>
      <c r="M48" s="630">
        <f>M43*'Demand - Ethylene'!$E$74</f>
        <v>44736.678349760856</v>
      </c>
      <c r="N48" s="630">
        <f>N43*'Demand - Ethylene'!$E$74</f>
        <v>43327.406906301061</v>
      </c>
      <c r="O48" s="630">
        <f>O43*'Demand - Ethylene'!$E$74</f>
        <v>41918.135462841274</v>
      </c>
      <c r="P48" s="630">
        <f>P43*'Demand - Ethylene'!$E$74</f>
        <v>40508.864019381472</v>
      </c>
      <c r="Q48" s="630">
        <f>Q43*'Demand - Ethylene'!$E$74</f>
        <v>39099.592575921677</v>
      </c>
      <c r="R48" s="630">
        <f>R43*'Demand - Ethylene'!$E$74</f>
        <v>37690.321132461897</v>
      </c>
      <c r="S48" s="630">
        <f>S43*'Demand - Ethylene'!$E$74</f>
        <v>36281.049689002102</v>
      </c>
      <c r="T48" s="630">
        <f>T43*'Demand - Ethylene'!$E$74</f>
        <v>34871.778245542315</v>
      </c>
      <c r="U48" s="630">
        <f>U43*'Demand - Ethylene'!$E$74</f>
        <v>33462.50680208252</v>
      </c>
      <c r="V48" s="630">
        <f>V43*'Demand - Ethylene'!$E$74</f>
        <v>32053.235358622733</v>
      </c>
      <c r="W48" s="630">
        <f>W43*'Demand - Ethylene'!$E$74</f>
        <v>30643.963915162945</v>
      </c>
      <c r="X48" s="630">
        <f>X43*'Demand - Ethylene'!$E$74</f>
        <v>29234.692471703151</v>
      </c>
      <c r="Y48" s="630">
        <f>Y43*'Demand - Ethylene'!$E$74</f>
        <v>27782.715832987</v>
      </c>
      <c r="Z48" s="630">
        <f>Z43*'Demand - Ethylene'!$E$74</f>
        <v>26330.739194270856</v>
      </c>
      <c r="AA48" s="630">
        <f>AA43*'Demand - Ethylene'!$E$74</f>
        <v>24878.762555554706</v>
      </c>
      <c r="AB48" s="630">
        <f>AB43*'Demand - Ethylene'!$E$74</f>
        <v>23426.785916838558</v>
      </c>
      <c r="AC48" s="630">
        <f>AC43*'Demand - Ethylene'!$E$74</f>
        <v>21974.809278122408</v>
      </c>
      <c r="AD48" s="630">
        <f>AD43*'Demand - Ethylene'!$E$74</f>
        <v>20522.832639406261</v>
      </c>
      <c r="AE48" s="630">
        <f>AE43*'Demand - Ethylene'!$E$74</f>
        <v>19070.856000690117</v>
      </c>
      <c r="AF48" s="630">
        <f>AF43*'Demand - Ethylene'!$E$74</f>
        <v>17618.87936197397</v>
      </c>
      <c r="AG48" s="630">
        <f>AG43*'Demand - Ethylene'!$E$74</f>
        <v>16166.902723257821</v>
      </c>
      <c r="AH48" s="630">
        <f>AH43*'Demand - Ethylene'!$E$74</f>
        <v>14714.92608454167</v>
      </c>
      <c r="AI48" s="57"/>
    </row>
    <row r="49" spans="1:35" s="63" customFormat="1">
      <c r="A49" s="690"/>
      <c r="B49" s="59" t="s">
        <v>682</v>
      </c>
      <c r="C49" s="262" t="s">
        <v>166</v>
      </c>
      <c r="D49" s="599">
        <f>D43*'Demand - Ethylene'!$D$74/'Demand - Ethylene'!$L$24</f>
        <v>4264.8250054212294</v>
      </c>
      <c r="E49" s="599">
        <f>E43*'Demand - Ethylene'!$D$74/'Demand - Ethylene'!$L$24</f>
        <v>4160.1527067367542</v>
      </c>
      <c r="F49" s="599">
        <f>F43*'Demand - Ethylene'!$D$74/'Demand - Ethylene'!$L$24</f>
        <v>4055.4804080522795</v>
      </c>
      <c r="G49" s="599">
        <f>G43*'Demand - Ethylene'!$D$74/'Demand - Ethylene'!$L$24</f>
        <v>3950.8081093678038</v>
      </c>
      <c r="H49" s="599">
        <f>H43*'Demand - Ethylene'!$D$74/'Demand - Ethylene'!$L$24</f>
        <v>3846.1358106833291</v>
      </c>
      <c r="I49" s="599">
        <f>I43*'Demand - Ethylene'!$D$74/'Demand - Ethylene'!$L$24</f>
        <v>3741.4635119988534</v>
      </c>
      <c r="J49" s="599">
        <f>J43*'Demand - Ethylene'!$D$74/'Demand - Ethylene'!$L$24</f>
        <v>3636.7912133143786</v>
      </c>
      <c r="K49" s="599">
        <f>K43*'Demand - Ethylene'!$D$74/'Demand - Ethylene'!$L$24</f>
        <v>3532.1189146299034</v>
      </c>
      <c r="L49" s="599">
        <f>L43*'Demand - Ethylene'!$D$74/'Demand - Ethylene'!$L$24</f>
        <v>3427.4466159454278</v>
      </c>
      <c r="M49" s="599">
        <f>M43*'Demand - Ethylene'!$D$74/'Demand - Ethylene'!$L$24</f>
        <v>3322.774317260953</v>
      </c>
      <c r="N49" s="599">
        <f>N43*'Demand - Ethylene'!$D$74/'Demand - Ethylene'!$L$24</f>
        <v>3218.1020185764773</v>
      </c>
      <c r="O49" s="599">
        <f>O43*'Demand - Ethylene'!$D$74/'Demand - Ethylene'!$L$24</f>
        <v>3113.4297198920026</v>
      </c>
      <c r="P49" s="599">
        <f>P43*'Demand - Ethylene'!$D$74/'Demand - Ethylene'!$L$24</f>
        <v>3008.7574212075269</v>
      </c>
      <c r="Q49" s="599">
        <f>Q43*'Demand - Ethylene'!$D$74/'Demand - Ethylene'!$L$24</f>
        <v>2904.0851225230513</v>
      </c>
      <c r="R49" s="599">
        <f>R43*'Demand - Ethylene'!$D$74/'Demand - Ethylene'!$L$24</f>
        <v>2799.4128238385765</v>
      </c>
      <c r="S49" s="599">
        <f>S43*'Demand - Ethylene'!$D$74/'Demand - Ethylene'!$L$24</f>
        <v>2694.7405251541018</v>
      </c>
      <c r="T49" s="599">
        <f>T43*'Demand - Ethylene'!$D$74/'Demand - Ethylene'!$L$24</f>
        <v>2590.0682264696266</v>
      </c>
      <c r="U49" s="599">
        <f>U43*'Demand - Ethylene'!$D$74/'Demand - Ethylene'!$L$24</f>
        <v>2485.3959277851509</v>
      </c>
      <c r="V49" s="599">
        <f>V43*'Demand - Ethylene'!$D$74/'Demand - Ethylene'!$L$24</f>
        <v>2380.7236291006757</v>
      </c>
      <c r="W49" s="599">
        <f>W43*'Demand - Ethylene'!$D$74/'Demand - Ethylene'!$L$24</f>
        <v>2276.0513304162005</v>
      </c>
      <c r="X49" s="599">
        <f>X43*'Demand - Ethylene'!$D$74/'Demand - Ethylene'!$L$24</f>
        <v>2171.3790317317253</v>
      </c>
      <c r="Y49" s="599">
        <f>Y43*'Demand - Ethylene'!$D$74/'Demand - Ethylene'!$L$24</f>
        <v>2063.5348452083263</v>
      </c>
      <c r="Z49" s="599">
        <f>Z43*'Demand - Ethylene'!$D$74/'Demand - Ethylene'!$L$24</f>
        <v>1955.6906586849279</v>
      </c>
      <c r="AA49" s="599">
        <f>AA43*'Demand - Ethylene'!$D$74/'Demand - Ethylene'!$L$24</f>
        <v>1847.8464721615289</v>
      </c>
      <c r="AB49" s="599">
        <f>AB43*'Demand - Ethylene'!$D$74/'Demand - Ethylene'!$L$24</f>
        <v>1740.0022856381302</v>
      </c>
      <c r="AC49" s="599">
        <f>AC43*'Demand - Ethylene'!$D$74/'Demand - Ethylene'!$L$24</f>
        <v>1632.1580991147316</v>
      </c>
      <c r="AD49" s="599">
        <f>AD43*'Demand - Ethylene'!$D$74/'Demand - Ethylene'!$L$24</f>
        <v>1524.3139125913328</v>
      </c>
      <c r="AE49" s="599">
        <f>AE43*'Demand - Ethylene'!$D$74/'Demand - Ethylene'!$L$24</f>
        <v>1416.4697260679345</v>
      </c>
      <c r="AF49" s="599">
        <f>AF43*'Demand - Ethylene'!$D$74/'Demand - Ethylene'!$L$24</f>
        <v>1308.6255395445357</v>
      </c>
      <c r="AG49" s="599">
        <f>AG43*'Demand - Ethylene'!$D$74/'Demand - Ethylene'!$L$24</f>
        <v>1200.7813530211372</v>
      </c>
      <c r="AH49" s="599">
        <f>AH43*'Demand - Ethylene'!$D$74/'Demand - Ethylene'!$L$24</f>
        <v>1092.9371664977382</v>
      </c>
      <c r="AI49" s="263"/>
    </row>
    <row r="50" spans="1:35">
      <c r="A50" s="1" t="s">
        <v>396</v>
      </c>
      <c r="B50" s="55" t="s">
        <v>174</v>
      </c>
      <c r="C50" s="56" t="s">
        <v>166</v>
      </c>
      <c r="D50" s="630">
        <f>'R&amp;S - Apparel'!E4</f>
        <v>5757.6219164365802</v>
      </c>
      <c r="E50" s="630">
        <f>D50*(1+'R&amp;S - Apparel'!$C$5)</f>
        <v>5757.6219164365802</v>
      </c>
      <c r="F50" s="630">
        <f>E50*(1+'R&amp;S - Apparel'!$C$5)</f>
        <v>5757.6219164365802</v>
      </c>
      <c r="G50" s="630">
        <f>F50*(1+'R&amp;S - Apparel'!$C$5)</f>
        <v>5757.6219164365802</v>
      </c>
      <c r="H50" s="630">
        <f>G50*(1+'R&amp;S - Apparel'!$C$5)</f>
        <v>5757.6219164365802</v>
      </c>
      <c r="I50" s="630">
        <f>H50*(1+'R&amp;S - Apparel'!$C$5)</f>
        <v>5757.6219164365802</v>
      </c>
      <c r="J50" s="630">
        <f>I50*(1+'R&amp;S - Apparel'!$C$5)</f>
        <v>5757.6219164365802</v>
      </c>
      <c r="K50" s="630">
        <f>J50*(1+'R&amp;S - Apparel'!$C$5)</f>
        <v>5757.6219164365802</v>
      </c>
      <c r="L50" s="630">
        <f>K50*(1+'R&amp;S - Apparel'!$C$5)</f>
        <v>5757.6219164365802</v>
      </c>
      <c r="M50" s="630">
        <f>L50*(1+'R&amp;S - Apparel'!$C$5)</f>
        <v>5757.6219164365802</v>
      </c>
      <c r="N50" s="630">
        <f>M50*(1+'R&amp;S - Apparel'!$C$5)</f>
        <v>5757.6219164365802</v>
      </c>
      <c r="O50" s="630">
        <f>N50*(1+'R&amp;S - Apparel'!$C$5)</f>
        <v>5757.6219164365802</v>
      </c>
      <c r="P50" s="630">
        <f>O50*(1+'R&amp;S - Apparel'!$C$5)</f>
        <v>5757.6219164365802</v>
      </c>
      <c r="Q50" s="630">
        <f>P50*(1+'R&amp;S - Apparel'!$C$5)</f>
        <v>5757.6219164365802</v>
      </c>
      <c r="R50" s="630">
        <f>Q50*(1+'R&amp;S - Apparel'!$C$5)</f>
        <v>5757.6219164365802</v>
      </c>
      <c r="S50" s="630">
        <f>R50*(1+'R&amp;S - Apparel'!$C$5)</f>
        <v>5757.6219164365802</v>
      </c>
      <c r="T50" s="630">
        <f>S50*(1+'R&amp;S - Apparel'!$C$5)</f>
        <v>5757.6219164365802</v>
      </c>
      <c r="U50" s="630">
        <f>T50*(1+'R&amp;S - Apparel'!$C$5)</f>
        <v>5757.6219164365802</v>
      </c>
      <c r="V50" s="630">
        <f>U50*(1+'R&amp;S - Apparel'!$C$5)</f>
        <v>5757.6219164365802</v>
      </c>
      <c r="W50" s="630">
        <f>V50*(1+'R&amp;S - Apparel'!$C$5)</f>
        <v>5757.6219164365802</v>
      </c>
      <c r="X50" s="630">
        <f>W50*(1+'R&amp;S - Apparel'!$C$5)</f>
        <v>5757.6219164365802</v>
      </c>
      <c r="Y50" s="630">
        <f>X50*(1+'R&amp;S - Apparel'!$C$5)</f>
        <v>5757.6219164365802</v>
      </c>
      <c r="Z50" s="630">
        <f>Y50*(1+'R&amp;S - Apparel'!$C$5)</f>
        <v>5757.6219164365802</v>
      </c>
      <c r="AA50" s="630">
        <f>Z50*(1+'R&amp;S - Apparel'!$C$5)</f>
        <v>5757.6219164365802</v>
      </c>
      <c r="AB50" s="630">
        <f>AA50*(1+'R&amp;S - Apparel'!$C$5)</f>
        <v>5757.6219164365802</v>
      </c>
      <c r="AC50" s="630">
        <f>AB50*(1+'R&amp;S - Apparel'!$C$5)</f>
        <v>5757.6219164365802</v>
      </c>
      <c r="AD50" s="630">
        <f>AC50*(1+'R&amp;S - Apparel'!$C$5)</f>
        <v>5757.6219164365802</v>
      </c>
      <c r="AE50" s="630">
        <f>AD50*(1+'R&amp;S - Apparel'!$C$5)</f>
        <v>5757.6219164365802</v>
      </c>
      <c r="AF50" s="630">
        <f>AE50*(1+'R&amp;S - Apparel'!$C$5)</f>
        <v>5757.6219164365802</v>
      </c>
      <c r="AG50" s="630">
        <f>AF50*(1+'R&amp;S - Apparel'!$C$5)</f>
        <v>5757.6219164365802</v>
      </c>
      <c r="AH50" s="630">
        <f>AG50*(1+'R&amp;S - Apparel'!$C$5)</f>
        <v>5757.6219164365802</v>
      </c>
    </row>
    <row r="51" spans="1:35" outlineLevel="1">
      <c r="B51" s="58" t="s">
        <v>196</v>
      </c>
      <c r="C51" s="51" t="s">
        <v>166</v>
      </c>
      <c r="D51" s="196">
        <v>0</v>
      </c>
      <c r="E51" s="196">
        <f>E50*'R&amp;S - Apparel'!$C$7*'R&amp;S - Apparel'!$B$13*'R&amp;S - Apparel'!$B$17*('Yearly HC Ethylene'!E$3-'Yearly HC Ethylene'!$D$3)/10</f>
        <v>100.75838353764014</v>
      </c>
      <c r="F51" s="196">
        <f>F50*'R&amp;S - Apparel'!$C$7*'R&amp;S - Apparel'!$B$13*'R&amp;S - Apparel'!$B$17*('Yearly HC Ethylene'!F$3-'Yearly HC Ethylene'!$D$3)/10</f>
        <v>201.51676707528028</v>
      </c>
      <c r="G51" s="196">
        <f>G50*'R&amp;S - Apparel'!$C$7*'R&amp;S - Apparel'!$B$13*'R&amp;S - Apparel'!$B$17*('Yearly HC Ethylene'!G$3-'Yearly HC Ethylene'!$D$3)/10</f>
        <v>302.27515061292041</v>
      </c>
      <c r="H51" s="196">
        <f>H50*'R&amp;S - Apparel'!$C$7*'R&amp;S - Apparel'!$B$13*'R&amp;S - Apparel'!$B$17*('Yearly HC Ethylene'!H$3-'Yearly HC Ethylene'!$D$3)/10</f>
        <v>403.03353415056057</v>
      </c>
      <c r="I51" s="196">
        <f>I50*'R&amp;S - Apparel'!$C$7*'R&amp;S - Apparel'!$B$13*'R&amp;S - Apparel'!$B$17*('Yearly HC Ethylene'!I$3-'Yearly HC Ethylene'!$D$3)/10</f>
        <v>503.79191768820073</v>
      </c>
      <c r="J51" s="196">
        <f>J50*'R&amp;S - Apparel'!$C$7*'R&amp;S - Apparel'!$B$13*'R&amp;S - Apparel'!$B$17*('Yearly HC Ethylene'!J$3-'Yearly HC Ethylene'!$D$3)/10</f>
        <v>604.55030122584083</v>
      </c>
      <c r="K51" s="196">
        <f>K50*'R&amp;S - Apparel'!$C$7*'R&amp;S - Apparel'!$B$13*'R&amp;S - Apparel'!$B$17*('Yearly HC Ethylene'!K$3-'Yearly HC Ethylene'!$D$3)/10</f>
        <v>705.3086847634811</v>
      </c>
      <c r="L51" s="196">
        <f>L50*'R&amp;S - Apparel'!$C$7*'R&amp;S - Apparel'!$B$13*'R&amp;S - Apparel'!$B$17*('Yearly HC Ethylene'!L$3-'Yearly HC Ethylene'!$D$3)/10</f>
        <v>806.06706830112114</v>
      </c>
      <c r="M51" s="196">
        <f>M50*'R&amp;S - Apparel'!$C$7*'R&amp;S - Apparel'!$B$13*'R&amp;S - Apparel'!$B$17*('Yearly HC Ethylene'!M$3-'Yearly HC Ethylene'!$D$3)/10</f>
        <v>906.82545183876141</v>
      </c>
      <c r="N51" s="196">
        <f>N50*'R&amp;S - Apparel'!$C$7*'R&amp;S - Apparel'!$B$13*'R&amp;S - Apparel'!$B$17*('Yearly HC Ethylene'!N$3-'Yearly HC Ethylene'!$D$3)/10</f>
        <v>1007.5838353764015</v>
      </c>
      <c r="O51" s="196">
        <f>O50*'R&amp;S - Apparel'!$C$7*'R&amp;S - Apparel'!$B$13*('R&amp;S - Apparel'!$B$17+('R&amp;S - Apparel'!$B$18-'R&amp;S - Apparel'!$B$17)*('Yearly HC Ethylene'!O$3-'Yearly HC Ethylene'!$N$3)/10)</f>
        <v>1036.3719449585844</v>
      </c>
      <c r="P51" s="196">
        <f>P50*'R&amp;S - Apparel'!$C$7*'R&amp;S - Apparel'!$B$13*('R&amp;S - Apparel'!$B$17+('R&amp;S - Apparel'!$B$18-'R&amp;S - Apparel'!$B$17)*('Yearly HC Ethylene'!P$3-'Yearly HC Ethylene'!$N$3)/10)</f>
        <v>1065.1600545407673</v>
      </c>
      <c r="Q51" s="196">
        <f>Q50*'R&amp;S - Apparel'!$C$7*'R&amp;S - Apparel'!$B$13*('R&amp;S - Apparel'!$B$17+('R&amp;S - Apparel'!$B$18-'R&amp;S - Apparel'!$B$17)*('Yearly HC Ethylene'!Q$3-'Yearly HC Ethylene'!$N$3)/10)</f>
        <v>1093.9481641229502</v>
      </c>
      <c r="R51" s="196">
        <f>R50*'R&amp;S - Apparel'!$C$7*'R&amp;S - Apparel'!$B$13*('R&amp;S - Apparel'!$B$17+('R&amp;S - Apparel'!$B$18-'R&amp;S - Apparel'!$B$17)*('Yearly HC Ethylene'!R$3-'Yearly HC Ethylene'!$N$3)/10)</f>
        <v>1122.7362737051333</v>
      </c>
      <c r="S51" s="196">
        <f>S50*'R&amp;S - Apparel'!$C$7*'R&amp;S - Apparel'!$B$13*('R&amp;S - Apparel'!$B$17+('R&amp;S - Apparel'!$B$18-'R&amp;S - Apparel'!$B$17)*('Yearly HC Ethylene'!S$3-'Yearly HC Ethylene'!$N$3)/10)</f>
        <v>1151.5243832873161</v>
      </c>
      <c r="T51" s="196">
        <f>T50*'R&amp;S - Apparel'!$C$7*'R&amp;S - Apparel'!$B$13*('R&amp;S - Apparel'!$B$17+('R&amp;S - Apparel'!$B$18-'R&amp;S - Apparel'!$B$17)*('Yearly HC Ethylene'!T$3-'Yearly HC Ethylene'!$N$3)/10)</f>
        <v>1180.3124928694988</v>
      </c>
      <c r="U51" s="196">
        <f>U50*'R&amp;S - Apparel'!$C$7*'R&amp;S - Apparel'!$B$13*('R&amp;S - Apparel'!$B$17+('R&amp;S - Apparel'!$B$18-'R&amp;S - Apparel'!$B$17)*('Yearly HC Ethylene'!U$3-'Yearly HC Ethylene'!$N$3)/10)</f>
        <v>1209.1006024516819</v>
      </c>
      <c r="V51" s="196">
        <f>V50*'R&amp;S - Apparel'!$C$7*'R&amp;S - Apparel'!$B$13*('R&amp;S - Apparel'!$B$17+('R&amp;S - Apparel'!$B$18-'R&amp;S - Apparel'!$B$17)*('Yearly HC Ethylene'!V$3-'Yearly HC Ethylene'!$N$3)/10)</f>
        <v>1237.8887120338647</v>
      </c>
      <c r="W51" s="196">
        <f>W50*'R&amp;S - Apparel'!$C$7*'R&amp;S - Apparel'!$B$13*('R&amp;S - Apparel'!$B$17+('R&amp;S - Apparel'!$B$18-'R&amp;S - Apparel'!$B$17)*('Yearly HC Ethylene'!W$3-'Yearly HC Ethylene'!$N$3)/10)</f>
        <v>1266.6768216160476</v>
      </c>
      <c r="X51" s="196">
        <f>X50*'R&amp;S - Apparel'!$C$7*'R&amp;S - Apparel'!$B$13*('R&amp;S - Apparel'!$B$17+('R&amp;S - Apparel'!$B$18-'R&amp;S - Apparel'!$B$17)*('Yearly HC Ethylene'!X$3-'Yearly HC Ethylene'!$N$3)/10)</f>
        <v>1295.4649311982305</v>
      </c>
      <c r="Y51" s="196">
        <f>Y50*'R&amp;S - Apparel'!$C$7*'R&amp;S - Apparel'!$B$13*('R&amp;S - Apparel'!$B$18+('R&amp;S - Apparel'!$B$19-'R&amp;S - Apparel'!$B$18)*('Yearly HC Ethylene'!Y$3-'Yearly HC Ethylene'!$X$3)/10)</f>
        <v>1309.858985989322</v>
      </c>
      <c r="Z51" s="196">
        <f>Z50*'R&amp;S - Apparel'!$C$7*'R&amp;S - Apparel'!$B$13*('R&amp;S - Apparel'!$B$18+('R&amp;S - Apparel'!$B$19-'R&amp;S - Apparel'!$B$18)*('Yearly HC Ethylene'!Z$3-'Yearly HC Ethylene'!$X$3)/10)</f>
        <v>1324.2530407804136</v>
      </c>
      <c r="AA51" s="196">
        <f>AA50*'R&amp;S - Apparel'!$C$7*'R&amp;S - Apparel'!$B$13*('R&amp;S - Apparel'!$B$18+('R&amp;S - Apparel'!$B$19-'R&amp;S - Apparel'!$B$18)*('Yearly HC Ethylene'!AA$3-'Yearly HC Ethylene'!$X$3)/10)</f>
        <v>1338.6470955715049</v>
      </c>
      <c r="AB51" s="196">
        <f>AB50*'R&amp;S - Apparel'!$C$7*'R&amp;S - Apparel'!$B$13*('R&amp;S - Apparel'!$B$18+('R&amp;S - Apparel'!$B$19-'R&amp;S - Apparel'!$B$18)*('Yearly HC Ethylene'!AB$3-'Yearly HC Ethylene'!$X$3)/10)</f>
        <v>1353.0411503625965</v>
      </c>
      <c r="AC51" s="196">
        <f>AC50*'R&amp;S - Apparel'!$C$7*'R&amp;S - Apparel'!$B$13*('R&amp;S - Apparel'!$B$18+('R&amp;S - Apparel'!$B$19-'R&amp;S - Apparel'!$B$18)*('Yearly HC Ethylene'!AC$3-'Yearly HC Ethylene'!$X$3)/10)</f>
        <v>1367.4352051536878</v>
      </c>
      <c r="AD51" s="196">
        <f>AD50*'R&amp;S - Apparel'!$C$7*'R&amp;S - Apparel'!$B$13*('R&amp;S - Apparel'!$B$18+('R&amp;S - Apparel'!$B$19-'R&amp;S - Apparel'!$B$18)*('Yearly HC Ethylene'!AD$3-'Yearly HC Ethylene'!$X$3)/10)</f>
        <v>1381.8292599447791</v>
      </c>
      <c r="AE51" s="196">
        <f>AE50*'R&amp;S - Apparel'!$C$7*'R&amp;S - Apparel'!$B$13*('R&amp;S - Apparel'!$B$18+('R&amp;S - Apparel'!$B$19-'R&amp;S - Apparel'!$B$18)*('Yearly HC Ethylene'!AE$3-'Yearly HC Ethylene'!$X$3)/10)</f>
        <v>1396.2233147358706</v>
      </c>
      <c r="AF51" s="196">
        <f>AF50*'R&amp;S - Apparel'!$C$7*'R&amp;S - Apparel'!$B$13*('R&amp;S - Apparel'!$B$18+('R&amp;S - Apparel'!$B$19-'R&amp;S - Apparel'!$B$18)*('Yearly HC Ethylene'!AF$3-'Yearly HC Ethylene'!$X$3)/10)</f>
        <v>1410.6173695269622</v>
      </c>
      <c r="AG51" s="196">
        <f>AG50*'R&amp;S - Apparel'!$C$7*'R&amp;S - Apparel'!$B$13*('R&amp;S - Apparel'!$B$18+('R&amp;S - Apparel'!$B$19-'R&amp;S - Apparel'!$B$18)*('Yearly HC Ethylene'!AG$3-'Yearly HC Ethylene'!$X$3)/10)</f>
        <v>1425.0114243180535</v>
      </c>
      <c r="AH51" s="196">
        <f>AH50*'R&amp;S - Apparel'!$C$7*'R&amp;S - Apparel'!$B$13*('R&amp;S - Apparel'!$B$18+('R&amp;S - Apparel'!$B$19-'R&amp;S - Apparel'!$B$18)*('Yearly HC Ethylene'!AH$3-'Yearly HC Ethylene'!$X$3)/10)</f>
        <v>1439.4054791091451</v>
      </c>
    </row>
    <row r="52" spans="1:35" outlineLevel="1">
      <c r="B52" s="58" t="s">
        <v>200</v>
      </c>
      <c r="C52" s="51" t="s">
        <v>166</v>
      </c>
      <c r="D52" s="196">
        <v>0</v>
      </c>
      <c r="E52" s="196">
        <f>E50*'R&amp;S - Apparel'!$C$8*'R&amp;S - Apparel'!$B$13*'R&amp;S - Apparel'!$C$17*('Yearly HC Ethylene'!E$3-'Yearly HC Ethylene'!$D$3)/10</f>
        <v>39.151829031768749</v>
      </c>
      <c r="F52" s="196">
        <f>F50*'R&amp;S - Apparel'!$C$8*'R&amp;S - Apparel'!$B$13*'R&amp;S - Apparel'!$C$17*('Yearly HC Ethylene'!F$3-'Yearly HC Ethylene'!$D$3)/10</f>
        <v>78.303658063537497</v>
      </c>
      <c r="G52" s="196">
        <f>G50*'R&amp;S - Apparel'!$C$8*'R&amp;S - Apparel'!$B$13*'R&amp;S - Apparel'!$C$17*('Yearly HC Ethylene'!G$3-'Yearly HC Ethylene'!$D$3)/10</f>
        <v>117.45548709530627</v>
      </c>
      <c r="H52" s="196">
        <f>H50*'R&amp;S - Apparel'!$C$8*'R&amp;S - Apparel'!$B$13*'R&amp;S - Apparel'!$C$17*('Yearly HC Ethylene'!H$3-'Yearly HC Ethylene'!$D$3)/10</f>
        <v>156.60731612707499</v>
      </c>
      <c r="I52" s="196">
        <f>I50*'R&amp;S - Apparel'!$C$8*'R&amp;S - Apparel'!$B$13*'R&amp;S - Apparel'!$C$17*('Yearly HC Ethylene'!I$3-'Yearly HC Ethylene'!$D$3)/10</f>
        <v>195.75914515884375</v>
      </c>
      <c r="J52" s="196">
        <f>J50*'R&amp;S - Apparel'!$C$8*'R&amp;S - Apparel'!$B$13*'R&amp;S - Apparel'!$C$17*('Yearly HC Ethylene'!J$3-'Yearly HC Ethylene'!$D$3)/10</f>
        <v>234.91097419061254</v>
      </c>
      <c r="K52" s="196">
        <f>K50*'R&amp;S - Apparel'!$C$8*'R&amp;S - Apparel'!$B$13*'R&amp;S - Apparel'!$C$17*('Yearly HC Ethylene'!K$3-'Yearly HC Ethylene'!$D$3)/10</f>
        <v>274.06280322238126</v>
      </c>
      <c r="L52" s="196">
        <f>L50*'R&amp;S - Apparel'!$C$8*'R&amp;S - Apparel'!$B$13*'R&amp;S - Apparel'!$C$17*('Yearly HC Ethylene'!L$3-'Yearly HC Ethylene'!$D$3)/10</f>
        <v>313.21463225414999</v>
      </c>
      <c r="M52" s="196">
        <f>M50*'R&amp;S - Apparel'!$C$8*'R&amp;S - Apparel'!$B$13*'R&amp;S - Apparel'!$C$17*('Yearly HC Ethylene'!M$3-'Yearly HC Ethylene'!$D$3)/10</f>
        <v>352.36646128591872</v>
      </c>
      <c r="N52" s="196">
        <f>N50*'R&amp;S - Apparel'!$C$8*'R&amp;S - Apparel'!$B$13*'R&amp;S - Apparel'!$C$17*('Yearly HC Ethylene'!N$3-'Yearly HC Ethylene'!$D$3)/10</f>
        <v>391.5182903176875</v>
      </c>
      <c r="O52" s="196">
        <f>O50*'R&amp;S - Apparel'!$C$8*'R&amp;S - Apparel'!$B$13*('R&amp;S - Apparel'!$C$17+('R&amp;S - Apparel'!$C$18-'R&amp;S - Apparel'!$C$17)*('Yearly HC Ethylene'!O$3-'Yearly HC Ethylene'!$N$3)/10)</f>
        <v>450.24603386534062</v>
      </c>
      <c r="P52" s="196">
        <f>P50*'R&amp;S - Apparel'!$C$8*'R&amp;S - Apparel'!$B$13*('R&amp;S - Apparel'!$C$17+('R&amp;S - Apparel'!$C$18-'R&amp;S - Apparel'!$C$17)*('Yearly HC Ethylene'!P$3-'Yearly HC Ethylene'!$N$3)/10)</f>
        <v>508.97377741299374</v>
      </c>
      <c r="Q52" s="196">
        <f>Q50*'R&amp;S - Apparel'!$C$8*'R&amp;S - Apparel'!$B$13*('R&amp;S - Apparel'!$C$17+('R&amp;S - Apparel'!$C$18-'R&amp;S - Apparel'!$C$17)*('Yearly HC Ethylene'!Q$3-'Yearly HC Ethylene'!$N$3)/10)</f>
        <v>567.70152096064692</v>
      </c>
      <c r="R52" s="196">
        <f>R50*'R&amp;S - Apparel'!$C$8*'R&amp;S - Apparel'!$B$13*('R&amp;S - Apparel'!$C$17+('R&amp;S - Apparel'!$C$18-'R&amp;S - Apparel'!$C$17)*('Yearly HC Ethylene'!R$3-'Yearly HC Ethylene'!$N$3)/10)</f>
        <v>626.42926450829998</v>
      </c>
      <c r="S52" s="196">
        <f>S50*'R&amp;S - Apparel'!$C$8*'R&amp;S - Apparel'!$B$13*('R&amp;S - Apparel'!$C$17+('R&amp;S - Apparel'!$C$18-'R&amp;S - Apparel'!$C$17)*('Yearly HC Ethylene'!S$3-'Yearly HC Ethylene'!$N$3)/10)</f>
        <v>685.15700805595304</v>
      </c>
      <c r="T52" s="196">
        <f>T50*'R&amp;S - Apparel'!$C$8*'R&amp;S - Apparel'!$B$13*('R&amp;S - Apparel'!$C$17+('R&amp;S - Apparel'!$C$18-'R&amp;S - Apparel'!$C$17)*('Yearly HC Ethylene'!T$3-'Yearly HC Ethylene'!$N$3)/10)</f>
        <v>743.88475160360622</v>
      </c>
      <c r="U52" s="196">
        <f>U50*'R&amp;S - Apparel'!$C$8*'R&amp;S - Apparel'!$B$13*('R&amp;S - Apparel'!$C$17+('R&amp;S - Apparel'!$C$18-'R&amp;S - Apparel'!$C$17)*('Yearly HC Ethylene'!U$3-'Yearly HC Ethylene'!$N$3)/10)</f>
        <v>802.6124951512594</v>
      </c>
      <c r="V52" s="196">
        <f>V50*'R&amp;S - Apparel'!$C$8*'R&amp;S - Apparel'!$B$13*('R&amp;S - Apparel'!$C$17+('R&amp;S - Apparel'!$C$18-'R&amp;S - Apparel'!$C$17)*('Yearly HC Ethylene'!V$3-'Yearly HC Ethylene'!$N$3)/10)</f>
        <v>861.34023869891246</v>
      </c>
      <c r="W52" s="196">
        <f>W50*'R&amp;S - Apparel'!$C$8*'R&amp;S - Apparel'!$B$13*('R&amp;S - Apparel'!$C$17+('R&amp;S - Apparel'!$C$18-'R&amp;S - Apparel'!$C$17)*('Yearly HC Ethylene'!W$3-'Yearly HC Ethylene'!$N$3)/10)</f>
        <v>920.06798224656552</v>
      </c>
      <c r="X52" s="196">
        <f>X50*'R&amp;S - Apparel'!$C$8*'R&amp;S - Apparel'!$B$13*('R&amp;S - Apparel'!$C$17+('R&amp;S - Apparel'!$C$18-'R&amp;S - Apparel'!$C$17)*('Yearly HC Ethylene'!X$3-'Yearly HC Ethylene'!$N$3)/10)</f>
        <v>978.7957257942187</v>
      </c>
      <c r="Y52" s="196">
        <f>Y50*'R&amp;S - Apparel'!$C$8*'R&amp;S - Apparel'!$B$13*('R&amp;S - Apparel'!$C$18+('R&amp;S - Apparel'!$C$19-'R&amp;S - Apparel'!$C$18)*('Yearly HC Ethylene'!Y$3-'Yearly HC Ethylene'!$X$3)/10)</f>
        <v>1076.6752983736405</v>
      </c>
      <c r="Z52" s="196">
        <f>Z50*'R&amp;S - Apparel'!$C$8*'R&amp;S - Apparel'!$B$13*('R&amp;S - Apparel'!$C$18+('R&amp;S - Apparel'!$C$19-'R&amp;S - Apparel'!$C$18)*('Yearly HC Ethylene'!Z$3-'Yearly HC Ethylene'!$X$3)/10)</f>
        <v>1174.5548709530624</v>
      </c>
      <c r="AA52" s="196">
        <f>AA50*'R&amp;S - Apparel'!$C$8*'R&amp;S - Apparel'!$B$13*('R&amp;S - Apparel'!$C$18+('R&amp;S - Apparel'!$C$19-'R&amp;S - Apparel'!$C$18)*('Yearly HC Ethylene'!AA$3-'Yearly HC Ethylene'!$X$3)/10)</f>
        <v>1272.4344435324842</v>
      </c>
      <c r="AB52" s="196">
        <f>AB50*'R&amp;S - Apparel'!$C$8*'R&amp;S - Apparel'!$B$13*('R&amp;S - Apparel'!$C$18+('R&amp;S - Apparel'!$C$19-'R&amp;S - Apparel'!$C$18)*('Yearly HC Ethylene'!AB$3-'Yearly HC Ethylene'!$X$3)/10)</f>
        <v>1370.3140161119061</v>
      </c>
      <c r="AC52" s="196">
        <f>AC50*'R&amp;S - Apparel'!$C$8*'R&amp;S - Apparel'!$B$13*('R&amp;S - Apparel'!$C$18+('R&amp;S - Apparel'!$C$19-'R&amp;S - Apparel'!$C$18)*('Yearly HC Ethylene'!AC$3-'Yearly HC Ethylene'!$X$3)/10)</f>
        <v>1468.1935886913279</v>
      </c>
      <c r="AD52" s="196">
        <f>AD50*'R&amp;S - Apparel'!$C$8*'R&amp;S - Apparel'!$B$13*('R&amp;S - Apparel'!$C$18+('R&amp;S - Apparel'!$C$19-'R&amp;S - Apparel'!$C$18)*('Yearly HC Ethylene'!AD$3-'Yearly HC Ethylene'!$X$3)/10)</f>
        <v>1566.07316127075</v>
      </c>
      <c r="AE52" s="196">
        <f>AE50*'R&amp;S - Apparel'!$C$8*'R&amp;S - Apparel'!$B$13*('R&amp;S - Apparel'!$C$18+('R&amp;S - Apparel'!$C$19-'R&amp;S - Apparel'!$C$18)*('Yearly HC Ethylene'!AE$3-'Yearly HC Ethylene'!$X$3)/10)</f>
        <v>1663.9527338501719</v>
      </c>
      <c r="AF52" s="196">
        <f>AF50*'R&amp;S - Apparel'!$C$8*'R&amp;S - Apparel'!$B$13*('R&amp;S - Apparel'!$C$18+('R&amp;S - Apparel'!$C$19-'R&amp;S - Apparel'!$C$18)*('Yearly HC Ethylene'!AF$3-'Yearly HC Ethylene'!$X$3)/10)</f>
        <v>1761.8323064295937</v>
      </c>
      <c r="AG52" s="196">
        <f>AG50*'R&amp;S - Apparel'!$C$8*'R&amp;S - Apparel'!$B$13*('R&amp;S - Apparel'!$C$18+('R&amp;S - Apparel'!$C$19-'R&amp;S - Apparel'!$C$18)*('Yearly HC Ethylene'!AG$3-'Yearly HC Ethylene'!$X$3)/10)</f>
        <v>1859.7118790090155</v>
      </c>
      <c r="AH52" s="196">
        <f>AH50*'R&amp;S - Apparel'!$C$8*'R&amp;S - Apparel'!$B$13*('R&amp;S - Apparel'!$C$18+('R&amp;S - Apparel'!$C$19-'R&amp;S - Apparel'!$C$18)*('Yearly HC Ethylene'!AH$3-'Yearly HC Ethylene'!$X$3)/10)</f>
        <v>1957.5914515884374</v>
      </c>
    </row>
    <row r="53" spans="1:35" outlineLevel="1">
      <c r="B53" s="1" t="s">
        <v>164</v>
      </c>
      <c r="C53" s="51" t="s">
        <v>166</v>
      </c>
      <c r="D53" s="196">
        <f>SUM(D51:D52)</f>
        <v>0</v>
      </c>
      <c r="E53" s="196">
        <f t="shared" ref="E53:AH53" si="13">SUM(E51:E52)</f>
        <v>139.91021256940888</v>
      </c>
      <c r="F53" s="196">
        <f t="shared" si="13"/>
        <v>279.82042513881777</v>
      </c>
      <c r="G53" s="196">
        <f t="shared" si="13"/>
        <v>419.73063770822671</v>
      </c>
      <c r="H53" s="196">
        <f t="shared" si="13"/>
        <v>559.64085027763554</v>
      </c>
      <c r="I53" s="196">
        <f t="shared" si="13"/>
        <v>699.55106284704448</v>
      </c>
      <c r="J53" s="196">
        <f t="shared" si="13"/>
        <v>839.46127541645342</v>
      </c>
      <c r="K53" s="196">
        <f t="shared" si="13"/>
        <v>979.37148798586236</v>
      </c>
      <c r="L53" s="196">
        <f t="shared" si="13"/>
        <v>1119.2817005552711</v>
      </c>
      <c r="M53" s="196">
        <f t="shared" si="13"/>
        <v>1259.19191312468</v>
      </c>
      <c r="N53" s="196">
        <f t="shared" si="13"/>
        <v>1399.102125694089</v>
      </c>
      <c r="O53" s="196">
        <f t="shared" si="13"/>
        <v>1486.6179788239251</v>
      </c>
      <c r="P53" s="196">
        <f t="shared" si="13"/>
        <v>1574.133831953761</v>
      </c>
      <c r="Q53" s="196">
        <f t="shared" si="13"/>
        <v>1661.649685083597</v>
      </c>
      <c r="R53" s="196">
        <f t="shared" si="13"/>
        <v>1749.1655382134331</v>
      </c>
      <c r="S53" s="196">
        <f t="shared" si="13"/>
        <v>1836.6813913432693</v>
      </c>
      <c r="T53" s="196">
        <f t="shared" si="13"/>
        <v>1924.197244473105</v>
      </c>
      <c r="U53" s="196">
        <f t="shared" si="13"/>
        <v>2011.7130976029412</v>
      </c>
      <c r="V53" s="196">
        <f t="shared" si="13"/>
        <v>2099.2289507327773</v>
      </c>
      <c r="W53" s="196">
        <f t="shared" si="13"/>
        <v>2186.744803862613</v>
      </c>
      <c r="X53" s="196">
        <f t="shared" si="13"/>
        <v>2274.2606569924492</v>
      </c>
      <c r="Y53" s="196">
        <f t="shared" si="13"/>
        <v>2386.5342843629624</v>
      </c>
      <c r="Z53" s="196">
        <f t="shared" si="13"/>
        <v>2498.807911733476</v>
      </c>
      <c r="AA53" s="196">
        <f t="shared" si="13"/>
        <v>2611.0815391039891</v>
      </c>
      <c r="AB53" s="196">
        <f t="shared" si="13"/>
        <v>2723.3551664745028</v>
      </c>
      <c r="AC53" s="196">
        <f t="shared" si="13"/>
        <v>2835.6287938450159</v>
      </c>
      <c r="AD53" s="196">
        <f t="shared" si="13"/>
        <v>2947.9024212155291</v>
      </c>
      <c r="AE53" s="196">
        <f t="shared" si="13"/>
        <v>3060.1760485860423</v>
      </c>
      <c r="AF53" s="196">
        <f t="shared" si="13"/>
        <v>3172.4496759565559</v>
      </c>
      <c r="AG53" s="196">
        <f t="shared" si="13"/>
        <v>3284.7233033270691</v>
      </c>
      <c r="AH53" s="196">
        <f t="shared" si="13"/>
        <v>3396.9969306975827</v>
      </c>
    </row>
    <row r="54" spans="1:35" outlineLevel="1">
      <c r="B54" s="1" t="s">
        <v>167</v>
      </c>
      <c r="C54" s="51" t="s">
        <v>166</v>
      </c>
      <c r="D54" s="196">
        <v>0</v>
      </c>
      <c r="E54" s="196">
        <f>E50*'R&amp;S - Apparel'!$C$10*'R&amp;S - Apparel'!$B$13*'R&amp;S - Apparel'!$D$17*(E$3-$D$3)/10</f>
        <v>38.000304648481432</v>
      </c>
      <c r="F54" s="196">
        <f>F50*'R&amp;S - Apparel'!$C$10*'R&amp;S - Apparel'!$B$13*'R&amp;S - Apparel'!$D$17*(F$3-$D$3)/10</f>
        <v>76.000609296962864</v>
      </c>
      <c r="G54" s="196">
        <f>G50*'R&amp;S - Apparel'!$C$10*'R&amp;S - Apparel'!$B$13*'R&amp;S - Apparel'!$D$17*(G$3-$D$3)/10</f>
        <v>114.0009139454443</v>
      </c>
      <c r="H54" s="196">
        <f>H50*'R&amp;S - Apparel'!$C$10*'R&amp;S - Apparel'!$B$13*'R&amp;S - Apparel'!$D$17*(H$3-$D$3)/10</f>
        <v>152.00121859392573</v>
      </c>
      <c r="I54" s="196">
        <f>I50*'R&amp;S - Apparel'!$C$10*'R&amp;S - Apparel'!$B$13*'R&amp;S - Apparel'!$D$17*(I$3-$D$3)/10</f>
        <v>190.00152324240716</v>
      </c>
      <c r="J54" s="196">
        <f>J50*'R&amp;S - Apparel'!$C$10*'R&amp;S - Apparel'!$B$13*'R&amp;S - Apparel'!$D$17*(J$3-$D$3)/10</f>
        <v>228.00182789088859</v>
      </c>
      <c r="K54" s="196">
        <f>K50*'R&amp;S - Apparel'!$C$10*'R&amp;S - Apparel'!$B$13*'R&amp;S - Apparel'!$D$17*(K$3-$D$3)/10</f>
        <v>266.00213253937005</v>
      </c>
      <c r="L54" s="196">
        <f>L50*'R&amp;S - Apparel'!$C$10*'R&amp;S - Apparel'!$B$13*'R&amp;S - Apparel'!$D$17*(L$3-$D$3)/10</f>
        <v>304.00243718785146</v>
      </c>
      <c r="M54" s="196">
        <f>M50*'R&amp;S - Apparel'!$C$10*'R&amp;S - Apparel'!$B$13*'R&amp;S - Apparel'!$D$17*(M$3-$D$3)/10</f>
        <v>342.00274183633286</v>
      </c>
      <c r="N54" s="196">
        <f>N50*'R&amp;S - Apparel'!$C$10*'R&amp;S - Apparel'!$B$13*'R&amp;S - Apparel'!$D$17*(N$3-$D$3)/10</f>
        <v>380.00304648481432</v>
      </c>
      <c r="O54" s="196">
        <f>O50*'R&amp;S - Apparel'!$C$10*'R&amp;S - Apparel'!$B$13*('R&amp;S - Apparel'!$D$17+('R&amp;S - Apparel'!$D$18-'R&amp;S - Apparel'!$D$17)*(O$3-$N$3)/10)</f>
        <v>418.00335113329572</v>
      </c>
      <c r="P54" s="196">
        <f>P50*'R&amp;S - Apparel'!$C$10*'R&amp;S - Apparel'!$B$13*('R&amp;S - Apparel'!$D$17+('R&amp;S - Apparel'!$D$18-'R&amp;S - Apparel'!$D$17)*(P$3-$N$3)/10)</f>
        <v>456.00365578177724</v>
      </c>
      <c r="Q54" s="196">
        <f>Q50*'R&amp;S - Apparel'!$C$10*'R&amp;S - Apparel'!$B$13*('R&amp;S - Apparel'!$D$17+('R&amp;S - Apparel'!$D$18-'R&amp;S - Apparel'!$D$17)*(Q$3-$N$3)/10)</f>
        <v>494.0039604302587</v>
      </c>
      <c r="R54" s="196">
        <f>R50*'R&amp;S - Apparel'!$C$10*'R&amp;S - Apparel'!$B$13*('R&amp;S - Apparel'!$D$17+('R&amp;S - Apparel'!$D$18-'R&amp;S - Apparel'!$D$17)*(R$3-$N$3)/10)</f>
        <v>532.0042650787401</v>
      </c>
      <c r="S54" s="196">
        <f>S50*'R&amp;S - Apparel'!$C$10*'R&amp;S - Apparel'!$B$13*('R&amp;S - Apparel'!$D$17+('R&amp;S - Apparel'!$D$18-'R&amp;S - Apparel'!$D$17)*(S$3-$N$3)/10)</f>
        <v>570.00456972722145</v>
      </c>
      <c r="T54" s="196">
        <f>T50*'R&amp;S - Apparel'!$C$10*'R&amp;S - Apparel'!$B$13*('R&amp;S - Apparel'!$D$17+('R&amp;S - Apparel'!$D$18-'R&amp;S - Apparel'!$D$17)*(T$3-$N$3)/10)</f>
        <v>608.00487437570291</v>
      </c>
      <c r="U54" s="196">
        <f>U50*'R&amp;S - Apparel'!$C$10*'R&amp;S - Apparel'!$B$13*('R&amp;S - Apparel'!$D$17+('R&amp;S - Apparel'!$D$18-'R&amp;S - Apparel'!$D$17)*(U$3-$N$3)/10)</f>
        <v>646.00517902418437</v>
      </c>
      <c r="V54" s="196">
        <f>V50*'R&amp;S - Apparel'!$C$10*'R&amp;S - Apparel'!$B$13*('R&amp;S - Apparel'!$D$17+('R&amp;S - Apparel'!$D$18-'R&amp;S - Apparel'!$D$17)*(V$3-$N$3)/10)</f>
        <v>684.00548367266583</v>
      </c>
      <c r="W54" s="196">
        <f>W50*'R&amp;S - Apparel'!$C$10*'R&amp;S - Apparel'!$B$13*('R&amp;S - Apparel'!$D$17+('R&amp;S - Apparel'!$D$18-'R&amp;S - Apparel'!$D$17)*(W$3-$N$3)/10)</f>
        <v>722.00578832114718</v>
      </c>
      <c r="X54" s="196">
        <f>X50*'R&amp;S - Apparel'!$C$10*'R&amp;S - Apparel'!$B$13*('R&amp;S - Apparel'!$D$17+('R&amp;S - Apparel'!$D$18-'R&amp;S - Apparel'!$D$17)*(X$3-$N$3)/10)</f>
        <v>760.00609296962864</v>
      </c>
      <c r="Y54" s="196">
        <f>Y50*'R&amp;S - Apparel'!$C$10*'R&amp;S - Apparel'!$B$13*('R&amp;S - Apparel'!$D$18+('R&amp;S - Apparel'!$D$19-'R&amp;S - Apparel'!$D$18)*(Y$3-$X$3)/10)</f>
        <v>799.15792200139742</v>
      </c>
      <c r="Z54" s="196">
        <f>Z50*'R&amp;S - Apparel'!$C$10*'R&amp;S - Apparel'!$B$13*('R&amp;S - Apparel'!$D$18+('R&amp;S - Apparel'!$D$19-'R&amp;S - Apparel'!$D$18)*(Z$3-$X$3)/10)</f>
        <v>838.30975103316609</v>
      </c>
      <c r="AA54" s="196">
        <f>AA50*'R&amp;S - Apparel'!$C$10*'R&amp;S - Apparel'!$B$13*('R&amp;S - Apparel'!$D$18+('R&amp;S - Apparel'!$D$19-'R&amp;S - Apparel'!$D$18)*(AA$3-$X$3)/10)</f>
        <v>877.46158006493488</v>
      </c>
      <c r="AB54" s="196">
        <f>AB50*'R&amp;S - Apparel'!$C$10*'R&amp;S - Apparel'!$B$13*('R&amp;S - Apparel'!$D$18+('R&amp;S - Apparel'!$D$19-'R&amp;S - Apparel'!$D$18)*(AB$3-$X$3)/10)</f>
        <v>916.61340909670366</v>
      </c>
      <c r="AC54" s="196">
        <f>AC50*'R&amp;S - Apparel'!$C$10*'R&amp;S - Apparel'!$B$13*('R&amp;S - Apparel'!$D$18+('R&amp;S - Apparel'!$D$19-'R&amp;S - Apparel'!$D$18)*(AC$3-$X$3)/10)</f>
        <v>955.76523812847245</v>
      </c>
      <c r="AD54" s="196">
        <f>AD50*'R&amp;S - Apparel'!$C$10*'R&amp;S - Apparel'!$B$13*('R&amp;S - Apparel'!$D$18+('R&amp;S - Apparel'!$D$19-'R&amp;S - Apparel'!$D$18)*(AD$3-$X$3)/10)</f>
        <v>994.91706716024123</v>
      </c>
      <c r="AE54" s="196">
        <f>AE50*'R&amp;S - Apparel'!$C$10*'R&amp;S - Apparel'!$B$13*('R&amp;S - Apparel'!$D$18+('R&amp;S - Apparel'!$D$19-'R&amp;S - Apparel'!$D$18)*(AE$3-$X$3)/10)</f>
        <v>1034.06889619201</v>
      </c>
      <c r="AF54" s="196">
        <f>AF50*'R&amp;S - Apparel'!$C$10*'R&amp;S - Apparel'!$B$13*('R&amp;S - Apparel'!$D$18+('R&amp;S - Apparel'!$D$19-'R&amp;S - Apparel'!$D$18)*(AF$3-$X$3)/10)</f>
        <v>1073.2207252237786</v>
      </c>
      <c r="AG54" s="196">
        <f>AG50*'R&amp;S - Apparel'!$C$10*'R&amp;S - Apparel'!$B$13*('R&amp;S - Apparel'!$D$18+('R&amp;S - Apparel'!$D$19-'R&amp;S - Apparel'!$D$18)*(AG$3-$X$3)/10)</f>
        <v>1112.3725542555474</v>
      </c>
      <c r="AH54" s="196">
        <f>AH50*'R&amp;S - Apparel'!$C$10*'R&amp;S - Apparel'!$B$13*('R&amp;S - Apparel'!$D$18+('R&amp;S - Apparel'!$D$19-'R&amp;S - Apparel'!$D$18)*(AH$3-$X$3)/10)</f>
        <v>1151.5243832873161</v>
      </c>
    </row>
    <row r="55" spans="1:35">
      <c r="B55" s="1" t="s">
        <v>195</v>
      </c>
      <c r="C55" s="61" t="s">
        <v>166</v>
      </c>
      <c r="D55" s="633">
        <f>D50-D53-D54</f>
        <v>5757.6219164365802</v>
      </c>
      <c r="E55" s="633">
        <f t="shared" ref="E55:AG55" si="14">E50-E53-E54</f>
        <v>5579.7113992186896</v>
      </c>
      <c r="F55" s="633">
        <f t="shared" si="14"/>
        <v>5401.8008820007999</v>
      </c>
      <c r="G55" s="633">
        <f t="shared" si="14"/>
        <v>5223.8903647829093</v>
      </c>
      <c r="H55" s="633">
        <f t="shared" si="14"/>
        <v>5045.9798475650186</v>
      </c>
      <c r="I55" s="633">
        <f t="shared" si="14"/>
        <v>4868.069330347128</v>
      </c>
      <c r="J55" s="633">
        <f t="shared" si="14"/>
        <v>4690.1588131292383</v>
      </c>
      <c r="K55" s="633">
        <f t="shared" si="14"/>
        <v>4512.2482959113477</v>
      </c>
      <c r="L55" s="633">
        <f t="shared" si="14"/>
        <v>4334.3377786934579</v>
      </c>
      <c r="M55" s="633">
        <f t="shared" si="14"/>
        <v>4156.4272614755673</v>
      </c>
      <c r="N55" s="633">
        <f t="shared" si="14"/>
        <v>3978.5167442576776</v>
      </c>
      <c r="O55" s="633">
        <f t="shared" si="14"/>
        <v>3853.0005864793593</v>
      </c>
      <c r="P55" s="633">
        <f t="shared" si="14"/>
        <v>3727.4844287010424</v>
      </c>
      <c r="Q55" s="633">
        <f t="shared" si="14"/>
        <v>3601.9682709227245</v>
      </c>
      <c r="R55" s="633">
        <f t="shared" si="14"/>
        <v>3476.4521131444071</v>
      </c>
      <c r="S55" s="633">
        <f t="shared" si="14"/>
        <v>3350.9359553660897</v>
      </c>
      <c r="T55" s="633">
        <f t="shared" si="14"/>
        <v>3225.4197975877723</v>
      </c>
      <c r="U55" s="633">
        <f t="shared" si="14"/>
        <v>3099.9036398094549</v>
      </c>
      <c r="V55" s="633">
        <f t="shared" si="14"/>
        <v>2974.3874820311371</v>
      </c>
      <c r="W55" s="633">
        <f t="shared" si="14"/>
        <v>2848.8713242528202</v>
      </c>
      <c r="X55" s="633">
        <f t="shared" si="14"/>
        <v>2723.3551664745023</v>
      </c>
      <c r="Y55" s="633">
        <f t="shared" si="14"/>
        <v>2571.9297100722206</v>
      </c>
      <c r="Z55" s="633">
        <f t="shared" si="14"/>
        <v>2420.5042536699384</v>
      </c>
      <c r="AA55" s="633">
        <f t="shared" si="14"/>
        <v>2269.0787972676562</v>
      </c>
      <c r="AB55" s="633">
        <f t="shared" si="14"/>
        <v>2117.653340865374</v>
      </c>
      <c r="AC55" s="633">
        <f t="shared" si="14"/>
        <v>1966.2278844630919</v>
      </c>
      <c r="AD55" s="633">
        <f t="shared" si="14"/>
        <v>1814.8024280608099</v>
      </c>
      <c r="AE55" s="633">
        <f t="shared" si="14"/>
        <v>1663.376971658528</v>
      </c>
      <c r="AF55" s="633">
        <f t="shared" si="14"/>
        <v>1511.9515152562458</v>
      </c>
      <c r="AG55" s="633">
        <f t="shared" si="14"/>
        <v>1360.5260588539638</v>
      </c>
      <c r="AH55" s="633">
        <f>AH50-AH53-AH54</f>
        <v>1209.1006024516814</v>
      </c>
    </row>
    <row r="56" spans="1:35" s="62" customFormat="1">
      <c r="A56" s="688" t="s">
        <v>685</v>
      </c>
      <c r="B56" s="55" t="s">
        <v>141</v>
      </c>
      <c r="C56" s="56" t="s">
        <v>166</v>
      </c>
      <c r="D56" s="630">
        <f>D55*('Demand - Ethylene'!$C$77)</f>
        <v>0</v>
      </c>
      <c r="E56" s="630">
        <f>E55*('Demand - Ethylene'!$C$77)</f>
        <v>0</v>
      </c>
      <c r="F56" s="630">
        <f>F55*('Demand - Ethylene'!$C$77)</f>
        <v>0</v>
      </c>
      <c r="G56" s="630">
        <f>G55*('Demand - Ethylene'!$C$77)</f>
        <v>0</v>
      </c>
      <c r="H56" s="630">
        <f>H55*('Demand - Ethylene'!$C$77)</f>
        <v>0</v>
      </c>
      <c r="I56" s="630">
        <f>I55*('Demand - Ethylene'!$C$77)</f>
        <v>0</v>
      </c>
      <c r="J56" s="630">
        <f>J55*('Demand - Ethylene'!$C$77)</f>
        <v>0</v>
      </c>
      <c r="K56" s="630">
        <f>K55*('Demand - Ethylene'!$C$77)</f>
        <v>0</v>
      </c>
      <c r="L56" s="630">
        <f>L55*('Demand - Ethylene'!$C$77)</f>
        <v>0</v>
      </c>
      <c r="M56" s="630">
        <f>M55*('Demand - Ethylene'!$C$77)</f>
        <v>0</v>
      </c>
      <c r="N56" s="630">
        <f>N55*('Demand - Ethylene'!$C$77)</f>
        <v>0</v>
      </c>
      <c r="O56" s="630">
        <f>O55*('Demand - Ethylene'!$C$77)</f>
        <v>0</v>
      </c>
      <c r="P56" s="630">
        <f>P55*('Demand - Ethylene'!$C$77)</f>
        <v>0</v>
      </c>
      <c r="Q56" s="630">
        <f>Q55*('Demand - Ethylene'!$C$77)</f>
        <v>0</v>
      </c>
      <c r="R56" s="630">
        <f>R55*('Demand - Ethylene'!$C$77)</f>
        <v>0</v>
      </c>
      <c r="S56" s="630">
        <f>S55*('Demand - Ethylene'!$C$77)</f>
        <v>0</v>
      </c>
      <c r="T56" s="630">
        <f>T55*('Demand - Ethylene'!$C$77)</f>
        <v>0</v>
      </c>
      <c r="U56" s="630">
        <f>U55*('Demand - Ethylene'!$C$77)</f>
        <v>0</v>
      </c>
      <c r="V56" s="630">
        <f>V55*('Demand - Ethylene'!$C$77)</f>
        <v>0</v>
      </c>
      <c r="W56" s="630">
        <f>W55*('Demand - Ethylene'!$C$77)</f>
        <v>0</v>
      </c>
      <c r="X56" s="630">
        <f>X55*('Demand - Ethylene'!$C$77)</f>
        <v>0</v>
      </c>
      <c r="Y56" s="630">
        <f>Y55*('Demand - Ethylene'!$C$77)</f>
        <v>0</v>
      </c>
      <c r="Z56" s="630">
        <f>Z55*('Demand - Ethylene'!$C$77)</f>
        <v>0</v>
      </c>
      <c r="AA56" s="630">
        <f>AA55*('Demand - Ethylene'!$C$77)</f>
        <v>0</v>
      </c>
      <c r="AB56" s="630">
        <f>AB55*('Demand - Ethylene'!$C$77)</f>
        <v>0</v>
      </c>
      <c r="AC56" s="630">
        <f>AC55*('Demand - Ethylene'!$C$77)</f>
        <v>0</v>
      </c>
      <c r="AD56" s="630">
        <f>AD55*('Demand - Ethylene'!$C$77)</f>
        <v>0</v>
      </c>
      <c r="AE56" s="630">
        <f>AE55*('Demand - Ethylene'!$C$77)</f>
        <v>0</v>
      </c>
      <c r="AF56" s="630">
        <f>AF55*('Demand - Ethylene'!$C$77)</f>
        <v>0</v>
      </c>
      <c r="AG56" s="630">
        <f>AG55*('Demand - Ethylene'!$C$77)</f>
        <v>0</v>
      </c>
      <c r="AH56" s="630">
        <f>AH55*('Demand - Ethylene'!$C$77)</f>
        <v>0</v>
      </c>
      <c r="AI56" s="57"/>
    </row>
    <row r="57" spans="1:35">
      <c r="A57" s="689"/>
      <c r="B57" s="1" t="s">
        <v>18</v>
      </c>
      <c r="C57" s="51" t="s">
        <v>166</v>
      </c>
      <c r="D57" s="196">
        <f>D61</f>
        <v>5757.6219164365802</v>
      </c>
      <c r="E57" s="196">
        <f t="shared" ref="E57:AH57" si="15">E61</f>
        <v>5579.7113992186896</v>
      </c>
      <c r="F57" s="196">
        <f t="shared" si="15"/>
        <v>5401.8008820007999</v>
      </c>
      <c r="G57" s="196">
        <f t="shared" si="15"/>
        <v>5223.8903647829093</v>
      </c>
      <c r="H57" s="196">
        <f t="shared" si="15"/>
        <v>5045.9798475650186</v>
      </c>
      <c r="I57" s="196">
        <f t="shared" si="15"/>
        <v>4868.069330347128</v>
      </c>
      <c r="J57" s="196">
        <f t="shared" si="15"/>
        <v>4690.1588131292383</v>
      </c>
      <c r="K57" s="196">
        <f t="shared" si="15"/>
        <v>4512.2482959113477</v>
      </c>
      <c r="L57" s="196">
        <f t="shared" si="15"/>
        <v>4334.3377786934579</v>
      </c>
      <c r="M57" s="196">
        <f t="shared" si="15"/>
        <v>4156.4272614755673</v>
      </c>
      <c r="N57" s="196">
        <f t="shared" si="15"/>
        <v>3978.5167442576776</v>
      </c>
      <c r="O57" s="196">
        <f t="shared" si="15"/>
        <v>3853.0005864793593</v>
      </c>
      <c r="P57" s="196">
        <f t="shared" si="15"/>
        <v>3727.4844287010424</v>
      </c>
      <c r="Q57" s="196">
        <f t="shared" si="15"/>
        <v>3601.9682709227245</v>
      </c>
      <c r="R57" s="196">
        <f t="shared" si="15"/>
        <v>3476.4521131444071</v>
      </c>
      <c r="S57" s="196">
        <f t="shared" si="15"/>
        <v>3350.9359553660897</v>
      </c>
      <c r="T57" s="196">
        <f t="shared" si="15"/>
        <v>3225.4197975877723</v>
      </c>
      <c r="U57" s="196">
        <f t="shared" si="15"/>
        <v>3099.9036398094549</v>
      </c>
      <c r="V57" s="196">
        <f t="shared" si="15"/>
        <v>2974.3874820311371</v>
      </c>
      <c r="W57" s="196">
        <f t="shared" si="15"/>
        <v>2848.8713242528202</v>
      </c>
      <c r="X57" s="196">
        <f t="shared" si="15"/>
        <v>2723.3551664745023</v>
      </c>
      <c r="Y57" s="196">
        <f t="shared" si="15"/>
        <v>2571.9297100722206</v>
      </c>
      <c r="Z57" s="196">
        <f t="shared" si="15"/>
        <v>2420.5042536699384</v>
      </c>
      <c r="AA57" s="196">
        <f t="shared" si="15"/>
        <v>2269.0787972676562</v>
      </c>
      <c r="AB57" s="196">
        <f t="shared" si="15"/>
        <v>2117.653340865374</v>
      </c>
      <c r="AC57" s="196">
        <f t="shared" si="15"/>
        <v>1966.2278844630919</v>
      </c>
      <c r="AD57" s="196">
        <f t="shared" si="15"/>
        <v>1814.8024280608099</v>
      </c>
      <c r="AE57" s="196">
        <f t="shared" si="15"/>
        <v>1663.376971658528</v>
      </c>
      <c r="AF57" s="196">
        <f t="shared" si="15"/>
        <v>1511.9515152562458</v>
      </c>
      <c r="AG57" s="196">
        <f t="shared" si="15"/>
        <v>1360.5260588539638</v>
      </c>
      <c r="AH57" s="196">
        <f t="shared" si="15"/>
        <v>1209.1006024516814</v>
      </c>
      <c r="AI57" s="41"/>
    </row>
    <row r="58" spans="1:35">
      <c r="A58" s="689"/>
      <c r="B58" s="1" t="s">
        <v>684</v>
      </c>
      <c r="C58" s="51" t="s">
        <v>166</v>
      </c>
      <c r="D58" s="196">
        <f>D60/('Demand - Ethylene'!$M$14)</f>
        <v>0</v>
      </c>
      <c r="E58" s="196">
        <f>E60/('Demand - Ethylene'!$M$14)</f>
        <v>0</v>
      </c>
      <c r="F58" s="196">
        <f>F60/('Demand - Ethylene'!$M$14)</f>
        <v>0</v>
      </c>
      <c r="G58" s="196">
        <f>G60/('Demand - Ethylene'!$M$14)</f>
        <v>0</v>
      </c>
      <c r="H58" s="196">
        <f>H60/('Demand - Ethylene'!$M$14)</f>
        <v>0</v>
      </c>
      <c r="I58" s="196">
        <f>I60/('Demand - Ethylene'!$M$14)</f>
        <v>0</v>
      </c>
      <c r="J58" s="196">
        <f>J60/('Demand - Ethylene'!$M$14)</f>
        <v>0</v>
      </c>
      <c r="K58" s="196">
        <f>K60/('Demand - Ethylene'!$M$14)</f>
        <v>0</v>
      </c>
      <c r="L58" s="196">
        <f>L60/('Demand - Ethylene'!$M$14)</f>
        <v>0</v>
      </c>
      <c r="M58" s="196">
        <f>M60/('Demand - Ethylene'!$M$14)</f>
        <v>0</v>
      </c>
      <c r="N58" s="196">
        <f>N60/('Demand - Ethylene'!$M$14)</f>
        <v>0</v>
      </c>
      <c r="O58" s="196">
        <f>O60/('Demand - Ethylene'!$M$14)</f>
        <v>0</v>
      </c>
      <c r="P58" s="196">
        <f>P60/('Demand - Ethylene'!$M$14)</f>
        <v>0</v>
      </c>
      <c r="Q58" s="196">
        <f>Q60/('Demand - Ethylene'!$M$14)</f>
        <v>0</v>
      </c>
      <c r="R58" s="196">
        <f>R60/('Demand - Ethylene'!$M$14)</f>
        <v>0</v>
      </c>
      <c r="S58" s="196">
        <f>S60/('Demand - Ethylene'!$M$14)</f>
        <v>0</v>
      </c>
      <c r="T58" s="196">
        <f>T60/('Demand - Ethylene'!$M$14)</f>
        <v>0</v>
      </c>
      <c r="U58" s="196">
        <f>U60/('Demand - Ethylene'!$M$14)</f>
        <v>0</v>
      </c>
      <c r="V58" s="196">
        <f>V60/('Demand - Ethylene'!$M$14)</f>
        <v>0</v>
      </c>
      <c r="W58" s="196">
        <f>W60/('Demand - Ethylene'!$M$14)</f>
        <v>0</v>
      </c>
      <c r="X58" s="196">
        <f>X60/('Demand - Ethylene'!$M$14)</f>
        <v>0</v>
      </c>
      <c r="Y58" s="196">
        <f>Y60/('Demand - Ethylene'!$M$14)</f>
        <v>0</v>
      </c>
      <c r="Z58" s="196">
        <f>Z60/('Demand - Ethylene'!$M$14)</f>
        <v>0</v>
      </c>
      <c r="AA58" s="196">
        <f>AA60/('Demand - Ethylene'!$M$14)</f>
        <v>0</v>
      </c>
      <c r="AB58" s="196">
        <f>AB60/('Demand - Ethylene'!$M$14)</f>
        <v>0</v>
      </c>
      <c r="AC58" s="196">
        <f>AC60/('Demand - Ethylene'!$M$14)</f>
        <v>0</v>
      </c>
      <c r="AD58" s="196">
        <f>AD60/('Demand - Ethylene'!$M$14)</f>
        <v>0</v>
      </c>
      <c r="AE58" s="196">
        <f>AE60/('Demand - Ethylene'!$M$14)</f>
        <v>0</v>
      </c>
      <c r="AF58" s="196">
        <f>AF60/('Demand - Ethylene'!$M$14)</f>
        <v>0</v>
      </c>
      <c r="AG58" s="196">
        <f>AG60/('Demand - Ethylene'!$M$14)</f>
        <v>0</v>
      </c>
      <c r="AH58" s="196">
        <f>AH60/('Demand - Ethylene'!$M$14)</f>
        <v>0</v>
      </c>
      <c r="AI58" s="41"/>
    </row>
    <row r="59" spans="1:35" s="63" customFormat="1">
      <c r="A59" s="690"/>
      <c r="B59" s="59" t="s">
        <v>27</v>
      </c>
      <c r="C59" s="262" t="s">
        <v>166</v>
      </c>
      <c r="D59" s="599">
        <f>D55-SUM(D57,D56,D58)</f>
        <v>0</v>
      </c>
      <c r="E59" s="599">
        <f t="shared" ref="E59:AH59" si="16">E55-SUM(E57,E56,E58)</f>
        <v>0</v>
      </c>
      <c r="F59" s="599">
        <f t="shared" si="16"/>
        <v>0</v>
      </c>
      <c r="G59" s="599">
        <f t="shared" si="16"/>
        <v>0</v>
      </c>
      <c r="H59" s="599">
        <f t="shared" si="16"/>
        <v>0</v>
      </c>
      <c r="I59" s="599">
        <f t="shared" si="16"/>
        <v>0</v>
      </c>
      <c r="J59" s="599">
        <f t="shared" si="16"/>
        <v>0</v>
      </c>
      <c r="K59" s="599">
        <f t="shared" si="16"/>
        <v>0</v>
      </c>
      <c r="L59" s="599">
        <f t="shared" si="16"/>
        <v>0</v>
      </c>
      <c r="M59" s="599">
        <f t="shared" si="16"/>
        <v>0</v>
      </c>
      <c r="N59" s="599">
        <f t="shared" si="16"/>
        <v>0</v>
      </c>
      <c r="O59" s="599">
        <f t="shared" si="16"/>
        <v>0</v>
      </c>
      <c r="P59" s="599">
        <f t="shared" si="16"/>
        <v>0</v>
      </c>
      <c r="Q59" s="599">
        <f t="shared" si="16"/>
        <v>0</v>
      </c>
      <c r="R59" s="599">
        <f t="shared" si="16"/>
        <v>0</v>
      </c>
      <c r="S59" s="599">
        <f t="shared" si="16"/>
        <v>0</v>
      </c>
      <c r="T59" s="599">
        <f t="shared" si="16"/>
        <v>0</v>
      </c>
      <c r="U59" s="599">
        <f t="shared" si="16"/>
        <v>0</v>
      </c>
      <c r="V59" s="599">
        <f t="shared" si="16"/>
        <v>0</v>
      </c>
      <c r="W59" s="599">
        <f t="shared" si="16"/>
        <v>0</v>
      </c>
      <c r="X59" s="599">
        <f t="shared" si="16"/>
        <v>0</v>
      </c>
      <c r="Y59" s="599">
        <f t="shared" si="16"/>
        <v>0</v>
      </c>
      <c r="Z59" s="599">
        <f t="shared" si="16"/>
        <v>0</v>
      </c>
      <c r="AA59" s="599">
        <f t="shared" si="16"/>
        <v>0</v>
      </c>
      <c r="AB59" s="599">
        <f t="shared" si="16"/>
        <v>0</v>
      </c>
      <c r="AC59" s="599">
        <f t="shared" si="16"/>
        <v>0</v>
      </c>
      <c r="AD59" s="599">
        <f t="shared" si="16"/>
        <v>0</v>
      </c>
      <c r="AE59" s="599">
        <f t="shared" si="16"/>
        <v>0</v>
      </c>
      <c r="AF59" s="599">
        <f t="shared" si="16"/>
        <v>0</v>
      </c>
      <c r="AG59" s="599">
        <f t="shared" si="16"/>
        <v>0</v>
      </c>
      <c r="AH59" s="599">
        <f t="shared" si="16"/>
        <v>0</v>
      </c>
      <c r="AI59" s="263"/>
    </row>
    <row r="60" spans="1:35" s="62" customFormat="1">
      <c r="A60" s="688" t="s">
        <v>686</v>
      </c>
      <c r="B60" s="55" t="s">
        <v>683</v>
      </c>
      <c r="C60" s="56" t="s">
        <v>166</v>
      </c>
      <c r="D60" s="630">
        <f>D55*'Demand - Ethylene'!$E$77</f>
        <v>0</v>
      </c>
      <c r="E60" s="630">
        <f>E55*'Demand - Ethylene'!$E$77</f>
        <v>0</v>
      </c>
      <c r="F60" s="630">
        <f>F55*'Demand - Ethylene'!$E$77</f>
        <v>0</v>
      </c>
      <c r="G60" s="630">
        <f>G55*'Demand - Ethylene'!$E$77</f>
        <v>0</v>
      </c>
      <c r="H60" s="630">
        <f>H55*'Demand - Ethylene'!$E$77</f>
        <v>0</v>
      </c>
      <c r="I60" s="630">
        <f>I55*'Demand - Ethylene'!$E$77</f>
        <v>0</v>
      </c>
      <c r="J60" s="630">
        <f>J55*'Demand - Ethylene'!$E$77</f>
        <v>0</v>
      </c>
      <c r="K60" s="630">
        <f>K55*'Demand - Ethylene'!$E$77</f>
        <v>0</v>
      </c>
      <c r="L60" s="630">
        <f>L55*'Demand - Ethylene'!$E$77</f>
        <v>0</v>
      </c>
      <c r="M60" s="630">
        <f>M55*'Demand - Ethylene'!$E$77</f>
        <v>0</v>
      </c>
      <c r="N60" s="630">
        <f>N55*'Demand - Ethylene'!$E$77</f>
        <v>0</v>
      </c>
      <c r="O60" s="630">
        <f>O55*'Demand - Ethylene'!$E$77</f>
        <v>0</v>
      </c>
      <c r="P60" s="630">
        <f>P55*'Demand - Ethylene'!$E$77</f>
        <v>0</v>
      </c>
      <c r="Q60" s="630">
        <f>Q55*'Demand - Ethylene'!$E$77</f>
        <v>0</v>
      </c>
      <c r="R60" s="630">
        <f>R55*'Demand - Ethylene'!$E$77</f>
        <v>0</v>
      </c>
      <c r="S60" s="630">
        <f>S55*'Demand - Ethylene'!$E$77</f>
        <v>0</v>
      </c>
      <c r="T60" s="630">
        <f>T55*'Demand - Ethylene'!$E$77</f>
        <v>0</v>
      </c>
      <c r="U60" s="630">
        <f>U55*'Demand - Ethylene'!$E$77</f>
        <v>0</v>
      </c>
      <c r="V60" s="630">
        <f>V55*'Demand - Ethylene'!$E$77</f>
        <v>0</v>
      </c>
      <c r="W60" s="630">
        <f>W55*'Demand - Ethylene'!$E$77</f>
        <v>0</v>
      </c>
      <c r="X60" s="630">
        <f>X55*'Demand - Ethylene'!$E$77</f>
        <v>0</v>
      </c>
      <c r="Y60" s="630">
        <f>Y55*'Demand - Ethylene'!$E$77</f>
        <v>0</v>
      </c>
      <c r="Z60" s="630">
        <f>Z55*'Demand - Ethylene'!$E$77</f>
        <v>0</v>
      </c>
      <c r="AA60" s="630">
        <f>AA55*'Demand - Ethylene'!$E$77</f>
        <v>0</v>
      </c>
      <c r="AB60" s="630">
        <f>AB55*'Demand - Ethylene'!$E$77</f>
        <v>0</v>
      </c>
      <c r="AC60" s="630">
        <f>AC55*'Demand - Ethylene'!$E$77</f>
        <v>0</v>
      </c>
      <c r="AD60" s="630">
        <f>AD55*'Demand - Ethylene'!$E$77</f>
        <v>0</v>
      </c>
      <c r="AE60" s="630">
        <f>AE55*'Demand - Ethylene'!$E$77</f>
        <v>0</v>
      </c>
      <c r="AF60" s="630">
        <f>AF55*'Demand - Ethylene'!$E$77</f>
        <v>0</v>
      </c>
      <c r="AG60" s="630">
        <f>AG55*'Demand - Ethylene'!$E$77</f>
        <v>0</v>
      </c>
      <c r="AH60" s="630">
        <f>AH55*'Demand - Ethylene'!$E$77</f>
        <v>0</v>
      </c>
      <c r="AI60" s="57"/>
    </row>
    <row r="61" spans="1:35" s="63" customFormat="1">
      <c r="A61" s="690"/>
      <c r="B61" s="59" t="s">
        <v>682</v>
      </c>
      <c r="C61" s="262" t="s">
        <v>166</v>
      </c>
      <c r="D61" s="599">
        <f>D55*'Demand - Ethylene'!$D$77</f>
        <v>5757.6219164365802</v>
      </c>
      <c r="E61" s="599">
        <f>E55*'Demand - Ethylene'!$D$77</f>
        <v>5579.7113992186896</v>
      </c>
      <c r="F61" s="599">
        <f>F55*'Demand - Ethylene'!$D$77</f>
        <v>5401.8008820007999</v>
      </c>
      <c r="G61" s="599">
        <f>G55*'Demand - Ethylene'!$D$77</f>
        <v>5223.8903647829093</v>
      </c>
      <c r="H61" s="599">
        <f>H55*'Demand - Ethylene'!$D$77</f>
        <v>5045.9798475650186</v>
      </c>
      <c r="I61" s="599">
        <f>I55*'Demand - Ethylene'!$D$77</f>
        <v>4868.069330347128</v>
      </c>
      <c r="J61" s="599">
        <f>J55*'Demand - Ethylene'!$D$77</f>
        <v>4690.1588131292383</v>
      </c>
      <c r="K61" s="599">
        <f>K55*'Demand - Ethylene'!$D$77</f>
        <v>4512.2482959113477</v>
      </c>
      <c r="L61" s="599">
        <f>L55*'Demand - Ethylene'!$D$77</f>
        <v>4334.3377786934579</v>
      </c>
      <c r="M61" s="599">
        <f>M55*'Demand - Ethylene'!$D$77</f>
        <v>4156.4272614755673</v>
      </c>
      <c r="N61" s="599">
        <f>N55*'Demand - Ethylene'!$D$77</f>
        <v>3978.5167442576776</v>
      </c>
      <c r="O61" s="599">
        <f>O55*'Demand - Ethylene'!$D$77</f>
        <v>3853.0005864793593</v>
      </c>
      <c r="P61" s="599">
        <f>P55*'Demand - Ethylene'!$D$77</f>
        <v>3727.4844287010424</v>
      </c>
      <c r="Q61" s="599">
        <f>Q55*'Demand - Ethylene'!$D$77</f>
        <v>3601.9682709227245</v>
      </c>
      <c r="R61" s="599">
        <f>R55*'Demand - Ethylene'!$D$77</f>
        <v>3476.4521131444071</v>
      </c>
      <c r="S61" s="599">
        <f>S55*'Demand - Ethylene'!$D$77</f>
        <v>3350.9359553660897</v>
      </c>
      <c r="T61" s="599">
        <f>T55*'Demand - Ethylene'!$D$77</f>
        <v>3225.4197975877723</v>
      </c>
      <c r="U61" s="599">
        <f>U55*'Demand - Ethylene'!$D$77</f>
        <v>3099.9036398094549</v>
      </c>
      <c r="V61" s="599">
        <f>V55*'Demand - Ethylene'!$D$77</f>
        <v>2974.3874820311371</v>
      </c>
      <c r="W61" s="599">
        <f>W55*'Demand - Ethylene'!$D$77</f>
        <v>2848.8713242528202</v>
      </c>
      <c r="X61" s="599">
        <f>X55*'Demand - Ethylene'!$D$77</f>
        <v>2723.3551664745023</v>
      </c>
      <c r="Y61" s="599">
        <f>Y55*'Demand - Ethylene'!$D$77</f>
        <v>2571.9297100722206</v>
      </c>
      <c r="Z61" s="599">
        <f>Z55*'Demand - Ethylene'!$D$77</f>
        <v>2420.5042536699384</v>
      </c>
      <c r="AA61" s="599">
        <f>AA55*'Demand - Ethylene'!$D$77</f>
        <v>2269.0787972676562</v>
      </c>
      <c r="AB61" s="599">
        <f>AB55*'Demand - Ethylene'!$D$77</f>
        <v>2117.653340865374</v>
      </c>
      <c r="AC61" s="599">
        <f>AC55*'Demand - Ethylene'!$D$77</f>
        <v>1966.2278844630919</v>
      </c>
      <c r="AD61" s="599">
        <f>AD55*'Demand - Ethylene'!$D$77</f>
        <v>1814.8024280608099</v>
      </c>
      <c r="AE61" s="599">
        <f>AE55*'Demand - Ethylene'!$D$77</f>
        <v>1663.376971658528</v>
      </c>
      <c r="AF61" s="599">
        <f>AF55*'Demand - Ethylene'!$D$77</f>
        <v>1511.9515152562458</v>
      </c>
      <c r="AG61" s="599">
        <f>AG55*'Demand - Ethylene'!$D$77</f>
        <v>1360.5260588539638</v>
      </c>
      <c r="AH61" s="599">
        <f>AH55*'Demand - Ethylene'!$D$77</f>
        <v>1209.1006024516814</v>
      </c>
      <c r="AI61" s="263"/>
    </row>
    <row r="62" spans="1:35" s="62" customFormat="1">
      <c r="A62" s="55" t="s">
        <v>303</v>
      </c>
      <c r="B62" s="55" t="s">
        <v>174</v>
      </c>
      <c r="C62" s="56" t="s">
        <v>166</v>
      </c>
      <c r="D62" s="630">
        <f>D4-D12-D26-D40-D50</f>
        <v>387852.09507639048</v>
      </c>
      <c r="E62" s="630">
        <f t="shared" ref="E62:AH62" si="17">E4-E12-E26-E40-E50</f>
        <v>386266.36998087674</v>
      </c>
      <c r="F62" s="630">
        <f t="shared" si="17"/>
        <v>384653.68755873939</v>
      </c>
      <c r="G62" s="630">
        <f t="shared" si="17"/>
        <v>383013.58953542559</v>
      </c>
      <c r="H62" s="630">
        <f t="shared" si="17"/>
        <v>381345.60984571552</v>
      </c>
      <c r="I62" s="630">
        <f t="shared" si="17"/>
        <v>379649.27450128034</v>
      </c>
      <c r="J62" s="630">
        <f t="shared" si="17"/>
        <v>377924.10145598982</v>
      </c>
      <c r="K62" s="630">
        <f t="shared" si="17"/>
        <v>376169.60046892933</v>
      </c>
      <c r="L62" s="630">
        <f t="shared" si="17"/>
        <v>374385.27296508878</v>
      </c>
      <c r="M62" s="630">
        <f t="shared" si="17"/>
        <v>372570.61189368303</v>
      </c>
      <c r="N62" s="630">
        <f t="shared" si="17"/>
        <v>370725.1015840632</v>
      </c>
      <c r="O62" s="630">
        <f t="shared" si="17"/>
        <v>368848.21759918</v>
      </c>
      <c r="P62" s="630">
        <f t="shared" si="17"/>
        <v>366939.42658655375</v>
      </c>
      <c r="Q62" s="630">
        <f t="shared" si="17"/>
        <v>364998.18612671288</v>
      </c>
      <c r="R62" s="630">
        <f t="shared" si="17"/>
        <v>363023.94457905466</v>
      </c>
      <c r="S62" s="630">
        <f t="shared" si="17"/>
        <v>361016.14092508628</v>
      </c>
      <c r="T62" s="630">
        <f t="shared" si="17"/>
        <v>358974.20460900042</v>
      </c>
      <c r="U62" s="630">
        <f t="shared" si="17"/>
        <v>356897.55537554115</v>
      </c>
      <c r="V62" s="630">
        <f t="shared" si="17"/>
        <v>354785.60310511297</v>
      </c>
      <c r="W62" s="630">
        <f t="shared" si="17"/>
        <v>352637.74764608761</v>
      </c>
      <c r="X62" s="630">
        <f t="shared" si="17"/>
        <v>350453.37864425877</v>
      </c>
      <c r="Y62" s="630">
        <f t="shared" si="17"/>
        <v>348231.87536939891</v>
      </c>
      <c r="Z62" s="630">
        <f t="shared" si="17"/>
        <v>345972.60653886636</v>
      </c>
      <c r="AA62" s="630">
        <f t="shared" si="17"/>
        <v>343674.93013821478</v>
      </c>
      <c r="AB62" s="630">
        <f t="shared" si="17"/>
        <v>341338.19323875202</v>
      </c>
      <c r="AC62" s="630">
        <f t="shared" si="17"/>
        <v>338961.73181199847</v>
      </c>
      <c r="AD62" s="630">
        <f t="shared" si="17"/>
        <v>336544.8705409902</v>
      </c>
      <c r="AE62" s="630">
        <f t="shared" si="17"/>
        <v>334086.92262837471</v>
      </c>
      <c r="AF62" s="630">
        <f t="shared" si="17"/>
        <v>331587.1896012447</v>
      </c>
      <c r="AG62" s="630">
        <f t="shared" si="17"/>
        <v>329044.96111265355</v>
      </c>
      <c r="AH62" s="630">
        <f t="shared" si="17"/>
        <v>326459.5147397563</v>
      </c>
    </row>
    <row r="63" spans="1:35" outlineLevel="1">
      <c r="B63" s="1" t="s">
        <v>164</v>
      </c>
      <c r="C63" s="51" t="s">
        <v>166</v>
      </c>
      <c r="D63" s="196">
        <v>0</v>
      </c>
      <c r="E63" s="196">
        <f>E62*'R&amp;S - Others'!$C$7*'R&amp;S - Others'!$B$11*'R&amp;S - Others'!$B$15*('Yearly HC Ethylene'!E$3-'Yearly HC Ethylene'!$D$3)/10</f>
        <v>1912.0185314053401</v>
      </c>
      <c r="F63" s="196">
        <f>F62*'R&amp;S - Others'!$C$7*'R&amp;S - Others'!$B$11*'R&amp;S - Others'!$B$15*('Yearly HC Ethylene'!F$3-'Yearly HC Ethylene'!$D$3)/10</f>
        <v>3808.0715068315199</v>
      </c>
      <c r="G63" s="196">
        <f>G62*'R&amp;S - Others'!$C$7*'R&amp;S - Others'!$B$11*'R&amp;S - Others'!$B$15*('Yearly HC Ethylene'!G$3-'Yearly HC Ethylene'!$D$3)/10</f>
        <v>5687.7518046010691</v>
      </c>
      <c r="H63" s="196">
        <f>H62*'R&amp;S - Others'!$C$7*'R&amp;S - Others'!$B$11*'R&amp;S - Others'!$B$15*('Yearly HC Ethylene'!H$3-'Yearly HC Ethylene'!$D$3)/10</f>
        <v>7550.6430749451665</v>
      </c>
      <c r="I63" s="196">
        <f>I62*'R&amp;S - Others'!$C$7*'R&amp;S - Others'!$B$11*'R&amp;S - Others'!$B$15*('Yearly HC Ethylene'!I$3-'Yearly HC Ethylene'!$D$3)/10</f>
        <v>9396.3195439066876</v>
      </c>
      <c r="J63" s="196">
        <f>J62*'R&amp;S - Others'!$C$7*'R&amp;S - Others'!$B$11*'R&amp;S - Others'!$B$15*('Yearly HC Ethylene'!J$3-'Yearly HC Ethylene'!$D$3)/10</f>
        <v>11224.345813242897</v>
      </c>
      <c r="K63" s="196">
        <f>K62*'R&amp;S - Others'!$C$7*'R&amp;S - Others'!$B$11*'R&amp;S - Others'!$B$15*('Yearly HC Ethylene'!K$3-'Yearly HC Ethylene'!$D$3)/10</f>
        <v>13034.276656248401</v>
      </c>
      <c r="L63" s="196">
        <f>L62*'R&amp;S - Others'!$C$7*'R&amp;S - Others'!$B$11*'R&amp;S - Others'!$B$15*('Yearly HC Ethylene'!L$3-'Yearly HC Ethylene'!$D$3)/10</f>
        <v>14825.656809417516</v>
      </c>
      <c r="M63" s="196">
        <f>M62*'R&amp;S - Others'!$C$7*'R&amp;S - Others'!$B$11*'R&amp;S - Others'!$B$15*('Yearly HC Ethylene'!M$3-'Yearly HC Ethylene'!$D$3)/10</f>
        <v>16598.020759863582</v>
      </c>
      <c r="N63" s="196">
        <f>N62*'R&amp;S - Others'!$C$7*'R&amp;S - Others'!$B$11*'R&amp;S - Others'!$B$15*('Yearly HC Ethylene'!N$3-'Yearly HC Ethylene'!$D$3)/10</f>
        <v>18350.892528411128</v>
      </c>
      <c r="O63" s="196">
        <f>O62*'R&amp;S - Others'!$C$7*'R&amp;S - Others'!$B$11*('R&amp;S - Others'!$B$15+('R&amp;S - Others'!$B$16-'R&amp;S - Others'!$B$15)*('Yearly HC Ethylene'!O$3-'Yearly HC Ethylene'!$N$3)/10)</f>
        <v>20083.78544827535</v>
      </c>
      <c r="P63" s="196">
        <f>P62*'R&amp;S - Others'!$C$7*'R&amp;S - Others'!$B$11*('R&amp;S - Others'!$B$15+('R&amp;S - Others'!$B$16-'R&amp;S - Others'!$B$15)*('Yearly HC Ethylene'!P$3-'Yearly HC Ethylene'!$N$3)/10)</f>
        <v>21796.201939241295</v>
      </c>
      <c r="Q63" s="196">
        <f>Q62*'R&amp;S - Others'!$C$7*'R&amp;S - Others'!$B$11*('R&amp;S - Others'!$B$15+('R&amp;S - Others'!$B$16-'R&amp;S - Others'!$B$15)*('Yearly HC Ethylene'!Q$3-'Yearly HC Ethylene'!$N$3)/10)</f>
        <v>23487.633277253975</v>
      </c>
      <c r="R63" s="196">
        <f>R62*'R&amp;S - Others'!$C$7*'R&amp;S - Others'!$B$11*('R&amp;S - Others'!$B$15+('R&amp;S - Others'!$B$16-'R&amp;S - Others'!$B$15)*('Yearly HC Ethylene'!R$3-'Yearly HC Ethylene'!$N$3)/10)</f>
        <v>25157.55935932849</v>
      </c>
      <c r="S63" s="196">
        <f>S62*'R&amp;S - Others'!$C$7*'R&amp;S - Others'!$B$11*('R&amp;S - Others'!$B$15+('R&amp;S - Others'!$B$16-'R&amp;S - Others'!$B$15)*('Yearly HC Ethylene'!S$3-'Yearly HC Ethylene'!$N$3)/10)</f>
        <v>26805.448463687655</v>
      </c>
      <c r="T63" s="196">
        <f>T62*'R&amp;S - Others'!$C$7*'R&amp;S - Others'!$B$11*('R&amp;S - Others'!$B$15+('R&amp;S - Others'!$B$16-'R&amp;S - Others'!$B$15)*('Yearly HC Ethylene'!T$3-'Yearly HC Ethylene'!$N$3)/10)</f>
        <v>28430.757005032832</v>
      </c>
      <c r="U63" s="196">
        <f>U62*'R&amp;S - Others'!$C$7*'R&amp;S - Others'!$B$11*('R&amp;S - Others'!$B$15+('R&amp;S - Others'!$B$16-'R&amp;S - Others'!$B$15)*('Yearly HC Ethylene'!U$3-'Yearly HC Ethylene'!$N$3)/10)</f>
        <v>30032.929284851787</v>
      </c>
      <c r="V63" s="196">
        <f>V62*'R&amp;S - Others'!$C$7*'R&amp;S - Others'!$B$11*('R&amp;S - Others'!$B$15+('R&amp;S - Others'!$B$16-'R&amp;S - Others'!$B$15)*('Yearly HC Ethylene'!V$3-'Yearly HC Ethylene'!$N$3)/10)</f>
        <v>31611.397236665569</v>
      </c>
      <c r="W63" s="196">
        <f>W62*'R&amp;S - Others'!$C$7*'R&amp;S - Others'!$B$11*('R&amp;S - Others'!$B$15+('R&amp;S - Others'!$B$16-'R&amp;S - Others'!$B$15)*('Yearly HC Ethylene'!W$3-'Yearly HC Ethylene'!$N$3)/10)</f>
        <v>33165.580166114538</v>
      </c>
      <c r="X63" s="196">
        <f>X62*'R&amp;S - Others'!$C$7*'R&amp;S - Others'!$B$11*('R&amp;S - Others'!$B$15+('R&amp;S - Others'!$B$16-'R&amp;S - Others'!$B$15)*('Yearly HC Ethylene'!X$3-'Yearly HC Ethylene'!$N$3)/10)</f>
        <v>34694.884485781622</v>
      </c>
      <c r="Y63" s="196">
        <f>Y62*'R&amp;S - Others'!$C$7*'R&amp;S - Others'!$B$11*('R&amp;S - Others'!$B$16+('R&amp;S - Others'!$B$17-'R&amp;S - Others'!$B$16)*('Yearly HC Ethylene'!Y$3-'Yearly HC Ethylene'!$X$3)/10)</f>
        <v>36250.938225954429</v>
      </c>
      <c r="Z63" s="196">
        <f>Z62*'R&amp;S - Others'!$C$7*'R&amp;S - Others'!$B$11*('R&amp;S - Others'!$B$16+('R&amp;S - Others'!$B$17-'R&amp;S - Others'!$B$16)*('Yearly HC Ethylene'!Z$3-'Yearly HC Ethylene'!$X$3)/10)</f>
        <v>37780.208634044204</v>
      </c>
      <c r="AA63" s="196">
        <f>AA62*'R&amp;S - Others'!$C$7*'R&amp;S - Others'!$B$11*('R&amp;S - Others'!$B$16+('R&amp;S - Others'!$B$17-'R&amp;S - Others'!$B$16)*('Yearly HC Ethylene'!AA$3-'Yearly HC Ethylene'!$X$3)/10)</f>
        <v>39282.044514797948</v>
      </c>
      <c r="AB63" s="196">
        <f>AB62*'R&amp;S - Others'!$C$7*'R&amp;S - Others'!$B$11*('R&amp;S - Others'!$B$16+('R&amp;S - Others'!$B$17-'R&amp;S - Others'!$B$16)*('Yearly HC Ethylene'!AB$3-'Yearly HC Ethylene'!$X$3)/10)</f>
        <v>40755.780272706987</v>
      </c>
      <c r="AC63" s="196">
        <f>AC62*'R&amp;S - Others'!$C$7*'R&amp;S - Others'!$B$11*('R&amp;S - Others'!$B$16+('R&amp;S - Others'!$B$17-'R&amp;S - Others'!$B$16)*('Yearly HC Ethylene'!AC$3-'Yearly HC Ethylene'!$X$3)/10)</f>
        <v>42200.735610593816</v>
      </c>
      <c r="AD63" s="196">
        <f>AD62*'R&amp;S - Others'!$C$7*'R&amp;S - Others'!$B$11*('R&amp;S - Others'!$B$16+('R&amp;S - Others'!$B$17-'R&amp;S - Others'!$B$16)*('Yearly HC Ethylene'!AD$3-'Yearly HC Ethylene'!$X$3)/10)</f>
        <v>43616.215222112332</v>
      </c>
      <c r="AE63" s="196">
        <f>AE62*'R&amp;S - Others'!$C$7*'R&amp;S - Others'!$B$11*('R&amp;S - Others'!$B$16+('R&amp;S - Others'!$B$17-'R&amp;S - Others'!$B$16)*('Yearly HC Ethylene'!AE$3-'Yearly HC Ethylene'!$X$3)/10)</f>
        <v>45001.508478042073</v>
      </c>
      <c r="AF63" s="196">
        <f>AF62*'R&amp;S - Others'!$C$7*'R&amp;S - Others'!$B$11*('R&amp;S - Others'!$B$16+('R&amp;S - Others'!$B$17-'R&amp;S - Others'!$B$16)*('Yearly HC Ethylene'!AF$3-'Yearly HC Ethylene'!$X$3)/10)</f>
        <v>46355.889106254006</v>
      </c>
      <c r="AG63" s="196">
        <f>AG62*'R&amp;S - Others'!$C$7*'R&amp;S - Others'!$B$11*('R&amp;S - Others'!$B$16+('R&amp;S - Others'!$B$17-'R&amp;S - Others'!$B$16)*('Yearly HC Ethylene'!AG$3-'Yearly HC Ethylene'!$X$3)/10)</f>
        <v>47678.614865223499</v>
      </c>
      <c r="AH63" s="196">
        <f>AH62*'R&amp;S - Others'!$C$7*'R&amp;S - Others'!$B$11*('R&amp;S - Others'!$B$16+('R&amp;S - Others'!$B$17-'R&amp;S - Others'!$B$16)*('Yearly HC Ethylene'!AH$3-'Yearly HC Ethylene'!$X$3)/10)</f>
        <v>48968.92721096344</v>
      </c>
    </row>
    <row r="64" spans="1:35" outlineLevel="1">
      <c r="B64" s="1" t="s">
        <v>167</v>
      </c>
      <c r="C64" s="51" t="s">
        <v>166</v>
      </c>
      <c r="D64" s="196">
        <v>0</v>
      </c>
      <c r="E64" s="196">
        <f>E62*'R&amp;S - Others'!$C$8*'R&amp;S - Others'!$B$11*'R&amp;S - Others'!$C$15*('Yearly HC Ethylene'!E$3-'Yearly HC Ethylene'!$D$3)/10</f>
        <v>637.33951046844663</v>
      </c>
      <c r="F64" s="196">
        <f>F62*'R&amp;S - Others'!$C$8*'R&amp;S - Others'!$B$11*'R&amp;S - Others'!$C$15*('Yearly HC Ethylene'!F$3-'Yearly HC Ethylene'!$D$3)/10</f>
        <v>1269.35716894384</v>
      </c>
      <c r="G64" s="196">
        <f>G62*'R&amp;S - Others'!$C$8*'R&amp;S - Others'!$B$11*'R&amp;S - Others'!$C$15*('Yearly HC Ethylene'!G$3-'Yearly HC Ethylene'!$D$3)/10</f>
        <v>1895.9172682003568</v>
      </c>
      <c r="H64" s="196">
        <f>H62*'R&amp;S - Others'!$C$8*'R&amp;S - Others'!$B$11*'R&amp;S - Others'!$C$15*('Yearly HC Ethylene'!H$3-'Yearly HC Ethylene'!$D$3)/10</f>
        <v>2516.8810249817225</v>
      </c>
      <c r="I64" s="196">
        <f>I62*'R&amp;S - Others'!$C$8*'R&amp;S - Others'!$B$11*'R&amp;S - Others'!$C$15*('Yearly HC Ethylene'!I$3-'Yearly HC Ethylene'!$D$3)/10</f>
        <v>3132.1065146355631</v>
      </c>
      <c r="J64" s="196">
        <f>J62*'R&amp;S - Others'!$C$8*'R&amp;S - Others'!$B$11*'R&amp;S - Others'!$C$15*('Yearly HC Ethylene'!J$3-'Yearly HC Ethylene'!$D$3)/10</f>
        <v>3741.4486044142991</v>
      </c>
      <c r="K64" s="196">
        <f>K62*'R&amp;S - Others'!$C$8*'R&amp;S - Others'!$B$11*'R&amp;S - Others'!$C$15*('Yearly HC Ethylene'!K$3-'Yearly HC Ethylene'!$D$3)/10</f>
        <v>4344.7588854161349</v>
      </c>
      <c r="L64" s="196">
        <f>L62*'R&amp;S - Others'!$C$8*'R&amp;S - Others'!$B$11*'R&amp;S - Others'!$C$15*('Yearly HC Ethylene'!L$3-'Yearly HC Ethylene'!$D$3)/10</f>
        <v>4941.8856031391724</v>
      </c>
      <c r="M64" s="196">
        <f>M62*'R&amp;S - Others'!$C$8*'R&amp;S - Others'!$B$11*'R&amp;S - Others'!$C$15*('Yearly HC Ethylene'!M$3-'Yearly HC Ethylene'!$D$3)/10</f>
        <v>5532.673586621193</v>
      </c>
      <c r="N64" s="196">
        <f>N62*'R&amp;S - Others'!$C$8*'R&amp;S - Others'!$B$11*'R&amp;S - Others'!$C$15*('Yearly HC Ethylene'!N$3-'Yearly HC Ethylene'!$D$3)/10</f>
        <v>6116.964176137044</v>
      </c>
      <c r="O64" s="196">
        <f>O62*'R&amp;S - Others'!$C$8*'R&amp;S - Others'!$B$11*('R&amp;S - Others'!$C$15+('R&amp;S - Others'!$C$16-'R&amp;S - Others'!$C$15)*('Yearly HC Ethylene'!O$3-'Yearly HC Ethylene'!$N$3)/10)</f>
        <v>6694.5951494251167</v>
      </c>
      <c r="P64" s="196">
        <f>P62*'R&amp;S - Others'!$C$8*'R&amp;S - Others'!$B$11*('R&amp;S - Others'!$C$15+('R&amp;S - Others'!$C$16-'R&amp;S - Others'!$C$15)*('Yearly HC Ethylene'!P$3-'Yearly HC Ethylene'!$N$3)/10)</f>
        <v>7265.4006464137647</v>
      </c>
      <c r="Q64" s="196">
        <f>Q62*'R&amp;S - Others'!$C$8*'R&amp;S - Others'!$B$11*('R&amp;S - Others'!$C$15+('R&amp;S - Others'!$C$16-'R&amp;S - Others'!$C$15)*('Yearly HC Ethylene'!Q$3-'Yearly HC Ethylene'!$N$3)/10)</f>
        <v>7829.2110924179924</v>
      </c>
      <c r="R64" s="196">
        <f>R62*'R&amp;S - Others'!$C$8*'R&amp;S - Others'!$B$11*('R&amp;S - Others'!$C$15+('R&amp;S - Others'!$C$16-'R&amp;S - Others'!$C$15)*('Yearly HC Ethylene'!R$3-'Yearly HC Ethylene'!$N$3)/10)</f>
        <v>8385.8531197761622</v>
      </c>
      <c r="S64" s="196">
        <f>S62*'R&amp;S - Others'!$C$8*'R&amp;S - Others'!$B$11*('R&amp;S - Others'!$C$15+('R&amp;S - Others'!$C$16-'R&amp;S - Others'!$C$15)*('Yearly HC Ethylene'!S$3-'Yearly HC Ethylene'!$N$3)/10)</f>
        <v>8935.1494878958856</v>
      </c>
      <c r="T64" s="196">
        <f>T62*'R&amp;S - Others'!$C$8*'R&amp;S - Others'!$B$11*('R&amp;S - Others'!$C$15+('R&amp;S - Others'!$C$16-'R&amp;S - Others'!$C$15)*('Yearly HC Ethylene'!T$3-'Yearly HC Ethylene'!$N$3)/10)</f>
        <v>9476.919001677612</v>
      </c>
      <c r="U64" s="196">
        <f>U62*'R&amp;S - Others'!$C$8*'R&amp;S - Others'!$B$11*('R&amp;S - Others'!$C$15+('R&amp;S - Others'!$C$16-'R&amp;S - Others'!$C$15)*('Yearly HC Ethylene'!U$3-'Yearly HC Ethylene'!$N$3)/10)</f>
        <v>10010.976428283931</v>
      </c>
      <c r="V64" s="196">
        <f>V62*'R&amp;S - Others'!$C$8*'R&amp;S - Others'!$B$11*('R&amp;S - Others'!$C$15+('R&amp;S - Others'!$C$16-'R&amp;S - Others'!$C$15)*('Yearly HC Ethylene'!V$3-'Yearly HC Ethylene'!$N$3)/10)</f>
        <v>10537.132412221858</v>
      </c>
      <c r="W64" s="196">
        <f>W62*'R&amp;S - Others'!$C$8*'R&amp;S - Others'!$B$11*('R&amp;S - Others'!$C$15+('R&amp;S - Others'!$C$16-'R&amp;S - Others'!$C$15)*('Yearly HC Ethylene'!W$3-'Yearly HC Ethylene'!$N$3)/10)</f>
        <v>11055.193388704845</v>
      </c>
      <c r="X64" s="196">
        <f>X62*'R&amp;S - Others'!$C$8*'R&amp;S - Others'!$B$11*('R&amp;S - Others'!$C$15+('R&amp;S - Others'!$C$16-'R&amp;S - Others'!$C$15)*('Yearly HC Ethylene'!X$3-'Yearly HC Ethylene'!$N$3)/10)</f>
        <v>11564.961495260541</v>
      </c>
      <c r="Y64" s="196">
        <f>Y62*'R&amp;S - Others'!$C$8*'R&amp;S - Others'!$B$11*('R&amp;S - Others'!$C$16+('R&amp;S - Others'!$C$17-'R&amp;S - Others'!$C$16)*('Yearly HC Ethylene'!Y$3-'Yearly HC Ethylene'!$X$3)/10)</f>
        <v>12083.646075318144</v>
      </c>
      <c r="Z64" s="196">
        <f>Z62*'R&amp;S - Others'!$C$8*'R&amp;S - Others'!$B$11*('R&amp;S - Others'!$C$16+('R&amp;S - Others'!$C$17-'R&amp;S - Others'!$C$16)*('Yearly HC Ethylene'!Z$3-'Yearly HC Ethylene'!$X$3)/10)</f>
        <v>12593.402878014736</v>
      </c>
      <c r="AA64" s="196">
        <f>AA62*'R&amp;S - Others'!$C$8*'R&amp;S - Others'!$B$11*('R&amp;S - Others'!$C$16+('R&amp;S - Others'!$C$17-'R&amp;S - Others'!$C$16)*('Yearly HC Ethylene'!AA$3-'Yearly HC Ethylene'!$X$3)/10)</f>
        <v>13094.014838265983</v>
      </c>
      <c r="AB64" s="196">
        <f>AB62*'R&amp;S - Others'!$C$8*'R&amp;S - Others'!$B$11*('R&amp;S - Others'!$C$16+('R&amp;S - Others'!$C$17-'R&amp;S - Others'!$C$16)*('Yearly HC Ethylene'!AB$3-'Yearly HC Ethylene'!$X$3)/10)</f>
        <v>13585.260090902333</v>
      </c>
      <c r="AC64" s="196">
        <f>AC62*'R&amp;S - Others'!$C$8*'R&amp;S - Others'!$B$11*('R&amp;S - Others'!$C$16+('R&amp;S - Others'!$C$17-'R&amp;S - Others'!$C$16)*('Yearly HC Ethylene'!AC$3-'Yearly HC Ethylene'!$X$3)/10)</f>
        <v>14066.911870197937</v>
      </c>
      <c r="AD64" s="196">
        <f>AD62*'R&amp;S - Others'!$C$8*'R&amp;S - Others'!$B$11*('R&amp;S - Others'!$C$16+('R&amp;S - Others'!$C$17-'R&amp;S - Others'!$C$16)*('Yearly HC Ethylene'!AD$3-'Yearly HC Ethylene'!$X$3)/10)</f>
        <v>14538.73840737078</v>
      </c>
      <c r="AE64" s="196">
        <f>AE62*'R&amp;S - Others'!$C$8*'R&amp;S - Others'!$B$11*('R&amp;S - Others'!$C$16+('R&amp;S - Others'!$C$17-'R&amp;S - Others'!$C$16)*('Yearly HC Ethylene'!AE$3-'Yearly HC Ethylene'!$X$3)/10)</f>
        <v>15000.502826014026</v>
      </c>
      <c r="AF64" s="196">
        <f>AF62*'R&amp;S - Others'!$C$8*'R&amp;S - Others'!$B$11*('R&amp;S - Others'!$C$16+('R&amp;S - Others'!$C$17-'R&amp;S - Others'!$C$16)*('Yearly HC Ethylene'!AF$3-'Yearly HC Ethylene'!$X$3)/10)</f>
        <v>15451.963035418001</v>
      </c>
      <c r="AG64" s="196">
        <f>AG62*'R&amp;S - Others'!$C$8*'R&amp;S - Others'!$B$11*('R&amp;S - Others'!$C$16+('R&amp;S - Others'!$C$17-'R&amp;S - Others'!$C$16)*('Yearly HC Ethylene'!AG$3-'Yearly HC Ethylene'!$X$3)/10)</f>
        <v>15892.871621741166</v>
      </c>
      <c r="AH64" s="196">
        <f>AH62*'R&amp;S - Others'!$C$8*'R&amp;S - Others'!$B$11*('R&amp;S - Others'!$C$16+('R&amp;S - Others'!$C$17-'R&amp;S - Others'!$C$16)*('Yearly HC Ethylene'!AH$3-'Yearly HC Ethylene'!$X$3)/10)</f>
        <v>16322.975736987815</v>
      </c>
    </row>
    <row r="65" spans="1:35" s="169" customFormat="1">
      <c r="A65" s="167"/>
      <c r="B65" s="167" t="s">
        <v>195</v>
      </c>
      <c r="C65" s="168" t="s">
        <v>166</v>
      </c>
      <c r="D65" s="627">
        <f>D62-D63-D64</f>
        <v>387852.09507639048</v>
      </c>
      <c r="E65" s="627">
        <f t="shared" ref="E65:AH65" si="18">E62-E63-E64</f>
        <v>383717.0119390029</v>
      </c>
      <c r="F65" s="627">
        <f t="shared" si="18"/>
        <v>379576.25888296403</v>
      </c>
      <c r="G65" s="627">
        <f t="shared" si="18"/>
        <v>375429.92046262417</v>
      </c>
      <c r="H65" s="627">
        <f t="shared" si="18"/>
        <v>371278.08574578864</v>
      </c>
      <c r="I65" s="627">
        <f t="shared" si="18"/>
        <v>367120.84844273812</v>
      </c>
      <c r="J65" s="627">
        <f t="shared" si="18"/>
        <v>362958.30703833263</v>
      </c>
      <c r="K65" s="627">
        <f t="shared" si="18"/>
        <v>358790.56492726482</v>
      </c>
      <c r="L65" s="627">
        <f t="shared" si="18"/>
        <v>354617.73055253207</v>
      </c>
      <c r="M65" s="627">
        <f t="shared" si="18"/>
        <v>350439.91754719825</v>
      </c>
      <c r="N65" s="627">
        <f t="shared" si="18"/>
        <v>346257.24487951503</v>
      </c>
      <c r="O65" s="627">
        <f t="shared" si="18"/>
        <v>342069.83700147958</v>
      </c>
      <c r="P65" s="627">
        <f t="shared" si="18"/>
        <v>337877.82400089863</v>
      </c>
      <c r="Q65" s="627">
        <f t="shared" si="18"/>
        <v>333681.34175704088</v>
      </c>
      <c r="R65" s="627">
        <f t="shared" si="18"/>
        <v>329480.53209995001</v>
      </c>
      <c r="S65" s="627">
        <f t="shared" si="18"/>
        <v>325275.54297350271</v>
      </c>
      <c r="T65" s="627">
        <f t="shared" si="18"/>
        <v>321066.52860228997</v>
      </c>
      <c r="U65" s="627">
        <f t="shared" si="18"/>
        <v>316853.64966240549</v>
      </c>
      <c r="V65" s="627">
        <f t="shared" si="18"/>
        <v>312637.07345622551</v>
      </c>
      <c r="W65" s="627">
        <f t="shared" si="18"/>
        <v>308416.9740912682</v>
      </c>
      <c r="X65" s="627">
        <f t="shared" si="18"/>
        <v>304193.53266321664</v>
      </c>
      <c r="Y65" s="627">
        <f t="shared" si="18"/>
        <v>299897.29106812633</v>
      </c>
      <c r="Z65" s="627">
        <f t="shared" si="18"/>
        <v>295598.99502680742</v>
      </c>
      <c r="AA65" s="627">
        <f t="shared" si="18"/>
        <v>291298.87078515091</v>
      </c>
      <c r="AB65" s="627">
        <f t="shared" si="18"/>
        <v>286997.1528751427</v>
      </c>
      <c r="AC65" s="627">
        <f t="shared" si="18"/>
        <v>282694.08433120674</v>
      </c>
      <c r="AD65" s="627">
        <f t="shared" si="18"/>
        <v>278389.91691150714</v>
      </c>
      <c r="AE65" s="627">
        <f t="shared" si="18"/>
        <v>274084.91132431861</v>
      </c>
      <c r="AF65" s="627">
        <f t="shared" si="18"/>
        <v>269779.33745957265</v>
      </c>
      <c r="AG65" s="627">
        <f t="shared" si="18"/>
        <v>265473.47462568892</v>
      </c>
      <c r="AH65" s="627">
        <f t="shared" si="18"/>
        <v>261167.61179180504</v>
      </c>
    </row>
    <row r="66" spans="1:35" s="62" customFormat="1">
      <c r="A66" s="688" t="s">
        <v>685</v>
      </c>
      <c r="B66" s="55" t="s">
        <v>141</v>
      </c>
      <c r="C66" s="56" t="s">
        <v>166</v>
      </c>
      <c r="D66" s="630">
        <f>D65*('Demand - Ethylene'!$C$76)</f>
        <v>50640.115629722037</v>
      </c>
      <c r="E66" s="630">
        <f>E65*('Demand - Ethylene'!$C$76)</f>
        <v>50100.216294707287</v>
      </c>
      <c r="F66" s="630">
        <f>F65*('Demand - Ethylene'!$C$76)</f>
        <v>49559.576663740139</v>
      </c>
      <c r="G66" s="630">
        <f>G65*('Demand - Ethylene'!$C$76)</f>
        <v>49018.207776704439</v>
      </c>
      <c r="H66" s="630">
        <f>H65*('Demand - Ethylene'!$C$76)</f>
        <v>48476.121262785688</v>
      </c>
      <c r="I66" s="630">
        <f>I65*('Demand - Ethylene'!$C$76)</f>
        <v>47933.329357316652</v>
      </c>
      <c r="J66" s="630">
        <f>J65*('Demand - Ethylene'!$C$76)</f>
        <v>47389.8449190256</v>
      </c>
      <c r="K66" s="630">
        <f>K65*('Demand - Ethylene'!$C$76)</f>
        <v>46845.681447695715</v>
      </c>
      <c r="L66" s="630">
        <f>L65*('Demand - Ethylene'!$C$76)</f>
        <v>46300.853102244793</v>
      </c>
      <c r="M66" s="630">
        <f>M65*('Demand - Ethylene'!$C$76)</f>
        <v>45755.374719234402</v>
      </c>
      <c r="N66" s="630">
        <f>N65*('Demand - Ethylene'!$C$76)</f>
        <v>45209.261831817777</v>
      </c>
      <c r="O66" s="630">
        <f>O65*('Demand - Ethylene'!$C$76)</f>
        <v>44662.530689136285</v>
      </c>
      <c r="P66" s="630">
        <f>P65*('Demand - Ethylene'!$C$76)</f>
        <v>44115.198276173796</v>
      </c>
      <c r="Q66" s="630">
        <f>Q65*('Demand - Ethylene'!$C$76)</f>
        <v>43567.282334079486</v>
      </c>
      <c r="R66" s="630">
        <f>R65*('Demand - Ethylene'!$C$76)</f>
        <v>43018.801380968653</v>
      </c>
      <c r="S66" s="630">
        <f>S65*('Demand - Ethylene'!$C$76)</f>
        <v>42469.774733212435</v>
      </c>
      <c r="T66" s="630">
        <f>T65*('Demand - Ethylene'!$C$76)</f>
        <v>41920.222527226812</v>
      </c>
      <c r="U66" s="630">
        <f>U65*('Demand - Ethylene'!$C$76)</f>
        <v>41370.165741771649</v>
      </c>
      <c r="V66" s="630">
        <f>V65*('Demand - Ethylene'!$C$76)</f>
        <v>40819.626220770908</v>
      </c>
      <c r="W66" s="630">
        <f>W65*('Demand - Ethylene'!$C$76)</f>
        <v>40268.62669666556</v>
      </c>
      <c r="X66" s="630">
        <f>X65*('Demand - Ethylene'!$C$76)</f>
        <v>39717.19081431003</v>
      </c>
      <c r="Y66" s="630">
        <f>Y65*('Demand - Ethylene'!$C$76)</f>
        <v>39156.249739321785</v>
      </c>
      <c r="Z66" s="630">
        <f>Z65*('Demand - Ethylene'!$C$76)</f>
        <v>38595.040424466089</v>
      </c>
      <c r="AA66" s="630">
        <f>AA65*('Demand - Ethylene'!$C$76)</f>
        <v>38033.592409658362</v>
      </c>
      <c r="AB66" s="630">
        <f>AB65*('Demand - Ethylene'!$C$76)</f>
        <v>37471.936316692416</v>
      </c>
      <c r="AC66" s="630">
        <f>AC65*('Demand - Ethylene'!$C$76)</f>
        <v>36910.103877487425</v>
      </c>
      <c r="AD66" s="630">
        <f>AD65*('Demand - Ethylene'!$C$76)</f>
        <v>36348.127962982333</v>
      </c>
      <c r="AE66" s="630">
        <f>AE65*('Demand - Ethylene'!$C$76)</f>
        <v>35786.042612692065</v>
      </c>
      <c r="AF66" s="630">
        <f>AF65*('Demand - Ethylene'!$C$76)</f>
        <v>35223.883064939459</v>
      </c>
      <c r="AG66" s="630">
        <f>AG65*('Demand - Ethylene'!$C$76)</f>
        <v>34661.685787777278</v>
      </c>
      <c r="AH66" s="630">
        <f>AH65*('Demand - Ethylene'!$C$76)</f>
        <v>34099.488510615076</v>
      </c>
      <c r="AI66" s="57"/>
    </row>
    <row r="67" spans="1:35">
      <c r="A67" s="689"/>
      <c r="B67" s="1" t="s">
        <v>18</v>
      </c>
      <c r="C67" s="51" t="s">
        <v>166</v>
      </c>
      <c r="D67" s="196">
        <f>D71/('Demand - Ethylene'!$K$14)</f>
        <v>22294.975298434343</v>
      </c>
      <c r="E67" s="196">
        <f>E71/('Demand - Ethylene'!$K$14)</f>
        <v>22057.277532777385</v>
      </c>
      <c r="F67" s="196">
        <f>F71/('Demand - Ethylene'!$K$14)</f>
        <v>21819.253842114787</v>
      </c>
      <c r="G67" s="196">
        <f>G71/('Demand - Ethylene'!$K$14)</f>
        <v>21580.909086900254</v>
      </c>
      <c r="H67" s="196">
        <f>H71/('Demand - Ethylene'!$K$14)</f>
        <v>21342.248387035273</v>
      </c>
      <c r="I67" s="196">
        <f>I71/('Demand - Ethylene'!$K$14)</f>
        <v>21103.277129285623</v>
      </c>
      <c r="J67" s="196">
        <f>J71/('Demand - Ethylene'!$K$14)</f>
        <v>20864.000974875133</v>
      </c>
      <c r="K67" s="196">
        <f>K71/('Demand - Ethylene'!$K$14)</f>
        <v>20624.425867260463</v>
      </c>
      <c r="L67" s="196">
        <f>L71/('Demand - Ethylene'!$K$14)</f>
        <v>20384.558040090928</v>
      </c>
      <c r="M67" s="196">
        <f>M71/('Demand - Ethylene'!$K$14)</f>
        <v>20144.404025357428</v>
      </c>
      <c r="N67" s="196">
        <f>N71/('Demand - Ethylene'!$K$14)</f>
        <v>19903.970661734456</v>
      </c>
      <c r="O67" s="196">
        <f>O71/('Demand - Ethylene'!$K$14)</f>
        <v>19663.265103119691</v>
      </c>
      <c r="P67" s="196">
        <f>P71/('Demand - Ethylene'!$K$14)</f>
        <v>19422.294827375117</v>
      </c>
      <c r="Q67" s="196">
        <f>Q71/('Demand - Ethylene'!$K$14)</f>
        <v>19181.067645274426</v>
      </c>
      <c r="R67" s="196">
        <f>R71/('Demand - Ethylene'!$K$14)</f>
        <v>18939.591709660832</v>
      </c>
      <c r="S67" s="196">
        <f>S71/('Demand - Ethylene'!$K$14)</f>
        <v>18697.87552482016</v>
      </c>
      <c r="T67" s="196">
        <f>T71/('Demand - Ethylene'!$K$14)</f>
        <v>18455.927956073723</v>
      </c>
      <c r="U67" s="196">
        <f>U71/('Demand - Ethylene'!$K$14)</f>
        <v>18213.758239595794</v>
      </c>
      <c r="V67" s="196">
        <f>V71/('Demand - Ethylene'!$K$14)</f>
        <v>17971.3759924605</v>
      </c>
      <c r="W67" s="196">
        <f>W71/('Demand - Ethylene'!$K$14)</f>
        <v>17728.79122292321</v>
      </c>
      <c r="X67" s="196">
        <f>X71/('Demand - Ethylene'!$K$14)</f>
        <v>17486.014340941307</v>
      </c>
      <c r="Y67" s="196">
        <f>Y71/('Demand - Ethylene'!$K$14)</f>
        <v>17239.052673195823</v>
      </c>
      <c r="Z67" s="196">
        <f>Z71/('Demand - Ethylene'!$K$14)</f>
        <v>16991.972909329423</v>
      </c>
      <c r="AA67" s="196">
        <f>AA71/('Demand - Ethylene'!$K$14)</f>
        <v>16744.788054677429</v>
      </c>
      <c r="AB67" s="196">
        <f>AB71/('Demand - Ethylene'!$K$14)</f>
        <v>16497.511590886312</v>
      </c>
      <c r="AC67" s="196">
        <f>AC71/('Demand - Ethylene'!$K$14)</f>
        <v>16250.157488349811</v>
      </c>
      <c r="AD67" s="196">
        <f>AD71/('Demand - Ethylene'!$K$14)</f>
        <v>16002.740218930063</v>
      </c>
      <c r="AE67" s="196">
        <f>AE71/('Demand - Ethylene'!$K$14)</f>
        <v>15755.274768970108</v>
      </c>
      <c r="AF67" s="196">
        <f>AF71/('Demand - Ethylene'!$K$14)</f>
        <v>15507.776652603896</v>
      </c>
      <c r="AG67" s="196">
        <f>AG71/('Demand - Ethylene'!$K$14)</f>
        <v>15260.261925370112</v>
      </c>
      <c r="AH67" s="196">
        <f>AH71/('Demand - Ethylene'!$K$14)</f>
        <v>15012.747198136321</v>
      </c>
      <c r="AI67" s="41"/>
    </row>
    <row r="68" spans="1:35">
      <c r="A68" s="689"/>
      <c r="B68" s="1" t="s">
        <v>684</v>
      </c>
      <c r="C68" s="51" t="s">
        <v>166</v>
      </c>
      <c r="D68" s="196">
        <f>D70/('Demand - Ethylene'!$M$14)</f>
        <v>48981.519820245696</v>
      </c>
      <c r="E68" s="196">
        <f>E70/('Demand - Ethylene'!$M$14)</f>
        <v>48459.303596010992</v>
      </c>
      <c r="F68" s="196">
        <f>F70/('Demand - Ethylene'!$M$14)</f>
        <v>47936.371322446335</v>
      </c>
      <c r="G68" s="196">
        <f>G70/('Demand - Ethylene'!$M$14)</f>
        <v>47412.7336778506</v>
      </c>
      <c r="H68" s="196">
        <f>H70/('Demand - Ethylene'!$M$14)</f>
        <v>46888.401910523142</v>
      </c>
      <c r="I68" s="196">
        <f>I70/('Demand - Ethylene'!$M$14)</f>
        <v>46363.38785505767</v>
      </c>
      <c r="J68" s="196">
        <f>J70/('Demand - Ethylene'!$M$14)</f>
        <v>45837.703949025592</v>
      </c>
      <c r="K68" s="196">
        <f>K70/('Demand - Ethylene'!$M$14)</f>
        <v>45311.363250057002</v>
      </c>
      <c r="L68" s="196">
        <f>L70/('Demand - Ethylene'!$M$14)</f>
        <v>44784.379453328205</v>
      </c>
      <c r="M68" s="196">
        <f>M70/('Demand - Ethylene'!$M$14)</f>
        <v>44256.766909464714</v>
      </c>
      <c r="N68" s="196">
        <f>N70/('Demand - Ethylene'!$M$14)</f>
        <v>43728.540642868487</v>
      </c>
      <c r="O68" s="196">
        <f>O70/('Demand - Ethylene'!$M$14)</f>
        <v>43199.716370479167</v>
      </c>
      <c r="P68" s="196">
        <f>P70/('Demand - Ethylene'!$M$14)</f>
        <v>42670.310520978106</v>
      </c>
      <c r="Q68" s="196">
        <f>Q70/('Demand - Ethylene'!$M$14)</f>
        <v>42140.340254445589</v>
      </c>
      <c r="R68" s="196">
        <f>R70/('Demand - Ethylene'!$M$14)</f>
        <v>41609.823482480366</v>
      </c>
      <c r="S68" s="196">
        <f>S70/('Demand - Ethylene'!$M$14)</f>
        <v>41078.778888792076</v>
      </c>
      <c r="T68" s="196">
        <f>T70/('Demand - Ethylene'!$M$14)</f>
        <v>40547.225950276552</v>
      </c>
      <c r="U68" s="196">
        <f>U70/('Demand - Ethylene'!$M$14)</f>
        <v>40015.184958584592</v>
      </c>
      <c r="V68" s="196">
        <f>V70/('Demand - Ethylene'!$M$14)</f>
        <v>39482.677042194708</v>
      </c>
      <c r="W68" s="196">
        <f>W70/('Demand - Ethylene'!$M$14)</f>
        <v>38949.724189001143</v>
      </c>
      <c r="X68" s="196">
        <f>X70/('Demand - Ethylene'!$M$14)</f>
        <v>38416.349269427716</v>
      </c>
      <c r="Y68" s="196">
        <f>Y70/('Demand - Ethylene'!$M$14)</f>
        <v>37873.780477061046</v>
      </c>
      <c r="Z68" s="196">
        <f>Z70/('Demand - Ethylene'!$M$14)</f>
        <v>37330.95223038191</v>
      </c>
      <c r="AA68" s="196">
        <f>AA70/('Demand - Ethylene'!$M$14)</f>
        <v>36787.893101796486</v>
      </c>
      <c r="AB68" s="196">
        <f>AB70/('Demand - Ethylene'!$M$14)</f>
        <v>36244.63271015499</v>
      </c>
      <c r="AC68" s="196">
        <f>AC70/('Demand - Ethylene'!$M$14)</f>
        <v>35701.20174807353</v>
      </c>
      <c r="AD68" s="196">
        <f>AD70/('Demand - Ethylene'!$M$14)</f>
        <v>35157.632009882094</v>
      </c>
      <c r="AE68" s="196">
        <f>AE70/('Demand - Ethylene'!$M$14)</f>
        <v>34613.956420212766</v>
      </c>
      <c r="AF68" s="196">
        <f>AF70/('Demand - Ethylene'!$M$14)</f>
        <v>34070.209063241418</v>
      </c>
      <c r="AG68" s="196">
        <f>AG70/('Demand - Ethylene'!$M$14)</f>
        <v>33526.425212597023</v>
      </c>
      <c r="AH68" s="196">
        <f>AH70/('Demand - Ethylene'!$M$14)</f>
        <v>32982.641361952607</v>
      </c>
      <c r="AI68" s="41"/>
    </row>
    <row r="69" spans="1:35" s="63" customFormat="1">
      <c r="A69" s="690"/>
      <c r="B69" s="59" t="s">
        <v>27</v>
      </c>
      <c r="C69" s="262" t="s">
        <v>166</v>
      </c>
      <c r="D69" s="599">
        <f>D65-SUM(D67,D66,D68)</f>
        <v>265935.48432798841</v>
      </c>
      <c r="E69" s="599">
        <f t="shared" ref="E69:AH69" si="19">E65-SUM(E67,E66,E68)</f>
        <v>263100.21451550722</v>
      </c>
      <c r="F69" s="599">
        <f t="shared" si="19"/>
        <v>260261.05705466276</v>
      </c>
      <c r="G69" s="599">
        <f t="shared" si="19"/>
        <v>257418.06992116888</v>
      </c>
      <c r="H69" s="599">
        <f t="shared" si="19"/>
        <v>254571.31418544456</v>
      </c>
      <c r="I69" s="599">
        <f t="shared" si="19"/>
        <v>251720.85410107818</v>
      </c>
      <c r="J69" s="599">
        <f t="shared" si="19"/>
        <v>248866.7571954063</v>
      </c>
      <c r="K69" s="599">
        <f t="shared" si="19"/>
        <v>246009.09436225164</v>
      </c>
      <c r="L69" s="599">
        <f t="shared" si="19"/>
        <v>243147.93995686813</v>
      </c>
      <c r="M69" s="599">
        <f t="shared" si="19"/>
        <v>240283.37189314171</v>
      </c>
      <c r="N69" s="599">
        <f t="shared" si="19"/>
        <v>237415.4717430943</v>
      </c>
      <c r="O69" s="599">
        <f t="shared" si="19"/>
        <v>234544.32483874445</v>
      </c>
      <c r="P69" s="599">
        <f t="shared" si="19"/>
        <v>231670.02037637163</v>
      </c>
      <c r="Q69" s="599">
        <f t="shared" si="19"/>
        <v>228792.65152324137</v>
      </c>
      <c r="R69" s="599">
        <f t="shared" si="19"/>
        <v>225912.31552684016</v>
      </c>
      <c r="S69" s="599">
        <f t="shared" si="19"/>
        <v>223029.11382667805</v>
      </c>
      <c r="T69" s="599">
        <f t="shared" si="19"/>
        <v>220143.15216871287</v>
      </c>
      <c r="U69" s="599">
        <f t="shared" si="19"/>
        <v>217254.54072245344</v>
      </c>
      <c r="V69" s="599">
        <f t="shared" si="19"/>
        <v>214363.3942007994</v>
      </c>
      <c r="W69" s="599">
        <f t="shared" si="19"/>
        <v>211469.8319826783</v>
      </c>
      <c r="X69" s="599">
        <f t="shared" si="19"/>
        <v>208573.97823853759</v>
      </c>
      <c r="Y69" s="599">
        <f t="shared" si="19"/>
        <v>205628.20817854768</v>
      </c>
      <c r="Z69" s="599">
        <f t="shared" si="19"/>
        <v>202681.02946262999</v>
      </c>
      <c r="AA69" s="599">
        <f t="shared" si="19"/>
        <v>199732.59721901864</v>
      </c>
      <c r="AB69" s="599">
        <f t="shared" si="19"/>
        <v>196783.07225740899</v>
      </c>
      <c r="AC69" s="599">
        <f t="shared" si="19"/>
        <v>193832.62121729599</v>
      </c>
      <c r="AD69" s="599">
        <f t="shared" si="19"/>
        <v>190881.41671971267</v>
      </c>
      <c r="AE69" s="599">
        <f t="shared" si="19"/>
        <v>187929.63752244366</v>
      </c>
      <c r="AF69" s="599">
        <f t="shared" si="19"/>
        <v>184977.46867878787</v>
      </c>
      <c r="AG69" s="599">
        <f t="shared" si="19"/>
        <v>182025.1016999445</v>
      </c>
      <c r="AH69" s="599">
        <f t="shared" si="19"/>
        <v>179072.73472110103</v>
      </c>
      <c r="AI69" s="263"/>
    </row>
    <row r="70" spans="1:35" s="62" customFormat="1">
      <c r="A70" s="688" t="s">
        <v>686</v>
      </c>
      <c r="B70" s="55" t="s">
        <v>683</v>
      </c>
      <c r="C70" s="56" t="s">
        <v>166</v>
      </c>
      <c r="D70" s="630">
        <f>D65*'Demand - Ethylene'!$E$76</f>
        <v>22327.115682700864</v>
      </c>
      <c r="E70" s="630">
        <f>E65*'Demand - Ethylene'!$E$76</f>
        <v>22089.07525250065</v>
      </c>
      <c r="F70" s="630">
        <f>F65*'Demand - Ethylene'!$E$76</f>
        <v>21850.70842744207</v>
      </c>
      <c r="G70" s="630">
        <f>G65*'Demand - Ethylene'!$E$76</f>
        <v>21612.020074985649</v>
      </c>
      <c r="H70" s="630">
        <f>H65*'Demand - Ethylene'!$E$76</f>
        <v>21373.015322413714</v>
      </c>
      <c r="I70" s="630">
        <f>I65*'Demand - Ethylene'!$E$76</f>
        <v>21133.699564257586</v>
      </c>
      <c r="J70" s="630">
        <f>J65*'Demand - Ethylene'!$E$76</f>
        <v>20894.078469902302</v>
      </c>
      <c r="K70" s="630">
        <f>K65*'Demand - Ethylene'!$E$76</f>
        <v>20654.157991372602</v>
      </c>
      <c r="L70" s="630">
        <f>L65*'Demand - Ethylene'!$E$76</f>
        <v>20413.944371304213</v>
      </c>
      <c r="M70" s="630">
        <f>M65*'Demand - Ethylene'!$E$76</f>
        <v>20173.44415110453</v>
      </c>
      <c r="N70" s="630">
        <f>N65*'Demand - Ethylene'!$E$76</f>
        <v>19932.66417930667</v>
      </c>
      <c r="O70" s="630">
        <f>O65*'Demand - Ethylene'!$E$76</f>
        <v>19691.611620121355</v>
      </c>
      <c r="P70" s="630">
        <f>P65*'Demand - Ethylene'!$E$76</f>
        <v>19450.293962190637</v>
      </c>
      <c r="Q70" s="630">
        <f>Q65*'Demand - Ethylene'!$E$76</f>
        <v>19208.719027548195</v>
      </c>
      <c r="R70" s="630">
        <f>R65*'Demand - Ethylene'!$E$76</f>
        <v>18966.894980790366</v>
      </c>
      <c r="S70" s="630">
        <f>S65*'Demand - Ethylene'!$E$76</f>
        <v>18724.83033846274</v>
      </c>
      <c r="T70" s="630">
        <f>T65*'Demand - Ethylene'!$E$76</f>
        <v>18482.533978666852</v>
      </c>
      <c r="U70" s="630">
        <f>U65*'Demand - Ethylene'!$E$76</f>
        <v>18240.015150891824</v>
      </c>
      <c r="V70" s="630">
        <f>V65*'Demand - Ethylene'!$E$76</f>
        <v>17997.283486075725</v>
      </c>
      <c r="W70" s="630">
        <f>W65*'Demand - Ethylene'!$E$76</f>
        <v>17754.349006901812</v>
      </c>
      <c r="X70" s="630">
        <f>X65*'Demand - Ethylene'!$E$76</f>
        <v>17511.222138334437</v>
      </c>
      <c r="Y70" s="630">
        <f>Y65*'Demand - Ethylene'!$E$76</f>
        <v>17263.904451226106</v>
      </c>
      <c r="Z70" s="630">
        <f>Z65*'Demand - Ethylene'!$E$76</f>
        <v>17016.468497749767</v>
      </c>
      <c r="AA70" s="630">
        <f>AA65*'Demand - Ethylene'!$E$76</f>
        <v>16768.927301989199</v>
      </c>
      <c r="AB70" s="630">
        <f>AB65*'Demand - Ethylene'!$E$76</f>
        <v>16521.294365025991</v>
      </c>
      <c r="AC70" s="630">
        <f>AC65*'Demand - Ethylene'!$E$76</f>
        <v>16273.583677393568</v>
      </c>
      <c r="AD70" s="630">
        <f>AD65*'Demand - Ethylene'!$E$76</f>
        <v>16025.809731816666</v>
      </c>
      <c r="AE70" s="630">
        <f>AE65*'Demand - Ethylene'!$E$76</f>
        <v>15777.987536242603</v>
      </c>
      <c r="AF70" s="630">
        <f>AF65*'Demand - Ethylene'!$E$76</f>
        <v>15530.132627170466</v>
      </c>
      <c r="AG70" s="630">
        <f>AG65*'Demand - Ethylene'!$E$76</f>
        <v>15282.261083284569</v>
      </c>
      <c r="AH70" s="630">
        <f>AH65*'Demand - Ethylene'!$E$76</f>
        <v>15034.389539398664</v>
      </c>
      <c r="AI70" s="57"/>
    </row>
    <row r="71" spans="1:35" s="63" customFormat="1">
      <c r="A71" s="690"/>
      <c r="B71" s="59" t="s">
        <v>682</v>
      </c>
      <c r="C71" s="262" t="s">
        <v>166</v>
      </c>
      <c r="D71" s="599">
        <f>D65*'Demand - Ethylene'!$D$76/'Demand - Ethylene'!$L$24</f>
        <v>7462.4639529647093</v>
      </c>
      <c r="E71" s="599">
        <f>E65*'Demand - Ethylene'!$D$76/'Demand - Ethylene'!$L$24</f>
        <v>7382.9029315160833</v>
      </c>
      <c r="F71" s="599">
        <f>F65*'Demand - Ethylene'!$D$76/'Demand - Ethylene'!$L$24</f>
        <v>7303.2328180602508</v>
      </c>
      <c r="G71" s="599">
        <f>G65*'Demand - Ethylene'!$D$76/'Demand - Ethylene'!$L$24</f>
        <v>7223.4552394642533</v>
      </c>
      <c r="H71" s="599">
        <f>H65*'Demand - Ethylene'!$D$76/'Demand - Ethylene'!$L$24</f>
        <v>7143.5719094362175</v>
      </c>
      <c r="I71" s="599">
        <f>I65*'Demand - Ethylene'!$D$76/'Demand - Ethylene'!$L$24</f>
        <v>7063.5846310077623</v>
      </c>
      <c r="J71" s="599">
        <f>J65*'Demand - Ethylene'!$D$76/'Demand - Ethylene'!$L$24</f>
        <v>6983.4952990757511</v>
      </c>
      <c r="K71" s="599">
        <f>K65*'Demand - Ethylene'!$D$76/'Demand - Ethylene'!$L$24</f>
        <v>6903.3059030046252</v>
      </c>
      <c r="L71" s="599">
        <f>L65*'Demand - Ethylene'!$D$76/'Demand - Ethylene'!$L$24</f>
        <v>6823.0185292906781</v>
      </c>
      <c r="M71" s="599">
        <f>M65*'Demand - Ethylene'!$D$76/'Demand - Ethylene'!$L$24</f>
        <v>6742.6353642896229</v>
      </c>
      <c r="N71" s="599">
        <f>N65*'Demand - Ethylene'!$D$76/'Demand - Ethylene'!$L$24</f>
        <v>6662.1586970087901</v>
      </c>
      <c r="O71" s="599">
        <f>O65*'Demand - Ethylene'!$D$76/'Demand - Ethylene'!$L$24</f>
        <v>6581.5909219654568</v>
      </c>
      <c r="P71" s="599">
        <f>P65*'Demand - Ethylene'!$D$76/'Demand - Ethylene'!$L$24</f>
        <v>6500.9345421126327</v>
      </c>
      <c r="Q71" s="599">
        <f>Q65*'Demand - Ethylene'!$D$76/'Demand - Ethylene'!$L$24</f>
        <v>6420.1921718338881</v>
      </c>
      <c r="R71" s="599">
        <f>R65*'Demand - Ethylene'!$D$76/'Demand - Ethylene'!$L$24</f>
        <v>6339.366540008612</v>
      </c>
      <c r="S71" s="599">
        <f>S65*'Demand - Ethylene'!$D$76/'Demand - Ethylene'!$L$24</f>
        <v>6258.4604931493295</v>
      </c>
      <c r="T71" s="599">
        <f>T65*'Demand - Ethylene'!$D$76/'Demand - Ethylene'!$L$24</f>
        <v>6177.4769986125802</v>
      </c>
      <c r="U71" s="599">
        <f>U65*'Demand - Ethylene'!$D$76/'Demand - Ethylene'!$L$24</f>
        <v>6096.4191478849707</v>
      </c>
      <c r="V71" s="599">
        <f>V65*'Demand - Ethylene'!$D$76/'Demand - Ethylene'!$L$24</f>
        <v>6015.2901599460274</v>
      </c>
      <c r="W71" s="599">
        <f>W65*'Demand - Ethylene'!$D$76/'Demand - Ethylene'!$L$24</f>
        <v>5934.0933847095275</v>
      </c>
      <c r="X71" s="599">
        <f>X65*'Demand - Ethylene'!$D$76/'Demand - Ethylene'!$L$24</f>
        <v>5852.8323065449631</v>
      </c>
      <c r="Y71" s="599">
        <f>Y65*'Demand - Ethylene'!$D$76/'Demand - Ethylene'!$L$24</f>
        <v>5770.1705175702909</v>
      </c>
      <c r="Z71" s="599">
        <f>Z65*'Demand - Ethylene'!$D$76/'Demand - Ethylene'!$L$24</f>
        <v>5687.4692000456407</v>
      </c>
      <c r="AA71" s="599">
        <f>AA65*'Demand - Ethylene'!$D$76/'Demand - Ethylene'!$L$24</f>
        <v>5604.7327070525816</v>
      </c>
      <c r="AB71" s="599">
        <f>AB65*'Demand - Ethylene'!$D$76/'Demand - Ethylene'!$L$24</f>
        <v>5521.965551101197</v>
      </c>
      <c r="AC71" s="599">
        <f>AC65*'Demand - Ethylene'!$D$76/'Demand - Ethylene'!$L$24</f>
        <v>5439.1724082926376</v>
      </c>
      <c r="AD71" s="599">
        <f>AD65*'Demand - Ethylene'!$D$76/'Demand - Ethylene'!$L$24</f>
        <v>5356.3581225770804</v>
      </c>
      <c r="AE71" s="599">
        <f>AE65*'Demand - Ethylene'!$D$76/'Demand - Ethylene'!$L$24</f>
        <v>5273.5277101092079</v>
      </c>
      <c r="AF71" s="599">
        <f>AF65*'Demand - Ethylene'!$D$76/'Demand - Ethylene'!$L$24</f>
        <v>5190.6863637032657</v>
      </c>
      <c r="AG71" s="599">
        <f>AG65*'Demand - Ethylene'!$D$76/'Demand - Ethylene'!$L$24</f>
        <v>5107.8394573898186</v>
      </c>
      <c r="AH71" s="599">
        <f>AH65*'Demand - Ethylene'!$D$76/'Demand - Ethylene'!$L$24</f>
        <v>5024.9925510763696</v>
      </c>
      <c r="AI71" s="263"/>
    </row>
    <row r="72" spans="1:35" s="62" customFormat="1" outlineLevel="1">
      <c r="B72" s="55" t="s">
        <v>193</v>
      </c>
      <c r="C72" s="56" t="s">
        <v>166</v>
      </c>
      <c r="D72" s="630">
        <f>'Demand - Wind'!D39</f>
        <v>0</v>
      </c>
      <c r="E72" s="630">
        <f>'Demand - Wind'!E39</f>
        <v>19.678547415288921</v>
      </c>
      <c r="F72" s="630">
        <f>'Demand - Wind'!F39</f>
        <v>20.695280246528409</v>
      </c>
      <c r="G72" s="630">
        <f>'Demand - Wind'!G39</f>
        <v>21.764544681259892</v>
      </c>
      <c r="H72" s="630">
        <f>'Demand - Wind'!H39</f>
        <v>22.889054873370061</v>
      </c>
      <c r="I72" s="630">
        <f>'Demand - Wind'!I39</f>
        <v>24.071665209116489</v>
      </c>
      <c r="J72" s="630">
        <f>'Demand - Wind'!J39</f>
        <v>25.315377552523369</v>
      </c>
      <c r="K72" s="630">
        <f>'Demand - Wind'!K39</f>
        <v>26.623348865125159</v>
      </c>
      <c r="L72" s="630">
        <f>'Demand - Wind'!L39</f>
        <v>27.998899219399956</v>
      </c>
      <c r="M72" s="630">
        <f>'Demand - Wind'!M39</f>
        <v>29.445520226233601</v>
      </c>
      <c r="N72" s="630">
        <f>'Demand - Wind'!N39</f>
        <v>30.966883897806085</v>
      </c>
      <c r="O72" s="630">
        <f>'Demand - Wind'!O39</f>
        <v>32.566851968397359</v>
      </c>
      <c r="P72" s="630">
        <f>'Demand - Wind'!P39</f>
        <v>34.249485696771934</v>
      </c>
      <c r="Q72" s="630">
        <f>'Demand - Wind'!Q39</f>
        <v>36.019056175023735</v>
      </c>
      <c r="R72" s="630">
        <f>'Demand - Wind'!R39</f>
        <v>37.880055170048777</v>
      </c>
      <c r="S72" s="630">
        <f>'Demand - Wind'!S39</f>
        <v>39.837206525164952</v>
      </c>
      <c r="T72" s="630">
        <f>'Demand - Wind'!T39</f>
        <v>41.895478150820288</v>
      </c>
      <c r="U72" s="630">
        <f>'Demand - Wind'!U39</f>
        <v>44.060094634825525</v>
      </c>
      <c r="V72" s="630">
        <f>'Demand - Wind'!V39</f>
        <v>46.336550504120922</v>
      </c>
      <c r="W72" s="630">
        <f>'Demand - Wind'!W39</f>
        <v>48.730624171739372</v>
      </c>
      <c r="X72" s="630">
        <f>'Demand - Wind'!X39</f>
        <v>51.248392604367858</v>
      </c>
      <c r="Y72" s="630">
        <f>'Demand - Wind'!Y39</f>
        <v>53.896246747739617</v>
      </c>
      <c r="Z72" s="630">
        <f>'Demand - Wind'!Z39</f>
        <v>56.680907749010224</v>
      </c>
      <c r="AA72" s="630">
        <f>'Demand - Wind'!AA39</f>
        <v>59.609444017296866</v>
      </c>
      <c r="AB72" s="630">
        <f>'Demand - Wind'!AB39</f>
        <v>62.689289165685544</v>
      </c>
      <c r="AC72" s="630">
        <f>'Demand - Wind'!AC39</f>
        <v>65.928260880249042</v>
      </c>
      <c r="AD72" s="630">
        <f>'Demand - Wind'!AD39</f>
        <v>69.334580763971076</v>
      </c>
      <c r="AE72" s="630">
        <f>'Demand - Wind'!AE39</f>
        <v>72.916895205949942</v>
      </c>
      <c r="AF72" s="630">
        <f>'Demand - Wind'!AF39</f>
        <v>76.68429732884924</v>
      </c>
      <c r="AG72" s="630">
        <f>'Demand - Wind'!AG39</f>
        <v>80.646350070312735</v>
      </c>
      <c r="AH72" s="630">
        <f>'Demand - Wind'!AH39</f>
        <v>84.813110456926097</v>
      </c>
    </row>
    <row r="73" spans="1:35" outlineLevel="1">
      <c r="B73" s="1" t="s">
        <v>194</v>
      </c>
      <c r="C73" s="51" t="s">
        <v>166</v>
      </c>
      <c r="D73" s="196">
        <f>'Demand - Solar'!D34</f>
        <v>0</v>
      </c>
      <c r="E73" s="196">
        <f>'Demand - Solar'!E34</f>
        <v>16019.637288703534</v>
      </c>
      <c r="F73" s="196">
        <f>'Demand - Solar'!F34</f>
        <v>18177.248054955788</v>
      </c>
      <c r="G73" s="196">
        <f>'Demand - Solar'!G34</f>
        <v>20625.457424331875</v>
      </c>
      <c r="H73" s="196">
        <f>'Demand - Solar'!H34</f>
        <v>23403.404777047337</v>
      </c>
      <c r="I73" s="196">
        <f>'Demand - Solar'!I34</f>
        <v>26555.500995201066</v>
      </c>
      <c r="J73" s="196">
        <f>'Demand - Solar'!J34</f>
        <v>30132.138456953839</v>
      </c>
      <c r="K73" s="196">
        <f>'Demand - Solar'!K34</f>
        <v>34190.496656535062</v>
      </c>
      <c r="L73" s="196">
        <f>'Demand - Solar'!L34</f>
        <v>38795.456329477922</v>
      </c>
      <c r="M73" s="196">
        <f>'Demand - Solar'!M34</f>
        <v>44020.636697149377</v>
      </c>
      <c r="N73" s="196">
        <f>'Demand - Solar'!N34</f>
        <v>49949.57241294266</v>
      </c>
      <c r="O73" s="196">
        <f>'Demand - Solar'!O34</f>
        <v>56677.049025903136</v>
      </c>
      <c r="P73" s="196">
        <f>'Demand - Solar'!P34</f>
        <v>64310.618311764993</v>
      </c>
      <c r="Q73" s="196">
        <f>'Demand - Solar'!Q34</f>
        <v>72972.317696909711</v>
      </c>
      <c r="R73" s="196">
        <f>'Demand - Solar'!R34</f>
        <v>82800.62126357395</v>
      </c>
      <c r="S73" s="196">
        <f>'Demand - Solar'!S34</f>
        <v>93952.653526916241</v>
      </c>
      <c r="T73" s="196">
        <f>'Demand - Solar'!T34</f>
        <v>106606.70137546456</v>
      </c>
      <c r="U73" s="196">
        <f>'Demand - Solar'!U34</f>
        <v>120965.06433319145</v>
      </c>
      <c r="V73" s="196">
        <f>'Demand - Solar'!V34</f>
        <v>137257.28871018993</v>
      </c>
      <c r="W73" s="196">
        <f>'Demand - Solar'!W34</f>
        <v>155743.83734612778</v>
      </c>
      <c r="X73" s="196">
        <f>'Demand - Solar'!X34</f>
        <v>176720.25361445398</v>
      </c>
      <c r="Y73" s="196">
        <f>'Demand - Solar'!Y34</f>
        <v>200521.88625705134</v>
      </c>
      <c r="Z73" s="196">
        <f>'Demand - Solar'!Z34</f>
        <v>227529.25058498859</v>
      </c>
      <c r="AA73" s="196">
        <f>'Demand - Solar'!AA34</f>
        <v>258174.11175457685</v>
      </c>
      <c r="AB73" s="196">
        <f>'Demand - Solar'!AB34</f>
        <v>292946.38737170905</v>
      </c>
      <c r="AC73" s="196">
        <f>'Demand - Solar'!AC34</f>
        <v>332401.97977601469</v>
      </c>
      <c r="AD73" s="196">
        <f>'Demand - Solar'!AD34</f>
        <v>377171.66321909946</v>
      </c>
      <c r="AE73" s="196">
        <f>'Demand - Solar'!AE34</f>
        <v>427971.16801566898</v>
      </c>
      <c r="AF73" s="196">
        <f>'Demand - Solar'!AF34</f>
        <v>485612.62288227235</v>
      </c>
      <c r="AG73" s="196">
        <f>'Demand - Solar'!AG34</f>
        <v>551017.5383916659</v>
      </c>
      <c r="AH73" s="196">
        <f>'Demand - Solar'!AH34</f>
        <v>625231.53910852561</v>
      </c>
    </row>
    <row r="74" spans="1:35" s="180" customFormat="1">
      <c r="A74" s="177" t="s">
        <v>192</v>
      </c>
      <c r="B74" s="178" t="s">
        <v>225</v>
      </c>
      <c r="C74" s="179" t="s">
        <v>166</v>
      </c>
      <c r="D74" s="640">
        <f>D72+D73</f>
        <v>0</v>
      </c>
      <c r="E74" s="640">
        <f t="shared" ref="E74:AG74" si="20">E72+E73</f>
        <v>16039.315836118823</v>
      </c>
      <c r="F74" s="640">
        <f t="shared" si="20"/>
        <v>18197.943335202315</v>
      </c>
      <c r="G74" s="640">
        <f t="shared" si="20"/>
        <v>20647.221969013135</v>
      </c>
      <c r="H74" s="640">
        <f t="shared" si="20"/>
        <v>23426.293831920706</v>
      </c>
      <c r="I74" s="640">
        <f t="shared" si="20"/>
        <v>26579.572660410184</v>
      </c>
      <c r="J74" s="640">
        <f t="shared" si="20"/>
        <v>30157.453834506363</v>
      </c>
      <c r="K74" s="640">
        <f t="shared" si="20"/>
        <v>34217.120005400189</v>
      </c>
      <c r="L74" s="640">
        <f t="shared" si="20"/>
        <v>38823.455228697319</v>
      </c>
      <c r="M74" s="640">
        <f t="shared" si="20"/>
        <v>44050.08221737561</v>
      </c>
      <c r="N74" s="640">
        <f t="shared" si="20"/>
        <v>49980.539296840463</v>
      </c>
      <c r="O74" s="640">
        <f t="shared" si="20"/>
        <v>56709.615877871533</v>
      </c>
      <c r="P74" s="640">
        <f t="shared" si="20"/>
        <v>64344.867797461768</v>
      </c>
      <c r="Q74" s="640">
        <f t="shared" si="20"/>
        <v>73008.336753084732</v>
      </c>
      <c r="R74" s="640">
        <f t="shared" si="20"/>
        <v>82838.501318744005</v>
      </c>
      <c r="S74" s="640">
        <f t="shared" si="20"/>
        <v>93992.490733441402</v>
      </c>
      <c r="T74" s="640">
        <f t="shared" si="20"/>
        <v>106648.59685361538</v>
      </c>
      <c r="U74" s="640">
        <f t="shared" si="20"/>
        <v>121009.12442782627</v>
      </c>
      <c r="V74" s="640">
        <f t="shared" si="20"/>
        <v>137303.62526069404</v>
      </c>
      <c r="W74" s="640">
        <f t="shared" si="20"/>
        <v>155792.56797029951</v>
      </c>
      <c r="X74" s="640">
        <f t="shared" si="20"/>
        <v>176771.50200705836</v>
      </c>
      <c r="Y74" s="640">
        <f t="shared" si="20"/>
        <v>200575.7825037991</v>
      </c>
      <c r="Z74" s="640">
        <f t="shared" si="20"/>
        <v>227585.93149273761</v>
      </c>
      <c r="AA74" s="640">
        <f t="shared" si="20"/>
        <v>258233.72119859414</v>
      </c>
      <c r="AB74" s="640">
        <f t="shared" si="20"/>
        <v>293009.07666087471</v>
      </c>
      <c r="AC74" s="640">
        <f t="shared" si="20"/>
        <v>332467.90803689492</v>
      </c>
      <c r="AD74" s="640">
        <f t="shared" si="20"/>
        <v>377240.99779986346</v>
      </c>
      <c r="AE74" s="640">
        <f t="shared" si="20"/>
        <v>428044.08491087495</v>
      </c>
      <c r="AF74" s="640">
        <f t="shared" si="20"/>
        <v>485689.30717960122</v>
      </c>
      <c r="AG74" s="640">
        <f t="shared" si="20"/>
        <v>551098.18474173627</v>
      </c>
      <c r="AH74" s="640">
        <f>AH72+AH73</f>
        <v>625316.35221898253</v>
      </c>
    </row>
    <row r="75" spans="1:35" s="62" customFormat="1">
      <c r="A75" s="688" t="s">
        <v>685</v>
      </c>
      <c r="B75" s="55" t="s">
        <v>141</v>
      </c>
      <c r="C75" s="56" t="s">
        <v>166</v>
      </c>
      <c r="D75" s="630">
        <f>D72*'Demand - Wind'!$I$22+D73*'Demand - Solar'!$J$25</f>
        <v>0</v>
      </c>
      <c r="E75" s="630">
        <f>E72*'Demand - Wind'!$I$22+E73*'Demand - Solar'!$J$25</f>
        <v>7486.541093947123</v>
      </c>
      <c r="F75" s="630">
        <f>F72*'Demand - Wind'!$I$22+F73*'Demand - Solar'!$J$25</f>
        <v>8494.8686468862143</v>
      </c>
      <c r="G75" s="630">
        <f>G72*'Demand - Wind'!$I$22+G73*'Demand - Solar'!$J$25</f>
        <v>9639.0031687923456</v>
      </c>
      <c r="H75" s="630">
        <f>H72*'Demand - Wind'!$I$22+H73*'Demand - Solar'!$J$25</f>
        <v>10937.235871451061</v>
      </c>
      <c r="I75" s="630">
        <f>I72*'Demand - Wind'!$I$22+I73*'Demand - Solar'!$J$25</f>
        <v>12410.321525264451</v>
      </c>
      <c r="J75" s="630">
        <f>J72*'Demand - Wind'!$I$22+J73*'Demand - Solar'!$J$25</f>
        <v>14081.810264553496</v>
      </c>
      <c r="K75" s="630">
        <f>K72*'Demand - Wind'!$I$22+K73*'Demand - Solar'!$J$25</f>
        <v>15978.424082180138</v>
      </c>
      <c r="L75" s="630">
        <f>L72*'Demand - Wind'!$I$22+L73*'Demand - Solar'!$J$25</f>
        <v>18130.484032486671</v>
      </c>
      <c r="M75" s="630">
        <f>M72*'Demand - Wind'!$I$22+M73*'Demand - Solar'!$J$25</f>
        <v>20572.394972220809</v>
      </c>
      <c r="N75" s="630">
        <f>N72*'Demand - Wind'!$I$22+N73*'Demand - Solar'!$J$25</f>
        <v>23343.195588971194</v>
      </c>
      <c r="O75" s="630">
        <f>O72*'Demand - Wind'!$I$22+O73*'Demand - Solar'!$J$25</f>
        <v>26487.182510386247</v>
      </c>
      <c r="P75" s="630">
        <f>P72*'Demand - Wind'!$I$22+P73*'Demand - Solar'!$J$25</f>
        <v>30054.618471773265</v>
      </c>
      <c r="Q75" s="630">
        <f>Q72*'Demand - Wind'!$I$22+Q73*'Demand - Solar'!$J$25</f>
        <v>34102.535863512814</v>
      </c>
      <c r="R75" s="630">
        <f>R72*'Demand - Wind'!$I$22+R73*'Demand - Solar'!$J$25</f>
        <v>38695.648504552752</v>
      </c>
      <c r="S75" s="630">
        <f>S72*'Demand - Wind'!$I$22+S73*'Demand - Solar'!$J$25</f>
        <v>43907.386218452826</v>
      </c>
      <c r="T75" s="630">
        <f>T72*'Demand - Wind'!$I$22+T73*'Demand - Solar'!$J$25</f>
        <v>49821.068751685583</v>
      </c>
      <c r="U75" s="630">
        <f>U72*'Demand - Wind'!$I$22+U73*'Demand - Solar'!$J$25</f>
        <v>56531.23780155737</v>
      </c>
      <c r="V75" s="630">
        <f>V72*'Demand - Wind'!$I$22+V73*'Demand - Solar'!$J$25</f>
        <v>64145.168448802215</v>
      </c>
      <c r="W75" s="630">
        <f>W72*'Demand - Wind'!$I$22+W73*'Demand - Solar'!$J$25</f>
        <v>72784.584158032769</v>
      </c>
      <c r="X75" s="630">
        <f>X72*'Demand - Wind'!$I$22+X73*'Demand - Solar'!$J$25</f>
        <v>82587.602763660281</v>
      </c>
      <c r="Y75" s="630">
        <f>Y72*'Demand - Wind'!$I$22+Y73*'Demand - Solar'!$J$25</f>
        <v>93710.944551647772</v>
      </c>
      <c r="Z75" s="630">
        <f>Z72*'Demand - Wind'!$I$22+Z73*'Demand - Solar'!$J$25</f>
        <v>106332.43773756915</v>
      </c>
      <c r="AA75" s="630">
        <f>AA72*'Demand - Wind'!$I$22+AA73*'Demand - Solar'!$J$25</f>
        <v>120653.86139590682</v>
      </c>
      <c r="AB75" s="630">
        <f>AB72*'Demand - Wind'!$I$22+AB73*'Demand - Solar'!$J$25</f>
        <v>136904.17129033164</v>
      </c>
      <c r="AC75" s="630">
        <f>AC72*'Demand - Wind'!$I$22+AC73*'Demand - Solar'!$J$25</f>
        <v>155343.16017612605</v>
      </c>
      <c r="AD75" s="630">
        <f>AD72*'Demand - Wind'!$I$22+AD73*'Demand - Solar'!$J$25</f>
        <v>176265.61109179116</v>
      </c>
      <c r="AE75" s="630">
        <f>AE72*'Demand - Wind'!$I$22+AE73*'Demand - Solar'!$J$25</f>
        <v>200006.0100382682</v>
      </c>
      <c r="AF75" s="630">
        <f>AF72*'Demand - Wind'!$I$22+AF73*'Demand - Solar'!$J$25</f>
        <v>226943.89338710203</v>
      </c>
      <c r="AG75" s="630">
        <f>AG72*'Demand - Wind'!$I$22+AG73*'Demand - Solar'!$J$25</f>
        <v>257509.91550624842</v>
      </c>
      <c r="AH75" s="630">
        <f>AH72*'Demand - Wind'!$I$22+AH73*'Demand - Solar'!$J$25</f>
        <v>292192.73360630521</v>
      </c>
      <c r="AI75" s="57"/>
    </row>
    <row r="76" spans="1:35">
      <c r="A76" s="689"/>
      <c r="B76" s="1" t="s">
        <v>18</v>
      </c>
      <c r="C76" s="51" t="s">
        <v>166</v>
      </c>
      <c r="D76" s="196">
        <f>D72*'Demand - Wind'!$J$22+D73*'Demand - Solar'!$K$25</f>
        <v>0</v>
      </c>
      <c r="E76" s="196">
        <f>E72*'Demand - Wind'!$J$22+E73*'Demand - Solar'!$K$25</f>
        <v>3218.3568853992688</v>
      </c>
      <c r="F76" s="196">
        <f>F72*'Demand - Wind'!$J$22+F73*'Demand - Solar'!$K$25</f>
        <v>3651.0056316459272</v>
      </c>
      <c r="G76" s="196">
        <f>G72*'Demand - Wind'!$J$22+G73*'Demand - Solar'!$K$25</f>
        <v>4141.8836303944918</v>
      </c>
      <c r="H76" s="196">
        <f>H72*'Demand - Wind'!$J$22+H73*'Demand - Solar'!$K$25</f>
        <v>4698.8313294871396</v>
      </c>
      <c r="I76" s="196">
        <f>I72*'Demand - Wind'!$J$22+I73*'Demand - Solar'!$K$25</f>
        <v>5330.7450577178943</v>
      </c>
      <c r="J76" s="196">
        <f>J72*'Demand - Wind'!$J$22+J73*'Demand - Solar'!$K$25</f>
        <v>6047.7192307277601</v>
      </c>
      <c r="K76" s="196">
        <f>K72*'Demand - Wind'!$J$22+K73*'Demand - Solar'!$K$25</f>
        <v>6861.2077096526209</v>
      </c>
      <c r="L76" s="196">
        <f>L72*'Demand - Wind'!$J$22+L73*'Demand - Solar'!$K$25</f>
        <v>7784.2068921039872</v>
      </c>
      <c r="M76" s="196">
        <f>M72*'Demand - Wind'!$J$22+M73*'Demand - Solar'!$K$25</f>
        <v>8831.4634624934624</v>
      </c>
      <c r="N76" s="196">
        <f>N72*'Demand - Wind'!$J$22+N73*'Demand - Solar'!$K$25</f>
        <v>10019.710122936558</v>
      </c>
      <c r="O76" s="196">
        <f>O72*'Demand - Wind'!$J$22+O73*'Demand - Solar'!$K$25</f>
        <v>11367.93307329259</v>
      </c>
      <c r="P76" s="196">
        <f>P72*'Demand - Wind'!$J$22+P73*'Demand - Solar'!$K$25</f>
        <v>12897.675516465499</v>
      </c>
      <c r="Q76" s="196">
        <f>Q72*'Demand - Wind'!$J$22+Q73*'Demand - Solar'!$K$25</f>
        <v>14633.382041021576</v>
      </c>
      <c r="R76" s="196">
        <f>R72*'Demand - Wind'!$J$22+R73*'Demand - Solar'!$K$25</f>
        <v>16602.789386679058</v>
      </c>
      <c r="S76" s="196">
        <f>S72*'Demand - Wind'!$J$22+S73*'Demand - Solar'!$K$25</f>
        <v>18837.369839742369</v>
      </c>
      <c r="T76" s="196">
        <f>T72*'Demand - Wind'!$J$22+T73*'Demand - Solar'!$K$25</f>
        <v>21372.834346940661</v>
      </c>
      <c r="U76" s="196">
        <f>U72*'Demand - Wind'!$J$22+U73*'Demand - Solar'!$K$25</f>
        <v>24249.703390842002</v>
      </c>
      <c r="V76" s="196">
        <f>V72*'Demand - Wind'!$J$22+V73*'Demand - Solar'!$K$25</f>
        <v>27513.954753310154</v>
      </c>
      <c r="W76" s="196">
        <f>W72*'Demand - Wind'!$J$22+W73*'Demand - Solar'!$K$25</f>
        <v>31217.758522671342</v>
      </c>
      <c r="X76" s="196">
        <f>X72*'Demand - Wind'!$J$22+X73*'Demand - Solar'!$K$25</f>
        <v>35420.311095013734</v>
      </c>
      <c r="Y76" s="196">
        <f>Y72*'Demand - Wind'!$J$22+Y73*'Demand - Solar'!$K$25</f>
        <v>40188.78150265148</v>
      </c>
      <c r="Z76" s="196">
        <f>Z72*'Demand - Wind'!$J$22+Z73*'Demand - Solar'!$K$25</f>
        <v>45599.385198546996</v>
      </c>
      <c r="AA76" s="196">
        <f>AA72*'Demand - Wind'!$J$22+AA73*'Demand - Solar'!$K$25</f>
        <v>51738.602463111572</v>
      </c>
      <c r="AB76" s="196">
        <f>AB72*'Demand - Wind'!$J$22+AB73*'Demand - Solar'!$K$25</f>
        <v>58704.560911867826</v>
      </c>
      <c r="AC76" s="196">
        <f>AC72*'Demand - Wind'!$J$22+AC73*'Demand - Solar'!$K$25</f>
        <v>66608.604205922718</v>
      </c>
      <c r="AD76" s="196">
        <f>AD72*'Demand - Wind'!$J$22+AD73*'Demand - Solar'!$K$25</f>
        <v>75577.072044006767</v>
      </c>
      <c r="AE76" s="196">
        <f>AE72*'Demand - Wind'!$J$22+AE73*'Demand - Solar'!$K$25</f>
        <v>85753.319892575062</v>
      </c>
      <c r="AF76" s="196">
        <f>AF72*'Demand - Wind'!$J$22+AF73*'Demand - Solar'!$K$25</f>
        <v>97300.010743136721</v>
      </c>
      <c r="AG76" s="196">
        <f>AG72*'Demand - Wind'!$J$22+AG73*'Demand - Solar'!$K$25</f>
        <v>110401.7155348559</v>
      </c>
      <c r="AH76" s="196">
        <f>AH72*'Demand - Wind'!$J$22+AH73*'Demand - Solar'!$K$25</f>
        <v>125267.86381507355</v>
      </c>
      <c r="AI76" s="41"/>
    </row>
    <row r="77" spans="1:35">
      <c r="A77" s="689"/>
      <c r="B77" s="1" t="s">
        <v>684</v>
      </c>
      <c r="C77" s="51" t="s">
        <v>166</v>
      </c>
      <c r="D77" s="196">
        <f>D72*'Demand - Wind'!$K$22+D73*'Demand - Solar'!$L$25</f>
        <v>0</v>
      </c>
      <c r="E77" s="196">
        <f>E72*'Demand - Wind'!$K$22+E73*'Demand - Solar'!$L$25</f>
        <v>5.9035642245866766</v>
      </c>
      <c r="F77" s="196">
        <f>F72*'Demand - Wind'!$K$22+F73*'Demand - Solar'!$L$25</f>
        <v>6.2085840739585221</v>
      </c>
      <c r="G77" s="196">
        <f>G72*'Demand - Wind'!$K$22+G73*'Demand - Solar'!$L$25</f>
        <v>6.5293634043779676</v>
      </c>
      <c r="H77" s="196">
        <f>H72*'Demand - Wind'!$K$22+H73*'Demand - Solar'!$L$25</f>
        <v>6.8667164620110182</v>
      </c>
      <c r="I77" s="196">
        <f>I72*'Demand - Wind'!$K$22+I73*'Demand - Solar'!$L$25</f>
        <v>7.2214995627349463</v>
      </c>
      <c r="J77" s="196">
        <f>J72*'Demand - Wind'!$K$22+J73*'Demand - Solar'!$L$25</f>
        <v>7.59461326575701</v>
      </c>
      <c r="K77" s="196">
        <f>K72*'Demand - Wind'!$K$22+K73*'Demand - Solar'!$L$25</f>
        <v>7.987004659537547</v>
      </c>
      <c r="L77" s="196">
        <f>L72*'Demand - Wind'!$K$22+L73*'Demand - Solar'!$L$25</f>
        <v>8.3996697658199864</v>
      </c>
      <c r="M77" s="196">
        <f>M72*'Demand - Wind'!$K$22+M73*'Demand - Solar'!$L$25</f>
        <v>8.8336560678700806</v>
      </c>
      <c r="N77" s="196">
        <f>N72*'Demand - Wind'!$K$22+N73*'Demand - Solar'!$L$25</f>
        <v>9.2900651693418244</v>
      </c>
      <c r="O77" s="196">
        <f>O72*'Demand - Wind'!$K$22+O73*'Demand - Solar'!$L$25</f>
        <v>9.7700555905192079</v>
      </c>
      <c r="P77" s="196">
        <f>P72*'Demand - Wind'!$K$22+P73*'Demand - Solar'!$L$25</f>
        <v>10.274845709031579</v>
      </c>
      <c r="Q77" s="196">
        <f>Q72*'Demand - Wind'!$K$22+Q73*'Demand - Solar'!$L$25</f>
        <v>10.805716852507119</v>
      </c>
      <c r="R77" s="196">
        <f>R72*'Demand - Wind'!$K$22+R73*'Demand - Solar'!$L$25</f>
        <v>11.364016551014632</v>
      </c>
      <c r="S77" s="196">
        <f>S72*'Demand - Wind'!$K$22+S73*'Demand - Solar'!$L$25</f>
        <v>11.951161957549486</v>
      </c>
      <c r="T77" s="196">
        <f>T72*'Demand - Wind'!$K$22+T73*'Demand - Solar'!$L$25</f>
        <v>12.568643445246087</v>
      </c>
      <c r="U77" s="196">
        <f>U72*'Demand - Wind'!$K$22+U73*'Demand - Solar'!$L$25</f>
        <v>13.218028390447657</v>
      </c>
      <c r="V77" s="196">
        <f>V72*'Demand - Wind'!$K$22+V73*'Demand - Solar'!$L$25</f>
        <v>13.900965151236276</v>
      </c>
      <c r="W77" s="196">
        <f>W72*'Demand - Wind'!$K$22+W73*'Demand - Solar'!$L$25</f>
        <v>14.619187251521812</v>
      </c>
      <c r="X77" s="196">
        <f>X72*'Demand - Wind'!$K$22+X73*'Demand - Solar'!$L$25</f>
        <v>15.374517781310356</v>
      </c>
      <c r="Y77" s="196">
        <f>Y72*'Demand - Wind'!$K$22+Y73*'Demand - Solar'!$L$25</f>
        <v>16.168874024321884</v>
      </c>
      <c r="Z77" s="196">
        <f>Z72*'Demand - Wind'!$K$22+Z73*'Demand - Solar'!$L$25</f>
        <v>17.004272324703066</v>
      </c>
      <c r="AA77" s="196">
        <f>AA72*'Demand - Wind'!$K$22+AA73*'Demand - Solar'!$L$25</f>
        <v>17.882833205189058</v>
      </c>
      <c r="AB77" s="196">
        <f>AB72*'Demand - Wind'!$K$22+AB73*'Demand - Solar'!$L$25</f>
        <v>18.806786749705662</v>
      </c>
      <c r="AC77" s="196">
        <f>AC72*'Demand - Wind'!$K$22+AC73*'Demand - Solar'!$L$25</f>
        <v>19.77847826407471</v>
      </c>
      <c r="AD77" s="196">
        <f>AD72*'Demand - Wind'!$K$22+AD73*'Demand - Solar'!$L$25</f>
        <v>20.800374229191323</v>
      </c>
      <c r="AE77" s="196">
        <f>AE72*'Demand - Wind'!$K$22+AE73*'Demand - Solar'!$L$25</f>
        <v>21.875068561784982</v>
      </c>
      <c r="AF77" s="196">
        <f>AF72*'Demand - Wind'!$K$22+AF73*'Demand - Solar'!$L$25</f>
        <v>23.005289198654772</v>
      </c>
      <c r="AG77" s="196">
        <f>AG72*'Demand - Wind'!$K$22+AG73*'Demand - Solar'!$L$25</f>
        <v>24.193905021093819</v>
      </c>
      <c r="AH77" s="196">
        <f>AH72*'Demand - Wind'!$K$22+AH73*'Demand - Solar'!$L$25</f>
        <v>25.443933137077828</v>
      </c>
      <c r="AI77" s="41"/>
    </row>
    <row r="78" spans="1:35" s="63" customFormat="1">
      <c r="A78" s="690"/>
      <c r="B78" s="59" t="s">
        <v>27</v>
      </c>
      <c r="C78" s="262" t="s">
        <v>166</v>
      </c>
      <c r="D78" s="599">
        <f>D72*'Demand - Wind'!$L$22+D73*'Demand - Solar'!$M$25</f>
        <v>0</v>
      </c>
      <c r="E78" s="599">
        <f>E72*'Demand - Wind'!$L$22+E73*'Demand - Solar'!$M$25</f>
        <v>5328.5142925478422</v>
      </c>
      <c r="F78" s="599">
        <f>F72*'Demand - Wind'!$L$22+F73*'Demand - Solar'!$M$25</f>
        <v>6045.860472596215</v>
      </c>
      <c r="G78" s="599">
        <f>G72*'Demand - Wind'!$L$22+G73*'Demand - Solar'!$M$25</f>
        <v>6859.8058064219176</v>
      </c>
      <c r="H78" s="599">
        <f>H72*'Demand - Wind'!$L$22+H73*'Demand - Solar'!$M$25</f>
        <v>7783.3599145204944</v>
      </c>
      <c r="I78" s="599">
        <f>I72*'Demand - Wind'!$L$22+I73*'Demand - Solar'!$M$25</f>
        <v>8831.284577865099</v>
      </c>
      <c r="J78" s="599">
        <f>J72*'Demand - Wind'!$L$22+J73*'Demand - Solar'!$M$25</f>
        <v>10020.329725959346</v>
      </c>
      <c r="K78" s="599">
        <f>K72*'Demand - Wind'!$L$22+K73*'Demand - Solar'!$M$25</f>
        <v>11369.501208907888</v>
      </c>
      <c r="L78" s="599">
        <f>L72*'Demand - Wind'!$L$22+L73*'Demand - Solar'!$M$25</f>
        <v>12900.36463434084</v>
      </c>
      <c r="M78" s="599">
        <f>M72*'Demand - Wind'!$L$22+M73*'Demand - Solar'!$M$25</f>
        <v>14637.390126593464</v>
      </c>
      <c r="N78" s="599">
        <f>N72*'Demand - Wind'!$L$22+N73*'Demand - Solar'!$M$25</f>
        <v>16608.343519763366</v>
      </c>
      <c r="O78" s="599">
        <f>O72*'Demand - Wind'!$L$22+O73*'Demand - Solar'!$M$25</f>
        <v>18844.730238602173</v>
      </c>
      <c r="P78" s="599">
        <f>P72*'Demand - Wind'!$L$22+P73*'Demand - Solar'!$M$25</f>
        <v>21382.298963513964</v>
      </c>
      <c r="Q78" s="599">
        <f>Q72*'Demand - Wind'!$L$22+Q73*'Demand - Solar'!$M$25</f>
        <v>24261.613131697832</v>
      </c>
      <c r="R78" s="599">
        <f>R72*'Demand - Wind'!$L$22+R73*'Demand - Solar'!$M$25</f>
        <v>27528.699410961166</v>
      </c>
      <c r="S78" s="599">
        <f>S72*'Demand - Wind'!$L$22+S73*'Demand - Solar'!$M$25</f>
        <v>31235.783513288658</v>
      </c>
      <c r="T78" s="599">
        <f>T72*'Demand - Wind'!$L$22+T73*'Demand - Solar'!$M$25</f>
        <v>35442.125111543886</v>
      </c>
      <c r="U78" s="599">
        <f>U72*'Demand - Wind'!$L$22+U73*'Demand - Solar'!$M$25</f>
        <v>40214.965207036446</v>
      </c>
      <c r="V78" s="599">
        <f>V72*'Demand - Wind'!$L$22+V73*'Demand - Solar'!$M$25</f>
        <v>45630.601093430429</v>
      </c>
      <c r="W78" s="599">
        <f>W72*'Demand - Wind'!$L$22+W73*'Demand - Solar'!$M$25</f>
        <v>51775.606102343867</v>
      </c>
      <c r="X78" s="599">
        <f>X72*'Demand - Wind'!$L$22+X73*'Demand - Solar'!$M$25</f>
        <v>58748.213630602993</v>
      </c>
      <c r="Y78" s="599">
        <f>Y72*'Demand - Wind'!$L$22+Y73*'Demand - Solar'!$M$25</f>
        <v>66659.887575475499</v>
      </c>
      <c r="Z78" s="599">
        <f>Z72*'Demand - Wind'!$L$22+Z73*'Demand - Solar'!$M$25</f>
        <v>75637.104284296729</v>
      </c>
      <c r="AA78" s="599">
        <f>AA72*'Demand - Wind'!$L$22+AA73*'Demand - Solar'!$M$25</f>
        <v>85823.374506370557</v>
      </c>
      <c r="AB78" s="599">
        <f>AB72*'Demand - Wind'!$L$22+AB73*'Demand - Solar'!$M$25</f>
        <v>97381.537671925544</v>
      </c>
      <c r="AC78" s="599">
        <f>AC72*'Demand - Wind'!$L$22+AC73*'Demand - Solar'!$M$25</f>
        <v>110496.36517658208</v>
      </c>
      <c r="AD78" s="599">
        <f>AD72*'Demand - Wind'!$L$22+AD73*'Demand - Solar'!$M$25</f>
        <v>125377.51428983628</v>
      </c>
      <c r="AE78" s="599">
        <f>AE72*'Demand - Wind'!$L$22+AE73*'Demand - Solar'!$M$25</f>
        <v>142262.87991146985</v>
      </c>
      <c r="AF78" s="599">
        <f>AF72*'Demand - Wind'!$L$22+AF73*'Demand - Solar'!$M$25</f>
        <v>161422.39776016376</v>
      </c>
      <c r="AG78" s="599">
        <f>AG72*'Demand - Wind'!$L$22+AG73*'Demand - Solar'!$M$25</f>
        <v>183162.35979561074</v>
      </c>
      <c r="AH78" s="599">
        <f>AH72*'Demand - Wind'!$L$22+AH73*'Demand - Solar'!$M$25</f>
        <v>207830.31086446665</v>
      </c>
      <c r="AI78" s="263"/>
    </row>
    <row r="79" spans="1:35" s="62" customFormat="1">
      <c r="A79" s="688" t="s">
        <v>686</v>
      </c>
      <c r="B79" s="55" t="s">
        <v>683</v>
      </c>
      <c r="C79" s="56" t="s">
        <v>166</v>
      </c>
      <c r="D79" s="630">
        <f>D72*'Demand - Wind'!$K$22+D73*'Demand - Solar'!$L$25</f>
        <v>0</v>
      </c>
      <c r="E79" s="630">
        <f>E72*'Demand - Wind'!$K$22+E73*'Demand - Solar'!$L$25</f>
        <v>5.9035642245866766</v>
      </c>
      <c r="F79" s="630">
        <f>F72*'Demand - Wind'!$K$22+F73*'Demand - Solar'!$L$25</f>
        <v>6.2085840739585221</v>
      </c>
      <c r="G79" s="630">
        <f>G72*'Demand - Wind'!$K$22+G73*'Demand - Solar'!$L$25</f>
        <v>6.5293634043779676</v>
      </c>
      <c r="H79" s="630">
        <f>H72*'Demand - Wind'!$K$22+H73*'Demand - Solar'!$L$25</f>
        <v>6.8667164620110182</v>
      </c>
      <c r="I79" s="630">
        <f>I72*'Demand - Wind'!$K$22+I73*'Demand - Solar'!$L$25</f>
        <v>7.2214995627349463</v>
      </c>
      <c r="J79" s="630">
        <f>J72*'Demand - Wind'!$K$22+J73*'Demand - Solar'!$L$25</f>
        <v>7.59461326575701</v>
      </c>
      <c r="K79" s="630">
        <f>K72*'Demand - Wind'!$K$22+K73*'Demand - Solar'!$L$25</f>
        <v>7.987004659537547</v>
      </c>
      <c r="L79" s="630">
        <f>L72*'Demand - Wind'!$K$22+L73*'Demand - Solar'!$L$25</f>
        <v>8.3996697658199864</v>
      </c>
      <c r="M79" s="630">
        <f>M72*'Demand - Wind'!$K$22+M73*'Demand - Solar'!$L$25</f>
        <v>8.8336560678700806</v>
      </c>
      <c r="N79" s="630">
        <f>N72*'Demand - Wind'!$K$22+N73*'Demand - Solar'!$L$25</f>
        <v>9.2900651693418244</v>
      </c>
      <c r="O79" s="630">
        <f>O72*'Demand - Wind'!$K$22+O73*'Demand - Solar'!$L$25</f>
        <v>9.7700555905192079</v>
      </c>
      <c r="P79" s="630">
        <f>P72*'Demand - Wind'!$K$22+P73*'Demand - Solar'!$L$25</f>
        <v>10.274845709031579</v>
      </c>
      <c r="Q79" s="630">
        <f>Q72*'Demand - Wind'!$K$22+Q73*'Demand - Solar'!$L$25</f>
        <v>10.805716852507119</v>
      </c>
      <c r="R79" s="630">
        <f>R72*'Demand - Wind'!$K$22+R73*'Demand - Solar'!$L$25</f>
        <v>11.364016551014632</v>
      </c>
      <c r="S79" s="630">
        <f>S72*'Demand - Wind'!$K$22+S73*'Demand - Solar'!$L$25</f>
        <v>11.951161957549486</v>
      </c>
      <c r="T79" s="630">
        <f>T72*'Demand - Wind'!$K$22+T73*'Demand - Solar'!$L$25</f>
        <v>12.568643445246087</v>
      </c>
      <c r="U79" s="630">
        <f>U72*'Demand - Wind'!$K$22+U73*'Demand - Solar'!$L$25</f>
        <v>13.218028390447657</v>
      </c>
      <c r="V79" s="630">
        <f>V72*'Demand - Wind'!$K$22+V73*'Demand - Solar'!$L$25</f>
        <v>13.900965151236276</v>
      </c>
      <c r="W79" s="630">
        <f>W72*'Demand - Wind'!$K$22+W73*'Demand - Solar'!$L$25</f>
        <v>14.619187251521812</v>
      </c>
      <c r="X79" s="630">
        <f>X72*'Demand - Wind'!$K$22+X73*'Demand - Solar'!$L$25</f>
        <v>15.374517781310356</v>
      </c>
      <c r="Y79" s="630">
        <f>Y72*'Demand - Wind'!$K$22+Y73*'Demand - Solar'!$L$25</f>
        <v>16.168874024321884</v>
      </c>
      <c r="Z79" s="630">
        <f>Z72*'Demand - Wind'!$K$22+Z73*'Demand - Solar'!$L$25</f>
        <v>17.004272324703066</v>
      </c>
      <c r="AA79" s="630">
        <f>AA72*'Demand - Wind'!$K$22+AA73*'Demand - Solar'!$L$25</f>
        <v>17.882833205189058</v>
      </c>
      <c r="AB79" s="630">
        <f>AB72*'Demand - Wind'!$K$22+AB73*'Demand - Solar'!$L$25</f>
        <v>18.806786749705662</v>
      </c>
      <c r="AC79" s="630">
        <f>AC72*'Demand - Wind'!$K$22+AC73*'Demand - Solar'!$L$25</f>
        <v>19.77847826407471</v>
      </c>
      <c r="AD79" s="630">
        <f>AD72*'Demand - Wind'!$K$22+AD73*'Demand - Solar'!$L$25</f>
        <v>20.800374229191323</v>
      </c>
      <c r="AE79" s="630">
        <f>AE72*'Demand - Wind'!$K$22+AE73*'Demand - Solar'!$L$25</f>
        <v>21.875068561784982</v>
      </c>
      <c r="AF79" s="630">
        <f>AF72*'Demand - Wind'!$K$22+AF73*'Demand - Solar'!$L$25</f>
        <v>23.005289198654772</v>
      </c>
      <c r="AG79" s="630">
        <f>AG72*'Demand - Wind'!$K$22+AG73*'Demand - Solar'!$L$25</f>
        <v>24.193905021093819</v>
      </c>
      <c r="AH79" s="630">
        <f>AH72*'Demand - Wind'!$K$22+AH73*'Demand - Solar'!$L$25</f>
        <v>25.443933137077828</v>
      </c>
      <c r="AI79" s="57"/>
    </row>
    <row r="80" spans="1:35" s="63" customFormat="1">
      <c r="A80" s="690"/>
      <c r="B80" s="59" t="s">
        <v>682</v>
      </c>
      <c r="C80" s="262" t="s">
        <v>166</v>
      </c>
      <c r="D80" s="599">
        <f>D72*'Demand - Wind'!J22+D73*'Demand - Solar'!K25</f>
        <v>0</v>
      </c>
      <c r="E80" s="599">
        <f>E72*'Demand - Wind'!K22+E73*'Demand - Solar'!L25</f>
        <v>5.9035642245866766</v>
      </c>
      <c r="F80" s="599">
        <f>F72*'Demand - Wind'!L22+F73*'Demand - Solar'!M25</f>
        <v>6045.860472596215</v>
      </c>
      <c r="G80" s="599">
        <f>G72*'Demand - Wind'!M22+G73*'Demand - Solar'!N25</f>
        <v>20625.457424331871</v>
      </c>
      <c r="H80" s="599">
        <f>H72*'Demand - Wind'!N22+H73*'Demand - Solar'!O25</f>
        <v>0</v>
      </c>
      <c r="I80" s="599">
        <f>I72*'Demand - Wind'!O22+I73*'Demand - Solar'!P25</f>
        <v>0</v>
      </c>
      <c r="J80" s="599">
        <f>J72*'Demand - Wind'!P22+J73*'Demand - Solar'!Q25</f>
        <v>0</v>
      </c>
      <c r="K80" s="599">
        <f>K72*'Demand - Wind'!Q22+K73*'Demand - Solar'!R25</f>
        <v>0</v>
      </c>
      <c r="L80" s="599">
        <f>L72*'Demand - Wind'!R22+L73*'Demand - Solar'!S25</f>
        <v>0</v>
      </c>
      <c r="M80" s="599">
        <f>M72*'Demand - Wind'!S22+M73*'Demand - Solar'!T25</f>
        <v>0</v>
      </c>
      <c r="N80" s="599">
        <f>N72*'Demand - Wind'!T22+N73*'Demand - Solar'!U25</f>
        <v>0</v>
      </c>
      <c r="O80" s="599">
        <f>O72*'Demand - Wind'!U22+O73*'Demand - Solar'!V25</f>
        <v>0</v>
      </c>
      <c r="P80" s="599">
        <f>P72*'Demand - Wind'!V22+P73*'Demand - Solar'!W25</f>
        <v>0</v>
      </c>
      <c r="Q80" s="599">
        <f>Q72*'Demand - Wind'!W22+Q73*'Demand - Solar'!X25</f>
        <v>0</v>
      </c>
      <c r="R80" s="599">
        <f>R72*'Demand - Wind'!X22+R73*'Demand - Solar'!Y25</f>
        <v>0</v>
      </c>
      <c r="S80" s="599">
        <f>S72*'Demand - Wind'!Y22+S73*'Demand - Solar'!Z25</f>
        <v>0</v>
      </c>
      <c r="T80" s="599">
        <f>T72*'Demand - Wind'!Z22+T73*'Demand - Solar'!AA25</f>
        <v>0</v>
      </c>
      <c r="U80" s="599">
        <f>U72*'Demand - Wind'!AA22+U73*'Demand - Solar'!AB25</f>
        <v>0</v>
      </c>
      <c r="V80" s="599">
        <f>V72*'Demand - Wind'!AB22+V73*'Demand - Solar'!AC25</f>
        <v>0</v>
      </c>
      <c r="W80" s="599">
        <f>W72*'Demand - Wind'!AC22+W73*'Demand - Solar'!AD25</f>
        <v>0</v>
      </c>
      <c r="X80" s="599">
        <f>X72*'Demand - Wind'!AD22+X73*'Demand - Solar'!AE25</f>
        <v>0</v>
      </c>
      <c r="Y80" s="599">
        <f>Y72*'Demand - Wind'!AE22+Y73*'Demand - Solar'!AF25</f>
        <v>0</v>
      </c>
      <c r="Z80" s="599">
        <f>Z72*'Demand - Wind'!AF22+Z73*'Demand - Solar'!AG25</f>
        <v>0</v>
      </c>
      <c r="AA80" s="599">
        <f>AA72*'Demand - Wind'!AG22+AA73*'Demand - Solar'!AH25</f>
        <v>0</v>
      </c>
      <c r="AB80" s="599">
        <f>AB72*'Demand - Wind'!AH22+AB73*'Demand - Solar'!AI25</f>
        <v>0</v>
      </c>
      <c r="AC80" s="599">
        <f>AC72*'Demand - Wind'!AI22+AC73*'Demand - Solar'!AJ25</f>
        <v>0</v>
      </c>
      <c r="AD80" s="599">
        <f>AD72*'Demand - Wind'!AJ22+AD73*'Demand - Solar'!AK25</f>
        <v>0</v>
      </c>
      <c r="AE80" s="599">
        <f>AE72*'Demand - Wind'!AK22+AE73*'Demand - Solar'!AL25</f>
        <v>0</v>
      </c>
      <c r="AF80" s="599">
        <f>AF72*'Demand - Wind'!AL22+AF73*'Demand - Solar'!AM25</f>
        <v>0</v>
      </c>
      <c r="AG80" s="599">
        <f>AG72*'Demand - Wind'!AM22+AG73*'Demand - Solar'!AN25</f>
        <v>0</v>
      </c>
      <c r="AH80" s="599">
        <f>AH72*'Demand - Wind'!AN22+AH73*'Demand - Solar'!AO25</f>
        <v>0</v>
      </c>
      <c r="AI80" s="263"/>
    </row>
    <row r="81" spans="1:35" outlineLevel="1">
      <c r="A81" s="1" t="s">
        <v>78</v>
      </c>
      <c r="B81" s="1" t="s">
        <v>164</v>
      </c>
      <c r="C81" s="51" t="s">
        <v>166</v>
      </c>
      <c r="D81" s="633">
        <f t="shared" ref="D81:AH81" si="21">D17+D29+D41+D53+D63</f>
        <v>0</v>
      </c>
      <c r="E81" s="633">
        <f t="shared" si="21"/>
        <v>8698.3794710242528</v>
      </c>
      <c r="F81" s="633">
        <f t="shared" si="21"/>
        <v>17398.961497695575</v>
      </c>
      <c r="G81" s="633">
        <f t="shared" si="21"/>
        <v>26101.812922771012</v>
      </c>
      <c r="H81" s="633">
        <f t="shared" si="21"/>
        <v>34807.002161189841</v>
      </c>
      <c r="I81" s="633">
        <f t="shared" si="21"/>
        <v>43514.599230765307</v>
      </c>
      <c r="J81" s="633">
        <f t="shared" si="21"/>
        <v>52224.675783366853</v>
      </c>
      <c r="K81" s="633">
        <f t="shared" si="21"/>
        <v>60937.305136598254</v>
      </c>
      <c r="L81" s="633">
        <f t="shared" si="21"/>
        <v>69652.562305977277</v>
      </c>
      <c r="M81" s="633">
        <f t="shared" si="21"/>
        <v>78370.524037622061</v>
      </c>
      <c r="N81" s="633">
        <f t="shared" si="21"/>
        <v>87091.268841449724</v>
      </c>
      <c r="O81" s="633">
        <f t="shared" si="21"/>
        <v>100713.79563545887</v>
      </c>
      <c r="P81" s="633">
        <f t="shared" si="21"/>
        <v>114383.39965802357</v>
      </c>
      <c r="Q81" s="633">
        <f t="shared" si="21"/>
        <v>128101.14643803364</v>
      </c>
      <c r="R81" s="633">
        <f t="shared" si="21"/>
        <v>141868.11768735794</v>
      </c>
      <c r="S81" s="633">
        <f t="shared" si="21"/>
        <v>155685.41137085517</v>
      </c>
      <c r="T81" s="633">
        <f t="shared" si="21"/>
        <v>169554.14177009181</v>
      </c>
      <c r="U81" s="633">
        <f t="shared" si="21"/>
        <v>183475.43954044732</v>
      </c>
      <c r="V81" s="633">
        <f t="shared" si="21"/>
        <v>197450.45176127471</v>
      </c>
      <c r="W81" s="633">
        <f t="shared" si="21"/>
        <v>211480.34197877569</v>
      </c>
      <c r="X81" s="633">
        <f t="shared" si="21"/>
        <v>225566.29024123462</v>
      </c>
      <c r="Y81" s="633">
        <f t="shared" si="21"/>
        <v>242096.06017545087</v>
      </c>
      <c r="Z81" s="633">
        <f t="shared" si="21"/>
        <v>258700.66671656683</v>
      </c>
      <c r="AA81" s="633">
        <f t="shared" si="21"/>
        <v>275380.10802207747</v>
      </c>
      <c r="AB81" s="633">
        <f t="shared" si="21"/>
        <v>292134.32535663317</v>
      </c>
      <c r="AC81" s="633">
        <f t="shared" si="21"/>
        <v>308963.20038138691</v>
      </c>
      <c r="AD81" s="633">
        <f t="shared" si="21"/>
        <v>325866.55235138076</v>
      </c>
      <c r="AE81" s="633">
        <f t="shared" si="21"/>
        <v>342844.13521830342</v>
      </c>
      <c r="AF81" s="633">
        <f t="shared" si="21"/>
        <v>359895.63463587675</v>
      </c>
      <c r="AG81" s="633">
        <f t="shared" si="21"/>
        <v>377020.66486505617</v>
      </c>
      <c r="AH81" s="633">
        <f t="shared" si="21"/>
        <v>394218.76557615888</v>
      </c>
    </row>
    <row r="82" spans="1:35" outlineLevel="1">
      <c r="B82" s="1" t="s">
        <v>167</v>
      </c>
      <c r="C82" s="51" t="s">
        <v>166</v>
      </c>
      <c r="D82" s="633">
        <f t="shared" ref="D82:AH82" si="22">D18+D42+D54+D32+D64</f>
        <v>0</v>
      </c>
      <c r="E82" s="633">
        <f t="shared" si="22"/>
        <v>4292.5939482650556</v>
      </c>
      <c r="F82" s="633">
        <f t="shared" si="22"/>
        <v>8579.866044537057</v>
      </c>
      <c r="G82" s="633">
        <f t="shared" si="22"/>
        <v>12861.680581590183</v>
      </c>
      <c r="H82" s="633">
        <f t="shared" si="22"/>
        <v>17137.898776168156</v>
      </c>
      <c r="I82" s="633">
        <f t="shared" si="22"/>
        <v>21408.378703618604</v>
      </c>
      <c r="J82" s="633">
        <f t="shared" si="22"/>
        <v>25672.975231193948</v>
      </c>
      <c r="K82" s="633">
        <f t="shared" si="22"/>
        <v>29931.539949992395</v>
      </c>
      <c r="L82" s="633">
        <f t="shared" si="22"/>
        <v>34183.92110551204</v>
      </c>
      <c r="M82" s="633">
        <f t="shared" si="22"/>
        <v>38429.963526790671</v>
      </c>
      <c r="N82" s="633">
        <f t="shared" si="22"/>
        <v>42669.508554103129</v>
      </c>
      <c r="O82" s="633">
        <f t="shared" si="22"/>
        <v>46902.393965187803</v>
      </c>
      <c r="P82" s="633">
        <f t="shared" si="22"/>
        <v>49863.193858387931</v>
      </c>
      <c r="Q82" s="633">
        <f t="shared" si="22"/>
        <v>54213.147712007929</v>
      </c>
      <c r="R82" s="633">
        <f t="shared" si="22"/>
        <v>58555.93314698185</v>
      </c>
      <c r="S82" s="633">
        <f t="shared" si="22"/>
        <v>62891.372922717339</v>
      </c>
      <c r="T82" s="633">
        <f t="shared" si="22"/>
        <v>67219.285844114827</v>
      </c>
      <c r="U82" s="633">
        <f t="shared" si="22"/>
        <v>71539.486678336907</v>
      </c>
      <c r="V82" s="633">
        <f t="shared" si="22"/>
        <v>75851.786069890601</v>
      </c>
      <c r="W82" s="633">
        <f t="shared" si="22"/>
        <v>80155.990453989347</v>
      </c>
      <c r="X82" s="633">
        <f t="shared" si="22"/>
        <v>84451.90196816079</v>
      </c>
      <c r="Y82" s="633">
        <f t="shared" si="22"/>
        <v>92779.555558320237</v>
      </c>
      <c r="Z82" s="633">
        <f t="shared" si="22"/>
        <v>97090.482749796662</v>
      </c>
      <c r="AA82" s="633">
        <f t="shared" si="22"/>
        <v>101392.26509882779</v>
      </c>
      <c r="AB82" s="633">
        <f t="shared" si="22"/>
        <v>105684.68074024399</v>
      </c>
      <c r="AC82" s="633">
        <f t="shared" si="22"/>
        <v>109967.50290831945</v>
      </c>
      <c r="AD82" s="633">
        <f t="shared" si="22"/>
        <v>114240.49983427215</v>
      </c>
      <c r="AE82" s="633">
        <f t="shared" si="22"/>
        <v>118503.43464169528</v>
      </c>
      <c r="AF82" s="633">
        <f t="shared" si="22"/>
        <v>122756.06523987908</v>
      </c>
      <c r="AG82" s="633">
        <f t="shared" si="22"/>
        <v>126998.14421498214</v>
      </c>
      <c r="AH82" s="633">
        <f t="shared" si="22"/>
        <v>131229.41871900862</v>
      </c>
    </row>
    <row r="83" spans="1:35" outlineLevel="1">
      <c r="B83" s="1" t="s">
        <v>244</v>
      </c>
      <c r="C83" s="51" t="s">
        <v>166</v>
      </c>
      <c r="D83" s="633">
        <f t="shared" ref="D83:AH83" si="23">D74+D13</f>
        <v>0</v>
      </c>
      <c r="E83" s="633">
        <f t="shared" si="23"/>
        <v>16229.043179899698</v>
      </c>
      <c r="F83" s="633">
        <f t="shared" si="23"/>
        <v>18583.848752452614</v>
      </c>
      <c r="G83" s="633">
        <f t="shared" si="23"/>
        <v>21235.920683028464</v>
      </c>
      <c r="H83" s="633">
        <f t="shared" si="23"/>
        <v>24224.569288125491</v>
      </c>
      <c r="I83" s="633">
        <f t="shared" si="23"/>
        <v>27594.380334110516</v>
      </c>
      <c r="J83" s="633">
        <f t="shared" si="23"/>
        <v>31395.925119490246</v>
      </c>
      <c r="K83" s="633">
        <f t="shared" si="23"/>
        <v>35686.566185033567</v>
      </c>
      <c r="L83" s="633">
        <f t="shared" si="23"/>
        <v>40531.371531196914</v>
      </c>
      <c r="M83" s="633">
        <f t="shared" si="23"/>
        <v>46004.151956972957</v>
      </c>
      <c r="N83" s="633">
        <f t="shared" si="23"/>
        <v>52188.638102585472</v>
      </c>
      <c r="O83" s="633">
        <f t="shared" si="23"/>
        <v>59516.661484674871</v>
      </c>
      <c r="P83" s="633">
        <f t="shared" si="23"/>
        <v>67770.586256004564</v>
      </c>
      <c r="Q83" s="633">
        <f t="shared" si="23"/>
        <v>77072.951704145758</v>
      </c>
      <c r="R83" s="633">
        <f t="shared" si="23"/>
        <v>87562.745210434368</v>
      </c>
      <c r="S83" s="633">
        <f t="shared" si="23"/>
        <v>99397.616276021625</v>
      </c>
      <c r="T83" s="633">
        <f t="shared" si="23"/>
        <v>112756.38871673103</v>
      </c>
      <c r="U83" s="633">
        <f t="shared" si="23"/>
        <v>127841.91118509376</v>
      </c>
      <c r="V83" s="633">
        <f t="shared" si="23"/>
        <v>144884.29158666608</v>
      </c>
      <c r="W83" s="633">
        <f t="shared" si="23"/>
        <v>164144.56709493921</v>
      </c>
      <c r="X83" s="633">
        <f t="shared" si="23"/>
        <v>185918.86843295218</v>
      </c>
      <c r="Y83" s="633">
        <f t="shared" si="23"/>
        <v>210277.34865843886</v>
      </c>
      <c r="Z83" s="633">
        <f t="shared" si="23"/>
        <v>237857.89657800359</v>
      </c>
      <c r="AA83" s="633">
        <f t="shared" si="23"/>
        <v>269092.67502550897</v>
      </c>
      <c r="AB83" s="633">
        <f t="shared" si="23"/>
        <v>304472.00824874477</v>
      </c>
      <c r="AC83" s="633">
        <f t="shared" si="23"/>
        <v>344552.21439193672</v>
      </c>
      <c r="AD83" s="633">
        <f t="shared" si="23"/>
        <v>389964.49287693191</v>
      </c>
      <c r="AE83" s="633">
        <f t="shared" si="23"/>
        <v>441425.00876198238</v>
      </c>
      <c r="AF83" s="633">
        <f t="shared" si="23"/>
        <v>499746.3352929877</v>
      </c>
      <c r="AG83" s="633">
        <f t="shared" si="23"/>
        <v>565850.4375753263</v>
      </c>
      <c r="AH83" s="633">
        <f t="shared" si="23"/>
        <v>640783.40493213828</v>
      </c>
    </row>
    <row r="84" spans="1:35" s="64" customFormat="1">
      <c r="A84" s="64" t="s">
        <v>533</v>
      </c>
      <c r="C84" s="65" t="s">
        <v>166</v>
      </c>
      <c r="D84" s="648">
        <f t="shared" ref="D84:AH84" si="24">D4+D83-D81-D82</f>
        <v>1049369.6122000003</v>
      </c>
      <c r="E84" s="648">
        <f t="shared" si="24"/>
        <v>1052607.6819606107</v>
      </c>
      <c r="F84" s="648">
        <f t="shared" si="24"/>
        <v>1041974.6334102202</v>
      </c>
      <c r="G84" s="648">
        <f t="shared" si="24"/>
        <v>1031642.0393786676</v>
      </c>
      <c r="H84" s="648">
        <f t="shared" si="24"/>
        <v>1021649.2805507679</v>
      </c>
      <c r="I84" s="648">
        <f t="shared" si="24"/>
        <v>1012041.0145997268</v>
      </c>
      <c r="J84" s="648">
        <f t="shared" si="24"/>
        <v>1002867.8863049299</v>
      </c>
      <c r="K84" s="648">
        <f t="shared" si="24"/>
        <v>994187.33329844323</v>
      </c>
      <c r="L84" s="648">
        <f t="shared" si="24"/>
        <v>986064.50031970779</v>
      </c>
      <c r="M84" s="648">
        <f t="shared" si="24"/>
        <v>978573.27659256058</v>
      </c>
      <c r="N84" s="648">
        <f t="shared" si="24"/>
        <v>971797.47290703293</v>
      </c>
      <c r="O84" s="648">
        <f t="shared" si="24"/>
        <v>961270.08408402838</v>
      </c>
      <c r="P84" s="648">
        <f t="shared" si="24"/>
        <v>952893.60493959347</v>
      </c>
      <c r="Q84" s="648">
        <f t="shared" si="24"/>
        <v>944128.26975410455</v>
      </c>
      <c r="R84" s="648">
        <f t="shared" si="24"/>
        <v>936508.30657609482</v>
      </c>
      <c r="S84" s="648">
        <f t="shared" si="24"/>
        <v>930190.44418244937</v>
      </c>
      <c r="T84" s="648">
        <f t="shared" si="24"/>
        <v>925352.57330252463</v>
      </c>
      <c r="U84" s="648">
        <f t="shared" si="24"/>
        <v>922196.59716630983</v>
      </c>
      <c r="V84" s="648">
        <f t="shared" si="24"/>
        <v>920951.66595550114</v>
      </c>
      <c r="W84" s="648">
        <f t="shared" si="24"/>
        <v>921877.84686217457</v>
      </c>
      <c r="X84" s="648">
        <f t="shared" si="24"/>
        <v>925270.28842355707</v>
      </c>
      <c r="Y84" s="648">
        <f t="shared" si="24"/>
        <v>924771.34512466798</v>
      </c>
      <c r="Z84" s="648">
        <f t="shared" si="24"/>
        <v>931436.3593116405</v>
      </c>
      <c r="AA84" s="648">
        <f t="shared" si="24"/>
        <v>941689.91410460405</v>
      </c>
      <c r="AB84" s="648">
        <f t="shared" si="24"/>
        <v>956022.61435186793</v>
      </c>
      <c r="AC84" s="648">
        <f t="shared" si="24"/>
        <v>974991.12330223084</v>
      </c>
      <c r="AD84" s="648">
        <f t="shared" si="24"/>
        <v>999227.05289127945</v>
      </c>
      <c r="AE84" s="648">
        <f t="shared" si="24"/>
        <v>1029447.0511019841</v>
      </c>
      <c r="AF84" s="648">
        <f t="shared" si="24"/>
        <v>1066464.2476172324</v>
      </c>
      <c r="AG84" s="648">
        <f t="shared" si="24"/>
        <v>1111201.2406952884</v>
      </c>
      <c r="AH84" s="648">
        <f t="shared" si="24"/>
        <v>1164704.8328369712</v>
      </c>
      <c r="AI84" s="66"/>
    </row>
    <row r="85" spans="1:35" s="62" customFormat="1">
      <c r="A85" s="688" t="s">
        <v>685</v>
      </c>
      <c r="B85" s="55" t="s">
        <v>141</v>
      </c>
      <c r="C85" s="56" t="s">
        <v>166</v>
      </c>
      <c r="D85" s="630">
        <f>D20+D34+D44+D56+D66+D75</f>
        <v>313520.94128169795</v>
      </c>
      <c r="E85" s="630">
        <f t="shared" ref="E85:AH90" si="25">E20+E34+E44+E56+E66+E75</f>
        <v>315619.2757982848</v>
      </c>
      <c r="F85" s="630">
        <f t="shared" si="25"/>
        <v>311239.83858842414</v>
      </c>
      <c r="G85" s="630">
        <f t="shared" si="25"/>
        <v>306996.67274417204</v>
      </c>
      <c r="H85" s="630">
        <f t="shared" si="25"/>
        <v>302908.09270446067</v>
      </c>
      <c r="I85" s="630">
        <f t="shared" si="25"/>
        <v>298994.87712757726</v>
      </c>
      <c r="J85" s="630">
        <f t="shared" si="25"/>
        <v>295280.60071249399</v>
      </c>
      <c r="K85" s="630">
        <f t="shared" si="25"/>
        <v>291792.01070987887</v>
      </c>
      <c r="L85" s="630">
        <f t="shared" si="25"/>
        <v>288559.45414179465</v>
      </c>
      <c r="M85" s="630">
        <f t="shared" si="25"/>
        <v>285617.36255975923</v>
      </c>
      <c r="N85" s="630">
        <f t="shared" si="25"/>
        <v>283004.80209070479</v>
      </c>
      <c r="O85" s="630">
        <f t="shared" si="25"/>
        <v>277477.3119978449</v>
      </c>
      <c r="P85" s="630">
        <f t="shared" si="25"/>
        <v>273438.01761465205</v>
      </c>
      <c r="Q85" s="630">
        <f t="shared" si="25"/>
        <v>268700.4257868983</v>
      </c>
      <c r="R85" s="630">
        <f t="shared" si="25"/>
        <v>264506.145861011</v>
      </c>
      <c r="S85" s="630">
        <f t="shared" si="25"/>
        <v>260928.58443893929</v>
      </c>
      <c r="T85" s="630">
        <f t="shared" si="25"/>
        <v>258051.03832683724</v>
      </c>
      <c r="U85" s="630">
        <f t="shared" si="25"/>
        <v>255968.02659324891</v>
      </c>
      <c r="V85" s="630">
        <f t="shared" si="25"/>
        <v>254786.80203323788</v>
      </c>
      <c r="W85" s="630">
        <f t="shared" si="25"/>
        <v>254629.06620168622</v>
      </c>
      <c r="X85" s="630">
        <f t="shared" si="25"/>
        <v>255632.91543341693</v>
      </c>
      <c r="Y85" s="630">
        <f t="shared" si="25"/>
        <v>254306.38295901578</v>
      </c>
      <c r="Z85" s="630">
        <f t="shared" si="25"/>
        <v>257751.6700734453</v>
      </c>
      <c r="AA85" s="630">
        <f t="shared" si="25"/>
        <v>262892.98223951954</v>
      </c>
      <c r="AB85" s="630">
        <f t="shared" si="25"/>
        <v>269959.34038130665</v>
      </c>
      <c r="AC85" s="630">
        <f t="shared" si="25"/>
        <v>279210.60854939406</v>
      </c>
      <c r="AD85" s="630">
        <f t="shared" si="25"/>
        <v>290941.64746376674</v>
      </c>
      <c r="AE85" s="630">
        <f t="shared" si="25"/>
        <v>305487.02745235479</v>
      </c>
      <c r="AF85" s="630">
        <f t="shared" si="25"/>
        <v>323226.37612680602</v>
      </c>
      <c r="AG85" s="630">
        <f t="shared" si="25"/>
        <v>344590.44628441718</v>
      </c>
      <c r="AH85" s="630">
        <f t="shared" si="25"/>
        <v>370068.00103924406</v>
      </c>
      <c r="AI85" s="57"/>
    </row>
    <row r="86" spans="1:35">
      <c r="A86" s="689"/>
      <c r="B86" s="1" t="s">
        <v>18</v>
      </c>
      <c r="C86" s="51" t="s">
        <v>166</v>
      </c>
      <c r="D86" s="196">
        <f t="shared" ref="D86:S90" si="26">D21+D35+D45+D57+D67+D76</f>
        <v>221834.43765903774</v>
      </c>
      <c r="E86" s="196">
        <f t="shared" si="26"/>
        <v>221916.63122871926</v>
      </c>
      <c r="F86" s="196">
        <f t="shared" si="26"/>
        <v>219212.79073424253</v>
      </c>
      <c r="G86" s="196">
        <f t="shared" si="26"/>
        <v>216566.85842771569</v>
      </c>
      <c r="H86" s="196">
        <f t="shared" si="26"/>
        <v>213986.67987688255</v>
      </c>
      <c r="I86" s="196">
        <f t="shared" si="26"/>
        <v>211481.15679730283</v>
      </c>
      <c r="J86" s="196">
        <f t="shared" si="26"/>
        <v>209060.3892658414</v>
      </c>
      <c r="K86" s="196">
        <f t="shared" si="26"/>
        <v>206735.8370870908</v>
      </c>
      <c r="L86" s="196">
        <f t="shared" si="26"/>
        <v>204520.50289231172</v>
      </c>
      <c r="M86" s="196">
        <f t="shared" si="26"/>
        <v>202429.13989790692</v>
      </c>
      <c r="N86" s="196">
        <f t="shared" si="26"/>
        <v>200478.48764466622</v>
      </c>
      <c r="O86" s="196">
        <f t="shared" si="26"/>
        <v>196868.70252644515</v>
      </c>
      <c r="P86" s="196">
        <f t="shared" si="26"/>
        <v>194075.44218193431</v>
      </c>
      <c r="Q86" s="196">
        <f t="shared" si="26"/>
        <v>190786.9014284249</v>
      </c>
      <c r="R86" s="196">
        <f t="shared" si="26"/>
        <v>187731.81274250406</v>
      </c>
      <c r="S86" s="196">
        <f t="shared" si="26"/>
        <v>184941.65691476187</v>
      </c>
      <c r="T86" s="196">
        <f t="shared" si="25"/>
        <v>182452.15375724892</v>
      </c>
      <c r="U86" s="196">
        <f t="shared" si="25"/>
        <v>180303.83298870761</v>
      </c>
      <c r="V86" s="196">
        <f t="shared" si="25"/>
        <v>178542.68200807567</v>
      </c>
      <c r="W86" s="196">
        <f t="shared" si="25"/>
        <v>177220.88091193483</v>
      </c>
      <c r="X86" s="196">
        <f t="shared" si="25"/>
        <v>176397.63650633051</v>
      </c>
      <c r="Y86" s="196">
        <f t="shared" si="25"/>
        <v>173995.42319493365</v>
      </c>
      <c r="Z86" s="196">
        <f t="shared" si="25"/>
        <v>174247.48669665627</v>
      </c>
      <c r="AA86" s="196">
        <f t="shared" si="25"/>
        <v>175228.05867626239</v>
      </c>
      <c r="AB86" s="196">
        <f t="shared" si="25"/>
        <v>177035.28023092105</v>
      </c>
      <c r="AC86" s="196">
        <f t="shared" si="25"/>
        <v>179780.50899213296</v>
      </c>
      <c r="AD86" s="196">
        <f t="shared" si="25"/>
        <v>183590.09913049079</v>
      </c>
      <c r="AE86" s="196">
        <f t="shared" si="25"/>
        <v>188607.42109879263</v>
      </c>
      <c r="AF86" s="196">
        <f t="shared" si="25"/>
        <v>194995.15340268161</v>
      </c>
      <c r="AG86" s="196">
        <f t="shared" si="25"/>
        <v>202937.8830368605</v>
      </c>
      <c r="AH86" s="196">
        <f t="shared" si="25"/>
        <v>212645.05615953793</v>
      </c>
      <c r="AI86" s="41"/>
    </row>
    <row r="87" spans="1:35">
      <c r="A87" s="689"/>
      <c r="B87" s="1" t="s">
        <v>684</v>
      </c>
      <c r="C87" s="51" t="s">
        <v>166</v>
      </c>
      <c r="D87" s="196">
        <f t="shared" si="26"/>
        <v>202943.65152000473</v>
      </c>
      <c r="E87" s="196">
        <f t="shared" si="25"/>
        <v>199294.40703622659</v>
      </c>
      <c r="F87" s="196">
        <f t="shared" si="25"/>
        <v>195639.61022095112</v>
      </c>
      <c r="G87" s="196">
        <f t="shared" si="25"/>
        <v>191984.89349910681</v>
      </c>
      <c r="H87" s="196">
        <f t="shared" si="25"/>
        <v>188330.27641197108</v>
      </c>
      <c r="I87" s="196">
        <f t="shared" si="25"/>
        <v>184675.77916438732</v>
      </c>
      <c r="J87" s="196">
        <f t="shared" si="25"/>
        <v>181021.42264283521</v>
      </c>
      <c r="K87" s="196">
        <f t="shared" si="25"/>
        <v>177367.22843397796</v>
      </c>
      <c r="L87" s="196">
        <f t="shared" si="25"/>
        <v>173713.21884370249</v>
      </c>
      <c r="M87" s="196">
        <f t="shared" si="25"/>
        <v>170059.41691666548</v>
      </c>
      <c r="N87" s="196">
        <f t="shared" si="25"/>
        <v>166405.84645635996</v>
      </c>
      <c r="O87" s="196">
        <f t="shared" si="25"/>
        <v>162512.75294124239</v>
      </c>
      <c r="P87" s="196">
        <f t="shared" si="25"/>
        <v>158618.30634295137</v>
      </c>
      <c r="Q87" s="196">
        <f t="shared" si="25"/>
        <v>154722.49838143736</v>
      </c>
      <c r="R87" s="196">
        <f t="shared" si="25"/>
        <v>150825.32123807052</v>
      </c>
      <c r="S87" s="196">
        <f t="shared" si="25"/>
        <v>146926.76758387886</v>
      </c>
      <c r="T87" s="196">
        <f t="shared" si="25"/>
        <v>143026.83060889188</v>
      </c>
      <c r="U87" s="196">
        <f t="shared" si="25"/>
        <v>139125.50405262879</v>
      </c>
      <c r="V87" s="196">
        <f t="shared" si="25"/>
        <v>135222.78223576929</v>
      </c>
      <c r="W87" s="196">
        <f t="shared" si="25"/>
        <v>131318.66009304885</v>
      </c>
      <c r="X87" s="196">
        <f t="shared" si="25"/>
        <v>127413.13320741834</v>
      </c>
      <c r="Y87" s="196">
        <f t="shared" si="25"/>
        <v>123283.07819286836</v>
      </c>
      <c r="Z87" s="196">
        <f t="shared" si="25"/>
        <v>119150.42117842189</v>
      </c>
      <c r="AA87" s="196">
        <f t="shared" si="25"/>
        <v>115015.21202721371</v>
      </c>
      <c r="AB87" s="196">
        <f t="shared" si="25"/>
        <v>110877.50485976071</v>
      </c>
      <c r="AC87" s="196">
        <f t="shared" si="25"/>
        <v>106737.35822570606</v>
      </c>
      <c r="AD87" s="196">
        <f t="shared" si="25"/>
        <v>102594.83528111577</v>
      </c>
      <c r="AE87" s="196">
        <f t="shared" si="25"/>
        <v>98450.003971490776</v>
      </c>
      <c r="AF87" s="196">
        <f t="shared" si="25"/>
        <v>94302.937220660882</v>
      </c>
      <c r="AG87" s="196">
        <f t="shared" si="25"/>
        <v>90153.713125732727</v>
      </c>
      <c r="AH87" s="196">
        <f t="shared" si="25"/>
        <v>86002.415158267628</v>
      </c>
      <c r="AI87" s="41"/>
    </row>
    <row r="88" spans="1:35" s="63" customFormat="1">
      <c r="A88" s="690"/>
      <c r="B88" s="59" t="s">
        <v>27</v>
      </c>
      <c r="C88" s="262" t="s">
        <v>166</v>
      </c>
      <c r="D88" s="599">
        <f t="shared" si="26"/>
        <v>311070.58173925988</v>
      </c>
      <c r="E88" s="599">
        <f t="shared" si="25"/>
        <v>315777.36789737991</v>
      </c>
      <c r="F88" s="599">
        <f t="shared" si="25"/>
        <v>315882.39386660251</v>
      </c>
      <c r="G88" s="599">
        <f t="shared" si="25"/>
        <v>316093.61470767297</v>
      </c>
      <c r="H88" s="599">
        <f t="shared" si="25"/>
        <v>316424.23155745363</v>
      </c>
      <c r="I88" s="599">
        <f t="shared" si="25"/>
        <v>316889.20151045948</v>
      </c>
      <c r="J88" s="599">
        <f t="shared" si="25"/>
        <v>317505.47368375922</v>
      </c>
      <c r="K88" s="599">
        <f t="shared" si="25"/>
        <v>318292.25706749567</v>
      </c>
      <c r="L88" s="599">
        <f t="shared" si="25"/>
        <v>319271.32444189902</v>
      </c>
      <c r="M88" s="599">
        <f t="shared" si="25"/>
        <v>320467.35721822898</v>
      </c>
      <c r="N88" s="599">
        <f t="shared" si="25"/>
        <v>321908.33671530191</v>
      </c>
      <c r="O88" s="599">
        <f t="shared" si="25"/>
        <v>324411.31661849603</v>
      </c>
      <c r="P88" s="599">
        <f t="shared" si="25"/>
        <v>326761.83880005562</v>
      </c>
      <c r="Q88" s="599">
        <f t="shared" si="25"/>
        <v>329918.44415734394</v>
      </c>
      <c r="R88" s="599">
        <f t="shared" si="25"/>
        <v>333445.02673450933</v>
      </c>
      <c r="S88" s="599">
        <f t="shared" si="25"/>
        <v>337393.43524486938</v>
      </c>
      <c r="T88" s="599">
        <f t="shared" si="25"/>
        <v>341822.5506095466</v>
      </c>
      <c r="U88" s="599">
        <f t="shared" si="25"/>
        <v>346799.23353172466</v>
      </c>
      <c r="V88" s="599">
        <f t="shared" si="25"/>
        <v>352399.39967841818</v>
      </c>
      <c r="W88" s="599">
        <f t="shared" si="25"/>
        <v>358709.2396555047</v>
      </c>
      <c r="X88" s="599">
        <f t="shared" si="25"/>
        <v>365826.60327639128</v>
      </c>
      <c r="Y88" s="599">
        <f t="shared" si="25"/>
        <v>373186.4607778503</v>
      </c>
      <c r="Z88" s="599">
        <f t="shared" si="25"/>
        <v>380286.78136311687</v>
      </c>
      <c r="AA88" s="599">
        <f t="shared" si="25"/>
        <v>388553.66116160853</v>
      </c>
      <c r="AB88" s="599">
        <f t="shared" si="25"/>
        <v>398150.48887987953</v>
      </c>
      <c r="AC88" s="599">
        <f t="shared" si="25"/>
        <v>409262.64753499755</v>
      </c>
      <c r="AD88" s="599">
        <f t="shared" si="25"/>
        <v>422100.47101590608</v>
      </c>
      <c r="AE88" s="599">
        <f t="shared" si="25"/>
        <v>436902.59857934574</v>
      </c>
      <c r="AF88" s="599">
        <f t="shared" si="25"/>
        <v>453939.78086708358</v>
      </c>
      <c r="AG88" s="599">
        <f t="shared" si="25"/>
        <v>473519.19824827777</v>
      </c>
      <c r="AH88" s="599">
        <f t="shared" si="25"/>
        <v>495989.36047992134</v>
      </c>
      <c r="AI88" s="263"/>
    </row>
    <row r="89" spans="1:35" s="62" customFormat="1">
      <c r="A89" s="688" t="s">
        <v>686</v>
      </c>
      <c r="B89" s="55" t="s">
        <v>683</v>
      </c>
      <c r="C89" s="56" t="s">
        <v>166</v>
      </c>
      <c r="D89" s="630">
        <f t="shared" si="26"/>
        <v>92507.263988244042</v>
      </c>
      <c r="E89" s="630">
        <f t="shared" si="25"/>
        <v>90847.051155822584</v>
      </c>
      <c r="F89" s="630">
        <f t="shared" si="25"/>
        <v>89181.260844118893</v>
      </c>
      <c r="G89" s="630">
        <f t="shared" si="25"/>
        <v>87515.515617069337</v>
      </c>
      <c r="H89" s="630">
        <f t="shared" si="25"/>
        <v>85849.82482521284</v>
      </c>
      <c r="I89" s="630">
        <f t="shared" si="25"/>
        <v>84184.198144453025</v>
      </c>
      <c r="J89" s="630">
        <f t="shared" si="25"/>
        <v>82518.645585477992</v>
      </c>
      <c r="K89" s="630">
        <f t="shared" si="25"/>
        <v>80853.177503458559</v>
      </c>
      <c r="L89" s="630">
        <f t="shared" si="25"/>
        <v>79187.804608035556</v>
      </c>
      <c r="M89" s="630">
        <f t="shared" si="25"/>
        <v>77522.537973605169</v>
      </c>
      <c r="N89" s="630">
        <f t="shared" si="25"/>
        <v>75857.389049912832</v>
      </c>
      <c r="O89" s="630">
        <f t="shared" si="25"/>
        <v>74083.071802594335</v>
      </c>
      <c r="P89" s="630">
        <f t="shared" si="25"/>
        <v>72308.151278295176</v>
      </c>
      <c r="Q89" s="630">
        <f t="shared" si="25"/>
        <v>70532.624400005836</v>
      </c>
      <c r="R89" s="630">
        <f t="shared" si="25"/>
        <v>68756.488337070215</v>
      </c>
      <c r="S89" s="630">
        <f t="shared" si="25"/>
        <v>66979.740519918385</v>
      </c>
      <c r="T89" s="630">
        <f t="shared" si="25"/>
        <v>65202.378655399989</v>
      </c>
      <c r="U89" s="630">
        <f t="shared" si="25"/>
        <v>63424.400742740108</v>
      </c>
      <c r="V89" s="630">
        <f t="shared" si="25"/>
        <v>61645.805090140733</v>
      </c>
      <c r="W89" s="630">
        <f t="shared" si="25"/>
        <v>59866.590332052088</v>
      </c>
      <c r="X89" s="630">
        <f t="shared" si="25"/>
        <v>58086.755447138261</v>
      </c>
      <c r="Y89" s="630">
        <f t="shared" si="25"/>
        <v>56204.595740135039</v>
      </c>
      <c r="Z89" s="630">
        <f t="shared" si="25"/>
        <v>54321.272304416983</v>
      </c>
      <c r="AA89" s="630">
        <f t="shared" si="25"/>
        <v>52436.809022894464</v>
      </c>
      <c r="AB89" s="630">
        <f t="shared" si="25"/>
        <v>50551.231778729227</v>
      </c>
      <c r="AC89" s="630">
        <f t="shared" si="25"/>
        <v>48664.568536700441</v>
      </c>
      <c r="AD89" s="630">
        <f t="shared" si="25"/>
        <v>46776.84942726091</v>
      </c>
      <c r="AE89" s="630">
        <f t="shared" si="25"/>
        <v>44888.106833365855</v>
      </c>
      <c r="AF89" s="630">
        <f t="shared" si="25"/>
        <v>42998.375480158997</v>
      </c>
      <c r="AG89" s="630">
        <f t="shared" si="25"/>
        <v>41107.69252760314</v>
      </c>
      <c r="AH89" s="630">
        <f t="shared" si="25"/>
        <v>39216.097666145404</v>
      </c>
      <c r="AI89" s="57"/>
    </row>
    <row r="90" spans="1:35" s="63" customFormat="1">
      <c r="A90" s="690"/>
      <c r="B90" s="59" t="s">
        <v>682</v>
      </c>
      <c r="C90" s="262" t="s">
        <v>166</v>
      </c>
      <c r="D90" s="599">
        <f t="shared" si="26"/>
        <v>78081.78585770783</v>
      </c>
      <c r="E90" s="599">
        <f t="shared" si="25"/>
        <v>76919.607147309071</v>
      </c>
      <c r="F90" s="599">
        <f t="shared" si="25"/>
        <v>81791.372689050128</v>
      </c>
      <c r="G90" s="599">
        <f t="shared" si="25"/>
        <v>95202.67080901505</v>
      </c>
      <c r="H90" s="599">
        <f t="shared" si="25"/>
        <v>73408.80880148038</v>
      </c>
      <c r="I90" s="599">
        <f t="shared" si="25"/>
        <v>72240.300269877203</v>
      </c>
      <c r="J90" s="599">
        <f t="shared" si="25"/>
        <v>71071.689684770434</v>
      </c>
      <c r="K90" s="599">
        <f t="shared" si="25"/>
        <v>69902.979035524579</v>
      </c>
      <c r="L90" s="599">
        <f t="shared" si="25"/>
        <v>68734.170408635895</v>
      </c>
      <c r="M90" s="599">
        <f t="shared" si="25"/>
        <v>67565.265990460102</v>
      </c>
      <c r="N90" s="599">
        <f t="shared" si="25"/>
        <v>66396.268070004531</v>
      </c>
      <c r="O90" s="599">
        <f t="shared" si="25"/>
        <v>64653.244101402917</v>
      </c>
      <c r="P90" s="599">
        <f t="shared" si="25"/>
        <v>63122.765962306767</v>
      </c>
      <c r="Q90" s="599">
        <f t="shared" si="25"/>
        <v>61357.57073285096</v>
      </c>
      <c r="R90" s="599">
        <f t="shared" si="25"/>
        <v>59592.292241848627</v>
      </c>
      <c r="S90" s="599">
        <f t="shared" si="25"/>
        <v>57826.933335812289</v>
      </c>
      <c r="T90" s="599">
        <f t="shared" si="25"/>
        <v>56061.496982098492</v>
      </c>
      <c r="U90" s="599">
        <f t="shared" si="25"/>
        <v>54295.986272193819</v>
      </c>
      <c r="V90" s="599">
        <f t="shared" si="25"/>
        <v>52530.404425077824</v>
      </c>
      <c r="W90" s="599">
        <f t="shared" si="25"/>
        <v>50764.754790664265</v>
      </c>
      <c r="X90" s="599">
        <f t="shared" si="25"/>
        <v>48999.040853322636</v>
      </c>
      <c r="Y90" s="599">
        <f t="shared" si="25"/>
        <v>46498.163959532038</v>
      </c>
      <c r="Z90" s="599">
        <f t="shared" si="25"/>
        <v>44670.781802626261</v>
      </c>
      <c r="AA90" s="599">
        <f t="shared" si="25"/>
        <v>42843.364470252032</v>
      </c>
      <c r="AB90" s="599">
        <f t="shared" si="25"/>
        <v>41015.916474919504</v>
      </c>
      <c r="AC90" s="599">
        <f t="shared" si="25"/>
        <v>39188.442492729802</v>
      </c>
      <c r="AD90" s="599">
        <f t="shared" si="25"/>
        <v>37360.947367633096</v>
      </c>
      <c r="AE90" s="599">
        <f t="shared" si="25"/>
        <v>35533.436115784076</v>
      </c>
      <c r="AF90" s="599">
        <f t="shared" si="25"/>
        <v>33705.913929996983</v>
      </c>
      <c r="AG90" s="599">
        <f t="shared" si="25"/>
        <v>31878.386184302384</v>
      </c>
      <c r="AH90" s="599">
        <f t="shared" si="25"/>
        <v>30050.858438607793</v>
      </c>
      <c r="AI90" s="263"/>
    </row>
    <row r="91" spans="1:35">
      <c r="A91" s="277"/>
      <c r="C91" s="51"/>
      <c r="D91" s="196"/>
      <c r="E91" s="196"/>
      <c r="F91" s="196"/>
      <c r="G91" s="196"/>
      <c r="H91" s="196"/>
      <c r="I91" s="196"/>
      <c r="J91" s="196"/>
      <c r="K91" s="196"/>
      <c r="L91" s="196"/>
      <c r="M91" s="196"/>
      <c r="N91" s="196"/>
      <c r="O91" s="196"/>
      <c r="P91" s="196"/>
      <c r="Q91" s="196"/>
      <c r="R91" s="196"/>
      <c r="S91" s="196"/>
      <c r="T91" s="196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41"/>
    </row>
    <row r="92" spans="1:35" s="62" customFormat="1">
      <c r="A92" s="55" t="s">
        <v>400</v>
      </c>
      <c r="B92" s="55" t="s">
        <v>195</v>
      </c>
      <c r="C92" s="95" t="s">
        <v>166</v>
      </c>
      <c r="D92" s="631">
        <f t="shared" ref="D92" si="27">D33</f>
        <v>360575.67443292518</v>
      </c>
      <c r="E92" s="631">
        <f t="shared" ref="E92:AH92" si="28">E33</f>
        <v>355780.01796296728</v>
      </c>
      <c r="F92" s="631">
        <f t="shared" si="28"/>
        <v>350984.36149300938</v>
      </c>
      <c r="G92" s="631">
        <f t="shared" si="28"/>
        <v>346188.70502305147</v>
      </c>
      <c r="H92" s="631">
        <f t="shared" si="28"/>
        <v>341393.04855309357</v>
      </c>
      <c r="I92" s="631">
        <f t="shared" si="28"/>
        <v>336597.39208313567</v>
      </c>
      <c r="J92" s="631">
        <f t="shared" si="28"/>
        <v>331801.73561317776</v>
      </c>
      <c r="K92" s="631">
        <f t="shared" si="28"/>
        <v>327006.07914321986</v>
      </c>
      <c r="L92" s="631">
        <f t="shared" si="28"/>
        <v>322210.42267326196</v>
      </c>
      <c r="M92" s="631">
        <f t="shared" si="28"/>
        <v>317414.76620330405</v>
      </c>
      <c r="N92" s="631">
        <f t="shared" si="28"/>
        <v>312619.10973334615</v>
      </c>
      <c r="O92" s="631">
        <f t="shared" si="28"/>
        <v>304096.54309244949</v>
      </c>
      <c r="P92" s="631">
        <f t="shared" si="28"/>
        <v>296839.23649313801</v>
      </c>
      <c r="Q92" s="631">
        <f t="shared" si="28"/>
        <v>288185.78088242223</v>
      </c>
      <c r="R92" s="631">
        <f t="shared" si="28"/>
        <v>279532.3252717065</v>
      </c>
      <c r="S92" s="631">
        <f t="shared" si="28"/>
        <v>270878.86966099072</v>
      </c>
      <c r="T92" s="631">
        <f t="shared" si="28"/>
        <v>262225.41405027494</v>
      </c>
      <c r="U92" s="631">
        <f t="shared" si="28"/>
        <v>253571.95843955915</v>
      </c>
      <c r="V92" s="631">
        <f t="shared" si="28"/>
        <v>244918.5028288434</v>
      </c>
      <c r="W92" s="631">
        <f t="shared" si="28"/>
        <v>236265.04721812767</v>
      </c>
      <c r="X92" s="631">
        <f t="shared" si="28"/>
        <v>227611.59160741183</v>
      </c>
      <c r="Y92" s="631">
        <f t="shared" si="28"/>
        <v>214765.00147871557</v>
      </c>
      <c r="Z92" s="631">
        <f t="shared" si="28"/>
        <v>205926.20997134133</v>
      </c>
      <c r="AA92" s="631">
        <f t="shared" si="28"/>
        <v>197087.41846396698</v>
      </c>
      <c r="AB92" s="631">
        <f t="shared" si="28"/>
        <v>188248.62695659272</v>
      </c>
      <c r="AC92" s="631">
        <f t="shared" si="28"/>
        <v>179409.83544921846</v>
      </c>
      <c r="AD92" s="631">
        <f t="shared" si="28"/>
        <v>170571.04394184414</v>
      </c>
      <c r="AE92" s="631">
        <f t="shared" si="28"/>
        <v>161732.25243446985</v>
      </c>
      <c r="AF92" s="631">
        <f t="shared" si="28"/>
        <v>152893.46092709556</v>
      </c>
      <c r="AG92" s="631">
        <f t="shared" si="28"/>
        <v>144054.66941972123</v>
      </c>
      <c r="AH92" s="631">
        <f t="shared" si="28"/>
        <v>135215.87791234697</v>
      </c>
    </row>
    <row r="93" spans="1:35" outlineLevel="1">
      <c r="A93"/>
      <c r="B93" t="s">
        <v>262</v>
      </c>
      <c r="C93" s="51" t="s">
        <v>166</v>
      </c>
      <c r="D93" s="196">
        <f>0</f>
        <v>0</v>
      </c>
      <c r="E93" s="196">
        <f>'Ethylene Recycling HC'!D64*'Ethylene Recycling HC'!D42-'Ethylene Recycling HC'!$C$64*'Ethylene Recycling HC'!$C$42</f>
        <v>3917.1739940017287</v>
      </c>
      <c r="F93" s="196">
        <f>'Ethylene Recycling HC'!E64*'Ethylene Recycling HC'!E42-'Ethylene Recycling HC'!$C$64*'Ethylene Recycling HC'!$C$42</f>
        <v>7682.4132542010047</v>
      </c>
      <c r="G93" s="196">
        <f>'Ethylene Recycling HC'!F64*'Ethylene Recycling HC'!F42-'Ethylene Recycling HC'!$C$64*'Ethylene Recycling HC'!$C$42</f>
        <v>11296.506748673288</v>
      </c>
      <c r="H93" s="196">
        <f>'Ethylene Recycling HC'!G64*'Ethylene Recycling HC'!G42-'Ethylene Recycling HC'!$C$64*'Ethylene Recycling HC'!$C$42</f>
        <v>14760.243445494125</v>
      </c>
      <c r="I93" s="196">
        <f>'Ethylene Recycling HC'!H64*'Ethylene Recycling HC'!H42-'Ethylene Recycling HC'!$C$64*'Ethylene Recycling HC'!$C$42</f>
        <v>18074.412312739034</v>
      </c>
      <c r="J93" s="196">
        <f>'Ethylene Recycling HC'!I64*'Ethylene Recycling HC'!I42-'Ethylene Recycling HC'!$C$64*'Ethylene Recycling HC'!$C$42</f>
        <v>21239.802318483518</v>
      </c>
      <c r="K93" s="196">
        <f>'Ethylene Recycling HC'!J64*'Ethylene Recycling HC'!J42-'Ethylene Recycling HC'!$C$64*'Ethylene Recycling HC'!$C$42</f>
        <v>24257.202430803038</v>
      </c>
      <c r="L93" s="196">
        <f>'Ethylene Recycling HC'!K64*'Ethylene Recycling HC'!K42-'Ethylene Recycling HC'!$C$64*'Ethylene Recycling HC'!$C$42</f>
        <v>27127.401617773139</v>
      </c>
      <c r="M93" s="196">
        <f>'Ethylene Recycling HC'!L64*'Ethylene Recycling HC'!L42-'Ethylene Recycling HC'!$C$64*'Ethylene Recycling HC'!$C$42</f>
        <v>29851.188847469326</v>
      </c>
      <c r="N93" s="196">
        <f>'Ethylene Recycling HC'!M64*'Ethylene Recycling HC'!M42-'Ethylene Recycling HC'!$C$64*'Ethylene Recycling HC'!$C$42</f>
        <v>32429.353087967145</v>
      </c>
      <c r="O93" s="196">
        <f>'Ethylene Recycling HC'!N64*'Ethylene Recycling HC'!N42-'Ethylene Recycling HC'!$C$64*'Ethylene Recycling HC'!$C$42</f>
        <v>37373.894890578784</v>
      </c>
      <c r="P93" s="196">
        <f>'Ethylene Recycling HC'!O64*'Ethylene Recycling HC'!O42-'Ethylene Recycling HC'!$C$64*'Ethylene Recycling HC'!$C$42</f>
        <v>42347.901120816459</v>
      </c>
      <c r="Q93" s="196">
        <f>'Ethylene Recycling HC'!P64*'Ethylene Recycling HC'!P42-'Ethylene Recycling HC'!$C$64*'Ethylene Recycling HC'!$C$42</f>
        <v>46326.245187659559</v>
      </c>
      <c r="R93" s="196">
        <f>'Ethylene Recycling HC'!Q64*'Ethylene Recycling HC'!Q42-'Ethylene Recycling HC'!$C$64*'Ethylene Recycling HC'!$C$42</f>
        <v>49830.056689946199</v>
      </c>
      <c r="S93" s="196">
        <f>'Ethylene Recycling HC'!R64*'Ethylene Recycling HC'!R42-'Ethylene Recycling HC'!$C$64*'Ethylene Recycling HC'!$C$42</f>
        <v>52862.049446133824</v>
      </c>
      <c r="T93" s="196">
        <f>'Ethylene Recycling HC'!S64*'Ethylene Recycling HC'!S42-'Ethylene Recycling HC'!$C$64*'Ethylene Recycling HC'!$C$42</f>
        <v>55424.937274679891</v>
      </c>
      <c r="U93" s="196">
        <f>'Ethylene Recycling HC'!T64*'Ethylene Recycling HC'!T42-'Ethylene Recycling HC'!$C$64*'Ethylene Recycling HC'!$C$42</f>
        <v>57521.433994041756</v>
      </c>
      <c r="V93" s="196">
        <f>'Ethylene Recycling HC'!U64*'Ethylene Recycling HC'!U42-'Ethylene Recycling HC'!$C$64*'Ethylene Recycling HC'!$C$42</f>
        <v>59154.253422677022</v>
      </c>
      <c r="W93" s="196">
        <f>'Ethylene Recycling HC'!V64*'Ethylene Recycling HC'!V42-'Ethylene Recycling HC'!$C$64*'Ethylene Recycling HC'!$C$42</f>
        <v>60326.109379043075</v>
      </c>
      <c r="X93" s="196">
        <f>'Ethylene Recycling HC'!W64*'Ethylene Recycling HC'!W42-'Ethylene Recycling HC'!$C$64*'Ethylene Recycling HC'!$C$42</f>
        <v>61039.71568159727</v>
      </c>
      <c r="Y93" s="196">
        <f>'Ethylene Recycling HC'!X64*'Ethylene Recycling HC'!X42-'Ethylene Recycling HC'!$C$64*'Ethylene Recycling HC'!$C$42</f>
        <v>63004.361968378245</v>
      </c>
      <c r="Z93" s="196">
        <f>'Ethylene Recycling HC'!Y64*'Ethylene Recycling HC'!Y42-'Ethylene Recycling HC'!$C$64*'Ethylene Recycling HC'!$C$42</f>
        <v>66539.575239461992</v>
      </c>
      <c r="AA93" s="196">
        <f>'Ethylene Recycling HC'!Z64*'Ethylene Recycling HC'!Z42-'Ethylene Recycling HC'!$C$64*'Ethylene Recycling HC'!$C$42</f>
        <v>69245.315705066867</v>
      </c>
      <c r="AB93" s="196">
        <f>'Ethylene Recycling HC'!AA64*'Ethylene Recycling HC'!AA42-'Ethylene Recycling HC'!$C$64*'Ethylene Recycling HC'!$C$42</f>
        <v>71126.495667160634</v>
      </c>
      <c r="AC93" s="196">
        <f>'Ethylene Recycling HC'!AB64*'Ethylene Recycling HC'!AB42-'Ethylene Recycling HC'!$C$64*'Ethylene Recycling HC'!$C$42</f>
        <v>72188.02742771068</v>
      </c>
      <c r="AD93" s="196">
        <f>'Ethylene Recycling HC'!AC64*'Ethylene Recycling HC'!AC42-'Ethylene Recycling HC'!$C$64*'Ethylene Recycling HC'!$C$42</f>
        <v>72434.823288684624</v>
      </c>
      <c r="AE93" s="196">
        <f>'Ethylene Recycling HC'!AD64*'Ethylene Recycling HC'!AD42-'Ethylene Recycling HC'!$C$64*'Ethylene Recycling HC'!$C$42</f>
        <v>71871.795552050084</v>
      </c>
      <c r="AF93" s="196">
        <f>'Ethylene Recycling HC'!AE64*'Ethylene Recycling HC'!AE42-'Ethylene Recycling HC'!$C$64*'Ethylene Recycling HC'!$C$42</f>
        <v>70503.856519774534</v>
      </c>
      <c r="AG93" s="196">
        <f>'Ethylene Recycling HC'!AF64*'Ethylene Recycling HC'!AF42-'Ethylene Recycling HC'!$C$64*'Ethylene Recycling HC'!$C$42</f>
        <v>68335.918493825622</v>
      </c>
      <c r="AH93" s="196">
        <f>'Ethylene Recycling HC'!AG64*'Ethylene Recycling HC'!AG42-'Ethylene Recycling HC'!$C$64*'Ethylene Recycling HC'!$C$42</f>
        <v>65372.893776171026</v>
      </c>
    </row>
    <row r="94" spans="1:35" outlineLevel="1">
      <c r="A94"/>
      <c r="B94" s="169" t="s">
        <v>265</v>
      </c>
      <c r="C94" s="51" t="s">
        <v>166</v>
      </c>
      <c r="D94" s="196">
        <f>0</f>
        <v>0</v>
      </c>
      <c r="E94" s="196">
        <f>'Ethylene Recycling HC'!D124*'Ethylene Recycling HC'!D43-'Ethylene Recycling HC'!$C$124*'Ethylene Recycling HC'!$C$43</f>
        <v>27.981481075998431</v>
      </c>
      <c r="F94" s="196">
        <f>'Ethylene Recycling HC'!E124*'Ethylene Recycling HC'!E43-'Ethylene Recycling HC'!$C$124*'Ethylene Recycling HC'!$C$43</f>
        <v>55.832109847108569</v>
      </c>
      <c r="G94" s="196">
        <f>'Ethylene Recycling HC'!F124*'Ethylene Recycling HC'!F43-'Ethylene Recycling HC'!$C$124*'Ethylene Recycling HC'!$C$43</f>
        <v>83.551868945219582</v>
      </c>
      <c r="H94" s="196">
        <f>'Ethylene Recycling HC'!G124*'Ethylene Recycling HC'!G43-'Ethylene Recycling HC'!$C$124*'Ethylene Recycling HC'!$C$43</f>
        <v>111.14074100222038</v>
      </c>
      <c r="I94" s="196">
        <f>'Ethylene Recycling HC'!H124*'Ethylene Recycling HC'!H43-'Ethylene Recycling HC'!$C$124*'Ethylene Recycling HC'!$C$43</f>
        <v>138.59870865000008</v>
      </c>
      <c r="J94" s="196">
        <f>'Ethylene Recycling HC'!I124*'Ethylene Recycling HC'!I43-'Ethylene Recycling HC'!$C$124*'Ethylene Recycling HC'!$C$43</f>
        <v>165.92575452044755</v>
      </c>
      <c r="K94" s="196">
        <f>'Ethylene Recycling HC'!J124*'Ethylene Recycling HC'!J43-'Ethylene Recycling HC'!$C$124*'Ethylene Recycling HC'!$C$43</f>
        <v>193.12186124545215</v>
      </c>
      <c r="L94" s="196">
        <f>'Ethylene Recycling HC'!K124*'Ethylene Recycling HC'!K43-'Ethylene Recycling HC'!$C$124*'Ethylene Recycling HC'!$C$43</f>
        <v>220.18701145690281</v>
      </c>
      <c r="M94" s="196">
        <f>'Ethylene Recycling HC'!L124*'Ethylene Recycling HC'!L43-'Ethylene Recycling HC'!$C$124*'Ethylene Recycling HC'!$C$43</f>
        <v>247.12118778668841</v>
      </c>
      <c r="N94" s="196">
        <f>'Ethylene Recycling HC'!M124*'Ethylene Recycling HC'!M43-'Ethylene Recycling HC'!$C$124*'Ethylene Recycling HC'!$C$43</f>
        <v>273.92437286669804</v>
      </c>
      <c r="O94" s="196">
        <f>'Ethylene Recycling HC'!N124*'Ethylene Recycling HC'!N43-'Ethylene Recycling HC'!$C$124*'Ethylene Recycling HC'!$C$43</f>
        <v>325.5861166817424</v>
      </c>
      <c r="P94" s="196">
        <f>'Ethylene Recycling HC'!O124*'Ethylene Recycling HC'!O43-'Ethylene Recycling HC'!$C$124*'Ethylene Recycling HC'!$C$43</f>
        <v>376.99816453974654</v>
      </c>
      <c r="Q94" s="196">
        <f>'Ethylene Recycling HC'!P124*'Ethylene Recycling HC'!P43-'Ethylene Recycling HC'!$C$124*'Ethylene Recycling HC'!$C$43</f>
        <v>426.33847526423722</v>
      </c>
      <c r="R94" s="196">
        <f>'Ethylene Recycling HC'!Q124*'Ethylene Recycling HC'!Q43-'Ethylene Recycling HC'!$C$124*'Ethylene Recycling HC'!$C$43</f>
        <v>475.07793741434045</v>
      </c>
      <c r="S94" s="196">
        <f>'Ethylene Recycling HC'!R124*'Ethylene Recycling HC'!R43-'Ethylene Recycling HC'!$C$124*'Ethylene Recycling HC'!$C$43</f>
        <v>523.2179578944158</v>
      </c>
      <c r="T94" s="196">
        <f>'Ethylene Recycling HC'!S124*'Ethylene Recycling HC'!S43-'Ethylene Recycling HC'!$C$124*'Ethylene Recycling HC'!$C$43</f>
        <v>570.75997230633641</v>
      </c>
      <c r="U94" s="196">
        <f>'Ethylene Recycling HC'!T124*'Ethylene Recycling HC'!T43-'Ethylene Recycling HC'!$C$124*'Ethylene Recycling HC'!$C$43</f>
        <v>617.7054447442373</v>
      </c>
      <c r="V94" s="196">
        <f>'Ethylene Recycling HC'!U124*'Ethylene Recycling HC'!U43-'Ethylene Recycling HC'!$C$124*'Ethylene Recycling HC'!$C$43</f>
        <v>664.05586758921322</v>
      </c>
      <c r="W94" s="196">
        <f>'Ethylene Recycling HC'!V124*'Ethylene Recycling HC'!V43-'Ethylene Recycling HC'!$C$124*'Ethylene Recycling HC'!$C$43</f>
        <v>709.81276130395679</v>
      </c>
      <c r="X94" s="196">
        <f>'Ethylene Recycling HC'!W124*'Ethylene Recycling HC'!W43-'Ethylene Recycling HC'!$C$124*'Ethylene Recycling HC'!$C$43</f>
        <v>754.97767422734387</v>
      </c>
      <c r="Y94" s="196">
        <f>'Ethylene Recycling HC'!X124*'Ethylene Recycling HC'!X43-'Ethylene Recycling HC'!$C$124*'Ethylene Recycling HC'!$C$43</f>
        <v>837.95118635023778</v>
      </c>
      <c r="Z94" s="196">
        <f>'Ethylene Recycling HC'!Y124*'Ethylene Recycling HC'!Y43-'Ethylene Recycling HC'!$C$124*'Ethylene Recycling HC'!$C$43</f>
        <v>919.87464694689947</v>
      </c>
      <c r="AA94" s="196">
        <f>'Ethylene Recycling HC'!Z124*'Ethylene Recycling HC'!Z43-'Ethylene Recycling HC'!$C$124*'Ethylene Recycling HC'!$C$43</f>
        <v>991.64895199342163</v>
      </c>
      <c r="AB94" s="196">
        <f>'Ethylene Recycling HC'!AA124*'Ethylene Recycling HC'!AA43-'Ethylene Recycling HC'!$C$124*'Ethylene Recycling HC'!$C$43</f>
        <v>1060.9690421031726</v>
      </c>
      <c r="AC94" s="196">
        <f>'Ethylene Recycling HC'!AB124*'Ethylene Recycling HC'!AB43-'Ethylene Recycling HC'!$C$124*'Ethylene Recycling HC'!$C$43</f>
        <v>1127.8449699896801</v>
      </c>
      <c r="AD94" s="196">
        <f>'Ethylene Recycling HC'!AC124*'Ethylene Recycling HC'!AC43-'Ethylene Recycling HC'!$C$124*'Ethylene Recycling HC'!$C$43</f>
        <v>1192.2875153839309</v>
      </c>
      <c r="AE94" s="196">
        <f>'Ethylene Recycling HC'!AD124*'Ethylene Recycling HC'!AD43-'Ethylene Recycling HC'!$C$124*'Ethylene Recycling HC'!$C$43</f>
        <v>1254.3081767579085</v>
      </c>
      <c r="AF94" s="196">
        <f>'Ethylene Recycling HC'!AE124*'Ethylene Recycling HC'!AE43-'Ethylene Recycling HC'!$C$124*'Ethylene Recycling HC'!$C$43</f>
        <v>1313.9191630459395</v>
      </c>
      <c r="AG94" s="196">
        <f>'Ethylene Recycling HC'!AF124*'Ethylene Recycling HC'!AF43-'Ethylene Recycling HC'!$C$124*'Ethylene Recycling HC'!$C$43</f>
        <v>1371.1333853638371</v>
      </c>
      <c r="AH94" s="196">
        <f>'Ethylene Recycling HC'!AG124*'Ethylene Recycling HC'!AG43-'Ethylene Recycling HC'!$C$124*'Ethylene Recycling HC'!$C$43</f>
        <v>251.49842646906112</v>
      </c>
    </row>
    <row r="95" spans="1:35" s="63" customFormat="1">
      <c r="A95" s="59"/>
      <c r="B95" s="59" t="s">
        <v>263</v>
      </c>
      <c r="C95" s="60" t="s">
        <v>166</v>
      </c>
      <c r="D95" s="636">
        <f t="shared" ref="D95:AG95" si="29">D92-D93-D94</f>
        <v>360575.67443292518</v>
      </c>
      <c r="E95" s="636">
        <f>E92-E93-E94</f>
        <v>351834.86248788959</v>
      </c>
      <c r="F95" s="636">
        <f t="shared" si="29"/>
        <v>343246.11612896126</v>
      </c>
      <c r="G95" s="636">
        <f t="shared" si="29"/>
        <v>334808.64640543296</v>
      </c>
      <c r="H95" s="636">
        <f t="shared" si="29"/>
        <v>326521.66436659725</v>
      </c>
      <c r="I95" s="636">
        <f t="shared" si="29"/>
        <v>318384.38106174662</v>
      </c>
      <c r="J95" s="636">
        <f t="shared" si="29"/>
        <v>310396.00754017377</v>
      </c>
      <c r="K95" s="636">
        <f t="shared" si="29"/>
        <v>302555.7548511714</v>
      </c>
      <c r="L95" s="636">
        <f t="shared" si="29"/>
        <v>294862.83404403197</v>
      </c>
      <c r="M95" s="636">
        <f t="shared" si="29"/>
        <v>287316.45616804803</v>
      </c>
      <c r="N95" s="636">
        <f t="shared" si="29"/>
        <v>279915.83227251231</v>
      </c>
      <c r="O95" s="636">
        <f t="shared" si="29"/>
        <v>266397.06208518898</v>
      </c>
      <c r="P95" s="636">
        <f t="shared" si="29"/>
        <v>254114.33720778179</v>
      </c>
      <c r="Q95" s="636">
        <f t="shared" si="29"/>
        <v>241433.19721949843</v>
      </c>
      <c r="R95" s="636">
        <f t="shared" si="29"/>
        <v>229227.19064434594</v>
      </c>
      <c r="S95" s="636">
        <f t="shared" si="29"/>
        <v>217493.60225696248</v>
      </c>
      <c r="T95" s="636">
        <f t="shared" si="29"/>
        <v>206229.7168032887</v>
      </c>
      <c r="U95" s="636">
        <f t="shared" si="29"/>
        <v>195432.81900077316</v>
      </c>
      <c r="V95" s="636">
        <f t="shared" si="29"/>
        <v>185100.19353857715</v>
      </c>
      <c r="W95" s="636">
        <f t="shared" si="29"/>
        <v>175229.12507778063</v>
      </c>
      <c r="X95" s="636">
        <f t="shared" si="29"/>
        <v>165816.8982515872</v>
      </c>
      <c r="Y95" s="636">
        <f t="shared" si="29"/>
        <v>150922.68832398709</v>
      </c>
      <c r="Z95" s="636">
        <f t="shared" si="29"/>
        <v>138466.76008493244</v>
      </c>
      <c r="AA95" s="636">
        <f t="shared" si="29"/>
        <v>126850.45380690669</v>
      </c>
      <c r="AB95" s="636">
        <f t="shared" si="29"/>
        <v>116061.16224732892</v>
      </c>
      <c r="AC95" s="636">
        <f t="shared" si="29"/>
        <v>106093.96305151811</v>
      </c>
      <c r="AD95" s="636">
        <f t="shared" si="29"/>
        <v>96943.933137775588</v>
      </c>
      <c r="AE95" s="636">
        <f t="shared" si="29"/>
        <v>88606.14870566185</v>
      </c>
      <c r="AF95" s="636">
        <f t="shared" si="29"/>
        <v>81075.685244275082</v>
      </c>
      <c r="AG95" s="636">
        <f t="shared" si="29"/>
        <v>74347.617540531777</v>
      </c>
      <c r="AH95" s="636">
        <f>AH92-AH93-AH94</f>
        <v>69591.485709706889</v>
      </c>
      <c r="AI95"/>
    </row>
    <row r="96" spans="1:35" s="62" customFormat="1">
      <c r="A96" s="688" t="s">
        <v>685</v>
      </c>
      <c r="B96" s="55" t="s">
        <v>141</v>
      </c>
      <c r="C96" s="56" t="s">
        <v>166</v>
      </c>
      <c r="D96" s="630">
        <f>D34-('Ethylene Recycling HC'!C73+'Ethylene Recycling HC'!C140-'Ethylene Recycling HC'!$C$73-'Ethylene Recycling HC'!$C$140)</f>
        <v>220273.23005700734</v>
      </c>
      <c r="E96" s="630">
        <f>E34-('Ethylene Recycling HC'!D73+'Ethylene Recycling HC'!D140-'Ethylene Recycling HC'!$C$73-'Ethylene Recycling HC'!$C$140)</f>
        <v>212587.02343895467</v>
      </c>
      <c r="F96" s="630">
        <f>F34-('Ethylene Recycling HC'!E73+'Ethylene Recycling HC'!E140-'Ethylene Recycling HC'!$C$73-'Ethylene Recycling HC'!$C$140)</f>
        <v>205046.58667509138</v>
      </c>
      <c r="G96" s="630">
        <f>G34-('Ethylene Recycling HC'!F73+'Ethylene Recycling HC'!F140-'Ethylene Recycling HC'!$C$73-'Ethylene Recycling HC'!$C$140)</f>
        <v>197650.91273296633</v>
      </c>
      <c r="H96" s="630">
        <f>H34-('Ethylene Recycling HC'!G73+'Ethylene Recycling HC'!G140-'Ethylene Recycling HC'!$C$73-'Ethylene Recycling HC'!$C$140)</f>
        <v>190398.99648663716</v>
      </c>
      <c r="I96" s="630">
        <f>I34-('Ethylene Recycling HC'!H73+'Ethylene Recycling HC'!H140-'Ethylene Recycling HC'!$C$73-'Ethylene Recycling HC'!$C$140)</f>
        <v>183289.83471667007</v>
      </c>
      <c r="J96" s="630">
        <f>J34-('Ethylene Recycling HC'!I73+'Ethylene Recycling HC'!I140-'Ethylene Recycling HC'!$C$73-'Ethylene Recycling HC'!$C$140)</f>
        <v>176322.42611014002</v>
      </c>
      <c r="K96" s="630">
        <f>K34-('Ethylene Recycling HC'!J73+'Ethylene Recycling HC'!J140-'Ethylene Recycling HC'!$C$73-'Ethylene Recycling HC'!$C$140)</f>
        <v>169495.77126063054</v>
      </c>
      <c r="L96" s="630">
        <f>L34-('Ethylene Recycling HC'!K73+'Ethylene Recycling HC'!K140-'Ethylene Recycling HC'!$C$73-'Ethylene Recycling HC'!$C$140)</f>
        <v>162808.87266823402</v>
      </c>
      <c r="M96" s="630">
        <f>M34-('Ethylene Recycling HC'!L73+'Ethylene Recycling HC'!L140-'Ethylene Recycling HC'!$C$73-'Ethylene Recycling HC'!$C$140)</f>
        <v>156260.73473955109</v>
      </c>
      <c r="N96" s="630">
        <f>N34-('Ethylene Recycling HC'!M73+'Ethylene Recycling HC'!M140-'Ethylene Recycling HC'!$C$73-'Ethylene Recycling HC'!$C$140)</f>
        <v>149850.36378769143</v>
      </c>
      <c r="O96" s="630">
        <f>O34-('Ethylene Recycling HC'!N73+'Ethylene Recycling HC'!N140-'Ethylene Recycling HC'!$C$73-'Ethylene Recycling HC'!$C$140)</f>
        <v>138024.54290610112</v>
      </c>
      <c r="P96" s="630">
        <f>P34-('Ethylene Recycling HC'!O73+'Ethylene Recycling HC'!O140-'Ethylene Recycling HC'!$C$73-'Ethylene Recycling HC'!$C$140)</f>
        <v>127244.65969171905</v>
      </c>
      <c r="Q96" s="630">
        <f>Q34-('Ethylene Recycling HC'!P73+'Ethylene Recycling HC'!P140-'Ethylene Recycling HC'!$C$73-'Ethylene Recycling HC'!$C$140)</f>
        <v>116211.61273031132</v>
      </c>
      <c r="R96" s="630">
        <f>R34-('Ethylene Recycling HC'!Q73+'Ethylene Recycling HC'!Q140-'Ethylene Recycling HC'!$C$73-'Ethylene Recycling HC'!$C$140)</f>
        <v>105620.33279203039</v>
      </c>
      <c r="S96" s="630">
        <f>S34-('Ethylene Recycling HC'!R73+'Ethylene Recycling HC'!R140-'Ethylene Recycling HC'!$C$73-'Ethylene Recycling HC'!$C$140)</f>
        <v>95467.460333357623</v>
      </c>
      <c r="T96" s="630">
        <f>T34-('Ethylene Recycling HC'!S73+'Ethylene Recycling HC'!S140-'Ethylene Recycling HC'!$C$73-'Ethylene Recycling HC'!$C$140)</f>
        <v>85749.642364292988</v>
      </c>
      <c r="U96" s="630">
        <f>U34-('Ethylene Recycling HC'!T73+'Ethylene Recycling HC'!T140-'Ethylene Recycling HC'!$C$73-'Ethylene Recycling HC'!$C$140)</f>
        <v>76463.532448937651</v>
      </c>
      <c r="V96" s="630">
        <f>V34-('Ethylene Recycling HC'!U73+'Ethylene Recycling HC'!U140-'Ethylene Recycling HC'!$C$73-'Ethylene Recycling HC'!$C$140)</f>
        <v>67605.790706072876</v>
      </c>
      <c r="W96" s="630">
        <f>W34-('Ethylene Recycling HC'!V73+'Ethylene Recycling HC'!V140-'Ethylene Recycling HC'!$C$73-'Ethylene Recycling HC'!$C$140)</f>
        <v>59173.083809735668</v>
      </c>
      <c r="X96" s="630">
        <f>X34-('Ethylene Recycling HC'!W73+'Ethylene Recycling HC'!W140-'Ethylene Recycling HC'!$C$73-'Ethylene Recycling HC'!$C$140)</f>
        <v>51162.084989790274</v>
      </c>
      <c r="Y96" s="630">
        <f>Y34-('Ethylene Recycling HC'!X73+'Ethylene Recycling HC'!X140-'Ethylene Recycling HC'!$C$73-'Ethylene Recycling HC'!$C$140)</f>
        <v>38540.921118028222</v>
      </c>
      <c r="Z96" s="630">
        <f>Z34-('Ethylene Recycling HC'!Y73+'Ethylene Recycling HC'!Y140-'Ethylene Recycling HC'!$C$73-'Ethylene Recycling HC'!$C$140)</f>
        <v>27764.910837375231</v>
      </c>
      <c r="AA96" s="630">
        <f>AA34-('Ethylene Recycling HC'!Z73+'Ethylene Recycling HC'!Z140-'Ethylene Recycling HC'!$C$73-'Ethylene Recycling HC'!$C$140)</f>
        <v>17759.122370477467</v>
      </c>
      <c r="AB96" s="630">
        <f>AB34-('Ethylene Recycling HC'!AA73+'Ethylene Recycling HC'!AA140-'Ethylene Recycling HC'!$C$73-'Ethylene Recycling HC'!$C$140)</f>
        <v>8511.8172435277593</v>
      </c>
      <c r="AC96" s="630">
        <f>AC34-('Ethylene Recycling HC'!AB73+'Ethylene Recycling HC'!AB140-'Ethylene Recycling HC'!$C$73-'Ethylene Recycling HC'!$C$140)</f>
        <v>16.98870931637066</v>
      </c>
      <c r="AD96" s="630">
        <f>AD34-('Ethylene Recycling HC'!AC73+'Ethylene Recycling HC'!AC140-'Ethylene Recycling HC'!$C$73-'Ethylene Recycling HC'!$C$140)</f>
        <v>-7731.358518203604</v>
      </c>
      <c r="AE96" s="630">
        <f>AE34-('Ethylene Recycling HC'!AD73+'Ethylene Recycling HC'!AD140-'Ethylene Recycling HC'!$C$73-'Ethylene Recycling HC'!$C$140)</f>
        <v>-14739.208247076182</v>
      </c>
      <c r="AF96" s="630">
        <f>AF34-('Ethylene Recycling HC'!AE73+'Ethylene Recycling HC'!AE140-'Ethylene Recycling HC'!$C$73-'Ethylene Recycling HC'!$C$140)</f>
        <v>-21012.532790648227</v>
      </c>
      <c r="AG96" s="630">
        <f>AG34-('Ethylene Recycling HC'!AF73+'Ethylene Recycling HC'!AF140-'Ethylene Recycling HC'!$C$73-'Ethylene Recycling HC'!$C$140)</f>
        <v>-26557.292951022377</v>
      </c>
      <c r="AH96" s="630">
        <f>AH34-('Ethylene Recycling HC'!AG73+'Ethylene Recycling HC'!AG140-'Ethylene Recycling HC'!$C$73-'Ethylene Recycling HC'!$C$140)</f>
        <v>-30536.788592554243</v>
      </c>
      <c r="AI96" s="41"/>
    </row>
    <row r="97" spans="1:35">
      <c r="A97" s="689"/>
      <c r="B97" s="1" t="s">
        <v>18</v>
      </c>
      <c r="C97" s="51" t="s">
        <v>166</v>
      </c>
      <c r="D97" s="196">
        <f>D35+(D101-D39)</f>
        <v>181040.18182479939</v>
      </c>
      <c r="E97" s="196">
        <f t="shared" ref="E97:AH97" si="30">E35+(E101-E39)</f>
        <v>178411.25266186139</v>
      </c>
      <c r="F97" s="196">
        <f t="shared" si="30"/>
        <v>175799.19959900808</v>
      </c>
      <c r="G97" s="196">
        <f t="shared" si="30"/>
        <v>173203.61093176925</v>
      </c>
      <c r="H97" s="196">
        <f t="shared" si="30"/>
        <v>170624.07742403724</v>
      </c>
      <c r="I97" s="196">
        <f t="shared" si="30"/>
        <v>168060.19230806656</v>
      </c>
      <c r="J97" s="196">
        <f t="shared" si="30"/>
        <v>165511.55128447391</v>
      </c>
      <c r="K97" s="196">
        <f t="shared" si="30"/>
        <v>162977.75252223856</v>
      </c>
      <c r="L97" s="196">
        <f t="shared" si="30"/>
        <v>160458.39665870185</v>
      </c>
      <c r="M97" s="196">
        <f t="shared" si="30"/>
        <v>157953.08679956768</v>
      </c>
      <c r="N97" s="196">
        <f t="shared" si="30"/>
        <v>155461.42851890202</v>
      </c>
      <c r="O97" s="196">
        <f t="shared" si="30"/>
        <v>150951.82262947754</v>
      </c>
      <c r="P97" s="196">
        <f t="shared" si="30"/>
        <v>147083.36749864352</v>
      </c>
      <c r="Q97" s="196">
        <f t="shared" si="30"/>
        <v>142583.57643089734</v>
      </c>
      <c r="R97" s="196">
        <f t="shared" si="30"/>
        <v>138119.12515459454</v>
      </c>
      <c r="S97" s="196">
        <f t="shared" si="30"/>
        <v>133688.73581177206</v>
      </c>
      <c r="T97" s="196">
        <f t="shared" si="30"/>
        <v>129291.13903490835</v>
      </c>
      <c r="U97" s="196">
        <f t="shared" si="30"/>
        <v>124925.07394692322</v>
      </c>
      <c r="V97" s="196">
        <f t="shared" si="30"/>
        <v>120589.28816117778</v>
      </c>
      <c r="W97" s="196">
        <f t="shared" si="30"/>
        <v>116282.5377814747</v>
      </c>
      <c r="X97" s="196">
        <f t="shared" si="30"/>
        <v>112003.58740205789</v>
      </c>
      <c r="Y97" s="196">
        <f t="shared" si="30"/>
        <v>105550.52494571958</v>
      </c>
      <c r="Z97" s="196">
        <f t="shared" si="30"/>
        <v>101026.25753899792</v>
      </c>
      <c r="AA97" s="196">
        <f t="shared" si="30"/>
        <v>96552.576296501138</v>
      </c>
      <c r="AB97" s="196">
        <f t="shared" si="30"/>
        <v>92127.271915683494</v>
      </c>
      <c r="AC97" s="196">
        <f t="shared" si="30"/>
        <v>87748.150462607067</v>
      </c>
      <c r="AD97" s="196">
        <f t="shared" si="30"/>
        <v>83413.033371941972</v>
      </c>
      <c r="AE97" s="196">
        <f t="shared" si="30"/>
        <v>79119.757446966294</v>
      </c>
      <c r="AF97" s="196">
        <f t="shared" si="30"/>
        <v>74866.174859566032</v>
      </c>
      <c r="AG97" s="196">
        <f t="shared" si="30"/>
        <v>70650.153150235245</v>
      </c>
      <c r="AH97" s="196">
        <f t="shared" si="30"/>
        <v>66469.575228075963</v>
      </c>
      <c r="AI97" s="41"/>
    </row>
    <row r="98" spans="1:35">
      <c r="A98" s="689"/>
      <c r="B98" s="1" t="s">
        <v>684</v>
      </c>
      <c r="C98" s="51" t="s">
        <v>166</v>
      </c>
      <c r="D98" s="196">
        <f>D36+(D100-D38)</f>
        <v>23327.595712084702</v>
      </c>
      <c r="E98" s="196">
        <f t="shared" ref="E98:AH98" si="31">E36+(E100-E38)</f>
        <v>23163.611149717857</v>
      </c>
      <c r="F98" s="196">
        <f t="shared" si="31"/>
        <v>22993.828088100207</v>
      </c>
      <c r="G98" s="196">
        <f t="shared" si="31"/>
        <v>22818.585099501768</v>
      </c>
      <c r="H98" s="196">
        <f t="shared" si="31"/>
        <v>22638.218409774949</v>
      </c>
      <c r="I98" s="196">
        <f t="shared" si="31"/>
        <v>22453.061898354543</v>
      </c>
      <c r="J98" s="196">
        <f t="shared" si="31"/>
        <v>22263.447098257755</v>
      </c>
      <c r="K98" s="196">
        <f t="shared" si="31"/>
        <v>22069.703196084156</v>
      </c>
      <c r="L98" s="196">
        <f t="shared" si="31"/>
        <v>21872.157032015719</v>
      </c>
      <c r="M98" s="196">
        <f t="shared" si="31"/>
        <v>21671.133099816812</v>
      </c>
      <c r="N98" s="196">
        <f t="shared" si="31"/>
        <v>21466.953546834186</v>
      </c>
      <c r="O98" s="196">
        <f t="shared" si="31"/>
        <v>21043.03028648502</v>
      </c>
      <c r="P98" s="196">
        <f t="shared" si="31"/>
        <v>20611.132408191406</v>
      </c>
      <c r="Q98" s="196">
        <f t="shared" si="31"/>
        <v>20181.190974874829</v>
      </c>
      <c r="R98" s="196">
        <f t="shared" si="31"/>
        <v>19749.950650737206</v>
      </c>
      <c r="S98" s="196">
        <f t="shared" si="31"/>
        <v>19318.446097455435</v>
      </c>
      <c r="T98" s="196">
        <f t="shared" si="31"/>
        <v>18887.703883127066</v>
      </c>
      <c r="U98" s="196">
        <f t="shared" si="31"/>
        <v>18458.742481770281</v>
      </c>
      <c r="V98" s="196">
        <f t="shared" si="31"/>
        <v>18032.572272828322</v>
      </c>
      <c r="W98" s="196">
        <f t="shared" si="31"/>
        <v>17610.195540678287</v>
      </c>
      <c r="X98" s="196">
        <f t="shared" si="31"/>
        <v>17192.606474144362</v>
      </c>
      <c r="Y98" s="196">
        <f t="shared" si="31"/>
        <v>16743.352143487944</v>
      </c>
      <c r="Z98" s="196">
        <f t="shared" si="31"/>
        <v>16264.973106520631</v>
      </c>
      <c r="AA98" s="196">
        <f t="shared" si="31"/>
        <v>15795.771165245234</v>
      </c>
      <c r="AB98" s="196">
        <f t="shared" si="31"/>
        <v>15336.95818456839</v>
      </c>
      <c r="AC98" s="196">
        <f t="shared" si="31"/>
        <v>14890.307641482832</v>
      </c>
      <c r="AD98" s="196">
        <f t="shared" si="31"/>
        <v>14457.578190966131</v>
      </c>
      <c r="AE98" s="196">
        <f t="shared" si="31"/>
        <v>14040.513653796334</v>
      </c>
      <c r="AF98" s="196">
        <f t="shared" si="31"/>
        <v>13640.843004545171</v>
      </c>
      <c r="AG98" s="196">
        <f t="shared" si="31"/>
        <v>13260.280359748864</v>
      </c>
      <c r="AH98" s="196">
        <f t="shared" si="31"/>
        <v>13026.360611498474</v>
      </c>
      <c r="AI98" s="41"/>
    </row>
    <row r="99" spans="1:35" s="63" customFormat="1">
      <c r="A99" s="690"/>
      <c r="B99" s="59" t="s">
        <v>27</v>
      </c>
      <c r="C99" s="262" t="s">
        <v>166</v>
      </c>
      <c r="D99" s="196">
        <f>D37-('Ethylene Recycling HC'!C77+'Ethylene Recycling HC'!C144-'Ethylene Recycling HC'!$C$77-'Ethylene Recycling HC'!$C$144+'Ethylene Recycling HC'!C74+'Ethylene Recycling HC'!C141-'Ethylene Recycling HC'!$C$74-'Ethylene Recycling HC'!$C$141)</f>
        <v>-64065.333160966286</v>
      </c>
      <c r="E99" s="196">
        <f>E37-('Ethylene Recycling HC'!D77+'Ethylene Recycling HC'!D144-'Ethylene Recycling HC'!$C$77-'Ethylene Recycling HC'!$C$144+'Ethylene Recycling HC'!D74+'Ethylene Recycling HC'!D141-'Ethylene Recycling HC'!$C$74-'Ethylene Recycling HC'!$C$141)</f>
        <v>-62327.024762644374</v>
      </c>
      <c r="F99" s="196">
        <f>F37-('Ethylene Recycling HC'!E77+'Ethylene Recycling HC'!E144-'Ethylene Recycling HC'!$C$77-'Ethylene Recycling HC'!$C$144+'Ethylene Recycling HC'!E74+'Ethylene Recycling HC'!E141-'Ethylene Recycling HC'!$C$74-'Ethylene Recycling HC'!$C$141)</f>
        <v>-60593.498233238395</v>
      </c>
      <c r="G99" s="196">
        <f>G37-('Ethylene Recycling HC'!F77+'Ethylene Recycling HC'!F144-'Ethylene Recycling HC'!$C$77-'Ethylene Recycling HC'!$C$144+'Ethylene Recycling HC'!F74+'Ethylene Recycling HC'!F141-'Ethylene Recycling HC'!$C$74-'Ethylene Recycling HC'!$C$141)</f>
        <v>-58864.46235880442</v>
      </c>
      <c r="H99" s="196">
        <f>H37-('Ethylene Recycling HC'!G77+'Ethylene Recycling HC'!G144-'Ethylene Recycling HC'!$C$77-'Ethylene Recycling HC'!$C$144+'Ethylene Recycling HC'!G74+'Ethylene Recycling HC'!G141-'Ethylene Recycling HC'!$C$74-'Ethylene Recycling HC'!$C$141)</f>
        <v>-57139.627953852156</v>
      </c>
      <c r="I99" s="196">
        <f>I37-('Ethylene Recycling HC'!H77+'Ethylene Recycling HC'!H144-'Ethylene Recycling HC'!$C$77-'Ethylene Recycling HC'!$C$144+'Ethylene Recycling HC'!H74+'Ethylene Recycling HC'!H141-'Ethylene Recycling HC'!$C$74-'Ethylene Recycling HC'!$C$141)</f>
        <v>-55418.70786134457</v>
      </c>
      <c r="J99" s="196">
        <f>J37-('Ethylene Recycling HC'!I77+'Ethylene Recycling HC'!I144-'Ethylene Recycling HC'!$C$77-'Ethylene Recycling HC'!$C$144+'Ethylene Recycling HC'!I74+'Ethylene Recycling HC'!I141-'Ethylene Recycling HC'!$C$74-'Ethylene Recycling HC'!$C$141)</f>
        <v>-53701.416952697909</v>
      </c>
      <c r="K99" s="196">
        <f>K37-('Ethylene Recycling HC'!J77+'Ethylene Recycling HC'!J144-'Ethylene Recycling HC'!$C$77-'Ethylene Recycling HC'!$C$144+'Ethylene Recycling HC'!J74+'Ethylene Recycling HC'!J141-'Ethylene Recycling HC'!$C$74-'Ethylene Recycling HC'!$C$141)</f>
        <v>-51987.472127781926</v>
      </c>
      <c r="L99" s="196">
        <f>L37-('Ethylene Recycling HC'!K77+'Ethylene Recycling HC'!K144-'Ethylene Recycling HC'!$C$77-'Ethylene Recycling HC'!$C$144+'Ethylene Recycling HC'!K74+'Ethylene Recycling HC'!K141-'Ethylene Recycling HC'!$C$74-'Ethylene Recycling HC'!$C$141)</f>
        <v>-50276.592314919726</v>
      </c>
      <c r="M99" s="196">
        <f>M37-('Ethylene Recycling HC'!L77+'Ethylene Recycling HC'!L144-'Ethylene Recycling HC'!$C$77-'Ethylene Recycling HC'!$C$144+'Ethylene Recycling HC'!L74+'Ethylene Recycling HC'!L141-'Ethylene Recycling HC'!$C$74-'Ethylene Recycling HC'!$C$141)</f>
        <v>-48568.498470887593</v>
      </c>
      <c r="N99" s="196">
        <f>N37-('Ethylene Recycling HC'!M77+'Ethylene Recycling HC'!M144-'Ethylene Recycling HC'!$C$77-'Ethylene Recycling HC'!$C$144+'Ethylene Recycling HC'!M74+'Ethylene Recycling HC'!M141-'Ethylene Recycling HC'!$C$74-'Ethylene Recycling HC'!$C$141)</f>
        <v>-46862.913580915352</v>
      </c>
      <c r="O99" s="196">
        <f>O37-('Ethylene Recycling HC'!N77+'Ethylene Recycling HC'!N144-'Ethylene Recycling HC'!$C$77-'Ethylene Recycling HC'!$C$144+'Ethylene Recycling HC'!N74+'Ethylene Recycling HC'!N141-'Ethylene Recycling HC'!$C$74-'Ethylene Recycling HC'!$C$141)</f>
        <v>-43622.333736874782</v>
      </c>
      <c r="P99" s="196">
        <f>P37-('Ethylene Recycling HC'!O77+'Ethylene Recycling HC'!O144-'Ethylene Recycling HC'!$C$77-'Ethylene Recycling HC'!$C$144+'Ethylene Recycling HC'!O74+'Ethylene Recycling HC'!O141-'Ethylene Recycling HC'!$C$74-'Ethylene Recycling HC'!$C$141)</f>
        <v>-40824.822390772191</v>
      </c>
      <c r="Q99" s="196">
        <f>Q37-('Ethylene Recycling HC'!P77+'Ethylene Recycling HC'!P144-'Ethylene Recycling HC'!$C$77-'Ethylene Recycling HC'!$C$144+'Ethylene Recycling HC'!P74+'Ethylene Recycling HC'!P141-'Ethylene Recycling HC'!$C$74-'Ethylene Recycling HC'!$C$141)</f>
        <v>-37543.182916585123</v>
      </c>
      <c r="R99" s="196">
        <f>R37-('Ethylene Recycling HC'!Q77+'Ethylene Recycling HC'!Q144-'Ethylene Recycling HC'!$C$77-'Ethylene Recycling HC'!$C$144+'Ethylene Recycling HC'!Q74+'Ethylene Recycling HC'!Q141-'Ethylene Recycling HC'!$C$74-'Ethylene Recycling HC'!$C$141)</f>
        <v>-34262.217953016232</v>
      </c>
      <c r="S99" s="196">
        <f>S37-('Ethylene Recycling HC'!R77+'Ethylene Recycling HC'!R144-'Ethylene Recycling HC'!$C$77-'Ethylene Recycling HC'!$C$144+'Ethylene Recycling HC'!R74+'Ethylene Recycling HC'!R141-'Ethylene Recycling HC'!$C$74-'Ethylene Recycling HC'!$C$141)</f>
        <v>-30981.03998562272</v>
      </c>
      <c r="T99" s="196">
        <f>T37-('Ethylene Recycling HC'!S77+'Ethylene Recycling HC'!S144-'Ethylene Recycling HC'!$C$77-'Ethylene Recycling HC'!$C$144+'Ethylene Recycling HC'!S74+'Ethylene Recycling HC'!S141-'Ethylene Recycling HC'!$C$74-'Ethylene Recycling HC'!$C$141)</f>
        <v>-27698.768479039787</v>
      </c>
      <c r="U99" s="196">
        <f>U37-('Ethylene Recycling HC'!T77+'Ethylene Recycling HC'!T144-'Ethylene Recycling HC'!$C$77-'Ethylene Recycling HC'!$C$144+'Ethylene Recycling HC'!T74+'Ethylene Recycling HC'!T141-'Ethylene Recycling HC'!$C$74-'Ethylene Recycling HC'!$C$141)</f>
        <v>-24414.529876858101</v>
      </c>
      <c r="V99" s="196">
        <f>V37-('Ethylene Recycling HC'!U77+'Ethylene Recycling HC'!U144-'Ethylene Recycling HC'!$C$77-'Ethylene Recycling HC'!$C$144+'Ethylene Recycling HC'!U74+'Ethylene Recycling HC'!U141-'Ethylene Recycling HC'!$C$74-'Ethylene Recycling HC'!$C$141)</f>
        <v>-21127.457601501937</v>
      </c>
      <c r="W99" s="196">
        <f>W37-('Ethylene Recycling HC'!V77+'Ethylene Recycling HC'!V144-'Ethylene Recycling HC'!$C$77-'Ethylene Recycling HC'!$C$144+'Ethylene Recycling HC'!V74+'Ethylene Recycling HC'!V141-'Ethylene Recycling HC'!$C$74-'Ethylene Recycling HC'!$C$141)</f>
        <v>-17836.692054108145</v>
      </c>
      <c r="X99" s="196">
        <f>X37-('Ethylene Recycling HC'!W77+'Ethylene Recycling HC'!W144-'Ethylene Recycling HC'!$C$77-'Ethylene Recycling HC'!$C$144+'Ethylene Recycling HC'!W74+'Ethylene Recycling HC'!W141-'Ethylene Recycling HC'!$C$74-'Ethylene Recycling HC'!$C$141)</f>
        <v>-14541.38061440544</v>
      </c>
      <c r="Y99" s="196">
        <f>Y37-('Ethylene Recycling HC'!X77+'Ethylene Recycling HC'!X144-'Ethylene Recycling HC'!$C$77-'Ethylene Recycling HC'!$C$144+'Ethylene Recycling HC'!X74+'Ethylene Recycling HC'!X141-'Ethylene Recycling HC'!$C$74-'Ethylene Recycling HC'!$C$141)</f>
        <v>-9912.1098832487914</v>
      </c>
      <c r="Z99" s="196">
        <f>Z37-('Ethylene Recycling HC'!Y77+'Ethylene Recycling HC'!Y144-'Ethylene Recycling HC'!$C$77-'Ethylene Recycling HC'!$C$144+'Ethylene Recycling HC'!Y74+'Ethylene Recycling HC'!Y141-'Ethylene Recycling HC'!$C$74-'Ethylene Recycling HC'!$C$141)</f>
        <v>-6589.3813979614888</v>
      </c>
      <c r="AA99" s="196">
        <f>AA37-('Ethylene Recycling HC'!Z77+'Ethylene Recycling HC'!Z144-'Ethylene Recycling HC'!$C$77-'Ethylene Recycling HC'!$C$144+'Ethylene Recycling HC'!Z74+'Ethylene Recycling HC'!Z141-'Ethylene Recycling HC'!$C$74-'Ethylene Recycling HC'!$C$141)</f>
        <v>-3257.0160253173131</v>
      </c>
      <c r="AB99" s="196">
        <f>AB37-('Ethylene Recycling HC'!AA77+'Ethylene Recycling HC'!AA144-'Ethylene Recycling HC'!$C$77-'Ethylene Recycling HC'!$C$144+'Ethylene Recycling HC'!AA74+'Ethylene Recycling HC'!AA141-'Ethylene Recycling HC'!$C$74-'Ethylene Recycling HC'!$C$141)</f>
        <v>85.114903549123937</v>
      </c>
      <c r="AC99" s="196">
        <f>AC37-('Ethylene Recycling HC'!AB77+'Ethylene Recycling HC'!AB144-'Ethylene Recycling HC'!$C$77-'Ethylene Recycling HC'!$C$144+'Ethylene Recycling HC'!AB74+'Ethylene Recycling HC'!AB141-'Ethylene Recycling HC'!$C$74-'Ethylene Recycling HC'!$C$141)</f>
        <v>3438.5162381116729</v>
      </c>
      <c r="AD99" s="196">
        <f>AD37-('Ethylene Recycling HC'!AC77+'Ethylene Recycling HC'!AC144-'Ethylene Recycling HC'!$C$77-'Ethylene Recycling HC'!$C$144+'Ethylene Recycling HC'!AC74+'Ethylene Recycling HC'!AC141-'Ethylene Recycling HC'!$C$74-'Ethylene Recycling HC'!$C$141)</f>
        <v>6804.6800930709032</v>
      </c>
      <c r="AE99" s="196">
        <f>AE37-('Ethylene Recycling HC'!AD77+'Ethylene Recycling HC'!AD144-'Ethylene Recycling HC'!$C$77-'Ethylene Recycling HC'!$C$144+'Ethylene Recycling HC'!AD74+'Ethylene Recycling HC'!AD141-'Ethylene Recycling HC'!$C$74-'Ethylene Recycling HC'!$C$141)</f>
        <v>10185.085851975231</v>
      </c>
      <c r="AF99" s="196">
        <f>AF37-('Ethylene Recycling HC'!AE77+'Ethylene Recycling HC'!AE144-'Ethylene Recycling HC'!$C$77-'Ethylene Recycling HC'!$C$144+'Ethylene Recycling HC'!AE74+'Ethylene Recycling HC'!AE141-'Ethylene Recycling HC'!$C$74-'Ethylene Recycling HC'!$C$141)</f>
        <v>13581.200170811921</v>
      </c>
      <c r="AG99" s="196">
        <f>AG37-('Ethylene Recycling HC'!AF77+'Ethylene Recycling HC'!AF144-'Ethylene Recycling HC'!$C$77-'Ethylene Recycling HC'!$C$144+'Ethylene Recycling HC'!AF74+'Ethylene Recycling HC'!AF141-'Ethylene Recycling HC'!$C$74-'Ethylene Recycling HC'!$C$141)</f>
        <v>16994.476981569827</v>
      </c>
      <c r="AH99" s="196">
        <f>AH37-('Ethylene Recycling HC'!AG77+'Ethylene Recycling HC'!AG144-'Ethylene Recycling HC'!$C$77-'Ethylene Recycling HC'!$C$144+'Ethylene Recycling HC'!AG74+'Ethylene Recycling HC'!AG141-'Ethylene Recycling HC'!$C$74-'Ethylene Recycling HC'!$C$141)</f>
        <v>20632.338462686668</v>
      </c>
      <c r="AI99" s="41"/>
    </row>
    <row r="100" spans="1:35" s="62" customFormat="1">
      <c r="A100" s="688" t="s">
        <v>686</v>
      </c>
      <c r="B100" s="55" t="s">
        <v>683</v>
      </c>
      <c r="C100" s="56" t="s">
        <v>166</v>
      </c>
      <c r="D100" s="630">
        <f>D38-('Ethylene Recycling HC'!C75+'Ethylene Recycling HC'!C142-'Ethylene Recycling HC'!$C$75-'Ethylene Recycling HC'!$C$142)</f>
        <v>10633.355803870178</v>
      </c>
      <c r="E100" s="630">
        <f>E38-('Ethylene Recycling HC'!D75+'Ethylene Recycling HC'!D142-'Ethylene Recycling HC'!$C$75-'Ethylene Recycling HC'!$C$142)</f>
        <v>10526.191958734864</v>
      </c>
      <c r="F100" s="630">
        <f>F38-('Ethylene Recycling HC'!E75+'Ethylene Recycling HC'!E142-'Ethylene Recycling HC'!$C$75-'Ethylene Recycling HC'!$C$142)</f>
        <v>10413.229614348744</v>
      </c>
      <c r="G100" s="630">
        <f>G38-('Ethylene Recycling HC'!F75+'Ethylene Recycling HC'!F142-'Ethylene Recycling HC'!$C$75-'Ethylene Recycling HC'!$C$142)</f>
        <v>10294.807342981834</v>
      </c>
      <c r="H100" s="630">
        <f>H38-('Ethylene Recycling HC'!G75+'Ethylene Recycling HC'!G142-'Ethylene Recycling HC'!$C$75-'Ethylene Recycling HC'!$C$142)</f>
        <v>10171.261370486542</v>
      </c>
      <c r="I100" s="630">
        <f>I38-('Ethylene Recycling HC'!H75+'Ethylene Recycling HC'!H142-'Ethylene Recycling HC'!$C$75-'Ethylene Recycling HC'!$C$142)</f>
        <v>10042.92557629767</v>
      </c>
      <c r="J100" s="630">
        <f>J38-('Ethylene Recycling HC'!I75+'Ethylene Recycling HC'!I142-'Ethylene Recycling HC'!$C$75-'Ethylene Recycling HC'!$C$142)</f>
        <v>9910.1314934324091</v>
      </c>
      <c r="K100" s="630">
        <f>K38-('Ethylene Recycling HC'!J75+'Ethylene Recycling HC'!J142-'Ethylene Recycling HC'!$C$75-'Ethylene Recycling HC'!$C$142)</f>
        <v>9773.2083084903388</v>
      </c>
      <c r="L100" s="630">
        <f>L38-('Ethylene Recycling HC'!K75+'Ethylene Recycling HC'!K142-'Ethylene Recycling HC'!$C$75-'Ethylene Recycling HC'!$C$142)</f>
        <v>9632.4828616534342</v>
      </c>
      <c r="M100" s="630">
        <f>M38-('Ethylene Recycling HC'!L75+'Ethylene Recycling HC'!L142-'Ethylene Recycling HC'!$C$75-'Ethylene Recycling HC'!$C$142)</f>
        <v>9488.2796466860564</v>
      </c>
      <c r="N100" s="630">
        <f>N38-('Ethylene Recycling HC'!M75+'Ethylene Recycling HC'!M142-'Ethylene Recycling HC'!$C$75-'Ethylene Recycling HC'!$C$142)</f>
        <v>9340.9208109349602</v>
      </c>
      <c r="O100" s="630">
        <f>O38-('Ethylene Recycling HC'!N75+'Ethylene Recycling HC'!N142-'Ethylene Recycling HC'!$C$75-'Ethylene Recycling HC'!$C$142)</f>
        <v>9080.1418826369263</v>
      </c>
      <c r="P100" s="630">
        <f>P38-('Ethylene Recycling HC'!O75+'Ethylene Recycling HC'!O142-'Ethylene Recycling HC'!$C$75-'Ethylene Recycling HC'!$C$142)</f>
        <v>8811.3883363944442</v>
      </c>
      <c r="Q100" s="630">
        <f>Q38-('Ethylene Recycling HC'!P75+'Ethylene Recycling HC'!P142-'Ethylene Recycling HC'!$C$75-'Ethylene Recycling HC'!$C$142)</f>
        <v>8544.5912351290044</v>
      </c>
      <c r="R100" s="630">
        <f>R38-('Ethylene Recycling HC'!Q75+'Ethylene Recycling HC'!Q142-'Ethylene Recycling HC'!$C$75-'Ethylene Recycling HC'!$C$142)</f>
        <v>8276.495243042511</v>
      </c>
      <c r="S100" s="630">
        <f>S38-('Ethylene Recycling HC'!R75+'Ethylene Recycling HC'!R142-'Ethylene Recycling HC'!$C$75-'Ethylene Recycling HC'!$C$142)</f>
        <v>8008.135021811875</v>
      </c>
      <c r="T100" s="630">
        <f>T38-('Ethylene Recycling HC'!S75+'Ethylene Recycling HC'!S142-'Ethylene Recycling HC'!$C$75-'Ethylene Recycling HC'!$C$142)</f>
        <v>7740.5371395346383</v>
      </c>
      <c r="U100" s="630">
        <f>U38-('Ethylene Recycling HC'!T75+'Ethylene Recycling HC'!T142-'Ethylene Recycling HC'!$C$75-'Ethylene Recycling HC'!$C$142)</f>
        <v>7474.7200702289892</v>
      </c>
      <c r="V100" s="630">
        <f>V38-('Ethylene Recycling HC'!U75+'Ethylene Recycling HC'!U142-'Ethylene Recycling HC'!$C$75-'Ethylene Recycling HC'!$C$142)</f>
        <v>7211.6941933381631</v>
      </c>
      <c r="W100" s="630">
        <f>W38-('Ethylene Recycling HC'!V75+'Ethylene Recycling HC'!V142-'Ethylene Recycling HC'!$C$75-'Ethylene Recycling HC'!$C$142)</f>
        <v>6952.461793239263</v>
      </c>
      <c r="X100" s="630">
        <f>X38-('Ethylene Recycling HC'!W75+'Ethylene Recycling HC'!W142-'Ethylene Recycling HC'!$C$75-'Ethylene Recycling HC'!$C$142)</f>
        <v>6698.0170587564699</v>
      </c>
      <c r="Y100" s="630">
        <f>Y38-('Ethylene Recycling HC'!X75+'Ethylene Recycling HC'!X142-'Ethylene Recycling HC'!$C$75-'Ethylene Recycling HC'!$C$142)</f>
        <v>6416.2116599414549</v>
      </c>
      <c r="Z100" s="630">
        <f>Z38-('Ethylene Recycling HC'!Y75+'Ethylene Recycling HC'!Y142-'Ethylene Recycling HC'!$C$75-'Ethylene Recycling HC'!$C$142)</f>
        <v>6105.2815548155431</v>
      </c>
      <c r="AA100" s="630">
        <f>AA38-('Ethylene Recycling HC'!Z75+'Ethylene Recycling HC'!Z142-'Ethylene Recycling HC'!$C$75-'Ethylene Recycling HC'!$C$142)</f>
        <v>5803.5285453815486</v>
      </c>
      <c r="AB100" s="630">
        <f>AB38-('Ethylene Recycling HC'!AA75+'Ethylene Recycling HC'!AA142-'Ethylene Recycling HC'!$C$75-'Ethylene Recycling HC'!$C$142)</f>
        <v>5512.1644965461046</v>
      </c>
      <c r="AC100" s="630">
        <f>AC38-('Ethylene Recycling HC'!AB75+'Ethylene Recycling HC'!AB142-'Ethylene Recycling HC'!$C$75-'Ethylene Recycling HC'!$C$142)</f>
        <v>5232.9628853019485</v>
      </c>
      <c r="AD100" s="630">
        <f>AD38-('Ethylene Recycling HC'!AC75+'Ethylene Recycling HC'!AC142-'Ethylene Recycling HC'!$C$75-'Ethylene Recycling HC'!$C$142)</f>
        <v>4967.68236662665</v>
      </c>
      <c r="AE100" s="630">
        <f>AE38-('Ethylene Recycling HC'!AD75+'Ethylene Recycling HC'!AD142-'Ethylene Recycling HC'!$C$75-'Ethylene Recycling HC'!$C$142)</f>
        <v>4718.0667612982552</v>
      </c>
      <c r="AF100" s="630">
        <f>AF38-('Ethylene Recycling HC'!AE75+'Ethylene Recycling HC'!AE142-'Ethylene Recycling HC'!$C$75-'Ethylene Recycling HC'!$C$142)</f>
        <v>4485.8450438884902</v>
      </c>
      <c r="AG100" s="630">
        <f>AG38-('Ethylene Recycling HC'!AF75+'Ethylene Recycling HC'!AF142-'Ethylene Recycling HC'!$C$75-'Ethylene Recycling HC'!$C$142)</f>
        <v>4272.7313309335841</v>
      </c>
      <c r="AH100" s="630">
        <f>AH38-('Ethylene Recycling HC'!AG75+'Ethylene Recycling HC'!AG142-'Ethylene Recycling HC'!$C$75-'Ethylene Recycling HC'!$C$142)</f>
        <v>4206.2605145245971</v>
      </c>
      <c r="AI100" s="41"/>
    </row>
    <row r="101" spans="1:35" s="63" customFormat="1">
      <c r="A101" s="690"/>
      <c r="B101" s="59" t="s">
        <v>682</v>
      </c>
      <c r="C101" s="262" t="s">
        <v>166</v>
      </c>
      <c r="D101" s="599">
        <f>D39-('Ethylene Recycling HC'!C76+'Ethylene Recycling HC'!C137-'Ethylene Recycling HC'!$C$76-'Ethylene Recycling HC'!$C$137)</f>
        <v>60596.874982885318</v>
      </c>
      <c r="E101" s="599">
        <f>E39-('Ethylene Recycling HC'!D76+'Ethylene Recycling HC'!D137-'Ethylene Recycling HC'!$C$76-'Ethylene Recycling HC'!$C$137)</f>
        <v>59569.841800944749</v>
      </c>
      <c r="F101" s="599">
        <f>F39-('Ethylene Recycling HC'!E76+'Ethylene Recycling HC'!E137-'Ethylene Recycling HC'!$C$76-'Ethylene Recycling HC'!$C$137)</f>
        <v>58559.684719088858</v>
      </c>
      <c r="G101" s="599">
        <f>G39-('Ethylene Recycling HC'!F76+'Ethylene Recycling HC'!F137-'Ethylene Recycling HC'!$C$76-'Ethylene Recycling HC'!$C$137)</f>
        <v>57565.992032847535</v>
      </c>
      <c r="H101" s="599">
        <f>H39-('Ethylene Recycling HC'!G76+'Ethylene Recycling HC'!G137-'Ethylene Recycling HC'!$C$76-'Ethylene Recycling HC'!$C$137)</f>
        <v>56588.354506112984</v>
      </c>
      <c r="I101" s="599">
        <f>I39-('Ethylene Recycling HC'!H76+'Ethylene Recycling HC'!H137-'Ethylene Recycling HC'!$C$76-'Ethylene Recycling HC'!$C$137)</f>
        <v>55626.365371139735</v>
      </c>
      <c r="J101" s="599">
        <f>J39-('Ethylene Recycling HC'!I76+'Ethylene Recycling HC'!I137-'Ethylene Recycling HC'!$C$76-'Ethylene Recycling HC'!$C$137)</f>
        <v>54679.620328544566</v>
      </c>
      <c r="K101" s="599">
        <f>K39-('Ethylene Recycling HC'!J76+'Ethylene Recycling HC'!J137-'Ethylene Recycling HC'!$C$76-'Ethylene Recycling HC'!$C$137)</f>
        <v>53747.717547306653</v>
      </c>
      <c r="L101" s="599">
        <f>L39-('Ethylene Recycling HC'!K76+'Ethylene Recycling HC'!K137-'Ethylene Recycling HC'!$C$76-'Ethylene Recycling HC'!$C$137)</f>
        <v>52830.257664767436</v>
      </c>
      <c r="M101" s="599">
        <f>M39-('Ethylene Recycling HC'!L76+'Ethylene Recycling HC'!L137-'Ethylene Recycling HC'!$C$76-'Ethylene Recycling HC'!$C$137)</f>
        <v>51926.843786630692</v>
      </c>
      <c r="N101" s="599">
        <f>N39-('Ethylene Recycling HC'!M76+'Ethylene Recycling HC'!M137-'Ethylene Recycling HC'!$C$76-'Ethylene Recycling HC'!$C$137)</f>
        <v>51037.081486962488</v>
      </c>
      <c r="O101" s="599">
        <f>O39-('Ethylene Recycling HC'!N76+'Ethylene Recycling HC'!N137-'Ethylene Recycling HC'!$C$76-'Ethylene Recycling HC'!$C$137)</f>
        <v>49374.273598053485</v>
      </c>
      <c r="P101" s="599">
        <f>P39-('Ethylene Recycling HC'!O76+'Ethylene Recycling HC'!O137-'Ethylene Recycling HC'!$C$76-'Ethylene Recycling HC'!$C$137)</f>
        <v>47929.980904026685</v>
      </c>
      <c r="Q101" s="599">
        <f>Q39-('Ethylene Recycling HC'!P76+'Ethylene Recycling HC'!P137-'Ethylene Recycling HC'!$C$76-'Ethylene Recycling HC'!$C$137)</f>
        <v>46320.7087571796</v>
      </c>
      <c r="R101" s="599">
        <f>R39-('Ethylene Recycling HC'!Q76+'Ethylene Recycling HC'!Q137-'Ethylene Recycling HC'!$C$76-'Ethylene Recycling HC'!$C$137)</f>
        <v>44746.776401775882</v>
      </c>
      <c r="S101" s="599">
        <f>S39-('Ethylene Recycling HC'!R76+'Ethylene Recycling HC'!R137-'Ethylene Recycling HC'!$C$76-'Ethylene Recycling HC'!$C$137)</f>
        <v>43206.905979852512</v>
      </c>
      <c r="T101" s="599">
        <f>T39-('Ethylene Recycling HC'!S76+'Ethylene Recycling HC'!S137-'Ethylene Recycling HC'!$C$76-'Ethylene Recycling HC'!$C$137)</f>
        <v>41699.828123887906</v>
      </c>
      <c r="U101" s="599">
        <f>U39-('Ethylene Recycling HC'!T76+'Ethylene Recycling HC'!T137-'Ethylene Recycling HC'!$C$76-'Ethylene Recycling HC'!$C$137)</f>
        <v>40224.281956801853</v>
      </c>
      <c r="V101" s="599">
        <f>V39-('Ethylene Recycling HC'!U76+'Ethylene Recycling HC'!U137-'Ethylene Recycling HC'!$C$76-'Ethylene Recycling HC'!$C$137)</f>
        <v>38779.015091955531</v>
      </c>
      <c r="W101" s="599">
        <f>W39-('Ethylene Recycling HC'!V76+'Ethylene Recycling HC'!V137-'Ethylene Recycling HC'!$C$76-'Ethylene Recycling HC'!$C$137)</f>
        <v>37362.783633151543</v>
      </c>
      <c r="X101" s="599">
        <f>X39-('Ethylene Recycling HC'!W76+'Ethylene Recycling HC'!W137-'Ethylene Recycling HC'!$C$76-'Ethylene Recycling HC'!$C$137)</f>
        <v>35974.352174633845</v>
      </c>
      <c r="Y101" s="599">
        <f>Y39-('Ethylene Recycling HC'!X76+'Ethylene Recycling HC'!X137-'Ethylene Recycling HC'!$C$76-'Ethylene Recycling HC'!$C$137)</f>
        <v>33812.443854459227</v>
      </c>
      <c r="Z101" s="599">
        <f>Z39-('Ethylene Recycling HC'!Y76+'Ethylene Recycling HC'!Y137-'Ethylene Recycling HC'!$C$76-'Ethylene Recycling HC'!$C$137)</f>
        <v>32240.6032283534</v>
      </c>
      <c r="AA101" s="599">
        <f>AA39-('Ethylene Recycling HC'!Z76+'Ethylene Recycling HC'!Z137-'Ethylene Recycling HC'!$C$76-'Ethylene Recycling HC'!$C$137)</f>
        <v>30719.348766472478</v>
      </c>
      <c r="AB101" s="599">
        <f>AB39-('Ethylene Recycling HC'!AA76+'Ethylene Recycling HC'!AA137-'Ethylene Recycling HC'!$C$76-'Ethylene Recycling HC'!$C$137)</f>
        <v>29246.471166270665</v>
      </c>
      <c r="AC101" s="599">
        <f>AC39-('Ethylene Recycling HC'!AB76+'Ethylene Recycling HC'!AB137-'Ethylene Recycling HC'!$C$76-'Ethylene Recycling HC'!$C$137)</f>
        <v>27819.776493810077</v>
      </c>
      <c r="AD101" s="599">
        <f>AD39-('Ethylene Recycling HC'!AC76+'Ethylene Recycling HC'!AC137-'Ethylene Recycling HC'!$C$76-'Ethylene Recycling HC'!$C$137)</f>
        <v>26437.086183760821</v>
      </c>
      <c r="AE101" s="599">
        <f>AE39-('Ethylene Recycling HC'!AD76+'Ethylene Recycling HC'!AD137-'Ethylene Recycling HC'!$C$76-'Ethylene Recycling HC'!$C$137)</f>
        <v>25096.23703940097</v>
      </c>
      <c r="AF101" s="599">
        <f>AF39-('Ethylene Recycling HC'!AE76+'Ethylene Recycling HC'!AE137-'Ethylene Recycling HC'!$C$76-'Ethylene Recycling HC'!$C$137)</f>
        <v>23795.081232616569</v>
      </c>
      <c r="AG101" s="599">
        <f>AG39-('Ethylene Recycling HC'!AF76+'Ethylene Recycling HC'!AF137-'Ethylene Recycling HC'!$C$76-'Ethylene Recycling HC'!$C$137)</f>
        <v>22531.486303901635</v>
      </c>
      <c r="AH101" s="599">
        <f>AH39-('Ethylene Recycling HC'!AG76+'Ethylene Recycling HC'!AG137-'Ethylene Recycling HC'!$C$76-'Ethylene Recycling HC'!$C$137)</f>
        <v>21303.335162358169</v>
      </c>
      <c r="AI101" s="41"/>
    </row>
    <row r="102" spans="1:35" s="62" customFormat="1">
      <c r="A102" s="55" t="s">
        <v>258</v>
      </c>
      <c r="B102" s="55" t="s">
        <v>195</v>
      </c>
      <c r="C102" s="95" t="s">
        <v>166</v>
      </c>
      <c r="D102" s="631">
        <f t="shared" ref="D102:AH102" si="32">D19</f>
        <v>93277.946794923075</v>
      </c>
      <c r="E102" s="631">
        <f t="shared" si="32"/>
        <v>94540.769598409548</v>
      </c>
      <c r="F102" s="631">
        <f t="shared" si="32"/>
        <v>95818.832346582072</v>
      </c>
      <c r="G102" s="631">
        <f t="shared" si="32"/>
        <v>97112.283843165787</v>
      </c>
      <c r="H102" s="631">
        <f t="shared" si="32"/>
        <v>98421.273610801436</v>
      </c>
      <c r="I102" s="631">
        <f t="shared" si="32"/>
        <v>99745.951875929022</v>
      </c>
      <c r="J102" s="631">
        <f t="shared" si="32"/>
        <v>101086.46955304864</v>
      </c>
      <c r="K102" s="631">
        <f t="shared" si="32"/>
        <v>102442.97822834356</v>
      </c>
      <c r="L102" s="631">
        <f t="shared" si="32"/>
        <v>103815.63014265122</v>
      </c>
      <c r="M102" s="631">
        <f t="shared" si="32"/>
        <v>105204.5781737669</v>
      </c>
      <c r="N102" s="631">
        <f t="shared" si="32"/>
        <v>106609.97581806497</v>
      </c>
      <c r="O102" s="631">
        <f t="shared" si="32"/>
        <v>107144.41984517159</v>
      </c>
      <c r="P102" s="631">
        <f t="shared" si="32"/>
        <v>107662.94329324854</v>
      </c>
      <c r="Q102" s="631">
        <f t="shared" si="32"/>
        <v>108165.01191892027</v>
      </c>
      <c r="R102" s="631">
        <f t="shared" si="32"/>
        <v>108650.08435526797</v>
      </c>
      <c r="S102" s="631">
        <f t="shared" si="32"/>
        <v>109117.61219629813</v>
      </c>
      <c r="T102" s="631">
        <f t="shared" si="32"/>
        <v>109567.04009033789</v>
      </c>
      <c r="U102" s="631">
        <f t="shared" si="32"/>
        <v>109997.80584272249</v>
      </c>
      <c r="V102" s="631">
        <f t="shared" si="32"/>
        <v>110409.34052815149</v>
      </c>
      <c r="W102" s="631">
        <f t="shared" si="32"/>
        <v>110801.06861310251</v>
      </c>
      <c r="X102" s="631">
        <f t="shared" si="32"/>
        <v>111172.40808870361</v>
      </c>
      <c r="Y102" s="631">
        <f t="shared" si="32"/>
        <v>109269.02443237411</v>
      </c>
      <c r="Z102" s="631">
        <f t="shared" si="32"/>
        <v>107317.98559461473</v>
      </c>
      <c r="AA102" s="631">
        <f t="shared" si="32"/>
        <v>105319.67484626647</v>
      </c>
      <c r="AB102" s="631">
        <f t="shared" si="32"/>
        <v>103274.53746414579</v>
      </c>
      <c r="AC102" s="631">
        <f t="shared" si="32"/>
        <v>101183.08350531223</v>
      </c>
      <c r="AD102" s="631">
        <f t="shared" si="32"/>
        <v>99045.89067398003</v>
      </c>
      <c r="AE102" s="631">
        <f t="shared" si="32"/>
        <v>96863.607283749661</v>
      </c>
      <c r="AF102" s="631">
        <f t="shared" si="32"/>
        <v>94636.95531790542</v>
      </c>
      <c r="AG102" s="631">
        <f t="shared" si="32"/>
        <v>92366.733590598262</v>
      </c>
      <c r="AH102" s="631">
        <f t="shared" si="32"/>
        <v>90053.821011806533</v>
      </c>
      <c r="AI102"/>
    </row>
    <row r="103" spans="1:35" outlineLevel="1">
      <c r="A103"/>
      <c r="B103" t="s">
        <v>262</v>
      </c>
      <c r="C103" s="51" t="s">
        <v>166</v>
      </c>
      <c r="D103" s="196">
        <f>'Ethylene Recycling HC'!C127-'Ethylene Recycling HC'!$C$127</f>
        <v>0</v>
      </c>
      <c r="E103" s="196">
        <f>'Ethylene Recycling HC'!D127-'Ethylene Recycling HC'!$C$127</f>
        <v>23.165186902814924</v>
      </c>
      <c r="F103" s="196">
        <f>'Ethylene Recycling HC'!E127-'Ethylene Recycling HC'!$C$127</f>
        <v>47.443076488616228</v>
      </c>
      <c r="G103" s="196">
        <f>'Ethylene Recycling HC'!F127-'Ethylene Recycling HC'!$C$127</f>
        <v>72.833813491661942</v>
      </c>
      <c r="H103" s="196">
        <f>'Ethylene Recycling HC'!G127-'Ethylene Recycling HC'!$C$127</f>
        <v>99.337542646209982</v>
      </c>
      <c r="I103" s="196">
        <f>'Ethylene Recycling HC'!H127-'Ethylene Recycling HC'!$C$127</f>
        <v>126.95440868651835</v>
      </c>
      <c r="J103" s="196">
        <f>'Ethylene Recycling HC'!I127-'Ethylene Recycling HC'!$C$127</f>
        <v>155.68455634684489</v>
      </c>
      <c r="K103" s="196">
        <f>'Ethylene Recycling HC'!J127-'Ethylene Recycling HC'!$C$127</f>
        <v>185.52813036144784</v>
      </c>
      <c r="L103" s="196">
        <f>'Ethylene Recycling HC'!K127-'Ethylene Recycling HC'!$C$127</f>
        <v>216.4852754645849</v>
      </c>
      <c r="M103" s="196">
        <f>'Ethylene Recycling HC'!L127-'Ethylene Recycling HC'!$C$127</f>
        <v>248.5561363905141</v>
      </c>
      <c r="N103" s="196">
        <f>'Ethylene Recycling HC'!M127-'Ethylene Recycling HC'!$C$127</f>
        <v>281.7408578734935</v>
      </c>
      <c r="O103" s="196">
        <f>'Ethylene Recycling HC'!N127-'Ethylene Recycling HC'!$C$127</f>
        <v>340.167816717817</v>
      </c>
      <c r="P103" s="196">
        <f>'Ethylene Recycling HC'!O127-'Ethylene Recycling HC'!$C$127</f>
        <v>400.71802130864165</v>
      </c>
      <c r="Q103" s="196">
        <f>'Ethylene Recycling HC'!P127-'Ethylene Recycling HC'!$C$127</f>
        <v>461.55021755675978</v>
      </c>
      <c r="R103" s="196">
        <f>'Ethylene Recycling HC'!Q127-'Ethylene Recycling HC'!$C$127</f>
        <v>524.06044985909045</v>
      </c>
      <c r="S103" s="196">
        <f>'Ethylene Recycling HC'!R127-'Ethylene Recycling HC'!$C$127</f>
        <v>588.22582271449949</v>
      </c>
      <c r="T103" s="196">
        <f>'Ethylene Recycling HC'!S127-'Ethylene Recycling HC'!$C$127</f>
        <v>654.02336223798773</v>
      </c>
      <c r="U103" s="196">
        <f>'Ethylene Recycling HC'!T127-'Ethylene Recycling HC'!$C$127</f>
        <v>721.43001790640187</v>
      </c>
      <c r="V103" s="196">
        <f>'Ethylene Recycling HC'!U127-'Ethylene Recycling HC'!$C$127</f>
        <v>790.42266430460916</v>
      </c>
      <c r="W103" s="196">
        <f>'Ethylene Recycling HC'!V127-'Ethylene Recycling HC'!$C$127</f>
        <v>860.97810287212678</v>
      </c>
      <c r="X103" s="196">
        <f>'Ethylene Recycling HC'!W127-'Ethylene Recycling HC'!$C$127</f>
        <v>933.07306365021179</v>
      </c>
      <c r="Y103" s="196">
        <f>'Ethylene Recycling HC'!X127-'Ethylene Recycling HC'!$C$127</f>
        <v>1052.606400660532</v>
      </c>
      <c r="Z103" s="196">
        <f>'Ethylene Recycling HC'!Y127-'Ethylene Recycling HC'!$C$127</f>
        <v>1174.8876612754461</v>
      </c>
      <c r="AA103" s="196">
        <f>'Ethylene Recycling HC'!Z127-'Ethylene Recycling HC'!$C$127</f>
        <v>1288.5583992176175</v>
      </c>
      <c r="AB103" s="196">
        <f>'Ethylene Recycling HC'!AA127-'Ethylene Recycling HC'!$C$127</f>
        <v>1402.6724397770226</v>
      </c>
      <c r="AC103" s="196">
        <f>'Ethylene Recycling HC'!AB127-'Ethylene Recycling HC'!$C$127</f>
        <v>1517.0925559855903</v>
      </c>
      <c r="AD103" s="196">
        <f>'Ethylene Recycling HC'!AC127-'Ethylene Recycling HC'!$C$127</f>
        <v>1631.6819408307101</v>
      </c>
      <c r="AE103" s="196">
        <f>'Ethylene Recycling HC'!AD127-'Ethylene Recycling HC'!$C$127</f>
        <v>1746.3042776332056</v>
      </c>
      <c r="AF103" s="196">
        <f>'Ethylene Recycling HC'!AE127-'Ethylene Recycling HC'!$C$127</f>
        <v>1860.8238104436007</v>
      </c>
      <c r="AG103" s="196">
        <f>'Ethylene Recycling HC'!AF127-'Ethylene Recycling HC'!$C$127</f>
        <v>1975.1054144566874</v>
      </c>
      <c r="AH103" s="196">
        <f>'Ethylene Recycling HC'!AG127-'Ethylene Recycling HC'!$C$127</f>
        <v>11876.231518584302</v>
      </c>
    </row>
    <row r="104" spans="1:35" outlineLevel="1">
      <c r="A104"/>
      <c r="B104" t="s">
        <v>264</v>
      </c>
      <c r="C104" s="51" t="s">
        <v>166</v>
      </c>
      <c r="D104" s="196">
        <f>'Ethylene Recycling HC'!C84-'Ethylene Recycling HC'!$C$84</f>
        <v>0</v>
      </c>
      <c r="E104" s="196">
        <f>'Ethylene Recycling HC'!D84-'Ethylene Recycling HC'!$C$84</f>
        <v>400.37596178660897</v>
      </c>
      <c r="F104" s="196">
        <f>'Ethylene Recycling HC'!E84-'Ethylene Recycling HC'!$C$84</f>
        <v>779.67023316053019</v>
      </c>
      <c r="G104" s="196">
        <f>'Ethylene Recycling HC'!F84-'Ethylene Recycling HC'!$C$84</f>
        <v>1137.9950260574369</v>
      </c>
      <c r="H104" s="196">
        <f>'Ethylene Recycling HC'!G84-'Ethylene Recycling HC'!$C$84</f>
        <v>1475.4625524130133</v>
      </c>
      <c r="I104" s="196">
        <f>'Ethylene Recycling HC'!H84-'Ethylene Recycling HC'!$C$84</f>
        <v>1792.1850241629145</v>
      </c>
      <c r="J104" s="196">
        <f>'Ethylene Recycling HC'!I84-'Ethylene Recycling HC'!$C$84</f>
        <v>2088.2746532428246</v>
      </c>
      <c r="K104" s="196">
        <f>'Ethylene Recycling HC'!J84-'Ethylene Recycling HC'!$C$84</f>
        <v>2363.8436515884168</v>
      </c>
      <c r="L104" s="196">
        <f>'Ethylene Recycling HC'!K84-'Ethylene Recycling HC'!$C$84</f>
        <v>2619.0042311353536</v>
      </c>
      <c r="M104" s="196">
        <f>'Ethylene Recycling HC'!L84-'Ethylene Recycling HC'!$C$84</f>
        <v>2853.8686038193046</v>
      </c>
      <c r="N104" s="196">
        <f>'Ethylene Recycling HC'!M84-'Ethylene Recycling HC'!$C$84</f>
        <v>3068.5489815759611</v>
      </c>
      <c r="O104" s="196">
        <f>'Ethylene Recycling HC'!N84-'Ethylene Recycling HC'!$C$84</f>
        <v>3755.5712927639252</v>
      </c>
      <c r="P104" s="196">
        <f>'Ethylene Recycling HC'!O84-'Ethylene Recycling HC'!$C$84</f>
        <v>4470.7254104319618</v>
      </c>
      <c r="Q104" s="196">
        <f>'Ethylene Recycling HC'!P84-'Ethylene Recycling HC'!$C$84</f>
        <v>4990.552754167049</v>
      </c>
      <c r="R104" s="196">
        <f>'Ethylene Recycling HC'!Q84-'Ethylene Recycling HC'!$C$84</f>
        <v>5429.4459428395967</v>
      </c>
      <c r="S104" s="196">
        <f>'Ethylene Recycling HC'!R84-'Ethylene Recycling HC'!$C$84</f>
        <v>5787.8712923360617</v>
      </c>
      <c r="T104" s="196">
        <f>'Ethylene Recycling HC'!S84-'Ethylene Recycling HC'!$C$84</f>
        <v>6066.2951185428647</v>
      </c>
      <c r="U104" s="196">
        <f>'Ethylene Recycling HC'!T84-'Ethylene Recycling HC'!$C$84</f>
        <v>6265.1837373464514</v>
      </c>
      <c r="V104" s="196">
        <f>'Ethylene Recycling HC'!U84-'Ethylene Recycling HC'!$C$84</f>
        <v>6385.0034646332679</v>
      </c>
      <c r="W104" s="196">
        <f>'Ethylene Recycling HC'!V84-'Ethylene Recycling HC'!$C$84</f>
        <v>6426.2206162897564</v>
      </c>
      <c r="X104" s="196">
        <f>'Ethylene Recycling HC'!W84-'Ethylene Recycling HC'!$C$84</f>
        <v>6389.3015082023339</v>
      </c>
      <c r="Y104" s="196">
        <f>'Ethylene Recycling HC'!X84-'Ethylene Recycling HC'!$C$84</f>
        <v>6323.0060803765191</v>
      </c>
      <c r="Z104" s="196">
        <f>'Ethylene Recycling HC'!Y84-'Ethylene Recycling HC'!$C$84</f>
        <v>6612.0642816889194</v>
      </c>
      <c r="AA104" s="196">
        <f>'Ethylene Recycling HC'!Z84-'Ethylene Recycling HC'!$C$84</f>
        <v>6773.9269541320718</v>
      </c>
      <c r="AB104" s="196">
        <f>'Ethylene Recycling HC'!AA84-'Ethylene Recycling HC'!$C$84</f>
        <v>6809.3532059859317</v>
      </c>
      <c r="AC104" s="196">
        <f>'Ethylene Recycling HC'!AB84-'Ethylene Recycling HC'!$C$84</f>
        <v>6719.1021455304544</v>
      </c>
      <c r="AD104" s="196">
        <f>'Ethylene Recycling HC'!AC84-'Ethylene Recycling HC'!$C$84</f>
        <v>6503.9328810455954</v>
      </c>
      <c r="AE104" s="196">
        <f>'Ethylene Recycling HC'!AD84-'Ethylene Recycling HC'!$C$84</f>
        <v>6164.6045208113101</v>
      </c>
      <c r="AF104" s="196">
        <f>'Ethylene Recycling HC'!AE84-'Ethylene Recycling HC'!$C$84</f>
        <v>5701.8761731075392</v>
      </c>
      <c r="AG104" s="196">
        <f>'Ethylene Recycling HC'!AF84-'Ethylene Recycling HC'!$C$84</f>
        <v>5116.5069462142565</v>
      </c>
      <c r="AH104" s="196">
        <f>'Ethylene Recycling HC'!AG84-'Ethylene Recycling HC'!$C$84</f>
        <v>4409.2559484114317</v>
      </c>
    </row>
    <row r="105" spans="1:35" s="63" customFormat="1">
      <c r="A105" s="59"/>
      <c r="B105" s="59" t="s">
        <v>263</v>
      </c>
      <c r="C105" s="60" t="s">
        <v>166</v>
      </c>
      <c r="D105" s="636">
        <f>D102-D103-D104</f>
        <v>93277.946794923075</v>
      </c>
      <c r="E105" s="636">
        <f t="shared" ref="E105:AH105" si="33">E102-E103-E104</f>
        <v>94117.228449720133</v>
      </c>
      <c r="F105" s="636">
        <f t="shared" si="33"/>
        <v>94991.719036932918</v>
      </c>
      <c r="G105" s="636">
        <f t="shared" si="33"/>
        <v>95901.455003616691</v>
      </c>
      <c r="H105" s="636">
        <f t="shared" si="33"/>
        <v>96846.473515742211</v>
      </c>
      <c r="I105" s="636">
        <f t="shared" si="33"/>
        <v>97826.812443079587</v>
      </c>
      <c r="J105" s="636">
        <f t="shared" si="33"/>
        <v>98842.510343458969</v>
      </c>
      <c r="K105" s="636">
        <f t="shared" si="33"/>
        <v>99893.606446393707</v>
      </c>
      <c r="L105" s="636">
        <f t="shared" si="33"/>
        <v>100980.14063605128</v>
      </c>
      <c r="M105" s="636">
        <f t="shared" si="33"/>
        <v>102102.15343355708</v>
      </c>
      <c r="N105" s="636">
        <f t="shared" si="33"/>
        <v>103259.68597861551</v>
      </c>
      <c r="O105" s="636">
        <f t="shared" si="33"/>
        <v>103048.68073568985</v>
      </c>
      <c r="P105" s="636">
        <f t="shared" si="33"/>
        <v>102791.49986150794</v>
      </c>
      <c r="Q105" s="636">
        <f t="shared" si="33"/>
        <v>102712.90894719647</v>
      </c>
      <c r="R105" s="636">
        <f t="shared" si="33"/>
        <v>102696.5779625693</v>
      </c>
      <c r="S105" s="636">
        <f t="shared" si="33"/>
        <v>102741.51508124756</v>
      </c>
      <c r="T105" s="636">
        <f t="shared" si="33"/>
        <v>102846.72160955703</v>
      </c>
      <c r="U105" s="636">
        <f t="shared" si="33"/>
        <v>103011.19208746964</v>
      </c>
      <c r="V105" s="636">
        <f t="shared" si="33"/>
        <v>103233.91439921361</v>
      </c>
      <c r="W105" s="636">
        <f t="shared" si="33"/>
        <v>103513.86989394063</v>
      </c>
      <c r="X105" s="636">
        <f t="shared" si="33"/>
        <v>103850.03351685106</v>
      </c>
      <c r="Y105" s="636">
        <f t="shared" si="33"/>
        <v>101893.41195133705</v>
      </c>
      <c r="Z105" s="636">
        <f t="shared" si="33"/>
        <v>99531.033651650374</v>
      </c>
      <c r="AA105" s="636">
        <f t="shared" si="33"/>
        <v>97257.18949291679</v>
      </c>
      <c r="AB105" s="636">
        <f t="shared" si="33"/>
        <v>95062.511818382845</v>
      </c>
      <c r="AC105" s="636">
        <f t="shared" si="33"/>
        <v>92946.888803796173</v>
      </c>
      <c r="AD105" s="636">
        <f t="shared" si="33"/>
        <v>90910.275852103732</v>
      </c>
      <c r="AE105" s="636">
        <f t="shared" si="33"/>
        <v>88952.698485305154</v>
      </c>
      <c r="AF105" s="636">
        <f t="shared" si="33"/>
        <v>87074.255334354282</v>
      </c>
      <c r="AG105" s="636">
        <f t="shared" si="33"/>
        <v>85275.121229927317</v>
      </c>
      <c r="AH105" s="636">
        <f t="shared" si="33"/>
        <v>73768.333544810797</v>
      </c>
      <c r="AI105" s="40"/>
    </row>
    <row r="106" spans="1:35" s="62" customFormat="1">
      <c r="A106" s="688" t="s">
        <v>685</v>
      </c>
      <c r="B106" s="55" t="s">
        <v>141</v>
      </c>
      <c r="C106" s="56" t="s">
        <v>166</v>
      </c>
      <c r="D106" s="630">
        <f>D20-('Ethylene Recycling HC'!C85+'Ethylene Recycling HC'!C128-'Ethylene Recycling HC'!$C$85-'Ethylene Recycling HC'!$C$128)</f>
        <v>7235.2520821644748</v>
      </c>
      <c r="E106" s="630">
        <f>E20-('Ethylene Recycling HC'!D85+'Ethylene Recycling HC'!D128-'Ethylene Recycling HC'!$C$85-'Ethylene Recycling HC'!$C$128)</f>
        <v>6914.4386479821233</v>
      </c>
      <c r="F106" s="630">
        <f>F20-('Ethylene Recycling HC'!E85+'Ethylene Recycling HC'!E128-'Ethylene Recycling HC'!$C$85-'Ethylene Recycling HC'!$C$128)</f>
        <v>6615.1358809843368</v>
      </c>
      <c r="G106" s="630">
        <f>G20-('Ethylene Recycling HC'!F85+'Ethylene Recycling HC'!F128-'Ethylene Recycling HC'!$C$85-'Ethylene Recycling HC'!$C$128)</f>
        <v>6337.252939429698</v>
      </c>
      <c r="H106" s="630">
        <f>H20-('Ethylene Recycling HC'!G85+'Ethylene Recycling HC'!G128-'Ethylene Recycling HC'!$C$85-'Ethylene Recycling HC'!$C$128)</f>
        <v>6080.6990390651281</v>
      </c>
      <c r="I106" s="630">
        <f>I20-('Ethylene Recycling HC'!H85+'Ethylene Recycling HC'!H128-'Ethylene Recycling HC'!$C$85-'Ethylene Recycling HC'!$C$128)</f>
        <v>5845.3834519534084</v>
      </c>
      <c r="J106" s="630">
        <f>J20-('Ethylene Recycling HC'!I85+'Ethylene Recycling HC'!I128-'Ethylene Recycling HC'!$C$85-'Ethylene Recycling HC'!$C$128)</f>
        <v>5631.2155052522921</v>
      </c>
      <c r="K106" s="630">
        <f>K20-('Ethylene Recycling HC'!J85+'Ethylene Recycling HC'!J128-'Ethylene Recycling HC'!$C$85-'Ethylene Recycling HC'!$C$128)</f>
        <v>5438.1045799442454</v>
      </c>
      <c r="L106" s="630">
        <f>L20-('Ethylene Recycling HC'!K85+'Ethylene Recycling HC'!K128-'Ethylene Recycling HC'!$C$85-'Ethylene Recycling HC'!$C$128)</f>
        <v>5265.9601095155467</v>
      </c>
      <c r="M106" s="630">
        <f>M20-('Ethylene Recycling HC'!L85+'Ethylene Recycling HC'!L128-'Ethylene Recycling HC'!$C$85-'Ethylene Recycling HC'!$C$128)</f>
        <v>5114.6915785836463</v>
      </c>
      <c r="N106" s="630">
        <f>N20-('Ethylene Recycling HC'!M85+'Ethylene Recycling HC'!M128-'Ethylene Recycling HC'!$C$85-'Ethylene Recycling HC'!$C$128)</f>
        <v>4984.2085214715698</v>
      </c>
      <c r="O106" s="630">
        <f>O20-('Ethylene Recycling HC'!N85+'Ethylene Recycling HC'!N128-'Ethylene Recycling HC'!$C$85-'Ethylene Recycling HC'!$C$128)</f>
        <v>4294.4850397345544</v>
      </c>
      <c r="P106" s="630">
        <f>P20-('Ethylene Recycling HC'!O85+'Ethylene Recycling HC'!O128-'Ethylene Recycling HC'!$C$85-'Ethylene Recycling HC'!$C$128)</f>
        <v>3574.1057094917815</v>
      </c>
      <c r="Q106" s="630">
        <f>Q20-('Ethylene Recycling HC'!P85+'Ethylene Recycling HC'!P128-'Ethylene Recycling HC'!$C$85-'Ethylene Recycling HC'!$C$128)</f>
        <v>3047.9209382494701</v>
      </c>
      <c r="R106" s="630">
        <f>R20-('Ethylene Recycling HC'!Q85+'Ethylene Recycling HC'!Q128-'Ethylene Recycling HC'!$C$85-'Ethylene Recycling HC'!$C$128)</f>
        <v>2600.4304727950657</v>
      </c>
      <c r="S106" s="630">
        <f>S20-('Ethylene Recycling HC'!R85+'Ethylene Recycling HC'!R128-'Ethylene Recycling HC'!$C$85-'Ethylene Recycling HC'!$C$128)</f>
        <v>2231.1579046946681</v>
      </c>
      <c r="T106" s="630">
        <f>T20-('Ethylene Recycling HC'!S85+'Ethylene Recycling HC'!S128-'Ethylene Recycling HC'!$C$85-'Ethylene Recycling HC'!$C$128)</f>
        <v>1939.6260734666339</v>
      </c>
      <c r="U106" s="630">
        <f>U20-('Ethylene Recycling HC'!T85+'Ethylene Recycling HC'!T128-'Ethylene Recycling HC'!$C$85-'Ethylene Recycling HC'!$C$128)</f>
        <v>1725.3570720590687</v>
      </c>
      <c r="V106" s="630">
        <f>V20-('Ethylene Recycling HC'!U85+'Ethylene Recycling HC'!U128-'Ethylene Recycling HC'!$C$85-'Ethylene Recycling HC'!$C$128)</f>
        <v>1587.8722531082385</v>
      </c>
      <c r="W106" s="630">
        <f>W20-('Ethylene Recycling HC'!V85+'Ethylene Recycling HC'!V128-'Ethylene Recycling HC'!$C$85-'Ethylene Recycling HC'!$C$128)</f>
        <v>1526.6922360079934</v>
      </c>
      <c r="X106" s="630">
        <f>X20-('Ethylene Recycling HC'!W85+'Ethylene Recycling HC'!W128-'Ethylene Recycling HC'!$C$85-'Ethylene Recycling HC'!$C$128)</f>
        <v>1541.3369148212605</v>
      </c>
      <c r="Y106" s="630">
        <f>Y20-('Ethylene Recycling HC'!X85+'Ethylene Recycling HC'!X128-'Ethylene Recycling HC'!$C$85-'Ethylene Recycling HC'!$C$128)</f>
        <v>1374.037310692871</v>
      </c>
      <c r="Z106" s="630">
        <f>Z20-('Ethylene Recycling HC'!Y85+'Ethylene Recycling HC'!Y128-'Ethylene Recycling HC'!$C$85-'Ethylene Recycling HC'!$C$128)</f>
        <v>846.36270528329442</v>
      </c>
      <c r="AA106" s="630">
        <f>AA20-('Ethylene Recycling HC'!Z85+'Ethylene Recycling HC'!Z128-'Ethylene Recycling HC'!$C$85-'Ethylene Recycling HC'!$C$128)</f>
        <v>449.30277739498251</v>
      </c>
      <c r="AB106" s="630">
        <f>AB20-('Ethylene Recycling HC'!AA85+'Ethylene Recycling HC'!AA128-'Ethylene Recycling HC'!$C$85-'Ethylene Recycling HC'!$C$128)</f>
        <v>175.39830620235898</v>
      </c>
      <c r="AC106" s="630">
        <f>AC20-('Ethylene Recycling HC'!AB85+'Ethylene Recycling HC'!AB128-'Ethylene Recycling HC'!$C$85-'Ethylene Recycling HC'!$C$128)</f>
        <v>24.03420900256242</v>
      </c>
      <c r="AD106" s="630">
        <f>AD20-('Ethylene Recycling HC'!AC85+'Ethylene Recycling HC'!AC128-'Ethylene Recycling HC'!$C$85-'Ethylene Recycling HC'!$C$128)</f>
        <v>-5.4012911337758851</v>
      </c>
      <c r="AE106" s="630">
        <f>AE20-('Ethylene Recycling HC'!AD85+'Ethylene Recycling HC'!AD128-'Ethylene Recycling HC'!$C$85-'Ethylene Recycling HC'!$C$128)</f>
        <v>86.483519539135159</v>
      </c>
      <c r="AF106" s="630">
        <f>AF20-('Ethylene Recycling HC'!AE85+'Ethylene Recycling HC'!AE128-'Ethylene Recycling HC'!$C$85-'Ethylene Recycling HC'!$C$128)</f>
        <v>299.0840391951233</v>
      </c>
      <c r="AG106" s="630">
        <f>AG20-('Ethylene Recycling HC'!AF85+'Ethylene Recycling HC'!AF128-'Ethylene Recycling HC'!$C$85-'Ethylene Recycling HC'!$C$128)</f>
        <v>631.79955325924766</v>
      </c>
      <c r="AH106" s="630">
        <f>AH20-('Ethylene Recycling HC'!AG85+'Ethylene Recycling HC'!AG128-'Ethylene Recycling HC'!$C$85-'Ethylene Recycling HC'!$C$128)</f>
        <v>-5938.0449709850136</v>
      </c>
      <c r="AI106" s="40"/>
    </row>
    <row r="107" spans="1:35">
      <c r="A107" s="689"/>
      <c r="B107" s="1" t="s">
        <v>18</v>
      </c>
      <c r="C107" s="51" t="s">
        <v>166</v>
      </c>
      <c r="D107" s="196">
        <f>D21+(D111-D25)</f>
        <v>0</v>
      </c>
      <c r="E107" s="196">
        <f t="shared" ref="E107:AH107" si="34">E21+(E111-E25)</f>
        <v>0</v>
      </c>
      <c r="F107" s="196">
        <f t="shared" si="34"/>
        <v>0</v>
      </c>
      <c r="G107" s="196">
        <f t="shared" si="34"/>
        <v>0</v>
      </c>
      <c r="H107" s="196">
        <f t="shared" si="34"/>
        <v>0</v>
      </c>
      <c r="I107" s="196">
        <f t="shared" si="34"/>
        <v>0</v>
      </c>
      <c r="J107" s="196">
        <f t="shared" si="34"/>
        <v>0</v>
      </c>
      <c r="K107" s="196">
        <f t="shared" si="34"/>
        <v>0</v>
      </c>
      <c r="L107" s="196">
        <f t="shared" si="34"/>
        <v>0</v>
      </c>
      <c r="M107" s="196">
        <f t="shared" si="34"/>
        <v>0</v>
      </c>
      <c r="N107" s="196">
        <f t="shared" si="34"/>
        <v>0</v>
      </c>
      <c r="O107" s="196">
        <f t="shared" si="34"/>
        <v>0</v>
      </c>
      <c r="P107" s="196">
        <f t="shared" si="34"/>
        <v>0</v>
      </c>
      <c r="Q107" s="196">
        <f t="shared" si="34"/>
        <v>0</v>
      </c>
      <c r="R107" s="196">
        <f t="shared" si="34"/>
        <v>0</v>
      </c>
      <c r="S107" s="196">
        <f t="shared" si="34"/>
        <v>0</v>
      </c>
      <c r="T107" s="196">
        <f t="shared" si="34"/>
        <v>0</v>
      </c>
      <c r="U107" s="196">
        <f t="shared" si="34"/>
        <v>0</v>
      </c>
      <c r="V107" s="196">
        <f t="shared" si="34"/>
        <v>0</v>
      </c>
      <c r="W107" s="196">
        <f t="shared" si="34"/>
        <v>0</v>
      </c>
      <c r="X107" s="196">
        <f t="shared" si="34"/>
        <v>0</v>
      </c>
      <c r="Y107" s="196">
        <f t="shared" si="34"/>
        <v>0</v>
      </c>
      <c r="Z107" s="196">
        <f t="shared" si="34"/>
        <v>0</v>
      </c>
      <c r="AA107" s="196">
        <f t="shared" si="34"/>
        <v>0</v>
      </c>
      <c r="AB107" s="196">
        <f t="shared" si="34"/>
        <v>0</v>
      </c>
      <c r="AC107" s="196">
        <f t="shared" si="34"/>
        <v>0</v>
      </c>
      <c r="AD107" s="196">
        <f t="shared" si="34"/>
        <v>0</v>
      </c>
      <c r="AE107" s="196">
        <f t="shared" si="34"/>
        <v>0</v>
      </c>
      <c r="AF107" s="196">
        <f t="shared" si="34"/>
        <v>0</v>
      </c>
      <c r="AG107" s="196">
        <f t="shared" si="34"/>
        <v>0</v>
      </c>
      <c r="AH107" s="196">
        <f t="shared" si="34"/>
        <v>0</v>
      </c>
      <c r="AI107" s="40"/>
    </row>
    <row r="108" spans="1:35">
      <c r="A108" s="689"/>
      <c r="B108" s="1" t="s">
        <v>684</v>
      </c>
      <c r="C108" s="51" t="s">
        <v>166</v>
      </c>
      <c r="D108" s="196">
        <f>D22+(D110-D24)</f>
        <v>4665.5191424169407</v>
      </c>
      <c r="E108" s="196">
        <f t="shared" ref="E108:AH108" si="35">E22+(E110-E24)</f>
        <v>4728.3222878923434</v>
      </c>
      <c r="F108" s="196">
        <f t="shared" si="35"/>
        <v>4791.7142820784975</v>
      </c>
      <c r="G108" s="196">
        <f t="shared" si="35"/>
        <v>4855.6906443836906</v>
      </c>
      <c r="H108" s="196">
        <f t="shared" si="35"/>
        <v>4920.2469281068588</v>
      </c>
      <c r="I108" s="196">
        <f t="shared" si="35"/>
        <v>4985.3787196815065</v>
      </c>
      <c r="J108" s="196">
        <f t="shared" si="35"/>
        <v>5051.0816378884738</v>
      </c>
      <c r="K108" s="196">
        <f t="shared" si="35"/>
        <v>5117.351333036806</v>
      </c>
      <c r="L108" s="196">
        <f t="shared" si="35"/>
        <v>5184.1834861120051</v>
      </c>
      <c r="M108" s="196">
        <f t="shared" si="35"/>
        <v>5251.5738078909089</v>
      </c>
      <c r="N108" s="196">
        <f t="shared" si="35"/>
        <v>5319.5180380224319</v>
      </c>
      <c r="O108" s="196">
        <f t="shared" si="35"/>
        <v>5342.6707511700415</v>
      </c>
      <c r="P108" s="196">
        <f t="shared" si="35"/>
        <v>5364.5188268920474</v>
      </c>
      <c r="Q108" s="196">
        <f t="shared" si="35"/>
        <v>5385.0982814663312</v>
      </c>
      <c r="R108" s="196">
        <f t="shared" si="35"/>
        <v>5404.3092135752977</v>
      </c>
      <c r="S108" s="196">
        <f t="shared" si="35"/>
        <v>5422.1074409712382</v>
      </c>
      <c r="T108" s="196">
        <f t="shared" si="35"/>
        <v>5438.4487655593839</v>
      </c>
      <c r="U108" s="196">
        <f t="shared" si="35"/>
        <v>5453.2889798277738</v>
      </c>
      <c r="V108" s="196">
        <f t="shared" si="35"/>
        <v>5466.5838737233171</v>
      </c>
      <c r="W108" s="196">
        <f t="shared" si="35"/>
        <v>5478.2892419934396</v>
      </c>
      <c r="X108" s="196">
        <f t="shared" si="35"/>
        <v>5488.3608920133775</v>
      </c>
      <c r="Y108" s="196">
        <f t="shared" si="35"/>
        <v>5380.583993114592</v>
      </c>
      <c r="Z108" s="196">
        <f t="shared" si="35"/>
        <v>5269.3537887411067</v>
      </c>
      <c r="AA108" s="196">
        <f t="shared" si="35"/>
        <v>5155.5930222901152</v>
      </c>
      <c r="AB108" s="196">
        <f t="shared" si="35"/>
        <v>5038.6401787767245</v>
      </c>
      <c r="AC108" s="196">
        <f t="shared" si="35"/>
        <v>4918.5282726591213</v>
      </c>
      <c r="AD108" s="196">
        <f t="shared" si="35"/>
        <v>4795.2956233187906</v>
      </c>
      <c r="AE108" s="196">
        <f t="shared" si="35"/>
        <v>4668.9859889379377</v>
      </c>
      <c r="AF108" s="196">
        <f t="shared" si="35"/>
        <v>4539.6487037720008</v>
      </c>
      <c r="AG108" s="196">
        <f t="shared" si="35"/>
        <v>4407.3388189577845</v>
      </c>
      <c r="AH108" s="196">
        <f t="shared" si="35"/>
        <v>3223.4868699864592</v>
      </c>
      <c r="AI108" s="40"/>
    </row>
    <row r="109" spans="1:35">
      <c r="A109" s="690"/>
      <c r="B109" s="1" t="s">
        <v>27</v>
      </c>
      <c r="C109" s="51" t="s">
        <v>166</v>
      </c>
      <c r="D109" s="599">
        <f>D23-('Ethylene Recycling HC'!C89+'Ethylene Recycling HC'!C132-'Ethylene Recycling HC'!$C$89-'Ethylene Recycling HC'!$C$132+'Ethylene Recycling HC'!C86+'Ethylene Recycling HC'!C129-'Ethylene Recycling HC'!$C$86-'Ethylene Recycling HC'!$C$129)</f>
        <v>81377.175570341657</v>
      </c>
      <c r="E109" s="599">
        <f>E23-('Ethylene Recycling HC'!D89+'Ethylene Recycling HC'!D132-'Ethylene Recycling HC'!$C$89-'Ethylene Recycling HC'!$C$132+'Ethylene Recycling HC'!D86+'Ethylene Recycling HC'!D129-'Ethylene Recycling HC'!$C$86-'Ethylene Recycling HC'!$C$129)</f>
        <v>82474.467513845666</v>
      </c>
      <c r="F109" s="599">
        <f>F23-('Ethylene Recycling HC'!E89+'Ethylene Recycling HC'!E132-'Ethylene Recycling HC'!$C$89-'Ethylene Recycling HC'!$C$132+'Ethylene Recycling HC'!E86+'Ethylene Recycling HC'!E129-'Ethylene Recycling HC'!$C$86-'Ethylene Recycling HC'!$C$129)</f>
        <v>83584.868873870088</v>
      </c>
      <c r="G109" s="599">
        <f>G23-('Ethylene Recycling HC'!F89+'Ethylene Recycling HC'!F132-'Ethylene Recycling HC'!$C$89-'Ethylene Recycling HC'!$C$132+'Ethylene Recycling HC'!F86+'Ethylene Recycling HC'!F129-'Ethylene Recycling HC'!$C$86-'Ethylene Recycling HC'!$C$129)</f>
        <v>84708.511419803297</v>
      </c>
      <c r="H109" s="599">
        <f>H23-('Ethylene Recycling HC'!G89+'Ethylene Recycling HC'!G132-'Ethylene Recycling HC'!$C$89-'Ethylene Recycling HC'!$C$132+'Ethylene Recycling HC'!G86+'Ethylene Recycling HC'!G129-'Ethylene Recycling HC'!$C$86-'Ethylene Recycling HC'!$C$129)</f>
        <v>85845.52754857023</v>
      </c>
      <c r="I109" s="599">
        <f>I23-('Ethylene Recycling HC'!H89+'Ethylene Recycling HC'!H132-'Ethylene Recycling HC'!$C$89-'Ethylene Recycling HC'!$C$132+'Ethylene Recycling HC'!H86+'Ethylene Recycling HC'!H129-'Ethylene Recycling HC'!$C$86-'Ethylene Recycling HC'!$C$129)</f>
        <v>86996.050271444677</v>
      </c>
      <c r="J109" s="599">
        <f>J23-('Ethylene Recycling HC'!I89+'Ethylene Recycling HC'!I132-'Ethylene Recycling HC'!$C$89-'Ethylene Recycling HC'!$C$132+'Ethylene Recycling HC'!I86+'Ethylene Recycling HC'!I129-'Ethylene Recycling HC'!$C$86-'Ethylene Recycling HC'!$C$129)</f>
        <v>88160.213200318191</v>
      </c>
      <c r="K109" s="599">
        <f>K23-('Ethylene Recycling HC'!J89+'Ethylene Recycling HC'!J132-'Ethylene Recycling HC'!$C$89-'Ethylene Recycling HC'!$C$132+'Ethylene Recycling HC'!J86+'Ethylene Recycling HC'!J129-'Ethylene Recycling HC'!$C$86-'Ethylene Recycling HC'!$C$129)</f>
        <v>89338.150533412641</v>
      </c>
      <c r="L109" s="599">
        <f>L23-('Ethylene Recycling HC'!K89+'Ethylene Recycling HC'!K132-'Ethylene Recycling HC'!$C$89-'Ethylene Recycling HC'!$C$132+'Ethylene Recycling HC'!K86+'Ethylene Recycling HC'!K129-'Ethylene Recycling HC'!$C$86-'Ethylene Recycling HC'!$C$129)</f>
        <v>90529.997040423739</v>
      </c>
      <c r="M109" s="599">
        <f>M23-('Ethylene Recycling HC'!L89+'Ethylene Recycling HC'!L132-'Ethylene Recycling HC'!$C$89-'Ethylene Recycling HC'!$C$132+'Ethylene Recycling HC'!L86+'Ethylene Recycling HC'!L129-'Ethylene Recycling HC'!$C$86-'Ethylene Recycling HC'!$C$129)</f>
        <v>91735.888047082524</v>
      </c>
      <c r="N109" s="599">
        <f>N23-('Ethylene Recycling HC'!M89+'Ethylene Recycling HC'!M132-'Ethylene Recycling HC'!$C$89-'Ethylene Recycling HC'!$C$132+'Ethylene Recycling HC'!M86+'Ethylene Recycling HC'!M129-'Ethylene Recycling HC'!$C$86-'Ethylene Recycling HC'!$C$129)</f>
        <v>92955.959419121515</v>
      </c>
      <c r="O109" s="599">
        <f>O23-('Ethylene Recycling HC'!N89+'Ethylene Recycling HC'!N132-'Ethylene Recycling HC'!$C$89-'Ethylene Recycling HC'!$C$132+'Ethylene Recycling HC'!N86+'Ethylene Recycling HC'!N129-'Ethylene Recycling HC'!$C$86-'Ethylene Recycling HC'!$C$129)</f>
        <v>93411.524944785255</v>
      </c>
      <c r="P109" s="599">
        <f>P23-('Ethylene Recycling HC'!O89+'Ethylene Recycling HC'!O132-'Ethylene Recycling HC'!$C$89-'Ethylene Recycling HC'!$C$132+'Ethylene Recycling HC'!O86+'Ethylene Recycling HC'!O129-'Ethylene Recycling HC'!$C$86-'Ethylene Recycling HC'!$C$129)</f>
        <v>93852.8753251241</v>
      </c>
      <c r="Q109" s="599">
        <f>Q23-('Ethylene Recycling HC'!P89+'Ethylene Recycling HC'!P132-'Ethylene Recycling HC'!$C$89-'Ethylene Recycling HC'!$C$132+'Ethylene Recycling HC'!P86+'Ethylene Recycling HC'!P129-'Ethylene Recycling HC'!$C$86-'Ethylene Recycling HC'!$C$129)</f>
        <v>94279.889727480651</v>
      </c>
      <c r="R109" s="599">
        <f>R23-('Ethylene Recycling HC'!Q89+'Ethylene Recycling HC'!Q132-'Ethylene Recycling HC'!$C$89-'Ethylene Recycling HC'!$C$132+'Ethylene Recycling HC'!Q86+'Ethylene Recycling HC'!Q129-'Ethylene Recycling HC'!$C$86-'Ethylene Recycling HC'!$C$129)</f>
        <v>94691.83827619892</v>
      </c>
      <c r="S109" s="599">
        <f>S23-('Ethylene Recycling HC'!R89+'Ethylene Recycling HC'!R132-'Ethylene Recycling HC'!$C$89-'Ethylene Recycling HC'!$C$132+'Ethylene Recycling HC'!R86+'Ethylene Recycling HC'!R129-'Ethylene Recycling HC'!$C$86-'Ethylene Recycling HC'!$C$129)</f>
        <v>95088.249735581659</v>
      </c>
      <c r="T109" s="599">
        <f>T23-('Ethylene Recycling HC'!S89+'Ethylene Recycling HC'!S132-'Ethylene Recycling HC'!$C$89-'Ethylene Recycling HC'!$C$132+'Ethylene Recycling HC'!S86+'Ethylene Recycling HC'!S129-'Ethylene Recycling HC'!$C$86-'Ethylene Recycling HC'!$C$129)</f>
        <v>95468.646770531021</v>
      </c>
      <c r="U109" s="599">
        <f>U23-('Ethylene Recycling HC'!T89+'Ethylene Recycling HC'!T132-'Ethylene Recycling HC'!$C$89-'Ethylene Recycling HC'!$C$132+'Ethylene Recycling HC'!T86+'Ethylene Recycling HC'!T129-'Ethylene Recycling HC'!$C$86-'Ethylene Recycling HC'!$C$129)</f>
        <v>95832.546035582796</v>
      </c>
      <c r="V109" s="599">
        <f>V23-('Ethylene Recycling HC'!U89+'Ethylene Recycling HC'!U132-'Ethylene Recycling HC'!$C$89-'Ethylene Recycling HC'!$C$132+'Ethylene Recycling HC'!U86+'Ethylene Recycling HC'!U129-'Ethylene Recycling HC'!$C$86-'Ethylene Recycling HC'!$C$129)</f>
        <v>96179.458272382049</v>
      </c>
      <c r="W109" s="599">
        <f>W23-('Ethylene Recycling HC'!V89+'Ethylene Recycling HC'!V132-'Ethylene Recycling HC'!$C$89-'Ethylene Recycling HC'!$C$132+'Ethylene Recycling HC'!V86+'Ethylene Recycling HC'!V129-'Ethylene Recycling HC'!$C$86-'Ethylene Recycling HC'!$C$129)</f>
        <v>96508.888415939189</v>
      </c>
      <c r="X109" s="599">
        <f>X23-('Ethylene Recycling HC'!W89+'Ethylene Recycling HC'!W132-'Ethylene Recycling HC'!$C$89-'Ethylene Recycling HC'!$C$132+'Ethylene Recycling HC'!W86+'Ethylene Recycling HC'!W129-'Ethylene Recycling HC'!$C$86-'Ethylene Recycling HC'!$C$129)</f>
        <v>96820.335710016428</v>
      </c>
      <c r="Y109" s="599">
        <f>Y23-('Ethylene Recycling HC'!X89+'Ethylene Recycling HC'!X132-'Ethylene Recycling HC'!$C$89-'Ethylene Recycling HC'!$C$132+'Ethylene Recycling HC'!X86+'Ethylene Recycling HC'!X129-'Ethylene Recycling HC'!$C$86-'Ethylene Recycling HC'!$C$129)</f>
        <v>95138.790647529589</v>
      </c>
      <c r="Z109" s="599">
        <f>Z23-('Ethylene Recycling HC'!Y89+'Ethylene Recycling HC'!Y132-'Ethylene Recycling HC'!$C$89-'Ethylene Recycling HC'!$C$132+'Ethylene Recycling HC'!Y86+'Ethylene Recycling HC'!Y129-'Ethylene Recycling HC'!$C$86-'Ethylene Recycling HC'!$C$129)</f>
        <v>93415.317157625963</v>
      </c>
      <c r="AA109" s="599">
        <f>AA23-('Ethylene Recycling HC'!Z89+'Ethylene Recycling HC'!Z132-'Ethylene Recycling HC'!$C$89-'Ethylene Recycling HC'!$C$132+'Ethylene Recycling HC'!Z86+'Ethylene Recycling HC'!Z129-'Ethylene Recycling HC'!$C$86-'Ethylene Recycling HC'!$C$129)</f>
        <v>91652.293693231681</v>
      </c>
      <c r="AB109" s="599">
        <f>AB23-('Ethylene Recycling HC'!AA89+'Ethylene Recycling HC'!AA132-'Ethylene Recycling HC'!$C$89-'Ethylene Recycling HC'!$C$132+'Ethylene Recycling HC'!AA86+'Ethylene Recycling HC'!AA129-'Ethylene Recycling HC'!$C$86-'Ethylene Recycling HC'!$C$129)</f>
        <v>89848.473333403745</v>
      </c>
      <c r="AC109" s="599">
        <f>AC23-('Ethylene Recycling HC'!AB89+'Ethylene Recycling HC'!AB132-'Ethylene Recycling HC'!$C$89-'Ethylene Recycling HC'!$C$132+'Ethylene Recycling HC'!AB86+'Ethylene Recycling HC'!AB129-'Ethylene Recycling HC'!$C$86-'Ethylene Recycling HC'!$C$129)</f>
        <v>88004.326322134497</v>
      </c>
      <c r="AD109" s="599">
        <f>AD23-('Ethylene Recycling HC'!AC89+'Ethylene Recycling HC'!AC132-'Ethylene Recycling HC'!$C$89-'Ethylene Recycling HC'!$C$132+'Ethylene Recycling HC'!AC86+'Ethylene Recycling HC'!AC129-'Ethylene Recycling HC'!$C$86-'Ethylene Recycling HC'!$C$129)</f>
        <v>86120.381519918708</v>
      </c>
      <c r="AE109" s="599">
        <f>AE23-('Ethylene Recycling HC'!AD89+'Ethylene Recycling HC'!AD132-'Ethylene Recycling HC'!$C$89-'Ethylene Recycling HC'!$C$132+'Ethylene Recycling HC'!AD86+'Ethylene Recycling HC'!AD129-'Ethylene Recycling HC'!$C$86-'Ethylene Recycling HC'!$C$129)</f>
        <v>84197.228976828075</v>
      </c>
      <c r="AF109" s="599">
        <f>AF23-('Ethylene Recycling HC'!AE89+'Ethylene Recycling HC'!AE132-'Ethylene Recycling HC'!$C$89-'Ethylene Recycling HC'!$C$132+'Ethylene Recycling HC'!AE86+'Ethylene Recycling HC'!AE129-'Ethylene Recycling HC'!$C$86-'Ethylene Recycling HC'!$C$129)</f>
        <v>82235.522591387155</v>
      </c>
      <c r="AG109" s="599">
        <f>AG23-('Ethylene Recycling HC'!AF89+'Ethylene Recycling HC'!AF132-'Ethylene Recycling HC'!$C$89-'Ethylene Recycling HC'!$C$132+'Ethylene Recycling HC'!AF86+'Ethylene Recycling HC'!AF129-'Ethylene Recycling HC'!$C$86-'Ethylene Recycling HC'!$C$129)</f>
        <v>80235.982857710289</v>
      </c>
      <c r="AH109" s="599">
        <f>AH23-('Ethylene Recycling HC'!AG89+'Ethylene Recycling HC'!AG132-'Ethylene Recycling HC'!$C$89-'Ethylene Recycling HC'!$C$132+'Ethylene Recycling HC'!AG86+'Ethylene Recycling HC'!AG129-'Ethylene Recycling HC'!$C$86-'Ethylene Recycling HC'!$C$129)</f>
        <v>76482.891645809359</v>
      </c>
      <c r="AI109" s="40"/>
    </row>
    <row r="110" spans="1:35" s="62" customFormat="1">
      <c r="A110" s="691" t="s">
        <v>686</v>
      </c>
      <c r="B110" s="55" t="s">
        <v>683</v>
      </c>
      <c r="C110" s="56" t="s">
        <v>166</v>
      </c>
      <c r="D110" s="630">
        <f>D24-('Ethylene Recycling HC'!C130+'Ethylene Recycling HC'!C87-'Ethylene Recycling HC'!$C$130-'Ethylene Recycling HC'!$C$87)</f>
        <v>2126.6711607740358</v>
      </c>
      <c r="E110" s="630">
        <f>E24-('Ethylene Recycling HC'!D130+'Ethylene Recycling HC'!D87-'Ethylene Recycling HC'!$C$130-'Ethylene Recycling HC'!$C$87)</f>
        <v>2155.102675698296</v>
      </c>
      <c r="F110" s="630">
        <f>F24-('Ethylene Recycling HC'!E130+'Ethylene Recycling HC'!E87-'Ethylene Recycling HC'!$C$130-'Ethylene Recycling HC'!$C$87)</f>
        <v>2183.7082370768676</v>
      </c>
      <c r="G110" s="630">
        <f>G24-('Ethylene Recycling HC'!F130+'Ethylene Recycling HC'!F87-'Ethylene Recycling HC'!$C$130-'Ethylene Recycling HC'!$C$87)</f>
        <v>2212.479314164169</v>
      </c>
      <c r="H110" s="630">
        <f>H24-('Ethylene Recycling HC'!G130+'Ethylene Recycling HC'!G87-'Ethylene Recycling HC'!$C$130-'Ethylene Recycling HC'!$C$87)</f>
        <v>2241.4073905377536</v>
      </c>
      <c r="I110" s="630">
        <f>I24-('Ethylene Recycling HC'!H130+'Ethylene Recycling HC'!H87-'Ethylene Recycling HC'!$C$130-'Ethylene Recycling HC'!$C$87)</f>
        <v>2270.4839637536666</v>
      </c>
      <c r="J110" s="630">
        <f>J24-('Ethylene Recycling HC'!I130+'Ethylene Recycling HC'!I87-'Ethylene Recycling HC'!$C$130-'Ethylene Recycling HC'!$C$87)</f>
        <v>2299.700544987606</v>
      </c>
      <c r="K110" s="630">
        <f>K24-('Ethylene Recycling HC'!J130+'Ethylene Recycling HC'!J87-'Ethylene Recycling HC'!$C$130-'Ethylene Recycling HC'!$C$87)</f>
        <v>2329.0486586615366</v>
      </c>
      <c r="L110" s="630">
        <f>L24-('Ethylene Recycling HC'!K130+'Ethylene Recycling HC'!K87-'Ethylene Recycling HC'!$C$130-'Ethylene Recycling HC'!$C$87)</f>
        <v>2358.5198420554439</v>
      </c>
      <c r="M110" s="630">
        <f>M24-('Ethylene Recycling HC'!L130+'Ethylene Recycling HC'!L87-'Ethylene Recycling HC'!$C$130-'Ethylene Recycling HC'!$C$87)</f>
        <v>2388.1056449038683</v>
      </c>
      <c r="N110" s="630">
        <f>N24-('Ethylene Recycling HC'!M130+'Ethylene Recycling HC'!M87-'Ethylene Recycling HC'!$C$130-'Ethylene Recycling HC'!$C$87)</f>
        <v>2417.7976289768831</v>
      </c>
      <c r="O110" s="630">
        <f>O24-('Ethylene Recycling HC'!N130+'Ethylene Recycling HC'!N87-'Ethylene Recycling HC'!$C$130-'Ethylene Recycling HC'!$C$87)</f>
        <v>2426.4037940266458</v>
      </c>
      <c r="P110" s="630">
        <f>P24-('Ethylene Recycling HC'!O130+'Ethylene Recycling HC'!O87-'Ethylene Recycling HC'!$C$130-'Ethylene Recycling HC'!$C$87)</f>
        <v>2434.1386494772082</v>
      </c>
      <c r="Q110" s="630">
        <f>Q24-('Ethylene Recycling HC'!P130+'Ethylene Recycling HC'!P87-'Ethylene Recycling HC'!$C$130-'Ethylene Recycling HC'!$C$87)</f>
        <v>2441.0527526931983</v>
      </c>
      <c r="R110" s="630">
        <f>R24-('Ethylene Recycling HC'!Q130+'Ethylene Recycling HC'!Q87-'Ethylene Recycling HC'!$C$130-'Ethylene Recycling HC'!$C$87)</f>
        <v>2447.0609373330385</v>
      </c>
      <c r="S110" s="630">
        <f>S24-('Ethylene Recycling HC'!R130+'Ethylene Recycling HC'!R87-'Ethylene Recycling HC'!$C$130-'Ethylene Recycling HC'!$C$87)</f>
        <v>2452.1339477152414</v>
      </c>
      <c r="T110" s="630">
        <f>T24-('Ethylene Recycling HC'!S130+'Ethylene Recycling HC'!S87-'Ethylene Recycling HC'!$C$130-'Ethylene Recycling HC'!$C$87)</f>
        <v>2456.2427013594147</v>
      </c>
      <c r="U110" s="630">
        <f>U24-('Ethylene Recycling HC'!T130+'Ethylene Recycling HC'!T87-'Ethylene Recycling HC'!$C$130-'Ethylene Recycling HC'!$C$87)</f>
        <v>2459.3582926211798</v>
      </c>
      <c r="V110" s="630">
        <f>V24-('Ethylene Recycling HC'!U130+'Ethylene Recycling HC'!U87-'Ethylene Recycling HC'!$C$130-'Ethylene Recycling HC'!$C$87)</f>
        <v>2461.4519965101026</v>
      </c>
      <c r="W110" s="630">
        <f>W24-('Ethylene Recycling HC'!V130+'Ethylene Recycling HC'!V87-'Ethylene Recycling HC'!$C$130-'Ethylene Recycling HC'!$C$87)</f>
        <v>2462.4952726994743</v>
      </c>
      <c r="X110" s="630">
        <f>X24-('Ethylene Recycling HC'!W130+'Ethylene Recycling HC'!W87-'Ethylene Recycling HC'!$C$130-'Ethylene Recycling HC'!$C$87)</f>
        <v>2462.45976973708</v>
      </c>
      <c r="Y110" s="630">
        <f>Y24-('Ethylene Recycling HC'!X130+'Ethylene Recycling HC'!X87-'Ethylene Recycling HC'!$C$130-'Ethylene Recycling HC'!$C$87)</f>
        <v>2406.489347290747</v>
      </c>
      <c r="Z110" s="630">
        <f>Z24-('Ethylene Recycling HC'!Y130+'Ethylene Recycling HC'!Y87-'Ethylene Recycling HC'!$C$130-'Ethylene Recycling HC'!$C$87)</f>
        <v>2348.3627026069125</v>
      </c>
      <c r="AA110" s="630">
        <f>AA24-('Ethylene Recycling HC'!Z130+'Ethylene Recycling HC'!Z87-'Ethylene Recycling HC'!$C$130-'Ethylene Recycling HC'!$C$87)</f>
        <v>2288.9921471807575</v>
      </c>
      <c r="AB110" s="630">
        <f>AB24-('Ethylene Recycling HC'!AA130+'Ethylene Recycling HC'!AA87-'Ethylene Recycling HC'!$C$130-'Ethylene Recycling HC'!$C$87)</f>
        <v>2227.7040464408656</v>
      </c>
      <c r="AC110" s="630">
        <f>AC24-('Ethylene Recycling HC'!AB130+'Ethylene Recycling HC'!AB87-'Ethylene Recycling HC'!$C$130-'Ethylene Recycling HC'!$C$87)</f>
        <v>2164.5175320641174</v>
      </c>
      <c r="AD110" s="630">
        <f>AD24-('Ethylene Recycling HC'!AC130+'Ethylene Recycling HC'!AC87-'Ethylene Recycling HC'!$C$130-'Ethylene Recycling HC'!$C$87)</f>
        <v>2099.4551994240333</v>
      </c>
      <c r="AE110" s="630">
        <f>AE24-('Ethylene Recycling HC'!AD130+'Ethylene Recycling HC'!AD87-'Ethylene Recycling HC'!$C$130-'Ethylene Recycling HC'!$C$87)</f>
        <v>2032.5431608418987</v>
      </c>
      <c r="AF110" s="630">
        <f>AF24-('Ethylene Recycling HC'!AE130+'Ethylene Recycling HC'!AE87-'Ethylene Recycling HC'!$C$130-'Ethylene Recycling HC'!$C$87)</f>
        <v>1963.8110995638074</v>
      </c>
      <c r="AG110" s="630">
        <f>AG24-('Ethylene Recycling HC'!AF130+'Ethylene Recycling HC'!AF87-'Ethylene Recycling HC'!$C$130-'Ethylene Recycling HC'!$C$87)</f>
        <v>1893.2923245274203</v>
      </c>
      <c r="AH110" s="630">
        <f>AH24-('Ethylene Recycling HC'!AG130+'Ethylene Recycling HC'!AG87-'Ethylene Recycling HC'!$C$130-'Ethylene Recycling HC'!$C$87)</f>
        <v>772.39344896895864</v>
      </c>
      <c r="AI110" s="40"/>
    </row>
    <row r="111" spans="1:35" s="63" customFormat="1">
      <c r="A111" s="692"/>
      <c r="B111" s="59" t="s">
        <v>682</v>
      </c>
      <c r="C111" s="262" t="s">
        <v>166</v>
      </c>
      <c r="D111" s="599">
        <f>D25-('Ethylene Recycling HC'!C88+'Ethylene Recycling HC'!C131-'Ethylene Recycling HC'!$C$88-'Ethylene Recycling HC'!$C$131)</f>
        <v>0</v>
      </c>
      <c r="E111" s="599">
        <f>E25-('Ethylene Recycling HC'!D88+'Ethylene Recycling HC'!D131-'Ethylene Recycling HC'!$C$88-'Ethylene Recycling HC'!$C$131)</f>
        <v>0</v>
      </c>
      <c r="F111" s="599">
        <f>F25-('Ethylene Recycling HC'!E88+'Ethylene Recycling HC'!E131-'Ethylene Recycling HC'!$C$88-'Ethylene Recycling HC'!$C$131)</f>
        <v>0</v>
      </c>
      <c r="G111" s="599">
        <f>G25-('Ethylene Recycling HC'!F88+'Ethylene Recycling HC'!F131-'Ethylene Recycling HC'!$C$88-'Ethylene Recycling HC'!$C$131)</f>
        <v>0</v>
      </c>
      <c r="H111" s="599">
        <f>H25-('Ethylene Recycling HC'!G88+'Ethylene Recycling HC'!G131-'Ethylene Recycling HC'!$C$88-'Ethylene Recycling HC'!$C$131)</f>
        <v>0</v>
      </c>
      <c r="I111" s="599">
        <f>I25-('Ethylene Recycling HC'!H88+'Ethylene Recycling HC'!H131-'Ethylene Recycling HC'!$C$88-'Ethylene Recycling HC'!$C$131)</f>
        <v>0</v>
      </c>
      <c r="J111" s="599">
        <f>J25-('Ethylene Recycling HC'!I88+'Ethylene Recycling HC'!I131-'Ethylene Recycling HC'!$C$88-'Ethylene Recycling HC'!$C$131)</f>
        <v>0</v>
      </c>
      <c r="K111" s="599">
        <f>K25-('Ethylene Recycling HC'!J88+'Ethylene Recycling HC'!J131-'Ethylene Recycling HC'!$C$88-'Ethylene Recycling HC'!$C$131)</f>
        <v>0</v>
      </c>
      <c r="L111" s="599">
        <f>L25-('Ethylene Recycling HC'!K88+'Ethylene Recycling HC'!K131-'Ethylene Recycling HC'!$C$88-'Ethylene Recycling HC'!$C$131)</f>
        <v>0</v>
      </c>
      <c r="M111" s="599">
        <f>M25-('Ethylene Recycling HC'!L88+'Ethylene Recycling HC'!L131-'Ethylene Recycling HC'!$C$88-'Ethylene Recycling HC'!$C$131)</f>
        <v>0</v>
      </c>
      <c r="N111" s="599">
        <f>N25-('Ethylene Recycling HC'!M88+'Ethylene Recycling HC'!M131-'Ethylene Recycling HC'!$C$88-'Ethylene Recycling HC'!$C$131)</f>
        <v>0</v>
      </c>
      <c r="O111" s="599">
        <f>O25-('Ethylene Recycling HC'!N88+'Ethylene Recycling HC'!N131-'Ethylene Recycling HC'!$C$88-'Ethylene Recycling HC'!$C$131)</f>
        <v>0</v>
      </c>
      <c r="P111" s="599">
        <f>P25-('Ethylene Recycling HC'!O88+'Ethylene Recycling HC'!O131-'Ethylene Recycling HC'!$C$88-'Ethylene Recycling HC'!$C$131)</f>
        <v>0</v>
      </c>
      <c r="Q111" s="599">
        <f>Q25-('Ethylene Recycling HC'!P88+'Ethylene Recycling HC'!P131-'Ethylene Recycling HC'!$C$88-'Ethylene Recycling HC'!$C$131)</f>
        <v>0</v>
      </c>
      <c r="R111" s="599">
        <f>R25-('Ethylene Recycling HC'!Q88+'Ethylene Recycling HC'!Q131-'Ethylene Recycling HC'!$C$88-'Ethylene Recycling HC'!$C$131)</f>
        <v>0</v>
      </c>
      <c r="S111" s="599">
        <f>S25-('Ethylene Recycling HC'!R88+'Ethylene Recycling HC'!R131-'Ethylene Recycling HC'!$C$88-'Ethylene Recycling HC'!$C$131)</f>
        <v>0</v>
      </c>
      <c r="T111" s="599">
        <f>T25-('Ethylene Recycling HC'!S88+'Ethylene Recycling HC'!S131-'Ethylene Recycling HC'!$C$88-'Ethylene Recycling HC'!$C$131)</f>
        <v>0</v>
      </c>
      <c r="U111" s="599">
        <f>U25-('Ethylene Recycling HC'!T88+'Ethylene Recycling HC'!T131-'Ethylene Recycling HC'!$C$88-'Ethylene Recycling HC'!$C$131)</f>
        <v>0</v>
      </c>
      <c r="V111" s="599">
        <f>V25-('Ethylene Recycling HC'!U88+'Ethylene Recycling HC'!U131-'Ethylene Recycling HC'!$C$88-'Ethylene Recycling HC'!$C$131)</f>
        <v>0</v>
      </c>
      <c r="W111" s="599">
        <f>W25-('Ethylene Recycling HC'!V88+'Ethylene Recycling HC'!V131-'Ethylene Recycling HC'!$C$88-'Ethylene Recycling HC'!$C$131)</f>
        <v>0</v>
      </c>
      <c r="X111" s="599">
        <f>X25-('Ethylene Recycling HC'!W88+'Ethylene Recycling HC'!W131-'Ethylene Recycling HC'!$C$88-'Ethylene Recycling HC'!$C$131)</f>
        <v>0</v>
      </c>
      <c r="Y111" s="599">
        <f>Y25-('Ethylene Recycling HC'!X88+'Ethylene Recycling HC'!X131-'Ethylene Recycling HC'!$C$88-'Ethylene Recycling HC'!$C$131)</f>
        <v>0</v>
      </c>
      <c r="Z111" s="599">
        <f>Z25-('Ethylene Recycling HC'!Y88+'Ethylene Recycling HC'!Y131-'Ethylene Recycling HC'!$C$88-'Ethylene Recycling HC'!$C$131)</f>
        <v>0</v>
      </c>
      <c r="AA111" s="599">
        <f>AA25-('Ethylene Recycling HC'!Z88+'Ethylene Recycling HC'!Z131-'Ethylene Recycling HC'!$C$88-'Ethylene Recycling HC'!$C$131)</f>
        <v>0</v>
      </c>
      <c r="AB111" s="599">
        <f>AB25-('Ethylene Recycling HC'!AA88+'Ethylene Recycling HC'!AA131-'Ethylene Recycling HC'!$C$88-'Ethylene Recycling HC'!$C$131)</f>
        <v>0</v>
      </c>
      <c r="AC111" s="599">
        <f>AC25-('Ethylene Recycling HC'!AB88+'Ethylene Recycling HC'!AB131-'Ethylene Recycling HC'!$C$88-'Ethylene Recycling HC'!$C$131)</f>
        <v>0</v>
      </c>
      <c r="AD111" s="599">
        <f>AD25-('Ethylene Recycling HC'!AC88+'Ethylene Recycling HC'!AC131-'Ethylene Recycling HC'!$C$88-'Ethylene Recycling HC'!$C$131)</f>
        <v>0</v>
      </c>
      <c r="AE111" s="599">
        <f>AE25-('Ethylene Recycling HC'!AD88+'Ethylene Recycling HC'!AD131-'Ethylene Recycling HC'!$C$88-'Ethylene Recycling HC'!$C$131)</f>
        <v>0</v>
      </c>
      <c r="AF111" s="599">
        <f>AF25-('Ethylene Recycling HC'!AE88+'Ethylene Recycling HC'!AE131-'Ethylene Recycling HC'!$C$88-'Ethylene Recycling HC'!$C$131)</f>
        <v>0</v>
      </c>
      <c r="AG111" s="599">
        <f>AG25-('Ethylene Recycling HC'!AF88+'Ethylene Recycling HC'!AF131-'Ethylene Recycling HC'!$C$88-'Ethylene Recycling HC'!$C$131)</f>
        <v>0</v>
      </c>
      <c r="AH111" s="599">
        <f>AH25-('Ethylene Recycling HC'!AG88+'Ethylene Recycling HC'!AG131-'Ethylene Recycling HC'!$C$88-'Ethylene Recycling HC'!$C$131)</f>
        <v>0</v>
      </c>
      <c r="AI111" s="40"/>
    </row>
    <row r="112" spans="1:35">
      <c r="A112" s="1" t="s">
        <v>532</v>
      </c>
      <c r="B112" s="1" t="s">
        <v>195</v>
      </c>
      <c r="C112" s="61" t="s">
        <v>166</v>
      </c>
      <c r="D112" s="633">
        <f t="shared" ref="D112:AH112" si="36">D55</f>
        <v>5757.6219164365802</v>
      </c>
      <c r="E112" s="633">
        <f t="shared" si="36"/>
        <v>5579.7113992186896</v>
      </c>
      <c r="F112" s="633">
        <f t="shared" si="36"/>
        <v>5401.8008820007999</v>
      </c>
      <c r="G112" s="633">
        <f t="shared" si="36"/>
        <v>5223.8903647829093</v>
      </c>
      <c r="H112" s="633">
        <f t="shared" si="36"/>
        <v>5045.9798475650186</v>
      </c>
      <c r="I112" s="633">
        <f t="shared" si="36"/>
        <v>4868.069330347128</v>
      </c>
      <c r="J112" s="633">
        <f t="shared" si="36"/>
        <v>4690.1588131292383</v>
      </c>
      <c r="K112" s="633">
        <f t="shared" si="36"/>
        <v>4512.2482959113477</v>
      </c>
      <c r="L112" s="633">
        <f t="shared" si="36"/>
        <v>4334.3377786934579</v>
      </c>
      <c r="M112" s="633">
        <f t="shared" si="36"/>
        <v>4156.4272614755673</v>
      </c>
      <c r="N112" s="633">
        <f t="shared" si="36"/>
        <v>3978.5167442576776</v>
      </c>
      <c r="O112" s="633">
        <f t="shared" si="36"/>
        <v>3853.0005864793593</v>
      </c>
      <c r="P112" s="633">
        <f t="shared" si="36"/>
        <v>3727.4844287010424</v>
      </c>
      <c r="Q112" s="633">
        <f t="shared" si="36"/>
        <v>3601.9682709227245</v>
      </c>
      <c r="R112" s="633">
        <f t="shared" si="36"/>
        <v>3476.4521131444071</v>
      </c>
      <c r="S112" s="633">
        <f t="shared" si="36"/>
        <v>3350.9359553660897</v>
      </c>
      <c r="T112" s="633">
        <f t="shared" si="36"/>
        <v>3225.4197975877723</v>
      </c>
      <c r="U112" s="633">
        <f t="shared" si="36"/>
        <v>3099.9036398094549</v>
      </c>
      <c r="V112" s="633">
        <f t="shared" si="36"/>
        <v>2974.3874820311371</v>
      </c>
      <c r="W112" s="633">
        <f t="shared" si="36"/>
        <v>2848.8713242528202</v>
      </c>
      <c r="X112" s="633">
        <f t="shared" si="36"/>
        <v>2723.3551664745023</v>
      </c>
      <c r="Y112" s="633">
        <f t="shared" si="36"/>
        <v>2571.9297100722206</v>
      </c>
      <c r="Z112" s="633">
        <f t="shared" si="36"/>
        <v>2420.5042536699384</v>
      </c>
      <c r="AA112" s="633">
        <f t="shared" si="36"/>
        <v>2269.0787972676562</v>
      </c>
      <c r="AB112" s="633">
        <f t="shared" si="36"/>
        <v>2117.653340865374</v>
      </c>
      <c r="AC112" s="633">
        <f t="shared" si="36"/>
        <v>1966.2278844630919</v>
      </c>
      <c r="AD112" s="633">
        <f t="shared" si="36"/>
        <v>1814.8024280608099</v>
      </c>
      <c r="AE112" s="633">
        <f t="shared" si="36"/>
        <v>1663.376971658528</v>
      </c>
      <c r="AF112" s="633">
        <f t="shared" si="36"/>
        <v>1511.9515152562458</v>
      </c>
      <c r="AG112" s="633">
        <f t="shared" si="36"/>
        <v>1360.5260588539638</v>
      </c>
      <c r="AH112" s="633">
        <f t="shared" si="36"/>
        <v>1209.1006024516814</v>
      </c>
    </row>
    <row r="113" spans="1:36" outlineLevel="1">
      <c r="A113"/>
      <c r="B113" t="s">
        <v>262</v>
      </c>
      <c r="C113" s="51" t="s">
        <v>166</v>
      </c>
      <c r="D113" s="196">
        <f>'Ethylene Recycling HC'!C173-'Ethylene Recycling HC'!$C$173</f>
        <v>0</v>
      </c>
      <c r="E113" s="196">
        <f>'Ethylene Recycling HC'!D173-'Ethylene Recycling HC'!$C$173</f>
        <v>113.01547153909507</v>
      </c>
      <c r="F113" s="196">
        <f>'Ethylene Recycling HC'!E173-'Ethylene Recycling HC'!$C$173</f>
        <v>233.64067154756015</v>
      </c>
      <c r="G113" s="196">
        <f>'Ethylene Recycling HC'!F173-'Ethylene Recycling HC'!$C$173</f>
        <v>361.87560002539522</v>
      </c>
      <c r="H113" s="196">
        <f>'Ethylene Recycling HC'!G173-'Ethylene Recycling HC'!$C$173</f>
        <v>497.72025697260017</v>
      </c>
      <c r="I113" s="196">
        <f>'Ethylene Recycling HC'!H173-'Ethylene Recycling HC'!$C$173</f>
        <v>641.17464238917512</v>
      </c>
      <c r="J113" s="196">
        <f>'Ethylene Recycling HC'!I173-'Ethylene Recycling HC'!$C$173</f>
        <v>750.56654906848905</v>
      </c>
      <c r="K113" s="196">
        <f>'Ethylene Recycling HC'!J173-'Ethylene Recycling HC'!$C$173</f>
        <v>857.76214075961423</v>
      </c>
      <c r="L113" s="196">
        <f>'Ethylene Recycling HC'!K173-'Ethylene Recycling HC'!$C$173</f>
        <v>962.05599563344038</v>
      </c>
      <c r="M113" s="196">
        <f>'Ethylene Recycling HC'!L173-'Ethylene Recycling HC'!$C$173</f>
        <v>1062.7426918608571</v>
      </c>
      <c r="N113" s="196">
        <f>'Ethylene Recycling HC'!M173-'Ethylene Recycling HC'!$C$173</f>
        <v>1159.1168076127533</v>
      </c>
      <c r="O113" s="196">
        <f>'Ethylene Recycling HC'!N173-'Ethylene Recycling HC'!$C$173</f>
        <v>1299.9722735011965</v>
      </c>
      <c r="P113" s="196">
        <f>'Ethylene Recycling HC'!O173-'Ethylene Recycling HC'!$C$173</f>
        <v>1436.7536675216088</v>
      </c>
      <c r="Q113" s="196">
        <f>'Ethylene Recycling HC'!P173-'Ethylene Recycling HC'!$C$173</f>
        <v>1568.1162793122498</v>
      </c>
      <c r="R113" s="196">
        <f>'Ethylene Recycling HC'!Q173-'Ethylene Recycling HC'!$C$173</f>
        <v>1692.715398511376</v>
      </c>
      <c r="S113" s="196">
        <f>'Ethylene Recycling HC'!R173-'Ethylene Recycling HC'!$C$173</f>
        <v>1809.2063147572462</v>
      </c>
      <c r="T113" s="196">
        <f>'Ethylene Recycling HC'!S173-'Ethylene Recycling HC'!$C$173</f>
        <v>1950.3313472297855</v>
      </c>
      <c r="U113" s="196">
        <f>'Ethylene Recycling HC'!T173-'Ethylene Recycling HC'!$C$173</f>
        <v>2086.7905953900163</v>
      </c>
      <c r="V113" s="196">
        <f>'Ethylene Recycling HC'!U173-'Ethylene Recycling HC'!$C$173</f>
        <v>2217.6353639018203</v>
      </c>
      <c r="W113" s="196">
        <f>'Ethylene Recycling HC'!V173-'Ethylene Recycling HC'!$C$173</f>
        <v>2341.9169574290854</v>
      </c>
      <c r="X113" s="196">
        <f>'Ethylene Recycling HC'!W173-'Ethylene Recycling HC'!$C$173</f>
        <v>2458.6866806356938</v>
      </c>
      <c r="Y113" s="196">
        <f>'Ethylene Recycling HC'!X173-'Ethylene Recycling HC'!$C$173</f>
        <v>2653.657719412995</v>
      </c>
      <c r="Z113" s="196">
        <f>'Ethylene Recycling HC'!Y173-'Ethylene Recycling HC'!$C$173</f>
        <v>2838.5052080674482</v>
      </c>
      <c r="AA113" s="196">
        <f>'Ethylene Recycling HC'!Z173-'Ethylene Recycling HC'!$C$173</f>
        <v>3011.5479143578377</v>
      </c>
      <c r="AB113" s="196">
        <f>'Ethylene Recycling HC'!AA173-'Ethylene Recycling HC'!$C$173</f>
        <v>3171.1046060429471</v>
      </c>
      <c r="AC113" s="196">
        <f>'Ethylene Recycling HC'!AB173-'Ethylene Recycling HC'!$C$173</f>
        <v>3315.4940508815548</v>
      </c>
      <c r="AD113" s="196">
        <f>'Ethylene Recycling HC'!AC173-'Ethylene Recycling HC'!$C$173</f>
        <v>3403.1472701532616</v>
      </c>
      <c r="AE113" s="196">
        <f>'Ethylene Recycling HC'!AD173-'Ethylene Recycling HC'!$C$173</f>
        <v>3465.9358758224162</v>
      </c>
      <c r="AF113" s="196">
        <f>'Ethylene Recycling HC'!AE173-'Ethylene Recycling HC'!$C$173</f>
        <v>3501.8315922952588</v>
      </c>
      <c r="AG113" s="196">
        <f>'Ethylene Recycling HC'!AF173-'Ethylene Recycling HC'!$C$173</f>
        <v>3508.8061439780258</v>
      </c>
      <c r="AH113" s="196">
        <f>'Ethylene Recycling HC'!AG173-'Ethylene Recycling HC'!$C$173</f>
        <v>3828.2973639406146</v>
      </c>
    </row>
    <row r="114" spans="1:36" outlineLevel="1">
      <c r="A114"/>
      <c r="B114" t="s">
        <v>264</v>
      </c>
      <c r="C114" s="51" t="s">
        <v>166</v>
      </c>
      <c r="D114" s="196">
        <f>'Ethylene Recycling HC'!C78-'Ethylene Recycling HC'!$C$78</f>
        <v>0</v>
      </c>
      <c r="E114" s="196">
        <f>'Ethylene Recycling HC'!D78-'Ethylene Recycling HC'!$C$78</f>
        <v>-3.2736896147034713</v>
      </c>
      <c r="F114" s="196">
        <f>'Ethylene Recycling HC'!E78-'Ethylene Recycling HC'!$C$78</f>
        <v>-36.043328351381206</v>
      </c>
      <c r="G114" s="196">
        <f>'Ethylene Recycling HC'!F78-'Ethylene Recycling HC'!$C$78</f>
        <v>-97.227067836658534</v>
      </c>
      <c r="H114" s="196">
        <f>'Ethylene Recycling HC'!G78-'Ethylene Recycling HC'!$C$78</f>
        <v>-185.75011102882854</v>
      </c>
      <c r="I114" s="196">
        <f>'Ethylene Recycling HC'!H78-'Ethylene Recycling HC'!$C$78</f>
        <v>-300.54471221787026</v>
      </c>
      <c r="J114" s="196">
        <f>'Ethylene Recycling HC'!I78-'Ethylene Recycling HC'!$C$78</f>
        <v>-440.55017702543046</v>
      </c>
      <c r="K114" s="196">
        <f>'Ethylene Recycling HC'!J78-'Ethylene Recycling HC'!$C$78</f>
        <v>-604.71286240482732</v>
      </c>
      <c r="L114" s="196">
        <f>'Ethylene Recycling HC'!K78-'Ethylene Recycling HC'!$C$78</f>
        <v>-791.98617664106496</v>
      </c>
      <c r="M114" s="196">
        <f>'Ethylene Recycling HC'!L78-'Ethylene Recycling HC'!$C$78</f>
        <v>-1001.3305793508043</v>
      </c>
      <c r="N114" s="196">
        <f>'Ethylene Recycling HC'!M78-'Ethylene Recycling HC'!$C$78</f>
        <v>-1231.7135814823905</v>
      </c>
      <c r="O114" s="196">
        <f>'Ethylene Recycling HC'!N78-'Ethylene Recycling HC'!$C$78</f>
        <v>-1156.6115424584059</v>
      </c>
      <c r="P114" s="196">
        <f>'Ethylene Recycling HC'!O78-'Ethylene Recycling HC'!$C$78</f>
        <v>-1084.9416361021504</v>
      </c>
      <c r="Q114" s="196">
        <f>'Ethylene Recycling HC'!P78-'Ethylene Recycling HC'!$C$78</f>
        <v>-1158.7206008751236</v>
      </c>
      <c r="R114" s="196">
        <f>'Ethylene Recycling HC'!Q78-'Ethylene Recycling HC'!$C$78</f>
        <v>-1298.5175661049507</v>
      </c>
      <c r="S114" s="196">
        <f>'Ethylene Recycling HC'!R78-'Ethylene Recycling HC'!$C$78</f>
        <v>-1500.2391971148827</v>
      </c>
      <c r="T114" s="196">
        <f>'Ethylene Recycling HC'!S78-'Ethylene Recycling HC'!$C$78</f>
        <v>-1759.821462242704</v>
      </c>
      <c r="U114" s="196">
        <f>'Ethylene Recycling HC'!T78-'Ethylene Recycling HC'!$C$78</f>
        <v>-2073.2296328407174</v>
      </c>
      <c r="V114" s="196">
        <f>'Ethylene Recycling HC'!U78-'Ethylene Recycling HC'!$C$78</f>
        <v>-2436.4582832757278</v>
      </c>
      <c r="W114" s="196">
        <f>'Ethylene Recycling HC'!V78-'Ethylene Recycling HC'!$C$78</f>
        <v>-2845.5312909290806</v>
      </c>
      <c r="X114" s="196">
        <f>'Ethylene Recycling HC'!W78-'Ethylene Recycling HC'!$C$78</f>
        <v>-3296.501836196634</v>
      </c>
      <c r="Y114" s="196">
        <f>'Ethylene Recycling HC'!X78-'Ethylene Recycling HC'!$C$78</f>
        <v>-3761.1159247749711</v>
      </c>
      <c r="Z114" s="196">
        <f>'Ethylene Recycling HC'!Y78-'Ethylene Recycling HC'!$C$78</f>
        <v>-4050.1571732283282</v>
      </c>
      <c r="AA114" s="196">
        <f>'Ethylene Recycling HC'!Z78-'Ethylene Recycling HC'!$C$78</f>
        <v>-4408.3814039634435</v>
      </c>
      <c r="AB114" s="196">
        <f>'Ethylene Recycling HC'!AA78-'Ethylene Recycling HC'!$C$78</f>
        <v>-4829.4471891409139</v>
      </c>
      <c r="AC114" s="196">
        <f>'Ethylene Recycling HC'!AB78-'Ethylene Recycling HC'!$C$78</f>
        <v>-5307.060802836726</v>
      </c>
      <c r="AD114" s="196">
        <f>'Ethylene Recycling HC'!AC78-'Ethylene Recycling HC'!$C$78</f>
        <v>-5834.9762210422232</v>
      </c>
      <c r="AE114" s="196">
        <f>'Ethylene Recycling HC'!AD78-'Ethylene Recycling HC'!$C$78</f>
        <v>-6406.9951216641075</v>
      </c>
      <c r="AF114" s="196">
        <f>'Ethylene Recycling HC'!AE78-'Ethylene Recycling HC'!$C$78</f>
        <v>-7016.9668845244687</v>
      </c>
      <c r="AG114" s="196">
        <f>'Ethylene Recycling HC'!AF78-'Ethylene Recycling HC'!$C$78</f>
        <v>-7658.7885913607388</v>
      </c>
      <c r="AH114" s="196">
        <f>'Ethylene Recycling HC'!AG78-'Ethylene Recycling HC'!$C$78</f>
        <v>-8326.4050258257394</v>
      </c>
      <c r="AJ114" s="195"/>
    </row>
    <row r="115" spans="1:36" s="63" customFormat="1">
      <c r="A115" s="59"/>
      <c r="B115" s="59" t="s">
        <v>263</v>
      </c>
      <c r="C115" s="60" t="s">
        <v>166</v>
      </c>
      <c r="D115" s="636">
        <f>D112-D113-D114</f>
        <v>5757.6219164365802</v>
      </c>
      <c r="E115" s="636">
        <f t="shared" ref="E115:AG115" si="37">E112-E113-E114</f>
        <v>5469.9696172942977</v>
      </c>
      <c r="F115" s="636">
        <f t="shared" si="37"/>
        <v>5204.2035388046206</v>
      </c>
      <c r="G115" s="636">
        <f t="shared" si="37"/>
        <v>4959.2418325941726</v>
      </c>
      <c r="H115" s="636">
        <f t="shared" si="37"/>
        <v>4734.0097016212467</v>
      </c>
      <c r="I115" s="636">
        <f t="shared" si="37"/>
        <v>4527.4394001758228</v>
      </c>
      <c r="J115" s="636">
        <f t="shared" si="37"/>
        <v>4380.14244108618</v>
      </c>
      <c r="K115" s="636">
        <f t="shared" si="37"/>
        <v>4259.1990175565606</v>
      </c>
      <c r="L115" s="636">
        <f t="shared" si="37"/>
        <v>4164.2679597010829</v>
      </c>
      <c r="M115" s="636">
        <f t="shared" si="37"/>
        <v>4095.0151489655145</v>
      </c>
      <c r="N115" s="636">
        <f t="shared" si="37"/>
        <v>4051.1135181273148</v>
      </c>
      <c r="O115" s="636">
        <f t="shared" si="37"/>
        <v>3709.6398554365687</v>
      </c>
      <c r="P115" s="636">
        <f t="shared" si="37"/>
        <v>3375.6723972815839</v>
      </c>
      <c r="Q115" s="636">
        <f t="shared" si="37"/>
        <v>3192.5725924855983</v>
      </c>
      <c r="R115" s="636">
        <f t="shared" si="37"/>
        <v>3082.2542807379818</v>
      </c>
      <c r="S115" s="636">
        <f t="shared" si="37"/>
        <v>3041.9688377237262</v>
      </c>
      <c r="T115" s="636">
        <f t="shared" si="37"/>
        <v>3034.9099126006909</v>
      </c>
      <c r="U115" s="636">
        <f t="shared" si="37"/>
        <v>3086.3426772601561</v>
      </c>
      <c r="V115" s="636">
        <f t="shared" si="37"/>
        <v>3193.2104014050446</v>
      </c>
      <c r="W115" s="636">
        <f t="shared" si="37"/>
        <v>3352.4856577528153</v>
      </c>
      <c r="X115" s="636">
        <f t="shared" si="37"/>
        <v>3561.1703220354425</v>
      </c>
      <c r="Y115" s="636">
        <f t="shared" si="37"/>
        <v>3679.3879154341967</v>
      </c>
      <c r="Z115" s="636">
        <f t="shared" si="37"/>
        <v>3632.1562188308185</v>
      </c>
      <c r="AA115" s="636">
        <f t="shared" si="37"/>
        <v>3665.912286873262</v>
      </c>
      <c r="AB115" s="636">
        <f t="shared" si="37"/>
        <v>3775.9959239633408</v>
      </c>
      <c r="AC115" s="636">
        <f t="shared" si="37"/>
        <v>3957.7946364182631</v>
      </c>
      <c r="AD115" s="636">
        <f t="shared" si="37"/>
        <v>4246.6313789497717</v>
      </c>
      <c r="AE115" s="636">
        <f t="shared" si="37"/>
        <v>4604.4362175002188</v>
      </c>
      <c r="AF115" s="636">
        <f t="shared" si="37"/>
        <v>5027.0868074854552</v>
      </c>
      <c r="AG115" s="636">
        <f t="shared" si="37"/>
        <v>5510.508506236677</v>
      </c>
      <c r="AH115" s="636">
        <f>AH112-AH113-AH114</f>
        <v>5707.2082643368067</v>
      </c>
      <c r="AI115" s="411"/>
    </row>
    <row r="116" spans="1:36" s="62" customFormat="1">
      <c r="A116" s="688" t="s">
        <v>685</v>
      </c>
      <c r="B116" s="55" t="s">
        <v>141</v>
      </c>
      <c r="C116" s="56" t="s">
        <v>166</v>
      </c>
      <c r="D116" s="630">
        <f>D56-('Ethylene Recycling HC'!C79+'Ethylene Recycling HC'!C174-'Ethylene Recycling HC'!$C$79-'Ethylene Recycling HC'!$C$174)</f>
        <v>0</v>
      </c>
      <c r="E116" s="630">
        <f>E56-('Ethylene Recycling HC'!D79+'Ethylene Recycling HC'!D174-'Ethylene Recycling HC'!$C$79-'Ethylene Recycling HC'!$C$174)</f>
        <v>0</v>
      </c>
      <c r="F116" s="630">
        <f>F56-('Ethylene Recycling HC'!E79+'Ethylene Recycling HC'!E174-'Ethylene Recycling HC'!$C$79-'Ethylene Recycling HC'!$C$174)</f>
        <v>0</v>
      </c>
      <c r="G116" s="630">
        <f>G56-('Ethylene Recycling HC'!F79+'Ethylene Recycling HC'!F174-'Ethylene Recycling HC'!$C$79-'Ethylene Recycling HC'!$C$174)</f>
        <v>0</v>
      </c>
      <c r="H116" s="630">
        <f>H56-('Ethylene Recycling HC'!G79+'Ethylene Recycling HC'!G174-'Ethylene Recycling HC'!$C$79-'Ethylene Recycling HC'!$C$174)</f>
        <v>0</v>
      </c>
      <c r="I116" s="630">
        <f>I56-('Ethylene Recycling HC'!H79+'Ethylene Recycling HC'!H174-'Ethylene Recycling HC'!$C$79-'Ethylene Recycling HC'!$C$174)</f>
        <v>0</v>
      </c>
      <c r="J116" s="630">
        <f>J56-('Ethylene Recycling HC'!I79+'Ethylene Recycling HC'!I174-'Ethylene Recycling HC'!$C$79-'Ethylene Recycling HC'!$C$174)</f>
        <v>0</v>
      </c>
      <c r="K116" s="630">
        <f>K56-('Ethylene Recycling HC'!J79+'Ethylene Recycling HC'!J174-'Ethylene Recycling HC'!$C$79-'Ethylene Recycling HC'!$C$174)</f>
        <v>0</v>
      </c>
      <c r="L116" s="630">
        <f>L56-('Ethylene Recycling HC'!K79+'Ethylene Recycling HC'!K174-'Ethylene Recycling HC'!$C$79-'Ethylene Recycling HC'!$C$174)</f>
        <v>0</v>
      </c>
      <c r="M116" s="630">
        <f>M56-('Ethylene Recycling HC'!L79+'Ethylene Recycling HC'!L174-'Ethylene Recycling HC'!$C$79-'Ethylene Recycling HC'!$C$174)</f>
        <v>0</v>
      </c>
      <c r="N116" s="630">
        <f>N56-('Ethylene Recycling HC'!M79+'Ethylene Recycling HC'!M174-'Ethylene Recycling HC'!$C$79-'Ethylene Recycling HC'!$C$174)</f>
        <v>0</v>
      </c>
      <c r="O116" s="630">
        <f>O56-('Ethylene Recycling HC'!N79+'Ethylene Recycling HC'!N174-'Ethylene Recycling HC'!$C$79-'Ethylene Recycling HC'!$C$174)</f>
        <v>0</v>
      </c>
      <c r="P116" s="630">
        <f>P56-('Ethylene Recycling HC'!O79+'Ethylene Recycling HC'!O174-'Ethylene Recycling HC'!$C$79-'Ethylene Recycling HC'!$C$174)</f>
        <v>0</v>
      </c>
      <c r="Q116" s="630">
        <f>Q56-('Ethylene Recycling HC'!P79+'Ethylene Recycling HC'!P174-'Ethylene Recycling HC'!$C$79-'Ethylene Recycling HC'!$C$174)</f>
        <v>0</v>
      </c>
      <c r="R116" s="630">
        <f>R56-('Ethylene Recycling HC'!Q79+'Ethylene Recycling HC'!Q174-'Ethylene Recycling HC'!$C$79-'Ethylene Recycling HC'!$C$174)</f>
        <v>0</v>
      </c>
      <c r="S116" s="630">
        <f>S56-('Ethylene Recycling HC'!R79+'Ethylene Recycling HC'!R174-'Ethylene Recycling HC'!$C$79-'Ethylene Recycling HC'!$C$174)</f>
        <v>0</v>
      </c>
      <c r="T116" s="630">
        <f>T56-('Ethylene Recycling HC'!S79+'Ethylene Recycling HC'!S174-'Ethylene Recycling HC'!$C$79-'Ethylene Recycling HC'!$C$174)</f>
        <v>0</v>
      </c>
      <c r="U116" s="630">
        <f>U56-('Ethylene Recycling HC'!T79+'Ethylene Recycling HC'!T174-'Ethylene Recycling HC'!$C$79-'Ethylene Recycling HC'!$C$174)</f>
        <v>0</v>
      </c>
      <c r="V116" s="630">
        <f>V56-('Ethylene Recycling HC'!U79+'Ethylene Recycling HC'!U174-'Ethylene Recycling HC'!$C$79-'Ethylene Recycling HC'!$C$174)</f>
        <v>0</v>
      </c>
      <c r="W116" s="630">
        <f>W56-('Ethylene Recycling HC'!V79+'Ethylene Recycling HC'!V174-'Ethylene Recycling HC'!$C$79-'Ethylene Recycling HC'!$C$174)</f>
        <v>0</v>
      </c>
      <c r="X116" s="630">
        <f>X56-('Ethylene Recycling HC'!W79+'Ethylene Recycling HC'!W174-'Ethylene Recycling HC'!$C$79-'Ethylene Recycling HC'!$C$174)</f>
        <v>0</v>
      </c>
      <c r="Y116" s="630">
        <f>Y56-('Ethylene Recycling HC'!X79+'Ethylene Recycling HC'!X174-'Ethylene Recycling HC'!$C$79-'Ethylene Recycling HC'!$C$174)</f>
        <v>0</v>
      </c>
      <c r="Z116" s="630">
        <f>Z56-('Ethylene Recycling HC'!Y79+'Ethylene Recycling HC'!Y174-'Ethylene Recycling HC'!$C$79-'Ethylene Recycling HC'!$C$174)</f>
        <v>0</v>
      </c>
      <c r="AA116" s="630">
        <f>AA56-('Ethylene Recycling HC'!Z79+'Ethylene Recycling HC'!Z174-'Ethylene Recycling HC'!$C$79-'Ethylene Recycling HC'!$C$174)</f>
        <v>0</v>
      </c>
      <c r="AB116" s="630">
        <f>AB56-('Ethylene Recycling HC'!AA79+'Ethylene Recycling HC'!AA174-'Ethylene Recycling HC'!$C$79-'Ethylene Recycling HC'!$C$174)</f>
        <v>0</v>
      </c>
      <c r="AC116" s="630">
        <f>AC56-('Ethylene Recycling HC'!AB79+'Ethylene Recycling HC'!AB174-'Ethylene Recycling HC'!$C$79-'Ethylene Recycling HC'!$C$174)</f>
        <v>0</v>
      </c>
      <c r="AD116" s="630">
        <f>AD56-('Ethylene Recycling HC'!AC79+'Ethylene Recycling HC'!AC174-'Ethylene Recycling HC'!$C$79-'Ethylene Recycling HC'!$C$174)</f>
        <v>0</v>
      </c>
      <c r="AE116" s="630">
        <f>AE56-('Ethylene Recycling HC'!AD79+'Ethylene Recycling HC'!AD174-'Ethylene Recycling HC'!$C$79-'Ethylene Recycling HC'!$C$174)</f>
        <v>0</v>
      </c>
      <c r="AF116" s="630">
        <f>AF56-('Ethylene Recycling HC'!AE79+'Ethylene Recycling HC'!AE174-'Ethylene Recycling HC'!$C$79-'Ethylene Recycling HC'!$C$174)</f>
        <v>0</v>
      </c>
      <c r="AG116" s="630">
        <f>AG56-('Ethylene Recycling HC'!AF79+'Ethylene Recycling HC'!AF174-'Ethylene Recycling HC'!$C$79-'Ethylene Recycling HC'!$C$174)</f>
        <v>0</v>
      </c>
      <c r="AH116" s="630">
        <f>AH56-('Ethylene Recycling HC'!AG79+'Ethylene Recycling HC'!AG174-'Ethylene Recycling HC'!$C$79-'Ethylene Recycling HC'!$C$174)</f>
        <v>0</v>
      </c>
      <c r="AI116" s="411"/>
    </row>
    <row r="117" spans="1:36">
      <c r="A117" s="689"/>
      <c r="B117" s="1" t="s">
        <v>18</v>
      </c>
      <c r="C117" s="51" t="s">
        <v>166</v>
      </c>
      <c r="D117" s="196">
        <f>D57+(D121-D61)</f>
        <v>5757.6219164365784</v>
      </c>
      <c r="E117" s="196">
        <f t="shared" ref="E117:AH117" si="38">E57+(E121-E61)</f>
        <v>5469.9808527098739</v>
      </c>
      <c r="F117" s="196">
        <f t="shared" si="38"/>
        <v>5204.2267661557507</v>
      </c>
      <c r="G117" s="196">
        <f t="shared" si="38"/>
        <v>4959.2778084008323</v>
      </c>
      <c r="H117" s="196">
        <f t="shared" si="38"/>
        <v>4734.0591824034091</v>
      </c>
      <c r="I117" s="196">
        <f t="shared" si="38"/>
        <v>4527.5031424534673</v>
      </c>
      <c r="J117" s="196">
        <f t="shared" si="38"/>
        <v>4380.2170585432641</v>
      </c>
      <c r="K117" s="196">
        <f t="shared" si="38"/>
        <v>4259.2842918467668</v>
      </c>
      <c r="L117" s="196">
        <f t="shared" si="38"/>
        <v>4164.3636023486997</v>
      </c>
      <c r="M117" s="196">
        <f t="shared" si="38"/>
        <v>4095.1208013654227</v>
      </c>
      <c r="N117" s="196">
        <f t="shared" si="38"/>
        <v>4051.2287515449948</v>
      </c>
      <c r="O117" s="196">
        <f t="shared" si="38"/>
        <v>3709.7690919785505</v>
      </c>
      <c r="P117" s="196">
        <f t="shared" si="38"/>
        <v>3375.8152319246392</v>
      </c>
      <c r="Q117" s="196">
        <f t="shared" si="38"/>
        <v>3192.7284865223332</v>
      </c>
      <c r="R117" s="196">
        <f t="shared" si="38"/>
        <v>3082.422561776832</v>
      </c>
      <c r="S117" s="196">
        <f t="shared" si="38"/>
        <v>3042.1486996889485</v>
      </c>
      <c r="T117" s="196">
        <f t="shared" si="38"/>
        <v>3035.1038044891307</v>
      </c>
      <c r="U117" s="196">
        <f t="shared" si="38"/>
        <v>3086.550135223591</v>
      </c>
      <c r="V117" s="196">
        <f t="shared" si="38"/>
        <v>3193.4308672808511</v>
      </c>
      <c r="W117" s="196">
        <f t="shared" si="38"/>
        <v>3352.7184790639708</v>
      </c>
      <c r="X117" s="196">
        <f t="shared" si="38"/>
        <v>3561.4147519905218</v>
      </c>
      <c r="Y117" s="196">
        <f t="shared" si="38"/>
        <v>3679.6517284048618</v>
      </c>
      <c r="Z117" s="196">
        <f t="shared" si="38"/>
        <v>3632.4384083859045</v>
      </c>
      <c r="AA117" s="196">
        <f t="shared" si="38"/>
        <v>3666.2116794421595</v>
      </c>
      <c r="AB117" s="196">
        <f t="shared" si="38"/>
        <v>3776.3111788359988</v>
      </c>
      <c r="AC117" s="196">
        <f t="shared" si="38"/>
        <v>3958.1242457451895</v>
      </c>
      <c r="AD117" s="196">
        <f t="shared" si="38"/>
        <v>4246.9697023078998</v>
      </c>
      <c r="AE117" s="196">
        <f t="shared" si="38"/>
        <v>4604.780782977843</v>
      </c>
      <c r="AF117" s="196">
        <f t="shared" si="38"/>
        <v>5027.4349415301649</v>
      </c>
      <c r="AG117" s="196">
        <f t="shared" si="38"/>
        <v>5510.85733365536</v>
      </c>
      <c r="AH117" s="196">
        <f t="shared" si="38"/>
        <v>5707.5888539255757</v>
      </c>
      <c r="AI117" s="411"/>
    </row>
    <row r="118" spans="1:36">
      <c r="A118" s="689"/>
      <c r="B118" s="1" t="s">
        <v>684</v>
      </c>
      <c r="C118" s="51" t="s">
        <v>166</v>
      </c>
      <c r="D118" s="196">
        <f>D58+(D120-D60)</f>
        <v>0</v>
      </c>
      <c r="E118" s="196">
        <f t="shared" ref="E118:AH118" si="39">E58+(E120-E60)</f>
        <v>0</v>
      </c>
      <c r="F118" s="196">
        <f t="shared" si="39"/>
        <v>0</v>
      </c>
      <c r="G118" s="196">
        <f t="shared" si="39"/>
        <v>0</v>
      </c>
      <c r="H118" s="196">
        <f t="shared" si="39"/>
        <v>0</v>
      </c>
      <c r="I118" s="196">
        <f t="shared" si="39"/>
        <v>0</v>
      </c>
      <c r="J118" s="196">
        <f t="shared" si="39"/>
        <v>0</v>
      </c>
      <c r="K118" s="196">
        <f t="shared" si="39"/>
        <v>0</v>
      </c>
      <c r="L118" s="196">
        <f t="shared" si="39"/>
        <v>0</v>
      </c>
      <c r="M118" s="196">
        <f t="shared" si="39"/>
        <v>0</v>
      </c>
      <c r="N118" s="196">
        <f t="shared" si="39"/>
        <v>0</v>
      </c>
      <c r="O118" s="196">
        <f t="shared" si="39"/>
        <v>0</v>
      </c>
      <c r="P118" s="196">
        <f t="shared" si="39"/>
        <v>0</v>
      </c>
      <c r="Q118" s="196">
        <f t="shared" si="39"/>
        <v>0</v>
      </c>
      <c r="R118" s="196">
        <f t="shared" si="39"/>
        <v>0</v>
      </c>
      <c r="S118" s="196">
        <f t="shared" si="39"/>
        <v>0</v>
      </c>
      <c r="T118" s="196">
        <f t="shared" si="39"/>
        <v>0</v>
      </c>
      <c r="U118" s="196">
        <f t="shared" si="39"/>
        <v>0</v>
      </c>
      <c r="V118" s="196">
        <f t="shared" si="39"/>
        <v>0</v>
      </c>
      <c r="W118" s="196">
        <f t="shared" si="39"/>
        <v>0</v>
      </c>
      <c r="X118" s="196">
        <f t="shared" si="39"/>
        <v>0</v>
      </c>
      <c r="Y118" s="196">
        <f t="shared" si="39"/>
        <v>0</v>
      </c>
      <c r="Z118" s="196">
        <f t="shared" si="39"/>
        <v>0</v>
      </c>
      <c r="AA118" s="196">
        <f t="shared" si="39"/>
        <v>0</v>
      </c>
      <c r="AB118" s="196">
        <f t="shared" si="39"/>
        <v>0</v>
      </c>
      <c r="AC118" s="196">
        <f t="shared" si="39"/>
        <v>0</v>
      </c>
      <c r="AD118" s="196">
        <f t="shared" si="39"/>
        <v>0</v>
      </c>
      <c r="AE118" s="196">
        <f t="shared" si="39"/>
        <v>0</v>
      </c>
      <c r="AF118" s="196">
        <f t="shared" si="39"/>
        <v>0</v>
      </c>
      <c r="AG118" s="196">
        <f t="shared" si="39"/>
        <v>0</v>
      </c>
      <c r="AH118" s="196">
        <f t="shared" si="39"/>
        <v>0</v>
      </c>
      <c r="AI118" s="411"/>
    </row>
    <row r="119" spans="1:36">
      <c r="A119" s="690"/>
      <c r="B119" s="1" t="s">
        <v>27</v>
      </c>
      <c r="C119" s="51" t="s">
        <v>166</v>
      </c>
      <c r="D119" s="196">
        <f>D59-('Ethylene Recycling HC'!C80+'Ethylene Recycling HC'!C175-'Ethylene Recycling HC'!$C$80-'Ethylene Recycling HC'!$C$175+'Ethylene Recycling HC'!C83+'Ethylene Recycling HC'!C178-'Ethylene Recycling HC'!$C$83-'Ethylene Recycling HC'!$C$178)</f>
        <v>0</v>
      </c>
      <c r="E119" s="196">
        <f>E59-('Ethylene Recycling HC'!D80+'Ethylene Recycling HC'!D175-'Ethylene Recycling HC'!$C$80-'Ethylene Recycling HC'!$C$175+'Ethylene Recycling HC'!D83+'Ethylene Recycling HC'!D178-'Ethylene Recycling HC'!$C$83-'Ethylene Recycling HC'!$C$178)</f>
        <v>-0.5940315679672209</v>
      </c>
      <c r="F119" s="196">
        <f>F59-('Ethylene Recycling HC'!E80+'Ethylene Recycling HC'!E175-'Ethylene Recycling HC'!$C$80-'Ethylene Recycling HC'!$C$175+'Ethylene Recycling HC'!E83+'Ethylene Recycling HC'!E178-'Ethylene Recycling HC'!$C$83-'Ethylene Recycling HC'!$C$178)</f>
        <v>-1.1866440239033811</v>
      </c>
      <c r="G119" s="196">
        <f>G59-('Ethylene Recycling HC'!F80+'Ethylene Recycling HC'!F175-'Ethylene Recycling HC'!$C$80-'Ethylene Recycling HC'!$C$175+'Ethylene Recycling HC'!F83+'Ethylene Recycling HC'!F178-'Ethylene Recycling HC'!$C$83-'Ethylene Recycling HC'!$C$178)</f>
        <v>-1.7750076771520178</v>
      </c>
      <c r="H119" s="196">
        <f>H59-('Ethylene Recycling HC'!G80+'Ethylene Recycling HC'!G175-'Ethylene Recycling HC'!$C$80-'Ethylene Recycling HC'!$C$175+'Ethylene Recycling HC'!G83+'Ethylene Recycling HC'!G178-'Ethylene Recycling HC'!$C$83-'Ethylene Recycling HC'!$C$178)</f>
        <v>-2.3564355522610385</v>
      </c>
      <c r="I119" s="196">
        <f>I59-('Ethylene Recycling HC'!H80+'Ethylene Recycling HC'!H175-'Ethylene Recycling HC'!$C$80-'Ethylene Recycling HC'!$C$175+'Ethylene Recycling HC'!H83+'Ethylene Recycling HC'!H178-'Ethylene Recycling HC'!$C$83-'Ethylene Recycling HC'!$C$178)</f>
        <v>-2.9283822186079873</v>
      </c>
      <c r="J119" s="196">
        <f>J59-('Ethylene Recycling HC'!I80+'Ethylene Recycling HC'!I175-'Ethylene Recycling HC'!$C$80-'Ethylene Recycling HC'!$C$175+'Ethylene Recycling HC'!I83+'Ethylene Recycling HC'!I178-'Ethylene Recycling HC'!$C$83-'Ethylene Recycling HC'!$C$178)</f>
        <v>-3.4842997840080896</v>
      </c>
      <c r="K119" s="196">
        <f>K59-('Ethylene Recycling HC'!J80+'Ethylene Recycling HC'!J175-'Ethylene Recycling HC'!$C$80-'Ethylene Recycling HC'!$C$175+'Ethylene Recycling HC'!J83+'Ethylene Recycling HC'!J178-'Ethylene Recycling HC'!$C$83-'Ethylene Recycling HC'!$C$178)</f>
        <v>-4.0250903661015016</v>
      </c>
      <c r="L119" s="196">
        <f>L59-('Ethylene Recycling HC'!K80+'Ethylene Recycling HC'!K175-'Ethylene Recycling HC'!$C$80-'Ethylene Recycling HC'!$C$175+'Ethylene Recycling HC'!K83+'Ethylene Recycling HC'!K178-'Ethylene Recycling HC'!$C$83-'Ethylene Recycling HC'!$C$178)</f>
        <v>-4.5485560171045236</v>
      </c>
      <c r="M119" s="196">
        <f>M59-('Ethylene Recycling HC'!L80+'Ethylene Recycling HC'!L175-'Ethylene Recycling HC'!$C$80-'Ethylene Recycling HC'!$C$175+'Ethylene Recycling HC'!L83+'Ethylene Recycling HC'!L178-'Ethylene Recycling HC'!$C$83-'Ethylene Recycling HC'!$C$178)</f>
        <v>-5.0526356525641649</v>
      </c>
      <c r="N119" s="196">
        <f>N59-('Ethylene Recycling HC'!M80+'Ethylene Recycling HC'!M175-'Ethylene Recycling HC'!$C$80-'Ethylene Recycling HC'!$C$175+'Ethylene Recycling HC'!M83+'Ethylene Recycling HC'!M178-'Ethylene Recycling HC'!$C$83-'Ethylene Recycling HC'!$C$178)</f>
        <v>-5.5354038809834023</v>
      </c>
      <c r="O119" s="196">
        <f>O59-('Ethylene Recycling HC'!N80+'Ethylene Recycling HC'!N175-'Ethylene Recycling HC'!$C$80-'Ethylene Recycling HC'!$C$175+'Ethylene Recycling HC'!N83+'Ethylene Recycling HC'!N178-'Ethylene Recycling HC'!$C$83-'Ethylene Recycling HC'!$C$178)</f>
        <v>-6.1188478876370578</v>
      </c>
      <c r="P119" s="196">
        <f>P59-('Ethylene Recycling HC'!O80+'Ethylene Recycling HC'!O175-'Ethylene Recycling HC'!$C$80-'Ethylene Recycling HC'!$C$175+'Ethylene Recycling HC'!O83+'Ethylene Recycling HC'!O178-'Ethylene Recycling HC'!$C$83-'Ethylene Recycling HC'!$C$178)</f>
        <v>-6.7055058323485515</v>
      </c>
      <c r="Q119" s="196">
        <f>Q59-('Ethylene Recycling HC'!P80+'Ethylene Recycling HC'!P175-'Ethylene Recycling HC'!$C$80-'Ethylene Recycling HC'!$C$175+'Ethylene Recycling HC'!P83+'Ethylene Recycling HC'!P178-'Ethylene Recycling HC'!$C$83-'Ethylene Recycling HC'!$C$178)</f>
        <v>-7.2336154712361784</v>
      </c>
      <c r="R119" s="196">
        <f>R59-('Ethylene Recycling HC'!Q80+'Ethylene Recycling HC'!Q175-'Ethylene Recycling HC'!$C$80-'Ethylene Recycling HC'!$C$175+'Ethylene Recycling HC'!Q83+'Ethylene Recycling HC'!Q178-'Ethylene Recycling HC'!$C$83-'Ethylene Recycling HC'!$C$178)</f>
        <v>-7.7254730769780702</v>
      </c>
      <c r="S119" s="196">
        <f>S59-('Ethylene Recycling HC'!R80+'Ethylene Recycling HC'!R175-'Ethylene Recycling HC'!$C$80-'Ethylene Recycling HC'!$C$175+'Ethylene Recycling HC'!R83+'Ethylene Recycling HC'!R178-'Ethylene Recycling HC'!$C$83-'Ethylene Recycling HC'!$C$178)</f>
        <v>-8.1764086203758204</v>
      </c>
      <c r="T119" s="196">
        <f>T59-('Ethylene Recycling HC'!S80+'Ethylene Recycling HC'!S175-'Ethylene Recycling HC'!$C$80-'Ethylene Recycling HC'!$C$175+'Ethylene Recycling HC'!S83+'Ethylene Recycling HC'!S178-'Ethylene Recycling HC'!$C$83-'Ethylene Recycling HC'!$C$178)</f>
        <v>-8.5856687920628509</v>
      </c>
      <c r="U119" s="196">
        <f>U59-('Ethylene Recycling HC'!T80+'Ethylene Recycling HC'!T175-'Ethylene Recycling HC'!$C$80-'Ethylene Recycling HC'!$C$175+'Ethylene Recycling HC'!T83+'Ethylene Recycling HC'!T178-'Ethylene Recycling HC'!$C$83-'Ethylene Recycling HC'!$C$178)</f>
        <v>-8.9468554644038694</v>
      </c>
      <c r="V119" s="196">
        <f>V59-('Ethylene Recycling HC'!U80+'Ethylene Recycling HC'!U175-'Ethylene Recycling HC'!$C$80-'Ethylene Recycling HC'!$C$175+'Ethylene Recycling HC'!U83+'Ethylene Recycling HC'!U178-'Ethylene Recycling HC'!$C$83-'Ethylene Recycling HC'!$C$178)</f>
        <v>-9.2569072761235844</v>
      </c>
      <c r="W119" s="196">
        <f>W59-('Ethylene Recycling HC'!V80+'Ethylene Recycling HC'!V175-'Ethylene Recycling HC'!$C$80-'Ethylene Recycling HC'!$C$175+'Ethylene Recycling HC'!V83+'Ethylene Recycling HC'!V178-'Ethylene Recycling HC'!$C$83-'Ethylene Recycling HC'!$C$178)</f>
        <v>-9.5132762379456111</v>
      </c>
      <c r="X119" s="196">
        <f>X59-('Ethylene Recycling HC'!W80+'Ethylene Recycling HC'!W175-'Ethylene Recycling HC'!$C$80-'Ethylene Recycling HC'!$C$175+'Ethylene Recycling HC'!W83+'Ethylene Recycling HC'!W178-'Ethylene Recycling HC'!$C$83-'Ethylene Recycling HC'!$C$178)</f>
        <v>-9.7139228689001431</v>
      </c>
      <c r="Y119" s="196">
        <f>Y59-('Ethylene Recycling HC'!X80+'Ethylene Recycling HC'!X175-'Ethylene Recycling HC'!$C$80-'Ethylene Recycling HC'!$C$175+'Ethylene Recycling HC'!X83+'Ethylene Recycling HC'!X178-'Ethylene Recycling HC'!$C$83-'Ethylene Recycling HC'!$C$178)</f>
        <v>-9.8828920813178236</v>
      </c>
      <c r="Z119" s="196">
        <f>Z59-('Ethylene Recycling HC'!Y80+'Ethylene Recycling HC'!Y175-'Ethylene Recycling HC'!$C$80-'Ethylene Recycling HC'!$C$175+'Ethylene Recycling HC'!Y83+'Ethylene Recycling HC'!Y178-'Ethylene Recycling HC'!$C$83-'Ethylene Recycling HC'!$C$178)</f>
        <v>-10.148230715236476</v>
      </c>
      <c r="AA119" s="196">
        <f>AA59-('Ethylene Recycling HC'!Z80+'Ethylene Recycling HC'!Z175-'Ethylene Recycling HC'!$C$80-'Ethylene Recycling HC'!$C$175+'Ethylene Recycling HC'!Z83+'Ethylene Recycling HC'!Z178-'Ethylene Recycling HC'!$C$83-'Ethylene Recycling HC'!$C$178)</f>
        <v>-10.34038431751107</v>
      </c>
      <c r="AB119" s="196">
        <f>AB59-('Ethylene Recycling HC'!AA80+'Ethylene Recycling HC'!AA175-'Ethylene Recycling HC'!$C$80-'Ethylene Recycling HC'!$C$175+'Ethylene Recycling HC'!AA83+'Ethylene Recycling HC'!AA178-'Ethylene Recycling HC'!$C$83-'Ethylene Recycling HC'!$C$178)</f>
        <v>-10.457348203102784</v>
      </c>
      <c r="AC119" s="196">
        <f>AC59-('Ethylene Recycling HC'!AB80+'Ethylene Recycling HC'!AB175-'Ethylene Recycling HC'!$C$80-'Ethylene Recycling HC'!$C$175+'Ethylene Recycling HC'!AB83+'Ethylene Recycling HC'!AB178-'Ethylene Recycling HC'!$C$83-'Ethylene Recycling HC'!$C$178)</f>
        <v>-10.497920135675077</v>
      </c>
      <c r="AD119" s="196">
        <f>AD59-('Ethylene Recycling HC'!AC80+'Ethylene Recycling HC'!AC175-'Ethylene Recycling HC'!$C$80-'Ethylene Recycling HC'!$C$175+'Ethylene Recycling HC'!AC83+'Ethylene Recycling HC'!AC178-'Ethylene Recycling HC'!$C$83-'Ethylene Recycling HC'!$C$178)</f>
        <v>-10.45772697593492</v>
      </c>
      <c r="AE119" s="196">
        <f>AE59-('Ethylene Recycling HC'!AD80+'Ethylene Recycling HC'!AD175-'Ethylene Recycling HC'!$C$80-'Ethylene Recycling HC'!$C$175+'Ethylene Recycling HC'!AD83+'Ethylene Recycling HC'!AD178-'Ethylene Recycling HC'!$C$83-'Ethylene Recycling HC'!$C$178)</f>
        <v>-10.340483283169718</v>
      </c>
      <c r="AF119" s="196">
        <f>AF59-('Ethylene Recycling HC'!AE80+'Ethylene Recycling HC'!AE175-'Ethylene Recycling HC'!$C$80-'Ethylene Recycling HC'!$C$175+'Ethylene Recycling HC'!AE83+'Ethylene Recycling HC'!AE178-'Ethylene Recycling HC'!$C$83-'Ethylene Recycling HC'!$C$178)</f>
        <v>-10.147312160720297</v>
      </c>
      <c r="AG119" s="196">
        <f>AG59-('Ethylene Recycling HC'!AF80+'Ethylene Recycling HC'!AF175-'Ethylene Recycling HC'!$C$80-'Ethylene Recycling HC'!$C$175+'Ethylene Recycling HC'!AF83+'Ethylene Recycling HC'!AF178-'Ethylene Recycling HC'!$C$83-'Ethylene Recycling HC'!$C$178)</f>
        <v>-9.8801074905175135</v>
      </c>
      <c r="AH119" s="196">
        <f>AH59-('Ethylene Recycling HC'!AG80+'Ethylene Recycling HC'!AG175-'Ethylene Recycling HC'!$C$80-'Ethylene Recycling HC'!$C$175+'Ethylene Recycling HC'!AG83+'Ethylene Recycling HC'!AG178-'Ethylene Recycling HC'!$C$83-'Ethylene Recycling HC'!$C$178)</f>
        <v>-9.5756716454846789</v>
      </c>
      <c r="AI119" s="411"/>
    </row>
    <row r="120" spans="1:36" s="62" customFormat="1">
      <c r="A120" s="691" t="s">
        <v>686</v>
      </c>
      <c r="B120" s="55" t="s">
        <v>683</v>
      </c>
      <c r="C120" s="56" t="s">
        <v>166</v>
      </c>
      <c r="D120" s="630">
        <f>D60-('Ethylene Recycling HC'!C176+'Ethylene Recycling HC'!C81-'Ethylene Recycling HC'!$C$176-'Ethylene Recycling HC'!$C$81)</f>
        <v>0</v>
      </c>
      <c r="E120" s="630">
        <f>E60-('Ethylene Recycling HC'!D176+'Ethylene Recycling HC'!D81-'Ethylene Recycling HC'!$C$176-'Ethylene Recycling HC'!$C$81)</f>
        <v>0</v>
      </c>
      <c r="F120" s="630">
        <f>F60-('Ethylene Recycling HC'!E176+'Ethylene Recycling HC'!E81-'Ethylene Recycling HC'!$C$176-'Ethylene Recycling HC'!$C$81)</f>
        <v>0</v>
      </c>
      <c r="G120" s="630">
        <f>G60-('Ethylene Recycling HC'!F176+'Ethylene Recycling HC'!F81-'Ethylene Recycling HC'!$C$176-'Ethylene Recycling HC'!$C$81)</f>
        <v>0</v>
      </c>
      <c r="H120" s="630">
        <f>H60-('Ethylene Recycling HC'!G176+'Ethylene Recycling HC'!G81-'Ethylene Recycling HC'!$C$176-'Ethylene Recycling HC'!$C$81)</f>
        <v>0</v>
      </c>
      <c r="I120" s="630">
        <f>I60-('Ethylene Recycling HC'!H176+'Ethylene Recycling HC'!H81-'Ethylene Recycling HC'!$C$176-'Ethylene Recycling HC'!$C$81)</f>
        <v>0</v>
      </c>
      <c r="J120" s="630">
        <f>J60-('Ethylene Recycling HC'!I176+'Ethylene Recycling HC'!I81-'Ethylene Recycling HC'!$C$176-'Ethylene Recycling HC'!$C$81)</f>
        <v>0</v>
      </c>
      <c r="K120" s="630">
        <f>K60-('Ethylene Recycling HC'!J176+'Ethylene Recycling HC'!J81-'Ethylene Recycling HC'!$C$176-'Ethylene Recycling HC'!$C$81)</f>
        <v>0</v>
      </c>
      <c r="L120" s="630">
        <f>L60-('Ethylene Recycling HC'!K176+'Ethylene Recycling HC'!K81-'Ethylene Recycling HC'!$C$176-'Ethylene Recycling HC'!$C$81)</f>
        <v>0</v>
      </c>
      <c r="M120" s="630">
        <f>M60-('Ethylene Recycling HC'!L176+'Ethylene Recycling HC'!L81-'Ethylene Recycling HC'!$C$176-'Ethylene Recycling HC'!$C$81)</f>
        <v>0</v>
      </c>
      <c r="N120" s="630">
        <f>N60-('Ethylene Recycling HC'!M176+'Ethylene Recycling HC'!M81-'Ethylene Recycling HC'!$C$176-'Ethylene Recycling HC'!$C$81)</f>
        <v>0</v>
      </c>
      <c r="O120" s="630">
        <f>O60-('Ethylene Recycling HC'!N176+'Ethylene Recycling HC'!N81-'Ethylene Recycling HC'!$C$176-'Ethylene Recycling HC'!$C$81)</f>
        <v>0</v>
      </c>
      <c r="P120" s="630">
        <f>P60-('Ethylene Recycling HC'!O176+'Ethylene Recycling HC'!O81-'Ethylene Recycling HC'!$C$176-'Ethylene Recycling HC'!$C$81)</f>
        <v>0</v>
      </c>
      <c r="Q120" s="630">
        <f>Q60-('Ethylene Recycling HC'!P176+'Ethylene Recycling HC'!P81-'Ethylene Recycling HC'!$C$176-'Ethylene Recycling HC'!$C$81)</f>
        <v>0</v>
      </c>
      <c r="R120" s="630">
        <f>R60-('Ethylene Recycling HC'!Q176+'Ethylene Recycling HC'!Q81-'Ethylene Recycling HC'!$C$176-'Ethylene Recycling HC'!$C$81)</f>
        <v>0</v>
      </c>
      <c r="S120" s="630">
        <f>S60-('Ethylene Recycling HC'!R176+'Ethylene Recycling HC'!R81-'Ethylene Recycling HC'!$C$176-'Ethylene Recycling HC'!$C$81)</f>
        <v>0</v>
      </c>
      <c r="T120" s="630">
        <f>T60-('Ethylene Recycling HC'!S176+'Ethylene Recycling HC'!S81-'Ethylene Recycling HC'!$C$176-'Ethylene Recycling HC'!$C$81)</f>
        <v>0</v>
      </c>
      <c r="U120" s="630">
        <f>U60-('Ethylene Recycling HC'!T176+'Ethylene Recycling HC'!T81-'Ethylene Recycling HC'!$C$176-'Ethylene Recycling HC'!$C$81)</f>
        <v>0</v>
      </c>
      <c r="V120" s="630">
        <f>V60-('Ethylene Recycling HC'!U176+'Ethylene Recycling HC'!U81-'Ethylene Recycling HC'!$C$176-'Ethylene Recycling HC'!$C$81)</f>
        <v>0</v>
      </c>
      <c r="W120" s="630">
        <f>W60-('Ethylene Recycling HC'!V176+'Ethylene Recycling HC'!V81-'Ethylene Recycling HC'!$C$176-'Ethylene Recycling HC'!$C$81)</f>
        <v>0</v>
      </c>
      <c r="X120" s="630">
        <f>X60-('Ethylene Recycling HC'!W176+'Ethylene Recycling HC'!W81-'Ethylene Recycling HC'!$C$176-'Ethylene Recycling HC'!$C$81)</f>
        <v>0</v>
      </c>
      <c r="Y120" s="630">
        <f>Y60-('Ethylene Recycling HC'!X176+'Ethylene Recycling HC'!X81-'Ethylene Recycling HC'!$C$176-'Ethylene Recycling HC'!$C$81)</f>
        <v>0</v>
      </c>
      <c r="Z120" s="630">
        <f>Z60-('Ethylene Recycling HC'!Y176+'Ethylene Recycling HC'!Y81-'Ethylene Recycling HC'!$C$176-'Ethylene Recycling HC'!$C$81)</f>
        <v>0</v>
      </c>
      <c r="AA120" s="630">
        <f>AA60-('Ethylene Recycling HC'!Z176+'Ethylene Recycling HC'!Z81-'Ethylene Recycling HC'!$C$176-'Ethylene Recycling HC'!$C$81)</f>
        <v>0</v>
      </c>
      <c r="AB120" s="630">
        <f>AB60-('Ethylene Recycling HC'!AA176+'Ethylene Recycling HC'!AA81-'Ethylene Recycling HC'!$C$176-'Ethylene Recycling HC'!$C$81)</f>
        <v>0</v>
      </c>
      <c r="AC120" s="630">
        <f>AC60-('Ethylene Recycling HC'!AB176+'Ethylene Recycling HC'!AB81-'Ethylene Recycling HC'!$C$176-'Ethylene Recycling HC'!$C$81)</f>
        <v>0</v>
      </c>
      <c r="AD120" s="630">
        <f>AD60-('Ethylene Recycling HC'!AC176+'Ethylene Recycling HC'!AC81-'Ethylene Recycling HC'!$C$176-'Ethylene Recycling HC'!$C$81)</f>
        <v>0</v>
      </c>
      <c r="AE120" s="630">
        <f>AE60-('Ethylene Recycling HC'!AD176+'Ethylene Recycling HC'!AD81-'Ethylene Recycling HC'!$C$176-'Ethylene Recycling HC'!$C$81)</f>
        <v>0</v>
      </c>
      <c r="AF120" s="630">
        <f>AF60-('Ethylene Recycling HC'!AE176+'Ethylene Recycling HC'!AE81-'Ethylene Recycling HC'!$C$176-'Ethylene Recycling HC'!$C$81)</f>
        <v>0</v>
      </c>
      <c r="AG120" s="630">
        <f>AG60-('Ethylene Recycling HC'!AF176+'Ethylene Recycling HC'!AF81-'Ethylene Recycling HC'!$C$176-'Ethylene Recycling HC'!$C$81)</f>
        <v>0</v>
      </c>
      <c r="AH120" s="630">
        <f>AH60-('Ethylene Recycling HC'!AG176+'Ethylene Recycling HC'!AG81-'Ethylene Recycling HC'!$C$176-'Ethylene Recycling HC'!$C$81)</f>
        <v>0</v>
      </c>
      <c r="AI120" s="57"/>
    </row>
    <row r="121" spans="1:36" s="63" customFormat="1">
      <c r="A121" s="692"/>
      <c r="B121" s="59" t="s">
        <v>682</v>
      </c>
      <c r="C121" s="262" t="s">
        <v>166</v>
      </c>
      <c r="D121" s="599">
        <f>D61-('Ethylene Recycling HC'!C82+'Ethylene Recycling HC'!C177-'Ethylene Recycling HC'!$C$82-'Ethylene Recycling HC'!$C$177)</f>
        <v>5757.6219164365784</v>
      </c>
      <c r="E121" s="599">
        <f>E61-('Ethylene Recycling HC'!D82+'Ethylene Recycling HC'!D177-'Ethylene Recycling HC'!$C$82-'Ethylene Recycling HC'!$C$177)</f>
        <v>5469.9808527098739</v>
      </c>
      <c r="F121" s="599">
        <f>F61-('Ethylene Recycling HC'!E82+'Ethylene Recycling HC'!E177-'Ethylene Recycling HC'!$C$82-'Ethylene Recycling HC'!$C$177)</f>
        <v>5204.2267661557507</v>
      </c>
      <c r="G121" s="599">
        <f>G61-('Ethylene Recycling HC'!F82+'Ethylene Recycling HC'!F177-'Ethylene Recycling HC'!$C$82-'Ethylene Recycling HC'!$C$177)</f>
        <v>4959.2778084008323</v>
      </c>
      <c r="H121" s="599">
        <f>H61-('Ethylene Recycling HC'!G82+'Ethylene Recycling HC'!G177-'Ethylene Recycling HC'!$C$82-'Ethylene Recycling HC'!$C$177)</f>
        <v>4734.0591824034091</v>
      </c>
      <c r="I121" s="599">
        <f>I61-('Ethylene Recycling HC'!H82+'Ethylene Recycling HC'!H177-'Ethylene Recycling HC'!$C$82-'Ethylene Recycling HC'!$C$177)</f>
        <v>4527.5031424534673</v>
      </c>
      <c r="J121" s="599">
        <f>J61-('Ethylene Recycling HC'!I82+'Ethylene Recycling HC'!I177-'Ethylene Recycling HC'!$C$82-'Ethylene Recycling HC'!$C$177)</f>
        <v>4380.2170585432641</v>
      </c>
      <c r="K121" s="599">
        <f>K61-('Ethylene Recycling HC'!J82+'Ethylene Recycling HC'!J177-'Ethylene Recycling HC'!$C$82-'Ethylene Recycling HC'!$C$177)</f>
        <v>4259.2842918467668</v>
      </c>
      <c r="L121" s="599">
        <f>L61-('Ethylene Recycling HC'!K82+'Ethylene Recycling HC'!K177-'Ethylene Recycling HC'!$C$82-'Ethylene Recycling HC'!$C$177)</f>
        <v>4164.3636023486997</v>
      </c>
      <c r="M121" s="599">
        <f>M61-('Ethylene Recycling HC'!L82+'Ethylene Recycling HC'!L177-'Ethylene Recycling HC'!$C$82-'Ethylene Recycling HC'!$C$177)</f>
        <v>4095.1208013654227</v>
      </c>
      <c r="N121" s="599">
        <f>N61-('Ethylene Recycling HC'!M82+'Ethylene Recycling HC'!M177-'Ethylene Recycling HC'!$C$82-'Ethylene Recycling HC'!$C$177)</f>
        <v>4051.2287515449948</v>
      </c>
      <c r="O121" s="599">
        <f>O61-('Ethylene Recycling HC'!N82+'Ethylene Recycling HC'!N177-'Ethylene Recycling HC'!$C$82-'Ethylene Recycling HC'!$C$177)</f>
        <v>3709.7690919785505</v>
      </c>
      <c r="P121" s="599">
        <f>P61-('Ethylene Recycling HC'!O82+'Ethylene Recycling HC'!O177-'Ethylene Recycling HC'!$C$82-'Ethylene Recycling HC'!$C$177)</f>
        <v>3375.8152319246392</v>
      </c>
      <c r="Q121" s="599">
        <f>Q61-('Ethylene Recycling HC'!P82+'Ethylene Recycling HC'!P177-'Ethylene Recycling HC'!$C$82-'Ethylene Recycling HC'!$C$177)</f>
        <v>3192.7284865223332</v>
      </c>
      <c r="R121" s="599">
        <f>R61-('Ethylene Recycling HC'!Q82+'Ethylene Recycling HC'!Q177-'Ethylene Recycling HC'!$C$82-'Ethylene Recycling HC'!$C$177)</f>
        <v>3082.422561776832</v>
      </c>
      <c r="S121" s="599">
        <f>S61-('Ethylene Recycling HC'!R82+'Ethylene Recycling HC'!R177-'Ethylene Recycling HC'!$C$82-'Ethylene Recycling HC'!$C$177)</f>
        <v>3042.1486996889485</v>
      </c>
      <c r="T121" s="599">
        <f>T61-('Ethylene Recycling HC'!S82+'Ethylene Recycling HC'!S177-'Ethylene Recycling HC'!$C$82-'Ethylene Recycling HC'!$C$177)</f>
        <v>3035.1038044891307</v>
      </c>
      <c r="U121" s="599">
        <f>U61-('Ethylene Recycling HC'!T82+'Ethylene Recycling HC'!T177-'Ethylene Recycling HC'!$C$82-'Ethylene Recycling HC'!$C$177)</f>
        <v>3086.550135223591</v>
      </c>
      <c r="V121" s="599">
        <f>V61-('Ethylene Recycling HC'!U82+'Ethylene Recycling HC'!U177-'Ethylene Recycling HC'!$C$82-'Ethylene Recycling HC'!$C$177)</f>
        <v>3193.4308672808511</v>
      </c>
      <c r="W121" s="599">
        <f>W61-('Ethylene Recycling HC'!V82+'Ethylene Recycling HC'!V177-'Ethylene Recycling HC'!$C$82-'Ethylene Recycling HC'!$C$177)</f>
        <v>3352.7184790639708</v>
      </c>
      <c r="X121" s="599">
        <f>X61-('Ethylene Recycling HC'!W82+'Ethylene Recycling HC'!W177-'Ethylene Recycling HC'!$C$82-'Ethylene Recycling HC'!$C$177)</f>
        <v>3561.4147519905218</v>
      </c>
      <c r="Y121" s="599">
        <f>Y61-('Ethylene Recycling HC'!X82+'Ethylene Recycling HC'!X177-'Ethylene Recycling HC'!$C$82-'Ethylene Recycling HC'!$C$177)</f>
        <v>3679.6517284048618</v>
      </c>
      <c r="Z121" s="599">
        <f>Z61-('Ethylene Recycling HC'!Y82+'Ethylene Recycling HC'!Y177-'Ethylene Recycling HC'!$C$82-'Ethylene Recycling HC'!$C$177)</f>
        <v>3632.4384083859045</v>
      </c>
      <c r="AA121" s="599">
        <f>AA61-('Ethylene Recycling HC'!Z82+'Ethylene Recycling HC'!Z177-'Ethylene Recycling HC'!$C$82-'Ethylene Recycling HC'!$C$177)</f>
        <v>3666.2116794421595</v>
      </c>
      <c r="AB121" s="599">
        <f>AB61-('Ethylene Recycling HC'!AA82+'Ethylene Recycling HC'!AA177-'Ethylene Recycling HC'!$C$82-'Ethylene Recycling HC'!$C$177)</f>
        <v>3776.3111788359988</v>
      </c>
      <c r="AC121" s="599">
        <f>AC61-('Ethylene Recycling HC'!AB82+'Ethylene Recycling HC'!AB177-'Ethylene Recycling HC'!$C$82-'Ethylene Recycling HC'!$C$177)</f>
        <v>3958.1242457451895</v>
      </c>
      <c r="AD121" s="599">
        <f>AD61-('Ethylene Recycling HC'!AC82+'Ethylene Recycling HC'!AC177-'Ethylene Recycling HC'!$C$82-'Ethylene Recycling HC'!$C$177)</f>
        <v>4246.9697023078998</v>
      </c>
      <c r="AE121" s="599">
        <f>AE61-('Ethylene Recycling HC'!AD82+'Ethylene Recycling HC'!AD177-'Ethylene Recycling HC'!$C$82-'Ethylene Recycling HC'!$C$177)</f>
        <v>4604.780782977843</v>
      </c>
      <c r="AF121" s="599">
        <f>AF61-('Ethylene Recycling HC'!AE82+'Ethylene Recycling HC'!AE177-'Ethylene Recycling HC'!$C$82-'Ethylene Recycling HC'!$C$177)</f>
        <v>5027.4349415301649</v>
      </c>
      <c r="AG121" s="599">
        <f>AG61-('Ethylene Recycling HC'!AF82+'Ethylene Recycling HC'!AF177-'Ethylene Recycling HC'!$C$82-'Ethylene Recycling HC'!$C$177)</f>
        <v>5510.85733365536</v>
      </c>
      <c r="AH121" s="599">
        <f>AH61-('Ethylene Recycling HC'!AG82+'Ethylene Recycling HC'!AG177-'Ethylene Recycling HC'!$C$82-'Ethylene Recycling HC'!$C$177)</f>
        <v>5707.5888539255757</v>
      </c>
      <c r="AI121" s="263"/>
    </row>
    <row r="122" spans="1:36" s="62" customFormat="1">
      <c r="A122" s="55" t="s">
        <v>259</v>
      </c>
      <c r="B122" s="55" t="s">
        <v>195</v>
      </c>
      <c r="C122" s="95" t="s">
        <v>166</v>
      </c>
      <c r="D122" s="631">
        <f>D43</f>
        <v>201906.27397932502</v>
      </c>
      <c r="E122" s="631">
        <f t="shared" ref="E122:AH122" si="40">E43</f>
        <v>196950.85522489337</v>
      </c>
      <c r="F122" s="631">
        <f t="shared" si="40"/>
        <v>191995.43647046175</v>
      </c>
      <c r="G122" s="631">
        <f t="shared" si="40"/>
        <v>187040.0177160301</v>
      </c>
      <c r="H122" s="631">
        <f t="shared" si="40"/>
        <v>182084.59896159847</v>
      </c>
      <c r="I122" s="631">
        <f t="shared" si="40"/>
        <v>177129.18020716679</v>
      </c>
      <c r="J122" s="631">
        <f t="shared" si="40"/>
        <v>172173.76145273517</v>
      </c>
      <c r="K122" s="631">
        <f t="shared" si="40"/>
        <v>167218.34269830352</v>
      </c>
      <c r="L122" s="631">
        <f t="shared" si="40"/>
        <v>162262.92394387187</v>
      </c>
      <c r="M122" s="631">
        <f t="shared" si="40"/>
        <v>157307.50518944024</v>
      </c>
      <c r="N122" s="631">
        <f t="shared" si="40"/>
        <v>152352.08643500859</v>
      </c>
      <c r="O122" s="631">
        <f t="shared" si="40"/>
        <v>147396.66768057697</v>
      </c>
      <c r="P122" s="631">
        <f t="shared" si="40"/>
        <v>142441.24892614529</v>
      </c>
      <c r="Q122" s="631">
        <f t="shared" si="40"/>
        <v>137485.83017171363</v>
      </c>
      <c r="R122" s="631">
        <f t="shared" si="40"/>
        <v>132530.41141728201</v>
      </c>
      <c r="S122" s="631">
        <f t="shared" si="40"/>
        <v>127574.99266285037</v>
      </c>
      <c r="T122" s="631">
        <f t="shared" si="40"/>
        <v>122619.57390841874</v>
      </c>
      <c r="U122" s="631">
        <f t="shared" si="40"/>
        <v>117664.15515398709</v>
      </c>
      <c r="V122" s="631">
        <f t="shared" si="40"/>
        <v>112708.73639955545</v>
      </c>
      <c r="W122" s="631">
        <f t="shared" si="40"/>
        <v>107753.31764512381</v>
      </c>
      <c r="X122" s="631">
        <f t="shared" si="40"/>
        <v>102797.89889069216</v>
      </c>
      <c r="Y122" s="631">
        <f t="shared" si="40"/>
        <v>97692.315931580757</v>
      </c>
      <c r="Z122" s="631">
        <f t="shared" si="40"/>
        <v>92586.732972469385</v>
      </c>
      <c r="AA122" s="631">
        <f t="shared" si="40"/>
        <v>87481.150013357983</v>
      </c>
      <c r="AB122" s="631">
        <f t="shared" si="40"/>
        <v>82375.567054246596</v>
      </c>
      <c r="AC122" s="631">
        <f t="shared" si="40"/>
        <v>77269.984095135194</v>
      </c>
      <c r="AD122" s="631">
        <f t="shared" si="40"/>
        <v>72164.401136023807</v>
      </c>
      <c r="AE122" s="631">
        <f t="shared" si="40"/>
        <v>67058.818176912435</v>
      </c>
      <c r="AF122" s="631">
        <f t="shared" si="40"/>
        <v>61953.235217801048</v>
      </c>
      <c r="AG122" s="631">
        <f t="shared" si="40"/>
        <v>56847.652258689661</v>
      </c>
      <c r="AH122" s="631">
        <f t="shared" si="40"/>
        <v>51742.069299578259</v>
      </c>
    </row>
    <row r="123" spans="1:36" outlineLevel="1">
      <c r="A123"/>
      <c r="B123" t="s">
        <v>262</v>
      </c>
      <c r="C123" s="51" t="s">
        <v>166</v>
      </c>
      <c r="D123" s="196">
        <f>0</f>
        <v>0</v>
      </c>
      <c r="E123" s="196">
        <f>'Ethylene Recycling HC'!D196*'Ethylene Recycling HC'!D44-'Ethylene Recycling HC'!$C$196*'Ethylene Recycling HC'!$C$44</f>
        <v>779.23422146663711</v>
      </c>
      <c r="F123" s="196">
        <f>'Ethylene Recycling HC'!E196*'Ethylene Recycling HC'!E44-'Ethylene Recycling HC'!$C$196*'Ethylene Recycling HC'!$C$44</f>
        <v>1554.8169929978728</v>
      </c>
      <c r="G123" s="196">
        <f>'Ethylene Recycling HC'!F196*'Ethylene Recycling HC'!F44-'Ethylene Recycling HC'!$C$196*'Ethylene Recycling HC'!$C$44</f>
        <v>2326.7483145937076</v>
      </c>
      <c r="H123" s="196">
        <f>'Ethylene Recycling HC'!G196*'Ethylene Recycling HC'!G44-'Ethylene Recycling HC'!$C$196*'Ethylene Recycling HC'!$C$44</f>
        <v>3095.0281862541406</v>
      </c>
      <c r="I123" s="196">
        <f>'Ethylene Recycling HC'!H196*'Ethylene Recycling HC'!H44-'Ethylene Recycling HC'!$C$196*'Ethylene Recycling HC'!$C$44</f>
        <v>3859.6566079791728</v>
      </c>
      <c r="J123" s="196">
        <f>'Ethylene Recycling HC'!I196*'Ethylene Recycling HC'!I44-'Ethylene Recycling HC'!$C$196*'Ethylene Recycling HC'!$C$44</f>
        <v>4620.6335797688025</v>
      </c>
      <c r="K123" s="196">
        <f>'Ethylene Recycling HC'!J196*'Ethylene Recycling HC'!J44-'Ethylene Recycling HC'!$C$196*'Ethylene Recycling HC'!$C$44</f>
        <v>5377.9591016230324</v>
      </c>
      <c r="L123" s="196">
        <f>'Ethylene Recycling HC'!K196*'Ethylene Recycling HC'!K44-'Ethylene Recycling HC'!$C$196*'Ethylene Recycling HC'!$C$44</f>
        <v>6131.6331735418589</v>
      </c>
      <c r="M123" s="196">
        <f>'Ethylene Recycling HC'!L196*'Ethylene Recycling HC'!L44-'Ethylene Recycling HC'!$C$196*'Ethylene Recycling HC'!$C$44</f>
        <v>6881.6557955252847</v>
      </c>
      <c r="N123" s="196">
        <f>'Ethylene Recycling HC'!M196*'Ethylene Recycling HC'!M44-'Ethylene Recycling HC'!$C$196*'Ethylene Recycling HC'!$C$44</f>
        <v>7628.0269675733089</v>
      </c>
      <c r="O123" s="196">
        <f>'Ethylene Recycling HC'!N196*'Ethylene Recycling HC'!N44-'Ethylene Recycling HC'!$C$196*'Ethylene Recycling HC'!$C$44</f>
        <v>9063.8194129772764</v>
      </c>
      <c r="P123" s="196">
        <f>'Ethylene Recycling HC'!O196*'Ethylene Recycling HC'!O44-'Ethylene Recycling HC'!$C$196*'Ethylene Recycling HC'!$C$44</f>
        <v>10492.651281941886</v>
      </c>
      <c r="Q123" s="196">
        <f>'Ethylene Recycling HC'!P196*'Ethylene Recycling HC'!P44-'Ethylene Recycling HC'!$C$196*'Ethylene Recycling HC'!$C$44</f>
        <v>11914.522574467133</v>
      </c>
      <c r="R123" s="196">
        <f>'Ethylene Recycling HC'!Q196*'Ethylene Recycling HC'!Q44-'Ethylene Recycling HC'!$C$196*'Ethylene Recycling HC'!$C$44</f>
        <v>13329.433290553023</v>
      </c>
      <c r="S123" s="196">
        <f>'Ethylene Recycling HC'!R196*'Ethylene Recycling HC'!R44-'Ethylene Recycling HC'!$C$196*'Ethylene Recycling HC'!$C$44</f>
        <v>14737.383430199556</v>
      </c>
      <c r="T123" s="196">
        <f>'Ethylene Recycling HC'!S196*'Ethylene Recycling HC'!S44-'Ethylene Recycling HC'!$C$196*'Ethylene Recycling HC'!$C$44</f>
        <v>16138.372993406727</v>
      </c>
      <c r="U123" s="196">
        <f>'Ethylene Recycling HC'!T196*'Ethylene Recycling HC'!T44-'Ethylene Recycling HC'!$C$196*'Ethylene Recycling HC'!$C$44</f>
        <v>17532.401980174542</v>
      </c>
      <c r="V123" s="196">
        <f>'Ethylene Recycling HC'!U196*'Ethylene Recycling HC'!U44-'Ethylene Recycling HC'!$C$196*'Ethylene Recycling HC'!$C$44</f>
        <v>18919.470390502996</v>
      </c>
      <c r="W123" s="196">
        <f>'Ethylene Recycling HC'!V196*'Ethylene Recycling HC'!V44-'Ethylene Recycling HC'!$C$196*'Ethylene Recycling HC'!$C$44</f>
        <v>20299.578224392091</v>
      </c>
      <c r="X123" s="196">
        <f>'Ethylene Recycling HC'!W196*'Ethylene Recycling HC'!W44-'Ethylene Recycling HC'!$C$196*'Ethylene Recycling HC'!$C$44</f>
        <v>21672.725481841826</v>
      </c>
      <c r="Y123" s="196">
        <f>'Ethylene Recycling HC'!X196*'Ethylene Recycling HC'!X44-'Ethylene Recycling HC'!$C$196*'Ethylene Recycling HC'!$C$44</f>
        <v>24137.715002119323</v>
      </c>
      <c r="Z123" s="196">
        <f>'Ethylene Recycling HC'!Y196*'Ethylene Recycling HC'!Y44-'Ethylene Recycling HC'!$C$196*'Ethylene Recycling HC'!$C$44</f>
        <v>26590.369323643517</v>
      </c>
      <c r="AA123" s="196">
        <f>'Ethylene Recycling HC'!Z196*'Ethylene Recycling HC'!Z44-'Ethylene Recycling HC'!$C$196*'Ethylene Recycling HC'!$C$44</f>
        <v>29030.68844641442</v>
      </c>
      <c r="AB123" s="196">
        <f>'Ethylene Recycling HC'!AA196*'Ethylene Recycling HC'!AA44-'Ethylene Recycling HC'!$C$196*'Ethylene Recycling HC'!$C$44</f>
        <v>31458.672370432036</v>
      </c>
      <c r="AC123" s="196">
        <f>'Ethylene Recycling HC'!AB196*'Ethylene Recycling HC'!AB44-'Ethylene Recycling HC'!$C$196*'Ethylene Recycling HC'!$C$44</f>
        <v>33874.321095696345</v>
      </c>
      <c r="AD123" s="196">
        <f>'Ethylene Recycling HC'!AC196*'Ethylene Recycling HC'!AC44-'Ethylene Recycling HC'!$C$196*'Ethylene Recycling HC'!$C$44</f>
        <v>36277.63462220737</v>
      </c>
      <c r="AE123" s="196">
        <f>'Ethylene Recycling HC'!AD196*'Ethylene Recycling HC'!AD44-'Ethylene Recycling HC'!$C$196*'Ethylene Recycling HC'!$C$44</f>
        <v>38668.612949965092</v>
      </c>
      <c r="AF123" s="196">
        <f>'Ethylene Recycling HC'!AE196*'Ethylene Recycling HC'!AE44-'Ethylene Recycling HC'!$C$196*'Ethylene Recycling HC'!$C$44</f>
        <v>41047.256078969527</v>
      </c>
      <c r="AG123" s="196">
        <f>'Ethylene Recycling HC'!AF196*'Ethylene Recycling HC'!AF44-'Ethylene Recycling HC'!$C$196*'Ethylene Recycling HC'!$C$44</f>
        <v>43413.564009220674</v>
      </c>
      <c r="AH123" s="196">
        <f>'Ethylene Recycling HC'!AG196*'Ethylene Recycling HC'!AG44-'Ethylene Recycling HC'!$C$196*'Ethylene Recycling HC'!$C$44</f>
        <v>45767.536740718606</v>
      </c>
    </row>
    <row r="124" spans="1:36" outlineLevel="1">
      <c r="A124"/>
      <c r="B124" t="s">
        <v>264</v>
      </c>
      <c r="C124" s="51" t="s">
        <v>166</v>
      </c>
      <c r="D124" s="196">
        <f>0</f>
        <v>0</v>
      </c>
      <c r="E124" s="196">
        <f>'Ethylene Recycling HC'!D70*'Ethylene Recycling HC'!D42-'Ethylene Recycling HC'!$C$70*'Ethylene Recycling HC'!$C$42</f>
        <v>2190.8065677781124</v>
      </c>
      <c r="F124" s="196">
        <f>'Ethylene Recycling HC'!E70*'Ethylene Recycling HC'!E42-'Ethylene Recycling HC'!$C$70*'Ethylene Recycling HC'!$C$42</f>
        <v>4295.9251193391683</v>
      </c>
      <c r="G124" s="196">
        <f>'Ethylene Recycling HC'!F70*'Ethylene Recycling HC'!F42-'Ethylene Recycling HC'!$C$70*'Ethylene Recycling HC'!$C$42</f>
        <v>6314.8868983083812</v>
      </c>
      <c r="H124" s="196">
        <f>'Ethylene Recycling HC'!G70*'Ethylene Recycling HC'!G42-'Ethylene Recycling HC'!$C$70*'Ethylene Recycling HC'!$C$42</f>
        <v>8247.2301996427268</v>
      </c>
      <c r="I124" s="196">
        <f>'Ethylene Recycling HC'!H70*'Ethylene Recycling HC'!H42-'Ethylene Recycling HC'!$C$70*'Ethylene Recycling HC'!$C$42</f>
        <v>10092.500369630667</v>
      </c>
      <c r="J124" s="196">
        <f>'Ethylene Recycling HC'!I70*'Ethylene Recycling HC'!I42-'Ethylene Recycling HC'!$C$70*'Ethylene Recycling HC'!$C$42</f>
        <v>11850.249805892541</v>
      </c>
      <c r="K124" s="196">
        <f>'Ethylene Recycling HC'!J70*'Ethylene Recycling HC'!J42-'Ethylene Recycling HC'!$C$70*'Ethylene Recycling HC'!$C$42</f>
        <v>13520.037957380293</v>
      </c>
      <c r="L124" s="196">
        <f>'Ethylene Recycling HC'!K70*'Ethylene Recycling HC'!K42-'Ethylene Recycling HC'!$C$70*'Ethylene Recycling HC'!$C$42</f>
        <v>15101.431324377452</v>
      </c>
      <c r="M124" s="196">
        <f>'Ethylene Recycling HC'!L70*'Ethylene Recycling HC'!L42-'Ethylene Recycling HC'!$C$70*'Ethylene Recycling HC'!$C$42</f>
        <v>16594.003458499326</v>
      </c>
      <c r="N124" s="196">
        <f>'Ethylene Recycling HC'!M70*'Ethylene Recycling HC'!M42-'Ethylene Recycling HC'!$C$70*'Ethylene Recycling HC'!$C$42</f>
        <v>17997.334962692898</v>
      </c>
      <c r="O124" s="196">
        <f>'Ethylene Recycling HC'!N70*'Ethylene Recycling HC'!N42-'Ethylene Recycling HC'!$C$70*'Ethylene Recycling HC'!$C$42</f>
        <v>21675.914555925556</v>
      </c>
      <c r="P124" s="196">
        <f>'Ethylene Recycling HC'!O70*'Ethylene Recycling HC'!O42-'Ethylene Recycling HC'!$C$70*'Ethylene Recycling HC'!$C$42</f>
        <v>25511.629944060551</v>
      </c>
      <c r="Q124" s="196">
        <f>'Ethylene Recycling HC'!P70*'Ethylene Recycling HC'!P42-'Ethylene Recycling HC'!$C$70*'Ethylene Recycling HC'!$C$42</f>
        <v>28425.587925362284</v>
      </c>
      <c r="R124" s="196">
        <f>'Ethylene Recycling HC'!Q70*'Ethylene Recycling HC'!Q42-'Ethylene Recycling HC'!$C$70*'Ethylene Recycling HC'!$C$42</f>
        <v>30963.364219668045</v>
      </c>
      <c r="S124" s="196">
        <f>'Ethylene Recycling HC'!R70*'Ethylene Recycling HC'!R42-'Ethylene Recycling HC'!$C$70*'Ethylene Recycling HC'!$C$42</f>
        <v>33123.413300937376</v>
      </c>
      <c r="T124" s="196">
        <f>'Ethylene Recycling HC'!S70*'Ethylene Recycling HC'!S42-'Ethylene Recycling HC'!$C$70*'Ethylene Recycling HC'!$C$42</f>
        <v>34904.21894614429</v>
      </c>
      <c r="U124" s="196">
        <f>'Ethylene Recycling HC'!T70*'Ethylene Recycling HC'!T42-'Ethylene Recycling HC'!$C$70*'Ethylene Recycling HC'!$C$42</f>
        <v>36304.294235277383</v>
      </c>
      <c r="V124" s="196">
        <f>'Ethylene Recycling HC'!U70*'Ethylene Recycling HC'!U42-'Ethylene Recycling HC'!$C$70*'Ethylene Recycling HC'!$C$42</f>
        <v>37322.181551339731</v>
      </c>
      <c r="W124" s="196">
        <f>'Ethylene Recycling HC'!V70*'Ethylene Recycling HC'!V42-'Ethylene Recycling HC'!$C$70*'Ethylene Recycling HC'!$C$42</f>
        <v>37956.452580348981</v>
      </c>
      <c r="X124" s="196">
        <f>'Ethylene Recycling HC'!W70*'Ethylene Recycling HC'!W42-'Ethylene Recycling HC'!$C$70*'Ethylene Recycling HC'!$C$42</f>
        <v>38205.708311337206</v>
      </c>
      <c r="Y124" s="196">
        <f>'Ethylene Recycling HC'!X70*'Ethylene Recycling HC'!X42-'Ethylene Recycling HC'!$C$70*'Ethylene Recycling HC'!$C$42</f>
        <v>38308.104280241838</v>
      </c>
      <c r="Z124" s="196">
        <f>'Ethylene Recycling HC'!Y70*'Ethylene Recycling HC'!Y42-'Ethylene Recycling HC'!$C$70*'Ethylene Recycling HC'!$C$42</f>
        <v>40176.471910459062</v>
      </c>
      <c r="AA124" s="196">
        <f>'Ethylene Recycling HC'!Z70*'Ethylene Recycling HC'!Z42-'Ethylene Recycling HC'!$C$70*'Ethylene Recycling HC'!$C$42</f>
        <v>41419.064713514948</v>
      </c>
      <c r="AB124" s="196">
        <f>'Ethylene Recycling HC'!AA70*'Ethylene Recycling HC'!AA42-'Ethylene Recycling HC'!$C$70*'Ethylene Recycling HC'!$C$42</f>
        <v>42033.688799082403</v>
      </c>
      <c r="AC124" s="196">
        <f>'Ethylene Recycling HC'!AB70*'Ethylene Recycling HC'!AB42-'Ethylene Recycling HC'!$C$70*'Ethylene Recycling HC'!$C$42</f>
        <v>42018.197978749566</v>
      </c>
      <c r="AD124" s="196">
        <f>'Ethylene Recycling HC'!AC70*'Ethylene Recycling HC'!AC42-'Ethylene Recycling HC'!$C$70*'Ethylene Recycling HC'!$C$42</f>
        <v>41370.493766019892</v>
      </c>
      <c r="AE124" s="196">
        <f>'Ethylene Recycling HC'!AD70*'Ethylene Recycling HC'!AD42-'Ethylene Recycling HC'!$C$70*'Ethylene Recycling HC'!$C$42</f>
        <v>40088.525376312391</v>
      </c>
      <c r="AF124" s="196">
        <f>'Ethylene Recycling HC'!AE70*'Ethylene Recycling HC'!AE42-'Ethylene Recycling HC'!$C$70*'Ethylene Recycling HC'!$C$42</f>
        <v>38170.289726961215</v>
      </c>
      <c r="AG124" s="196">
        <f>'Ethylene Recycling HC'!AF70*'Ethylene Recycling HC'!AF42-'Ethylene Recycling HC'!$C$70*'Ethylene Recycling HC'!$C$42</f>
        <v>35613.831437216068</v>
      </c>
      <c r="AH124" s="196">
        <f>'Ethylene Recycling HC'!AG70*'Ethylene Recycling HC'!AG42-'Ethylene Recycling HC'!$C$70*'Ethylene Recycling HC'!$C$42</f>
        <v>32417.24282824203</v>
      </c>
    </row>
    <row r="125" spans="1:36" outlineLevel="1">
      <c r="A125"/>
      <c r="B125" t="s">
        <v>266</v>
      </c>
      <c r="C125" s="51" t="s">
        <v>166</v>
      </c>
      <c r="D125" s="196">
        <f>0</f>
        <v>0</v>
      </c>
      <c r="E125" s="196">
        <f>'Ethylene Recycling HC'!D163*'Ethylene Recycling HC'!D45-'Ethylene Recycling HC'!$C$163*'Ethylene Recycling HC'!$C$45</f>
        <v>195.47002811687616</v>
      </c>
      <c r="F125" s="196">
        <f>'Ethylene Recycling HC'!E163*'Ethylene Recycling HC'!E45-'Ethylene Recycling HC'!$C$163*'Ethylene Recycling HC'!$C$45</f>
        <v>387.13519199906568</v>
      </c>
      <c r="G125" s="196">
        <f>'Ethylene Recycling HC'!F163*'Ethylene Recycling HC'!F45-'Ethylene Recycling HC'!$C$163*'Ethylene Recycling HC'!$C$45</f>
        <v>574.99549164657219</v>
      </c>
      <c r="H125" s="196">
        <f>'Ethylene Recycling HC'!G163*'Ethylene Recycling HC'!G45-'Ethylene Recycling HC'!$C$163*'Ethylene Recycling HC'!$C$45</f>
        <v>759.05092705939296</v>
      </c>
      <c r="I125" s="196">
        <f>'Ethylene Recycling HC'!H163*'Ethylene Recycling HC'!H45-'Ethylene Recycling HC'!$C$163*'Ethylene Recycling HC'!$C$45</f>
        <v>939.30149823752708</v>
      </c>
      <c r="J125" s="196">
        <f>'Ethylene Recycling HC'!I163*'Ethylene Recycling HC'!I45-'Ethylene Recycling HC'!$C$163*'Ethylene Recycling HC'!$C$45</f>
        <v>917.94633498245094</v>
      </c>
      <c r="K125" s="196">
        <f>'Ethylene Recycling HC'!J163*'Ethylene Recycling HC'!J45-'Ethylene Recycling HC'!$C$163*'Ethylene Recycling HC'!$C$45</f>
        <v>882.11710341328853</v>
      </c>
      <c r="L125" s="196">
        <f>'Ethylene Recycling HC'!K163*'Ethylene Recycling HC'!K45-'Ethylene Recycling HC'!$C$163*'Ethylene Recycling HC'!$C$45</f>
        <v>832.1665144445933</v>
      </c>
      <c r="M125" s="196">
        <f>'Ethylene Recycling HC'!L163*'Ethylene Recycling HC'!L45-'Ethylene Recycling HC'!$C$163*'Ethylene Recycling HC'!$C$45</f>
        <v>768.44727899092413</v>
      </c>
      <c r="N125" s="196">
        <f>'Ethylene Recycling HC'!M163*'Ethylene Recycling HC'!M45-'Ethylene Recycling HC'!$C$163*'Ethylene Recycling HC'!$C$45</f>
        <v>691.31210796683263</v>
      </c>
      <c r="O125" s="196">
        <f>'Ethylene Recycling HC'!N163*'Ethylene Recycling HC'!N45-'Ethylene Recycling HC'!$C$163*'Ethylene Recycling HC'!$C$45</f>
        <v>762.38189567236532</v>
      </c>
      <c r="P125" s="196">
        <f>'Ethylene Recycling HC'!O163*'Ethylene Recycling HC'!O45-'Ethylene Recycling HC'!$C$163*'Ethylene Recycling HC'!$C$45</f>
        <v>805.8041638650684</v>
      </c>
      <c r="Q125" s="196">
        <f>'Ethylene Recycling HC'!P163*'Ethylene Recycling HC'!P45-'Ethylene Recycling HC'!$C$163*'Ethylene Recycling HC'!$C$45</f>
        <v>822.2512677258137</v>
      </c>
      <c r="R125" s="196">
        <f>'Ethylene Recycling HC'!Q163*'Ethylene Recycling HC'!Q45-'Ethylene Recycling HC'!$C$163*'Ethylene Recycling HC'!$C$45</f>
        <v>812.39556243547122</v>
      </c>
      <c r="S125" s="196">
        <f>'Ethylene Recycling HC'!R163*'Ethylene Recycling HC'!R45-'Ethylene Recycling HC'!$C$163*'Ethylene Recycling HC'!$C$45</f>
        <v>776.90940317491277</v>
      </c>
      <c r="T125" s="196">
        <f>'Ethylene Recycling HC'!S163*'Ethylene Recycling HC'!S45-'Ethylene Recycling HC'!$C$163*'Ethylene Recycling HC'!$C$45</f>
        <v>799.20801660027337</v>
      </c>
      <c r="U125" s="196">
        <f>'Ethylene Recycling HC'!T163*'Ethylene Recycling HC'!T45-'Ethylene Recycling HC'!$C$163*'Ethylene Recycling HC'!$C$45</f>
        <v>802.89702028078045</v>
      </c>
      <c r="V125" s="196">
        <f>'Ethylene Recycling HC'!U163*'Ethylene Recycling HC'!U45-'Ethylene Recycling HC'!$C$163*'Ethylene Recycling HC'!$C$45</f>
        <v>788.45076188448638</v>
      </c>
      <c r="W125" s="196">
        <f>'Ethylene Recycling HC'!V163*'Ethylene Recycling HC'!V45-'Ethylene Recycling HC'!$C$163*'Ethylene Recycling HC'!$C$45</f>
        <v>756.34358907945443</v>
      </c>
      <c r="X125" s="196">
        <f>'Ethylene Recycling HC'!W163*'Ethylene Recycling HC'!W45-'Ethylene Recycling HC'!$C$163*'Ethylene Recycling HC'!$C$45</f>
        <v>707.04984953373969</v>
      </c>
      <c r="Y125" s="196">
        <f>'Ethylene Recycling HC'!X163*'Ethylene Recycling HC'!X45-'Ethylene Recycling HC'!$C$163*'Ethylene Recycling HC'!$C$45</f>
        <v>805.48538191870375</v>
      </c>
      <c r="Z125" s="196">
        <f>'Ethylene Recycling HC'!Y163*'Ethylene Recycling HC'!Y45-'Ethylene Recycling HC'!$C$163*'Ethylene Recycling HC'!$C$45</f>
        <v>871.86939485696803</v>
      </c>
      <c r="AA125" s="196">
        <f>'Ethylene Recycling HC'!Z163*'Ethylene Recycling HC'!Z45-'Ethylene Recycling HC'!$C$163*'Ethylene Recycling HC'!$C$45</f>
        <v>907.04250446914466</v>
      </c>
      <c r="AB125" s="196">
        <f>'Ethylene Recycling HC'!AA163*'Ethylene Recycling HC'!AA45-'Ethylene Recycling HC'!$C$163*'Ethylene Recycling HC'!$C$45</f>
        <v>911.84532687584397</v>
      </c>
      <c r="AC125" s="196">
        <f>'Ethylene Recycling HC'!AB163*'Ethylene Recycling HC'!AB45-'Ethylene Recycling HC'!$C$163*'Ethylene Recycling HC'!$C$45</f>
        <v>887.11847819767263</v>
      </c>
      <c r="AD125" s="196">
        <f>'Ethylene Recycling HC'!AC163*'Ethylene Recycling HC'!AC45-'Ethylene Recycling HC'!$C$163*'Ethylene Recycling HC'!$C$45</f>
        <v>772.67254101614071</v>
      </c>
      <c r="AE125" s="196">
        <f>'Ethylene Recycling HC'!AD163*'Ethylene Recycling HC'!AD45-'Ethylene Recycling HC'!$C$163*'Ethylene Recycling HC'!$C$45</f>
        <v>625.88461496782566</v>
      </c>
      <c r="AF125" s="196">
        <f>'Ethylene Recycling HC'!AE163*'Ethylene Recycling HC'!AE45-'Ethylene Recycling HC'!$C$163*'Ethylene Recycling HC'!$C$45</f>
        <v>447.76883784961683</v>
      </c>
      <c r="AG125" s="196">
        <f>'Ethylene Recycling HC'!AF163*'Ethylene Recycling HC'!AF45-'Ethylene Recycling HC'!$C$163*'Ethylene Recycling HC'!$C$45</f>
        <v>239.3393474583936</v>
      </c>
      <c r="AH125" s="196">
        <f>'Ethylene Recycling HC'!AG163*'Ethylene Recycling HC'!AG45-'Ethylene Recycling HC'!$C$163*'Ethylene Recycling HC'!$C$45</f>
        <v>-170.12277274079406</v>
      </c>
    </row>
    <row r="126" spans="1:36" outlineLevel="1">
      <c r="A126" s="169"/>
      <c r="B126" s="169" t="s">
        <v>265</v>
      </c>
      <c r="C126" s="165" t="s">
        <v>166</v>
      </c>
      <c r="D126" s="613">
        <f>0</f>
        <v>0</v>
      </c>
      <c r="E126" s="613">
        <f>'Ethylene Recycling HC'!D115*'Ethylene Recycling HC'!D43-'Ethylene Recycling HC'!$C$115*'Ethylene Recycling HC'!$C$43</f>
        <v>134.87293354879921</v>
      </c>
      <c r="F126" s="613">
        <f>'Ethylene Recycling HC'!E115*'Ethylene Recycling HC'!E43-'Ethylene Recycling HC'!$C$115*'Ethylene Recycling HC'!$C$43</f>
        <v>269.10335434533113</v>
      </c>
      <c r="G126" s="613">
        <f>'Ethylene Recycling HC'!F115*'Ethylene Recycling HC'!F43-'Ethylene Recycling HC'!$C$115*'Ethylene Recycling HC'!$C$43</f>
        <v>402.69126238959609</v>
      </c>
      <c r="H126" s="613">
        <f>'Ethylene Recycling HC'!G115*'Ethylene Recycling HC'!G43-'Ethylene Recycling HC'!$C$115*'Ethylene Recycling HC'!$C$43</f>
        <v>535.63665768159399</v>
      </c>
      <c r="I126" s="613">
        <f>'Ethylene Recycling HC'!H115*'Ethylene Recycling HC'!H43-'Ethylene Recycling HC'!$C$115*'Ethylene Recycling HC'!$C$43</f>
        <v>667.93954022132471</v>
      </c>
      <c r="J126" s="613">
        <f>'Ethylene Recycling HC'!I115*'Ethylene Recycling HC'!I43-'Ethylene Recycling HC'!$C$115*'Ethylene Recycling HC'!$C$43</f>
        <v>799.59991000878836</v>
      </c>
      <c r="K126" s="613">
        <f>'Ethylene Recycling HC'!J115*'Ethylene Recycling HC'!J43-'Ethylene Recycling HC'!$C$115*'Ethylene Recycling HC'!$C$43</f>
        <v>930.61776704398494</v>
      </c>
      <c r="L126" s="613">
        <f>'Ethylene Recycling HC'!K115*'Ethylene Recycling HC'!K43-'Ethylene Recycling HC'!$C$115*'Ethylene Recycling HC'!$C$43</f>
        <v>1060.9931113269147</v>
      </c>
      <c r="M126" s="613">
        <f>'Ethylene Recycling HC'!L115*'Ethylene Recycling HC'!L43-'Ethylene Recycling HC'!$C$115*'Ethylene Recycling HC'!$C$43</f>
        <v>1190.7259428575769</v>
      </c>
      <c r="N126" s="613">
        <f>'Ethylene Recycling HC'!M115*'Ethylene Recycling HC'!M43-'Ethylene Recycling HC'!$C$115*'Ethylene Recycling HC'!$C$43</f>
        <v>1319.8162616359714</v>
      </c>
      <c r="O126" s="613">
        <f>'Ethylene Recycling HC'!N115*'Ethylene Recycling HC'!N43-'Ethylene Recycling HC'!$C$115*'Ethylene Recycling HC'!$C$43</f>
        <v>1568.6834679016047</v>
      </c>
      <c r="P126" s="613">
        <f>'Ethylene Recycling HC'!O115*'Ethylene Recycling HC'!O43-'Ethylene Recycling HC'!$C$115*'Ethylene Recycling HC'!$C$43</f>
        <v>1816.3258842332289</v>
      </c>
      <c r="Q126" s="613">
        <f>'Ethylene Recycling HC'!P115*'Ethylene Recycling HC'!P43-'Ethylene Recycling HC'!$C$115*'Ethylene Recycling HC'!$C$43</f>
        <v>2053.9644043595054</v>
      </c>
      <c r="R126" s="613">
        <f>'Ethylene Recycling HC'!Q115*'Ethylene Recycling HC'!Q43-'Ethylene Recycling HC'!$C$115*'Ethylene Recycling HC'!$C$43</f>
        <v>2288.6873066127409</v>
      </c>
      <c r="S126" s="613">
        <f>'Ethylene Recycling HC'!R115*'Ethylene Recycling HC'!R43-'Ethylene Recycling HC'!$C$115*'Ethylene Recycling HC'!$C$43</f>
        <v>2520.5017491082285</v>
      </c>
      <c r="T126" s="613">
        <f>'Ethylene Recycling HC'!S115*'Ethylene Recycling HC'!S43-'Ethylene Recycling HC'!$C$115*'Ethylene Recycling HC'!$C$43</f>
        <v>2749.4150269754996</v>
      </c>
      <c r="U126" s="613">
        <f>'Ethylene Recycling HC'!T115*'Ethylene Recycling HC'!T43-'Ethylene Recycling HC'!$C$115*'Ethylene Recycling HC'!$C$43</f>
        <v>2975.4345713397875</v>
      </c>
      <c r="V126" s="613">
        <f>'Ethylene Recycling HC'!U115*'Ethylene Recycling HC'!U43-'Ethylene Recycling HC'!$C$115*'Ethylene Recycling HC'!$C$43</f>
        <v>3198.5679483035005</v>
      </c>
      <c r="W126" s="613">
        <f>'Ethylene Recycling HC'!V115*'Ethylene Recycling HC'!V43-'Ethylene Recycling HC'!$C$115*'Ethylene Recycling HC'!$C$43</f>
        <v>3418.8228579276765</v>
      </c>
      <c r="X126" s="613">
        <f>'Ethylene Recycling HC'!W115*'Ethylene Recycling HC'!W43-'Ethylene Recycling HC'!$C$115*'Ethylene Recycling HC'!$C$43</f>
        <v>3636.2071332134578</v>
      </c>
      <c r="Y126" s="613">
        <f>'Ethylene Recycling HC'!X115*'Ethylene Recycling HC'!X43-'Ethylene Recycling HC'!$C$115*'Ethylene Recycling HC'!$C$43</f>
        <v>4035.6850495572367</v>
      </c>
      <c r="Z126" s="613">
        <f>'Ethylene Recycling HC'!Y115*'Ethylene Recycling HC'!Y43-'Ethylene Recycling HC'!$C$115*'Ethylene Recycling HC'!$C$43</f>
        <v>4430.0707330205314</v>
      </c>
      <c r="AA126" s="613">
        <f>'Ethylene Recycling HC'!Z115*'Ethylene Recycling HC'!Z43-'Ethylene Recycling HC'!$C$115*'Ethylene Recycling HC'!$C$43</f>
        <v>4775.5410369603997</v>
      </c>
      <c r="AB126" s="613">
        <f>'Ethylene Recycling HC'!AA115*'Ethylene Recycling HC'!AA43-'Ethylene Recycling HC'!$C$115*'Ethylene Recycling HC'!$C$43</f>
        <v>5109.1616902174956</v>
      </c>
      <c r="AC126" s="613">
        <f>'Ethylene Recycling HC'!AB115*'Ethylene Recycling HC'!AB43-'Ethylene Recycling HC'!$C$115*'Ethylene Recycling HC'!$C$43</f>
        <v>5430.9826478363084</v>
      </c>
      <c r="AD126" s="613">
        <f>'Ethylene Recycling HC'!AC115*'Ethylene Recycling HC'!AC43-'Ethylene Recycling HC'!$C$115*'Ethylene Recycling HC'!$C$43</f>
        <v>5741.057357252821</v>
      </c>
      <c r="AE126" s="613">
        <f>'Ethylene Recycling HC'!AD115*'Ethylene Recycling HC'!AD43-'Ethylene Recycling HC'!$C$115*'Ethylene Recycling HC'!$C$43</f>
        <v>6039.4427176820318</v>
      </c>
      <c r="AF126" s="613">
        <f>'Ethylene Recycling HC'!AE115*'Ethylene Recycling HC'!AE43-'Ethylene Recycling HC'!$C$115*'Ethylene Recycling HC'!$C$43</f>
        <v>6326.199039505469</v>
      </c>
      <c r="AG126" s="613">
        <f>'Ethylene Recycling HC'!AF115*'Ethylene Recycling HC'!AF43-'Ethylene Recycling HC'!$C$115*'Ethylene Recycling HC'!$C$43</f>
        <v>6601.3900036587129</v>
      </c>
      <c r="AH126" s="613">
        <f>'Ethylene Recycling HC'!AG115*'Ethylene Recycling HC'!AG43-'Ethylene Recycling HC'!$C$115*'Ethylene Recycling HC'!$C$43</f>
        <v>1210.2462175602836</v>
      </c>
    </row>
    <row r="127" spans="1:36" s="63" customFormat="1">
      <c r="A127" s="224"/>
      <c r="B127" s="224" t="s">
        <v>263</v>
      </c>
      <c r="C127" s="225" t="s">
        <v>166</v>
      </c>
      <c r="D127" s="620">
        <f>D122-D123-D124-D125-D126</f>
        <v>201906.27397932502</v>
      </c>
      <c r="E127" s="620">
        <f t="shared" ref="E127:AH127" si="41">E122-E123-E124-E125-E126</f>
        <v>193650.47147398297</v>
      </c>
      <c r="F127" s="620">
        <f t="shared" si="41"/>
        <v>185488.45581178032</v>
      </c>
      <c r="G127" s="620">
        <f t="shared" si="41"/>
        <v>177420.69574909183</v>
      </c>
      <c r="H127" s="620">
        <f t="shared" si="41"/>
        <v>169447.6529909606</v>
      </c>
      <c r="I127" s="620">
        <f t="shared" si="41"/>
        <v>161569.78219109809</v>
      </c>
      <c r="J127" s="620">
        <f t="shared" si="41"/>
        <v>153985.33182208257</v>
      </c>
      <c r="K127" s="620">
        <f t="shared" si="41"/>
        <v>146507.61076884289</v>
      </c>
      <c r="L127" s="620">
        <f t="shared" si="41"/>
        <v>139136.69982018103</v>
      </c>
      <c r="M127" s="620">
        <f t="shared" si="41"/>
        <v>131872.67271356712</v>
      </c>
      <c r="N127" s="620">
        <f t="shared" si="41"/>
        <v>124715.59613513958</v>
      </c>
      <c r="O127" s="620">
        <f t="shared" si="41"/>
        <v>114325.86834810015</v>
      </c>
      <c r="P127" s="620">
        <f t="shared" si="41"/>
        <v>103814.83765204455</v>
      </c>
      <c r="Q127" s="620">
        <f t="shared" si="41"/>
        <v>94269.503999798893</v>
      </c>
      <c r="R127" s="620">
        <f t="shared" si="41"/>
        <v>85136.531038012734</v>
      </c>
      <c r="S127" s="620">
        <f t="shared" si="41"/>
        <v>76416.784779430309</v>
      </c>
      <c r="T127" s="620">
        <f t="shared" si="41"/>
        <v>68028.358925291948</v>
      </c>
      <c r="U127" s="620">
        <f t="shared" si="41"/>
        <v>60049.127346914589</v>
      </c>
      <c r="V127" s="620">
        <f t="shared" si="41"/>
        <v>52480.065747524743</v>
      </c>
      <c r="W127" s="620">
        <f t="shared" si="41"/>
        <v>45322.120393375611</v>
      </c>
      <c r="X127" s="620">
        <f t="shared" si="41"/>
        <v>38576.208114765926</v>
      </c>
      <c r="Y127" s="620">
        <f t="shared" si="41"/>
        <v>30405.326217743655</v>
      </c>
      <c r="Z127" s="620">
        <f t="shared" si="41"/>
        <v>20517.951610489305</v>
      </c>
      <c r="AA127" s="620">
        <f t="shared" si="41"/>
        <v>11348.813311999067</v>
      </c>
      <c r="AB127" s="620">
        <f t="shared" si="41"/>
        <v>2862.198867638821</v>
      </c>
      <c r="AC127" s="620">
        <f t="shared" si="41"/>
        <v>-4940.6361053446972</v>
      </c>
      <c r="AD127" s="620">
        <f t="shared" si="41"/>
        <v>-11997.457150472415</v>
      </c>
      <c r="AE127" s="620">
        <f t="shared" si="41"/>
        <v>-18363.647482014905</v>
      </c>
      <c r="AF127" s="620">
        <f t="shared" si="41"/>
        <v>-24038.278465484778</v>
      </c>
      <c r="AG127" s="620">
        <f t="shared" si="41"/>
        <v>-29020.472538864189</v>
      </c>
      <c r="AH127" s="620">
        <f t="shared" si="41"/>
        <v>-27482.833714201868</v>
      </c>
    </row>
    <row r="128" spans="1:36" s="62" customFormat="1">
      <c r="A128" s="688" t="s">
        <v>685</v>
      </c>
      <c r="B128" s="55" t="s">
        <v>141</v>
      </c>
      <c r="C128" s="56" t="s">
        <v>166</v>
      </c>
      <c r="D128" s="630">
        <f>D44-('Ethylene Recycling HC'!C91+'Ethylene Recycling HC'!C134+'Ethylene Recycling HC'!C180+'Ethylene Recycling HC'!C199-('Ethylene Recycling HC'!$C$91+'Ethylene Recycling HC'!$C$134+'Ethylene Recycling HC'!$C$180+'Ethylene Recycling HC'!$C$199))</f>
        <v>35372.343512804095</v>
      </c>
      <c r="E128" s="630">
        <f>E44-('Ethylene Recycling HC'!D91+'Ethylene Recycling HC'!D134+'Ethylene Recycling HC'!D180+'Ethylene Recycling HC'!D199-('Ethylene Recycling HC'!$C$91+'Ethylene Recycling HC'!$C$134+'Ethylene Recycling HC'!$C$180+'Ethylene Recycling HC'!$C$199))</f>
        <v>33092.660886983191</v>
      </c>
      <c r="F128" s="630">
        <f>F44-('Ethylene Recycling HC'!E91+'Ethylene Recycling HC'!E134+'Ethylene Recycling HC'!E180+'Ethylene Recycling HC'!E199-('Ethylene Recycling HC'!$C$91+'Ethylene Recycling HC'!$C$134+'Ethylene Recycling HC'!$C$180+'Ethylene Recycling HC'!$C$199))</f>
        <v>30942.279550320825</v>
      </c>
      <c r="G128" s="630">
        <f>G44-('Ethylene Recycling HC'!F91+'Ethylene Recycling HC'!F134+'Ethylene Recycling HC'!F180+'Ethylene Recycling HC'!F199-('Ethylene Recycling HC'!$C$91+'Ethylene Recycling HC'!$C$134+'Ethylene Recycling HC'!$C$180+'Ethylene Recycling HC'!$C$199))</f>
        <v>28918.704068537867</v>
      </c>
      <c r="H128" s="630">
        <f>H44-('Ethylene Recycling HC'!G91+'Ethylene Recycling HC'!G134+'Ethylene Recycling HC'!G180+'Ethylene Recycling HC'!G199-('Ethylene Recycling HC'!$C$91+'Ethylene Recycling HC'!$C$134+'Ethylene Recycling HC'!$C$180+'Ethylene Recycling HC'!$C$199))</f>
        <v>27019.41040889137</v>
      </c>
      <c r="I128" s="630">
        <f>I44-('Ethylene Recycling HC'!H91+'Ethylene Recycling HC'!H134+'Ethylene Recycling HC'!H180+'Ethylene Recycling HC'!H199-('Ethylene Recycling HC'!$C$91+'Ethylene Recycling HC'!$C$134+'Ethylene Recycling HC'!$C$180+'Ethylene Recycling HC'!$C$199))</f>
        <v>25241.846351502409</v>
      </c>
      <c r="J128" s="630">
        <f>J44-('Ethylene Recycling HC'!I91+'Ethylene Recycling HC'!I134+'Ethylene Recycling HC'!I180+'Ethylene Recycling HC'!I199-('Ethylene Recycling HC'!$C$91+'Ethylene Recycling HC'!$C$134+'Ethylene Recycling HC'!$C$180+'Ethylene Recycling HC'!$C$199))</f>
        <v>23583.431900683488</v>
      </c>
      <c r="K128" s="630">
        <f>K44-('Ethylene Recycling HC'!J91+'Ethylene Recycling HC'!J134+'Ethylene Recycling HC'!J180+'Ethylene Recycling HC'!J199-('Ethylene Recycling HC'!$C$91+'Ethylene Recycling HC'!$C$134+'Ethylene Recycling HC'!$C$180+'Ethylene Recycling HC'!$C$199))</f>
        <v>22041.559696266431</v>
      </c>
      <c r="L128" s="630">
        <f>L44-('Ethylene Recycling HC'!K91+'Ethylene Recycling HC'!K134+'Ethylene Recycling HC'!K180+'Ethylene Recycling HC'!K199-('Ethylene Recycling HC'!$C$91+'Ethylene Recycling HC'!$C$134+'Ethylene Recycling HC'!$C$180+'Ethylene Recycling HC'!$C$199))</f>
        <v>20613.595424930143</v>
      </c>
      <c r="M128" s="630">
        <f>M44-('Ethylene Recycling HC'!L91+'Ethylene Recycling HC'!L134+'Ethylene Recycling HC'!L180+'Ethylene Recycling HC'!L199-('Ethylene Recycling HC'!$C$91+'Ethylene Recycling HC'!$C$134+'Ethylene Recycling HC'!$C$180+'Ethylene Recycling HC'!$C$199))</f>
        <v>19296.87823152803</v>
      </c>
      <c r="N128" s="630">
        <f>N44-('Ethylene Recycling HC'!M91+'Ethylene Recycling HC'!M134+'Ethylene Recycling HC'!M180+'Ethylene Recycling HC'!M199-('Ethylene Recycling HC'!$C$91+'Ethylene Recycling HC'!$C$134+'Ethylene Recycling HC'!$C$180+'Ethylene Recycling HC'!$C$199))</f>
        <v>18088.721130415772</v>
      </c>
      <c r="O128" s="630">
        <f>O44-('Ethylene Recycling HC'!N91+'Ethylene Recycling HC'!N134+'Ethylene Recycling HC'!N180+'Ethylene Recycling HC'!N199-('Ethylene Recycling HC'!$C$91+'Ethylene Recycling HC'!$C$134+'Ethylene Recycling HC'!$C$180+'Ethylene Recycling HC'!$C$199))</f>
        <v>14557.132888162905</v>
      </c>
      <c r="P128" s="630">
        <f>P44-('Ethylene Recycling HC'!O91+'Ethylene Recycling HC'!O134+'Ethylene Recycling HC'!O180+'Ethylene Recycling HC'!O199-('Ethylene Recycling HC'!$C$91+'Ethylene Recycling HC'!$C$134+'Ethylene Recycling HC'!$C$180+'Ethylene Recycling HC'!$C$199))</f>
        <v>10966.538484588305</v>
      </c>
      <c r="Q128" s="630">
        <f>Q44-('Ethylene Recycling HC'!P91+'Ethylene Recycling HC'!P134+'Ethylene Recycling HC'!P180+'Ethylene Recycling HC'!P199-('Ethylene Recycling HC'!$C$91+'Ethylene Recycling HC'!$C$134+'Ethylene Recycling HC'!$C$180+'Ethylene Recycling HC'!$C$199))</f>
        <v>8243.861048690098</v>
      </c>
      <c r="R128" s="630">
        <f>R44-('Ethylene Recycling HC'!Q91+'Ethylene Recycling HC'!Q134+'Ethylene Recycling HC'!Q180+'Ethylene Recycling HC'!Q199-('Ethylene Recycling HC'!$C$91+'Ethylene Recycling HC'!$C$134+'Ethylene Recycling HC'!$C$180+'Ethylene Recycling HC'!$C$199))</f>
        <v>5895.5242990467668</v>
      </c>
      <c r="S128" s="630">
        <f>S44-('Ethylene Recycling HC'!R91+'Ethylene Recycling HC'!R134+'Ethylene Recycling HC'!R180+'Ethylene Recycling HC'!R199-('Ethylene Recycling HC'!$C$91+'Ethylene Recycling HC'!$C$134+'Ethylene Recycling HC'!$C$180+'Ethylene Recycling HC'!$C$199))</f>
        <v>3909.7163502198237</v>
      </c>
      <c r="T128" s="630">
        <f>T44-('Ethylene Recycling HC'!S91+'Ethylene Recycling HC'!S134+'Ethylene Recycling HC'!S180+'Ethylene Recycling HC'!S199-('Ethylene Recycling HC'!$C$91+'Ethylene Recycling HC'!$C$134+'Ethylene Recycling HC'!$C$180+'Ethylene Recycling HC'!$C$199))</f>
        <v>2274.5293373370805</v>
      </c>
      <c r="U128" s="630">
        <f>U44-('Ethylene Recycling HC'!T91+'Ethylene Recycling HC'!T134+'Ethylene Recycling HC'!T180+'Ethylene Recycling HC'!T199-('Ethylene Recycling HC'!$C$91+'Ethylene Recycling HC'!$C$134+'Ethylene Recycling HC'!$C$180+'Ethylene Recycling HC'!$C$199))</f>
        <v>977.96112795990121</v>
      </c>
      <c r="V128" s="630">
        <f>V44-('Ethylene Recycling HC'!U91+'Ethylene Recycling HC'!U134+'Ethylene Recycling HC'!U180+'Ethylene Recycling HC'!U199-('Ethylene Recycling HC'!$C$91+'Ethylene Recycling HC'!$C$134+'Ethylene Recycling HC'!$C$180+'Ethylene Recycling HC'!$C$199))</f>
        <v>7.9170339346310357</v>
      </c>
      <c r="W128" s="630">
        <f>W44-('Ethylene Recycling HC'!V91+'Ethylene Recycling HC'!V134+'Ethylene Recycling HC'!V180+'Ethylene Recycling HC'!V199-('Ethylene Recycling HC'!$C$91+'Ethylene Recycling HC'!$C$134+'Ethylene Recycling HC'!$C$180+'Ethylene Recycling HC'!$C$199))</f>
        <v>-647.78847677158774</v>
      </c>
      <c r="X128" s="630">
        <f>X44-('Ethylene Recycling HC'!W91+'Ethylene Recycling HC'!W134+'Ethylene Recycling HC'!W180+'Ethylene Recycling HC'!W199-('Ethylene Recycling HC'!$C$91+'Ethylene Recycling HC'!$C$134+'Ethylene Recycling HC'!$C$180+'Ethylene Recycling HC'!$C$199))</f>
        <v>-1001.430068250691</v>
      </c>
      <c r="Y128" s="630">
        <f>Y44-('Ethylene Recycling HC'!X91+'Ethylene Recycling HC'!X134+'Ethylene Recycling HC'!X180+'Ethylene Recycling HC'!X199-('Ethylene Recycling HC'!$C$91+'Ethylene Recycling HC'!$C$134+'Ethylene Recycling HC'!$C$180+'Ethylene Recycling HC'!$C$199))</f>
        <v>-1903.1767264950504</v>
      </c>
      <c r="Z128" s="630">
        <f>Z44-('Ethylene Recycling HC'!Y91+'Ethylene Recycling HC'!Y134+'Ethylene Recycling HC'!Y180+'Ethylene Recycling HC'!Y199-('Ethylene Recycling HC'!$C$91+'Ethylene Recycling HC'!$C$134+'Ethylene Recycling HC'!$C$180+'Ethylene Recycling HC'!$C$199))</f>
        <v>-4129.3109468702023</v>
      </c>
      <c r="AA128" s="630">
        <f>AA44-('Ethylene Recycling HC'!Z91+'Ethylene Recycling HC'!Z134+'Ethylene Recycling HC'!Z180+'Ethylene Recycling HC'!Z199-('Ethylene Recycling HC'!$C$91+'Ethylene Recycling HC'!$C$134+'Ethylene Recycling HC'!$C$180+'Ethylene Recycling HC'!$C$199))</f>
        <v>-5838.8012144434178</v>
      </c>
      <c r="AB128" s="630">
        <f>AB44-('Ethylene Recycling HC'!AA91+'Ethylene Recycling HC'!AA134+'Ethylene Recycling HC'!AA180+'Ethylene Recycling HC'!AA199-('Ethylene Recycling HC'!$C$91+'Ethylene Recycling HC'!$C$134+'Ethylene Recycling HC'!$C$180+'Ethylene Recycling HC'!$C$199))</f>
        <v>-7076.6928233139624</v>
      </c>
      <c r="AC128" s="630">
        <f>AC44-('Ethylene Recycling HC'!AB91+'Ethylene Recycling HC'!AB134+'Ethylene Recycling HC'!AB180+'Ethylene Recycling HC'!AB199-('Ethylene Recycling HC'!$C$91+'Ethylene Recycling HC'!$C$134+'Ethylene Recycling HC'!$C$180+'Ethylene Recycling HC'!$C$199))</f>
        <v>-7863.3811999355676</v>
      </c>
      <c r="AD128" s="630">
        <f>AD44-('Ethylene Recycling HC'!AC91+'Ethylene Recycling HC'!AC134+'Ethylene Recycling HC'!AC180+'Ethylene Recycling HC'!AC199-('Ethylene Recycling HC'!$C$91+'Ethylene Recycling HC'!$C$134+'Ethylene Recycling HC'!$C$180+'Ethylene Recycling HC'!$C$199))</f>
        <v>-8219.3969373879791</v>
      </c>
      <c r="AE128" s="630">
        <f>AE44-('Ethylene Recycling HC'!AD91+'Ethylene Recycling HC'!AD134+'Ethylene Recycling HC'!AD180+'Ethylene Recycling HC'!AD199-('Ethylene Recycling HC'!$C$91+'Ethylene Recycling HC'!$C$134+'Ethylene Recycling HC'!$C$180+'Ethylene Recycling HC'!$C$199))</f>
        <v>-8165.402939791029</v>
      </c>
      <c r="AF128" s="630">
        <f>AF44-('Ethylene Recycling HC'!AE91+'Ethylene Recycling HC'!AE134+'Ethylene Recycling HC'!AE180+'Ethylene Recycling HC'!AE199-('Ethylene Recycling HC'!$C$91+'Ethylene Recycling HC'!$C$134+'Ethylene Recycling HC'!$C$180+'Ethylene Recycling HC'!$C$199))</f>
        <v>-7722.1915673524418</v>
      </c>
      <c r="AG128" s="630">
        <f>AG44-('Ethylene Recycling HC'!AF91+'Ethylene Recycling HC'!AF134+'Ethylene Recycling HC'!AF180+'Ethylene Recycling HC'!AF199-('Ethylene Recycling HC'!$C$91+'Ethylene Recycling HC'!$C$134+'Ethylene Recycling HC'!$C$180+'Ethylene Recycling HC'!$C$199))</f>
        <v>-6910.6817820505003</v>
      </c>
      <c r="AH128" s="630">
        <f>AH44-('Ethylene Recycling HC'!AG91+'Ethylene Recycling HC'!AG134+'Ethylene Recycling HC'!AG180+'Ethylene Recycling HC'!AG199-('Ethylene Recycling HC'!$C$91+'Ethylene Recycling HC'!$C$134+'Ethylene Recycling HC'!$C$180+'Ethylene Recycling HC'!$C$199))</f>
        <v>-2100.4355168452221</v>
      </c>
      <c r="AI128" s="57"/>
    </row>
    <row r="129" spans="1:36">
      <c r="A129" s="689"/>
      <c r="B129" s="1" t="s">
        <v>18</v>
      </c>
      <c r="C129" s="51" t="s">
        <v>166</v>
      </c>
      <c r="D129" s="196">
        <f>D45+(D133-D49)</f>
        <v>12741.658619367416</v>
      </c>
      <c r="E129" s="196">
        <f t="shared" ref="E129:AH129" si="42">E45+(E133-E49)</f>
        <v>12067.336954158005</v>
      </c>
      <c r="F129" s="196">
        <f t="shared" si="42"/>
        <v>11389.802713084759</v>
      </c>
      <c r="G129" s="196">
        <f t="shared" si="42"/>
        <v>10709.486680010627</v>
      </c>
      <c r="H129" s="196">
        <f t="shared" si="42"/>
        <v>10026.822716832194</v>
      </c>
      <c r="I129" s="196">
        <f t="shared" si="42"/>
        <v>9342.2477047185675</v>
      </c>
      <c r="J129" s="196">
        <f t="shared" si="42"/>
        <v>8853.9826912059616</v>
      </c>
      <c r="K129" s="196">
        <f t="shared" si="42"/>
        <v>8375.3573572716741</v>
      </c>
      <c r="L129" s="196">
        <f t="shared" si="42"/>
        <v>7906.4646134859458</v>
      </c>
      <c r="M129" s="196">
        <f t="shared" si="42"/>
        <v>7447.4001546471418</v>
      </c>
      <c r="N129" s="196">
        <f t="shared" si="42"/>
        <v>6998.2624010206709</v>
      </c>
      <c r="O129" s="196">
        <f t="shared" si="42"/>
        <v>6354.5437691245397</v>
      </c>
      <c r="P129" s="196">
        <f t="shared" si="42"/>
        <v>5723.0652602918808</v>
      </c>
      <c r="Q129" s="196">
        <f t="shared" si="42"/>
        <v>5125.744926580338</v>
      </c>
      <c r="R129" s="196">
        <f t="shared" si="42"/>
        <v>4553.789166555759</v>
      </c>
      <c r="S129" s="196">
        <f t="shared" si="42"/>
        <v>4008.4452384653496</v>
      </c>
      <c r="T129" s="196">
        <f t="shared" si="42"/>
        <v>3408.2352770439993</v>
      </c>
      <c r="U129" s="196">
        <f t="shared" si="42"/>
        <v>2831.4844165674367</v>
      </c>
      <c r="V129" s="196">
        <f t="shared" si="42"/>
        <v>2279.66573681509</v>
      </c>
      <c r="W129" s="196">
        <f t="shared" si="42"/>
        <v>1754.2611070842213</v>
      </c>
      <c r="X129" s="196">
        <f t="shared" si="42"/>
        <v>1256.7609419981682</v>
      </c>
      <c r="Y129" s="196">
        <f t="shared" si="42"/>
        <v>606.37904844060449</v>
      </c>
      <c r="Z129" s="196">
        <f t="shared" si="42"/>
        <v>-77.04812621156816</v>
      </c>
      <c r="AA129" s="196">
        <f t="shared" si="42"/>
        <v>-711.50735742430879</v>
      </c>
      <c r="AB129" s="196">
        <f t="shared" si="42"/>
        <v>-1294.6225479996147</v>
      </c>
      <c r="AC129" s="196">
        <f t="shared" si="42"/>
        <v>-1824.0049623837658</v>
      </c>
      <c r="AD129" s="196">
        <f t="shared" si="42"/>
        <v>-2236.2296579355243</v>
      </c>
      <c r="AE129" s="196">
        <f t="shared" si="42"/>
        <v>-2585.4146778878712</v>
      </c>
      <c r="AF129" s="196">
        <f t="shared" si="42"/>
        <v>-2869.3092611413813</v>
      </c>
      <c r="AG129" s="196">
        <f t="shared" si="42"/>
        <v>-3085.6515983047725</v>
      </c>
      <c r="AH129" s="196">
        <f t="shared" si="42"/>
        <v>-3060.453247693993</v>
      </c>
      <c r="AI129" s="41"/>
    </row>
    <row r="130" spans="1:36">
      <c r="A130" s="689"/>
      <c r="B130" s="1" t="s">
        <v>684</v>
      </c>
      <c r="C130" s="51" t="s">
        <v>166</v>
      </c>
      <c r="D130" s="196">
        <f>D46+(D132-D48)</f>
        <v>125969.0168452574</v>
      </c>
      <c r="E130" s="196">
        <f t="shared" ref="E130:AH130" si="43">E46+(E132-E48)</f>
        <v>121904.93747165555</v>
      </c>
      <c r="F130" s="196">
        <f t="shared" si="43"/>
        <v>117832.01426980524</v>
      </c>
      <c r="G130" s="196">
        <f t="shared" si="43"/>
        <v>113751.46954016268</v>
      </c>
      <c r="H130" s="196">
        <f t="shared" si="43"/>
        <v>109664.53481836019</v>
      </c>
      <c r="I130" s="196">
        <f t="shared" si="43"/>
        <v>105572.45069892274</v>
      </c>
      <c r="J130" s="196">
        <f t="shared" si="43"/>
        <v>101476.46665898478</v>
      </c>
      <c r="K130" s="196">
        <f t="shared" si="43"/>
        <v>97377.840882006902</v>
      </c>
      <c r="L130" s="196">
        <f t="shared" si="43"/>
        <v>93277.840081492584</v>
      </c>
      <c r="M130" s="196">
        <f t="shared" si="43"/>
        <v>89177.739324704889</v>
      </c>
      <c r="N130" s="196">
        <f t="shared" si="43"/>
        <v>85078.821856383089</v>
      </c>
      <c r="O130" s="196">
        <f t="shared" si="43"/>
        <v>80466.457267738937</v>
      </c>
      <c r="P130" s="196">
        <f t="shared" si="43"/>
        <v>75830.066166421224</v>
      </c>
      <c r="Q130" s="196">
        <f t="shared" si="43"/>
        <v>71237.652626455878</v>
      </c>
      <c r="R130" s="196">
        <f t="shared" si="43"/>
        <v>66664.485086309229</v>
      </c>
      <c r="S130" s="196">
        <f t="shared" si="43"/>
        <v>62116.204638155454</v>
      </c>
      <c r="T130" s="196">
        <f t="shared" si="43"/>
        <v>57598.480846248349</v>
      </c>
      <c r="U130" s="196">
        <f t="shared" si="43"/>
        <v>53117.011012179137</v>
      </c>
      <c r="V130" s="196">
        <f t="shared" si="43"/>
        <v>48677.519440153686</v>
      </c>
      <c r="W130" s="196">
        <f t="shared" si="43"/>
        <v>44285.756702288549</v>
      </c>
      <c r="X130" s="196">
        <f t="shared" si="43"/>
        <v>39947.498903926273</v>
      </c>
      <c r="Y130" s="196">
        <f t="shared" si="43"/>
        <v>35008.602893021249</v>
      </c>
      <c r="Z130" s="196">
        <f t="shared" si="43"/>
        <v>29912.324867302097</v>
      </c>
      <c r="AA130" s="196">
        <f t="shared" si="43"/>
        <v>24910.256527865731</v>
      </c>
      <c r="AB130" s="196">
        <f t="shared" si="43"/>
        <v>20009.403683660999</v>
      </c>
      <c r="AC130" s="196">
        <f t="shared" si="43"/>
        <v>15219.307024960486</v>
      </c>
      <c r="AD130" s="196">
        <f t="shared" si="43"/>
        <v>10549.543049707216</v>
      </c>
      <c r="AE130" s="196">
        <f t="shared" si="43"/>
        <v>6009.7228181678001</v>
      </c>
      <c r="AF130" s="196">
        <f t="shared" si="43"/>
        <v>1609.4907083551152</v>
      </c>
      <c r="AG130" s="196">
        <f t="shared" si="43"/>
        <v>-2641.4768277792245</v>
      </c>
      <c r="AH130" s="196">
        <f t="shared" si="43"/>
        <v>-6188.1847113348958</v>
      </c>
      <c r="AI130" s="41"/>
    </row>
    <row r="131" spans="1:36">
      <c r="A131" s="690"/>
      <c r="B131" s="1" t="s">
        <v>27</v>
      </c>
      <c r="C131" s="51" t="s">
        <v>166</v>
      </c>
      <c r="D131" s="196">
        <f>D47-('Ethylene Recycling HC'!C92+'Ethylene Recycling HC'!C135+'Ethylene Recycling HC'!C181+'Ethylene Recycling HC'!C200-('Ethylene Recycling HC'!$C$92+'Ethylene Recycling HC'!$C$135+'Ethylene Recycling HC'!$C$181+'Ethylene Recycling HC'!$C$200)+'Ethylene Recycling HC'!C95+'Ethylene Recycling HC'!C138+'Ethylene Recycling HC'!C184+'Ethylene Recycling HC'!C203-('Ethylene Recycling HC'!$C$95+'Ethylene Recycling HC'!$C$138+'Ethylene Recycling HC'!$C$184+'Ethylene Recycling HC'!$C$203))</f>
        <v>27823.255001896119</v>
      </c>
      <c r="E131" s="196">
        <f>E47-('Ethylene Recycling HC'!D92+'Ethylene Recycling HC'!D135+'Ethylene Recycling HC'!D181+'Ethylene Recycling HC'!D200-('Ethylene Recycling HC'!$C$92+'Ethylene Recycling HC'!$C$135+'Ethylene Recycling HC'!$C$181+'Ethylene Recycling HC'!$C$200)+'Ethylene Recycling HC'!D95+'Ethylene Recycling HC'!D138+'Ethylene Recycling HC'!D184+'Ethylene Recycling HC'!D203-('Ethylene Recycling HC'!$C$95+'Ethylene Recycling HC'!$C$138+'Ethylene Recycling HC'!$C$184+'Ethylene Recycling HC'!$C$203))</f>
        <v>26599.15601007234</v>
      </c>
      <c r="F131" s="196">
        <f>F47-('Ethylene Recycling HC'!E92+'Ethylene Recycling HC'!E135+'Ethylene Recycling HC'!E181+'Ethylene Recycling HC'!E200-('Ethylene Recycling HC'!$C$92+'Ethylene Recycling HC'!$C$135+'Ethylene Recycling HC'!$C$181+'Ethylene Recycling HC'!$C$200)+'Ethylene Recycling HC'!E95+'Ethylene Recycling HC'!E138+'Ethylene Recycling HC'!E184+'Ethylene Recycling HC'!E203-('Ethylene Recycling HC'!$C$95+'Ethylene Recycling HC'!$C$138+'Ethylene Recycling HC'!$C$184+'Ethylene Recycling HC'!$C$203))</f>
        <v>25351.523490244021</v>
      </c>
      <c r="G131" s="196">
        <f>G47-('Ethylene Recycling HC'!F92+'Ethylene Recycling HC'!F135+'Ethylene Recycling HC'!F181+'Ethylene Recycling HC'!F200-('Ethylene Recycling HC'!$C$92+'Ethylene Recycling HC'!$C$135+'Ethylene Recycling HC'!$C$181+'Ethylene Recycling HC'!$C$200)+'Ethylene Recycling HC'!F95+'Ethylene Recycling HC'!F138+'Ethylene Recycling HC'!F184+'Ethylene Recycling HC'!F203-('Ethylene Recycling HC'!$C$95+'Ethylene Recycling HC'!$C$138+'Ethylene Recycling HC'!$C$184+'Ethylene Recycling HC'!$C$203))</f>
        <v>24081.668624007638</v>
      </c>
      <c r="H131" s="196">
        <f>H47-('Ethylene Recycling HC'!G92+'Ethylene Recycling HC'!G135+'Ethylene Recycling HC'!G181+'Ethylene Recycling HC'!G200-('Ethylene Recycling HC'!$C$92+'Ethylene Recycling HC'!$C$135+'Ethylene Recycling HC'!$C$181+'Ethylene Recycling HC'!$C$200)+'Ethylene Recycling HC'!G95+'Ethylene Recycling HC'!G138+'Ethylene Recycling HC'!G184+'Ethylene Recycling HC'!G203-('Ethylene Recycling HC'!$C$95+'Ethylene Recycling HC'!$C$138+'Ethylene Recycling HC'!$C$184+'Ethylene Recycling HC'!$C$203))</f>
        <v>22790.91182688218</v>
      </c>
      <c r="I131" s="196">
        <f>I47-('Ethylene Recycling HC'!H92+'Ethylene Recycling HC'!H135+'Ethylene Recycling HC'!H181+'Ethylene Recycling HC'!H200-('Ethylene Recycling HC'!$C$92+'Ethylene Recycling HC'!$C$135+'Ethylene Recycling HC'!$C$181+'Ethylene Recycling HC'!$C$200)+'Ethylene Recycling HC'!H95+'Ethylene Recycling HC'!H138+'Ethylene Recycling HC'!H184+'Ethylene Recycling HC'!H203-('Ethylene Recycling HC'!$C$95+'Ethylene Recycling HC'!$C$138+'Ethylene Recycling HC'!$C$184+'Ethylene Recycling HC'!$C$203))</f>
        <v>21480.582572025756</v>
      </c>
      <c r="J131" s="196">
        <f>J47-('Ethylene Recycling HC'!I92+'Ethylene Recycling HC'!I135+'Ethylene Recycling HC'!I181+'Ethylene Recycling HC'!I200-('Ethylene Recycling HC'!$C$92+'Ethylene Recycling HC'!$C$135+'Ethylene Recycling HC'!$C$181+'Ethylene Recycling HC'!$C$200)+'Ethylene Recycling HC'!I95+'Ethylene Recycling HC'!I138+'Ethylene Recycling HC'!I184+'Ethylene Recycling HC'!I203-('Ethylene Recycling HC'!$C$95+'Ethylene Recycling HC'!$C$138+'Ethylene Recycling HC'!$C$184+'Ethylene Recycling HC'!$C$203))</f>
        <v>20152.038878295229</v>
      </c>
      <c r="K131" s="196">
        <f>K47-('Ethylene Recycling HC'!J92+'Ethylene Recycling HC'!J135+'Ethylene Recycling HC'!J181+'Ethylene Recycling HC'!J200-('Ethylene Recycling HC'!$C$92+'Ethylene Recycling HC'!$C$135+'Ethylene Recycling HC'!$C$181+'Ethylene Recycling HC'!$C$200)+'Ethylene Recycling HC'!J95+'Ethylene Recycling HC'!J138+'Ethylene Recycling HC'!J184+'Ethylene Recycling HC'!J203-('Ethylene Recycling HC'!$C$95+'Ethylene Recycling HC'!$C$138+'Ethylene Recycling HC'!$C$184+'Ethylene Recycling HC'!$C$203))</f>
        <v>18806.609201611634</v>
      </c>
      <c r="L131" s="196">
        <f>L47-('Ethylene Recycling HC'!K92+'Ethylene Recycling HC'!K135+'Ethylene Recycling HC'!K181+'Ethylene Recycling HC'!K200-('Ethylene Recycling HC'!$C$92+'Ethylene Recycling HC'!$C$135+'Ethylene Recycling HC'!$C$181+'Ethylene Recycling HC'!$C$200)+'Ethylene Recycling HC'!K95+'Ethylene Recycling HC'!K138+'Ethylene Recycling HC'!K184+'Ethylene Recycling HC'!K203-('Ethylene Recycling HC'!$C$95+'Ethylene Recycling HC'!$C$138+'Ethylene Recycling HC'!$C$184+'Ethylene Recycling HC'!$C$203))</f>
        <v>17445.649095286095</v>
      </c>
      <c r="M131" s="196">
        <f>M47-('Ethylene Recycling HC'!L92+'Ethylene Recycling HC'!L135+'Ethylene Recycling HC'!L181+'Ethylene Recycling HC'!L200-('Ethylene Recycling HC'!$C$92+'Ethylene Recycling HC'!$C$135+'Ethylene Recycling HC'!$C$181+'Ethylene Recycling HC'!$C$200)+'Ethylene Recycling HC'!L95+'Ethylene Recycling HC'!L138+'Ethylene Recycling HC'!L184+'Ethylene Recycling HC'!L203-('Ethylene Recycling HC'!$C$95+'Ethylene Recycling HC'!$C$138+'Ethylene Recycling HC'!$C$184+'Ethylene Recycling HC'!$C$203))</f>
        <v>16070.522465135713</v>
      </c>
      <c r="N131" s="196">
        <f>N47-('Ethylene Recycling HC'!M92+'Ethylene Recycling HC'!M135+'Ethylene Recycling HC'!M181+'Ethylene Recycling HC'!M200-('Ethylene Recycling HC'!$C$92+'Ethylene Recycling HC'!$C$135+'Ethylene Recycling HC'!$C$181+'Ethylene Recycling HC'!$C$200)+'Ethylene Recycling HC'!M95+'Ethylene Recycling HC'!M138+'Ethylene Recycling HC'!M184+'Ethylene Recycling HC'!M203-('Ethylene Recycling HC'!$C$95+'Ethylene Recycling HC'!$C$138+'Ethylene Recycling HC'!$C$184+'Ethylene Recycling HC'!$C$203))</f>
        <v>14682.601393200344</v>
      </c>
      <c r="O131" s="196">
        <f>O47-('Ethylene Recycling HC'!N92+'Ethylene Recycling HC'!N135+'Ethylene Recycling HC'!N181+'Ethylene Recycling HC'!N200-('Ethylene Recycling HC'!$C$92+'Ethylene Recycling HC'!$C$135+'Ethylene Recycling HC'!$C$181+'Ethylene Recycling HC'!$C$200)+'Ethylene Recycling HC'!N95+'Ethylene Recycling HC'!N138+'Ethylene Recycling HC'!N184+'Ethylene Recycling HC'!N203-('Ethylene Recycling HC'!$C$95+'Ethylene Recycling HC'!$C$138+'Ethylene Recycling HC'!$C$184+'Ethylene Recycling HC'!$C$203))</f>
        <v>13105.544718687908</v>
      </c>
      <c r="P131" s="196">
        <f>P47-('Ethylene Recycling HC'!O92+'Ethylene Recycling HC'!O135+'Ethylene Recycling HC'!O181+'Ethylene Recycling HC'!O200-('Ethylene Recycling HC'!$C$92+'Ethylene Recycling HC'!$C$135+'Ethylene Recycling HC'!$C$181+'Ethylene Recycling HC'!$C$200)+'Ethylene Recycling HC'!O95+'Ethylene Recycling HC'!O138+'Ethylene Recycling HC'!O184+'Ethylene Recycling HC'!O203-('Ethylene Recycling HC'!$C$95+'Ethylene Recycling HC'!$C$138+'Ethylene Recycling HC'!$C$184+'Ethylene Recycling HC'!$C$203))</f>
        <v>11477.834911970884</v>
      </c>
      <c r="Q131" s="196">
        <f>Q47-('Ethylene Recycling HC'!P92+'Ethylene Recycling HC'!P135+'Ethylene Recycling HC'!P181+'Ethylene Recycling HC'!P200-('Ethylene Recycling HC'!$C$92+'Ethylene Recycling HC'!$C$135+'Ethylene Recycling HC'!$C$181+'Ethylene Recycling HC'!$C$200)+'Ethylene Recycling HC'!P95+'Ethylene Recycling HC'!P138+'Ethylene Recycling HC'!P184+'Ethylene Recycling HC'!P203-('Ethylene Recycling HC'!$C$95+'Ethylene Recycling HC'!$C$138+'Ethylene Recycling HC'!$C$184+'Ethylene Recycling HC'!$C$203))</f>
        <v>9868.74307628713</v>
      </c>
      <c r="R131" s="196">
        <f>R47-('Ethylene Recycling HC'!Q92+'Ethylene Recycling HC'!Q135+'Ethylene Recycling HC'!Q181+'Ethylene Recycling HC'!Q200-('Ethylene Recycling HC'!$C$92+'Ethylene Recycling HC'!$C$135+'Ethylene Recycling HC'!$C$181+'Ethylene Recycling HC'!$C$200)+'Ethylene Recycling HC'!Q95+'Ethylene Recycling HC'!Q138+'Ethylene Recycling HC'!Q184+'Ethylene Recycling HC'!Q203-('Ethylene Recycling HC'!$C$95+'Ethylene Recycling HC'!$C$138+'Ethylene Recycling HC'!$C$184+'Ethylene Recycling HC'!$C$203))</f>
        <v>8252.7487305849736</v>
      </c>
      <c r="S131" s="196">
        <f>S47-('Ethylene Recycling HC'!R92+'Ethylene Recycling HC'!R135+'Ethylene Recycling HC'!R181+'Ethylene Recycling HC'!R200-('Ethylene Recycling HC'!$C$92+'Ethylene Recycling HC'!$C$135+'Ethylene Recycling HC'!$C$181+'Ethylene Recycling HC'!$C$200)+'Ethylene Recycling HC'!R95+'Ethylene Recycling HC'!R138+'Ethylene Recycling HC'!R184+'Ethylene Recycling HC'!R203-('Ethylene Recycling HC'!$C$95+'Ethylene Recycling HC'!$C$138+'Ethylene Recycling HC'!$C$184+'Ethylene Recycling HC'!$C$203))</f>
        <v>6635.6424841555181</v>
      </c>
      <c r="T131" s="196">
        <f>T47-('Ethylene Recycling HC'!S92+'Ethylene Recycling HC'!S135+'Ethylene Recycling HC'!S181+'Ethylene Recycling HC'!S200-('Ethylene Recycling HC'!$C$92+'Ethylene Recycling HC'!$C$135+'Ethylene Recycling HC'!$C$181+'Ethylene Recycling HC'!$C$200)+'Ethylene Recycling HC'!S95+'Ethylene Recycling HC'!S138+'Ethylene Recycling HC'!S184+'Ethylene Recycling HC'!S203-('Ethylene Recycling HC'!$C$95+'Ethylene Recycling HC'!$C$138+'Ethylene Recycling HC'!$C$184+'Ethylene Recycling HC'!$C$203))</f>
        <v>5023.2352783106307</v>
      </c>
      <c r="U131" s="196">
        <f>U47-('Ethylene Recycling HC'!T92+'Ethylene Recycling HC'!T135+'Ethylene Recycling HC'!T181+'Ethylene Recycling HC'!T200-('Ethylene Recycling HC'!$C$92+'Ethylene Recycling HC'!$C$135+'Ethylene Recycling HC'!$C$181+'Ethylene Recycling HC'!$C$200)+'Ethylene Recycling HC'!T95+'Ethylene Recycling HC'!T138+'Ethylene Recycling HC'!T184+'Ethylene Recycling HC'!T203-('Ethylene Recycling HC'!$C$95+'Ethylene Recycling HC'!$C$138+'Ethylene Recycling HC'!$C$184+'Ethylene Recycling HC'!$C$203))</f>
        <v>3421.3817676562885</v>
      </c>
      <c r="V131" s="196">
        <f>V47-('Ethylene Recycling HC'!U92+'Ethylene Recycling HC'!U135+'Ethylene Recycling HC'!U181+'Ethylene Recycling HC'!U200-('Ethylene Recycling HC'!$C$92+'Ethylene Recycling HC'!$C$135+'Ethylene Recycling HC'!$C$181+'Ethylene Recycling HC'!$C$200)+'Ethylene Recycling HC'!U95+'Ethylene Recycling HC'!U138+'Ethylene Recycling HC'!U184+'Ethylene Recycling HC'!U203-('Ethylene Recycling HC'!$C$95+'Ethylene Recycling HC'!$C$138+'Ethylene Recycling HC'!$C$184+'Ethylene Recycling HC'!$C$203))</f>
        <v>1835.9560587049909</v>
      </c>
      <c r="W131" s="196">
        <f>W47-('Ethylene Recycling HC'!V92+'Ethylene Recycling HC'!V135+'Ethylene Recycling HC'!V181+'Ethylene Recycling HC'!V200-('Ethylene Recycling HC'!$C$92+'Ethylene Recycling HC'!$C$135+'Ethylene Recycling HC'!$C$181+'Ethylene Recycling HC'!$C$200)+'Ethylene Recycling HC'!V95+'Ethylene Recycling HC'!V138+'Ethylene Recycling HC'!V184+'Ethylene Recycling HC'!V203-('Ethylene Recycling HC'!$C$95+'Ethylene Recycling HC'!$C$138+'Ethylene Recycling HC'!$C$184+'Ethylene Recycling HC'!$C$203))</f>
        <v>272.85861971838131</v>
      </c>
      <c r="X131" s="196">
        <f>X47-('Ethylene Recycling HC'!W92+'Ethylene Recycling HC'!W135+'Ethylene Recycling HC'!W181+'Ethylene Recycling HC'!W200-('Ethylene Recycling HC'!$C$92+'Ethylene Recycling HC'!$C$135+'Ethylene Recycling HC'!$C$181+'Ethylene Recycling HC'!$C$200)+'Ethylene Recycling HC'!W95+'Ethylene Recycling HC'!W138+'Ethylene Recycling HC'!W184+'Ethylene Recycling HC'!W203-('Ethylene Recycling HC'!$C$95+'Ethylene Recycling HC'!$C$138+'Ethylene Recycling HC'!$C$184+'Ethylene Recycling HC'!$C$203))</f>
        <v>-1261.9844513460739</v>
      </c>
      <c r="Y131" s="196">
        <f>Y47-('Ethylene Recycling HC'!X92+'Ethylene Recycling HC'!X135+'Ethylene Recycling HC'!X181+'Ethylene Recycling HC'!X200-('Ethylene Recycling HC'!$C$92+'Ethylene Recycling HC'!$C$135+'Ethylene Recycling HC'!$C$181+'Ethylene Recycling HC'!$C$200)+'Ethylene Recycling HC'!X95+'Ethylene Recycling HC'!X138+'Ethylene Recycling HC'!X184+'Ethylene Recycling HC'!X203-('Ethylene Recycling HC'!$C$95+'Ethylene Recycling HC'!$C$138+'Ethylene Recycling HC'!$C$184+'Ethylene Recycling HC'!$C$203))</f>
        <v>-2901.9157551834978</v>
      </c>
      <c r="Z131" s="196">
        <f>Z47-('Ethylene Recycling HC'!Y92+'Ethylene Recycling HC'!Y135+'Ethylene Recycling HC'!Y181+'Ethylene Recycling HC'!Y200-('Ethylene Recycling HC'!$C$92+'Ethylene Recycling HC'!$C$135+'Ethylene Recycling HC'!$C$181+'Ethylene Recycling HC'!$C$200)+'Ethylene Recycling HC'!Y95+'Ethylene Recycling HC'!Y138+'Ethylene Recycling HC'!Y184+'Ethylene Recycling HC'!Y203-('Ethylene Recycling HC'!$C$95+'Ethylene Recycling HC'!$C$138+'Ethylene Recycling HC'!$C$184+'Ethylene Recycling HC'!$C$203))</f>
        <v>-4744.0669208136096</v>
      </c>
      <c r="AA131" s="196">
        <f>AA47-('Ethylene Recycling HC'!Z92+'Ethylene Recycling HC'!Z135+'Ethylene Recycling HC'!Z181+'Ethylene Recycling HC'!Z200-('Ethylene Recycling HC'!$C$92+'Ethylene Recycling HC'!$C$135+'Ethylene Recycling HC'!$C$181+'Ethylene Recycling HC'!$C$200)+'Ethylene Recycling HC'!Z95+'Ethylene Recycling HC'!Z138+'Ethylene Recycling HC'!Z184+'Ethylene Recycling HC'!Z203-('Ethylene Recycling HC'!$C$95+'Ethylene Recycling HC'!$C$138+'Ethylene Recycling HC'!$C$184+'Ethylene Recycling HC'!$C$203))</f>
        <v>-6532.7390656765674</v>
      </c>
      <c r="AB131" s="196">
        <f>AB47-('Ethylene Recycling HC'!AA92+'Ethylene Recycling HC'!AA135+'Ethylene Recycling HC'!AA181+'Ethylene Recycling HC'!AA200-('Ethylene Recycling HC'!$C$92+'Ethylene Recycling HC'!$C$135+'Ethylene Recycling HC'!$C$181+'Ethylene Recycling HC'!$C$200)+'Ethylene Recycling HC'!AA95+'Ethylene Recycling HC'!AA138+'Ethylene Recycling HC'!AA184+'Ethylene Recycling HC'!AA203-('Ethylene Recycling HC'!$C$95+'Ethylene Recycling HC'!$C$138+'Ethylene Recycling HC'!$C$184+'Ethylene Recycling HC'!$C$203))</f>
        <v>-8264.2602702713848</v>
      </c>
      <c r="AC131" s="196">
        <f>AC47-('Ethylene Recycling HC'!AB92+'Ethylene Recycling HC'!AB135+'Ethylene Recycling HC'!AB181+'Ethylene Recycling HC'!AB200-('Ethylene Recycling HC'!$C$92+'Ethylene Recycling HC'!$C$135+'Ethylene Recycling HC'!$C$181+'Ethylene Recycling HC'!$C$200)+'Ethylene Recycling HC'!AB95+'Ethylene Recycling HC'!AB138+'Ethylene Recycling HC'!AB184+'Ethylene Recycling HC'!AB203-('Ethylene Recycling HC'!$C$95+'Ethylene Recycling HC'!$C$138+'Ethylene Recycling HC'!$C$184+'Ethylene Recycling HC'!$C$203))</f>
        <v>-9928.9025234380133</v>
      </c>
      <c r="AD131" s="196">
        <f>AD47-('Ethylene Recycling HC'!AC92+'Ethylene Recycling HC'!AC135+'Ethylene Recycling HC'!AC181+'Ethylene Recycling HC'!AC200-('Ethylene Recycling HC'!$C$92+'Ethylene Recycling HC'!$C$135+'Ethylene Recycling HC'!$C$181+'Ethylene Recycling HC'!$C$200)+'Ethylene Recycling HC'!AC95+'Ethylene Recycling HC'!AC138+'Ethylene Recycling HC'!AC184+'Ethylene Recycling HC'!AC203-('Ethylene Recycling HC'!$C$95+'Ethylene Recycling HC'!$C$138+'Ethylene Recycling HC'!$C$184+'Ethylene Recycling HC'!$C$203))</f>
        <v>-11516.895480933523</v>
      </c>
      <c r="AE131" s="196">
        <f>AE47-('Ethylene Recycling HC'!AD92+'Ethylene Recycling HC'!AD135+'Ethylene Recycling HC'!AD181+'Ethylene Recycling HC'!AD200-('Ethylene Recycling HC'!$C$92+'Ethylene Recycling HC'!$C$135+'Ethylene Recycling HC'!$C$181+'Ethylene Recycling HC'!$C$200)+'Ethylene Recycling HC'!AD95+'Ethylene Recycling HC'!AD138+'Ethylene Recycling HC'!AD184+'Ethylene Recycling HC'!AD203-('Ethylene Recycling HC'!$C$95+'Ethylene Recycling HC'!$C$138+'Ethylene Recycling HC'!$C$184+'Ethylene Recycling HC'!$C$203))</f>
        <v>-13018.445397439231</v>
      </c>
      <c r="AF131" s="196">
        <f>AF47-('Ethylene Recycling HC'!AE92+'Ethylene Recycling HC'!AE135+'Ethylene Recycling HC'!AE181+'Ethylene Recycling HC'!AE200-('Ethylene Recycling HC'!$C$92+'Ethylene Recycling HC'!$C$135+'Ethylene Recycling HC'!$C$181+'Ethylene Recycling HC'!$C$200)+'Ethylene Recycling HC'!AE95+'Ethylene Recycling HC'!AE138+'Ethylene Recycling HC'!AE184+'Ethylene Recycling HC'!AE203-('Ethylene Recycling HC'!$C$95+'Ethylene Recycling HC'!$C$138+'Ethylene Recycling HC'!$C$184+'Ethylene Recycling HC'!$C$203))</f>
        <v>-14423.719012372865</v>
      </c>
      <c r="AG131" s="196">
        <f>AG47-('Ethylene Recycling HC'!AF92+'Ethylene Recycling HC'!AF135+'Ethylene Recycling HC'!AF181+'Ethylene Recycling HC'!AF200-('Ethylene Recycling HC'!$C$92+'Ethylene Recycling HC'!$C$135+'Ethylene Recycling HC'!$C$181+'Ethylene Recycling HC'!$C$200)+'Ethylene Recycling HC'!AF95+'Ethylene Recycling HC'!AF138+'Ethylene Recycling HC'!AF184+'Ethylene Recycling HC'!AF203-('Ethylene Recycling HC'!$C$95+'Ethylene Recycling HC'!$C$138+'Ethylene Recycling HC'!$C$184+'Ethylene Recycling HC'!$C$203))</f>
        <v>-15722.850330314115</v>
      </c>
      <c r="AH131" s="196">
        <f>AH47-('Ethylene Recycling HC'!AG92+'Ethylene Recycling HC'!AG135+'Ethylene Recycling HC'!AG181+'Ethylene Recycling HC'!AG200-('Ethylene Recycling HC'!$C$92+'Ethylene Recycling HC'!$C$135+'Ethylene Recycling HC'!$C$181+'Ethylene Recycling HC'!$C$200)+'Ethylene Recycling HC'!AG95+'Ethylene Recycling HC'!AG138+'Ethylene Recycling HC'!AG184+'Ethylene Recycling HC'!AG203-('Ethylene Recycling HC'!$C$95+'Ethylene Recycling HC'!$C$138+'Ethylene Recycling HC'!$C$184+'Ethylene Recycling HC'!$C$203))</f>
        <v>-16013.340535466759</v>
      </c>
      <c r="AI131" s="41"/>
    </row>
    <row r="132" spans="1:36" s="62" customFormat="1">
      <c r="A132" s="691" t="s">
        <v>686</v>
      </c>
      <c r="B132" s="55" t="s">
        <v>683</v>
      </c>
      <c r="C132" s="56" t="s">
        <v>166</v>
      </c>
      <c r="D132" s="630">
        <f>D48-('Ethylene Recycling HC'!C93+'Ethylene Recycling HC'!C136+'Ethylene Recycling HC'!C182+'Ethylene Recycling HC'!C201-('Ethylene Recycling HC'!$C$93+'Ethylene Recycling HC'!$C$136+'Ethylene Recycling HC'!$C$182+'Ethylene Recycling HC'!$C$201))</f>
        <v>57420.121340898964</v>
      </c>
      <c r="E132" s="630">
        <f>E48-('Ethylene Recycling HC'!D93+'Ethylene Recycling HC'!D136+'Ethylene Recycling HC'!D182+'Ethylene Recycling HC'!D201-('Ethylene Recycling HC'!$C$93+'Ethylene Recycling HC'!$C$136+'Ethylene Recycling HC'!$C$182+'Ethylene Recycling HC'!$C$201))</f>
        <v>55038.448737938896</v>
      </c>
      <c r="F132" s="630">
        <f>F48-('Ethylene Recycling HC'!E93+'Ethylene Recycling HC'!E136+'Ethylene Recycling HC'!E182+'Ethylene Recycling HC'!E201-('Ethylene Recycling HC'!$C$93+'Ethylene Recycling HC'!$C$136+'Ethylene Recycling HC'!$C$182+'Ethylene Recycling HC'!$C$201))</f>
        <v>52647.93230673037</v>
      </c>
      <c r="G132" s="630">
        <f>G48-('Ethylene Recycling HC'!F93+'Ethylene Recycling HC'!F136+'Ethylene Recycling HC'!F182+'Ethylene Recycling HC'!F201-('Ethylene Recycling HC'!$C$93+'Ethylene Recycling HC'!$C$136+'Ethylene Recycling HC'!$C$182+'Ethylene Recycling HC'!$C$201))</f>
        <v>50249.794347729614</v>
      </c>
      <c r="H132" s="630">
        <f>H48-('Ethylene Recycling HC'!G93+'Ethylene Recycling HC'!G136+'Ethylene Recycling HC'!G182+'Ethylene Recycling HC'!G201-('Ethylene Recycling HC'!$C$93+'Ethylene Recycling HC'!$C$136+'Ethylene Recycling HC'!$C$182+'Ethylene Recycling HC'!$C$201))</f>
        <v>47845.266396568913</v>
      </c>
      <c r="I132" s="630">
        <f>I48-('Ethylene Recycling HC'!H93+'Ethylene Recycling HC'!H136+'Ethylene Recycling HC'!H182+'Ethylene Recycling HC'!H201-('Ethylene Recycling HC'!$C$93+'Ethylene Recycling HC'!$C$136+'Ethylene Recycling HC'!$C$182+'Ethylene Recycling HC'!$C$201))</f>
        <v>45435.589047773246</v>
      </c>
      <c r="J132" s="630">
        <f>J48-('Ethylene Recycling HC'!I93+'Ethylene Recycling HC'!I136+'Ethylene Recycling HC'!I182+'Ethylene Recycling HC'!I201-('Ethylene Recycling HC'!$C$93+'Ethylene Recycling HC'!$C$136+'Ethylene Recycling HC'!$C$182+'Ethylene Recycling HC'!$C$201))</f>
        <v>43022.011778477077</v>
      </c>
      <c r="K132" s="630">
        <f>K48-('Ethylene Recycling HC'!J93+'Ethylene Recycling HC'!J136+'Ethylene Recycling HC'!J182+'Ethylene Recycling HC'!J201-('Ethylene Recycling HC'!$C$93+'Ethylene Recycling HC'!$C$136+'Ethylene Recycling HC'!$C$182+'Ethylene Recycling HC'!$C$201))</f>
        <v>40605.792772140994</v>
      </c>
      <c r="L132" s="630">
        <f>L48-('Ethylene Recycling HC'!K93+'Ethylene Recycling HC'!K136+'Ethylene Recycling HC'!K182+'Ethylene Recycling HC'!K201-('Ethylene Recycling HC'!$C$93+'Ethylene Recycling HC'!$C$136+'Ethylene Recycling HC'!$C$182+'Ethylene Recycling HC'!$C$201))</f>
        <v>38188.198742268476</v>
      </c>
      <c r="M132" s="630">
        <f>M48-('Ethylene Recycling HC'!L93+'Ethylene Recycling HC'!L136+'Ethylene Recycling HC'!L182+'Ethylene Recycling HC'!L201-('Ethylene Recycling HC'!$C$93+'Ethylene Recycling HC'!$C$136+'Ethylene Recycling HC'!$C$182+'Ethylene Recycling HC'!$C$201))</f>
        <v>35770.504756122573</v>
      </c>
      <c r="N132" s="630">
        <f>N48-('Ethylene Recycling HC'!M93+'Ethylene Recycling HC'!M136+'Ethylene Recycling HC'!M182+'Ethylene Recycling HC'!M201-('Ethylene Recycling HC'!$C$93+'Ethylene Recycling HC'!$C$136+'Ethylene Recycling HC'!$C$182+'Ethylene Recycling HC'!$C$201))</f>
        <v>33353.994058442564</v>
      </c>
      <c r="O132" s="630">
        <f>O48-('Ethylene Recycling HC'!N93+'Ethylene Recycling HC'!N136+'Ethylene Recycling HC'!N182+'Ethylene Recycling HC'!N201-('Ethylene Recycling HC'!$C$93+'Ethylene Recycling HC'!$C$136+'Ethylene Recycling HC'!$C$182+'Ethylene Recycling HC'!$C$201))</f>
        <v>30424.036240440189</v>
      </c>
      <c r="P132" s="630">
        <f>P48-('Ethylene Recycling HC'!O93+'Ethylene Recycling HC'!O136+'Ethylene Recycling HC'!O182+'Ethylene Recycling HC'!O201-('Ethylene Recycling HC'!$C$93+'Ethylene Recycling HC'!$C$136+'Ethylene Recycling HC'!$C$182+'Ethylene Recycling HC'!$C$201))</f>
        <v>27470.051909764268</v>
      </c>
      <c r="Q132" s="630">
        <f>Q48-('Ethylene Recycling HC'!P93+'Ethylene Recycling HC'!P136+'Ethylene Recycling HC'!P182+'Ethylene Recycling HC'!P201-('Ethylene Recycling HC'!$C$93+'Ethylene Recycling HC'!$C$136+'Ethylene Recycling HC'!$C$182+'Ethylene Recycling HC'!$C$201))</f>
        <v>24560.045140440714</v>
      </c>
      <c r="R132" s="630">
        <f>R48-('Ethylene Recycling HC'!Q93+'Ethylene Recycling HC'!Q136+'Ethylene Recycling HC'!Q182+'Ethylene Recycling HC'!Q201-('Ethylene Recycling HC'!$C$93+'Ethylene Recycling HC'!$C$136+'Ethylene Recycling HC'!$C$182+'Ethylene Recycling HC'!$C$201))</f>
        <v>21669.284370935853</v>
      </c>
      <c r="S132" s="630">
        <f>S48-('Ethylene Recycling HC'!R93+'Ethylene Recycling HC'!R136+'Ethylene Recycling HC'!R182+'Ethylene Recycling HC'!R201-('Ethylene Recycling HC'!$C$93+'Ethylene Recycling HC'!$C$136+'Ethylene Recycling HC'!$C$182+'Ethylene Recycling HC'!$C$201))</f>
        <v>18803.410693423881</v>
      </c>
      <c r="T132" s="630">
        <f>T48-('Ethylene Recycling HC'!S93+'Ethylene Recycling HC'!S136+'Ethylene Recycling HC'!S182+'Ethylene Recycling HC'!S201-('Ethylene Recycling HC'!$C$93+'Ethylene Recycling HC'!$C$136+'Ethylene Recycling HC'!$C$182+'Ethylene Recycling HC'!$C$201))</f>
        <v>15968.093672158564</v>
      </c>
      <c r="U132" s="630">
        <f>U48-('Ethylene Recycling HC'!T93+'Ethylene Recycling HC'!T136+'Ethylene Recycling HC'!T182+'Ethylene Recycling HC'!T201-('Ethylene Recycling HC'!$C$93+'Ethylene Recycling HC'!$C$136+'Ethylene Recycling HC'!$C$182+'Ethylene Recycling HC'!$C$201))</f>
        <v>13169.030608731144</v>
      </c>
      <c r="V132" s="630">
        <f>V48-('Ethylene Recycling HC'!U93+'Ethylene Recycling HC'!U136+'Ethylene Recycling HC'!U182+'Ethylene Recycling HC'!U201-('Ethylene Recycling HC'!$C$93+'Ethylene Recycling HC'!$C$136+'Ethylene Recycling HC'!$C$182+'Ethylene Recycling HC'!$C$201))</f>
        <v>10411.945807347474</v>
      </c>
      <c r="W132" s="630">
        <f>W48-('Ethylene Recycling HC'!V93+'Ethylene Recycling HC'!V136+'Ethylene Recycling HC'!V182+'Ethylene Recycling HC'!V201-('Ethylene Recycling HC'!$C$93+'Ethylene Recycling HC'!$C$136+'Ethylene Recycling HC'!$C$182+'Ethylene Recycling HC'!$C$201))</f>
        <v>7702.5898401241247</v>
      </c>
      <c r="X132" s="630">
        <f>X48-('Ethylene Recycling HC'!W93+'Ethylene Recycling HC'!W136+'Ethylene Recycling HC'!W182+'Ethylene Recycling HC'!W201-('Ethylene Recycling HC'!$C$93+'Ethylene Recycling HC'!$C$136+'Ethylene Recycling HC'!$C$182+'Ethylene Recycling HC'!$C$201))</f>
        <v>5046.7388124036443</v>
      </c>
      <c r="Y132" s="630">
        <f>Y48-('Ethylene Recycling HC'!X93+'Ethylene Recycling HC'!X136+'Ethylene Recycling HC'!X182+'Ethylene Recycling HC'!X201-('Ethylene Recycling HC'!$C$93+'Ethylene Recycling HC'!$C$136+'Ethylene Recycling HC'!$C$182+'Ethylene Recycling HC'!$C$201))</f>
        <v>1841.2315954931983</v>
      </c>
      <c r="Z132" s="630">
        <f>Z48-('Ethylene Recycling HC'!Y93+'Ethylene Recycling HC'!Y136+'Ethylene Recycling HC'!Y182+'Ethylene Recycling HC'!Y201-('Ethylene Recycling HC'!$C$93+'Ethylene Recycling HC'!$C$136+'Ethylene Recycling HC'!$C$182+'Ethylene Recycling HC'!$C$201))</f>
        <v>-1521.6576362313899</v>
      </c>
      <c r="AA132" s="630">
        <f>AA48-('Ethylene Recycling HC'!Z93+'Ethylene Recycling HC'!Z136+'Ethylene Recycling HC'!Z182+'Ethylene Recycling HC'!Z201-('Ethylene Recycling HC'!$C$93+'Ethylene Recycling HC'!$C$136+'Ethylene Recycling HC'!$C$182+'Ethylene Recycling HC'!$C$201))</f>
        <v>-4790.3371816731851</v>
      </c>
      <c r="AB132" s="630">
        <f>AB48-('Ethylene Recycling HC'!AA93+'Ethylene Recycling HC'!AA136+'Ethylene Recycling HC'!AA182+'Ethylene Recycling HC'!AA201-('Ethylene Recycling HC'!$C$93+'Ethylene Recycling HC'!$C$136+'Ethylene Recycling HC'!$C$182+'Ethylene Recycling HC'!$C$201))</f>
        <v>-7957.8012318833426</v>
      </c>
      <c r="AC132" s="630">
        <f>AC48-('Ethylene Recycling HC'!AB93+'Ethylene Recycling HC'!AB136+'Ethylene Recycling HC'!AB182+'Ethylene Recycling HC'!AB201-('Ethylene Recycling HC'!$C$93+'Ethylene Recycling HC'!$C$136+'Ethylene Recycling HC'!$C$182+'Ethylene Recycling HC'!$C$201))</f>
        <v>-11014.509096589278</v>
      </c>
      <c r="AD132" s="630">
        <f>AD48-('Ethylene Recycling HC'!AC93+'Ethylene Recycling HC'!AC136+'Ethylene Recycling HC'!AC182+'Ethylene Recycling HC'!AC201-('Ethylene Recycling HC'!$C$93+'Ethylene Recycling HC'!$C$136+'Ethylene Recycling HC'!$C$182+'Ethylene Recycling HC'!$C$201))</f>
        <v>-13950.884277847981</v>
      </c>
      <c r="AE132" s="630">
        <f>AE48-('Ethylene Recycling HC'!AD93+'Ethylene Recycling HC'!AD136+'Ethylene Recycling HC'!AD182+'Ethylene Recycling HC'!AD201-('Ethylene Recycling HC'!$C$93+'Ethylene Recycling HC'!$C$136+'Ethylene Recycling HC'!$C$182+'Ethylene Recycling HC'!$C$201))</f>
        <v>-16757.315715392833</v>
      </c>
      <c r="AF132" s="630">
        <f>AF48-('Ethylene Recycling HC'!AE93+'Ethylene Recycling HC'!AE136+'Ethylene Recycling HC'!AE182+'Ethylene Recycling HC'!AE201-('Ethylene Recycling HC'!$C$93+'Ethylene Recycling HC'!$C$136+'Ethylene Recycling HC'!$C$182+'Ethylene Recycling HC'!$C$201))</f>
        <v>-19424.159031210944</v>
      </c>
      <c r="AG132" s="630">
        <f>AG48-('Ethylene Recycling HC'!AF93+'Ethylene Recycling HC'!AF136+'Ethylene Recycling HC'!AF182+'Ethylene Recycling HC'!AF201-('Ethylene Recycling HC'!$C$93+'Ethylene Recycling HC'!$C$136+'Ethylene Recycling HC'!$C$182+'Ethylene Recycling HC'!$C$201))</f>
        <v>-21941.737773350709</v>
      </c>
      <c r="AH132" s="630">
        <f>AH48-('Ethylene Recycling HC'!AG93+'Ethylene Recycling HC'!AG136+'Ethylene Recycling HC'!AG182+'Ethylene Recycling HC'!AG201-('Ethylene Recycling HC'!$C$93+'Ethylene Recycling HC'!$C$136+'Ethylene Recycling HC'!$C$182+'Ethylene Recycling HC'!$C$201))</f>
        <v>-23755.056862911806</v>
      </c>
      <c r="AI132" s="57"/>
    </row>
    <row r="133" spans="1:36" s="63" customFormat="1">
      <c r="A133" s="692"/>
      <c r="B133" s="59" t="s">
        <v>682</v>
      </c>
      <c r="C133" s="262" t="s">
        <v>166</v>
      </c>
      <c r="D133" s="599">
        <f>D49-('Ethylene Recycling HC'!C202+'Ethylene Recycling HC'!C183+'Ethylene Recycling HC'!C137+'Ethylene Recycling HC'!C94-('Ethylene Recycling HC'!$C$202+'Ethylene Recycling HC'!$C$183+'Ethylene Recycling HC'!$C$137+'Ethylene Recycling HC'!$C$94))</f>
        <v>4264.8250054212294</v>
      </c>
      <c r="E133" s="599">
        <f>E49-('Ethylene Recycling HC'!D202+'Ethylene Recycling HC'!D183+'Ethylene Recycling HC'!D137+'Ethylene Recycling HC'!D94-('Ethylene Recycling HC'!$C$202+'Ethylene Recycling HC'!$C$183+'Ethylene Recycling HC'!$C$137+'Ethylene Recycling HC'!$C$94))</f>
        <v>3798.5516561004415</v>
      </c>
      <c r="F133" s="599">
        <f>F49-('Ethylene Recycling HC'!E202+'Ethylene Recycling HC'!E183+'Ethylene Recycling HC'!E137+'Ethylene Recycling HC'!E94-('Ethylene Recycling HC'!$C$202+'Ethylene Recycling HC'!$C$183+'Ethylene Recycling HC'!$C$137+'Ethylene Recycling HC'!$C$94))</f>
        <v>3329.0657309158173</v>
      </c>
      <c r="G133" s="599">
        <f>G49-('Ethylene Recycling HC'!F202+'Ethylene Recycling HC'!F183+'Ethylene Recycling HC'!F137+'Ethylene Recycling HC'!F94-('Ethylene Recycling HC'!$C$202+'Ethylene Recycling HC'!$C$183+'Ethylene Recycling HC'!$C$137+'Ethylene Recycling HC'!$C$94))</f>
        <v>2856.7980137303084</v>
      </c>
      <c r="H133" s="599">
        <f>H49-('Ethylene Recycling HC'!G202+'Ethylene Recycling HC'!G183+'Ethylene Recycling HC'!G137+'Ethylene Recycling HC'!G94-('Ethylene Recycling HC'!$C$202+'Ethylene Recycling HC'!$C$183+'Ethylene Recycling HC'!$C$137+'Ethylene Recycling HC'!$C$94))</f>
        <v>2382.1823664404997</v>
      </c>
      <c r="I133" s="599">
        <f>I49-('Ethylene Recycling HC'!H202+'Ethylene Recycling HC'!H183+'Ethylene Recycling HC'!H137+'Ethylene Recycling HC'!H94-('Ethylene Recycling HC'!$C$202+'Ethylene Recycling HC'!$C$183+'Ethylene Recycling HC'!$C$137+'Ethylene Recycling HC'!$C$94))</f>
        <v>1905.6556702154958</v>
      </c>
      <c r="J133" s="599">
        <f>J49-('Ethylene Recycling HC'!I202+'Ethylene Recycling HC'!I183+'Ethylene Recycling HC'!I137+'Ethylene Recycling HC'!I94-('Ethylene Recycling HC'!$C$202+'Ethylene Recycling HC'!$C$183+'Ethylene Recycling HC'!$C$137+'Ethylene Recycling HC'!$C$94))</f>
        <v>1625.4389725915112</v>
      </c>
      <c r="K133" s="599">
        <f>K49-('Ethylene Recycling HC'!J202+'Ethylene Recycling HC'!J183+'Ethylene Recycling HC'!J137+'Ethylene Recycling HC'!J94-('Ethylene Recycling HC'!$C$202+'Ethylene Recycling HC'!$C$183+'Ethylene Recycling HC'!$C$137+'Ethylene Recycling HC'!$C$94))</f>
        <v>1354.8619545458482</v>
      </c>
      <c r="L133" s="599">
        <f>L49-('Ethylene Recycling HC'!K202+'Ethylene Recycling HC'!K183+'Ethylene Recycling HC'!K137+'Ethylene Recycling HC'!K94-('Ethylene Recycling HC'!$C$202+'Ethylene Recycling HC'!$C$183+'Ethylene Recycling HC'!$C$137+'Ethylene Recycling HC'!$C$94))</f>
        <v>1094.0175266487431</v>
      </c>
      <c r="M133" s="599">
        <f>M49-('Ethylene Recycling HC'!L202+'Ethylene Recycling HC'!L183+'Ethylene Recycling HC'!L137+'Ethylene Recycling HC'!L94-('Ethylene Recycling HC'!$C$202+'Ethylene Recycling HC'!$C$183+'Ethylene Recycling HC'!$C$137+'Ethylene Recycling HC'!$C$94))</f>
        <v>843.00138369856222</v>
      </c>
      <c r="N133" s="599">
        <f>N49-('Ethylene Recycling HC'!M202+'Ethylene Recycling HC'!M183+'Ethylene Recycling HC'!M137+'Ethylene Recycling HC'!M94-('Ethylene Recycling HC'!$C$202+'Ethylene Recycling HC'!$C$183+'Ethylene Recycling HC'!$C$137+'Ethylene Recycling HC'!$C$94))</f>
        <v>601.91194596071546</v>
      </c>
      <c r="O133" s="599">
        <f>O49-('Ethylene Recycling HC'!N202+'Ethylene Recycling HC'!N183+'Ethylene Recycling HC'!N137+'Ethylene Recycling HC'!N94-('Ethylene Recycling HC'!$C$202+'Ethylene Recycling HC'!$C$183+'Ethylene Recycling HC'!$C$137+'Ethylene Recycling HC'!$C$94))</f>
        <v>166.24162995320557</v>
      </c>
      <c r="P133" s="599">
        <f>P49-('Ethylene Recycling HC'!O202+'Ethylene Recycling HC'!O183+'Ethylene Recycling HC'!O137+'Ethylene Recycling HC'!O94-('Ethylene Recycling HC'!$C$202+'Ethylene Recycling HC'!$C$183+'Ethylene Recycling HC'!$C$137+'Ethylene Recycling HC'!$C$94))</f>
        <v>-257.18856299082927</v>
      </c>
      <c r="Q133" s="599">
        <f>Q49-('Ethylene Recycling HC'!P202+'Ethylene Recycling HC'!P183+'Ethylene Recycling HC'!P137+'Ethylene Recycling HC'!P94-('Ethylene Recycling HC'!$C$202+'Ethylene Recycling HC'!$C$183+'Ethylene Recycling HC'!$C$137+'Ethylene Recycling HC'!$C$94))</f>
        <v>-646.46058081374804</v>
      </c>
      <c r="R133" s="599">
        <f>R49-('Ethylene Recycling HC'!Q202+'Ethylene Recycling HC'!Q183+'Ethylene Recycling HC'!Q137+'Ethylene Recycling HC'!Q94-('Ethylene Recycling HC'!$C$202+'Ethylene Recycling HC'!$C$183+'Ethylene Recycling HC'!$C$137+'Ethylene Recycling HC'!$C$94))</f>
        <v>-1010.3680249497038</v>
      </c>
      <c r="S133" s="599">
        <f>S49-('Ethylene Recycling HC'!R202+'Ethylene Recycling HC'!R183+'Ethylene Recycling HC'!R137+'Ethylene Recycling HC'!R94-('Ethylene Recycling HC'!$C$202+'Ethylene Recycling HC'!$C$183+'Ethylene Recycling HC'!$C$137+'Ethylene Recycling HC'!$C$94))</f>
        <v>-1347.6636371514919</v>
      </c>
      <c r="T133" s="599">
        <f>T49-('Ethylene Recycling HC'!S202+'Ethylene Recycling HC'!S183+'Ethylene Recycling HC'!S137+'Ethylene Recycling HC'!S94-('Ethylene Recycling HC'!$C$202+'Ethylene Recycling HC'!$C$183+'Ethylene Recycling HC'!$C$137+'Ethylene Recycling HC'!$C$94))</f>
        <v>-1739.8252826842186</v>
      </c>
      <c r="U133" s="599">
        <f>U49-('Ethylene Recycling HC'!T202+'Ethylene Recycling HC'!T183+'Ethylene Recycling HC'!T137+'Ethylene Recycling HC'!T94-('Ethylene Recycling HC'!$C$202+'Ethylene Recycling HC'!$C$183+'Ethylene Recycling HC'!$C$137+'Ethylene Recycling HC'!$C$94))</f>
        <v>-2108.5278272721571</v>
      </c>
      <c r="V133" s="599">
        <f>V49-('Ethylene Recycling HC'!U202+'Ethylene Recycling HC'!U183+'Ethylene Recycling HC'!U137+'Ethylene Recycling HC'!U94-('Ethylene Recycling HC'!$C$202+'Ethylene Recycling HC'!$C$183+'Ethylene Recycling HC'!$C$137+'Ethylene Recycling HC'!$C$94))</f>
        <v>-2452.2981911358811</v>
      </c>
      <c r="W133" s="599">
        <f>W49-('Ethylene Recycling HC'!V202+'Ethylene Recycling HC'!V183+'Ethylene Recycling HC'!V137+'Ethylene Recycling HC'!V94-('Ethylene Recycling HC'!$C$202+'Ethylene Recycling HC'!$C$183+'Ethylene Recycling HC'!$C$137+'Ethylene Recycling HC'!$C$94))</f>
        <v>-2769.6545049781271</v>
      </c>
      <c r="X133" s="599">
        <f>X49-('Ethylene Recycling HC'!W202+'Ethylene Recycling HC'!W183+'Ethylene Recycling HC'!W137+'Ethylene Recycling HC'!W94-('Ethylene Recycling HC'!$C$202+'Ethylene Recycling HC'!$C$183+'Ethylene Recycling HC'!$C$137+'Ethylene Recycling HC'!$C$94))</f>
        <v>-3059.1063541755566</v>
      </c>
      <c r="Y133" s="599">
        <f>Y49-('Ethylene Recycling HC'!X202+'Ethylene Recycling HC'!X183+'Ethylene Recycling HC'!X137+'Ethylene Recycling HC'!X94-('Ethylene Recycling HC'!$C$202+'Ethylene Recycling HC'!$C$183+'Ethylene Recycling HC'!$C$137+'Ethylene Recycling HC'!$C$94))</f>
        <v>-3495.1354374236289</v>
      </c>
      <c r="Z133" s="599">
        <f>Z49-('Ethylene Recycling HC'!Y202+'Ethylene Recycling HC'!Y183+'Ethylene Recycling HC'!Y137+'Ethylene Recycling HC'!Y94-('Ethylene Recycling HC'!$C$202+'Ethylene Recycling HC'!$C$183+'Ethylene Recycling HC'!$C$137+'Ethylene Recycling HC'!$C$94))</f>
        <v>-3964.209801766312</v>
      </c>
      <c r="AA133" s="599">
        <f>AA49-('Ethylene Recycling HC'!Z202+'Ethylene Recycling HC'!Z183+'Ethylene Recycling HC'!Z137+'Ethylene Recycling HC'!Z94-('Ethylene Recycling HC'!$C$202+'Ethylene Recycling HC'!$C$183+'Ethylene Recycling HC'!$C$137+'Ethylene Recycling HC'!$C$94))</f>
        <v>-4384.3162226695613</v>
      </c>
      <c r="AB133" s="599">
        <f>AB49-('Ethylene Recycling HC'!AA202+'Ethylene Recycling HC'!AA183+'Ethylene Recycling HC'!AA137+'Ethylene Recycling HC'!AA94-('Ethylene Recycling HC'!$C$202+'Ethylene Recycling HC'!$C$183+'Ethylene Recycling HC'!$C$137+'Ethylene Recycling HC'!$C$94))</f>
        <v>-4753.0786029353767</v>
      </c>
      <c r="AC133" s="599">
        <f>AC49-('Ethylene Recycling HC'!AB202+'Ethylene Recycling HC'!AB183+'Ethylene Recycling HC'!AB137+'Ethylene Recycling HC'!AB94-('Ethylene Recycling HC'!$C$202+'Ethylene Recycling HC'!$C$183+'Ethylene Recycling HC'!$C$137+'Ethylene Recycling HC'!$C$94))</f>
        <v>-5068.1082070100383</v>
      </c>
      <c r="AD133" s="599">
        <f>AD49-('Ethylene Recycling HC'!AC202+'Ethylene Recycling HC'!AC183+'Ethylene Recycling HC'!AC137+'Ethylene Recycling HC'!AC94-('Ethylene Recycling HC'!$C$202+'Ethylene Recycling HC'!$C$183+'Ethylene Recycling HC'!$C$137+'Ethylene Recycling HC'!$C$94))</f>
        <v>-5265.9800922523054</v>
      </c>
      <c r="AE133" s="599">
        <f>AE49-('Ethylene Recycling HC'!AD202+'Ethylene Recycling HC'!AD183+'Ethylene Recycling HC'!AD137+'Ethylene Recycling HC'!AD94-('Ethylene Recycling HC'!$C$202+'Ethylene Recycling HC'!$C$183+'Ethylene Recycling HC'!$C$137+'Ethylene Recycling HC'!$C$94))</f>
        <v>-5400.8123018951628</v>
      </c>
      <c r="AF133" s="599">
        <f>AF49-('Ethylene Recycling HC'!AE202+'Ethylene Recycling HC'!AE183+'Ethylene Recycling HC'!AE137+'Ethylene Recycling HC'!AE94-('Ethylene Recycling HC'!$C$202+'Ethylene Recycling HC'!$C$183+'Ethylene Recycling HC'!$C$137+'Ethylene Recycling HC'!$C$94))</f>
        <v>-5470.3540748391824</v>
      </c>
      <c r="AG133" s="599">
        <f>AG49-('Ethylene Recycling HC'!AF202+'Ethylene Recycling HC'!AF183+'Ethylene Recycling HC'!AF137+'Ethylene Recycling HC'!AF94-('Ethylene Recycling HC'!$C$202+'Ethylene Recycling HC'!$C$183+'Ethylene Recycling HC'!$C$137+'Ethylene Recycling HC'!$C$94))</f>
        <v>-5472.3436016930837</v>
      </c>
      <c r="AH133" s="599">
        <f>AH49-('Ethylene Recycling HC'!AG202+'Ethylene Recycling HC'!AG183+'Ethylene Recycling HC'!AG137+'Ethylene Recycling HC'!AG94-('Ethylene Recycling HC'!$C$202+'Ethylene Recycling HC'!$C$183+'Ethylene Recycling HC'!$C$137+'Ethylene Recycling HC'!$C$94))</f>
        <v>-5232.7924407728133</v>
      </c>
      <c r="AI133" s="263"/>
    </row>
    <row r="134" spans="1:36">
      <c r="A134" s="167" t="s">
        <v>304</v>
      </c>
      <c r="B134" s="226" t="s">
        <v>195</v>
      </c>
      <c r="C134" s="227" t="s">
        <v>166</v>
      </c>
      <c r="D134" s="627">
        <f>D65+D74</f>
        <v>387852.09507639048</v>
      </c>
      <c r="E134" s="627">
        <f t="shared" ref="E134:AH134" si="44">E65+E74</f>
        <v>399756.32777512172</v>
      </c>
      <c r="F134" s="627">
        <f t="shared" si="44"/>
        <v>397774.20221816632</v>
      </c>
      <c r="G134" s="627">
        <f t="shared" si="44"/>
        <v>396077.14243163733</v>
      </c>
      <c r="H134" s="627">
        <f t="shared" si="44"/>
        <v>394704.37957770936</v>
      </c>
      <c r="I134" s="627">
        <f t="shared" si="44"/>
        <v>393700.42110314831</v>
      </c>
      <c r="J134" s="627">
        <f t="shared" si="44"/>
        <v>393115.76087283902</v>
      </c>
      <c r="K134" s="627">
        <f t="shared" si="44"/>
        <v>393007.68493266503</v>
      </c>
      <c r="L134" s="627">
        <f t="shared" si="44"/>
        <v>393441.1857812294</v>
      </c>
      <c r="M134" s="627">
        <f t="shared" si="44"/>
        <v>394489.99976457388</v>
      </c>
      <c r="N134" s="627">
        <f t="shared" si="44"/>
        <v>396237.78417635546</v>
      </c>
      <c r="O134" s="627">
        <f t="shared" si="44"/>
        <v>398779.4528793511</v>
      </c>
      <c r="P134" s="627">
        <f t="shared" si="44"/>
        <v>402222.69179836038</v>
      </c>
      <c r="Q134" s="627">
        <f t="shared" si="44"/>
        <v>406689.67851012561</v>
      </c>
      <c r="R134" s="627">
        <f t="shared" si="44"/>
        <v>412319.03341869405</v>
      </c>
      <c r="S134" s="627">
        <f t="shared" si="44"/>
        <v>419268.03370694409</v>
      </c>
      <c r="T134" s="627">
        <f t="shared" si="44"/>
        <v>427715.12545590533</v>
      </c>
      <c r="U134" s="627">
        <f t="shared" si="44"/>
        <v>437862.77409023175</v>
      </c>
      <c r="V134" s="627">
        <f t="shared" si="44"/>
        <v>449940.69871691952</v>
      </c>
      <c r="W134" s="627">
        <f t="shared" si="44"/>
        <v>464209.54206156771</v>
      </c>
      <c r="X134" s="627">
        <f t="shared" si="44"/>
        <v>480965.034670275</v>
      </c>
      <c r="Y134" s="627">
        <f t="shared" si="44"/>
        <v>500473.0735719254</v>
      </c>
      <c r="Z134" s="627">
        <f t="shared" si="44"/>
        <v>523184.92651954503</v>
      </c>
      <c r="AA134" s="627">
        <f t="shared" si="44"/>
        <v>549532.59198374511</v>
      </c>
      <c r="AB134" s="627">
        <f t="shared" si="44"/>
        <v>580006.2295360174</v>
      </c>
      <c r="AC134" s="627">
        <f t="shared" si="44"/>
        <v>615161.99236810161</v>
      </c>
      <c r="AD134" s="627">
        <f t="shared" si="44"/>
        <v>655630.9147113706</v>
      </c>
      <c r="AE134" s="627">
        <f t="shared" si="44"/>
        <v>702128.99623519357</v>
      </c>
      <c r="AF134" s="627">
        <f t="shared" si="44"/>
        <v>755468.64463917387</v>
      </c>
      <c r="AG134" s="627">
        <f t="shared" si="44"/>
        <v>816571.65936742513</v>
      </c>
      <c r="AH134" s="627">
        <f t="shared" si="44"/>
        <v>886483.96401078755</v>
      </c>
    </row>
    <row r="135" spans="1:36">
      <c r="A135" s="167"/>
      <c r="B135" s="169" t="s">
        <v>262</v>
      </c>
      <c r="C135" s="165" t="s">
        <v>166</v>
      </c>
      <c r="D135" s="613">
        <f>'Ethylene Recycling HC'!C211-'Ethylene Recycling HC'!$C$211</f>
        <v>0</v>
      </c>
      <c r="E135" s="613">
        <f>'Ethylene Recycling HC'!D211-'Ethylene Recycling HC'!$C$211</f>
        <v>1010.8761175007676</v>
      </c>
      <c r="F135" s="613">
        <f>'Ethylene Recycling HC'!E211-'Ethylene Recycling HC'!$C$211</f>
        <v>2021.7522350015352</v>
      </c>
      <c r="G135" s="613">
        <f>'Ethylene Recycling HC'!F211-'Ethylene Recycling HC'!$C$211</f>
        <v>3032.6283525023064</v>
      </c>
      <c r="H135" s="613">
        <f>'Ethylene Recycling HC'!G211-'Ethylene Recycling HC'!$C$211</f>
        <v>4043.5044700030739</v>
      </c>
      <c r="I135" s="613">
        <f>'Ethylene Recycling HC'!H211-'Ethylene Recycling HC'!$C$211</f>
        <v>5054.3805875038415</v>
      </c>
      <c r="J135" s="613">
        <f>'Ethylene Recycling HC'!I211-'Ethylene Recycling HC'!$C$211</f>
        <v>5885.4651898132179</v>
      </c>
      <c r="K135" s="613">
        <f>'Ethylene Recycling HC'!J211-'Ethylene Recycling HC'!$C$211</f>
        <v>6703.2062273715965</v>
      </c>
      <c r="L135" s="613">
        <f>'Ethylene Recycling HC'!K211-'Ethylene Recycling HC'!$C$211</f>
        <v>7507.6037001789591</v>
      </c>
      <c r="M135" s="613">
        <f>'Ethylene Recycling HC'!L211-'Ethylene Recycling HC'!$C$211</f>
        <v>8298.6576082353058</v>
      </c>
      <c r="N135" s="613">
        <f>'Ethylene Recycling HC'!M211-'Ethylene Recycling HC'!$C$211</f>
        <v>9076.3679515406511</v>
      </c>
      <c r="O135" s="613">
        <f>'Ethylene Recycling HC'!N211-'Ethylene Recycling HC'!$C$211</f>
        <v>10720.563394913246</v>
      </c>
      <c r="P135" s="613">
        <f>'Ethylene Recycling HC'!O211-'Ethylene Recycling HC'!$C$211</f>
        <v>12339.322667979231</v>
      </c>
      <c r="Q135" s="613">
        <f>'Ethylene Recycling HC'!P211-'Ethylene Recycling HC'!$C$211</f>
        <v>13932.645770738589</v>
      </c>
      <c r="R135" s="613">
        <f>'Ethylene Recycling HC'!Q211-'Ethylene Recycling HC'!$C$211</f>
        <v>15500.532703191351</v>
      </c>
      <c r="S135" s="613">
        <f>'Ethylene Recycling HC'!R211-'Ethylene Recycling HC'!$C$211</f>
        <v>17042.983465337489</v>
      </c>
      <c r="T135" s="613">
        <f>'Ethylene Recycling HC'!S211-'Ethylene Recycling HC'!$C$211</f>
        <v>18559.998057177025</v>
      </c>
      <c r="U135" s="613">
        <f>'Ethylene Recycling HC'!T211-'Ethylene Recycling HC'!$C$211</f>
        <v>20051.576478709929</v>
      </c>
      <c r="V135" s="613">
        <f>'Ethylene Recycling HC'!U211-'Ethylene Recycling HC'!$C$211</f>
        <v>21517.718729936238</v>
      </c>
      <c r="W135" s="613">
        <f>'Ethylene Recycling HC'!V211-'Ethylene Recycling HC'!$C$211</f>
        <v>22958.42481085593</v>
      </c>
      <c r="X135" s="613">
        <f>'Ethylene Recycling HC'!W211-'Ethylene Recycling HC'!$C$211</f>
        <v>24373.694721469004</v>
      </c>
      <c r="Y135" s="613">
        <f>'Ethylene Recycling HC'!X211-'Ethylene Recycling HC'!$C$211</f>
        <v>27094.327036819883</v>
      </c>
      <c r="Z135" s="613">
        <f>'Ethylene Recycling HC'!Y211-'Ethylene Recycling HC'!$C$211</f>
        <v>29769.882594665392</v>
      </c>
      <c r="AA135" s="613">
        <f>'Ethylene Recycling HC'!Z211-'Ethylene Recycling HC'!$C$211</f>
        <v>32400.361395005482</v>
      </c>
      <c r="AB135" s="613">
        <f>'Ethylene Recycling HC'!AA211-'Ethylene Recycling HC'!$C$211</f>
        <v>34985.763437840185</v>
      </c>
      <c r="AC135" s="613">
        <f>'Ethylene Recycling HC'!AB211-'Ethylene Recycling HC'!$C$211</f>
        <v>37526.088723169509</v>
      </c>
      <c r="AD135" s="613">
        <f>'Ethylene Recycling HC'!AC211-'Ethylene Recycling HC'!$C$211</f>
        <v>40007.12847012245</v>
      </c>
      <c r="AE135" s="613">
        <f>'Ethylene Recycling HC'!AD211-'Ethylene Recycling HC'!$C$211</f>
        <v>42441.725497221356</v>
      </c>
      <c r="AF135" s="613">
        <f>'Ethylene Recycling HC'!AE211-'Ethylene Recycling HC'!$C$211</f>
        <v>44829.879804466225</v>
      </c>
      <c r="AG135" s="613">
        <f>'Ethylene Recycling HC'!AF211-'Ethylene Recycling HC'!$C$211</f>
        <v>47171.591391857059</v>
      </c>
      <c r="AH135" s="613">
        <f>'Ethylene Recycling HC'!AG211-'Ethylene Recycling HC'!$C$211</f>
        <v>49466.860259393827</v>
      </c>
    </row>
    <row r="136" spans="1:36" outlineLevel="1">
      <c r="A136"/>
      <c r="B136" t="s">
        <v>264</v>
      </c>
      <c r="C136" s="51" t="s">
        <v>166</v>
      </c>
      <c r="D136" s="196">
        <f>'Ethylene Recycling HC'!C96-'Ethylene Recycling HC'!$C$96</f>
        <v>0</v>
      </c>
      <c r="E136" s="196">
        <f>'Ethylene Recycling HC'!D96-'Ethylene Recycling HC'!$C$96</f>
        <v>315.12656779113604</v>
      </c>
      <c r="F136" s="196">
        <f>'Ethylene Recycling HC'!E96-'Ethylene Recycling HC'!$C$96</f>
        <v>613.66022947137753</v>
      </c>
      <c r="G136" s="196">
        <f>'Ethylene Recycling HC'!F96-'Ethylene Recycling HC'!$C$96</f>
        <v>895.689304434316</v>
      </c>
      <c r="H136" s="196">
        <f>'Ethylene Recycling HC'!G96-'Ethylene Recycling HC'!$C$96</f>
        <v>1161.302112073543</v>
      </c>
      <c r="I136" s="196">
        <f>'Ethylene Recycling HC'!H96-'Ethylene Recycling HC'!$C$96</f>
        <v>1410.5869717826499</v>
      </c>
      <c r="J136" s="196">
        <f>'Ethylene Recycling HC'!I96-'Ethylene Recycling HC'!$C$96</f>
        <v>1643.6322029552248</v>
      </c>
      <c r="K136" s="196">
        <f>'Ethylene Recycling HC'!J96-'Ethylene Recycling HC'!$C$96</f>
        <v>1860.5261249848663</v>
      </c>
      <c r="L136" s="196">
        <f>'Ethylene Recycling HC'!K96-'Ethylene Recycling HC'!$C$96</f>
        <v>2061.3570572651588</v>
      </c>
      <c r="M136" s="196">
        <f>'Ethylene Recycling HC'!L96-'Ethylene Recycling HC'!$C$96</f>
        <v>2246.2133191896937</v>
      </c>
      <c r="N136" s="196">
        <f>'Ethylene Recycling HC'!M96-'Ethylene Recycling HC'!$C$96</f>
        <v>2415.1832301520735</v>
      </c>
      <c r="O136" s="196">
        <f>'Ethylene Recycling HC'!N96-'Ethylene Recycling HC'!$C$96</f>
        <v>2955.9224442510131</v>
      </c>
      <c r="P136" s="196">
        <f>'Ethylene Recycling HC'!O96-'Ethylene Recycling HC'!$C$96</f>
        <v>3518.8035461452964</v>
      </c>
      <c r="Q136" s="196">
        <f>'Ethylene Recycling HC'!P96-'Ethylene Recycling HC'!$C$96</f>
        <v>3927.9475065974657</v>
      </c>
      <c r="R136" s="196">
        <f>'Ethylene Recycling HC'!Q96-'Ethylene Recycling HC'!$C$96</f>
        <v>4273.3900840092538</v>
      </c>
      <c r="S136" s="196">
        <f>'Ethylene Recycling HC'!R96-'Ethylene Recycling HC'!$C$96</f>
        <v>4555.498304722958</v>
      </c>
      <c r="T136" s="196">
        <f>'Ethylene Recycling HC'!S96-'Ethylene Recycling HC'!$C$96</f>
        <v>4774.6391950808829</v>
      </c>
      <c r="U136" s="196">
        <f>'Ethylene Recycling HC'!T96-'Ethylene Recycling HC'!$C$96</f>
        <v>4931.1797814253187</v>
      </c>
      <c r="V136" s="196">
        <f>'Ethylene Recycling HC'!U96-'Ethylene Recycling HC'!$C$96</f>
        <v>5025.4870900985879</v>
      </c>
      <c r="W136" s="196">
        <f>'Ethylene Recycling HC'!V96-'Ethylene Recycling HC'!$C$96</f>
        <v>5057.9281474429808</v>
      </c>
      <c r="X136" s="196">
        <f>'Ethylene Recycling HC'!W96-'Ethylene Recycling HC'!$C$96</f>
        <v>5028.8699798007874</v>
      </c>
      <c r="Y136" s="196">
        <f>'Ethylene Recycling HC'!X96-'Ethylene Recycling HC'!$C$96</f>
        <v>4976.6903970461935</v>
      </c>
      <c r="Z136" s="196">
        <f>'Ethylene Recycling HC'!Y96-'Ethylene Recycling HC'!$C$96</f>
        <v>5204.2013556586535</v>
      </c>
      <c r="AA136" s="196">
        <f>'Ethylene Recycling HC'!Z96-'Ethylene Recycling HC'!$C$96</f>
        <v>5331.5996844516667</v>
      </c>
      <c r="AB136" s="196">
        <f>'Ethylene Recycling HC'!AA96-'Ethylene Recycling HC'!$C$96</f>
        <v>5359.48285982163</v>
      </c>
      <c r="AC136" s="196">
        <f>'Ethylene Recycling HC'!AB96-'Ethylene Recycling HC'!$C$96</f>
        <v>5288.4483581649038</v>
      </c>
      <c r="AD136" s="196">
        <f>'Ethylene Recycling HC'!AC96-'Ethylene Recycling HC'!$C$96</f>
        <v>5119.0936558778631</v>
      </c>
      <c r="AE136" s="196">
        <f>'Ethylene Recycling HC'!AD96-'Ethylene Recycling HC'!$C$96</f>
        <v>4852.0162293568937</v>
      </c>
      <c r="AF136" s="196">
        <f>'Ethylene Recycling HC'!AE96-'Ethylene Recycling HC'!$C$96</f>
        <v>4487.8135549983563</v>
      </c>
      <c r="AG136" s="196">
        <f>'Ethylene Recycling HC'!AF96-'Ethylene Recycling HC'!$C$96</f>
        <v>4027.0831091986474</v>
      </c>
      <c r="AH136" s="196">
        <f>'Ethylene Recycling HC'!AG96-'Ethylene Recycling HC'!$C$96</f>
        <v>3470.4223683541495</v>
      </c>
    </row>
    <row r="137" spans="1:36" outlineLevel="1">
      <c r="A137"/>
      <c r="B137" t="s">
        <v>266</v>
      </c>
      <c r="C137" s="51" t="s">
        <v>166</v>
      </c>
      <c r="D137" s="196">
        <f>'Ethylene Recycling HC'!C185-'Ethylene Recycling HC'!$C$185</f>
        <v>0</v>
      </c>
      <c r="E137" s="196">
        <f>'Ethylene Recycling HC'!D185-'Ethylene Recycling HC'!$C$185</f>
        <v>195.47002811687616</v>
      </c>
      <c r="F137" s="196">
        <f>'Ethylene Recycling HC'!E185-'Ethylene Recycling HC'!$C$185</f>
        <v>387.13519199906568</v>
      </c>
      <c r="G137" s="196">
        <f>'Ethylene Recycling HC'!F185-'Ethylene Recycling HC'!$C$185</f>
        <v>574.99549164657219</v>
      </c>
      <c r="H137" s="196">
        <f>'Ethylene Recycling HC'!G185-'Ethylene Recycling HC'!$C$185</f>
        <v>759.05092705939296</v>
      </c>
      <c r="I137" s="196">
        <f>'Ethylene Recycling HC'!H185-'Ethylene Recycling HC'!$C$185</f>
        <v>939.30149823752708</v>
      </c>
      <c r="J137" s="196">
        <f>'Ethylene Recycling HC'!I185-'Ethylene Recycling HC'!$C$185</f>
        <v>917.94633498245094</v>
      </c>
      <c r="K137" s="196">
        <f>'Ethylene Recycling HC'!J185-'Ethylene Recycling HC'!$C$185</f>
        <v>882.11710341328853</v>
      </c>
      <c r="L137" s="196">
        <f>'Ethylene Recycling HC'!K185-'Ethylene Recycling HC'!$C$185</f>
        <v>832.1665144445933</v>
      </c>
      <c r="M137" s="196">
        <f>'Ethylene Recycling HC'!L185-'Ethylene Recycling HC'!$C$185</f>
        <v>768.44727899092413</v>
      </c>
      <c r="N137" s="196">
        <f>'Ethylene Recycling HC'!M185-'Ethylene Recycling HC'!$C$185</f>
        <v>691.31210796683263</v>
      </c>
      <c r="O137" s="196">
        <f>'Ethylene Recycling HC'!N185-'Ethylene Recycling HC'!$C$185</f>
        <v>762.38189567236532</v>
      </c>
      <c r="P137" s="196">
        <f>'Ethylene Recycling HC'!O185-'Ethylene Recycling HC'!$C$185</f>
        <v>805.8041638650684</v>
      </c>
      <c r="Q137" s="196">
        <f>'Ethylene Recycling HC'!P185-'Ethylene Recycling HC'!$C$185</f>
        <v>822.2512677258137</v>
      </c>
      <c r="R137" s="196">
        <f>'Ethylene Recycling HC'!Q185-'Ethylene Recycling HC'!$C$185</f>
        <v>812.39556243547122</v>
      </c>
      <c r="S137" s="196">
        <f>'Ethylene Recycling HC'!R185-'Ethylene Recycling HC'!$C$185</f>
        <v>776.90940317491277</v>
      </c>
      <c r="T137" s="196">
        <f>'Ethylene Recycling HC'!S185-'Ethylene Recycling HC'!$C$185</f>
        <v>799.20801660027337</v>
      </c>
      <c r="U137" s="196">
        <f>'Ethylene Recycling HC'!T185-'Ethylene Recycling HC'!$C$185</f>
        <v>802.89702028078045</v>
      </c>
      <c r="V137" s="196">
        <f>'Ethylene Recycling HC'!U185-'Ethylene Recycling HC'!$C$185</f>
        <v>788.45076188448638</v>
      </c>
      <c r="W137" s="196">
        <f>'Ethylene Recycling HC'!V185-'Ethylene Recycling HC'!$C$185</f>
        <v>756.34358907945443</v>
      </c>
      <c r="X137" s="196">
        <f>'Ethylene Recycling HC'!W185-'Ethylene Recycling HC'!$C$185</f>
        <v>707.04984953373969</v>
      </c>
      <c r="Y137" s="196">
        <f>'Ethylene Recycling HC'!X185-'Ethylene Recycling HC'!$C$185</f>
        <v>805.48538191870375</v>
      </c>
      <c r="Z137" s="196">
        <f>'Ethylene Recycling HC'!Y185-'Ethylene Recycling HC'!$C$185</f>
        <v>871.86939485696803</v>
      </c>
      <c r="AA137" s="196">
        <f>'Ethylene Recycling HC'!Z185-'Ethylene Recycling HC'!$C$185</f>
        <v>907.04250446914466</v>
      </c>
      <c r="AB137" s="196">
        <f>'Ethylene Recycling HC'!AA185-'Ethylene Recycling HC'!$C$185</f>
        <v>911.84532687584397</v>
      </c>
      <c r="AC137" s="196">
        <f>'Ethylene Recycling HC'!AB185-'Ethylene Recycling HC'!$C$185</f>
        <v>887.11847819767263</v>
      </c>
      <c r="AD137" s="196">
        <f>'Ethylene Recycling HC'!AC185-'Ethylene Recycling HC'!$C$185</f>
        <v>772.67254101614071</v>
      </c>
      <c r="AE137" s="196">
        <f>'Ethylene Recycling HC'!AD185-'Ethylene Recycling HC'!$C$185</f>
        <v>625.88461496782566</v>
      </c>
      <c r="AF137" s="196">
        <f>'Ethylene Recycling HC'!AE185-'Ethylene Recycling HC'!$C$185</f>
        <v>447.76883784961683</v>
      </c>
      <c r="AG137" s="196">
        <f>'Ethylene Recycling HC'!AF185-'Ethylene Recycling HC'!$C$185</f>
        <v>239.3393474583936</v>
      </c>
      <c r="AH137" s="196">
        <f>'Ethylene Recycling HC'!AG185-'Ethylene Recycling HC'!$C$185</f>
        <v>-170.12277274079406</v>
      </c>
      <c r="AJ137" s="41"/>
    </row>
    <row r="138" spans="1:36" outlineLevel="1">
      <c r="A138" s="169"/>
      <c r="B138" s="169" t="s">
        <v>265</v>
      </c>
      <c r="C138" s="165" t="s">
        <v>166</v>
      </c>
      <c r="D138" s="613">
        <f>'Ethylene Recycling HC'!C145-'Ethylene Recycling HC'!$C$145</f>
        <v>0</v>
      </c>
      <c r="E138" s="613">
        <f>'Ethylene Recycling HC'!D145-'Ethylene Recycling HC'!$C$145</f>
        <v>83.94444322799535</v>
      </c>
      <c r="F138" s="613">
        <f>'Ethylene Recycling HC'!E145-'Ethylene Recycling HC'!$C$145</f>
        <v>167.49632954132574</v>
      </c>
      <c r="G138" s="613">
        <f>'Ethylene Recycling HC'!F145-'Ethylene Recycling HC'!$C$145</f>
        <v>250.65560683565866</v>
      </c>
      <c r="H138" s="613">
        <f>'Ethylene Recycling HC'!G145-'Ethylene Recycling HC'!$C$145</f>
        <v>333.42222300666106</v>
      </c>
      <c r="I138" s="613">
        <f>'Ethylene Recycling HC'!H145-'Ethylene Recycling HC'!$C$145</f>
        <v>415.79612595000026</v>
      </c>
      <c r="J138" s="613">
        <f>'Ethylene Recycling HC'!I145-'Ethylene Recycling HC'!$C$145</f>
        <v>497.77726356134269</v>
      </c>
      <c r="K138" s="613">
        <f>'Ethylene Recycling HC'!J145-'Ethylene Recycling HC'!$C$145</f>
        <v>579.36558373635671</v>
      </c>
      <c r="L138" s="613">
        <f>'Ethylene Recycling HC'!K145-'Ethylene Recycling HC'!$C$145</f>
        <v>660.5610343707084</v>
      </c>
      <c r="M138" s="613">
        <f>'Ethylene Recycling HC'!L145-'Ethylene Recycling HC'!$C$145</f>
        <v>741.36356336006531</v>
      </c>
      <c r="N138" s="613">
        <f>'Ethylene Recycling HC'!M145-'Ethylene Recycling HC'!$C$145</f>
        <v>821.77311860009411</v>
      </c>
      <c r="O138" s="613">
        <f>'Ethylene Recycling HC'!N145-'Ethylene Recycling HC'!$C$145</f>
        <v>976.75835004522708</v>
      </c>
      <c r="P138" s="613">
        <f>'Ethylene Recycling HC'!O145-'Ethylene Recycling HC'!$C$145</f>
        <v>1130.9944936192396</v>
      </c>
      <c r="Q138" s="613">
        <f>'Ethylene Recycling HC'!P145-'Ethylene Recycling HC'!$C$145</f>
        <v>1279.015425792712</v>
      </c>
      <c r="R138" s="613">
        <f>'Ethylene Recycling HC'!Q145-'Ethylene Recycling HC'!$C$145</f>
        <v>1425.233812243021</v>
      </c>
      <c r="S138" s="613">
        <f>'Ethylene Recycling HC'!R145-'Ethylene Recycling HC'!$C$145</f>
        <v>1569.6538736832472</v>
      </c>
      <c r="T138" s="613">
        <f>'Ethylene Recycling HC'!S145-'Ethylene Recycling HC'!$C$145</f>
        <v>1712.2799169190089</v>
      </c>
      <c r="U138" s="613">
        <f>'Ethylene Recycling HC'!T145-'Ethylene Recycling HC'!$C$145</f>
        <v>1853.1163342327118</v>
      </c>
      <c r="V138" s="613">
        <f>'Ethylene Recycling HC'!U145-'Ethylene Recycling HC'!$C$145</f>
        <v>1992.1676027676399</v>
      </c>
      <c r="W138" s="613">
        <f>'Ethylene Recycling HC'!V145-'Ethylene Recycling HC'!$C$145</f>
        <v>2129.4382839118698</v>
      </c>
      <c r="X138" s="613">
        <f>'Ethylene Recycling HC'!W145-'Ethylene Recycling HC'!$C$145</f>
        <v>2264.9330226820312</v>
      </c>
      <c r="Y138" s="613">
        <f>'Ethylene Recycling HC'!X145-'Ethylene Recycling HC'!$C$145</f>
        <v>2513.8535590507136</v>
      </c>
      <c r="Z138" s="613">
        <f>'Ethylene Recycling HC'!Y145-'Ethylene Recycling HC'!$C$145</f>
        <v>2759.6239408406987</v>
      </c>
      <c r="AA138" s="613">
        <f>'Ethylene Recycling HC'!Z145-'Ethylene Recycling HC'!$C$145</f>
        <v>2974.9468559802644</v>
      </c>
      <c r="AB138" s="613">
        <f>'Ethylene Recycling HC'!AA145-'Ethylene Recycling HC'!$C$145</f>
        <v>3182.9071263095175</v>
      </c>
      <c r="AC138" s="613">
        <f>'Ethylene Recycling HC'!AB145-'Ethylene Recycling HC'!$C$145</f>
        <v>3383.5349099690402</v>
      </c>
      <c r="AD138" s="613">
        <f>'Ethylene Recycling HC'!AC145-'Ethylene Recycling HC'!$C$145</f>
        <v>3576.8625461517922</v>
      </c>
      <c r="AE138" s="613">
        <f>'Ethylene Recycling HC'!AD145-'Ethylene Recycling HC'!$C$145</f>
        <v>3762.9245302737258</v>
      </c>
      <c r="AF138" s="613">
        <f>'Ethylene Recycling HC'!AE145-'Ethylene Recycling HC'!$C$145</f>
        <v>3941.7574891378181</v>
      </c>
      <c r="AG138" s="613">
        <f>'Ethylene Recycling HC'!AF145-'Ethylene Recycling HC'!$C$145</f>
        <v>4113.4001560915103</v>
      </c>
      <c r="AH138" s="613">
        <f>'Ethylene Recycling HC'!AG145-'Ethylene Recycling HC'!$C$145</f>
        <v>754.4952794071836</v>
      </c>
    </row>
    <row r="139" spans="1:36">
      <c r="A139" s="167"/>
      <c r="B139" s="224" t="s">
        <v>263</v>
      </c>
      <c r="C139" s="168" t="s">
        <v>166</v>
      </c>
      <c r="D139" s="620">
        <f>D134-D135-D136-D137-D138</f>
        <v>387852.09507639048</v>
      </c>
      <c r="E139" s="620">
        <f t="shared" ref="E139:AG139" si="45">E134-E135-E136-E137-E138</f>
        <v>398150.91061848489</v>
      </c>
      <c r="F139" s="620">
        <f t="shared" si="45"/>
        <v>394584.15823215299</v>
      </c>
      <c r="G139" s="620">
        <f t="shared" si="45"/>
        <v>391323.17367621843</v>
      </c>
      <c r="H139" s="620">
        <f t="shared" si="45"/>
        <v>388407.09984556673</v>
      </c>
      <c r="I139" s="620">
        <f t="shared" si="45"/>
        <v>385880.35591967427</v>
      </c>
      <c r="J139" s="620">
        <f t="shared" si="45"/>
        <v>384170.93988152675</v>
      </c>
      <c r="K139" s="620">
        <f t="shared" si="45"/>
        <v>382982.469893159</v>
      </c>
      <c r="L139" s="620">
        <f t="shared" si="45"/>
        <v>382379.49747497</v>
      </c>
      <c r="M139" s="620">
        <f t="shared" si="45"/>
        <v>382435.31799479789</v>
      </c>
      <c r="N139" s="620">
        <f>N134-N135-N136-N137-N138</f>
        <v>383233.14776809589</v>
      </c>
      <c r="O139" s="620">
        <f t="shared" si="45"/>
        <v>383363.82679446926</v>
      </c>
      <c r="P139" s="620">
        <f t="shared" si="45"/>
        <v>384427.76692675153</v>
      </c>
      <c r="Q139" s="620">
        <f t="shared" si="45"/>
        <v>386727.81853927101</v>
      </c>
      <c r="R139" s="620">
        <f t="shared" si="45"/>
        <v>390307.48125681496</v>
      </c>
      <c r="S139" s="620">
        <f t="shared" si="45"/>
        <v>395322.98866002547</v>
      </c>
      <c r="T139" s="620">
        <f t="shared" si="45"/>
        <v>401869.00027012813</v>
      </c>
      <c r="U139" s="620">
        <f t="shared" si="45"/>
        <v>410224.00447558297</v>
      </c>
      <c r="V139" s="620">
        <f t="shared" si="45"/>
        <v>420616.87453223253</v>
      </c>
      <c r="W139" s="620">
        <f t="shared" si="45"/>
        <v>433307.40723027749</v>
      </c>
      <c r="X139" s="620">
        <f t="shared" si="45"/>
        <v>448590.48709678941</v>
      </c>
      <c r="Y139" s="620">
        <f t="shared" si="45"/>
        <v>465082.71719708986</v>
      </c>
      <c r="Z139" s="620">
        <f t="shared" si="45"/>
        <v>484579.3492335233</v>
      </c>
      <c r="AA139" s="620">
        <f t="shared" si="45"/>
        <v>507918.64154383854</v>
      </c>
      <c r="AB139" s="620">
        <f t="shared" si="45"/>
        <v>535566.23078517034</v>
      </c>
      <c r="AC139" s="620">
        <f t="shared" si="45"/>
        <v>568076.80189860042</v>
      </c>
      <c r="AD139" s="620">
        <f t="shared" si="45"/>
        <v>606155.1574982024</v>
      </c>
      <c r="AE139" s="620">
        <f t="shared" si="45"/>
        <v>650446.44536337373</v>
      </c>
      <c r="AF139" s="620">
        <f t="shared" si="45"/>
        <v>701761.42495272181</v>
      </c>
      <c r="AG139" s="620">
        <f t="shared" si="45"/>
        <v>761020.24536281952</v>
      </c>
      <c r="AH139" s="620">
        <f>AH134-AH135-AH136-AH137-AH138</f>
        <v>832962.30887637322</v>
      </c>
      <c r="AI139" s="41"/>
      <c r="AJ139" s="412"/>
    </row>
    <row r="140" spans="1:36" s="62" customFormat="1">
      <c r="A140" s="688" t="s">
        <v>685</v>
      </c>
      <c r="B140" s="55" t="s">
        <v>141</v>
      </c>
      <c r="C140" s="56" t="s">
        <v>166</v>
      </c>
      <c r="D140" s="630">
        <f>D66+D75-('Ethylene Recycling HC'!C97+'Ethylene Recycling HC'!C146+'Ethylene Recycling HC'!C186+'Ethylene Recycling HC'!C212-('Ethylene Recycling HC'!$C$97+'Ethylene Recycling HC'!$C$146+'Ethylene Recycling HC'!$C$186+'Ethylene Recycling HC'!$C$212))</f>
        <v>50640.115629722037</v>
      </c>
      <c r="E140" s="630">
        <f>E66+E75-('Ethylene Recycling HC'!D97+'Ethylene Recycling HC'!D146+'Ethylene Recycling HC'!D186+'Ethylene Recycling HC'!D212-('Ethylene Recycling HC'!$C$97+'Ethylene Recycling HC'!$C$146+'Ethylene Recycling HC'!$C$186+'Ethylene Recycling HC'!$C$212))</f>
        <v>56460.481679136836</v>
      </c>
      <c r="F140" s="630">
        <f>F66+F75-('Ethylene Recycling HC'!E97+'Ethylene Recycling HC'!E146+'Ethylene Recycling HC'!E186+'Ethylene Recycling HC'!E212-('Ethylene Recycling HC'!$C$97+'Ethylene Recycling HC'!$C$146+'Ethylene Recycling HC'!$C$186+'Ethylene Recycling HC'!$C$212))</f>
        <v>55810.795943432357</v>
      </c>
      <c r="G140" s="630">
        <f>G66+G75-('Ethylene Recycling HC'!F97+'Ethylene Recycling HC'!F146+'Ethylene Recycling HC'!F186+'Ethylene Recycling HC'!F212-('Ethylene Recycling HC'!$C$97+'Ethylene Recycling HC'!$C$146+'Ethylene Recycling HC'!$C$186+'Ethylene Recycling HC'!$C$212))</f>
        <v>55305.33991053277</v>
      </c>
      <c r="H140" s="630">
        <f>H66+H75-('Ethylene Recycling HC'!G97+'Ethylene Recycling HC'!G146+'Ethylene Recycling HC'!G186+'Ethylene Recycling HC'!G212-('Ethylene Recycling HC'!$C$97+'Ethylene Recycling HC'!$C$146+'Ethylene Recycling HC'!$C$186+'Ethylene Recycling HC'!$C$212))</f>
        <v>54962.66409861212</v>
      </c>
      <c r="I140" s="630">
        <f>I66+I75-('Ethylene Recycling HC'!H97+'Ethylene Recycling HC'!H146+'Ethylene Recycling HC'!H186+'Ethylene Recycling HC'!H212-('Ethylene Recycling HC'!$C$97+'Ethylene Recycling HC'!$C$146+'Ethylene Recycling HC'!$C$186+'Ethylene Recycling HC'!$C$212))</f>
        <v>54803.780929746026</v>
      </c>
      <c r="J140" s="630">
        <f>J66+J75-('Ethylene Recycling HC'!I97+'Ethylene Recycling HC'!I146+'Ethylene Recycling HC'!I186+'Ethylene Recycling HC'!I212-('Ethylene Recycling HC'!$C$97+'Ethylene Recycling HC'!$C$146+'Ethylene Recycling HC'!$C$186+'Ethylene Recycling HC'!$C$212))</f>
        <v>54981.540517156594</v>
      </c>
      <c r="K140" s="630">
        <f>K66+K75-('Ethylene Recycling HC'!J97+'Ethylene Recycling HC'!J146+'Ethylene Recycling HC'!J186+'Ethylene Recycling HC'!J212-('Ethylene Recycling HC'!$C$97+'Ethylene Recycling HC'!$C$146+'Ethylene Recycling HC'!$C$186+'Ethylene Recycling HC'!$C$212))</f>
        <v>55403.452523453561</v>
      </c>
      <c r="L140" s="630">
        <f>L66+L75-('Ethylene Recycling HC'!K97+'Ethylene Recycling HC'!K146+'Ethylene Recycling HC'!K186+'Ethylene Recycling HC'!K212-('Ethylene Recycling HC'!$C$97+'Ethylene Recycling HC'!$C$146+'Ethylene Recycling HC'!$C$186+'Ethylene Recycling HC'!$C$212))</f>
        <v>56100.0907956511</v>
      </c>
      <c r="M140" s="630">
        <f>M66+M75-('Ethylene Recycling HC'!L97+'Ethylene Recycling HC'!L146+'Ethylene Recycling HC'!L186+'Ethylene Recycling HC'!L212-('Ethylene Recycling HC'!$C$97+'Ethylene Recycling HC'!$C$146+'Ethylene Recycling HC'!$C$186+'Ethylene Recycling HC'!$C$212))</f>
        <v>57106.111399950263</v>
      </c>
      <c r="N140" s="630">
        <f>N66+N75-('Ethylene Recycling HC'!M97+'Ethylene Recycling HC'!M146+'Ethylene Recycling HC'!M186+'Ethylene Recycling HC'!M212-('Ethylene Recycling HC'!$C$97+'Ethylene Recycling HC'!$C$146+'Ethylene Recycling HC'!$C$186+'Ethylene Recycling HC'!$C$212))</f>
        <v>58460.802669122488</v>
      </c>
      <c r="O140" s="630">
        <f>O66+O75-('Ethylene Recycling HC'!N97+'Ethylene Recycling HC'!N146+'Ethylene Recycling HC'!N186+'Ethylene Recycling HC'!N212-('Ethylene Recycling HC'!$C$97+'Ethylene Recycling HC'!$C$146+'Ethylene Recycling HC'!$C$186+'Ethylene Recycling HC'!$C$212))</f>
        <v>59213.782703721437</v>
      </c>
      <c r="P140" s="630">
        <f>P66+P75-('Ethylene Recycling HC'!O97+'Ethylene Recycling HC'!O146+'Ethylene Recycling HC'!O186+'Ethylene Recycling HC'!O212-('Ethylene Recycling HC'!$C$97+'Ethylene Recycling HC'!$C$146+'Ethylene Recycling HC'!$C$186+'Ethylene Recycling HC'!$C$212))</f>
        <v>60384.859260779602</v>
      </c>
      <c r="Q140" s="630">
        <f>Q66+Q75-('Ethylene Recycling HC'!P97+'Ethylene Recycling HC'!P146+'Ethylene Recycling HC'!P186+'Ethylene Recycling HC'!P212-('Ethylene Recycling HC'!$C$97+'Ethylene Recycling HC'!$C$146+'Ethylene Recycling HC'!$C$186+'Ethylene Recycling HC'!$C$212))</f>
        <v>62175.693613703923</v>
      </c>
      <c r="R140" s="630">
        <f>R66+R75-('Ethylene Recycling HC'!Q97+'Ethylene Recycling HC'!Q146+'Ethylene Recycling HC'!Q186+'Ethylene Recycling HC'!Q212-('Ethylene Recycling HC'!$C$97+'Ethylene Recycling HC'!$C$146+'Ethylene Recycling HC'!$C$186+'Ethylene Recycling HC'!$C$212))</f>
        <v>64577.860241393682</v>
      </c>
      <c r="S140" s="630">
        <f>S66+S75-('Ethylene Recycling HC'!R97+'Ethylene Recycling HC'!R146+'Ethylene Recycling HC'!R186+'Ethylene Recycling HC'!R212-('Ethylene Recycling HC'!$C$97+'Ethylene Recycling HC'!$C$146+'Ethylene Recycling HC'!$C$186+'Ethylene Recycling HC'!$C$212))</f>
        <v>67665.713016003312</v>
      </c>
      <c r="T140" s="630">
        <f>T66+T75-('Ethylene Recycling HC'!S97+'Ethylene Recycling HC'!S146+'Ethylene Recycling HC'!S186+'Ethylene Recycling HC'!S212-('Ethylene Recycling HC'!$C$97+'Ethylene Recycling HC'!$C$146+'Ethylene Recycling HC'!$C$186+'Ethylene Recycling HC'!$C$212))</f>
        <v>71523.487144755971</v>
      </c>
      <c r="U140" s="630">
        <f>U66+U75-('Ethylene Recycling HC'!T97+'Ethylene Recycling HC'!T146+'Ethylene Recycling HC'!T186+'Ethylene Recycling HC'!T212-('Ethylene Recycling HC'!$C$97+'Ethylene Recycling HC'!$C$146+'Ethylene Recycling HC'!$C$186+'Ethylene Recycling HC'!$C$212))</f>
        <v>76246.631221911404</v>
      </c>
      <c r="V140" s="630">
        <f>V66+V75-('Ethylene Recycling HC'!U97+'Ethylene Recycling HC'!U146+'Ethylene Recycling HC'!U186+'Ethylene Recycling HC'!U212-('Ethylene Recycling HC'!$C$97+'Ethylene Recycling HC'!$C$146+'Ethylene Recycling HC'!$C$186+'Ethylene Recycling HC'!$C$212))</f>
        <v>81943.318685917082</v>
      </c>
      <c r="W140" s="630">
        <f>W66+W75-('Ethylene Recycling HC'!V97+'Ethylene Recycling HC'!V146+'Ethylene Recycling HC'!V186+'Ethylene Recycling HC'!V212-('Ethylene Recycling HC'!$C$97+'Ethylene Recycling HC'!$C$146+'Ethylene Recycling HC'!$C$186+'Ethylene Recycling HC'!$C$212))</f>
        <v>88736.162844938197</v>
      </c>
      <c r="X140" s="630">
        <f>X66+X75-('Ethylene Recycling HC'!W97+'Ethylene Recycling HC'!W146+'Ethylene Recycling HC'!W186+'Ethylene Recycling HC'!W212-('Ethylene Recycling HC'!$C$97+'Ethylene Recycling HC'!$C$146+'Ethylene Recycling HC'!$C$186+'Ethylene Recycling HC'!$C$212))</f>
        <v>96764.162888389284</v>
      </c>
      <c r="Y140" s="630">
        <f>Y66+Y75-('Ethylene Recycling HC'!X97+'Ethylene Recycling HC'!X146+'Ethylene Recycling HC'!X186+'Ethylene Recycling HC'!X212-('Ethylene Recycling HC'!$C$97+'Ethylene Recycling HC'!$C$146+'Ethylene Recycling HC'!$C$186+'Ethylene Recycling HC'!$C$212))</f>
        <v>105102.52437825073</v>
      </c>
      <c r="Z140" s="630">
        <f>Z66+Z75-('Ethylene Recycling HC'!Y97+'Ethylene Recycling HC'!Y146+'Ethylene Recycling HC'!Y186+'Ethylene Recycling HC'!Y212-('Ethylene Recycling HC'!$C$97+'Ethylene Recycling HC'!$C$146+'Ethylene Recycling HC'!$C$186+'Ethylene Recycling HC'!$C$212))</f>
        <v>114735.52679678268</v>
      </c>
      <c r="AA140" s="630">
        <f>AA66+AA75-('Ethylene Recycling HC'!Z97+'Ethylene Recycling HC'!Z146+'Ethylene Recycling HC'!Z186+'Ethylene Recycling HC'!Z212-('Ethylene Recycling HC'!$C$97+'Ethylene Recycling HC'!$C$146+'Ethylene Recycling HC'!$C$186+'Ethylene Recycling HC'!$C$212))</f>
        <v>126208.18311667355</v>
      </c>
      <c r="AB140" s="630">
        <f>AB66+AB75-('Ethylene Recycling HC'!AA97+'Ethylene Recycling HC'!AA146+'Ethylene Recycling HC'!AA186+'Ethylene Recycling HC'!AA212-('Ethylene Recycling HC'!$C$97+'Ethylene Recycling HC'!$C$146+'Ethylene Recycling HC'!$C$186+'Ethylene Recycling HC'!$C$212))</f>
        <v>139733.63330550728</v>
      </c>
      <c r="AC140" s="630">
        <f>AC66+AC75-('Ethylene Recycling HC'!AB97+'Ethylene Recycling HC'!AB146+'Ethylene Recycling HC'!AB186+'Ethylene Recycling HC'!AB212-('Ethylene Recycling HC'!$C$97+'Ethylene Recycling HC'!$C$146+'Ethylene Recycling HC'!$C$186+'Ethylene Recycling HC'!$C$212))</f>
        <v>155572.99970698613</v>
      </c>
      <c r="AD140" s="630">
        <f>AD66+AD75-('Ethylene Recycling HC'!AC97+'Ethylene Recycling HC'!AC146+'Ethylene Recycling HC'!AC186+'Ethylene Recycling HC'!AC212-('Ethylene Recycling HC'!$C$97+'Ethylene Recycling HC'!$C$146+'Ethylene Recycling HC'!$C$186+'Ethylene Recycling HC'!$C$212))</f>
        <v>174032.57780732634</v>
      </c>
      <c r="AE140" s="630">
        <f>AE66+AE75-('Ethylene Recycling HC'!AD97+'Ethylene Recycling HC'!AD146+'Ethylene Recycling HC'!AD186+'Ethylene Recycling HC'!AD212-('Ethylene Recycling HC'!$C$97+'Ethylene Recycling HC'!$C$146+'Ethylene Recycling HC'!$C$186+'Ethylene Recycling HC'!$C$212))</f>
        <v>195438.93467683703</v>
      </c>
      <c r="AF140" s="630">
        <f>AF66+AF75-('Ethylene Recycling HC'!AE97+'Ethylene Recycling HC'!AE146+'Ethylene Recycling HC'!AE186+'Ethylene Recycling HC'!AE212-('Ethylene Recycling HC'!$C$97+'Ethylene Recycling HC'!$C$146+'Ethylene Recycling HC'!$C$186+'Ethylene Recycling HC'!$C$212))</f>
        <v>220172.89036724219</v>
      </c>
      <c r="AG140" s="630">
        <f>AG66+AG75-('Ethylene Recycling HC'!AF97+'Ethylene Recycling HC'!AF146+'Ethylene Recycling HC'!AF186+'Ethylene Recycling HC'!AF212-('Ethylene Recycling HC'!$C$97+'Ethylene Recycling HC'!$C$146+'Ethylene Recycling HC'!$C$186+'Ethylene Recycling HC'!$C$212))</f>
        <v>248666.36778472917</v>
      </c>
      <c r="AH140" s="630">
        <f>AH66+AH75-('Ethylene Recycling HC'!AG97+'Ethylene Recycling HC'!AG146+'Ethylene Recycling HC'!AG186+'Ethylene Recycling HC'!AG212-('Ethylene Recycling HC'!$C$97+'Ethylene Recycling HC'!$C$146+'Ethylene Recycling HC'!$C$186+'Ethylene Recycling HC'!$C$212))</f>
        <v>283937.22584731359</v>
      </c>
      <c r="AI140" s="41"/>
      <c r="AJ140" s="412"/>
    </row>
    <row r="141" spans="1:36">
      <c r="A141" s="689"/>
      <c r="B141" s="1" t="s">
        <v>18</v>
      </c>
      <c r="C141" s="51" t="s">
        <v>166</v>
      </c>
      <c r="D141" s="196">
        <f>D67+D76+(D145-D71-D80)</f>
        <v>22294.975298434343</v>
      </c>
      <c r="E141" s="196">
        <f t="shared" ref="E141:AH141" si="46">E67+E76+(E145-E71-E80)</f>
        <v>25058.088246350926</v>
      </c>
      <c r="F141" s="196">
        <f t="shared" si="46"/>
        <v>25038.795093266897</v>
      </c>
      <c r="G141" s="196">
        <f t="shared" si="46"/>
        <v>25081.080801386637</v>
      </c>
      <c r="H141" s="196">
        <f t="shared" si="46"/>
        <v>25192.833330079022</v>
      </c>
      <c r="I141" s="196">
        <f t="shared" si="46"/>
        <v>25382.996468058132</v>
      </c>
      <c r="J141" s="196">
        <f t="shared" si="46"/>
        <v>25859.493252727818</v>
      </c>
      <c r="K141" s="196">
        <f t="shared" si="46"/>
        <v>26446.711862439457</v>
      </c>
      <c r="L141" s="196">
        <f t="shared" si="46"/>
        <v>27157.343370345479</v>
      </c>
      <c r="M141" s="196">
        <f t="shared" si="46"/>
        <v>28005.829116269029</v>
      </c>
      <c r="N141" s="196">
        <f t="shared" si="46"/>
        <v>29008.596445949828</v>
      </c>
      <c r="O141" s="196">
        <f t="shared" si="46"/>
        <v>30010.782035117802</v>
      </c>
      <c r="P141" s="196">
        <f t="shared" si="46"/>
        <v>31220.170036663359</v>
      </c>
      <c r="Q141" s="196">
        <f t="shared" si="46"/>
        <v>32666.375928251287</v>
      </c>
      <c r="R141" s="196">
        <f t="shared" si="46"/>
        <v>34373.789032355227</v>
      </c>
      <c r="S141" s="196">
        <f t="shared" si="46"/>
        <v>36373.377162861405</v>
      </c>
      <c r="T141" s="196">
        <f t="shared" si="46"/>
        <v>38617.611186050271</v>
      </c>
      <c r="U141" s="196">
        <f t="shared" si="46"/>
        <v>41223.564273073105</v>
      </c>
      <c r="V141" s="196">
        <f t="shared" si="46"/>
        <v>44236.904863610333</v>
      </c>
      <c r="W141" s="196">
        <f t="shared" si="46"/>
        <v>47709.492771525634</v>
      </c>
      <c r="X141" s="196">
        <f t="shared" si="46"/>
        <v>51700.213196686178</v>
      </c>
      <c r="Y141" s="196">
        <f t="shared" si="46"/>
        <v>56105.946224668907</v>
      </c>
      <c r="Z141" s="196">
        <f t="shared" si="46"/>
        <v>61174.192767102344</v>
      </c>
      <c r="AA141" s="196">
        <f t="shared" si="46"/>
        <v>67006.003539080499</v>
      </c>
      <c r="AB141" s="196">
        <f t="shared" si="46"/>
        <v>73698.923900972834</v>
      </c>
      <c r="AC141" s="196">
        <f t="shared" si="46"/>
        <v>81363.713593039967</v>
      </c>
      <c r="AD141" s="196">
        <f t="shared" si="46"/>
        <v>90187.150706441884</v>
      </c>
      <c r="AE141" s="196">
        <f t="shared" si="46"/>
        <v>100255.4726309056</v>
      </c>
      <c r="AF141" s="196">
        <f t="shared" si="46"/>
        <v>111730.58001308724</v>
      </c>
      <c r="AG141" s="196">
        <f t="shared" si="46"/>
        <v>124796.27983426233</v>
      </c>
      <c r="AH141" s="196">
        <f t="shared" si="46"/>
        <v>139832.9520662885</v>
      </c>
      <c r="AI141" s="41"/>
      <c r="AJ141" s="412"/>
    </row>
    <row r="142" spans="1:36">
      <c r="A142" s="689"/>
      <c r="B142" s="1" t="s">
        <v>684</v>
      </c>
      <c r="C142" s="51" t="s">
        <v>166</v>
      </c>
      <c r="D142" s="196">
        <f>D68+D77+(D144-D70-D79)</f>
        <v>48981.519820245696</v>
      </c>
      <c r="E142" s="196">
        <f t="shared" ref="E142:AH142" si="47">E68+E77+(E144-E70-E79)</f>
        <v>48288.677601859468</v>
      </c>
      <c r="F142" s="196">
        <f t="shared" si="47"/>
        <v>47588.48001906</v>
      </c>
      <c r="G142" s="196">
        <f t="shared" si="47"/>
        <v>46886.593078317674</v>
      </c>
      <c r="H142" s="196">
        <f t="shared" si="47"/>
        <v>46183.069604545024</v>
      </c>
      <c r="I142" s="196">
        <f t="shared" si="47"/>
        <v>45477.962789070334</v>
      </c>
      <c r="J142" s="196">
        <f t="shared" si="47"/>
        <v>44800.232056586166</v>
      </c>
      <c r="K142" s="196">
        <f t="shared" si="47"/>
        <v>44123.170842011285</v>
      </c>
      <c r="L142" s="196">
        <f t="shared" si="47"/>
        <v>43446.833551117597</v>
      </c>
      <c r="M142" s="196">
        <f t="shared" si="47"/>
        <v>42771.275034639504</v>
      </c>
      <c r="N142" s="196">
        <f t="shared" si="47"/>
        <v>42096.550609259939</v>
      </c>
      <c r="O142" s="196">
        <f t="shared" si="47"/>
        <v>41275.146985769665</v>
      </c>
      <c r="P142" s="196">
        <f t="shared" si="47"/>
        <v>40455.199386376727</v>
      </c>
      <c r="Q142" s="196">
        <f t="shared" si="47"/>
        <v>39638.638827229384</v>
      </c>
      <c r="R142" s="196">
        <f t="shared" si="47"/>
        <v>38824.736184642701</v>
      </c>
      <c r="S142" s="196">
        <f t="shared" si="47"/>
        <v>38013.668655186571</v>
      </c>
      <c r="T142" s="196">
        <f t="shared" si="47"/>
        <v>37205.613144957642</v>
      </c>
      <c r="U142" s="196">
        <f t="shared" si="47"/>
        <v>36400.74629343117</v>
      </c>
      <c r="V142" s="196">
        <f t="shared" si="47"/>
        <v>35599.244498025473</v>
      </c>
      <c r="W142" s="196">
        <f t="shared" si="47"/>
        <v>34801.283939400557</v>
      </c>
      <c r="X142" s="196">
        <f t="shared" si="47"/>
        <v>34007.040607511793</v>
      </c>
      <c r="Y142" s="196">
        <f t="shared" si="47"/>
        <v>32984.703260484566</v>
      </c>
      <c r="Z142" s="196">
        <f t="shared" si="47"/>
        <v>31963.366358318268</v>
      </c>
      <c r="AA142" s="196">
        <f t="shared" si="47"/>
        <v>30951.208286436264</v>
      </c>
      <c r="AB142" s="196">
        <f t="shared" si="47"/>
        <v>29946.82108235839</v>
      </c>
      <c r="AC142" s="196">
        <f t="shared" si="47"/>
        <v>28950.524864436367</v>
      </c>
      <c r="AD142" s="196">
        <f t="shared" si="47"/>
        <v>27964.922969703541</v>
      </c>
      <c r="AE142" s="196">
        <f t="shared" si="47"/>
        <v>26988.268345001645</v>
      </c>
      <c r="AF142" s="196">
        <f t="shared" si="47"/>
        <v>26020.877542367511</v>
      </c>
      <c r="AG142" s="196">
        <f t="shared" si="47"/>
        <v>25063.065925714902</v>
      </c>
      <c r="AH142" s="196">
        <f t="shared" si="47"/>
        <v>24492.654609478595</v>
      </c>
      <c r="AI142" s="41"/>
      <c r="AJ142" s="412"/>
    </row>
    <row r="143" spans="1:36">
      <c r="A143" s="690"/>
      <c r="B143" s="1" t="s">
        <v>27</v>
      </c>
      <c r="C143" s="51" t="s">
        <v>166</v>
      </c>
      <c r="D143" s="599">
        <f>D69+D78-('Ethylene Recycling HC'!C98+'Ethylene Recycling HC'!C147+'Ethylene Recycling HC'!C187+'Ethylene Recycling HC'!C213-('Ethylene Recycling HC'!$C$98+'Ethylene Recycling HC'!$C$147+'Ethylene Recycling HC'!$C$187+'Ethylene Recycling HC'!$C$213)+'Ethylene Recycling HC'!C101+'Ethylene Recycling HC'!C150+'Ethylene Recycling HC'!C190+'Ethylene Recycling HC'!C216-('Ethylene Recycling HC'!$C$101+'Ethylene Recycling HC'!$C$150+'Ethylene Recycling HC'!$C$190+'Ethylene Recycling HC'!$C$216))</f>
        <v>265935.48432798841</v>
      </c>
      <c r="E143" s="599">
        <f>E69+E78-('Ethylene Recycling HC'!D98+'Ethylene Recycling HC'!D147+'Ethylene Recycling HC'!D187+'Ethylene Recycling HC'!D213-('Ethylene Recycling HC'!$C$98+'Ethylene Recycling HC'!$C$147+'Ethylene Recycling HC'!$C$187+'Ethylene Recycling HC'!$C$213)+'Ethylene Recycling HC'!D101+'Ethylene Recycling HC'!D150+'Ethylene Recycling HC'!D190+'Ethylene Recycling HC'!D216-('Ethylene Recycling HC'!$C$101+'Ethylene Recycling HC'!$C$150+'Ethylene Recycling HC'!$C$190+'Ethylene Recycling HC'!$C$216))</f>
        <v>268343.66309113771</v>
      </c>
      <c r="F143" s="599">
        <f>F69+F78-('Ethylene Recycling HC'!E98+'Ethylene Recycling HC'!E147+'Ethylene Recycling HC'!E187+'Ethylene Recycling HC'!E213-('Ethylene Recycling HC'!$C$98+'Ethylene Recycling HC'!$C$147+'Ethylene Recycling HC'!$C$187+'Ethylene Recycling HC'!$C$213)+'Ethylene Recycling HC'!E101+'Ethylene Recycling HC'!E150+'Ethylene Recycling HC'!E190+'Ethylene Recycling HC'!E216-('Ethylene Recycling HC'!$C$101+'Ethylene Recycling HC'!$C$150+'Ethylene Recycling HC'!$C$190+'Ethylene Recycling HC'!$C$216))</f>
        <v>266146.08717639378</v>
      </c>
      <c r="G143" s="599">
        <f>G69+G78-('Ethylene Recycling HC'!F98+'Ethylene Recycling HC'!F147+'Ethylene Recycling HC'!F187+'Ethylene Recycling HC'!F213-('Ethylene Recycling HC'!$C$98+'Ethylene Recycling HC'!$C$147+'Ethylene Recycling HC'!$C$187+'Ethylene Recycling HC'!$C$213)+'Ethylene Recycling HC'!F101+'Ethylene Recycling HC'!F150+'Ethylene Recycling HC'!F190+'Ethylene Recycling HC'!F216-('Ethylene Recycling HC'!$C$101+'Ethylene Recycling HC'!$C$150+'Ethylene Recycling HC'!$C$190+'Ethylene Recycling HC'!$C$216))</f>
        <v>264050.15988598141</v>
      </c>
      <c r="H143" s="599">
        <f>H69+H78-('Ethylene Recycling HC'!G98+'Ethylene Recycling HC'!G147+'Ethylene Recycling HC'!G187+'Ethylene Recycling HC'!G213-('Ethylene Recycling HC'!$C$98+'Ethylene Recycling HC'!$C$147+'Ethylene Recycling HC'!$C$187+'Ethylene Recycling HC'!$C$213)+'Ethylene Recycling HC'!G101+'Ethylene Recycling HC'!G150+'Ethylene Recycling HC'!G190+'Ethylene Recycling HC'!G216-('Ethylene Recycling HC'!$C$101+'Ethylene Recycling HC'!$C$150+'Ethylene Recycling HC'!$C$190+'Ethylene Recycling HC'!$C$216))</f>
        <v>262068.53281233055</v>
      </c>
      <c r="I143" s="599">
        <f>I69+I78-('Ethylene Recycling HC'!H98+'Ethylene Recycling HC'!H147+'Ethylene Recycling HC'!H187+'Ethylene Recycling HC'!H213-('Ethylene Recycling HC'!$C$98+'Ethylene Recycling HC'!$C$147+'Ethylene Recycling HC'!$C$187+'Ethylene Recycling HC'!$C$213)+'Ethylene Recycling HC'!H101+'Ethylene Recycling HC'!H150+'Ethylene Recycling HC'!H190+'Ethylene Recycling HC'!H216-('Ethylene Recycling HC'!$C$101+'Ethylene Recycling HC'!$C$150+'Ethylene Recycling HC'!$C$190+'Ethylene Recycling HC'!$C$216))</f>
        <v>260215.61573279978</v>
      </c>
      <c r="J143" s="599">
        <f>J69+J78-('Ethylene Recycling HC'!I98+'Ethylene Recycling HC'!I147+'Ethylene Recycling HC'!I187+'Ethylene Recycling HC'!I213-('Ethylene Recycling HC'!$C$98+'Ethylene Recycling HC'!$C$147+'Ethylene Recycling HC'!$C$187+'Ethylene Recycling HC'!$C$213)+'Ethylene Recycling HC'!I101+'Ethylene Recycling HC'!I150+'Ethylene Recycling HC'!I190+'Ethylene Recycling HC'!I216-('Ethylene Recycling HC'!$C$101+'Ethylene Recycling HC'!$C$150+'Ethylene Recycling HC'!$C$190+'Ethylene Recycling HC'!$C$216))</f>
        <v>258529.67405505615</v>
      </c>
      <c r="K143" s="599">
        <f>K69+K78-('Ethylene Recycling HC'!J98+'Ethylene Recycling HC'!J147+'Ethylene Recycling HC'!J187+'Ethylene Recycling HC'!J213-('Ethylene Recycling HC'!$C$98+'Ethylene Recycling HC'!$C$147+'Ethylene Recycling HC'!$C$187+'Ethylene Recycling HC'!$C$213)+'Ethylene Recycling HC'!J101+'Ethylene Recycling HC'!J150+'Ethylene Recycling HC'!J190+'Ethylene Recycling HC'!J216-('Ethylene Recycling HC'!$C$101+'Ethylene Recycling HC'!$C$150+'Ethylene Recycling HC'!$C$190+'Ethylene Recycling HC'!$C$216))</f>
        <v>257009.13466525459</v>
      </c>
      <c r="L143" s="599">
        <f>L69+L78-('Ethylene Recycling HC'!K98+'Ethylene Recycling HC'!K147+'Ethylene Recycling HC'!K187+'Ethylene Recycling HC'!K213-('Ethylene Recycling HC'!$C$98+'Ethylene Recycling HC'!$C$147+'Ethylene Recycling HC'!$C$187+'Ethylene Recycling HC'!$C$213)+'Ethylene Recycling HC'!K101+'Ethylene Recycling HC'!K150+'Ethylene Recycling HC'!K190+'Ethylene Recycling HC'!K216-('Ethylene Recycling HC'!$C$101+'Ethylene Recycling HC'!$C$150+'Ethylene Recycling HC'!$C$190+'Ethylene Recycling HC'!$C$216))</f>
        <v>255675.22975785576</v>
      </c>
      <c r="M143" s="599">
        <f>M69+M78-('Ethylene Recycling HC'!L98+'Ethylene Recycling HC'!L147+'Ethylene Recycling HC'!L187+'Ethylene Recycling HC'!L213-('Ethylene Recycling HC'!$C$98+'Ethylene Recycling HC'!$C$147+'Ethylene Recycling HC'!$C$187+'Ethylene Recycling HC'!$C$213)+'Ethylene Recycling HC'!L101+'Ethylene Recycling HC'!L150+'Ethylene Recycling HC'!L190+'Ethylene Recycling HC'!L216-('Ethylene Recycling HC'!$C$101+'Ethylene Recycling HC'!$C$150+'Ethylene Recycling HC'!$C$190+'Ethylene Recycling HC'!$C$216))</f>
        <v>254552.10244393907</v>
      </c>
      <c r="N143" s="599">
        <f>N69+N78-('Ethylene Recycling HC'!M98+'Ethylene Recycling HC'!M147+'Ethylene Recycling HC'!M187+'Ethylene Recycling HC'!M213-('Ethylene Recycling HC'!$C$98+'Ethylene Recycling HC'!$C$147+'Ethylene Recycling HC'!$C$187+'Ethylene Recycling HC'!$C$213)+'Ethylene Recycling HC'!M101+'Ethylene Recycling HC'!M150+'Ethylene Recycling HC'!M190+'Ethylene Recycling HC'!M216-('Ethylene Recycling HC'!$C$101+'Ethylene Recycling HC'!$C$150+'Ethylene Recycling HC'!$C$190+'Ethylene Recycling HC'!$C$216))</f>
        <v>253667.19804376355</v>
      </c>
      <c r="O143" s="599">
        <f>O69+O78-('Ethylene Recycling HC'!N98+'Ethylene Recycling HC'!N147+'Ethylene Recycling HC'!N187+'Ethylene Recycling HC'!N213-('Ethylene Recycling HC'!$C$98+'Ethylene Recycling HC'!$C$147+'Ethylene Recycling HC'!$C$187+'Ethylene Recycling HC'!$C$213)+'Ethylene Recycling HC'!N101+'Ethylene Recycling HC'!N150+'Ethylene Recycling HC'!N190+'Ethylene Recycling HC'!N216-('Ethylene Recycling HC'!$C$101+'Ethylene Recycling HC'!$C$150+'Ethylene Recycling HC'!$C$190+'Ethylene Recycling HC'!$C$216))</f>
        <v>252864.11506986036</v>
      </c>
      <c r="P143" s="599">
        <f>P69+P78-('Ethylene Recycling HC'!O98+'Ethylene Recycling HC'!O147+'Ethylene Recycling HC'!O187+'Ethylene Recycling HC'!O213-('Ethylene Recycling HC'!$C$98+'Ethylene Recycling HC'!$C$147+'Ethylene Recycling HC'!$C$187+'Ethylene Recycling HC'!$C$213)+'Ethylene Recycling HC'!O101+'Ethylene Recycling HC'!O150+'Ethylene Recycling HC'!O190+'Ethylene Recycling HC'!O216-('Ethylene Recycling HC'!$C$101+'Ethylene Recycling HC'!$C$150+'Ethylene Recycling HC'!$C$190+'Ethylene Recycling HC'!$C$216))</f>
        <v>252367.53824293186</v>
      </c>
      <c r="Q143" s="599">
        <f>Q69+Q78-('Ethylene Recycling HC'!P98+'Ethylene Recycling HC'!P147+'Ethylene Recycling HC'!P187+'Ethylene Recycling HC'!P213-('Ethylene Recycling HC'!$C$98+'Ethylene Recycling HC'!$C$147+'Ethylene Recycling HC'!$C$187+'Ethylene Recycling HC'!$C$213)+'Ethylene Recycling HC'!P101+'Ethylene Recycling HC'!P150+'Ethylene Recycling HC'!P190+'Ethylene Recycling HC'!P216-('Ethylene Recycling HC'!$C$101+'Ethylene Recycling HC'!$C$150+'Ethylene Recycling HC'!$C$190+'Ethylene Recycling HC'!$C$216))</f>
        <v>252247.11017008644</v>
      </c>
      <c r="R143" s="599">
        <f>R69+R78-('Ethylene Recycling HC'!Q98+'Ethylene Recycling HC'!Q147+'Ethylene Recycling HC'!Q187+'Ethylene Recycling HC'!Q213-('Ethylene Recycling HC'!$C$98+'Ethylene Recycling HC'!$C$147+'Ethylene Recycling HC'!$C$187+'Ethylene Recycling HC'!$C$213)+'Ethylene Recycling HC'!Q101+'Ethylene Recycling HC'!Q150+'Ethylene Recycling HC'!Q190+'Ethylene Recycling HC'!Q216-('Ethylene Recycling HC'!$C$101+'Ethylene Recycling HC'!$C$150+'Ethylene Recycling HC'!$C$190+'Ethylene Recycling HC'!$C$216))</f>
        <v>252531.09579842328</v>
      </c>
      <c r="S143" s="599">
        <f>S69+S78-('Ethylene Recycling HC'!R98+'Ethylene Recycling HC'!R147+'Ethylene Recycling HC'!R187+'Ethylene Recycling HC'!R213-('Ethylene Recycling HC'!$C$98+'Ethylene Recycling HC'!$C$147+'Ethylene Recycling HC'!$C$187+'Ethylene Recycling HC'!$C$213)+'Ethylene Recycling HC'!R101+'Ethylene Recycling HC'!R150+'Ethylene Recycling HC'!R190+'Ethylene Recycling HC'!R216-('Ethylene Recycling HC'!$C$101+'Ethylene Recycling HC'!$C$150+'Ethylene Recycling HC'!$C$190+'Ethylene Recycling HC'!$C$216))</f>
        <v>253270.22982597421</v>
      </c>
      <c r="T143" s="599">
        <f>T69+T78-('Ethylene Recycling HC'!S98+'Ethylene Recycling HC'!S147+'Ethylene Recycling HC'!S187+'Ethylene Recycling HC'!S213-('Ethylene Recycling HC'!$C$98+'Ethylene Recycling HC'!$C$147+'Ethylene Recycling HC'!$C$187+'Ethylene Recycling HC'!$C$213)+'Ethylene Recycling HC'!S101+'Ethylene Recycling HC'!S150+'Ethylene Recycling HC'!S190+'Ethylene Recycling HC'!S216-('Ethylene Recycling HC'!$C$101+'Ethylene Recycling HC'!$C$150+'Ethylene Recycling HC'!$C$190+'Ethylene Recycling HC'!$C$216))</f>
        <v>254522.28879436426</v>
      </c>
      <c r="U143" s="599">
        <f>U69+U78-('Ethylene Recycling HC'!T98+'Ethylene Recycling HC'!T147+'Ethylene Recycling HC'!T187+'Ethylene Recycling HC'!T213-('Ethylene Recycling HC'!$C$98+'Ethylene Recycling HC'!$C$147+'Ethylene Recycling HC'!$C$187+'Ethylene Recycling HC'!$C$213)+'Ethylene Recycling HC'!T101+'Ethylene Recycling HC'!T150+'Ethylene Recycling HC'!T190+'Ethylene Recycling HC'!T216-('Ethylene Recycling HC'!$C$101+'Ethylene Recycling HC'!$C$150+'Ethylene Recycling HC'!$C$190+'Ethylene Recycling HC'!$C$216))</f>
        <v>256353.06268716732</v>
      </c>
      <c r="V143" s="599">
        <f>V69+V78-('Ethylene Recycling HC'!U98+'Ethylene Recycling HC'!U147+'Ethylene Recycling HC'!U187+'Ethylene Recycling HC'!U213-('Ethylene Recycling HC'!$C$98+'Ethylene Recycling HC'!$C$147+'Ethylene Recycling HC'!$C$187+'Ethylene Recycling HC'!$C$213)+'Ethylene Recycling HC'!U101+'Ethylene Recycling HC'!U150+'Ethylene Recycling HC'!U190+'Ethylene Recycling HC'!U216-('Ethylene Recycling HC'!$C$101+'Ethylene Recycling HC'!$C$150+'Ethylene Recycling HC'!$C$190+'Ethylene Recycling HC'!$C$216))</f>
        <v>258837.4064846797</v>
      </c>
      <c r="W143" s="599">
        <f>W69+W78-('Ethylene Recycling HC'!V98+'Ethylene Recycling HC'!V147+'Ethylene Recycling HC'!V187+'Ethylene Recycling HC'!V213-('Ethylene Recycling HC'!$C$98+'Ethylene Recycling HC'!$C$147+'Ethylene Recycling HC'!$C$187+'Ethylene Recycling HC'!$C$213)+'Ethylene Recycling HC'!V101+'Ethylene Recycling HC'!V150+'Ethylene Recycling HC'!V190+'Ethylene Recycling HC'!V216-('Ethylene Recycling HC'!$C$101+'Ethylene Recycling HC'!$C$150+'Ethylene Recycling HC'!$C$190+'Ethylene Recycling HC'!$C$216))</f>
        <v>262060.46767441306</v>
      </c>
      <c r="X143" s="599">
        <f>X69+X78-('Ethylene Recycling HC'!W98+'Ethylene Recycling HC'!W147+'Ethylene Recycling HC'!W187+'Ethylene Recycling HC'!W213-('Ethylene Recycling HC'!$C$98+'Ethylene Recycling HC'!$C$147+'Ethylene Recycling HC'!$C$187+'Ethylene Recycling HC'!$C$213)+'Ethylene Recycling HC'!W101+'Ethylene Recycling HC'!W150+'Ethylene Recycling HC'!W190+'Ethylene Recycling HC'!W216-('Ethylene Recycling HC'!$C$101+'Ethylene Recycling HC'!$C$150+'Ethylene Recycling HC'!$C$190+'Ethylene Recycling HC'!$C$216))</f>
        <v>266119.07040420215</v>
      </c>
      <c r="Y143" s="599">
        <f>Y69+Y78-('Ethylene Recycling HC'!X98+'Ethylene Recycling HC'!X147+'Ethylene Recycling HC'!X187+'Ethylene Recycling HC'!X213-('Ethylene Recycling HC'!$C$98+'Ethylene Recycling HC'!$C$147+'Ethylene Recycling HC'!$C$187+'Ethylene Recycling HC'!$C$213)+'Ethylene Recycling HC'!X101+'Ethylene Recycling HC'!X150+'Ethylene Recycling HC'!X190+'Ethylene Recycling HC'!X216-('Ethylene Recycling HC'!$C$101+'Ethylene Recycling HC'!$C$150+'Ethylene Recycling HC'!$C$190+'Ethylene Recycling HC'!$C$216))</f>
        <v>270889.54333368567</v>
      </c>
      <c r="Z143" s="599">
        <f>Z69+Z78-('Ethylene Recycling HC'!Y98+'Ethylene Recycling HC'!Y147+'Ethylene Recycling HC'!Y187+'Ethylene Recycling HC'!Y213-('Ethylene Recycling HC'!$C$98+'Ethylene Recycling HC'!$C$147+'Ethylene Recycling HC'!$C$187+'Ethylene Recycling HC'!$C$213)+'Ethylene Recycling HC'!Y101+'Ethylene Recycling HC'!Y150+'Ethylene Recycling HC'!Y190+'Ethylene Recycling HC'!Y216-('Ethylene Recycling HC'!$C$101+'Ethylene Recycling HC'!$C$150+'Ethylene Recycling HC'!$C$190+'Ethylene Recycling HC'!$C$216))</f>
        <v>276706.26331131998</v>
      </c>
      <c r="AA143" s="599">
        <f>AA69+AA78-('Ethylene Recycling HC'!Z98+'Ethylene Recycling HC'!Z147+'Ethylene Recycling HC'!Z187+'Ethylene Recycling HC'!Z213-('Ethylene Recycling HC'!$C$98+'Ethylene Recycling HC'!$C$147+'Ethylene Recycling HC'!$C$187+'Ethylene Recycling HC'!$C$213)+'Ethylene Recycling HC'!Z101+'Ethylene Recycling HC'!Z150+'Ethylene Recycling HC'!Z190+'Ethylene Recycling HC'!Z216-('Ethylene Recycling HC'!$C$101+'Ethylene Recycling HC'!$C$150+'Ethylene Recycling HC'!$C$190+'Ethylene Recycling HC'!$C$216))</f>
        <v>283753.24660164816</v>
      </c>
      <c r="AB143" s="599">
        <f>AB69+AB78-('Ethylene Recycling HC'!AA98+'Ethylene Recycling HC'!AA147+'Ethylene Recycling HC'!AA187+'Ethylene Recycling HC'!AA213-('Ethylene Recycling HC'!$C$98+'Ethylene Recycling HC'!$C$147+'Ethylene Recycling HC'!$C$187+'Ethylene Recycling HC'!$C$213)+'Ethylene Recycling HC'!AA101+'Ethylene Recycling HC'!AA150+'Ethylene Recycling HC'!AA190+'Ethylene Recycling HC'!AA216-('Ethylene Recycling HC'!$C$101+'Ethylene Recycling HC'!$C$150+'Ethylene Recycling HC'!$C$190+'Ethylene Recycling HC'!$C$216))</f>
        <v>292186.85249633173</v>
      </c>
      <c r="AC143" s="599">
        <f>AC69+AC78-('Ethylene Recycling HC'!AB98+'Ethylene Recycling HC'!AB147+'Ethylene Recycling HC'!AB187+'Ethylene Recycling HC'!AB213-('Ethylene Recycling HC'!$C$98+'Ethylene Recycling HC'!$C$147+'Ethylene Recycling HC'!$C$187+'Ethylene Recycling HC'!$C$213)+'Ethylene Recycling HC'!AB101+'Ethylene Recycling HC'!AB150+'Ethylene Recycling HC'!AB190+'Ethylene Recycling HC'!AB216-('Ethylene Recycling HC'!$C$101+'Ethylene Recycling HC'!$C$150+'Ethylene Recycling HC'!$C$190+'Ethylene Recycling HC'!$C$216))</f>
        <v>302189.56373413804</v>
      </c>
      <c r="AD143" s="599">
        <f>AD69+AD78-('Ethylene Recycling HC'!AC98+'Ethylene Recycling HC'!AC147+'Ethylene Recycling HC'!AC187+'Ethylene Recycling HC'!AC213-('Ethylene Recycling HC'!$C$98+'Ethylene Recycling HC'!$C$147+'Ethylene Recycling HC'!$C$187+'Ethylene Recycling HC'!$C$213)+'Ethylene Recycling HC'!AC101+'Ethylene Recycling HC'!AC150+'Ethylene Recycling HC'!AC190+'Ethylene Recycling HC'!AC216-('Ethylene Recycling HC'!$C$101+'Ethylene Recycling HC'!$C$150+'Ethylene Recycling HC'!$C$190+'Ethylene Recycling HC'!$C$216))</f>
        <v>313970.50601473055</v>
      </c>
      <c r="AE143" s="599">
        <f>AE69+AE78-('Ethylene Recycling HC'!AD98+'Ethylene Recycling HC'!AD147+'Ethylene Recycling HC'!AD187+'Ethylene Recycling HC'!AD213-('Ethylene Recycling HC'!$C$98+'Ethylene Recycling HC'!$C$147+'Ethylene Recycling HC'!$C$187+'Ethylene Recycling HC'!$C$213)+'Ethylene Recycling HC'!AD101+'Ethylene Recycling HC'!AD150+'Ethylene Recycling HC'!AD190+'Ethylene Recycling HC'!AD216-('Ethylene Recycling HC'!$C$101+'Ethylene Recycling HC'!$C$150+'Ethylene Recycling HC'!$C$190+'Ethylene Recycling HC'!$C$216))</f>
        <v>327763.76971062942</v>
      </c>
      <c r="AF143" s="599">
        <f>AF69+AF78-('Ethylene Recycling HC'!AE98+'Ethylene Recycling HC'!AE147+'Ethylene Recycling HC'!AE187+'Ethylene Recycling HC'!AE213-('Ethylene Recycling HC'!$C$98+'Ethylene Recycling HC'!$C$147+'Ethylene Recycling HC'!$C$187+'Ethylene Recycling HC'!$C$213)+'Ethylene Recycling HC'!AE101+'Ethylene Recycling HC'!AE150+'Ethylene Recycling HC'!AE190+'Ethylene Recycling HC'!AE216-('Ethylene Recycling HC'!$C$101+'Ethylene Recycling HC'!$C$150+'Ethylene Recycling HC'!$C$190+'Ethylene Recycling HC'!$C$216))</f>
        <v>343837.07703002478</v>
      </c>
      <c r="AG143" s="599">
        <f>AG69+AG78-('Ethylene Recycling HC'!AF98+'Ethylene Recycling HC'!AF147+'Ethylene Recycling HC'!AF187+'Ethylene Recycling HC'!AF213-('Ethylene Recycling HC'!$C$98+'Ethylene Recycling HC'!$C$147+'Ethylene Recycling HC'!$C$187+'Ethylene Recycling HC'!$C$213)+'Ethylene Recycling HC'!AF101+'Ethylene Recycling HC'!AF150+'Ethylene Recycling HC'!AF190+'Ethylene Recycling HC'!AF216-('Ethylene Recycling HC'!$C$101+'Ethylene Recycling HC'!$C$150+'Ethylene Recycling HC'!$C$190+'Ethylene Recycling HC'!$C$216))</f>
        <v>362494.53181811306</v>
      </c>
      <c r="AH143" s="599">
        <f>AH69+AH78-('Ethylene Recycling HC'!AG98+'Ethylene Recycling HC'!AG147+'Ethylene Recycling HC'!AG187+'Ethylene Recycling HC'!AG213-('Ethylene Recycling HC'!$C$98+'Ethylene Recycling HC'!$C$147+'Ethylene Recycling HC'!$C$187+'Ethylene Recycling HC'!$C$213)+'Ethylene Recycling HC'!AG101+'Ethylene Recycling HC'!AG150+'Ethylene Recycling HC'!AG190+'Ethylene Recycling HC'!AG216-('Ethylene Recycling HC'!$C$101+'Ethylene Recycling HC'!$C$150+'Ethylene Recycling HC'!$C$190+'Ethylene Recycling HC'!$C$216))</f>
        <v>384699.47635329253</v>
      </c>
      <c r="AI143" s="41"/>
      <c r="AJ143" s="412"/>
    </row>
    <row r="144" spans="1:36" s="62" customFormat="1">
      <c r="A144" s="691" t="s">
        <v>686</v>
      </c>
      <c r="B144" s="55" t="s">
        <v>683</v>
      </c>
      <c r="C144" s="56" t="s">
        <v>166</v>
      </c>
      <c r="D144" s="630">
        <f>D70+D79-('Ethylene Recycling HC'!C99+'Ethylene Recycling HC'!C148+'Ethylene Recycling HC'!C188+'Ethylene Recycling HC'!C214-('Ethylene Recycling HC'!$C$99+'Ethylene Recycling HC'!$C$148+'Ethylene Recycling HC'!$C$188+'Ethylene Recycling HC'!$C$214))</f>
        <v>22327.115682700864</v>
      </c>
      <c r="E144" s="630">
        <f>E70+E79-('Ethylene Recycling HC'!D99+'Ethylene Recycling HC'!D148+'Ethylene Recycling HC'!D188+'Ethylene Recycling HC'!D214-('Ethylene Recycling HC'!$C$99+'Ethylene Recycling HC'!$C$148+'Ethylene Recycling HC'!$C$188+'Ethylene Recycling HC'!$C$214))</f>
        <v>21918.449258349123</v>
      </c>
      <c r="F144" s="630">
        <f>F70+F79-('Ethylene Recycling HC'!E99+'Ethylene Recycling HC'!E148+'Ethylene Recycling HC'!E188+'Ethylene Recycling HC'!E214-('Ethylene Recycling HC'!$C$99+'Ethylene Recycling HC'!$C$148+'Ethylene Recycling HC'!$C$188+'Ethylene Recycling HC'!$C$214))</f>
        <v>21502.817124055731</v>
      </c>
      <c r="G144" s="630">
        <f>G70+G79-('Ethylene Recycling HC'!F99+'Ethylene Recycling HC'!F148+'Ethylene Recycling HC'!F188+'Ethylene Recycling HC'!F214-('Ethylene Recycling HC'!$C$99+'Ethylene Recycling HC'!$C$148+'Ethylene Recycling HC'!$C$188+'Ethylene Recycling HC'!$C$214))</f>
        <v>21085.879475452726</v>
      </c>
      <c r="H144" s="630">
        <f>H70+H79-('Ethylene Recycling HC'!G99+'Ethylene Recycling HC'!G148+'Ethylene Recycling HC'!G188+'Ethylene Recycling HC'!G214-('Ethylene Recycling HC'!$C$99+'Ethylene Recycling HC'!$C$148+'Ethylene Recycling HC'!$C$188+'Ethylene Recycling HC'!$C$214))</f>
        <v>20667.683016435596</v>
      </c>
      <c r="I144" s="630">
        <f>I70+I79-('Ethylene Recycling HC'!H99+'Ethylene Recycling HC'!H148+'Ethylene Recycling HC'!H188+'Ethylene Recycling HC'!H214-('Ethylene Recycling HC'!$C$99+'Ethylene Recycling HC'!$C$148+'Ethylene Recycling HC'!$C$188+'Ethylene Recycling HC'!$C$214))</f>
        <v>20248.27449827025</v>
      </c>
      <c r="J144" s="630">
        <f>J70+J79-('Ethylene Recycling HC'!I99+'Ethylene Recycling HC'!I148+'Ethylene Recycling HC'!I188+'Ethylene Recycling HC'!I214-('Ethylene Recycling HC'!$C$99+'Ethylene Recycling HC'!$C$148+'Ethylene Recycling HC'!$C$188+'Ethylene Recycling HC'!$C$214))</f>
        <v>19856.606577462877</v>
      </c>
      <c r="K144" s="630">
        <f>K70+K79-('Ethylene Recycling HC'!J99+'Ethylene Recycling HC'!J148+'Ethylene Recycling HC'!J188+'Ethylene Recycling HC'!J214-('Ethylene Recycling HC'!$C$99+'Ethylene Recycling HC'!$C$148+'Ethylene Recycling HC'!$C$188+'Ethylene Recycling HC'!$C$214))</f>
        <v>19465.965583326881</v>
      </c>
      <c r="L144" s="630">
        <f>L70+L79-('Ethylene Recycling HC'!K99+'Ethylene Recycling HC'!K148+'Ethylene Recycling HC'!K188+'Ethylene Recycling HC'!K214-('Ethylene Recycling HC'!$C$99+'Ethylene Recycling HC'!$C$148+'Ethylene Recycling HC'!$C$188+'Ethylene Recycling HC'!$C$214))</f>
        <v>19076.398469093605</v>
      </c>
      <c r="M144" s="630">
        <f>M70+M79-('Ethylene Recycling HC'!L99+'Ethylene Recycling HC'!L148+'Ethylene Recycling HC'!L188+'Ethylene Recycling HC'!L214-('Ethylene Recycling HC'!$C$99+'Ethylene Recycling HC'!$C$148+'Ethylene Recycling HC'!$C$188+'Ethylene Recycling HC'!$C$214))</f>
        <v>18687.95227627932</v>
      </c>
      <c r="N144" s="630">
        <f>N70+N79-('Ethylene Recycling HC'!M99+'Ethylene Recycling HC'!M148+'Ethylene Recycling HC'!M188+'Ethylene Recycling HC'!M214-('Ethylene Recycling HC'!$C$99+'Ethylene Recycling HC'!$C$148+'Ethylene Recycling HC'!$C$188+'Ethylene Recycling HC'!$C$214))</f>
        <v>18300.674145698122</v>
      </c>
      <c r="O144" s="630">
        <f>O70+O79-('Ethylene Recycling HC'!N99+'Ethylene Recycling HC'!N148+'Ethylene Recycling HC'!N188+'Ethylene Recycling HC'!N214-('Ethylene Recycling HC'!$C$99+'Ethylene Recycling HC'!$C$148+'Ethylene Recycling HC'!$C$188+'Ethylene Recycling HC'!$C$214))</f>
        <v>17767.042235411856</v>
      </c>
      <c r="P144" s="630">
        <f>P70+P79-('Ethylene Recycling HC'!O99+'Ethylene Recycling HC'!O148+'Ethylene Recycling HC'!O188+'Ethylene Recycling HC'!O214-('Ethylene Recycling HC'!$C$99+'Ethylene Recycling HC'!$C$148+'Ethylene Recycling HC'!$C$188+'Ethylene Recycling HC'!$C$214))</f>
        <v>17235.182827589255</v>
      </c>
      <c r="Q144" s="630">
        <f>Q70+Q79-('Ethylene Recycling HC'!P99+'Ethylene Recycling HC'!P148+'Ethylene Recycling HC'!P188+'Ethylene Recycling HC'!P214-('Ethylene Recycling HC'!$C$99+'Ethylene Recycling HC'!$C$148+'Ethylene Recycling HC'!$C$188+'Ethylene Recycling HC'!$C$214))</f>
        <v>16707.01760033199</v>
      </c>
      <c r="R144" s="630">
        <f>R70+R79-('Ethylene Recycling HC'!Q99+'Ethylene Recycling HC'!Q148+'Ethylene Recycling HC'!Q188+'Ethylene Recycling HC'!Q214-('Ethylene Recycling HC'!$C$99+'Ethylene Recycling HC'!$C$148+'Ethylene Recycling HC'!$C$188+'Ethylene Recycling HC'!$C$214))</f>
        <v>16181.807682952698</v>
      </c>
      <c r="S144" s="630">
        <f>S70+S79-('Ethylene Recycling HC'!R99+'Ethylene Recycling HC'!R148+'Ethylene Recycling HC'!R188+'Ethylene Recycling HC'!R214-('Ethylene Recycling HC'!$C$99+'Ethylene Recycling HC'!$C$148+'Ethylene Recycling HC'!$C$188+'Ethylene Recycling HC'!$C$214))</f>
        <v>15659.720104857235</v>
      </c>
      <c r="T144" s="630">
        <f>T70+T79-('Ethylene Recycling HC'!S99+'Ethylene Recycling HC'!S148+'Ethylene Recycling HC'!S188+'Ethylene Recycling HC'!S214-('Ethylene Recycling HC'!$C$99+'Ethylene Recycling HC'!$C$148+'Ethylene Recycling HC'!$C$188+'Ethylene Recycling HC'!$C$214))</f>
        <v>15140.921173347948</v>
      </c>
      <c r="U144" s="630">
        <f>U70+U79-('Ethylene Recycling HC'!T99+'Ethylene Recycling HC'!T148+'Ethylene Recycling HC'!T188+'Ethylene Recycling HC'!T214-('Ethylene Recycling HC'!$C$99+'Ethylene Recycling HC'!$C$148+'Ethylene Recycling HC'!$C$188+'Ethylene Recycling HC'!$C$214))</f>
        <v>14625.576485738402</v>
      </c>
      <c r="V144" s="630">
        <f>V70+V79-('Ethylene Recycling HC'!U99+'Ethylene Recycling HC'!U148+'Ethylene Recycling HC'!U188+'Ethylene Recycling HC'!U214-('Ethylene Recycling HC'!$C$99+'Ethylene Recycling HC'!$C$148+'Ethylene Recycling HC'!$C$188+'Ethylene Recycling HC'!$C$214))</f>
        <v>14113.85094190649</v>
      </c>
      <c r="W144" s="630">
        <f>W70+W79-('Ethylene Recycling HC'!V99+'Ethylene Recycling HC'!V148+'Ethylene Recycling HC'!V188+'Ethylene Recycling HC'!V214-('Ethylene Recycling HC'!$C$99+'Ethylene Recycling HC'!$C$148+'Ethylene Recycling HC'!$C$188+'Ethylene Recycling HC'!$C$214))</f>
        <v>13605.908757301226</v>
      </c>
      <c r="X144" s="630">
        <f>X70+X79-('Ethylene Recycling HC'!W99+'Ethylene Recycling HC'!W148+'Ethylene Recycling HC'!W188+'Ethylene Recycling HC'!W214-('Ethylene Recycling HC'!$C$99+'Ethylene Recycling HC'!$C$148+'Ethylene Recycling HC'!$C$188+'Ethylene Recycling HC'!$C$214))</f>
        <v>13101.913476418518</v>
      </c>
      <c r="Y144" s="630">
        <f>Y70+Y79-('Ethylene Recycling HC'!X99+'Ethylene Recycling HC'!X148+'Ethylene Recycling HC'!X188+'Ethylene Recycling HC'!X214-('Ethylene Recycling HC'!$C$99+'Ethylene Recycling HC'!$C$148+'Ethylene Recycling HC'!$C$188+'Ethylene Recycling HC'!$C$214))</f>
        <v>12374.827234649629</v>
      </c>
      <c r="Z144" s="630">
        <f>Z70+Z79-('Ethylene Recycling HC'!Y99+'Ethylene Recycling HC'!Y148+'Ethylene Recycling HC'!Y188+'Ethylene Recycling HC'!Y214-('Ethylene Recycling HC'!$C$99+'Ethylene Recycling HC'!$C$148+'Ethylene Recycling HC'!$C$188+'Ethylene Recycling HC'!$C$214))</f>
        <v>11648.882625686127</v>
      </c>
      <c r="AA144" s="630">
        <f>AA70+AA79-('Ethylene Recycling HC'!Z99+'Ethylene Recycling HC'!Z148+'Ethylene Recycling HC'!Z188+'Ethylene Recycling HC'!Z214-('Ethylene Recycling HC'!$C$99+'Ethylene Recycling HC'!$C$148+'Ethylene Recycling HC'!$C$188+'Ethylene Recycling HC'!$C$214))</f>
        <v>10932.242486628973</v>
      </c>
      <c r="AB144" s="630">
        <f>AB70+AB79-('Ethylene Recycling HC'!AA99+'Ethylene Recycling HC'!AA148+'Ethylene Recycling HC'!AA188+'Ethylene Recycling HC'!AA214-('Ethylene Recycling HC'!$C$99+'Ethylene Recycling HC'!$C$148+'Ethylene Recycling HC'!$C$188+'Ethylene Recycling HC'!$C$214))</f>
        <v>10223.482737229388</v>
      </c>
      <c r="AC144" s="630">
        <f>AC70+AC79-('Ethylene Recycling HC'!AB99+'Ethylene Recycling HC'!AB148+'Ethylene Recycling HC'!AB188+'Ethylene Recycling HC'!AB214-('Ethylene Recycling HC'!$C$99+'Ethylene Recycling HC'!$C$148+'Ethylene Recycling HC'!$C$188+'Ethylene Recycling HC'!$C$214))</f>
        <v>9522.9067937564068</v>
      </c>
      <c r="AD144" s="630">
        <f>AD70+AD79-('Ethylene Recycling HC'!AC99+'Ethylene Recycling HC'!AC148+'Ethylene Recycling HC'!AC188+'Ethylene Recycling HC'!AC214-('Ethylene Recycling HC'!$C$99+'Ethylene Recycling HC'!$C$148+'Ethylene Recycling HC'!$C$188+'Ethylene Recycling HC'!$C$214))</f>
        <v>8833.1006916381139</v>
      </c>
      <c r="AE144" s="630">
        <f>AE70+AE79-('Ethylene Recycling HC'!AD99+'Ethylene Recycling HC'!AD148+'Ethylene Recycling HC'!AD188+'Ethylene Recycling HC'!AD214-('Ethylene Recycling HC'!$C$99+'Ethylene Recycling HC'!$C$148+'Ethylene Recycling HC'!$C$188+'Ethylene Recycling HC'!$C$214))</f>
        <v>8152.2994610314818</v>
      </c>
      <c r="AF144" s="630">
        <f>AF70+AF79-('Ethylene Recycling HC'!AE99+'Ethylene Recycling HC'!AE148+'Ethylene Recycling HC'!AE188+'Ethylene Recycling HC'!AE214-('Ethylene Recycling HC'!$C$99+'Ethylene Recycling HC'!$C$148+'Ethylene Recycling HC'!$C$188+'Ethylene Recycling HC'!$C$214))</f>
        <v>7480.8011062965579</v>
      </c>
      <c r="AG144" s="630">
        <f>AG70+AG79-('Ethylene Recycling HC'!AF99+'Ethylene Recycling HC'!AF148+'Ethylene Recycling HC'!AF188+'Ethylene Recycling HC'!AF214-('Ethylene Recycling HC'!$C$99+'Ethylene Recycling HC'!$C$148+'Ethylene Recycling HC'!$C$188+'Ethylene Recycling HC'!$C$214))</f>
        <v>6818.9017964024479</v>
      </c>
      <c r="AH144" s="630">
        <f>AH70+AH79-('Ethylene Recycling HC'!AG99+'Ethylene Recycling HC'!AG148+'Ethylene Recycling HC'!AG188+'Ethylene Recycling HC'!AG214-('Ethylene Recycling HC'!$C$99+'Ethylene Recycling HC'!$C$148+'Ethylene Recycling HC'!$C$188+'Ethylene Recycling HC'!$C$214))</f>
        <v>6544.4027869246493</v>
      </c>
      <c r="AI144" s="57"/>
      <c r="AJ144" s="412"/>
    </row>
    <row r="145" spans="1:36" s="63" customFormat="1">
      <c r="A145" s="692"/>
      <c r="B145" s="59" t="s">
        <v>682</v>
      </c>
      <c r="C145" s="262" t="s">
        <v>166</v>
      </c>
      <c r="D145" s="599">
        <f>D71+D80-('Ethylene Recycling HC'!C215+'Ethylene Recycling HC'!C189+'Ethylene Recycling HC'!C149+'Ethylene Recycling HC'!C100-('Ethylene Recycling HC'!$C$215+'Ethylene Recycling HC'!$C$189+'Ethylene Recycling HC'!$C$149+'Ethylene Recycling HC'!$C$100))</f>
        <v>7462.4639529647093</v>
      </c>
      <c r="E145" s="599">
        <f>E71+E80-('Ethylene Recycling HC'!D215+'Ethylene Recycling HC'!D189+'Ethylene Recycling HC'!D149+'Ethylene Recycling HC'!D100-('Ethylene Recycling HC'!$C$215+'Ethylene Recycling HC'!$C$189+'Ethylene Recycling HC'!$C$149+'Ethylene Recycling HC'!$C$100))</f>
        <v>7171.2603239149403</v>
      </c>
      <c r="F145" s="599">
        <f>F71+F80-('Ethylene Recycling HC'!E215+'Ethylene Recycling HC'!E189+'Ethylene Recycling HC'!E149+'Ethylene Recycling HC'!E100-('Ethylene Recycling HC'!$C$215+'Ethylene Recycling HC'!$C$189+'Ethylene Recycling HC'!$C$149+'Ethylene Recycling HC'!$C$100))</f>
        <v>12917.62891016265</v>
      </c>
      <c r="G145" s="599">
        <f>G71+G80-('Ethylene Recycling HC'!F215+'Ethylene Recycling HC'!F189+'Ethylene Recycling HC'!F149+'Ethylene Recycling HC'!F100-('Ethylene Recycling HC'!$C$215+'Ethylene Recycling HC'!$C$189+'Ethylene Recycling HC'!$C$149+'Ethylene Recycling HC'!$C$100))</f>
        <v>27207.200747888015</v>
      </c>
      <c r="H145" s="599">
        <f>H71+H80-('Ethylene Recycling HC'!G215+'Ethylene Recycling HC'!G189+'Ethylene Recycling HC'!G149+'Ethylene Recycling HC'!G100-('Ethylene Recycling HC'!$C$215+'Ethylene Recycling HC'!$C$189+'Ethylene Recycling HC'!$C$149+'Ethylene Recycling HC'!$C$100))</f>
        <v>6295.3255229928263</v>
      </c>
      <c r="I145" s="599">
        <f>I71+I80-('Ethylene Recycling HC'!H215+'Ethylene Recycling HC'!H189+'Ethylene Recycling HC'!H149+'Ethylene Recycling HC'!H100-('Ethylene Recycling HC'!$C$215+'Ethylene Recycling HC'!$C$189+'Ethylene Recycling HC'!$C$149+'Ethylene Recycling HC'!$C$100))</f>
        <v>6012.5589120623781</v>
      </c>
      <c r="J145" s="599">
        <f>J71+J80-('Ethylene Recycling HC'!I215+'Ethylene Recycling HC'!I189+'Ethylene Recycling HC'!I149+'Ethylene Recycling HC'!I100-('Ethylene Recycling HC'!$C$215+'Ethylene Recycling HC'!$C$189+'Ethylene Recycling HC'!$C$149+'Ethylene Recycling HC'!$C$100))</f>
        <v>5931.2683462006771</v>
      </c>
      <c r="K145" s="599">
        <f>K71+K80-('Ethylene Recycling HC'!J215+'Ethylene Recycling HC'!J189+'Ethylene Recycling HC'!J149+'Ethylene Recycling HC'!J100-('Ethylene Recycling HC'!$C$215+'Ethylene Recycling HC'!$C$189+'Ethylene Recycling HC'!$C$149+'Ethylene Recycling HC'!$C$100))</f>
        <v>5864.3841885310021</v>
      </c>
      <c r="L145" s="599">
        <f>L71+L80-('Ethylene Recycling HC'!K215+'Ethylene Recycling HC'!K189+'Ethylene Recycling HC'!K149+'Ethylene Recycling HC'!K100-('Ethylene Recycling HC'!$C$215+'Ethylene Recycling HC'!$C$189+'Ethylene Recycling HC'!$C$149+'Ethylene Recycling HC'!$C$100))</f>
        <v>5811.5969674412427</v>
      </c>
      <c r="M145" s="599">
        <f>M71+M80-('Ethylene Recycling HC'!L215+'Ethylene Recycling HC'!L189+'Ethylene Recycling HC'!L149+'Ethylene Recycling HC'!L100-('Ethylene Recycling HC'!$C$215+'Ethylene Recycling HC'!$C$189+'Ethylene Recycling HC'!$C$149+'Ethylene Recycling HC'!$C$100))</f>
        <v>5772.5969927077613</v>
      </c>
      <c r="N145" s="599">
        <f>N71+N80-('Ethylene Recycling HC'!M215+'Ethylene Recycling HC'!M189+'Ethylene Recycling HC'!M149+'Ethylene Recycling HC'!M100-('Ethylene Recycling HC'!$C$215+'Ethylene Recycling HC'!$C$189+'Ethylene Recycling HC'!$C$149+'Ethylene Recycling HC'!$C$100))</f>
        <v>5747.0743582876048</v>
      </c>
      <c r="O145" s="599">
        <f>O71+O80-('Ethylene Recycling HC'!N215+'Ethylene Recycling HC'!N189+'Ethylene Recycling HC'!N149+'Ethylene Recycling HC'!N100-('Ethylene Recycling HC'!$C$215+'Ethylene Recycling HC'!$C$189+'Ethylene Recycling HC'!$C$149+'Ethylene Recycling HC'!$C$100))</f>
        <v>5561.1747806709773</v>
      </c>
      <c r="P145" s="599">
        <f>P71+P80-('Ethylene Recycling HC'!O215+'Ethylene Recycling HC'!O189+'Ethylene Recycling HC'!O149+'Ethylene Recycling HC'!O100-('Ethylene Recycling HC'!$C$215+'Ethylene Recycling HC'!$C$189+'Ethylene Recycling HC'!$C$149+'Ethylene Recycling HC'!$C$100))</f>
        <v>5401.1342349353799</v>
      </c>
      <c r="Q145" s="599">
        <f>Q71+Q80-('Ethylene Recycling HC'!P215+'Ethylene Recycling HC'!P189+'Ethylene Recycling HC'!P149+'Ethylene Recycling HC'!P100-('Ethylene Recycling HC'!$C$215+'Ethylene Recycling HC'!$C$189+'Ethylene Recycling HC'!$C$149+'Ethylene Recycling HC'!$C$100))</f>
        <v>5272.118413789176</v>
      </c>
      <c r="R145" s="599">
        <f>R71+R80-('Ethylene Recycling HC'!Q215+'Ethylene Recycling HC'!Q189+'Ethylene Recycling HC'!Q149+'Ethylene Recycling HC'!Q100-('Ethylene Recycling HC'!$C$215+'Ethylene Recycling HC'!$C$189+'Ethylene Recycling HC'!$C$149+'Ethylene Recycling HC'!$C$100))</f>
        <v>5170.774476023953</v>
      </c>
      <c r="S145" s="599">
        <f>S71+S80-('Ethylene Recycling HC'!R215+'Ethylene Recycling HC'!R189+'Ethylene Recycling HC'!R149+'Ethylene Recycling HC'!R100-('Ethylene Recycling HC'!$C$215+'Ethylene Recycling HC'!$C$189+'Ethylene Recycling HC'!$C$149+'Ethylene Recycling HC'!$C$100))</f>
        <v>5096.592291448208</v>
      </c>
      <c r="T145" s="599">
        <f>T71+T80-('Ethylene Recycling HC'!S215+'Ethylene Recycling HC'!S189+'Ethylene Recycling HC'!S149+'Ethylene Recycling HC'!S100-('Ethylene Recycling HC'!$C$215+'Ethylene Recycling HC'!$C$189+'Ethylene Recycling HC'!$C$149+'Ethylene Recycling HC'!$C$100))</f>
        <v>4966.3258816484677</v>
      </c>
      <c r="U145" s="599">
        <f>U71+U80-('Ethylene Recycling HC'!T215+'Ethylene Recycling HC'!T189+'Ethylene Recycling HC'!T149+'Ethylene Recycling HC'!T100-('Ethylene Recycling HC'!$C$215+'Ethylene Recycling HC'!$C$189+'Ethylene Recycling HC'!$C$149+'Ethylene Recycling HC'!$C$100))</f>
        <v>4856.521790520279</v>
      </c>
      <c r="V145" s="599">
        <f>V71+V80-('Ethylene Recycling HC'!U215+'Ethylene Recycling HC'!U189+'Ethylene Recycling HC'!U149+'Ethylene Recycling HC'!U100-('Ethylene Recycling HC'!$C$215+'Ethylene Recycling HC'!$C$189+'Ethylene Recycling HC'!$C$149+'Ethylene Recycling HC'!$C$100))</f>
        <v>4766.8642777857076</v>
      </c>
      <c r="W145" s="599">
        <f>W71+W80-('Ethylene Recycling HC'!V215+'Ethylene Recycling HC'!V189+'Ethylene Recycling HC'!V149+'Ethylene Recycling HC'!V100-('Ethylene Recycling HC'!$C$215+'Ethylene Recycling HC'!$C$189+'Ethylene Recycling HC'!$C$149+'Ethylene Recycling HC'!$C$100))</f>
        <v>4697.0364106406087</v>
      </c>
      <c r="X145" s="599">
        <f>X71+X80-('Ethylene Recycling HC'!W215+'Ethylene Recycling HC'!W189+'Ethylene Recycling HC'!W149+'Ethylene Recycling HC'!W100-('Ethylene Recycling HC'!$C$215+'Ethylene Recycling HC'!$C$189+'Ethylene Recycling HC'!$C$149+'Ethylene Recycling HC'!$C$100))</f>
        <v>4646.7200672761037</v>
      </c>
      <c r="Y145" s="599">
        <f>Y71+Y80-('Ethylene Recycling HC'!X215+'Ethylene Recycling HC'!X189+'Ethylene Recycling HC'!X149+'Ethylene Recycling HC'!X100-('Ethylene Recycling HC'!$C$215+'Ethylene Recycling HC'!$C$189+'Ethylene Recycling HC'!$C$149+'Ethylene Recycling HC'!$C$100))</f>
        <v>4448.2825663918984</v>
      </c>
      <c r="Z145" s="599">
        <f>Z71+Z80-('Ethylene Recycling HC'!Y215+'Ethylene Recycling HC'!Y189+'Ethylene Recycling HC'!Y149+'Ethylene Recycling HC'!Y100-('Ethylene Recycling HC'!$C$215+'Ethylene Recycling HC'!$C$189+'Ethylene Recycling HC'!$C$149+'Ethylene Recycling HC'!$C$100))</f>
        <v>4270.3038592715666</v>
      </c>
      <c r="AA145" s="599">
        <f>AA71+AA80-('Ethylene Recycling HC'!Z215+'Ethylene Recycling HC'!Z189+'Ethylene Recycling HC'!Z149+'Ethylene Recycling HC'!Z100-('Ethylene Recycling HC'!$C$215+'Ethylene Recycling HC'!$C$189+'Ethylene Recycling HC'!$C$149+'Ethylene Recycling HC'!$C$100))</f>
        <v>4127.3457283440885</v>
      </c>
      <c r="AB145" s="599">
        <f>AB71+AB80-('Ethylene Recycling HC'!AA215+'Ethylene Recycling HC'!AA189+'Ethylene Recycling HC'!AA149+'Ethylene Recycling HC'!AA100-('Ethylene Recycling HC'!$C$215+'Ethylene Recycling HC'!$C$189+'Ethylene Recycling HC'!$C$149+'Ethylene Recycling HC'!$C$100))</f>
        <v>4018.8169493198957</v>
      </c>
      <c r="AC145" s="599">
        <f>AC71+AC80-('Ethylene Recycling HC'!AB215+'Ethylene Recycling HC'!AB189+'Ethylene Recycling HC'!AB149+'Ethylene Recycling HC'!AB100-('Ethylene Recycling HC'!$C$215+'Ethylene Recycling HC'!$C$189+'Ethylene Recycling HC'!$C$149+'Ethylene Recycling HC'!$C$100))</f>
        <v>3944.1243070600822</v>
      </c>
      <c r="AD145" s="599">
        <f>AD71+AD80-('Ethylene Recycling HC'!AC215+'Ethylene Recycling HC'!AC189+'Ethylene Recycling HC'!AC149+'Ethylene Recycling HC'!AC100-('Ethylene Recycling HC'!$C$215+'Ethylene Recycling HC'!$C$189+'Ethylene Recycling HC'!$C$149+'Ethylene Recycling HC'!$C$100))</f>
        <v>3963.6965660821352</v>
      </c>
      <c r="AE145" s="599">
        <f>AE71+AE80-('Ethylene Recycling HC'!AD215+'Ethylene Recycling HC'!AD189+'Ethylene Recycling HC'!AD149+'Ethylene Recycling HC'!AD100-('Ethylene Recycling HC'!$C$215+'Ethylene Recycling HC'!$C$189+'Ethylene Recycling HC'!$C$149+'Ethylene Recycling HC'!$C$100))</f>
        <v>4020.4056794696353</v>
      </c>
      <c r="AF145" s="599">
        <f>AF71+AF80-('Ethylene Recycling HC'!AE215+'Ethylene Recycling HC'!AE189+'Ethylene Recycling HC'!AE149+'Ethylene Recycling HC'!AE100-('Ethylene Recycling HC'!$C$215+'Ethylene Recycling HC'!$C$189+'Ethylene Recycling HC'!$C$149+'Ethylene Recycling HC'!$C$100))</f>
        <v>4113.4789810498905</v>
      </c>
      <c r="AG145" s="599">
        <f>AG71+AG80-('Ethylene Recycling HC'!AF215+'Ethylene Recycling HC'!AF189+'Ethylene Recycling HC'!AF149+'Ethylene Recycling HC'!AF100-('Ethylene Recycling HC'!$C$215+'Ethylene Recycling HC'!$C$189+'Ethylene Recycling HC'!$C$149+'Ethylene Recycling HC'!$C$100))</f>
        <v>4242.1418314261327</v>
      </c>
      <c r="AH145" s="599">
        <f>AH71+AH80-('Ethylene Recycling HC'!AG215+'Ethylene Recycling HC'!AG189+'Ethylene Recycling HC'!AG149+'Ethylene Recycling HC'!AG100-('Ethylene Recycling HC'!$C$215+'Ethylene Recycling HC'!$C$189+'Ethylene Recycling HC'!$C$149+'Ethylene Recycling HC'!$C$100))</f>
        <v>4577.3336041549865</v>
      </c>
      <c r="AI145" s="263"/>
    </row>
    <row r="146" spans="1:36" s="62" customFormat="1">
      <c r="A146" s="55" t="s">
        <v>78</v>
      </c>
      <c r="B146" s="55" t="s">
        <v>260</v>
      </c>
      <c r="C146" s="95" t="s">
        <v>166</v>
      </c>
      <c r="D146" s="631">
        <f t="shared" ref="D146:AG146" si="48">D94+D114+D124+D125+D126+D136+D137+D138+D104</f>
        <v>0</v>
      </c>
      <c r="E146" s="631">
        <f t="shared" si="48"/>
        <v>3540.7743218276992</v>
      </c>
      <c r="F146" s="631">
        <f t="shared" si="48"/>
        <v>6919.9144313515917</v>
      </c>
      <c r="G146" s="631">
        <f t="shared" si="48"/>
        <v>10138.233882427094</v>
      </c>
      <c r="H146" s="631">
        <f t="shared" si="48"/>
        <v>13196.546228909714</v>
      </c>
      <c r="I146" s="631">
        <f t="shared" si="48"/>
        <v>16095.66502465474</v>
      </c>
      <c r="J146" s="631">
        <f t="shared" si="48"/>
        <v>18440.802083120638</v>
      </c>
      <c r="K146" s="631">
        <f t="shared" si="48"/>
        <v>20607.03429040112</v>
      </c>
      <c r="L146" s="631">
        <f t="shared" si="48"/>
        <v>22595.880622180615</v>
      </c>
      <c r="M146" s="631">
        <f t="shared" si="48"/>
        <v>24408.860054143697</v>
      </c>
      <c r="N146" s="631">
        <f t="shared" si="48"/>
        <v>26047.491561974966</v>
      </c>
      <c r="O146" s="631">
        <f t="shared" si="48"/>
        <v>31626.588476455396</v>
      </c>
      <c r="P146" s="631">
        <f t="shared" si="48"/>
        <v>37352.14413465801</v>
      </c>
      <c r="Q146" s="631">
        <f t="shared" si="48"/>
        <v>41589.188426119756</v>
      </c>
      <c r="R146" s="631">
        <f t="shared" si="48"/>
        <v>45181.472861552989</v>
      </c>
      <c r="S146" s="631">
        <f t="shared" si="48"/>
        <v>48133.736087917219</v>
      </c>
      <c r="T146" s="631">
        <f t="shared" si="48"/>
        <v>50616.20274692672</v>
      </c>
      <c r="U146" s="631">
        <f t="shared" si="48"/>
        <v>52479.478512086738</v>
      </c>
      <c r="V146" s="631">
        <f t="shared" si="48"/>
        <v>53727.906765225183</v>
      </c>
      <c r="W146" s="631">
        <f t="shared" si="48"/>
        <v>54365.831134455053</v>
      </c>
      <c r="X146" s="631">
        <f t="shared" si="48"/>
        <v>54397.595492334003</v>
      </c>
      <c r="Y146" s="631">
        <f t="shared" si="48"/>
        <v>54845.145391685175</v>
      </c>
      <c r="Z146" s="631">
        <f t="shared" si="48"/>
        <v>57795.888485100382</v>
      </c>
      <c r="AA146" s="631">
        <f t="shared" si="48"/>
        <v>59672.431802007617</v>
      </c>
      <c r="AB146" s="631">
        <f t="shared" si="48"/>
        <v>60549.806188130926</v>
      </c>
      <c r="AC146" s="631">
        <f t="shared" si="48"/>
        <v>60435.287163798566</v>
      </c>
      <c r="AD146" s="631">
        <f t="shared" si="48"/>
        <v>59214.096582721948</v>
      </c>
      <c r="AE146" s="631">
        <f t="shared" si="48"/>
        <v>57006.595659465806</v>
      </c>
      <c r="AF146" s="631">
        <f t="shared" si="48"/>
        <v>53820.425937931097</v>
      </c>
      <c r="AG146" s="631">
        <f t="shared" si="48"/>
        <v>49663.235141299083</v>
      </c>
      <c r="AH146" s="631">
        <f>AH94+AH114+AH124+AH125+AH126+AH136+AH137+AH138+AH104</f>
        <v>33846.510497136813</v>
      </c>
    </row>
    <row r="147" spans="1:36" s="63" customFormat="1">
      <c r="B147" s="59" t="s">
        <v>261</v>
      </c>
      <c r="C147" s="60" t="s">
        <v>166</v>
      </c>
      <c r="D147" s="646">
        <f t="shared" ref="D147:AH147" si="49">D93+D103+D113+D123+D135</f>
        <v>0</v>
      </c>
      <c r="E147" s="646">
        <f t="shared" si="49"/>
        <v>5843.4649914110432</v>
      </c>
      <c r="F147" s="646">
        <f t="shared" si="49"/>
        <v>11540.066230236589</v>
      </c>
      <c r="G147" s="646">
        <f t="shared" si="49"/>
        <v>17090.592829286357</v>
      </c>
      <c r="H147" s="646">
        <f t="shared" si="49"/>
        <v>22495.833901370148</v>
      </c>
      <c r="I147" s="646">
        <f t="shared" si="49"/>
        <v>27756.578559297741</v>
      </c>
      <c r="J147" s="646">
        <f t="shared" si="49"/>
        <v>32652.152193480873</v>
      </c>
      <c r="K147" s="646">
        <f t="shared" si="49"/>
        <v>37381.658030918727</v>
      </c>
      <c r="L147" s="646">
        <f t="shared" si="49"/>
        <v>41945.179762591979</v>
      </c>
      <c r="M147" s="646">
        <f t="shared" si="49"/>
        <v>46342.801079481287</v>
      </c>
      <c r="N147" s="646">
        <f t="shared" si="49"/>
        <v>50574.605672567355</v>
      </c>
      <c r="O147" s="646">
        <f t="shared" si="49"/>
        <v>58798.417788688319</v>
      </c>
      <c r="P147" s="646">
        <f t="shared" si="49"/>
        <v>67017.346759567823</v>
      </c>
      <c r="Q147" s="646">
        <f t="shared" si="49"/>
        <v>74203.080029734294</v>
      </c>
      <c r="R147" s="646">
        <f t="shared" si="49"/>
        <v>80876.798532061046</v>
      </c>
      <c r="S147" s="646">
        <f t="shared" si="49"/>
        <v>87039.848479142616</v>
      </c>
      <c r="T147" s="646">
        <f t="shared" si="49"/>
        <v>92727.66303473142</v>
      </c>
      <c r="U147" s="646">
        <f t="shared" si="49"/>
        <v>97913.633066222654</v>
      </c>
      <c r="V147" s="646">
        <f t="shared" si="49"/>
        <v>102599.50057132269</v>
      </c>
      <c r="W147" s="646">
        <f t="shared" si="49"/>
        <v>106787.0074745923</v>
      </c>
      <c r="X147" s="646">
        <f t="shared" si="49"/>
        <v>110477.895629194</v>
      </c>
      <c r="Y147" s="646">
        <f t="shared" si="49"/>
        <v>117942.66812739098</v>
      </c>
      <c r="Z147" s="646">
        <f t="shared" si="49"/>
        <v>126913.2200271138</v>
      </c>
      <c r="AA147" s="646">
        <f t="shared" si="49"/>
        <v>134976.47186006221</v>
      </c>
      <c r="AB147" s="646">
        <f t="shared" si="49"/>
        <v>142144.70852125282</v>
      </c>
      <c r="AC147" s="646">
        <f t="shared" si="49"/>
        <v>148421.02385344368</v>
      </c>
      <c r="AD147" s="646">
        <f t="shared" si="49"/>
        <v>153754.41559199843</v>
      </c>
      <c r="AE147" s="646">
        <f t="shared" si="49"/>
        <v>158194.37415269215</v>
      </c>
      <c r="AF147" s="646">
        <f t="shared" si="49"/>
        <v>161743.64780594915</v>
      </c>
      <c r="AG147" s="646">
        <f t="shared" si="49"/>
        <v>164404.98545333807</v>
      </c>
      <c r="AH147" s="646">
        <f t="shared" si="49"/>
        <v>176311.81965880835</v>
      </c>
    </row>
    <row r="148" spans="1:36" s="99" customFormat="1">
      <c r="A148" s="97" t="s">
        <v>535</v>
      </c>
      <c r="B148" s="97"/>
      <c r="C148" s="98" t="s">
        <v>166</v>
      </c>
      <c r="D148" s="642">
        <f>D95+D105+D115+IF(D127&lt;0,0,D127)+D139</f>
        <v>1049369.6122000003</v>
      </c>
      <c r="E148" s="642">
        <f t="shared" ref="E148:AH148" si="50">E95+E105+E115+IF(E127&lt;0,0,E127)+E139</f>
        <v>1043223.4426473719</v>
      </c>
      <c r="F148" s="642">
        <f t="shared" si="50"/>
        <v>1023514.652748632</v>
      </c>
      <c r="G148" s="642">
        <f t="shared" si="50"/>
        <v>1004413.2126669541</v>
      </c>
      <c r="H148" s="642">
        <f t="shared" si="50"/>
        <v>985956.90042048809</v>
      </c>
      <c r="I148" s="642">
        <f t="shared" si="50"/>
        <v>968188.77101577446</v>
      </c>
      <c r="J148" s="642">
        <f t="shared" si="50"/>
        <v>951774.93202832818</v>
      </c>
      <c r="K148" s="642">
        <f t="shared" si="50"/>
        <v>936198.64097712352</v>
      </c>
      <c r="L148" s="642">
        <f t="shared" si="50"/>
        <v>921523.43993493542</v>
      </c>
      <c r="M148" s="642">
        <f t="shared" si="50"/>
        <v>907821.61545893573</v>
      </c>
      <c r="N148" s="642">
        <f t="shared" si="50"/>
        <v>895175.37567249057</v>
      </c>
      <c r="O148" s="642">
        <f t="shared" si="50"/>
        <v>870845.07781888486</v>
      </c>
      <c r="P148" s="642">
        <f t="shared" si="50"/>
        <v>848524.11404536734</v>
      </c>
      <c r="Q148" s="642">
        <f t="shared" si="50"/>
        <v>828336.0012982504</v>
      </c>
      <c r="R148" s="642">
        <f t="shared" si="50"/>
        <v>810450.03518248093</v>
      </c>
      <c r="S148" s="642">
        <f t="shared" si="50"/>
        <v>795016.85961538949</v>
      </c>
      <c r="T148" s="642">
        <f t="shared" si="50"/>
        <v>782008.70752086653</v>
      </c>
      <c r="U148" s="642">
        <f t="shared" si="50"/>
        <v>771803.48558800062</v>
      </c>
      <c r="V148" s="642">
        <f t="shared" si="50"/>
        <v>764624.25861895306</v>
      </c>
      <c r="W148" s="642">
        <f t="shared" si="50"/>
        <v>760725.00825312722</v>
      </c>
      <c r="X148" s="642">
        <f t="shared" si="50"/>
        <v>760394.7973020291</v>
      </c>
      <c r="Y148" s="642">
        <f t="shared" si="50"/>
        <v>751983.53160559176</v>
      </c>
      <c r="Z148" s="642">
        <f t="shared" si="50"/>
        <v>746727.25079942623</v>
      </c>
      <c r="AA148" s="642">
        <f t="shared" si="50"/>
        <v>747041.01044253435</v>
      </c>
      <c r="AB148" s="642">
        <f t="shared" si="50"/>
        <v>753328.09964248422</v>
      </c>
      <c r="AC148" s="642">
        <f t="shared" si="50"/>
        <v>771075.44839033298</v>
      </c>
      <c r="AD148" s="642">
        <f t="shared" si="50"/>
        <v>798255.99786703149</v>
      </c>
      <c r="AE148" s="642">
        <f t="shared" si="50"/>
        <v>832609.72877184092</v>
      </c>
      <c r="AF148" s="642">
        <f t="shared" si="50"/>
        <v>874938.45233883662</v>
      </c>
      <c r="AG148" s="642">
        <f t="shared" si="50"/>
        <v>926153.49263951532</v>
      </c>
      <c r="AH148" s="642">
        <f t="shared" si="50"/>
        <v>982029.3363952277</v>
      </c>
      <c r="AJ148" s="99" t="s">
        <v>550</v>
      </c>
    </row>
    <row r="149" spans="1:36" s="62" customFormat="1">
      <c r="A149" s="688" t="s">
        <v>685</v>
      </c>
      <c r="B149" s="55" t="s">
        <v>141</v>
      </c>
      <c r="C149" s="56" t="s">
        <v>166</v>
      </c>
      <c r="D149" s="630">
        <f>D96+D106+D116+D128+D140</f>
        <v>313520.94128169795</v>
      </c>
      <c r="E149" s="630">
        <f t="shared" ref="E149:AH154" si="51">E96+E106+E116+E128+E140</f>
        <v>309054.60465305683</v>
      </c>
      <c r="F149" s="630">
        <f t="shared" si="51"/>
        <v>298414.79804982891</v>
      </c>
      <c r="G149" s="630">
        <f t="shared" si="51"/>
        <v>288212.20965146663</v>
      </c>
      <c r="H149" s="630">
        <f t="shared" si="51"/>
        <v>278461.77003320574</v>
      </c>
      <c r="I149" s="630">
        <f t="shared" si="51"/>
        <v>269180.84544987191</v>
      </c>
      <c r="J149" s="630">
        <f t="shared" si="51"/>
        <v>260518.61403323241</v>
      </c>
      <c r="K149" s="630">
        <f t="shared" si="51"/>
        <v>252378.88806029479</v>
      </c>
      <c r="L149" s="630">
        <f t="shared" si="51"/>
        <v>244788.51899833084</v>
      </c>
      <c r="M149" s="630">
        <f t="shared" si="51"/>
        <v>237778.41594961303</v>
      </c>
      <c r="N149" s="630">
        <f t="shared" si="51"/>
        <v>231384.09610870125</v>
      </c>
      <c r="O149" s="630">
        <f t="shared" si="51"/>
        <v>216089.94353772001</v>
      </c>
      <c r="P149" s="630">
        <f t="shared" si="51"/>
        <v>202170.16314657874</v>
      </c>
      <c r="Q149" s="630">
        <f t="shared" si="51"/>
        <v>189679.08833095481</v>
      </c>
      <c r="R149" s="630">
        <f t="shared" si="51"/>
        <v>178694.14780526591</v>
      </c>
      <c r="S149" s="630">
        <f t="shared" si="51"/>
        <v>169274.04760427543</v>
      </c>
      <c r="T149" s="630">
        <f t="shared" si="51"/>
        <v>161487.28491985268</v>
      </c>
      <c r="U149" s="630">
        <f t="shared" si="51"/>
        <v>155413.48187086801</v>
      </c>
      <c r="V149" s="630">
        <f t="shared" si="51"/>
        <v>151144.89867903283</v>
      </c>
      <c r="W149" s="630">
        <f t="shared" si="51"/>
        <v>148788.15041391028</v>
      </c>
      <c r="X149" s="630">
        <f t="shared" si="51"/>
        <v>148466.15472475014</v>
      </c>
      <c r="Y149" s="630">
        <f t="shared" si="51"/>
        <v>143114.30608047679</v>
      </c>
      <c r="Z149" s="630">
        <f t="shared" si="51"/>
        <v>139217.48939257101</v>
      </c>
      <c r="AA149" s="630">
        <f t="shared" si="51"/>
        <v>138577.80705010259</v>
      </c>
      <c r="AB149" s="630">
        <f t="shared" si="51"/>
        <v>141344.15603192343</v>
      </c>
      <c r="AC149" s="630">
        <f t="shared" si="51"/>
        <v>147750.64142536948</v>
      </c>
      <c r="AD149" s="630">
        <f t="shared" si="51"/>
        <v>158076.42106060099</v>
      </c>
      <c r="AE149" s="630">
        <f t="shared" si="51"/>
        <v>172620.80700950895</v>
      </c>
      <c r="AF149" s="630">
        <f t="shared" si="51"/>
        <v>191737.25004843663</v>
      </c>
      <c r="AG149" s="630">
        <f t="shared" si="51"/>
        <v>215830.19260491553</v>
      </c>
      <c r="AH149" s="630">
        <f t="shared" si="51"/>
        <v>245361.9567669291</v>
      </c>
      <c r="AI149" s="57"/>
    </row>
    <row r="150" spans="1:36">
      <c r="A150" s="689"/>
      <c r="B150" s="1" t="s">
        <v>18</v>
      </c>
      <c r="C150" s="51" t="s">
        <v>166</v>
      </c>
      <c r="D150" s="196">
        <f t="shared" ref="D150:S154" si="52">D97+D107+D117+D129+D141</f>
        <v>221834.43765903774</v>
      </c>
      <c r="E150" s="196">
        <f t="shared" si="52"/>
        <v>221006.65871508021</v>
      </c>
      <c r="F150" s="196">
        <f t="shared" si="52"/>
        <v>217432.02417151548</v>
      </c>
      <c r="G150" s="196">
        <f t="shared" si="52"/>
        <v>213953.45622156735</v>
      </c>
      <c r="H150" s="196">
        <f t="shared" si="52"/>
        <v>210577.79265335185</v>
      </c>
      <c r="I150" s="196">
        <f t="shared" si="52"/>
        <v>207312.93962329673</v>
      </c>
      <c r="J150" s="196">
        <f t="shared" si="52"/>
        <v>204605.24428695094</v>
      </c>
      <c r="K150" s="196">
        <f t="shared" si="52"/>
        <v>202059.10603379647</v>
      </c>
      <c r="L150" s="196">
        <f t="shared" si="52"/>
        <v>199686.56824488196</v>
      </c>
      <c r="M150" s="196">
        <f t="shared" si="52"/>
        <v>197501.43687184929</v>
      </c>
      <c r="N150" s="196">
        <f t="shared" si="52"/>
        <v>195519.51611741752</v>
      </c>
      <c r="O150" s="196">
        <f t="shared" si="52"/>
        <v>191026.91752569843</v>
      </c>
      <c r="P150" s="196">
        <f t="shared" si="52"/>
        <v>187402.41802752341</v>
      </c>
      <c r="Q150" s="196">
        <f t="shared" si="52"/>
        <v>183568.4257722513</v>
      </c>
      <c r="R150" s="196">
        <f t="shared" si="52"/>
        <v>180129.12591528235</v>
      </c>
      <c r="S150" s="196">
        <f t="shared" si="52"/>
        <v>177112.70691278778</v>
      </c>
      <c r="T150" s="196">
        <f t="shared" si="51"/>
        <v>174352.08930249175</v>
      </c>
      <c r="U150" s="196">
        <f t="shared" si="51"/>
        <v>172066.67277178736</v>
      </c>
      <c r="V150" s="196">
        <f t="shared" si="51"/>
        <v>170299.28962888406</v>
      </c>
      <c r="W150" s="196">
        <f t="shared" si="51"/>
        <v>169099.01013914854</v>
      </c>
      <c r="X150" s="196">
        <f t="shared" si="51"/>
        <v>168521.97629273275</v>
      </c>
      <c r="Y150" s="196">
        <f t="shared" si="51"/>
        <v>165942.50194723395</v>
      </c>
      <c r="Z150" s="196">
        <f t="shared" si="51"/>
        <v>165755.84058827459</v>
      </c>
      <c r="AA150" s="196">
        <f t="shared" si="51"/>
        <v>166513.2841575995</v>
      </c>
      <c r="AB150" s="196">
        <f t="shared" si="51"/>
        <v>168307.88444749272</v>
      </c>
      <c r="AC150" s="196">
        <f t="shared" si="51"/>
        <v>171245.98333900847</v>
      </c>
      <c r="AD150" s="196">
        <f t="shared" si="51"/>
        <v>175610.92412275623</v>
      </c>
      <c r="AE150" s="196">
        <f t="shared" si="51"/>
        <v>181394.59618296186</v>
      </c>
      <c r="AF150" s="196">
        <f t="shared" si="51"/>
        <v>188754.88055304205</v>
      </c>
      <c r="AG150" s="196">
        <f t="shared" si="51"/>
        <v>197871.63871984815</v>
      </c>
      <c r="AH150" s="196">
        <f t="shared" si="51"/>
        <v>208949.66290059604</v>
      </c>
      <c r="AI150" s="41"/>
    </row>
    <row r="151" spans="1:36">
      <c r="A151" s="689"/>
      <c r="B151" s="1" t="s">
        <v>684</v>
      </c>
      <c r="C151" s="51" t="s">
        <v>166</v>
      </c>
      <c r="D151" s="196">
        <f t="shared" si="52"/>
        <v>202943.65152000473</v>
      </c>
      <c r="E151" s="196">
        <f t="shared" si="51"/>
        <v>198085.54851112521</v>
      </c>
      <c r="F151" s="196">
        <f t="shared" si="51"/>
        <v>193206.03665904392</v>
      </c>
      <c r="G151" s="196">
        <f t="shared" si="51"/>
        <v>188312.33836236582</v>
      </c>
      <c r="H151" s="196">
        <f t="shared" si="51"/>
        <v>183406.06976078701</v>
      </c>
      <c r="I151" s="196">
        <f t="shared" si="51"/>
        <v>178488.85410602912</v>
      </c>
      <c r="J151" s="196">
        <f t="shared" si="51"/>
        <v>173591.22745171716</v>
      </c>
      <c r="K151" s="196">
        <f t="shared" si="51"/>
        <v>168688.06625313914</v>
      </c>
      <c r="L151" s="196">
        <f t="shared" si="51"/>
        <v>163781.0141507379</v>
      </c>
      <c r="M151" s="196">
        <f t="shared" si="51"/>
        <v>158871.72126705211</v>
      </c>
      <c r="N151" s="196">
        <f t="shared" si="51"/>
        <v>153961.84405049967</v>
      </c>
      <c r="O151" s="196">
        <f t="shared" si="51"/>
        <v>148127.30529116368</v>
      </c>
      <c r="P151" s="196">
        <f t="shared" si="51"/>
        <v>142260.9167878814</v>
      </c>
      <c r="Q151" s="196">
        <f t="shared" si="51"/>
        <v>136442.58071002644</v>
      </c>
      <c r="R151" s="196">
        <f t="shared" si="51"/>
        <v>130643.48113526445</v>
      </c>
      <c r="S151" s="196">
        <f t="shared" si="51"/>
        <v>124870.42683176869</v>
      </c>
      <c r="T151" s="196">
        <f t="shared" si="51"/>
        <v>119130.24663989243</v>
      </c>
      <c r="U151" s="196">
        <f t="shared" si="51"/>
        <v>113429.78876720837</v>
      </c>
      <c r="V151" s="196">
        <f t="shared" si="51"/>
        <v>107775.92008473081</v>
      </c>
      <c r="W151" s="196">
        <f t="shared" si="51"/>
        <v>102175.52542436084</v>
      </c>
      <c r="X151" s="196">
        <f t="shared" si="51"/>
        <v>96635.506877595806</v>
      </c>
      <c r="Y151" s="196">
        <f t="shared" si="51"/>
        <v>90117.242290108348</v>
      </c>
      <c r="Z151" s="196">
        <f t="shared" si="51"/>
        <v>83410.018120882101</v>
      </c>
      <c r="AA151" s="196">
        <f t="shared" si="51"/>
        <v>76812.829001837337</v>
      </c>
      <c r="AB151" s="196">
        <f t="shared" si="51"/>
        <v>70331.823129364508</v>
      </c>
      <c r="AC151" s="196">
        <f t="shared" si="51"/>
        <v>63978.66780353881</v>
      </c>
      <c r="AD151" s="196">
        <f t="shared" si="51"/>
        <v>57767.339833695674</v>
      </c>
      <c r="AE151" s="196">
        <f t="shared" si="51"/>
        <v>51707.490805903712</v>
      </c>
      <c r="AF151" s="196">
        <f t="shared" si="51"/>
        <v>45810.859959039793</v>
      </c>
      <c r="AG151" s="196">
        <f t="shared" si="51"/>
        <v>40089.208276642326</v>
      </c>
      <c r="AH151" s="196">
        <f t="shared" si="51"/>
        <v>34554.317379628628</v>
      </c>
      <c r="AI151" s="41"/>
    </row>
    <row r="152" spans="1:36">
      <c r="A152" s="690"/>
      <c r="B152" s="1" t="s">
        <v>27</v>
      </c>
      <c r="C152" s="51" t="s">
        <v>166</v>
      </c>
      <c r="D152" s="196">
        <f t="shared" ref="D152:AG152" si="53">D99+D109+D119+IF(D131&lt;0,0,D131)+D143</f>
        <v>311070.58173925988</v>
      </c>
      <c r="E152" s="196">
        <f t="shared" si="53"/>
        <v>315089.6678208434</v>
      </c>
      <c r="F152" s="196">
        <f t="shared" si="53"/>
        <v>314487.79466324556</v>
      </c>
      <c r="G152" s="196">
        <f t="shared" si="53"/>
        <v>313974.10256331076</v>
      </c>
      <c r="H152" s="196">
        <f t="shared" si="53"/>
        <v>313562.98779837857</v>
      </c>
      <c r="I152" s="196">
        <f t="shared" si="53"/>
        <v>313270.61233270704</v>
      </c>
      <c r="J152" s="196">
        <f t="shared" si="53"/>
        <v>313137.02488118765</v>
      </c>
      <c r="K152" s="196">
        <f t="shared" si="53"/>
        <v>313162.39718213084</v>
      </c>
      <c r="L152" s="196">
        <f t="shared" si="53"/>
        <v>313369.7350226288</v>
      </c>
      <c r="M152" s="196">
        <f t="shared" si="53"/>
        <v>313784.96184961713</v>
      </c>
      <c r="N152" s="196">
        <f t="shared" si="53"/>
        <v>314437.30987128906</v>
      </c>
      <c r="O152" s="196">
        <f t="shared" si="53"/>
        <v>315752.73214857111</v>
      </c>
      <c r="P152" s="196">
        <f t="shared" si="53"/>
        <v>316866.72058342228</v>
      </c>
      <c r="Q152" s="196">
        <f t="shared" si="53"/>
        <v>318845.32644179789</v>
      </c>
      <c r="R152" s="196">
        <f t="shared" si="53"/>
        <v>321205.73937911395</v>
      </c>
      <c r="S152" s="196">
        <f t="shared" si="53"/>
        <v>324004.90565146832</v>
      </c>
      <c r="T152" s="196">
        <f t="shared" si="53"/>
        <v>327306.81669537409</v>
      </c>
      <c r="U152" s="196">
        <f t="shared" si="53"/>
        <v>331183.51375808392</v>
      </c>
      <c r="V152" s="196">
        <f t="shared" si="53"/>
        <v>335716.10630698869</v>
      </c>
      <c r="W152" s="196">
        <f t="shared" si="53"/>
        <v>340996.00937972451</v>
      </c>
      <c r="X152" s="196">
        <f t="shared" si="53"/>
        <v>348388.31157694425</v>
      </c>
      <c r="Y152" s="196">
        <f t="shared" si="53"/>
        <v>356106.34120588517</v>
      </c>
      <c r="Z152" s="196">
        <f t="shared" si="53"/>
        <v>363522.05084026919</v>
      </c>
      <c r="AA152" s="196">
        <f t="shared" si="53"/>
        <v>372138.183885245</v>
      </c>
      <c r="AB152" s="196">
        <f t="shared" si="53"/>
        <v>382109.98338508152</v>
      </c>
      <c r="AC152" s="196">
        <f t="shared" si="53"/>
        <v>393621.90837424854</v>
      </c>
      <c r="AD152" s="196">
        <f t="shared" si="53"/>
        <v>406885.10990074422</v>
      </c>
      <c r="AE152" s="196">
        <f t="shared" si="53"/>
        <v>422135.74405614956</v>
      </c>
      <c r="AF152" s="196">
        <f t="shared" si="53"/>
        <v>439643.65248006315</v>
      </c>
      <c r="AG152" s="196">
        <f t="shared" si="53"/>
        <v>459715.11154990265</v>
      </c>
      <c r="AH152" s="196">
        <f>AH99+AH109+AH119+IF(AH131&lt;0,0,AH131)+AH143</f>
        <v>481805.1307901431</v>
      </c>
      <c r="AI152" s="41"/>
    </row>
    <row r="153" spans="1:36" s="62" customFormat="1">
      <c r="A153" s="691" t="s">
        <v>686</v>
      </c>
      <c r="B153" s="55" t="s">
        <v>683</v>
      </c>
      <c r="C153" s="56" t="s">
        <v>166</v>
      </c>
      <c r="D153" s="630">
        <f t="shared" si="52"/>
        <v>92507.263988244042</v>
      </c>
      <c r="E153" s="630">
        <f t="shared" si="51"/>
        <v>89638.192630721183</v>
      </c>
      <c r="F153" s="630">
        <f t="shared" si="51"/>
        <v>86747.687282211715</v>
      </c>
      <c r="G153" s="630">
        <f t="shared" si="51"/>
        <v>83842.960480328344</v>
      </c>
      <c r="H153" s="630">
        <f t="shared" si="51"/>
        <v>80925.618174028801</v>
      </c>
      <c r="I153" s="630">
        <f t="shared" si="51"/>
        <v>77997.273086094821</v>
      </c>
      <c r="J153" s="630">
        <f t="shared" si="51"/>
        <v>75088.45039435997</v>
      </c>
      <c r="K153" s="630">
        <f t="shared" si="51"/>
        <v>72174.015322619744</v>
      </c>
      <c r="L153" s="630">
        <f t="shared" si="51"/>
        <v>69255.599915070954</v>
      </c>
      <c r="M153" s="630">
        <f t="shared" si="51"/>
        <v>66334.842323991819</v>
      </c>
      <c r="N153" s="630">
        <f t="shared" si="51"/>
        <v>63413.386644052531</v>
      </c>
      <c r="O153" s="630">
        <f t="shared" si="51"/>
        <v>59697.624152515615</v>
      </c>
      <c r="P153" s="630">
        <f t="shared" si="51"/>
        <v>55950.761723225172</v>
      </c>
      <c r="Q153" s="630">
        <f t="shared" si="51"/>
        <v>52252.706728594902</v>
      </c>
      <c r="R153" s="630">
        <f t="shared" si="51"/>
        <v>48574.648234264103</v>
      </c>
      <c r="S153" s="630">
        <f t="shared" si="51"/>
        <v>44923.399767808238</v>
      </c>
      <c r="T153" s="630">
        <f t="shared" si="51"/>
        <v>41305.794686400564</v>
      </c>
      <c r="U153" s="630">
        <f t="shared" si="51"/>
        <v>37728.68545731972</v>
      </c>
      <c r="V153" s="630">
        <f t="shared" si="51"/>
        <v>34198.942939102228</v>
      </c>
      <c r="W153" s="630">
        <f t="shared" si="51"/>
        <v>30723.455663364086</v>
      </c>
      <c r="X153" s="630">
        <f t="shared" si="51"/>
        <v>27309.129117315711</v>
      </c>
      <c r="Y153" s="630">
        <f t="shared" si="51"/>
        <v>23038.75983737503</v>
      </c>
      <c r="Z153" s="630">
        <f t="shared" si="51"/>
        <v>18580.869246877191</v>
      </c>
      <c r="AA153" s="630">
        <f t="shared" si="51"/>
        <v>14234.425997518094</v>
      </c>
      <c r="AB153" s="630">
        <f t="shared" si="51"/>
        <v>10005.550048333014</v>
      </c>
      <c r="AC153" s="630">
        <f t="shared" si="51"/>
        <v>5905.878114533195</v>
      </c>
      <c r="AD153" s="630">
        <f t="shared" si="51"/>
        <v>1949.3539798408165</v>
      </c>
      <c r="AE153" s="630">
        <f t="shared" si="51"/>
        <v>-1854.4063322211987</v>
      </c>
      <c r="AF153" s="630">
        <f t="shared" si="51"/>
        <v>-5493.7017814620885</v>
      </c>
      <c r="AG153" s="630">
        <f t="shared" si="51"/>
        <v>-8956.8123214872558</v>
      </c>
      <c r="AH153" s="630">
        <f t="shared" si="51"/>
        <v>-12232.000112493603</v>
      </c>
      <c r="AI153" s="57"/>
    </row>
    <row r="154" spans="1:36" s="63" customFormat="1">
      <c r="A154" s="692"/>
      <c r="B154" s="59" t="s">
        <v>682</v>
      </c>
      <c r="C154" s="262" t="s">
        <v>166</v>
      </c>
      <c r="D154" s="599">
        <f t="shared" si="52"/>
        <v>78081.78585770783</v>
      </c>
      <c r="E154" s="599">
        <f t="shared" si="51"/>
        <v>76009.634633670008</v>
      </c>
      <c r="F154" s="599">
        <f t="shared" si="51"/>
        <v>80010.606126323066</v>
      </c>
      <c r="G154" s="599">
        <f t="shared" si="51"/>
        <v>92589.268602866694</v>
      </c>
      <c r="H154" s="599">
        <f t="shared" si="51"/>
        <v>69999.921577949717</v>
      </c>
      <c r="I154" s="599">
        <f t="shared" si="51"/>
        <v>68072.083095871072</v>
      </c>
      <c r="J154" s="599">
        <f t="shared" si="51"/>
        <v>66616.54470588002</v>
      </c>
      <c r="K154" s="599">
        <f t="shared" si="51"/>
        <v>65226.24798223027</v>
      </c>
      <c r="L154" s="599">
        <f t="shared" si="51"/>
        <v>63900.235761206117</v>
      </c>
      <c r="M154" s="599">
        <f t="shared" si="51"/>
        <v>62637.562964402438</v>
      </c>
      <c r="N154" s="599">
        <f t="shared" si="51"/>
        <v>61437.296542755801</v>
      </c>
      <c r="O154" s="599">
        <f t="shared" si="51"/>
        <v>58811.459100656219</v>
      </c>
      <c r="P154" s="599">
        <f t="shared" si="51"/>
        <v>56449.741807895873</v>
      </c>
      <c r="Q154" s="599">
        <f t="shared" si="51"/>
        <v>54139.09507667736</v>
      </c>
      <c r="R154" s="599">
        <f t="shared" si="51"/>
        <v>51989.60541462696</v>
      </c>
      <c r="S154" s="599">
        <f t="shared" si="51"/>
        <v>49997.98333383818</v>
      </c>
      <c r="T154" s="599">
        <f t="shared" si="51"/>
        <v>47961.432527341283</v>
      </c>
      <c r="U154" s="599">
        <f t="shared" si="51"/>
        <v>46058.826055273566</v>
      </c>
      <c r="V154" s="599">
        <f t="shared" si="51"/>
        <v>44287.012045886215</v>
      </c>
      <c r="W154" s="599">
        <f t="shared" si="51"/>
        <v>42642.884017877994</v>
      </c>
      <c r="X154" s="599">
        <f t="shared" si="51"/>
        <v>41123.380639724914</v>
      </c>
      <c r="Y154" s="599">
        <f t="shared" si="51"/>
        <v>38445.242711832361</v>
      </c>
      <c r="Z154" s="599">
        <f t="shared" si="51"/>
        <v>36179.135694244556</v>
      </c>
      <c r="AA154" s="599">
        <f t="shared" si="51"/>
        <v>34128.589951589165</v>
      </c>
      <c r="AB154" s="599">
        <f t="shared" si="51"/>
        <v>32288.520691491183</v>
      </c>
      <c r="AC154" s="599">
        <f t="shared" si="51"/>
        <v>30653.91683960531</v>
      </c>
      <c r="AD154" s="599">
        <f t="shared" si="51"/>
        <v>29381.772359898547</v>
      </c>
      <c r="AE154" s="599">
        <f t="shared" si="51"/>
        <v>28320.611199953288</v>
      </c>
      <c r="AF154" s="599">
        <f t="shared" si="51"/>
        <v>27465.641080357444</v>
      </c>
      <c r="AG154" s="599">
        <f t="shared" si="51"/>
        <v>26812.141867290044</v>
      </c>
      <c r="AH154" s="599">
        <f t="shared" si="51"/>
        <v>26355.465179665916</v>
      </c>
      <c r="AI154" s="263"/>
    </row>
    <row r="155" spans="1:36">
      <c r="A155" s="1" t="s">
        <v>843</v>
      </c>
      <c r="C155" s="56" t="s">
        <v>166</v>
      </c>
      <c r="D155" s="649">
        <f>'Ethylene Recycling HC'!C308</f>
        <v>0.18308938531480826</v>
      </c>
      <c r="E155" s="649">
        <f>'Ethylene Recycling HC'!D308</f>
        <v>0.36616808415740071</v>
      </c>
      <c r="F155" s="649">
        <f>'Ethylene Recycling HC'!E308</f>
        <v>0.73074881534695013</v>
      </c>
      <c r="G155" s="649">
        <f>'Ethylene Recycling HC'!F308</f>
        <v>1.4542220395268413</v>
      </c>
      <c r="H155" s="649">
        <f>'Ethylene Recycling HC'!G308</f>
        <v>2.8830296660332908</v>
      </c>
      <c r="I155" s="649">
        <f>'Ethylene Recycling HC'!H308</f>
        <v>5.6863795585559087</v>
      </c>
      <c r="J155" s="649">
        <f>'Ethylene Recycling HC'!I308</f>
        <v>11.097508015959804</v>
      </c>
      <c r="K155" s="649">
        <f>'Ethylene Recycling HC'!J308</f>
        <v>21.449391425578458</v>
      </c>
      <c r="L155" s="649">
        <f>'Ethylene Recycling HC'!K308</f>
        <v>40.918877301514996</v>
      </c>
      <c r="M155" s="649">
        <f>'Ethylene Recycling HC'!L308</f>
        <v>76.704661014662136</v>
      </c>
      <c r="N155" s="649">
        <f>'Ethylene Recycling HC'!M308</f>
        <v>141.10869342961277</v>
      </c>
      <c r="O155" s="649">
        <f>'Ethylene Recycling HC'!N308</f>
        <v>236.51865617793078</v>
      </c>
      <c r="P155" s="649">
        <f>'Ethylene Recycling HC'!O308</f>
        <v>384.14057192318501</v>
      </c>
      <c r="Q155" s="649">
        <f>'Ethylene Recycling HC'!P308</f>
        <v>595.04359020186018</v>
      </c>
      <c r="R155" s="649">
        <f>'Ethylene Recycling HC'!Q308</f>
        <v>875.1439983742257</v>
      </c>
      <c r="S155" s="649">
        <f>'Ethylene Recycling HC'!R308</f>
        <v>1216.8464954294236</v>
      </c>
      <c r="T155" s="649">
        <f>'Ethylene Recycling HC'!S308</f>
        <v>1596.8084086125675</v>
      </c>
      <c r="U155" s="649">
        <f>'Ethylene Recycling HC'!T308</f>
        <v>1981.1411537728072</v>
      </c>
      <c r="V155" s="649">
        <f>'Ethylene Recycling HC'!U308</f>
        <v>2429.8997017171055</v>
      </c>
      <c r="W155" s="649">
        <f>'Ethylene Recycling HC'!V308</f>
        <v>2858.2813039437992</v>
      </c>
      <c r="X155" s="649">
        <f>'Ethylene Recycling HC'!W308</f>
        <v>3229.5110950517674</v>
      </c>
      <c r="Y155" s="649">
        <f>'Ethylene Recycling HC'!X308</f>
        <v>3584.5509123965471</v>
      </c>
      <c r="Z155" s="649">
        <f>'Ethylene Recycling HC'!Y308</f>
        <v>3923.670077080068</v>
      </c>
      <c r="AA155" s="649">
        <f>'Ethylene Recycling HC'!Z308</f>
        <v>4205.6416577942946</v>
      </c>
      <c r="AB155" s="649">
        <f>'Ethylene Recycling HC'!AA308</f>
        <v>4444.3898180609376</v>
      </c>
      <c r="AC155" s="649">
        <f>'Ethylene Recycling HC'!AB308</f>
        <v>4659.6727361688681</v>
      </c>
      <c r="AD155" s="649">
        <f>'Ethylene Recycling HC'!AC308</f>
        <v>4874.0992993595464</v>
      </c>
      <c r="AE155" s="649">
        <f>'Ethylene Recycling HC'!AD308</f>
        <v>5114.9925784344841</v>
      </c>
      <c r="AF155" s="649">
        <f>'Ethylene Recycling HC'!AE308</f>
        <v>5403.3318537290334</v>
      </c>
      <c r="AG155" s="649">
        <f>'Ethylene Recycling HC'!AF308</f>
        <v>5746.2396809503398</v>
      </c>
      <c r="AH155" s="649">
        <f>'Ethylene Recycling HC'!AG308</f>
        <v>6128.8430238245246</v>
      </c>
    </row>
    <row r="156" spans="1:36">
      <c r="A156" s="1" t="s">
        <v>844</v>
      </c>
      <c r="C156" s="262" t="s">
        <v>166</v>
      </c>
      <c r="D156" s="649">
        <f>'Ethylene Recycling HC'!C310</f>
        <v>0.9764371415502342</v>
      </c>
      <c r="E156" s="649">
        <f>'Ethylene Recycling HC'!D310</f>
        <v>1.9528172908921777</v>
      </c>
      <c r="F156" s="649">
        <f>'Ethylene Recycling HC'!E310</f>
        <v>3.8971690424419463</v>
      </c>
      <c r="G156" s="649">
        <f>'Ethylene Recycling HC'!F310</f>
        <v>7.755536504824863</v>
      </c>
      <c r="H156" s="649">
        <f>'Ethylene Recycling HC'!G310</f>
        <v>15.375534967610097</v>
      </c>
      <c r="I156" s="649">
        <f>'Ethylene Recycling HC'!H310</f>
        <v>30.326128368278141</v>
      </c>
      <c r="J156" s="649">
        <f>'Ethylene Recycling HC'!I310</f>
        <v>59.184310367326276</v>
      </c>
      <c r="K156" s="649">
        <f>'Ethylene Recycling HC'!J310</f>
        <v>114.3921173560791</v>
      </c>
      <c r="L156" s="649">
        <f>'Ethylene Recycling HC'!K310</f>
        <v>218.22516646192776</v>
      </c>
      <c r="M156" s="649">
        <f>'Ethylene Recycling HC'!L310</f>
        <v>409.07494345429262</v>
      </c>
      <c r="N156" s="649">
        <f>'Ethylene Recycling HC'!M310</f>
        <v>752.54919351764011</v>
      </c>
      <c r="O156" s="649">
        <f>'Ethylene Recycling HC'!N310</f>
        <v>1261.3817025197172</v>
      </c>
      <c r="P156" s="649">
        <f>'Ethylene Recycling HC'!O310</f>
        <v>2048.6666736971656</v>
      </c>
      <c r="Q156" s="649">
        <f>'Ethylene Recycling HC'!P310</f>
        <v>3173.4371783239594</v>
      </c>
      <c r="R156" s="649">
        <f>'Ethylene Recycling HC'!Q310</f>
        <v>4667.2454700095495</v>
      </c>
      <c r="S156" s="649">
        <f>'Ethylene Recycling HC'!R310</f>
        <v>6489.5849186426158</v>
      </c>
      <c r="T156" s="649">
        <f>'Ethylene Recycling HC'!S310</f>
        <v>8515.9663157322702</v>
      </c>
      <c r="U156" s="649">
        <f>'Ethylene Recycling HC'!T310</f>
        <v>10565.657871816526</v>
      </c>
      <c r="V156" s="649">
        <f>'Ethylene Recycling HC'!U310</f>
        <v>12958.939781893067</v>
      </c>
      <c r="W156" s="649">
        <f>'Ethylene Recycling HC'!V310</f>
        <v>15243.549053215533</v>
      </c>
      <c r="X156" s="649">
        <f>'Ethylene Recycling HC'!W310</f>
        <v>17223.361020274649</v>
      </c>
      <c r="Y156" s="649">
        <f>'Ethylene Recycling HC'!X310</f>
        <v>19116.829960533389</v>
      </c>
      <c r="Z156" s="649">
        <f>'Ethylene Recycling HC'!Y310</f>
        <v>20925.392194980406</v>
      </c>
      <c r="AA156" s="649">
        <f>'Ethylene Recycling HC'!Z310</f>
        <v>22429.179669047215</v>
      </c>
      <c r="AB156" s="649">
        <f>'Ethylene Recycling HC'!AA310</f>
        <v>23702.45157806751</v>
      </c>
      <c r="AC156" s="649">
        <f>'Ethylene Recycling HC'!AB310</f>
        <v>24850.580601606805</v>
      </c>
      <c r="AD156" s="649">
        <f>'Ethylene Recycling HC'!AC310</f>
        <v>25994.142584046935</v>
      </c>
      <c r="AE156" s="649">
        <f>'Ethylene Recycling HC'!AD310</f>
        <v>27278.854662981259</v>
      </c>
      <c r="AF156" s="649">
        <f>'Ethylene Recycling HC'!AE310</f>
        <v>28816.601798246254</v>
      </c>
      <c r="AG156" s="649">
        <f>'Ethylene Recycling HC'!AF310</f>
        <v>30645.369413864511</v>
      </c>
      <c r="AH156" s="649">
        <f>'Ethylene Recycling HC'!AG310</f>
        <v>32685.837864950721</v>
      </c>
    </row>
    <row r="157" spans="1:36" s="99" customFormat="1">
      <c r="A157" s="97" t="s">
        <v>845</v>
      </c>
      <c r="B157" s="97"/>
      <c r="C157" s="98" t="s">
        <v>166</v>
      </c>
      <c r="D157" s="642">
        <f>D148-D155-D156</f>
        <v>1049368.4526734734</v>
      </c>
      <c r="E157" s="642">
        <f t="shared" ref="E157:AH157" si="54">E148-E155-E156</f>
        <v>1043221.1236619968</v>
      </c>
      <c r="F157" s="642">
        <f t="shared" si="54"/>
        <v>1023510.0248307742</v>
      </c>
      <c r="G157" s="642">
        <f t="shared" si="54"/>
        <v>1004404.0029084098</v>
      </c>
      <c r="H157" s="642">
        <f t="shared" si="54"/>
        <v>985938.64185585442</v>
      </c>
      <c r="I157" s="642">
        <f t="shared" si="54"/>
        <v>968152.75850784767</v>
      </c>
      <c r="J157" s="642">
        <f t="shared" si="54"/>
        <v>951704.65020994493</v>
      </c>
      <c r="K157" s="642">
        <f t="shared" si="54"/>
        <v>936062.79946834187</v>
      </c>
      <c r="L157" s="642">
        <f t="shared" si="54"/>
        <v>921264.29589117202</v>
      </c>
      <c r="M157" s="642">
        <f t="shared" si="54"/>
        <v>907335.83585446689</v>
      </c>
      <c r="N157" s="642">
        <f t="shared" si="54"/>
        <v>894281.7177855433</v>
      </c>
      <c r="O157" s="642">
        <f t="shared" si="54"/>
        <v>869347.17746018723</v>
      </c>
      <c r="P157" s="642">
        <f t="shared" si="54"/>
        <v>846091.30679974693</v>
      </c>
      <c r="Q157" s="642">
        <f t="shared" si="54"/>
        <v>824567.52052972454</v>
      </c>
      <c r="R157" s="642">
        <f t="shared" si="54"/>
        <v>804907.64571409719</v>
      </c>
      <c r="S157" s="642">
        <f t="shared" si="54"/>
        <v>787310.42820131744</v>
      </c>
      <c r="T157" s="642">
        <f t="shared" si="54"/>
        <v>771895.93279652169</v>
      </c>
      <c r="U157" s="642">
        <f t="shared" si="54"/>
        <v>759256.68656241125</v>
      </c>
      <c r="V157" s="642">
        <f t="shared" si="54"/>
        <v>749235.41913534293</v>
      </c>
      <c r="W157" s="642">
        <f t="shared" si="54"/>
        <v>742623.17789596785</v>
      </c>
      <c r="X157" s="642">
        <f t="shared" si="54"/>
        <v>739941.92518670263</v>
      </c>
      <c r="Y157" s="642">
        <f t="shared" si="54"/>
        <v>729282.15073266183</v>
      </c>
      <c r="Z157" s="642">
        <f t="shared" si="54"/>
        <v>721878.1885273658</v>
      </c>
      <c r="AA157" s="642">
        <f t="shared" si="54"/>
        <v>720406.18911569286</v>
      </c>
      <c r="AB157" s="642">
        <f t="shared" si="54"/>
        <v>725181.25824635581</v>
      </c>
      <c r="AC157" s="642">
        <f t="shared" si="54"/>
        <v>741565.19505255739</v>
      </c>
      <c r="AD157" s="642">
        <f t="shared" si="54"/>
        <v>767387.75598362496</v>
      </c>
      <c r="AE157" s="642">
        <f t="shared" si="54"/>
        <v>800215.88153042516</v>
      </c>
      <c r="AF157" s="642">
        <f t="shared" si="54"/>
        <v>840718.51868686127</v>
      </c>
      <c r="AG157" s="642">
        <f t="shared" si="54"/>
        <v>889761.88354470045</v>
      </c>
      <c r="AH157" s="642">
        <f t="shared" si="54"/>
        <v>943214.65550645243</v>
      </c>
    </row>
    <row r="158" spans="1:36" s="62" customFormat="1">
      <c r="A158" s="688" t="s">
        <v>685</v>
      </c>
      <c r="B158" s="55" t="s">
        <v>141</v>
      </c>
      <c r="C158" s="56" t="s">
        <v>166</v>
      </c>
      <c r="D158" s="630">
        <f>D149-D156*D149/D148</f>
        <v>313520.64955084526</v>
      </c>
      <c r="E158" s="630">
        <f t="shared" ref="E158:AH158" si="55">E149-E156*E149/E148</f>
        <v>309054.02613157127</v>
      </c>
      <c r="F158" s="630">
        <f t="shared" si="55"/>
        <v>298413.66179554118</v>
      </c>
      <c r="G158" s="630">
        <f t="shared" si="55"/>
        <v>288209.98423240113</v>
      </c>
      <c r="H158" s="630">
        <f t="shared" si="55"/>
        <v>278457.42755263642</v>
      </c>
      <c r="I158" s="630">
        <f t="shared" si="55"/>
        <v>269172.41402294592</v>
      </c>
      <c r="J158" s="630">
        <f t="shared" si="55"/>
        <v>260502.41417968454</v>
      </c>
      <c r="K158" s="630">
        <f t="shared" si="55"/>
        <v>252348.05042165963</v>
      </c>
      <c r="L158" s="630">
        <f t="shared" si="55"/>
        <v>244730.55084148163</v>
      </c>
      <c r="M158" s="630">
        <f t="shared" si="55"/>
        <v>237671.27023904293</v>
      </c>
      <c r="N158" s="630">
        <f t="shared" si="55"/>
        <v>231189.57789511813</v>
      </c>
      <c r="O158" s="630">
        <f t="shared" si="55"/>
        <v>215776.94653306372</v>
      </c>
      <c r="P158" s="630">
        <f t="shared" si="55"/>
        <v>201682.04587471983</v>
      </c>
      <c r="Q158" s="630">
        <f t="shared" si="55"/>
        <v>188952.40897630085</v>
      </c>
      <c r="R158" s="630">
        <f t="shared" si="55"/>
        <v>177665.07825667423</v>
      </c>
      <c r="S158" s="630">
        <f t="shared" si="55"/>
        <v>167892.29287396476</v>
      </c>
      <c r="T158" s="630">
        <f t="shared" si="55"/>
        <v>159728.71079456416</v>
      </c>
      <c r="U158" s="630">
        <f t="shared" si="55"/>
        <v>153285.93812588952</v>
      </c>
      <c r="V158" s="630">
        <f t="shared" si="55"/>
        <v>148583.27757135357</v>
      </c>
      <c r="W158" s="630">
        <f t="shared" si="55"/>
        <v>145806.70581202995</v>
      </c>
      <c r="X158" s="630">
        <f t="shared" si="55"/>
        <v>145103.31453806139</v>
      </c>
      <c r="Y158" s="630">
        <f t="shared" si="55"/>
        <v>139476.072343604</v>
      </c>
      <c r="Z158" s="630">
        <f t="shared" si="55"/>
        <v>135316.22482398682</v>
      </c>
      <c r="AA158" s="630">
        <f t="shared" si="55"/>
        <v>134417.1431922669</v>
      </c>
      <c r="AB158" s="630">
        <f t="shared" si="55"/>
        <v>136896.95299279687</v>
      </c>
      <c r="AC158" s="630">
        <f t="shared" si="55"/>
        <v>142988.86457027038</v>
      </c>
      <c r="AD158" s="630">
        <f t="shared" si="55"/>
        <v>152928.87310705642</v>
      </c>
      <c r="AE158" s="630">
        <f t="shared" si="55"/>
        <v>166965.21863058754</v>
      </c>
      <c r="AF158" s="630">
        <f t="shared" si="55"/>
        <v>185422.27329805278</v>
      </c>
      <c r="AG158" s="630">
        <f t="shared" si="55"/>
        <v>208688.61614312098</v>
      </c>
      <c r="AH158" s="630">
        <f t="shared" si="55"/>
        <v>237195.33603587263</v>
      </c>
      <c r="AI158" s="57"/>
    </row>
    <row r="159" spans="1:36">
      <c r="A159" s="689"/>
      <c r="B159" s="1" t="s">
        <v>18</v>
      </c>
      <c r="C159" s="51" t="s">
        <v>166</v>
      </c>
      <c r="D159" s="196">
        <f>D163/('Demand - Ethylene'!$K$14)</f>
        <v>233277.21432217921</v>
      </c>
      <c r="E159" s="196">
        <f>E163/('Demand - Ethylene'!$K$14)</f>
        <v>227085.25629801516</v>
      </c>
      <c r="F159" s="196">
        <f>F163/('Demand - Ethylene'!$K$14)</f>
        <v>239036.29530020984</v>
      </c>
      <c r="G159" s="196">
        <f>G163/('Demand - Ethylene'!$K$14)</f>
        <v>276611.88255389506</v>
      </c>
      <c r="H159" s="196">
        <f>H163/('Demand - Ethylene'!$K$14)</f>
        <v>209114.44820575358</v>
      </c>
      <c r="I159" s="196">
        <f>I163/('Demand - Ethylene'!$K$14)</f>
        <v>203336.84277578254</v>
      </c>
      <c r="J159" s="196">
        <f>J163/('Demand - Ethylene'!$K$14)</f>
        <v>198953.47578091713</v>
      </c>
      <c r="K159" s="196">
        <f>K163/('Demand - Ethylene'!$K$14)</f>
        <v>194733.12549421244</v>
      </c>
      <c r="L159" s="196">
        <f>L163/('Demand - Ethylene'!$K$14)</f>
        <v>190645.82764185045</v>
      </c>
      <c r="M159" s="196">
        <f>M163/('Demand - Ethylene'!$K$14)</f>
        <v>186641.92228454436</v>
      </c>
      <c r="N159" s="196">
        <f>N163/('Demand - Ethylene'!$K$14)</f>
        <v>182638.39200651506</v>
      </c>
      <c r="O159" s="196">
        <f>O163/('Demand - Ethylene'!$K$14)</f>
        <v>174172.76199937778</v>
      </c>
      <c r="P159" s="196">
        <f>P163/('Demand - Ethylene'!$K$14)</f>
        <v>166150.69350610735</v>
      </c>
      <c r="Q159" s="196">
        <f>Q163/('Demand - Ethylene'!$K$14)</f>
        <v>157867.95783944533</v>
      </c>
      <c r="R159" s="196">
        <f>R163/('Demand - Ethylene'!$K$14)</f>
        <v>149611.21961523496</v>
      </c>
      <c r="S159" s="196">
        <f>S163/('Demand - Ethylene'!$K$14)</f>
        <v>141419.97899566582</v>
      </c>
      <c r="T159" s="196">
        <f>T163/('Demand - Ethylene'!$K$14)</f>
        <v>132847.18741834472</v>
      </c>
      <c r="U159" s="196">
        <f>U163/('Demand - Ethylene'!$K$14)</f>
        <v>124649.80322886947</v>
      </c>
      <c r="V159" s="196">
        <f>V163/('Demand - Ethylene'!$K$14)</f>
        <v>116429.95877171021</v>
      </c>
      <c r="W159" s="196">
        <f>W163/('Demand - Ethylene'!$K$14)</f>
        <v>108737.75902068037</v>
      </c>
      <c r="X159" s="196">
        <f>X163/('Demand - Ethylene'!$K$14)</f>
        <v>101808.24891004336</v>
      </c>
      <c r="Y159" s="196">
        <f>Y163/('Demand - Ethylene'!$K$14)</f>
        <v>91546.889865505684</v>
      </c>
      <c r="Z159" s="196">
        <f>Z163/('Demand - Ethylene'!$K$14)</f>
        <v>82489.632108044258</v>
      </c>
      <c r="AA159" s="196">
        <f>AA163/('Demand - Ethylene'!$K$14)</f>
        <v>74461.98880005721</v>
      </c>
      <c r="AB159" s="196">
        <f>AB163/('Demand - Ethylene'!$K$14)</f>
        <v>67366.406070602447</v>
      </c>
      <c r="AC159" s="196">
        <f>AC163/('Demand - Ethylene'!$K$14)</f>
        <v>61172.175766932058</v>
      </c>
      <c r="AD159" s="196">
        <f>AD163/('Demand - Ethylene'!$K$14)</f>
        <v>56134.72393932772</v>
      </c>
      <c r="AE159" s="196">
        <f>AE163/('Demand - Ethylene'!$K$14)</f>
        <v>51573.938829912724</v>
      </c>
      <c r="AF159" s="196">
        <f>AF163/('Demand - Ethylene'!$K$14)</f>
        <v>47340.441215129613</v>
      </c>
      <c r="AG159" s="196">
        <f>AG163/('Demand - Ethylene'!$K$14)</f>
        <v>43375.861248880261</v>
      </c>
      <c r="AH159" s="196">
        <f>AH163/('Demand - Ethylene'!$K$14)</f>
        <v>39651.47938963888</v>
      </c>
      <c r="AI159" s="41"/>
    </row>
    <row r="160" spans="1:36">
      <c r="A160" s="689"/>
      <c r="B160" s="1" t="s">
        <v>684</v>
      </c>
      <c r="C160" s="51" t="s">
        <v>166</v>
      </c>
      <c r="D160" s="196">
        <f>D162/('Demand - Ethylene'!$M$14)</f>
        <v>202943.23724292027</v>
      </c>
      <c r="E160" s="196">
        <f>E162/('Demand - Ethylene'!$M$14)</f>
        <v>196648.63160798559</v>
      </c>
      <c r="F160" s="196">
        <f>F162/('Demand - Ethylene'!$M$14)</f>
        <v>190306.602550857</v>
      </c>
      <c r="G160" s="196">
        <f>G162/('Demand - Ethylene'!$M$14)</f>
        <v>183932.59870751781</v>
      </c>
      <c r="H160" s="196">
        <f>H162/('Demand - Ethylene'!$M$14)</f>
        <v>177529.41012607716</v>
      </c>
      <c r="I160" s="196">
        <f>I162/('Demand - Ethylene'!$M$14)</f>
        <v>171099.17777727707</v>
      </c>
      <c r="J160" s="196">
        <f>J162/('Demand - Ethylene'!$M$14)</f>
        <v>164706.34834626425</v>
      </c>
      <c r="K160" s="196">
        <f>K162/('Demand - Ethylene'!$M$14)</f>
        <v>158291.08528966471</v>
      </c>
      <c r="L160" s="196">
        <f>L162/('Demand - Ethylene'!$M$14)</f>
        <v>151848.75859831367</v>
      </c>
      <c r="M160" s="196">
        <f>M162/('Demand - Ethylene'!$M$14)</f>
        <v>145369.19504754822</v>
      </c>
      <c r="N160" s="196">
        <f>N162/('Demand - Ethylene'!$M$14)</f>
        <v>138833.17258210128</v>
      </c>
      <c r="O160" s="196">
        <f>O162/('Demand - Ethylene'!$M$14)</f>
        <v>130494.73658224747</v>
      </c>
      <c r="P160" s="196">
        <f>P162/('Demand - Ethylene'!$M$14)</f>
        <v>121992.00062640481</v>
      </c>
      <c r="Q160" s="196">
        <f>Q162/('Demand - Ethylene'!$M$14)</f>
        <v>113485.91372235678</v>
      </c>
      <c r="R160" s="196">
        <f>R162/('Demand - Ethylene'!$M$14)</f>
        <v>104913.17795125701</v>
      </c>
      <c r="S160" s="196">
        <f>S162/('Demand - Ethylene'!$M$14)</f>
        <v>96317.400592821141</v>
      </c>
      <c r="T160" s="196">
        <f>T162/('Demand - Ethylene'!$M$14)</f>
        <v>87771.135447898763</v>
      </c>
      <c r="U160" s="196">
        <f>U162/('Demand - Ethylene'!$M$14)</f>
        <v>79363.121908223067</v>
      </c>
      <c r="V160" s="196">
        <f>V162/('Demand - Ethylene'!$M$14)</f>
        <v>71018.874300314244</v>
      </c>
      <c r="W160" s="196">
        <f>W162/('Demand - Ethylene'!$M$14)</f>
        <v>62909.881109989496</v>
      </c>
      <c r="X160" s="196">
        <f>X162/('Demand - Ethylene'!$M$14)</f>
        <v>55109.20403993268</v>
      </c>
      <c r="Y160" s="196">
        <f>Y162/('Demand - Ethylene'!$M$14)</f>
        <v>45516.8198679981</v>
      </c>
      <c r="Z160" s="196">
        <f>Z162/('Demand - Ethylene'!$M$14)</f>
        <v>35635.174313034579</v>
      </c>
      <c r="AA160" s="196">
        <f>AA162/('Demand - Ethylene'!$M$14)</f>
        <v>26168.232109616652</v>
      </c>
      <c r="AB160" s="196">
        <f>AB162/('Demand - Ethylene'!$M$14)</f>
        <v>17095.627176146209</v>
      </c>
      <c r="AC160" s="196">
        <f>AC162/('Demand - Ethylene'!$M$14)</f>
        <v>8432.894100795007</v>
      </c>
      <c r="AD160" s="196">
        <f>AD162/('Demand - Ethylene'!$M$14)</f>
        <v>149.70044628684124</v>
      </c>
      <c r="AE160" s="196">
        <f>AE162/('Demand - Ethylene'!$M$14)</f>
        <v>-7784.7518844288988</v>
      </c>
      <c r="AF160" s="196">
        <f>AF162/('Demand - Ethylene'!$M$14)</f>
        <v>-15362.195916085222</v>
      </c>
      <c r="AG160" s="196">
        <f>AG162/('Demand - Ethylene'!$M$14)</f>
        <v>-22559.679906705147</v>
      </c>
      <c r="AH160" s="196">
        <f>AH162/('Demand - Ethylene'!$M$14)</f>
        <v>-29357.837993816076</v>
      </c>
      <c r="AI160" s="41"/>
    </row>
    <row r="161" spans="1:46">
      <c r="A161" s="690"/>
      <c r="B161" s="1" t="s">
        <v>27</v>
      </c>
      <c r="C161" s="51" t="s">
        <v>166</v>
      </c>
      <c r="D161" s="196">
        <f>D157-D160-D159-D158</f>
        <v>299627.3515575286</v>
      </c>
      <c r="E161" s="196">
        <f t="shared" ref="E161:AH161" si="56">E157-E160-E159-E158</f>
        <v>310433.20962442481</v>
      </c>
      <c r="F161" s="196">
        <f t="shared" si="56"/>
        <v>295753.4651841661</v>
      </c>
      <c r="G161" s="196">
        <f t="shared" si="56"/>
        <v>255649.53741459583</v>
      </c>
      <c r="H161" s="196">
        <f t="shared" si="56"/>
        <v>320837.3559713873</v>
      </c>
      <c r="I161" s="196">
        <f t="shared" si="56"/>
        <v>324544.32393184211</v>
      </c>
      <c r="J161" s="196">
        <f t="shared" si="56"/>
        <v>327542.41190307908</v>
      </c>
      <c r="K161" s="196">
        <f t="shared" si="56"/>
        <v>330690.5382628052</v>
      </c>
      <c r="L161" s="196">
        <f t="shared" si="56"/>
        <v>334039.15880952624</v>
      </c>
      <c r="M161" s="196">
        <f t="shared" si="56"/>
        <v>337653.44828333147</v>
      </c>
      <c r="N161" s="196">
        <f t="shared" si="56"/>
        <v>341620.57530180877</v>
      </c>
      <c r="O161" s="196">
        <f t="shared" si="56"/>
        <v>348902.73234549834</v>
      </c>
      <c r="P161" s="196">
        <f t="shared" si="56"/>
        <v>356266.56679251499</v>
      </c>
      <c r="Q161" s="196">
        <f t="shared" si="56"/>
        <v>364261.23999162158</v>
      </c>
      <c r="R161" s="196">
        <f t="shared" si="56"/>
        <v>372718.16989093099</v>
      </c>
      <c r="S161" s="196">
        <f t="shared" si="56"/>
        <v>381680.7557388657</v>
      </c>
      <c r="T161" s="196">
        <f t="shared" si="56"/>
        <v>391548.89913571411</v>
      </c>
      <c r="U161" s="196">
        <f t="shared" si="56"/>
        <v>401957.82329942926</v>
      </c>
      <c r="V161" s="196">
        <f t="shared" si="56"/>
        <v>413203.30849196494</v>
      </c>
      <c r="W161" s="196">
        <f t="shared" si="56"/>
        <v>425168.83195326809</v>
      </c>
      <c r="X161" s="196">
        <f t="shared" si="56"/>
        <v>437921.15769866516</v>
      </c>
      <c r="Y161" s="196">
        <f t="shared" si="56"/>
        <v>452742.36865555396</v>
      </c>
      <c r="Z161" s="196">
        <f t="shared" si="56"/>
        <v>468437.15728230012</v>
      </c>
      <c r="AA161" s="196">
        <f t="shared" si="56"/>
        <v>485358.8250137521</v>
      </c>
      <c r="AB161" s="196">
        <f t="shared" si="56"/>
        <v>503822.27200681018</v>
      </c>
      <c r="AC161" s="196">
        <f t="shared" si="56"/>
        <v>528971.26061455987</v>
      </c>
      <c r="AD161" s="196">
        <f t="shared" si="56"/>
        <v>558174.45849095401</v>
      </c>
      <c r="AE161" s="196">
        <f t="shared" si="56"/>
        <v>589461.47595435381</v>
      </c>
      <c r="AF161" s="196">
        <f t="shared" si="56"/>
        <v>623318.00008976413</v>
      </c>
      <c r="AG161" s="196">
        <f t="shared" si="56"/>
        <v>660257.0860594043</v>
      </c>
      <c r="AH161" s="196">
        <f t="shared" si="56"/>
        <v>695725.6780747571</v>
      </c>
      <c r="AI161" s="41"/>
    </row>
    <row r="162" spans="1:46" s="62" customFormat="1">
      <c r="A162" s="691" t="s">
        <v>686</v>
      </c>
      <c r="B162" s="55" t="s">
        <v>683</v>
      </c>
      <c r="C162" s="56" t="s">
        <v>166</v>
      </c>
      <c r="D162" s="630">
        <f>D153-D156*D151/D148</f>
        <v>92507.075149424345</v>
      </c>
      <c r="E162" s="630">
        <f t="shared" ref="E162:AH162" si="57">E153-E156*E151/E148</f>
        <v>89637.82183299138</v>
      </c>
      <c r="F162" s="630">
        <f t="shared" si="57"/>
        <v>86746.951624365625</v>
      </c>
      <c r="G162" s="630">
        <f t="shared" si="57"/>
        <v>83841.506434128969</v>
      </c>
      <c r="H162" s="630">
        <f t="shared" si="57"/>
        <v>80922.758042477741</v>
      </c>
      <c r="I162" s="630">
        <f t="shared" si="57"/>
        <v>77991.68236240129</v>
      </c>
      <c r="J162" s="630">
        <f t="shared" si="57"/>
        <v>75077.65595469065</v>
      </c>
      <c r="K162" s="630">
        <f t="shared" si="57"/>
        <v>72153.403687196667</v>
      </c>
      <c r="L162" s="630">
        <f t="shared" si="57"/>
        <v>69216.815075177059</v>
      </c>
      <c r="M162" s="630">
        <f t="shared" si="57"/>
        <v>66263.252884737332</v>
      </c>
      <c r="N162" s="630">
        <f t="shared" si="57"/>
        <v>63283.955177636635</v>
      </c>
      <c r="O162" s="630">
        <f t="shared" si="57"/>
        <v>59483.068111151981</v>
      </c>
      <c r="P162" s="630">
        <f t="shared" si="57"/>
        <v>55607.288633458207</v>
      </c>
      <c r="Q162" s="630">
        <f t="shared" si="57"/>
        <v>51729.981701971599</v>
      </c>
      <c r="R162" s="630">
        <f t="shared" si="57"/>
        <v>47822.294394983248</v>
      </c>
      <c r="S162" s="630">
        <f t="shared" si="57"/>
        <v>43904.104102627069</v>
      </c>
      <c r="T162" s="630">
        <f t="shared" si="57"/>
        <v>40008.482830645902</v>
      </c>
      <c r="U162" s="630">
        <f t="shared" si="57"/>
        <v>36175.880419553287</v>
      </c>
      <c r="V162" s="630">
        <f t="shared" si="57"/>
        <v>32372.344263252256</v>
      </c>
      <c r="W162" s="630">
        <f t="shared" si="57"/>
        <v>28676.043501351844</v>
      </c>
      <c r="X162" s="630">
        <f t="shared" si="57"/>
        <v>25120.281655134862</v>
      </c>
      <c r="Y162" s="630">
        <f t="shared" si="57"/>
        <v>20747.810734149509</v>
      </c>
      <c r="Z162" s="630">
        <f t="shared" si="57"/>
        <v>16243.486567590589</v>
      </c>
      <c r="AA162" s="630">
        <f t="shared" si="57"/>
        <v>11928.195524910674</v>
      </c>
      <c r="AB162" s="630">
        <f t="shared" si="57"/>
        <v>7792.6541893943713</v>
      </c>
      <c r="AC162" s="630">
        <f t="shared" si="57"/>
        <v>3843.9436509806396</v>
      </c>
      <c r="AD162" s="630">
        <f t="shared" si="57"/>
        <v>68.237555597789651</v>
      </c>
      <c r="AE162" s="630">
        <f t="shared" si="57"/>
        <v>-3548.5027112802172</v>
      </c>
      <c r="AF162" s="630">
        <f t="shared" si="57"/>
        <v>-7002.508836342372</v>
      </c>
      <c r="AG162" s="630">
        <f t="shared" si="57"/>
        <v>-10283.318788191522</v>
      </c>
      <c r="AH162" s="630">
        <f t="shared" si="57"/>
        <v>-13382.105077331473</v>
      </c>
      <c r="AI162" s="57"/>
    </row>
    <row r="163" spans="1:46" s="63" customFormat="1">
      <c r="A163" s="692"/>
      <c r="B163" s="59" t="s">
        <v>682</v>
      </c>
      <c r="C163" s="262" t="s">
        <v>166</v>
      </c>
      <c r="D163" s="599">
        <f>D154-D155-D156*D150/D148</f>
        <v>78081.396351649411</v>
      </c>
      <c r="E163" s="599">
        <f t="shared" ref="E163:AH163" si="58">E154-E155-E156*E150/E148</f>
        <v>76008.85476166883</v>
      </c>
      <c r="F163" s="599">
        <f t="shared" si="58"/>
        <v>80009.047475971412</v>
      </c>
      <c r="G163" s="599">
        <f t="shared" si="58"/>
        <v>92586.162347760372</v>
      </c>
      <c r="H163" s="599">
        <f t="shared" si="58"/>
        <v>69993.7546864709</v>
      </c>
      <c r="I163" s="599">
        <f t="shared" si="58"/>
        <v>68059.903149140882</v>
      </c>
      <c r="J163" s="599">
        <f t="shared" si="58"/>
        <v>66592.724210660715</v>
      </c>
      <c r="K163" s="599">
        <f t="shared" si="58"/>
        <v>65180.109419128305</v>
      </c>
      <c r="L163" s="599">
        <f t="shared" si="58"/>
        <v>63812.029280890914</v>
      </c>
      <c r="M163" s="599">
        <f t="shared" si="58"/>
        <v>62471.861866483538</v>
      </c>
      <c r="N163" s="599">
        <f t="shared" si="58"/>
        <v>61131.819996758102</v>
      </c>
      <c r="O163" s="599">
        <f t="shared" si="58"/>
        <v>58298.246156833964</v>
      </c>
      <c r="P163" s="599">
        <f t="shared" si="58"/>
        <v>55613.13903480686</v>
      </c>
      <c r="Q163" s="599">
        <f t="shared" si="58"/>
        <v>52840.782684686077</v>
      </c>
      <c r="R163" s="599">
        <f t="shared" si="58"/>
        <v>50077.128070026665</v>
      </c>
      <c r="S163" s="599">
        <f t="shared" si="58"/>
        <v>47335.396489911938</v>
      </c>
      <c r="T163" s="599">
        <f t="shared" si="58"/>
        <v>44465.954058794705</v>
      </c>
      <c r="U163" s="599">
        <f t="shared" si="58"/>
        <v>41722.166133321749</v>
      </c>
      <c r="V163" s="599">
        <f t="shared" si="58"/>
        <v>38970.860418045391</v>
      </c>
      <c r="W163" s="599">
        <f t="shared" si="58"/>
        <v>36396.165331251759</v>
      </c>
      <c r="X163" s="599">
        <f t="shared" si="58"/>
        <v>34076.75395177539</v>
      </c>
      <c r="Y163" s="599">
        <f t="shared" si="58"/>
        <v>30642.122562716693</v>
      </c>
      <c r="Z163" s="599">
        <f t="shared" si="58"/>
        <v>27610.522005953022</v>
      </c>
      <c r="AA163" s="599">
        <f t="shared" si="58"/>
        <v>24923.548909493991</v>
      </c>
      <c r="AB163" s="599">
        <f t="shared" si="58"/>
        <v>22548.550523756669</v>
      </c>
      <c r="AC163" s="599">
        <f t="shared" si="58"/>
        <v>20475.248367609045</v>
      </c>
      <c r="AD163" s="599">
        <f t="shared" si="58"/>
        <v>18789.137386318413</v>
      </c>
      <c r="AE163" s="599">
        <f t="shared" si="58"/>
        <v>17262.573933313928</v>
      </c>
      <c r="AF163" s="599">
        <f t="shared" si="58"/>
        <v>15845.558533099531</v>
      </c>
      <c r="AG163" s="599">
        <f t="shared" si="58"/>
        <v>14518.553919245598</v>
      </c>
      <c r="AH163" s="599">
        <f t="shared" si="58"/>
        <v>13271.947228740933</v>
      </c>
      <c r="AI163" s="263"/>
    </row>
    <row r="164" spans="1:46" s="401" customFormat="1">
      <c r="A164" s="400" t="str">
        <f>'Ethylene Recycling HC'!A317</f>
        <v>Waste available for pyrolysis</v>
      </c>
      <c r="C164" s="404" t="s">
        <v>166</v>
      </c>
      <c r="D164" s="644">
        <f>'Ethylene Recycling HC'!C317</f>
        <v>240749.67092330955</v>
      </c>
      <c r="E164" s="644">
        <f>'Ethylene Recycling HC'!D317</f>
        <v>241331.08723174367</v>
      </c>
      <c r="F164" s="644">
        <f>'Ethylene Recycling HC'!E317</f>
        <v>242021.43921149182</v>
      </c>
      <c r="G164" s="644">
        <f>'Ethylene Recycling HC'!F317</f>
        <v>242815.26796224565</v>
      </c>
      <c r="H164" s="644">
        <f>'Ethylene Recycling HC'!G317</f>
        <v>243706.06437388135</v>
      </c>
      <c r="I164" s="644">
        <f>'Ethylene Recycling HC'!H317</f>
        <v>244685.29563448843</v>
      </c>
      <c r="J164" s="644">
        <f>'Ethylene Recycling HC'!I317</f>
        <v>244863.62831287162</v>
      </c>
      <c r="K164" s="644">
        <f>'Ethylene Recycling HC'!J317</f>
        <v>245067.01045377934</v>
      </c>
      <c r="L164" s="644">
        <f>'Ethylene Recycling HC'!K317</f>
        <v>245264.18671662535</v>
      </c>
      <c r="M164" s="644">
        <f>'Ethylene Recycling HC'!L317</f>
        <v>245404.78996981864</v>
      </c>
      <c r="N164" s="644">
        <f>'Ethylene Recycling HC'!M317</f>
        <v>245406.15949235382</v>
      </c>
      <c r="O164" s="644">
        <f>'Ethylene Recycling HC'!N317</f>
        <v>232131.75222936631</v>
      </c>
      <c r="P164" s="644">
        <f>'Ethylene Recycling HC'!O317</f>
        <v>219541.98476992868</v>
      </c>
      <c r="Q164" s="644">
        <f>'Ethylene Recycling HC'!P317</f>
        <v>206661.59287665124</v>
      </c>
      <c r="R164" s="644">
        <f>'Ethylene Recycling HC'!Q317</f>
        <v>193949.50017759728</v>
      </c>
      <c r="S164" s="644">
        <f>'Ethylene Recycling HC'!R317</f>
        <v>181443.0818300925</v>
      </c>
      <c r="T164" s="644">
        <f>'Ethylene Recycling HC'!S317</f>
        <v>169350.02289086714</v>
      </c>
      <c r="U164" s="644">
        <f>'Ethylene Recycling HC'!T317</f>
        <v>157797.79647156922</v>
      </c>
      <c r="V164" s="644">
        <f>'Ethylene Recycling HC'!U317</f>
        <v>152929.3079589663</v>
      </c>
      <c r="W164" s="644">
        <f>'Ethylene Recycling HC'!V317</f>
        <v>148699.20970486887</v>
      </c>
      <c r="X164" s="644">
        <f>'Ethylene Recycling HC'!W317</f>
        <v>144275.2994310701</v>
      </c>
      <c r="Y164" s="644">
        <f>'Ethylene Recycling HC'!X317</f>
        <v>141791.46609593934</v>
      </c>
      <c r="Z164" s="644">
        <f>'Ethylene Recycling HC'!Y317</f>
        <v>140659.00248073071</v>
      </c>
      <c r="AA164" s="644">
        <f>'Ethylene Recycling HC'!Z317</f>
        <v>138861.56066031719</v>
      </c>
      <c r="AB164" s="644">
        <f>'Ethylene Recycling HC'!AA317</f>
        <v>136411.95683683077</v>
      </c>
      <c r="AC164" s="644">
        <f>'Ethylene Recycling HC'!AB317</f>
        <v>133257.00194502925</v>
      </c>
      <c r="AD164" s="644">
        <f>'Ethylene Recycling HC'!AC317</f>
        <v>129263.87902528699</v>
      </c>
      <c r="AE164" s="644">
        <f>'Ethylene Recycling HC'!AD317</f>
        <v>124383.77339766323</v>
      </c>
      <c r="AF164" s="644">
        <f>'Ethylene Recycling HC'!AE317</f>
        <v>118549.56729459744</v>
      </c>
      <c r="AG164" s="644">
        <f>'Ethylene Recycling HC'!AF317</f>
        <v>111779.79363980572</v>
      </c>
      <c r="AH164" s="644">
        <f>'Ethylene Recycling HC'!AG317</f>
        <v>104230.24117800551</v>
      </c>
      <c r="AI164" s="405"/>
    </row>
    <row r="165" spans="1:46" s="403" customFormat="1">
      <c r="A165" s="402" t="str">
        <f>'Ethylene Recycling HC'!A318</f>
        <v>Waste available for gasification (incl. pyrolysis)</v>
      </c>
      <c r="C165" s="406" t="s">
        <v>166</v>
      </c>
      <c r="D165" s="645">
        <f>'Ethylene Recycling HC'!C318</f>
        <v>1552680.8935517822</v>
      </c>
      <c r="E165" s="645">
        <f>'Ethylene Recycling HC'!D318</f>
        <v>1534954.1588432728</v>
      </c>
      <c r="F165" s="645">
        <f>'Ethylene Recycling HC'!E318</f>
        <v>1517373.5433382352</v>
      </c>
      <c r="G165" s="645">
        <f>'Ethylene Recycling HC'!F318</f>
        <v>1499936.3210106969</v>
      </c>
      <c r="H165" s="645">
        <f>'Ethylene Recycling HC'!G318</f>
        <v>1482638.6952120552</v>
      </c>
      <c r="I165" s="645">
        <f>'Ethylene Recycling HC'!H318</f>
        <v>1465474.8251791056</v>
      </c>
      <c r="J165" s="645">
        <f>'Ethylene Recycling HC'!I318</f>
        <v>1444352.079089466</v>
      </c>
      <c r="K165" s="645">
        <f>'Ethylene Recycling HC'!J318</f>
        <v>1423338.2652038985</v>
      </c>
      <c r="L165" s="645">
        <f>'Ethylene Recycling HC'!K318</f>
        <v>1402405.3284663586</v>
      </c>
      <c r="M165" s="645">
        <f>'Ethylene Recycling HC'!L318</f>
        <v>1381506.0761043017</v>
      </c>
      <c r="N165" s="645">
        <f>'Ethylene Recycling HC'!M318</f>
        <v>1360560.995830276</v>
      </c>
      <c r="O165" s="645">
        <f>'Ethylene Recycling HC'!N318</f>
        <v>1317455.4923395994</v>
      </c>
      <c r="P165" s="645">
        <f>'Ethylene Recycling HC'!O318</f>
        <v>1278267.1836565263</v>
      </c>
      <c r="Q165" s="645">
        <f>'Ethylene Recycling HC'!P318</f>
        <v>1235549.117000178</v>
      </c>
      <c r="R165" s="645">
        <f>'Ethylene Recycling HC'!Q318</f>
        <v>1193213.4929285888</v>
      </c>
      <c r="S165" s="645">
        <f>'Ethylene Recycling HC'!R318</f>
        <v>1151302.3288391687</v>
      </c>
      <c r="T165" s="645">
        <f>'Ethylene Recycling HC'!S318</f>
        <v>1110461.9491295239</v>
      </c>
      <c r="U165" s="645">
        <f>'Ethylene Recycling HC'!T318</f>
        <v>1070385.0595876989</v>
      </c>
      <c r="V165" s="645">
        <f>'Ethylene Recycling HC'!U318</f>
        <v>1030685.2402041419</v>
      </c>
      <c r="W165" s="645">
        <f>'Ethylene Recycling HC'!V318</f>
        <v>991893.47177293769</v>
      </c>
      <c r="X165" s="645">
        <f>'Ethylene Recycling HC'!W318</f>
        <v>954236.568774382</v>
      </c>
      <c r="Y165" s="645">
        <f>'Ethylene Recycling HC'!X318</f>
        <v>895906.51743197488</v>
      </c>
      <c r="Z165" s="645">
        <f>'Ethylene Recycling HC'!Y318</f>
        <v>848820.0244512104</v>
      </c>
      <c r="AA165" s="645">
        <f>'Ethylene Recycling HC'!Z318</f>
        <v>803418.12288189388</v>
      </c>
      <c r="AB165" s="645">
        <f>'Ethylene Recycling HC'!AA318</f>
        <v>759843.52726515592</v>
      </c>
      <c r="AC165" s="645">
        <f>'Ethylene Recycling HC'!AB318</f>
        <v>717960.80482854671</v>
      </c>
      <c r="AD165" s="645">
        <f>'Ethylene Recycling HC'!AC318</f>
        <v>677349.04685147945</v>
      </c>
      <c r="AE165" s="645">
        <f>'Ethylene Recycling HC'!AD318</f>
        <v>638105.24659400608</v>
      </c>
      <c r="AF165" s="645">
        <f>'Ethylene Recycling HC'!AE318</f>
        <v>600086.22233986564</v>
      </c>
      <c r="AG165" s="645">
        <f>'Ethylene Recycling HC'!AF318</f>
        <v>563236.54344325885</v>
      </c>
      <c r="AH165" s="645">
        <f>'Ethylene Recycling HC'!AG318</f>
        <v>527640.07472788717</v>
      </c>
      <c r="AI165" s="407"/>
    </row>
    <row r="166" spans="1:46">
      <c r="A166" t="s">
        <v>536</v>
      </c>
      <c r="B166"/>
      <c r="C166" s="51"/>
      <c r="D166" s="635">
        <f t="shared" ref="D166:AH166" si="59">D4-D12-D26-D40-D50-D62</f>
        <v>0</v>
      </c>
      <c r="E166" s="635">
        <f t="shared" si="59"/>
        <v>0</v>
      </c>
      <c r="F166" s="635">
        <f t="shared" si="59"/>
        <v>0</v>
      </c>
      <c r="G166" s="635">
        <f t="shared" si="59"/>
        <v>0</v>
      </c>
      <c r="H166" s="635">
        <f t="shared" si="59"/>
        <v>0</v>
      </c>
      <c r="I166" s="635">
        <f t="shared" si="59"/>
        <v>0</v>
      </c>
      <c r="J166" s="635">
        <f t="shared" si="59"/>
        <v>0</v>
      </c>
      <c r="K166" s="635">
        <f t="shared" si="59"/>
        <v>0</v>
      </c>
      <c r="L166" s="635">
        <f t="shared" si="59"/>
        <v>0</v>
      </c>
      <c r="M166" s="635">
        <f t="shared" si="59"/>
        <v>0</v>
      </c>
      <c r="N166" s="635">
        <f t="shared" si="59"/>
        <v>0</v>
      </c>
      <c r="O166" s="635">
        <f t="shared" si="59"/>
        <v>0</v>
      </c>
      <c r="P166" s="635">
        <f t="shared" si="59"/>
        <v>0</v>
      </c>
      <c r="Q166" s="635">
        <f t="shared" si="59"/>
        <v>0</v>
      </c>
      <c r="R166" s="635">
        <f t="shared" si="59"/>
        <v>0</v>
      </c>
      <c r="S166" s="635">
        <f t="shared" si="59"/>
        <v>0</v>
      </c>
      <c r="T166" s="635">
        <f t="shared" si="59"/>
        <v>0</v>
      </c>
      <c r="U166" s="635">
        <f t="shared" si="59"/>
        <v>0</v>
      </c>
      <c r="V166" s="635">
        <f t="shared" si="59"/>
        <v>0</v>
      </c>
      <c r="W166" s="635">
        <f t="shared" si="59"/>
        <v>0</v>
      </c>
      <c r="X166" s="635">
        <f t="shared" si="59"/>
        <v>0</v>
      </c>
      <c r="Y166" s="635">
        <f t="shared" si="59"/>
        <v>0</v>
      </c>
      <c r="Z166" s="635">
        <f t="shared" si="59"/>
        <v>0</v>
      </c>
      <c r="AA166" s="635">
        <f t="shared" si="59"/>
        <v>0</v>
      </c>
      <c r="AB166" s="635">
        <f t="shared" si="59"/>
        <v>0</v>
      </c>
      <c r="AC166" s="635">
        <f t="shared" si="59"/>
        <v>0</v>
      </c>
      <c r="AD166" s="635">
        <f t="shared" si="59"/>
        <v>0</v>
      </c>
      <c r="AE166" s="635">
        <f t="shared" si="59"/>
        <v>0</v>
      </c>
      <c r="AF166" s="635">
        <f t="shared" si="59"/>
        <v>0</v>
      </c>
      <c r="AG166" s="635">
        <f t="shared" si="59"/>
        <v>0</v>
      </c>
      <c r="AH166" s="635">
        <f t="shared" si="59"/>
        <v>0</v>
      </c>
    </row>
    <row r="167" spans="1:46">
      <c r="A167" t="s">
        <v>537</v>
      </c>
      <c r="B167"/>
      <c r="C167" s="51"/>
      <c r="D167" s="635">
        <f t="shared" ref="D167:AH167" si="60">D84-D19-D33-D43-D55-D65-D74</f>
        <v>0</v>
      </c>
      <c r="E167" s="635">
        <f t="shared" si="60"/>
        <v>6.0026650317013264E-11</v>
      </c>
      <c r="F167" s="635">
        <f t="shared" si="60"/>
        <v>-2.5829649530351162E-10</v>
      </c>
      <c r="G167" s="635">
        <f t="shared" si="60"/>
        <v>-3.2741809263825417E-11</v>
      </c>
      <c r="H167" s="635">
        <f t="shared" si="60"/>
        <v>6.9121597334742546E-11</v>
      </c>
      <c r="I167" s="635">
        <f t="shared" si="60"/>
        <v>-1.6370904631912708E-10</v>
      </c>
      <c r="J167" s="635">
        <f t="shared" si="60"/>
        <v>8.7311491370201111E-11</v>
      </c>
      <c r="K167" s="635">
        <f t="shared" si="60"/>
        <v>0</v>
      </c>
      <c r="L167" s="635">
        <f t="shared" si="60"/>
        <v>-1.6007106751203537E-10</v>
      </c>
      <c r="M167" s="635">
        <f t="shared" si="60"/>
        <v>0</v>
      </c>
      <c r="N167" s="635">
        <f t="shared" si="60"/>
        <v>8.7311491370201111E-11</v>
      </c>
      <c r="O167" s="635">
        <f t="shared" si="60"/>
        <v>-2.4738255888223648E-10</v>
      </c>
      <c r="P167" s="635">
        <f t="shared" si="60"/>
        <v>2.1100277081131935E-10</v>
      </c>
      <c r="Q167" s="635">
        <f t="shared" si="60"/>
        <v>0</v>
      </c>
      <c r="R167" s="635">
        <f t="shared" si="60"/>
        <v>0</v>
      </c>
      <c r="S167" s="635">
        <f t="shared" si="60"/>
        <v>0</v>
      </c>
      <c r="T167" s="635">
        <f t="shared" si="60"/>
        <v>-1.3096723705530167E-10</v>
      </c>
      <c r="U167" s="635">
        <f t="shared" si="60"/>
        <v>-2.4738255888223648E-10</v>
      </c>
      <c r="V167" s="635">
        <f t="shared" si="60"/>
        <v>0</v>
      </c>
      <c r="W167" s="635">
        <f t="shared" si="60"/>
        <v>0</v>
      </c>
      <c r="X167" s="635">
        <f t="shared" si="60"/>
        <v>0</v>
      </c>
      <c r="Y167" s="635">
        <f t="shared" si="60"/>
        <v>0</v>
      </c>
      <c r="Z167" s="635">
        <f t="shared" si="60"/>
        <v>0</v>
      </c>
      <c r="AA167" s="635">
        <f t="shared" si="60"/>
        <v>0</v>
      </c>
      <c r="AB167" s="635">
        <f t="shared" si="60"/>
        <v>0</v>
      </c>
      <c r="AC167" s="635">
        <f t="shared" si="60"/>
        <v>0</v>
      </c>
      <c r="AD167" s="635">
        <f t="shared" si="60"/>
        <v>0</v>
      </c>
      <c r="AE167" s="635">
        <f t="shared" si="60"/>
        <v>0</v>
      </c>
      <c r="AF167" s="635">
        <f t="shared" si="60"/>
        <v>0</v>
      </c>
      <c r="AG167" s="635">
        <f t="shared" si="60"/>
        <v>0</v>
      </c>
      <c r="AH167" s="635">
        <f t="shared" si="60"/>
        <v>0</v>
      </c>
    </row>
    <row r="168" spans="1:46">
      <c r="A168" t="s">
        <v>538</v>
      </c>
      <c r="B168"/>
      <c r="C168" s="51"/>
      <c r="D168" s="635">
        <f t="shared" ref="D168:AH168" si="61">D84-D92-D102-D112-D122-D134</f>
        <v>0</v>
      </c>
      <c r="E168" s="635">
        <f t="shared" si="61"/>
        <v>0</v>
      </c>
      <c r="F168" s="635">
        <f t="shared" si="61"/>
        <v>0</v>
      </c>
      <c r="G168" s="635">
        <f t="shared" si="61"/>
        <v>0</v>
      </c>
      <c r="H168" s="635">
        <f t="shared" si="61"/>
        <v>0</v>
      </c>
      <c r="I168" s="635">
        <f t="shared" si="61"/>
        <v>0</v>
      </c>
      <c r="J168" s="635">
        <f t="shared" si="61"/>
        <v>0</v>
      </c>
      <c r="K168" s="635">
        <f t="shared" si="61"/>
        <v>0</v>
      </c>
      <c r="L168" s="635">
        <f t="shared" si="61"/>
        <v>0</v>
      </c>
      <c r="M168" s="635">
        <f t="shared" si="61"/>
        <v>0</v>
      </c>
      <c r="N168" s="635">
        <f t="shared" si="61"/>
        <v>0</v>
      </c>
      <c r="O168" s="635">
        <f t="shared" si="61"/>
        <v>0</v>
      </c>
      <c r="P168" s="635">
        <f t="shared" si="61"/>
        <v>0</v>
      </c>
      <c r="Q168" s="635">
        <f t="shared" si="61"/>
        <v>0</v>
      </c>
      <c r="R168" s="635">
        <f t="shared" si="61"/>
        <v>0</v>
      </c>
      <c r="S168" s="635">
        <f t="shared" si="61"/>
        <v>0</v>
      </c>
      <c r="T168" s="635">
        <f t="shared" si="61"/>
        <v>0</v>
      </c>
      <c r="U168" s="635">
        <f t="shared" si="61"/>
        <v>0</v>
      </c>
      <c r="V168" s="635">
        <f t="shared" si="61"/>
        <v>0</v>
      </c>
      <c r="W168" s="635">
        <f t="shared" si="61"/>
        <v>0</v>
      </c>
      <c r="X168" s="635">
        <f t="shared" si="61"/>
        <v>0</v>
      </c>
      <c r="Y168" s="635">
        <f t="shared" si="61"/>
        <v>0</v>
      </c>
      <c r="Z168" s="635">
        <f t="shared" si="61"/>
        <v>0</v>
      </c>
      <c r="AA168" s="635">
        <f t="shared" si="61"/>
        <v>0</v>
      </c>
      <c r="AB168" s="635">
        <f t="shared" si="61"/>
        <v>0</v>
      </c>
      <c r="AC168" s="635">
        <f t="shared" si="61"/>
        <v>0</v>
      </c>
      <c r="AD168" s="635">
        <f t="shared" si="61"/>
        <v>0</v>
      </c>
      <c r="AE168" s="635">
        <f t="shared" si="61"/>
        <v>0</v>
      </c>
      <c r="AF168" s="635">
        <f t="shared" si="61"/>
        <v>0</v>
      </c>
      <c r="AG168" s="635">
        <f t="shared" si="61"/>
        <v>0</v>
      </c>
      <c r="AH168" s="635">
        <f t="shared" si="61"/>
        <v>0</v>
      </c>
    </row>
    <row r="169" spans="1:46">
      <c r="A169" t="s">
        <v>539</v>
      </c>
      <c r="B169"/>
      <c r="C169" s="51"/>
      <c r="D169" s="635">
        <f t="shared" ref="D169:AH169" si="62">D95+D105+D115+D127+D139-D148</f>
        <v>0</v>
      </c>
      <c r="E169" s="635">
        <f t="shared" si="62"/>
        <v>0</v>
      </c>
      <c r="F169" s="635">
        <f t="shared" si="62"/>
        <v>0</v>
      </c>
      <c r="G169" s="635">
        <f t="shared" si="62"/>
        <v>0</v>
      </c>
      <c r="H169" s="635">
        <f t="shared" si="62"/>
        <v>0</v>
      </c>
      <c r="I169" s="635">
        <f t="shared" si="62"/>
        <v>0</v>
      </c>
      <c r="J169" s="635">
        <f t="shared" si="62"/>
        <v>0</v>
      </c>
      <c r="K169" s="635">
        <f t="shared" si="62"/>
        <v>0</v>
      </c>
      <c r="L169" s="635">
        <f t="shared" si="62"/>
        <v>0</v>
      </c>
      <c r="M169" s="635">
        <f t="shared" si="62"/>
        <v>0</v>
      </c>
      <c r="N169" s="635">
        <f t="shared" si="62"/>
        <v>0</v>
      </c>
      <c r="O169" s="635">
        <f t="shared" si="62"/>
        <v>0</v>
      </c>
      <c r="P169" s="635">
        <f t="shared" si="62"/>
        <v>0</v>
      </c>
      <c r="Q169" s="635">
        <f t="shared" si="62"/>
        <v>0</v>
      </c>
      <c r="R169" s="635">
        <f t="shared" si="62"/>
        <v>0</v>
      </c>
      <c r="S169" s="635">
        <f t="shared" si="62"/>
        <v>0</v>
      </c>
      <c r="T169" s="635">
        <f t="shared" si="62"/>
        <v>0</v>
      </c>
      <c r="U169" s="635">
        <f t="shared" si="62"/>
        <v>0</v>
      </c>
      <c r="V169" s="635">
        <f t="shared" si="62"/>
        <v>0</v>
      </c>
      <c r="W169" s="635">
        <f t="shared" si="62"/>
        <v>0</v>
      </c>
      <c r="X169" s="635">
        <f t="shared" si="62"/>
        <v>0</v>
      </c>
      <c r="Y169" s="635">
        <f t="shared" si="62"/>
        <v>0</v>
      </c>
      <c r="Z169" s="635">
        <f t="shared" si="62"/>
        <v>0</v>
      </c>
      <c r="AA169" s="635">
        <f t="shared" si="62"/>
        <v>0</v>
      </c>
      <c r="AB169" s="635">
        <f t="shared" si="62"/>
        <v>0</v>
      </c>
      <c r="AC169" s="635">
        <f t="shared" si="62"/>
        <v>-4940.6361053447472</v>
      </c>
      <c r="AD169" s="635">
        <f t="shared" si="62"/>
        <v>-11997.457150472444</v>
      </c>
      <c r="AE169" s="635">
        <f t="shared" si="62"/>
        <v>-18363.647482014843</v>
      </c>
      <c r="AF169" s="635">
        <f t="shared" si="62"/>
        <v>-24038.278465484735</v>
      </c>
      <c r="AG169" s="635">
        <f t="shared" si="62"/>
        <v>-29020.47253886424</v>
      </c>
      <c r="AH169" s="635">
        <f t="shared" si="62"/>
        <v>-27482.83371420193</v>
      </c>
    </row>
    <row r="170" spans="1:46" ht="15.5" thickBot="1">
      <c r="C170" s="61"/>
      <c r="D170" s="649"/>
      <c r="E170" s="649"/>
      <c r="F170" s="649"/>
      <c r="G170" s="649"/>
      <c r="H170" s="649"/>
      <c r="I170" s="649"/>
      <c r="J170" s="649"/>
      <c r="K170" s="649"/>
      <c r="L170" s="649"/>
      <c r="M170" s="649"/>
      <c r="N170" s="649"/>
      <c r="O170" s="649"/>
      <c r="P170" s="649"/>
      <c r="Q170" s="649"/>
      <c r="R170" s="649"/>
      <c r="S170" s="649"/>
      <c r="T170" s="649"/>
      <c r="U170" s="649"/>
      <c r="V170" s="649"/>
      <c r="W170" s="649"/>
      <c r="X170" s="649"/>
      <c r="Y170" s="649"/>
      <c r="Z170" s="649"/>
      <c r="AA170" s="649"/>
      <c r="AB170" s="649"/>
      <c r="AC170" s="649"/>
      <c r="AD170" s="649"/>
      <c r="AE170" s="649"/>
      <c r="AF170" s="649"/>
      <c r="AG170" s="649"/>
      <c r="AH170" s="663"/>
    </row>
    <row r="171" spans="1:46" ht="54" customHeight="1" thickBot="1">
      <c r="A171" s="235" t="s">
        <v>54</v>
      </c>
      <c r="B171" s="173">
        <v>2020</v>
      </c>
      <c r="C171" s="174" t="s">
        <v>386</v>
      </c>
      <c r="D171" s="664" t="s">
        <v>386</v>
      </c>
      <c r="E171" s="664" t="s">
        <v>387</v>
      </c>
      <c r="F171" s="664" t="s">
        <v>388</v>
      </c>
      <c r="G171" s="664" t="s">
        <v>389</v>
      </c>
      <c r="H171" s="664" t="s">
        <v>390</v>
      </c>
      <c r="I171" s="664" t="s">
        <v>391</v>
      </c>
      <c r="J171" s="664" t="s">
        <v>392</v>
      </c>
      <c r="K171" s="664" t="s">
        <v>393</v>
      </c>
      <c r="L171" s="664" t="s">
        <v>394</v>
      </c>
      <c r="M171" s="664" t="s">
        <v>395</v>
      </c>
      <c r="N171" s="664" t="s">
        <v>540</v>
      </c>
      <c r="O171" s="664" t="s">
        <v>541</v>
      </c>
      <c r="P171" s="664" t="s">
        <v>542</v>
      </c>
      <c r="Q171" s="664" t="s">
        <v>543</v>
      </c>
      <c r="R171" s="664" t="s">
        <v>544</v>
      </c>
      <c r="S171" s="664" t="s">
        <v>545</v>
      </c>
      <c r="T171" s="664" t="s">
        <v>546</v>
      </c>
      <c r="U171" s="664" t="s">
        <v>547</v>
      </c>
      <c r="V171" s="664" t="s">
        <v>548</v>
      </c>
      <c r="W171" s="664" t="s">
        <v>549</v>
      </c>
      <c r="X171" s="664" t="s">
        <v>540</v>
      </c>
      <c r="Y171" s="101"/>
      <c r="Z171" s="101"/>
      <c r="AA171" s="101"/>
      <c r="AB171" s="101"/>
      <c r="AC171" s="101"/>
      <c r="AD171" s="101"/>
      <c r="AE171" s="101"/>
      <c r="AF171" s="101"/>
      <c r="AG171" s="101"/>
      <c r="AH171" s="101"/>
      <c r="AJ171" s="131" t="s">
        <v>601</v>
      </c>
      <c r="AK171" s="132" t="s">
        <v>128</v>
      </c>
      <c r="AL171" s="132" t="s">
        <v>305</v>
      </c>
      <c r="AM171" s="132" t="s">
        <v>306</v>
      </c>
      <c r="AN171" s="132" t="s">
        <v>582</v>
      </c>
      <c r="AO171" s="132" t="s">
        <v>583</v>
      </c>
      <c r="AP171" s="132" t="s">
        <v>584</v>
      </c>
      <c r="AQ171" s="132" t="s">
        <v>579</v>
      </c>
      <c r="AR171" s="132" t="s">
        <v>580</v>
      </c>
      <c r="AS171" s="132" t="s">
        <v>581</v>
      </c>
      <c r="AT171" s="132" t="s">
        <v>585</v>
      </c>
    </row>
    <row r="172" spans="1:46">
      <c r="A172" t="s">
        <v>17</v>
      </c>
      <c r="B172" s="171">
        <f>'Demand - Ethylene'!J63</f>
        <v>0.25274807297950463</v>
      </c>
      <c r="C172" s="172">
        <f>D172/$D$180</f>
        <v>8.5394859232521034E-2</v>
      </c>
      <c r="D172" s="613">
        <f>AH33*B172/(B172+B176)</f>
        <v>99459.805247550088</v>
      </c>
      <c r="E172" s="196"/>
      <c r="F172" s="196"/>
      <c r="G172" s="196"/>
      <c r="H172" s="196"/>
      <c r="I172" s="196"/>
      <c r="J172" s="196"/>
      <c r="K172" s="196"/>
      <c r="L172" s="196"/>
      <c r="M172" s="196"/>
      <c r="N172" s="665">
        <f>X172/$X$180</f>
        <v>5.2125659031934474E-2</v>
      </c>
      <c r="O172" s="101"/>
      <c r="P172" s="101"/>
      <c r="Q172" s="101"/>
      <c r="R172" s="101"/>
      <c r="S172" s="101"/>
      <c r="T172" s="101"/>
      <c r="U172" s="101"/>
      <c r="V172" s="101"/>
      <c r="W172" s="101"/>
      <c r="X172" s="101">
        <f>AH95*B172/(B172+B176)</f>
        <v>51188.926348294517</v>
      </c>
      <c r="Y172" s="101"/>
      <c r="Z172" s="101"/>
      <c r="AA172" s="101"/>
      <c r="AB172" s="101"/>
      <c r="AC172" s="101"/>
      <c r="AD172" s="101"/>
      <c r="AE172" s="101"/>
      <c r="AF172" s="101"/>
      <c r="AG172" s="101"/>
      <c r="AH172" s="101"/>
      <c r="AJ172" s="27" t="s">
        <v>78</v>
      </c>
      <c r="AK172" s="133">
        <f>D4</f>
        <v>1049369.6122000003</v>
      </c>
      <c r="AM172" s="133">
        <f>AH4</f>
        <v>1049369.6122000003</v>
      </c>
      <c r="AN172" s="133"/>
      <c r="AO172" s="133"/>
      <c r="AP172" s="133"/>
      <c r="AQ172" s="133"/>
      <c r="AS172" s="130"/>
      <c r="AT172" s="133">
        <f>AH84</f>
        <v>1164704.8328369712</v>
      </c>
    </row>
    <row r="173" spans="1:46">
      <c r="A173" t="s">
        <v>19</v>
      </c>
      <c r="B173" s="171">
        <f>'Demand - Ethylene'!J64</f>
        <v>0.19240720488944701</v>
      </c>
      <c r="C173" s="172">
        <f t="shared" ref="C173:C179" si="63">D173/$D$180</f>
        <v>4.4425049025979976E-2</v>
      </c>
      <c r="D173" s="613">
        <f>AH43</f>
        <v>51742.069299578259</v>
      </c>
      <c r="E173" s="196"/>
      <c r="F173" s="196"/>
      <c r="G173" s="196"/>
      <c r="H173" s="196"/>
      <c r="I173" s="196"/>
      <c r="J173" s="196"/>
      <c r="K173" s="196"/>
      <c r="L173" s="196"/>
      <c r="M173" s="196"/>
      <c r="N173" s="665">
        <f t="shared" ref="N173:N178" si="64">X173/$X$180</f>
        <v>0</v>
      </c>
      <c r="O173" s="101"/>
      <c r="P173" s="101"/>
      <c r="Q173" s="101"/>
      <c r="R173" s="101"/>
      <c r="S173" s="101"/>
      <c r="T173" s="101"/>
      <c r="U173" s="101"/>
      <c r="V173" s="101"/>
      <c r="W173" s="101"/>
      <c r="X173" s="101">
        <f>IF(AH127&lt;0,0,AH127)</f>
        <v>0</v>
      </c>
      <c r="Y173" s="101"/>
      <c r="Z173" s="101"/>
      <c r="AA173" s="101"/>
      <c r="AB173" s="101"/>
      <c r="AC173" s="101"/>
      <c r="AD173" s="101"/>
      <c r="AE173" s="101"/>
      <c r="AF173" s="101"/>
      <c r="AG173" s="101"/>
      <c r="AH173" s="101"/>
      <c r="AJ173" s="27" t="s">
        <v>164</v>
      </c>
      <c r="AN173" s="41">
        <f>-AH29</f>
        <v>-150720.63191296271</v>
      </c>
      <c r="AO173" s="40">
        <f>-AH41</f>
        <v>-111048.45068862877</v>
      </c>
      <c r="AP173" s="41">
        <f>-AH17</f>
        <v>-80083.758832906358</v>
      </c>
      <c r="AQ173" s="41">
        <f>-AH53</f>
        <v>-3396.9969306975827</v>
      </c>
      <c r="AR173" s="40">
        <f>-AH63</f>
        <v>-48968.92721096344</v>
      </c>
    </row>
    <row r="174" spans="1:46">
      <c r="A174" t="s">
        <v>333</v>
      </c>
      <c r="B174" s="171">
        <f>'Demand - Ethylene'!J65</f>
        <v>8.88895063383493E-2</v>
      </c>
      <c r="C174" s="172">
        <f t="shared" si="63"/>
        <v>7.731900690448304E-2</v>
      </c>
      <c r="D174" s="613">
        <f>AH19</f>
        <v>90053.821011806533</v>
      </c>
      <c r="E174" s="196"/>
      <c r="F174" s="196"/>
      <c r="G174" s="196"/>
      <c r="H174" s="196"/>
      <c r="I174" s="196"/>
      <c r="J174" s="196"/>
      <c r="K174" s="196"/>
      <c r="L174" s="196"/>
      <c r="M174" s="196"/>
      <c r="N174" s="665">
        <f t="shared" si="64"/>
        <v>7.5118258498870327E-2</v>
      </c>
      <c r="O174" s="101"/>
      <c r="P174" s="101"/>
      <c r="Q174" s="101"/>
      <c r="R174" s="101"/>
      <c r="S174" s="101"/>
      <c r="T174" s="101"/>
      <c r="U174" s="101"/>
      <c r="V174" s="101"/>
      <c r="W174" s="101"/>
      <c r="X174" s="101">
        <f>AH105</f>
        <v>73768.333544810797</v>
      </c>
      <c r="Y174" s="101"/>
      <c r="Z174" s="101"/>
      <c r="AA174" s="101"/>
      <c r="AB174" s="101"/>
      <c r="AC174" s="101"/>
      <c r="AD174" s="101"/>
      <c r="AE174" s="101"/>
      <c r="AF174" s="101"/>
      <c r="AG174" s="101"/>
      <c r="AH174" s="101"/>
      <c r="AJ174" s="27" t="s">
        <v>167</v>
      </c>
      <c r="AN174" s="41">
        <f>-AH32</f>
        <v>-74639.164607615516</v>
      </c>
      <c r="AO174" s="40">
        <f>-AH42</f>
        <v>-39115.753991117992</v>
      </c>
      <c r="AP174">
        <f>-AH18</f>
        <v>0</v>
      </c>
      <c r="AQ174" s="40">
        <f>-AH54</f>
        <v>-1151.5243832873161</v>
      </c>
      <c r="AR174" s="40">
        <f>-AH64</f>
        <v>-16322.975736987815</v>
      </c>
    </row>
    <row r="175" spans="1:46">
      <c r="A175" t="s">
        <v>23</v>
      </c>
      <c r="B175" s="171">
        <f>'Demand - Ethylene'!J66</f>
        <v>5.1910838859592162E-2</v>
      </c>
      <c r="C175" s="172">
        <f t="shared" si="63"/>
        <v>5.5106757728666703E-2</v>
      </c>
      <c r="D175" s="613">
        <f>AH65*B175/(B175+B177)</f>
        <v>64183.107048554222</v>
      </c>
      <c r="E175" s="196"/>
      <c r="F175" s="196"/>
      <c r="G175" s="196"/>
      <c r="H175" s="196"/>
      <c r="I175" s="196"/>
      <c r="J175" s="196"/>
      <c r="K175" s="196"/>
      <c r="L175" s="196"/>
      <c r="M175" s="196"/>
      <c r="N175" s="665">
        <f t="shared" si="64"/>
        <v>6.1411646549254115E-2</v>
      </c>
      <c r="O175" s="101"/>
      <c r="P175" s="101"/>
      <c r="Q175" s="101"/>
      <c r="R175" s="101"/>
      <c r="S175" s="101"/>
      <c r="T175" s="101"/>
      <c r="U175" s="101"/>
      <c r="V175" s="101"/>
      <c r="W175" s="101"/>
      <c r="X175" s="101">
        <f>AH139*C175/(C175+C177+C179)</f>
        <v>60308.038507702295</v>
      </c>
      <c r="Y175" s="101"/>
      <c r="Z175" s="101"/>
      <c r="AA175" s="101"/>
      <c r="AB175" s="101"/>
      <c r="AC175" s="101"/>
      <c r="AD175" s="101"/>
      <c r="AE175" s="101"/>
      <c r="AF175" s="101"/>
      <c r="AG175" s="101"/>
      <c r="AH175" s="101"/>
      <c r="AJ175" s="27" t="s">
        <v>578</v>
      </c>
      <c r="AL175" s="133">
        <f>AH4-D4</f>
        <v>0</v>
      </c>
      <c r="AS175" s="41">
        <f>AH74</f>
        <v>625316.35221898253</v>
      </c>
    </row>
    <row r="176" spans="1:46">
      <c r="A176" t="s">
        <v>26</v>
      </c>
      <c r="B176" s="171">
        <f>'Demand - Ethylene'!J67</f>
        <v>9.0863625168471407E-2</v>
      </c>
      <c r="C176" s="172">
        <f t="shared" si="63"/>
        <v>3.0699686012036858E-2</v>
      </c>
      <c r="D176" s="613">
        <f>AH33*B176/(B172+B176)</f>
        <v>35756.072664796891</v>
      </c>
      <c r="E176" s="196"/>
      <c r="F176" s="196"/>
      <c r="G176" s="196"/>
      <c r="H176" s="196"/>
      <c r="I176" s="196"/>
      <c r="J176" s="196"/>
      <c r="K176" s="196"/>
      <c r="L176" s="196"/>
      <c r="M176" s="196"/>
      <c r="N176" s="665">
        <f t="shared" si="64"/>
        <v>1.873931732932068E-2</v>
      </c>
      <c r="O176" s="101"/>
      <c r="P176" s="101"/>
      <c r="Q176" s="101"/>
      <c r="R176" s="101"/>
      <c r="S176" s="101"/>
      <c r="T176" s="101"/>
      <c r="U176" s="101"/>
      <c r="V176" s="101"/>
      <c r="W176" s="101"/>
      <c r="X176" s="101">
        <f>AH95*B176/(B172+B176)</f>
        <v>18402.559361412379</v>
      </c>
      <c r="Y176" s="101"/>
      <c r="Z176" s="101"/>
      <c r="AA176" s="101"/>
      <c r="AB176" s="101"/>
      <c r="AC176" s="101"/>
      <c r="AD176" s="101"/>
      <c r="AE176" s="101"/>
      <c r="AF176" s="101"/>
      <c r="AG176" s="101"/>
      <c r="AH176" s="101"/>
    </row>
    <row r="177" spans="1:45" ht="44.25">
      <c r="A177" t="s">
        <v>27</v>
      </c>
      <c r="B177" s="171">
        <f>'Demand - Ethylene'!J68</f>
        <v>0.15931966141539111</v>
      </c>
      <c r="C177" s="172">
        <f t="shared" si="63"/>
        <v>0.16912826253449881</v>
      </c>
      <c r="D177" s="613">
        <f>AH65*B177/(B175+B177)</f>
        <v>196984.50474325081</v>
      </c>
      <c r="E177" s="196"/>
      <c r="F177" s="196"/>
      <c r="G177" s="196"/>
      <c r="H177" s="196"/>
      <c r="I177" s="196"/>
      <c r="J177" s="196"/>
      <c r="K177" s="196"/>
      <c r="L177" s="196"/>
      <c r="M177" s="196"/>
      <c r="N177" s="665">
        <f t="shared" si="64"/>
        <v>0.18847860967249458</v>
      </c>
      <c r="O177" s="101"/>
      <c r="P177" s="101"/>
      <c r="Q177" s="101"/>
      <c r="R177" s="101"/>
      <c r="S177" s="101"/>
      <c r="T177" s="101"/>
      <c r="U177" s="101"/>
      <c r="V177" s="101"/>
      <c r="W177" s="101"/>
      <c r="X177" s="101">
        <f>AH139*C177/(C175+C177+C179)</f>
        <v>185091.52398137501</v>
      </c>
      <c r="Y177" s="101"/>
      <c r="Z177" s="101"/>
      <c r="AA177" s="101"/>
      <c r="AB177" s="101"/>
      <c r="AC177" s="101"/>
      <c r="AD177" s="101"/>
      <c r="AE177" s="101"/>
      <c r="AF177" s="101"/>
      <c r="AG177" s="101"/>
      <c r="AH177" s="101"/>
      <c r="AJ177" s="244" t="s">
        <v>589</v>
      </c>
      <c r="AK177" s="129" t="s">
        <v>128</v>
      </c>
      <c r="AL177" s="129" t="s">
        <v>305</v>
      </c>
      <c r="AM177" s="129" t="s">
        <v>306</v>
      </c>
      <c r="AN177" s="129" t="s">
        <v>146</v>
      </c>
      <c r="AO177" s="129" t="s">
        <v>586</v>
      </c>
      <c r="AP177" s="129" t="s">
        <v>591</v>
      </c>
      <c r="AQ177" s="129" t="s">
        <v>587</v>
      </c>
      <c r="AR177" s="129" t="s">
        <v>588</v>
      </c>
      <c r="AS177" s="247" t="s">
        <v>590</v>
      </c>
    </row>
    <row r="178" spans="1:45">
      <c r="A178" s="124" t="s">
        <v>365</v>
      </c>
      <c r="B178" s="171">
        <f>'Demand - Ethylene'!J69</f>
        <v>5.4867435167726486E-3</v>
      </c>
      <c r="C178" s="172">
        <f t="shared" si="63"/>
        <v>1.0381176143199919E-3</v>
      </c>
      <c r="D178" s="613">
        <f>AH55</f>
        <v>1209.1006024516814</v>
      </c>
      <c r="E178" s="196"/>
      <c r="F178" s="196"/>
      <c r="G178" s="196"/>
      <c r="H178" s="196"/>
      <c r="I178" s="196"/>
      <c r="J178" s="196"/>
      <c r="K178" s="196"/>
      <c r="L178" s="196"/>
      <c r="M178" s="196"/>
      <c r="N178" s="665">
        <f t="shared" si="64"/>
        <v>5.8116474252047018E-3</v>
      </c>
      <c r="O178" s="101"/>
      <c r="P178" s="101"/>
      <c r="Q178" s="101"/>
      <c r="R178" s="101"/>
      <c r="S178" s="101"/>
      <c r="T178" s="101"/>
      <c r="U178" s="101"/>
      <c r="V178" s="101"/>
      <c r="W178" s="101"/>
      <c r="X178" s="101">
        <f>AH115</f>
        <v>5707.2082643368067</v>
      </c>
      <c r="Y178" s="101"/>
      <c r="Z178" s="101"/>
      <c r="AA178" s="101"/>
      <c r="AB178" s="101"/>
      <c r="AC178" s="101"/>
      <c r="AD178" s="101"/>
      <c r="AE178" s="101"/>
      <c r="AF178" s="101"/>
      <c r="AG178" s="101"/>
      <c r="AH178" s="101"/>
      <c r="AK178" s="136">
        <f>D26</f>
        <v>360575.67443292518</v>
      </c>
      <c r="AL178" s="136">
        <f>AH26-D26</f>
        <v>0</v>
      </c>
      <c r="AM178" s="136">
        <f>AH26</f>
        <v>360575.67443292518</v>
      </c>
      <c r="AN178" s="136">
        <f>-'Yearly LC Ethylene'!AH27</f>
        <v>-33620.075884125945</v>
      </c>
      <c r="AO178" s="136">
        <f>-'Yearly LC Ethylene'!AH28</f>
        <v>-77913.191731466475</v>
      </c>
      <c r="AP178" s="136">
        <f>SUM(AM178:AO179)</f>
        <v>209855.04251996244</v>
      </c>
      <c r="AQ178" s="246">
        <f>-'Yearly LC Ethylene'!AH30</f>
        <v>-26978.271961071459</v>
      </c>
      <c r="AR178" s="246">
        <f>-'Yearly LC Ethylene'!AH31</f>
        <v>-37957.801247554038</v>
      </c>
      <c r="AS178" s="41" t="s">
        <v>307</v>
      </c>
    </row>
    <row r="179" spans="1:45" ht="15.5" thickBot="1">
      <c r="A179" t="s">
        <v>254</v>
      </c>
      <c r="B179" s="171"/>
      <c r="C179" s="172">
        <f t="shared" si="63"/>
        <v>0.53688826094749342</v>
      </c>
      <c r="D179" s="613">
        <f>AH74</f>
        <v>625316.35221898253</v>
      </c>
      <c r="E179" s="196"/>
      <c r="F179" s="196"/>
      <c r="G179" s="196"/>
      <c r="H179" s="196"/>
      <c r="I179" s="196"/>
      <c r="J179" s="196"/>
      <c r="K179" s="196"/>
      <c r="L179" s="196"/>
      <c r="M179" s="196"/>
      <c r="N179" s="665">
        <f>X179/$X$180</f>
        <v>0.59831486149292112</v>
      </c>
      <c r="O179" s="101"/>
      <c r="P179" s="101"/>
      <c r="Q179" s="101"/>
      <c r="R179" s="101"/>
      <c r="S179" s="101"/>
      <c r="T179" s="101"/>
      <c r="U179" s="101"/>
      <c r="V179" s="101"/>
      <c r="W179" s="101"/>
      <c r="X179" s="101">
        <f>AH139*C179/(C175+C177+C179)</f>
        <v>587562.74638729589</v>
      </c>
      <c r="Y179" s="101"/>
      <c r="Z179" s="101"/>
      <c r="AA179" s="101"/>
      <c r="AB179" s="101"/>
      <c r="AC179" s="101"/>
      <c r="AD179" s="101"/>
      <c r="AE179" s="101"/>
      <c r="AF179" s="101"/>
      <c r="AG179" s="101"/>
      <c r="AH179" s="101"/>
      <c r="AN179" s="41">
        <f>-AH27-AN178</f>
        <v>-11812.459094422629</v>
      </c>
      <c r="AO179" s="41">
        <f>-AH28-AO178</f>
        <v>-27374.905202947673</v>
      </c>
      <c r="AP179" s="41"/>
      <c r="AQ179" s="41">
        <f>-AH30-AQ178</f>
        <v>-4031.2360401601036</v>
      </c>
      <c r="AR179" s="41">
        <f>-AH31-AR178</f>
        <v>-5671.855358829911</v>
      </c>
    </row>
    <row r="180" spans="1:45" ht="15.5" thickBot="1">
      <c r="A180" s="173" t="s">
        <v>78</v>
      </c>
      <c r="B180" s="232">
        <f>SUM(B172:B178)</f>
        <v>0.84162565316752835</v>
      </c>
      <c r="C180" s="231">
        <f>SUM(C172:C179)</f>
        <v>0.99999999999999978</v>
      </c>
      <c r="D180" s="666">
        <f>SUM(D172:D179)</f>
        <v>1164704.8328369712</v>
      </c>
      <c r="E180" s="667"/>
      <c r="F180" s="667"/>
      <c r="G180" s="667"/>
      <c r="H180" s="667"/>
      <c r="I180" s="667"/>
      <c r="J180" s="667"/>
      <c r="K180" s="667"/>
      <c r="L180" s="667"/>
      <c r="M180" s="667"/>
      <c r="N180" s="668">
        <f>SUM(N172:N179)</f>
        <v>1</v>
      </c>
      <c r="O180" s="101"/>
      <c r="P180" s="101"/>
      <c r="Q180" s="101"/>
      <c r="R180" s="101"/>
      <c r="S180" s="101"/>
      <c r="T180" s="101"/>
      <c r="U180" s="101"/>
      <c r="V180" s="101"/>
      <c r="W180" s="101"/>
      <c r="X180" s="101">
        <f>SUM(X172:X179)</f>
        <v>982029.3363952277</v>
      </c>
      <c r="Y180" s="101"/>
      <c r="Z180" s="101"/>
      <c r="AA180" s="101"/>
      <c r="AB180" s="101"/>
      <c r="AC180" s="101"/>
      <c r="AD180" s="101"/>
      <c r="AE180" s="101"/>
      <c r="AF180" s="101"/>
      <c r="AG180" s="101"/>
      <c r="AH180" s="101"/>
    </row>
    <row r="181" spans="1:45" ht="45" thickBot="1">
      <c r="D181" s="101"/>
      <c r="E181" s="101"/>
      <c r="F181" s="101"/>
      <c r="G181" s="101"/>
      <c r="H181" s="101"/>
      <c r="I181" s="101"/>
      <c r="J181" s="101"/>
      <c r="K181" s="101"/>
      <c r="L181" s="101"/>
      <c r="M181" s="101"/>
      <c r="N181" s="101"/>
      <c r="O181" s="101"/>
      <c r="P181" s="101"/>
      <c r="Q181" s="101"/>
      <c r="R181" s="101"/>
      <c r="S181" s="101"/>
      <c r="T181" s="101"/>
      <c r="U181" s="101"/>
      <c r="V181" s="101"/>
      <c r="W181" s="101"/>
      <c r="X181" s="101"/>
      <c r="Y181" s="101"/>
      <c r="Z181" s="101"/>
      <c r="AA181" s="101"/>
      <c r="AB181" s="101"/>
      <c r="AC181" s="101"/>
      <c r="AD181" s="101"/>
      <c r="AE181" s="101"/>
      <c r="AF181" s="101"/>
      <c r="AG181" s="101"/>
      <c r="AH181" s="101"/>
      <c r="AJ181" s="244" t="s">
        <v>592</v>
      </c>
      <c r="AK181" s="129" t="s">
        <v>128</v>
      </c>
      <c r="AL181" s="129" t="s">
        <v>305</v>
      </c>
      <c r="AM181" s="129" t="s">
        <v>306</v>
      </c>
      <c r="AN181" s="129" t="s">
        <v>151</v>
      </c>
      <c r="AO181" s="129" t="s">
        <v>152</v>
      </c>
      <c r="AP181" s="247" t="s">
        <v>590</v>
      </c>
      <c r="AQ181" s="129"/>
      <c r="AR181" s="129"/>
    </row>
    <row r="182" spans="1:45" ht="59.75" thickBot="1">
      <c r="A182" s="235" t="s">
        <v>554</v>
      </c>
      <c r="B182" s="173">
        <v>2020</v>
      </c>
      <c r="C182" s="174" t="s">
        <v>386</v>
      </c>
      <c r="D182" s="664" t="s">
        <v>540</v>
      </c>
      <c r="E182" s="664" t="s">
        <v>387</v>
      </c>
      <c r="F182" s="664" t="s">
        <v>388</v>
      </c>
      <c r="G182" s="664" t="s">
        <v>389</v>
      </c>
      <c r="H182" s="664" t="s">
        <v>390</v>
      </c>
      <c r="I182" s="664" t="s">
        <v>391</v>
      </c>
      <c r="J182" s="664" t="s">
        <v>392</v>
      </c>
      <c r="K182" s="664" t="s">
        <v>393</v>
      </c>
      <c r="L182" s="664" t="s">
        <v>394</v>
      </c>
      <c r="M182" s="664" t="s">
        <v>395</v>
      </c>
      <c r="N182" s="101"/>
      <c r="O182" s="664" t="s">
        <v>541</v>
      </c>
      <c r="P182" s="664" t="s">
        <v>542</v>
      </c>
      <c r="Q182" s="664" t="s">
        <v>543</v>
      </c>
      <c r="R182" s="664" t="s">
        <v>544</v>
      </c>
      <c r="S182" s="664" t="s">
        <v>545</v>
      </c>
      <c r="T182" s="664" t="s">
        <v>546</v>
      </c>
      <c r="U182" s="664" t="s">
        <v>547</v>
      </c>
      <c r="V182" s="664" t="s">
        <v>548</v>
      </c>
      <c r="W182" s="664" t="s">
        <v>549</v>
      </c>
      <c r="X182" s="664"/>
      <c r="Y182" s="101"/>
      <c r="Z182" s="101"/>
      <c r="AA182" s="101"/>
      <c r="AB182" s="101"/>
      <c r="AC182" s="101"/>
      <c r="AD182" s="101"/>
      <c r="AE182" s="101"/>
      <c r="AF182" s="101"/>
      <c r="AG182" s="101"/>
      <c r="AH182" s="101"/>
      <c r="AK182" s="136">
        <f>D40</f>
        <v>201906.27397932502</v>
      </c>
      <c r="AL182" s="136">
        <f>AH40-D40</f>
        <v>0</v>
      </c>
      <c r="AM182" s="136">
        <f>AH40</f>
        <v>201906.27397932502</v>
      </c>
      <c r="AN182" s="136">
        <f>-'Yearly LC Ethylene'!AH41</f>
        <v>-44419.380275451505</v>
      </c>
      <c r="AO182" s="136">
        <f>-'Yearly LC Ethylene'!AH42</f>
        <v>-19557.876995558996</v>
      </c>
      <c r="AP182" s="136">
        <f>AH43</f>
        <v>51742.069299578259</v>
      </c>
      <c r="AQ182" s="136"/>
    </row>
    <row r="183" spans="1:45">
      <c r="A183" t="s">
        <v>555</v>
      </c>
      <c r="B183" s="171">
        <f>B172+B176</f>
        <v>0.34361169814797604</v>
      </c>
      <c r="C183" s="172">
        <f t="shared" ref="C183" si="65">C172+C176</f>
        <v>0.1160945452445579</v>
      </c>
      <c r="D183" s="665">
        <f>N172+N176</f>
        <v>7.0864976361255161E-2</v>
      </c>
      <c r="E183" s="196"/>
      <c r="F183" s="196"/>
      <c r="G183" s="196"/>
      <c r="H183" s="196"/>
      <c r="I183" s="196"/>
      <c r="J183" s="196"/>
      <c r="K183" s="196"/>
      <c r="L183" s="196"/>
      <c r="M183" s="196"/>
      <c r="N183" s="101"/>
      <c r="O183" s="101"/>
      <c r="P183" s="101"/>
      <c r="Q183" s="101"/>
      <c r="R183" s="101"/>
      <c r="S183" s="101"/>
      <c r="T183" s="101"/>
      <c r="U183" s="101"/>
      <c r="V183" s="101"/>
      <c r="W183" s="101"/>
      <c r="X183" s="101"/>
      <c r="Y183" s="101"/>
      <c r="Z183" s="101"/>
      <c r="AA183" s="101"/>
      <c r="AB183" s="101"/>
      <c r="AC183" s="101"/>
      <c r="AD183" s="101"/>
      <c r="AE183" s="101"/>
      <c r="AF183" s="101"/>
      <c r="AG183" s="101"/>
      <c r="AH183" s="101"/>
      <c r="AN183" s="41">
        <f>-(AH41+AN182)</f>
        <v>-66629.070413177265</v>
      </c>
      <c r="AO183" s="41">
        <f>-(AH42+AO182)</f>
        <v>-19557.876995558996</v>
      </c>
    </row>
    <row r="184" spans="1:45">
      <c r="A184" t="s">
        <v>19</v>
      </c>
      <c r="B184" s="171">
        <f>B173</f>
        <v>0.19240720488944701</v>
      </c>
      <c r="C184" s="172">
        <f t="shared" ref="C184" si="66">C173</f>
        <v>4.4425049025979976E-2</v>
      </c>
      <c r="D184" s="665">
        <f>N173</f>
        <v>0</v>
      </c>
      <c r="E184" s="196"/>
      <c r="F184" s="196"/>
      <c r="G184" s="196"/>
      <c r="H184" s="196"/>
      <c r="I184" s="196"/>
      <c r="J184" s="196"/>
      <c r="K184" s="196"/>
      <c r="L184" s="196"/>
      <c r="M184" s="196"/>
      <c r="N184" s="101"/>
      <c r="O184" s="101"/>
      <c r="P184" s="101"/>
      <c r="Q184" s="101"/>
      <c r="R184" s="101"/>
      <c r="S184" s="101"/>
      <c r="T184" s="101"/>
      <c r="U184" s="101"/>
      <c r="V184" s="101"/>
      <c r="W184" s="101"/>
      <c r="X184" s="101"/>
      <c r="Y184" s="101"/>
      <c r="Z184" s="101"/>
      <c r="AA184" s="101"/>
      <c r="AB184" s="101"/>
      <c r="AC184" s="101"/>
      <c r="AD184" s="101"/>
      <c r="AE184" s="101"/>
      <c r="AF184" s="101"/>
      <c r="AG184" s="101"/>
      <c r="AH184" s="101"/>
    </row>
    <row r="185" spans="1:45" ht="44.25">
      <c r="A185" t="s">
        <v>333</v>
      </c>
      <c r="B185" s="171">
        <f>B174</f>
        <v>8.88895063383493E-2</v>
      </c>
      <c r="C185" s="172">
        <f>C174</f>
        <v>7.731900690448304E-2</v>
      </c>
      <c r="D185" s="665">
        <f>N174</f>
        <v>7.5118258498870327E-2</v>
      </c>
      <c r="E185" s="196"/>
      <c r="F185" s="196"/>
      <c r="G185" s="196"/>
      <c r="H185" s="196"/>
      <c r="I185" s="196"/>
      <c r="J185" s="196"/>
      <c r="K185" s="196"/>
      <c r="L185" s="196"/>
      <c r="M185" s="196"/>
      <c r="N185" s="101"/>
      <c r="O185" s="101"/>
      <c r="P185" s="101"/>
      <c r="Q185" s="101"/>
      <c r="R185" s="101"/>
      <c r="S185" s="101"/>
      <c r="T185" s="101"/>
      <c r="U185" s="101"/>
      <c r="V185" s="101"/>
      <c r="W185" s="101"/>
      <c r="X185" s="101"/>
      <c r="Y185" s="101"/>
      <c r="Z185" s="101"/>
      <c r="AA185" s="101"/>
      <c r="AB185" s="101"/>
      <c r="AC185" s="101"/>
      <c r="AD185" s="101"/>
      <c r="AE185" s="101"/>
      <c r="AF185" s="101"/>
      <c r="AG185" s="101"/>
      <c r="AH185" s="101"/>
      <c r="AJ185" s="244" t="s">
        <v>593</v>
      </c>
      <c r="AK185" s="129" t="s">
        <v>128</v>
      </c>
      <c r="AL185" s="129" t="s">
        <v>305</v>
      </c>
      <c r="AM185" s="129" t="s">
        <v>306</v>
      </c>
      <c r="AN185" s="129" t="s">
        <v>596</v>
      </c>
      <c r="AO185" s="129" t="s">
        <v>594</v>
      </c>
      <c r="AP185" s="129" t="s">
        <v>595</v>
      </c>
      <c r="AQ185" s="129" t="s">
        <v>591</v>
      </c>
      <c r="AR185" s="129" t="s">
        <v>152</v>
      </c>
      <c r="AS185" s="247" t="s">
        <v>590</v>
      </c>
    </row>
    <row r="186" spans="1:45">
      <c r="A186" s="124" t="s">
        <v>53</v>
      </c>
      <c r="B186" s="171">
        <f>'Demand - Ethylene'!C37</f>
        <v>1.0973487033545297E-2</v>
      </c>
      <c r="C186" s="172">
        <f>(AH65*('Demand - Ethylene'!C37-'Yearly HC Ethylene'!C178)/(SUM('Yearly HC Ethylene'!C177:C178,C175))+'Yearly HC Ethylene'!AH55)/'Yearly HC Ethylene'!AH84</f>
        <v>1.0927702249367064E-2</v>
      </c>
      <c r="D186" s="665">
        <f>((AH139-AH74)*('Demand - Ethylene'!C37-'Yearly HC Ethylene'!N178)/(SUM('Yearly HC Ethylene'!N177:N178,N175))+'Yearly HC Ethylene'!AH115)/('Yearly HC Ethylene'!AH148-AH74)</f>
        <v>2.7750448333710237E-2</v>
      </c>
      <c r="E186" s="196"/>
      <c r="F186" s="196"/>
      <c r="G186" s="196"/>
      <c r="H186" s="196"/>
      <c r="I186" s="196"/>
      <c r="J186" s="196"/>
      <c r="K186" s="196"/>
      <c r="L186" s="196"/>
      <c r="M186" s="196"/>
      <c r="N186" s="101"/>
      <c r="O186" s="101"/>
      <c r="P186" s="101"/>
      <c r="Q186" s="101"/>
      <c r="R186" s="101"/>
      <c r="S186" s="101"/>
      <c r="T186" s="101"/>
      <c r="U186" s="101"/>
      <c r="V186" s="101"/>
      <c r="W186" s="101"/>
      <c r="X186" s="101"/>
      <c r="Y186" s="101"/>
      <c r="Z186" s="101"/>
      <c r="AA186" s="101"/>
      <c r="AB186" s="101"/>
      <c r="AC186" s="101"/>
      <c r="AD186" s="101"/>
      <c r="AE186" s="101"/>
      <c r="AF186" s="101"/>
      <c r="AG186" s="101"/>
      <c r="AH186" s="101"/>
      <c r="AK186" s="136">
        <f>D12</f>
        <v>93277.946794923075</v>
      </c>
      <c r="AL186" s="136">
        <f>AH12-D12</f>
        <v>61392.580336634099</v>
      </c>
      <c r="AM186" s="136">
        <f>AH12</f>
        <v>154670.52713155717</v>
      </c>
      <c r="AN186" s="136">
        <f>AH13</f>
        <v>15467.052713155717</v>
      </c>
      <c r="AO186" s="136">
        <f>-'Yearly LC Ethylene'!AH15</f>
        <v>-28072.700674377629</v>
      </c>
      <c r="AP186" s="136">
        <f>-'Yearly LC Ethylene'!AH16</f>
        <v>-14916.8123128852</v>
      </c>
      <c r="AQ186" s="41">
        <f>SUM(AM186:AP187)</f>
        <v>90053.821011806518</v>
      </c>
      <c r="AR186">
        <f>-'Yearly LC Ethylene'!AH18</f>
        <v>0</v>
      </c>
      <c r="AS186" s="41">
        <f>SUM(AQ186:AR187)</f>
        <v>90053.821011806518</v>
      </c>
    </row>
    <row r="187" spans="1:45">
      <c r="A187" t="s">
        <v>23</v>
      </c>
      <c r="B187" s="171">
        <f>B175</f>
        <v>5.1910838859592162E-2</v>
      </c>
      <c r="C187" s="172">
        <f>C175</f>
        <v>5.5106757728666703E-2</v>
      </c>
      <c r="D187" s="665">
        <f>N175</f>
        <v>6.1411646549254115E-2</v>
      </c>
      <c r="E187" s="196"/>
      <c r="F187" s="196"/>
      <c r="G187" s="196"/>
      <c r="H187" s="196"/>
      <c r="I187" s="196"/>
      <c r="J187" s="196"/>
      <c r="K187" s="196"/>
      <c r="L187" s="196"/>
      <c r="M187" s="196"/>
      <c r="N187" s="101"/>
      <c r="O187" s="101"/>
      <c r="P187" s="101"/>
      <c r="Q187" s="101"/>
      <c r="R187" s="101"/>
      <c r="S187" s="101"/>
      <c r="T187" s="101"/>
      <c r="U187" s="101"/>
      <c r="V187" s="101"/>
      <c r="W187" s="101"/>
      <c r="X187" s="101"/>
      <c r="Y187" s="101"/>
      <c r="Z187" s="101"/>
      <c r="AA187" s="101"/>
      <c r="AB187" s="101"/>
      <c r="AC187" s="101"/>
      <c r="AD187" s="101"/>
      <c r="AE187" s="101"/>
      <c r="AF187" s="101"/>
      <c r="AG187" s="101"/>
      <c r="AH187" s="101"/>
      <c r="AN187" s="41"/>
      <c r="AO187" s="41">
        <f>-(AH15+AO186)</f>
        <v>-28072.700674377629</v>
      </c>
      <c r="AP187" s="41">
        <f>-(AH16+AP186)</f>
        <v>-9021.5451712659033</v>
      </c>
      <c r="AR187">
        <f>-(AH18+AR186)</f>
        <v>0</v>
      </c>
    </row>
    <row r="188" spans="1:45">
      <c r="A188" t="s">
        <v>27</v>
      </c>
      <c r="B188" s="171">
        <f>B177+B178-B186</f>
        <v>0.15383291789861844</v>
      </c>
      <c r="C188" s="172">
        <f>C177+C178-C186</f>
        <v>0.15923867789945173</v>
      </c>
      <c r="D188" s="665">
        <f>N177+N178-D186</f>
        <v>0.16653980876398905</v>
      </c>
      <c r="E188" s="196"/>
      <c r="F188" s="196"/>
      <c r="G188" s="196"/>
      <c r="H188" s="196"/>
      <c r="I188" s="196"/>
      <c r="J188" s="196"/>
      <c r="K188" s="196"/>
      <c r="L188" s="196"/>
      <c r="M188" s="196"/>
      <c r="N188" s="101"/>
      <c r="O188" s="101"/>
      <c r="P188" s="101"/>
      <c r="Q188" s="101"/>
      <c r="R188" s="101"/>
      <c r="S188" s="101"/>
      <c r="T188" s="101"/>
      <c r="U188" s="101"/>
      <c r="V188" s="101"/>
      <c r="W188" s="101"/>
      <c r="X188" s="101"/>
      <c r="Y188" s="101"/>
      <c r="Z188" s="101"/>
      <c r="AA188" s="101"/>
      <c r="AB188" s="101"/>
      <c r="AC188" s="101"/>
      <c r="AD188" s="101"/>
      <c r="AE188" s="101"/>
      <c r="AF188" s="101"/>
      <c r="AG188" s="101"/>
      <c r="AH188" s="101"/>
      <c r="AJ188" s="135"/>
      <c r="AK188" s="129"/>
      <c r="AL188" s="129"/>
      <c r="AM188" s="129"/>
      <c r="AN188" s="129"/>
      <c r="AO188" s="129"/>
      <c r="AP188" s="129"/>
    </row>
    <row r="189" spans="1:45" ht="45" thickBot="1">
      <c r="A189" t="s">
        <v>254</v>
      </c>
      <c r="B189" s="171">
        <f>B179</f>
        <v>0</v>
      </c>
      <c r="C189" s="172">
        <f t="shared" ref="C189" si="67">C179</f>
        <v>0.53688826094749342</v>
      </c>
      <c r="D189" s="665">
        <f>N179</f>
        <v>0.59831486149292112</v>
      </c>
      <c r="E189" s="196"/>
      <c r="F189" s="196"/>
      <c r="G189" s="196"/>
      <c r="H189" s="196"/>
      <c r="I189" s="196"/>
      <c r="J189" s="196"/>
      <c r="K189" s="196"/>
      <c r="L189" s="196"/>
      <c r="M189" s="196"/>
      <c r="N189" s="101"/>
      <c r="O189" s="101"/>
      <c r="P189" s="101"/>
      <c r="Q189" s="101"/>
      <c r="R189" s="101"/>
      <c r="S189" s="101"/>
      <c r="T189" s="101"/>
      <c r="U189" s="101"/>
      <c r="V189" s="101"/>
      <c r="W189" s="101"/>
      <c r="X189" s="101"/>
      <c r="Y189" s="101"/>
      <c r="Z189" s="101"/>
      <c r="AA189" s="101"/>
      <c r="AB189" s="101"/>
      <c r="AC189" s="101"/>
      <c r="AD189" s="101"/>
      <c r="AE189" s="101"/>
      <c r="AF189" s="101"/>
      <c r="AG189" s="101"/>
      <c r="AH189" s="101"/>
      <c r="AJ189" s="244" t="s">
        <v>597</v>
      </c>
      <c r="AK189" s="129" t="s">
        <v>128</v>
      </c>
      <c r="AL189" s="129" t="s">
        <v>305</v>
      </c>
      <c r="AM189" s="129" t="s">
        <v>306</v>
      </c>
      <c r="AN189" s="129" t="s">
        <v>598</v>
      </c>
      <c r="AO189" s="129" t="s">
        <v>599</v>
      </c>
      <c r="AP189" s="129" t="s">
        <v>591</v>
      </c>
      <c r="AQ189" s="129" t="s">
        <v>152</v>
      </c>
      <c r="AR189" s="247" t="s">
        <v>590</v>
      </c>
    </row>
    <row r="190" spans="1:45" ht="15.5" thickBot="1">
      <c r="A190" s="173" t="s">
        <v>78</v>
      </c>
      <c r="B190" s="236">
        <f>SUM(B183:B189)</f>
        <v>0.84162565316752824</v>
      </c>
      <c r="C190" s="237">
        <f>SUM(C183:C189)</f>
        <v>0.99999999999999978</v>
      </c>
      <c r="D190" s="668">
        <f>SUM(D183:D189)</f>
        <v>1</v>
      </c>
      <c r="E190" s="667"/>
      <c r="F190" s="667"/>
      <c r="G190" s="667"/>
      <c r="H190" s="667"/>
      <c r="I190" s="667"/>
      <c r="J190" s="667"/>
      <c r="K190" s="667"/>
      <c r="L190" s="667"/>
      <c r="M190" s="667"/>
      <c r="N190" s="101"/>
      <c r="O190" s="101"/>
      <c r="P190" s="101"/>
      <c r="Q190" s="101"/>
      <c r="R190" s="101"/>
      <c r="S190" s="101"/>
      <c r="T190" s="101"/>
      <c r="U190" s="101"/>
      <c r="V190" s="101"/>
      <c r="W190" s="101"/>
      <c r="X190" s="101"/>
      <c r="Y190" s="101"/>
      <c r="Z190" s="101"/>
      <c r="AA190" s="101"/>
      <c r="AB190" s="101"/>
      <c r="AC190" s="101"/>
      <c r="AD190" s="101"/>
      <c r="AE190" s="101"/>
      <c r="AF190" s="101"/>
      <c r="AG190" s="101"/>
      <c r="AH190" s="101"/>
      <c r="AK190" s="136">
        <f>D50</f>
        <v>5757.6219164365802</v>
      </c>
      <c r="AL190" s="136">
        <f>AH50-D50</f>
        <v>0</v>
      </c>
      <c r="AM190" s="136">
        <f>AH50</f>
        <v>5757.6219164365802</v>
      </c>
      <c r="AN190" s="136">
        <f>-'Yearly LC Ethylene'!AH51</f>
        <v>-719.70273955457253</v>
      </c>
      <c r="AO190" s="136">
        <f>-'Yearly LC Ethylene'!AH52</f>
        <v>-978.7957257942187</v>
      </c>
      <c r="AP190" s="136">
        <f>SUM(AM190:AO191)</f>
        <v>2360.6249857389976</v>
      </c>
      <c r="AQ190" s="40">
        <f>-'Yearly LC Ethylene'!AH54</f>
        <v>-575.76219164365807</v>
      </c>
      <c r="AR190" s="41">
        <f>SUM(AP190:AQ191)</f>
        <v>1209.1006024516814</v>
      </c>
    </row>
    <row r="191" spans="1:45" ht="15.5" thickBot="1">
      <c r="D191" s="101"/>
      <c r="E191" s="101"/>
      <c r="F191" s="101"/>
      <c r="G191" s="101"/>
      <c r="H191" s="101"/>
      <c r="I191" s="101"/>
      <c r="J191" s="101"/>
      <c r="K191" s="101"/>
      <c r="L191" s="101"/>
      <c r="M191" s="101"/>
      <c r="N191" s="101"/>
      <c r="O191" s="101"/>
      <c r="P191" s="101"/>
      <c r="Q191" s="101"/>
      <c r="R191" s="101"/>
      <c r="S191" s="101"/>
      <c r="T191" s="101"/>
      <c r="U191" s="101"/>
      <c r="V191" s="101"/>
      <c r="W191" s="101"/>
      <c r="X191" s="101"/>
      <c r="Y191" s="101"/>
      <c r="Z191" s="101"/>
      <c r="AA191" s="101"/>
      <c r="AB191" s="101"/>
      <c r="AC191" s="101"/>
      <c r="AD191" s="101"/>
      <c r="AE191" s="101"/>
      <c r="AF191" s="101"/>
      <c r="AG191" s="101"/>
      <c r="AH191" s="101"/>
      <c r="AN191" s="41">
        <f>-(AH51+AN190)</f>
        <v>-719.70273955457253</v>
      </c>
      <c r="AO191" s="41">
        <f>-(AH52+AO190)</f>
        <v>-978.7957257942187</v>
      </c>
      <c r="AP191" s="41"/>
      <c r="AQ191" s="40">
        <f>-(AH54+AQ190)</f>
        <v>-575.76219164365807</v>
      </c>
    </row>
    <row r="192" spans="1:45" ht="45" thickBot="1">
      <c r="A192" s="235" t="s">
        <v>556</v>
      </c>
      <c r="B192" s="239">
        <v>2020</v>
      </c>
      <c r="C192" s="174" t="s">
        <v>557</v>
      </c>
      <c r="D192" s="664" t="s">
        <v>386</v>
      </c>
      <c r="E192" s="667"/>
      <c r="F192" s="667"/>
      <c r="G192" s="667"/>
      <c r="H192" s="667"/>
      <c r="I192" s="667"/>
      <c r="J192" s="667"/>
      <c r="K192" s="667"/>
      <c r="L192" s="667"/>
      <c r="M192" s="667"/>
      <c r="N192" s="669" t="s">
        <v>540</v>
      </c>
      <c r="O192" s="101"/>
      <c r="P192" s="101"/>
      <c r="Q192" s="101"/>
      <c r="R192" s="101"/>
      <c r="S192" s="101"/>
      <c r="T192" s="101"/>
      <c r="U192" s="101"/>
      <c r="V192" s="101"/>
      <c r="W192" s="101"/>
      <c r="X192" s="101"/>
      <c r="Y192" s="101"/>
      <c r="Z192" s="101"/>
      <c r="AA192" s="101"/>
      <c r="AB192" s="101"/>
      <c r="AC192" s="101"/>
      <c r="AD192" s="101"/>
      <c r="AE192" s="101"/>
      <c r="AF192" s="101"/>
      <c r="AG192" s="101"/>
      <c r="AH192" s="101"/>
    </row>
    <row r="193" spans="1:47" ht="44.25">
      <c r="A193" t="s">
        <v>254</v>
      </c>
      <c r="B193" s="171">
        <f>B189</f>
        <v>0</v>
      </c>
      <c r="C193" s="171">
        <f>0</f>
        <v>0</v>
      </c>
      <c r="D193" s="617">
        <f>C189</f>
        <v>0.53688826094749342</v>
      </c>
      <c r="E193" s="101"/>
      <c r="F193" s="101"/>
      <c r="G193" s="101"/>
      <c r="H193" s="101"/>
      <c r="I193" s="101"/>
      <c r="J193" s="101"/>
      <c r="K193" s="101"/>
      <c r="L193" s="101"/>
      <c r="M193" s="101"/>
      <c r="N193" s="665">
        <f>D189</f>
        <v>0.59831486149292112</v>
      </c>
      <c r="O193" s="101"/>
      <c r="P193" s="101"/>
      <c r="Q193" s="101"/>
      <c r="R193" s="101"/>
      <c r="S193" s="101"/>
      <c r="T193" s="101"/>
      <c r="U193" s="101"/>
      <c r="V193" s="101"/>
      <c r="W193" s="101"/>
      <c r="X193" s="101"/>
      <c r="Y193" s="101"/>
      <c r="Z193" s="101"/>
      <c r="AA193" s="101"/>
      <c r="AB193" s="101"/>
      <c r="AC193" s="101"/>
      <c r="AD193" s="101"/>
      <c r="AE193" s="101"/>
      <c r="AF193" s="101"/>
      <c r="AG193" s="101"/>
      <c r="AH193" s="101"/>
      <c r="AJ193" s="244" t="s">
        <v>600</v>
      </c>
      <c r="AK193" s="129" t="s">
        <v>128</v>
      </c>
      <c r="AL193" s="129" t="s">
        <v>305</v>
      </c>
      <c r="AM193" s="129" t="s">
        <v>306</v>
      </c>
      <c r="AN193" s="129" t="s">
        <v>151</v>
      </c>
      <c r="AO193" s="129" t="s">
        <v>152</v>
      </c>
      <c r="AP193" s="247" t="s">
        <v>590</v>
      </c>
    </row>
    <row r="194" spans="1:47">
      <c r="A194" t="s">
        <v>27</v>
      </c>
      <c r="B194" s="171">
        <f>B188</f>
        <v>0.15383291789861844</v>
      </c>
      <c r="C194" s="171">
        <f>'Demand - Ethylene'!N68+'Demand - Ethylene'!N69-C196</f>
        <v>0.18484564503770412</v>
      </c>
      <c r="D194" s="617">
        <f>C188</f>
        <v>0.15923867789945173</v>
      </c>
      <c r="E194" s="101"/>
      <c r="F194" s="101"/>
      <c r="G194" s="101"/>
      <c r="H194" s="101"/>
      <c r="I194" s="101"/>
      <c r="J194" s="101"/>
      <c r="K194" s="101"/>
      <c r="L194" s="101"/>
      <c r="M194" s="101"/>
      <c r="N194" s="665">
        <f>D188</f>
        <v>0.16653980876398905</v>
      </c>
      <c r="O194" s="101"/>
      <c r="P194" s="101"/>
      <c r="Q194" s="101"/>
      <c r="R194" s="101"/>
      <c r="S194" s="101"/>
      <c r="T194" s="101"/>
      <c r="U194" s="101"/>
      <c r="V194" s="101"/>
      <c r="W194" s="101"/>
      <c r="X194" s="101"/>
      <c r="Y194" s="101"/>
      <c r="Z194" s="101"/>
      <c r="AA194" s="101"/>
      <c r="AB194" s="101"/>
      <c r="AC194" s="101"/>
      <c r="AD194" s="101"/>
      <c r="AE194" s="101"/>
      <c r="AF194" s="101"/>
      <c r="AG194" s="101"/>
      <c r="AH194" s="101"/>
      <c r="AK194" s="136">
        <f>D62</f>
        <v>387852.09507639048</v>
      </c>
      <c r="AL194" s="136">
        <f>AH62-D62</f>
        <v>-61392.580336634186</v>
      </c>
      <c r="AM194" s="136">
        <f>AH62</f>
        <v>326459.5147397563</v>
      </c>
      <c r="AN194" s="136">
        <f>-'Yearly LC Ethylene'!AH63</f>
        <v>-24484.46360548172</v>
      </c>
      <c r="AO194" s="40">
        <f>-'Yearly LC Ethylene'!AH64</f>
        <v>-8161.4878684939076</v>
      </c>
      <c r="AP194" s="41">
        <f>SUM(AM194:AO195)</f>
        <v>261167.61179180504</v>
      </c>
    </row>
    <row r="195" spans="1:47">
      <c r="A195" t="s">
        <v>23</v>
      </c>
      <c r="B195" s="171">
        <f>B187</f>
        <v>5.1910838859592162E-2</v>
      </c>
      <c r="C195" s="171">
        <f>'Demand - Ethylene'!N66</f>
        <v>6.1679249752216316E-2</v>
      </c>
      <c r="D195" s="617">
        <f>C187</f>
        <v>5.5106757728666703E-2</v>
      </c>
      <c r="E195" s="101"/>
      <c r="F195" s="101"/>
      <c r="G195" s="101"/>
      <c r="H195" s="101"/>
      <c r="I195" s="101"/>
      <c r="J195" s="101"/>
      <c r="K195" s="101"/>
      <c r="L195" s="101"/>
      <c r="M195" s="101"/>
      <c r="N195" s="665">
        <f>D187</f>
        <v>6.1411646549254115E-2</v>
      </c>
      <c r="O195" s="101"/>
      <c r="P195" s="101"/>
      <c r="Q195" s="101"/>
      <c r="R195" s="101"/>
      <c r="S195" s="101"/>
      <c r="T195" s="101"/>
      <c r="U195" s="101"/>
      <c r="V195" s="101"/>
      <c r="W195" s="101"/>
      <c r="X195" s="101"/>
      <c r="Y195" s="101"/>
      <c r="Z195" s="101"/>
      <c r="AA195" s="101"/>
      <c r="AB195" s="101"/>
      <c r="AC195" s="101"/>
      <c r="AD195" s="101"/>
      <c r="AE195" s="101"/>
      <c r="AF195" s="101"/>
      <c r="AG195" s="101"/>
      <c r="AH195" s="101"/>
      <c r="AN195" s="41">
        <f>-(AH63+AN194)</f>
        <v>-24484.46360548172</v>
      </c>
      <c r="AO195" s="40">
        <f>-(AH64+AO194)</f>
        <v>-8161.4878684939076</v>
      </c>
    </row>
    <row r="196" spans="1:47">
      <c r="A196" s="124" t="s">
        <v>53</v>
      </c>
      <c r="B196" s="171">
        <f>B186</f>
        <v>1.0973487033545297E-2</v>
      </c>
      <c r="C196" s="171">
        <f>('Demand - Ethylene'!M68*('Demand - Ethylene'!C37-'Demand - Ethylene'!N69)/('Demand - Ethylene'!N68)+'Demand - Ethylene'!M69)/'Demand - Ethylene'!M70</f>
        <v>1.0973487033545297E-2</v>
      </c>
      <c r="D196" s="617">
        <f>C186</f>
        <v>1.0927702249367064E-2</v>
      </c>
      <c r="E196" s="101"/>
      <c r="F196" s="101"/>
      <c r="G196" s="101"/>
      <c r="H196" s="101"/>
      <c r="I196" s="101"/>
      <c r="J196" s="101"/>
      <c r="K196" s="101"/>
      <c r="L196" s="101"/>
      <c r="M196" s="101"/>
      <c r="N196" s="665">
        <f>D186</f>
        <v>2.7750448333710237E-2</v>
      </c>
      <c r="O196" s="101"/>
      <c r="P196" s="101"/>
      <c r="Q196" s="101"/>
      <c r="R196" s="101"/>
      <c r="S196" s="101"/>
      <c r="T196" s="101"/>
      <c r="U196" s="101"/>
      <c r="V196" s="101"/>
      <c r="W196" s="101"/>
      <c r="X196" s="101"/>
      <c r="Y196" s="101"/>
      <c r="Z196" s="101"/>
      <c r="AA196" s="101"/>
      <c r="AB196" s="101"/>
      <c r="AC196" s="101"/>
      <c r="AD196" s="101"/>
      <c r="AE196" s="101"/>
      <c r="AF196" s="101"/>
      <c r="AG196" s="101"/>
      <c r="AH196" s="101"/>
    </row>
    <row r="197" spans="1:47" ht="44.25">
      <c r="A197" t="s">
        <v>333</v>
      </c>
      <c r="B197" s="171">
        <f>B185</f>
        <v>8.88895063383493E-2</v>
      </c>
      <c r="C197" s="171">
        <f>'Demand - Ethylene'!N65</f>
        <v>0.10561644123347028</v>
      </c>
      <c r="D197" s="617">
        <f>C185</f>
        <v>7.731900690448304E-2</v>
      </c>
      <c r="E197" s="101"/>
      <c r="F197" s="101"/>
      <c r="G197" s="101"/>
      <c r="H197" s="101"/>
      <c r="I197" s="101"/>
      <c r="J197" s="101"/>
      <c r="K197" s="101"/>
      <c r="L197" s="101"/>
      <c r="M197" s="101"/>
      <c r="N197" s="665">
        <f>D185</f>
        <v>7.5118258498870327E-2</v>
      </c>
      <c r="O197" s="101"/>
      <c r="P197" s="101"/>
      <c r="Q197" s="101"/>
      <c r="R197" s="101"/>
      <c r="S197" s="101"/>
      <c r="T197" s="101"/>
      <c r="U197" s="101"/>
      <c r="V197" s="101"/>
      <c r="W197" s="101"/>
      <c r="X197" s="101"/>
      <c r="Y197" s="101"/>
      <c r="Z197" s="101"/>
      <c r="AA197" s="101"/>
      <c r="AB197" s="101"/>
      <c r="AC197" s="101"/>
      <c r="AD197" s="101"/>
      <c r="AE197" s="101"/>
      <c r="AF197" s="101"/>
      <c r="AG197" s="101"/>
      <c r="AH197" s="101"/>
      <c r="AJ197" s="131" t="s">
        <v>602</v>
      </c>
      <c r="AK197" s="132" t="s">
        <v>128</v>
      </c>
      <c r="AL197" s="132" t="s">
        <v>305</v>
      </c>
      <c r="AM197" s="132" t="s">
        <v>306</v>
      </c>
      <c r="AN197" s="132" t="s">
        <v>603</v>
      </c>
      <c r="AO197" s="247" t="s">
        <v>585</v>
      </c>
      <c r="AP197" s="132" t="s">
        <v>604</v>
      </c>
      <c r="AQ197" s="132" t="s">
        <v>605</v>
      </c>
      <c r="AR197" s="132" t="s">
        <v>606</v>
      </c>
      <c r="AS197" s="132" t="s">
        <v>609</v>
      </c>
      <c r="AT197" s="132" t="s">
        <v>608</v>
      </c>
      <c r="AU197" s="132" t="s">
        <v>607</v>
      </c>
    </row>
    <row r="198" spans="1:47">
      <c r="A198" t="s">
        <v>19</v>
      </c>
      <c r="B198" s="171">
        <f>B184</f>
        <v>0.19240720488944701</v>
      </c>
      <c r="C198" s="171">
        <f>'Demand - Ethylene'!N64</f>
        <v>0.22861375976992437</v>
      </c>
      <c r="D198" s="617">
        <f>C184</f>
        <v>4.4425049025979976E-2</v>
      </c>
      <c r="E198" s="101"/>
      <c r="F198" s="101"/>
      <c r="G198" s="101"/>
      <c r="H198" s="101"/>
      <c r="I198" s="101"/>
      <c r="J198" s="101"/>
      <c r="K198" s="101"/>
      <c r="L198" s="101"/>
      <c r="M198" s="101"/>
      <c r="N198" s="665">
        <f>D184</f>
        <v>0</v>
      </c>
      <c r="O198" s="101"/>
      <c r="P198" s="101"/>
      <c r="Q198" s="101"/>
      <c r="R198" s="101"/>
      <c r="S198" s="101"/>
      <c r="T198" s="101"/>
      <c r="U198" s="101"/>
      <c r="V198" s="101"/>
      <c r="W198" s="101"/>
      <c r="X198" s="101"/>
      <c r="Y198" s="101"/>
      <c r="Z198" s="101"/>
      <c r="AA198" s="101"/>
      <c r="AB198" s="101"/>
      <c r="AC198" s="101"/>
      <c r="AD198" s="101"/>
      <c r="AE198" s="101"/>
      <c r="AF198" s="101"/>
      <c r="AG198" s="101"/>
      <c r="AH198" s="101"/>
      <c r="AK198" s="133">
        <f>D4</f>
        <v>1049369.6122000003</v>
      </c>
      <c r="AL198" s="133">
        <f>AH4-D4</f>
        <v>0</v>
      </c>
      <c r="AM198" s="133">
        <f>AH4</f>
        <v>1049369.6122000003</v>
      </c>
      <c r="AN198" s="133">
        <f>AH83-AH82-AH81</f>
        <v>115335.22063697077</v>
      </c>
      <c r="AO198" s="133">
        <f>SUM(AM198:AN198)</f>
        <v>1164704.8328369712</v>
      </c>
      <c r="AP198" s="133">
        <f>AH95-AH92</f>
        <v>-65624.392202640083</v>
      </c>
      <c r="AQ198" s="133">
        <f>AH127-AH122</f>
        <v>-79224.903013780131</v>
      </c>
      <c r="AR198" s="133">
        <f>AH105-AH102</f>
        <v>-16285.487466995735</v>
      </c>
      <c r="AS198" s="133">
        <f>IF(AH115-AH112&lt;AH112,-AH112,-(AH115-AH112))</f>
        <v>-4498.1076618851257</v>
      </c>
      <c r="AT198" s="41">
        <f>AH139-AH134</f>
        <v>-53521.655134414323</v>
      </c>
      <c r="AU198" s="130" t="s">
        <v>307</v>
      </c>
    </row>
    <row r="199" spans="1:47" ht="15.5" thickBot="1">
      <c r="A199" t="s">
        <v>555</v>
      </c>
      <c r="B199" s="171">
        <f>B183</f>
        <v>0.34361169814797604</v>
      </c>
      <c r="C199" s="171">
        <f>'Demand - Ethylene'!N63+'Demand - Ethylene'!N67</f>
        <v>0.40827141717313953</v>
      </c>
      <c r="D199" s="617">
        <f>C183</f>
        <v>0.1160945452445579</v>
      </c>
      <c r="E199" s="101"/>
      <c r="F199" s="101"/>
      <c r="G199" s="101"/>
      <c r="H199" s="101"/>
      <c r="I199" s="101"/>
      <c r="J199" s="101"/>
      <c r="K199" s="101"/>
      <c r="L199" s="101"/>
      <c r="M199" s="101"/>
      <c r="N199" s="665">
        <f>D183</f>
        <v>7.0864976361255161E-2</v>
      </c>
      <c r="O199" s="101"/>
      <c r="P199" s="101"/>
      <c r="Q199" s="101"/>
      <c r="R199" s="101"/>
      <c r="S199" s="101"/>
      <c r="T199" s="101"/>
      <c r="U199" s="101"/>
      <c r="V199" s="101"/>
      <c r="W199" s="101"/>
      <c r="X199" s="101"/>
      <c r="Y199" s="101"/>
      <c r="Z199" s="101"/>
      <c r="AA199" s="101"/>
      <c r="AB199" s="101"/>
      <c r="AC199" s="101"/>
      <c r="AD199" s="101"/>
      <c r="AE199" s="101"/>
      <c r="AF199" s="101"/>
      <c r="AG199" s="101"/>
      <c r="AH199" s="101"/>
      <c r="AJ199" s="130"/>
    </row>
    <row r="200" spans="1:47" ht="15.5" thickBot="1">
      <c r="A200" s="173" t="s">
        <v>78</v>
      </c>
      <c r="B200" s="236">
        <f>SUM(B193:B199)</f>
        <v>0.84162565316752824</v>
      </c>
      <c r="C200" s="236">
        <f>SUM(C193:C199)</f>
        <v>0.99999999999999989</v>
      </c>
      <c r="D200" s="670">
        <f>SUM(D193:D199)</f>
        <v>0.99999999999999967</v>
      </c>
      <c r="E200" s="101"/>
      <c r="F200" s="101"/>
      <c r="G200" s="101"/>
      <c r="H200" s="101"/>
      <c r="I200" s="101"/>
      <c r="J200" s="101"/>
      <c r="K200" s="101"/>
      <c r="L200" s="101"/>
      <c r="M200" s="101"/>
      <c r="N200" s="668">
        <f>SUM(N193:N199)</f>
        <v>1</v>
      </c>
      <c r="O200" s="101"/>
      <c r="P200" s="101"/>
      <c r="Q200" s="101"/>
      <c r="R200" s="101"/>
      <c r="S200" s="101"/>
      <c r="T200" s="101"/>
      <c r="U200" s="101"/>
      <c r="V200" s="101"/>
      <c r="W200" s="101"/>
      <c r="X200" s="101"/>
      <c r="Y200" s="101"/>
      <c r="Z200" s="101"/>
      <c r="AA200" s="101"/>
      <c r="AB200" s="101"/>
      <c r="AC200" s="101"/>
      <c r="AD200" s="101"/>
      <c r="AE200" s="101"/>
      <c r="AF200" s="101"/>
      <c r="AG200" s="101"/>
      <c r="AH200" s="101"/>
    </row>
    <row r="201" spans="1:47" ht="89.25" thickBot="1">
      <c r="D201" s="101"/>
      <c r="E201" s="101"/>
      <c r="F201" s="101"/>
      <c r="G201" s="101"/>
      <c r="H201" s="101"/>
      <c r="I201" s="101"/>
      <c r="J201" s="101"/>
      <c r="K201" s="101"/>
      <c r="L201" s="101"/>
      <c r="M201" s="101"/>
      <c r="N201" s="101"/>
      <c r="O201" s="101"/>
      <c r="P201" s="101"/>
      <c r="Q201" s="101"/>
      <c r="R201" s="101"/>
      <c r="S201" s="101"/>
      <c r="T201" s="101"/>
      <c r="U201" s="101"/>
      <c r="V201" s="101"/>
      <c r="W201" s="101"/>
      <c r="X201" s="101"/>
      <c r="Y201" s="101"/>
      <c r="Z201" s="101"/>
      <c r="AA201" s="101"/>
      <c r="AB201" s="101"/>
      <c r="AC201" s="101"/>
      <c r="AD201" s="101"/>
      <c r="AE201" s="101"/>
      <c r="AF201" s="101"/>
      <c r="AG201" s="101"/>
      <c r="AH201" s="101"/>
      <c r="AJ201" s="135" t="s">
        <v>308</v>
      </c>
      <c r="AK201" s="132" t="s">
        <v>128</v>
      </c>
      <c r="AL201" s="132" t="s">
        <v>305</v>
      </c>
      <c r="AM201" s="132" t="s">
        <v>306</v>
      </c>
      <c r="AN201" s="132" t="s">
        <v>611</v>
      </c>
      <c r="AO201" s="247" t="s">
        <v>585</v>
      </c>
      <c r="AP201" s="132" t="s">
        <v>612</v>
      </c>
      <c r="AQ201" s="132" t="s">
        <v>613</v>
      </c>
      <c r="AR201" s="132" t="s">
        <v>610</v>
      </c>
      <c r="AS201" s="132" t="s">
        <v>607</v>
      </c>
    </row>
    <row r="202" spans="1:47" ht="45" thickBot="1">
      <c r="A202" s="235" t="s">
        <v>556</v>
      </c>
      <c r="B202" s="239">
        <v>2020</v>
      </c>
      <c r="C202" s="174" t="s">
        <v>557</v>
      </c>
      <c r="D202" s="664" t="s">
        <v>386</v>
      </c>
      <c r="E202" s="667"/>
      <c r="F202" s="667"/>
      <c r="G202" s="667"/>
      <c r="H202" s="667"/>
      <c r="I202" s="667"/>
      <c r="J202" s="667"/>
      <c r="K202" s="667"/>
      <c r="L202" s="667"/>
      <c r="M202" s="667"/>
      <c r="N202" s="669" t="s">
        <v>540</v>
      </c>
      <c r="O202" s="101"/>
      <c r="P202" s="101"/>
      <c r="Q202" s="101"/>
      <c r="R202" s="101"/>
      <c r="S202" s="101"/>
      <c r="T202" s="101"/>
      <c r="U202" s="101"/>
      <c r="V202" s="101"/>
      <c r="W202" s="101"/>
      <c r="X202" s="101"/>
      <c r="Y202" s="101"/>
      <c r="Z202" s="101"/>
      <c r="AA202" s="101"/>
      <c r="AB202" s="101"/>
      <c r="AC202" s="101"/>
      <c r="AD202" s="101"/>
      <c r="AE202" s="101"/>
      <c r="AF202" s="101"/>
      <c r="AG202" s="101"/>
      <c r="AH202" s="101"/>
      <c r="AK202" s="133">
        <f>D26</f>
        <v>360575.67443292518</v>
      </c>
      <c r="AL202" s="133">
        <f>AH26-D26</f>
        <v>0</v>
      </c>
      <c r="AM202" s="133" t="s">
        <v>307</v>
      </c>
      <c r="AN202" s="133">
        <f>AH33-AH26</f>
        <v>-225359.79652057821</v>
      </c>
      <c r="AO202" s="136" t="s">
        <v>307</v>
      </c>
      <c r="AP202" s="136">
        <f>-AH93</f>
        <v>-65372.893776171026</v>
      </c>
      <c r="AQ202" s="249">
        <f>-AH94</f>
        <v>-251.49842646906112</v>
      </c>
      <c r="AR202" s="136">
        <f>SUM(AP202:AQ202)</f>
        <v>-65624.392202640083</v>
      </c>
      <c r="AS202" s="136" t="s">
        <v>307</v>
      </c>
    </row>
    <row r="203" spans="1:47">
      <c r="A203" t="s">
        <v>254</v>
      </c>
      <c r="B203" s="245">
        <f>$D$4*B193</f>
        <v>0</v>
      </c>
      <c r="C203" s="245">
        <f>$AH$4*C193</f>
        <v>0</v>
      </c>
      <c r="D203" s="617"/>
      <c r="E203" s="101"/>
      <c r="F203" s="101"/>
      <c r="G203" s="101"/>
      <c r="H203" s="101"/>
      <c r="I203" s="101"/>
      <c r="J203" s="101"/>
      <c r="K203" s="101"/>
      <c r="L203" s="101"/>
      <c r="M203" s="101"/>
      <c r="N203" s="665"/>
      <c r="O203" s="101"/>
      <c r="P203" s="101"/>
      <c r="Q203" s="101"/>
      <c r="R203" s="101"/>
      <c r="S203" s="101"/>
      <c r="T203" s="101"/>
      <c r="U203" s="101"/>
      <c r="V203" s="101"/>
      <c r="W203" s="101"/>
      <c r="X203" s="101"/>
      <c r="Y203" s="101"/>
      <c r="Z203" s="101"/>
      <c r="AA203" s="101"/>
      <c r="AB203" s="101"/>
      <c r="AC203" s="101"/>
      <c r="AD203" s="101"/>
      <c r="AE203" s="101"/>
      <c r="AF203" s="101"/>
      <c r="AG203" s="101"/>
      <c r="AH203" s="101"/>
    </row>
    <row r="204" spans="1:47">
      <c r="A204" t="s">
        <v>27</v>
      </c>
      <c r="B204" s="245">
        <f>$D$4*B194</f>
        <v>161427.58939886771</v>
      </c>
      <c r="C204" s="245">
        <f t="shared" ref="C204:C209" si="68">$AH$4*C194</f>
        <v>193971.40285007449</v>
      </c>
      <c r="D204" s="617"/>
      <c r="E204" s="101"/>
      <c r="F204" s="101"/>
      <c r="G204" s="101"/>
      <c r="H204" s="101"/>
      <c r="I204" s="101"/>
      <c r="J204" s="101"/>
      <c r="K204" s="101"/>
      <c r="L204" s="101"/>
      <c r="M204" s="101"/>
      <c r="N204" s="665"/>
      <c r="O204" s="101"/>
      <c r="P204" s="101"/>
      <c r="Q204" s="101"/>
      <c r="R204" s="101"/>
      <c r="S204" s="101"/>
      <c r="T204" s="101"/>
      <c r="U204" s="101"/>
      <c r="V204" s="101"/>
      <c r="W204" s="101"/>
      <c r="X204" s="101"/>
      <c r="Y204" s="101"/>
      <c r="Z204" s="101"/>
      <c r="AA204" s="101"/>
      <c r="AB204" s="101"/>
      <c r="AC204" s="101"/>
      <c r="AD204" s="101"/>
      <c r="AE204" s="101"/>
      <c r="AF204" s="101"/>
      <c r="AG204" s="101"/>
      <c r="AH204" s="101"/>
    </row>
    <row r="205" spans="1:47" ht="103.25">
      <c r="A205" t="s">
        <v>23</v>
      </c>
      <c r="B205" s="245">
        <f t="shared" ref="B205:B209" si="69">$D$4*B195</f>
        <v>54473.656843066936</v>
      </c>
      <c r="C205" s="245">
        <f t="shared" si="68"/>
        <v>64724.330393270204</v>
      </c>
      <c r="D205" s="617"/>
      <c r="E205" s="101"/>
      <c r="F205" s="101"/>
      <c r="G205" s="101"/>
      <c r="H205" s="101"/>
      <c r="I205" s="101"/>
      <c r="J205" s="101"/>
      <c r="K205" s="101"/>
      <c r="L205" s="101"/>
      <c r="M205" s="101"/>
      <c r="N205" s="665"/>
      <c r="O205" s="101"/>
      <c r="P205" s="101"/>
      <c r="Q205" s="101"/>
      <c r="R205" s="101"/>
      <c r="S205" s="101"/>
      <c r="T205" s="101"/>
      <c r="U205" s="101"/>
      <c r="V205" s="101"/>
      <c r="W205" s="101"/>
      <c r="X205" s="101"/>
      <c r="Y205" s="101"/>
      <c r="Z205" s="101"/>
      <c r="AA205" s="101"/>
      <c r="AB205" s="101"/>
      <c r="AC205" s="101"/>
      <c r="AD205" s="101"/>
      <c r="AE205" s="101"/>
      <c r="AF205" s="101"/>
      <c r="AG205" s="101"/>
      <c r="AH205" s="101"/>
      <c r="AJ205" s="135" t="s">
        <v>309</v>
      </c>
      <c r="AK205" s="132" t="s">
        <v>128</v>
      </c>
      <c r="AL205" s="132" t="s">
        <v>305</v>
      </c>
      <c r="AM205" s="132" t="s">
        <v>306</v>
      </c>
      <c r="AN205" s="132" t="s">
        <v>611</v>
      </c>
      <c r="AO205" s="247" t="s">
        <v>585</v>
      </c>
      <c r="AP205" s="132" t="s">
        <v>612</v>
      </c>
      <c r="AQ205" s="132" t="s">
        <v>614</v>
      </c>
      <c r="AR205" s="132" t="s">
        <v>616</v>
      </c>
      <c r="AS205" s="132" t="s">
        <v>615</v>
      </c>
      <c r="AT205" s="132" t="s">
        <v>617</v>
      </c>
      <c r="AU205" s="132" t="s">
        <v>607</v>
      </c>
    </row>
    <row r="206" spans="1:47">
      <c r="A206" s="124" t="s">
        <v>53</v>
      </c>
      <c r="B206" s="245">
        <f t="shared" si="69"/>
        <v>11515.24383287316</v>
      </c>
      <c r="C206" s="245">
        <f t="shared" si="68"/>
        <v>11515.24383287316</v>
      </c>
      <c r="D206" s="617"/>
      <c r="E206" s="101"/>
      <c r="F206" s="101"/>
      <c r="G206" s="101"/>
      <c r="H206" s="101"/>
      <c r="I206" s="101"/>
      <c r="J206" s="101"/>
      <c r="K206" s="101"/>
      <c r="L206" s="101"/>
      <c r="M206" s="101"/>
      <c r="N206" s="665"/>
      <c r="O206" s="101"/>
      <c r="P206" s="101"/>
      <c r="Q206" s="101"/>
      <c r="R206" s="101"/>
      <c r="S206" s="101"/>
      <c r="T206" s="101"/>
      <c r="U206" s="101"/>
      <c r="V206" s="101"/>
      <c r="W206" s="101"/>
      <c r="X206" s="101"/>
      <c r="Y206" s="101"/>
      <c r="Z206" s="101"/>
      <c r="AA206" s="101"/>
      <c r="AB206" s="101"/>
      <c r="AC206" s="101"/>
      <c r="AD206" s="101"/>
      <c r="AE206" s="101"/>
      <c r="AF206" s="101"/>
      <c r="AG206" s="101"/>
      <c r="AH206" s="101"/>
      <c r="AK206" s="136">
        <f>D40</f>
        <v>201906.27397932502</v>
      </c>
      <c r="AL206" s="136">
        <f>AH40-D40</f>
        <v>0</v>
      </c>
      <c r="AM206" s="136" t="s">
        <v>307</v>
      </c>
      <c r="AN206" s="136">
        <f>AH43-AH40</f>
        <v>-150164.20467974676</v>
      </c>
      <c r="AO206" s="136" t="s">
        <v>307</v>
      </c>
      <c r="AP206" s="136">
        <f>-AH123</f>
        <v>-45767.536740718606</v>
      </c>
      <c r="AQ206" s="136">
        <f>-AH124</f>
        <v>-32417.24282824203</v>
      </c>
      <c r="AR206" s="41">
        <f>-AH126</f>
        <v>-1210.2462175602836</v>
      </c>
      <c r="AS206" s="41">
        <f>-AH125</f>
        <v>170.12277274079406</v>
      </c>
      <c r="AT206" s="136">
        <f>SUM(AP206:AS206)</f>
        <v>-79224.903013780116</v>
      </c>
      <c r="AU206" t="s">
        <v>307</v>
      </c>
    </row>
    <row r="207" spans="1:47">
      <c r="A207" t="s">
        <v>333</v>
      </c>
      <c r="B207" s="245">
        <f t="shared" si="69"/>
        <v>93277.946794923075</v>
      </c>
      <c r="C207" s="245">
        <f t="shared" si="68"/>
        <v>110830.68397911082</v>
      </c>
      <c r="D207" s="617"/>
      <c r="E207" s="101"/>
      <c r="F207" s="101"/>
      <c r="G207" s="101"/>
      <c r="H207" s="101"/>
      <c r="I207" s="101"/>
      <c r="J207" s="101"/>
      <c r="K207" s="101"/>
      <c r="L207" s="101"/>
      <c r="M207" s="101"/>
      <c r="N207" s="665"/>
      <c r="O207" s="101"/>
      <c r="P207" s="101"/>
      <c r="Q207" s="101"/>
      <c r="R207" s="101"/>
      <c r="S207" s="101"/>
      <c r="T207" s="101"/>
      <c r="U207" s="101"/>
      <c r="V207" s="101"/>
      <c r="W207" s="101"/>
      <c r="X207" s="101"/>
      <c r="Y207" s="101"/>
      <c r="Z207" s="101"/>
      <c r="AA207" s="101"/>
      <c r="AB207" s="101"/>
      <c r="AC207" s="101"/>
      <c r="AD207" s="101"/>
      <c r="AE207" s="101"/>
      <c r="AF207" s="101"/>
      <c r="AG207" s="101"/>
      <c r="AH207" s="101"/>
    </row>
    <row r="208" spans="1:47" ht="44.25">
      <c r="A208" t="s">
        <v>19</v>
      </c>
      <c r="B208" s="245">
        <f t="shared" si="69"/>
        <v>201906.27397932502</v>
      </c>
      <c r="C208" s="245">
        <f t="shared" si="68"/>
        <v>239900.33243334957</v>
      </c>
      <c r="D208" s="617"/>
      <c r="E208" s="101"/>
      <c r="F208" s="101"/>
      <c r="G208" s="101"/>
      <c r="H208" s="101"/>
      <c r="I208" s="101"/>
      <c r="J208" s="101"/>
      <c r="K208" s="101"/>
      <c r="L208" s="101"/>
      <c r="M208" s="101"/>
      <c r="N208" s="665"/>
      <c r="O208" s="101"/>
      <c r="P208" s="101"/>
      <c r="Q208" s="101"/>
      <c r="R208" s="101"/>
      <c r="S208" s="101"/>
      <c r="T208" s="101"/>
      <c r="U208" s="101"/>
      <c r="V208" s="101"/>
      <c r="W208" s="101"/>
      <c r="X208" s="101"/>
      <c r="Y208" s="101"/>
      <c r="Z208" s="101"/>
      <c r="AA208" s="101"/>
      <c r="AB208" s="101"/>
      <c r="AC208" s="101"/>
      <c r="AD208" s="101"/>
      <c r="AE208" s="101"/>
      <c r="AF208" s="101"/>
      <c r="AG208" s="101"/>
      <c r="AH208" s="101"/>
      <c r="AJ208" s="135" t="s">
        <v>310</v>
      </c>
      <c r="AK208" s="132" t="s">
        <v>128</v>
      </c>
      <c r="AL208" s="132" t="s">
        <v>305</v>
      </c>
      <c r="AM208" s="132" t="s">
        <v>306</v>
      </c>
      <c r="AN208" s="132" t="s">
        <v>611</v>
      </c>
      <c r="AO208" s="247" t="s">
        <v>585</v>
      </c>
      <c r="AP208" s="132" t="s">
        <v>612</v>
      </c>
      <c r="AQ208" s="132" t="s">
        <v>607</v>
      </c>
      <c r="AR208" s="132"/>
      <c r="AS208" s="132"/>
      <c r="AT208" s="132"/>
    </row>
    <row r="209" spans="1:47" ht="15.5" thickBot="1">
      <c r="A209" t="s">
        <v>555</v>
      </c>
      <c r="B209" s="245">
        <f t="shared" si="69"/>
        <v>360575.67443292518</v>
      </c>
      <c r="C209" s="245">
        <f t="shared" si="68"/>
        <v>428427.61871132196</v>
      </c>
      <c r="D209" s="617"/>
      <c r="E209" s="101"/>
      <c r="F209" s="101"/>
      <c r="G209" s="101"/>
      <c r="H209" s="101"/>
      <c r="I209" s="101"/>
      <c r="J209" s="101"/>
      <c r="K209" s="101"/>
      <c r="L209" s="101"/>
      <c r="M209" s="101"/>
      <c r="N209" s="665"/>
      <c r="O209" s="101"/>
      <c r="P209" s="101"/>
      <c r="Q209" s="101"/>
      <c r="R209" s="101"/>
      <c r="S209" s="101"/>
      <c r="T209" s="101"/>
      <c r="U209" s="101"/>
      <c r="V209" s="101"/>
      <c r="W209" s="101"/>
      <c r="X209" s="101"/>
      <c r="Y209" s="101"/>
      <c r="Z209" s="101"/>
      <c r="AA209" s="101"/>
      <c r="AB209" s="101"/>
      <c r="AC209" s="101"/>
      <c r="AD209" s="101"/>
      <c r="AE209" s="101"/>
      <c r="AF209" s="101"/>
      <c r="AG209" s="101"/>
      <c r="AH209" s="101"/>
      <c r="AK209" s="136">
        <f>D12</f>
        <v>93277.946794923075</v>
      </c>
      <c r="AL209" s="136">
        <f>AH12-D12</f>
        <v>61392.580336634099</v>
      </c>
      <c r="AM209" s="136" t="s">
        <v>307</v>
      </c>
      <c r="AN209" s="136">
        <f>AH19-AH12</f>
        <v>-64616.706119750641</v>
      </c>
      <c r="AO209" s="136" t="s">
        <v>307</v>
      </c>
      <c r="AP209" s="136">
        <f>-AH103</f>
        <v>-11876.231518584302</v>
      </c>
      <c r="AQ209" t="s">
        <v>307</v>
      </c>
      <c r="AR209" s="41"/>
      <c r="AS209" s="41"/>
      <c r="AT209" s="136"/>
    </row>
    <row r="210" spans="1:47" ht="15.5" thickBot="1">
      <c r="A210" s="173" t="s">
        <v>78</v>
      </c>
      <c r="B210" s="248">
        <f>SUM(B203:B209)</f>
        <v>883176.38528198109</v>
      </c>
      <c r="C210" s="248">
        <f>SUM(C203:C209)</f>
        <v>1049369.6122000003</v>
      </c>
      <c r="D210" s="670"/>
      <c r="E210" s="101"/>
      <c r="F210" s="101"/>
      <c r="G210" s="101"/>
      <c r="H210" s="101"/>
      <c r="I210" s="101"/>
      <c r="J210" s="101"/>
      <c r="K210" s="101"/>
      <c r="L210" s="101"/>
      <c r="M210" s="101"/>
      <c r="N210" s="668"/>
      <c r="O210" s="101"/>
      <c r="P210" s="101"/>
      <c r="Q210" s="101"/>
      <c r="R210" s="101"/>
      <c r="S210" s="101"/>
      <c r="T210" s="101"/>
      <c r="U210" s="101"/>
      <c r="V210" s="101"/>
      <c r="W210" s="101"/>
      <c r="X210" s="101"/>
      <c r="Y210" s="101"/>
      <c r="Z210" s="101"/>
      <c r="AA210" s="101"/>
      <c r="AB210" s="101"/>
      <c r="AC210" s="101"/>
      <c r="AD210" s="101"/>
      <c r="AE210" s="101"/>
      <c r="AF210" s="101"/>
      <c r="AG210" s="101"/>
      <c r="AH210" s="101"/>
    </row>
    <row r="211" spans="1:47" ht="73.75">
      <c r="D211" s="101"/>
      <c r="E211" s="101"/>
      <c r="F211" s="101"/>
      <c r="G211" s="101"/>
      <c r="H211" s="101"/>
      <c r="I211" s="101"/>
      <c r="J211" s="101"/>
      <c r="K211" s="101"/>
      <c r="L211" s="101"/>
      <c r="M211" s="101"/>
      <c r="N211" s="101"/>
      <c r="O211" s="101"/>
      <c r="P211" s="101"/>
      <c r="Q211" s="101"/>
      <c r="R211" s="101"/>
      <c r="S211" s="101"/>
      <c r="T211" s="101"/>
      <c r="U211" s="101"/>
      <c r="V211" s="101"/>
      <c r="W211" s="101"/>
      <c r="X211" s="101"/>
      <c r="Y211" s="101"/>
      <c r="Z211" s="101"/>
      <c r="AA211" s="101"/>
      <c r="AB211" s="101"/>
      <c r="AC211" s="101"/>
      <c r="AD211" s="101"/>
      <c r="AE211" s="101"/>
      <c r="AF211" s="101"/>
      <c r="AG211" s="101"/>
      <c r="AH211" s="101"/>
      <c r="AJ211" s="135" t="s">
        <v>311</v>
      </c>
      <c r="AK211" s="132" t="s">
        <v>128</v>
      </c>
      <c r="AL211" s="132" t="s">
        <v>305</v>
      </c>
      <c r="AM211" s="132" t="s">
        <v>306</v>
      </c>
      <c r="AN211" s="132" t="s">
        <v>611</v>
      </c>
      <c r="AO211" s="247" t="s">
        <v>585</v>
      </c>
      <c r="AP211" s="132" t="s">
        <v>612</v>
      </c>
      <c r="AQ211" s="132" t="s">
        <v>618</v>
      </c>
      <c r="AR211" s="132" t="s">
        <v>627</v>
      </c>
      <c r="AS211" s="132" t="s">
        <v>607</v>
      </c>
    </row>
    <row r="212" spans="1:47">
      <c r="A212" s="1" t="s">
        <v>619</v>
      </c>
      <c r="D212" s="591">
        <v>2020</v>
      </c>
      <c r="E212" s="591">
        <f>D212+1</f>
        <v>2021</v>
      </c>
      <c r="F212" s="591">
        <f t="shared" ref="F212" si="70">E212+1</f>
        <v>2022</v>
      </c>
      <c r="G212" s="591">
        <f t="shared" ref="G212" si="71">F212+1</f>
        <v>2023</v>
      </c>
      <c r="H212" s="591">
        <f t="shared" ref="H212" si="72">G212+1</f>
        <v>2024</v>
      </c>
      <c r="I212" s="591">
        <f t="shared" ref="I212" si="73">H212+1</f>
        <v>2025</v>
      </c>
      <c r="J212" s="591">
        <f t="shared" ref="J212" si="74">I212+1</f>
        <v>2026</v>
      </c>
      <c r="K212" s="591">
        <f t="shared" ref="K212" si="75">J212+1</f>
        <v>2027</v>
      </c>
      <c r="L212" s="591">
        <f t="shared" ref="L212" si="76">K212+1</f>
        <v>2028</v>
      </c>
      <c r="M212" s="591">
        <f t="shared" ref="M212" si="77">L212+1</f>
        <v>2029</v>
      </c>
      <c r="N212" s="591">
        <f t="shared" ref="N212" si="78">M212+1</f>
        <v>2030</v>
      </c>
      <c r="O212" s="591">
        <f t="shared" ref="O212" si="79">N212+1</f>
        <v>2031</v>
      </c>
      <c r="P212" s="591">
        <f t="shared" ref="P212" si="80">O212+1</f>
        <v>2032</v>
      </c>
      <c r="Q212" s="591">
        <f t="shared" ref="Q212" si="81">P212+1</f>
        <v>2033</v>
      </c>
      <c r="R212" s="591">
        <f>Q212+1</f>
        <v>2034</v>
      </c>
      <c r="S212" s="591">
        <f t="shared" ref="S212" si="82">R212+1</f>
        <v>2035</v>
      </c>
      <c r="T212" s="591">
        <f t="shared" ref="T212" si="83">S212+1</f>
        <v>2036</v>
      </c>
      <c r="U212" s="591">
        <f t="shared" ref="U212" si="84">T212+1</f>
        <v>2037</v>
      </c>
      <c r="V212" s="591">
        <f t="shared" ref="V212" si="85">U212+1</f>
        <v>2038</v>
      </c>
      <c r="W212" s="591">
        <f t="shared" ref="W212" si="86">V212+1</f>
        <v>2039</v>
      </c>
      <c r="X212" s="591">
        <f t="shared" ref="X212" si="87">W212+1</f>
        <v>2040</v>
      </c>
      <c r="Y212" s="591">
        <f t="shared" ref="Y212" si="88">X212+1</f>
        <v>2041</v>
      </c>
      <c r="Z212" s="591">
        <f t="shared" ref="Z212" si="89">Y212+1</f>
        <v>2042</v>
      </c>
      <c r="AA212" s="591">
        <f t="shared" ref="AA212" si="90">Z212+1</f>
        <v>2043</v>
      </c>
      <c r="AB212" s="591">
        <f t="shared" ref="AB212" si="91">AA212+1</f>
        <v>2044</v>
      </c>
      <c r="AC212" s="591">
        <f>AB212+1</f>
        <v>2045</v>
      </c>
      <c r="AD212" s="591">
        <f t="shared" ref="AD212" si="92">AC212+1</f>
        <v>2046</v>
      </c>
      <c r="AE212" s="591">
        <f t="shared" ref="AE212" si="93">AD212+1</f>
        <v>2047</v>
      </c>
      <c r="AF212" s="591">
        <f t="shared" ref="AF212" si="94">AE212+1</f>
        <v>2048</v>
      </c>
      <c r="AG212" s="591">
        <f>AF212+1</f>
        <v>2049</v>
      </c>
      <c r="AH212" s="591">
        <f t="shared" ref="AH212" si="95">AG212+1</f>
        <v>2050</v>
      </c>
      <c r="AK212" s="136">
        <f>D50</f>
        <v>5757.6219164365802</v>
      </c>
      <c r="AL212" s="136">
        <f>AH50-D50</f>
        <v>0</v>
      </c>
      <c r="AM212" s="136" t="s">
        <v>307</v>
      </c>
      <c r="AN212" s="136">
        <f>AH55-AH50</f>
        <v>-4548.5213139848984</v>
      </c>
      <c r="AO212" s="136" t="s">
        <v>307</v>
      </c>
      <c r="AP212" s="136">
        <f>-AH113</f>
        <v>-3828.2973639406146</v>
      </c>
      <c r="AQ212" s="250">
        <f>-AH114</f>
        <v>8326.4050258257394</v>
      </c>
      <c r="AR212" s="136">
        <f>SUM(AP212:AQ212)</f>
        <v>4498.1076618851248</v>
      </c>
      <c r="AS212" t="s">
        <v>307</v>
      </c>
    </row>
    <row r="213" spans="1:47">
      <c r="C213" t="s">
        <v>164</v>
      </c>
      <c r="D213" s="101">
        <f t="shared" ref="D213:AH213" si="96">D81</f>
        <v>0</v>
      </c>
      <c r="E213" s="101">
        <f t="shared" si="96"/>
        <v>8698.3794710242528</v>
      </c>
      <c r="F213" s="101">
        <f t="shared" si="96"/>
        <v>17398.961497695575</v>
      </c>
      <c r="G213" s="101">
        <f t="shared" si="96"/>
        <v>26101.812922771012</v>
      </c>
      <c r="H213" s="101">
        <f t="shared" si="96"/>
        <v>34807.002161189841</v>
      </c>
      <c r="I213" s="101">
        <f t="shared" si="96"/>
        <v>43514.599230765307</v>
      </c>
      <c r="J213" s="101">
        <f t="shared" si="96"/>
        <v>52224.675783366853</v>
      </c>
      <c r="K213" s="101">
        <f t="shared" si="96"/>
        <v>60937.305136598254</v>
      </c>
      <c r="L213" s="101">
        <f t="shared" si="96"/>
        <v>69652.562305977277</v>
      </c>
      <c r="M213" s="101">
        <f t="shared" si="96"/>
        <v>78370.524037622061</v>
      </c>
      <c r="N213" s="101">
        <f t="shared" si="96"/>
        <v>87091.268841449724</v>
      </c>
      <c r="O213" s="101">
        <f t="shared" si="96"/>
        <v>100713.79563545887</v>
      </c>
      <c r="P213" s="101">
        <f t="shared" si="96"/>
        <v>114383.39965802357</v>
      </c>
      <c r="Q213" s="101">
        <f t="shared" si="96"/>
        <v>128101.14643803364</v>
      </c>
      <c r="R213" s="101">
        <f t="shared" si="96"/>
        <v>141868.11768735794</v>
      </c>
      <c r="S213" s="101">
        <f t="shared" si="96"/>
        <v>155685.41137085517</v>
      </c>
      <c r="T213" s="101">
        <f t="shared" si="96"/>
        <v>169554.14177009181</v>
      </c>
      <c r="U213" s="101">
        <f t="shared" si="96"/>
        <v>183475.43954044732</v>
      </c>
      <c r="V213" s="101">
        <f t="shared" si="96"/>
        <v>197450.45176127471</v>
      </c>
      <c r="W213" s="101">
        <f t="shared" si="96"/>
        <v>211480.34197877569</v>
      </c>
      <c r="X213" s="101">
        <f t="shared" si="96"/>
        <v>225566.29024123462</v>
      </c>
      <c r="Y213" s="101">
        <f t="shared" si="96"/>
        <v>242096.06017545087</v>
      </c>
      <c r="Z213" s="101">
        <f t="shared" si="96"/>
        <v>258700.66671656683</v>
      </c>
      <c r="AA213" s="101">
        <f t="shared" si="96"/>
        <v>275380.10802207747</v>
      </c>
      <c r="AB213" s="101">
        <f t="shared" si="96"/>
        <v>292134.32535663317</v>
      </c>
      <c r="AC213" s="101">
        <f t="shared" si="96"/>
        <v>308963.20038138691</v>
      </c>
      <c r="AD213" s="101">
        <f t="shared" si="96"/>
        <v>325866.55235138076</v>
      </c>
      <c r="AE213" s="101">
        <f t="shared" si="96"/>
        <v>342844.13521830342</v>
      </c>
      <c r="AF213" s="101">
        <f t="shared" si="96"/>
        <v>359895.63463587675</v>
      </c>
      <c r="AG213" s="101">
        <f t="shared" si="96"/>
        <v>377020.66486505617</v>
      </c>
      <c r="AH213" s="101">
        <f t="shared" si="96"/>
        <v>394218.76557615888</v>
      </c>
    </row>
    <row r="214" spans="1:47" ht="88.5">
      <c r="C214" t="s">
        <v>167</v>
      </c>
      <c r="D214" s="101">
        <f t="shared" ref="D214:AH214" si="97">D82</f>
        <v>0</v>
      </c>
      <c r="E214" s="101">
        <f t="shared" si="97"/>
        <v>4292.5939482650556</v>
      </c>
      <c r="F214" s="101">
        <f t="shared" si="97"/>
        <v>8579.866044537057</v>
      </c>
      <c r="G214" s="101">
        <f t="shared" si="97"/>
        <v>12861.680581590183</v>
      </c>
      <c r="H214" s="101">
        <f t="shared" si="97"/>
        <v>17137.898776168156</v>
      </c>
      <c r="I214" s="101">
        <f t="shared" si="97"/>
        <v>21408.378703618604</v>
      </c>
      <c r="J214" s="101">
        <f t="shared" si="97"/>
        <v>25672.975231193948</v>
      </c>
      <c r="K214" s="101">
        <f t="shared" si="97"/>
        <v>29931.539949992395</v>
      </c>
      <c r="L214" s="101">
        <f t="shared" si="97"/>
        <v>34183.92110551204</v>
      </c>
      <c r="M214" s="101">
        <f t="shared" si="97"/>
        <v>38429.963526790671</v>
      </c>
      <c r="N214" s="101">
        <f t="shared" si="97"/>
        <v>42669.508554103129</v>
      </c>
      <c r="O214" s="101">
        <f t="shared" si="97"/>
        <v>46902.393965187803</v>
      </c>
      <c r="P214" s="101">
        <f t="shared" si="97"/>
        <v>49863.193858387931</v>
      </c>
      <c r="Q214" s="101">
        <f t="shared" si="97"/>
        <v>54213.147712007929</v>
      </c>
      <c r="R214" s="101">
        <f t="shared" si="97"/>
        <v>58555.93314698185</v>
      </c>
      <c r="S214" s="101">
        <f t="shared" si="97"/>
        <v>62891.372922717339</v>
      </c>
      <c r="T214" s="101">
        <f t="shared" si="97"/>
        <v>67219.285844114827</v>
      </c>
      <c r="U214" s="101">
        <f t="shared" si="97"/>
        <v>71539.486678336907</v>
      </c>
      <c r="V214" s="101">
        <f t="shared" si="97"/>
        <v>75851.786069890601</v>
      </c>
      <c r="W214" s="101">
        <f t="shared" si="97"/>
        <v>80155.990453989347</v>
      </c>
      <c r="X214" s="101">
        <f t="shared" si="97"/>
        <v>84451.90196816079</v>
      </c>
      <c r="Y214" s="101">
        <f t="shared" si="97"/>
        <v>92779.555558320237</v>
      </c>
      <c r="Z214" s="101">
        <f t="shared" si="97"/>
        <v>97090.482749796662</v>
      </c>
      <c r="AA214" s="101">
        <f t="shared" si="97"/>
        <v>101392.26509882779</v>
      </c>
      <c r="AB214" s="101">
        <f t="shared" si="97"/>
        <v>105684.68074024399</v>
      </c>
      <c r="AC214" s="101">
        <f t="shared" si="97"/>
        <v>109967.50290831945</v>
      </c>
      <c r="AD214" s="101">
        <f t="shared" si="97"/>
        <v>114240.49983427215</v>
      </c>
      <c r="AE214" s="101">
        <f t="shared" si="97"/>
        <v>118503.43464169528</v>
      </c>
      <c r="AF214" s="101">
        <f t="shared" si="97"/>
        <v>122756.06523987908</v>
      </c>
      <c r="AG214" s="101">
        <f t="shared" si="97"/>
        <v>126998.14421498214</v>
      </c>
      <c r="AH214" s="101">
        <f t="shared" si="97"/>
        <v>131229.41871900862</v>
      </c>
      <c r="AJ214" s="135" t="s">
        <v>622</v>
      </c>
      <c r="AK214" s="132" t="s">
        <v>128</v>
      </c>
      <c r="AL214" s="132" t="s">
        <v>305</v>
      </c>
      <c r="AM214" s="132" t="s">
        <v>306</v>
      </c>
      <c r="AN214" s="132" t="s">
        <v>611</v>
      </c>
      <c r="AO214" s="247" t="s">
        <v>585</v>
      </c>
      <c r="AP214" s="132" t="s">
        <v>612</v>
      </c>
      <c r="AQ214" s="132" t="s">
        <v>623</v>
      </c>
      <c r="AR214" s="132" t="s">
        <v>624</v>
      </c>
      <c r="AS214" s="132" t="s">
        <v>625</v>
      </c>
      <c r="AT214" s="132" t="s">
        <v>626</v>
      </c>
      <c r="AU214" s="132" t="s">
        <v>607</v>
      </c>
    </row>
    <row r="215" spans="1:47">
      <c r="C215" t="s">
        <v>555</v>
      </c>
      <c r="D215" s="101">
        <f t="shared" ref="D215:AH215" si="98">D33</f>
        <v>360575.67443292518</v>
      </c>
      <c r="E215" s="101">
        <f t="shared" si="98"/>
        <v>355780.01796296728</v>
      </c>
      <c r="F215" s="101">
        <f t="shared" si="98"/>
        <v>350984.36149300938</v>
      </c>
      <c r="G215" s="101">
        <f t="shared" si="98"/>
        <v>346188.70502305147</v>
      </c>
      <c r="H215" s="101">
        <f t="shared" si="98"/>
        <v>341393.04855309357</v>
      </c>
      <c r="I215" s="101">
        <f t="shared" si="98"/>
        <v>336597.39208313567</v>
      </c>
      <c r="J215" s="101">
        <f t="shared" si="98"/>
        <v>331801.73561317776</v>
      </c>
      <c r="K215" s="101">
        <f t="shared" si="98"/>
        <v>327006.07914321986</v>
      </c>
      <c r="L215" s="101">
        <f t="shared" si="98"/>
        <v>322210.42267326196</v>
      </c>
      <c r="M215" s="101">
        <f t="shared" si="98"/>
        <v>317414.76620330405</v>
      </c>
      <c r="N215" s="101">
        <f t="shared" si="98"/>
        <v>312619.10973334615</v>
      </c>
      <c r="O215" s="101">
        <f t="shared" si="98"/>
        <v>304096.54309244949</v>
      </c>
      <c r="P215" s="101">
        <f t="shared" si="98"/>
        <v>296839.23649313801</v>
      </c>
      <c r="Q215" s="101">
        <f t="shared" si="98"/>
        <v>288185.78088242223</v>
      </c>
      <c r="R215" s="101">
        <f t="shared" si="98"/>
        <v>279532.3252717065</v>
      </c>
      <c r="S215" s="101">
        <f t="shared" si="98"/>
        <v>270878.86966099072</v>
      </c>
      <c r="T215" s="101">
        <f t="shared" si="98"/>
        <v>262225.41405027494</v>
      </c>
      <c r="U215" s="101">
        <f t="shared" si="98"/>
        <v>253571.95843955915</v>
      </c>
      <c r="V215" s="101">
        <f t="shared" si="98"/>
        <v>244918.5028288434</v>
      </c>
      <c r="W215" s="101">
        <f t="shared" si="98"/>
        <v>236265.04721812767</v>
      </c>
      <c r="X215" s="101">
        <f t="shared" si="98"/>
        <v>227611.59160741183</v>
      </c>
      <c r="Y215" s="101">
        <f t="shared" si="98"/>
        <v>214765.00147871557</v>
      </c>
      <c r="Z215" s="101">
        <f t="shared" si="98"/>
        <v>205926.20997134133</v>
      </c>
      <c r="AA215" s="101">
        <f t="shared" si="98"/>
        <v>197087.41846396698</v>
      </c>
      <c r="AB215" s="101">
        <f t="shared" si="98"/>
        <v>188248.62695659272</v>
      </c>
      <c r="AC215" s="101">
        <f t="shared" si="98"/>
        <v>179409.83544921846</v>
      </c>
      <c r="AD215" s="101">
        <f t="shared" si="98"/>
        <v>170571.04394184414</v>
      </c>
      <c r="AE215" s="101">
        <f t="shared" si="98"/>
        <v>161732.25243446985</v>
      </c>
      <c r="AF215" s="101">
        <f t="shared" si="98"/>
        <v>152893.46092709556</v>
      </c>
      <c r="AG215" s="101">
        <f t="shared" si="98"/>
        <v>144054.66941972123</v>
      </c>
      <c r="AH215" s="101">
        <f t="shared" si="98"/>
        <v>135215.87791234697</v>
      </c>
      <c r="AK215" s="136">
        <f>D62</f>
        <v>387852.09507639048</v>
      </c>
      <c r="AL215" s="136">
        <f>AH62-D62</f>
        <v>-61392.580336634186</v>
      </c>
      <c r="AM215" s="136" t="s">
        <v>307</v>
      </c>
      <c r="AN215" s="136">
        <f>AH65-AH62</f>
        <v>-65291.902947951254</v>
      </c>
      <c r="AO215" s="136" t="s">
        <v>307</v>
      </c>
      <c r="AP215" s="136">
        <f>-AH135</f>
        <v>-49466.860259393827</v>
      </c>
      <c r="AQ215" s="136">
        <f>-AH136</f>
        <v>-3470.4223683541495</v>
      </c>
      <c r="AR215" s="41">
        <f>-AH138</f>
        <v>-754.4952794071836</v>
      </c>
      <c r="AS215" s="41">
        <f>-AH137</f>
        <v>170.12277274079406</v>
      </c>
      <c r="AT215" s="136">
        <f>SUM(AP215:AS215)</f>
        <v>-53521.655134414366</v>
      </c>
      <c r="AU215" t="s">
        <v>307</v>
      </c>
    </row>
    <row r="216" spans="1:47">
      <c r="C216" t="s">
        <v>19</v>
      </c>
      <c r="D216" s="101">
        <f t="shared" ref="D216:AH216" si="99">D43</f>
        <v>201906.27397932502</v>
      </c>
      <c r="E216" s="101">
        <f t="shared" si="99"/>
        <v>196950.85522489337</v>
      </c>
      <c r="F216" s="101">
        <f t="shared" si="99"/>
        <v>191995.43647046175</v>
      </c>
      <c r="G216" s="101">
        <f t="shared" si="99"/>
        <v>187040.0177160301</v>
      </c>
      <c r="H216" s="101">
        <f t="shared" si="99"/>
        <v>182084.59896159847</v>
      </c>
      <c r="I216" s="101">
        <f t="shared" si="99"/>
        <v>177129.18020716679</v>
      </c>
      <c r="J216" s="101">
        <f t="shared" si="99"/>
        <v>172173.76145273517</v>
      </c>
      <c r="K216" s="101">
        <f t="shared" si="99"/>
        <v>167218.34269830352</v>
      </c>
      <c r="L216" s="101">
        <f t="shared" si="99"/>
        <v>162262.92394387187</v>
      </c>
      <c r="M216" s="101">
        <f t="shared" si="99"/>
        <v>157307.50518944024</v>
      </c>
      <c r="N216" s="101">
        <f t="shared" si="99"/>
        <v>152352.08643500859</v>
      </c>
      <c r="O216" s="101">
        <f t="shared" si="99"/>
        <v>147396.66768057697</v>
      </c>
      <c r="P216" s="101">
        <f t="shared" si="99"/>
        <v>142441.24892614529</v>
      </c>
      <c r="Q216" s="101">
        <f t="shared" si="99"/>
        <v>137485.83017171363</v>
      </c>
      <c r="R216" s="101">
        <f t="shared" si="99"/>
        <v>132530.41141728201</v>
      </c>
      <c r="S216" s="101">
        <f t="shared" si="99"/>
        <v>127574.99266285037</v>
      </c>
      <c r="T216" s="101">
        <f t="shared" si="99"/>
        <v>122619.57390841874</v>
      </c>
      <c r="U216" s="101">
        <f t="shared" si="99"/>
        <v>117664.15515398709</v>
      </c>
      <c r="V216" s="101">
        <f t="shared" si="99"/>
        <v>112708.73639955545</v>
      </c>
      <c r="W216" s="101">
        <f t="shared" si="99"/>
        <v>107753.31764512381</v>
      </c>
      <c r="X216" s="101">
        <f t="shared" si="99"/>
        <v>102797.89889069216</v>
      </c>
      <c r="Y216" s="101">
        <f t="shared" si="99"/>
        <v>97692.315931580757</v>
      </c>
      <c r="Z216" s="101">
        <f t="shared" si="99"/>
        <v>92586.732972469385</v>
      </c>
      <c r="AA216" s="101">
        <f t="shared" si="99"/>
        <v>87481.150013357983</v>
      </c>
      <c r="AB216" s="101">
        <f t="shared" si="99"/>
        <v>82375.567054246596</v>
      </c>
      <c r="AC216" s="101">
        <f t="shared" si="99"/>
        <v>77269.984095135194</v>
      </c>
      <c r="AD216" s="101">
        <f t="shared" si="99"/>
        <v>72164.401136023807</v>
      </c>
      <c r="AE216" s="101">
        <f t="shared" si="99"/>
        <v>67058.818176912435</v>
      </c>
      <c r="AF216" s="101">
        <f t="shared" si="99"/>
        <v>61953.235217801048</v>
      </c>
      <c r="AG216" s="101">
        <f t="shared" si="99"/>
        <v>56847.652258689661</v>
      </c>
      <c r="AH216" s="101">
        <f t="shared" si="99"/>
        <v>51742.069299578259</v>
      </c>
    </row>
    <row r="217" spans="1:47" ht="44.25">
      <c r="C217" t="s">
        <v>333</v>
      </c>
      <c r="D217" s="101">
        <f t="shared" ref="D217:AH217" si="100">D19</f>
        <v>93277.946794923075</v>
      </c>
      <c r="E217" s="101">
        <f t="shared" si="100"/>
        <v>94540.769598409548</v>
      </c>
      <c r="F217" s="101">
        <f t="shared" si="100"/>
        <v>95818.832346582072</v>
      </c>
      <c r="G217" s="101">
        <f t="shared" si="100"/>
        <v>97112.283843165787</v>
      </c>
      <c r="H217" s="101">
        <f t="shared" si="100"/>
        <v>98421.273610801436</v>
      </c>
      <c r="I217" s="101">
        <f t="shared" si="100"/>
        <v>99745.951875929022</v>
      </c>
      <c r="J217" s="101">
        <f t="shared" si="100"/>
        <v>101086.46955304864</v>
      </c>
      <c r="K217" s="101">
        <f t="shared" si="100"/>
        <v>102442.97822834356</v>
      </c>
      <c r="L217" s="101">
        <f t="shared" si="100"/>
        <v>103815.63014265122</v>
      </c>
      <c r="M217" s="101">
        <f t="shared" si="100"/>
        <v>105204.5781737669</v>
      </c>
      <c r="N217" s="101">
        <f t="shared" si="100"/>
        <v>106609.97581806497</v>
      </c>
      <c r="O217" s="101">
        <f t="shared" si="100"/>
        <v>107144.41984517159</v>
      </c>
      <c r="P217" s="101">
        <f t="shared" si="100"/>
        <v>107662.94329324854</v>
      </c>
      <c r="Q217" s="101">
        <f t="shared" si="100"/>
        <v>108165.01191892027</v>
      </c>
      <c r="R217" s="101">
        <f t="shared" si="100"/>
        <v>108650.08435526797</v>
      </c>
      <c r="S217" s="101">
        <f t="shared" si="100"/>
        <v>109117.61219629813</v>
      </c>
      <c r="T217" s="101">
        <f t="shared" si="100"/>
        <v>109567.04009033789</v>
      </c>
      <c r="U217" s="101">
        <f t="shared" si="100"/>
        <v>109997.80584272249</v>
      </c>
      <c r="V217" s="101">
        <f t="shared" si="100"/>
        <v>110409.34052815149</v>
      </c>
      <c r="W217" s="101">
        <f t="shared" si="100"/>
        <v>110801.06861310251</v>
      </c>
      <c r="X217" s="101">
        <f t="shared" si="100"/>
        <v>111172.40808870361</v>
      </c>
      <c r="Y217" s="101">
        <f t="shared" si="100"/>
        <v>109269.02443237411</v>
      </c>
      <c r="Z217" s="101">
        <f t="shared" si="100"/>
        <v>107317.98559461473</v>
      </c>
      <c r="AA217" s="101">
        <f t="shared" si="100"/>
        <v>105319.67484626647</v>
      </c>
      <c r="AB217" s="101">
        <f t="shared" si="100"/>
        <v>103274.53746414579</v>
      </c>
      <c r="AC217" s="101">
        <f t="shared" si="100"/>
        <v>101183.08350531223</v>
      </c>
      <c r="AD217" s="101">
        <f t="shared" si="100"/>
        <v>99045.89067398003</v>
      </c>
      <c r="AE217" s="101">
        <f t="shared" si="100"/>
        <v>96863.607283749661</v>
      </c>
      <c r="AF217" s="101">
        <f t="shared" si="100"/>
        <v>94636.95531790542</v>
      </c>
      <c r="AG217" s="101">
        <f t="shared" si="100"/>
        <v>92366.733590598262</v>
      </c>
      <c r="AH217" s="101">
        <f t="shared" si="100"/>
        <v>90053.821011806533</v>
      </c>
      <c r="AJ217" s="135" t="s">
        <v>677</v>
      </c>
      <c r="AK217" s="132" t="s">
        <v>128</v>
      </c>
      <c r="AL217" s="132" t="s">
        <v>305</v>
      </c>
      <c r="AM217" s="132" t="s">
        <v>306</v>
      </c>
      <c r="AN217" s="132" t="s">
        <v>678</v>
      </c>
      <c r="AO217" s="132" t="s">
        <v>151</v>
      </c>
      <c r="AP217" s="247" t="s">
        <v>152</v>
      </c>
      <c r="AQ217" s="132" t="s">
        <v>621</v>
      </c>
      <c r="AR217" s="132" t="s">
        <v>607</v>
      </c>
      <c r="AS217" s="132"/>
      <c r="AT217" s="132"/>
    </row>
    <row r="218" spans="1:47">
      <c r="C218" s="124" t="s">
        <v>365</v>
      </c>
      <c r="D218" s="101">
        <f t="shared" ref="D218:AH218" si="101">D55</f>
        <v>5757.6219164365802</v>
      </c>
      <c r="E218" s="101">
        <f t="shared" si="101"/>
        <v>5579.7113992186896</v>
      </c>
      <c r="F218" s="101">
        <f t="shared" si="101"/>
        <v>5401.8008820007999</v>
      </c>
      <c r="G218" s="101">
        <f t="shared" si="101"/>
        <v>5223.8903647829093</v>
      </c>
      <c r="H218" s="101">
        <f t="shared" si="101"/>
        <v>5045.9798475650186</v>
      </c>
      <c r="I218" s="101">
        <f t="shared" si="101"/>
        <v>4868.069330347128</v>
      </c>
      <c r="J218" s="101">
        <f t="shared" si="101"/>
        <v>4690.1588131292383</v>
      </c>
      <c r="K218" s="101">
        <f t="shared" si="101"/>
        <v>4512.2482959113477</v>
      </c>
      <c r="L218" s="101">
        <f t="shared" si="101"/>
        <v>4334.3377786934579</v>
      </c>
      <c r="M218" s="101">
        <f t="shared" si="101"/>
        <v>4156.4272614755673</v>
      </c>
      <c r="N218" s="101">
        <f t="shared" si="101"/>
        <v>3978.5167442576776</v>
      </c>
      <c r="O218" s="101">
        <f t="shared" si="101"/>
        <v>3853.0005864793593</v>
      </c>
      <c r="P218" s="101">
        <f t="shared" si="101"/>
        <v>3727.4844287010424</v>
      </c>
      <c r="Q218" s="101">
        <f t="shared" si="101"/>
        <v>3601.9682709227245</v>
      </c>
      <c r="R218" s="101">
        <f t="shared" si="101"/>
        <v>3476.4521131444071</v>
      </c>
      <c r="S218" s="101">
        <f t="shared" si="101"/>
        <v>3350.9359553660897</v>
      </c>
      <c r="T218" s="101">
        <f t="shared" si="101"/>
        <v>3225.4197975877723</v>
      </c>
      <c r="U218" s="101">
        <f t="shared" si="101"/>
        <v>3099.9036398094549</v>
      </c>
      <c r="V218" s="101">
        <f t="shared" si="101"/>
        <v>2974.3874820311371</v>
      </c>
      <c r="W218" s="101">
        <f t="shared" si="101"/>
        <v>2848.8713242528202</v>
      </c>
      <c r="X218" s="101">
        <f t="shared" si="101"/>
        <v>2723.3551664745023</v>
      </c>
      <c r="Y218" s="101">
        <f t="shared" si="101"/>
        <v>2571.9297100722206</v>
      </c>
      <c r="Z218" s="101">
        <f t="shared" si="101"/>
        <v>2420.5042536699384</v>
      </c>
      <c r="AA218" s="101">
        <f t="shared" si="101"/>
        <v>2269.0787972676562</v>
      </c>
      <c r="AB218" s="101">
        <f t="shared" si="101"/>
        <v>2117.653340865374</v>
      </c>
      <c r="AC218" s="101">
        <f t="shared" si="101"/>
        <v>1966.2278844630919</v>
      </c>
      <c r="AD218" s="101">
        <f t="shared" si="101"/>
        <v>1814.8024280608099</v>
      </c>
      <c r="AE218" s="101">
        <f t="shared" si="101"/>
        <v>1663.376971658528</v>
      </c>
      <c r="AF218" s="101">
        <f t="shared" si="101"/>
        <v>1511.9515152562458</v>
      </c>
      <c r="AG218" s="101">
        <f t="shared" si="101"/>
        <v>1360.5260588539638</v>
      </c>
      <c r="AH218" s="101">
        <f t="shared" si="101"/>
        <v>1209.1006024516814</v>
      </c>
      <c r="AK218" s="136">
        <f>D4</f>
        <v>1049369.6122000003</v>
      </c>
      <c r="AL218" s="136">
        <f>AH4-D4</f>
        <v>0</v>
      </c>
      <c r="AM218" s="136" t="s">
        <v>307</v>
      </c>
      <c r="AN218" s="41">
        <f>AH83</f>
        <v>640783.40493213828</v>
      </c>
      <c r="AO218" s="136">
        <f>AH81</f>
        <v>394218.76557615888</v>
      </c>
      <c r="AP218" s="136">
        <f>AH82</f>
        <v>131229.41871900862</v>
      </c>
      <c r="AQ218" s="136">
        <f>AH146+AH147</f>
        <v>210158.33015594515</v>
      </c>
      <c r="AR218" t="s">
        <v>307</v>
      </c>
      <c r="AS218" s="41"/>
      <c r="AT218" s="136"/>
    </row>
    <row r="219" spans="1:47">
      <c r="C219" t="s">
        <v>254</v>
      </c>
      <c r="D219" s="101">
        <f t="shared" ref="D219:AH219" si="102">D74</f>
        <v>0</v>
      </c>
      <c r="E219" s="101">
        <f t="shared" si="102"/>
        <v>16039.315836118823</v>
      </c>
      <c r="F219" s="101">
        <f t="shared" si="102"/>
        <v>18197.943335202315</v>
      </c>
      <c r="G219" s="101">
        <f t="shared" si="102"/>
        <v>20647.221969013135</v>
      </c>
      <c r="H219" s="101">
        <f t="shared" si="102"/>
        <v>23426.293831920706</v>
      </c>
      <c r="I219" s="101">
        <f t="shared" si="102"/>
        <v>26579.572660410184</v>
      </c>
      <c r="J219" s="101">
        <f t="shared" si="102"/>
        <v>30157.453834506363</v>
      </c>
      <c r="K219" s="101">
        <f t="shared" si="102"/>
        <v>34217.120005400189</v>
      </c>
      <c r="L219" s="101">
        <f t="shared" si="102"/>
        <v>38823.455228697319</v>
      </c>
      <c r="M219" s="101">
        <f t="shared" si="102"/>
        <v>44050.08221737561</v>
      </c>
      <c r="N219" s="101">
        <f t="shared" si="102"/>
        <v>49980.539296840463</v>
      </c>
      <c r="O219" s="101">
        <f t="shared" si="102"/>
        <v>56709.615877871533</v>
      </c>
      <c r="P219" s="101">
        <f t="shared" si="102"/>
        <v>64344.867797461768</v>
      </c>
      <c r="Q219" s="101">
        <f t="shared" si="102"/>
        <v>73008.336753084732</v>
      </c>
      <c r="R219" s="101">
        <f t="shared" si="102"/>
        <v>82838.501318744005</v>
      </c>
      <c r="S219" s="101">
        <f t="shared" si="102"/>
        <v>93992.490733441402</v>
      </c>
      <c r="T219" s="101">
        <f t="shared" si="102"/>
        <v>106648.59685361538</v>
      </c>
      <c r="U219" s="101">
        <f t="shared" si="102"/>
        <v>121009.12442782627</v>
      </c>
      <c r="V219" s="101">
        <f t="shared" si="102"/>
        <v>137303.62526069404</v>
      </c>
      <c r="W219" s="101">
        <f t="shared" si="102"/>
        <v>155792.56797029951</v>
      </c>
      <c r="X219" s="101">
        <f t="shared" si="102"/>
        <v>176771.50200705836</v>
      </c>
      <c r="Y219" s="101">
        <f t="shared" si="102"/>
        <v>200575.7825037991</v>
      </c>
      <c r="Z219" s="101">
        <f t="shared" si="102"/>
        <v>227585.93149273761</v>
      </c>
      <c r="AA219" s="101">
        <f t="shared" si="102"/>
        <v>258233.72119859414</v>
      </c>
      <c r="AB219" s="101">
        <f t="shared" si="102"/>
        <v>293009.07666087471</v>
      </c>
      <c r="AC219" s="101">
        <f t="shared" si="102"/>
        <v>332467.90803689492</v>
      </c>
      <c r="AD219" s="101">
        <f t="shared" si="102"/>
        <v>377240.99779986346</v>
      </c>
      <c r="AE219" s="101">
        <f t="shared" si="102"/>
        <v>428044.08491087495</v>
      </c>
      <c r="AF219" s="101">
        <f t="shared" si="102"/>
        <v>485689.30717960122</v>
      </c>
      <c r="AG219" s="101">
        <f t="shared" si="102"/>
        <v>551098.18474173627</v>
      </c>
      <c r="AH219" s="101">
        <f t="shared" si="102"/>
        <v>625316.35221898253</v>
      </c>
    </row>
    <row r="220" spans="1:47">
      <c r="C220" t="s">
        <v>27</v>
      </c>
      <c r="D220" s="101">
        <f t="shared" ref="D220:AH220" si="103">D65</f>
        <v>387852.09507639048</v>
      </c>
      <c r="E220" s="101">
        <f t="shared" si="103"/>
        <v>383717.0119390029</v>
      </c>
      <c r="F220" s="101">
        <f t="shared" si="103"/>
        <v>379576.25888296403</v>
      </c>
      <c r="G220" s="101">
        <f t="shared" si="103"/>
        <v>375429.92046262417</v>
      </c>
      <c r="H220" s="101">
        <f t="shared" si="103"/>
        <v>371278.08574578864</v>
      </c>
      <c r="I220" s="101">
        <f t="shared" si="103"/>
        <v>367120.84844273812</v>
      </c>
      <c r="J220" s="101">
        <f t="shared" si="103"/>
        <v>362958.30703833263</v>
      </c>
      <c r="K220" s="101">
        <f t="shared" si="103"/>
        <v>358790.56492726482</v>
      </c>
      <c r="L220" s="101">
        <f t="shared" si="103"/>
        <v>354617.73055253207</v>
      </c>
      <c r="M220" s="101">
        <f t="shared" si="103"/>
        <v>350439.91754719825</v>
      </c>
      <c r="N220" s="101">
        <f t="shared" si="103"/>
        <v>346257.24487951503</v>
      </c>
      <c r="O220" s="101">
        <f t="shared" si="103"/>
        <v>342069.83700147958</v>
      </c>
      <c r="P220" s="101">
        <f t="shared" si="103"/>
        <v>337877.82400089863</v>
      </c>
      <c r="Q220" s="101">
        <f t="shared" si="103"/>
        <v>333681.34175704088</v>
      </c>
      <c r="R220" s="101">
        <f t="shared" si="103"/>
        <v>329480.53209995001</v>
      </c>
      <c r="S220" s="101">
        <f t="shared" si="103"/>
        <v>325275.54297350271</v>
      </c>
      <c r="T220" s="101">
        <f t="shared" si="103"/>
        <v>321066.52860228997</v>
      </c>
      <c r="U220" s="101">
        <f t="shared" si="103"/>
        <v>316853.64966240549</v>
      </c>
      <c r="V220" s="101">
        <f t="shared" si="103"/>
        <v>312637.07345622551</v>
      </c>
      <c r="W220" s="101">
        <f t="shared" si="103"/>
        <v>308416.9740912682</v>
      </c>
      <c r="X220" s="101">
        <f t="shared" si="103"/>
        <v>304193.53266321664</v>
      </c>
      <c r="Y220" s="101">
        <f t="shared" si="103"/>
        <v>299897.29106812633</v>
      </c>
      <c r="Z220" s="101">
        <f t="shared" si="103"/>
        <v>295598.99502680742</v>
      </c>
      <c r="AA220" s="101">
        <f t="shared" si="103"/>
        <v>291298.87078515091</v>
      </c>
      <c r="AB220" s="101">
        <f t="shared" si="103"/>
        <v>286997.1528751427</v>
      </c>
      <c r="AC220" s="101">
        <f t="shared" si="103"/>
        <v>282694.08433120674</v>
      </c>
      <c r="AD220" s="101">
        <f t="shared" si="103"/>
        <v>278389.91691150714</v>
      </c>
      <c r="AE220" s="101">
        <f t="shared" si="103"/>
        <v>274084.91132431861</v>
      </c>
      <c r="AF220" s="101">
        <f t="shared" si="103"/>
        <v>269779.33745957265</v>
      </c>
      <c r="AG220" s="101">
        <f t="shared" si="103"/>
        <v>265473.47462568892</v>
      </c>
      <c r="AH220" s="101">
        <f t="shared" si="103"/>
        <v>261167.61179180504</v>
      </c>
    </row>
    <row r="221" spans="1:47">
      <c r="C221" t="s">
        <v>43</v>
      </c>
      <c r="D221" s="101">
        <f>SUM(D213:D220)</f>
        <v>1049369.6122000003</v>
      </c>
      <c r="E221" s="101">
        <f t="shared" ref="E221:AH221" si="104">SUM(E213:E220)</f>
        <v>1065598.6553798998</v>
      </c>
      <c r="F221" s="101">
        <f t="shared" si="104"/>
        <v>1067953.4609524528</v>
      </c>
      <c r="G221" s="101">
        <f t="shared" si="104"/>
        <v>1070605.5328830287</v>
      </c>
      <c r="H221" s="101">
        <f t="shared" si="104"/>
        <v>1073594.1814881258</v>
      </c>
      <c r="I221" s="101">
        <f t="shared" si="104"/>
        <v>1076963.9925341108</v>
      </c>
      <c r="J221" s="101">
        <f t="shared" si="104"/>
        <v>1080765.5373194907</v>
      </c>
      <c r="K221" s="101">
        <f t="shared" si="104"/>
        <v>1085056.1783850337</v>
      </c>
      <c r="L221" s="101">
        <f t="shared" si="104"/>
        <v>1089900.9837311972</v>
      </c>
      <c r="M221" s="101">
        <f t="shared" si="104"/>
        <v>1095373.7641569735</v>
      </c>
      <c r="N221" s="101">
        <f t="shared" si="104"/>
        <v>1101558.2503025858</v>
      </c>
      <c r="O221" s="101">
        <f t="shared" si="104"/>
        <v>1108886.2736846751</v>
      </c>
      <c r="P221" s="101">
        <f t="shared" si="104"/>
        <v>1117140.1984560047</v>
      </c>
      <c r="Q221" s="101">
        <f t="shared" si="104"/>
        <v>1126442.5639041462</v>
      </c>
      <c r="R221" s="101">
        <f t="shared" si="104"/>
        <v>1136932.3574104346</v>
      </c>
      <c r="S221" s="101">
        <f t="shared" si="104"/>
        <v>1148767.2284760219</v>
      </c>
      <c r="T221" s="101">
        <f t="shared" si="104"/>
        <v>1162126.0009167313</v>
      </c>
      <c r="U221" s="101">
        <f t="shared" si="104"/>
        <v>1177211.5233850942</v>
      </c>
      <c r="V221" s="101">
        <f t="shared" si="104"/>
        <v>1194253.9037866665</v>
      </c>
      <c r="W221" s="101">
        <f t="shared" si="104"/>
        <v>1213514.1792949396</v>
      </c>
      <c r="X221" s="101">
        <f t="shared" si="104"/>
        <v>1235288.4806329524</v>
      </c>
      <c r="Y221" s="101">
        <f t="shared" si="104"/>
        <v>1259646.9608584391</v>
      </c>
      <c r="Z221" s="101">
        <f t="shared" si="104"/>
        <v>1287227.508778004</v>
      </c>
      <c r="AA221" s="101">
        <f t="shared" si="104"/>
        <v>1318462.2872255093</v>
      </c>
      <c r="AB221" s="101">
        <f t="shared" si="104"/>
        <v>1353841.6204487451</v>
      </c>
      <c r="AC221" s="101">
        <f t="shared" si="104"/>
        <v>1393921.8265919369</v>
      </c>
      <c r="AD221" s="101">
        <f t="shared" si="104"/>
        <v>1439334.1050769323</v>
      </c>
      <c r="AE221" s="101">
        <f t="shared" si="104"/>
        <v>1490794.6209619828</v>
      </c>
      <c r="AF221" s="101">
        <f t="shared" si="104"/>
        <v>1549115.9474929878</v>
      </c>
      <c r="AG221" s="101">
        <f t="shared" si="104"/>
        <v>1615220.0497753266</v>
      </c>
      <c r="AH221" s="101">
        <f t="shared" si="104"/>
        <v>1690153.0171321386</v>
      </c>
    </row>
    <row r="222" spans="1:47">
      <c r="D222" s="101"/>
      <c r="E222" s="101"/>
      <c r="F222" s="101"/>
      <c r="G222" s="101"/>
      <c r="H222" s="101"/>
      <c r="I222" s="101"/>
      <c r="J222" s="101"/>
      <c r="K222" s="101"/>
      <c r="L222" s="101"/>
      <c r="M222" s="101"/>
      <c r="N222" s="101"/>
      <c r="O222" s="101"/>
      <c r="P222" s="101"/>
      <c r="Q222" s="101"/>
      <c r="R222" s="101"/>
      <c r="S222" s="101"/>
      <c r="T222" s="101"/>
      <c r="U222" s="101"/>
      <c r="V222" s="101"/>
      <c r="W222" s="101"/>
      <c r="X222" s="101"/>
      <c r="Y222" s="101"/>
      <c r="Z222" s="101"/>
      <c r="AA222" s="101"/>
      <c r="AB222" s="101"/>
      <c r="AC222" s="101"/>
      <c r="AD222" s="101"/>
      <c r="AE222" s="101"/>
      <c r="AF222" s="101"/>
      <c r="AG222" s="101"/>
      <c r="AH222" s="101"/>
    </row>
    <row r="223" spans="1:47">
      <c r="A223" s="1" t="s">
        <v>620</v>
      </c>
      <c r="C223" t="s">
        <v>164</v>
      </c>
      <c r="D223" s="101">
        <f>D213</f>
        <v>0</v>
      </c>
      <c r="E223" s="101">
        <f t="shared" ref="E223:AH223" si="105">E213</f>
        <v>8698.3794710242528</v>
      </c>
      <c r="F223" s="101">
        <f t="shared" si="105"/>
        <v>17398.961497695575</v>
      </c>
      <c r="G223" s="101">
        <f t="shared" si="105"/>
        <v>26101.812922771012</v>
      </c>
      <c r="H223" s="101">
        <f t="shared" si="105"/>
        <v>34807.002161189841</v>
      </c>
      <c r="I223" s="101">
        <f t="shared" si="105"/>
        <v>43514.599230765307</v>
      </c>
      <c r="J223" s="101">
        <f t="shared" si="105"/>
        <v>52224.675783366853</v>
      </c>
      <c r="K223" s="101">
        <f t="shared" si="105"/>
        <v>60937.305136598254</v>
      </c>
      <c r="L223" s="101">
        <f t="shared" si="105"/>
        <v>69652.562305977277</v>
      </c>
      <c r="M223" s="101">
        <f t="shared" si="105"/>
        <v>78370.524037622061</v>
      </c>
      <c r="N223" s="101">
        <f t="shared" si="105"/>
        <v>87091.268841449724</v>
      </c>
      <c r="O223" s="101">
        <f t="shared" si="105"/>
        <v>100713.79563545887</v>
      </c>
      <c r="P223" s="101">
        <f t="shared" si="105"/>
        <v>114383.39965802357</v>
      </c>
      <c r="Q223" s="101">
        <f t="shared" si="105"/>
        <v>128101.14643803364</v>
      </c>
      <c r="R223" s="101">
        <f t="shared" si="105"/>
        <v>141868.11768735794</v>
      </c>
      <c r="S223" s="101">
        <f t="shared" si="105"/>
        <v>155685.41137085517</v>
      </c>
      <c r="T223" s="101">
        <f t="shared" si="105"/>
        <v>169554.14177009181</v>
      </c>
      <c r="U223" s="101">
        <f t="shared" si="105"/>
        <v>183475.43954044732</v>
      </c>
      <c r="V223" s="101">
        <f t="shared" si="105"/>
        <v>197450.45176127471</v>
      </c>
      <c r="W223" s="101">
        <f t="shared" si="105"/>
        <v>211480.34197877569</v>
      </c>
      <c r="X223" s="101">
        <f t="shared" si="105"/>
        <v>225566.29024123462</v>
      </c>
      <c r="Y223" s="101">
        <f t="shared" si="105"/>
        <v>242096.06017545087</v>
      </c>
      <c r="Z223" s="101">
        <f t="shared" si="105"/>
        <v>258700.66671656683</v>
      </c>
      <c r="AA223" s="101">
        <f t="shared" si="105"/>
        <v>275380.10802207747</v>
      </c>
      <c r="AB223" s="101">
        <f t="shared" si="105"/>
        <v>292134.32535663317</v>
      </c>
      <c r="AC223" s="101">
        <f t="shared" si="105"/>
        <v>308963.20038138691</v>
      </c>
      <c r="AD223" s="101">
        <f t="shared" si="105"/>
        <v>325866.55235138076</v>
      </c>
      <c r="AE223" s="101">
        <f t="shared" si="105"/>
        <v>342844.13521830342</v>
      </c>
      <c r="AF223" s="101">
        <f t="shared" si="105"/>
        <v>359895.63463587675</v>
      </c>
      <c r="AG223" s="101">
        <f t="shared" si="105"/>
        <v>377020.66486505617</v>
      </c>
      <c r="AH223" s="101">
        <f t="shared" si="105"/>
        <v>394218.76557615888</v>
      </c>
    </row>
    <row r="224" spans="1:47">
      <c r="C224" t="s">
        <v>167</v>
      </c>
      <c r="D224" s="101">
        <f>D214</f>
        <v>0</v>
      </c>
      <c r="E224" s="101">
        <f t="shared" ref="E224:AH224" si="106">E214</f>
        <v>4292.5939482650556</v>
      </c>
      <c r="F224" s="101">
        <f t="shared" si="106"/>
        <v>8579.866044537057</v>
      </c>
      <c r="G224" s="101">
        <f t="shared" si="106"/>
        <v>12861.680581590183</v>
      </c>
      <c r="H224" s="101">
        <f t="shared" si="106"/>
        <v>17137.898776168156</v>
      </c>
      <c r="I224" s="101">
        <f t="shared" si="106"/>
        <v>21408.378703618604</v>
      </c>
      <c r="J224" s="101">
        <f t="shared" si="106"/>
        <v>25672.975231193948</v>
      </c>
      <c r="K224" s="101">
        <f t="shared" si="106"/>
        <v>29931.539949992395</v>
      </c>
      <c r="L224" s="101">
        <f t="shared" si="106"/>
        <v>34183.92110551204</v>
      </c>
      <c r="M224" s="101">
        <f t="shared" si="106"/>
        <v>38429.963526790671</v>
      </c>
      <c r="N224" s="101">
        <f t="shared" si="106"/>
        <v>42669.508554103129</v>
      </c>
      <c r="O224" s="101">
        <f t="shared" si="106"/>
        <v>46902.393965187803</v>
      </c>
      <c r="P224" s="101">
        <f t="shared" si="106"/>
        <v>49863.193858387931</v>
      </c>
      <c r="Q224" s="101">
        <f t="shared" si="106"/>
        <v>54213.147712007929</v>
      </c>
      <c r="R224" s="101">
        <f t="shared" si="106"/>
        <v>58555.93314698185</v>
      </c>
      <c r="S224" s="101">
        <f t="shared" si="106"/>
        <v>62891.372922717339</v>
      </c>
      <c r="T224" s="101">
        <f t="shared" si="106"/>
        <v>67219.285844114827</v>
      </c>
      <c r="U224" s="101">
        <f t="shared" si="106"/>
        <v>71539.486678336907</v>
      </c>
      <c r="V224" s="101">
        <f t="shared" si="106"/>
        <v>75851.786069890601</v>
      </c>
      <c r="W224" s="101">
        <f t="shared" si="106"/>
        <v>80155.990453989347</v>
      </c>
      <c r="X224" s="101">
        <f t="shared" si="106"/>
        <v>84451.90196816079</v>
      </c>
      <c r="Y224" s="101">
        <f t="shared" si="106"/>
        <v>92779.555558320237</v>
      </c>
      <c r="Z224" s="101">
        <f t="shared" si="106"/>
        <v>97090.482749796662</v>
      </c>
      <c r="AA224" s="101">
        <f t="shared" si="106"/>
        <v>101392.26509882779</v>
      </c>
      <c r="AB224" s="101">
        <f t="shared" si="106"/>
        <v>105684.68074024399</v>
      </c>
      <c r="AC224" s="101">
        <f t="shared" si="106"/>
        <v>109967.50290831945</v>
      </c>
      <c r="AD224" s="101">
        <f t="shared" si="106"/>
        <v>114240.49983427215</v>
      </c>
      <c r="AE224" s="101">
        <f t="shared" si="106"/>
        <v>118503.43464169528</v>
      </c>
      <c r="AF224" s="101">
        <f t="shared" si="106"/>
        <v>122756.06523987908</v>
      </c>
      <c r="AG224" s="101">
        <f t="shared" si="106"/>
        <v>126998.14421498214</v>
      </c>
      <c r="AH224" s="101">
        <f t="shared" si="106"/>
        <v>131229.41871900862</v>
      </c>
    </row>
    <row r="225" spans="3:36">
      <c r="C225" t="s">
        <v>621</v>
      </c>
      <c r="D225" s="101" cm="1">
        <f t="array" ref="D225">-(D95-D92+D105-D102+D115-D112+_xlfn.IFS(D127&lt;0, -D122, D127-D122&lt;=0,D127-D122, else, D122)+D139-D134)</f>
        <v>0</v>
      </c>
      <c r="E225" s="101" cm="1">
        <f t="array" ref="E225">-(E95-E92+E105-E102+E115-E112+_xlfn.IFS(E127&lt;0, -E122, E127-E122&lt;=0,E127-E122, else, E122)+E139-E134)</f>
        <v>9384.2393132387078</v>
      </c>
      <c r="F225" s="101" cm="1">
        <f t="array" ref="F225">-(F95-F92+F105-F102+F115-F112+_xlfn.IFS(F127&lt;0, -F122, F127-F122&lt;=0,F127-F122, else, F122)+F139-F134)</f>
        <v>18459.980661588197</v>
      </c>
      <c r="G225" s="101" cm="1">
        <f t="array" ref="G225">-(G95-G92+G105-G102+G115-G112+_xlfn.IFS(G127&lt;0, -G122, G127-G122&lt;=0,G127-G122, else, G122)+G139-G134)</f>
        <v>27228.826711713511</v>
      </c>
      <c r="H225" s="101" cm="1">
        <f t="array" ref="H225">-(H95-H92+H105-H102+H115-H112+_xlfn.IFS(H127&lt;0, -H122, H127-H122&lt;=0,H127-H122, else, H122)+H139-H134)</f>
        <v>35692.380130279809</v>
      </c>
      <c r="I225" s="101" cm="1">
        <f t="array" ref="I225">-(I95-I92+I105-I102+I115-I112+_xlfn.IFS(I127&lt;0, -I122, I127-I122&lt;=0,I127-I122, else, I122)+I139-I134)</f>
        <v>43852.243583952542</v>
      </c>
      <c r="J225" s="101" cm="1">
        <f t="array" ref="J225">-(J95-J92+J105-J102+J115-J112+_xlfn.IFS(J127&lt;0, -J122, J127-J122&lt;=0,J127-J122, else, J122)+J139-J134)</f>
        <v>51092.954276601551</v>
      </c>
      <c r="K225" s="101" cm="1">
        <f t="array" ref="K225">-(K95-K92+K105-K102+K115-K112+_xlfn.IFS(K127&lt;0, -K122, K127-K122&lt;=0,K127-K122, else, K122)+K139-K134)</f>
        <v>57988.692321319773</v>
      </c>
      <c r="L225" s="101" cm="1">
        <f t="array" ref="L225">-(L95-L92+L105-L102+L115-L112+_xlfn.IFS(L127&lt;0, -L122, L127-L122&lt;=0,L127-L122, else, L122)+L139-L134)</f>
        <v>64541.060384772543</v>
      </c>
      <c r="M225" s="101" cm="1">
        <f t="array" ref="M225">-(M95-M92+M105-M102+M115-M112+_xlfn.IFS(M127&lt;0, -M122, M127-M122&lt;=0,M127-M122, else, M122)+M139-M134)</f>
        <v>70751.661133625021</v>
      </c>
      <c r="N225" s="101" cm="1">
        <f t="array" ref="N225">-(N95-N92+N105-N102+N115-N112+_xlfn.IFS(N127&lt;0, -N122, N127-N122&lt;=0,N127-N122, else, N122)+N139-N134)</f>
        <v>76622.097234542249</v>
      </c>
      <c r="O225" s="101" cm="1">
        <f t="array" ref="O225">-(O95-O92+O105-O102+O115-O112+_xlfn.IFS(O127&lt;0, -O122, O127-O122&lt;=0,O127-O122, else, O122)+O139-O134)</f>
        <v>90425.006265143689</v>
      </c>
      <c r="P225" s="101" cm="1">
        <f t="array" ref="P225">-(P95-P92+P105-P102+P115-P112+_xlfn.IFS(P127&lt;0, -P122, P127-P122&lt;=0,P127-P122, else, P122)+P139-P134)</f>
        <v>104369.49089422583</v>
      </c>
      <c r="Q225" s="101" cm="1">
        <f t="array" ref="Q225">-(Q95-Q92+Q105-Q102+Q115-Q112+_xlfn.IFS(Q127&lt;0, -Q122, Q127-Q122&lt;=0,Q127-Q122, else, Q122)+Q139-Q134)</f>
        <v>115792.26845585403</v>
      </c>
      <c r="R225" s="101" cm="1">
        <f t="array" ref="R225">-(R95-R92+R105-R102+R115-R112+_xlfn.IFS(R127&lt;0, -R122, R127-R122&lt;=0,R127-R122, else, R122)+R139-R134)</f>
        <v>126058.27139361401</v>
      </c>
      <c r="S225" s="101" cm="1">
        <f t="array" ref="S225">-(S95-S92+S105-S102+S115-S112+_xlfn.IFS(S127&lt;0, -S122, S127-S122&lt;=0,S127-S122, else, S122)+S139-S134)</f>
        <v>135173.58456705988</v>
      </c>
      <c r="T225" s="101" cm="1">
        <f t="array" ref="T225">-(T95-T92+T105-T102+T115-T112+_xlfn.IFS(T127&lt;0, -T122, T127-T122&lt;=0,T127-T122, else, T122)+T139-T134)</f>
        <v>143343.86578165815</v>
      </c>
      <c r="U225" s="101" cm="1">
        <f t="array" ref="U225">-(U95-U92+U105-U102+U115-U112+_xlfn.IFS(U127&lt;0, -U122, U127-U122&lt;=0,U127-U122, else, U122)+U139-U134)</f>
        <v>150393.11157830944</v>
      </c>
      <c r="V225" s="101" cm="1">
        <f t="array" ref="V225">-(V95-V92+V105-V102+V115-V112+_xlfn.IFS(V127&lt;0, -V122, V127-V122&lt;=0,V127-V122, else, V122)+V139-V134)</f>
        <v>156327.40733654791</v>
      </c>
      <c r="W225" s="101" cm="1">
        <f t="array" ref="W225">-(W95-W92+W105-W102+W115-W112+_xlfn.IFS(W127&lt;0, -W122, W127-W122&lt;=0,W127-W122, else, W122)+W139-W134)</f>
        <v>161152.83860904735</v>
      </c>
      <c r="X225" s="101" cm="1">
        <f t="array" ref="X225">-(X95-X92+X105-X102+X115-X112+_xlfn.IFS(X127&lt;0, -X122, X127-X122&lt;=0,X127-X122, else, X122)+X139-X134)</f>
        <v>164875.49112152803</v>
      </c>
      <c r="Y225" s="101" cm="1">
        <f t="array" ref="Y225">-(Y95-Y92+Y105-Y102+Y115-Y112+_xlfn.IFS(Y127&lt;0, -Y122, Y127-Y122&lt;=0,Y127-Y122, else, Y122)+Y139-Y134)</f>
        <v>172787.81351907621</v>
      </c>
      <c r="Z225" s="101" cm="1">
        <f t="array" ref="Z225">-(Z95-Z92+Z105-Z102+Z115-Z112+_xlfn.IFS(Z127&lt;0, -Z122, Z127-Z122&lt;=0,Z127-Z122, else, Z122)+Z139-Z134)</f>
        <v>184709.10851221415</v>
      </c>
      <c r="AA225" s="101" cm="1">
        <f t="array" ref="AA225">-(AA95-AA92+AA105-AA102+AA115-AA112+_xlfn.IFS(AA127&lt;0, -AA122, AA127-AA122&lt;=0,AA127-AA122, else, AA122)+AA139-AA134)</f>
        <v>194648.90366206982</v>
      </c>
      <c r="AB225" s="101" cm="1">
        <f t="array" ref="AB225">-(AB95-AB92+AB105-AB102+AB115-AB112+_xlfn.IFS(AB127&lt;0, -AB122, AB127-AB122&lt;=0,AB127-AB122, else, AB122)+AB139-AB134)</f>
        <v>202694.5147093836</v>
      </c>
      <c r="AC225" s="101" cm="1">
        <f t="array" ref="AC225">-(AC95-AC92+AC105-AC102+AC115-AC112+_xlfn.IFS(AC127&lt;0, -AC122, AC127-AC122&lt;=0,AC127-AC122, else, AC122)+AC139-AC134)</f>
        <v>203915.67491189763</v>
      </c>
      <c r="AD225" s="101" cm="1">
        <f t="array" ref="AD225">-(AD95-AD92+AD105-AD102+AD115-AD112+_xlfn.IFS(AD127&lt;0, -AD122, AD127-AD122&lt;=0,AD127-AD122, else, AD122)+AD139-AD134)</f>
        <v>200971.05502424791</v>
      </c>
      <c r="AE225" s="101" cm="1">
        <f t="array" ref="AE225">-(AE95-AE92+AE105-AE102+AE115-AE112+_xlfn.IFS(AE127&lt;0, -AE122, AE127-AE122&lt;=0,AE127-AE122, else, AE122)+AE139-AE134)</f>
        <v>196837.32233014307</v>
      </c>
      <c r="AF225" s="101" cm="1">
        <f t="array" ref="AF225">-(AF95-AF92+AF105-AF102+AF115-AF112+_xlfn.IFS(AF127&lt;0, -AF122, AF127-AF122&lt;=0,AF127-AF122, else, AF122)+AF139-AF134)</f>
        <v>191525.79527839553</v>
      </c>
      <c r="AG225" s="101" cm="1">
        <f t="array" ref="AG225">-(AG95-AG92+AG105-AG102+AG115-AG112+_xlfn.IFS(AG127&lt;0, -AG122, AG127-AG122&lt;=0,AG127-AG122, else, AG122)+AG139-AG134)</f>
        <v>185047.74805577297</v>
      </c>
      <c r="AH225" s="101" cm="1">
        <f t="array" ref="AH225">-(AH95-AH92+AH105-AH102+AH115-AH112+_xlfn.IFS(AH127&lt;0, -AH122, AH127-AH122&lt;=0,AH127-AH122, else, AH122)+AH139-AH134)</f>
        <v>182675.49644174322</v>
      </c>
      <c r="AI225" s="41"/>
      <c r="AJ225" s="41"/>
    </row>
    <row r="226" spans="3:36">
      <c r="C226" t="s">
        <v>555</v>
      </c>
      <c r="D226" s="101">
        <f t="shared" ref="D226:AH226" si="107">D95</f>
        <v>360575.67443292518</v>
      </c>
      <c r="E226" s="101">
        <f t="shared" si="107"/>
        <v>351834.86248788959</v>
      </c>
      <c r="F226" s="101">
        <f t="shared" si="107"/>
        <v>343246.11612896126</v>
      </c>
      <c r="G226" s="101">
        <f t="shared" si="107"/>
        <v>334808.64640543296</v>
      </c>
      <c r="H226" s="101">
        <f t="shared" si="107"/>
        <v>326521.66436659725</v>
      </c>
      <c r="I226" s="101">
        <f t="shared" si="107"/>
        <v>318384.38106174662</v>
      </c>
      <c r="J226" s="101">
        <f t="shared" si="107"/>
        <v>310396.00754017377</v>
      </c>
      <c r="K226" s="101">
        <f t="shared" si="107"/>
        <v>302555.7548511714</v>
      </c>
      <c r="L226" s="101">
        <f t="shared" si="107"/>
        <v>294862.83404403197</v>
      </c>
      <c r="M226" s="101">
        <f t="shared" si="107"/>
        <v>287316.45616804803</v>
      </c>
      <c r="N226" s="101">
        <f t="shared" si="107"/>
        <v>279915.83227251231</v>
      </c>
      <c r="O226" s="101">
        <f t="shared" si="107"/>
        <v>266397.06208518898</v>
      </c>
      <c r="P226" s="101">
        <f t="shared" si="107"/>
        <v>254114.33720778179</v>
      </c>
      <c r="Q226" s="101">
        <f t="shared" si="107"/>
        <v>241433.19721949843</v>
      </c>
      <c r="R226" s="101">
        <f t="shared" si="107"/>
        <v>229227.19064434594</v>
      </c>
      <c r="S226" s="101">
        <f t="shared" si="107"/>
        <v>217493.60225696248</v>
      </c>
      <c r="T226" s="101">
        <f t="shared" si="107"/>
        <v>206229.7168032887</v>
      </c>
      <c r="U226" s="101">
        <f t="shared" si="107"/>
        <v>195432.81900077316</v>
      </c>
      <c r="V226" s="101">
        <f t="shared" si="107"/>
        <v>185100.19353857715</v>
      </c>
      <c r="W226" s="101">
        <f t="shared" si="107"/>
        <v>175229.12507778063</v>
      </c>
      <c r="X226" s="101">
        <f t="shared" si="107"/>
        <v>165816.8982515872</v>
      </c>
      <c r="Y226" s="101">
        <f t="shared" si="107"/>
        <v>150922.68832398709</v>
      </c>
      <c r="Z226" s="101">
        <f t="shared" si="107"/>
        <v>138466.76008493244</v>
      </c>
      <c r="AA226" s="101">
        <f t="shared" si="107"/>
        <v>126850.45380690669</v>
      </c>
      <c r="AB226" s="101">
        <f t="shared" si="107"/>
        <v>116061.16224732892</v>
      </c>
      <c r="AC226" s="101">
        <f t="shared" si="107"/>
        <v>106093.96305151811</v>
      </c>
      <c r="AD226" s="101">
        <f t="shared" si="107"/>
        <v>96943.933137775588</v>
      </c>
      <c r="AE226" s="101">
        <f t="shared" si="107"/>
        <v>88606.14870566185</v>
      </c>
      <c r="AF226" s="101">
        <f t="shared" si="107"/>
        <v>81075.685244275082</v>
      </c>
      <c r="AG226" s="101">
        <f t="shared" si="107"/>
        <v>74347.617540531777</v>
      </c>
      <c r="AH226" s="101">
        <f t="shared" si="107"/>
        <v>69591.485709706889</v>
      </c>
    </row>
    <row r="227" spans="3:36">
      <c r="C227" t="s">
        <v>19</v>
      </c>
      <c r="D227" s="101">
        <f t="shared" ref="D227:AH227" si="108">IF(D127&lt;0,0,D127)</f>
        <v>201906.27397932502</v>
      </c>
      <c r="E227" s="101">
        <f t="shared" si="108"/>
        <v>193650.47147398297</v>
      </c>
      <c r="F227" s="101">
        <f t="shared" si="108"/>
        <v>185488.45581178032</v>
      </c>
      <c r="G227" s="101">
        <f t="shared" si="108"/>
        <v>177420.69574909183</v>
      </c>
      <c r="H227" s="101">
        <f t="shared" si="108"/>
        <v>169447.6529909606</v>
      </c>
      <c r="I227" s="101">
        <f t="shared" si="108"/>
        <v>161569.78219109809</v>
      </c>
      <c r="J227" s="101">
        <f t="shared" si="108"/>
        <v>153985.33182208257</v>
      </c>
      <c r="K227" s="101">
        <f t="shared" si="108"/>
        <v>146507.61076884289</v>
      </c>
      <c r="L227" s="101">
        <f t="shared" si="108"/>
        <v>139136.69982018103</v>
      </c>
      <c r="M227" s="101">
        <f t="shared" si="108"/>
        <v>131872.67271356712</v>
      </c>
      <c r="N227" s="101">
        <f t="shared" si="108"/>
        <v>124715.59613513958</v>
      </c>
      <c r="O227" s="101">
        <f t="shared" si="108"/>
        <v>114325.86834810015</v>
      </c>
      <c r="P227" s="101">
        <f t="shared" si="108"/>
        <v>103814.83765204455</v>
      </c>
      <c r="Q227" s="101">
        <f t="shared" si="108"/>
        <v>94269.503999798893</v>
      </c>
      <c r="R227" s="101">
        <f t="shared" si="108"/>
        <v>85136.531038012734</v>
      </c>
      <c r="S227" s="101">
        <f t="shared" si="108"/>
        <v>76416.784779430309</v>
      </c>
      <c r="T227" s="101">
        <f t="shared" si="108"/>
        <v>68028.358925291948</v>
      </c>
      <c r="U227" s="101">
        <f t="shared" si="108"/>
        <v>60049.127346914589</v>
      </c>
      <c r="V227" s="101">
        <f t="shared" si="108"/>
        <v>52480.065747524743</v>
      </c>
      <c r="W227" s="101">
        <f t="shared" si="108"/>
        <v>45322.120393375611</v>
      </c>
      <c r="X227" s="101">
        <f t="shared" si="108"/>
        <v>38576.208114765926</v>
      </c>
      <c r="Y227" s="101">
        <f t="shared" si="108"/>
        <v>30405.326217743655</v>
      </c>
      <c r="Z227" s="101">
        <f t="shared" si="108"/>
        <v>20517.951610489305</v>
      </c>
      <c r="AA227" s="101">
        <f t="shared" si="108"/>
        <v>11348.813311999067</v>
      </c>
      <c r="AB227" s="101">
        <f t="shared" si="108"/>
        <v>2862.198867638821</v>
      </c>
      <c r="AC227" s="101">
        <f t="shared" si="108"/>
        <v>0</v>
      </c>
      <c r="AD227" s="101">
        <f t="shared" si="108"/>
        <v>0</v>
      </c>
      <c r="AE227" s="101">
        <f t="shared" si="108"/>
        <v>0</v>
      </c>
      <c r="AF227" s="101">
        <f t="shared" si="108"/>
        <v>0</v>
      </c>
      <c r="AG227" s="101">
        <f t="shared" si="108"/>
        <v>0</v>
      </c>
      <c r="AH227" s="101">
        <f t="shared" si="108"/>
        <v>0</v>
      </c>
    </row>
    <row r="228" spans="3:36">
      <c r="C228" t="s">
        <v>333</v>
      </c>
      <c r="D228" s="101">
        <f t="shared" ref="D228:AH228" si="109">D105</f>
        <v>93277.946794923075</v>
      </c>
      <c r="E228" s="101">
        <f t="shared" si="109"/>
        <v>94117.228449720133</v>
      </c>
      <c r="F228" s="101">
        <f t="shared" si="109"/>
        <v>94991.719036932918</v>
      </c>
      <c r="G228" s="101">
        <f t="shared" si="109"/>
        <v>95901.455003616691</v>
      </c>
      <c r="H228" s="101">
        <f t="shared" si="109"/>
        <v>96846.473515742211</v>
      </c>
      <c r="I228" s="101">
        <f t="shared" si="109"/>
        <v>97826.812443079587</v>
      </c>
      <c r="J228" s="101">
        <f t="shared" si="109"/>
        <v>98842.510343458969</v>
      </c>
      <c r="K228" s="101">
        <f t="shared" si="109"/>
        <v>99893.606446393707</v>
      </c>
      <c r="L228" s="101">
        <f t="shared" si="109"/>
        <v>100980.14063605128</v>
      </c>
      <c r="M228" s="101">
        <f t="shared" si="109"/>
        <v>102102.15343355708</v>
      </c>
      <c r="N228" s="101">
        <f t="shared" si="109"/>
        <v>103259.68597861551</v>
      </c>
      <c r="O228" s="101">
        <f t="shared" si="109"/>
        <v>103048.68073568985</v>
      </c>
      <c r="P228" s="101">
        <f t="shared" si="109"/>
        <v>102791.49986150794</v>
      </c>
      <c r="Q228" s="101">
        <f t="shared" si="109"/>
        <v>102712.90894719647</v>
      </c>
      <c r="R228" s="101">
        <f t="shared" si="109"/>
        <v>102696.5779625693</v>
      </c>
      <c r="S228" s="101">
        <f t="shared" si="109"/>
        <v>102741.51508124756</v>
      </c>
      <c r="T228" s="101">
        <f t="shared" si="109"/>
        <v>102846.72160955703</v>
      </c>
      <c r="U228" s="101">
        <f t="shared" si="109"/>
        <v>103011.19208746964</v>
      </c>
      <c r="V228" s="101">
        <f t="shared" si="109"/>
        <v>103233.91439921361</v>
      </c>
      <c r="W228" s="101">
        <f t="shared" si="109"/>
        <v>103513.86989394063</v>
      </c>
      <c r="X228" s="101">
        <f t="shared" si="109"/>
        <v>103850.03351685106</v>
      </c>
      <c r="Y228" s="101">
        <f t="shared" si="109"/>
        <v>101893.41195133705</v>
      </c>
      <c r="Z228" s="101">
        <f t="shared" si="109"/>
        <v>99531.033651650374</v>
      </c>
      <c r="AA228" s="101">
        <f t="shared" si="109"/>
        <v>97257.18949291679</v>
      </c>
      <c r="AB228" s="101">
        <f t="shared" si="109"/>
        <v>95062.511818382845</v>
      </c>
      <c r="AC228" s="101">
        <f t="shared" si="109"/>
        <v>92946.888803796173</v>
      </c>
      <c r="AD228" s="101">
        <f t="shared" si="109"/>
        <v>90910.275852103732</v>
      </c>
      <c r="AE228" s="101">
        <f t="shared" si="109"/>
        <v>88952.698485305154</v>
      </c>
      <c r="AF228" s="101">
        <f t="shared" si="109"/>
        <v>87074.255334354282</v>
      </c>
      <c r="AG228" s="101">
        <f t="shared" si="109"/>
        <v>85275.121229927317</v>
      </c>
      <c r="AH228" s="101">
        <f t="shared" si="109"/>
        <v>73768.333544810797</v>
      </c>
    </row>
    <row r="229" spans="3:36">
      <c r="C229" s="124" t="s">
        <v>365</v>
      </c>
      <c r="D229" s="101">
        <f t="shared" ref="D229:AH229" si="110">D115</f>
        <v>5757.6219164365802</v>
      </c>
      <c r="E229" s="101">
        <f t="shared" si="110"/>
        <v>5469.9696172942977</v>
      </c>
      <c r="F229" s="101">
        <f t="shared" si="110"/>
        <v>5204.2035388046206</v>
      </c>
      <c r="G229" s="101">
        <f t="shared" si="110"/>
        <v>4959.2418325941726</v>
      </c>
      <c r="H229" s="101">
        <f t="shared" si="110"/>
        <v>4734.0097016212467</v>
      </c>
      <c r="I229" s="101">
        <f t="shared" si="110"/>
        <v>4527.4394001758228</v>
      </c>
      <c r="J229" s="101">
        <f t="shared" si="110"/>
        <v>4380.14244108618</v>
      </c>
      <c r="K229" s="101">
        <f t="shared" si="110"/>
        <v>4259.1990175565606</v>
      </c>
      <c r="L229" s="101">
        <f t="shared" si="110"/>
        <v>4164.2679597010829</v>
      </c>
      <c r="M229" s="101">
        <f t="shared" si="110"/>
        <v>4095.0151489655145</v>
      </c>
      <c r="N229" s="101">
        <f t="shared" si="110"/>
        <v>4051.1135181273148</v>
      </c>
      <c r="O229" s="101">
        <f t="shared" si="110"/>
        <v>3709.6398554365687</v>
      </c>
      <c r="P229" s="101">
        <f t="shared" si="110"/>
        <v>3375.6723972815839</v>
      </c>
      <c r="Q229" s="101">
        <f t="shared" si="110"/>
        <v>3192.5725924855983</v>
      </c>
      <c r="R229" s="101">
        <f t="shared" si="110"/>
        <v>3082.2542807379818</v>
      </c>
      <c r="S229" s="101">
        <f t="shared" si="110"/>
        <v>3041.9688377237262</v>
      </c>
      <c r="T229" s="101">
        <f t="shared" si="110"/>
        <v>3034.9099126006909</v>
      </c>
      <c r="U229" s="101">
        <f t="shared" si="110"/>
        <v>3086.3426772601561</v>
      </c>
      <c r="V229" s="101">
        <f t="shared" si="110"/>
        <v>3193.2104014050446</v>
      </c>
      <c r="W229" s="101">
        <f t="shared" si="110"/>
        <v>3352.4856577528153</v>
      </c>
      <c r="X229" s="101">
        <f t="shared" si="110"/>
        <v>3561.1703220354425</v>
      </c>
      <c r="Y229" s="101">
        <f t="shared" si="110"/>
        <v>3679.3879154341967</v>
      </c>
      <c r="Z229" s="101">
        <f t="shared" si="110"/>
        <v>3632.1562188308185</v>
      </c>
      <c r="AA229" s="101">
        <f t="shared" si="110"/>
        <v>3665.912286873262</v>
      </c>
      <c r="AB229" s="101">
        <f t="shared" si="110"/>
        <v>3775.9959239633408</v>
      </c>
      <c r="AC229" s="101">
        <f t="shared" si="110"/>
        <v>3957.7946364182631</v>
      </c>
      <c r="AD229" s="101">
        <f t="shared" si="110"/>
        <v>4246.6313789497717</v>
      </c>
      <c r="AE229" s="101">
        <f t="shared" si="110"/>
        <v>4604.4362175002188</v>
      </c>
      <c r="AF229" s="101">
        <f t="shared" si="110"/>
        <v>5027.0868074854552</v>
      </c>
      <c r="AG229" s="101">
        <f t="shared" si="110"/>
        <v>5510.508506236677</v>
      </c>
      <c r="AH229" s="101">
        <f t="shared" si="110"/>
        <v>5707.2082643368067</v>
      </c>
    </row>
    <row r="230" spans="3:36">
      <c r="C230" t="s">
        <v>254</v>
      </c>
      <c r="D230" s="101">
        <f>D219</f>
        <v>0</v>
      </c>
      <c r="E230" s="101">
        <f t="shared" ref="E230:AH230" si="111">E219</f>
        <v>16039.315836118823</v>
      </c>
      <c r="F230" s="101">
        <f t="shared" si="111"/>
        <v>18197.943335202315</v>
      </c>
      <c r="G230" s="101">
        <f t="shared" si="111"/>
        <v>20647.221969013135</v>
      </c>
      <c r="H230" s="101">
        <f t="shared" si="111"/>
        <v>23426.293831920706</v>
      </c>
      <c r="I230" s="101">
        <f t="shared" si="111"/>
        <v>26579.572660410184</v>
      </c>
      <c r="J230" s="101">
        <f t="shared" si="111"/>
        <v>30157.453834506363</v>
      </c>
      <c r="K230" s="101">
        <f t="shared" si="111"/>
        <v>34217.120005400189</v>
      </c>
      <c r="L230" s="101">
        <f t="shared" si="111"/>
        <v>38823.455228697319</v>
      </c>
      <c r="M230" s="101">
        <f t="shared" si="111"/>
        <v>44050.08221737561</v>
      </c>
      <c r="N230" s="101">
        <f t="shared" si="111"/>
        <v>49980.539296840463</v>
      </c>
      <c r="O230" s="101">
        <f t="shared" si="111"/>
        <v>56709.615877871533</v>
      </c>
      <c r="P230" s="101">
        <f t="shared" si="111"/>
        <v>64344.867797461768</v>
      </c>
      <c r="Q230" s="101">
        <f t="shared" si="111"/>
        <v>73008.336753084732</v>
      </c>
      <c r="R230" s="101">
        <f t="shared" si="111"/>
        <v>82838.501318744005</v>
      </c>
      <c r="S230" s="101">
        <f t="shared" si="111"/>
        <v>93992.490733441402</v>
      </c>
      <c r="T230" s="101">
        <f t="shared" si="111"/>
        <v>106648.59685361538</v>
      </c>
      <c r="U230" s="101">
        <f t="shared" si="111"/>
        <v>121009.12442782627</v>
      </c>
      <c r="V230" s="101">
        <f t="shared" si="111"/>
        <v>137303.62526069404</v>
      </c>
      <c r="W230" s="101">
        <f t="shared" si="111"/>
        <v>155792.56797029951</v>
      </c>
      <c r="X230" s="101">
        <f t="shared" si="111"/>
        <v>176771.50200705836</v>
      </c>
      <c r="Y230" s="101">
        <f t="shared" si="111"/>
        <v>200575.7825037991</v>
      </c>
      <c r="Z230" s="101">
        <f t="shared" si="111"/>
        <v>227585.93149273761</v>
      </c>
      <c r="AA230" s="101">
        <f t="shared" si="111"/>
        <v>258233.72119859414</v>
      </c>
      <c r="AB230" s="101">
        <f t="shared" si="111"/>
        <v>293009.07666087471</v>
      </c>
      <c r="AC230" s="101">
        <f t="shared" si="111"/>
        <v>332467.90803689492</v>
      </c>
      <c r="AD230" s="101">
        <f t="shared" si="111"/>
        <v>377240.99779986346</v>
      </c>
      <c r="AE230" s="101">
        <f t="shared" si="111"/>
        <v>428044.08491087495</v>
      </c>
      <c r="AF230" s="101">
        <f t="shared" si="111"/>
        <v>485689.30717960122</v>
      </c>
      <c r="AG230" s="101">
        <f t="shared" si="111"/>
        <v>551098.18474173627</v>
      </c>
      <c r="AH230" s="101">
        <f t="shared" si="111"/>
        <v>625316.35221898253</v>
      </c>
    </row>
    <row r="231" spans="3:36">
      <c r="C231" t="s">
        <v>27</v>
      </c>
      <c r="D231" s="101">
        <f t="shared" ref="D231:AH231" si="112">D139-D230</f>
        <v>387852.09507639048</v>
      </c>
      <c r="E231" s="101">
        <f t="shared" si="112"/>
        <v>382111.59478236607</v>
      </c>
      <c r="F231" s="101">
        <f t="shared" si="112"/>
        <v>376386.2148969507</v>
      </c>
      <c r="G231" s="101">
        <f t="shared" si="112"/>
        <v>370675.95170720527</v>
      </c>
      <c r="H231" s="101">
        <f t="shared" si="112"/>
        <v>364980.80601364601</v>
      </c>
      <c r="I231" s="101">
        <f t="shared" si="112"/>
        <v>359300.78325926408</v>
      </c>
      <c r="J231" s="101">
        <f t="shared" si="112"/>
        <v>354013.48604702041</v>
      </c>
      <c r="K231" s="101">
        <f t="shared" si="112"/>
        <v>348765.34988775878</v>
      </c>
      <c r="L231" s="101">
        <f t="shared" si="112"/>
        <v>343556.04224627267</v>
      </c>
      <c r="M231" s="101">
        <f t="shared" si="112"/>
        <v>338385.23577742226</v>
      </c>
      <c r="N231" s="101">
        <f t="shared" si="112"/>
        <v>333252.6084712554</v>
      </c>
      <c r="O231" s="101">
        <f t="shared" si="112"/>
        <v>326654.21091659775</v>
      </c>
      <c r="P231" s="101">
        <f t="shared" si="112"/>
        <v>320082.89912928978</v>
      </c>
      <c r="Q231" s="101">
        <f t="shared" si="112"/>
        <v>313719.48178618628</v>
      </c>
      <c r="R231" s="101">
        <f t="shared" si="112"/>
        <v>307468.97993807099</v>
      </c>
      <c r="S231" s="101">
        <f t="shared" si="112"/>
        <v>301330.4979265841</v>
      </c>
      <c r="T231" s="101">
        <f t="shared" si="112"/>
        <v>295220.40341651277</v>
      </c>
      <c r="U231" s="101">
        <f t="shared" si="112"/>
        <v>289214.88004775671</v>
      </c>
      <c r="V231" s="101">
        <f t="shared" si="112"/>
        <v>283313.24927153846</v>
      </c>
      <c r="W231" s="101">
        <f t="shared" si="112"/>
        <v>277514.83925997798</v>
      </c>
      <c r="X231" s="101">
        <f t="shared" si="112"/>
        <v>271818.98508973105</v>
      </c>
      <c r="Y231" s="101">
        <f t="shared" si="112"/>
        <v>264506.93469329074</v>
      </c>
      <c r="Z231" s="101">
        <f t="shared" si="112"/>
        <v>256993.41774078569</v>
      </c>
      <c r="AA231" s="101">
        <f t="shared" si="112"/>
        <v>249684.92034524441</v>
      </c>
      <c r="AB231" s="101">
        <f t="shared" si="112"/>
        <v>242557.15412429563</v>
      </c>
      <c r="AC231" s="101">
        <f t="shared" si="112"/>
        <v>235608.8938617055</v>
      </c>
      <c r="AD231" s="101">
        <f t="shared" si="112"/>
        <v>228914.15969833895</v>
      </c>
      <c r="AE231" s="101">
        <f t="shared" si="112"/>
        <v>222402.36045249877</v>
      </c>
      <c r="AF231" s="101">
        <f t="shared" si="112"/>
        <v>216072.11777312058</v>
      </c>
      <c r="AG231" s="101">
        <f t="shared" si="112"/>
        <v>209922.06062108325</v>
      </c>
      <c r="AH231" s="101">
        <f t="shared" si="112"/>
        <v>207645.95665739069</v>
      </c>
    </row>
    <row r="232" spans="3:36">
      <c r="D232" s="101">
        <f>SUM(D226:D231)</f>
        <v>1049369.6122000003</v>
      </c>
      <c r="E232" s="101">
        <f t="shared" ref="E232:AG232" si="113">SUM(E226:E231)</f>
        <v>1043223.4426473719</v>
      </c>
      <c r="F232" s="101">
        <f t="shared" si="113"/>
        <v>1023514.6527486322</v>
      </c>
      <c r="G232" s="101">
        <f t="shared" si="113"/>
        <v>1004413.2126669539</v>
      </c>
      <c r="H232" s="101">
        <f t="shared" si="113"/>
        <v>985956.90042048809</v>
      </c>
      <c r="I232" s="101">
        <f t="shared" si="113"/>
        <v>968188.77101577434</v>
      </c>
      <c r="J232" s="101">
        <f t="shared" si="113"/>
        <v>951774.93202832818</v>
      </c>
      <c r="K232" s="101">
        <f t="shared" si="113"/>
        <v>936198.64097712352</v>
      </c>
      <c r="L232" s="101">
        <f t="shared" si="113"/>
        <v>921523.43993493542</v>
      </c>
      <c r="M232" s="101">
        <f t="shared" si="113"/>
        <v>907821.6154589355</v>
      </c>
      <c r="N232" s="101">
        <f t="shared" si="113"/>
        <v>895175.37567249057</v>
      </c>
      <c r="O232" s="101">
        <f t="shared" si="113"/>
        <v>870845.07781888486</v>
      </c>
      <c r="P232" s="101">
        <f t="shared" si="113"/>
        <v>848524.11404536734</v>
      </c>
      <c r="Q232" s="101">
        <f t="shared" si="113"/>
        <v>828336.0012982504</v>
      </c>
      <c r="R232" s="101">
        <f t="shared" si="113"/>
        <v>810450.03518248093</v>
      </c>
      <c r="S232" s="101">
        <f t="shared" si="113"/>
        <v>795016.85961538961</v>
      </c>
      <c r="T232" s="101">
        <f t="shared" si="113"/>
        <v>782008.70752086653</v>
      </c>
      <c r="U232" s="101">
        <f t="shared" si="113"/>
        <v>771803.48558800051</v>
      </c>
      <c r="V232" s="101">
        <f t="shared" si="113"/>
        <v>764624.25861895306</v>
      </c>
      <c r="W232" s="101">
        <f t="shared" si="113"/>
        <v>760725.0082531271</v>
      </c>
      <c r="X232" s="101">
        <f t="shared" si="113"/>
        <v>760394.7973020291</v>
      </c>
      <c r="Y232" s="101">
        <f t="shared" si="113"/>
        <v>751983.53160559188</v>
      </c>
      <c r="Z232" s="101">
        <f t="shared" si="113"/>
        <v>746727.25079942634</v>
      </c>
      <c r="AA232" s="101">
        <f t="shared" si="113"/>
        <v>747041.01044253435</v>
      </c>
      <c r="AB232" s="101">
        <f t="shared" si="113"/>
        <v>753328.09964248422</v>
      </c>
      <c r="AC232" s="101">
        <f t="shared" si="113"/>
        <v>771075.44839033298</v>
      </c>
      <c r="AD232" s="101">
        <f t="shared" si="113"/>
        <v>798255.99786703149</v>
      </c>
      <c r="AE232" s="101">
        <f t="shared" si="113"/>
        <v>832609.72877184092</v>
      </c>
      <c r="AF232" s="101">
        <f t="shared" si="113"/>
        <v>874938.45233883662</v>
      </c>
      <c r="AG232" s="101">
        <f t="shared" si="113"/>
        <v>926153.49263951532</v>
      </c>
      <c r="AH232" s="101">
        <f>SUM(AH226:AH231)</f>
        <v>982029.3363952277</v>
      </c>
    </row>
    <row r="233" spans="3:36">
      <c r="C233" t="s">
        <v>43</v>
      </c>
      <c r="D233" s="101">
        <f>SUM(D223:D231)</f>
        <v>1049369.6122000003</v>
      </c>
      <c r="E233" s="101">
        <f t="shared" ref="E233:AH233" si="114">SUM(E223:E231)</f>
        <v>1065598.6553798998</v>
      </c>
      <c r="F233" s="101">
        <f t="shared" si="114"/>
        <v>1067953.4609524531</v>
      </c>
      <c r="G233" s="101">
        <f t="shared" si="114"/>
        <v>1070605.5328830287</v>
      </c>
      <c r="H233" s="101">
        <f t="shared" si="114"/>
        <v>1073594.1814881258</v>
      </c>
      <c r="I233" s="101">
        <f t="shared" si="114"/>
        <v>1076963.9925341108</v>
      </c>
      <c r="J233" s="101">
        <f t="shared" si="114"/>
        <v>1080765.5373194907</v>
      </c>
      <c r="K233" s="101">
        <f t="shared" si="114"/>
        <v>1085056.178385034</v>
      </c>
      <c r="L233" s="101">
        <f t="shared" si="114"/>
        <v>1089900.9837311972</v>
      </c>
      <c r="M233" s="101">
        <f t="shared" si="114"/>
        <v>1095373.7641569735</v>
      </c>
      <c r="N233" s="101">
        <f t="shared" si="114"/>
        <v>1101558.2503025858</v>
      </c>
      <c r="O233" s="101">
        <f t="shared" si="114"/>
        <v>1108886.2736846751</v>
      </c>
      <c r="P233" s="101">
        <f t="shared" si="114"/>
        <v>1117140.1984560047</v>
      </c>
      <c r="Q233" s="101">
        <f t="shared" si="114"/>
        <v>1126442.563904146</v>
      </c>
      <c r="R233" s="101">
        <f t="shared" si="114"/>
        <v>1136932.3574104346</v>
      </c>
      <c r="S233" s="101">
        <f t="shared" si="114"/>
        <v>1148767.2284760219</v>
      </c>
      <c r="T233" s="101">
        <f t="shared" si="114"/>
        <v>1162126.0009167311</v>
      </c>
      <c r="U233" s="101">
        <f t="shared" si="114"/>
        <v>1177211.5233850942</v>
      </c>
      <c r="V233" s="101">
        <f t="shared" si="114"/>
        <v>1194253.9037866662</v>
      </c>
      <c r="W233" s="101">
        <f t="shared" si="114"/>
        <v>1213514.1792949396</v>
      </c>
      <c r="X233" s="101">
        <f t="shared" si="114"/>
        <v>1235288.4806329524</v>
      </c>
      <c r="Y233" s="101">
        <f t="shared" si="114"/>
        <v>1259646.9608584391</v>
      </c>
      <c r="Z233" s="101">
        <f t="shared" si="114"/>
        <v>1287227.508778004</v>
      </c>
      <c r="AA233" s="101">
        <f t="shared" si="114"/>
        <v>1318462.2872255095</v>
      </c>
      <c r="AB233" s="101">
        <f t="shared" si="114"/>
        <v>1353841.6204487451</v>
      </c>
      <c r="AC233" s="101">
        <f t="shared" si="114"/>
        <v>1393921.8265919369</v>
      </c>
      <c r="AD233" s="101">
        <f t="shared" si="114"/>
        <v>1439334.1050769323</v>
      </c>
      <c r="AE233" s="101">
        <f t="shared" si="114"/>
        <v>1490794.6209619828</v>
      </c>
      <c r="AF233" s="101">
        <f t="shared" si="114"/>
        <v>1549115.9474929878</v>
      </c>
      <c r="AG233" s="101">
        <f t="shared" si="114"/>
        <v>1615220.0497753266</v>
      </c>
      <c r="AH233" s="101">
        <f t="shared" si="114"/>
        <v>1690153.0171321384</v>
      </c>
    </row>
    <row r="234" spans="3:36">
      <c r="C234" t="s">
        <v>636</v>
      </c>
      <c r="D234" s="101">
        <f>D221-D233</f>
        <v>0</v>
      </c>
      <c r="E234" s="101">
        <f t="shared" ref="E234:AH234" si="115">E221-E233</f>
        <v>0</v>
      </c>
      <c r="F234" s="101">
        <f t="shared" si="115"/>
        <v>0</v>
      </c>
      <c r="G234" s="101">
        <f t="shared" si="115"/>
        <v>0</v>
      </c>
      <c r="H234" s="101">
        <f t="shared" si="115"/>
        <v>0</v>
      </c>
      <c r="I234" s="101">
        <f t="shared" si="115"/>
        <v>0</v>
      </c>
      <c r="J234" s="101">
        <f t="shared" si="115"/>
        <v>0</v>
      </c>
      <c r="K234" s="101">
        <f t="shared" si="115"/>
        <v>0</v>
      </c>
      <c r="L234" s="101">
        <f t="shared" si="115"/>
        <v>0</v>
      </c>
      <c r="M234" s="101">
        <f t="shared" si="115"/>
        <v>0</v>
      </c>
      <c r="N234" s="101">
        <f t="shared" si="115"/>
        <v>0</v>
      </c>
      <c r="O234" s="101">
        <f t="shared" si="115"/>
        <v>0</v>
      </c>
      <c r="P234" s="101">
        <f t="shared" si="115"/>
        <v>0</v>
      </c>
      <c r="Q234" s="101">
        <f t="shared" si="115"/>
        <v>0</v>
      </c>
      <c r="R234" s="101">
        <f t="shared" si="115"/>
        <v>0</v>
      </c>
      <c r="S234" s="101">
        <f t="shared" si="115"/>
        <v>0</v>
      </c>
      <c r="T234" s="101">
        <f t="shared" si="115"/>
        <v>0</v>
      </c>
      <c r="U234" s="101">
        <f t="shared" si="115"/>
        <v>0</v>
      </c>
      <c r="V234" s="101">
        <f t="shared" si="115"/>
        <v>0</v>
      </c>
      <c r="W234" s="101">
        <f t="shared" si="115"/>
        <v>0</v>
      </c>
      <c r="X234" s="101">
        <f t="shared" si="115"/>
        <v>0</v>
      </c>
      <c r="Y234" s="101">
        <f t="shared" si="115"/>
        <v>0</v>
      </c>
      <c r="Z234" s="101">
        <f t="shared" si="115"/>
        <v>0</v>
      </c>
      <c r="AA234" s="101">
        <f t="shared" si="115"/>
        <v>0</v>
      </c>
      <c r="AB234" s="101">
        <f t="shared" si="115"/>
        <v>0</v>
      </c>
      <c r="AC234" s="101">
        <f t="shared" si="115"/>
        <v>0</v>
      </c>
      <c r="AD234" s="101">
        <f t="shared" si="115"/>
        <v>0</v>
      </c>
      <c r="AE234" s="101">
        <f t="shared" si="115"/>
        <v>0</v>
      </c>
      <c r="AF234" s="101">
        <f t="shared" si="115"/>
        <v>0</v>
      </c>
      <c r="AG234" s="101">
        <f t="shared" si="115"/>
        <v>0</v>
      </c>
      <c r="AH234" s="101">
        <f t="shared" si="115"/>
        <v>0</v>
      </c>
      <c r="AJ234" s="195" t="s">
        <v>637</v>
      </c>
    </row>
    <row r="235" spans="3:36">
      <c r="D235" s="101"/>
      <c r="E235" s="101"/>
      <c r="F235" s="101"/>
      <c r="G235" s="101"/>
      <c r="H235" s="101"/>
      <c r="I235" s="101"/>
      <c r="J235" s="101"/>
      <c r="K235" s="101"/>
      <c r="L235" s="101"/>
      <c r="M235" s="101"/>
      <c r="N235" s="101"/>
      <c r="O235" s="101"/>
      <c r="P235" s="101"/>
      <c r="Q235" s="101"/>
      <c r="R235" s="101"/>
      <c r="S235" s="101"/>
      <c r="T235" s="101"/>
      <c r="U235" s="101"/>
      <c r="V235" s="101"/>
      <c r="W235" s="101"/>
      <c r="X235" s="101"/>
      <c r="Y235" s="101"/>
      <c r="Z235" s="101"/>
      <c r="AA235" s="101"/>
      <c r="AB235" s="101"/>
      <c r="AC235" s="101"/>
      <c r="AD235" s="101"/>
      <c r="AE235" s="101"/>
      <c r="AF235" s="101"/>
      <c r="AG235" s="101"/>
      <c r="AH235" s="101"/>
    </row>
    <row r="236" spans="3:36">
      <c r="D236" s="101"/>
      <c r="E236" s="101"/>
      <c r="F236" s="101"/>
      <c r="G236" s="101"/>
      <c r="H236" s="101"/>
      <c r="I236" s="101"/>
      <c r="J236" s="101"/>
      <c r="K236" s="101"/>
      <c r="L236" s="101"/>
      <c r="M236" s="101"/>
      <c r="N236" s="101"/>
      <c r="O236" s="101"/>
      <c r="P236" s="101"/>
      <c r="Q236" s="101"/>
      <c r="R236" s="101"/>
      <c r="S236" s="101"/>
      <c r="T236" s="101"/>
      <c r="U236" s="101"/>
      <c r="V236" s="101"/>
      <c r="W236" s="101"/>
      <c r="X236" s="101"/>
      <c r="Y236" s="101"/>
      <c r="Z236" s="101"/>
      <c r="AA236" s="101"/>
      <c r="AB236" s="101"/>
      <c r="AC236" s="101"/>
      <c r="AD236" s="101"/>
      <c r="AE236" s="101"/>
      <c r="AF236" s="101"/>
      <c r="AG236" s="101"/>
      <c r="AH236" s="101"/>
    </row>
    <row r="237" spans="3:36">
      <c r="D237" s="101">
        <v>0</v>
      </c>
      <c r="E237" s="101">
        <v>1.4856905820540398</v>
      </c>
      <c r="F237" s="101">
        <v>3.0345709698262726</v>
      </c>
      <c r="G237" s="101">
        <v>4.6487301823561928</v>
      </c>
      <c r="H237" s="101">
        <v>6.3303204579794636</v>
      </c>
      <c r="I237" s="101">
        <v>8.0815590898000451</v>
      </c>
      <c r="J237" s="101">
        <v>9.8898353208142549</v>
      </c>
      <c r="K237" s="101">
        <v>11.766619517585809</v>
      </c>
      <c r="L237" s="101">
        <v>13.713954739175854</v>
      </c>
      <c r="M237" s="101">
        <v>15.733939520413482</v>
      </c>
      <c r="N237" s="101">
        <v>17.828729308140439</v>
      </c>
      <c r="O237" s="101">
        <v>21.20338190298358</v>
      </c>
      <c r="P237" s="101">
        <v>24.669810197248207</v>
      </c>
      <c r="Q237" s="101">
        <v>28.229954759896717</v>
      </c>
      <c r="R237" s="101">
        <v>31.885793136054751</v>
      </c>
      <c r="S237" s="101">
        <v>35.639340510756909</v>
      </c>
      <c r="T237" s="101">
        <v>39.481120324239043</v>
      </c>
      <c r="U237" s="101">
        <v>43.423030315384771</v>
      </c>
      <c r="V237" s="101">
        <v>47.467147431739328</v>
      </c>
      <c r="W237" s="101">
        <v>51.615587788141632</v>
      </c>
      <c r="X237" s="101">
        <v>55.870507365774415</v>
      </c>
      <c r="Y237" s="101">
        <v>60.386526190983631</v>
      </c>
      <c r="Z237" s="101">
        <v>65.013110335440231</v>
      </c>
      <c r="AA237" s="101">
        <v>69.752383393446124</v>
      </c>
      <c r="AB237" s="101">
        <v>74.606504403054913</v>
      </c>
      <c r="AC237" s="101">
        <v>79.577668357253387</v>
      </c>
      <c r="AD237" s="101">
        <v>84.651210011758337</v>
      </c>
      <c r="AE237" s="101">
        <v>89.844600407148619</v>
      </c>
      <c r="AF237" s="101">
        <v>95.160098263133108</v>
      </c>
      <c r="AG237" s="101">
        <v>100.59999941322985</v>
      </c>
      <c r="AH237" s="101">
        <v>106.16663732857876</v>
      </c>
    </row>
    <row r="238" spans="3:36">
      <c r="D238" s="101">
        <v>0</v>
      </c>
      <c r="E238" s="101">
        <v>0.80314895775920525</v>
      </c>
      <c r="F238" s="101">
        <v>1.6358667454339335</v>
      </c>
      <c r="G238" s="101">
        <v>2.4990250620744501</v>
      </c>
      <c r="H238" s="101">
        <v>3.393519871310803</v>
      </c>
      <c r="I238" s="101">
        <v>4.3202720670754573</v>
      </c>
      <c r="J238" s="101">
        <v>5.2752631600701116</v>
      </c>
      <c r="K238" s="101">
        <v>6.2625050579560853</v>
      </c>
      <c r="L238" s="101">
        <v>7.2828706448494431</v>
      </c>
      <c r="M238" s="101">
        <v>8.3372547664960965</v>
      </c>
      <c r="N238" s="101">
        <v>9.4265747673516955</v>
      </c>
      <c r="O238" s="101">
        <v>10.514143159255593</v>
      </c>
      <c r="P238" s="101">
        <v>11.384528181486623</v>
      </c>
      <c r="Q238" s="101">
        <v>12.644524755088396</v>
      </c>
      <c r="R238" s="101">
        <v>13.93759738609964</v>
      </c>
      <c r="S238" s="101">
        <v>15.26443870611671</v>
      </c>
      <c r="T238" s="101">
        <v>16.621911314715192</v>
      </c>
      <c r="U238" s="101">
        <v>18.014003145370534</v>
      </c>
      <c r="V238" s="101">
        <v>19.441429120824729</v>
      </c>
      <c r="W238" s="101">
        <v>20.904917825267081</v>
      </c>
      <c r="X238" s="101">
        <v>22.405211757280625</v>
      </c>
      <c r="Y238" s="101">
        <v>26.225286123636039</v>
      </c>
      <c r="Z238" s="101">
        <v>27.906574723352623</v>
      </c>
      <c r="AA238" s="101">
        <v>29.629018526620342</v>
      </c>
      <c r="AB238" s="101">
        <v>31.393453112734122</v>
      </c>
      <c r="AC238" s="101">
        <v>33.200729905791512</v>
      </c>
      <c r="AD238" s="101">
        <v>35.046084230882201</v>
      </c>
      <c r="AE238" s="101">
        <v>36.935467611848651</v>
      </c>
      <c r="AF238" s="101">
        <v>38.869765029977714</v>
      </c>
      <c r="AG238" s="101">
        <v>40.849878199809993</v>
      </c>
      <c r="AH238" s="101">
        <v>42.876725878405523</v>
      </c>
    </row>
    <row r="239" spans="3:36">
      <c r="D239" s="101">
        <v>0</v>
      </c>
      <c r="E239" s="101">
        <v>1.081138197154246</v>
      </c>
      <c r="F239" s="101">
        <v>2.1347272403975204</v>
      </c>
      <c r="G239" s="101">
        <v>3.1601146032316372</v>
      </c>
      <c r="H239" s="101">
        <v>4.1566539467827219</v>
      </c>
      <c r="I239" s="101">
        <v>5.1237058825840656</v>
      </c>
      <c r="J239" s="101">
        <v>6.0217728250104727</v>
      </c>
      <c r="K239" s="101">
        <v>6.8852928384373016</v>
      </c>
      <c r="L239" s="101">
        <v>7.7135163224568828</v>
      </c>
      <c r="M239" s="101">
        <v>8.5097383706091918</v>
      </c>
      <c r="N239" s="101">
        <v>9.2765726175078882</v>
      </c>
      <c r="O239" s="101">
        <v>10.854201887878276</v>
      </c>
      <c r="P239" s="101">
        <v>12.407420369730531</v>
      </c>
      <c r="Q239" s="101">
        <v>13.704036897008073</v>
      </c>
      <c r="R239" s="101">
        <v>14.868490970571173</v>
      </c>
      <c r="S239" s="101">
        <v>15.911984028035988</v>
      </c>
      <c r="T239" s="101">
        <v>16.840675504228358</v>
      </c>
      <c r="U239" s="101">
        <v>17.641578535400257</v>
      </c>
      <c r="V239" s="101">
        <v>18.314107765884479</v>
      </c>
      <c r="W239" s="101">
        <v>18.857820594119598</v>
      </c>
      <c r="X239" s="101">
        <v>19.272424638666628</v>
      </c>
      <c r="Y239" s="101">
        <v>19.711910240028612</v>
      </c>
      <c r="Z239" s="101">
        <v>20.934956502974362</v>
      </c>
      <c r="AA239" s="101">
        <v>21.936023041706399</v>
      </c>
      <c r="AB239" s="101">
        <v>22.72325131007603</v>
      </c>
      <c r="AC239" s="101">
        <v>23.296971463182089</v>
      </c>
      <c r="AD239" s="101">
        <v>23.643532251567695</v>
      </c>
      <c r="AE239" s="101">
        <v>23.776435006802803</v>
      </c>
      <c r="AF239" s="101">
        <v>23.696916598527352</v>
      </c>
      <c r="AG239" s="101">
        <v>23.406567099028202</v>
      </c>
      <c r="AH239" s="101">
        <v>22.907346159108286</v>
      </c>
    </row>
    <row r="240" spans="3:36">
      <c r="D240" s="101">
        <v>90.483384663862097</v>
      </c>
      <c r="E240" s="101">
        <v>90.219452253329862</v>
      </c>
      <c r="F240" s="101">
        <v>89.956621381341137</v>
      </c>
      <c r="G240" s="101">
        <v>89.69479467516706</v>
      </c>
      <c r="H240" s="101">
        <v>89.433862203790596</v>
      </c>
      <c r="I240" s="101">
        <v>89.173700914917063</v>
      </c>
      <c r="J240" s="101">
        <v>88.914174054162459</v>
      </c>
      <c r="K240" s="101">
        <v>88.655130565951424</v>
      </c>
      <c r="L240" s="101">
        <v>88.39640447564345</v>
      </c>
      <c r="M240" s="101">
        <v>88.137814252396353</v>
      </c>
      <c r="N240" s="101">
        <v>87.87916215226366</v>
      </c>
      <c r="O240" s="101">
        <v>86.118832142138899</v>
      </c>
      <c r="P240" s="101">
        <v>84.570248086477264</v>
      </c>
      <c r="Q240" s="101">
        <v>82.712279245318427</v>
      </c>
      <c r="R240" s="101">
        <v>80.852387677031956</v>
      </c>
      <c r="S240" s="101">
        <v>78.989339804662578</v>
      </c>
      <c r="T240" s="101">
        <v>77.121813091785</v>
      </c>
      <c r="U240" s="101">
        <v>75.248392578376524</v>
      </c>
      <c r="V240" s="101">
        <v>73.367567314080773</v>
      </c>
      <c r="W240" s="101">
        <v>71.477726686263608</v>
      </c>
      <c r="X240" s="101">
        <v>69.577156640204507</v>
      </c>
      <c r="Y240" s="101">
        <v>65.433675229372028</v>
      </c>
      <c r="Z240" s="101">
        <v>63.076028537287606</v>
      </c>
      <c r="AA240" s="101">
        <v>60.743470388128927</v>
      </c>
      <c r="AB240" s="101">
        <v>58.433258049179983</v>
      </c>
      <c r="AC240" s="101">
        <v>56.142867699572577</v>
      </c>
      <c r="AD240" s="101">
        <v>53.86958255310666</v>
      </c>
      <c r="AE240" s="101">
        <v>51.610485398526329</v>
      </c>
      <c r="AF240" s="101">
        <v>49.362450921162882</v>
      </c>
      <c r="AG240" s="101">
        <v>47.122137800465538</v>
      </c>
      <c r="AH240" s="101">
        <v>44.885980577816021</v>
      </c>
    </row>
    <row r="241" spans="4:44">
      <c r="D241" s="101">
        <v>34.871127768537121</v>
      </c>
      <c r="E241" s="101">
        <v>34.102669199514864</v>
      </c>
      <c r="F241" s="101">
        <v>33.329022396171929</v>
      </c>
      <c r="G241" s="101">
        <v>32.550089270924786</v>
      </c>
      <c r="H241" s="101">
        <v>31.765759972525036</v>
      </c>
      <c r="I241" s="101">
        <v>30.975912272721068</v>
      </c>
      <c r="J241" s="101">
        <v>30.192198003962172</v>
      </c>
      <c r="K241" s="101">
        <v>29.403594917911022</v>
      </c>
      <c r="L241" s="101">
        <v>28.609948014465164</v>
      </c>
      <c r="M241" s="101">
        <v>27.811086765953196</v>
      </c>
      <c r="N241" s="101">
        <v>27.006824361024645</v>
      </c>
      <c r="O241" s="101">
        <v>25.735063127965894</v>
      </c>
      <c r="P241" s="101">
        <v>24.454596397515385</v>
      </c>
      <c r="Q241" s="101">
        <v>23.284935068507377</v>
      </c>
      <c r="R241" s="101">
        <v>22.158042189085606</v>
      </c>
      <c r="S241" s="101">
        <v>21.073984442975828</v>
      </c>
      <c r="T241" s="101">
        <v>20.027082809035321</v>
      </c>
      <c r="U241" s="101">
        <v>19.022352211192509</v>
      </c>
      <c r="V241" s="101">
        <v>18.05961155622736</v>
      </c>
      <c r="W241" s="101">
        <v>17.138590166375195</v>
      </c>
      <c r="X241" s="101">
        <v>16.258923237448794</v>
      </c>
      <c r="Y241" s="101">
        <v>15.397403856133892</v>
      </c>
      <c r="Z241" s="101">
        <v>14.071757595641104</v>
      </c>
      <c r="AA241" s="101">
        <v>12.828411162379465</v>
      </c>
      <c r="AB241" s="101">
        <v>11.665145818262262</v>
      </c>
      <c r="AC241" s="101">
        <v>10.581329418015955</v>
      </c>
      <c r="AD241" s="101">
        <v>9.5809039485945</v>
      </c>
      <c r="AE241" s="101">
        <v>8.6585963060042879</v>
      </c>
      <c r="AF241" s="101">
        <v>7.8132245606543904</v>
      </c>
      <c r="AG241" s="101">
        <v>7.0434049245907504</v>
      </c>
      <c r="AH241" s="101">
        <v>6.3475423418975305</v>
      </c>
    </row>
    <row r="242" spans="4:44">
      <c r="D242" s="101">
        <v>8.4778361655826675</v>
      </c>
      <c r="E242" s="101">
        <v>8.5884793875323933</v>
      </c>
      <c r="F242" s="101">
        <v>8.6994099559588722</v>
      </c>
      <c r="G242" s="101">
        <v>8.8105980664915968</v>
      </c>
      <c r="H242" s="101">
        <v>8.9220127994763221</v>
      </c>
      <c r="I242" s="101">
        <v>9.0336220915491605</v>
      </c>
      <c r="J242" s="101">
        <v>9.1453927065941496</v>
      </c>
      <c r="K242" s="101">
        <v>9.2572902060720992</v>
      </c>
      <c r="L242" s="101">
        <v>9.3692789187083623</v>
      </c>
      <c r="M242" s="101">
        <v>9.4813219095269439</v>
      </c>
      <c r="N242" s="101">
        <v>9.5933809482180941</v>
      </c>
      <c r="O242" s="101">
        <v>9.6159023473108292</v>
      </c>
      <c r="P242" s="101">
        <v>9.6338922615629894</v>
      </c>
      <c r="Q242" s="101">
        <v>9.647835512661004</v>
      </c>
      <c r="R242" s="101">
        <v>9.6571636737846962</v>
      </c>
      <c r="S242" s="101">
        <v>9.661743117779654</v>
      </c>
      <c r="T242" s="101">
        <v>9.6614382527611262</v>
      </c>
      <c r="U242" s="101">
        <v>9.6561115218921678</v>
      </c>
      <c r="V242" s="101">
        <v>9.6456234042300455</v>
      </c>
      <c r="W242" s="101">
        <v>9.6298324166856926</v>
      </c>
      <c r="X242" s="101">
        <v>9.6085951171423165</v>
      </c>
      <c r="Y242" s="101">
        <v>9.3555317439369983</v>
      </c>
      <c r="Z242" s="101">
        <v>9.09214357043669</v>
      </c>
      <c r="AA242" s="101">
        <v>8.8245576091405784</v>
      </c>
      <c r="AB242" s="101">
        <v>8.5481002189776483</v>
      </c>
      <c r="AC242" s="101">
        <v>8.2628430209463559</v>
      </c>
      <c r="AD242" s="101">
        <v>7.9688696571858477</v>
      </c>
      <c r="AE242" s="101">
        <v>7.66627621963341</v>
      </c>
      <c r="AF242" s="101">
        <v>7.3551716875625086</v>
      </c>
      <c r="AG242" s="101">
        <v>7.0356783740805211</v>
      </c>
      <c r="AH242" s="101">
        <v>6.7079323816628964</v>
      </c>
    </row>
    <row r="243" spans="4:44">
      <c r="D243">
        <v>3.4336211538461541</v>
      </c>
      <c r="E243">
        <v>3.3811838161940826</v>
      </c>
      <c r="F243">
        <v>3.3275269218141346</v>
      </c>
      <c r="G243">
        <v>3.2724705953494366</v>
      </c>
      <c r="H243">
        <v>3.2158288438315474</v>
      </c>
      <c r="I243">
        <v>3.1574094553932648</v>
      </c>
      <c r="J243">
        <v>3.0996332476537027</v>
      </c>
      <c r="K243">
        <v>3.0403875452827362</v>
      </c>
      <c r="L243">
        <v>2.9795349172045027</v>
      </c>
      <c r="M243">
        <v>2.9128966693307485</v>
      </c>
      <c r="N243">
        <v>2.8369798409194145</v>
      </c>
      <c r="O243">
        <v>2.7923529355227159</v>
      </c>
      <c r="P243">
        <v>2.7367946114490938</v>
      </c>
      <c r="Q243">
        <v>2.6881434528050576</v>
      </c>
      <c r="R243">
        <v>2.6422144128970659</v>
      </c>
      <c r="S243">
        <v>2.5867945339584306</v>
      </c>
      <c r="T243">
        <v>2.5261734562980651</v>
      </c>
      <c r="U243">
        <v>2.462367027360564</v>
      </c>
      <c r="V243">
        <v>2.3953479798788377</v>
      </c>
      <c r="W243">
        <v>2.32509032654673</v>
      </c>
      <c r="X243">
        <v>2.2515694274775524</v>
      </c>
      <c r="Y243">
        <v>2.14449600657835</v>
      </c>
      <c r="Z243">
        <v>2.0329766297616025</v>
      </c>
      <c r="AA243">
        <v>1.9170141425366158</v>
      </c>
      <c r="AB243">
        <v>1.7966152622985039</v>
      </c>
      <c r="AC243">
        <v>1.671790741932504</v>
      </c>
      <c r="AD243">
        <v>1.5460094814138596</v>
      </c>
      <c r="AE243">
        <v>1.4164887512762903</v>
      </c>
      <c r="AF243">
        <v>1.2833086576940091</v>
      </c>
      <c r="AG243">
        <v>1.1465564490168023</v>
      </c>
      <c r="AH243">
        <v>1.0063267793456872</v>
      </c>
    </row>
    <row r="244" spans="4:44">
      <c r="D244">
        <v>0</v>
      </c>
      <c r="E244">
        <v>0.25016154756968118</v>
      </c>
      <c r="F244">
        <v>0.28986870200513859</v>
      </c>
      <c r="G244">
        <v>0.33653620313046528</v>
      </c>
      <c r="H244">
        <v>0.39147496099701284</v>
      </c>
      <c r="I244">
        <v>0.45625413576964957</v>
      </c>
      <c r="J244">
        <v>0.53275333422256232</v>
      </c>
      <c r="K244">
        <v>0.62322550294024293</v>
      </c>
      <c r="L244">
        <v>0.73037272624888538</v>
      </c>
      <c r="M244">
        <v>0.85743759439017908</v>
      </c>
      <c r="N244">
        <v>1.0083133599050675</v>
      </c>
      <c r="O244">
        <v>1.1876767673530007</v>
      </c>
      <c r="P244">
        <v>1.4011482471884467</v>
      </c>
      <c r="Q244">
        <v>1.6554851376425255</v>
      </c>
      <c r="R244">
        <v>1.9588147735910229</v>
      </c>
      <c r="S244">
        <v>2.3209157006390968</v>
      </c>
      <c r="T244">
        <v>2.7535569867604934</v>
      </c>
      <c r="U244">
        <v>3.2709076740888903</v>
      </c>
      <c r="V244">
        <v>3.890030913909952</v>
      </c>
      <c r="W244">
        <v>4.6314803479793598</v>
      </c>
      <c r="X244">
        <v>5.5200199470268672</v>
      </c>
      <c r="Y244">
        <v>6.5854929231963908</v>
      </c>
      <c r="Z244">
        <v>7.8638706548523567</v>
      </c>
      <c r="AA244">
        <v>9.3985189900692099</v>
      </c>
      <c r="AB244">
        <v>11.241727059229223</v>
      </c>
      <c r="AC244">
        <v>13.456553105334194</v>
      </c>
      <c r="AD244">
        <v>16.11905316852248</v>
      </c>
      <c r="AE244">
        <v>19.320972144310595</v>
      </c>
      <c r="AF244">
        <v>23.172993263001359</v>
      </c>
      <c r="AG244">
        <v>27.808662002130689</v>
      </c>
      <c r="AH244">
        <v>33.389124559412735</v>
      </c>
    </row>
    <row r="245" spans="4:44">
      <c r="D245">
        <v>25.426337940479648</v>
      </c>
      <c r="E245">
        <v>27.074262163421349</v>
      </c>
      <c r="F245">
        <v>28.762233308158017</v>
      </c>
      <c r="G245">
        <v>30.490829541895909</v>
      </c>
      <c r="H245">
        <v>32.260628291755985</v>
      </c>
      <c r="I245">
        <v>34.072205804660641</v>
      </c>
      <c r="J245">
        <v>35.468941296543193</v>
      </c>
      <c r="K245">
        <v>36.895029820013747</v>
      </c>
      <c r="L245">
        <v>38.350779059803905</v>
      </c>
      <c r="M245">
        <v>39.83649178869716</v>
      </c>
      <c r="N245">
        <v>41.352465455358107</v>
      </c>
      <c r="O245">
        <v>40.862413156397487</v>
      </c>
      <c r="P245">
        <v>40.365464293215524</v>
      </c>
      <c r="Q245">
        <v>39.868762367189504</v>
      </c>
      <c r="R245">
        <v>39.368150724974299</v>
      </c>
      <c r="S245">
        <v>38.863635334518676</v>
      </c>
      <c r="T245">
        <v>38.219343694529364</v>
      </c>
      <c r="U245">
        <v>37.569522929478879</v>
      </c>
      <c r="V245">
        <v>36.914184656141181</v>
      </c>
      <c r="W245">
        <v>36.253339439460795</v>
      </c>
      <c r="X245">
        <v>35.58699668852789</v>
      </c>
      <c r="Y245">
        <v>34.674285161655156</v>
      </c>
      <c r="Z245">
        <v>33.726810253690793</v>
      </c>
      <c r="AA245">
        <v>32.776549999740482</v>
      </c>
      <c r="AB245">
        <v>31.822313055580306</v>
      </c>
      <c r="AC245">
        <v>30.86411655157233</v>
      </c>
      <c r="AD245">
        <v>29.800212008315636</v>
      </c>
      <c r="AE245">
        <v>28.732551651179357</v>
      </c>
      <c r="AF245">
        <v>27.66116271950029</v>
      </c>
      <c r="AG245">
        <v>26.586066184142879</v>
      </c>
      <c r="AH245">
        <v>25.507276404774665</v>
      </c>
    </row>
    <row r="248" spans="4:44">
      <c r="AJ248" s="27" t="s">
        <v>1402</v>
      </c>
    </row>
    <row r="249" spans="4:44" ht="44.25">
      <c r="AJ249" s="27"/>
      <c r="AK249" s="132" t="s">
        <v>128</v>
      </c>
      <c r="AL249" s="132" t="s">
        <v>305</v>
      </c>
      <c r="AM249" s="132" t="s">
        <v>306</v>
      </c>
      <c r="AN249" s="132" t="s">
        <v>678</v>
      </c>
      <c r="AO249" s="132" t="s">
        <v>151</v>
      </c>
      <c r="AP249" s="247" t="s">
        <v>152</v>
      </c>
      <c r="AQ249" s="132" t="s">
        <v>696</v>
      </c>
      <c r="AR249" s="132" t="s">
        <v>607</v>
      </c>
    </row>
    <row r="251" spans="4:44">
      <c r="AJ251" s="27" t="s">
        <v>1287</v>
      </c>
      <c r="AK251" s="136">
        <f>D4+'Yearly HC Propylene'!D4</f>
        <v>2176813.9622000009</v>
      </c>
      <c r="AL251" s="130"/>
      <c r="AM251" s="136" t="s">
        <v>307</v>
      </c>
      <c r="AN251" s="130"/>
      <c r="AO251" s="130"/>
      <c r="AP251" s="130"/>
      <c r="AQ251" s="130"/>
      <c r="AR251" s="505" t="s">
        <v>307</v>
      </c>
    </row>
    <row r="252" spans="4:44">
      <c r="AJ252" s="27" t="s">
        <v>151</v>
      </c>
      <c r="AK252" s="130"/>
      <c r="AL252" s="130"/>
      <c r="AM252" s="130"/>
      <c r="AN252" s="130"/>
      <c r="AO252" s="136">
        <f>AH81+'Yearly HC Propylene'!AH39</f>
        <v>737477.96315785497</v>
      </c>
      <c r="AP252" s="130"/>
      <c r="AQ252" s="130"/>
      <c r="AR252" s="130"/>
    </row>
    <row r="253" spans="4:44">
      <c r="AJ253" s="27" t="s">
        <v>152</v>
      </c>
      <c r="AK253" s="130"/>
      <c r="AL253" s="130"/>
      <c r="AM253" s="130"/>
      <c r="AN253" s="130"/>
      <c r="AO253" s="130"/>
      <c r="AP253" s="136">
        <f>AH82+'Yearly HC Propylene'!AH40</f>
        <v>169654.62434686633</v>
      </c>
      <c r="AQ253" s="130"/>
      <c r="AR253" s="130"/>
    </row>
    <row r="254" spans="4:44">
      <c r="AJ254" s="27" t="s">
        <v>621</v>
      </c>
      <c r="AK254" s="130"/>
      <c r="AL254" s="130"/>
      <c r="AM254" s="130"/>
      <c r="AN254" s="130"/>
      <c r="AO254" s="130"/>
      <c r="AP254" s="130"/>
      <c r="AQ254" s="136">
        <f>AH146+AH147+'Yearly HC Propylene'!AH66+'Yearly HC Propylene'!AH67</f>
        <v>487289.33388141467</v>
      </c>
      <c r="AR254" s="130"/>
    </row>
    <row r="255" spans="4:44">
      <c r="AJ255" s="27" t="s">
        <v>1288</v>
      </c>
      <c r="AK255" s="130"/>
      <c r="AL255" s="130"/>
      <c r="AM255" s="130"/>
      <c r="AN255" s="130"/>
      <c r="AO255" s="130"/>
      <c r="AP255" s="130"/>
      <c r="AQ255" s="136">
        <f>AH155+AH156+'Yearly HC Propylene'!AH69+'Yearly HC Propylene'!AH70</f>
        <v>62561.81506570358</v>
      </c>
      <c r="AR255" s="130"/>
    </row>
    <row r="256" spans="4:44">
      <c r="AJ256" s="27" t="s">
        <v>578</v>
      </c>
      <c r="AK256" s="130"/>
      <c r="AL256" s="136">
        <f>AH4-D4+'Yearly HC Propylene'!AH4-'Yearly HC Propylene'!D4</f>
        <v>0</v>
      </c>
      <c r="AM256" s="130"/>
      <c r="AN256" s="506">
        <f>AH83+'Yearly HC Propylene'!AH41</f>
        <v>671617.26395016955</v>
      </c>
      <c r="AO256" s="130"/>
      <c r="AP256" s="130"/>
      <c r="AQ256" s="130"/>
      <c r="AR256" s="130"/>
    </row>
    <row r="258" spans="36:44">
      <c r="AJ258" s="27" t="s">
        <v>1287</v>
      </c>
      <c r="AK258" s="136">
        <f>AK251</f>
        <v>2176813.9622000009</v>
      </c>
      <c r="AL258" s="130"/>
      <c r="AM258" s="136" t="s">
        <v>307</v>
      </c>
      <c r="AN258" s="130"/>
      <c r="AO258" s="130"/>
      <c r="AP258" s="130"/>
      <c r="AQ258" s="130"/>
      <c r="AR258" s="505" t="s">
        <v>307</v>
      </c>
    </row>
    <row r="259" spans="36:44">
      <c r="AJ259" s="27" t="s">
        <v>17</v>
      </c>
      <c r="AO259" s="41">
        <f>AH29+'Yearly HC Propylene'!AH17</f>
        <v>221711.86919435213</v>
      </c>
      <c r="AP259" s="41">
        <f>AH32+'Yearly HC Propylene'!AH20</f>
        <v>100770.90839217605</v>
      </c>
      <c r="AQ259" s="41">
        <f>SUM(AH93:AH94,'Yearly HC Propylene'!AH44:AH45)</f>
        <v>145098.92291381175</v>
      </c>
    </row>
    <row r="260" spans="36:44">
      <c r="AJ260" s="27" t="s">
        <v>291</v>
      </c>
      <c r="AO260" s="41">
        <f>AH41+'Yearly HC Propylene'!AH23</f>
        <v>186787.5536213835</v>
      </c>
      <c r="AP260" s="40">
        <f>AH42+'Yearly HC Propylene'!AH24</f>
        <v>39115.753991117992</v>
      </c>
      <c r="AQ260" s="41">
        <f>SUM(AH123:AH126,'Yearly HC Propylene'!AH55:AH58)</f>
        <v>164067.80247886817</v>
      </c>
    </row>
    <row r="261" spans="36:44">
      <c r="AJ261" s="27" t="s">
        <v>21</v>
      </c>
      <c r="AO261" s="41">
        <f>AH17+'Yearly HC Propylene'!AH11</f>
        <v>239732.23067056679</v>
      </c>
      <c r="AP261">
        <f>AH18+'Yearly HC Propylene'!AH12</f>
        <v>0</v>
      </c>
      <c r="AQ261" s="41">
        <f>SUM(AH103:AH104,'Yearly HC Propylene'!AH48)</f>
        <v>53064.015231422054</v>
      </c>
    </row>
    <row r="262" spans="36:44">
      <c r="AJ262" s="27" t="s">
        <v>53</v>
      </c>
      <c r="AO262" s="41">
        <f>AH53+'Yearly HC Propylene'!AH29</f>
        <v>3396.9969306975827</v>
      </c>
      <c r="AP262" s="40">
        <f>AH54+'Yearly HC Propylene'!AH30</f>
        <v>1151.5243832873161</v>
      </c>
      <c r="AQ262" s="41">
        <f>SUM(AH113:AH114,'Yearly HC Propylene'!AH51:AH52)</f>
        <v>-4498.1076618851248</v>
      </c>
    </row>
    <row r="263" spans="36:44">
      <c r="AJ263" s="27" t="s">
        <v>27</v>
      </c>
      <c r="AO263" s="40">
        <f>AH63+'Yearly HC Propylene'!AH33</f>
        <v>85849.312740854948</v>
      </c>
      <c r="AP263" s="40">
        <f>AH64+'Yearly HC Propylene'!AH34</f>
        <v>28616.437580284983</v>
      </c>
      <c r="AQ263" s="41">
        <f>SUM(AH135:AH138,'Yearly HC Propylene'!AH61:AH64)</f>
        <v>129556.70091919784</v>
      </c>
    </row>
    <row r="264" spans="36:44">
      <c r="AJ264" s="27" t="s">
        <v>1288</v>
      </c>
      <c r="AK264" s="130"/>
      <c r="AL264" s="130"/>
      <c r="AM264" s="130"/>
      <c r="AN264" s="130"/>
      <c r="AO264" s="130"/>
      <c r="AP264" s="130"/>
      <c r="AQ264" s="136">
        <f>AQ255</f>
        <v>62561.81506570358</v>
      </c>
      <c r="AR264" s="130"/>
    </row>
    <row r="265" spans="36:44">
      <c r="AJ265" s="27" t="s">
        <v>578</v>
      </c>
      <c r="AK265" s="130"/>
      <c r="AL265" s="136">
        <f>AL256</f>
        <v>0</v>
      </c>
      <c r="AM265" s="130"/>
      <c r="AN265" s="506">
        <f>AN256</f>
        <v>671617.26395016955</v>
      </c>
      <c r="AO265" s="130"/>
      <c r="AP265" s="130"/>
      <c r="AQ265" s="130"/>
      <c r="AR265" s="130"/>
    </row>
    <row r="269" spans="36:44">
      <c r="AK269" s="687" t="s">
        <v>1403</v>
      </c>
      <c r="AL269" s="687"/>
      <c r="AM269" s="687"/>
    </row>
    <row r="270" spans="36:44">
      <c r="AK270" t="s">
        <v>1404</v>
      </c>
      <c r="AL270" t="s">
        <v>4</v>
      </c>
      <c r="AM270" t="s">
        <v>78</v>
      </c>
    </row>
    <row r="271" spans="36:44">
      <c r="AJ271" t="s">
        <v>1405</v>
      </c>
      <c r="AK271" s="40">
        <f>AH84</f>
        <v>1164704.8328369712</v>
      </c>
      <c r="AL271" s="40">
        <f>'Yearly HC Propylene'!AH42</f>
        <v>776593.80580847804</v>
      </c>
      <c r="AM271" s="40">
        <f>SUM(AK271:AL271)</f>
        <v>1941298.6386454492</v>
      </c>
    </row>
    <row r="272" spans="36:44">
      <c r="AJ272" t="s">
        <v>1406</v>
      </c>
      <c r="AK272" s="40">
        <f>'Ethylene Recycling HC'!AG47</f>
        <v>1082950.3900155511</v>
      </c>
      <c r="AL272" s="40">
        <f>'Propylene Recycling HC'!AG47</f>
        <v>970156.7184970004</v>
      </c>
      <c r="AM272" s="40">
        <f>SUM(AK272:AL272)</f>
        <v>2053107.1085125515</v>
      </c>
      <c r="AN272" s="2">
        <f>AM272/AM271</f>
        <v>1.0575946779343117</v>
      </c>
    </row>
    <row r="273" spans="36:40">
      <c r="AJ273" t="s">
        <v>1407</v>
      </c>
      <c r="AK273" s="40">
        <f>'Ethylene Recycling HC'!AG267</f>
        <v>1039632.3744149291</v>
      </c>
      <c r="AL273" s="40">
        <f>'Propylene Recycling HC'!AG160</f>
        <v>931350.44975712034</v>
      </c>
      <c r="AM273" s="40">
        <f t="shared" ref="AM273:AM276" si="116">SUM(AK273:AL273)</f>
        <v>1970982.8241720493</v>
      </c>
      <c r="AN273" s="2">
        <f t="shared" ref="AN273:AN276" si="117">AM273/AM272</f>
        <v>0.96</v>
      </c>
    </row>
    <row r="274" spans="36:40">
      <c r="AJ274" t="s">
        <v>1408</v>
      </c>
      <c r="AK274" s="40">
        <f>'Ethylene Recycling HC'!AG292+'Ethylene Recycling HC'!AG290</f>
        <v>597509.15812557866</v>
      </c>
      <c r="AL274" s="40">
        <f>'Propylene Recycling HC'!AG185+'Propylene Recycling HC'!AG183</f>
        <v>432211.23261337995</v>
      </c>
      <c r="AM274" s="40">
        <f t="shared" si="116"/>
        <v>1029720.3907389586</v>
      </c>
      <c r="AN274" s="2">
        <f t="shared" si="117"/>
        <v>0.52244006295261003</v>
      </c>
    </row>
    <row r="275" spans="36:40">
      <c r="AJ275" t="s">
        <v>1409</v>
      </c>
      <c r="AK275" s="40">
        <f>'Ethylene Recycling HC'!AG289</f>
        <v>556679.55152737256</v>
      </c>
      <c r="AL275" s="40">
        <f>'Propylene Recycling HC'!AG182</f>
        <v>405940.68753762153</v>
      </c>
      <c r="AM275" s="40">
        <f t="shared" si="116"/>
        <v>962620.23906499404</v>
      </c>
      <c r="AN275" s="2">
        <f t="shared" si="117"/>
        <v>0.93483653205525874</v>
      </c>
    </row>
    <row r="276" spans="36:40">
      <c r="AJ276" t="s">
        <v>1410</v>
      </c>
      <c r="AK276" s="40">
        <f>'Ethylene Recycling HC'!AG288</f>
        <v>473177.61879826663</v>
      </c>
      <c r="AL276" s="40">
        <f>'Propylene Recycling HC'!AG181</f>
        <v>345049.58440697828</v>
      </c>
      <c r="AM276" s="40">
        <f t="shared" si="116"/>
        <v>818227.20320524485</v>
      </c>
      <c r="AN276" s="2">
        <f t="shared" si="117"/>
        <v>0.84999999999999987</v>
      </c>
    </row>
    <row r="277" spans="36:40">
      <c r="AJ277" t="s">
        <v>775</v>
      </c>
      <c r="AK277" s="2">
        <f>AK276/AK272</f>
        <v>0.43693379046797504</v>
      </c>
      <c r="AL277" s="2">
        <f>AL276/AL272</f>
        <v>0.35566375805915229</v>
      </c>
      <c r="AM277" s="2">
        <f>AM276/AM272</f>
        <v>0.39853118223239675</v>
      </c>
    </row>
    <row r="278" spans="36:40">
      <c r="AJ278" t="s">
        <v>1411</v>
      </c>
      <c r="AK278" s="2">
        <f>AK276/(AK271)</f>
        <v>0.40626397818381799</v>
      </c>
      <c r="AL278" s="2">
        <f t="shared" ref="AL278:AM278" si="118">AL276/(AL271)</f>
        <v>0.44431153303851317</v>
      </c>
      <c r="AM278" s="2">
        <f t="shared" si="118"/>
        <v>0.42148445731985212</v>
      </c>
    </row>
  </sheetData>
  <mergeCells count="31">
    <mergeCell ref="A149:A152"/>
    <mergeCell ref="A153:A154"/>
    <mergeCell ref="A158:A161"/>
    <mergeCell ref="A70:A71"/>
    <mergeCell ref="A38:A39"/>
    <mergeCell ref="A44:A47"/>
    <mergeCell ref="A48:A49"/>
    <mergeCell ref="A56:A59"/>
    <mergeCell ref="A60:A61"/>
    <mergeCell ref="A66:A69"/>
    <mergeCell ref="A5:A8"/>
    <mergeCell ref="A9:A10"/>
    <mergeCell ref="A20:A23"/>
    <mergeCell ref="A24:A25"/>
    <mergeCell ref="A34:A37"/>
    <mergeCell ref="AK269:AM269"/>
    <mergeCell ref="A85:A88"/>
    <mergeCell ref="A89:A90"/>
    <mergeCell ref="A75:A78"/>
    <mergeCell ref="A79:A80"/>
    <mergeCell ref="A120:A121"/>
    <mergeCell ref="A128:A131"/>
    <mergeCell ref="A132:A133"/>
    <mergeCell ref="A96:A99"/>
    <mergeCell ref="A100:A101"/>
    <mergeCell ref="A106:A109"/>
    <mergeCell ref="A110:A111"/>
    <mergeCell ref="A116:A119"/>
    <mergeCell ref="A162:A163"/>
    <mergeCell ref="A140:A143"/>
    <mergeCell ref="A144:A145"/>
  </mergeCells>
  <phoneticPr fontId="20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397972-7931-403D-BC49-255E127D3867}">
  <sheetPr>
    <tabColor theme="9"/>
  </sheetPr>
  <dimension ref="A2:AU256"/>
  <sheetViews>
    <sheetView zoomScale="70" zoomScaleNormal="70" workbookViewId="0">
      <pane xSplit="3" ySplit="3" topLeftCell="D4" activePane="bottomRight" state="frozen"/>
      <selection activeCell="B152" sqref="B152"/>
      <selection pane="topRight" activeCell="B152" sqref="B152"/>
      <selection pane="bottomLeft" activeCell="B152" sqref="B152"/>
      <selection pane="bottomRight" activeCell="D13" sqref="D13"/>
    </sheetView>
  </sheetViews>
  <sheetFormatPr defaultRowHeight="14.75" outlineLevelRow="1" outlineLevelCol="1"/>
  <cols>
    <col min="1" max="1" width="42.81640625" style="1" customWidth="1"/>
    <col min="2" max="2" width="34.36328125" style="1" bestFit="1" customWidth="1"/>
    <col min="3" max="3" width="10.81640625" customWidth="1"/>
    <col min="4" max="4" width="15.6796875" customWidth="1"/>
    <col min="5" max="13" width="15.6796875" hidden="1" customWidth="1" outlineLevel="1"/>
    <col min="14" max="14" width="15.6796875" customWidth="1" collapsed="1"/>
    <col min="15" max="23" width="15.6796875" hidden="1" customWidth="1" outlineLevel="1"/>
    <col min="24" max="24" width="15.6796875" customWidth="1" collapsed="1"/>
    <col min="25" max="33" width="15.6796875" hidden="1" customWidth="1" outlineLevel="1"/>
    <col min="34" max="34" width="15.6796875" customWidth="1" collapsed="1"/>
    <col min="36" max="37" width="8.81640625" bestFit="1" customWidth="1"/>
    <col min="38" max="38" width="17.7265625" bestFit="1" customWidth="1"/>
    <col min="39" max="66" width="8.81640625" bestFit="1" customWidth="1"/>
  </cols>
  <sheetData>
    <row r="2" spans="1:34" s="50" customFormat="1">
      <c r="A2" s="49" t="s">
        <v>251</v>
      </c>
      <c r="B2" s="49"/>
      <c r="C2" s="49"/>
    </row>
    <row r="3" spans="1:34" s="1" customFormat="1">
      <c r="D3" s="1">
        <v>2020</v>
      </c>
      <c r="E3" s="1">
        <f>D3+1</f>
        <v>2021</v>
      </c>
      <c r="F3" s="1">
        <f t="shared" ref="F3:AH3" si="0">E3+1</f>
        <v>2022</v>
      </c>
      <c r="G3" s="1">
        <f t="shared" si="0"/>
        <v>2023</v>
      </c>
      <c r="H3" s="1">
        <f t="shared" si="0"/>
        <v>2024</v>
      </c>
      <c r="I3" s="1">
        <f t="shared" si="0"/>
        <v>2025</v>
      </c>
      <c r="J3" s="1">
        <f t="shared" si="0"/>
        <v>2026</v>
      </c>
      <c r="K3" s="1">
        <f t="shared" si="0"/>
        <v>2027</v>
      </c>
      <c r="L3" s="1">
        <f t="shared" si="0"/>
        <v>2028</v>
      </c>
      <c r="M3" s="1">
        <f t="shared" si="0"/>
        <v>2029</v>
      </c>
      <c r="N3" s="1">
        <f t="shared" si="0"/>
        <v>2030</v>
      </c>
      <c r="O3" s="1">
        <f t="shared" si="0"/>
        <v>2031</v>
      </c>
      <c r="P3" s="1">
        <f t="shared" si="0"/>
        <v>2032</v>
      </c>
      <c r="Q3" s="1">
        <f t="shared" si="0"/>
        <v>2033</v>
      </c>
      <c r="R3" s="1">
        <f>Q3+1</f>
        <v>2034</v>
      </c>
      <c r="S3" s="1">
        <f t="shared" si="0"/>
        <v>2035</v>
      </c>
      <c r="T3" s="1">
        <f t="shared" si="0"/>
        <v>2036</v>
      </c>
      <c r="U3" s="1">
        <f t="shared" si="0"/>
        <v>2037</v>
      </c>
      <c r="V3" s="1">
        <f t="shared" si="0"/>
        <v>2038</v>
      </c>
      <c r="W3" s="1">
        <f t="shared" si="0"/>
        <v>2039</v>
      </c>
      <c r="X3" s="1">
        <f t="shared" si="0"/>
        <v>2040</v>
      </c>
      <c r="Y3" s="1">
        <f t="shared" si="0"/>
        <v>2041</v>
      </c>
      <c r="Z3" s="1">
        <f t="shared" si="0"/>
        <v>2042</v>
      </c>
      <c r="AA3" s="1">
        <f t="shared" si="0"/>
        <v>2043</v>
      </c>
      <c r="AB3" s="1">
        <f t="shared" si="0"/>
        <v>2044</v>
      </c>
      <c r="AC3" s="1">
        <f>AB3+1</f>
        <v>2045</v>
      </c>
      <c r="AD3" s="1">
        <f t="shared" si="0"/>
        <v>2046</v>
      </c>
      <c r="AE3" s="1">
        <f t="shared" si="0"/>
        <v>2047</v>
      </c>
      <c r="AF3" s="1">
        <f t="shared" si="0"/>
        <v>2048</v>
      </c>
      <c r="AG3" s="1">
        <f>AF3+1</f>
        <v>2049</v>
      </c>
      <c r="AH3" s="1">
        <f t="shared" si="0"/>
        <v>2050</v>
      </c>
    </row>
    <row r="4" spans="1:34">
      <c r="A4" s="1" t="s">
        <v>250</v>
      </c>
      <c r="C4" s="51" t="s">
        <v>166</v>
      </c>
      <c r="D4" s="101">
        <f>'Yearly Demand - Eth-Prop'!L3</f>
        <v>1049369.6122000003</v>
      </c>
      <c r="E4" s="101">
        <f>'Yearly Demand - Eth-Prop'!M3</f>
        <v>1049369.6122000003</v>
      </c>
      <c r="F4" s="101">
        <f>'Yearly Demand - Eth-Prop'!N3</f>
        <v>1049369.6122000003</v>
      </c>
      <c r="G4" s="101">
        <f>'Yearly Demand - Eth-Prop'!O3</f>
        <v>1049369.6122000003</v>
      </c>
      <c r="H4" s="101">
        <f>'Yearly Demand - Eth-Prop'!P3</f>
        <v>1049369.6122000003</v>
      </c>
      <c r="I4" s="101">
        <f>'Yearly Demand - Eth-Prop'!Q3</f>
        <v>1049369.6122000003</v>
      </c>
      <c r="J4" s="101">
        <f>'Yearly Demand - Eth-Prop'!R3</f>
        <v>1049369.6122000003</v>
      </c>
      <c r="K4" s="101">
        <f>'Yearly Demand - Eth-Prop'!S3</f>
        <v>1049369.6122000003</v>
      </c>
      <c r="L4" s="101">
        <f>'Yearly Demand - Eth-Prop'!T3</f>
        <v>1049369.6122000003</v>
      </c>
      <c r="M4" s="101">
        <f>'Yearly Demand - Eth-Prop'!U3</f>
        <v>1049369.6122000003</v>
      </c>
      <c r="N4" s="101">
        <f>'Yearly Demand - Eth-Prop'!V3</f>
        <v>1049369.6122000003</v>
      </c>
      <c r="O4" s="101">
        <f>'Yearly Demand - Eth-Prop'!W3</f>
        <v>1049369.6122000003</v>
      </c>
      <c r="P4" s="101">
        <f>'Yearly Demand - Eth-Prop'!X3</f>
        <v>1049369.6122000003</v>
      </c>
      <c r="Q4" s="101">
        <f>'Yearly Demand - Eth-Prop'!Y3</f>
        <v>1049369.6122000003</v>
      </c>
      <c r="R4" s="101">
        <f>'Yearly Demand - Eth-Prop'!Z3</f>
        <v>1049369.6122000003</v>
      </c>
      <c r="S4" s="101">
        <f>'Yearly Demand - Eth-Prop'!AA3</f>
        <v>1049369.6122000003</v>
      </c>
      <c r="T4" s="101">
        <f>'Yearly Demand - Eth-Prop'!AB3</f>
        <v>1049369.6122000003</v>
      </c>
      <c r="U4" s="101">
        <f>'Yearly Demand - Eth-Prop'!AC3</f>
        <v>1049369.6122000003</v>
      </c>
      <c r="V4" s="101">
        <f>'Yearly Demand - Eth-Prop'!AD3</f>
        <v>1049369.6122000003</v>
      </c>
      <c r="W4" s="101">
        <f>'Yearly Demand - Eth-Prop'!AE3</f>
        <v>1049369.6122000003</v>
      </c>
      <c r="X4" s="101">
        <f>'Yearly Demand - Eth-Prop'!AF3</f>
        <v>1049369.6122000003</v>
      </c>
      <c r="Y4" s="101">
        <f>'Yearly Demand - Eth-Prop'!AG3</f>
        <v>1049369.6122000003</v>
      </c>
      <c r="Z4" s="101">
        <f>'Yearly Demand - Eth-Prop'!AH3</f>
        <v>1049369.6122000003</v>
      </c>
      <c r="AA4" s="101">
        <f>'Yearly Demand - Eth-Prop'!AI3</f>
        <v>1049369.6122000003</v>
      </c>
      <c r="AB4" s="101">
        <f>'Yearly Demand - Eth-Prop'!AJ3</f>
        <v>1049369.6122000003</v>
      </c>
      <c r="AC4" s="101">
        <f>'Yearly Demand - Eth-Prop'!AK3</f>
        <v>1049369.6122000003</v>
      </c>
      <c r="AD4" s="101">
        <f>'Yearly Demand - Eth-Prop'!AL3</f>
        <v>1049369.6122000003</v>
      </c>
      <c r="AE4" s="101">
        <f>'Yearly Demand - Eth-Prop'!AM3</f>
        <v>1049369.6122000003</v>
      </c>
      <c r="AF4" s="101">
        <f>'Yearly Demand - Eth-Prop'!AN3</f>
        <v>1049369.6122000003</v>
      </c>
      <c r="AG4" s="101">
        <f>'Yearly Demand - Eth-Prop'!AO3</f>
        <v>1049369.6122000003</v>
      </c>
      <c r="AH4" s="101">
        <f>'Yearly Demand - Eth-Prop'!AP3</f>
        <v>1049369.6122000003</v>
      </c>
    </row>
    <row r="5" spans="1:34" s="62" customFormat="1">
      <c r="A5" s="688" t="s">
        <v>685</v>
      </c>
      <c r="B5" s="55" t="s">
        <v>141</v>
      </c>
      <c r="C5" s="56" t="s">
        <v>166</v>
      </c>
      <c r="D5" s="630">
        <f>D4*'Demand - Ethylene'!$C$6</f>
        <v>458015.06089865312</v>
      </c>
      <c r="E5" s="630">
        <f>E4*'Demand - Ethylene'!$C$6</f>
        <v>458015.06089865312</v>
      </c>
      <c r="F5" s="630">
        <f>F4*'Demand - Ethylene'!$C$6</f>
        <v>458015.06089865312</v>
      </c>
      <c r="G5" s="630">
        <f>G4*'Demand - Ethylene'!$C$6</f>
        <v>458015.06089865312</v>
      </c>
      <c r="H5" s="630">
        <f>H4*'Demand - Ethylene'!$C$6</f>
        <v>458015.06089865312</v>
      </c>
      <c r="I5" s="630">
        <f>I4*'Demand - Ethylene'!$C$6</f>
        <v>458015.06089865312</v>
      </c>
      <c r="J5" s="630">
        <f>J4*'Demand - Ethylene'!$C$6</f>
        <v>458015.06089865312</v>
      </c>
      <c r="K5" s="630">
        <f>K4*'Demand - Ethylene'!$C$6</f>
        <v>458015.06089865312</v>
      </c>
      <c r="L5" s="630">
        <f>L4*'Demand - Ethylene'!$C$6</f>
        <v>458015.06089865312</v>
      </c>
      <c r="M5" s="630">
        <f>M4*'Demand - Ethylene'!$C$6</f>
        <v>458015.06089865312</v>
      </c>
      <c r="N5" s="630">
        <f>N4*'Demand - Ethylene'!$C$6</f>
        <v>458015.06089865312</v>
      </c>
      <c r="O5" s="630">
        <f>O4*'Demand - Ethylene'!$C$6</f>
        <v>458015.06089865312</v>
      </c>
      <c r="P5" s="630">
        <f>P4*'Demand - Ethylene'!$C$6</f>
        <v>458015.06089865312</v>
      </c>
      <c r="Q5" s="630">
        <f>Q4*'Demand - Ethylene'!$C$6</f>
        <v>458015.06089865312</v>
      </c>
      <c r="R5" s="630">
        <f>R4*'Demand - Ethylene'!$C$6</f>
        <v>458015.06089865312</v>
      </c>
      <c r="S5" s="630">
        <f>S4*'Demand - Ethylene'!$C$6</f>
        <v>458015.06089865312</v>
      </c>
      <c r="T5" s="630">
        <f>T4*'Demand - Ethylene'!$C$6</f>
        <v>458015.06089865312</v>
      </c>
      <c r="U5" s="630">
        <f>U4*'Demand - Ethylene'!$C$6</f>
        <v>458015.06089865312</v>
      </c>
      <c r="V5" s="630">
        <f>V4*'Demand - Ethylene'!$C$6</f>
        <v>458015.06089865312</v>
      </c>
      <c r="W5" s="630">
        <f>W4*'Demand - Ethylene'!$C$6</f>
        <v>458015.06089865312</v>
      </c>
      <c r="X5" s="630">
        <f>X4*'Demand - Ethylene'!$C$6</f>
        <v>458015.06089865312</v>
      </c>
      <c r="Y5" s="630">
        <f>Y4*'Demand - Ethylene'!$C$6</f>
        <v>458015.06089865312</v>
      </c>
      <c r="Z5" s="630">
        <f>Z4*'Demand - Ethylene'!$C$6</f>
        <v>458015.06089865312</v>
      </c>
      <c r="AA5" s="630">
        <f>AA4*'Demand - Ethylene'!$C$6</f>
        <v>458015.06089865312</v>
      </c>
      <c r="AB5" s="630">
        <f>AB4*'Demand - Ethylene'!$C$6</f>
        <v>458015.06089865312</v>
      </c>
      <c r="AC5" s="630">
        <f>AC4*'Demand - Ethylene'!$C$6</f>
        <v>458015.06089865312</v>
      </c>
      <c r="AD5" s="630">
        <f>AD4*'Demand - Ethylene'!$C$6</f>
        <v>458015.06089865312</v>
      </c>
      <c r="AE5" s="630">
        <f>AE4*'Demand - Ethylene'!$C$6</f>
        <v>458015.06089865312</v>
      </c>
      <c r="AF5" s="630">
        <f>AF4*'Demand - Ethylene'!$C$6</f>
        <v>458015.06089865312</v>
      </c>
      <c r="AG5" s="630">
        <f>AG4*'Demand - Ethylene'!$C$6</f>
        <v>458015.06089865312</v>
      </c>
      <c r="AH5" s="630">
        <f>AH4*'Demand - Ethylene'!$C$6</f>
        <v>458015.06089865312</v>
      </c>
    </row>
    <row r="6" spans="1:34">
      <c r="A6" s="689"/>
      <c r="B6" s="1" t="s">
        <v>18</v>
      </c>
      <c r="C6" s="51" t="s">
        <v>166</v>
      </c>
      <c r="D6" s="196">
        <f>D4*'Demand - Ethylene'!$C$7</f>
        <v>212281.12097997082</v>
      </c>
      <c r="E6" s="196">
        <f>E4*'Demand - Ethylene'!$C$7</f>
        <v>212281.12097997082</v>
      </c>
      <c r="F6" s="196">
        <f>F4*'Demand - Ethylene'!$C$7</f>
        <v>212281.12097997082</v>
      </c>
      <c r="G6" s="196">
        <f>G4*'Demand - Ethylene'!$C$7</f>
        <v>212281.12097997082</v>
      </c>
      <c r="H6" s="196">
        <f>H4*'Demand - Ethylene'!$C$7</f>
        <v>212281.12097997082</v>
      </c>
      <c r="I6" s="196">
        <f>I4*'Demand - Ethylene'!$C$7</f>
        <v>212281.12097997082</v>
      </c>
      <c r="J6" s="196">
        <f>J4*'Demand - Ethylene'!$C$7</f>
        <v>212281.12097997082</v>
      </c>
      <c r="K6" s="196">
        <f>K4*'Demand - Ethylene'!$C$7</f>
        <v>212281.12097997082</v>
      </c>
      <c r="L6" s="196">
        <f>L4*'Demand - Ethylene'!$C$7</f>
        <v>212281.12097997082</v>
      </c>
      <c r="M6" s="196">
        <f>M4*'Demand - Ethylene'!$C$7</f>
        <v>212281.12097997082</v>
      </c>
      <c r="N6" s="196">
        <f>N4*'Demand - Ethylene'!$C$7</f>
        <v>212281.12097997082</v>
      </c>
      <c r="O6" s="196">
        <f>O4*'Demand - Ethylene'!$C$7</f>
        <v>212281.12097997082</v>
      </c>
      <c r="P6" s="196">
        <f>P4*'Demand - Ethylene'!$C$7</f>
        <v>212281.12097997082</v>
      </c>
      <c r="Q6" s="196">
        <f>Q4*'Demand - Ethylene'!$C$7</f>
        <v>212281.12097997082</v>
      </c>
      <c r="R6" s="196">
        <f>R4*'Demand - Ethylene'!$C$7</f>
        <v>212281.12097997082</v>
      </c>
      <c r="S6" s="196">
        <f>S4*'Demand - Ethylene'!$C$7</f>
        <v>212281.12097997082</v>
      </c>
      <c r="T6" s="196">
        <f>T4*'Demand - Ethylene'!$C$7</f>
        <v>212281.12097997082</v>
      </c>
      <c r="U6" s="196">
        <f>U4*'Demand - Ethylene'!$C$7</f>
        <v>212281.12097997082</v>
      </c>
      <c r="V6" s="196">
        <f>V4*'Demand - Ethylene'!$C$7</f>
        <v>212281.12097997082</v>
      </c>
      <c r="W6" s="196">
        <f>W4*'Demand - Ethylene'!$C$7</f>
        <v>212281.12097997082</v>
      </c>
      <c r="X6" s="196">
        <f>X4*'Demand - Ethylene'!$C$7</f>
        <v>212281.12097997082</v>
      </c>
      <c r="Y6" s="196">
        <f>Y4*'Demand - Ethylene'!$C$7</f>
        <v>212281.12097997082</v>
      </c>
      <c r="Z6" s="196">
        <f>Z4*'Demand - Ethylene'!$C$7</f>
        <v>212281.12097997082</v>
      </c>
      <c r="AA6" s="196">
        <f>AA4*'Demand - Ethylene'!$C$7</f>
        <v>212281.12097997082</v>
      </c>
      <c r="AB6" s="196">
        <f>AB4*'Demand - Ethylene'!$C$7</f>
        <v>212281.12097997082</v>
      </c>
      <c r="AC6" s="196">
        <f>AC4*'Demand - Ethylene'!$C$7</f>
        <v>212281.12097997082</v>
      </c>
      <c r="AD6" s="196">
        <f>AD4*'Demand - Ethylene'!$C$7</f>
        <v>212281.12097997082</v>
      </c>
      <c r="AE6" s="196">
        <f>AE4*'Demand - Ethylene'!$C$7</f>
        <v>212281.12097997082</v>
      </c>
      <c r="AF6" s="196">
        <f>AF4*'Demand - Ethylene'!$C$7</f>
        <v>212281.12097997082</v>
      </c>
      <c r="AG6" s="196">
        <f>AG4*'Demand - Ethylene'!$C$7</f>
        <v>212281.12097997082</v>
      </c>
      <c r="AH6" s="196">
        <f>AH4*'Demand - Ethylene'!$C$7</f>
        <v>212281.12097997082</v>
      </c>
    </row>
    <row r="7" spans="1:34">
      <c r="A7" s="689"/>
      <c r="B7" s="1" t="s">
        <v>684</v>
      </c>
      <c r="C7" s="51" t="s">
        <v>166</v>
      </c>
      <c r="D7" s="196">
        <f>D4*'Demand - Ethylene'!$C$8</f>
        <v>181955.2465542607</v>
      </c>
      <c r="E7" s="196">
        <f>E4*'Demand - Ethylene'!$C$8</f>
        <v>181955.2465542607</v>
      </c>
      <c r="F7" s="196">
        <f>F4*'Demand - Ethylene'!$C$8</f>
        <v>181955.2465542607</v>
      </c>
      <c r="G7" s="196">
        <f>G4*'Demand - Ethylene'!$C$8</f>
        <v>181955.2465542607</v>
      </c>
      <c r="H7" s="196">
        <f>H4*'Demand - Ethylene'!$C$8</f>
        <v>181955.2465542607</v>
      </c>
      <c r="I7" s="196">
        <f>I4*'Demand - Ethylene'!$C$8</f>
        <v>181955.2465542607</v>
      </c>
      <c r="J7" s="196">
        <f>J4*'Demand - Ethylene'!$C$8</f>
        <v>181955.2465542607</v>
      </c>
      <c r="K7" s="196">
        <f>K4*'Demand - Ethylene'!$C$8</f>
        <v>181955.2465542607</v>
      </c>
      <c r="L7" s="196">
        <f>L4*'Demand - Ethylene'!$C$8</f>
        <v>181955.2465542607</v>
      </c>
      <c r="M7" s="196">
        <f>M4*'Demand - Ethylene'!$C$8</f>
        <v>181955.2465542607</v>
      </c>
      <c r="N7" s="196">
        <f>N4*'Demand - Ethylene'!$C$8</f>
        <v>181955.2465542607</v>
      </c>
      <c r="O7" s="196">
        <f>O4*'Demand - Ethylene'!$C$8</f>
        <v>181955.2465542607</v>
      </c>
      <c r="P7" s="196">
        <f>P4*'Demand - Ethylene'!$C$8</f>
        <v>181955.2465542607</v>
      </c>
      <c r="Q7" s="196">
        <f>Q4*'Demand - Ethylene'!$C$8</f>
        <v>181955.2465542607</v>
      </c>
      <c r="R7" s="196">
        <f>R4*'Demand - Ethylene'!$C$8</f>
        <v>181955.2465542607</v>
      </c>
      <c r="S7" s="196">
        <f>S4*'Demand - Ethylene'!$C$8</f>
        <v>181955.2465542607</v>
      </c>
      <c r="T7" s="196">
        <f>T4*'Demand - Ethylene'!$C$8</f>
        <v>181955.2465542607</v>
      </c>
      <c r="U7" s="196">
        <f>U4*'Demand - Ethylene'!$C$8</f>
        <v>181955.2465542607</v>
      </c>
      <c r="V7" s="196">
        <f>V4*'Demand - Ethylene'!$C$8</f>
        <v>181955.2465542607</v>
      </c>
      <c r="W7" s="196">
        <f>W4*'Demand - Ethylene'!$C$8</f>
        <v>181955.2465542607</v>
      </c>
      <c r="X7" s="196">
        <f>X4*'Demand - Ethylene'!$C$8</f>
        <v>181955.2465542607</v>
      </c>
      <c r="Y7" s="196">
        <f>Y4*'Demand - Ethylene'!$C$8</f>
        <v>181955.2465542607</v>
      </c>
      <c r="Z7" s="196">
        <f>Z4*'Demand - Ethylene'!$C$8</f>
        <v>181955.2465542607</v>
      </c>
      <c r="AA7" s="196">
        <f>AA4*'Demand - Ethylene'!$C$8</f>
        <v>181955.2465542607</v>
      </c>
      <c r="AB7" s="196">
        <f>AB4*'Demand - Ethylene'!$C$8</f>
        <v>181955.2465542607</v>
      </c>
      <c r="AC7" s="196">
        <f>AC4*'Demand - Ethylene'!$C$8</f>
        <v>181955.2465542607</v>
      </c>
      <c r="AD7" s="196">
        <f>AD4*'Demand - Ethylene'!$C$8</f>
        <v>181955.2465542607</v>
      </c>
      <c r="AE7" s="196">
        <f>AE4*'Demand - Ethylene'!$C$8</f>
        <v>181955.2465542607</v>
      </c>
      <c r="AF7" s="196">
        <f>AF4*'Demand - Ethylene'!$C$8</f>
        <v>181955.2465542607</v>
      </c>
      <c r="AG7" s="196">
        <f>AG4*'Demand - Ethylene'!$C$8</f>
        <v>181955.2465542607</v>
      </c>
      <c r="AH7" s="196">
        <f>AH4*'Demand - Ethylene'!$C$8</f>
        <v>181955.2465542607</v>
      </c>
    </row>
    <row r="8" spans="1:34" s="63" customFormat="1">
      <c r="A8" s="690"/>
      <c r="B8" s="59" t="s">
        <v>27</v>
      </c>
      <c r="C8" s="262" t="s">
        <v>166</v>
      </c>
      <c r="D8" s="599">
        <f t="shared" ref="D8:AH8" si="1">D4-SUM(D6,D5,D7)</f>
        <v>197118.1837671157</v>
      </c>
      <c r="E8" s="599">
        <f t="shared" si="1"/>
        <v>197118.1837671157</v>
      </c>
      <c r="F8" s="599">
        <f t="shared" si="1"/>
        <v>197118.1837671157</v>
      </c>
      <c r="G8" s="599">
        <f t="shared" si="1"/>
        <v>197118.1837671157</v>
      </c>
      <c r="H8" s="599">
        <f t="shared" si="1"/>
        <v>197118.1837671157</v>
      </c>
      <c r="I8" s="599">
        <f t="shared" si="1"/>
        <v>197118.1837671157</v>
      </c>
      <c r="J8" s="599">
        <f t="shared" si="1"/>
        <v>197118.1837671157</v>
      </c>
      <c r="K8" s="599">
        <f t="shared" si="1"/>
        <v>197118.1837671157</v>
      </c>
      <c r="L8" s="599">
        <f t="shared" si="1"/>
        <v>197118.1837671157</v>
      </c>
      <c r="M8" s="599">
        <f t="shared" si="1"/>
        <v>197118.1837671157</v>
      </c>
      <c r="N8" s="599">
        <f t="shared" si="1"/>
        <v>197118.1837671157</v>
      </c>
      <c r="O8" s="599">
        <f t="shared" si="1"/>
        <v>197118.1837671157</v>
      </c>
      <c r="P8" s="599">
        <f t="shared" si="1"/>
        <v>197118.1837671157</v>
      </c>
      <c r="Q8" s="599">
        <f t="shared" si="1"/>
        <v>197118.1837671157</v>
      </c>
      <c r="R8" s="599">
        <f t="shared" si="1"/>
        <v>197118.1837671157</v>
      </c>
      <c r="S8" s="599">
        <f t="shared" si="1"/>
        <v>197118.1837671157</v>
      </c>
      <c r="T8" s="599">
        <f t="shared" si="1"/>
        <v>197118.1837671157</v>
      </c>
      <c r="U8" s="599">
        <f t="shared" si="1"/>
        <v>197118.1837671157</v>
      </c>
      <c r="V8" s="599">
        <f t="shared" si="1"/>
        <v>197118.1837671157</v>
      </c>
      <c r="W8" s="599">
        <f t="shared" si="1"/>
        <v>197118.1837671157</v>
      </c>
      <c r="X8" s="599">
        <f t="shared" si="1"/>
        <v>197118.1837671157</v>
      </c>
      <c r="Y8" s="599">
        <f t="shared" si="1"/>
        <v>197118.1837671157</v>
      </c>
      <c r="Z8" s="599">
        <f t="shared" si="1"/>
        <v>197118.1837671157</v>
      </c>
      <c r="AA8" s="599">
        <f t="shared" si="1"/>
        <v>197118.1837671157</v>
      </c>
      <c r="AB8" s="599">
        <f t="shared" si="1"/>
        <v>197118.1837671157</v>
      </c>
      <c r="AC8" s="599">
        <f t="shared" si="1"/>
        <v>197118.1837671157</v>
      </c>
      <c r="AD8" s="599">
        <f t="shared" si="1"/>
        <v>197118.1837671157</v>
      </c>
      <c r="AE8" s="599">
        <f t="shared" si="1"/>
        <v>197118.1837671157</v>
      </c>
      <c r="AF8" s="599">
        <f t="shared" si="1"/>
        <v>197118.1837671157</v>
      </c>
      <c r="AG8" s="599">
        <f t="shared" si="1"/>
        <v>197118.1837671157</v>
      </c>
      <c r="AH8" s="599">
        <f t="shared" si="1"/>
        <v>197118.1837671157</v>
      </c>
    </row>
    <row r="9" spans="1:34" s="62" customFormat="1">
      <c r="A9" s="688" t="s">
        <v>686</v>
      </c>
      <c r="B9" s="55" t="s">
        <v>683</v>
      </c>
      <c r="C9" s="56" t="s">
        <v>166</v>
      </c>
      <c r="D9" s="630">
        <f>D4*'Demand - Ethylene'!$O$14</f>
        <v>82940.175270187392</v>
      </c>
      <c r="E9" s="630">
        <f>E4*'Demand - Ethylene'!$O$14</f>
        <v>82940.175270187392</v>
      </c>
      <c r="F9" s="630">
        <f>F4*'Demand - Ethylene'!$O$14</f>
        <v>82940.175270187392</v>
      </c>
      <c r="G9" s="630">
        <f>G4*'Demand - Ethylene'!$O$14</f>
        <v>82940.175270187392</v>
      </c>
      <c r="H9" s="630">
        <f>H4*'Demand - Ethylene'!$O$14</f>
        <v>82940.175270187392</v>
      </c>
      <c r="I9" s="630">
        <f>I4*'Demand - Ethylene'!$O$14</f>
        <v>82940.175270187392</v>
      </c>
      <c r="J9" s="630">
        <f>J4*'Demand - Ethylene'!$O$14</f>
        <v>82940.175270187392</v>
      </c>
      <c r="K9" s="630">
        <f>K4*'Demand - Ethylene'!$O$14</f>
        <v>82940.175270187392</v>
      </c>
      <c r="L9" s="630">
        <f>L4*'Demand - Ethylene'!$O$14</f>
        <v>82940.175270187392</v>
      </c>
      <c r="M9" s="630">
        <f>M4*'Demand - Ethylene'!$O$14</f>
        <v>82940.175270187392</v>
      </c>
      <c r="N9" s="630">
        <f>N4*'Demand - Ethylene'!$O$14</f>
        <v>82940.175270187392</v>
      </c>
      <c r="O9" s="630">
        <f>O4*'Demand - Ethylene'!$O$14</f>
        <v>82940.175270187392</v>
      </c>
      <c r="P9" s="630">
        <f>P4*'Demand - Ethylene'!$O$14</f>
        <v>82940.175270187392</v>
      </c>
      <c r="Q9" s="630">
        <f>Q4*'Demand - Ethylene'!$O$14</f>
        <v>82940.175270187392</v>
      </c>
      <c r="R9" s="630">
        <f>R4*'Demand - Ethylene'!$O$14</f>
        <v>82940.175270187392</v>
      </c>
      <c r="S9" s="630">
        <f>S4*'Demand - Ethylene'!$O$14</f>
        <v>82940.175270187392</v>
      </c>
      <c r="T9" s="630">
        <f>T4*'Demand - Ethylene'!$O$14</f>
        <v>82940.175270187392</v>
      </c>
      <c r="U9" s="630">
        <f>U4*'Demand - Ethylene'!$O$14</f>
        <v>82940.175270187392</v>
      </c>
      <c r="V9" s="630">
        <f>V4*'Demand - Ethylene'!$O$14</f>
        <v>82940.175270187392</v>
      </c>
      <c r="W9" s="630">
        <f>W4*'Demand - Ethylene'!$O$14</f>
        <v>82940.175270187392</v>
      </c>
      <c r="X9" s="630">
        <f>X4*'Demand - Ethylene'!$O$14</f>
        <v>82940.175270187392</v>
      </c>
      <c r="Y9" s="630">
        <f>Y4*'Demand - Ethylene'!$O$14</f>
        <v>82940.175270187392</v>
      </c>
      <c r="Z9" s="630">
        <f>Z4*'Demand - Ethylene'!$O$14</f>
        <v>82940.175270187392</v>
      </c>
      <c r="AA9" s="630">
        <f>AA4*'Demand - Ethylene'!$O$14</f>
        <v>82940.175270187392</v>
      </c>
      <c r="AB9" s="630">
        <f>AB4*'Demand - Ethylene'!$O$14</f>
        <v>82940.175270187392</v>
      </c>
      <c r="AC9" s="630">
        <f>AC4*'Demand - Ethylene'!$O$14</f>
        <v>82940.175270187392</v>
      </c>
      <c r="AD9" s="630">
        <f>AD4*'Demand - Ethylene'!$O$14</f>
        <v>82940.175270187392</v>
      </c>
      <c r="AE9" s="630">
        <f>AE4*'Demand - Ethylene'!$O$14</f>
        <v>82940.175270187392</v>
      </c>
      <c r="AF9" s="630">
        <f>AF4*'Demand - Ethylene'!$O$14</f>
        <v>82940.175270187392</v>
      </c>
      <c r="AG9" s="630">
        <f>AG4*'Demand - Ethylene'!$O$14</f>
        <v>82940.175270187392</v>
      </c>
      <c r="AH9" s="630">
        <f>AH4*'Demand - Ethylene'!$O$14</f>
        <v>82940.175270187392</v>
      </c>
    </row>
    <row r="10" spans="1:34" s="63" customFormat="1">
      <c r="A10" s="690"/>
      <c r="B10" s="59" t="s">
        <v>682</v>
      </c>
      <c r="C10" s="262" t="s">
        <v>166</v>
      </c>
      <c r="D10" s="599">
        <f>D4*'Demand - Ethylene'!$J$14</f>
        <v>74884.146910164345</v>
      </c>
      <c r="E10" s="599">
        <f>E4*'Demand - Ethylene'!$J$14</f>
        <v>74884.146910164345</v>
      </c>
      <c r="F10" s="599">
        <f>F4*'Demand - Ethylene'!$J$14</f>
        <v>74884.146910164345</v>
      </c>
      <c r="G10" s="599">
        <f>G4*'Demand - Ethylene'!$J$14</f>
        <v>74884.146910164345</v>
      </c>
      <c r="H10" s="599">
        <f>H4*'Demand - Ethylene'!$J$14</f>
        <v>74884.146910164345</v>
      </c>
      <c r="I10" s="599">
        <f>I4*'Demand - Ethylene'!$J$14</f>
        <v>74884.146910164345</v>
      </c>
      <c r="J10" s="599">
        <f>J4*'Demand - Ethylene'!$J$14</f>
        <v>74884.146910164345</v>
      </c>
      <c r="K10" s="599">
        <f>K4*'Demand - Ethylene'!$J$14</f>
        <v>74884.146910164345</v>
      </c>
      <c r="L10" s="599">
        <f>L4*'Demand - Ethylene'!$J$14</f>
        <v>74884.146910164345</v>
      </c>
      <c r="M10" s="599">
        <f>M4*'Demand - Ethylene'!$J$14</f>
        <v>74884.146910164345</v>
      </c>
      <c r="N10" s="599">
        <f>N4*'Demand - Ethylene'!$J$14</f>
        <v>74884.146910164345</v>
      </c>
      <c r="O10" s="599">
        <f>O4*'Demand - Ethylene'!$J$14</f>
        <v>74884.146910164345</v>
      </c>
      <c r="P10" s="599">
        <f>P4*'Demand - Ethylene'!$J$14</f>
        <v>74884.146910164345</v>
      </c>
      <c r="Q10" s="599">
        <f>Q4*'Demand - Ethylene'!$J$14</f>
        <v>74884.146910164345</v>
      </c>
      <c r="R10" s="599">
        <f>R4*'Demand - Ethylene'!$J$14</f>
        <v>74884.146910164345</v>
      </c>
      <c r="S10" s="599">
        <f>S4*'Demand - Ethylene'!$J$14</f>
        <v>74884.146910164345</v>
      </c>
      <c r="T10" s="599">
        <f>T4*'Demand - Ethylene'!$J$14</f>
        <v>74884.146910164345</v>
      </c>
      <c r="U10" s="599">
        <f>U4*'Demand - Ethylene'!$J$14</f>
        <v>74884.146910164345</v>
      </c>
      <c r="V10" s="599">
        <f>V4*'Demand - Ethylene'!$J$14</f>
        <v>74884.146910164345</v>
      </c>
      <c r="W10" s="599">
        <f>W4*'Demand - Ethylene'!$J$14</f>
        <v>74884.146910164345</v>
      </c>
      <c r="X10" s="599">
        <f>X4*'Demand - Ethylene'!$J$14</f>
        <v>74884.146910164345</v>
      </c>
      <c r="Y10" s="599">
        <f>Y4*'Demand - Ethylene'!$J$14</f>
        <v>74884.146910164345</v>
      </c>
      <c r="Z10" s="599">
        <f>Z4*'Demand - Ethylene'!$J$14</f>
        <v>74884.146910164345</v>
      </c>
      <c r="AA10" s="599">
        <f>AA4*'Demand - Ethylene'!$J$14</f>
        <v>74884.146910164345</v>
      </c>
      <c r="AB10" s="599">
        <f>AB4*'Demand - Ethylene'!$J$14</f>
        <v>74884.146910164345</v>
      </c>
      <c r="AC10" s="599">
        <f>AC4*'Demand - Ethylene'!$J$14</f>
        <v>74884.146910164345</v>
      </c>
      <c r="AD10" s="599">
        <f>AD4*'Demand - Ethylene'!$J$14</f>
        <v>74884.146910164345</v>
      </c>
      <c r="AE10" s="599">
        <f>AE4*'Demand - Ethylene'!$J$14</f>
        <v>74884.146910164345</v>
      </c>
      <c r="AF10" s="599">
        <f>AF4*'Demand - Ethylene'!$J$14</f>
        <v>74884.146910164345</v>
      </c>
      <c r="AG10" s="599">
        <f>AG4*'Demand - Ethylene'!$J$14</f>
        <v>74884.146910164345</v>
      </c>
      <c r="AH10" s="599">
        <f>AH4*'Demand - Ethylene'!$J$14</f>
        <v>74884.146910164345</v>
      </c>
    </row>
    <row r="11" spans="1:34"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</row>
    <row r="12" spans="1:34">
      <c r="A12" s="55" t="s">
        <v>255</v>
      </c>
      <c r="B12" s="55" t="s">
        <v>174</v>
      </c>
      <c r="C12" s="56" t="s">
        <v>166</v>
      </c>
      <c r="D12" s="630">
        <f>'R&amp;S - Transportation'!D4</f>
        <v>93277.946794923075</v>
      </c>
      <c r="E12" s="630">
        <f>D12*(1+'R&amp;S - Transportation'!$B$5)</f>
        <v>94863.671890436759</v>
      </c>
      <c r="F12" s="630">
        <f>E12*(1+'R&amp;S - Transportation'!$B$5)</f>
        <v>96476.354312574171</v>
      </c>
      <c r="G12" s="630">
        <f>F12*(1+'R&amp;S - Transportation'!$B$5)</f>
        <v>98116.452335887923</v>
      </c>
      <c r="H12" s="630">
        <f>G12*(1+'R&amp;S - Transportation'!$B$5)</f>
        <v>99784.432025598013</v>
      </c>
      <c r="I12" s="630">
        <f>H12*(1+'R&amp;S - Transportation'!$B$5)</f>
        <v>101480.76737003317</v>
      </c>
      <c r="J12" s="630">
        <f>I12*(1+'R&amp;S - Transportation'!$B$5)</f>
        <v>103205.94041532373</v>
      </c>
      <c r="K12" s="630">
        <f>J12*(1+'R&amp;S - Transportation'!$B$5)</f>
        <v>104960.44140238423</v>
      </c>
      <c r="L12" s="630">
        <f>K12*(1+'R&amp;S - Transportation'!$B$5)</f>
        <v>106744.76890622475</v>
      </c>
      <c r="M12" s="630">
        <f>L12*(1+'R&amp;S - Transportation'!$B$5)</f>
        <v>108559.42997763056</v>
      </c>
      <c r="N12" s="630">
        <f>M12*(1+'R&amp;S - Transportation'!$B$5)</f>
        <v>110404.94028725027</v>
      </c>
      <c r="O12" s="630">
        <f>N12*(1+'R&amp;S - Transportation'!$B$5)</f>
        <v>112281.82427213351</v>
      </c>
      <c r="P12" s="630">
        <f>O12*(1+'R&amp;S - Transportation'!$B$5)</f>
        <v>114190.61528475977</v>
      </c>
      <c r="Q12" s="630">
        <f>P12*(1+'R&amp;S - Transportation'!$B$5)</f>
        <v>116131.85574460067</v>
      </c>
      <c r="R12" s="630">
        <f>Q12*(1+'R&amp;S - Transportation'!$B$5)</f>
        <v>118106.09729225887</v>
      </c>
      <c r="S12" s="630">
        <f>R12*(1+'R&amp;S - Transportation'!$B$5)</f>
        <v>120113.90094622727</v>
      </c>
      <c r="T12" s="630">
        <f>S12*(1+'R&amp;S - Transportation'!$B$5)</f>
        <v>122155.83726231311</v>
      </c>
      <c r="U12" s="630">
        <f>T12*(1+'R&amp;S - Transportation'!$B$5)</f>
        <v>124232.48649577242</v>
      </c>
      <c r="V12" s="630">
        <f>U12*(1+'R&amp;S - Transportation'!$B$5)</f>
        <v>126344.43876620055</v>
      </c>
      <c r="W12" s="630">
        <f>V12*(1+'R&amp;S - Transportation'!$B$5)</f>
        <v>128492.29422522594</v>
      </c>
      <c r="X12" s="630">
        <f>W12*(1+'R&amp;S - Transportation'!$B$5)</f>
        <v>130676.66322705477</v>
      </c>
      <c r="Y12" s="630">
        <f>X12*(1+'R&amp;S - Transportation'!$B$5)</f>
        <v>132898.16650191467</v>
      </c>
      <c r="Z12" s="630">
        <f>Y12*(1+'R&amp;S - Transportation'!$B$5)</f>
        <v>135157.4353324472</v>
      </c>
      <c r="AA12" s="630">
        <f>Z12*(1+'R&amp;S - Transportation'!$B$5)</f>
        <v>137455.11173309881</v>
      </c>
      <c r="AB12" s="630">
        <f>AA12*(1+'R&amp;S - Transportation'!$B$5)</f>
        <v>139791.84863256148</v>
      </c>
      <c r="AC12" s="630">
        <f>AB12*(1+'R&amp;S - Transportation'!$B$5)</f>
        <v>142168.310059315</v>
      </c>
      <c r="AD12" s="630">
        <f>AC12*(1+'R&amp;S - Transportation'!$B$5)</f>
        <v>144585.17133032336</v>
      </c>
      <c r="AE12" s="630">
        <f>AD12*(1+'R&amp;S - Transportation'!$B$5)</f>
        <v>147043.11924293885</v>
      </c>
      <c r="AF12" s="630">
        <f>AE12*(1+'R&amp;S - Transportation'!$B$5)</f>
        <v>149542.8522700688</v>
      </c>
      <c r="AG12" s="630">
        <f>AF12*(1+'R&amp;S - Transportation'!$B$5)</f>
        <v>152085.08075865995</v>
      </c>
      <c r="AH12" s="630">
        <f>AG12*(1+'R&amp;S - Transportation'!$B$5)</f>
        <v>154670.52713155717</v>
      </c>
    </row>
    <row r="13" spans="1:34" outlineLevel="1">
      <c r="B13" s="1" t="s">
        <v>175</v>
      </c>
      <c r="C13" s="51" t="s">
        <v>166</v>
      </c>
      <c r="D13" s="196">
        <v>0</v>
      </c>
      <c r="E13" s="196">
        <f>E12*('R&amp;S - Transportation'!$B$8*'R&amp;S - Transportation'!$C$19*('Yearly LC Ethylene'!E3-'Yearly LC Ethylene'!$D$3)/10)</f>
        <v>94.863671890436777</v>
      </c>
      <c r="F13" s="196">
        <f>F12*('R&amp;S - Transportation'!$B$8*'R&amp;S - Transportation'!$C$19*('Yearly LC Ethylene'!F3-'Yearly LC Ethylene'!$D$3)/10)</f>
        <v>192.95270862514838</v>
      </c>
      <c r="G13" s="196">
        <f>G12*('R&amp;S - Transportation'!$B$8*'R&amp;S - Transportation'!$C$19*('Yearly LC Ethylene'!G3-'Yearly LC Ethylene'!$D$3)/10)</f>
        <v>294.3493570076638</v>
      </c>
      <c r="H13" s="196">
        <f>H12*('R&amp;S - Transportation'!$B$8*'R&amp;S - Transportation'!$C$19*('Yearly LC Ethylene'!H3-'Yearly LC Ethylene'!$D$3)/10)</f>
        <v>399.13772810239215</v>
      </c>
      <c r="I13" s="196">
        <f>I12*('R&amp;S - Transportation'!$B$8*'R&amp;S - Transportation'!$C$19*('Yearly LC Ethylene'!I3-'Yearly LC Ethylene'!$D$3)/10)</f>
        <v>507.40383685016593</v>
      </c>
      <c r="J13" s="196">
        <f>J12*('R&amp;S - Transportation'!$B$8*'R&amp;S - Transportation'!$C$19*('Yearly LC Ethylene'!J3-'Yearly LC Ethylene'!$D$3)/10)</f>
        <v>619.23564249194249</v>
      </c>
      <c r="K13" s="196">
        <f>K12*('R&amp;S - Transportation'!$B$8*'R&amp;S - Transportation'!$C$19*('Yearly LC Ethylene'!K3-'Yearly LC Ethylene'!$D$3)/10)</f>
        <v>734.72308981668971</v>
      </c>
      <c r="L13" s="196">
        <f>L12*('R&amp;S - Transportation'!$B$8*'R&amp;S - Transportation'!$C$19*('Yearly LC Ethylene'!L3-'Yearly LC Ethylene'!$D$3)/10)</f>
        <v>853.95815124979822</v>
      </c>
      <c r="M13" s="196">
        <f>M12*('R&amp;S - Transportation'!$B$8*'R&amp;S - Transportation'!$C$19*('Yearly LC Ethylene'!M3-'Yearly LC Ethylene'!$D$3)/10)</f>
        <v>977.03486979867535</v>
      </c>
      <c r="N13" s="196">
        <f>N12*('R&amp;S - Transportation'!$B$8*'R&amp;S - Transportation'!$C$19*('Yearly LC Ethylene'!N3-'Yearly LC Ethylene'!$D$3)/10)</f>
        <v>1104.0494028725029</v>
      </c>
      <c r="O13" s="196">
        <f>O12*('R&amp;S - Transportation'!$B$8*('R&amp;S - Transportation'!$C$19+('R&amp;S - Transportation'!$C$20-'R&amp;S - Transportation'!$C$19)*('Yearly LC Ethylene'!O3-'Yearly LC Ethylene'!$N$3)/10))</f>
        <v>1571.9455398098694</v>
      </c>
      <c r="P13" s="196">
        <f>P12*('R&amp;S - Transportation'!$B$8*('R&amp;S - Transportation'!$C$19+('R&amp;S - Transportation'!$C$20-'R&amp;S - Transportation'!$C$19)*('Yearly LC Ethylene'!P3-'Yearly LC Ethylene'!$N$3)/10))</f>
        <v>2055.4310751256758</v>
      </c>
      <c r="Q13" s="196">
        <f>Q12*('R&amp;S - Transportation'!$B$8*('R&amp;S - Transportation'!$C$19+('R&amp;S - Transportation'!$C$20-'R&amp;S - Transportation'!$C$19)*('Yearly LC Ethylene'!Q3-'Yearly LC Ethylene'!$N$3)/10))</f>
        <v>2554.9008263812157</v>
      </c>
      <c r="R13" s="196">
        <f>R12*('R&amp;S - Transportation'!$B$8*('R&amp;S - Transportation'!$C$19+('R&amp;S - Transportation'!$C$20-'R&amp;S - Transportation'!$C$19)*('Yearly LC Ethylene'!R3-'Yearly LC Ethylene'!$N$3)/10))</f>
        <v>3070.758529598731</v>
      </c>
      <c r="S13" s="196">
        <f>S12*('R&amp;S - Transportation'!$B$8*('R&amp;S - Transportation'!$C$19+('R&amp;S - Transportation'!$C$20-'R&amp;S - Transportation'!$C$19)*('Yearly LC Ethylene'!S3-'Yearly LC Ethylene'!$N$3)/10))</f>
        <v>3603.4170283868189</v>
      </c>
      <c r="T13" s="196">
        <f>T12*('R&amp;S - Transportation'!$B$8*('R&amp;S - Transportation'!$C$19+('R&amp;S - Transportation'!$C$20-'R&amp;S - Transportation'!$C$19)*('Yearly LC Ethylene'!T3-'Yearly LC Ethylene'!$N$3)/10))</f>
        <v>4153.2984669186471</v>
      </c>
      <c r="U13" s="196">
        <f>U12*('R&amp;S - Transportation'!$B$8*('R&amp;S - Transportation'!$C$19+('R&amp;S - Transportation'!$C$20-'R&amp;S - Transportation'!$C$19)*('Yearly LC Ethylene'!U3-'Yearly LC Ethylene'!$N$3)/10))</f>
        <v>4720.8344868393524</v>
      </c>
      <c r="V13" s="196">
        <f>V12*('R&amp;S - Transportation'!$B$8*('R&amp;S - Transportation'!$C$19+('R&amp;S - Transportation'!$C$20-'R&amp;S - Transportation'!$C$19)*('Yearly LC Ethylene'!V3-'Yearly LC Ethylene'!$N$3)/10))</f>
        <v>5306.4664281804244</v>
      </c>
      <c r="W13" s="196">
        <f>W12*('R&amp;S - Transportation'!$B$8*('R&amp;S - Transportation'!$C$19+('R&amp;S - Transportation'!$C$20-'R&amp;S - Transportation'!$C$19)*('Yearly LC Ethylene'!W3-'Yearly LC Ethylene'!$N$3)/10))</f>
        <v>5910.645534360393</v>
      </c>
      <c r="X13" s="196">
        <f>X12*('R&amp;S - Transportation'!$B$8*('R&amp;S - Transportation'!$C$19+('R&amp;S - Transportation'!$C$20-'R&amp;S - Transportation'!$C$19)*('Yearly LC Ethylene'!X3-'Yearly LC Ethylene'!$N$3)/10))</f>
        <v>6533.8331613527389</v>
      </c>
      <c r="Y13" s="196">
        <f>Y12*('R&amp;S - Transportation'!$B$8*('R&amp;S - Transportation'!$C$20+('R&amp;S - Transportation'!$C$21-'R&amp;S - Transportation'!$C$20)*('Yearly LC Ethylene'!Y3-'Yearly LC Ethylene'!$X$3)/10))</f>
        <v>7309.3991576053077</v>
      </c>
      <c r="Z13" s="196">
        <f>Z12*('R&amp;S - Transportation'!$B$8*('R&amp;S - Transportation'!$C$20+('R&amp;S - Transportation'!$C$21-'R&amp;S - Transportation'!$C$20)*('Yearly LC Ethylene'!Z3-'Yearly LC Ethylene'!$X$3)/10))</f>
        <v>8109.4461199468315</v>
      </c>
      <c r="AA13" s="196">
        <f>AA12*('R&amp;S - Transportation'!$B$8*('R&amp;S - Transportation'!$C$20+('R&amp;S - Transportation'!$C$21-'R&amp;S - Transportation'!$C$20)*('Yearly LC Ethylene'!AA3-'Yearly LC Ethylene'!$X$3)/10))</f>
        <v>8934.5822626514218</v>
      </c>
      <c r="AB13" s="196">
        <f>AB12*('R&amp;S - Transportation'!$B$8*('R&amp;S - Transportation'!$C$20+('R&amp;S - Transportation'!$C$21-'R&amp;S - Transportation'!$C$20)*('Yearly LC Ethylene'!AB3-'Yearly LC Ethylene'!$X$3)/10))</f>
        <v>9785.4294042793026</v>
      </c>
      <c r="AC13" s="196">
        <f>AC12*('R&amp;S - Transportation'!$B$8*('R&amp;S - Transportation'!$C$20+('R&amp;S - Transportation'!$C$21-'R&amp;S - Transportation'!$C$20)*('Yearly LC Ethylene'!AC3-'Yearly LC Ethylene'!$X$3)/10))</f>
        <v>10662.623254448627</v>
      </c>
      <c r="AD13" s="196">
        <f>AD12*('R&amp;S - Transportation'!$B$8*('R&amp;S - Transportation'!$C$20+('R&amp;S - Transportation'!$C$21-'R&amp;S - Transportation'!$C$20)*('Yearly LC Ethylene'!AD3-'Yearly LC Ethylene'!$X$3)/10))</f>
        <v>11566.81370642587</v>
      </c>
      <c r="AE13" s="196">
        <f>AE12*('R&amp;S - Transportation'!$B$8*('R&amp;S - Transportation'!$C$20+('R&amp;S - Transportation'!$C$21-'R&amp;S - Transportation'!$C$20)*('Yearly LC Ethylene'!AE3-'Yearly LC Ethylene'!$X$3)/10))</f>
        <v>12498.665135649802</v>
      </c>
      <c r="AF13" s="196">
        <f>AF12*('R&amp;S - Transportation'!$B$8*('R&amp;S - Transportation'!$C$20+('R&amp;S - Transportation'!$C$21-'R&amp;S - Transportation'!$C$20)*('Yearly LC Ethylene'!AF3-'Yearly LC Ethylene'!$X$3)/10))</f>
        <v>13458.856704306194</v>
      </c>
      <c r="AG13" s="196">
        <f>AG12*('R&amp;S - Transportation'!$B$8*('R&amp;S - Transportation'!$C$20+('R&amp;S - Transportation'!$C$21-'R&amp;S - Transportation'!$C$20)*('Yearly LC Ethylene'!AG3-'Yearly LC Ethylene'!$X$3)/10))</f>
        <v>14448.082672072696</v>
      </c>
      <c r="AH13" s="196">
        <f>AH12*('R&amp;S - Transportation'!$B$8*('R&amp;S - Transportation'!$C$20+('R&amp;S - Transportation'!$C$21-'R&amp;S - Transportation'!$C$20)*('Yearly LC Ethylene'!AH3-'Yearly LC Ethylene'!$X$3)/10))</f>
        <v>15467.052713155717</v>
      </c>
    </row>
    <row r="14" spans="1:34" outlineLevel="1">
      <c r="B14" s="1" t="s">
        <v>176</v>
      </c>
      <c r="C14" s="51" t="s">
        <v>166</v>
      </c>
      <c r="D14" s="196">
        <f>SUM(D12:D13)</f>
        <v>93277.946794923075</v>
      </c>
      <c r="E14" s="196">
        <f t="shared" ref="E14:AG14" si="2">SUM(E12:E13)</f>
        <v>94958.53556232719</v>
      </c>
      <c r="F14" s="196">
        <f t="shared" si="2"/>
        <v>96669.307021199318</v>
      </c>
      <c r="G14" s="196">
        <f t="shared" si="2"/>
        <v>98410.801692895591</v>
      </c>
      <c r="H14" s="196">
        <f t="shared" si="2"/>
        <v>100183.5697537004</v>
      </c>
      <c r="I14" s="196">
        <f t="shared" si="2"/>
        <v>101988.17120688333</v>
      </c>
      <c r="J14" s="196">
        <f t="shared" si="2"/>
        <v>103825.17605781567</v>
      </c>
      <c r="K14" s="196">
        <f t="shared" si="2"/>
        <v>105695.16449220091</v>
      </c>
      <c r="L14" s="196">
        <f t="shared" si="2"/>
        <v>107598.72705747455</v>
      </c>
      <c r="M14" s="196">
        <f t="shared" si="2"/>
        <v>109536.46484742923</v>
      </c>
      <c r="N14" s="196">
        <f>SUM(N12:N13)</f>
        <v>111508.98969012278</v>
      </c>
      <c r="O14" s="196">
        <f t="shared" si="2"/>
        <v>113853.76981194338</v>
      </c>
      <c r="P14" s="196">
        <f t="shared" si="2"/>
        <v>116246.04635988544</v>
      </c>
      <c r="Q14" s="196">
        <f t="shared" si="2"/>
        <v>118686.75657098189</v>
      </c>
      <c r="R14" s="196">
        <f t="shared" si="2"/>
        <v>121176.85582185761</v>
      </c>
      <c r="S14" s="196">
        <f t="shared" si="2"/>
        <v>123717.31797461408</v>
      </c>
      <c r="T14" s="196">
        <f t="shared" si="2"/>
        <v>126309.13572923176</v>
      </c>
      <c r="U14" s="196">
        <f t="shared" si="2"/>
        <v>128953.32098261177</v>
      </c>
      <c r="V14" s="196">
        <f t="shared" si="2"/>
        <v>131650.90519438096</v>
      </c>
      <c r="W14" s="196">
        <f t="shared" si="2"/>
        <v>134402.93975958633</v>
      </c>
      <c r="X14" s="196">
        <f t="shared" si="2"/>
        <v>137210.49638840751</v>
      </c>
      <c r="Y14" s="196">
        <f t="shared" si="2"/>
        <v>140207.56565951998</v>
      </c>
      <c r="Z14" s="196">
        <f t="shared" si="2"/>
        <v>143266.88145239404</v>
      </c>
      <c r="AA14" s="196">
        <f t="shared" si="2"/>
        <v>146389.69399575022</v>
      </c>
      <c r="AB14" s="196">
        <f t="shared" si="2"/>
        <v>149577.27803684078</v>
      </c>
      <c r="AC14" s="196">
        <f t="shared" si="2"/>
        <v>152830.93331376364</v>
      </c>
      <c r="AD14" s="196">
        <f t="shared" si="2"/>
        <v>156151.98503674922</v>
      </c>
      <c r="AE14" s="196">
        <f t="shared" si="2"/>
        <v>159541.78437858864</v>
      </c>
      <c r="AF14" s="196">
        <f t="shared" si="2"/>
        <v>163001.70897437501</v>
      </c>
      <c r="AG14" s="196">
        <f t="shared" si="2"/>
        <v>166533.16343073265</v>
      </c>
      <c r="AH14" s="196">
        <f>SUM(AH12:AH13)</f>
        <v>170137.57984471289</v>
      </c>
    </row>
    <row r="15" spans="1:34" outlineLevel="1">
      <c r="B15" s="58" t="s">
        <v>134</v>
      </c>
      <c r="C15" s="51" t="s">
        <v>166</v>
      </c>
      <c r="D15" s="196">
        <v>0</v>
      </c>
      <c r="E15" s="196">
        <f>E14*'R&amp;S - Transportation'!$B$16*('R&amp;S - Transportation'!$B$10*'R&amp;S - Transportation'!$B$19*('Yearly LC Ethylene'!E$3-'Yearly LC Ethylene'!$D$3)/10)</f>
        <v>156.68158367783985</v>
      </c>
      <c r="F15" s="196">
        <f>F14*'R&amp;S - Transportation'!$B$16*('R&amp;S - Transportation'!$B$10*'R&amp;S - Transportation'!$B$19*('Yearly LC Ethylene'!F$3-'Yearly LC Ethylene'!$D$3)/10)</f>
        <v>319.00871316995773</v>
      </c>
      <c r="G15" s="196">
        <f>G14*'R&amp;S - Transportation'!$B$16*('R&amp;S - Transportation'!$B$10*'R&amp;S - Transportation'!$B$19*('Yearly LC Ethylene'!G$3-'Yearly LC Ethylene'!$D$3)/10)</f>
        <v>487.13346837983323</v>
      </c>
      <c r="H15" s="196">
        <f>H14*'R&amp;S - Transportation'!$B$16*('R&amp;S - Transportation'!$B$10*'R&amp;S - Transportation'!$B$19*('Yearly LC Ethylene'!H$3-'Yearly LC Ethylene'!$D$3)/10)</f>
        <v>661.21156037442267</v>
      </c>
      <c r="I15" s="196">
        <f>I14*'R&amp;S - Transportation'!$B$16*('R&amp;S - Transportation'!$B$10*'R&amp;S - Transportation'!$B$19*('Yearly LC Ethylene'!I$3-'Yearly LC Ethylene'!$D$3)/10)</f>
        <v>841.40241245678749</v>
      </c>
      <c r="J15" s="196">
        <f>J14*'R&amp;S - Transportation'!$B$16*('R&amp;S - Transportation'!$B$10*'R&amp;S - Transportation'!$B$19*('Yearly LC Ethylene'!J$3-'Yearly LC Ethylene'!$D$3)/10)</f>
        <v>1027.8692429723751</v>
      </c>
      <c r="K15" s="196">
        <f>K14*'R&amp;S - Transportation'!$B$16*('R&amp;S - Transportation'!$B$10*'R&amp;S - Transportation'!$B$19*('Yearly LC Ethylene'!K$3-'Yearly LC Ethylene'!$D$3)/10)</f>
        <v>1220.7791498849208</v>
      </c>
      <c r="L15" s="196">
        <f>L14*'R&amp;S - Transportation'!$B$16*('R&amp;S - Transportation'!$B$10*'R&amp;S - Transportation'!$B$19*('Yearly LC Ethylene'!L$3-'Yearly LC Ethylene'!$D$3)/10)</f>
        <v>1420.303197158664</v>
      </c>
      <c r="M15" s="196">
        <f>M14*'R&amp;S - Transportation'!$B$16*('R&amp;S - Transportation'!$B$10*'R&amp;S - Transportation'!$B$19*('Yearly LC Ethylene'!M$3-'Yearly LC Ethylene'!$D$3)/10)</f>
        <v>1626.6165029843244</v>
      </c>
      <c r="N15" s="196">
        <f>N14*'R&amp;S - Transportation'!$B$16*('R&amp;S - Transportation'!$B$10*'R&amp;S - Transportation'!$B$19*('Yearly LC Ethylene'!N$3-'Yearly LC Ethylene'!$D$3)/10)</f>
        <v>1839.898329887026</v>
      </c>
      <c r="O15" s="196">
        <f>O14*'R&amp;S - Transportation'!$B$16*('R&amp;S - Transportation'!$B$10*('R&amp;S - Transportation'!$B$19+('R&amp;S - Transportation'!$B$20-'R&amp;S - Transportation'!$B$19)*('Yearly LC Ethylene'!O3-'Yearly LC Ethylene'!$N$3)/10))</f>
        <v>2442.1633624661854</v>
      </c>
      <c r="P15" s="196">
        <f>P14*'R&amp;S - Transportation'!$B$16*('R&amp;S - Transportation'!$B$10*('R&amp;S - Transportation'!$B$19+('R&amp;S - Transportation'!$B$20-'R&amp;S - Transportation'!$B$19)*('Yearly LC Ethylene'!P3-'Yearly LC Ethylene'!$N$3)/10))</f>
        <v>3068.8956239009763</v>
      </c>
      <c r="Q15" s="196">
        <f>Q14*'R&amp;S - Transportation'!$B$16*('R&amp;S - Transportation'!$B$10*('R&amp;S - Transportation'!$B$19+('R&amp;S - Transportation'!$B$20-'R&amp;S - Transportation'!$B$19)*('Yearly LC Ethylene'!Q3-'Yearly LC Ethylene'!$N$3)/10))</f>
        <v>3720.8298185002827</v>
      </c>
      <c r="R15" s="196">
        <f>R14*'R&amp;S - Transportation'!$B$16*('R&amp;S - Transportation'!$B$10*('R&amp;S - Transportation'!$B$19+('R&amp;S - Transportation'!$B$20-'R&amp;S - Transportation'!$B$19)*('Yearly LC Ethylene'!R3-'Yearly LC Ethylene'!$N$3)/10))</f>
        <v>4398.719866333432</v>
      </c>
      <c r="S15" s="196">
        <f>S14*'R&amp;S - Transportation'!$B$16*('R&amp;S - Transportation'!$B$10*('R&amp;S - Transportation'!$B$19+('R&amp;S - Transportation'!$B$20-'R&amp;S - Transportation'!$B$19)*('Yearly LC Ethylene'!S3-'Yearly LC Ethylene'!$N$3)/10))</f>
        <v>5103.3393664528312</v>
      </c>
      <c r="T15" s="196">
        <f>T14*'R&amp;S - Transportation'!$B$16*('R&amp;S - Transportation'!$B$10*('R&amp;S - Transportation'!$B$19+('R&amp;S - Transportation'!$B$20-'R&amp;S - Transportation'!$B$19)*('Yearly LC Ethylene'!T3-'Yearly LC Ethylene'!$N$3)/10))</f>
        <v>5835.4820706905075</v>
      </c>
      <c r="U15" s="196">
        <f>U14*'R&amp;S - Transportation'!$B$16*('R&amp;S - Transportation'!$B$10*('R&amp;S - Transportation'!$B$19+('R&amp;S - Transportation'!$B$20-'R&amp;S - Transportation'!$B$19)*('Yearly LC Ethylene'!U3-'Yearly LC Ethylene'!$N$3)/10))</f>
        <v>6595.9623682605925</v>
      </c>
      <c r="V15" s="196">
        <f>V14*'R&amp;S - Transportation'!$B$16*('R&amp;S - Transportation'!$B$10*('R&amp;S - Transportation'!$B$19+('R&amp;S - Transportation'!$B$20-'R&amp;S - Transportation'!$B$19)*('Yearly LC Ethylene'!V3-'Yearly LC Ethylene'!$N$3)/10))</f>
        <v>7385.6157814047747</v>
      </c>
      <c r="W15" s="196">
        <f>W14*'R&amp;S - Transportation'!$B$16*('R&amp;S - Transportation'!$B$10*('R&amp;S - Transportation'!$B$19+('R&amp;S - Transportation'!$B$20-'R&amp;S - Transportation'!$B$19)*('Yearly LC Ethylene'!W3-'Yearly LC Ethylene'!$N$3)/10))</f>
        <v>8205.2994723227457</v>
      </c>
      <c r="X15" s="196">
        <f>X14*'R&amp;S - Transportation'!$B$16*('R&amp;S - Transportation'!$B$10*('R&amp;S - Transportation'!$B$19+('R&amp;S - Transportation'!$B$20-'R&amp;S - Transportation'!$B$19)*('Yearly LC Ethylene'!X3-'Yearly LC Ethylene'!$N$3)/10))</f>
        <v>9055.8927616348956</v>
      </c>
      <c r="Y15" s="196">
        <f>Y14*'R&amp;S - Transportation'!$B$16*('R&amp;S - Transportation'!$B$10*('R&amp;S - Transportation'!$B$20+('R&amp;S - Transportation'!$B$21-'R&amp;S - Transportation'!$B$20)*('Yearly LC Ethylene'!Y3-'Yearly LC Ethylene'!$X$3)/10))</f>
        <v>10641.754233557567</v>
      </c>
      <c r="Z15" s="196">
        <f>Z14*'R&amp;S - Transportation'!$B$16*('R&amp;S - Transportation'!$B$10*('R&amp;S - Transportation'!$B$20+('R&amp;S - Transportation'!$B$21-'R&amp;S - Transportation'!$B$20)*('Yearly LC Ethylene'!Z3-'Yearly LC Ethylene'!$X$3)/10))</f>
        <v>12292.298428615408</v>
      </c>
      <c r="AA15" s="196">
        <f>AA14*'R&amp;S - Transportation'!$B$16*('R&amp;S - Transportation'!$B$10*('R&amp;S - Transportation'!$B$20+('R&amp;S - Transportation'!$B$21-'R&amp;S - Transportation'!$B$20)*('Yearly LC Ethylene'!AA3-'Yearly LC Ethylene'!$X$3)/10))</f>
        <v>14009.493715393299</v>
      </c>
      <c r="AB15" s="196">
        <f>AB14*'R&amp;S - Transportation'!$B$16*('R&amp;S - Transportation'!$B$10*('R&amp;S - Transportation'!$B$20+('R&amp;S - Transportation'!$B$21-'R&amp;S - Transportation'!$B$20)*('Yearly LC Ethylene'!AB3-'Yearly LC Ethylene'!$X$3)/10))</f>
        <v>15795.360560690389</v>
      </c>
      <c r="AC15" s="196">
        <f>AC14*'R&amp;S - Transportation'!$B$16*('R&amp;S - Transportation'!$B$10*('R&amp;S - Transportation'!$B$20+('R&amp;S - Transportation'!$B$21-'R&amp;S - Transportation'!$B$20)*('Yearly LC Ethylene'!AC3-'Yearly LC Ethylene'!$X$3)/10))</f>
        <v>17651.972797739698</v>
      </c>
      <c r="AD15" s="196">
        <f>AD14*'R&amp;S - Transportation'!$B$16*('R&amp;S - Transportation'!$B$10*('R&amp;S - Transportation'!$B$20+('R&amp;S - Transportation'!$B$21-'R&amp;S - Transportation'!$B$20)*('Yearly LC Ethylene'!AD3-'Yearly LC Ethylene'!$X$3)/10))</f>
        <v>19581.458923608352</v>
      </c>
      <c r="AE15" s="196">
        <f>AE14*'R&amp;S - Transportation'!$B$16*('R&amp;S - Transportation'!$B$10*('R&amp;S - Transportation'!$B$20+('R&amp;S - Transportation'!$B$21-'R&amp;S - Transportation'!$B$20)*('Yearly LC Ethylene'!AE3-'Yearly LC Ethylene'!$X$3)/10))</f>
        <v>21586.003426423042</v>
      </c>
      <c r="AF15" s="196">
        <f>AF14*'R&amp;S - Transportation'!$B$16*('R&amp;S - Transportation'!$B$10*('R&amp;S - Transportation'!$B$20+('R&amp;S - Transportation'!$B$21-'R&amp;S - Transportation'!$B$20)*('Yearly LC Ethylene'!AF3-'Yearly LC Ethylene'!$X$3)/10))</f>
        <v>23667.848143079253</v>
      </c>
      <c r="AG15" s="196">
        <f>AG14*'R&amp;S - Transportation'!$B$16*('R&amp;S - Transportation'!$B$10*('R&amp;S - Transportation'!$B$20+('R&amp;S - Transportation'!$B$21-'R&amp;S - Transportation'!$B$20)*('Yearly LC Ethylene'!AG3-'Yearly LC Ethylene'!$X$3)/10))</f>
        <v>25829.293648106632</v>
      </c>
      <c r="AH15" s="196">
        <f>AH14*'R&amp;S - Transportation'!$B$16*('R&amp;S - Transportation'!$B$10*('R&amp;S - Transportation'!$B$20+('R&amp;S - Transportation'!$B$21-'R&amp;S - Transportation'!$B$20)*('Yearly LC Ethylene'!AH3-'Yearly LC Ethylene'!$X$3)/10))</f>
        <v>28072.700674377629</v>
      </c>
    </row>
    <row r="16" spans="1:34" outlineLevel="1">
      <c r="B16" s="58" t="s">
        <v>177</v>
      </c>
      <c r="C16" s="51" t="s">
        <v>166</v>
      </c>
      <c r="D16" s="196">
        <v>0</v>
      </c>
      <c r="E16" s="196">
        <f>(E14-E15)*'R&amp;S - Transportation'!$B$16*('R&amp;S - Transportation'!$B$11*'R&amp;S - Transportation'!$B$19*('Yearly LC Ethylene'!E$3-'Yearly LC Ethylene'!$D$3)/10)</f>
        <v>99.541946677581834</v>
      </c>
      <c r="F16" s="196">
        <f>(F14-F15)*'R&amp;S - Transportation'!$B$16*('R&amp;S - Transportation'!$B$11*'R&amp;S - Transportation'!$B$19*('Yearly LC Ethylene'!F$3-'Yearly LC Ethylene'!$D$3)/10)</f>
        <v>202.33562644686168</v>
      </c>
      <c r="G16" s="196">
        <f>(G14-G15)*'R&amp;S - Transportation'!$B$16*('R&amp;S - Transportation'!$B$11*'R&amp;S - Transportation'!$B$19*('Yearly LC Ethylene'!G$3-'Yearly LC Ethylene'!$D$3)/10)</f>
        <v>308.45955490722463</v>
      </c>
      <c r="H16" s="196">
        <f>(H14-H15)*'R&amp;S - Transportation'!$B$16*('R&amp;S - Transportation'!$B$11*'R&amp;S - Transportation'!$B$19*('Yearly LC Ethylene'!H$3-'Yearly LC Ethylene'!$D$3)/10)</f>
        <v>417.9939044119692</v>
      </c>
      <c r="I16" s="196">
        <f>(I14-I15)*'R&amp;S - Transportation'!$B$16*('R&amp;S - Transportation'!$B$11*'R&amp;S - Transportation'!$B$19*('Yearly LC Ethylene'!I$3-'Yearly LC Ethylene'!$D$3)/10)</f>
        <v>531.02053617073943</v>
      </c>
      <c r="J16" s="196">
        <f>(J14-J15)*'R&amp;S - Transportation'!$B$16*('R&amp;S - Transportation'!$B$11*'R&amp;S - Transportation'!$B$19*('Yearly LC Ethylene'!J$3-'Yearly LC Ethylene'!$D$3)/10)</f>
        <v>647.62303293351272</v>
      </c>
      <c r="K16" s="196">
        <f>(K14-K15)*'R&amp;S - Transportation'!$B$16*('R&amp;S - Transportation'!$B$11*'R&amp;S - Transportation'!$B$19*('Yearly LC Ethylene'!K$3-'Yearly LC Ethylene'!$D$3)/10)</f>
        <v>767.88673226602259</v>
      </c>
      <c r="L16" s="196">
        <f>(L14-L15)*'R&amp;S - Transportation'!$B$16*('R&amp;S - Transportation'!$B$11*'R&amp;S - Transportation'!$B$19*('Yearly LC Ethylene'!L$3-'Yearly LC Ethylene'!$D$3)/10)</f>
        <v>891.89876042665355</v>
      </c>
      <c r="M16" s="196">
        <f>(M14-M15)*'R&amp;S - Transportation'!$B$16*('R&amp;S - Transportation'!$B$11*'R&amp;S - Transportation'!$B$19*('Yearly LC Ethylene'!M$3-'Yearly LC Ethylene'!$D$3)/10)</f>
        <v>1019.7480668550044</v>
      </c>
      <c r="N16" s="196">
        <f>(N14-N15)*'R&amp;S - Transportation'!$B$16*('R&amp;S - Transportation'!$B$11*'R&amp;S - Transportation'!$B$19*('Yearly LC Ethylene'!N$3-'Yearly LC Ethylene'!$D$3)/10)</f>
        <v>1151.5254592824754</v>
      </c>
      <c r="O16" s="196">
        <f>(O14-O15)*'R&amp;S - Transportation'!$B$16*('R&amp;S - Transportation'!$B$11*('R&amp;S - Transportation'!$B$19+('R&amp;S - Transportation'!$B$20-'R&amp;S - Transportation'!$B$19)*('Yearly LC Ethylene'!O$3-'Yearly LC Ethylene'!$N$3)/10))</f>
        <v>1520.7684280353637</v>
      </c>
      <c r="P16" s="196">
        <f>(P14-P15)*'R&amp;S - Transportation'!$B$16*('R&amp;S - Transportation'!$B$11*('R&amp;S - Transportation'!$B$19+('R&amp;S - Transportation'!$B$20-'R&amp;S - Transportation'!$B$19)*('Yearly LC Ethylene'!P$3-'Yearly LC Ethylene'!$N$3)/10))</f>
        <v>1901.3761323645394</v>
      </c>
      <c r="Q16" s="196">
        <f>(Q14-Q15)*'R&amp;S - Transportation'!$B$16*('R&amp;S - Transportation'!$B$11*('R&amp;S - Transportation'!$B$19+('R&amp;S - Transportation'!$B$20-'R&amp;S - Transportation'!$B$19)*('Yearly LC Ethylene'!Q$3-'Yearly LC Ethylene'!$N$3)/10))</f>
        <v>2293.5702387120082</v>
      </c>
      <c r="R16" s="196">
        <f>(R14-R15)*'R&amp;S - Transportation'!$B$16*('R&amp;S - Transportation'!$B$11*('R&amp;S - Transportation'!$B$19+('R&amp;S - Transportation'!$B$20-'R&amp;S - Transportation'!$B$19)*('Yearly LC Ethylene'!R$3-'Yearly LC Ethylene'!$N$3)/10))</f>
        <v>2697.5749405726087</v>
      </c>
      <c r="S16" s="196">
        <f>(S14-S15)*'R&amp;S - Transportation'!$B$16*('R&amp;S - Transportation'!$B$11*('R&amp;S - Transportation'!$B$19+('R&amp;S - Transportation'!$B$20-'R&amp;S - Transportation'!$B$19)*('Yearly LC Ethylene'!S$3-'Yearly LC Ethylene'!$N$3)/10))</f>
        <v>3113.616938464233</v>
      </c>
      <c r="T16" s="196">
        <f>(T14-T15)*'R&amp;S - Transportation'!$B$16*('R&amp;S - Transportation'!$B$11*('R&amp;S - Transportation'!$B$19+('R&amp;S - Transportation'!$B$20-'R&amp;S - Transportation'!$B$19)*('Yearly LC Ethylene'!T$3-'Yearly LC Ethylene'!$N$3)/10))</f>
        <v>3541.9254175611131</v>
      </c>
      <c r="U16" s="196">
        <f>(U14-U15)*'R&amp;S - Transportation'!$B$16*('R&amp;S - Transportation'!$B$11*('R&amp;S - Transportation'!$B$19+('R&amp;S - Transportation'!$B$20-'R&amp;S - Transportation'!$B$19)*('Yearly LC Ethylene'!U$3-'Yearly LC Ethylene'!$N$3)/10))</f>
        <v>3982.7320228971312</v>
      </c>
      <c r="V16" s="196">
        <f>(V14-V15)*'R&amp;S - Transportation'!$B$16*('R&amp;S - Transportation'!$B$11*('R&amp;S - Transportation'!$B$19+('R&amp;S - Transportation'!$B$20-'R&amp;S - Transportation'!$B$19)*('Yearly LC Ethylene'!V$3-'Yearly LC Ethylene'!$N$3)/10))</f>
        <v>4436.2708320432512</v>
      </c>
      <c r="W16" s="196">
        <f>(W14-W15)*'R&amp;S - Transportation'!$B$16*('R&amp;S - Transportation'!$B$11*('R&amp;S - Transportation'!$B$19+('R&amp;S - Transportation'!$B$20-'R&amp;S - Transportation'!$B$19)*('Yearly LC Ethylene'!W$3-'Yearly LC Ethylene'!$N$3)/10))</f>
        <v>4902.7783251601895</v>
      </c>
      <c r="X16" s="196">
        <f>(X14-X15)*'R&amp;S - Transportation'!$B$16*('R&amp;S - Transportation'!$B$11*('R&amp;S - Transportation'!$B$19+('R&amp;S - Transportation'!$B$20-'R&amp;S - Transportation'!$B$19)*('Yearly LC Ethylene'!X$3-'Yearly LC Ethylene'!$N$3)/10))</f>
        <v>5382.4933523244499</v>
      </c>
      <c r="Y16" s="196">
        <f>(Y14-Y15)*'R&amp;S - Transportation'!$B$16*('R&amp;S - Transportation'!$B$11*('R&amp;S - Transportation'!$B$20+('R&amp;S - Transportation'!$B$21-'R&amp;S - Transportation'!$B$20)*('Yearly LC Ethylene'!Y$3-'Yearly LC Ethylene'!$X$3)/10))</f>
        <v>6258.0286918739848</v>
      </c>
      <c r="Z16" s="196">
        <f>(Z14-Z15)*'R&amp;S - Transportation'!$B$16*('R&amp;S - Transportation'!$B$11*('R&amp;S - Transportation'!$B$20+('R&amp;S - Transportation'!$B$21-'R&amp;S - Transportation'!$B$20)*('Yearly LC Ethylene'!Z$3-'Yearly LC Ethylene'!$X$3)/10))</f>
        <v>7151.2122330983138</v>
      </c>
      <c r="AA16" s="196">
        <f>(AA14-AA15)*'R&amp;S - Transportation'!$B$16*('R&amp;S - Transportation'!$B$11*('R&amp;S - Transportation'!$B$20+('R&amp;S - Transportation'!$B$21-'R&amp;S - Transportation'!$B$20)*('Yearly LC Ethylene'!AA$3-'Yearly LC Ethylene'!$X$3)/10))</f>
        <v>8061.9541970737364</v>
      </c>
      <c r="AB16" s="196">
        <f>(AB14-AB15)*'R&amp;S - Transportation'!$B$16*('R&amp;S - Transportation'!$B$11*('R&amp;S - Transportation'!$B$20+('R&amp;S - Transportation'!$B$21-'R&amp;S - Transportation'!$B$20)*('Yearly LC Ethylene'!AB$3-'Yearly LC Ethylene'!$X$3)/10))</f>
        <v>8990.1448543973056</v>
      </c>
      <c r="AC16" s="196">
        <f>(AC14-AC15)*'R&amp;S - Transportation'!$B$16*('R&amp;S - Transportation'!$B$11*('R&amp;S - Transportation'!$B$20+('R&amp;S - Transportation'!$B$21-'R&amp;S - Transportation'!$B$20)*('Yearly LC Ethylene'!AC$3-'Yearly LC Ethylene'!$X$3)/10))</f>
        <v>9935.6535979277596</v>
      </c>
      <c r="AD16" s="196">
        <f>(AD14-AD15)*'R&amp;S - Transportation'!$B$16*('R&amp;S - Transportation'!$B$11*('R&amp;S - Transportation'!$B$20+('R&amp;S - Transportation'!$B$21-'R&amp;S - Transportation'!$B$20)*('Yearly LC Ethylene'!AD$3-'Yearly LC Ethylene'!$X$3)/10))</f>
        <v>10898.32798382864</v>
      </c>
      <c r="AE16" s="196">
        <f>(AE14-AE15)*'R&amp;S - Transportation'!$B$16*('R&amp;S - Transportation'!$B$11*('R&amp;S - Transportation'!$B$20+('R&amp;S - Transportation'!$B$21-'R&amp;S - Transportation'!$B$20)*('Yearly LC Ethylene'!AE$3-'Yearly LC Ethylene'!$X$3)/10))</f>
        <v>11877.992739981461</v>
      </c>
      <c r="AF16" s="196">
        <f>(AF14-AF15)*'R&amp;S - Transportation'!$B$16*('R&amp;S - Transportation'!$B$11*('R&amp;S - Transportation'!$B$20+('R&amp;S - Transportation'!$B$21-'R&amp;S - Transportation'!$B$20)*('Yearly LC Ethylene'!AF$3-'Yearly LC Ethylene'!$X$3)/10))</f>
        <v>12874.448740811727</v>
      </c>
      <c r="AG16" s="196">
        <f>(AG14-AG15)*'R&amp;S - Transportation'!$B$16*('R&amp;S - Transportation'!$B$11*('R&amp;S - Transportation'!$B$20+('R&amp;S - Transportation'!$B$21-'R&amp;S - Transportation'!$B$20)*('Yearly LC Ethylene'!AG$3-'Yearly LC Ethylene'!$X$3)/10))</f>
        <v>13887.471947545188</v>
      </c>
      <c r="AH16" s="196">
        <f>(AH14-AH15)*'R&amp;S - Transportation'!$B$16*('R&amp;S - Transportation'!$B$11*('R&amp;S - Transportation'!$B$20+('R&amp;S - Transportation'!$B$21-'R&amp;S - Transportation'!$B$20)*('Yearly LC Ethylene'!AH$3-'Yearly LC Ethylene'!$X$3)/10))</f>
        <v>14916.8123128852</v>
      </c>
    </row>
    <row r="17" spans="1:42" outlineLevel="1">
      <c r="B17" s="1" t="s">
        <v>164</v>
      </c>
      <c r="C17" s="51" t="s">
        <v>166</v>
      </c>
      <c r="D17" s="196">
        <f>SUM(D15:D16)</f>
        <v>0</v>
      </c>
      <c r="E17" s="196">
        <f t="shared" ref="E17:AG17" si="3">SUM(E15:E16)</f>
        <v>256.2235303554217</v>
      </c>
      <c r="F17" s="196">
        <f t="shared" si="3"/>
        <v>521.34433961681941</v>
      </c>
      <c r="G17" s="196">
        <f t="shared" si="3"/>
        <v>795.5930232870578</v>
      </c>
      <c r="H17" s="196">
        <f t="shared" si="3"/>
        <v>1079.205464786392</v>
      </c>
      <c r="I17" s="196">
        <f t="shared" si="3"/>
        <v>1372.4229486275269</v>
      </c>
      <c r="J17" s="196">
        <f t="shared" si="3"/>
        <v>1675.4922759058877</v>
      </c>
      <c r="K17" s="196">
        <f t="shared" si="3"/>
        <v>1988.6658821509434</v>
      </c>
      <c r="L17" s="196">
        <f t="shared" si="3"/>
        <v>2312.2019575853174</v>
      </c>
      <c r="M17" s="196">
        <f t="shared" si="3"/>
        <v>2646.3645698393289</v>
      </c>
      <c r="N17" s="196">
        <f t="shared" si="3"/>
        <v>2991.4237891695011</v>
      </c>
      <c r="O17" s="196">
        <f t="shared" si="3"/>
        <v>3962.9317905015491</v>
      </c>
      <c r="P17" s="196">
        <f t="shared" si="3"/>
        <v>4970.2717562655162</v>
      </c>
      <c r="Q17" s="196">
        <f t="shared" si="3"/>
        <v>6014.4000572122914</v>
      </c>
      <c r="R17" s="196">
        <f t="shared" si="3"/>
        <v>7096.2948069060403</v>
      </c>
      <c r="S17" s="196">
        <f t="shared" si="3"/>
        <v>8216.9563049170647</v>
      </c>
      <c r="T17" s="196">
        <f t="shared" si="3"/>
        <v>9377.4074882516215</v>
      </c>
      <c r="U17" s="196">
        <f t="shared" si="3"/>
        <v>10578.694391157724</v>
      </c>
      <c r="V17" s="196">
        <f t="shared" si="3"/>
        <v>11821.886613448027</v>
      </c>
      <c r="W17" s="196">
        <f t="shared" si="3"/>
        <v>13108.077797482936</v>
      </c>
      <c r="X17" s="196">
        <f t="shared" si="3"/>
        <v>14438.386113959346</v>
      </c>
      <c r="Y17" s="196">
        <f t="shared" si="3"/>
        <v>16899.782925431551</v>
      </c>
      <c r="Z17" s="196">
        <f t="shared" si="3"/>
        <v>19443.510661713721</v>
      </c>
      <c r="AA17" s="196">
        <f t="shared" si="3"/>
        <v>22071.447912467036</v>
      </c>
      <c r="AB17" s="196">
        <f t="shared" si="3"/>
        <v>24785.505415087697</v>
      </c>
      <c r="AC17" s="196">
        <f t="shared" si="3"/>
        <v>27587.626395667459</v>
      </c>
      <c r="AD17" s="196">
        <f t="shared" si="3"/>
        <v>30479.786907436992</v>
      </c>
      <c r="AE17" s="196">
        <f t="shared" si="3"/>
        <v>33463.996166404504</v>
      </c>
      <c r="AF17" s="196">
        <f t="shared" si="3"/>
        <v>36542.29688389098</v>
      </c>
      <c r="AG17" s="196">
        <f t="shared" si="3"/>
        <v>39716.765595651821</v>
      </c>
      <c r="AH17" s="196">
        <f>SUM(AH15:AH16)</f>
        <v>42989.512987262831</v>
      </c>
      <c r="AI17" s="41"/>
      <c r="AM17" s="41"/>
      <c r="AN17" s="41"/>
      <c r="AO17" s="41"/>
      <c r="AP17" s="41"/>
    </row>
    <row r="18" spans="1:42" outlineLevel="1">
      <c r="B18" s="1" t="s">
        <v>167</v>
      </c>
      <c r="C18" s="51" t="s">
        <v>166</v>
      </c>
      <c r="D18" s="196">
        <v>0</v>
      </c>
      <c r="E18" s="196">
        <v>0</v>
      </c>
      <c r="F18" s="196">
        <v>0</v>
      </c>
      <c r="G18" s="196">
        <v>0</v>
      </c>
      <c r="H18" s="196">
        <v>0</v>
      </c>
      <c r="I18" s="196">
        <v>0</v>
      </c>
      <c r="J18" s="196">
        <v>0</v>
      </c>
      <c r="K18" s="196">
        <v>0</v>
      </c>
      <c r="L18" s="196">
        <v>0</v>
      </c>
      <c r="M18" s="196">
        <v>0</v>
      </c>
      <c r="N18" s="196">
        <v>0</v>
      </c>
      <c r="O18" s="196">
        <v>0</v>
      </c>
      <c r="P18" s="196">
        <v>0</v>
      </c>
      <c r="Q18" s="196">
        <v>0</v>
      </c>
      <c r="R18" s="196">
        <v>0</v>
      </c>
      <c r="S18" s="196">
        <v>0</v>
      </c>
      <c r="T18" s="196">
        <v>0</v>
      </c>
      <c r="U18" s="196">
        <v>0</v>
      </c>
      <c r="V18" s="196">
        <v>0</v>
      </c>
      <c r="W18" s="196">
        <v>0</v>
      </c>
      <c r="X18" s="196">
        <v>0</v>
      </c>
      <c r="Y18" s="196">
        <v>0</v>
      </c>
      <c r="Z18" s="196">
        <v>0</v>
      </c>
      <c r="AA18" s="196">
        <v>0</v>
      </c>
      <c r="AB18" s="196">
        <v>0</v>
      </c>
      <c r="AC18" s="196">
        <v>0</v>
      </c>
      <c r="AD18" s="196">
        <v>0</v>
      </c>
      <c r="AE18" s="196">
        <v>0</v>
      </c>
      <c r="AF18" s="196">
        <v>0</v>
      </c>
      <c r="AG18" s="196">
        <v>0</v>
      </c>
      <c r="AH18" s="196">
        <v>0</v>
      </c>
      <c r="AM18" s="41"/>
      <c r="AN18" s="41"/>
      <c r="AO18" s="41"/>
      <c r="AP18" s="41"/>
    </row>
    <row r="19" spans="1:42" s="1" customFormat="1">
      <c r="A19" s="59"/>
      <c r="B19" s="59" t="s">
        <v>195</v>
      </c>
      <c r="C19" s="60" t="s">
        <v>166</v>
      </c>
      <c r="D19" s="636">
        <f>D14-D17-D18</f>
        <v>93277.946794923075</v>
      </c>
      <c r="E19" s="636">
        <f t="shared" ref="E19:AG19" si="4">E14-E17-E18</f>
        <v>94702.312031971771</v>
      </c>
      <c r="F19" s="636">
        <f t="shared" si="4"/>
        <v>96147.962681582503</v>
      </c>
      <c r="G19" s="636">
        <f t="shared" si="4"/>
        <v>97615.208669608532</v>
      </c>
      <c r="H19" s="636">
        <f t="shared" si="4"/>
        <v>99104.364288914003</v>
      </c>
      <c r="I19" s="636">
        <f t="shared" si="4"/>
        <v>100615.7482582558</v>
      </c>
      <c r="J19" s="636">
        <f t="shared" si="4"/>
        <v>102149.68378190979</v>
      </c>
      <c r="K19" s="636">
        <f t="shared" si="4"/>
        <v>103706.49861004997</v>
      </c>
      <c r="L19" s="636">
        <f t="shared" si="4"/>
        <v>105286.52509988923</v>
      </c>
      <c r="M19" s="636">
        <f t="shared" si="4"/>
        <v>106890.10027758991</v>
      </c>
      <c r="N19" s="636">
        <f>N14-N17-N18</f>
        <v>108517.56590095328</v>
      </c>
      <c r="O19" s="636">
        <f t="shared" si="4"/>
        <v>109890.83802144183</v>
      </c>
      <c r="P19" s="636">
        <f t="shared" si="4"/>
        <v>111275.77460361992</v>
      </c>
      <c r="Q19" s="636">
        <f t="shared" si="4"/>
        <v>112672.3565137696</v>
      </c>
      <c r="R19" s="636">
        <f t="shared" si="4"/>
        <v>114080.56101495157</v>
      </c>
      <c r="S19" s="636">
        <f t="shared" si="4"/>
        <v>115500.36166969701</v>
      </c>
      <c r="T19" s="636">
        <f t="shared" si="4"/>
        <v>116931.72824098013</v>
      </c>
      <c r="U19" s="636">
        <f t="shared" si="4"/>
        <v>118374.62659145404</v>
      </c>
      <c r="V19" s="636">
        <f t="shared" si="4"/>
        <v>119829.01858093293</v>
      </c>
      <c r="W19" s="636">
        <f t="shared" si="4"/>
        <v>121294.86196210339</v>
      </c>
      <c r="X19" s="636">
        <f>X14-X17-X18</f>
        <v>122772.11027444816</v>
      </c>
      <c r="Y19" s="636">
        <f t="shared" si="4"/>
        <v>123307.78273408843</v>
      </c>
      <c r="Z19" s="636">
        <f t="shared" si="4"/>
        <v>123823.37079068032</v>
      </c>
      <c r="AA19" s="636">
        <f t="shared" si="4"/>
        <v>124318.24608328319</v>
      </c>
      <c r="AB19" s="636">
        <f t="shared" si="4"/>
        <v>124791.77262175309</v>
      </c>
      <c r="AC19" s="636">
        <f t="shared" si="4"/>
        <v>125243.30691809618</v>
      </c>
      <c r="AD19" s="636">
        <f t="shared" si="4"/>
        <v>125672.19812931222</v>
      </c>
      <c r="AE19" s="636">
        <f t="shared" si="4"/>
        <v>126077.78821218412</v>
      </c>
      <c r="AF19" s="636">
        <f t="shared" si="4"/>
        <v>126459.41209048402</v>
      </c>
      <c r="AG19" s="636">
        <f t="shared" si="4"/>
        <v>126816.39783508083</v>
      </c>
      <c r="AH19" s="636">
        <f>AH14-AH17-AH18</f>
        <v>127148.06685745006</v>
      </c>
      <c r="AL19"/>
      <c r="AM19" s="41"/>
      <c r="AN19" s="41"/>
      <c r="AO19" s="41"/>
      <c r="AP19" s="41"/>
    </row>
    <row r="20" spans="1:42" s="62" customFormat="1">
      <c r="A20" s="688" t="s">
        <v>685</v>
      </c>
      <c r="B20" s="55" t="s">
        <v>141</v>
      </c>
      <c r="C20" s="56" t="s">
        <v>166</v>
      </c>
      <c r="D20" s="630">
        <f>D19*('Demand - Ethylene'!$C$75)</f>
        <v>7235.252082164473</v>
      </c>
      <c r="E20" s="630">
        <f>E19*('Demand - Ethylene'!$C$75)</f>
        <v>7345.7352338763867</v>
      </c>
      <c r="F20" s="630">
        <f>F19*('Demand - Ethylene'!$C$75)</f>
        <v>7457.8694224180208</v>
      </c>
      <c r="G20" s="630">
        <f>G19*('Demand - Ethylene'!$C$75)</f>
        <v>7571.6786876803926</v>
      </c>
      <c r="H20" s="630">
        <f>H19*('Demand - Ethylene'!$C$75)</f>
        <v>7687.1874082886525</v>
      </c>
      <c r="I20" s="630">
        <f>I19*('Demand - Ethylene'!$C$75)</f>
        <v>7804.4203061693488</v>
      </c>
      <c r="J20" s="630">
        <f>J19*('Demand - Ethylene'!$C$75)</f>
        <v>7923.4024511754351</v>
      </c>
      <c r="K20" s="630">
        <f>K19*('Demand - Ethylene'!$C$75)</f>
        <v>8044.1592657696738</v>
      </c>
      <c r="L20" s="630">
        <f>L19*('Demand - Ethylene'!$C$75)</f>
        <v>8166.7165297671136</v>
      </c>
      <c r="M20" s="630">
        <f>M19*('Demand - Ethylene'!$C$75)</f>
        <v>8291.1003851372825</v>
      </c>
      <c r="N20" s="630">
        <f>N19*('Demand - Ethylene'!$C$75)</f>
        <v>8417.3373408667994</v>
      </c>
      <c r="O20" s="630">
        <f>O19*('Demand - Ethylene'!$C$75)</f>
        <v>8523.8573738493869</v>
      </c>
      <c r="P20" s="630">
        <f>P19*('Demand - Ethylene'!$C$75)</f>
        <v>8631.2821793277944</v>
      </c>
      <c r="Q20" s="630">
        <f>Q19*('Demand - Ethylene'!$C$75)</f>
        <v>8739.6102731648007</v>
      </c>
      <c r="R20" s="630">
        <f>R19*('Demand - Ethylene'!$C$75)</f>
        <v>8848.8398917335999</v>
      </c>
      <c r="S20" s="630">
        <f>S19*('Demand - Ethylene'!$C$75)</f>
        <v>8958.968984369938</v>
      </c>
      <c r="T20" s="630">
        <f>T19*('Demand - Ethylene'!$C$75)</f>
        <v>9069.995205690886</v>
      </c>
      <c r="U20" s="630">
        <f>U19*('Demand - Ethylene'!$C$75)</f>
        <v>9181.9159077789191</v>
      </c>
      <c r="V20" s="630">
        <f>V19*('Demand - Ethylene'!$C$75)</f>
        <v>9294.7281322299532</v>
      </c>
      <c r="W20" s="630">
        <f>W19*('Demand - Ethylene'!$C$75)</f>
        <v>9408.4286020640284</v>
      </c>
      <c r="X20" s="630">
        <f>X19*('Demand - Ethylene'!$C$75)</f>
        <v>9523.0137134973356</v>
      </c>
      <c r="Y20" s="630">
        <f>Y19*('Demand - Ethylene'!$C$75)</f>
        <v>9564.5639985555117</v>
      </c>
      <c r="Z20" s="630">
        <f>Z19*('Demand - Ethylene'!$C$75)</f>
        <v>9604.5564049942732</v>
      </c>
      <c r="AA20" s="630">
        <f>AA19*('Demand - Ethylene'!$C$75)</f>
        <v>9642.9421929993259</v>
      </c>
      <c r="AB20" s="630">
        <f>AB19*('Demand - Ethylene'!$C$75)</f>
        <v>9679.6720309851153</v>
      </c>
      <c r="AC20" s="630">
        <f>AC19*('Demand - Ethylene'!$C$75)</f>
        <v>9714.6960057834403</v>
      </c>
      <c r="AD20" s="630">
        <f>AD19*('Demand - Ethylene'!$C$75)</f>
        <v>9747.9636337233587</v>
      </c>
      <c r="AE20" s="630">
        <f>AE19*('Demand - Ethylene'!$C$75)</f>
        <v>9779.4238726376643</v>
      </c>
      <c r="AF20" s="630">
        <f>AF19*('Demand - Ethylene'!$C$75)</f>
        <v>9809.0251348325073</v>
      </c>
      <c r="AG20" s="630">
        <f>AG19*('Demand - Ethylene'!$C$75)</f>
        <v>9836.7153010577094</v>
      </c>
      <c r="AH20" s="630">
        <f>AH19*('Demand - Ethylene'!$C$75)</f>
        <v>9862.4417355166752</v>
      </c>
    </row>
    <row r="21" spans="1:42">
      <c r="A21" s="689"/>
      <c r="B21" s="1" t="s">
        <v>18</v>
      </c>
      <c r="C21" s="51" t="s">
        <v>166</v>
      </c>
      <c r="D21" s="196">
        <f>D25/('Demand - Ethylene'!$K$14)</f>
        <v>0</v>
      </c>
      <c r="E21" s="196">
        <f>E25/('Demand - Ethylene'!$K$14)</f>
        <v>0</v>
      </c>
      <c r="F21" s="196">
        <f>F25/('Demand - Ethylene'!$K$14)</f>
        <v>0</v>
      </c>
      <c r="G21" s="196">
        <f>G25/('Demand - Ethylene'!$K$14)</f>
        <v>0</v>
      </c>
      <c r="H21" s="196">
        <f>H25/('Demand - Ethylene'!$K$14)</f>
        <v>0</v>
      </c>
      <c r="I21" s="196">
        <f>I25/('Demand - Ethylene'!$K$14)</f>
        <v>0</v>
      </c>
      <c r="J21" s="196">
        <f>J25/('Demand - Ethylene'!$K$14)</f>
        <v>0</v>
      </c>
      <c r="K21" s="196">
        <f>K25/('Demand - Ethylene'!$K$14)</f>
        <v>0</v>
      </c>
      <c r="L21" s="196">
        <f>L25/('Demand - Ethylene'!$K$14)</f>
        <v>0</v>
      </c>
      <c r="M21" s="196">
        <f>M25/('Demand - Ethylene'!$K$14)</f>
        <v>0</v>
      </c>
      <c r="N21" s="196">
        <f>N25/('Demand - Ethylene'!$K$14)</f>
        <v>0</v>
      </c>
      <c r="O21" s="196">
        <f>O25/('Demand - Ethylene'!$K$14)</f>
        <v>0</v>
      </c>
      <c r="P21" s="196">
        <f>P25/('Demand - Ethylene'!$K$14)</f>
        <v>0</v>
      </c>
      <c r="Q21" s="196">
        <f>Q25/('Demand - Ethylene'!$K$14)</f>
        <v>0</v>
      </c>
      <c r="R21" s="196">
        <f>R25/('Demand - Ethylene'!$K$14)</f>
        <v>0</v>
      </c>
      <c r="S21" s="196">
        <f>S25/('Demand - Ethylene'!$K$14)</f>
        <v>0</v>
      </c>
      <c r="T21" s="196">
        <f>T25/('Demand - Ethylene'!$K$14)</f>
        <v>0</v>
      </c>
      <c r="U21" s="196">
        <f>U25/('Demand - Ethylene'!$K$14)</f>
        <v>0</v>
      </c>
      <c r="V21" s="196">
        <f>V25/('Demand - Ethylene'!$K$14)</f>
        <v>0</v>
      </c>
      <c r="W21" s="196">
        <f>W25/('Demand - Ethylene'!$K$14)</f>
        <v>0</v>
      </c>
      <c r="X21" s="196">
        <f>X25/('Demand - Ethylene'!$K$14)</f>
        <v>0</v>
      </c>
      <c r="Y21" s="196">
        <f>Y25/('Demand - Ethylene'!$K$14)</f>
        <v>0</v>
      </c>
      <c r="Z21" s="196">
        <f>Z25/('Demand - Ethylene'!$K$14)</f>
        <v>0</v>
      </c>
      <c r="AA21" s="196">
        <f>AA25/('Demand - Ethylene'!$K$14)</f>
        <v>0</v>
      </c>
      <c r="AB21" s="196">
        <f>AB25/('Demand - Ethylene'!$K$14)</f>
        <v>0</v>
      </c>
      <c r="AC21" s="196">
        <f>AC25/('Demand - Ethylene'!$K$14)</f>
        <v>0</v>
      </c>
      <c r="AD21" s="196">
        <f>AD25/('Demand - Ethylene'!$K$14)</f>
        <v>0</v>
      </c>
      <c r="AE21" s="196">
        <f>AE25/('Demand - Ethylene'!$K$14)</f>
        <v>0</v>
      </c>
      <c r="AF21" s="196">
        <f>AF25/('Demand - Ethylene'!$K$14)</f>
        <v>0</v>
      </c>
      <c r="AG21" s="196">
        <f>AG25/('Demand - Ethylene'!$K$14)</f>
        <v>0</v>
      </c>
      <c r="AH21" s="196">
        <f>AH25/('Demand - Ethylene'!$K$14)</f>
        <v>0</v>
      </c>
    </row>
    <row r="22" spans="1:42">
      <c r="A22" s="689"/>
      <c r="B22" s="1" t="s">
        <v>684</v>
      </c>
      <c r="C22" s="51" t="s">
        <v>166</v>
      </c>
      <c r="D22" s="196">
        <f>D24/('Demand - Ethylene'!$M$14)</f>
        <v>4665.5191424169407</v>
      </c>
      <c r="E22" s="196">
        <f>E24/('Demand - Ethylene'!$M$14)</f>
        <v>4736.7621693872306</v>
      </c>
      <c r="F22" s="196">
        <f>F24/('Demand - Ethylene'!$M$14)</f>
        <v>4809.0698370703003</v>
      </c>
      <c r="G22" s="196">
        <f>G24/('Demand - Ethylene'!$M$14)</f>
        <v>4882.4576471474238</v>
      </c>
      <c r="H22" s="196">
        <f>H24/('Demand - Ethylene'!$M$14)</f>
        <v>4956.9413197263484</v>
      </c>
      <c r="I22" s="196">
        <f>I24/('Demand - Ethylene'!$M$14)</f>
        <v>5032.5367962864102</v>
      </c>
      <c r="J22" s="196">
        <f>J24/('Demand - Ethylene'!$M$14)</f>
        <v>5109.260242660881</v>
      </c>
      <c r="K22" s="196">
        <f>K24/('Demand - Ethylene'!$M$14)</f>
        <v>5187.1280520569799</v>
      </c>
      <c r="L22" s="196">
        <f>L24/('Demand - Ethylene'!$M$14)</f>
        <v>5266.156848113972</v>
      </c>
      <c r="M22" s="196">
        <f>M24/('Demand - Ethylene'!$M$14)</f>
        <v>5346.3634879997717</v>
      </c>
      <c r="N22" s="196">
        <f>N24/('Demand - Ethylene'!$M$14)</f>
        <v>5427.7650655465086</v>
      </c>
      <c r="O22" s="196">
        <f>O24/('Demand - Ethylene'!$M$14)</f>
        <v>5496.4525483442712</v>
      </c>
      <c r="P22" s="196">
        <f>P24/('Demand - Ethylene'!$M$14)</f>
        <v>5565.7234570338805</v>
      </c>
      <c r="Q22" s="196">
        <f>Q24/('Demand - Ethylene'!$M$14)</f>
        <v>5635.5768345967663</v>
      </c>
      <c r="R22" s="196">
        <f>R24/('Demand - Ethylene'!$M$14)</f>
        <v>5706.0115437906416</v>
      </c>
      <c r="S22" s="196">
        <f>S24/('Demand - Ethylene'!$M$14)</f>
        <v>5777.026262282403</v>
      </c>
      <c r="T22" s="196">
        <f>T24/('Demand - Ethylene'!$M$14)</f>
        <v>5848.619477695036</v>
      </c>
      <c r="U22" s="196">
        <f>U24/('Demand - Ethylene'!$M$14)</f>
        <v>5920.7894825676594</v>
      </c>
      <c r="V22" s="196">
        <f>V24/('Demand - Ethylene'!$M$14)</f>
        <v>5993.5343692278457</v>
      </c>
      <c r="W22" s="196">
        <f>W24/('Demand - Ethylene'!$M$14)</f>
        <v>6066.8520245753816</v>
      </c>
      <c r="X22" s="196">
        <f>X24/('Demand - Ethylene'!$M$14)</f>
        <v>6140.7401247766047</v>
      </c>
      <c r="Y22" s="196">
        <f>Y24/('Demand - Ethylene'!$M$14)</f>
        <v>6167.5330613751321</v>
      </c>
      <c r="Z22" s="196">
        <f>Z24/('Demand - Ethylene'!$M$14)</f>
        <v>6193.3214286182456</v>
      </c>
      <c r="AA22" s="196">
        <f>AA24/('Demand - Ethylene'!$M$14)</f>
        <v>6218.0737975337415</v>
      </c>
      <c r="AB22" s="196">
        <f>AB24/('Demand - Ethylene'!$M$14)</f>
        <v>6241.7583575566041</v>
      </c>
      <c r="AC22" s="196">
        <f>AC24/('Demand - Ethylene'!$M$14)</f>
        <v>6264.3429230989614</v>
      </c>
      <c r="AD22" s="196">
        <f>AD24/('Demand - Ethylene'!$M$14)</f>
        <v>6285.79494069474</v>
      </c>
      <c r="AE22" s="196">
        <f>AE24/('Demand - Ethylene'!$M$14)</f>
        <v>6306.0814967418373</v>
      </c>
      <c r="AF22" s="196">
        <f>AF24/('Demand - Ethylene'!$M$14)</f>
        <v>6325.1693258653286</v>
      </c>
      <c r="AG22" s="196">
        <f>AG24/('Demand - Ethylene'!$M$14)</f>
        <v>6343.0248199259777</v>
      </c>
      <c r="AH22" s="196">
        <f>AH24/('Demand - Ethylene'!$M$14)</f>
        <v>6359.6140376990961</v>
      </c>
    </row>
    <row r="23" spans="1:42" s="63" customFormat="1">
      <c r="A23" s="690"/>
      <c r="B23" s="59" t="s">
        <v>27</v>
      </c>
      <c r="C23" s="262" t="s">
        <v>166</v>
      </c>
      <c r="D23" s="599">
        <f>D19-SUM(D21,D20,D22)</f>
        <v>81377.175570341657</v>
      </c>
      <c r="E23" s="599">
        <f t="shared" ref="E23:AH23" si="5">E19-SUM(E21,E20,E22)</f>
        <v>82619.814628708147</v>
      </c>
      <c r="F23" s="599">
        <f t="shared" si="5"/>
        <v>83881.023422094178</v>
      </c>
      <c r="G23" s="599">
        <f t="shared" si="5"/>
        <v>85161.072334780707</v>
      </c>
      <c r="H23" s="599">
        <f t="shared" si="5"/>
        <v>86460.235560899004</v>
      </c>
      <c r="I23" s="599">
        <f t="shared" si="5"/>
        <v>87778.791155800049</v>
      </c>
      <c r="J23" s="599">
        <f t="shared" si="5"/>
        <v>89117.021088073467</v>
      </c>
      <c r="K23" s="599">
        <f t="shared" si="5"/>
        <v>90475.211292223306</v>
      </c>
      <c r="L23" s="599">
        <f t="shared" si="5"/>
        <v>91853.651722008144</v>
      </c>
      <c r="M23" s="599">
        <f t="shared" si="5"/>
        <v>93252.63640445286</v>
      </c>
      <c r="N23" s="599">
        <f t="shared" si="5"/>
        <v>94672.463494539974</v>
      </c>
      <c r="O23" s="599">
        <f t="shared" si="5"/>
        <v>95870.528099248171</v>
      </c>
      <c r="P23" s="599">
        <f t="shared" si="5"/>
        <v>97078.768967258249</v>
      </c>
      <c r="Q23" s="599">
        <f t="shared" si="5"/>
        <v>98297.169406008034</v>
      </c>
      <c r="R23" s="599">
        <f t="shared" si="5"/>
        <v>99525.709579427334</v>
      </c>
      <c r="S23" s="599">
        <f t="shared" si="5"/>
        <v>100764.36642304467</v>
      </c>
      <c r="T23" s="599">
        <f t="shared" si="5"/>
        <v>102013.1135575942</v>
      </c>
      <c r="U23" s="599">
        <f t="shared" si="5"/>
        <v>103271.92120110747</v>
      </c>
      <c r="V23" s="599">
        <f t="shared" si="5"/>
        <v>104540.75607947513</v>
      </c>
      <c r="W23" s="599">
        <f t="shared" si="5"/>
        <v>105819.58133546397</v>
      </c>
      <c r="X23" s="599">
        <f t="shared" si="5"/>
        <v>107108.35643617422</v>
      </c>
      <c r="Y23" s="599">
        <f t="shared" si="5"/>
        <v>107575.68567415778</v>
      </c>
      <c r="Z23" s="599">
        <f t="shared" si="5"/>
        <v>108025.49295706779</v>
      </c>
      <c r="AA23" s="599">
        <f t="shared" si="5"/>
        <v>108457.23009275012</v>
      </c>
      <c r="AB23" s="599">
        <f t="shared" si="5"/>
        <v>108870.34223321137</v>
      </c>
      <c r="AC23" s="599">
        <f t="shared" si="5"/>
        <v>109264.26798921378</v>
      </c>
      <c r="AD23" s="599">
        <f t="shared" si="5"/>
        <v>109638.43955489412</v>
      </c>
      <c r="AE23" s="599">
        <f t="shared" si="5"/>
        <v>109992.28284280462</v>
      </c>
      <c r="AF23" s="599">
        <f t="shared" si="5"/>
        <v>110325.21762978619</v>
      </c>
      <c r="AG23" s="599">
        <f t="shared" si="5"/>
        <v>110636.65771409715</v>
      </c>
      <c r="AH23" s="599">
        <f t="shared" si="5"/>
        <v>110926.01108423428</v>
      </c>
    </row>
    <row r="24" spans="1:42" s="62" customFormat="1">
      <c r="A24" s="688" t="s">
        <v>686</v>
      </c>
      <c r="B24" s="55" t="s">
        <v>683</v>
      </c>
      <c r="C24" s="56" t="s">
        <v>166</v>
      </c>
      <c r="D24" s="630">
        <f>D19*'Demand - Ethylene'!$E$75</f>
        <v>2126.6711607740358</v>
      </c>
      <c r="E24" s="630">
        <f>E19*'Demand - Ethylene'!$E$75</f>
        <v>2159.1456799516536</v>
      </c>
      <c r="F24" s="630">
        <f>F19*'Demand - Ethylene'!$E$75</f>
        <v>2192.1054914689535</v>
      </c>
      <c r="G24" s="630">
        <f>G19*'Demand - Ethylene'!$E$75</f>
        <v>2225.5576614160109</v>
      </c>
      <c r="H24" s="630">
        <f>H19*'Demand - Ethylene'!$E$75</f>
        <v>2259.5093554476584</v>
      </c>
      <c r="I24" s="630">
        <f>I19*'Demand - Ethylene'!$E$75</f>
        <v>2293.9678401259507</v>
      </c>
      <c r="J24" s="630">
        <f>J19*'Demand - Ethylene'!$E$75</f>
        <v>2328.9404842795984</v>
      </c>
      <c r="K24" s="630">
        <f>K19*'Demand - Ethylene'!$E$75</f>
        <v>2364.4347603805741</v>
      </c>
      <c r="L24" s="630">
        <f>L19*'Demand - Ethylene'!$E$75</f>
        <v>2400.4582459380745</v>
      </c>
      <c r="M24" s="630">
        <f>M19*'Demand - Ethylene'!$E$75</f>
        <v>2437.0186249100389</v>
      </c>
      <c r="N24" s="630">
        <f>N19*'Demand - Ethylene'!$E$75</f>
        <v>2474.1236891324261</v>
      </c>
      <c r="O24" s="630">
        <f>O19*'Demand - Ethylene'!$E$75</f>
        <v>2505.4333214183821</v>
      </c>
      <c r="P24" s="630">
        <f>P19*'Demand - Ethylene'!$E$75</f>
        <v>2537.0088951742509</v>
      </c>
      <c r="Q24" s="630">
        <f>Q19*'Demand - Ethylene'!$E$75</f>
        <v>2568.849974164807</v>
      </c>
      <c r="R24" s="630">
        <f>R19*'Demand - Ethylene'!$E$75</f>
        <v>2600.9560400039286</v>
      </c>
      <c r="S24" s="630">
        <f>S19*'Demand - Ethylene'!$E$75</f>
        <v>2633.3264899360402</v>
      </c>
      <c r="T24" s="630">
        <f>T19*'Demand - Ethylene'!$E$75</f>
        <v>2665.9606345783563</v>
      </c>
      <c r="U24" s="630">
        <f>U19*'Demand - Ethylene'!$E$75</f>
        <v>2698.8576956235329</v>
      </c>
      <c r="V24" s="630">
        <f>V19*'Demand - Ethylene'!$E$75</f>
        <v>2732.0168035023298</v>
      </c>
      <c r="W24" s="630">
        <f>W19*'Demand - Ethylene'!$E$75</f>
        <v>2765.4369950059058</v>
      </c>
      <c r="X24" s="630">
        <f>X19*'Demand - Ethylene'!$E$75</f>
        <v>2799.1172108673545</v>
      </c>
      <c r="Y24" s="630">
        <f>Y19*'Demand - Ethylene'!$E$75</f>
        <v>2811.3301637751028</v>
      </c>
      <c r="Z24" s="630">
        <f>Z19*'Demand - Ethylene'!$E$75</f>
        <v>2823.0852065099543</v>
      </c>
      <c r="AA24" s="630">
        <f>AA19*'Demand - Ethylene'!$E$75</f>
        <v>2834.3680128872429</v>
      </c>
      <c r="AB24" s="630">
        <f>AB19*'Demand - Ethylene'!$E$75</f>
        <v>2845.1640827818678</v>
      </c>
      <c r="AC24" s="630">
        <f>AC19*'Demand - Ethylene'!$E$75</f>
        <v>2855.4587451230582</v>
      </c>
      <c r="AD24" s="630">
        <f>AD19*'Demand - Ethylene'!$E$75</f>
        <v>2865.237161151103</v>
      </c>
      <c r="AE24" s="630">
        <f>AE19*'Demand - Ethylene'!$E$75</f>
        <v>2874.4843279464444</v>
      </c>
      <c r="AF24" s="630">
        <f>AF19*'Demand - Ethylene'!$E$75</f>
        <v>2883.1850822418564</v>
      </c>
      <c r="AG24" s="630">
        <f>AG19*'Demand - Ethylene'!$E$75</f>
        <v>2891.3241045287705</v>
      </c>
      <c r="AH24" s="630">
        <f>AH19*'Demand - Ethylene'!$E$75</f>
        <v>2898.8859234691627</v>
      </c>
    </row>
    <row r="25" spans="1:42" s="63" customFormat="1">
      <c r="A25" s="690"/>
      <c r="B25" s="59" t="s">
        <v>682</v>
      </c>
      <c r="C25" s="262" t="s">
        <v>166</v>
      </c>
      <c r="D25" s="599">
        <f>D19*'Demand - Ethylene'!$D$75/'Demand - Ethylene'!$L$24</f>
        <v>0</v>
      </c>
      <c r="E25" s="599">
        <f>E19*'Demand - Ethylene'!$D$75/'Demand - Ethylene'!$L$24</f>
        <v>0</v>
      </c>
      <c r="F25" s="599">
        <f>F19*'Demand - Ethylene'!$D$75/'Demand - Ethylene'!$L$24</f>
        <v>0</v>
      </c>
      <c r="G25" s="599">
        <f>G19*'Demand - Ethylene'!$D$75/'Demand - Ethylene'!$L$24</f>
        <v>0</v>
      </c>
      <c r="H25" s="599">
        <f>H19*'Demand - Ethylene'!$D$75/'Demand - Ethylene'!$L$24</f>
        <v>0</v>
      </c>
      <c r="I25" s="599">
        <f>I19*'Demand - Ethylene'!$D$75/'Demand - Ethylene'!$L$24</f>
        <v>0</v>
      </c>
      <c r="J25" s="599">
        <f>J19*'Demand - Ethylene'!$D$75/'Demand - Ethylene'!$L$24</f>
        <v>0</v>
      </c>
      <c r="K25" s="599">
        <f>K19*'Demand - Ethylene'!$D$75/'Demand - Ethylene'!$L$24</f>
        <v>0</v>
      </c>
      <c r="L25" s="599">
        <f>L19*'Demand - Ethylene'!$D$75/'Demand - Ethylene'!$L$24</f>
        <v>0</v>
      </c>
      <c r="M25" s="599">
        <f>M19*'Demand - Ethylene'!$D$75/'Demand - Ethylene'!$L$24</f>
        <v>0</v>
      </c>
      <c r="N25" s="599">
        <f>N19*'Demand - Ethylene'!$D$75/'Demand - Ethylene'!$L$24</f>
        <v>0</v>
      </c>
      <c r="O25" s="599">
        <f>O19*'Demand - Ethylene'!$D$75/'Demand - Ethylene'!$L$24</f>
        <v>0</v>
      </c>
      <c r="P25" s="599">
        <f>P19*'Demand - Ethylene'!$D$75/'Demand - Ethylene'!$L$24</f>
        <v>0</v>
      </c>
      <c r="Q25" s="599">
        <f>Q19*'Demand - Ethylene'!$D$75/'Demand - Ethylene'!$L$24</f>
        <v>0</v>
      </c>
      <c r="R25" s="599">
        <f>R19*'Demand - Ethylene'!$D$75/'Demand - Ethylene'!$L$24</f>
        <v>0</v>
      </c>
      <c r="S25" s="599">
        <f>S19*'Demand - Ethylene'!$D$75/'Demand - Ethylene'!$L$24</f>
        <v>0</v>
      </c>
      <c r="T25" s="599">
        <f>T19*'Demand - Ethylene'!$D$75/'Demand - Ethylene'!$L$24</f>
        <v>0</v>
      </c>
      <c r="U25" s="599">
        <f>U19*'Demand - Ethylene'!$D$75/'Demand - Ethylene'!$L$24</f>
        <v>0</v>
      </c>
      <c r="V25" s="599">
        <f>V19*'Demand - Ethylene'!$D$75/'Demand - Ethylene'!$L$24</f>
        <v>0</v>
      </c>
      <c r="W25" s="599">
        <f>W19*'Demand - Ethylene'!$D$75/'Demand - Ethylene'!$L$24</f>
        <v>0</v>
      </c>
      <c r="X25" s="599">
        <f>X19*'Demand - Ethylene'!$D$75/'Demand - Ethylene'!$L$24</f>
        <v>0</v>
      </c>
      <c r="Y25" s="599">
        <f>Y19*'Demand - Ethylene'!$D$75/'Demand - Ethylene'!$L$24</f>
        <v>0</v>
      </c>
      <c r="Z25" s="599">
        <f>Z19*'Demand - Ethylene'!$D$75/'Demand - Ethylene'!$L$24</f>
        <v>0</v>
      </c>
      <c r="AA25" s="599">
        <f>AA19*'Demand - Ethylene'!$D$75/'Demand - Ethylene'!$L$24</f>
        <v>0</v>
      </c>
      <c r="AB25" s="599">
        <f>AB19*'Demand - Ethylene'!$D$75/'Demand - Ethylene'!$L$24</f>
        <v>0</v>
      </c>
      <c r="AC25" s="599">
        <f>AC19*'Demand - Ethylene'!$D$75/'Demand - Ethylene'!$L$24</f>
        <v>0</v>
      </c>
      <c r="AD25" s="599">
        <f>AD19*'Demand - Ethylene'!$D$75/'Demand - Ethylene'!$L$24</f>
        <v>0</v>
      </c>
      <c r="AE25" s="599">
        <f>AE19*'Demand - Ethylene'!$D$75/'Demand - Ethylene'!$L$24</f>
        <v>0</v>
      </c>
      <c r="AF25" s="599">
        <f>AF19*'Demand - Ethylene'!$D$75/'Demand - Ethylene'!$L$24</f>
        <v>0</v>
      </c>
      <c r="AG25" s="599">
        <f>AG19*'Demand - Ethylene'!$D$75/'Demand - Ethylene'!$L$24</f>
        <v>0</v>
      </c>
      <c r="AH25" s="599">
        <f>AH19*'Demand - Ethylene'!$D$75/'Demand - Ethylene'!$L$24</f>
        <v>0</v>
      </c>
    </row>
    <row r="26" spans="1:42">
      <c r="A26" s="1" t="s">
        <v>399</v>
      </c>
      <c r="B26" s="1" t="s">
        <v>174</v>
      </c>
      <c r="C26" s="51" t="s">
        <v>166</v>
      </c>
      <c r="D26" s="101">
        <f>'R&amp;S - Packaging and hh goods'!J4</f>
        <v>360575.67443292518</v>
      </c>
      <c r="E26" s="101">
        <f>D26*(1+'R&amp;S - Packaging and hh goods'!$C$5)</f>
        <v>360575.67443292518</v>
      </c>
      <c r="F26" s="101">
        <f>E26*(1+'R&amp;S - Packaging and hh goods'!$C$5)</f>
        <v>360575.67443292518</v>
      </c>
      <c r="G26" s="101">
        <f>F26*(1+'R&amp;S - Packaging and hh goods'!$C$5)</f>
        <v>360575.67443292518</v>
      </c>
      <c r="H26" s="101">
        <f>G26*(1+'R&amp;S - Packaging and hh goods'!$C$5)</f>
        <v>360575.67443292518</v>
      </c>
      <c r="I26" s="101">
        <f>H26*(1+'R&amp;S - Packaging and hh goods'!$C$5)</f>
        <v>360575.67443292518</v>
      </c>
      <c r="J26" s="101">
        <f>I26*(1+'R&amp;S - Packaging and hh goods'!$C$5)</f>
        <v>360575.67443292518</v>
      </c>
      <c r="K26" s="101">
        <f>J26*(1+'R&amp;S - Packaging and hh goods'!$C$5)</f>
        <v>360575.67443292518</v>
      </c>
      <c r="L26" s="101">
        <f>K26*(1+'R&amp;S - Packaging and hh goods'!$C$5)</f>
        <v>360575.67443292518</v>
      </c>
      <c r="M26" s="101">
        <f>L26*(1+'R&amp;S - Packaging and hh goods'!$C$5)</f>
        <v>360575.67443292518</v>
      </c>
      <c r="N26" s="101">
        <f>M26*(1+'R&amp;S - Packaging and hh goods'!$C$5)</f>
        <v>360575.67443292518</v>
      </c>
      <c r="O26" s="101">
        <f>N26*(1+'R&amp;S - Packaging and hh goods'!$C$5)</f>
        <v>360575.67443292518</v>
      </c>
      <c r="P26" s="101">
        <f>O26*(1+'R&amp;S - Packaging and hh goods'!$C$5)</f>
        <v>360575.67443292518</v>
      </c>
      <c r="Q26" s="101">
        <f>P26*(1+'R&amp;S - Packaging and hh goods'!$C$5)</f>
        <v>360575.67443292518</v>
      </c>
      <c r="R26" s="101">
        <f>Q26*(1+'R&amp;S - Packaging and hh goods'!$C$5)</f>
        <v>360575.67443292518</v>
      </c>
      <c r="S26" s="101">
        <f>R26*(1+'R&amp;S - Packaging and hh goods'!$C$5)</f>
        <v>360575.67443292518</v>
      </c>
      <c r="T26" s="101">
        <f>S26*(1+'R&amp;S - Packaging and hh goods'!$C$5)</f>
        <v>360575.67443292518</v>
      </c>
      <c r="U26" s="101">
        <f>T26*(1+'R&amp;S - Packaging and hh goods'!$C$5)</f>
        <v>360575.67443292518</v>
      </c>
      <c r="V26" s="101">
        <f>U26*(1+'R&amp;S - Packaging and hh goods'!$C$5)</f>
        <v>360575.67443292518</v>
      </c>
      <c r="W26" s="101">
        <f>V26*(1+'R&amp;S - Packaging and hh goods'!$C$5)</f>
        <v>360575.67443292518</v>
      </c>
      <c r="X26" s="101">
        <f>W26*(1+'R&amp;S - Packaging and hh goods'!$C$5)</f>
        <v>360575.67443292518</v>
      </c>
      <c r="Y26" s="101">
        <f>X26*(1+'R&amp;S - Packaging and hh goods'!$C$5)</f>
        <v>360575.67443292518</v>
      </c>
      <c r="Z26" s="101">
        <f>Y26*(1+'R&amp;S - Packaging and hh goods'!$C$5)</f>
        <v>360575.67443292518</v>
      </c>
      <c r="AA26" s="101">
        <f>Z26*(1+'R&amp;S - Packaging and hh goods'!$C$5)</f>
        <v>360575.67443292518</v>
      </c>
      <c r="AB26" s="101">
        <f>AA26*(1+'R&amp;S - Packaging and hh goods'!$C$5)</f>
        <v>360575.67443292518</v>
      </c>
      <c r="AC26" s="101">
        <f>AB26*(1+'R&amp;S - Packaging and hh goods'!$C$5)</f>
        <v>360575.67443292518</v>
      </c>
      <c r="AD26" s="101">
        <f>AC26*(1+'R&amp;S - Packaging and hh goods'!$C$5)</f>
        <v>360575.67443292518</v>
      </c>
      <c r="AE26" s="101">
        <f>AD26*(1+'R&amp;S - Packaging and hh goods'!$C$5)</f>
        <v>360575.67443292518</v>
      </c>
      <c r="AF26" s="101">
        <f>AE26*(1+'R&amp;S - Packaging and hh goods'!$C$5)</f>
        <v>360575.67443292518</v>
      </c>
      <c r="AG26" s="101">
        <f>AF26*(1+'R&amp;S - Packaging and hh goods'!$C$5)</f>
        <v>360575.67443292518</v>
      </c>
      <c r="AH26" s="101">
        <f>AG26*(1+'R&amp;S - Packaging and hh goods'!$C$5)</f>
        <v>360575.67443292518</v>
      </c>
    </row>
    <row r="27" spans="1:42" outlineLevel="1">
      <c r="B27" s="58" t="s">
        <v>146</v>
      </c>
      <c r="C27" s="51" t="s">
        <v>166</v>
      </c>
      <c r="D27" s="196">
        <v>0</v>
      </c>
      <c r="E27" s="196">
        <f>E26*'R&amp;S - Packaging and hh goods'!$C$7*('R&amp;S - Packaging and hh goods'!$B$15*'R&amp;S - Packaging and hh goods'!$B$19*('Yearly LC Ethylene'!E$3-'Yearly LC Ethylene'!$D$3)/10)</f>
        <v>268.96060707300757</v>
      </c>
      <c r="F27" s="196">
        <f>F26*'R&amp;S - Packaging and hh goods'!$C$7*('R&amp;S - Packaging and hh goods'!$B$15*'R&amp;S - Packaging and hh goods'!$B$19*('Yearly LC Ethylene'!F$3-'Yearly LC Ethylene'!$D$3)/10)</f>
        <v>537.92121414601513</v>
      </c>
      <c r="G27" s="196">
        <f>G26*'R&amp;S - Packaging and hh goods'!$C$7*('R&amp;S - Packaging and hh goods'!$B$15*'R&amp;S - Packaging and hh goods'!$B$19*('Yearly LC Ethylene'!G$3-'Yearly LC Ethylene'!$D$3)/10)</f>
        <v>806.88182121902275</v>
      </c>
      <c r="H27" s="196">
        <f>H26*'R&amp;S - Packaging and hh goods'!$C$7*('R&amp;S - Packaging and hh goods'!$B$15*'R&amp;S - Packaging and hh goods'!$B$19*('Yearly LC Ethylene'!H$3-'Yearly LC Ethylene'!$D$3)/10)</f>
        <v>1075.8424282920303</v>
      </c>
      <c r="I27" s="196">
        <f>I26*'R&amp;S - Packaging and hh goods'!$C$7*('R&amp;S - Packaging and hh goods'!$B$15*'R&amp;S - Packaging and hh goods'!$B$19*('Yearly LC Ethylene'!I$3-'Yearly LC Ethylene'!$D$3)/10)</f>
        <v>1344.8030353650381</v>
      </c>
      <c r="J27" s="196">
        <f>J26*'R&amp;S - Packaging and hh goods'!$C$7*('R&amp;S - Packaging and hh goods'!$B$15*'R&amp;S - Packaging and hh goods'!$B$19*('Yearly LC Ethylene'!J$3-'Yearly LC Ethylene'!$D$3)/10)</f>
        <v>1613.7636424380455</v>
      </c>
      <c r="K27" s="196">
        <f>K26*'R&amp;S - Packaging and hh goods'!$C$7*('R&amp;S - Packaging and hh goods'!$B$15*'R&amp;S - Packaging and hh goods'!$B$19*('Yearly LC Ethylene'!K$3-'Yearly LC Ethylene'!$D$3)/10)</f>
        <v>1882.7242495110529</v>
      </c>
      <c r="L27" s="196">
        <f>L26*'R&amp;S - Packaging and hh goods'!$C$7*('R&amp;S - Packaging and hh goods'!$B$15*'R&amp;S - Packaging and hh goods'!$B$19*('Yearly LC Ethylene'!L$3-'Yearly LC Ethylene'!$D$3)/10)</f>
        <v>2151.6848565840605</v>
      </c>
      <c r="M27" s="196">
        <f>M26*'R&amp;S - Packaging and hh goods'!$C$7*('R&amp;S - Packaging and hh goods'!$B$15*'R&amp;S - Packaging and hh goods'!$B$19*('Yearly LC Ethylene'!M$3-'Yearly LC Ethylene'!$D$3)/10)</f>
        <v>2420.6454636570684</v>
      </c>
      <c r="N27" s="196">
        <f>N26*'R&amp;S - Packaging and hh goods'!$C$7*('R&amp;S - Packaging and hh goods'!$B$15*'R&amp;S - Packaging and hh goods'!$B$19*('Yearly LC Ethylene'!N$3-'Yearly LC Ethylene'!$D$3)/10)</f>
        <v>2689.6060707300762</v>
      </c>
      <c r="O27" s="196">
        <f>O26*'R&amp;S - Packaging and hh goods'!$C$7*('R&amp;S - Packaging and hh goods'!$B$15*('R&amp;S - Packaging and hh goods'!$B$19+('R&amp;S - Packaging and hh goods'!$B$20-'R&amp;S - Packaging and hh goods'!$B$19)*('Yearly LC Ethylene'!O$3-'Yearly LC Ethylene'!$N$3)/10))</f>
        <v>4236.1295613998691</v>
      </c>
      <c r="P27" s="196">
        <f>P26*'R&amp;S - Packaging and hh goods'!$C$7*('R&amp;S - Packaging and hh goods'!$B$15*('R&amp;S - Packaging and hh goods'!$B$19+('R&amp;S - Packaging and hh goods'!$B$20-'R&amp;S - Packaging and hh goods'!$B$19)*('Yearly LC Ethylene'!P$3-'Yearly LC Ethylene'!$N$3)/10))</f>
        <v>5782.6530520696615</v>
      </c>
      <c r="Q27" s="196">
        <f>Q26*'R&amp;S - Packaging and hh goods'!$C$7*('R&amp;S - Packaging and hh goods'!$B$15*('R&amp;S - Packaging and hh goods'!$B$19+('R&amp;S - Packaging and hh goods'!$B$20-'R&amp;S - Packaging and hh goods'!$B$19)*('Yearly LC Ethylene'!Q$3-'Yearly LC Ethylene'!$N$3)/10))</f>
        <v>7329.1765427394566</v>
      </c>
      <c r="R27" s="196">
        <f>R26*'R&amp;S - Packaging and hh goods'!$C$7*('R&amp;S - Packaging and hh goods'!$B$15*('R&amp;S - Packaging and hh goods'!$B$19+('R&amp;S - Packaging and hh goods'!$B$20-'R&amp;S - Packaging and hh goods'!$B$19)*('Yearly LC Ethylene'!R$3-'Yearly LC Ethylene'!$N$3)/10))</f>
        <v>8875.70003340925</v>
      </c>
      <c r="S27" s="196">
        <f>S26*'R&amp;S - Packaging and hh goods'!$C$7*('R&amp;S - Packaging and hh goods'!$B$15*('R&amp;S - Packaging and hh goods'!$B$19+('R&amp;S - Packaging and hh goods'!$B$20-'R&amp;S - Packaging and hh goods'!$B$19)*('Yearly LC Ethylene'!S$3-'Yearly LC Ethylene'!$N$3)/10))</f>
        <v>10422.223524079045</v>
      </c>
      <c r="T27" s="196">
        <f>T26*'R&amp;S - Packaging and hh goods'!$C$7*('R&amp;S - Packaging and hh goods'!$B$15*('R&amp;S - Packaging and hh goods'!$B$19+('R&amp;S - Packaging and hh goods'!$B$20-'R&amp;S - Packaging and hh goods'!$B$19)*('Yearly LC Ethylene'!T$3-'Yearly LC Ethylene'!$N$3)/10))</f>
        <v>11968.747014748837</v>
      </c>
      <c r="U27" s="196">
        <f>U26*'R&amp;S - Packaging and hh goods'!$C$7*('R&amp;S - Packaging and hh goods'!$B$15*('R&amp;S - Packaging and hh goods'!$B$19+('R&amp;S - Packaging and hh goods'!$B$20-'R&amp;S - Packaging and hh goods'!$B$19)*('Yearly LC Ethylene'!U$3-'Yearly LC Ethylene'!$N$3)/10))</f>
        <v>13515.270505418632</v>
      </c>
      <c r="V27" s="196">
        <f>V26*'R&amp;S - Packaging and hh goods'!$C$7*('R&amp;S - Packaging and hh goods'!$B$15*('R&amp;S - Packaging and hh goods'!$B$19+('R&amp;S - Packaging and hh goods'!$B$20-'R&amp;S - Packaging and hh goods'!$B$19)*('Yearly LC Ethylene'!V$3-'Yearly LC Ethylene'!$N$3)/10))</f>
        <v>15061.793996088423</v>
      </c>
      <c r="W27" s="196">
        <f>W26*'R&amp;S - Packaging and hh goods'!$C$7*('R&amp;S - Packaging and hh goods'!$B$15*('R&amp;S - Packaging and hh goods'!$B$19+('R&amp;S - Packaging and hh goods'!$B$20-'R&amp;S - Packaging and hh goods'!$B$19)*('Yearly LC Ethylene'!W$3-'Yearly LC Ethylene'!$N$3)/10))</f>
        <v>16608.31748675822</v>
      </c>
      <c r="X27" s="196">
        <f>X26*'R&amp;S - Packaging and hh goods'!$C$7*('R&amp;S - Packaging and hh goods'!$B$15*('R&amp;S - Packaging and hh goods'!$B$19+('R&amp;S - Packaging and hh goods'!$B$20-'R&amp;S - Packaging and hh goods'!$B$19)*('Yearly LC Ethylene'!X$3-'Yearly LC Ethylene'!$N$3)/10))</f>
        <v>18154.840977428012</v>
      </c>
      <c r="Y27" s="196">
        <f>Y26*'R&amp;S - Packaging and hh goods'!$C$7*('R&amp;S - Packaging and hh goods'!$B$15*('R&amp;S - Packaging and hh goods'!$B$20+('R&amp;S - Packaging and hh goods'!$B$21-'R&amp;S - Packaging and hh goods'!$B$20)*('Yearly LC Ethylene'!Y$3-'Yearly LC Ethylene'!$X$3)/10))</f>
        <v>19701.364468097803</v>
      </c>
      <c r="Z27" s="196">
        <f>Z26*'R&amp;S - Packaging and hh goods'!$C$7*('R&amp;S - Packaging and hh goods'!$B$15*('R&amp;S - Packaging and hh goods'!$B$20+('R&amp;S - Packaging and hh goods'!$B$21-'R&amp;S - Packaging and hh goods'!$B$20)*('Yearly LC Ethylene'!Z$3-'Yearly LC Ethylene'!$X$3)/10))</f>
        <v>21247.887958767595</v>
      </c>
      <c r="AA27" s="196">
        <f>AA26*'R&amp;S - Packaging and hh goods'!$C$7*('R&amp;S - Packaging and hh goods'!$B$15*('R&amp;S - Packaging and hh goods'!$B$20+('R&amp;S - Packaging and hh goods'!$B$21-'R&amp;S - Packaging and hh goods'!$B$20)*('Yearly LC Ethylene'!AA$3-'Yearly LC Ethylene'!$X$3)/10))</f>
        <v>22794.411449437393</v>
      </c>
      <c r="AB27" s="196">
        <f>AB26*'R&amp;S - Packaging and hh goods'!$C$7*('R&amp;S - Packaging and hh goods'!$B$15*('R&amp;S - Packaging and hh goods'!$B$20+('R&amp;S - Packaging and hh goods'!$B$21-'R&amp;S - Packaging and hh goods'!$B$20)*('Yearly LC Ethylene'!AB$3-'Yearly LC Ethylene'!$X$3)/10))</f>
        <v>24340.934940107185</v>
      </c>
      <c r="AC27" s="196">
        <f>AC26*'R&amp;S - Packaging and hh goods'!$C$7*('R&amp;S - Packaging and hh goods'!$B$15*('R&amp;S - Packaging and hh goods'!$B$20+('R&amp;S - Packaging and hh goods'!$B$21-'R&amp;S - Packaging and hh goods'!$B$20)*('Yearly LC Ethylene'!AC$3-'Yearly LC Ethylene'!$X$3)/10))</f>
        <v>25887.458430776976</v>
      </c>
      <c r="AD27" s="196">
        <f>AD26*'R&amp;S - Packaging and hh goods'!$C$7*('R&amp;S - Packaging and hh goods'!$B$15*('R&amp;S - Packaging and hh goods'!$B$20+('R&amp;S - Packaging and hh goods'!$B$21-'R&amp;S - Packaging and hh goods'!$B$20)*('Yearly LC Ethylene'!AD$3-'Yearly LC Ethylene'!$X$3)/10))</f>
        <v>27433.981921446772</v>
      </c>
      <c r="AE27" s="196">
        <f>AE26*'R&amp;S - Packaging and hh goods'!$C$7*('R&amp;S - Packaging and hh goods'!$B$15*('R&amp;S - Packaging and hh goods'!$B$20+('R&amp;S - Packaging and hh goods'!$B$21-'R&amp;S - Packaging and hh goods'!$B$20)*('Yearly LC Ethylene'!AE$3-'Yearly LC Ethylene'!$X$3)/10))</f>
        <v>28980.505412116563</v>
      </c>
      <c r="AF27" s="196">
        <f>AF26*'R&amp;S - Packaging and hh goods'!$C$7*('R&amp;S - Packaging and hh goods'!$B$15*('R&amp;S - Packaging and hh goods'!$B$20+('R&amp;S - Packaging and hh goods'!$B$21-'R&amp;S - Packaging and hh goods'!$B$20)*('Yearly LC Ethylene'!AF$3-'Yearly LC Ethylene'!$X$3)/10))</f>
        <v>30527.028902786355</v>
      </c>
      <c r="AG27" s="196">
        <f>AG26*'R&amp;S - Packaging and hh goods'!$C$7*('R&amp;S - Packaging and hh goods'!$B$15*('R&amp;S - Packaging and hh goods'!$B$20+('R&amp;S - Packaging and hh goods'!$B$21-'R&amp;S - Packaging and hh goods'!$B$20)*('Yearly LC Ethylene'!AG$3-'Yearly LC Ethylene'!$X$3)/10))</f>
        <v>32073.552393456146</v>
      </c>
      <c r="AH27" s="196">
        <f>AH26*'R&amp;S - Packaging and hh goods'!$C$7*('R&amp;S - Packaging and hh goods'!$B$15*('R&amp;S - Packaging and hh goods'!$B$20+('R&amp;S - Packaging and hh goods'!$B$21-'R&amp;S - Packaging and hh goods'!$B$20)*('Yearly LC Ethylene'!AH$3-'Yearly LC Ethylene'!$X$3)/10))</f>
        <v>33620.075884125945</v>
      </c>
    </row>
    <row r="28" spans="1:42" outlineLevel="1">
      <c r="B28" s="58" t="s">
        <v>188</v>
      </c>
      <c r="C28" s="51" t="s">
        <v>166</v>
      </c>
      <c r="D28" s="196">
        <v>0</v>
      </c>
      <c r="E28" s="196">
        <f>E26*'R&amp;S - Packaging and hh goods'!$C$8*('R&amp;S - Packaging and hh goods'!$B$15*'R&amp;S - Packaging and hh goods'!$C$19*('Yearly LC Ethylene'!E$3-'Yearly LC Ethylene'!$D$3)/10)</f>
        <v>1558.2638346293293</v>
      </c>
      <c r="F28" s="196">
        <f>F26*'R&amp;S - Packaging and hh goods'!$C$8*('R&amp;S - Packaging and hh goods'!$B$15*'R&amp;S - Packaging and hh goods'!$C$19*('Yearly LC Ethylene'!F$3-'Yearly LC Ethylene'!$D$3)/10)</f>
        <v>3116.5276692586585</v>
      </c>
      <c r="G28" s="196">
        <f>G26*'R&amp;S - Packaging and hh goods'!$C$8*('R&amp;S - Packaging and hh goods'!$B$15*'R&amp;S - Packaging and hh goods'!$C$19*('Yearly LC Ethylene'!G$3-'Yearly LC Ethylene'!$D$3)/10)</f>
        <v>4674.7915038879873</v>
      </c>
      <c r="H28" s="196">
        <f>H26*'R&amp;S - Packaging and hh goods'!$C$8*('R&amp;S - Packaging and hh goods'!$B$15*'R&amp;S - Packaging and hh goods'!$C$19*('Yearly LC Ethylene'!H$3-'Yearly LC Ethylene'!$D$3)/10)</f>
        <v>6233.0553385173171</v>
      </c>
      <c r="I28" s="196">
        <f>I26*'R&amp;S - Packaging and hh goods'!$C$8*('R&amp;S - Packaging and hh goods'!$B$15*'R&amp;S - Packaging and hh goods'!$C$19*('Yearly LC Ethylene'!I$3-'Yearly LC Ethylene'!$D$3)/10)</f>
        <v>7791.3191731466468</v>
      </c>
      <c r="J28" s="196">
        <f>J26*'R&amp;S - Packaging and hh goods'!$C$8*('R&amp;S - Packaging and hh goods'!$B$15*'R&amp;S - Packaging and hh goods'!$C$19*('Yearly LC Ethylene'!J$3-'Yearly LC Ethylene'!$D$3)/10)</f>
        <v>9349.5830077759747</v>
      </c>
      <c r="K28" s="196">
        <f>K26*'R&amp;S - Packaging and hh goods'!$C$8*('R&amp;S - Packaging and hh goods'!$B$15*'R&amp;S - Packaging and hh goods'!$C$19*('Yearly LC Ethylene'!K$3-'Yearly LC Ethylene'!$D$3)/10)</f>
        <v>10907.846842405306</v>
      </c>
      <c r="L28" s="196">
        <f>L26*'R&amp;S - Packaging and hh goods'!$C$8*('R&amp;S - Packaging and hh goods'!$B$15*'R&amp;S - Packaging and hh goods'!$C$19*('Yearly LC Ethylene'!L$3-'Yearly LC Ethylene'!$D$3)/10)</f>
        <v>12466.110677034634</v>
      </c>
      <c r="M28" s="196">
        <f>M26*'R&amp;S - Packaging and hh goods'!$C$8*('R&amp;S - Packaging and hh goods'!$B$15*'R&amp;S - Packaging and hh goods'!$C$19*('Yearly LC Ethylene'!M$3-'Yearly LC Ethylene'!$D$3)/10)</f>
        <v>14024.374511663964</v>
      </c>
      <c r="N28" s="196">
        <f>N26*'R&amp;S - Packaging and hh goods'!$C$8*('R&amp;S - Packaging and hh goods'!$B$15*'R&amp;S - Packaging and hh goods'!$C$19*('Yearly LC Ethylene'!N$3-'Yearly LC Ethylene'!$D$3)/10)</f>
        <v>15582.638346293294</v>
      </c>
      <c r="O28" s="196">
        <f>O26*'R&amp;S - Packaging and hh goods'!$C$8*('R&amp;S - Packaging and hh goods'!$B$15*('R&amp;S - Packaging and hh goods'!$C$19+('R&amp;S - Packaging and hh goods'!$C$20-'R&amp;S - Packaging and hh goods'!$C$19)*('Yearly LC Ethylene'!O$3-'Yearly LC Ethylene'!$N$3)/10))</f>
        <v>18621.252823820487</v>
      </c>
      <c r="P28" s="196">
        <f>P26*'R&amp;S - Packaging and hh goods'!$C$8*('R&amp;S - Packaging and hh goods'!$B$15*('R&amp;S - Packaging and hh goods'!$C$19+('R&amp;S - Packaging and hh goods'!$C$20-'R&amp;S - Packaging and hh goods'!$C$19)*('Yearly LC Ethylene'!P$3-'Yearly LC Ethylene'!$N$3)/10))</f>
        <v>21659.86730134768</v>
      </c>
      <c r="Q28" s="196">
        <f>Q26*'R&amp;S - Packaging and hh goods'!$C$8*('R&amp;S - Packaging and hh goods'!$B$15*('R&amp;S - Packaging and hh goods'!$C$19+('R&amp;S - Packaging and hh goods'!$C$20-'R&amp;S - Packaging and hh goods'!$C$19)*('Yearly LC Ethylene'!Q$3-'Yearly LC Ethylene'!$N$3)/10))</f>
        <v>24698.481778874873</v>
      </c>
      <c r="R28" s="196">
        <f>R26*'R&amp;S - Packaging and hh goods'!$C$8*('R&amp;S - Packaging and hh goods'!$B$15*('R&amp;S - Packaging and hh goods'!$C$19+('R&amp;S - Packaging and hh goods'!$C$20-'R&amp;S - Packaging and hh goods'!$C$19)*('Yearly LC Ethylene'!R$3-'Yearly LC Ethylene'!$N$3)/10))</f>
        <v>27737.096256402063</v>
      </c>
      <c r="S28" s="196">
        <f>S26*'R&amp;S - Packaging and hh goods'!$C$8*('R&amp;S - Packaging and hh goods'!$B$15*('R&amp;S - Packaging and hh goods'!$C$19+('R&amp;S - Packaging and hh goods'!$C$20-'R&amp;S - Packaging and hh goods'!$C$19)*('Yearly LC Ethylene'!S$3-'Yearly LC Ethylene'!$N$3)/10))</f>
        <v>30775.710733929256</v>
      </c>
      <c r="T28" s="196">
        <f>T26*'R&amp;S - Packaging and hh goods'!$C$8*('R&amp;S - Packaging and hh goods'!$B$15*('R&amp;S - Packaging and hh goods'!$C$19+('R&amp;S - Packaging and hh goods'!$C$20-'R&amp;S - Packaging and hh goods'!$C$19)*('Yearly LC Ethylene'!T$3-'Yearly LC Ethylene'!$N$3)/10))</f>
        <v>33814.325211456446</v>
      </c>
      <c r="U28" s="196">
        <f>U26*'R&amp;S - Packaging and hh goods'!$C$8*('R&amp;S - Packaging and hh goods'!$B$15*('R&amp;S - Packaging and hh goods'!$C$19+('R&amp;S - Packaging and hh goods'!$C$20-'R&amp;S - Packaging and hh goods'!$C$19)*('Yearly LC Ethylene'!U$3-'Yearly LC Ethylene'!$N$3)/10))</f>
        <v>36852.939688983643</v>
      </c>
      <c r="V28" s="196">
        <f>V26*'R&amp;S - Packaging and hh goods'!$C$8*('R&amp;S - Packaging and hh goods'!$B$15*('R&amp;S - Packaging and hh goods'!$C$19+('R&amp;S - Packaging and hh goods'!$C$20-'R&amp;S - Packaging and hh goods'!$C$19)*('Yearly LC Ethylene'!V$3-'Yearly LC Ethylene'!$N$3)/10))</f>
        <v>39891.554166510832</v>
      </c>
      <c r="W28" s="196">
        <f>W26*'R&amp;S - Packaging and hh goods'!$C$8*('R&amp;S - Packaging and hh goods'!$B$15*('R&amp;S - Packaging and hh goods'!$C$19+('R&amp;S - Packaging and hh goods'!$C$20-'R&amp;S - Packaging and hh goods'!$C$19)*('Yearly LC Ethylene'!W$3-'Yearly LC Ethylene'!$N$3)/10))</f>
        <v>42930.168644038022</v>
      </c>
      <c r="X28" s="196">
        <f>X26*'R&amp;S - Packaging and hh goods'!$C$8*('R&amp;S - Packaging and hh goods'!$B$15*('R&amp;S - Packaging and hh goods'!$C$19+('R&amp;S - Packaging and hh goods'!$C$20-'R&amp;S - Packaging and hh goods'!$C$19)*('Yearly LC Ethylene'!X$3-'Yearly LC Ethylene'!$N$3)/10))</f>
        <v>45968.783121565219</v>
      </c>
      <c r="Y28" s="196">
        <f>Y26*'R&amp;S - Packaging and hh goods'!$C$8*('R&amp;S - Packaging and hh goods'!$B$15*('R&amp;S - Packaging and hh goods'!$C$20+('R&amp;S - Packaging and hh goods'!$C$21-'R&amp;S - Packaging and hh goods'!$C$20)*('Yearly LC Ethylene'!Y$3-'Yearly LC Ethylene'!$X$3)/10))</f>
        <v>49163.223982555348</v>
      </c>
      <c r="Z28" s="196">
        <f>Z26*'R&amp;S - Packaging and hh goods'!$C$8*('R&amp;S - Packaging and hh goods'!$B$15*('R&amp;S - Packaging and hh goods'!$C$20+('R&amp;S - Packaging and hh goods'!$C$21-'R&amp;S - Packaging and hh goods'!$C$20)*('Yearly LC Ethylene'!Z$3-'Yearly LC Ethylene'!$X$3)/10))</f>
        <v>52357.664843545463</v>
      </c>
      <c r="AA28" s="196">
        <f>AA26*'R&amp;S - Packaging and hh goods'!$C$8*('R&amp;S - Packaging and hh goods'!$B$15*('R&amp;S - Packaging and hh goods'!$C$20+('R&amp;S - Packaging and hh goods'!$C$21-'R&amp;S - Packaging and hh goods'!$C$20)*('Yearly LC Ethylene'!AA$3-'Yearly LC Ethylene'!$X$3)/10))</f>
        <v>55552.105704535592</v>
      </c>
      <c r="AB28" s="196">
        <f>AB26*'R&amp;S - Packaging and hh goods'!$C$8*('R&amp;S - Packaging and hh goods'!$B$15*('R&amp;S - Packaging and hh goods'!$C$20+('R&amp;S - Packaging and hh goods'!$C$21-'R&amp;S - Packaging and hh goods'!$C$20)*('Yearly LC Ethylene'!AB$3-'Yearly LC Ethylene'!$X$3)/10))</f>
        <v>58746.546565525721</v>
      </c>
      <c r="AC28" s="196">
        <f>AC26*'R&amp;S - Packaging and hh goods'!$C$8*('R&amp;S - Packaging and hh goods'!$B$15*('R&amp;S - Packaging and hh goods'!$C$20+('R&amp;S - Packaging and hh goods'!$C$21-'R&amp;S - Packaging and hh goods'!$C$20)*('Yearly LC Ethylene'!AC$3-'Yearly LC Ethylene'!$X$3)/10))</f>
        <v>61940.987426515836</v>
      </c>
      <c r="AD28" s="196">
        <f>AD26*'R&amp;S - Packaging and hh goods'!$C$8*('R&amp;S - Packaging and hh goods'!$B$15*('R&amp;S - Packaging and hh goods'!$C$20+('R&amp;S - Packaging and hh goods'!$C$21-'R&amp;S - Packaging and hh goods'!$C$20)*('Yearly LC Ethylene'!AD$3-'Yearly LC Ethylene'!$X$3)/10))</f>
        <v>65135.428287505965</v>
      </c>
      <c r="AE28" s="196">
        <f>AE26*'R&amp;S - Packaging and hh goods'!$C$8*('R&amp;S - Packaging and hh goods'!$B$15*('R&amp;S - Packaging and hh goods'!$C$20+('R&amp;S - Packaging and hh goods'!$C$21-'R&amp;S - Packaging and hh goods'!$C$20)*('Yearly LC Ethylene'!AE$3-'Yearly LC Ethylene'!$X$3)/10))</f>
        <v>68329.869148496087</v>
      </c>
      <c r="AF28" s="196">
        <f>AF26*'R&amp;S - Packaging and hh goods'!$C$8*('R&amp;S - Packaging and hh goods'!$B$15*('R&amp;S - Packaging and hh goods'!$C$20+('R&amp;S - Packaging and hh goods'!$C$21-'R&amp;S - Packaging and hh goods'!$C$20)*('Yearly LC Ethylene'!AF$3-'Yearly LC Ethylene'!$X$3)/10))</f>
        <v>71524.310009486217</v>
      </c>
      <c r="AG28" s="196">
        <f>AG26*'R&amp;S - Packaging and hh goods'!$C$8*('R&amp;S - Packaging and hh goods'!$B$15*('R&amp;S - Packaging and hh goods'!$C$20+('R&amp;S - Packaging and hh goods'!$C$21-'R&amp;S - Packaging and hh goods'!$C$20)*('Yearly LC Ethylene'!AG$3-'Yearly LC Ethylene'!$X$3)/10))</f>
        <v>74718.750870476346</v>
      </c>
      <c r="AH28" s="196">
        <f>AH26*'R&amp;S - Packaging and hh goods'!$C$8*('R&amp;S - Packaging and hh goods'!$B$15*('R&amp;S - Packaging and hh goods'!$C$20+('R&amp;S - Packaging and hh goods'!$C$21-'R&amp;S - Packaging and hh goods'!$C$20)*('Yearly LC Ethylene'!AH$3-'Yearly LC Ethylene'!$X$3)/10))</f>
        <v>77913.191731466475</v>
      </c>
    </row>
    <row r="29" spans="1:42" outlineLevel="1">
      <c r="B29" s="1" t="s">
        <v>164</v>
      </c>
      <c r="C29" s="51" t="s">
        <v>166</v>
      </c>
      <c r="D29" s="101">
        <f>SUM(D27:D28)</f>
        <v>0</v>
      </c>
      <c r="E29" s="101">
        <f t="shared" ref="E29:AG29" si="6">SUM(E27:E28)</f>
        <v>1827.2244417023369</v>
      </c>
      <c r="F29" s="101">
        <f t="shared" si="6"/>
        <v>3654.4488834046738</v>
      </c>
      <c r="G29" s="101">
        <f t="shared" si="6"/>
        <v>5481.67332510701</v>
      </c>
      <c r="H29" s="101">
        <f t="shared" si="6"/>
        <v>7308.8977668093476</v>
      </c>
      <c r="I29" s="101">
        <f t="shared" si="6"/>
        <v>9136.1222085116842</v>
      </c>
      <c r="J29" s="101">
        <f t="shared" si="6"/>
        <v>10963.34665021402</v>
      </c>
      <c r="K29" s="101">
        <f t="shared" si="6"/>
        <v>12790.571091916359</v>
      </c>
      <c r="L29" s="101">
        <f t="shared" si="6"/>
        <v>14617.795533618695</v>
      </c>
      <c r="M29" s="101">
        <f t="shared" si="6"/>
        <v>16445.019975321033</v>
      </c>
      <c r="N29" s="101">
        <f t="shared" si="6"/>
        <v>18272.244417023368</v>
      </c>
      <c r="O29" s="101">
        <f t="shared" si="6"/>
        <v>22857.382385220357</v>
      </c>
      <c r="P29" s="101">
        <f t="shared" si="6"/>
        <v>27442.520353417342</v>
      </c>
      <c r="Q29" s="101">
        <f t="shared" si="6"/>
        <v>32027.65832161433</v>
      </c>
      <c r="R29" s="101">
        <f t="shared" si="6"/>
        <v>36612.796289811311</v>
      </c>
      <c r="S29" s="101">
        <f t="shared" si="6"/>
        <v>41197.934258008303</v>
      </c>
      <c r="T29" s="101">
        <f t="shared" si="6"/>
        <v>45783.07222620528</v>
      </c>
      <c r="U29" s="101">
        <f t="shared" si="6"/>
        <v>50368.210194402272</v>
      </c>
      <c r="V29" s="101">
        <f t="shared" si="6"/>
        <v>54953.348162599257</v>
      </c>
      <c r="W29" s="101">
        <f t="shared" si="6"/>
        <v>59538.486130796242</v>
      </c>
      <c r="X29" s="101">
        <f t="shared" si="6"/>
        <v>64123.624098993227</v>
      </c>
      <c r="Y29" s="101">
        <f t="shared" si="6"/>
        <v>68864.588450653158</v>
      </c>
      <c r="Z29" s="101">
        <f t="shared" si="6"/>
        <v>73605.552802313061</v>
      </c>
      <c r="AA29" s="101">
        <f t="shared" si="6"/>
        <v>78346.517153972993</v>
      </c>
      <c r="AB29" s="101">
        <f t="shared" si="6"/>
        <v>83087.48150563291</v>
      </c>
      <c r="AC29" s="101">
        <f t="shared" si="6"/>
        <v>87828.445857292812</v>
      </c>
      <c r="AD29" s="101">
        <f t="shared" si="6"/>
        <v>92569.41020895273</v>
      </c>
      <c r="AE29" s="101">
        <f t="shared" si="6"/>
        <v>97310.374560612647</v>
      </c>
      <c r="AF29" s="101">
        <f t="shared" si="6"/>
        <v>102051.33891227256</v>
      </c>
      <c r="AG29" s="101">
        <f t="shared" si="6"/>
        <v>106792.3032639325</v>
      </c>
      <c r="AH29" s="101">
        <f>SUM(AH27:AH28)</f>
        <v>111533.26761559243</v>
      </c>
    </row>
    <row r="30" spans="1:42" outlineLevel="1">
      <c r="B30" s="58" t="s">
        <v>189</v>
      </c>
      <c r="C30" s="51" t="s">
        <v>166</v>
      </c>
      <c r="D30" s="196">
        <v>0</v>
      </c>
      <c r="E30" s="196">
        <f>E26*'R&amp;S - Packaging and hh goods'!$C$9*('R&amp;S - Packaging and hh goods'!$C$15*'R&amp;S - Packaging and hh goods'!$D$19*('Yearly LC Ethylene'!E$3-'Yearly LC Ethylene'!$D$3)/10)</f>
        <v>809.34815883214389</v>
      </c>
      <c r="F30" s="196">
        <f>F26*'R&amp;S - Packaging and hh goods'!$C$9*('R&amp;S - Packaging and hh goods'!$C$15*'R&amp;S - Packaging and hh goods'!$D$19*('Yearly LC Ethylene'!F$3-'Yearly LC Ethylene'!$D$3)/10)</f>
        <v>1618.6963176642878</v>
      </c>
      <c r="G30" s="196">
        <f>G26*'R&amp;S - Packaging and hh goods'!$C$9*('R&amp;S - Packaging and hh goods'!$C$15*'R&amp;S - Packaging and hh goods'!$D$19*('Yearly LC Ethylene'!G$3-'Yearly LC Ethylene'!$D$3)/10)</f>
        <v>2428.0444764964318</v>
      </c>
      <c r="H30" s="196">
        <f>H26*'R&amp;S - Packaging and hh goods'!$C$9*('R&amp;S - Packaging and hh goods'!$C$15*'R&amp;S - Packaging and hh goods'!$D$19*('Yearly LC Ethylene'!H$3-'Yearly LC Ethylene'!$D$3)/10)</f>
        <v>3237.3926353285756</v>
      </c>
      <c r="I30" s="196">
        <f>I26*'R&amp;S - Packaging and hh goods'!$C$9*('R&amp;S - Packaging and hh goods'!$C$15*'R&amp;S - Packaging and hh goods'!$D$19*('Yearly LC Ethylene'!I$3-'Yearly LC Ethylene'!$D$3)/10)</f>
        <v>4046.7407941607189</v>
      </c>
      <c r="J30" s="196">
        <f>J26*'R&amp;S - Packaging and hh goods'!$C$9*('R&amp;S - Packaging and hh goods'!$C$15*'R&amp;S - Packaging and hh goods'!$D$19*('Yearly LC Ethylene'!J$3-'Yearly LC Ethylene'!$D$3)/10)</f>
        <v>4856.0889529928636</v>
      </c>
      <c r="K30" s="196">
        <f>K26*'R&amp;S - Packaging and hh goods'!$C$9*('R&amp;S - Packaging and hh goods'!$C$15*'R&amp;S - Packaging and hh goods'!$D$19*('Yearly LC Ethylene'!K$3-'Yearly LC Ethylene'!$D$3)/10)</f>
        <v>5665.4371118250065</v>
      </c>
      <c r="L30" s="196">
        <f>L26*'R&amp;S - Packaging and hh goods'!$C$9*('R&amp;S - Packaging and hh goods'!$C$15*'R&amp;S - Packaging and hh goods'!$D$19*('Yearly LC Ethylene'!L$3-'Yearly LC Ethylene'!$D$3)/10)</f>
        <v>6474.7852706571512</v>
      </c>
      <c r="M30" s="196">
        <f>M26*'R&amp;S - Packaging and hh goods'!$C$9*('R&amp;S - Packaging and hh goods'!$C$15*'R&amp;S - Packaging and hh goods'!$D$19*('Yearly LC Ethylene'!M$3-'Yearly LC Ethylene'!$D$3)/10)</f>
        <v>7284.1334294892949</v>
      </c>
      <c r="N30" s="196">
        <f>N26*'R&amp;S - Packaging and hh goods'!$C$9*('R&amp;S - Packaging and hh goods'!$C$15*'R&amp;S - Packaging and hh goods'!$D$19*('Yearly LC Ethylene'!N$3-'Yearly LC Ethylene'!$D$3)/10)</f>
        <v>8093.4815883214378</v>
      </c>
      <c r="O30" s="196">
        <f>O26*'R&amp;S - Packaging and hh goods'!$C$9*('R&amp;S - Packaging and hh goods'!$C$15*'R&amp;S - Packaging and hh goods'!$D$19*('Yearly LC Ethylene'!O$3-'Yearly LC Ethylene'!$D$3)/10)</f>
        <v>8902.8297471535825</v>
      </c>
      <c r="P30" s="196">
        <f>P26*'R&amp;S - Packaging and hh goods'!$C$9*('R&amp;S - Packaging and hh goods'!$C$15*'R&amp;S - Packaging and hh goods'!$D$19*('Yearly LC Ethylene'!P$3-'Yearly LC Ethylene'!$D$3)/10)</f>
        <v>9712.1779059857272</v>
      </c>
      <c r="Q30" s="196">
        <f>Q26*'R&amp;S - Packaging and hh goods'!$C$9*('R&amp;S - Packaging and hh goods'!$C$15*'R&amp;S - Packaging and hh goods'!$D$19*('Yearly LC Ethylene'!Q$3-'Yearly LC Ethylene'!$D$3)/10)</f>
        <v>10521.52606481787</v>
      </c>
      <c r="R30" s="196">
        <f>R26*'R&amp;S - Packaging and hh goods'!$C$9*('R&amp;S - Packaging and hh goods'!$C$15*'R&amp;S - Packaging and hh goods'!$D$19*('Yearly LC Ethylene'!R$3-'Yearly LC Ethylene'!$D$3)/10)</f>
        <v>11330.874223650013</v>
      </c>
      <c r="S30" s="196">
        <f>S26*'R&amp;S - Packaging and hh goods'!$C$9*('R&amp;S - Packaging and hh goods'!$C$15*'R&amp;S - Packaging and hh goods'!$D$19*('Yearly LC Ethylene'!S$3-'Yearly LC Ethylene'!$D$3)/10)</f>
        <v>12140.222382482158</v>
      </c>
      <c r="T30" s="196">
        <f>T26*'R&amp;S - Packaging and hh goods'!$C$9*('R&amp;S - Packaging and hh goods'!$C$15*'R&amp;S - Packaging and hh goods'!$D$19*('Yearly LC Ethylene'!T$3-'Yearly LC Ethylene'!$D$3)/10)</f>
        <v>12949.570541314302</v>
      </c>
      <c r="U30" s="196">
        <f>U26*'R&amp;S - Packaging and hh goods'!$C$9*('R&amp;S - Packaging and hh goods'!$C$15*'R&amp;S - Packaging and hh goods'!$D$19*('Yearly LC Ethylene'!U$3-'Yearly LC Ethylene'!$D$3)/10)</f>
        <v>13758.918700146445</v>
      </c>
      <c r="V30" s="196">
        <f>V26*'R&amp;S - Packaging and hh goods'!$C$9*('R&amp;S - Packaging and hh goods'!$C$15*'R&amp;S - Packaging and hh goods'!$D$19*('Yearly LC Ethylene'!V$3-'Yearly LC Ethylene'!$D$3)/10)</f>
        <v>14568.26685897859</v>
      </c>
      <c r="W30" s="196">
        <f>W26*'R&amp;S - Packaging and hh goods'!$C$9*('R&amp;S - Packaging and hh goods'!$C$15*'R&amp;S - Packaging and hh goods'!$D$19*('Yearly LC Ethylene'!W$3-'Yearly LC Ethylene'!$D$3)/10)</f>
        <v>15377.615017810735</v>
      </c>
      <c r="X30" s="196">
        <f>X26*'R&amp;S - Packaging and hh goods'!$C$9*('R&amp;S - Packaging and hh goods'!$C$15*'R&amp;S - Packaging and hh goods'!$D$19*('Yearly LC Ethylene'!X$3-'Yearly LC Ethylene'!$D$3)/10)</f>
        <v>16186.963176642876</v>
      </c>
      <c r="Y30" s="196">
        <f>Y26*'R&amp;S - Packaging and hh goods'!$C$9*('R&amp;S - Packaging and hh goods'!$C$15*('R&amp;S - Packaging and hh goods'!$D$20+('R&amp;S - Packaging and hh goods'!$D$21-'R&amp;S - Packaging and hh goods'!$D$20)*('Yearly LC Ethylene'!Y$3-'Yearly LC Ethylene'!$X$3)/10))</f>
        <v>19208.529636282881</v>
      </c>
      <c r="Z30" s="196">
        <f>Z26*'R&amp;S - Packaging and hh goods'!$C$9*('R&amp;S - Packaging and hh goods'!$C$15*('R&amp;S - Packaging and hh goods'!$D$20+('R&amp;S - Packaging and hh goods'!$D$21-'R&amp;S - Packaging and hh goods'!$D$20)*('Yearly LC Ethylene'!Z$3-'Yearly LC Ethylene'!$X$3)/10))</f>
        <v>20071.834339037167</v>
      </c>
      <c r="AA30" s="196">
        <f>AA26*'R&amp;S - Packaging and hh goods'!$C$9*('R&amp;S - Packaging and hh goods'!$C$15*('R&amp;S - Packaging and hh goods'!$D$20+('R&amp;S - Packaging and hh goods'!$D$21-'R&amp;S - Packaging and hh goods'!$D$20)*('Yearly LC Ethylene'!AA$3-'Yearly LC Ethylene'!$X$3)/10))</f>
        <v>20935.139041791455</v>
      </c>
      <c r="AB30" s="196">
        <f>AB26*'R&amp;S - Packaging and hh goods'!$C$9*('R&amp;S - Packaging and hh goods'!$C$15*('R&amp;S - Packaging and hh goods'!$D$20+('R&amp;S - Packaging and hh goods'!$D$21-'R&amp;S - Packaging and hh goods'!$D$20)*('Yearly LC Ethylene'!AB$3-'Yearly LC Ethylene'!$X$3)/10))</f>
        <v>21798.443744545741</v>
      </c>
      <c r="AC30" s="196">
        <f>AC26*'R&amp;S - Packaging and hh goods'!$C$9*('R&amp;S - Packaging and hh goods'!$C$15*('R&amp;S - Packaging and hh goods'!$D$20+('R&amp;S - Packaging and hh goods'!$D$21-'R&amp;S - Packaging and hh goods'!$D$20)*('Yearly LC Ethylene'!AC$3-'Yearly LC Ethylene'!$X$3)/10))</f>
        <v>22661.74844730003</v>
      </c>
      <c r="AD30" s="196">
        <f>AD26*'R&amp;S - Packaging and hh goods'!$C$9*('R&amp;S - Packaging and hh goods'!$C$15*('R&amp;S - Packaging and hh goods'!$D$20+('R&amp;S - Packaging and hh goods'!$D$21-'R&amp;S - Packaging and hh goods'!$D$20)*('Yearly LC Ethylene'!AD$3-'Yearly LC Ethylene'!$X$3)/10))</f>
        <v>23525.053150054311</v>
      </c>
      <c r="AE30" s="196">
        <f>AE26*'R&amp;S - Packaging and hh goods'!$C$9*('R&amp;S - Packaging and hh goods'!$C$15*('R&amp;S - Packaging and hh goods'!$D$20+('R&amp;S - Packaging and hh goods'!$D$21-'R&amp;S - Packaging and hh goods'!$D$20)*('Yearly LC Ethylene'!AE$3-'Yearly LC Ethylene'!$X$3)/10))</f>
        <v>24388.3578528086</v>
      </c>
      <c r="AF30" s="196">
        <f>AF26*'R&amp;S - Packaging and hh goods'!$C$9*('R&amp;S - Packaging and hh goods'!$C$15*('R&amp;S - Packaging and hh goods'!$D$20+('R&amp;S - Packaging and hh goods'!$D$21-'R&amp;S - Packaging and hh goods'!$D$20)*('Yearly LC Ethylene'!AF$3-'Yearly LC Ethylene'!$X$3)/10))</f>
        <v>25251.662555562885</v>
      </c>
      <c r="AG30" s="196">
        <f>AG26*'R&amp;S - Packaging and hh goods'!$C$9*('R&amp;S - Packaging and hh goods'!$C$15*('R&amp;S - Packaging and hh goods'!$D$20+('R&amp;S - Packaging and hh goods'!$D$21-'R&amp;S - Packaging and hh goods'!$D$20)*('Yearly LC Ethylene'!AG$3-'Yearly LC Ethylene'!$X$3)/10))</f>
        <v>26114.967258317174</v>
      </c>
      <c r="AH30" s="196">
        <f>AH26*'R&amp;S - Packaging and hh goods'!$C$9*('R&amp;S - Packaging and hh goods'!$C$15*('R&amp;S - Packaging and hh goods'!$D$20+('R&amp;S - Packaging and hh goods'!$D$21-'R&amp;S - Packaging and hh goods'!$D$20)*('Yearly LC Ethylene'!AH$3-'Yearly LC Ethylene'!$X$3)/10))</f>
        <v>26978.271961071459</v>
      </c>
    </row>
    <row r="31" spans="1:42" outlineLevel="1">
      <c r="B31" s="58" t="s">
        <v>180</v>
      </c>
      <c r="C31" s="51" t="s">
        <v>166</v>
      </c>
      <c r="D31" s="196">
        <v>0</v>
      </c>
      <c r="E31" s="196">
        <f>E26*'R&amp;S - Packaging and hh goods'!$C$10*('R&amp;S - Packaging and hh goods'!$C$15*'R&amp;S - Packaging and hh goods'!$E$19*('Yearly LC Ethylene'!E$3-'Yearly LC Ethylene'!$D$3)/10)</f>
        <v>1214.649639921729</v>
      </c>
      <c r="F31" s="196">
        <f>F26*'R&amp;S - Packaging and hh goods'!$C$10*('R&amp;S - Packaging and hh goods'!$C$15*'R&amp;S - Packaging and hh goods'!$E$19*('Yearly LC Ethylene'!F$3-'Yearly LC Ethylene'!$D$3)/10)</f>
        <v>2429.299279843458</v>
      </c>
      <c r="G31" s="196">
        <f>G26*'R&amp;S - Packaging and hh goods'!$C$10*('R&amp;S - Packaging and hh goods'!$C$15*'R&amp;S - Packaging and hh goods'!$E$19*('Yearly LC Ethylene'!G$3-'Yearly LC Ethylene'!$D$3)/10)</f>
        <v>3643.9489197651874</v>
      </c>
      <c r="H31" s="196">
        <f>H26*'R&amp;S - Packaging and hh goods'!$C$10*('R&amp;S - Packaging and hh goods'!$C$15*'R&amp;S - Packaging and hh goods'!$E$19*('Yearly LC Ethylene'!H$3-'Yearly LC Ethylene'!$D$3)/10)</f>
        <v>4858.5985596869159</v>
      </c>
      <c r="I31" s="196">
        <f>I26*'R&amp;S - Packaging and hh goods'!$C$10*('R&amp;S - Packaging and hh goods'!$C$15*'R&amp;S - Packaging and hh goods'!$E$19*('Yearly LC Ethylene'!I$3-'Yearly LC Ethylene'!$D$3)/10)</f>
        <v>6073.2481996086453</v>
      </c>
      <c r="J31" s="196">
        <f>J26*'R&amp;S - Packaging and hh goods'!$C$10*('R&amp;S - Packaging and hh goods'!$C$15*'R&amp;S - Packaging and hh goods'!$E$19*('Yearly LC Ethylene'!J$3-'Yearly LC Ethylene'!$D$3)/10)</f>
        <v>7287.8978395303748</v>
      </c>
      <c r="K31" s="196">
        <f>K26*'R&amp;S - Packaging and hh goods'!$C$10*('R&amp;S - Packaging and hh goods'!$C$15*'R&amp;S - Packaging and hh goods'!$E$19*('Yearly LC Ethylene'!K$3-'Yearly LC Ethylene'!$D$3)/10)</f>
        <v>8502.5474794521033</v>
      </c>
      <c r="L31" s="196">
        <f>L26*'R&amp;S - Packaging and hh goods'!$C$10*('R&amp;S - Packaging and hh goods'!$C$15*'R&amp;S - Packaging and hh goods'!$E$19*('Yearly LC Ethylene'!L$3-'Yearly LC Ethylene'!$D$3)/10)</f>
        <v>9717.1971193738318</v>
      </c>
      <c r="M31" s="196">
        <f>M26*'R&amp;S - Packaging and hh goods'!$C$10*('R&amp;S - Packaging and hh goods'!$C$15*'R&amp;S - Packaging and hh goods'!$E$19*('Yearly LC Ethylene'!M$3-'Yearly LC Ethylene'!$D$3)/10)</f>
        <v>10931.846759295562</v>
      </c>
      <c r="N31" s="196">
        <f>N26*'R&amp;S - Packaging and hh goods'!$C$10*('R&amp;S - Packaging and hh goods'!$C$15*'R&amp;S - Packaging and hh goods'!$E$19*('Yearly LC Ethylene'!N$3-'Yearly LC Ethylene'!$D$3)/10)</f>
        <v>12146.496399217291</v>
      </c>
      <c r="O31" s="196">
        <f>O26*'R&amp;S - Packaging and hh goods'!$C$10*('R&amp;S - Packaging and hh goods'!$C$15*'R&amp;S - Packaging and hh goods'!$E$19*('Yearly LC Ethylene'!O$3-'Yearly LC Ethylene'!$D$3)/10)</f>
        <v>13361.146039139019</v>
      </c>
      <c r="P31" s="196">
        <f>P26*'R&amp;S - Packaging and hh goods'!$C$10*('R&amp;S - Packaging and hh goods'!$C$15*('R&amp;S - Packaging and hh goods'!$E$19+('R&amp;S - Packaging and hh goods'!$E$20-'R&amp;S - Packaging and hh goods'!$E$19)*('Yearly LC Ethylene'!P$3-'Yearly LC Ethylene'!$O$3)/10))</f>
        <v>13475.019442881681</v>
      </c>
      <c r="Q31" s="196">
        <f>Q26*'R&amp;S - Packaging and hh goods'!$C$10*('R&amp;S - Packaging and hh goods'!$C$15*('R&amp;S - Packaging and hh goods'!$E$19+('R&amp;S - Packaging and hh goods'!$E$20-'R&amp;S - Packaging and hh goods'!$E$19)*('Yearly LC Ethylene'!Q$3-'Yearly LC Ethylene'!$O$3)/10))</f>
        <v>14803.542486546074</v>
      </c>
      <c r="R31" s="196">
        <f>R26*'R&amp;S - Packaging and hh goods'!$C$10*('R&amp;S - Packaging and hh goods'!$C$15*('R&amp;S - Packaging and hh goods'!$E$19+('R&amp;S - Packaging and hh goods'!$E$20-'R&amp;S - Packaging and hh goods'!$E$19)*('Yearly LC Ethylene'!R$3-'Yearly LC Ethylene'!$O$3)/10))</f>
        <v>16132.065530210466</v>
      </c>
      <c r="S31" s="196">
        <f>S26*'R&amp;S - Packaging and hh goods'!$C$10*('R&amp;S - Packaging and hh goods'!$C$15*('R&amp;S - Packaging and hh goods'!$E$19+('R&amp;S - Packaging and hh goods'!$E$20-'R&amp;S - Packaging and hh goods'!$E$19)*('Yearly LC Ethylene'!S$3-'Yearly LC Ethylene'!$O$3)/10))</f>
        <v>17460.588573874855</v>
      </c>
      <c r="T31" s="196">
        <f>T26*'R&amp;S - Packaging and hh goods'!$C$10*('R&amp;S - Packaging and hh goods'!$C$15*('R&amp;S - Packaging and hh goods'!$E$19+('R&amp;S - Packaging and hh goods'!$E$20-'R&amp;S - Packaging and hh goods'!$E$19)*('Yearly LC Ethylene'!T$3-'Yearly LC Ethylene'!$O$3)/10))</f>
        <v>18789.111617539245</v>
      </c>
      <c r="U31" s="196">
        <f>U26*'R&amp;S - Packaging and hh goods'!$C$10*('R&amp;S - Packaging and hh goods'!$C$15*('R&amp;S - Packaging and hh goods'!$E$19+('R&amp;S - Packaging and hh goods'!$E$20-'R&amp;S - Packaging and hh goods'!$E$19)*('Yearly LC Ethylene'!U$3-'Yearly LC Ethylene'!$O$3)/10))</f>
        <v>20117.63466120364</v>
      </c>
      <c r="V31" s="196">
        <f>V26*'R&amp;S - Packaging and hh goods'!$C$10*('R&amp;S - Packaging and hh goods'!$C$15*('R&amp;S - Packaging and hh goods'!$E$19+('R&amp;S - Packaging and hh goods'!$E$20-'R&amp;S - Packaging and hh goods'!$E$19)*('Yearly LC Ethylene'!V$3-'Yearly LC Ethylene'!$O$3)/10))</f>
        <v>21446.157704868034</v>
      </c>
      <c r="W31" s="196">
        <f>W26*'R&amp;S - Packaging and hh goods'!$C$10*('R&amp;S - Packaging and hh goods'!$C$15*('R&amp;S - Packaging and hh goods'!$E$19+('R&amp;S - Packaging and hh goods'!$E$20-'R&amp;S - Packaging and hh goods'!$E$19)*('Yearly LC Ethylene'!W$3-'Yearly LC Ethylene'!$O$3)/10))</f>
        <v>22774.680748532421</v>
      </c>
      <c r="X31" s="196">
        <f>X26*'R&amp;S - Packaging and hh goods'!$C$10*('R&amp;S - Packaging and hh goods'!$C$15*('R&amp;S - Packaging and hh goods'!$E$19+('R&amp;S - Packaging and hh goods'!$E$20-'R&amp;S - Packaging and hh goods'!$E$19)*('Yearly LC Ethylene'!X$3-'Yearly LC Ethylene'!$O$3)/10))</f>
        <v>24103.203792196811</v>
      </c>
      <c r="Y31" s="196">
        <f>Y26*'R&amp;S - Packaging and hh goods'!$C$10*('R&amp;S - Packaging and hh goods'!$C$15*('R&amp;S - Packaging and hh goods'!$E$20+('R&amp;S - Packaging and hh goods'!$E$21-'R&amp;S - Packaging and hh goods'!$E$20)*('Yearly LC Ethylene'!Y$3-'Yearly LC Ethylene'!$X$3)/10))</f>
        <v>26684.334277030492</v>
      </c>
      <c r="Z31" s="196">
        <f>Z26*'R&amp;S - Packaging and hh goods'!$C$10*('R&amp;S - Packaging and hh goods'!$C$15*('R&amp;S - Packaging and hh goods'!$E$20+('R&amp;S - Packaging and hh goods'!$E$21-'R&amp;S - Packaging and hh goods'!$E$20)*('Yearly LC Ethylene'!Z$3-'Yearly LC Ethylene'!$X$3)/10))</f>
        <v>27936.941718199771</v>
      </c>
      <c r="AA31" s="196">
        <f>AA26*'R&amp;S - Packaging and hh goods'!$C$10*('R&amp;S - Packaging and hh goods'!$C$15*('R&amp;S - Packaging and hh goods'!$E$20+('R&amp;S - Packaging and hh goods'!$E$21-'R&amp;S - Packaging and hh goods'!$E$20)*('Yearly LC Ethylene'!AA$3-'Yearly LC Ethylene'!$X$3)/10))</f>
        <v>29189.549159369053</v>
      </c>
      <c r="AB31" s="196">
        <f>AB26*'R&amp;S - Packaging and hh goods'!$C$10*('R&amp;S - Packaging and hh goods'!$C$15*('R&amp;S - Packaging and hh goods'!$E$20+('R&amp;S - Packaging and hh goods'!$E$21-'R&amp;S - Packaging and hh goods'!$E$20)*('Yearly LC Ethylene'!AB$3-'Yearly LC Ethylene'!$X$3)/10))</f>
        <v>30442.156600538339</v>
      </c>
      <c r="AC31" s="196">
        <f>AC26*'R&amp;S - Packaging and hh goods'!$C$10*('R&amp;S - Packaging and hh goods'!$C$15*('R&amp;S - Packaging and hh goods'!$E$20+('R&amp;S - Packaging and hh goods'!$E$21-'R&amp;S - Packaging and hh goods'!$E$20)*('Yearly LC Ethylene'!AC$3-'Yearly LC Ethylene'!$X$3)/10))</f>
        <v>31694.764041707618</v>
      </c>
      <c r="AD31" s="196">
        <f>AD26*'R&amp;S - Packaging and hh goods'!$C$10*('R&amp;S - Packaging and hh goods'!$C$15*('R&amp;S - Packaging and hh goods'!$E$20+('R&amp;S - Packaging and hh goods'!$E$21-'R&amp;S - Packaging and hh goods'!$E$20)*('Yearly LC Ethylene'!AD$3-'Yearly LC Ethylene'!$X$3)/10))</f>
        <v>32947.371482876901</v>
      </c>
      <c r="AE31" s="196">
        <f>AE26*'R&amp;S - Packaging and hh goods'!$C$10*('R&amp;S - Packaging and hh goods'!$C$15*('R&amp;S - Packaging and hh goods'!$E$20+('R&amp;S - Packaging and hh goods'!$E$21-'R&amp;S - Packaging and hh goods'!$E$20)*('Yearly LC Ethylene'!AE$3-'Yearly LC Ethylene'!$X$3)/10))</f>
        <v>34199.978924046191</v>
      </c>
      <c r="AF31" s="196">
        <f>AF26*'R&amp;S - Packaging and hh goods'!$C$10*('R&amp;S - Packaging and hh goods'!$C$15*('R&amp;S - Packaging and hh goods'!$E$20+('R&amp;S - Packaging and hh goods'!$E$21-'R&amp;S - Packaging and hh goods'!$E$20)*('Yearly LC Ethylene'!AF$3-'Yearly LC Ethylene'!$X$3)/10))</f>
        <v>35452.586365215466</v>
      </c>
      <c r="AG31" s="196">
        <f>AG26*'R&amp;S - Packaging and hh goods'!$C$10*('R&amp;S - Packaging and hh goods'!$C$15*('R&amp;S - Packaging and hh goods'!$E$20+('R&amp;S - Packaging and hh goods'!$E$21-'R&amp;S - Packaging and hh goods'!$E$20)*('Yearly LC Ethylene'!AG$3-'Yearly LC Ethylene'!$X$3)/10))</f>
        <v>36705.193806384756</v>
      </c>
      <c r="AH31" s="196">
        <f>AH26*'R&amp;S - Packaging and hh goods'!$C$10*('R&amp;S - Packaging and hh goods'!$C$15*('R&amp;S - Packaging and hh goods'!$E$20+('R&amp;S - Packaging and hh goods'!$E$21-'R&amp;S - Packaging and hh goods'!$E$20)*('Yearly LC Ethylene'!AH$3-'Yearly LC Ethylene'!$X$3)/10))</f>
        <v>37957.801247554038</v>
      </c>
    </row>
    <row r="32" spans="1:42" outlineLevel="1">
      <c r="B32" s="1" t="s">
        <v>167</v>
      </c>
      <c r="C32" s="51" t="s">
        <v>166</v>
      </c>
      <c r="D32" s="101">
        <f>SUM(D30:D31)</f>
        <v>0</v>
      </c>
      <c r="E32" s="101">
        <f t="shared" ref="E32:AH32" si="7">SUM(E30:E31)</f>
        <v>2023.9977987538728</v>
      </c>
      <c r="F32" s="101">
        <f t="shared" si="7"/>
        <v>4047.9955975077455</v>
      </c>
      <c r="G32" s="101">
        <f t="shared" si="7"/>
        <v>6071.9933962616196</v>
      </c>
      <c r="H32" s="101">
        <f t="shared" si="7"/>
        <v>8095.991195015491</v>
      </c>
      <c r="I32" s="101">
        <f t="shared" si="7"/>
        <v>10119.988993769364</v>
      </c>
      <c r="J32" s="101">
        <f t="shared" si="7"/>
        <v>12143.986792523239</v>
      </c>
      <c r="K32" s="101">
        <f t="shared" si="7"/>
        <v>14167.984591277109</v>
      </c>
      <c r="L32" s="101">
        <f t="shared" si="7"/>
        <v>16191.982390030982</v>
      </c>
      <c r="M32" s="101">
        <f t="shared" si="7"/>
        <v>18215.980188784859</v>
      </c>
      <c r="N32" s="101">
        <f t="shared" si="7"/>
        <v>20239.977987538728</v>
      </c>
      <c r="O32" s="101">
        <f t="shared" si="7"/>
        <v>22263.975786292602</v>
      </c>
      <c r="P32" s="101">
        <f t="shared" si="7"/>
        <v>23187.197348867408</v>
      </c>
      <c r="Q32" s="101">
        <f t="shared" si="7"/>
        <v>25325.068551363944</v>
      </c>
      <c r="R32" s="101">
        <f t="shared" si="7"/>
        <v>27462.939753860479</v>
      </c>
      <c r="S32" s="101">
        <f t="shared" si="7"/>
        <v>29600.810956357011</v>
      </c>
      <c r="T32" s="101">
        <f t="shared" si="7"/>
        <v>31738.682158853546</v>
      </c>
      <c r="U32" s="101">
        <f t="shared" si="7"/>
        <v>33876.553361350088</v>
      </c>
      <c r="V32" s="101">
        <f t="shared" si="7"/>
        <v>36014.424563846624</v>
      </c>
      <c r="W32" s="101">
        <f t="shared" si="7"/>
        <v>38152.295766343159</v>
      </c>
      <c r="X32" s="101">
        <f t="shared" si="7"/>
        <v>40290.166968839687</v>
      </c>
      <c r="Y32" s="101">
        <f t="shared" si="7"/>
        <v>45892.863913313369</v>
      </c>
      <c r="Z32" s="101">
        <f t="shared" si="7"/>
        <v>48008.776057236937</v>
      </c>
      <c r="AA32" s="101">
        <f t="shared" si="7"/>
        <v>50124.688201160505</v>
      </c>
      <c r="AB32" s="101">
        <f t="shared" si="7"/>
        <v>52240.60034508408</v>
      </c>
      <c r="AC32" s="101">
        <f t="shared" si="7"/>
        <v>54356.512489007648</v>
      </c>
      <c r="AD32" s="101">
        <f t="shared" si="7"/>
        <v>56472.424632931215</v>
      </c>
      <c r="AE32" s="101">
        <f t="shared" si="7"/>
        <v>58588.336776854791</v>
      </c>
      <c r="AF32" s="101">
        <f t="shared" si="7"/>
        <v>60704.248920778351</v>
      </c>
      <c r="AG32" s="101">
        <f t="shared" si="7"/>
        <v>62820.161064701926</v>
      </c>
      <c r="AH32" s="101">
        <f t="shared" si="7"/>
        <v>64936.073208625501</v>
      </c>
    </row>
    <row r="33" spans="1:35" s="1" customFormat="1">
      <c r="B33" s="1" t="s">
        <v>195</v>
      </c>
      <c r="C33" s="61" t="s">
        <v>166</v>
      </c>
      <c r="D33" s="633">
        <f>D26-D29-D32</f>
        <v>360575.67443292518</v>
      </c>
      <c r="E33" s="633">
        <f t="shared" ref="E33:AG33" si="8">E26-E29-E32</f>
        <v>356724.45219246898</v>
      </c>
      <c r="F33" s="633">
        <f t="shared" si="8"/>
        <v>352873.22995201277</v>
      </c>
      <c r="G33" s="633">
        <f t="shared" si="8"/>
        <v>349022.00771155651</v>
      </c>
      <c r="H33" s="633">
        <f t="shared" si="8"/>
        <v>345170.78547110036</v>
      </c>
      <c r="I33" s="633">
        <f t="shared" si="8"/>
        <v>341319.56323064415</v>
      </c>
      <c r="J33" s="633">
        <f t="shared" si="8"/>
        <v>337468.34099018795</v>
      </c>
      <c r="K33" s="633">
        <f t="shared" si="8"/>
        <v>333617.11874973174</v>
      </c>
      <c r="L33" s="633">
        <f t="shared" si="8"/>
        <v>329765.89650927548</v>
      </c>
      <c r="M33" s="633">
        <f t="shared" si="8"/>
        <v>325914.67426881928</v>
      </c>
      <c r="N33" s="633">
        <f t="shared" si="8"/>
        <v>322063.45202836307</v>
      </c>
      <c r="O33" s="633">
        <f t="shared" si="8"/>
        <v>315454.31626141223</v>
      </c>
      <c r="P33" s="633">
        <f t="shared" si="8"/>
        <v>309945.95673064044</v>
      </c>
      <c r="Q33" s="633">
        <f t="shared" si="8"/>
        <v>303222.94755994692</v>
      </c>
      <c r="R33" s="633">
        <f t="shared" si="8"/>
        <v>296499.9383892534</v>
      </c>
      <c r="S33" s="633">
        <f t="shared" si="8"/>
        <v>289776.92921855988</v>
      </c>
      <c r="T33" s="633">
        <f t="shared" si="8"/>
        <v>283053.92004786636</v>
      </c>
      <c r="U33" s="633">
        <f t="shared" si="8"/>
        <v>276330.91087717284</v>
      </c>
      <c r="V33" s="633">
        <f t="shared" si="8"/>
        <v>269607.90170647932</v>
      </c>
      <c r="W33" s="633">
        <f t="shared" si="8"/>
        <v>262884.8925357858</v>
      </c>
      <c r="X33" s="633">
        <f t="shared" si="8"/>
        <v>256161.88336509225</v>
      </c>
      <c r="Y33" s="633">
        <f t="shared" si="8"/>
        <v>245818.22206895868</v>
      </c>
      <c r="Z33" s="633">
        <f t="shared" si="8"/>
        <v>238961.34557337518</v>
      </c>
      <c r="AA33" s="633">
        <f t="shared" si="8"/>
        <v>232104.46907779167</v>
      </c>
      <c r="AB33" s="633">
        <f t="shared" si="8"/>
        <v>225247.59258220816</v>
      </c>
      <c r="AC33" s="633">
        <f t="shared" si="8"/>
        <v>218390.71608662474</v>
      </c>
      <c r="AD33" s="633">
        <f t="shared" si="8"/>
        <v>211533.83959104124</v>
      </c>
      <c r="AE33" s="633">
        <f t="shared" si="8"/>
        <v>204676.96309545773</v>
      </c>
      <c r="AF33" s="633">
        <f t="shared" si="8"/>
        <v>197820.08659987425</v>
      </c>
      <c r="AG33" s="633">
        <f t="shared" si="8"/>
        <v>190963.21010429075</v>
      </c>
      <c r="AH33" s="633">
        <f>AH26-AH29-AH32</f>
        <v>184106.33360870724</v>
      </c>
    </row>
    <row r="34" spans="1:35" s="62" customFormat="1">
      <c r="A34" s="688" t="s">
        <v>685</v>
      </c>
      <c r="B34" s="55" t="s">
        <v>141</v>
      </c>
      <c r="C34" s="56" t="s">
        <v>166</v>
      </c>
      <c r="D34" s="630">
        <f>D26*('Demand - Ethylene'!$C$73)</f>
        <v>220273.23005700734</v>
      </c>
      <c r="E34" s="630">
        <f>E26*('Demand - Ethylene'!$C$73)-E$27/'R&amp;S - Packaging and hh goods'!$C$7*'R&amp;S - Packaging and hh goods'!$S7-E$28/'R&amp;S - Packaging and hh goods'!$C$8*'R&amp;S - Packaging and hh goods'!$S8-E$30/'R&amp;S - Packaging and hh goods'!$C$9*'R&amp;S - Packaging and hh goods'!$S9-E$31/'R&amp;S - Packaging and hh goods'!$C$10*'R&amp;S - Packaging and hh goods'!$S10</f>
        <v>217005.39762324316</v>
      </c>
      <c r="F34" s="630">
        <f>F26*('Demand - Ethylene'!$C$73)-F$27/'R&amp;S - Packaging and hh goods'!$C$7*'R&amp;S - Packaging and hh goods'!$S7-F$28/'R&amp;S - Packaging and hh goods'!$C$8*'R&amp;S - Packaging and hh goods'!$S8-F$30/'R&amp;S - Packaging and hh goods'!$C$9*'R&amp;S - Packaging and hh goods'!$S9-F$31/'R&amp;S - Packaging and hh goods'!$C$10*'R&amp;S - Packaging and hh goods'!$S10</f>
        <v>213737.56518947895</v>
      </c>
      <c r="G34" s="630">
        <f>G26*('Demand - Ethylene'!$C$73)-G$27/'R&amp;S - Packaging and hh goods'!$C$7*'R&amp;S - Packaging and hh goods'!$S7-G$28/'R&amp;S - Packaging and hh goods'!$C$8*'R&amp;S - Packaging and hh goods'!$S8-G$30/'R&amp;S - Packaging and hh goods'!$C$9*'R&amp;S - Packaging and hh goods'!$S9-G$31/'R&amp;S - Packaging and hh goods'!$C$10*'R&amp;S - Packaging and hh goods'!$S10</f>
        <v>210469.73275571474</v>
      </c>
      <c r="H34" s="630">
        <f>H26*('Demand - Ethylene'!$C$73)-H$27/'R&amp;S - Packaging and hh goods'!$C$7*'R&amp;S - Packaging and hh goods'!$S7-H$28/'R&amp;S - Packaging and hh goods'!$C$8*'R&amp;S - Packaging and hh goods'!$S8-H$30/'R&amp;S - Packaging and hh goods'!$C$9*'R&amp;S - Packaging and hh goods'!$S9-H$31/'R&amp;S - Packaging and hh goods'!$C$10*'R&amp;S - Packaging and hh goods'!$S10</f>
        <v>207201.9003219505</v>
      </c>
      <c r="I34" s="630">
        <f>I26*('Demand - Ethylene'!$C$73)-I$27/'R&amp;S - Packaging and hh goods'!$C$7*'R&amp;S - Packaging and hh goods'!$S7-I$28/'R&amp;S - Packaging and hh goods'!$C$8*'R&amp;S - Packaging and hh goods'!$S8-I$30/'R&amp;S - Packaging and hh goods'!$C$9*'R&amp;S - Packaging and hh goods'!$S9-I$31/'R&amp;S - Packaging and hh goods'!$C$10*'R&amp;S - Packaging and hh goods'!$S10</f>
        <v>203934.06788818634</v>
      </c>
      <c r="J34" s="630">
        <f>J26*('Demand - Ethylene'!$C$73)-J$27/'R&amp;S - Packaging and hh goods'!$C$7*'R&amp;S - Packaging and hh goods'!$S7-J$28/'R&amp;S - Packaging and hh goods'!$C$8*'R&amp;S - Packaging and hh goods'!$S8-J$30/'R&amp;S - Packaging and hh goods'!$C$9*'R&amp;S - Packaging and hh goods'!$S9-J$31/'R&amp;S - Packaging and hh goods'!$C$10*'R&amp;S - Packaging and hh goods'!$S10</f>
        <v>200666.23545442213</v>
      </c>
      <c r="K34" s="630">
        <f>K26*('Demand - Ethylene'!$C$73)-K$27/'R&amp;S - Packaging and hh goods'!$C$7*'R&amp;S - Packaging and hh goods'!$S7-K$28/'R&amp;S - Packaging and hh goods'!$C$8*'R&amp;S - Packaging and hh goods'!$S8-K$30/'R&amp;S - Packaging and hh goods'!$C$9*'R&amp;S - Packaging and hh goods'!$S9-K$31/'R&amp;S - Packaging and hh goods'!$C$10*'R&amp;S - Packaging and hh goods'!$S10</f>
        <v>197398.40302065792</v>
      </c>
      <c r="L34" s="630">
        <f>L26*('Demand - Ethylene'!$C$73)-L$27/'R&amp;S - Packaging and hh goods'!$C$7*'R&amp;S - Packaging and hh goods'!$S7-L$28/'R&amp;S - Packaging and hh goods'!$C$8*'R&amp;S - Packaging and hh goods'!$S8-L$30/'R&amp;S - Packaging and hh goods'!$C$9*'R&amp;S - Packaging and hh goods'!$S9-L$31/'R&amp;S - Packaging and hh goods'!$C$10*'R&amp;S - Packaging and hh goods'!$S10</f>
        <v>194130.57058689374</v>
      </c>
      <c r="M34" s="630">
        <f>M26*('Demand - Ethylene'!$C$73)-M$27/'R&amp;S - Packaging and hh goods'!$C$7*'R&amp;S - Packaging and hh goods'!$S7-M$28/'R&amp;S - Packaging and hh goods'!$C$8*'R&amp;S - Packaging and hh goods'!$S8-M$30/'R&amp;S - Packaging and hh goods'!$C$9*'R&amp;S - Packaging and hh goods'!$S9-M$31/'R&amp;S - Packaging and hh goods'!$C$10*'R&amp;S - Packaging and hh goods'!$S10</f>
        <v>190862.7381531295</v>
      </c>
      <c r="N34" s="630">
        <f>N26*('Demand - Ethylene'!$C$73)-N$27/'R&amp;S - Packaging and hh goods'!$C$7*'R&amp;S - Packaging and hh goods'!$S7-N$28/'R&amp;S - Packaging and hh goods'!$C$8*'R&amp;S - Packaging and hh goods'!$S8-N$30/'R&amp;S - Packaging and hh goods'!$C$9*'R&amp;S - Packaging and hh goods'!$S9-N$31/'R&amp;S - Packaging and hh goods'!$C$10*'R&amp;S - Packaging and hh goods'!$S10</f>
        <v>187594.90571936528</v>
      </c>
      <c r="O34" s="630">
        <f>O26*('Demand - Ethylene'!$C$73)-O$27/'R&amp;S - Packaging and hh goods'!$C$7*'R&amp;S - Packaging and hh goods'!$S7-O$28/'R&amp;S - Packaging and hh goods'!$C$8*'R&amp;S - Packaging and hh goods'!$S8-O$30/'R&amp;S - Packaging and hh goods'!$C$9*'R&amp;S - Packaging and hh goods'!$S9-O$31/'R&amp;S - Packaging and hh goods'!$C$10*'R&amp;S - Packaging and hh goods'!$S10</f>
        <v>181944.31711381348</v>
      </c>
      <c r="P34" s="630">
        <f>P26*('Demand - Ethylene'!$C$73)-P$27/'R&amp;S - Packaging and hh goods'!$C$7*'R&amp;S - Packaging and hh goods'!$S7-P$28/'R&amp;S - Packaging and hh goods'!$C$8*'R&amp;S - Packaging and hh goods'!$S8-P$30/'R&amp;S - Packaging and hh goods'!$C$9*'R&amp;S - Packaging and hh goods'!$S9-P$31/'R&amp;S - Packaging and hh goods'!$C$10*'R&amp;S - Packaging and hh goods'!$S10</f>
        <v>177221.65558338774</v>
      </c>
      <c r="Q34" s="630">
        <f>Q26*('Demand - Ethylene'!$C$73)-Q$27/'R&amp;S - Packaging and hh goods'!$C$7*'R&amp;S - Packaging and hh goods'!$S7-Q$28/'R&amp;S - Packaging and hh goods'!$C$8*'R&amp;S - Packaging and hh goods'!$S8-Q$30/'R&amp;S - Packaging and hh goods'!$C$9*'R&amp;S - Packaging and hh goods'!$S9-Q$31/'R&amp;S - Packaging and hh goods'!$C$10*'R&amp;S - Packaging and hh goods'!$S10</f>
        <v>171475.07452178834</v>
      </c>
      <c r="R34" s="630">
        <f>R26*('Demand - Ethylene'!$C$73)-R$27/'R&amp;S - Packaging and hh goods'!$C$7*'R&amp;S - Packaging and hh goods'!$S7-R$28/'R&amp;S - Packaging and hh goods'!$C$8*'R&amp;S - Packaging and hh goods'!$S8-R$30/'R&amp;S - Packaging and hh goods'!$C$9*'R&amp;S - Packaging and hh goods'!$S9-R$31/'R&amp;S - Packaging and hh goods'!$C$10*'R&amp;S - Packaging and hh goods'!$S10</f>
        <v>165728.49346018897</v>
      </c>
      <c r="S34" s="630">
        <f>S26*('Demand - Ethylene'!$C$73)-S$27/'R&amp;S - Packaging and hh goods'!$C$7*'R&amp;S - Packaging and hh goods'!$S7-S$28/'R&amp;S - Packaging and hh goods'!$C$8*'R&amp;S - Packaging and hh goods'!$S8-S$30/'R&amp;S - Packaging and hh goods'!$C$9*'R&amp;S - Packaging and hh goods'!$S9-S$31/'R&amp;S - Packaging and hh goods'!$C$10*'R&amp;S - Packaging and hh goods'!$S10</f>
        <v>159981.91239858957</v>
      </c>
      <c r="T34" s="630">
        <f>T26*('Demand - Ethylene'!$C$73)-T$27/'R&amp;S - Packaging and hh goods'!$C$7*'R&amp;S - Packaging and hh goods'!$S7-T$28/'R&amp;S - Packaging and hh goods'!$C$8*'R&amp;S - Packaging and hh goods'!$S8-T$30/'R&amp;S - Packaging and hh goods'!$C$9*'R&amp;S - Packaging and hh goods'!$S9-T$31/'R&amp;S - Packaging and hh goods'!$C$10*'R&amp;S - Packaging and hh goods'!$S10</f>
        <v>154235.3313369902</v>
      </c>
      <c r="U34" s="630">
        <f>U26*('Demand - Ethylene'!$C$73)-U$27/'R&amp;S - Packaging and hh goods'!$C$7*'R&amp;S - Packaging and hh goods'!$S7-U$28/'R&amp;S - Packaging and hh goods'!$C$8*'R&amp;S - Packaging and hh goods'!$S8-U$30/'R&amp;S - Packaging and hh goods'!$C$9*'R&amp;S - Packaging and hh goods'!$S9-U$31/'R&amp;S - Packaging and hh goods'!$C$10*'R&amp;S - Packaging and hh goods'!$S10</f>
        <v>148488.75027539078</v>
      </c>
      <c r="V34" s="630">
        <f>V26*('Demand - Ethylene'!$C$73)-V$27/'R&amp;S - Packaging and hh goods'!$C$7*'R&amp;S - Packaging and hh goods'!$S7-V$28/'R&amp;S - Packaging and hh goods'!$C$8*'R&amp;S - Packaging and hh goods'!$S8-V$30/'R&amp;S - Packaging and hh goods'!$C$9*'R&amp;S - Packaging and hh goods'!$S9-V$31/'R&amp;S - Packaging and hh goods'!$C$10*'R&amp;S - Packaging and hh goods'!$S10</f>
        <v>142742.16921379141</v>
      </c>
      <c r="W34" s="630">
        <f>W26*('Demand - Ethylene'!$C$73)-W$27/'R&amp;S - Packaging and hh goods'!$C$7*'R&amp;S - Packaging and hh goods'!$S7-W$28/'R&amp;S - Packaging and hh goods'!$C$8*'R&amp;S - Packaging and hh goods'!$S8-W$30/'R&amp;S - Packaging and hh goods'!$C$9*'R&amp;S - Packaging and hh goods'!$S9-W$31/'R&amp;S - Packaging and hh goods'!$C$10*'R&amp;S - Packaging and hh goods'!$S10</f>
        <v>136995.58815219198</v>
      </c>
      <c r="X34" s="630">
        <f>X26*('Demand - Ethylene'!$C$73)-X$27/'R&amp;S - Packaging and hh goods'!$C$7*'R&amp;S - Packaging and hh goods'!$S7-X$28/'R&amp;S - Packaging and hh goods'!$C$8*'R&amp;S - Packaging and hh goods'!$S8-X$30/'R&amp;S - Packaging and hh goods'!$C$9*'R&amp;S - Packaging and hh goods'!$S9-X$31/'R&amp;S - Packaging and hh goods'!$C$10*'R&amp;S - Packaging and hh goods'!$S10</f>
        <v>131249.00709059264</v>
      </c>
      <c r="Y34" s="630">
        <f>Y26*('Demand - Ethylene'!$C$73)-Y$27/'R&amp;S - Packaging and hh goods'!$C$7*'R&amp;S - Packaging and hh goods'!$S7-Y$28/'R&amp;S - Packaging and hh goods'!$C$8*'R&amp;S - Packaging and hh goods'!$S8-Y$30/'R&amp;S - Packaging and hh goods'!$C$9*'R&amp;S - Packaging and hh goods'!$S9-Y$31/'R&amp;S - Packaging and hh goods'!$C$10*'R&amp;S - Packaging and hh goods'!$S10</f>
        <v>122534.97476657208</v>
      </c>
      <c r="Z34" s="630">
        <f>Z26*('Demand - Ethylene'!$C$73)-Z$27/'R&amp;S - Packaging and hh goods'!$C$7*'R&amp;S - Packaging and hh goods'!$S7-Z$28/'R&amp;S - Packaging and hh goods'!$C$8*'R&amp;S - Packaging and hh goods'!$S8-Z$30/'R&amp;S - Packaging and hh goods'!$C$9*'R&amp;S - Packaging and hh goods'!$S9-Z$31/'R&amp;S - Packaging and hh goods'!$C$10*'R&amp;S - Packaging and hh goods'!$S10</f>
        <v>116672.48304866953</v>
      </c>
      <c r="AA34" s="630">
        <f>AA26*('Demand - Ethylene'!$C$73)-AA$27/'R&amp;S - Packaging and hh goods'!$C$7*'R&amp;S - Packaging and hh goods'!$S7-AA$28/'R&amp;S - Packaging and hh goods'!$C$8*'R&amp;S - Packaging and hh goods'!$S8-AA$30/'R&amp;S - Packaging and hh goods'!$C$9*'R&amp;S - Packaging and hh goods'!$S9-AA$31/'R&amp;S - Packaging and hh goods'!$C$10*'R&amp;S - Packaging and hh goods'!$S10</f>
        <v>110809.99133076688</v>
      </c>
      <c r="AB34" s="630">
        <f>AB26*('Demand - Ethylene'!$C$73)-AB$27/'R&amp;S - Packaging and hh goods'!$C$7*'R&amp;S - Packaging and hh goods'!$S7-AB$28/'R&amp;S - Packaging and hh goods'!$C$8*'R&amp;S - Packaging and hh goods'!$S8-AB$30/'R&amp;S - Packaging and hh goods'!$C$9*'R&amp;S - Packaging and hh goods'!$S9-AB$31/'R&amp;S - Packaging and hh goods'!$C$10*'R&amp;S - Packaging and hh goods'!$S10</f>
        <v>104947.49961286431</v>
      </c>
      <c r="AC34" s="630">
        <f>AC26*('Demand - Ethylene'!$C$73)-AC$27/'R&amp;S - Packaging and hh goods'!$C$7*'R&amp;S - Packaging and hh goods'!$S7-AC$28/'R&amp;S - Packaging and hh goods'!$C$8*'R&amp;S - Packaging and hh goods'!$S8-AC$30/'R&amp;S - Packaging and hh goods'!$C$9*'R&amp;S - Packaging and hh goods'!$S9-AC$31/'R&amp;S - Packaging and hh goods'!$C$10*'R&amp;S - Packaging and hh goods'!$S10</f>
        <v>99085.007894961687</v>
      </c>
      <c r="AD34" s="630">
        <f>AD26*('Demand - Ethylene'!$C$73)-AD$27/'R&amp;S - Packaging and hh goods'!$C$7*'R&amp;S - Packaging and hh goods'!$S7-AD$28/'R&amp;S - Packaging and hh goods'!$C$8*'R&amp;S - Packaging and hh goods'!$S8-AD$30/'R&amp;S - Packaging and hh goods'!$C$9*'R&amp;S - Packaging and hh goods'!$S9-AD$31/'R&amp;S - Packaging and hh goods'!$C$10*'R&amp;S - Packaging and hh goods'!$S10</f>
        <v>93222.516177059108</v>
      </c>
      <c r="AE34" s="630">
        <f>AE26*('Demand - Ethylene'!$C$73)-AE$27/'R&amp;S - Packaging and hh goods'!$C$7*'R&amp;S - Packaging and hh goods'!$S7-AE$28/'R&amp;S - Packaging and hh goods'!$C$8*'R&amp;S - Packaging and hh goods'!$S8-AE$30/'R&amp;S - Packaging and hh goods'!$C$9*'R&amp;S - Packaging and hh goods'!$S9-AE$31/'R&amp;S - Packaging and hh goods'!$C$10*'R&amp;S - Packaging and hh goods'!$S10</f>
        <v>87360.024459156499</v>
      </c>
      <c r="AF34" s="630">
        <f>AF26*('Demand - Ethylene'!$C$73)-AF$27/'R&amp;S - Packaging and hh goods'!$C$7*'R&amp;S - Packaging and hh goods'!$S7-AF$28/'R&amp;S - Packaging and hh goods'!$C$8*'R&amp;S - Packaging and hh goods'!$S8-AF$30/'R&amp;S - Packaging and hh goods'!$C$9*'R&amp;S - Packaging and hh goods'!$S9-AF$31/'R&amp;S - Packaging and hh goods'!$C$10*'R&amp;S - Packaging and hh goods'!$S10</f>
        <v>81497.532741253905</v>
      </c>
      <c r="AG34" s="630">
        <f>AG26*('Demand - Ethylene'!$C$73)-AG$27/'R&amp;S - Packaging and hh goods'!$C$7*'R&amp;S - Packaging and hh goods'!$S7-AG$28/'R&amp;S - Packaging and hh goods'!$C$8*'R&amp;S - Packaging and hh goods'!$S8-AG$30/'R&amp;S - Packaging and hh goods'!$C$9*'R&amp;S - Packaging and hh goods'!$S9-AG$31/'R&amp;S - Packaging and hh goods'!$C$10*'R&amp;S - Packaging and hh goods'!$S10</f>
        <v>75635.041023351296</v>
      </c>
      <c r="AH34" s="630">
        <f>AH26*('Demand - Ethylene'!$C$73)-AH$27/'R&amp;S - Packaging and hh goods'!$C$7*'R&amp;S - Packaging and hh goods'!$S7-AH$28/'R&amp;S - Packaging and hh goods'!$C$8*'R&amp;S - Packaging and hh goods'!$S8-AH$30/'R&amp;S - Packaging and hh goods'!$C$9*'R&amp;S - Packaging and hh goods'!$S9-AH$31/'R&amp;S - Packaging and hh goods'!$C$10*'R&amp;S - Packaging and hh goods'!$S10</f>
        <v>69772.549305448687</v>
      </c>
      <c r="AI34" s="57"/>
    </row>
    <row r="35" spans="1:35">
      <c r="A35" s="689"/>
      <c r="B35" s="1" t="s">
        <v>18</v>
      </c>
      <c r="C35" s="51" t="s">
        <v>166</v>
      </c>
      <c r="D35" s="196">
        <f>D39/('Demand - Ethylene'!$K$14)</f>
        <v>181040.18182479939</v>
      </c>
      <c r="E35" s="196">
        <f>E39/('Demand - Ethylene'!$K$14)</f>
        <v>179106.53509237236</v>
      </c>
      <c r="F35" s="196">
        <f>F39/('Demand - Ethylene'!$K$14)</f>
        <v>177172.88835994533</v>
      </c>
      <c r="G35" s="196">
        <f>G39/('Demand - Ethylene'!$K$14)</f>
        <v>175239.24162751826</v>
      </c>
      <c r="H35" s="196">
        <f>H39/('Demand - Ethylene'!$K$14)</f>
        <v>173305.59489509123</v>
      </c>
      <c r="I35" s="196">
        <f>I39/('Demand - Ethylene'!$K$14)</f>
        <v>171371.94816266419</v>
      </c>
      <c r="J35" s="196">
        <f>J39/('Demand - Ethylene'!$K$14)</f>
        <v>169438.30143023716</v>
      </c>
      <c r="K35" s="196">
        <f>K39/('Demand - Ethylene'!$K$14)</f>
        <v>167504.6546978101</v>
      </c>
      <c r="L35" s="196">
        <f>L39/('Demand - Ethylene'!$K$14)</f>
        <v>165571.00796538306</v>
      </c>
      <c r="M35" s="196">
        <f>M39/('Demand - Ethylene'!$K$14)</f>
        <v>163637.36123295603</v>
      </c>
      <c r="N35" s="196">
        <f>N39/('Demand - Ethylene'!$K$14)</f>
        <v>161703.71450052899</v>
      </c>
      <c r="O35" s="196">
        <f>O39/('Demand - Ethylene'!$K$14)</f>
        <v>158385.35659178949</v>
      </c>
      <c r="P35" s="196">
        <f>P39/('Demand - Ethylene'!$K$14)</f>
        <v>155619.68358133023</v>
      </c>
      <c r="Q35" s="196">
        <f>Q39/('Demand - Ethylene'!$K$14)</f>
        <v>152244.15137276865</v>
      </c>
      <c r="R35" s="196">
        <f>R39/('Demand - Ethylene'!$K$14)</f>
        <v>148868.61916420708</v>
      </c>
      <c r="S35" s="196">
        <f>S39/('Demand - Ethylene'!$K$14)</f>
        <v>145493.08695564553</v>
      </c>
      <c r="T35" s="196">
        <f>T39/('Demand - Ethylene'!$K$14)</f>
        <v>142117.55474708395</v>
      </c>
      <c r="U35" s="196">
        <f>U39/('Demand - Ethylene'!$K$14)</f>
        <v>138742.0225385224</v>
      </c>
      <c r="V35" s="196">
        <f>V39/('Demand - Ethylene'!$K$14)</f>
        <v>135366.49032996083</v>
      </c>
      <c r="W35" s="196">
        <f>W39/('Demand - Ethylene'!$K$14)</f>
        <v>131990.95812139925</v>
      </c>
      <c r="X35" s="196">
        <f>X39/('Demand - Ethylene'!$K$14)</f>
        <v>128615.42591283766</v>
      </c>
      <c r="Y35" s="196">
        <f>Y39/('Demand - Ethylene'!$K$14)</f>
        <v>123422.01311611694</v>
      </c>
      <c r="Z35" s="196">
        <f>Z39/('Demand - Ethylene'!$K$14)</f>
        <v>119979.26792965109</v>
      </c>
      <c r="AA35" s="196">
        <f>AA39/('Demand - Ethylene'!$K$14)</f>
        <v>116536.52274318523</v>
      </c>
      <c r="AB35" s="196">
        <f>AB39/('Demand - Ethylene'!$K$14)</f>
        <v>113093.77755671937</v>
      </c>
      <c r="AC35" s="196">
        <f>AC39/('Demand - Ethylene'!$K$14)</f>
        <v>109651.03237025357</v>
      </c>
      <c r="AD35" s="196">
        <f>AD39/('Demand - Ethylene'!$K$14)</f>
        <v>106208.28718378772</v>
      </c>
      <c r="AE35" s="196">
        <f>AE39/('Demand - Ethylene'!$K$14)</f>
        <v>102765.54199732185</v>
      </c>
      <c r="AF35" s="196">
        <f>AF39/('Demand - Ethylene'!$K$14)</f>
        <v>99322.796810856031</v>
      </c>
      <c r="AG35" s="196">
        <f>AG39/('Demand - Ethylene'!$K$14)</f>
        <v>95880.05162439018</v>
      </c>
      <c r="AH35" s="196">
        <f>AH39/('Demand - Ethylene'!$K$14)</f>
        <v>92437.306437924315</v>
      </c>
      <c r="AI35" s="41"/>
    </row>
    <row r="36" spans="1:35">
      <c r="A36" s="689"/>
      <c r="B36" s="1" t="s">
        <v>684</v>
      </c>
      <c r="C36" s="51" t="s">
        <v>166</v>
      </c>
      <c r="D36" s="196">
        <f>D38/('Demand - Ethylene'!$M$14)</f>
        <v>23327.595712084702</v>
      </c>
      <c r="E36" s="196">
        <f>E38/('Demand - Ethylene'!$M$14)</f>
        <v>23250.327349454761</v>
      </c>
      <c r="F36" s="196">
        <f>F38/('Demand - Ethylene'!$M$14)</f>
        <v>23173.058986824821</v>
      </c>
      <c r="G36" s="196">
        <f>G38/('Demand - Ethylene'!$M$14)</f>
        <v>23095.79062419488</v>
      </c>
      <c r="H36" s="196">
        <f>H38/('Demand - Ethylene'!$M$14)</f>
        <v>23018.52226156494</v>
      </c>
      <c r="I36" s="196">
        <f>I38/('Demand - Ethylene'!$M$14)</f>
        <v>22941.253898935</v>
      </c>
      <c r="J36" s="196">
        <f>J38/('Demand - Ethylene'!$M$14)</f>
        <v>22863.985536305059</v>
      </c>
      <c r="K36" s="196">
        <f>K38/('Demand - Ethylene'!$M$14)</f>
        <v>22786.717173675119</v>
      </c>
      <c r="L36" s="196">
        <f>L38/('Demand - Ethylene'!$M$14)</f>
        <v>22709.448811045178</v>
      </c>
      <c r="M36" s="196">
        <f>M38/('Demand - Ethylene'!$M$14)</f>
        <v>22632.180448415242</v>
      </c>
      <c r="N36" s="196">
        <f>N38/('Demand - Ethylene'!$M$14)</f>
        <v>22554.912085785301</v>
      </c>
      <c r="O36" s="196">
        <f>O38/('Demand - Ethylene'!$M$14)</f>
        <v>22333.058226416004</v>
      </c>
      <c r="P36" s="196">
        <f>P38/('Demand - Ethylene'!$M$14)</f>
        <v>22111.20436704671</v>
      </c>
      <c r="Q36" s="196">
        <f>Q38/('Demand - Ethylene'!$M$14)</f>
        <v>21889.350507677409</v>
      </c>
      <c r="R36" s="196">
        <f>R38/('Demand - Ethylene'!$M$14)</f>
        <v>21667.496648308115</v>
      </c>
      <c r="S36" s="196">
        <f>S38/('Demand - Ethylene'!$M$14)</f>
        <v>21445.642788938811</v>
      </c>
      <c r="T36" s="196">
        <f>T38/('Demand - Ethylene'!$M$14)</f>
        <v>21223.788929569517</v>
      </c>
      <c r="U36" s="196">
        <f>U38/('Demand - Ethylene'!$M$14)</f>
        <v>21001.935070200219</v>
      </c>
      <c r="V36" s="196">
        <f>V38/('Demand - Ethylene'!$M$14)</f>
        <v>20780.081210830922</v>
      </c>
      <c r="W36" s="196">
        <f>W38/('Demand - Ethylene'!$M$14)</f>
        <v>20558.227351461624</v>
      </c>
      <c r="X36" s="196">
        <f>X38/('Demand - Ethylene'!$M$14)</f>
        <v>20336.373492092327</v>
      </c>
      <c r="Y36" s="196">
        <f>Y38/('Demand - Ethylene'!$M$14)</f>
        <v>20108.665968887432</v>
      </c>
      <c r="Z36" s="196">
        <f>Z38/('Demand - Ethylene'!$M$14)</f>
        <v>19880.958445682532</v>
      </c>
      <c r="AA36" s="196">
        <f>AA38/('Demand - Ethylene'!$M$14)</f>
        <v>19653.250922477633</v>
      </c>
      <c r="AB36" s="196">
        <f>AB38/('Demand - Ethylene'!$M$14)</f>
        <v>19425.543399272734</v>
      </c>
      <c r="AC36" s="196">
        <f>AC38/('Demand - Ethylene'!$M$14)</f>
        <v>19197.835876067835</v>
      </c>
      <c r="AD36" s="196">
        <f>AD38/('Demand - Ethylene'!$M$14)</f>
        <v>18970.128352862936</v>
      </c>
      <c r="AE36" s="196">
        <f>AE38/('Demand - Ethylene'!$M$14)</f>
        <v>18742.420829658036</v>
      </c>
      <c r="AF36" s="196">
        <f>AF38/('Demand - Ethylene'!$M$14)</f>
        <v>18514.713306453141</v>
      </c>
      <c r="AG36" s="196">
        <f>AG38/('Demand - Ethylene'!$M$14)</f>
        <v>18287.005783248238</v>
      </c>
      <c r="AH36" s="196">
        <f>AH38/('Demand - Ethylene'!$M$14)</f>
        <v>18059.298260043342</v>
      </c>
      <c r="AI36" s="41"/>
    </row>
    <row r="37" spans="1:35" s="63" customFormat="1">
      <c r="A37" s="690"/>
      <c r="B37" s="59" t="s">
        <v>27</v>
      </c>
      <c r="C37" s="262" t="s">
        <v>166</v>
      </c>
      <c r="D37" s="599">
        <f>D33-SUM(D35,D34,D36)</f>
        <v>-64065.333160966286</v>
      </c>
      <c r="E37" s="599">
        <f>E33-E34-E35-E36</f>
        <v>-62637.807872601305</v>
      </c>
      <c r="F37" s="599">
        <f t="shared" ref="F37:AH37" si="9">F33-F34-F35-F36</f>
        <v>-61210.282584236324</v>
      </c>
      <c r="G37" s="599">
        <f t="shared" si="9"/>
        <v>-59782.757295871372</v>
      </c>
      <c r="H37" s="599">
        <f t="shared" si="9"/>
        <v>-58355.232007506303</v>
      </c>
      <c r="I37" s="599">
        <f t="shared" si="9"/>
        <v>-56927.706719141381</v>
      </c>
      <c r="J37" s="599">
        <f t="shared" si="9"/>
        <v>-55500.1814307764</v>
      </c>
      <c r="K37" s="599">
        <f t="shared" si="9"/>
        <v>-54072.65614241139</v>
      </c>
      <c r="L37" s="599">
        <f t="shared" si="9"/>
        <v>-52645.130854046496</v>
      </c>
      <c r="M37" s="599">
        <f t="shared" si="9"/>
        <v>-51217.605565681486</v>
      </c>
      <c r="N37" s="599">
        <f t="shared" si="9"/>
        <v>-49790.080277316505</v>
      </c>
      <c r="O37" s="599">
        <f t="shared" si="9"/>
        <v>-47208.415670606744</v>
      </c>
      <c r="P37" s="599">
        <f t="shared" si="9"/>
        <v>-45006.586801124242</v>
      </c>
      <c r="Q37" s="599">
        <f t="shared" si="9"/>
        <v>-42385.628842287486</v>
      </c>
      <c r="R37" s="599">
        <f t="shared" si="9"/>
        <v>-39764.670883450766</v>
      </c>
      <c r="S37" s="599">
        <f t="shared" si="9"/>
        <v>-37143.712924614039</v>
      </c>
      <c r="T37" s="599">
        <f t="shared" si="9"/>
        <v>-34522.75496577732</v>
      </c>
      <c r="U37" s="599">
        <f t="shared" si="9"/>
        <v>-31901.797006940564</v>
      </c>
      <c r="V37" s="599">
        <f t="shared" si="9"/>
        <v>-29280.83904810384</v>
      </c>
      <c r="W37" s="599">
        <f t="shared" si="9"/>
        <v>-26659.881089267059</v>
      </c>
      <c r="X37" s="599">
        <f t="shared" si="9"/>
        <v>-24038.923130430379</v>
      </c>
      <c r="Y37" s="599">
        <f t="shared" si="9"/>
        <v>-20247.431782617768</v>
      </c>
      <c r="Z37" s="599">
        <f t="shared" si="9"/>
        <v>-17571.363850627975</v>
      </c>
      <c r="AA37" s="599">
        <f t="shared" si="9"/>
        <v>-14895.295918638065</v>
      </c>
      <c r="AB37" s="599">
        <f t="shared" si="9"/>
        <v>-12219.227986648257</v>
      </c>
      <c r="AC37" s="599">
        <f t="shared" si="9"/>
        <v>-9543.1600546583468</v>
      </c>
      <c r="AD37" s="599">
        <f t="shared" si="9"/>
        <v>-6867.0921226685241</v>
      </c>
      <c r="AE37" s="599">
        <f t="shared" si="9"/>
        <v>-4191.0241906786578</v>
      </c>
      <c r="AF37" s="599">
        <f t="shared" si="9"/>
        <v>-1514.9562586888242</v>
      </c>
      <c r="AG37" s="599">
        <f t="shared" si="9"/>
        <v>1161.1116733010313</v>
      </c>
      <c r="AH37" s="599">
        <f t="shared" si="9"/>
        <v>3837.179605290894</v>
      </c>
      <c r="AI37" s="263"/>
    </row>
    <row r="38" spans="1:35" s="62" customFormat="1">
      <c r="A38" s="688" t="s">
        <v>686</v>
      </c>
      <c r="B38" s="55" t="s">
        <v>683</v>
      </c>
      <c r="C38" s="56" t="s">
        <v>166</v>
      </c>
      <c r="D38" s="630">
        <f>D33*'Demand - Ethylene'!$E$73</f>
        <v>10633.355803870178</v>
      </c>
      <c r="E38" s="630">
        <f>E26*'Demand - Ethylene'!$E$73-E$27/'R&amp;S - Packaging and hh goods'!$C$7*'R&amp;S - Packaging and hh goods'!$U9-E$28/'R&amp;S - Packaging and hh goods'!$C$8*'R&amp;S - Packaging and hh goods'!$U10-E$30/'R&amp;S - Packaging and hh goods'!$C$9*'R&amp;S - Packaging and hh goods'!$U11-E$31/'R&amp;S - Packaging and hh goods'!$C$10*'R&amp;S - Packaging and hh goods'!$U12</f>
        <v>10598.13477199157</v>
      </c>
      <c r="F38" s="630">
        <f>F26*'Demand - Ethylene'!$E$73-F$27/'R&amp;S - Packaging and hh goods'!$C$7*'R&amp;S - Packaging and hh goods'!$U9-F$28/'R&amp;S - Packaging and hh goods'!$C$8*'R&amp;S - Packaging and hh goods'!$U10-F$30/'R&amp;S - Packaging and hh goods'!$C$9*'R&amp;S - Packaging and hh goods'!$U11-F$31/'R&amp;S - Packaging and hh goods'!$C$10*'R&amp;S - Packaging and hh goods'!$U12</f>
        <v>10562.913740112961</v>
      </c>
      <c r="G38" s="630">
        <f>G26*'Demand - Ethylene'!$E$73-G$27/'R&amp;S - Packaging and hh goods'!$C$7*'R&amp;S - Packaging and hh goods'!$U9-G$28/'R&amp;S - Packaging and hh goods'!$C$8*'R&amp;S - Packaging and hh goods'!$U10-G$30/'R&amp;S - Packaging and hh goods'!$C$9*'R&amp;S - Packaging and hh goods'!$U11-G$31/'R&amp;S - Packaging and hh goods'!$C$10*'R&amp;S - Packaging and hh goods'!$U12</f>
        <v>10527.692708234354</v>
      </c>
      <c r="H38" s="630">
        <f>H26*'Demand - Ethylene'!$E$73-H$27/'R&amp;S - Packaging and hh goods'!$C$7*'R&amp;S - Packaging and hh goods'!$U9-H$28/'R&amp;S - Packaging and hh goods'!$C$8*'R&amp;S - Packaging and hh goods'!$U10-H$30/'R&amp;S - Packaging and hh goods'!$C$9*'R&amp;S - Packaging and hh goods'!$U11-H$31/'R&amp;S - Packaging and hh goods'!$C$10*'R&amp;S - Packaging and hh goods'!$U12</f>
        <v>10492.471676355744</v>
      </c>
      <c r="I38" s="630">
        <f>I26*'Demand - Ethylene'!$E$73-I$27/'R&amp;S - Packaging and hh goods'!$C$7*'R&amp;S - Packaging and hh goods'!$U9-I$28/'R&amp;S - Packaging and hh goods'!$C$8*'R&amp;S - Packaging and hh goods'!$U10-I$30/'R&amp;S - Packaging and hh goods'!$C$9*'R&amp;S - Packaging and hh goods'!$U11-I$31/'R&amp;S - Packaging and hh goods'!$C$10*'R&amp;S - Packaging and hh goods'!$U12</f>
        <v>10457.250644477137</v>
      </c>
      <c r="J38" s="630">
        <f>J26*'Demand - Ethylene'!$E$73-J$27/'R&amp;S - Packaging and hh goods'!$C$7*'R&amp;S - Packaging and hh goods'!$U9-J$28/'R&amp;S - Packaging and hh goods'!$C$8*'R&amp;S - Packaging and hh goods'!$U10-J$30/'R&amp;S - Packaging and hh goods'!$C$9*'R&amp;S - Packaging and hh goods'!$U11-J$31/'R&amp;S - Packaging and hh goods'!$C$10*'R&amp;S - Packaging and hh goods'!$U12</f>
        <v>10422.029612598528</v>
      </c>
      <c r="K38" s="630">
        <f>K26*'Demand - Ethylene'!$E$73-K$27/'R&amp;S - Packaging and hh goods'!$C$7*'R&amp;S - Packaging and hh goods'!$U9-K$28/'R&amp;S - Packaging and hh goods'!$C$8*'R&amp;S - Packaging and hh goods'!$U10-K$30/'R&amp;S - Packaging and hh goods'!$C$9*'R&amp;S - Packaging and hh goods'!$U11-K$31/'R&amp;S - Packaging and hh goods'!$C$10*'R&amp;S - Packaging and hh goods'!$U12</f>
        <v>10386.80858071992</v>
      </c>
      <c r="L38" s="630">
        <f>L26*'Demand - Ethylene'!$E$73-L$27/'R&amp;S - Packaging and hh goods'!$C$7*'R&amp;S - Packaging and hh goods'!$U9-L$28/'R&amp;S - Packaging and hh goods'!$C$8*'R&amp;S - Packaging and hh goods'!$U10-L$30/'R&amp;S - Packaging and hh goods'!$C$9*'R&amp;S - Packaging and hh goods'!$U11-L$31/'R&amp;S - Packaging and hh goods'!$C$10*'R&amp;S - Packaging and hh goods'!$U12</f>
        <v>10351.587548841311</v>
      </c>
      <c r="M38" s="630">
        <f>M26*'Demand - Ethylene'!$E$73-M$27/'R&amp;S - Packaging and hh goods'!$C$7*'R&amp;S - Packaging and hh goods'!$U9-M$28/'R&amp;S - Packaging and hh goods'!$C$8*'R&amp;S - Packaging and hh goods'!$U10-M$30/'R&amp;S - Packaging and hh goods'!$C$9*'R&amp;S - Packaging and hh goods'!$U11-M$31/'R&amp;S - Packaging and hh goods'!$C$10*'R&amp;S - Packaging and hh goods'!$U12</f>
        <v>10316.366516962704</v>
      </c>
      <c r="N38" s="630">
        <f>N26*'Demand - Ethylene'!$E$73-N$27/'R&amp;S - Packaging and hh goods'!$C$7*'R&amp;S - Packaging and hh goods'!$U9-N$28/'R&amp;S - Packaging and hh goods'!$C$8*'R&amp;S - Packaging and hh goods'!$U10-N$30/'R&amp;S - Packaging and hh goods'!$C$9*'R&amp;S - Packaging and hh goods'!$U11-N$31/'R&amp;S - Packaging and hh goods'!$C$10*'R&amp;S - Packaging and hh goods'!$U12</f>
        <v>10281.145485084096</v>
      </c>
      <c r="O38" s="630">
        <f>O26*'Demand - Ethylene'!$E$73-O$27/'R&amp;S - Packaging and hh goods'!$C$7*'R&amp;S - Packaging and hh goods'!$U9-O$28/'R&amp;S - Packaging and hh goods'!$C$8*'R&amp;S - Packaging and hh goods'!$U10-O$30/'R&amp;S - Packaging and hh goods'!$C$9*'R&amp;S - Packaging and hh goods'!$U11-O$31/'R&amp;S - Packaging and hh goods'!$C$10*'R&amp;S - Packaging and hh goods'!$U12</f>
        <v>10180.018431432638</v>
      </c>
      <c r="P38" s="630">
        <f>P26*'Demand - Ethylene'!$E$73-P$27/'R&amp;S - Packaging and hh goods'!$C$7*'R&amp;S - Packaging and hh goods'!$U9-P$28/'R&amp;S - Packaging and hh goods'!$C$8*'R&amp;S - Packaging and hh goods'!$U10-P$30/'R&amp;S - Packaging and hh goods'!$C$9*'R&amp;S - Packaging and hh goods'!$U11-P$31/'R&amp;S - Packaging and hh goods'!$C$10*'R&amp;S - Packaging and hh goods'!$U12</f>
        <v>10078.891377781181</v>
      </c>
      <c r="Q38" s="630">
        <f>Q26*'Demand - Ethylene'!$E$73-Q$27/'R&amp;S - Packaging and hh goods'!$C$7*'R&amp;S - Packaging and hh goods'!$U9-Q$28/'R&amp;S - Packaging and hh goods'!$C$8*'R&amp;S - Packaging and hh goods'!$U10-Q$30/'R&amp;S - Packaging and hh goods'!$C$9*'R&amp;S - Packaging and hh goods'!$U11-Q$31/'R&amp;S - Packaging and hh goods'!$C$10*'R&amp;S - Packaging and hh goods'!$U12</f>
        <v>9977.764324129721</v>
      </c>
      <c r="R38" s="630">
        <f>R26*'Demand - Ethylene'!$E$73-R$27/'R&amp;S - Packaging and hh goods'!$C$7*'R&amp;S - Packaging and hh goods'!$U9-R$28/'R&amp;S - Packaging and hh goods'!$C$8*'R&amp;S - Packaging and hh goods'!$U10-R$30/'R&amp;S - Packaging and hh goods'!$C$9*'R&amp;S - Packaging and hh goods'!$U11-R$31/'R&amp;S - Packaging and hh goods'!$C$10*'R&amp;S - Packaging and hh goods'!$U12</f>
        <v>9876.6372704782643</v>
      </c>
      <c r="S38" s="630">
        <f>S26*'Demand - Ethylene'!$E$73-S$27/'R&amp;S - Packaging and hh goods'!$C$7*'R&amp;S - Packaging and hh goods'!$U9-S$28/'R&amp;S - Packaging and hh goods'!$C$8*'R&amp;S - Packaging and hh goods'!$U10-S$30/'R&amp;S - Packaging and hh goods'!$C$9*'R&amp;S - Packaging and hh goods'!$U11-S$31/'R&amp;S - Packaging and hh goods'!$C$10*'R&amp;S - Packaging and hh goods'!$U12</f>
        <v>9775.510216826804</v>
      </c>
      <c r="T38" s="630">
        <f>T26*'Demand - Ethylene'!$E$73-T$27/'R&amp;S - Packaging and hh goods'!$C$7*'R&amp;S - Packaging and hh goods'!$U9-T$28/'R&amp;S - Packaging and hh goods'!$C$8*'R&amp;S - Packaging and hh goods'!$U10-T$30/'R&amp;S - Packaging and hh goods'!$C$9*'R&amp;S - Packaging and hh goods'!$U11-T$31/'R&amp;S - Packaging and hh goods'!$C$10*'R&amp;S - Packaging and hh goods'!$U12</f>
        <v>9674.3831631753474</v>
      </c>
      <c r="U38" s="630">
        <f>U26*'Demand - Ethylene'!$E$73-U$27/'R&amp;S - Packaging and hh goods'!$C$7*'R&amp;S - Packaging and hh goods'!$U9-U$28/'R&amp;S - Packaging and hh goods'!$C$8*'R&amp;S - Packaging and hh goods'!$U10-U$30/'R&amp;S - Packaging and hh goods'!$C$9*'R&amp;S - Packaging and hh goods'!$U11-U$31/'R&amp;S - Packaging and hh goods'!$C$10*'R&amp;S - Packaging and hh goods'!$U12</f>
        <v>9573.2561095238889</v>
      </c>
      <c r="V38" s="630">
        <f>V26*'Demand - Ethylene'!$E$73-V$27/'R&amp;S - Packaging and hh goods'!$C$7*'R&amp;S - Packaging and hh goods'!$U9-V$28/'R&amp;S - Packaging and hh goods'!$C$8*'R&amp;S - Packaging and hh goods'!$U10-V$30/'R&amp;S - Packaging and hh goods'!$C$9*'R&amp;S - Packaging and hh goods'!$U11-V$31/'R&amp;S - Packaging and hh goods'!$C$10*'R&amp;S - Packaging and hh goods'!$U12</f>
        <v>9472.1290558724304</v>
      </c>
      <c r="W38" s="630">
        <f>W26*'Demand - Ethylene'!$E$73-W$27/'R&amp;S - Packaging and hh goods'!$C$7*'R&amp;S - Packaging and hh goods'!$U9-W$28/'R&amp;S - Packaging and hh goods'!$C$8*'R&amp;S - Packaging and hh goods'!$U10-W$30/'R&amp;S - Packaging and hh goods'!$C$9*'R&amp;S - Packaging and hh goods'!$U11-W$31/'R&amp;S - Packaging and hh goods'!$C$10*'R&amp;S - Packaging and hh goods'!$U12</f>
        <v>9371.0020022209719</v>
      </c>
      <c r="X38" s="630">
        <f>X26*'Demand - Ethylene'!$E$73-X$27/'R&amp;S - Packaging and hh goods'!$C$7*'R&amp;S - Packaging and hh goods'!$U9-X$28/'R&amp;S - Packaging and hh goods'!$C$8*'R&amp;S - Packaging and hh goods'!$U10-X$30/'R&amp;S - Packaging and hh goods'!$C$9*'R&amp;S - Packaging and hh goods'!$U11-X$31/'R&amp;S - Packaging and hh goods'!$C$10*'R&amp;S - Packaging and hh goods'!$U12</f>
        <v>9269.8749485695134</v>
      </c>
      <c r="Y38" s="630">
        <f>Y26*'Demand - Ethylene'!$E$73-Y$27/'R&amp;S - Packaging and hh goods'!$C$7*'R&amp;S - Packaging and hh goods'!$U9-Y$28/'R&amp;S - Packaging and hh goods'!$C$8*'R&amp;S - Packaging and hh goods'!$U10-Y$30/'R&amp;S - Packaging and hh goods'!$C$9*'R&amp;S - Packaging and hh goods'!$U11-Y$31/'R&amp;S - Packaging and hh goods'!$C$10*'R&amp;S - Packaging and hh goods'!$U12</f>
        <v>9166.0796349272532</v>
      </c>
      <c r="Z38" s="630">
        <f>Z26*'Demand - Ethylene'!$E$73-Z$27/'R&amp;S - Packaging and hh goods'!$C$7*'R&amp;S - Packaging and hh goods'!$U9-Z$28/'R&amp;S - Packaging and hh goods'!$C$8*'R&amp;S - Packaging and hh goods'!$U10-Z$30/'R&amp;S - Packaging and hh goods'!$C$9*'R&amp;S - Packaging and hh goods'!$U11-Z$31/'R&amp;S - Packaging and hh goods'!$C$10*'R&amp;S - Packaging and hh goods'!$U12</f>
        <v>9062.2843212849912</v>
      </c>
      <c r="AA38" s="630">
        <f>AA26*'Demand - Ethylene'!$E$73-AA$27/'R&amp;S - Packaging and hh goods'!$C$7*'R&amp;S - Packaging and hh goods'!$U9-AA$28/'R&amp;S - Packaging and hh goods'!$C$8*'R&amp;S - Packaging and hh goods'!$U10-AA$30/'R&amp;S - Packaging and hh goods'!$C$9*'R&amp;S - Packaging and hh goods'!$U11-AA$31/'R&amp;S - Packaging and hh goods'!$C$10*'R&amp;S - Packaging and hh goods'!$U12</f>
        <v>8958.4890076427291</v>
      </c>
      <c r="AB38" s="630">
        <f>AB26*'Demand - Ethylene'!$E$73-AB$27/'R&amp;S - Packaging and hh goods'!$C$7*'R&amp;S - Packaging and hh goods'!$U9-AB$28/'R&amp;S - Packaging and hh goods'!$C$8*'R&amp;S - Packaging and hh goods'!$U10-AB$30/'R&amp;S - Packaging and hh goods'!$C$9*'R&amp;S - Packaging and hh goods'!$U11-AB$31/'R&amp;S - Packaging and hh goods'!$C$10*'R&amp;S - Packaging and hh goods'!$U12</f>
        <v>8854.6936940004671</v>
      </c>
      <c r="AC38" s="630">
        <f>AC26*'Demand - Ethylene'!$E$73-AC$27/'R&amp;S - Packaging and hh goods'!$C$7*'R&amp;S - Packaging and hh goods'!$U9-AC$28/'R&amp;S - Packaging and hh goods'!$C$8*'R&amp;S - Packaging and hh goods'!$U10-AC$30/'R&amp;S - Packaging and hh goods'!$C$9*'R&amp;S - Packaging and hh goods'!$U11-AC$31/'R&amp;S - Packaging and hh goods'!$C$10*'R&amp;S - Packaging and hh goods'!$U12</f>
        <v>8750.898380358205</v>
      </c>
      <c r="AD38" s="630">
        <f>AD26*'Demand - Ethylene'!$E$73-AD$27/'R&amp;S - Packaging and hh goods'!$C$7*'R&amp;S - Packaging and hh goods'!$U9-AD$28/'R&amp;S - Packaging and hh goods'!$C$8*'R&amp;S - Packaging and hh goods'!$U10-AD$30/'R&amp;S - Packaging and hh goods'!$C$9*'R&amp;S - Packaging and hh goods'!$U11-AD$31/'R&amp;S - Packaging and hh goods'!$C$10*'R&amp;S - Packaging and hh goods'!$U12</f>
        <v>8647.103066715943</v>
      </c>
      <c r="AE38" s="630">
        <f>AE26*'Demand - Ethylene'!$E$73-AE$27/'R&amp;S - Packaging and hh goods'!$C$7*'R&amp;S - Packaging and hh goods'!$U9-AE$28/'R&amp;S - Packaging and hh goods'!$C$8*'R&amp;S - Packaging and hh goods'!$U10-AE$30/'R&amp;S - Packaging and hh goods'!$C$9*'R&amp;S - Packaging and hh goods'!$U11-AE$31/'R&amp;S - Packaging and hh goods'!$C$10*'R&amp;S - Packaging and hh goods'!$U12</f>
        <v>8543.3077530736809</v>
      </c>
      <c r="AF38" s="630">
        <f>AF26*'Demand - Ethylene'!$E$73-AF$27/'R&amp;S - Packaging and hh goods'!$C$7*'R&amp;S - Packaging and hh goods'!$U9-AF$28/'R&amp;S - Packaging and hh goods'!$C$8*'R&amp;S - Packaging and hh goods'!$U10-AF$30/'R&amp;S - Packaging and hh goods'!$C$9*'R&amp;S - Packaging and hh goods'!$U11-AF$31/'R&amp;S - Packaging and hh goods'!$C$10*'R&amp;S - Packaging and hh goods'!$U12</f>
        <v>8439.5124394314207</v>
      </c>
      <c r="AG38" s="630">
        <f>AG26*'Demand - Ethylene'!$E$73-AG$27/'R&amp;S - Packaging and hh goods'!$C$7*'R&amp;S - Packaging and hh goods'!$U9-AG$28/'R&amp;S - Packaging and hh goods'!$C$8*'R&amp;S - Packaging and hh goods'!$U10-AG$30/'R&amp;S - Packaging and hh goods'!$C$9*'R&amp;S - Packaging and hh goods'!$U11-AG$31/'R&amp;S - Packaging and hh goods'!$C$10*'R&amp;S - Packaging and hh goods'!$U12</f>
        <v>8335.7171257891569</v>
      </c>
      <c r="AH38" s="630">
        <f>AH26*'Demand - Ethylene'!$E$73-AH$27/'R&amp;S - Packaging and hh goods'!$C$7*'R&amp;S - Packaging and hh goods'!$U9-AH$28/'R&amp;S - Packaging and hh goods'!$C$8*'R&amp;S - Packaging and hh goods'!$U10-AH$30/'R&amp;S - Packaging and hh goods'!$C$9*'R&amp;S - Packaging and hh goods'!$U11-AH$31/'R&amp;S - Packaging and hh goods'!$C$10*'R&amp;S - Packaging and hh goods'!$U12</f>
        <v>8231.9218121468966</v>
      </c>
      <c r="AI38" s="57"/>
    </row>
    <row r="39" spans="1:35" s="63" customFormat="1">
      <c r="A39" s="690"/>
      <c r="B39" s="59" t="s">
        <v>682</v>
      </c>
      <c r="C39" s="262" t="s">
        <v>166</v>
      </c>
      <c r="D39" s="599">
        <f>D33*'Demand - Ethylene'!$D$73/'Demand - Ethylene'!$L$24</f>
        <v>60596.874982885318</v>
      </c>
      <c r="E39" s="599">
        <f>E33*'Demand - Ethylene'!$D$73/'Demand - Ethylene'!$L$24</f>
        <v>59949.654304443116</v>
      </c>
      <c r="F39" s="599">
        <f>F33*'Demand - Ethylene'!$D$73/'Demand - Ethylene'!$L$24</f>
        <v>59302.433626000915</v>
      </c>
      <c r="G39" s="599">
        <f>G33*'Demand - Ethylene'!$D$73/'Demand - Ethylene'!$L$24</f>
        <v>58655.212947558713</v>
      </c>
      <c r="H39" s="599">
        <f>H33*'Demand - Ethylene'!$D$73/'Demand - Ethylene'!$L$24</f>
        <v>58007.992269116512</v>
      </c>
      <c r="I39" s="599">
        <f>I33*'Demand - Ethylene'!$D$73/'Demand - Ethylene'!$L$24</f>
        <v>57360.771590674311</v>
      </c>
      <c r="J39" s="599">
        <f>J33*'Demand - Ethylene'!$D$73/'Demand - Ethylene'!$L$24</f>
        <v>56713.550912232109</v>
      </c>
      <c r="K39" s="599">
        <f>K33*'Demand - Ethylene'!$D$73/'Demand - Ethylene'!$L$24</f>
        <v>56066.330233789908</v>
      </c>
      <c r="L39" s="599">
        <f>L33*'Demand - Ethylene'!$D$73/'Demand - Ethylene'!$L$24</f>
        <v>55419.109555347706</v>
      </c>
      <c r="M39" s="599">
        <f>M33*'Demand - Ethylene'!$D$73/'Demand - Ethylene'!$L$24</f>
        <v>54771.888876905505</v>
      </c>
      <c r="N39" s="599">
        <f>N33*'Demand - Ethylene'!$D$73/'Demand - Ethylene'!$L$24</f>
        <v>54124.668198463303</v>
      </c>
      <c r="O39" s="599">
        <f>O33*'Demand - Ethylene'!$D$73/'Demand - Ethylene'!$L$24</f>
        <v>53013.963838152005</v>
      </c>
      <c r="P39" s="599">
        <f>P33*'Demand - Ethylene'!$D$73/'Demand - Ethylene'!$L$24</f>
        <v>52088.251435694714</v>
      </c>
      <c r="Q39" s="599">
        <f>Q33*'Demand - Ethylene'!$D$73/'Demand - Ethylene'!$L$24</f>
        <v>50958.409976295065</v>
      </c>
      <c r="R39" s="599">
        <f>R33*'Demand - Ethylene'!$D$73/'Demand - Ethylene'!$L$24</f>
        <v>49828.568516895415</v>
      </c>
      <c r="S39" s="599">
        <f>S33*'Demand - Ethylene'!$D$73/'Demand - Ethylene'!$L$24</f>
        <v>48698.72705749578</v>
      </c>
      <c r="T39" s="599">
        <f>T33*'Demand - Ethylene'!$D$73/'Demand - Ethylene'!$L$24</f>
        <v>47568.885598096138</v>
      </c>
      <c r="U39" s="599">
        <f>U33*'Demand - Ethylene'!$D$73/'Demand - Ethylene'!$L$24</f>
        <v>46439.044138696496</v>
      </c>
      <c r="V39" s="599">
        <f>V33*'Demand - Ethylene'!$D$73/'Demand - Ethylene'!$L$24</f>
        <v>45309.202679296854</v>
      </c>
      <c r="W39" s="599">
        <f>W33*'Demand - Ethylene'!$D$73/'Demand - Ethylene'!$L$24</f>
        <v>44179.361219897204</v>
      </c>
      <c r="X39" s="599">
        <f>X33*'Demand - Ethylene'!$D$73/'Demand - Ethylene'!$L$24</f>
        <v>43049.519760497555</v>
      </c>
      <c r="Y39" s="599">
        <f>Y33*'Demand - Ethylene'!$D$73/'Demand - Ethylene'!$L$24</f>
        <v>41311.206294363525</v>
      </c>
      <c r="Z39" s="599">
        <f>Z33*'Demand - Ethylene'!$D$73/'Demand - Ethylene'!$L$24</f>
        <v>40158.867639157732</v>
      </c>
      <c r="AA39" s="599">
        <f>AA33*'Demand - Ethylene'!$D$73/'Demand - Ethylene'!$L$24</f>
        <v>39006.528983951939</v>
      </c>
      <c r="AB39" s="599">
        <f>AB33*'Demand - Ethylene'!$D$73/'Demand - Ethylene'!$L$24</f>
        <v>37854.190328746146</v>
      </c>
      <c r="AC39" s="599">
        <f>AC33*'Demand - Ethylene'!$D$73/'Demand - Ethylene'!$L$24</f>
        <v>36701.851673540368</v>
      </c>
      <c r="AD39" s="599">
        <f>AD33*'Demand - Ethylene'!$D$73/'Demand - Ethylene'!$L$24</f>
        <v>35549.513018334575</v>
      </c>
      <c r="AE39" s="599">
        <f>AE33*'Demand - Ethylene'!$D$73/'Demand - Ethylene'!$L$24</f>
        <v>34397.174363128783</v>
      </c>
      <c r="AF39" s="599">
        <f>AF33*'Demand - Ethylene'!$D$73/'Demand - Ethylene'!$L$24</f>
        <v>33244.835707922997</v>
      </c>
      <c r="AG39" s="599">
        <f>AG33*'Demand - Ethylene'!$D$73/'Demand - Ethylene'!$L$24</f>
        <v>32092.497052717208</v>
      </c>
      <c r="AH39" s="599">
        <f>AH33*'Demand - Ethylene'!$D$73/'Demand - Ethylene'!$L$24</f>
        <v>30940.158397511412</v>
      </c>
      <c r="AI39" s="263"/>
    </row>
    <row r="40" spans="1:35" s="62" customFormat="1">
      <c r="A40" s="55" t="s">
        <v>256</v>
      </c>
      <c r="B40" s="55" t="s">
        <v>174</v>
      </c>
      <c r="C40" s="56" t="s">
        <v>166</v>
      </c>
      <c r="D40" s="630">
        <f>'R&amp;S - Buildings'!J4</f>
        <v>201906.27397932502</v>
      </c>
      <c r="E40" s="630">
        <f>D40*(1+'R&amp;S - Buildings'!$C$5)</f>
        <v>201906.27397932502</v>
      </c>
      <c r="F40" s="630">
        <f>E40*(1+'R&amp;S - Buildings'!$C$5)</f>
        <v>201906.27397932502</v>
      </c>
      <c r="G40" s="630">
        <f>F40*(1+'R&amp;S - Buildings'!$C$5)</f>
        <v>201906.27397932502</v>
      </c>
      <c r="H40" s="630">
        <f>G40*(1+'R&amp;S - Buildings'!$C$5)</f>
        <v>201906.27397932502</v>
      </c>
      <c r="I40" s="630">
        <f>H40*(1+'R&amp;S - Buildings'!$C$5)</f>
        <v>201906.27397932502</v>
      </c>
      <c r="J40" s="630">
        <f>I40*(1+'R&amp;S - Buildings'!$C$5)</f>
        <v>201906.27397932502</v>
      </c>
      <c r="K40" s="630">
        <f>J40*(1+'R&amp;S - Buildings'!$C$5)</f>
        <v>201906.27397932502</v>
      </c>
      <c r="L40" s="630">
        <f>K40*(1+'R&amp;S - Buildings'!$C$5)</f>
        <v>201906.27397932502</v>
      </c>
      <c r="M40" s="630">
        <f>L40*(1+'R&amp;S - Buildings'!$C$5)</f>
        <v>201906.27397932502</v>
      </c>
      <c r="N40" s="630">
        <f>M40*(1+'R&amp;S - Buildings'!$C$5)</f>
        <v>201906.27397932502</v>
      </c>
      <c r="O40" s="630">
        <f>N40*(1+'R&amp;S - Buildings'!$C$5)</f>
        <v>201906.27397932502</v>
      </c>
      <c r="P40" s="630">
        <f>O40*(1+'R&amp;S - Buildings'!$C$5)</f>
        <v>201906.27397932502</v>
      </c>
      <c r="Q40" s="630">
        <f>P40*(1+'R&amp;S - Buildings'!$C$5)</f>
        <v>201906.27397932502</v>
      </c>
      <c r="R40" s="630">
        <f>Q40*(1+'R&amp;S - Buildings'!$C$5)</f>
        <v>201906.27397932502</v>
      </c>
      <c r="S40" s="630">
        <f>R40*(1+'R&amp;S - Buildings'!$C$5)</f>
        <v>201906.27397932502</v>
      </c>
      <c r="T40" s="630">
        <f>S40*(1+'R&amp;S - Buildings'!$C$5)</f>
        <v>201906.27397932502</v>
      </c>
      <c r="U40" s="630">
        <f>T40*(1+'R&amp;S - Buildings'!$C$5)</f>
        <v>201906.27397932502</v>
      </c>
      <c r="V40" s="630">
        <f>U40*(1+'R&amp;S - Buildings'!$C$5)</f>
        <v>201906.27397932502</v>
      </c>
      <c r="W40" s="630">
        <f>V40*(1+'R&amp;S - Buildings'!$C$5)</f>
        <v>201906.27397932502</v>
      </c>
      <c r="X40" s="630">
        <f>W40*(1+'R&amp;S - Buildings'!$C$5)</f>
        <v>201906.27397932502</v>
      </c>
      <c r="Y40" s="630">
        <f>X40*(1+'R&amp;S - Buildings'!$C$5)</f>
        <v>201906.27397932502</v>
      </c>
      <c r="Z40" s="630">
        <f>Y40*(1+'R&amp;S - Buildings'!$C$5)</f>
        <v>201906.27397932502</v>
      </c>
      <c r="AA40" s="630">
        <f>Z40*(1+'R&amp;S - Buildings'!$C$5)</f>
        <v>201906.27397932502</v>
      </c>
      <c r="AB40" s="630">
        <f>AA40*(1+'R&amp;S - Buildings'!$C$5)</f>
        <v>201906.27397932502</v>
      </c>
      <c r="AC40" s="630">
        <f>AB40*(1+'R&amp;S - Buildings'!$C$5)</f>
        <v>201906.27397932502</v>
      </c>
      <c r="AD40" s="630">
        <f>AC40*(1+'R&amp;S - Buildings'!$C$5)</f>
        <v>201906.27397932502</v>
      </c>
      <c r="AE40" s="630">
        <f>AD40*(1+'R&amp;S - Buildings'!$C$5)</f>
        <v>201906.27397932502</v>
      </c>
      <c r="AF40" s="630">
        <f>AE40*(1+'R&amp;S - Buildings'!$C$5)</f>
        <v>201906.27397932502</v>
      </c>
      <c r="AG40" s="630">
        <f>AF40*(1+'R&amp;S - Buildings'!$C$5)</f>
        <v>201906.27397932502</v>
      </c>
      <c r="AH40" s="630">
        <f>AG40*(1+'R&amp;S - Buildings'!$C$5)</f>
        <v>201906.27397932502</v>
      </c>
    </row>
    <row r="41" spans="1:35" outlineLevel="1">
      <c r="B41" s="1" t="s">
        <v>164</v>
      </c>
      <c r="C41" s="51" t="s">
        <v>166</v>
      </c>
      <c r="D41" s="196">
        <v>0</v>
      </c>
      <c r="E41" s="196">
        <f>E40*'R&amp;S - Buildings'!$C$7*'R&amp;S - Buildings'!$B$12*'R&amp;S - Buildings'!$B$15*('Yearly LC Ethylene'!E$3-'Yearly LC Ethylene'!$D$3)/10</f>
        <v>1465.8395490898997</v>
      </c>
      <c r="F41" s="196">
        <f>F40*'R&amp;S - Buildings'!$C$7*'R&amp;S - Buildings'!$B$12*'R&amp;S - Buildings'!$B$15*('Yearly LC Ethylene'!F$3-'Yearly LC Ethylene'!$D$3)/10</f>
        <v>2931.6790981797994</v>
      </c>
      <c r="G41" s="196">
        <f>G40*'R&amp;S - Buildings'!$C$7*'R&amp;S - Buildings'!$B$12*'R&amp;S - Buildings'!$B$15*('Yearly LC Ethylene'!G$3-'Yearly LC Ethylene'!$D$3)/10</f>
        <v>4397.5186472696996</v>
      </c>
      <c r="H41" s="196">
        <f>H40*'R&amp;S - Buildings'!$C$7*'R&amp;S - Buildings'!$B$12*'R&amp;S - Buildings'!$B$15*('Yearly LC Ethylene'!H$3-'Yearly LC Ethylene'!$D$3)/10</f>
        <v>5863.3581963595989</v>
      </c>
      <c r="I41" s="196">
        <f>I40*'R&amp;S - Buildings'!$C$7*'R&amp;S - Buildings'!$B$12*'R&amp;S - Buildings'!$B$15*('Yearly LC Ethylene'!I$3-'Yearly LC Ethylene'!$D$3)/10</f>
        <v>7329.1977454494991</v>
      </c>
      <c r="J41" s="196">
        <f>J40*'R&amp;S - Buildings'!$C$7*'R&amp;S - Buildings'!$B$12*'R&amp;S - Buildings'!$B$15*('Yearly LC Ethylene'!J$3-'Yearly LC Ethylene'!$D$3)/10</f>
        <v>8795.0372945393992</v>
      </c>
      <c r="K41" s="196">
        <f>K40*'R&amp;S - Buildings'!$C$7*'R&amp;S - Buildings'!$B$12*'R&amp;S - Buildings'!$B$15*('Yearly LC Ethylene'!K$3-'Yearly LC Ethylene'!$D$3)/10</f>
        <v>10260.876843629299</v>
      </c>
      <c r="L41" s="196">
        <f>L40*'R&amp;S - Buildings'!$C$7*'R&amp;S - Buildings'!$B$12*'R&amp;S - Buildings'!$B$15*('Yearly LC Ethylene'!L$3-'Yearly LC Ethylene'!$D$3)/10</f>
        <v>11726.716392719198</v>
      </c>
      <c r="M41" s="196">
        <f>M40*'R&amp;S - Buildings'!$C$7*'R&amp;S - Buildings'!$B$12*'R&amp;S - Buildings'!$B$15*('Yearly LC Ethylene'!M$3-'Yearly LC Ethylene'!$D$3)/10</f>
        <v>13192.555941809096</v>
      </c>
      <c r="N41" s="196">
        <f>N40*'R&amp;S - Buildings'!$C$7*'R&amp;S - Buildings'!$B$12*'R&amp;S - Buildings'!$B$15*('Yearly LC Ethylene'!N$3-'Yearly LC Ethylene'!$D$3)/10</f>
        <v>14658.395490898998</v>
      </c>
      <c r="O41" s="196">
        <f>O40*'R&amp;S - Buildings'!$C$7*'R&amp;S - Buildings'!$B$12*('R&amp;S - Buildings'!$B$15+('R&amp;S - Buildings'!$B$16-'R&amp;S - Buildings'!$B$15)*('Yearly LC Ethylene'!O$3-'Yearly LC Ethylene'!$N$3)/10)</f>
        <v>16124.235039988896</v>
      </c>
      <c r="P41" s="196">
        <f>P40*'R&amp;S - Buildings'!$C$7*'R&amp;S - Buildings'!$B$12*('R&amp;S - Buildings'!$B$15+('R&amp;S - Buildings'!$B$16-'R&amp;S - Buildings'!$B$15)*('Yearly LC Ethylene'!P$3-'Yearly LC Ethylene'!$N$3)/10)</f>
        <v>17590.074589078798</v>
      </c>
      <c r="Q41" s="196">
        <f>Q40*'R&amp;S - Buildings'!$C$7*'R&amp;S - Buildings'!$B$12*('R&amp;S - Buildings'!$B$15+('R&amp;S - Buildings'!$B$16-'R&amp;S - Buildings'!$B$15)*('Yearly LC Ethylene'!Q$3-'Yearly LC Ethylene'!$N$3)/10)</f>
        <v>19055.914138168697</v>
      </c>
      <c r="R41" s="196">
        <f>R40*'R&amp;S - Buildings'!$C$7*'R&amp;S - Buildings'!$B$12*('R&amp;S - Buildings'!$B$15+('R&amp;S - Buildings'!$B$16-'R&amp;S - Buildings'!$B$15)*('Yearly LC Ethylene'!R$3-'Yearly LC Ethylene'!$N$3)/10)</f>
        <v>20521.753687258595</v>
      </c>
      <c r="S41" s="196">
        <f>S40*'R&amp;S - Buildings'!$C$7*'R&amp;S - Buildings'!$B$12*('R&amp;S - Buildings'!$B$15+('R&amp;S - Buildings'!$B$16-'R&amp;S - Buildings'!$B$15)*('Yearly LC Ethylene'!S$3-'Yearly LC Ethylene'!$N$3)/10)</f>
        <v>21987.593236348494</v>
      </c>
      <c r="T41" s="196">
        <f>T40*'R&amp;S - Buildings'!$C$7*'R&amp;S - Buildings'!$B$12*('R&amp;S - Buildings'!$B$15+('R&amp;S - Buildings'!$B$16-'R&amp;S - Buildings'!$B$15)*('Yearly LC Ethylene'!T$3-'Yearly LC Ethylene'!$N$3)/10)</f>
        <v>23453.432785438396</v>
      </c>
      <c r="U41" s="196">
        <f>U40*'R&amp;S - Buildings'!$C$7*'R&amp;S - Buildings'!$B$12*('R&amp;S - Buildings'!$B$15+('R&amp;S - Buildings'!$B$16-'R&amp;S - Buildings'!$B$15)*('Yearly LC Ethylene'!U$3-'Yearly LC Ethylene'!$N$3)/10)</f>
        <v>24919.272334528298</v>
      </c>
      <c r="V41" s="196">
        <f>V40*'R&amp;S - Buildings'!$C$7*'R&amp;S - Buildings'!$B$12*('R&amp;S - Buildings'!$B$15+('R&amp;S - Buildings'!$B$16-'R&amp;S - Buildings'!$B$15)*('Yearly LC Ethylene'!V$3-'Yearly LC Ethylene'!$N$3)/10)</f>
        <v>26385.111883618199</v>
      </c>
      <c r="W41" s="196">
        <f>W40*'R&amp;S - Buildings'!$C$7*'R&amp;S - Buildings'!$B$12*('R&amp;S - Buildings'!$B$15+('R&amp;S - Buildings'!$B$16-'R&amp;S - Buildings'!$B$15)*('Yearly LC Ethylene'!W$3-'Yearly LC Ethylene'!$N$3)/10)</f>
        <v>27850.951432708094</v>
      </c>
      <c r="X41" s="196">
        <f>X40*'R&amp;S - Buildings'!$C$7*'R&amp;S - Buildings'!$B$12*('R&amp;S - Buildings'!$B$15+('R&amp;S - Buildings'!$B$16-'R&amp;S - Buildings'!$B$15)*('Yearly LC Ethylene'!X$3-'Yearly LC Ethylene'!$N$3)/10)</f>
        <v>29316.790981797996</v>
      </c>
      <c r="Y41" s="196">
        <f>Y40*'R&amp;S - Buildings'!$C$7*'R&amp;S - Buildings'!$B$12*('R&amp;S - Buildings'!$B$16+('R&amp;S - Buildings'!$B$17-'R&amp;S - Buildings'!$B$16)*('Yearly LC Ethylene'!Y$3-'Yearly LC Ethylene'!$X$3)/10)</f>
        <v>30827.049911163347</v>
      </c>
      <c r="Z41" s="196">
        <f>Z40*'R&amp;S - Buildings'!$C$7*'R&amp;S - Buildings'!$B$12*('R&amp;S - Buildings'!$B$16+('R&amp;S - Buildings'!$B$17-'R&amp;S - Buildings'!$B$16)*('Yearly LC Ethylene'!Z$3-'Yearly LC Ethylene'!$X$3)/10)</f>
        <v>32337.308840528694</v>
      </c>
      <c r="AA41" s="196">
        <f>AA40*'R&amp;S - Buildings'!$C$7*'R&amp;S - Buildings'!$B$12*('R&amp;S - Buildings'!$B$16+('R&amp;S - Buildings'!$B$17-'R&amp;S - Buildings'!$B$16)*('Yearly LC Ethylene'!AA$3-'Yearly LC Ethylene'!$X$3)/10)</f>
        <v>33847.567769894049</v>
      </c>
      <c r="AB41" s="196">
        <f>AB40*'R&amp;S - Buildings'!$C$7*'R&amp;S - Buildings'!$B$12*('R&amp;S - Buildings'!$B$16+('R&amp;S - Buildings'!$B$17-'R&amp;S - Buildings'!$B$16)*('Yearly LC Ethylene'!AB$3-'Yearly LC Ethylene'!$X$3)/10)</f>
        <v>35357.8266992594</v>
      </c>
      <c r="AC41" s="196">
        <f>AC40*'R&amp;S - Buildings'!$C$7*'R&amp;S - Buildings'!$B$12*('R&amp;S - Buildings'!$B$16+('R&amp;S - Buildings'!$B$17-'R&amp;S - Buildings'!$B$16)*('Yearly LC Ethylene'!AC$3-'Yearly LC Ethylene'!$X$3)/10)</f>
        <v>36868.085628624751</v>
      </c>
      <c r="AD41" s="196">
        <f>AD40*'R&amp;S - Buildings'!$C$7*'R&amp;S - Buildings'!$B$12*('R&amp;S - Buildings'!$B$16+('R&amp;S - Buildings'!$B$17-'R&amp;S - Buildings'!$B$16)*('Yearly LC Ethylene'!AD$3-'Yearly LC Ethylene'!$X$3)/10)</f>
        <v>38378.344557990102</v>
      </c>
      <c r="AE41" s="196">
        <f>AE40*'R&amp;S - Buildings'!$C$7*'R&amp;S - Buildings'!$B$12*('R&amp;S - Buildings'!$B$16+('R&amp;S - Buildings'!$B$17-'R&amp;S - Buildings'!$B$16)*('Yearly LC Ethylene'!AE$3-'Yearly LC Ethylene'!$X$3)/10)</f>
        <v>39888.603487355453</v>
      </c>
      <c r="AF41" s="196">
        <f>AF40*'R&amp;S - Buildings'!$C$7*'R&amp;S - Buildings'!$B$12*('R&amp;S - Buildings'!$B$16+('R&amp;S - Buildings'!$B$17-'R&amp;S - Buildings'!$B$16)*('Yearly LC Ethylene'!AF$3-'Yearly LC Ethylene'!$X$3)/10)</f>
        <v>41398.862416720804</v>
      </c>
      <c r="AG41" s="196">
        <f>AG40*'R&amp;S - Buildings'!$C$7*'R&amp;S - Buildings'!$B$12*('R&amp;S - Buildings'!$B$16+('R&amp;S - Buildings'!$B$17-'R&amp;S - Buildings'!$B$16)*('Yearly LC Ethylene'!AG$3-'Yearly LC Ethylene'!$X$3)/10)</f>
        <v>42909.121346086155</v>
      </c>
      <c r="AH41" s="196">
        <f>AH40*'R&amp;S - Buildings'!$C$7*'R&amp;S - Buildings'!$B$12*('R&amp;S - Buildings'!$B$16+('R&amp;S - Buildings'!$B$17-'R&amp;S - Buildings'!$B$16)*('Yearly LC Ethylene'!AH$3-'Yearly LC Ethylene'!$X$3)/10)</f>
        <v>44419.380275451505</v>
      </c>
    </row>
    <row r="42" spans="1:35" outlineLevel="1">
      <c r="B42" s="1" t="s">
        <v>167</v>
      </c>
      <c r="C42" s="51" t="s">
        <v>166</v>
      </c>
      <c r="D42" s="196">
        <v>0</v>
      </c>
      <c r="E42" s="196">
        <f>E40*'R&amp;S - Buildings'!$C$8*'R&amp;S - Buildings'!$C$12*'R&amp;S - Buildings'!$B$15*('Yearly LC Ethylene'!E$3-'Yearly LC Ethylene'!$D$3)/10</f>
        <v>645.40994085344687</v>
      </c>
      <c r="F42" s="196">
        <f>F40*'R&amp;S - Buildings'!$C$8*'R&amp;S - Buildings'!$C$12*'R&amp;S - Buildings'!$B$15*('Yearly LC Ethylene'!F$3-'Yearly LC Ethylene'!$D$3)/10</f>
        <v>1290.8198817068937</v>
      </c>
      <c r="G42" s="196">
        <f>G40*'R&amp;S - Buildings'!$C$8*'R&amp;S - Buildings'!$C$12*'R&amp;S - Buildings'!$B$15*('Yearly LC Ethylene'!G$3-'Yearly LC Ethylene'!$D$3)/10</f>
        <v>1936.2298225603408</v>
      </c>
      <c r="H42" s="196">
        <f>H40*'R&amp;S - Buildings'!$C$8*'R&amp;S - Buildings'!$C$12*'R&amp;S - Buildings'!$B$15*('Yearly LC Ethylene'!H$3-'Yearly LC Ethylene'!$D$3)/10</f>
        <v>2581.6397634137875</v>
      </c>
      <c r="I42" s="196">
        <f>I40*'R&amp;S - Buildings'!$C$8*'R&amp;S - Buildings'!$C$12*'R&amp;S - Buildings'!$B$15*('Yearly LC Ethylene'!I$3-'Yearly LC Ethylene'!$D$3)/10</f>
        <v>3227.0497042672346</v>
      </c>
      <c r="J42" s="196">
        <f>J40*'R&amp;S - Buildings'!$C$8*'R&amp;S - Buildings'!$C$12*'R&amp;S - Buildings'!$B$15*('Yearly LC Ethylene'!J$3-'Yearly LC Ethylene'!$D$3)/10</f>
        <v>3872.4596451206817</v>
      </c>
      <c r="K42" s="196">
        <f>K40*'R&amp;S - Buildings'!$C$8*'R&amp;S - Buildings'!$C$12*'R&amp;S - Buildings'!$B$15*('Yearly LC Ethylene'!K$3-'Yearly LC Ethylene'!$D$3)/10</f>
        <v>4517.8695859741283</v>
      </c>
      <c r="L42" s="196">
        <f>L40*'R&amp;S - Buildings'!$C$8*'R&amp;S - Buildings'!$C$12*'R&amp;S - Buildings'!$B$15*('Yearly LC Ethylene'!L$3-'Yearly LC Ethylene'!$D$3)/10</f>
        <v>5163.279526827575</v>
      </c>
      <c r="M42" s="196">
        <f>M40*'R&amp;S - Buildings'!$C$8*'R&amp;S - Buildings'!$C$12*'R&amp;S - Buildings'!$B$15*('Yearly LC Ethylene'!M$3-'Yearly LC Ethylene'!$D$3)/10</f>
        <v>5808.6894676810225</v>
      </c>
      <c r="N42" s="196">
        <f>N40*'R&amp;S - Buildings'!$C$8*'R&amp;S - Buildings'!$C$12*'R&amp;S - Buildings'!$B$15*('Yearly LC Ethylene'!N$3-'Yearly LC Ethylene'!$D$3)/10</f>
        <v>6454.0994085344691</v>
      </c>
      <c r="O42" s="196">
        <f>O40*'R&amp;S - Buildings'!$C$8*'R&amp;S - Buildings'!$C$12*('R&amp;S - Buildings'!$B$15+('R&amp;S - Buildings'!$B$16-'R&amp;S - Buildings'!$B$15)*('Yearly LC Ethylene'!O$3-'Yearly LC Ethylene'!$N$3)/10)</f>
        <v>7099.5093493879149</v>
      </c>
      <c r="P42" s="196">
        <f>P40*'R&amp;S - Buildings'!$C$8*'R&amp;S - Buildings'!$C$12*('R&amp;S - Buildings'!$B$15+('R&amp;S - Buildings'!$B$16-'R&amp;S - Buildings'!$B$15)*('Yearly LC Ethylene'!P$3-'Yearly LC Ethylene'!$N$3)/10)</f>
        <v>7744.9192902413624</v>
      </c>
      <c r="Q42" s="196">
        <f>Q40*'R&amp;S - Buildings'!$C$8*'R&amp;S - Buildings'!$C$12*('R&amp;S - Buildings'!$B$15+('R&amp;S - Buildings'!$B$16-'R&amp;S - Buildings'!$B$15)*('Yearly LC Ethylene'!Q$3-'Yearly LC Ethylene'!$N$3)/10)</f>
        <v>8390.3292310948109</v>
      </c>
      <c r="R42" s="196">
        <f>R40*'R&amp;S - Buildings'!$C$8*'R&amp;S - Buildings'!$C$12*('R&amp;S - Buildings'!$B$15+('R&amp;S - Buildings'!$B$16-'R&amp;S - Buildings'!$B$15)*('Yearly LC Ethylene'!R$3-'Yearly LC Ethylene'!$N$3)/10)</f>
        <v>9035.7391719482566</v>
      </c>
      <c r="S42" s="196">
        <f>S40*'R&amp;S - Buildings'!$C$8*'R&amp;S - Buildings'!$C$12*('R&amp;S - Buildings'!$B$15+('R&amp;S - Buildings'!$B$16-'R&amp;S - Buildings'!$B$15)*('Yearly LC Ethylene'!S$3-'Yearly LC Ethylene'!$N$3)/10)</f>
        <v>9681.1491128017024</v>
      </c>
      <c r="T42" s="196">
        <f>T40*'R&amp;S - Buildings'!$C$8*'R&amp;S - Buildings'!$C$12*('R&amp;S - Buildings'!$B$15+('R&amp;S - Buildings'!$B$16-'R&amp;S - Buildings'!$B$15)*('Yearly LC Ethylene'!T$3-'Yearly LC Ethylene'!$N$3)/10)</f>
        <v>10326.55905365515</v>
      </c>
      <c r="U42" s="196">
        <f>U40*'R&amp;S - Buildings'!$C$8*'R&amp;S - Buildings'!$C$12*('R&amp;S - Buildings'!$B$15+('R&amp;S - Buildings'!$B$16-'R&amp;S - Buildings'!$B$15)*('Yearly LC Ethylene'!U$3-'Yearly LC Ethylene'!$N$3)/10)</f>
        <v>10971.968994508597</v>
      </c>
      <c r="V42" s="196">
        <f>V40*'R&amp;S - Buildings'!$C$8*'R&amp;S - Buildings'!$C$12*('R&amp;S - Buildings'!$B$15+('R&amp;S - Buildings'!$B$16-'R&amp;S - Buildings'!$B$15)*('Yearly LC Ethylene'!V$3-'Yearly LC Ethylene'!$N$3)/10)</f>
        <v>11617.378935362045</v>
      </c>
      <c r="W42" s="196">
        <f>W40*'R&amp;S - Buildings'!$C$8*'R&amp;S - Buildings'!$C$12*('R&amp;S - Buildings'!$B$15+('R&amp;S - Buildings'!$B$16-'R&amp;S - Buildings'!$B$15)*('Yearly LC Ethylene'!W$3-'Yearly LC Ethylene'!$N$3)/10)</f>
        <v>12262.788876215491</v>
      </c>
      <c r="X42" s="196">
        <f>X40*'R&amp;S - Buildings'!$C$8*'R&amp;S - Buildings'!$C$12*('R&amp;S - Buildings'!$B$15+('R&amp;S - Buildings'!$B$16-'R&amp;S - Buildings'!$B$15)*('Yearly LC Ethylene'!X$3-'Yearly LC Ethylene'!$N$3)/10)</f>
        <v>12908.198817068938</v>
      </c>
      <c r="Y42" s="196">
        <f>Y40*'R&amp;S - Buildings'!$C$8*'R&amp;S - Buildings'!$C$12*('R&amp;S - Buildings'!$B$16+('R&amp;S - Buildings'!$B$17-'R&amp;S - Buildings'!$B$16)*('Yearly LC Ethylene'!Y$3-'Yearly LC Ethylene'!$X$3)/10)</f>
        <v>13573.166634917945</v>
      </c>
      <c r="Z42" s="196">
        <f>Z40*'R&amp;S - Buildings'!$C$8*'R&amp;S - Buildings'!$C$12*('R&amp;S - Buildings'!$B$16+('R&amp;S - Buildings'!$B$17-'R&amp;S - Buildings'!$B$16)*('Yearly LC Ethylene'!Z$3-'Yearly LC Ethylene'!$X$3)/10)</f>
        <v>14238.134452766948</v>
      </c>
      <c r="AA42" s="196">
        <f>AA40*'R&amp;S - Buildings'!$C$8*'R&amp;S - Buildings'!$C$12*('R&amp;S - Buildings'!$B$16+('R&amp;S - Buildings'!$B$17-'R&amp;S - Buildings'!$B$16)*('Yearly LC Ethylene'!AA$3-'Yearly LC Ethylene'!$X$3)/10)</f>
        <v>14903.102270615955</v>
      </c>
      <c r="AB42" s="196">
        <f>AB40*'R&amp;S - Buildings'!$C$8*'R&amp;S - Buildings'!$C$12*('R&amp;S - Buildings'!$B$16+('R&amp;S - Buildings'!$B$17-'R&amp;S - Buildings'!$B$16)*('Yearly LC Ethylene'!AB$3-'Yearly LC Ethylene'!$X$3)/10)</f>
        <v>15568.070088464961</v>
      </c>
      <c r="AC42" s="196">
        <f>AC40*'R&amp;S - Buildings'!$C$8*'R&amp;S - Buildings'!$C$12*('R&amp;S - Buildings'!$B$16+('R&amp;S - Buildings'!$B$17-'R&amp;S - Buildings'!$B$16)*('Yearly LC Ethylene'!AC$3-'Yearly LC Ethylene'!$X$3)/10)</f>
        <v>16233.037906313968</v>
      </c>
      <c r="AD42" s="196">
        <f>AD40*'R&amp;S - Buildings'!$C$8*'R&amp;S - Buildings'!$C$12*('R&amp;S - Buildings'!$B$16+('R&amp;S - Buildings'!$B$17-'R&amp;S - Buildings'!$B$16)*('Yearly LC Ethylene'!AD$3-'Yearly LC Ethylene'!$X$3)/10)</f>
        <v>16898.005724162973</v>
      </c>
      <c r="AE42" s="196">
        <f>AE40*'R&amp;S - Buildings'!$C$8*'R&amp;S - Buildings'!$C$12*('R&amp;S - Buildings'!$B$16+('R&amp;S - Buildings'!$B$17-'R&amp;S - Buildings'!$B$16)*('Yearly LC Ethylene'!AE$3-'Yearly LC Ethylene'!$X$3)/10)</f>
        <v>17562.97354201198</v>
      </c>
      <c r="AF42" s="196">
        <f>AF40*'R&amp;S - Buildings'!$C$8*'R&amp;S - Buildings'!$C$12*('R&amp;S - Buildings'!$B$16+('R&amp;S - Buildings'!$B$17-'R&amp;S - Buildings'!$B$16)*('Yearly LC Ethylene'!AF$3-'Yearly LC Ethylene'!$X$3)/10)</f>
        <v>18227.941359860983</v>
      </c>
      <c r="AG42" s="196">
        <f>AG40*'R&amp;S - Buildings'!$C$8*'R&amp;S - Buildings'!$C$12*('R&amp;S - Buildings'!$B$16+('R&amp;S - Buildings'!$B$17-'R&amp;S - Buildings'!$B$16)*('Yearly LC Ethylene'!AG$3-'Yearly LC Ethylene'!$X$3)/10)</f>
        <v>18892.909177709989</v>
      </c>
      <c r="AH42" s="196">
        <f>AH40*'R&amp;S - Buildings'!$C$8*'R&amp;S - Buildings'!$C$12*('R&amp;S - Buildings'!$B$16+('R&amp;S - Buildings'!$B$17-'R&amp;S - Buildings'!$B$16)*('Yearly LC Ethylene'!AH$3-'Yearly LC Ethylene'!$X$3)/10)</f>
        <v>19557.876995558996</v>
      </c>
    </row>
    <row r="43" spans="1:35" s="63" customFormat="1">
      <c r="A43" s="59"/>
      <c r="B43" s="59" t="s">
        <v>195</v>
      </c>
      <c r="C43" s="60" t="s">
        <v>166</v>
      </c>
      <c r="D43" s="636">
        <f>D40-D41-D42</f>
        <v>201906.27397932502</v>
      </c>
      <c r="E43" s="636">
        <f t="shared" ref="E43:AG43" si="10">E40-E41-E42</f>
        <v>199795.02448938167</v>
      </c>
      <c r="F43" s="636">
        <f t="shared" si="10"/>
        <v>197683.77499943832</v>
      </c>
      <c r="G43" s="636">
        <f t="shared" si="10"/>
        <v>195572.525509495</v>
      </c>
      <c r="H43" s="636">
        <f t="shared" si="10"/>
        <v>193461.27601955165</v>
      </c>
      <c r="I43" s="636">
        <f t="shared" si="10"/>
        <v>191350.02652960829</v>
      </c>
      <c r="J43" s="636">
        <f t="shared" si="10"/>
        <v>189238.77703966494</v>
      </c>
      <c r="K43" s="636">
        <f t="shared" si="10"/>
        <v>187127.52754972159</v>
      </c>
      <c r="L43" s="636">
        <f t="shared" si="10"/>
        <v>185016.27805977827</v>
      </c>
      <c r="M43" s="636">
        <f t="shared" si="10"/>
        <v>182905.02856983492</v>
      </c>
      <c r="N43" s="636">
        <f t="shared" si="10"/>
        <v>180793.77907989157</v>
      </c>
      <c r="O43" s="636">
        <f t="shared" si="10"/>
        <v>178682.52958994822</v>
      </c>
      <c r="P43" s="636">
        <f t="shared" si="10"/>
        <v>176571.28010000486</v>
      </c>
      <c r="Q43" s="636">
        <f t="shared" si="10"/>
        <v>174460.03061006151</v>
      </c>
      <c r="R43" s="636">
        <f t="shared" si="10"/>
        <v>172348.78112011816</v>
      </c>
      <c r="S43" s="636">
        <f t="shared" si="10"/>
        <v>170237.53163017481</v>
      </c>
      <c r="T43" s="636">
        <f t="shared" si="10"/>
        <v>168126.28214023146</v>
      </c>
      <c r="U43" s="636">
        <f t="shared" si="10"/>
        <v>166015.03265028814</v>
      </c>
      <c r="V43" s="636">
        <f t="shared" si="10"/>
        <v>163903.78316034478</v>
      </c>
      <c r="W43" s="636">
        <f t="shared" si="10"/>
        <v>161792.53367040143</v>
      </c>
      <c r="X43" s="636">
        <f t="shared" si="10"/>
        <v>159681.28418045808</v>
      </c>
      <c r="Y43" s="636">
        <f t="shared" si="10"/>
        <v>157506.05743324372</v>
      </c>
      <c r="Z43" s="636">
        <f t="shared" si="10"/>
        <v>155330.8306860294</v>
      </c>
      <c r="AA43" s="636">
        <f t="shared" si="10"/>
        <v>153155.60393881501</v>
      </c>
      <c r="AB43" s="636">
        <f t="shared" si="10"/>
        <v>150980.37719160065</v>
      </c>
      <c r="AC43" s="636">
        <f t="shared" si="10"/>
        <v>148805.15044438632</v>
      </c>
      <c r="AD43" s="636">
        <f t="shared" si="10"/>
        <v>146629.92369717197</v>
      </c>
      <c r="AE43" s="636">
        <f t="shared" si="10"/>
        <v>144454.69694995758</v>
      </c>
      <c r="AF43" s="636">
        <f t="shared" si="10"/>
        <v>142279.47020274325</v>
      </c>
      <c r="AG43" s="636">
        <f t="shared" si="10"/>
        <v>140104.24345552889</v>
      </c>
      <c r="AH43" s="636">
        <f>AH40-AH41-AH42</f>
        <v>137929.01670831451</v>
      </c>
    </row>
    <row r="44" spans="1:35" s="62" customFormat="1">
      <c r="A44" s="688" t="s">
        <v>685</v>
      </c>
      <c r="B44" s="55" t="s">
        <v>141</v>
      </c>
      <c r="C44" s="56" t="s">
        <v>166</v>
      </c>
      <c r="D44" s="630">
        <f>D43*('Demand - Ethylene'!$C$74)</f>
        <v>35372.343512804095</v>
      </c>
      <c r="E44" s="630">
        <f>E43*('Demand - Ethylene'!$C$74)</f>
        <v>35002.469705875461</v>
      </c>
      <c r="F44" s="630">
        <f>F43*('Demand - Ethylene'!$C$74)</f>
        <v>34632.595898946827</v>
      </c>
      <c r="G44" s="630">
        <f>G43*('Demand - Ethylene'!$C$74)</f>
        <v>34262.722092018201</v>
      </c>
      <c r="H44" s="630">
        <f>H43*('Demand - Ethylene'!$C$74)</f>
        <v>33892.848285089567</v>
      </c>
      <c r="I44" s="630">
        <f>I43*('Demand - Ethylene'!$C$74)</f>
        <v>33522.974478160933</v>
      </c>
      <c r="J44" s="630">
        <f>J43*('Demand - Ethylene'!$C$74)</f>
        <v>33153.1006712323</v>
      </c>
      <c r="K44" s="630">
        <f>K43*('Demand - Ethylene'!$C$74)</f>
        <v>32783.226864303666</v>
      </c>
      <c r="L44" s="630">
        <f>L43*('Demand - Ethylene'!$C$74)</f>
        <v>32413.353057375036</v>
      </c>
      <c r="M44" s="630">
        <f>M43*('Demand - Ethylene'!$C$74)</f>
        <v>32043.479250446402</v>
      </c>
      <c r="N44" s="630">
        <f>N43*('Demand - Ethylene'!$C$74)</f>
        <v>31673.605443517768</v>
      </c>
      <c r="O44" s="630">
        <f>O43*('Demand - Ethylene'!$C$74)</f>
        <v>31303.731636589135</v>
      </c>
      <c r="P44" s="630">
        <f>P43*('Demand - Ethylene'!$C$74)</f>
        <v>30933.857829660501</v>
      </c>
      <c r="Q44" s="630">
        <f>Q43*('Demand - Ethylene'!$C$74)</f>
        <v>30563.984022731867</v>
      </c>
      <c r="R44" s="630">
        <f>R43*('Demand - Ethylene'!$C$74)</f>
        <v>30194.110215803234</v>
      </c>
      <c r="S44" s="630">
        <f>S43*('Demand - Ethylene'!$C$74)</f>
        <v>29824.2364088746</v>
      </c>
      <c r="T44" s="630">
        <f>T43*('Demand - Ethylene'!$C$74)</f>
        <v>29454.362601945966</v>
      </c>
      <c r="U44" s="630">
        <f>U43*('Demand - Ethylene'!$C$74)</f>
        <v>29084.48879501734</v>
      </c>
      <c r="V44" s="630">
        <f>V43*('Demand - Ethylene'!$C$74)</f>
        <v>28714.614988088706</v>
      </c>
      <c r="W44" s="630">
        <f>W43*('Demand - Ethylene'!$C$74)</f>
        <v>28344.741181160072</v>
      </c>
      <c r="X44" s="630">
        <f>X43*('Demand - Ethylene'!$C$74)</f>
        <v>27974.867374231439</v>
      </c>
      <c r="Y44" s="630">
        <f>Y43*('Demand - Ethylene'!$C$74)</f>
        <v>27593.78527012315</v>
      </c>
      <c r="Z44" s="630">
        <f>Z43*('Demand - Ethylene'!$C$74)</f>
        <v>27212.703166014868</v>
      </c>
      <c r="AA44" s="630">
        <f>AA43*('Demand - Ethylene'!$C$74)</f>
        <v>26831.621061906575</v>
      </c>
      <c r="AB44" s="630">
        <f>AB43*('Demand - Ethylene'!$C$74)</f>
        <v>26450.538957798286</v>
      </c>
      <c r="AC44" s="630">
        <f>AC43*('Demand - Ethylene'!$C$74)</f>
        <v>26069.456853690001</v>
      </c>
      <c r="AD44" s="630">
        <f>AD43*('Demand - Ethylene'!$C$74)</f>
        <v>25688.374749581712</v>
      </c>
      <c r="AE44" s="630">
        <f>AE43*('Demand - Ethylene'!$C$74)</f>
        <v>25307.292645473419</v>
      </c>
      <c r="AF44" s="630">
        <f>AF43*('Demand - Ethylene'!$C$74)</f>
        <v>24926.210541365137</v>
      </c>
      <c r="AG44" s="630">
        <f>AG43*('Demand - Ethylene'!$C$74)</f>
        <v>24545.128437256848</v>
      </c>
      <c r="AH44" s="630">
        <f>AH43*('Demand - Ethylene'!$C$74)</f>
        <v>24164.046333148555</v>
      </c>
      <c r="AI44" s="57"/>
    </row>
    <row r="45" spans="1:35">
      <c r="A45" s="689"/>
      <c r="B45" s="1" t="s">
        <v>18</v>
      </c>
      <c r="C45" s="51" t="s">
        <v>166</v>
      </c>
      <c r="D45" s="196">
        <f>D49/('Demand - Ethylene'!$K$14)</f>
        <v>12741.658619367416</v>
      </c>
      <c r="E45" s="196">
        <f>E49/('Demand - Ethylene'!$K$14)</f>
        <v>12608.42442247502</v>
      </c>
      <c r="F45" s="196">
        <f>F49/('Demand - Ethylene'!$K$14)</f>
        <v>12475.190225582623</v>
      </c>
      <c r="G45" s="196">
        <f>G49/('Demand - Ethylene'!$K$14)</f>
        <v>12341.956028690227</v>
      </c>
      <c r="H45" s="196">
        <f>H49/('Demand - Ethylene'!$K$14)</f>
        <v>12208.721831797828</v>
      </c>
      <c r="I45" s="196">
        <f>I49/('Demand - Ethylene'!$K$14)</f>
        <v>12075.48763490543</v>
      </c>
      <c r="J45" s="196">
        <f>J49/('Demand - Ethylene'!$K$14)</f>
        <v>11942.253438013033</v>
      </c>
      <c r="K45" s="196">
        <f>K49/('Demand - Ethylene'!$K$14)</f>
        <v>11809.019241120637</v>
      </c>
      <c r="L45" s="196">
        <f>L49/('Demand - Ethylene'!$K$14)</f>
        <v>11675.78504422824</v>
      </c>
      <c r="M45" s="196">
        <f>M49/('Demand - Ethylene'!$K$14)</f>
        <v>11542.550847335842</v>
      </c>
      <c r="N45" s="196">
        <f>N49/('Demand - Ethylene'!$K$14)</f>
        <v>11409.316650443445</v>
      </c>
      <c r="O45" s="196">
        <f>O49/('Demand - Ethylene'!$K$14)</f>
        <v>11276.082453551047</v>
      </c>
      <c r="P45" s="196">
        <f>P49/('Demand - Ethylene'!$K$14)</f>
        <v>11142.84825665865</v>
      </c>
      <c r="Q45" s="196">
        <f>Q49/('Demand - Ethylene'!$K$14)</f>
        <v>11009.614059766252</v>
      </c>
      <c r="R45" s="196">
        <f>R49/('Demand - Ethylene'!$K$14)</f>
        <v>10876.379862873853</v>
      </c>
      <c r="S45" s="196">
        <f>S49/('Demand - Ethylene'!$K$14)</f>
        <v>10743.145665981458</v>
      </c>
      <c r="T45" s="196">
        <f>T49/('Demand - Ethylene'!$K$14)</f>
        <v>10609.91146908906</v>
      </c>
      <c r="U45" s="196">
        <f>U49/('Demand - Ethylene'!$K$14)</f>
        <v>10476.677272196663</v>
      </c>
      <c r="V45" s="196">
        <f>V49/('Demand - Ethylene'!$K$14)</f>
        <v>10343.443075304267</v>
      </c>
      <c r="W45" s="196">
        <f>W49/('Demand - Ethylene'!$K$14)</f>
        <v>10210.208878411868</v>
      </c>
      <c r="X45" s="196">
        <f>X49/('Demand - Ethylene'!$K$14)</f>
        <v>10076.97468151947</v>
      </c>
      <c r="Y45" s="196">
        <f>Y49/('Demand - Ethylene'!$K$14)</f>
        <v>9939.7030847212445</v>
      </c>
      <c r="Z45" s="196">
        <f>Z49/('Demand - Ethylene'!$K$14)</f>
        <v>9802.4314879230187</v>
      </c>
      <c r="AA45" s="196">
        <f>AA49/('Demand - Ethylene'!$K$14)</f>
        <v>9665.1598911247893</v>
      </c>
      <c r="AB45" s="196">
        <f>AB49/('Demand - Ethylene'!$K$14)</f>
        <v>9527.8882943265598</v>
      </c>
      <c r="AC45" s="196">
        <f>AC49/('Demand - Ethylene'!$K$14)</f>
        <v>9390.616697528334</v>
      </c>
      <c r="AD45" s="196">
        <f>AD49/('Demand - Ethylene'!$K$14)</f>
        <v>9253.3451007301064</v>
      </c>
      <c r="AE45" s="196">
        <f>AE49/('Demand - Ethylene'!$K$14)</f>
        <v>9116.073503931877</v>
      </c>
      <c r="AF45" s="196">
        <f>AF49/('Demand - Ethylene'!$K$14)</f>
        <v>8978.8019071336512</v>
      </c>
      <c r="AG45" s="196">
        <f>AG49/('Demand - Ethylene'!$K$14)</f>
        <v>8841.5303103354236</v>
      </c>
      <c r="AH45" s="196">
        <f>AH49/('Demand - Ethylene'!$K$14)</f>
        <v>8704.2587135371941</v>
      </c>
      <c r="AI45" s="41"/>
    </row>
    <row r="46" spans="1:35">
      <c r="A46" s="689"/>
      <c r="B46" s="1" t="s">
        <v>684</v>
      </c>
      <c r="C46" s="51" t="s">
        <v>166</v>
      </c>
      <c r="D46" s="196">
        <f>D48/('Demand - Ethylene'!$M$14)</f>
        <v>125969.0168452574</v>
      </c>
      <c r="E46" s="196">
        <f>E48/('Demand - Ethylene'!$M$14)</f>
        <v>124651.81150378074</v>
      </c>
      <c r="F46" s="196">
        <f>F48/('Demand - Ethylene'!$M$14)</f>
        <v>123334.6061623041</v>
      </c>
      <c r="G46" s="196">
        <f>G48/('Demand - Ethylene'!$M$14)</f>
        <v>122017.40082082748</v>
      </c>
      <c r="H46" s="196">
        <f>H48/('Demand - Ethylene'!$M$14)</f>
        <v>120700.19547935082</v>
      </c>
      <c r="I46" s="196">
        <f>I48/('Demand - Ethylene'!$M$14)</f>
        <v>119382.99013787416</v>
      </c>
      <c r="J46" s="196">
        <f>J48/('Demand - Ethylene'!$M$14)</f>
        <v>118065.78479639751</v>
      </c>
      <c r="K46" s="196">
        <f>K48/('Demand - Ethylene'!$M$14)</f>
        <v>116748.57945492087</v>
      </c>
      <c r="L46" s="196">
        <f>L48/('Demand - Ethylene'!$M$14)</f>
        <v>115431.37411344424</v>
      </c>
      <c r="M46" s="196">
        <f>M48/('Demand - Ethylene'!$M$14)</f>
        <v>114114.16877196757</v>
      </c>
      <c r="N46" s="196">
        <f>N48/('Demand - Ethylene'!$M$14)</f>
        <v>112796.96343049093</v>
      </c>
      <c r="O46" s="196">
        <f>O48/('Demand - Ethylene'!$M$14)</f>
        <v>111479.75808901429</v>
      </c>
      <c r="P46" s="196">
        <f>P48/('Demand - Ethylene'!$M$14)</f>
        <v>110162.55274753761</v>
      </c>
      <c r="Q46" s="196">
        <f>Q48/('Demand - Ethylene'!$M$14)</f>
        <v>108845.34740606097</v>
      </c>
      <c r="R46" s="196">
        <f>R48/('Demand - Ethylene'!$M$14)</f>
        <v>107528.14206458433</v>
      </c>
      <c r="S46" s="196">
        <f>S48/('Demand - Ethylene'!$M$14)</f>
        <v>106210.93672310766</v>
      </c>
      <c r="T46" s="196">
        <f>T48/('Demand - Ethylene'!$M$14)</f>
        <v>104893.73138163102</v>
      </c>
      <c r="U46" s="196">
        <f>U48/('Demand - Ethylene'!$M$14)</f>
        <v>103576.52604015439</v>
      </c>
      <c r="V46" s="196">
        <f>V48/('Demand - Ethylene'!$M$14)</f>
        <v>102259.32069867772</v>
      </c>
      <c r="W46" s="196">
        <f>W48/('Demand - Ethylene'!$M$14)</f>
        <v>100942.11535720108</v>
      </c>
      <c r="X46" s="196">
        <f>X48/('Demand - Ethylene'!$M$14)</f>
        <v>99624.910015724439</v>
      </c>
      <c r="Y46" s="196">
        <f>Y48/('Demand - Ethylene'!$M$14)</f>
        <v>98267.789360869705</v>
      </c>
      <c r="Z46" s="196">
        <f>Z48/('Demand - Ethylene'!$M$14)</f>
        <v>96910.668706014985</v>
      </c>
      <c r="AA46" s="196">
        <f>AA48/('Demand - Ethylene'!$M$14)</f>
        <v>95553.548051160251</v>
      </c>
      <c r="AB46" s="196">
        <f>AB48/('Demand - Ethylene'!$M$14)</f>
        <v>94196.427396305517</v>
      </c>
      <c r="AC46" s="196">
        <f>AC48/('Demand - Ethylene'!$M$14)</f>
        <v>92839.306741450797</v>
      </c>
      <c r="AD46" s="196">
        <f>AD48/('Demand - Ethylene'!$M$14)</f>
        <v>91482.186086596077</v>
      </c>
      <c r="AE46" s="196">
        <f>AE48/('Demand - Ethylene'!$M$14)</f>
        <v>90125.065431741328</v>
      </c>
      <c r="AF46" s="196">
        <f>AF48/('Demand - Ethylene'!$M$14)</f>
        <v>88767.944776886623</v>
      </c>
      <c r="AG46" s="196">
        <f>AG48/('Demand - Ethylene'!$M$14)</f>
        <v>87410.824122031889</v>
      </c>
      <c r="AH46" s="196">
        <f>AH48/('Demand - Ethylene'!$M$14)</f>
        <v>86053.703467177154</v>
      </c>
      <c r="AI46" s="41"/>
    </row>
    <row r="47" spans="1:35" s="63" customFormat="1">
      <c r="A47" s="690"/>
      <c r="B47" s="59" t="s">
        <v>27</v>
      </c>
      <c r="C47" s="262" t="s">
        <v>166</v>
      </c>
      <c r="D47" s="599">
        <f>D43-SUM(D45,D44,D46)</f>
        <v>27823.255001896119</v>
      </c>
      <c r="E47" s="599">
        <f t="shared" ref="E47:AH47" si="11">E43-SUM(E45,E44,E46)</f>
        <v>27532.318857250444</v>
      </c>
      <c r="F47" s="599">
        <f t="shared" si="11"/>
        <v>27241.382712604769</v>
      </c>
      <c r="G47" s="599">
        <f t="shared" si="11"/>
        <v>26950.446567959094</v>
      </c>
      <c r="H47" s="599">
        <f t="shared" si="11"/>
        <v>26659.510423313448</v>
      </c>
      <c r="I47" s="599">
        <f t="shared" si="11"/>
        <v>26368.574278667773</v>
      </c>
      <c r="J47" s="599">
        <f t="shared" si="11"/>
        <v>26077.638134022098</v>
      </c>
      <c r="K47" s="599">
        <f t="shared" si="11"/>
        <v>25786.701989376423</v>
      </c>
      <c r="L47" s="599">
        <f t="shared" si="11"/>
        <v>25495.765844730748</v>
      </c>
      <c r="M47" s="599">
        <f t="shared" si="11"/>
        <v>25204.829700085102</v>
      </c>
      <c r="N47" s="599">
        <f t="shared" si="11"/>
        <v>24913.893555439427</v>
      </c>
      <c r="O47" s="599">
        <f t="shared" si="11"/>
        <v>24622.957410793751</v>
      </c>
      <c r="P47" s="599">
        <f t="shared" si="11"/>
        <v>24332.021266148105</v>
      </c>
      <c r="Q47" s="599">
        <f t="shared" si="11"/>
        <v>24041.08512150243</v>
      </c>
      <c r="R47" s="599">
        <f t="shared" si="11"/>
        <v>23750.148976856726</v>
      </c>
      <c r="S47" s="599">
        <f t="shared" si="11"/>
        <v>23459.21283221108</v>
      </c>
      <c r="T47" s="599">
        <f t="shared" si="11"/>
        <v>23168.276687565405</v>
      </c>
      <c r="U47" s="599">
        <f t="shared" si="11"/>
        <v>22877.340542919759</v>
      </c>
      <c r="V47" s="599">
        <f t="shared" si="11"/>
        <v>22586.404398274084</v>
      </c>
      <c r="W47" s="599">
        <f t="shared" si="11"/>
        <v>22295.468253628409</v>
      </c>
      <c r="X47" s="599">
        <f t="shared" si="11"/>
        <v>22004.532108982734</v>
      </c>
      <c r="Y47" s="599">
        <f t="shared" si="11"/>
        <v>21704.779717529629</v>
      </c>
      <c r="Z47" s="599">
        <f t="shared" si="11"/>
        <v>21405.027326076524</v>
      </c>
      <c r="AA47" s="599">
        <f t="shared" si="11"/>
        <v>21105.27493462339</v>
      </c>
      <c r="AB47" s="599">
        <f t="shared" si="11"/>
        <v>20805.522543170286</v>
      </c>
      <c r="AC47" s="599">
        <f t="shared" si="11"/>
        <v>20505.770151717195</v>
      </c>
      <c r="AD47" s="599">
        <f t="shared" si="11"/>
        <v>20206.017760264076</v>
      </c>
      <c r="AE47" s="599">
        <f t="shared" si="11"/>
        <v>19906.265368810957</v>
      </c>
      <c r="AF47" s="599">
        <f t="shared" si="11"/>
        <v>19606.512977357837</v>
      </c>
      <c r="AG47" s="599">
        <f t="shared" si="11"/>
        <v>19306.760585904733</v>
      </c>
      <c r="AH47" s="599">
        <f t="shared" si="11"/>
        <v>19007.008194451599</v>
      </c>
      <c r="AI47" s="263"/>
    </row>
    <row r="48" spans="1:35" s="62" customFormat="1">
      <c r="A48" s="688" t="s">
        <v>686</v>
      </c>
      <c r="B48" s="55" t="s">
        <v>683</v>
      </c>
      <c r="C48" s="56" t="s">
        <v>166</v>
      </c>
      <c r="D48" s="630">
        <f>D43*'Demand - Ethylene'!$E$74</f>
        <v>57420.121340898964</v>
      </c>
      <c r="E48" s="630">
        <f>E43*'Demand - Ethylene'!$E$74</f>
        <v>56819.703139402802</v>
      </c>
      <c r="F48" s="630">
        <f>F43*'Demand - Ethylene'!$E$74</f>
        <v>56219.284937906639</v>
      </c>
      <c r="G48" s="630">
        <f>G43*'Demand - Ethylene'!$E$74</f>
        <v>55618.866736410484</v>
      </c>
      <c r="H48" s="630">
        <f>H43*'Demand - Ethylene'!$E$74</f>
        <v>55018.448534914314</v>
      </c>
      <c r="I48" s="630">
        <f>I43*'Demand - Ethylene'!$E$74</f>
        <v>54418.030333418152</v>
      </c>
      <c r="J48" s="630">
        <f>J43*'Demand - Ethylene'!$E$74</f>
        <v>53817.612131921982</v>
      </c>
      <c r="K48" s="630">
        <f>K43*'Demand - Ethylene'!$E$74</f>
        <v>53217.193930425819</v>
      </c>
      <c r="L48" s="630">
        <f>L43*'Demand - Ethylene'!$E$74</f>
        <v>52616.775728929664</v>
      </c>
      <c r="M48" s="630">
        <f>M43*'Demand - Ethylene'!$E$74</f>
        <v>52016.357527433494</v>
      </c>
      <c r="N48" s="630">
        <f>N43*'Demand - Ethylene'!$E$74</f>
        <v>51415.939325937332</v>
      </c>
      <c r="O48" s="630">
        <f>O43*'Demand - Ethylene'!$E$74</f>
        <v>50815.521124441169</v>
      </c>
      <c r="P48" s="630">
        <f>P43*'Demand - Ethylene'!$E$74</f>
        <v>50215.102922945</v>
      </c>
      <c r="Q48" s="630">
        <f>Q43*'Demand - Ethylene'!$E$74</f>
        <v>49614.684721448837</v>
      </c>
      <c r="R48" s="630">
        <f>R43*'Demand - Ethylene'!$E$74</f>
        <v>49014.266519952675</v>
      </c>
      <c r="S48" s="630">
        <f>S43*'Demand - Ethylene'!$E$74</f>
        <v>48413.848318456505</v>
      </c>
      <c r="T48" s="630">
        <f>T43*'Demand - Ethylene'!$E$74</f>
        <v>47813.430116960342</v>
      </c>
      <c r="U48" s="630">
        <f>U43*'Demand - Ethylene'!$E$74</f>
        <v>47213.011915464187</v>
      </c>
      <c r="V48" s="630">
        <f>V43*'Demand - Ethylene'!$E$74</f>
        <v>46612.593713968017</v>
      </c>
      <c r="W48" s="630">
        <f>W43*'Demand - Ethylene'!$E$74</f>
        <v>46012.175512471855</v>
      </c>
      <c r="X48" s="630">
        <f>X43*'Demand - Ethylene'!$E$74</f>
        <v>45411.757310975692</v>
      </c>
      <c r="Y48" s="630">
        <f>Y43*'Demand - Ethylene'!$E$74</f>
        <v>44793.144618525097</v>
      </c>
      <c r="Z48" s="630">
        <f>Z43*'Demand - Ethylene'!$E$74</f>
        <v>44174.531926074509</v>
      </c>
      <c r="AA48" s="630">
        <f>AA43*'Demand - Ethylene'!$E$74</f>
        <v>43555.919233623914</v>
      </c>
      <c r="AB48" s="630">
        <f>AB43*'Demand - Ethylene'!$E$74</f>
        <v>42937.306541173319</v>
      </c>
      <c r="AC48" s="630">
        <f>AC43*'Demand - Ethylene'!$E$74</f>
        <v>42318.693848722731</v>
      </c>
      <c r="AD48" s="630">
        <f>AD43*'Demand - Ethylene'!$E$74</f>
        <v>41700.081156272143</v>
      </c>
      <c r="AE48" s="630">
        <f>AE43*'Demand - Ethylene'!$E$74</f>
        <v>41081.46846382154</v>
      </c>
      <c r="AF48" s="630">
        <f>AF43*'Demand - Ethylene'!$E$74</f>
        <v>40462.855771370952</v>
      </c>
      <c r="AG48" s="630">
        <f>AG43*'Demand - Ethylene'!$E$74</f>
        <v>39844.243078920357</v>
      </c>
      <c r="AH48" s="630">
        <f>AH43*'Demand - Ethylene'!$E$74</f>
        <v>39225.630386469762</v>
      </c>
      <c r="AI48" s="57"/>
    </row>
    <row r="49" spans="1:35" s="63" customFormat="1">
      <c r="A49" s="690"/>
      <c r="B49" s="59" t="s">
        <v>682</v>
      </c>
      <c r="C49" s="262" t="s">
        <v>166</v>
      </c>
      <c r="D49" s="599">
        <f>D43*'Demand - Ethylene'!$D$74/'Demand - Ethylene'!$L$24</f>
        <v>4264.8250054212294</v>
      </c>
      <c r="E49" s="599">
        <f>E43*'Demand - Ethylene'!$D$74/'Demand - Ethylene'!$L$24</f>
        <v>4220.2295134638316</v>
      </c>
      <c r="F49" s="599">
        <f>F43*'Demand - Ethylene'!$D$74/'Demand - Ethylene'!$L$24</f>
        <v>4175.6340215064338</v>
      </c>
      <c r="G49" s="599">
        <f>G43*'Demand - Ethylene'!$D$74/'Demand - Ethylene'!$L$24</f>
        <v>4131.038529549036</v>
      </c>
      <c r="H49" s="599">
        <f>H43*'Demand - Ethylene'!$D$74/'Demand - Ethylene'!$L$24</f>
        <v>4086.4430375916372</v>
      </c>
      <c r="I49" s="599">
        <f>I43*'Demand - Ethylene'!$D$74/'Demand - Ethylene'!$L$24</f>
        <v>4041.8475456342394</v>
      </c>
      <c r="J49" s="599">
        <f>J43*'Demand - Ethylene'!$D$74/'Demand - Ethylene'!$L$24</f>
        <v>3997.2520536768411</v>
      </c>
      <c r="K49" s="599">
        <f>K43*'Demand - Ethylene'!$D$74/'Demand - Ethylene'!$L$24</f>
        <v>3952.6565617194433</v>
      </c>
      <c r="L49" s="599">
        <f>L43*'Demand - Ethylene'!$D$74/'Demand - Ethylene'!$L$24</f>
        <v>3908.0610697620455</v>
      </c>
      <c r="M49" s="599">
        <f>M43*'Demand - Ethylene'!$D$74/'Demand - Ethylene'!$L$24</f>
        <v>3863.4655778046472</v>
      </c>
      <c r="N49" s="599">
        <f>N43*'Demand - Ethylene'!$D$74/'Demand - Ethylene'!$L$24</f>
        <v>3818.8700858472494</v>
      </c>
      <c r="O49" s="599">
        <f>O43*'Demand - Ethylene'!$D$74/'Demand - Ethylene'!$L$24</f>
        <v>3774.2745938898511</v>
      </c>
      <c r="P49" s="599">
        <f>P43*'Demand - Ethylene'!$D$74/'Demand - Ethylene'!$L$24</f>
        <v>3729.6791019324528</v>
      </c>
      <c r="Q49" s="599">
        <f>Q43*'Demand - Ethylene'!$D$74/'Demand - Ethylene'!$L$24</f>
        <v>3685.083609975055</v>
      </c>
      <c r="R49" s="599">
        <f>R43*'Demand - Ethylene'!$D$74/'Demand - Ethylene'!$L$24</f>
        <v>3640.4881180176562</v>
      </c>
      <c r="S49" s="599">
        <f>S43*'Demand - Ethylene'!$D$74/'Demand - Ethylene'!$L$24</f>
        <v>3595.8926260602584</v>
      </c>
      <c r="T49" s="599">
        <f>T43*'Demand - Ethylene'!$D$74/'Demand - Ethylene'!$L$24</f>
        <v>3551.2971341028601</v>
      </c>
      <c r="U49" s="599">
        <f>U43*'Demand - Ethylene'!$D$74/'Demand - Ethylene'!$L$24</f>
        <v>3506.7016421454623</v>
      </c>
      <c r="V49" s="599">
        <f>V43*'Demand - Ethylene'!$D$74/'Demand - Ethylene'!$L$24</f>
        <v>3462.1061501880645</v>
      </c>
      <c r="W49" s="599">
        <f>W43*'Demand - Ethylene'!$D$74/'Demand - Ethylene'!$L$24</f>
        <v>3417.5106582306662</v>
      </c>
      <c r="X49" s="599">
        <f>X43*'Demand - Ethylene'!$D$74/'Demand - Ethylene'!$L$24</f>
        <v>3372.9151662732679</v>
      </c>
      <c r="Y49" s="599">
        <f>Y43*'Demand - Ethylene'!$D$74/'Demand - Ethylene'!$L$24</f>
        <v>3326.9682957717068</v>
      </c>
      <c r="Z49" s="599">
        <f>Z43*'Demand - Ethylene'!$D$74/'Demand - Ethylene'!$L$24</f>
        <v>3281.0214252701458</v>
      </c>
      <c r="AA49" s="599">
        <f>AA43*'Demand - Ethylene'!$D$74/'Demand - Ethylene'!$L$24</f>
        <v>3235.0745547685833</v>
      </c>
      <c r="AB49" s="599">
        <f>AB43*'Demand - Ethylene'!$D$74/'Demand - Ethylene'!$L$24</f>
        <v>3189.1276842670213</v>
      </c>
      <c r="AC49" s="599">
        <f>AC43*'Demand - Ethylene'!$D$74/'Demand - Ethylene'!$L$24</f>
        <v>3143.1808137654602</v>
      </c>
      <c r="AD49" s="599">
        <f>AD43*'Demand - Ethylene'!$D$74/'Demand - Ethylene'!$L$24</f>
        <v>3097.2339432638987</v>
      </c>
      <c r="AE49" s="599">
        <f>AE43*'Demand - Ethylene'!$D$74/'Demand - Ethylene'!$L$24</f>
        <v>3051.2870727623363</v>
      </c>
      <c r="AF49" s="599">
        <f>AF43*'Demand - Ethylene'!$D$74/'Demand - Ethylene'!$L$24</f>
        <v>3005.3402022607752</v>
      </c>
      <c r="AG49" s="599">
        <f>AG43*'Demand - Ethylene'!$D$74/'Demand - Ethylene'!$L$24</f>
        <v>2959.3933317592137</v>
      </c>
      <c r="AH49" s="599">
        <f>AH43*'Demand - Ethylene'!$D$74/'Demand - Ethylene'!$L$24</f>
        <v>2913.4464612576512</v>
      </c>
      <c r="AI49" s="263"/>
    </row>
    <row r="50" spans="1:35">
      <c r="A50" s="1" t="s">
        <v>257</v>
      </c>
      <c r="B50" s="55" t="s">
        <v>174</v>
      </c>
      <c r="C50" s="56" t="s">
        <v>166</v>
      </c>
      <c r="D50" s="630">
        <f>'R&amp;S - Apparel'!E4</f>
        <v>5757.6219164365802</v>
      </c>
      <c r="E50" s="630">
        <f>D50*(1+'R&amp;S - Apparel'!$C$5)</f>
        <v>5757.6219164365802</v>
      </c>
      <c r="F50" s="630">
        <f>E50*(1+'R&amp;S - Apparel'!$C$5)</f>
        <v>5757.6219164365802</v>
      </c>
      <c r="G50" s="630">
        <f>F50*(1+'R&amp;S - Apparel'!$C$5)</f>
        <v>5757.6219164365802</v>
      </c>
      <c r="H50" s="630">
        <f>G50*(1+'R&amp;S - Apparel'!$C$5)</f>
        <v>5757.6219164365802</v>
      </c>
      <c r="I50" s="630">
        <f>H50*(1+'R&amp;S - Apparel'!$C$5)</f>
        <v>5757.6219164365802</v>
      </c>
      <c r="J50" s="630">
        <f>I50*(1+'R&amp;S - Apparel'!$C$5)</f>
        <v>5757.6219164365802</v>
      </c>
      <c r="K50" s="630">
        <f>J50*(1+'R&amp;S - Apparel'!$C$5)</f>
        <v>5757.6219164365802</v>
      </c>
      <c r="L50" s="630">
        <f>K50*(1+'R&amp;S - Apparel'!$C$5)</f>
        <v>5757.6219164365802</v>
      </c>
      <c r="M50" s="630">
        <f>L50*(1+'R&amp;S - Apparel'!$C$5)</f>
        <v>5757.6219164365802</v>
      </c>
      <c r="N50" s="630">
        <f>M50*(1+'R&amp;S - Apparel'!$C$5)</f>
        <v>5757.6219164365802</v>
      </c>
      <c r="O50" s="630">
        <f>N50*(1+'R&amp;S - Apparel'!$C$5)</f>
        <v>5757.6219164365802</v>
      </c>
      <c r="P50" s="630">
        <f>O50*(1+'R&amp;S - Apparel'!$C$5)</f>
        <v>5757.6219164365802</v>
      </c>
      <c r="Q50" s="630">
        <f>P50*(1+'R&amp;S - Apparel'!$C$5)</f>
        <v>5757.6219164365802</v>
      </c>
      <c r="R50" s="630">
        <f>Q50*(1+'R&amp;S - Apparel'!$C$5)</f>
        <v>5757.6219164365802</v>
      </c>
      <c r="S50" s="630">
        <f>R50*(1+'R&amp;S - Apparel'!$C$5)</f>
        <v>5757.6219164365802</v>
      </c>
      <c r="T50" s="630">
        <f>S50*(1+'R&amp;S - Apparel'!$C$5)</f>
        <v>5757.6219164365802</v>
      </c>
      <c r="U50" s="630">
        <f>T50*(1+'R&amp;S - Apparel'!$C$5)</f>
        <v>5757.6219164365802</v>
      </c>
      <c r="V50" s="630">
        <f>U50*(1+'R&amp;S - Apparel'!$C$5)</f>
        <v>5757.6219164365802</v>
      </c>
      <c r="W50" s="630">
        <f>V50*(1+'R&amp;S - Apparel'!$C$5)</f>
        <v>5757.6219164365802</v>
      </c>
      <c r="X50" s="630">
        <f>W50*(1+'R&amp;S - Apparel'!$C$5)</f>
        <v>5757.6219164365802</v>
      </c>
      <c r="Y50" s="630">
        <f>X50*(1+'R&amp;S - Apparel'!$C$5)</f>
        <v>5757.6219164365802</v>
      </c>
      <c r="Z50" s="630">
        <f>Y50*(1+'R&amp;S - Apparel'!$C$5)</f>
        <v>5757.6219164365802</v>
      </c>
      <c r="AA50" s="630">
        <f>Z50*(1+'R&amp;S - Apparel'!$C$5)</f>
        <v>5757.6219164365802</v>
      </c>
      <c r="AB50" s="630">
        <f>AA50*(1+'R&amp;S - Apparel'!$C$5)</f>
        <v>5757.6219164365802</v>
      </c>
      <c r="AC50" s="630">
        <f>AB50*(1+'R&amp;S - Apparel'!$C$5)</f>
        <v>5757.6219164365802</v>
      </c>
      <c r="AD50" s="630">
        <f>AC50*(1+'R&amp;S - Apparel'!$C$5)</f>
        <v>5757.6219164365802</v>
      </c>
      <c r="AE50" s="630">
        <f>AD50*(1+'R&amp;S - Apparel'!$C$5)</f>
        <v>5757.6219164365802</v>
      </c>
      <c r="AF50" s="630">
        <f>AE50*(1+'R&amp;S - Apparel'!$C$5)</f>
        <v>5757.6219164365802</v>
      </c>
      <c r="AG50" s="630">
        <f>AF50*(1+'R&amp;S - Apparel'!$C$5)</f>
        <v>5757.6219164365802</v>
      </c>
      <c r="AH50" s="630">
        <f>AG50*(1+'R&amp;S - Apparel'!$C$5)</f>
        <v>5757.6219164365802</v>
      </c>
    </row>
    <row r="51" spans="1:35" outlineLevel="1">
      <c r="B51" s="58" t="s">
        <v>196</v>
      </c>
      <c r="C51" s="51" t="s">
        <v>166</v>
      </c>
      <c r="D51" s="196">
        <v>0</v>
      </c>
      <c r="E51" s="196">
        <f>E50*'R&amp;S - Apparel'!$C$7*'R&amp;S - Apparel'!$B$14*'R&amp;S - Apparel'!$B$17*('Yearly LC Ethylene'!E$3-'Yearly LC Ethylene'!$D$3)/10</f>
        <v>50.379191768820071</v>
      </c>
      <c r="F51" s="196">
        <f>F50*'R&amp;S - Apparel'!$C$7*'R&amp;S - Apparel'!$B$14*'R&amp;S - Apparel'!$B$17*('Yearly LC Ethylene'!F$3-'Yearly LC Ethylene'!$D$3)/10</f>
        <v>100.75838353764014</v>
      </c>
      <c r="G51" s="196">
        <f>G50*'R&amp;S - Apparel'!$C$7*'R&amp;S - Apparel'!$B$14*'R&amp;S - Apparel'!$B$17*('Yearly LC Ethylene'!G$3-'Yearly LC Ethylene'!$D$3)/10</f>
        <v>151.13757530646021</v>
      </c>
      <c r="H51" s="196">
        <f>H50*'R&amp;S - Apparel'!$C$7*'R&amp;S - Apparel'!$B$14*'R&amp;S - Apparel'!$B$17*('Yearly LC Ethylene'!H$3-'Yearly LC Ethylene'!$D$3)/10</f>
        <v>201.51676707528028</v>
      </c>
      <c r="I51" s="196">
        <f>I50*'R&amp;S - Apparel'!$C$7*'R&amp;S - Apparel'!$B$14*'R&amp;S - Apparel'!$B$17*('Yearly LC Ethylene'!I$3-'Yearly LC Ethylene'!$D$3)/10</f>
        <v>251.89595884410036</v>
      </c>
      <c r="J51" s="196">
        <f>J50*'R&amp;S - Apparel'!$C$7*'R&amp;S - Apparel'!$B$14*'R&amp;S - Apparel'!$B$17*('Yearly LC Ethylene'!J$3-'Yearly LC Ethylene'!$D$3)/10</f>
        <v>302.27515061292041</v>
      </c>
      <c r="K51" s="196">
        <f>K50*'R&amp;S - Apparel'!$C$7*'R&amp;S - Apparel'!$B$14*'R&amp;S - Apparel'!$B$17*('Yearly LC Ethylene'!K$3-'Yearly LC Ethylene'!$D$3)/10</f>
        <v>352.65434238174055</v>
      </c>
      <c r="L51" s="196">
        <f>L50*'R&amp;S - Apparel'!$C$7*'R&amp;S - Apparel'!$B$14*'R&amp;S - Apparel'!$B$17*('Yearly LC Ethylene'!L$3-'Yearly LC Ethylene'!$D$3)/10</f>
        <v>403.03353415056057</v>
      </c>
      <c r="M51" s="196">
        <f>M50*'R&amp;S - Apparel'!$C$7*'R&amp;S - Apparel'!$B$14*'R&amp;S - Apparel'!$B$17*('Yearly LC Ethylene'!M$3-'Yearly LC Ethylene'!$D$3)/10</f>
        <v>453.4127259193807</v>
      </c>
      <c r="N51" s="196">
        <f>N50*'R&amp;S - Apparel'!$C$7*'R&amp;S - Apparel'!$B$14*'R&amp;S - Apparel'!$B$17*('Yearly LC Ethylene'!N$3-'Yearly LC Ethylene'!$D$3)/10</f>
        <v>503.79191768820073</v>
      </c>
      <c r="O51" s="196">
        <f>O50*'R&amp;S - Apparel'!$C$7*'R&amp;S - Apparel'!$B$14*('R&amp;S - Apparel'!$B$17+('R&amp;S - Apparel'!$B$18-'R&amp;S - Apparel'!$B$17)*('Yearly LC Ethylene'!O$3-'Yearly LC Ethylene'!$N$3)/10)</f>
        <v>518.18597247929222</v>
      </c>
      <c r="P51" s="196">
        <f>P50*'R&amp;S - Apparel'!$C$7*'R&amp;S - Apparel'!$B$14*('R&amp;S - Apparel'!$B$17+('R&amp;S - Apparel'!$B$18-'R&amp;S - Apparel'!$B$17)*('Yearly LC Ethylene'!P$3-'Yearly LC Ethylene'!$N$3)/10)</f>
        <v>532.58002727038365</v>
      </c>
      <c r="Q51" s="196">
        <f>Q50*'R&amp;S - Apparel'!$C$7*'R&amp;S - Apparel'!$B$14*('R&amp;S - Apparel'!$B$17+('R&amp;S - Apparel'!$B$18-'R&amp;S - Apparel'!$B$17)*('Yearly LC Ethylene'!Q$3-'Yearly LC Ethylene'!$N$3)/10)</f>
        <v>546.97408206147509</v>
      </c>
      <c r="R51" s="196">
        <f>R50*'R&amp;S - Apparel'!$C$7*'R&amp;S - Apparel'!$B$14*('R&amp;S - Apparel'!$B$17+('R&amp;S - Apparel'!$B$18-'R&amp;S - Apparel'!$B$17)*('Yearly LC Ethylene'!R$3-'Yearly LC Ethylene'!$N$3)/10)</f>
        <v>561.36813685256664</v>
      </c>
      <c r="S51" s="196">
        <f>S50*'R&amp;S - Apparel'!$C$7*'R&amp;S - Apparel'!$B$14*('R&amp;S - Apparel'!$B$17+('R&amp;S - Apparel'!$B$18-'R&amp;S - Apparel'!$B$17)*('Yearly LC Ethylene'!S$3-'Yearly LC Ethylene'!$N$3)/10)</f>
        <v>575.76219164365807</v>
      </c>
      <c r="T51" s="196">
        <f>T50*'R&amp;S - Apparel'!$C$7*'R&amp;S - Apparel'!$B$14*('R&amp;S - Apparel'!$B$17+('R&amp;S - Apparel'!$B$18-'R&amp;S - Apparel'!$B$17)*('Yearly LC Ethylene'!T$3-'Yearly LC Ethylene'!$N$3)/10)</f>
        <v>590.15624643474939</v>
      </c>
      <c r="U51" s="196">
        <f>U50*'R&amp;S - Apparel'!$C$7*'R&amp;S - Apparel'!$B$14*('R&amp;S - Apparel'!$B$17+('R&amp;S - Apparel'!$B$18-'R&amp;S - Apparel'!$B$17)*('Yearly LC Ethylene'!U$3-'Yearly LC Ethylene'!$N$3)/10)</f>
        <v>604.55030122584094</v>
      </c>
      <c r="V51" s="196">
        <f>V50*'R&amp;S - Apparel'!$C$7*'R&amp;S - Apparel'!$B$14*('R&amp;S - Apparel'!$B$17+('R&amp;S - Apparel'!$B$18-'R&amp;S - Apparel'!$B$17)*('Yearly LC Ethylene'!V$3-'Yearly LC Ethylene'!$N$3)/10)</f>
        <v>618.94435601693237</v>
      </c>
      <c r="W51" s="196">
        <f>W50*'R&amp;S - Apparel'!$C$7*'R&amp;S - Apparel'!$B$14*('R&amp;S - Apparel'!$B$17+('R&amp;S - Apparel'!$B$18-'R&amp;S - Apparel'!$B$17)*('Yearly LC Ethylene'!W$3-'Yearly LC Ethylene'!$N$3)/10)</f>
        <v>633.33841080802381</v>
      </c>
      <c r="X51" s="196">
        <f>X50*'R&amp;S - Apparel'!$C$7*'R&amp;S - Apparel'!$B$14*('R&amp;S - Apparel'!$B$17+('R&amp;S - Apparel'!$B$18-'R&amp;S - Apparel'!$B$17)*('Yearly LC Ethylene'!X$3-'Yearly LC Ethylene'!$N$3)/10)</f>
        <v>647.73246559911524</v>
      </c>
      <c r="Y51" s="196">
        <f>Y50*'R&amp;S - Apparel'!$C$7*'R&amp;S - Apparel'!$B$14*('R&amp;S - Apparel'!$B$18+('R&amp;S - Apparel'!$B$19-'R&amp;S - Apparel'!$B$18)*('Yearly LC Ethylene'!Y$3-'Yearly LC Ethylene'!$X$3)/10)</f>
        <v>654.92949299466102</v>
      </c>
      <c r="Z51" s="196">
        <f>Z50*'R&amp;S - Apparel'!$C$7*'R&amp;S - Apparel'!$B$14*('R&amp;S - Apparel'!$B$18+('R&amp;S - Apparel'!$B$19-'R&amp;S - Apparel'!$B$18)*('Yearly LC Ethylene'!Z$3-'Yearly LC Ethylene'!$X$3)/10)</f>
        <v>662.12652039020679</v>
      </c>
      <c r="AA51" s="196">
        <f>AA50*'R&amp;S - Apparel'!$C$7*'R&amp;S - Apparel'!$B$14*('R&amp;S - Apparel'!$B$18+('R&amp;S - Apparel'!$B$19-'R&amp;S - Apparel'!$B$18)*('Yearly LC Ethylene'!AA$3-'Yearly LC Ethylene'!$X$3)/10)</f>
        <v>669.32354778575245</v>
      </c>
      <c r="AB51" s="196">
        <f>AB50*'R&amp;S - Apparel'!$C$7*'R&amp;S - Apparel'!$B$14*('R&amp;S - Apparel'!$B$18+('R&amp;S - Apparel'!$B$19-'R&amp;S - Apparel'!$B$18)*('Yearly LC Ethylene'!AB$3-'Yearly LC Ethylene'!$X$3)/10)</f>
        <v>676.52057518129823</v>
      </c>
      <c r="AC51" s="196">
        <f>AC50*'R&amp;S - Apparel'!$C$7*'R&amp;S - Apparel'!$B$14*('R&amp;S - Apparel'!$B$18+('R&amp;S - Apparel'!$B$19-'R&amp;S - Apparel'!$B$18)*('Yearly LC Ethylene'!AC$3-'Yearly LC Ethylene'!$X$3)/10)</f>
        <v>683.71760257684389</v>
      </c>
      <c r="AD51" s="196">
        <f>AD50*'R&amp;S - Apparel'!$C$7*'R&amp;S - Apparel'!$B$14*('R&amp;S - Apparel'!$B$18+('R&amp;S - Apparel'!$B$19-'R&amp;S - Apparel'!$B$18)*('Yearly LC Ethylene'!AD$3-'Yearly LC Ethylene'!$X$3)/10)</f>
        <v>690.91462997238955</v>
      </c>
      <c r="AE51" s="196">
        <f>AE50*'R&amp;S - Apparel'!$C$7*'R&amp;S - Apparel'!$B$14*('R&amp;S - Apparel'!$B$18+('R&amp;S - Apparel'!$B$19-'R&amp;S - Apparel'!$B$18)*('Yearly LC Ethylene'!AE$3-'Yearly LC Ethylene'!$X$3)/10)</f>
        <v>698.11165736793532</v>
      </c>
      <c r="AF51" s="196">
        <f>AF50*'R&amp;S - Apparel'!$C$7*'R&amp;S - Apparel'!$B$14*('R&amp;S - Apparel'!$B$18+('R&amp;S - Apparel'!$B$19-'R&amp;S - Apparel'!$B$18)*('Yearly LC Ethylene'!AF$3-'Yearly LC Ethylene'!$X$3)/10)</f>
        <v>705.3086847634811</v>
      </c>
      <c r="AG51" s="196">
        <f>AG50*'R&amp;S - Apparel'!$C$7*'R&amp;S - Apparel'!$B$14*('R&amp;S - Apparel'!$B$18+('R&amp;S - Apparel'!$B$19-'R&amp;S - Apparel'!$B$18)*('Yearly LC Ethylene'!AG$3-'Yearly LC Ethylene'!$X$3)/10)</f>
        <v>712.50571215902676</v>
      </c>
      <c r="AH51" s="196">
        <f>AH50*'R&amp;S - Apparel'!$C$7*'R&amp;S - Apparel'!$B$14*('R&amp;S - Apparel'!$B$18+('R&amp;S - Apparel'!$B$19-'R&amp;S - Apparel'!$B$18)*('Yearly LC Ethylene'!AH$3-'Yearly LC Ethylene'!$X$3)/10)</f>
        <v>719.70273955457253</v>
      </c>
    </row>
    <row r="52" spans="1:35" outlineLevel="1">
      <c r="B52" s="58" t="s">
        <v>200</v>
      </c>
      <c r="C52" s="51" t="s">
        <v>166</v>
      </c>
      <c r="D52" s="196">
        <v>0</v>
      </c>
      <c r="E52" s="196">
        <f>E50*'R&amp;S - Apparel'!$C$8*'R&amp;S - Apparel'!$B$14*'R&amp;S - Apparel'!$C$17*('Yearly LC Ethylene'!E$3-'Yearly LC Ethylene'!$D$3)/10</f>
        <v>19.575914515884374</v>
      </c>
      <c r="F52" s="196">
        <f>F50*'R&amp;S - Apparel'!$C$8*'R&amp;S - Apparel'!$B$14*'R&amp;S - Apparel'!$C$17*('Yearly LC Ethylene'!F$3-'Yearly LC Ethylene'!$D$3)/10</f>
        <v>39.151829031768749</v>
      </c>
      <c r="G52" s="196">
        <f>G50*'R&amp;S - Apparel'!$C$8*'R&amp;S - Apparel'!$B$14*'R&amp;S - Apparel'!$C$17*('Yearly LC Ethylene'!G$3-'Yearly LC Ethylene'!$D$3)/10</f>
        <v>58.727743547653134</v>
      </c>
      <c r="H52" s="196">
        <f>H50*'R&amp;S - Apparel'!$C$8*'R&amp;S - Apparel'!$B$14*'R&amp;S - Apparel'!$C$17*('Yearly LC Ethylene'!H$3-'Yearly LC Ethylene'!$D$3)/10</f>
        <v>78.303658063537497</v>
      </c>
      <c r="I52" s="196">
        <f>I50*'R&amp;S - Apparel'!$C$8*'R&amp;S - Apparel'!$B$14*'R&amp;S - Apparel'!$C$17*('Yearly LC Ethylene'!I$3-'Yearly LC Ethylene'!$D$3)/10</f>
        <v>97.879572579421875</v>
      </c>
      <c r="J52" s="196">
        <f>J50*'R&amp;S - Apparel'!$C$8*'R&amp;S - Apparel'!$B$14*'R&amp;S - Apparel'!$C$17*('Yearly LC Ethylene'!J$3-'Yearly LC Ethylene'!$D$3)/10</f>
        <v>117.45548709530627</v>
      </c>
      <c r="K52" s="196">
        <f>K50*'R&amp;S - Apparel'!$C$8*'R&amp;S - Apparel'!$B$14*'R&amp;S - Apparel'!$C$17*('Yearly LC Ethylene'!K$3-'Yearly LC Ethylene'!$D$3)/10</f>
        <v>137.03140161119063</v>
      </c>
      <c r="L52" s="196">
        <f>L50*'R&amp;S - Apparel'!$C$8*'R&amp;S - Apparel'!$B$14*'R&amp;S - Apparel'!$C$17*('Yearly LC Ethylene'!L$3-'Yearly LC Ethylene'!$D$3)/10</f>
        <v>156.60731612707499</v>
      </c>
      <c r="M52" s="196">
        <f>M50*'R&amp;S - Apparel'!$C$8*'R&amp;S - Apparel'!$B$14*'R&amp;S - Apparel'!$C$17*('Yearly LC Ethylene'!M$3-'Yearly LC Ethylene'!$D$3)/10</f>
        <v>176.18323064295936</v>
      </c>
      <c r="N52" s="196">
        <f>N50*'R&amp;S - Apparel'!$C$8*'R&amp;S - Apparel'!$B$14*'R&amp;S - Apparel'!$C$17*('Yearly LC Ethylene'!N$3-'Yearly LC Ethylene'!$D$3)/10</f>
        <v>195.75914515884375</v>
      </c>
      <c r="O52" s="196">
        <f>O50*'R&amp;S - Apparel'!$C$8*'R&amp;S - Apparel'!$B$14*('R&amp;S - Apparel'!$C$17+('R&amp;S - Apparel'!$C$18-'R&amp;S - Apparel'!$C$17)*('Yearly LC Ethylene'!O$3-'Yearly LC Ethylene'!$N$3)/10)</f>
        <v>225.12301693267031</v>
      </c>
      <c r="P52" s="196">
        <f>P50*'R&amp;S - Apparel'!$C$8*'R&amp;S - Apparel'!$B$14*('R&amp;S - Apparel'!$C$17+('R&amp;S - Apparel'!$C$18-'R&amp;S - Apparel'!$C$17)*('Yearly LC Ethylene'!P$3-'Yearly LC Ethylene'!$N$3)/10)</f>
        <v>254.48688870649687</v>
      </c>
      <c r="Q52" s="196">
        <f>Q50*'R&amp;S - Apparel'!$C$8*'R&amp;S - Apparel'!$B$14*('R&amp;S - Apparel'!$C$17+('R&amp;S - Apparel'!$C$18-'R&amp;S - Apparel'!$C$17)*('Yearly LC Ethylene'!Q$3-'Yearly LC Ethylene'!$N$3)/10)</f>
        <v>283.85076048032346</v>
      </c>
      <c r="R52" s="196">
        <f>R50*'R&amp;S - Apparel'!$C$8*'R&amp;S - Apparel'!$B$14*('R&amp;S - Apparel'!$C$17+('R&amp;S - Apparel'!$C$18-'R&amp;S - Apparel'!$C$17)*('Yearly LC Ethylene'!R$3-'Yearly LC Ethylene'!$N$3)/10)</f>
        <v>313.21463225414999</v>
      </c>
      <c r="S52" s="196">
        <f>S50*'R&amp;S - Apparel'!$C$8*'R&amp;S - Apparel'!$B$14*('R&amp;S - Apparel'!$C$17+('R&amp;S - Apparel'!$C$18-'R&amp;S - Apparel'!$C$17)*('Yearly LC Ethylene'!S$3-'Yearly LC Ethylene'!$N$3)/10)</f>
        <v>342.57850402797652</v>
      </c>
      <c r="T52" s="196">
        <f>T50*'R&amp;S - Apparel'!$C$8*'R&amp;S - Apparel'!$B$14*('R&amp;S - Apparel'!$C$17+('R&amp;S - Apparel'!$C$18-'R&amp;S - Apparel'!$C$17)*('Yearly LC Ethylene'!T$3-'Yearly LC Ethylene'!$N$3)/10)</f>
        <v>371.94237580180311</v>
      </c>
      <c r="U52" s="196">
        <f>U50*'R&amp;S - Apparel'!$C$8*'R&amp;S - Apparel'!$B$14*('R&amp;S - Apparel'!$C$17+('R&amp;S - Apparel'!$C$18-'R&amp;S - Apparel'!$C$17)*('Yearly LC Ethylene'!U$3-'Yearly LC Ethylene'!$N$3)/10)</f>
        <v>401.3062475756297</v>
      </c>
      <c r="V52" s="196">
        <f>V50*'R&amp;S - Apparel'!$C$8*'R&amp;S - Apparel'!$B$14*('R&amp;S - Apparel'!$C$17+('R&amp;S - Apparel'!$C$18-'R&amp;S - Apparel'!$C$17)*('Yearly LC Ethylene'!V$3-'Yearly LC Ethylene'!$N$3)/10)</f>
        <v>430.67011934945623</v>
      </c>
      <c r="W52" s="196">
        <f>W50*'R&amp;S - Apparel'!$C$8*'R&amp;S - Apparel'!$B$14*('R&amp;S - Apparel'!$C$17+('R&amp;S - Apparel'!$C$18-'R&amp;S - Apparel'!$C$17)*('Yearly LC Ethylene'!W$3-'Yearly LC Ethylene'!$N$3)/10)</f>
        <v>460.03399112328276</v>
      </c>
      <c r="X52" s="196">
        <f>X50*'R&amp;S - Apparel'!$C$8*'R&amp;S - Apparel'!$B$14*('R&amp;S - Apparel'!$C$17+('R&amp;S - Apparel'!$C$18-'R&amp;S - Apparel'!$C$17)*('Yearly LC Ethylene'!X$3-'Yearly LC Ethylene'!$N$3)/10)</f>
        <v>489.39786289710935</v>
      </c>
      <c r="Y52" s="196">
        <f>Y50*'R&amp;S - Apparel'!$C$8*'R&amp;S - Apparel'!$B$14*('R&amp;S - Apparel'!$C$18+('R&amp;S - Apparel'!$C$19-'R&amp;S - Apparel'!$C$18)*('Yearly LC Ethylene'!Y$3-'Yearly LC Ethylene'!$X$3)/10)</f>
        <v>538.33764918682027</v>
      </c>
      <c r="Z52" s="196">
        <f>Z50*'R&amp;S - Apparel'!$C$8*'R&amp;S - Apparel'!$B$14*('R&amp;S - Apparel'!$C$18+('R&amp;S - Apparel'!$C$19-'R&amp;S - Apparel'!$C$18)*('Yearly LC Ethylene'!Z$3-'Yearly LC Ethylene'!$X$3)/10)</f>
        <v>587.2774354765312</v>
      </c>
      <c r="AA52" s="196">
        <f>AA50*'R&amp;S - Apparel'!$C$8*'R&amp;S - Apparel'!$B$14*('R&amp;S - Apparel'!$C$18+('R&amp;S - Apparel'!$C$19-'R&amp;S - Apparel'!$C$18)*('Yearly LC Ethylene'!AA$3-'Yearly LC Ethylene'!$X$3)/10)</f>
        <v>636.21722176624212</v>
      </c>
      <c r="AB52" s="196">
        <f>AB50*'R&amp;S - Apparel'!$C$8*'R&amp;S - Apparel'!$B$14*('R&amp;S - Apparel'!$C$18+('R&amp;S - Apparel'!$C$19-'R&amp;S - Apparel'!$C$18)*('Yearly LC Ethylene'!AB$3-'Yearly LC Ethylene'!$X$3)/10)</f>
        <v>685.15700805595304</v>
      </c>
      <c r="AC52" s="196">
        <f>AC50*'R&amp;S - Apparel'!$C$8*'R&amp;S - Apparel'!$B$14*('R&amp;S - Apparel'!$C$18+('R&amp;S - Apparel'!$C$19-'R&amp;S - Apparel'!$C$18)*('Yearly LC Ethylene'!AC$3-'Yearly LC Ethylene'!$X$3)/10)</f>
        <v>734.09679434566397</v>
      </c>
      <c r="AD52" s="196">
        <f>AD50*'R&amp;S - Apparel'!$C$8*'R&amp;S - Apparel'!$B$14*('R&amp;S - Apparel'!$C$18+('R&amp;S - Apparel'!$C$19-'R&amp;S - Apparel'!$C$18)*('Yearly LC Ethylene'!AD$3-'Yearly LC Ethylene'!$X$3)/10)</f>
        <v>783.036580635375</v>
      </c>
      <c r="AE52" s="196">
        <f>AE50*'R&amp;S - Apparel'!$C$8*'R&amp;S - Apparel'!$B$14*('R&amp;S - Apparel'!$C$18+('R&amp;S - Apparel'!$C$19-'R&amp;S - Apparel'!$C$18)*('Yearly LC Ethylene'!AE$3-'Yearly LC Ethylene'!$X$3)/10)</f>
        <v>831.97636692508593</v>
      </c>
      <c r="AF52" s="196">
        <f>AF50*'R&amp;S - Apparel'!$C$8*'R&amp;S - Apparel'!$B$14*('R&amp;S - Apparel'!$C$18+('R&amp;S - Apparel'!$C$19-'R&amp;S - Apparel'!$C$18)*('Yearly LC Ethylene'!AF$3-'Yearly LC Ethylene'!$X$3)/10)</f>
        <v>880.91615321479685</v>
      </c>
      <c r="AG52" s="196">
        <f>AG50*'R&amp;S - Apparel'!$C$8*'R&amp;S - Apparel'!$B$14*('R&amp;S - Apparel'!$C$18+('R&amp;S - Apparel'!$C$19-'R&amp;S - Apparel'!$C$18)*('Yearly LC Ethylene'!AG$3-'Yearly LC Ethylene'!$X$3)/10)</f>
        <v>929.85593950450777</v>
      </c>
      <c r="AH52" s="196">
        <f>AH50*'R&amp;S - Apparel'!$C$8*'R&amp;S - Apparel'!$B$14*('R&amp;S - Apparel'!$C$18+('R&amp;S - Apparel'!$C$19-'R&amp;S - Apparel'!$C$18)*('Yearly LC Ethylene'!AH$3-'Yearly LC Ethylene'!$X$3)/10)</f>
        <v>978.7957257942187</v>
      </c>
    </row>
    <row r="53" spans="1:35" outlineLevel="1">
      <c r="B53" s="1" t="s">
        <v>164</v>
      </c>
      <c r="C53" s="51" t="s">
        <v>166</v>
      </c>
      <c r="D53" s="196">
        <f>SUM(D51:D52)</f>
        <v>0</v>
      </c>
      <c r="E53" s="196">
        <f t="shared" ref="E53:AG53" si="12">SUM(E51:E52)</f>
        <v>69.955106284704442</v>
      </c>
      <c r="F53" s="196">
        <f t="shared" si="12"/>
        <v>139.91021256940888</v>
      </c>
      <c r="G53" s="196">
        <f t="shared" si="12"/>
        <v>209.86531885411335</v>
      </c>
      <c r="H53" s="196">
        <f t="shared" si="12"/>
        <v>279.82042513881777</v>
      </c>
      <c r="I53" s="196">
        <f t="shared" si="12"/>
        <v>349.77553142352224</v>
      </c>
      <c r="J53" s="196">
        <f t="shared" si="12"/>
        <v>419.73063770822671</v>
      </c>
      <c r="K53" s="196">
        <f t="shared" si="12"/>
        <v>489.68574399293118</v>
      </c>
      <c r="L53" s="196">
        <f t="shared" si="12"/>
        <v>559.64085027763554</v>
      </c>
      <c r="M53" s="196">
        <f t="shared" si="12"/>
        <v>629.59595656234001</v>
      </c>
      <c r="N53" s="196">
        <f t="shared" si="12"/>
        <v>699.55106284704448</v>
      </c>
      <c r="O53" s="196">
        <f t="shared" si="12"/>
        <v>743.30898941196256</v>
      </c>
      <c r="P53" s="196">
        <f t="shared" si="12"/>
        <v>787.06691597688052</v>
      </c>
      <c r="Q53" s="196">
        <f t="shared" si="12"/>
        <v>830.82484254179849</v>
      </c>
      <c r="R53" s="196">
        <f t="shared" si="12"/>
        <v>874.58276910671657</v>
      </c>
      <c r="S53" s="196">
        <f t="shared" si="12"/>
        <v>918.34069567163465</v>
      </c>
      <c r="T53" s="196">
        <f t="shared" si="12"/>
        <v>962.0986222365525</v>
      </c>
      <c r="U53" s="196">
        <f t="shared" si="12"/>
        <v>1005.8565488014706</v>
      </c>
      <c r="V53" s="196">
        <f t="shared" si="12"/>
        <v>1049.6144753663887</v>
      </c>
      <c r="W53" s="196">
        <f t="shared" si="12"/>
        <v>1093.3724019313065</v>
      </c>
      <c r="X53" s="196">
        <f t="shared" si="12"/>
        <v>1137.1303284962246</v>
      </c>
      <c r="Y53" s="196">
        <f t="shared" si="12"/>
        <v>1193.2671421814812</v>
      </c>
      <c r="Z53" s="196">
        <f t="shared" si="12"/>
        <v>1249.403955866738</v>
      </c>
      <c r="AA53" s="196">
        <f t="shared" si="12"/>
        <v>1305.5407695519946</v>
      </c>
      <c r="AB53" s="196">
        <f t="shared" si="12"/>
        <v>1361.6775832372514</v>
      </c>
      <c r="AC53" s="196">
        <f t="shared" si="12"/>
        <v>1417.814396922508</v>
      </c>
      <c r="AD53" s="196">
        <f t="shared" si="12"/>
        <v>1473.9512106077646</v>
      </c>
      <c r="AE53" s="196">
        <f t="shared" si="12"/>
        <v>1530.0880242930211</v>
      </c>
      <c r="AF53" s="196">
        <f t="shared" si="12"/>
        <v>1586.2248379782779</v>
      </c>
      <c r="AG53" s="196">
        <f t="shared" si="12"/>
        <v>1642.3616516635345</v>
      </c>
      <c r="AH53" s="196">
        <f>SUM(AH51:AH52)</f>
        <v>1698.4984653487913</v>
      </c>
    </row>
    <row r="54" spans="1:35" outlineLevel="1">
      <c r="B54" s="1" t="s">
        <v>167</v>
      </c>
      <c r="C54" s="51" t="s">
        <v>166</v>
      </c>
      <c r="D54" s="196">
        <v>0</v>
      </c>
      <c r="E54" s="196">
        <f>E50*'R&amp;S - Apparel'!$C$10*'R&amp;S - Apparel'!$B$14*'R&amp;S - Apparel'!$D$17*(E$3-$D$3)/10</f>
        <v>19.000152324240716</v>
      </c>
      <c r="F54" s="196">
        <f>F50*'R&amp;S - Apparel'!$C$10*'R&amp;S - Apparel'!$B$14*'R&amp;S - Apparel'!$D$17*(F$3-$D$3)/10</f>
        <v>38.000304648481432</v>
      </c>
      <c r="G54" s="196">
        <f>G50*'R&amp;S - Apparel'!$C$10*'R&amp;S - Apparel'!$B$14*'R&amp;S - Apparel'!$D$17*(G$3-$D$3)/10</f>
        <v>57.000456972722148</v>
      </c>
      <c r="H54" s="196">
        <f>H50*'R&amp;S - Apparel'!$C$10*'R&amp;S - Apparel'!$B$14*'R&amp;S - Apparel'!$D$17*(H$3-$D$3)/10</f>
        <v>76.000609296962864</v>
      </c>
      <c r="I54" s="196">
        <f>I50*'R&amp;S - Apparel'!$C$10*'R&amp;S - Apparel'!$B$14*'R&amp;S - Apparel'!$D$17*(I$3-$D$3)/10</f>
        <v>95.00076162120358</v>
      </c>
      <c r="J54" s="196">
        <f>J50*'R&amp;S - Apparel'!$C$10*'R&amp;S - Apparel'!$B$14*'R&amp;S - Apparel'!$D$17*(J$3-$D$3)/10</f>
        <v>114.0009139454443</v>
      </c>
      <c r="K54" s="196">
        <f>K50*'R&amp;S - Apparel'!$C$10*'R&amp;S - Apparel'!$B$14*'R&amp;S - Apparel'!$D$17*(K$3-$D$3)/10</f>
        <v>133.00106626968503</v>
      </c>
      <c r="L54" s="196">
        <f>L50*'R&amp;S - Apparel'!$C$10*'R&amp;S - Apparel'!$B$14*'R&amp;S - Apparel'!$D$17*(L$3-$D$3)/10</f>
        <v>152.00121859392573</v>
      </c>
      <c r="M54" s="196">
        <f>M50*'R&amp;S - Apparel'!$C$10*'R&amp;S - Apparel'!$B$14*'R&amp;S - Apparel'!$D$17*(M$3-$D$3)/10</f>
        <v>171.00137091816643</v>
      </c>
      <c r="N54" s="196">
        <f>N50*'R&amp;S - Apparel'!$C$10*'R&amp;S - Apparel'!$B$14*'R&amp;S - Apparel'!$D$17*(N$3-$D$3)/10</f>
        <v>190.00152324240716</v>
      </c>
      <c r="O54" s="196">
        <f>O50*'R&amp;S - Apparel'!$C$10*'R&amp;S - Apparel'!$B$14*('R&amp;S - Apparel'!$D$17+('R&amp;S - Apparel'!$D$18-'R&amp;S - Apparel'!$D$17)*(O$3-$N$3)/10)</f>
        <v>209.00167556664786</v>
      </c>
      <c r="P54" s="196">
        <f>P50*'R&amp;S - Apparel'!$C$10*'R&amp;S - Apparel'!$B$14*('R&amp;S - Apparel'!$D$17+('R&amp;S - Apparel'!$D$18-'R&amp;S - Apparel'!$D$17)*(P$3-$N$3)/10)</f>
        <v>228.00182789088862</v>
      </c>
      <c r="Q54" s="196">
        <f>Q50*'R&amp;S - Apparel'!$C$10*'R&amp;S - Apparel'!$B$14*('R&amp;S - Apparel'!$D$17+('R&amp;S - Apparel'!$D$18-'R&amp;S - Apparel'!$D$17)*(Q$3-$N$3)/10)</f>
        <v>247.00198021512935</v>
      </c>
      <c r="R54" s="196">
        <f>R50*'R&amp;S - Apparel'!$C$10*'R&amp;S - Apparel'!$B$14*('R&amp;S - Apparel'!$D$17+('R&amp;S - Apparel'!$D$18-'R&amp;S - Apparel'!$D$17)*(R$3-$N$3)/10)</f>
        <v>266.00213253937005</v>
      </c>
      <c r="S54" s="196">
        <f>S50*'R&amp;S - Apparel'!$C$10*'R&amp;S - Apparel'!$B$14*('R&amp;S - Apparel'!$D$17+('R&amp;S - Apparel'!$D$18-'R&amp;S - Apparel'!$D$17)*(S$3-$N$3)/10)</f>
        <v>285.00228486361073</v>
      </c>
      <c r="T54" s="196">
        <f>T50*'R&amp;S - Apparel'!$C$10*'R&amp;S - Apparel'!$B$14*('R&amp;S - Apparel'!$D$17+('R&amp;S - Apparel'!$D$18-'R&amp;S - Apparel'!$D$17)*(T$3-$N$3)/10)</f>
        <v>304.00243718785146</v>
      </c>
      <c r="U54" s="196">
        <f>U50*'R&amp;S - Apparel'!$C$10*'R&amp;S - Apparel'!$B$14*('R&amp;S - Apparel'!$D$17+('R&amp;S - Apparel'!$D$18-'R&amp;S - Apparel'!$D$17)*(U$3-$N$3)/10)</f>
        <v>323.00258951209219</v>
      </c>
      <c r="V54" s="196">
        <f>V50*'R&amp;S - Apparel'!$C$10*'R&amp;S - Apparel'!$B$14*('R&amp;S - Apparel'!$D$17+('R&amp;S - Apparel'!$D$18-'R&amp;S - Apparel'!$D$17)*(V$3-$N$3)/10)</f>
        <v>342.00274183633292</v>
      </c>
      <c r="W54" s="196">
        <f>W50*'R&amp;S - Apparel'!$C$10*'R&amp;S - Apparel'!$B$14*('R&amp;S - Apparel'!$D$17+('R&amp;S - Apparel'!$D$18-'R&amp;S - Apparel'!$D$17)*(W$3-$N$3)/10)</f>
        <v>361.00289416057359</v>
      </c>
      <c r="X54" s="196">
        <f>X50*'R&amp;S - Apparel'!$C$10*'R&amp;S - Apparel'!$B$14*('R&amp;S - Apparel'!$D$17+('R&amp;S - Apparel'!$D$18-'R&amp;S - Apparel'!$D$17)*(X$3-$N$3)/10)</f>
        <v>380.00304648481432</v>
      </c>
      <c r="Y54" s="196">
        <f>Y50*'R&amp;S - Apparel'!$C$10*'R&amp;S - Apparel'!$B$14*('R&amp;S - Apparel'!$D$18+('R&amp;S - Apparel'!$D$19-'R&amp;S - Apparel'!$D$18)*(Y$3-$X$3)/10)</f>
        <v>399.57896100069871</v>
      </c>
      <c r="Z54" s="196">
        <f>Z50*'R&amp;S - Apparel'!$C$10*'R&amp;S - Apparel'!$B$14*('R&amp;S - Apparel'!$D$18+('R&amp;S - Apparel'!$D$19-'R&amp;S - Apparel'!$D$18)*(Z$3-$X$3)/10)</f>
        <v>419.15487551658305</v>
      </c>
      <c r="AA54" s="196">
        <f>AA50*'R&amp;S - Apparel'!$C$10*'R&amp;S - Apparel'!$B$14*('R&amp;S - Apparel'!$D$18+('R&amp;S - Apparel'!$D$19-'R&amp;S - Apparel'!$D$18)*(AA$3-$X$3)/10)</f>
        <v>438.73079003246744</v>
      </c>
      <c r="AB54" s="196">
        <f>AB50*'R&amp;S - Apparel'!$C$10*'R&amp;S - Apparel'!$B$14*('R&amp;S - Apparel'!$D$18+('R&amp;S - Apparel'!$D$19-'R&amp;S - Apparel'!$D$18)*(AB$3-$X$3)/10)</f>
        <v>458.30670454835183</v>
      </c>
      <c r="AC54" s="196">
        <f>AC50*'R&amp;S - Apparel'!$C$10*'R&amp;S - Apparel'!$B$14*('R&amp;S - Apparel'!$D$18+('R&amp;S - Apparel'!$D$19-'R&amp;S - Apparel'!$D$18)*(AC$3-$X$3)/10)</f>
        <v>477.88261906423622</v>
      </c>
      <c r="AD54" s="196">
        <f>AD50*'R&amp;S - Apparel'!$C$10*'R&amp;S - Apparel'!$B$14*('R&amp;S - Apparel'!$D$18+('R&amp;S - Apparel'!$D$19-'R&amp;S - Apparel'!$D$18)*(AD$3-$X$3)/10)</f>
        <v>497.45853358012062</v>
      </c>
      <c r="AE54" s="196">
        <f>AE50*'R&amp;S - Apparel'!$C$10*'R&amp;S - Apparel'!$B$14*('R&amp;S - Apparel'!$D$18+('R&amp;S - Apparel'!$D$19-'R&amp;S - Apparel'!$D$18)*(AE$3-$X$3)/10)</f>
        <v>517.03444809600501</v>
      </c>
      <c r="AF54" s="196">
        <f>AF50*'R&amp;S - Apparel'!$C$10*'R&amp;S - Apparel'!$B$14*('R&amp;S - Apparel'!$D$18+('R&amp;S - Apparel'!$D$19-'R&amp;S - Apparel'!$D$18)*(AF$3-$X$3)/10)</f>
        <v>536.61036261188929</v>
      </c>
      <c r="AG54" s="196">
        <f>AG50*'R&amp;S - Apparel'!$C$10*'R&amp;S - Apparel'!$B$14*('R&amp;S - Apparel'!$D$18+('R&amp;S - Apparel'!$D$19-'R&amp;S - Apparel'!$D$18)*(AG$3-$X$3)/10)</f>
        <v>556.18627712777368</v>
      </c>
      <c r="AH54" s="196">
        <f>AH50*'R&amp;S - Apparel'!$C$10*'R&amp;S - Apparel'!$B$14*('R&amp;S - Apparel'!$D$18+('R&amp;S - Apparel'!$D$19-'R&amp;S - Apparel'!$D$18)*(AH$3-$X$3)/10)</f>
        <v>575.76219164365807</v>
      </c>
    </row>
    <row r="55" spans="1:35">
      <c r="B55" s="1" t="s">
        <v>195</v>
      </c>
      <c r="C55" s="61" t="s">
        <v>166</v>
      </c>
      <c r="D55" s="633">
        <f>D50-D53-D54</f>
        <v>5757.6219164365802</v>
      </c>
      <c r="E55" s="633">
        <f t="shared" ref="E55:AH55" si="13">E50-E53-E54</f>
        <v>5668.6666578276354</v>
      </c>
      <c r="F55" s="633">
        <f t="shared" si="13"/>
        <v>5579.7113992186896</v>
      </c>
      <c r="G55" s="633">
        <f t="shared" si="13"/>
        <v>5490.7561406097448</v>
      </c>
      <c r="H55" s="633">
        <f t="shared" si="13"/>
        <v>5401.8008820007999</v>
      </c>
      <c r="I55" s="633">
        <f t="shared" si="13"/>
        <v>5312.845623391855</v>
      </c>
      <c r="J55" s="633">
        <f t="shared" si="13"/>
        <v>5223.8903647829093</v>
      </c>
      <c r="K55" s="633">
        <f t="shared" si="13"/>
        <v>5134.9351061739644</v>
      </c>
      <c r="L55" s="633">
        <f t="shared" si="13"/>
        <v>5045.9798475650186</v>
      </c>
      <c r="M55" s="633">
        <f t="shared" si="13"/>
        <v>4957.0245889560738</v>
      </c>
      <c r="N55" s="633">
        <f t="shared" si="13"/>
        <v>4868.069330347128</v>
      </c>
      <c r="O55" s="633">
        <f t="shared" si="13"/>
        <v>4805.3112514579698</v>
      </c>
      <c r="P55" s="633">
        <f t="shared" si="13"/>
        <v>4742.5531725688115</v>
      </c>
      <c r="Q55" s="633">
        <f t="shared" si="13"/>
        <v>4679.7950936796524</v>
      </c>
      <c r="R55" s="633">
        <f t="shared" si="13"/>
        <v>4617.0370147904941</v>
      </c>
      <c r="S55" s="633">
        <f t="shared" si="13"/>
        <v>4554.278935901335</v>
      </c>
      <c r="T55" s="633">
        <f t="shared" si="13"/>
        <v>4491.5208570121758</v>
      </c>
      <c r="U55" s="633">
        <f t="shared" si="13"/>
        <v>4428.7627781230167</v>
      </c>
      <c r="V55" s="633">
        <f t="shared" si="13"/>
        <v>4366.0046992338594</v>
      </c>
      <c r="W55" s="633">
        <f t="shared" si="13"/>
        <v>4303.2466203447002</v>
      </c>
      <c r="X55" s="633">
        <f t="shared" si="13"/>
        <v>4240.488541455542</v>
      </c>
      <c r="Y55" s="633">
        <f t="shared" si="13"/>
        <v>4164.7758132544004</v>
      </c>
      <c r="Z55" s="633">
        <f t="shared" si="13"/>
        <v>4089.0630850532589</v>
      </c>
      <c r="AA55" s="633">
        <f t="shared" si="13"/>
        <v>4013.3503568521182</v>
      </c>
      <c r="AB55" s="633">
        <f t="shared" si="13"/>
        <v>3937.6376286509771</v>
      </c>
      <c r="AC55" s="633">
        <f t="shared" si="13"/>
        <v>3861.9249004498356</v>
      </c>
      <c r="AD55" s="633">
        <f t="shared" si="13"/>
        <v>3786.212172248695</v>
      </c>
      <c r="AE55" s="633">
        <f t="shared" si="13"/>
        <v>3710.4994440475548</v>
      </c>
      <c r="AF55" s="633">
        <f t="shared" si="13"/>
        <v>3634.7867158464132</v>
      </c>
      <c r="AG55" s="633">
        <f t="shared" si="13"/>
        <v>3559.0739876452717</v>
      </c>
      <c r="AH55" s="633">
        <f t="shared" si="13"/>
        <v>3483.3612594441311</v>
      </c>
    </row>
    <row r="56" spans="1:35" s="62" customFormat="1">
      <c r="A56" s="688" t="s">
        <v>685</v>
      </c>
      <c r="B56" s="55" t="s">
        <v>141</v>
      </c>
      <c r="C56" s="56" t="s">
        <v>166</v>
      </c>
      <c r="D56" s="630">
        <f>D55*('Demand - Ethylene'!$C$77)</f>
        <v>0</v>
      </c>
      <c r="E56" s="630">
        <f>E55*('Demand - Ethylene'!$C$77)</f>
        <v>0</v>
      </c>
      <c r="F56" s="630">
        <f>F55*('Demand - Ethylene'!$C$77)</f>
        <v>0</v>
      </c>
      <c r="G56" s="630">
        <f>G55*('Demand - Ethylene'!$C$77)</f>
        <v>0</v>
      </c>
      <c r="H56" s="630">
        <f>H55*('Demand - Ethylene'!$C$77)</f>
        <v>0</v>
      </c>
      <c r="I56" s="630">
        <f>I55*('Demand - Ethylene'!$C$77)</f>
        <v>0</v>
      </c>
      <c r="J56" s="630">
        <f>J55*('Demand - Ethylene'!$C$77)</f>
        <v>0</v>
      </c>
      <c r="K56" s="630">
        <f>K55*('Demand - Ethylene'!$C$77)</f>
        <v>0</v>
      </c>
      <c r="L56" s="630">
        <f>L55*('Demand - Ethylene'!$C$77)</f>
        <v>0</v>
      </c>
      <c r="M56" s="630">
        <f>M55*('Demand - Ethylene'!$C$77)</f>
        <v>0</v>
      </c>
      <c r="N56" s="630">
        <f>N55*('Demand - Ethylene'!$C$77)</f>
        <v>0</v>
      </c>
      <c r="O56" s="630">
        <f>O55*('Demand - Ethylene'!$C$77)</f>
        <v>0</v>
      </c>
      <c r="P56" s="630">
        <f>P55*('Demand - Ethylene'!$C$77)</f>
        <v>0</v>
      </c>
      <c r="Q56" s="630">
        <f>Q55*('Demand - Ethylene'!$C$77)</f>
        <v>0</v>
      </c>
      <c r="R56" s="630">
        <f>R55*('Demand - Ethylene'!$C$77)</f>
        <v>0</v>
      </c>
      <c r="S56" s="630">
        <f>S55*('Demand - Ethylene'!$C$77)</f>
        <v>0</v>
      </c>
      <c r="T56" s="630">
        <f>T55*('Demand - Ethylene'!$C$77)</f>
        <v>0</v>
      </c>
      <c r="U56" s="630">
        <f>U55*('Demand - Ethylene'!$C$77)</f>
        <v>0</v>
      </c>
      <c r="V56" s="630">
        <f>V55*('Demand - Ethylene'!$C$77)</f>
        <v>0</v>
      </c>
      <c r="W56" s="630">
        <f>W55*('Demand - Ethylene'!$C$77)</f>
        <v>0</v>
      </c>
      <c r="X56" s="630">
        <f>X55*('Demand - Ethylene'!$C$77)</f>
        <v>0</v>
      </c>
      <c r="Y56" s="630">
        <f>Y55*('Demand - Ethylene'!$C$77)</f>
        <v>0</v>
      </c>
      <c r="Z56" s="630">
        <f>Z55*('Demand - Ethylene'!$C$77)</f>
        <v>0</v>
      </c>
      <c r="AA56" s="630">
        <f>AA55*('Demand - Ethylene'!$C$77)</f>
        <v>0</v>
      </c>
      <c r="AB56" s="630">
        <f>AB55*('Demand - Ethylene'!$C$77)</f>
        <v>0</v>
      </c>
      <c r="AC56" s="630">
        <f>AC55*('Demand - Ethylene'!$C$77)</f>
        <v>0</v>
      </c>
      <c r="AD56" s="630">
        <f>AD55*('Demand - Ethylene'!$C$77)</f>
        <v>0</v>
      </c>
      <c r="AE56" s="630">
        <f>AE55*('Demand - Ethylene'!$C$77)</f>
        <v>0</v>
      </c>
      <c r="AF56" s="630">
        <f>AF55*('Demand - Ethylene'!$C$77)</f>
        <v>0</v>
      </c>
      <c r="AG56" s="630">
        <f>AG55*('Demand - Ethylene'!$C$77)</f>
        <v>0</v>
      </c>
      <c r="AH56" s="630">
        <f>AH55*('Demand - Ethylene'!$C$77)</f>
        <v>0</v>
      </c>
      <c r="AI56" s="57"/>
    </row>
    <row r="57" spans="1:35">
      <c r="A57" s="689"/>
      <c r="B57" s="1" t="s">
        <v>18</v>
      </c>
      <c r="C57" s="51" t="s">
        <v>166</v>
      </c>
      <c r="D57" s="196">
        <f>D61</f>
        <v>5757.6219164365802</v>
      </c>
      <c r="E57" s="196">
        <f t="shared" ref="E57:AH57" si="14">E61</f>
        <v>5668.6666578276354</v>
      </c>
      <c r="F57" s="196">
        <f t="shared" si="14"/>
        <v>5579.7113992186896</v>
      </c>
      <c r="G57" s="196">
        <f t="shared" si="14"/>
        <v>5490.7561406097448</v>
      </c>
      <c r="H57" s="196">
        <f t="shared" si="14"/>
        <v>5401.8008820007999</v>
      </c>
      <c r="I57" s="196">
        <f t="shared" si="14"/>
        <v>5312.845623391855</v>
      </c>
      <c r="J57" s="196">
        <f t="shared" si="14"/>
        <v>5223.8903647829093</v>
      </c>
      <c r="K57" s="196">
        <f t="shared" si="14"/>
        <v>5134.9351061739644</v>
      </c>
      <c r="L57" s="196">
        <f t="shared" si="14"/>
        <v>5045.9798475650186</v>
      </c>
      <c r="M57" s="196">
        <f t="shared" si="14"/>
        <v>4957.0245889560738</v>
      </c>
      <c r="N57" s="196">
        <f t="shared" si="14"/>
        <v>4868.069330347128</v>
      </c>
      <c r="O57" s="196">
        <f t="shared" si="14"/>
        <v>4805.3112514579698</v>
      </c>
      <c r="P57" s="196">
        <f t="shared" si="14"/>
        <v>4742.5531725688115</v>
      </c>
      <c r="Q57" s="196">
        <f t="shared" si="14"/>
        <v>4679.7950936796524</v>
      </c>
      <c r="R57" s="196">
        <f t="shared" si="14"/>
        <v>4617.0370147904941</v>
      </c>
      <c r="S57" s="196">
        <f t="shared" si="14"/>
        <v>4554.278935901335</v>
      </c>
      <c r="T57" s="196">
        <f t="shared" si="14"/>
        <v>4491.5208570121758</v>
      </c>
      <c r="U57" s="196">
        <f t="shared" si="14"/>
        <v>4428.7627781230167</v>
      </c>
      <c r="V57" s="196">
        <f t="shared" si="14"/>
        <v>4366.0046992338594</v>
      </c>
      <c r="W57" s="196">
        <f t="shared" si="14"/>
        <v>4303.2466203447002</v>
      </c>
      <c r="X57" s="196">
        <f t="shared" si="14"/>
        <v>4240.488541455542</v>
      </c>
      <c r="Y57" s="196">
        <f t="shared" si="14"/>
        <v>4164.7758132544004</v>
      </c>
      <c r="Z57" s="196">
        <f t="shared" si="14"/>
        <v>4089.0630850532589</v>
      </c>
      <c r="AA57" s="196">
        <f t="shared" si="14"/>
        <v>4013.3503568521182</v>
      </c>
      <c r="AB57" s="196">
        <f t="shared" si="14"/>
        <v>3937.6376286509771</v>
      </c>
      <c r="AC57" s="196">
        <f t="shared" si="14"/>
        <v>3861.9249004498356</v>
      </c>
      <c r="AD57" s="196">
        <f t="shared" si="14"/>
        <v>3786.212172248695</v>
      </c>
      <c r="AE57" s="196">
        <f t="shared" si="14"/>
        <v>3710.4994440475548</v>
      </c>
      <c r="AF57" s="196">
        <f t="shared" si="14"/>
        <v>3634.7867158464132</v>
      </c>
      <c r="AG57" s="196">
        <f t="shared" si="14"/>
        <v>3559.0739876452717</v>
      </c>
      <c r="AH57" s="196">
        <f t="shared" si="14"/>
        <v>3483.3612594441311</v>
      </c>
      <c r="AI57" s="41"/>
    </row>
    <row r="58" spans="1:35">
      <c r="A58" s="689"/>
      <c r="B58" s="1" t="s">
        <v>684</v>
      </c>
      <c r="C58" s="51" t="s">
        <v>166</v>
      </c>
      <c r="D58" s="196">
        <f>D60/('Demand - Ethylene'!$M$14)</f>
        <v>0</v>
      </c>
      <c r="E58" s="196">
        <f>E60/('Demand - Ethylene'!$M$14)</f>
        <v>0</v>
      </c>
      <c r="F58" s="196">
        <f>F60/('Demand - Ethylene'!$M$14)</f>
        <v>0</v>
      </c>
      <c r="G58" s="196">
        <f>G60/('Demand - Ethylene'!$M$14)</f>
        <v>0</v>
      </c>
      <c r="H58" s="196">
        <f>H60/('Demand - Ethylene'!$M$14)</f>
        <v>0</v>
      </c>
      <c r="I58" s="196">
        <f>I60/('Demand - Ethylene'!$M$14)</f>
        <v>0</v>
      </c>
      <c r="J58" s="196">
        <f>J60/('Demand - Ethylene'!$M$14)</f>
        <v>0</v>
      </c>
      <c r="K58" s="196">
        <f>K60/('Demand - Ethylene'!$M$14)</f>
        <v>0</v>
      </c>
      <c r="L58" s="196">
        <f>L60/('Demand - Ethylene'!$M$14)</f>
        <v>0</v>
      </c>
      <c r="M58" s="196">
        <f>M60/('Demand - Ethylene'!$M$14)</f>
        <v>0</v>
      </c>
      <c r="N58" s="196">
        <f>N60/('Demand - Ethylene'!$M$14)</f>
        <v>0</v>
      </c>
      <c r="O58" s="196">
        <f>O60/('Demand - Ethylene'!$M$14)</f>
        <v>0</v>
      </c>
      <c r="P58" s="196">
        <f>P60/('Demand - Ethylene'!$M$14)</f>
        <v>0</v>
      </c>
      <c r="Q58" s="196">
        <f>Q60/('Demand - Ethylene'!$M$14)</f>
        <v>0</v>
      </c>
      <c r="R58" s="196">
        <f>R60/('Demand - Ethylene'!$M$14)</f>
        <v>0</v>
      </c>
      <c r="S58" s="196">
        <f>S60/('Demand - Ethylene'!$M$14)</f>
        <v>0</v>
      </c>
      <c r="T58" s="196">
        <f>T60/('Demand - Ethylene'!$M$14)</f>
        <v>0</v>
      </c>
      <c r="U58" s="196">
        <f>U60/('Demand - Ethylene'!$M$14)</f>
        <v>0</v>
      </c>
      <c r="V58" s="196">
        <f>V60/('Demand - Ethylene'!$M$14)</f>
        <v>0</v>
      </c>
      <c r="W58" s="196">
        <f>W60/('Demand - Ethylene'!$M$14)</f>
        <v>0</v>
      </c>
      <c r="X58" s="196">
        <f>X60/('Demand - Ethylene'!$M$14)</f>
        <v>0</v>
      </c>
      <c r="Y58" s="196">
        <f>Y60/('Demand - Ethylene'!$M$14)</f>
        <v>0</v>
      </c>
      <c r="Z58" s="196">
        <f>Z60/('Demand - Ethylene'!$M$14)</f>
        <v>0</v>
      </c>
      <c r="AA58" s="196">
        <f>AA60/('Demand - Ethylene'!$M$14)</f>
        <v>0</v>
      </c>
      <c r="AB58" s="196">
        <f>AB60/('Demand - Ethylene'!$M$14)</f>
        <v>0</v>
      </c>
      <c r="AC58" s="196">
        <f>AC60/('Demand - Ethylene'!$M$14)</f>
        <v>0</v>
      </c>
      <c r="AD58" s="196">
        <f>AD60/('Demand - Ethylene'!$M$14)</f>
        <v>0</v>
      </c>
      <c r="AE58" s="196">
        <f>AE60/('Demand - Ethylene'!$M$14)</f>
        <v>0</v>
      </c>
      <c r="AF58" s="196">
        <f>AF60/('Demand - Ethylene'!$M$14)</f>
        <v>0</v>
      </c>
      <c r="AG58" s="196">
        <f>AG60/('Demand - Ethylene'!$M$14)</f>
        <v>0</v>
      </c>
      <c r="AH58" s="196">
        <f>AH60/('Demand - Ethylene'!$M$14)</f>
        <v>0</v>
      </c>
      <c r="AI58" s="41"/>
    </row>
    <row r="59" spans="1:35" s="63" customFormat="1">
      <c r="A59" s="690"/>
      <c r="B59" s="59" t="s">
        <v>27</v>
      </c>
      <c r="C59" s="262" t="s">
        <v>166</v>
      </c>
      <c r="D59" s="599">
        <f>D55-SUM(D57,D56,D58)</f>
        <v>0</v>
      </c>
      <c r="E59" s="599">
        <f t="shared" ref="E59:AH59" si="15">E55-SUM(E57,E56,E58)</f>
        <v>0</v>
      </c>
      <c r="F59" s="599">
        <f t="shared" si="15"/>
        <v>0</v>
      </c>
      <c r="G59" s="599">
        <f t="shared" si="15"/>
        <v>0</v>
      </c>
      <c r="H59" s="599">
        <f t="shared" si="15"/>
        <v>0</v>
      </c>
      <c r="I59" s="599">
        <f t="shared" si="15"/>
        <v>0</v>
      </c>
      <c r="J59" s="599">
        <f t="shared" si="15"/>
        <v>0</v>
      </c>
      <c r="K59" s="599">
        <f t="shared" si="15"/>
        <v>0</v>
      </c>
      <c r="L59" s="599">
        <f t="shared" si="15"/>
        <v>0</v>
      </c>
      <c r="M59" s="599">
        <f t="shared" si="15"/>
        <v>0</v>
      </c>
      <c r="N59" s="599">
        <f t="shared" si="15"/>
        <v>0</v>
      </c>
      <c r="O59" s="599">
        <f t="shared" si="15"/>
        <v>0</v>
      </c>
      <c r="P59" s="599">
        <f t="shared" si="15"/>
        <v>0</v>
      </c>
      <c r="Q59" s="599">
        <f t="shared" si="15"/>
        <v>0</v>
      </c>
      <c r="R59" s="599">
        <f t="shared" si="15"/>
        <v>0</v>
      </c>
      <c r="S59" s="599">
        <f t="shared" si="15"/>
        <v>0</v>
      </c>
      <c r="T59" s="599">
        <f t="shared" si="15"/>
        <v>0</v>
      </c>
      <c r="U59" s="599">
        <f t="shared" si="15"/>
        <v>0</v>
      </c>
      <c r="V59" s="599">
        <f t="shared" si="15"/>
        <v>0</v>
      </c>
      <c r="W59" s="599">
        <f t="shared" si="15"/>
        <v>0</v>
      </c>
      <c r="X59" s="599">
        <f t="shared" si="15"/>
        <v>0</v>
      </c>
      <c r="Y59" s="599">
        <f t="shared" si="15"/>
        <v>0</v>
      </c>
      <c r="Z59" s="599">
        <f t="shared" si="15"/>
        <v>0</v>
      </c>
      <c r="AA59" s="599">
        <f t="shared" si="15"/>
        <v>0</v>
      </c>
      <c r="AB59" s="599">
        <f t="shared" si="15"/>
        <v>0</v>
      </c>
      <c r="AC59" s="599">
        <f t="shared" si="15"/>
        <v>0</v>
      </c>
      <c r="AD59" s="599">
        <f t="shared" si="15"/>
        <v>0</v>
      </c>
      <c r="AE59" s="599">
        <f t="shared" si="15"/>
        <v>0</v>
      </c>
      <c r="AF59" s="599">
        <f t="shared" si="15"/>
        <v>0</v>
      </c>
      <c r="AG59" s="599">
        <f t="shared" si="15"/>
        <v>0</v>
      </c>
      <c r="AH59" s="599">
        <f t="shared" si="15"/>
        <v>0</v>
      </c>
      <c r="AI59" s="263"/>
    </row>
    <row r="60" spans="1:35" s="62" customFormat="1">
      <c r="A60" s="688" t="s">
        <v>686</v>
      </c>
      <c r="B60" s="55" t="s">
        <v>683</v>
      </c>
      <c r="C60" s="56" t="s">
        <v>166</v>
      </c>
      <c r="D60" s="630">
        <f>D55*'Demand - Ethylene'!$E$77</f>
        <v>0</v>
      </c>
      <c r="E60" s="630">
        <f>E55*'Demand - Ethylene'!$E$77</f>
        <v>0</v>
      </c>
      <c r="F60" s="630">
        <f>F55*'Demand - Ethylene'!$E$77</f>
        <v>0</v>
      </c>
      <c r="G60" s="630">
        <f>G55*'Demand - Ethylene'!$E$77</f>
        <v>0</v>
      </c>
      <c r="H60" s="630">
        <f>H55*'Demand - Ethylene'!$E$77</f>
        <v>0</v>
      </c>
      <c r="I60" s="630">
        <f>I55*'Demand - Ethylene'!$E$77</f>
        <v>0</v>
      </c>
      <c r="J60" s="630">
        <f>J55*'Demand - Ethylene'!$E$77</f>
        <v>0</v>
      </c>
      <c r="K60" s="630">
        <f>K55*'Demand - Ethylene'!$E$77</f>
        <v>0</v>
      </c>
      <c r="L60" s="630">
        <f>L55*'Demand - Ethylene'!$E$77</f>
        <v>0</v>
      </c>
      <c r="M60" s="630">
        <f>M55*'Demand - Ethylene'!$E$77</f>
        <v>0</v>
      </c>
      <c r="N60" s="630">
        <f>N55*'Demand - Ethylene'!$E$77</f>
        <v>0</v>
      </c>
      <c r="O60" s="630">
        <f>O55*'Demand - Ethylene'!$E$77</f>
        <v>0</v>
      </c>
      <c r="P60" s="630">
        <f>P55*'Demand - Ethylene'!$E$77</f>
        <v>0</v>
      </c>
      <c r="Q60" s="630">
        <f>Q55*'Demand - Ethylene'!$E$77</f>
        <v>0</v>
      </c>
      <c r="R60" s="630">
        <f>R55*'Demand - Ethylene'!$E$77</f>
        <v>0</v>
      </c>
      <c r="S60" s="630">
        <f>S55*'Demand - Ethylene'!$E$77</f>
        <v>0</v>
      </c>
      <c r="T60" s="630">
        <f>T55*'Demand - Ethylene'!$E$77</f>
        <v>0</v>
      </c>
      <c r="U60" s="630">
        <f>U55*'Demand - Ethylene'!$E$77</f>
        <v>0</v>
      </c>
      <c r="V60" s="630">
        <f>V55*'Demand - Ethylene'!$E$77</f>
        <v>0</v>
      </c>
      <c r="W60" s="630">
        <f>W55*'Demand - Ethylene'!$E$77</f>
        <v>0</v>
      </c>
      <c r="X60" s="630">
        <f>X55*'Demand - Ethylene'!$E$77</f>
        <v>0</v>
      </c>
      <c r="Y60" s="630">
        <f>Y55*'Demand - Ethylene'!$E$77</f>
        <v>0</v>
      </c>
      <c r="Z60" s="630">
        <f>Z55*'Demand - Ethylene'!$E$77</f>
        <v>0</v>
      </c>
      <c r="AA60" s="630">
        <f>AA55*'Demand - Ethylene'!$E$77</f>
        <v>0</v>
      </c>
      <c r="AB60" s="630">
        <f>AB55*'Demand - Ethylene'!$E$77</f>
        <v>0</v>
      </c>
      <c r="AC60" s="630">
        <f>AC55*'Demand - Ethylene'!$E$77</f>
        <v>0</v>
      </c>
      <c r="AD60" s="630">
        <f>AD55*'Demand - Ethylene'!$E$77</f>
        <v>0</v>
      </c>
      <c r="AE60" s="630">
        <f>AE55*'Demand - Ethylene'!$E$77</f>
        <v>0</v>
      </c>
      <c r="AF60" s="630">
        <f>AF55*'Demand - Ethylene'!$E$77</f>
        <v>0</v>
      </c>
      <c r="AG60" s="630">
        <f>AG55*'Demand - Ethylene'!$E$77</f>
        <v>0</v>
      </c>
      <c r="AH60" s="630">
        <f>AH55*'Demand - Ethylene'!$E$77</f>
        <v>0</v>
      </c>
      <c r="AI60" s="57"/>
    </row>
    <row r="61" spans="1:35" s="63" customFormat="1">
      <c r="A61" s="690"/>
      <c r="B61" s="59" t="s">
        <v>682</v>
      </c>
      <c r="C61" s="262" t="s">
        <v>166</v>
      </c>
      <c r="D61" s="599">
        <f>D55*'Demand - Ethylene'!$D$77</f>
        <v>5757.6219164365802</v>
      </c>
      <c r="E61" s="599">
        <f>E55*'Demand - Ethylene'!$D$77</f>
        <v>5668.6666578276354</v>
      </c>
      <c r="F61" s="599">
        <f>F55*'Demand - Ethylene'!$D$77</f>
        <v>5579.7113992186896</v>
      </c>
      <c r="G61" s="599">
        <f>G55*'Demand - Ethylene'!$D$77</f>
        <v>5490.7561406097448</v>
      </c>
      <c r="H61" s="599">
        <f>H55*'Demand - Ethylene'!$D$77</f>
        <v>5401.8008820007999</v>
      </c>
      <c r="I61" s="599">
        <f>I55*'Demand - Ethylene'!$D$77</f>
        <v>5312.845623391855</v>
      </c>
      <c r="J61" s="599">
        <f>J55*'Demand - Ethylene'!$D$77</f>
        <v>5223.8903647829093</v>
      </c>
      <c r="K61" s="599">
        <f>K55*'Demand - Ethylene'!$D$77</f>
        <v>5134.9351061739644</v>
      </c>
      <c r="L61" s="599">
        <f>L55*'Demand - Ethylene'!$D$77</f>
        <v>5045.9798475650186</v>
      </c>
      <c r="M61" s="599">
        <f>M55*'Demand - Ethylene'!$D$77</f>
        <v>4957.0245889560738</v>
      </c>
      <c r="N61" s="599">
        <f>N55*'Demand - Ethylene'!$D$77</f>
        <v>4868.069330347128</v>
      </c>
      <c r="O61" s="599">
        <f>O55*'Demand - Ethylene'!$D$77</f>
        <v>4805.3112514579698</v>
      </c>
      <c r="P61" s="599">
        <f>P55*'Demand - Ethylene'!$D$77</f>
        <v>4742.5531725688115</v>
      </c>
      <c r="Q61" s="599">
        <f>Q55*'Demand - Ethylene'!$D$77</f>
        <v>4679.7950936796524</v>
      </c>
      <c r="R61" s="599">
        <f>R55*'Demand - Ethylene'!$D$77</f>
        <v>4617.0370147904941</v>
      </c>
      <c r="S61" s="599">
        <f>S55*'Demand - Ethylene'!$D$77</f>
        <v>4554.278935901335</v>
      </c>
      <c r="T61" s="599">
        <f>T55*'Demand - Ethylene'!$D$77</f>
        <v>4491.5208570121758</v>
      </c>
      <c r="U61" s="599">
        <f>U55*'Demand - Ethylene'!$D$77</f>
        <v>4428.7627781230167</v>
      </c>
      <c r="V61" s="599">
        <f>V55*'Demand - Ethylene'!$D$77</f>
        <v>4366.0046992338594</v>
      </c>
      <c r="W61" s="599">
        <f>W55*'Demand - Ethylene'!$D$77</f>
        <v>4303.2466203447002</v>
      </c>
      <c r="X61" s="599">
        <f>X55*'Demand - Ethylene'!$D$77</f>
        <v>4240.488541455542</v>
      </c>
      <c r="Y61" s="599">
        <f>Y55*'Demand - Ethylene'!$D$77</f>
        <v>4164.7758132544004</v>
      </c>
      <c r="Z61" s="599">
        <f>Z55*'Demand - Ethylene'!$D$77</f>
        <v>4089.0630850532589</v>
      </c>
      <c r="AA61" s="599">
        <f>AA55*'Demand - Ethylene'!$D$77</f>
        <v>4013.3503568521182</v>
      </c>
      <c r="AB61" s="599">
        <f>AB55*'Demand - Ethylene'!$D$77</f>
        <v>3937.6376286509771</v>
      </c>
      <c r="AC61" s="599">
        <f>AC55*'Demand - Ethylene'!$D$77</f>
        <v>3861.9249004498356</v>
      </c>
      <c r="AD61" s="599">
        <f>AD55*'Demand - Ethylene'!$D$77</f>
        <v>3786.212172248695</v>
      </c>
      <c r="AE61" s="599">
        <f>AE55*'Demand - Ethylene'!$D$77</f>
        <v>3710.4994440475548</v>
      </c>
      <c r="AF61" s="599">
        <f>AF55*'Demand - Ethylene'!$D$77</f>
        <v>3634.7867158464132</v>
      </c>
      <c r="AG61" s="599">
        <f>AG55*'Demand - Ethylene'!$D$77</f>
        <v>3559.0739876452717</v>
      </c>
      <c r="AH61" s="599">
        <f>AH55*'Demand - Ethylene'!$D$77</f>
        <v>3483.3612594441311</v>
      </c>
      <c r="AI61" s="263"/>
    </row>
    <row r="62" spans="1:35" s="62" customFormat="1">
      <c r="A62" s="55" t="s">
        <v>303</v>
      </c>
      <c r="B62" s="55" t="s">
        <v>174</v>
      </c>
      <c r="C62" s="56" t="s">
        <v>166</v>
      </c>
      <c r="D62" s="630">
        <f>D4-D12-D26-D40-D50</f>
        <v>387852.09507639048</v>
      </c>
      <c r="E62" s="630">
        <f t="shared" ref="E62:AH62" si="16">E4-E12-E26-E40-E50</f>
        <v>386266.36998087674</v>
      </c>
      <c r="F62" s="630">
        <f t="shared" si="16"/>
        <v>384653.68755873939</v>
      </c>
      <c r="G62" s="630">
        <f t="shared" si="16"/>
        <v>383013.58953542559</v>
      </c>
      <c r="H62" s="630">
        <f t="shared" si="16"/>
        <v>381345.60984571552</v>
      </c>
      <c r="I62" s="630">
        <f t="shared" si="16"/>
        <v>379649.27450128034</v>
      </c>
      <c r="J62" s="630">
        <f t="shared" si="16"/>
        <v>377924.10145598982</v>
      </c>
      <c r="K62" s="630">
        <f t="shared" si="16"/>
        <v>376169.60046892933</v>
      </c>
      <c r="L62" s="630">
        <f t="shared" si="16"/>
        <v>374385.27296508878</v>
      </c>
      <c r="M62" s="630">
        <f t="shared" si="16"/>
        <v>372570.61189368303</v>
      </c>
      <c r="N62" s="630">
        <f>N4-N12-N26-N40-N50</f>
        <v>370725.1015840632</v>
      </c>
      <c r="O62" s="630">
        <f t="shared" si="16"/>
        <v>368848.21759918</v>
      </c>
      <c r="P62" s="630">
        <f t="shared" si="16"/>
        <v>366939.42658655375</v>
      </c>
      <c r="Q62" s="630">
        <f t="shared" si="16"/>
        <v>364998.18612671288</v>
      </c>
      <c r="R62" s="630">
        <f t="shared" si="16"/>
        <v>363023.94457905466</v>
      </c>
      <c r="S62" s="630">
        <f t="shared" si="16"/>
        <v>361016.14092508628</v>
      </c>
      <c r="T62" s="630">
        <f t="shared" si="16"/>
        <v>358974.20460900042</v>
      </c>
      <c r="U62" s="630">
        <f t="shared" si="16"/>
        <v>356897.55537554115</v>
      </c>
      <c r="V62" s="630">
        <f t="shared" si="16"/>
        <v>354785.60310511297</v>
      </c>
      <c r="W62" s="630">
        <f t="shared" si="16"/>
        <v>352637.74764608761</v>
      </c>
      <c r="X62" s="630">
        <f t="shared" si="16"/>
        <v>350453.37864425877</v>
      </c>
      <c r="Y62" s="630">
        <f t="shared" si="16"/>
        <v>348231.87536939891</v>
      </c>
      <c r="Z62" s="630">
        <f t="shared" si="16"/>
        <v>345972.60653886636</v>
      </c>
      <c r="AA62" s="630">
        <f t="shared" si="16"/>
        <v>343674.93013821478</v>
      </c>
      <c r="AB62" s="630">
        <f t="shared" si="16"/>
        <v>341338.19323875202</v>
      </c>
      <c r="AC62" s="630">
        <f t="shared" si="16"/>
        <v>338961.73181199847</v>
      </c>
      <c r="AD62" s="630">
        <f t="shared" si="16"/>
        <v>336544.8705409902</v>
      </c>
      <c r="AE62" s="630">
        <f t="shared" si="16"/>
        <v>334086.92262837471</v>
      </c>
      <c r="AF62" s="630">
        <f t="shared" si="16"/>
        <v>331587.1896012447</v>
      </c>
      <c r="AG62" s="630">
        <f t="shared" si="16"/>
        <v>329044.96111265355</v>
      </c>
      <c r="AH62" s="630">
        <f t="shared" si="16"/>
        <v>326459.5147397563</v>
      </c>
    </row>
    <row r="63" spans="1:35" outlineLevel="1">
      <c r="B63" s="1" t="s">
        <v>164</v>
      </c>
      <c r="C63" s="51" t="s">
        <v>166</v>
      </c>
      <c r="D63" s="196">
        <v>0</v>
      </c>
      <c r="E63" s="196">
        <f>E62*'R&amp;S - Others'!$C$7*'R&amp;S - Others'!$B$12*'R&amp;S - Others'!$B$15*('Yearly HC Ethylene'!E$3-'Yearly HC Ethylene'!$D$3)/10</f>
        <v>956.00926570267006</v>
      </c>
      <c r="F63" s="196">
        <f>F62*'R&amp;S - Others'!$C$7*'R&amp;S - Others'!$B$12*'R&amp;S - Others'!$B$15*('Yearly HC Ethylene'!F$3-'Yearly HC Ethylene'!$D$3)/10</f>
        <v>1904.0357534157599</v>
      </c>
      <c r="G63" s="196">
        <f>G62*'R&amp;S - Others'!$C$7*'R&amp;S - Others'!$B$12*'R&amp;S - Others'!$B$15*('Yearly HC Ethylene'!G$3-'Yearly HC Ethylene'!$D$3)/10</f>
        <v>2843.8759023005346</v>
      </c>
      <c r="H63" s="196">
        <f>H62*'R&amp;S - Others'!$C$7*'R&amp;S - Others'!$B$12*'R&amp;S - Others'!$B$15*('Yearly HC Ethylene'!H$3-'Yearly HC Ethylene'!$D$3)/10</f>
        <v>3775.3215374725833</v>
      </c>
      <c r="I63" s="196">
        <f>I62*'R&amp;S - Others'!$C$7*'R&amp;S - Others'!$B$12*'R&amp;S - Others'!$B$15*('Yearly HC Ethylene'!I$3-'Yearly HC Ethylene'!$D$3)/10</f>
        <v>4698.1597719533438</v>
      </c>
      <c r="J63" s="196">
        <f>J62*'R&amp;S - Others'!$C$7*'R&amp;S - Others'!$B$12*'R&amp;S - Others'!$B$15*('Yearly HC Ethylene'!J$3-'Yearly HC Ethylene'!$D$3)/10</f>
        <v>5612.1729066214484</v>
      </c>
      <c r="K63" s="196">
        <f>K62*'R&amp;S - Others'!$C$7*'R&amp;S - Others'!$B$12*'R&amp;S - Others'!$B$15*('Yearly HC Ethylene'!K$3-'Yearly HC Ethylene'!$D$3)/10</f>
        <v>6517.1383281242006</v>
      </c>
      <c r="L63" s="196">
        <f>L62*'R&amp;S - Others'!$C$7*'R&amp;S - Others'!$B$12*'R&amp;S - Others'!$B$15*('Yearly HC Ethylene'!L$3-'Yearly HC Ethylene'!$D$3)/10</f>
        <v>7412.8284047087582</v>
      </c>
      <c r="M63" s="196">
        <f>M62*'R&amp;S - Others'!$C$7*'R&amp;S - Others'!$B$12*'R&amp;S - Others'!$B$15*('Yearly HC Ethylene'!M$3-'Yearly HC Ethylene'!$D$3)/10</f>
        <v>8299.0103799317912</v>
      </c>
      <c r="N63" s="196">
        <f>N62*'R&amp;S - Others'!$C$7*'R&amp;S - Others'!$B$12*'R&amp;S - Others'!$B$15*('Yearly HC Ethylene'!N$3-'Yearly HC Ethylene'!$D$3)/10</f>
        <v>9175.4462642055641</v>
      </c>
      <c r="O63" s="196">
        <f>O62*'R&amp;S - Others'!$C$7*'R&amp;S - Others'!$B$12*('R&amp;S - Others'!$B$15+('R&amp;S - Others'!$B$16-'R&amp;S - Others'!$B$15)*('Yearly HC Ethylene'!O$3-'Yearly HC Ethylene'!$N$3)/10)</f>
        <v>10041.892724137675</v>
      </c>
      <c r="P63" s="196">
        <f>P62*'R&amp;S - Others'!$C$7*'R&amp;S - Others'!$B$12*('R&amp;S - Others'!$B$15+('R&amp;S - Others'!$B$16-'R&amp;S - Others'!$B$15)*('Yearly HC Ethylene'!P$3-'Yearly HC Ethylene'!$N$3)/10)</f>
        <v>10898.100969620647</v>
      </c>
      <c r="Q63" s="196">
        <f>Q62*'R&amp;S - Others'!$C$7*'R&amp;S - Others'!$B$12*('R&amp;S - Others'!$B$15+('R&amp;S - Others'!$B$16-'R&amp;S - Others'!$B$15)*('Yearly HC Ethylene'!Q$3-'Yearly HC Ethylene'!$N$3)/10)</f>
        <v>11743.816638626988</v>
      </c>
      <c r="R63" s="196">
        <f>R62*'R&amp;S - Others'!$C$7*'R&amp;S - Others'!$B$12*('R&amp;S - Others'!$B$15+('R&amp;S - Others'!$B$16-'R&amp;S - Others'!$B$15)*('Yearly HC Ethylene'!R$3-'Yearly HC Ethylene'!$N$3)/10)</f>
        <v>12578.779679664245</v>
      </c>
      <c r="S63" s="196">
        <f>S62*'R&amp;S - Others'!$C$7*'R&amp;S - Others'!$B$12*('R&amp;S - Others'!$B$15+('R&amp;S - Others'!$B$16-'R&amp;S - Others'!$B$15)*('Yearly HC Ethylene'!S$3-'Yearly HC Ethylene'!$N$3)/10)</f>
        <v>13402.724231843828</v>
      </c>
      <c r="T63" s="196">
        <f>T62*'R&amp;S - Others'!$C$7*'R&amp;S - Others'!$B$12*('R&amp;S - Others'!$B$15+('R&amp;S - Others'!$B$16-'R&amp;S - Others'!$B$15)*('Yearly HC Ethylene'!T$3-'Yearly HC Ethylene'!$N$3)/10)</f>
        <v>14215.378502516416</v>
      </c>
      <c r="U63" s="196">
        <f>U62*'R&amp;S - Others'!$C$7*'R&amp;S - Others'!$B$12*('R&amp;S - Others'!$B$15+('R&amp;S - Others'!$B$16-'R&amp;S - Others'!$B$15)*('Yearly HC Ethylene'!U$3-'Yearly HC Ethylene'!$N$3)/10)</f>
        <v>15016.464642425894</v>
      </c>
      <c r="V63" s="196">
        <f>V62*'R&amp;S - Others'!$C$7*'R&amp;S - Others'!$B$12*('R&amp;S - Others'!$B$15+('R&amp;S - Others'!$B$16-'R&amp;S - Others'!$B$15)*('Yearly HC Ethylene'!V$3-'Yearly HC Ethylene'!$N$3)/10)</f>
        <v>15805.698618332784</v>
      </c>
      <c r="W63" s="196">
        <f>W62*'R&amp;S - Others'!$C$7*'R&amp;S - Others'!$B$12*('R&amp;S - Others'!$B$15+('R&amp;S - Others'!$B$16-'R&amp;S - Others'!$B$15)*('Yearly HC Ethylene'!W$3-'Yearly HC Ethylene'!$N$3)/10)</f>
        <v>16582.790083057269</v>
      </c>
      <c r="X63" s="196">
        <f>X62*'R&amp;S - Others'!$C$7*'R&amp;S - Others'!$B$12*('R&amp;S - Others'!$B$15+('R&amp;S - Others'!$B$16-'R&amp;S - Others'!$B$15)*('Yearly HC Ethylene'!X$3-'Yearly HC Ethylene'!$N$3)/10)</f>
        <v>17347.442242890811</v>
      </c>
      <c r="Y63" s="196">
        <f>Y62*'R&amp;S - Others'!$C$7*'R&amp;S - Others'!$B$12*('R&amp;S - Others'!$B$16+('R&amp;S - Others'!$B$17-'R&amp;S - Others'!$B$16)*('Yearly HC Ethylene'!Y$3-'Yearly HC Ethylene'!$X$3)/10)</f>
        <v>18125.469112977215</v>
      </c>
      <c r="Z63" s="196">
        <f>Z62*'R&amp;S - Others'!$C$7*'R&amp;S - Others'!$B$12*('R&amp;S - Others'!$B$16+('R&amp;S - Others'!$B$17-'R&amp;S - Others'!$B$16)*('Yearly HC Ethylene'!Z$3-'Yearly HC Ethylene'!$X$3)/10)</f>
        <v>18890.104317022102</v>
      </c>
      <c r="AA63" s="196">
        <f>AA62*'R&amp;S - Others'!$C$7*'R&amp;S - Others'!$B$12*('R&amp;S - Others'!$B$16+('R&amp;S - Others'!$B$17-'R&amp;S - Others'!$B$16)*('Yearly HC Ethylene'!AA$3-'Yearly HC Ethylene'!$X$3)/10)</f>
        <v>19641.022257398974</v>
      </c>
      <c r="AB63" s="196">
        <f>AB62*'R&amp;S - Others'!$C$7*'R&amp;S - Others'!$B$12*('R&amp;S - Others'!$B$16+('R&amp;S - Others'!$B$17-'R&amp;S - Others'!$B$16)*('Yearly HC Ethylene'!AB$3-'Yearly HC Ethylene'!$X$3)/10)</f>
        <v>20377.890136353493</v>
      </c>
      <c r="AC63" s="196">
        <f>AC62*'R&amp;S - Others'!$C$7*'R&amp;S - Others'!$B$12*('R&amp;S - Others'!$B$16+('R&amp;S - Others'!$B$17-'R&amp;S - Others'!$B$16)*('Yearly HC Ethylene'!AC$3-'Yearly HC Ethylene'!$X$3)/10)</f>
        <v>21100.367805296908</v>
      </c>
      <c r="AD63" s="196">
        <f>AD62*'R&amp;S - Others'!$C$7*'R&amp;S - Others'!$B$12*('R&amp;S - Others'!$B$16+('R&amp;S - Others'!$B$17-'R&amp;S - Others'!$B$16)*('Yearly HC Ethylene'!AD$3-'Yearly HC Ethylene'!$X$3)/10)</f>
        <v>21808.107611056166</v>
      </c>
      <c r="AE63" s="196">
        <f>AE62*'R&amp;S - Others'!$C$7*'R&amp;S - Others'!$B$12*('R&amp;S - Others'!$B$16+('R&amp;S - Others'!$B$17-'R&amp;S - Others'!$B$16)*('Yearly HC Ethylene'!AE$3-'Yearly HC Ethylene'!$X$3)/10)</f>
        <v>22500.754239021036</v>
      </c>
      <c r="AF63" s="196">
        <f>AF62*'R&amp;S - Others'!$C$7*'R&amp;S - Others'!$B$12*('R&amp;S - Others'!$B$16+('R&amp;S - Others'!$B$17-'R&amp;S - Others'!$B$16)*('Yearly HC Ethylene'!AF$3-'Yearly HC Ethylene'!$X$3)/10)</f>
        <v>23177.944553127003</v>
      </c>
      <c r="AG63" s="196">
        <f>AG62*'R&amp;S - Others'!$C$7*'R&amp;S - Others'!$B$12*('R&amp;S - Others'!$B$16+('R&amp;S - Others'!$B$17-'R&amp;S - Others'!$B$16)*('Yearly HC Ethylene'!AG$3-'Yearly HC Ethylene'!$X$3)/10)</f>
        <v>23839.307432611749</v>
      </c>
      <c r="AH63" s="196">
        <f>AH62*'R&amp;S - Others'!$C$7*'R&amp;S - Others'!$B$12*('R&amp;S - Others'!$B$16+('R&amp;S - Others'!$B$17-'R&amp;S - Others'!$B$16)*('Yearly HC Ethylene'!AH$3-'Yearly HC Ethylene'!$X$3)/10)</f>
        <v>24484.46360548172</v>
      </c>
    </row>
    <row r="64" spans="1:35" outlineLevel="1">
      <c r="B64" s="1" t="s">
        <v>167</v>
      </c>
      <c r="C64" s="51" t="s">
        <v>166</v>
      </c>
      <c r="D64" s="196">
        <v>0</v>
      </c>
      <c r="E64" s="196">
        <f>E62*'R&amp;S - Others'!$C$8*'R&amp;S - Others'!$B$12*'R&amp;S - Others'!$C$15*('Yearly HC Ethylene'!E$3-'Yearly HC Ethylene'!$D$3)/10</f>
        <v>318.66975523422332</v>
      </c>
      <c r="F64" s="196">
        <f>F62*'R&amp;S - Others'!$C$8*'R&amp;S - Others'!$B$12*'R&amp;S - Others'!$C$15*('Yearly HC Ethylene'!F$3-'Yearly HC Ethylene'!$D$3)/10</f>
        <v>634.67858447191998</v>
      </c>
      <c r="G64" s="196">
        <f>G62*'R&amp;S - Others'!$C$8*'R&amp;S - Others'!$B$12*'R&amp;S - Others'!$C$15*('Yearly HC Ethylene'!G$3-'Yearly HC Ethylene'!$D$3)/10</f>
        <v>947.95863410017841</v>
      </c>
      <c r="H64" s="196">
        <f>H62*'R&amp;S - Others'!$C$8*'R&amp;S - Others'!$B$12*'R&amp;S - Others'!$C$15*('Yearly HC Ethylene'!H$3-'Yearly HC Ethylene'!$D$3)/10</f>
        <v>1258.4405124908612</v>
      </c>
      <c r="I64" s="196">
        <f>I62*'R&amp;S - Others'!$C$8*'R&amp;S - Others'!$B$12*'R&amp;S - Others'!$C$15*('Yearly HC Ethylene'!I$3-'Yearly HC Ethylene'!$D$3)/10</f>
        <v>1566.0532573177816</v>
      </c>
      <c r="J64" s="196">
        <f>J62*'R&amp;S - Others'!$C$8*'R&amp;S - Others'!$B$12*'R&amp;S - Others'!$C$15*('Yearly HC Ethylene'!J$3-'Yearly HC Ethylene'!$D$3)/10</f>
        <v>1870.7243022071495</v>
      </c>
      <c r="K64" s="196">
        <f>K62*'R&amp;S - Others'!$C$8*'R&amp;S - Others'!$B$12*'R&amp;S - Others'!$C$15*('Yearly HC Ethylene'!K$3-'Yearly HC Ethylene'!$D$3)/10</f>
        <v>2172.3794427080675</v>
      </c>
      <c r="L64" s="196">
        <f>L62*'R&amp;S - Others'!$C$8*'R&amp;S - Others'!$B$12*'R&amp;S - Others'!$C$15*('Yearly HC Ethylene'!L$3-'Yearly HC Ethylene'!$D$3)/10</f>
        <v>2470.9428015695862</v>
      </c>
      <c r="M64" s="196">
        <f>M62*'R&amp;S - Others'!$C$8*'R&amp;S - Others'!$B$12*'R&amp;S - Others'!$C$15*('Yearly HC Ethylene'!M$3-'Yearly HC Ethylene'!$D$3)/10</f>
        <v>2766.3367933105965</v>
      </c>
      <c r="N64" s="196">
        <f>N62*'R&amp;S - Others'!$C$8*'R&amp;S - Others'!$B$12*'R&amp;S - Others'!$C$15*('Yearly HC Ethylene'!N$3-'Yearly HC Ethylene'!$D$3)/10</f>
        <v>3058.482088068522</v>
      </c>
      <c r="O64" s="196">
        <f>O62*'R&amp;S - Others'!$C$8*'R&amp;S - Others'!$B$12*('R&amp;S - Others'!$C$15+('R&amp;S - Others'!$C$16-'R&amp;S - Others'!$C$15)*('Yearly HC Ethylene'!O$3-'Yearly HC Ethylene'!$N$3)/10)</f>
        <v>3347.2975747125583</v>
      </c>
      <c r="P64" s="196">
        <f>P62*'R&amp;S - Others'!$C$8*'R&amp;S - Others'!$B$12*('R&amp;S - Others'!$C$15+('R&amp;S - Others'!$C$16-'R&amp;S - Others'!$C$15)*('Yearly HC Ethylene'!P$3-'Yearly HC Ethylene'!$N$3)/10)</f>
        <v>3632.7003232068823</v>
      </c>
      <c r="Q64" s="196">
        <f>Q62*'R&amp;S - Others'!$C$8*'R&amp;S - Others'!$B$12*('R&amp;S - Others'!$C$15+('R&amp;S - Others'!$C$16-'R&amp;S - Others'!$C$15)*('Yearly HC Ethylene'!Q$3-'Yearly HC Ethylene'!$N$3)/10)</f>
        <v>3914.6055462089962</v>
      </c>
      <c r="R64" s="196">
        <f>R62*'R&amp;S - Others'!$C$8*'R&amp;S - Others'!$B$12*('R&amp;S - Others'!$C$15+('R&amp;S - Others'!$C$16-'R&amp;S - Others'!$C$15)*('Yearly HC Ethylene'!R$3-'Yearly HC Ethylene'!$N$3)/10)</f>
        <v>4192.9265598880811</v>
      </c>
      <c r="S64" s="196">
        <f>S62*'R&amp;S - Others'!$C$8*'R&amp;S - Others'!$B$12*('R&amp;S - Others'!$C$15+('R&amp;S - Others'!$C$16-'R&amp;S - Others'!$C$15)*('Yearly HC Ethylene'!S$3-'Yearly HC Ethylene'!$N$3)/10)</f>
        <v>4467.5747439479428</v>
      </c>
      <c r="T64" s="196">
        <f>T62*'R&amp;S - Others'!$C$8*'R&amp;S - Others'!$B$12*('R&amp;S - Others'!$C$15+('R&amp;S - Others'!$C$16-'R&amp;S - Others'!$C$15)*('Yearly HC Ethylene'!T$3-'Yearly HC Ethylene'!$N$3)/10)</f>
        <v>4738.459500838806</v>
      </c>
      <c r="U64" s="196">
        <f>U62*'R&amp;S - Others'!$C$8*'R&amp;S - Others'!$B$12*('R&amp;S - Others'!$C$15+('R&amp;S - Others'!$C$16-'R&amp;S - Others'!$C$15)*('Yearly HC Ethylene'!U$3-'Yearly HC Ethylene'!$N$3)/10)</f>
        <v>5005.4882141419657</v>
      </c>
      <c r="V64" s="196">
        <f>V62*'R&amp;S - Others'!$C$8*'R&amp;S - Others'!$B$12*('R&amp;S - Others'!$C$15+('R&amp;S - Others'!$C$16-'R&amp;S - Others'!$C$15)*('Yearly HC Ethylene'!V$3-'Yearly HC Ethylene'!$N$3)/10)</f>
        <v>5268.5662061109288</v>
      </c>
      <c r="W64" s="196">
        <f>W62*'R&amp;S - Others'!$C$8*'R&amp;S - Others'!$B$12*('R&amp;S - Others'!$C$15+('R&amp;S - Others'!$C$16-'R&amp;S - Others'!$C$15)*('Yearly HC Ethylene'!W$3-'Yearly HC Ethylene'!$N$3)/10)</f>
        <v>5527.5966943524227</v>
      </c>
      <c r="X64" s="196">
        <f>X62*'R&amp;S - Others'!$C$8*'R&amp;S - Others'!$B$12*('R&amp;S - Others'!$C$15+('R&amp;S - Others'!$C$16-'R&amp;S - Others'!$C$15)*('Yearly HC Ethylene'!X$3-'Yearly HC Ethylene'!$N$3)/10)</f>
        <v>5782.4807476302703</v>
      </c>
      <c r="Y64" s="196">
        <f>Y62*'R&amp;S - Others'!$C$8*'R&amp;S - Others'!$B$12*('R&amp;S - Others'!$C$16+('R&amp;S - Others'!$C$17-'R&amp;S - Others'!$C$16)*('Yearly HC Ethylene'!Y$3-'Yearly HC Ethylene'!$X$3)/10)</f>
        <v>6041.8230376590718</v>
      </c>
      <c r="Z64" s="196">
        <f>Z62*'R&amp;S - Others'!$C$8*'R&amp;S - Others'!$B$12*('R&amp;S - Others'!$C$16+('R&amp;S - Others'!$C$17-'R&amp;S - Others'!$C$16)*('Yearly HC Ethylene'!Z$3-'Yearly HC Ethylene'!$X$3)/10)</f>
        <v>6296.7014390073682</v>
      </c>
      <c r="AA64" s="196">
        <f>AA62*'R&amp;S - Others'!$C$8*'R&amp;S - Others'!$B$12*('R&amp;S - Others'!$C$16+('R&amp;S - Others'!$C$17-'R&amp;S - Others'!$C$16)*('Yearly HC Ethylene'!AA$3-'Yearly HC Ethylene'!$X$3)/10)</f>
        <v>6547.0074191329913</v>
      </c>
      <c r="AB64" s="196">
        <f>AB62*'R&amp;S - Others'!$C$8*'R&amp;S - Others'!$B$12*('R&amp;S - Others'!$C$16+('R&amp;S - Others'!$C$17-'R&amp;S - Others'!$C$16)*('Yearly HC Ethylene'!AB$3-'Yearly HC Ethylene'!$X$3)/10)</f>
        <v>6792.6300454511666</v>
      </c>
      <c r="AC64" s="196">
        <f>AC62*'R&amp;S - Others'!$C$8*'R&amp;S - Others'!$B$12*('R&amp;S - Others'!$C$16+('R&amp;S - Others'!$C$17-'R&amp;S - Others'!$C$16)*('Yearly HC Ethylene'!AC$3-'Yearly HC Ethylene'!$X$3)/10)</f>
        <v>7033.4559350989684</v>
      </c>
      <c r="AD64" s="196">
        <f>AD62*'R&amp;S - Others'!$C$8*'R&amp;S - Others'!$B$12*('R&amp;S - Others'!$C$16+('R&amp;S - Others'!$C$17-'R&amp;S - Others'!$C$16)*('Yearly HC Ethylene'!AD$3-'Yearly HC Ethylene'!$X$3)/10)</f>
        <v>7269.3692036853899</v>
      </c>
      <c r="AE64" s="196">
        <f>AE62*'R&amp;S - Others'!$C$8*'R&amp;S - Others'!$B$12*('R&amp;S - Others'!$C$16+('R&amp;S - Others'!$C$17-'R&amp;S - Others'!$C$16)*('Yearly HC Ethylene'!AE$3-'Yearly HC Ethylene'!$X$3)/10)</f>
        <v>7500.2514130070131</v>
      </c>
      <c r="AF64" s="196">
        <f>AF62*'R&amp;S - Others'!$C$8*'R&amp;S - Others'!$B$12*('R&amp;S - Others'!$C$16+('R&amp;S - Others'!$C$17-'R&amp;S - Others'!$C$16)*('Yearly HC Ethylene'!AF$3-'Yearly HC Ethylene'!$X$3)/10)</f>
        <v>7725.9815177090004</v>
      </c>
      <c r="AG64" s="196">
        <f>AG62*'R&amp;S - Others'!$C$8*'R&amp;S - Others'!$B$12*('R&amp;S - Others'!$C$16+('R&amp;S - Others'!$C$17-'R&amp;S - Others'!$C$16)*('Yearly HC Ethylene'!AG$3-'Yearly HC Ethylene'!$X$3)/10)</f>
        <v>7946.4358108705828</v>
      </c>
      <c r="AH64" s="196">
        <f>AH62*'R&amp;S - Others'!$C$8*'R&amp;S - Others'!$B$12*('R&amp;S - Others'!$C$16+('R&amp;S - Others'!$C$17-'R&amp;S - Others'!$C$16)*('Yearly HC Ethylene'!AH$3-'Yearly HC Ethylene'!$X$3)/10)</f>
        <v>8161.4878684939076</v>
      </c>
    </row>
    <row r="65" spans="1:35" s="169" customFormat="1">
      <c r="A65" s="167"/>
      <c r="B65" s="167" t="s">
        <v>195</v>
      </c>
      <c r="C65" s="168" t="s">
        <v>166</v>
      </c>
      <c r="D65" s="627">
        <f>D62-D63-D64</f>
        <v>387852.09507639048</v>
      </c>
      <c r="E65" s="627">
        <f t="shared" ref="E65:AH65" si="17">E62-E63-E64</f>
        <v>384991.69095993985</v>
      </c>
      <c r="F65" s="627">
        <f t="shared" si="17"/>
        <v>382114.97322085168</v>
      </c>
      <c r="G65" s="627">
        <f t="shared" si="17"/>
        <v>379221.75499902491</v>
      </c>
      <c r="H65" s="627">
        <f t="shared" si="17"/>
        <v>376311.84779575205</v>
      </c>
      <c r="I65" s="627">
        <f t="shared" si="17"/>
        <v>373385.06147200917</v>
      </c>
      <c r="J65" s="627">
        <f t="shared" si="17"/>
        <v>370441.20424716116</v>
      </c>
      <c r="K65" s="627">
        <f t="shared" si="17"/>
        <v>367480.0826980971</v>
      </c>
      <c r="L65" s="627">
        <f t="shared" si="17"/>
        <v>364501.50175881042</v>
      </c>
      <c r="M65" s="627">
        <f t="shared" si="17"/>
        <v>361505.26472044067</v>
      </c>
      <c r="N65" s="627">
        <f t="shared" si="17"/>
        <v>358491.17323178914</v>
      </c>
      <c r="O65" s="627">
        <f t="shared" si="17"/>
        <v>355459.02730032976</v>
      </c>
      <c r="P65" s="627">
        <f t="shared" si="17"/>
        <v>352408.62529372622</v>
      </c>
      <c r="Q65" s="627">
        <f t="shared" si="17"/>
        <v>349339.76394187694</v>
      </c>
      <c r="R65" s="627">
        <f t="shared" si="17"/>
        <v>346252.23833950236</v>
      </c>
      <c r="S65" s="627">
        <f t="shared" si="17"/>
        <v>343145.8419492945</v>
      </c>
      <c r="T65" s="627">
        <f t="shared" si="17"/>
        <v>340020.36660564516</v>
      </c>
      <c r="U65" s="627">
        <f t="shared" si="17"/>
        <v>336875.60251897329</v>
      </c>
      <c r="V65" s="627">
        <f t="shared" si="17"/>
        <v>333711.33828066924</v>
      </c>
      <c r="W65" s="627">
        <f t="shared" si="17"/>
        <v>330527.36086867796</v>
      </c>
      <c r="X65" s="627">
        <f t="shared" si="17"/>
        <v>327323.45565373765</v>
      </c>
      <c r="Y65" s="627">
        <f t="shared" si="17"/>
        <v>324064.58321876265</v>
      </c>
      <c r="Z65" s="627">
        <f t="shared" si="17"/>
        <v>320785.80078283692</v>
      </c>
      <c r="AA65" s="627">
        <f t="shared" si="17"/>
        <v>317486.90046168282</v>
      </c>
      <c r="AB65" s="627">
        <f t="shared" si="17"/>
        <v>314167.67305694736</v>
      </c>
      <c r="AC65" s="627">
        <f t="shared" si="17"/>
        <v>310827.90807160258</v>
      </c>
      <c r="AD65" s="627">
        <f t="shared" si="17"/>
        <v>307467.39372624864</v>
      </c>
      <c r="AE65" s="627">
        <f t="shared" si="17"/>
        <v>304085.91697634663</v>
      </c>
      <c r="AF65" s="627">
        <f t="shared" si="17"/>
        <v>300683.26353040873</v>
      </c>
      <c r="AG65" s="627">
        <f t="shared" si="17"/>
        <v>297259.21786917117</v>
      </c>
      <c r="AH65" s="627">
        <f t="shared" si="17"/>
        <v>293813.56326578069</v>
      </c>
    </row>
    <row r="66" spans="1:35" s="62" customFormat="1">
      <c r="A66" s="688" t="s">
        <v>685</v>
      </c>
      <c r="B66" s="55" t="s">
        <v>141</v>
      </c>
      <c r="C66" s="56" t="s">
        <v>166</v>
      </c>
      <c r="D66" s="630">
        <f>D65*('Demand - Ethylene'!$C$76)</f>
        <v>50640.115629722037</v>
      </c>
      <c r="E66" s="630">
        <f>E65*('Demand - Ethylene'!$C$76)</f>
        <v>50266.645440844331</v>
      </c>
      <c r="F66" s="630">
        <f>F65*('Demand - Ethylene'!$C$76)</f>
        <v>49891.04525512713</v>
      </c>
      <c r="G66" s="630">
        <f>G65*('Demand - Ethylene'!$C$76)</f>
        <v>49513.290675081691</v>
      </c>
      <c r="H66" s="630">
        <f>H65*('Demand - Ethylene'!$C$76)</f>
        <v>49133.357089273741</v>
      </c>
      <c r="I66" s="630">
        <f>I65*('Demand - Ethylene'!$C$76)</f>
        <v>48751.219672100226</v>
      </c>
      <c r="J66" s="630">
        <f>J65*('Demand - Ethylene'!$C$76)</f>
        <v>48366.853383620248</v>
      </c>
      <c r="K66" s="630">
        <f>K65*('Demand - Ethylene'!$C$76)</f>
        <v>47980.232969442179</v>
      </c>
      <c r="L66" s="630">
        <f>L65*('Demand - Ethylene'!$C$76)</f>
        <v>47591.332960668842</v>
      </c>
      <c r="M66" s="630">
        <f>M65*('Demand - Ethylene'!$C$76)</f>
        <v>47200.127673902978</v>
      </c>
      <c r="N66" s="630">
        <f>N65*('Demand - Ethylene'!$C$76)</f>
        <v>46806.591211314553</v>
      </c>
      <c r="O66" s="630">
        <f>O65*('Demand - Ethylene'!$C$76)</f>
        <v>46410.697460772732</v>
      </c>
      <c r="P66" s="630">
        <f>P65*('Demand - Ethylene'!$C$76)</f>
        <v>46012.420096044007</v>
      </c>
      <c r="Q66" s="630">
        <f>Q65*('Demand - Ethylene'!$C$76)</f>
        <v>45611.732577059163</v>
      </c>
      <c r="R66" s="630">
        <f>R65*('Demand - Ethylene'!$C$76)</f>
        <v>45208.608150251101</v>
      </c>
      <c r="S66" s="630">
        <f>S65*('Demand - Ethylene'!$C$76)</f>
        <v>44803.019848966062</v>
      </c>
      <c r="T66" s="630">
        <f>T65*('Demand - Ethylene'!$C$76)</f>
        <v>44394.940493950395</v>
      </c>
      <c r="U66" s="630">
        <f>U65*('Demand - Ethylene'!$C$76)</f>
        <v>43984.342693915583</v>
      </c>
      <c r="V66" s="630">
        <f>V65*('Demand - Ethylene'!$C$76)</f>
        <v>43571.198846183754</v>
      </c>
      <c r="W66" s="630">
        <f>W65*('Demand - Ethylene'!$C$76)</f>
        <v>43155.481137416689</v>
      </c>
      <c r="X66" s="630">
        <f>X65*('Demand - Ethylene'!$C$76)</f>
        <v>42737.161544430368</v>
      </c>
      <c r="Y66" s="630">
        <f>Y65*('Demand - Ethylene'!$C$76)</f>
        <v>42311.665127046974</v>
      </c>
      <c r="Z66" s="630">
        <f>Z65*('Demand - Ethylene'!$C$76)</f>
        <v>41883.569149771727</v>
      </c>
      <c r="AA66" s="630">
        <f>AA65*('Demand - Ethylene'!$C$76)</f>
        <v>41452.846470083045</v>
      </c>
      <c r="AB66" s="630">
        <f>AB65*('Demand - Ethylene'!$C$76)</f>
        <v>41019.46977388642</v>
      </c>
      <c r="AC66" s="630">
        <f>AC65*('Demand - Ethylene'!$C$76)</f>
        <v>40583.411577525134</v>
      </c>
      <c r="AD66" s="630">
        <f>AD65*('Demand - Ethylene'!$C$76)</f>
        <v>40144.64422990891</v>
      </c>
      <c r="AE66" s="630">
        <f>AE65*('Demand - Ethylene'!$C$76)</f>
        <v>39703.139914763917</v>
      </c>
      <c r="AF66" s="630">
        <f>AF65*('Demand - Ethylene'!$C$76)</f>
        <v>39258.870653007754</v>
      </c>
      <c r="AG66" s="630">
        <f>AG65*('Demand - Ethylene'!$C$76)</f>
        <v>38811.808305252831</v>
      </c>
      <c r="AH66" s="630">
        <f>AH65*('Demand - Ethylene'!$C$76)</f>
        <v>38361.92457444196</v>
      </c>
      <c r="AI66" s="57"/>
    </row>
    <row r="67" spans="1:35">
      <c r="A67" s="689"/>
      <c r="B67" s="1" t="s">
        <v>18</v>
      </c>
      <c r="C67" s="51" t="s">
        <v>166</v>
      </c>
      <c r="D67" s="196">
        <f>D71/('Demand - Ethylene'!$K$14)</f>
        <v>22294.975298434343</v>
      </c>
      <c r="E67" s="196">
        <f>E71/('Demand - Ethylene'!$K$14)</f>
        <v>22130.550147895334</v>
      </c>
      <c r="F67" s="196">
        <f>F71/('Demand - Ethylene'!$K$14)</f>
        <v>21965.18723830242</v>
      </c>
      <c r="G67" s="196">
        <f>G71/('Demand - Ethylene'!$K$14)</f>
        <v>21798.875828341097</v>
      </c>
      <c r="H67" s="196">
        <f>H71/('Demand - Ethylene'!$K$14)</f>
        <v>21631.605082504524</v>
      </c>
      <c r="I67" s="196">
        <f>I71/('Demand - Ethylene'!$K$14)</f>
        <v>21463.364070995249</v>
      </c>
      <c r="J67" s="196">
        <f>J71/('Demand - Ethylene'!$K$14)</f>
        <v>21294.141769650771</v>
      </c>
      <c r="K67" s="196">
        <f>K71/('Demand - Ethylene'!$K$14)</f>
        <v>21123.927059893842</v>
      </c>
      <c r="L67" s="196">
        <f>L71/('Demand - Ethylene'!$K$14)</f>
        <v>20952.708728708334</v>
      </c>
      <c r="M67" s="196">
        <f>M71/('Demand - Ethylene'!$K$14)</f>
        <v>20780.475468641627</v>
      </c>
      <c r="N67" s="196">
        <f>N71/('Demand - Ethylene'!$K$14)</f>
        <v>20607.215877834285</v>
      </c>
      <c r="O67" s="196">
        <f>O71/('Demand - Ethylene'!$K$14)</f>
        <v>20432.918460078115</v>
      </c>
      <c r="P67" s="196">
        <f>P71/('Demand - Ethylene'!$K$14)</f>
        <v>20257.571624903416</v>
      </c>
      <c r="Q67" s="196">
        <f>Q71/('Demand - Ethylene'!$K$14)</f>
        <v>20081.16368769652</v>
      </c>
      <c r="R67" s="196">
        <f>R71/('Demand - Ethylene'!$K$14)</f>
        <v>19903.682869848504</v>
      </c>
      <c r="S67" s="196">
        <f>S71/('Demand - Ethylene'!$K$14)</f>
        <v>19725.117298936249</v>
      </c>
      <c r="T67" s="196">
        <f>T71/('Demand - Ethylene'!$K$14)</f>
        <v>19545.455008936748</v>
      </c>
      <c r="U67" s="196">
        <f>U71/('Demand - Ethylene'!$K$14)</f>
        <v>19364.683940475865</v>
      </c>
      <c r="V67" s="196">
        <f>V71/('Demand - Ethylene'!$K$14)</f>
        <v>19182.791941112515</v>
      </c>
      <c r="W67" s="196">
        <f>W71/('Demand - Ethylene'!$K$14)</f>
        <v>18999.766765659646</v>
      </c>
      <c r="X67" s="196">
        <f>X71/('Demand - Ethylene'!$K$14)</f>
        <v>18815.596076542832</v>
      </c>
      <c r="Y67" s="196">
        <f>Y71/('Demand - Ethylene'!$K$14)</f>
        <v>18628.265696326103</v>
      </c>
      <c r="Z67" s="196">
        <f>Z71/('Demand - Ethylene'!$K$14)</f>
        <v>18439.790825761054</v>
      </c>
      <c r="AA67" s="196">
        <f>AA71/('Demand - Ethylene'!$K$14)</f>
        <v>18250.159514996467</v>
      </c>
      <c r="AB67" s="196">
        <f>AB71/('Demand - Ethylene'!$K$14)</f>
        <v>18059.359738643863</v>
      </c>
      <c r="AC67" s="196">
        <f>AC71/('Demand - Ethylene'!$K$14)</f>
        <v>17867.3793966628</v>
      </c>
      <c r="AD67" s="196">
        <f>AD71/('Demand - Ethylene'!$K$14)</f>
        <v>17674.206315297997</v>
      </c>
      <c r="AE67" s="196">
        <f>AE71/('Demand - Ethylene'!$K$14)</f>
        <v>17479.828248069956</v>
      </c>
      <c r="AF67" s="196">
        <f>AF71/('Demand - Ethylene'!$K$14)</f>
        <v>17284.232876820573</v>
      </c>
      <c r="AG67" s="196">
        <f>AG71/('Demand - Ethylene'!$K$14)</f>
        <v>17087.407812815265</v>
      </c>
      <c r="AH67" s="196">
        <f>AH71/('Demand - Ethylene'!$K$14)</f>
        <v>16889.340597903363</v>
      </c>
      <c r="AI67" s="41"/>
    </row>
    <row r="68" spans="1:35">
      <c r="A68" s="689"/>
      <c r="B68" s="1" t="s">
        <v>684</v>
      </c>
      <c r="C68" s="51" t="s">
        <v>166</v>
      </c>
      <c r="D68" s="196">
        <f>D70/('Demand - Ethylene'!$M$14)</f>
        <v>48981.519820245696</v>
      </c>
      <c r="E68" s="196">
        <f>E70/('Demand - Ethylene'!$M$14)</f>
        <v>48620.281753718707</v>
      </c>
      <c r="F68" s="196">
        <f>F70/('Demand - Ethylene'!$M$14)</f>
        <v>48256.983453301771</v>
      </c>
      <c r="G68" s="196">
        <f>G70/('Demand - Ethylene'!$M$14)</f>
        <v>47891.601320587513</v>
      </c>
      <c r="H68" s="196">
        <f>H70/('Demand - Ethylene'!$M$14)</f>
        <v>47524.111550230307</v>
      </c>
      <c r="I68" s="196">
        <f>I70/('Demand - Ethylene'!$M$14)</f>
        <v>47154.490129730308</v>
      </c>
      <c r="J68" s="196">
        <f>J70/('Demand - Ethylene'!$M$14)</f>
        <v>46782.712839269967</v>
      </c>
      <c r="K68" s="196">
        <f>K70/('Demand - Ethylene'!$M$14)</f>
        <v>46408.755251604824</v>
      </c>
      <c r="L68" s="196">
        <f>L70/('Demand - Ethylene'!$M$14)</f>
        <v>46032.592732010497</v>
      </c>
      <c r="M68" s="196">
        <f>M70/('Demand - Ethylene'!$M$14)</f>
        <v>45654.200438287917</v>
      </c>
      <c r="N68" s="196">
        <f>N70/('Demand - Ethylene'!$M$14)</f>
        <v>45273.553320828512</v>
      </c>
      <c r="O68" s="196">
        <f>O70/('Demand - Ethylene'!$M$14)</f>
        <v>44890.626122741822</v>
      </c>
      <c r="P68" s="196">
        <f>P70/('Demand - Ethylene'!$M$14)</f>
        <v>44505.393380047106</v>
      </c>
      <c r="Q68" s="196">
        <f>Q70/('Demand - Ethylene'!$M$14)</f>
        <v>44117.829421931623</v>
      </c>
      <c r="R68" s="196">
        <f>R70/('Demand - Ethylene'!$M$14)</f>
        <v>43727.908371077319</v>
      </c>
      <c r="S68" s="196">
        <f>S70/('Demand - Ethylene'!$M$14)</f>
        <v>43335.60414405867</v>
      </c>
      <c r="T68" s="196">
        <f>T70/('Demand - Ethylene'!$M$14)</f>
        <v>42940.890451813451</v>
      </c>
      <c r="U68" s="196">
        <f>U70/('Demand - Ethylene'!$M$14)</f>
        <v>42543.740800189218</v>
      </c>
      <c r="V68" s="196">
        <f>V70/('Demand - Ethylene'!$M$14)</f>
        <v>42144.128490567789</v>
      </c>
      <c r="W68" s="196">
        <f>W70/('Demand - Ethylene'!$M$14)</f>
        <v>41742.026620570294</v>
      </c>
      <c r="X68" s="196">
        <f>X70/('Demand - Ethylene'!$M$14)</f>
        <v>41337.408084845025</v>
      </c>
      <c r="Y68" s="196">
        <f>Y70/('Demand - Ethylene'!$M$14)</f>
        <v>40925.847784432204</v>
      </c>
      <c r="Z68" s="196">
        <f>Z70/('Demand - Ethylene'!$M$14)</f>
        <v>40511.773066491238</v>
      </c>
      <c r="AA68" s="196">
        <f>AA70/('Demand - Ethylene'!$M$14)</f>
        <v>40095.157677488896</v>
      </c>
      <c r="AB68" s="196">
        <f>AB70/('Demand - Ethylene'!$M$14)</f>
        <v>39675.975197938453</v>
      </c>
      <c r="AC68" s="196">
        <f>AC70/('Demand - Ethylene'!$M$14)</f>
        <v>39254.199044344634</v>
      </c>
      <c r="AD68" s="196">
        <f>AD70/('Demand - Ethylene'!$M$14)</f>
        <v>38829.802471262425</v>
      </c>
      <c r="AE68" s="196">
        <f>AE70/('Demand - Ethylene'!$M$14)</f>
        <v>38402.758573473489</v>
      </c>
      <c r="AF68" s="196">
        <f>AF70/('Demand - Ethylene'!$M$14)</f>
        <v>37973.040288283337</v>
      </c>
      <c r="AG68" s="196">
        <f>AG70/('Demand - Ethylene'!$M$14)</f>
        <v>37540.620397942665</v>
      </c>
      <c r="AH68" s="196">
        <f>AH70/('Demand - Ethylene'!$M$14)</f>
        <v>37105.471532196687</v>
      </c>
      <c r="AI68" s="41"/>
    </row>
    <row r="69" spans="1:35" s="63" customFormat="1">
      <c r="A69" s="690"/>
      <c r="B69" s="59" t="s">
        <v>27</v>
      </c>
      <c r="C69" s="262" t="s">
        <v>166</v>
      </c>
      <c r="D69" s="599">
        <f>D65-SUM(D67,D66,D68)</f>
        <v>265935.48432798841</v>
      </c>
      <c r="E69" s="599">
        <f t="shared" ref="E69:AH69" si="18">E65-SUM(E67,E66,E68)</f>
        <v>263974.21361748147</v>
      </c>
      <c r="F69" s="599">
        <f t="shared" si="18"/>
        <v>262001.75727412035</v>
      </c>
      <c r="G69" s="599">
        <f t="shared" si="18"/>
        <v>260017.9871750146</v>
      </c>
      <c r="H69" s="599">
        <f t="shared" si="18"/>
        <v>258022.77407374349</v>
      </c>
      <c r="I69" s="599">
        <f t="shared" si="18"/>
        <v>256015.9875991834</v>
      </c>
      <c r="J69" s="599">
        <f t="shared" si="18"/>
        <v>253997.4962546202</v>
      </c>
      <c r="K69" s="599">
        <f t="shared" si="18"/>
        <v>251967.16741715625</v>
      </c>
      <c r="L69" s="599">
        <f t="shared" si="18"/>
        <v>249924.86733742274</v>
      </c>
      <c r="M69" s="599">
        <f t="shared" si="18"/>
        <v>247870.46113960815</v>
      </c>
      <c r="N69" s="599">
        <f t="shared" si="18"/>
        <v>245803.81282181179</v>
      </c>
      <c r="O69" s="599">
        <f t="shared" si="18"/>
        <v>243724.78525673709</v>
      </c>
      <c r="P69" s="599">
        <f t="shared" si="18"/>
        <v>241633.2401927317</v>
      </c>
      <c r="Q69" s="599">
        <f t="shared" si="18"/>
        <v>239529.03825518963</v>
      </c>
      <c r="R69" s="599">
        <f t="shared" si="18"/>
        <v>237412.03894832544</v>
      </c>
      <c r="S69" s="599">
        <f t="shared" si="18"/>
        <v>235282.1006573335</v>
      </c>
      <c r="T69" s="599">
        <f t="shared" si="18"/>
        <v>233139.08065094455</v>
      </c>
      <c r="U69" s="599">
        <f t="shared" si="18"/>
        <v>230982.83508439263</v>
      </c>
      <c r="V69" s="599">
        <f t="shared" si="18"/>
        <v>228813.21900280518</v>
      </c>
      <c r="W69" s="599">
        <f t="shared" si="18"/>
        <v>226630.08634503133</v>
      </c>
      <c r="X69" s="599">
        <f t="shared" si="18"/>
        <v>224433.28994791943</v>
      </c>
      <c r="Y69" s="599">
        <f t="shared" si="18"/>
        <v>222198.80461095736</v>
      </c>
      <c r="Z69" s="599">
        <f t="shared" si="18"/>
        <v>219950.6677408129</v>
      </c>
      <c r="AA69" s="599">
        <f t="shared" si="18"/>
        <v>217688.73679911441</v>
      </c>
      <c r="AB69" s="599">
        <f t="shared" si="18"/>
        <v>215412.86834647862</v>
      </c>
      <c r="AC69" s="599">
        <f t="shared" si="18"/>
        <v>213122.91805307003</v>
      </c>
      <c r="AD69" s="599">
        <f t="shared" si="18"/>
        <v>210818.74070977932</v>
      </c>
      <c r="AE69" s="599">
        <f t="shared" si="18"/>
        <v>208500.19024003926</v>
      </c>
      <c r="AF69" s="599">
        <f t="shared" si="18"/>
        <v>206167.11971229708</v>
      </c>
      <c r="AG69" s="599">
        <f t="shared" si="18"/>
        <v>203819.38135316042</v>
      </c>
      <c r="AH69" s="599">
        <f t="shared" si="18"/>
        <v>201456.82656123867</v>
      </c>
      <c r="AI69" s="263"/>
    </row>
    <row r="70" spans="1:35" s="62" customFormat="1">
      <c r="A70" s="688" t="s">
        <v>686</v>
      </c>
      <c r="B70" s="55" t="s">
        <v>683</v>
      </c>
      <c r="C70" s="56" t="s">
        <v>166</v>
      </c>
      <c r="D70" s="630">
        <f>D65*'Demand - Ethylene'!$E$76</f>
        <v>22327.115682700864</v>
      </c>
      <c r="E70" s="630">
        <f>E65*'Demand - Ethylene'!$E$76</f>
        <v>22162.453497249247</v>
      </c>
      <c r="F70" s="630">
        <f>F65*'Demand - Ethylene'!$E$76</f>
        <v>21996.852200872469</v>
      </c>
      <c r="G70" s="630">
        <f>G65*'Demand - Ethylene'!$E$76</f>
        <v>21830.301036771365</v>
      </c>
      <c r="H70" s="630">
        <f>H65*'Demand - Ethylene'!$E$76</f>
        <v>21662.789153818663</v>
      </c>
      <c r="I70" s="630">
        <f>I65*'Demand - Ethylene'!$E$76</f>
        <v>21494.30560646053</v>
      </c>
      <c r="J70" s="630">
        <f>J65*'Demand - Ethylene'!$E$76</f>
        <v>21324.839354642059</v>
      </c>
      <c r="K70" s="630">
        <f>K65*'Demand - Ethylene'!$E$76</f>
        <v>21154.379263757492</v>
      </c>
      <c r="L70" s="630">
        <f>L65*'Demand - Ethylene'!$E$76</f>
        <v>20982.914104626037</v>
      </c>
      <c r="M70" s="630">
        <f>M65*'Demand - Ethylene'!$E$76</f>
        <v>20810.432553494287</v>
      </c>
      <c r="N70" s="630">
        <f>N65*'Demand - Ethylene'!$E$76</f>
        <v>20636.9231920659</v>
      </c>
      <c r="O70" s="630">
        <f>O65*'Demand - Ethylene'!$E$76</f>
        <v>20462.374507559787</v>
      </c>
      <c r="P70" s="630">
        <f>P65*'Demand - Ethylene'!$E$76</f>
        <v>20286.774892797446</v>
      </c>
      <c r="Q70" s="630">
        <f>Q65*'Demand - Ethylene'!$E$76</f>
        <v>20110.1126463207</v>
      </c>
      <c r="R70" s="630">
        <f>R65*'Demand - Ethylene'!$E$76</f>
        <v>19932.375972540605</v>
      </c>
      <c r="S70" s="630">
        <f>S65*'Demand - Ethylene'!$E$76</f>
        <v>19753.552981918794</v>
      </c>
      <c r="T70" s="630">
        <f>T65*'Demand - Ethylene'!$E$76</f>
        <v>19573.631691182069</v>
      </c>
      <c r="U70" s="630">
        <f>U65*'Demand - Ethylene'!$E$76</f>
        <v>19392.600023571515</v>
      </c>
      <c r="V70" s="630">
        <f>V65*'Demand - Ethylene'!$E$76</f>
        <v>19210.44580912713</v>
      </c>
      <c r="W70" s="630">
        <f>W65*'Demand - Ethylene'!$E$76</f>
        <v>19027.156785009229</v>
      </c>
      <c r="X70" s="630">
        <f>X65*'Demand - Ethylene'!$E$76</f>
        <v>18842.720595857558</v>
      </c>
      <c r="Y70" s="630">
        <f>Y65*'Demand - Ethylene'!$E$76</f>
        <v>18655.120160602666</v>
      </c>
      <c r="Z70" s="630">
        <f>Z65*'Demand - Ethylene'!$E$76</f>
        <v>18466.373585104851</v>
      </c>
      <c r="AA70" s="630">
        <f>AA65*'Demand - Ethylene'!$E$76</f>
        <v>18276.468902286008</v>
      </c>
      <c r="AB70" s="630">
        <f>AB65*'Demand - Ethylene'!$E$76</f>
        <v>18085.394069421887</v>
      </c>
      <c r="AC70" s="630">
        <f>AC65*'Demand - Ethylene'!$E$76</f>
        <v>17893.136969028659</v>
      </c>
      <c r="AD70" s="630">
        <f>AD65*'Demand - Ethylene'!$E$76</f>
        <v>17699.685409801383</v>
      </c>
      <c r="AE70" s="630">
        <f>AE65*'Demand - Ethylene'!$E$76</f>
        <v>17505.027127606063</v>
      </c>
      <c r="AF70" s="630">
        <f>AF65*'Demand - Ethylene'!$E$76</f>
        <v>17309.14978652677</v>
      </c>
      <c r="AG70" s="630">
        <f>AG65*'Demand - Ethylene'!$E$76</f>
        <v>17112.040979969355</v>
      </c>
      <c r="AH70" s="630">
        <f>AH65*'Demand - Ethylene'!$E$76</f>
        <v>16913.688231823497</v>
      </c>
      <c r="AI70" s="57"/>
    </row>
    <row r="71" spans="1:35" s="63" customFormat="1">
      <c r="A71" s="690"/>
      <c r="B71" s="59" t="s">
        <v>682</v>
      </c>
      <c r="C71" s="262" t="s">
        <v>166</v>
      </c>
      <c r="D71" s="599">
        <f>D65*'Demand - Ethylene'!$D$76/'Demand - Ethylene'!$L$24</f>
        <v>7462.4639529647093</v>
      </c>
      <c r="E71" s="599">
        <f>E65*'Demand - Ethylene'!$D$76/'Demand - Ethylene'!$L$24</f>
        <v>7407.428379144435</v>
      </c>
      <c r="F71" s="599">
        <f>F65*'Demand - Ethylene'!$D$76/'Demand - Ethylene'!$L$24</f>
        <v>7352.0789232479246</v>
      </c>
      <c r="G71" s="599">
        <f>G65*'Demand - Ethylene'!$D$76/'Demand - Ethylene'!$L$24</f>
        <v>7296.4119899954685</v>
      </c>
      <c r="H71" s="599">
        <f>H65*'Demand - Ethylene'!$D$76/'Demand - Ethylene'!$L$24</f>
        <v>7240.4239525797648</v>
      </c>
      <c r="I71" s="599">
        <f>I65*'Demand - Ethylene'!$D$76/'Demand - Ethylene'!$L$24</f>
        <v>7184.1111526330224</v>
      </c>
      <c r="J71" s="599">
        <f>J65*'Demand - Ethylene'!$D$76/'Demand - Ethylene'!$L$24</f>
        <v>7127.4699002020507</v>
      </c>
      <c r="K71" s="599">
        <f>K65*'Demand - Ethylene'!$D$76/'Demand - Ethylene'!$L$24</f>
        <v>7070.4964737316195</v>
      </c>
      <c r="L71" s="599">
        <f>L65*'Demand - Ethylene'!$D$76/'Demand - Ethylene'!$L$24</f>
        <v>7013.1871200563828</v>
      </c>
      <c r="M71" s="599">
        <f>M65*'Demand - Ethylene'!$D$76/'Demand - Ethylene'!$L$24</f>
        <v>6955.5380544016816</v>
      </c>
      <c r="N71" s="599">
        <f>N65*'Demand - Ethylene'!$D$76/'Demand - Ethylene'!$L$24</f>
        <v>6897.5454603934695</v>
      </c>
      <c r="O71" s="599">
        <f>O65*'Demand - Ethylene'!$D$76/'Demand - Ethylene'!$L$24</f>
        <v>6839.2054900777557</v>
      </c>
      <c r="P71" s="599">
        <f>P65*'Demand - Ethylene'!$D$76/'Demand - Ethylene'!$L$24</f>
        <v>6780.5142639497981</v>
      </c>
      <c r="Q71" s="599">
        <f>Q65*'Demand - Ethylene'!$D$76/'Demand - Ethylene'!$L$24</f>
        <v>6721.4678709934542</v>
      </c>
      <c r="R71" s="599">
        <f>R65*'Demand - Ethylene'!$D$76/'Demand - Ethylene'!$L$24</f>
        <v>6662.0623687309544</v>
      </c>
      <c r="S71" s="599">
        <f>S65*'Demand - Ethylene'!$D$76/'Demand - Ethylene'!$L$24</f>
        <v>6602.2937832835041</v>
      </c>
      <c r="T71" s="599">
        <f>T65*'Demand - Ethylene'!$D$76/'Demand - Ethylene'!$L$24</f>
        <v>6542.1581094430167</v>
      </c>
      <c r="U71" s="599">
        <f>U65*'Demand - Ethylene'!$D$76/'Demand - Ethylene'!$L$24</f>
        <v>6481.6513107553774</v>
      </c>
      <c r="V71" s="599">
        <f>V65*'Demand - Ethylene'!$D$76/'Demand - Ethylene'!$L$24</f>
        <v>6420.7693196155633</v>
      </c>
      <c r="W71" s="599">
        <f>W65*'Demand - Ethylene'!$D$76/'Demand - Ethylene'!$L$24</f>
        <v>6359.5080373750761</v>
      </c>
      <c r="X71" s="599">
        <f>X65*'Demand - Ethylene'!$D$76/'Demand - Ethylene'!$L$24</f>
        <v>6297.8633344619748</v>
      </c>
      <c r="Y71" s="599">
        <f>Y65*'Demand - Ethylene'!$D$76/'Demand - Ethylene'!$L$24</f>
        <v>6235.1610353587021</v>
      </c>
      <c r="Z71" s="599">
        <f>Z65*'Demand - Ethylene'!$D$76/'Demand - Ethylene'!$L$24</f>
        <v>6172.075658101965</v>
      </c>
      <c r="AA71" s="599">
        <f>AA65*'Demand - Ethylene'!$D$76/'Demand - Ethylene'!$L$24</f>
        <v>6108.6032028966183</v>
      </c>
      <c r="AB71" s="599">
        <f>AB65*'Demand - Ethylene'!$D$76/'Demand - Ethylene'!$L$24</f>
        <v>6044.7396446640596</v>
      </c>
      <c r="AC71" s="599">
        <f>AC65*'Demand - Ethylene'!$D$76/'Demand - Ethylene'!$L$24</f>
        <v>5980.4809333385465</v>
      </c>
      <c r="AD71" s="599">
        <f>AD65*'Demand - Ethylene'!$D$76/'Demand - Ethylene'!$L$24</f>
        <v>5915.8229941808759</v>
      </c>
      <c r="AE71" s="599">
        <f>AE65*'Demand - Ethylene'!$D$76/'Demand - Ethylene'!$L$24</f>
        <v>5850.7617281099474</v>
      </c>
      <c r="AF71" s="599">
        <f>AF65*'Demand - Ethylene'!$D$76/'Demand - Ethylene'!$L$24</f>
        <v>5785.2930120527571</v>
      </c>
      <c r="AG71" s="599">
        <f>AG65*'Demand - Ethylene'!$D$76/'Demand - Ethylene'!$L$24</f>
        <v>5719.4126993132886</v>
      </c>
      <c r="AH71" s="599">
        <f>AH65*'Demand - Ethylene'!$D$76/'Demand - Ethylene'!$L$24</f>
        <v>5653.1166199609161</v>
      </c>
      <c r="AI71" s="263"/>
    </row>
    <row r="72" spans="1:35" s="62" customFormat="1" outlineLevel="1">
      <c r="B72" s="55" t="s">
        <v>193</v>
      </c>
      <c r="C72" s="56" t="s">
        <v>166</v>
      </c>
      <c r="D72" s="630">
        <f>'Demand - Wind'!D39</f>
        <v>0</v>
      </c>
      <c r="E72" s="630">
        <f>'Demand - Wind'!E39</f>
        <v>19.678547415288921</v>
      </c>
      <c r="F72" s="630">
        <f>'Demand - Wind'!F39</f>
        <v>20.695280246528409</v>
      </c>
      <c r="G72" s="630">
        <f>'Demand - Wind'!G39</f>
        <v>21.764544681259892</v>
      </c>
      <c r="H72" s="630">
        <f>'Demand - Wind'!H39</f>
        <v>22.889054873370061</v>
      </c>
      <c r="I72" s="630">
        <f>'Demand - Wind'!I39</f>
        <v>24.071665209116489</v>
      </c>
      <c r="J72" s="630">
        <f>'Demand - Wind'!J39</f>
        <v>25.315377552523369</v>
      </c>
      <c r="K72" s="630">
        <f>'Demand - Wind'!K39</f>
        <v>26.623348865125159</v>
      </c>
      <c r="L72" s="630">
        <f>'Demand - Wind'!L39</f>
        <v>27.998899219399956</v>
      </c>
      <c r="M72" s="630">
        <f>'Demand - Wind'!M39</f>
        <v>29.445520226233601</v>
      </c>
      <c r="N72" s="630">
        <f>'Demand - Wind'!N39</f>
        <v>30.966883897806085</v>
      </c>
      <c r="O72" s="630">
        <f>'Demand - Wind'!O39</f>
        <v>32.566851968397359</v>
      </c>
      <c r="P72" s="630">
        <f>'Demand - Wind'!P39</f>
        <v>34.249485696771934</v>
      </c>
      <c r="Q72" s="630">
        <f>'Demand - Wind'!Q39</f>
        <v>36.019056175023735</v>
      </c>
      <c r="R72" s="630">
        <f>'Demand - Wind'!R39</f>
        <v>37.880055170048777</v>
      </c>
      <c r="S72" s="630">
        <f>'Demand - Wind'!S39</f>
        <v>39.837206525164952</v>
      </c>
      <c r="T72" s="630">
        <f>'Demand - Wind'!T39</f>
        <v>41.895478150820288</v>
      </c>
      <c r="U72" s="630">
        <f>'Demand - Wind'!U39</f>
        <v>44.060094634825525</v>
      </c>
      <c r="V72" s="630">
        <f>'Demand - Wind'!V39</f>
        <v>46.336550504120922</v>
      </c>
      <c r="W72" s="630">
        <f>'Demand - Wind'!W39</f>
        <v>48.730624171739372</v>
      </c>
      <c r="X72" s="630">
        <f>'Demand - Wind'!X39</f>
        <v>51.248392604367858</v>
      </c>
      <c r="Y72" s="630">
        <f>'Demand - Wind'!Y39</f>
        <v>53.896246747739617</v>
      </c>
      <c r="Z72" s="630">
        <f>'Demand - Wind'!Z39</f>
        <v>56.680907749010224</v>
      </c>
      <c r="AA72" s="630">
        <f>'Demand - Wind'!AA39</f>
        <v>59.609444017296866</v>
      </c>
      <c r="AB72" s="630">
        <f>'Demand - Wind'!AB39</f>
        <v>62.689289165685544</v>
      </c>
      <c r="AC72" s="630">
        <f>'Demand - Wind'!AC39</f>
        <v>65.928260880249042</v>
      </c>
      <c r="AD72" s="630">
        <f>'Demand - Wind'!AD39</f>
        <v>69.334580763971076</v>
      </c>
      <c r="AE72" s="630">
        <f>'Demand - Wind'!AE39</f>
        <v>72.916895205949942</v>
      </c>
      <c r="AF72" s="630">
        <f>'Demand - Wind'!AF39</f>
        <v>76.68429732884924</v>
      </c>
      <c r="AG72" s="630">
        <f>'Demand - Wind'!AG39</f>
        <v>80.646350070312735</v>
      </c>
      <c r="AH72" s="630">
        <f>'Demand - Wind'!AH39</f>
        <v>84.813110456926097</v>
      </c>
    </row>
    <row r="73" spans="1:35" outlineLevel="1">
      <c r="B73" s="1" t="s">
        <v>194</v>
      </c>
      <c r="C73" s="51" t="s">
        <v>166</v>
      </c>
      <c r="D73" s="196">
        <f>'Demand - Solar'!D34</f>
        <v>0</v>
      </c>
      <c r="E73" s="196">
        <f>'Demand - Solar'!E34</f>
        <v>16019.637288703534</v>
      </c>
      <c r="F73" s="196">
        <f>'Demand - Solar'!F34</f>
        <v>18177.248054955788</v>
      </c>
      <c r="G73" s="196">
        <f>'Demand - Solar'!G34</f>
        <v>20625.457424331875</v>
      </c>
      <c r="H73" s="196">
        <f>'Demand - Solar'!H34</f>
        <v>23403.404777047337</v>
      </c>
      <c r="I73" s="196">
        <f>'Demand - Solar'!I34</f>
        <v>26555.500995201066</v>
      </c>
      <c r="J73" s="196">
        <f>'Demand - Solar'!J34</f>
        <v>30132.138456953839</v>
      </c>
      <c r="K73" s="196">
        <f>'Demand - Solar'!K34</f>
        <v>34190.496656535062</v>
      </c>
      <c r="L73" s="196">
        <f>'Demand - Solar'!L34</f>
        <v>38795.456329477922</v>
      </c>
      <c r="M73" s="196">
        <f>'Demand - Solar'!M34</f>
        <v>44020.636697149377</v>
      </c>
      <c r="N73" s="196">
        <f>'Demand - Solar'!N34</f>
        <v>49949.57241294266</v>
      </c>
      <c r="O73" s="196">
        <f>'Demand - Solar'!O34</f>
        <v>56677.049025903136</v>
      </c>
      <c r="P73" s="196">
        <f>'Demand - Solar'!P34</f>
        <v>64310.618311764993</v>
      </c>
      <c r="Q73" s="196">
        <f>'Demand - Solar'!Q34</f>
        <v>72972.317696909711</v>
      </c>
      <c r="R73" s="196">
        <f>'Demand - Solar'!R34</f>
        <v>82800.62126357395</v>
      </c>
      <c r="S73" s="196">
        <f>'Demand - Solar'!S34</f>
        <v>93952.653526916241</v>
      </c>
      <c r="T73" s="196">
        <f>'Demand - Solar'!T34</f>
        <v>106606.70137546456</v>
      </c>
      <c r="U73" s="196">
        <f>'Demand - Solar'!U34</f>
        <v>120965.06433319145</v>
      </c>
      <c r="V73" s="196">
        <f>'Demand - Solar'!V34</f>
        <v>137257.28871018993</v>
      </c>
      <c r="W73" s="196">
        <f>'Demand - Solar'!W34</f>
        <v>155743.83734612778</v>
      </c>
      <c r="X73" s="196">
        <f>'Demand - Solar'!X34</f>
        <v>176720.25361445398</v>
      </c>
      <c r="Y73" s="196">
        <f>'Demand - Solar'!Y34</f>
        <v>200521.88625705134</v>
      </c>
      <c r="Z73" s="196">
        <f>'Demand - Solar'!Z34</f>
        <v>227529.25058498859</v>
      </c>
      <c r="AA73" s="196">
        <f>'Demand - Solar'!AA34</f>
        <v>258174.11175457685</v>
      </c>
      <c r="AB73" s="196">
        <f>'Demand - Solar'!AB34</f>
        <v>292946.38737170905</v>
      </c>
      <c r="AC73" s="196">
        <f>'Demand - Solar'!AC34</f>
        <v>332401.97977601469</v>
      </c>
      <c r="AD73" s="196">
        <f>'Demand - Solar'!AD34</f>
        <v>377171.66321909946</v>
      </c>
      <c r="AE73" s="196">
        <f>'Demand - Solar'!AE34</f>
        <v>427971.16801566898</v>
      </c>
      <c r="AF73" s="196">
        <f>'Demand - Solar'!AF34</f>
        <v>485612.62288227235</v>
      </c>
      <c r="AG73" s="196">
        <f>'Demand - Solar'!AG34</f>
        <v>551017.5383916659</v>
      </c>
      <c r="AH73" s="196">
        <f>'Demand - Solar'!AH34</f>
        <v>625231.53910852561</v>
      </c>
    </row>
    <row r="74" spans="1:35" s="180" customFormat="1">
      <c r="A74" s="177" t="s">
        <v>192</v>
      </c>
      <c r="B74" s="178" t="s">
        <v>225</v>
      </c>
      <c r="C74" s="179" t="s">
        <v>166</v>
      </c>
      <c r="D74" s="640">
        <f>D72+D73</f>
        <v>0</v>
      </c>
      <c r="E74" s="640">
        <f t="shared" ref="E74:AH74" si="19">E72+E73</f>
        <v>16039.315836118823</v>
      </c>
      <c r="F74" s="640">
        <f t="shared" si="19"/>
        <v>18197.943335202315</v>
      </c>
      <c r="G74" s="640">
        <f t="shared" si="19"/>
        <v>20647.221969013135</v>
      </c>
      <c r="H74" s="640">
        <f t="shared" si="19"/>
        <v>23426.293831920706</v>
      </c>
      <c r="I74" s="640">
        <f t="shared" si="19"/>
        <v>26579.572660410184</v>
      </c>
      <c r="J74" s="640">
        <f t="shared" si="19"/>
        <v>30157.453834506363</v>
      </c>
      <c r="K74" s="640">
        <f t="shared" si="19"/>
        <v>34217.120005400189</v>
      </c>
      <c r="L74" s="640">
        <f t="shared" si="19"/>
        <v>38823.455228697319</v>
      </c>
      <c r="M74" s="640">
        <f t="shared" si="19"/>
        <v>44050.08221737561</v>
      </c>
      <c r="N74" s="640">
        <f t="shared" si="19"/>
        <v>49980.539296840463</v>
      </c>
      <c r="O74" s="640">
        <f t="shared" si="19"/>
        <v>56709.615877871533</v>
      </c>
      <c r="P74" s="640">
        <f t="shared" si="19"/>
        <v>64344.867797461768</v>
      </c>
      <c r="Q74" s="640">
        <f t="shared" si="19"/>
        <v>73008.336753084732</v>
      </c>
      <c r="R74" s="640">
        <f t="shared" si="19"/>
        <v>82838.501318744005</v>
      </c>
      <c r="S74" s="640">
        <f t="shared" si="19"/>
        <v>93992.490733441402</v>
      </c>
      <c r="T74" s="640">
        <f t="shared" si="19"/>
        <v>106648.59685361538</v>
      </c>
      <c r="U74" s="640">
        <f t="shared" si="19"/>
        <v>121009.12442782627</v>
      </c>
      <c r="V74" s="640">
        <f t="shared" si="19"/>
        <v>137303.62526069404</v>
      </c>
      <c r="W74" s="640">
        <f t="shared" si="19"/>
        <v>155792.56797029951</v>
      </c>
      <c r="X74" s="640">
        <f t="shared" si="19"/>
        <v>176771.50200705836</v>
      </c>
      <c r="Y74" s="640">
        <f t="shared" si="19"/>
        <v>200575.7825037991</v>
      </c>
      <c r="Z74" s="640">
        <f t="shared" si="19"/>
        <v>227585.93149273761</v>
      </c>
      <c r="AA74" s="640">
        <f t="shared" si="19"/>
        <v>258233.72119859414</v>
      </c>
      <c r="AB74" s="640">
        <f t="shared" si="19"/>
        <v>293009.07666087471</v>
      </c>
      <c r="AC74" s="640">
        <f t="shared" si="19"/>
        <v>332467.90803689492</v>
      </c>
      <c r="AD74" s="640">
        <f t="shared" si="19"/>
        <v>377240.99779986346</v>
      </c>
      <c r="AE74" s="640">
        <f t="shared" si="19"/>
        <v>428044.08491087495</v>
      </c>
      <c r="AF74" s="640">
        <f t="shared" si="19"/>
        <v>485689.30717960122</v>
      </c>
      <c r="AG74" s="640">
        <f t="shared" si="19"/>
        <v>551098.18474173627</v>
      </c>
      <c r="AH74" s="640">
        <f t="shared" si="19"/>
        <v>625316.35221898253</v>
      </c>
    </row>
    <row r="75" spans="1:35" s="62" customFormat="1">
      <c r="A75" s="688" t="s">
        <v>685</v>
      </c>
      <c r="B75" s="55" t="s">
        <v>141</v>
      </c>
      <c r="C75" s="56" t="s">
        <v>166</v>
      </c>
      <c r="D75" s="630">
        <f>D72*'Demand - Wind'!$I$22+D73*'Demand - Solar'!$J$25</f>
        <v>0</v>
      </c>
      <c r="E75" s="630">
        <f>E72*'Demand - Wind'!$I$22+E73*'Demand - Solar'!$J$25</f>
        <v>7486.541093947123</v>
      </c>
      <c r="F75" s="630">
        <f>F72*'Demand - Wind'!$I$22+F73*'Demand - Solar'!$J$25</f>
        <v>8494.8686468862143</v>
      </c>
      <c r="G75" s="630">
        <f>G72*'Demand - Wind'!$I$22+G73*'Demand - Solar'!$J$25</f>
        <v>9639.0031687923456</v>
      </c>
      <c r="H75" s="630">
        <f>H72*'Demand - Wind'!$I$22+H73*'Demand - Solar'!$J$25</f>
        <v>10937.235871451061</v>
      </c>
      <c r="I75" s="630">
        <f>I72*'Demand - Wind'!$I$22+I73*'Demand - Solar'!$J$25</f>
        <v>12410.321525264451</v>
      </c>
      <c r="J75" s="630">
        <f>J72*'Demand - Wind'!$I$22+J73*'Demand - Solar'!$J$25</f>
        <v>14081.810264553496</v>
      </c>
      <c r="K75" s="630">
        <f>K72*'Demand - Wind'!$I$22+K73*'Demand - Solar'!$J$25</f>
        <v>15978.424082180138</v>
      </c>
      <c r="L75" s="630">
        <f>L72*'Demand - Wind'!$I$22+L73*'Demand - Solar'!$J$25</f>
        <v>18130.484032486671</v>
      </c>
      <c r="M75" s="630">
        <f>M72*'Demand - Wind'!$I$22+M73*'Demand - Solar'!$J$25</f>
        <v>20572.394972220809</v>
      </c>
      <c r="N75" s="630">
        <f>N72*'Demand - Wind'!$I$22+N73*'Demand - Solar'!$J$25</f>
        <v>23343.195588971194</v>
      </c>
      <c r="O75" s="630">
        <f>O72*'Demand - Wind'!$I$22+O73*'Demand - Solar'!$J$25</f>
        <v>26487.182510386247</v>
      </c>
      <c r="P75" s="630">
        <f>P72*'Demand - Wind'!$I$22+P73*'Demand - Solar'!$J$25</f>
        <v>30054.618471773265</v>
      </c>
      <c r="Q75" s="630">
        <f>Q72*'Demand - Wind'!$I$22+Q73*'Demand - Solar'!$J$25</f>
        <v>34102.535863512814</v>
      </c>
      <c r="R75" s="630">
        <f>R72*'Demand - Wind'!$I$22+R73*'Demand - Solar'!$J$25</f>
        <v>38695.648504552752</v>
      </c>
      <c r="S75" s="630">
        <f>S72*'Demand - Wind'!$I$22+S73*'Demand - Solar'!$J$25</f>
        <v>43907.386218452826</v>
      </c>
      <c r="T75" s="630">
        <f>T72*'Demand - Wind'!$I$22+T73*'Demand - Solar'!$J$25</f>
        <v>49821.068751685583</v>
      </c>
      <c r="U75" s="630">
        <f>U72*'Demand - Wind'!$I$22+U73*'Demand - Solar'!$J$25</f>
        <v>56531.23780155737</v>
      </c>
      <c r="V75" s="630">
        <f>V72*'Demand - Wind'!$I$22+V73*'Demand - Solar'!$J$25</f>
        <v>64145.168448802215</v>
      </c>
      <c r="W75" s="630">
        <f>W72*'Demand - Wind'!$I$22+W73*'Demand - Solar'!$J$25</f>
        <v>72784.584158032769</v>
      </c>
      <c r="X75" s="630">
        <f>X72*'Demand - Wind'!$I$22+X73*'Demand - Solar'!$J$25</f>
        <v>82587.602763660281</v>
      </c>
      <c r="Y75" s="630">
        <f>Y72*'Demand - Wind'!$I$22+Y73*'Demand - Solar'!$J$25</f>
        <v>93710.944551647772</v>
      </c>
      <c r="Z75" s="630">
        <f>Z72*'Demand - Wind'!$I$22+Z73*'Demand - Solar'!$J$25</f>
        <v>106332.43773756915</v>
      </c>
      <c r="AA75" s="630">
        <f>AA72*'Demand - Wind'!$I$22+AA73*'Demand - Solar'!$J$25</f>
        <v>120653.86139590682</v>
      </c>
      <c r="AB75" s="630">
        <f>AB72*'Demand - Wind'!$I$22+AB73*'Demand - Solar'!$J$25</f>
        <v>136904.17129033164</v>
      </c>
      <c r="AC75" s="630">
        <f>AC72*'Demand - Wind'!$I$22+AC73*'Demand - Solar'!$J$25</f>
        <v>155343.16017612605</v>
      </c>
      <c r="AD75" s="630">
        <f>AD72*'Demand - Wind'!$I$22+AD73*'Demand - Solar'!$J$25</f>
        <v>176265.61109179116</v>
      </c>
      <c r="AE75" s="630">
        <f>AE72*'Demand - Wind'!$I$22+AE73*'Demand - Solar'!$J$25</f>
        <v>200006.0100382682</v>
      </c>
      <c r="AF75" s="630">
        <f>AF72*'Demand - Wind'!$I$22+AF73*'Demand - Solar'!$J$25</f>
        <v>226943.89338710203</v>
      </c>
      <c r="AG75" s="630">
        <f>AG72*'Demand - Wind'!$I$22+AG73*'Demand - Solar'!$J$25</f>
        <v>257509.91550624842</v>
      </c>
      <c r="AH75" s="630">
        <f>AH72*'Demand - Wind'!$I$22+AH73*'Demand - Solar'!$J$25</f>
        <v>292192.73360630521</v>
      </c>
      <c r="AI75" s="57"/>
    </row>
    <row r="76" spans="1:35">
      <c r="A76" s="689"/>
      <c r="B76" s="1" t="s">
        <v>18</v>
      </c>
      <c r="C76" s="51" t="s">
        <v>166</v>
      </c>
      <c r="D76" s="196">
        <f>D72*'Demand - Wind'!$J$22+D73*'Demand - Solar'!$K$25</f>
        <v>0</v>
      </c>
      <c r="E76" s="196">
        <f>E72*'Demand - Wind'!$J$22+E73*'Demand - Solar'!$K$25</f>
        <v>3218.3568853992688</v>
      </c>
      <c r="F76" s="196">
        <f>F72*'Demand - Wind'!$J$22+F73*'Demand - Solar'!$K$25</f>
        <v>3651.0056316459272</v>
      </c>
      <c r="G76" s="196">
        <f>G72*'Demand - Wind'!$J$22+G73*'Demand - Solar'!$K$25</f>
        <v>4141.8836303944918</v>
      </c>
      <c r="H76" s="196">
        <f>H72*'Demand - Wind'!$J$22+H73*'Demand - Solar'!$K$25</f>
        <v>4698.8313294871396</v>
      </c>
      <c r="I76" s="196">
        <f>I72*'Demand - Wind'!$J$22+I73*'Demand - Solar'!$K$25</f>
        <v>5330.7450577178943</v>
      </c>
      <c r="J76" s="196">
        <f>J72*'Demand - Wind'!$J$22+J73*'Demand - Solar'!$K$25</f>
        <v>6047.7192307277601</v>
      </c>
      <c r="K76" s="196">
        <f>K72*'Demand - Wind'!$J$22+K73*'Demand - Solar'!$K$25</f>
        <v>6861.2077096526209</v>
      </c>
      <c r="L76" s="196">
        <f>L72*'Demand - Wind'!$J$22+L73*'Demand - Solar'!$K$25</f>
        <v>7784.2068921039872</v>
      </c>
      <c r="M76" s="196">
        <f>M72*'Demand - Wind'!$J$22+M73*'Demand - Solar'!$K$25</f>
        <v>8831.4634624934624</v>
      </c>
      <c r="N76" s="196">
        <f>N72*'Demand - Wind'!$J$22+N73*'Demand - Solar'!$K$25</f>
        <v>10019.710122936558</v>
      </c>
      <c r="O76" s="196">
        <f>O72*'Demand - Wind'!$J$22+O73*'Demand - Solar'!$K$25</f>
        <v>11367.93307329259</v>
      </c>
      <c r="P76" s="196">
        <f>P72*'Demand - Wind'!$J$22+P73*'Demand - Solar'!$K$25</f>
        <v>12897.675516465499</v>
      </c>
      <c r="Q76" s="196">
        <f>Q72*'Demand - Wind'!$J$22+Q73*'Demand - Solar'!$K$25</f>
        <v>14633.382041021576</v>
      </c>
      <c r="R76" s="196">
        <f>R72*'Demand - Wind'!$J$22+R73*'Demand - Solar'!$K$25</f>
        <v>16602.789386679058</v>
      </c>
      <c r="S76" s="196">
        <f>S72*'Demand - Wind'!$J$22+S73*'Demand - Solar'!$K$25</f>
        <v>18837.369839742369</v>
      </c>
      <c r="T76" s="196">
        <f>T72*'Demand - Wind'!$J$22+T73*'Demand - Solar'!$K$25</f>
        <v>21372.834346940661</v>
      </c>
      <c r="U76" s="196">
        <f>U72*'Demand - Wind'!$J$22+U73*'Demand - Solar'!$K$25</f>
        <v>24249.703390842002</v>
      </c>
      <c r="V76" s="196">
        <f>V72*'Demand - Wind'!$J$22+V73*'Demand - Solar'!$K$25</f>
        <v>27513.954753310154</v>
      </c>
      <c r="W76" s="196">
        <f>W72*'Demand - Wind'!$J$22+W73*'Demand - Solar'!$K$25</f>
        <v>31217.758522671342</v>
      </c>
      <c r="X76" s="196">
        <f>X72*'Demand - Wind'!$J$22+X73*'Demand - Solar'!$K$25</f>
        <v>35420.311095013734</v>
      </c>
      <c r="Y76" s="196">
        <f>Y72*'Demand - Wind'!$J$22+Y73*'Demand - Solar'!$K$25</f>
        <v>40188.78150265148</v>
      </c>
      <c r="Z76" s="196">
        <f>Z72*'Demand - Wind'!$J$22+Z73*'Demand - Solar'!$K$25</f>
        <v>45599.385198546996</v>
      </c>
      <c r="AA76" s="196">
        <f>AA72*'Demand - Wind'!$J$22+AA73*'Demand - Solar'!$K$25</f>
        <v>51738.602463111572</v>
      </c>
      <c r="AB76" s="196">
        <f>AB72*'Demand - Wind'!$J$22+AB73*'Demand - Solar'!$K$25</f>
        <v>58704.560911867826</v>
      </c>
      <c r="AC76" s="196">
        <f>AC72*'Demand - Wind'!$J$22+AC73*'Demand - Solar'!$K$25</f>
        <v>66608.604205922718</v>
      </c>
      <c r="AD76" s="196">
        <f>AD72*'Demand - Wind'!$J$22+AD73*'Demand - Solar'!$K$25</f>
        <v>75577.072044006767</v>
      </c>
      <c r="AE76" s="196">
        <f>AE72*'Demand - Wind'!$J$22+AE73*'Demand - Solar'!$K$25</f>
        <v>85753.319892575062</v>
      </c>
      <c r="AF76" s="196">
        <f>AF72*'Demand - Wind'!$J$22+AF73*'Demand - Solar'!$K$25</f>
        <v>97300.010743136721</v>
      </c>
      <c r="AG76" s="196">
        <f>AG72*'Demand - Wind'!$J$22+AG73*'Demand - Solar'!$K$25</f>
        <v>110401.7155348559</v>
      </c>
      <c r="AH76" s="196">
        <f>AH72*'Demand - Wind'!$J$22+AH73*'Demand - Solar'!$K$25</f>
        <v>125267.86381507355</v>
      </c>
      <c r="AI76" s="41"/>
    </row>
    <row r="77" spans="1:35">
      <c r="A77" s="689"/>
      <c r="B77" s="1" t="s">
        <v>684</v>
      </c>
      <c r="C77" s="51" t="s">
        <v>166</v>
      </c>
      <c r="D77" s="196">
        <f>D72*'Demand - Wind'!$K$22+D73*'Demand - Solar'!$L$25</f>
        <v>0</v>
      </c>
      <c r="E77" s="196">
        <f>E72*'Demand - Wind'!$K$22+E73*'Demand - Solar'!$L$25</f>
        <v>5.9035642245866766</v>
      </c>
      <c r="F77" s="196">
        <f>F72*'Demand - Wind'!$K$22+F73*'Demand - Solar'!$L$25</f>
        <v>6.2085840739585221</v>
      </c>
      <c r="G77" s="196">
        <f>G72*'Demand - Wind'!$K$22+G73*'Demand - Solar'!$L$25</f>
        <v>6.5293634043779676</v>
      </c>
      <c r="H77" s="196">
        <f>H72*'Demand - Wind'!$K$22+H73*'Demand - Solar'!$L$25</f>
        <v>6.8667164620110182</v>
      </c>
      <c r="I77" s="196">
        <f>I72*'Demand - Wind'!$K$22+I73*'Demand - Solar'!$L$25</f>
        <v>7.2214995627349463</v>
      </c>
      <c r="J77" s="196">
        <f>J72*'Demand - Wind'!$K$22+J73*'Demand - Solar'!$L$25</f>
        <v>7.59461326575701</v>
      </c>
      <c r="K77" s="196">
        <f>K72*'Demand - Wind'!$K$22+K73*'Demand - Solar'!$L$25</f>
        <v>7.987004659537547</v>
      </c>
      <c r="L77" s="196">
        <f>L72*'Demand - Wind'!$K$22+L73*'Demand - Solar'!$L$25</f>
        <v>8.3996697658199864</v>
      </c>
      <c r="M77" s="196">
        <f>M72*'Demand - Wind'!$K$22+M73*'Demand - Solar'!$L$25</f>
        <v>8.8336560678700806</v>
      </c>
      <c r="N77" s="196">
        <f>N72*'Demand - Wind'!$K$22+N73*'Demand - Solar'!$L$25</f>
        <v>9.2900651693418244</v>
      </c>
      <c r="O77" s="196">
        <f>O72*'Demand - Wind'!$K$22+O73*'Demand - Solar'!$L$25</f>
        <v>9.7700555905192079</v>
      </c>
      <c r="P77" s="196">
        <f>P72*'Demand - Wind'!$K$22+P73*'Demand - Solar'!$L$25</f>
        <v>10.274845709031579</v>
      </c>
      <c r="Q77" s="196">
        <f>Q72*'Demand - Wind'!$K$22+Q73*'Demand - Solar'!$L$25</f>
        <v>10.805716852507119</v>
      </c>
      <c r="R77" s="196">
        <f>R72*'Demand - Wind'!$K$22+R73*'Demand - Solar'!$L$25</f>
        <v>11.364016551014632</v>
      </c>
      <c r="S77" s="196">
        <f>S72*'Demand - Wind'!$K$22+S73*'Demand - Solar'!$L$25</f>
        <v>11.951161957549486</v>
      </c>
      <c r="T77" s="196">
        <f>T72*'Demand - Wind'!$K$22+T73*'Demand - Solar'!$L$25</f>
        <v>12.568643445246087</v>
      </c>
      <c r="U77" s="196">
        <f>U72*'Demand - Wind'!$K$22+U73*'Demand - Solar'!$L$25</f>
        <v>13.218028390447657</v>
      </c>
      <c r="V77" s="196">
        <f>V72*'Demand - Wind'!$K$22+V73*'Demand - Solar'!$L$25</f>
        <v>13.900965151236276</v>
      </c>
      <c r="W77" s="196">
        <f>W72*'Demand - Wind'!$K$22+W73*'Demand - Solar'!$L$25</f>
        <v>14.619187251521812</v>
      </c>
      <c r="X77" s="196">
        <f>X72*'Demand - Wind'!$K$22+X73*'Demand - Solar'!$L$25</f>
        <v>15.374517781310356</v>
      </c>
      <c r="Y77" s="196">
        <f>Y72*'Demand - Wind'!$K$22+Y73*'Demand - Solar'!$L$25</f>
        <v>16.168874024321884</v>
      </c>
      <c r="Z77" s="196">
        <f>Z72*'Demand - Wind'!$K$22+Z73*'Demand - Solar'!$L$25</f>
        <v>17.004272324703066</v>
      </c>
      <c r="AA77" s="196">
        <f>AA72*'Demand - Wind'!$K$22+AA73*'Demand - Solar'!$L$25</f>
        <v>17.882833205189058</v>
      </c>
      <c r="AB77" s="196">
        <f>AB72*'Demand - Wind'!$K$22+AB73*'Demand - Solar'!$L$25</f>
        <v>18.806786749705662</v>
      </c>
      <c r="AC77" s="196">
        <f>AC72*'Demand - Wind'!$K$22+AC73*'Demand - Solar'!$L$25</f>
        <v>19.77847826407471</v>
      </c>
      <c r="AD77" s="196">
        <f>AD72*'Demand - Wind'!$K$22+AD73*'Demand - Solar'!$L$25</f>
        <v>20.800374229191323</v>
      </c>
      <c r="AE77" s="196">
        <f>AE72*'Demand - Wind'!$K$22+AE73*'Demand - Solar'!$L$25</f>
        <v>21.875068561784982</v>
      </c>
      <c r="AF77" s="196">
        <f>AF72*'Demand - Wind'!$K$22+AF73*'Demand - Solar'!$L$25</f>
        <v>23.005289198654772</v>
      </c>
      <c r="AG77" s="196">
        <f>AG72*'Demand - Wind'!$K$22+AG73*'Demand - Solar'!$L$25</f>
        <v>24.193905021093819</v>
      </c>
      <c r="AH77" s="196">
        <f>AH72*'Demand - Wind'!$K$22+AH73*'Demand - Solar'!$L$25</f>
        <v>25.443933137077828</v>
      </c>
      <c r="AI77" s="41"/>
    </row>
    <row r="78" spans="1:35" s="63" customFormat="1">
      <c r="A78" s="690"/>
      <c r="B78" s="59" t="s">
        <v>27</v>
      </c>
      <c r="C78" s="262" t="s">
        <v>166</v>
      </c>
      <c r="D78" s="599">
        <f>D72*'Demand - Wind'!$L$22+D73*'Demand - Solar'!$M$25</f>
        <v>0</v>
      </c>
      <c r="E78" s="599">
        <f>E72*'Demand - Wind'!$L$22+E73*'Demand - Solar'!$M$25</f>
        <v>5328.5142925478422</v>
      </c>
      <c r="F78" s="599">
        <f>F72*'Demand - Wind'!$L$22+F73*'Demand - Solar'!$M$25</f>
        <v>6045.860472596215</v>
      </c>
      <c r="G78" s="599">
        <f>G72*'Demand - Wind'!$L$22+G73*'Demand - Solar'!$M$25</f>
        <v>6859.8058064219176</v>
      </c>
      <c r="H78" s="599">
        <f>H72*'Demand - Wind'!$L$22+H73*'Demand - Solar'!$M$25</f>
        <v>7783.3599145204944</v>
      </c>
      <c r="I78" s="599">
        <f>I72*'Demand - Wind'!$L$22+I73*'Demand - Solar'!$M$25</f>
        <v>8831.284577865099</v>
      </c>
      <c r="J78" s="599">
        <f>J72*'Demand - Wind'!$L$22+J73*'Demand - Solar'!$M$25</f>
        <v>10020.329725959346</v>
      </c>
      <c r="K78" s="599">
        <f>K72*'Demand - Wind'!$L$22+K73*'Demand - Solar'!$M$25</f>
        <v>11369.501208907888</v>
      </c>
      <c r="L78" s="599">
        <f>L72*'Demand - Wind'!$L$22+L73*'Demand - Solar'!$M$25</f>
        <v>12900.36463434084</v>
      </c>
      <c r="M78" s="599">
        <f>M72*'Demand - Wind'!$L$22+M73*'Demand - Solar'!$M$25</f>
        <v>14637.390126593464</v>
      </c>
      <c r="N78" s="599">
        <f>N72*'Demand - Wind'!$L$22+N73*'Demand - Solar'!$M$25</f>
        <v>16608.343519763366</v>
      </c>
      <c r="O78" s="599">
        <f>O72*'Demand - Wind'!$L$22+O73*'Demand - Solar'!$M$25</f>
        <v>18844.730238602173</v>
      </c>
      <c r="P78" s="599">
        <f>P72*'Demand - Wind'!$L$22+P73*'Demand - Solar'!$M$25</f>
        <v>21382.298963513964</v>
      </c>
      <c r="Q78" s="599">
        <f>Q72*'Demand - Wind'!$L$22+Q73*'Demand - Solar'!$M$25</f>
        <v>24261.613131697832</v>
      </c>
      <c r="R78" s="599">
        <f>R72*'Demand - Wind'!$L$22+R73*'Demand - Solar'!$M$25</f>
        <v>27528.699410961166</v>
      </c>
      <c r="S78" s="599">
        <f>S72*'Demand - Wind'!$L$22+S73*'Demand - Solar'!$M$25</f>
        <v>31235.783513288658</v>
      </c>
      <c r="T78" s="599">
        <f>T72*'Demand - Wind'!$L$22+T73*'Demand - Solar'!$M$25</f>
        <v>35442.125111543886</v>
      </c>
      <c r="U78" s="599">
        <f>U72*'Demand - Wind'!$L$22+U73*'Demand - Solar'!$M$25</f>
        <v>40214.965207036446</v>
      </c>
      <c r="V78" s="599">
        <f>V72*'Demand - Wind'!$L$22+V73*'Demand - Solar'!$M$25</f>
        <v>45630.601093430429</v>
      </c>
      <c r="W78" s="599">
        <f>W72*'Demand - Wind'!$L$22+W73*'Demand - Solar'!$M$25</f>
        <v>51775.606102343867</v>
      </c>
      <c r="X78" s="599">
        <f>X72*'Demand - Wind'!$L$22+X73*'Demand - Solar'!$M$25</f>
        <v>58748.213630602993</v>
      </c>
      <c r="Y78" s="599">
        <f>Y72*'Demand - Wind'!$L$22+Y73*'Demand - Solar'!$M$25</f>
        <v>66659.887575475499</v>
      </c>
      <c r="Z78" s="599">
        <f>Z72*'Demand - Wind'!$L$22+Z73*'Demand - Solar'!$M$25</f>
        <v>75637.104284296729</v>
      </c>
      <c r="AA78" s="599">
        <f>AA72*'Demand - Wind'!$L$22+AA73*'Demand - Solar'!$M$25</f>
        <v>85823.374506370557</v>
      </c>
      <c r="AB78" s="599">
        <f>AB72*'Demand - Wind'!$L$22+AB73*'Demand - Solar'!$M$25</f>
        <v>97381.537671925544</v>
      </c>
      <c r="AC78" s="599">
        <f>AC72*'Demand - Wind'!$L$22+AC73*'Demand - Solar'!$M$25</f>
        <v>110496.36517658208</v>
      </c>
      <c r="AD78" s="599">
        <f>AD72*'Demand - Wind'!$L$22+AD73*'Demand - Solar'!$M$25</f>
        <v>125377.51428983628</v>
      </c>
      <c r="AE78" s="599">
        <f>AE72*'Demand - Wind'!$L$22+AE73*'Demand - Solar'!$M$25</f>
        <v>142262.87991146985</v>
      </c>
      <c r="AF78" s="599">
        <f>AF72*'Demand - Wind'!$L$22+AF73*'Demand - Solar'!$M$25</f>
        <v>161422.39776016376</v>
      </c>
      <c r="AG78" s="599">
        <f>AG72*'Demand - Wind'!$L$22+AG73*'Demand - Solar'!$M$25</f>
        <v>183162.35979561074</v>
      </c>
      <c r="AH78" s="599">
        <f>AH72*'Demand - Wind'!$L$22+AH73*'Demand - Solar'!$M$25</f>
        <v>207830.31086446665</v>
      </c>
      <c r="AI78" s="263"/>
    </row>
    <row r="79" spans="1:35" s="62" customFormat="1">
      <c r="A79" s="688" t="s">
        <v>686</v>
      </c>
      <c r="B79" s="55" t="s">
        <v>683</v>
      </c>
      <c r="C79" s="56" t="s">
        <v>166</v>
      </c>
      <c r="D79" s="630">
        <f>D72*'Demand - Wind'!$K$22+D73*'Demand - Solar'!$L$25</f>
        <v>0</v>
      </c>
      <c r="E79" s="630">
        <f>E72*'Demand - Wind'!$K$22+E73*'Demand - Solar'!$L$25</f>
        <v>5.9035642245866766</v>
      </c>
      <c r="F79" s="630">
        <f>F72*'Demand - Wind'!$K$22+F73*'Demand - Solar'!$L$25</f>
        <v>6.2085840739585221</v>
      </c>
      <c r="G79" s="630">
        <f>G72*'Demand - Wind'!$K$22+G73*'Demand - Solar'!$L$25</f>
        <v>6.5293634043779676</v>
      </c>
      <c r="H79" s="630">
        <f>H72*'Demand - Wind'!$K$22+H73*'Demand - Solar'!$L$25</f>
        <v>6.8667164620110182</v>
      </c>
      <c r="I79" s="630">
        <f>I72*'Demand - Wind'!$K$22+I73*'Demand - Solar'!$L$25</f>
        <v>7.2214995627349463</v>
      </c>
      <c r="J79" s="630">
        <f>J72*'Demand - Wind'!$K$22+J73*'Demand - Solar'!$L$25</f>
        <v>7.59461326575701</v>
      </c>
      <c r="K79" s="630">
        <f>K72*'Demand - Wind'!$K$22+K73*'Demand - Solar'!$L$25</f>
        <v>7.987004659537547</v>
      </c>
      <c r="L79" s="630">
        <f>L72*'Demand - Wind'!$K$22+L73*'Demand - Solar'!$L$25</f>
        <v>8.3996697658199864</v>
      </c>
      <c r="M79" s="630">
        <f>M72*'Demand - Wind'!$K$22+M73*'Demand - Solar'!$L$25</f>
        <v>8.8336560678700806</v>
      </c>
      <c r="N79" s="630">
        <f>N72*'Demand - Wind'!$K$22+N73*'Demand - Solar'!$L$25</f>
        <v>9.2900651693418244</v>
      </c>
      <c r="O79" s="630">
        <f>O72*'Demand - Wind'!$K$22+O73*'Demand - Solar'!$L$25</f>
        <v>9.7700555905192079</v>
      </c>
      <c r="P79" s="630">
        <f>P72*'Demand - Wind'!$K$22+P73*'Demand - Solar'!$L$25</f>
        <v>10.274845709031579</v>
      </c>
      <c r="Q79" s="630">
        <f>Q72*'Demand - Wind'!$K$22+Q73*'Demand - Solar'!$L$25</f>
        <v>10.805716852507119</v>
      </c>
      <c r="R79" s="630">
        <f>R72*'Demand - Wind'!$K$22+R73*'Demand - Solar'!$L$25</f>
        <v>11.364016551014632</v>
      </c>
      <c r="S79" s="630">
        <f>S72*'Demand - Wind'!$K$22+S73*'Demand - Solar'!$L$25</f>
        <v>11.951161957549486</v>
      </c>
      <c r="T79" s="630">
        <f>T72*'Demand - Wind'!$K$22+T73*'Demand - Solar'!$L$25</f>
        <v>12.568643445246087</v>
      </c>
      <c r="U79" s="630">
        <f>U72*'Demand - Wind'!$K$22+U73*'Demand - Solar'!$L$25</f>
        <v>13.218028390447657</v>
      </c>
      <c r="V79" s="630">
        <f>V72*'Demand - Wind'!$K$22+V73*'Demand - Solar'!$L$25</f>
        <v>13.900965151236276</v>
      </c>
      <c r="W79" s="630">
        <f>W72*'Demand - Wind'!$K$22+W73*'Demand - Solar'!$L$25</f>
        <v>14.619187251521812</v>
      </c>
      <c r="X79" s="630">
        <f>X72*'Demand - Wind'!$K$22+X73*'Demand - Solar'!$L$25</f>
        <v>15.374517781310356</v>
      </c>
      <c r="Y79" s="630">
        <f>Y72*'Demand - Wind'!$K$22+Y73*'Demand - Solar'!$L$25</f>
        <v>16.168874024321884</v>
      </c>
      <c r="Z79" s="630">
        <f>Z72*'Demand - Wind'!$K$22+Z73*'Demand - Solar'!$L$25</f>
        <v>17.004272324703066</v>
      </c>
      <c r="AA79" s="630">
        <f>AA72*'Demand - Wind'!$K$22+AA73*'Demand - Solar'!$L$25</f>
        <v>17.882833205189058</v>
      </c>
      <c r="AB79" s="630">
        <f>AB72*'Demand - Wind'!$K$22+AB73*'Demand - Solar'!$L$25</f>
        <v>18.806786749705662</v>
      </c>
      <c r="AC79" s="630">
        <f>AC72*'Demand - Wind'!$K$22+AC73*'Demand - Solar'!$L$25</f>
        <v>19.77847826407471</v>
      </c>
      <c r="AD79" s="630">
        <f>AD72*'Demand - Wind'!$K$22+AD73*'Demand - Solar'!$L$25</f>
        <v>20.800374229191323</v>
      </c>
      <c r="AE79" s="630">
        <f>AE72*'Demand - Wind'!$K$22+AE73*'Demand - Solar'!$L$25</f>
        <v>21.875068561784982</v>
      </c>
      <c r="AF79" s="630">
        <f>AF72*'Demand - Wind'!$K$22+AF73*'Demand - Solar'!$L$25</f>
        <v>23.005289198654772</v>
      </c>
      <c r="AG79" s="630">
        <f>AG72*'Demand - Wind'!$K$22+AG73*'Demand - Solar'!$L$25</f>
        <v>24.193905021093819</v>
      </c>
      <c r="AH79" s="630">
        <f>AH72*'Demand - Wind'!$K$22+AH73*'Demand - Solar'!$L$25</f>
        <v>25.443933137077828</v>
      </c>
      <c r="AI79" s="57"/>
    </row>
    <row r="80" spans="1:35" s="63" customFormat="1">
      <c r="A80" s="690"/>
      <c r="B80" s="59" t="s">
        <v>682</v>
      </c>
      <c r="C80" s="262" t="s">
        <v>166</v>
      </c>
      <c r="D80" s="599">
        <f>D72*'Demand - Wind'!J22+D73*'Demand - Solar'!K25</f>
        <v>0</v>
      </c>
      <c r="E80" s="599">
        <f>E72*'Demand - Wind'!K22+E73*'Demand - Solar'!L25</f>
        <v>5.9035642245866766</v>
      </c>
      <c r="F80" s="599">
        <f>F72*'Demand - Wind'!L22+F73*'Demand - Solar'!M25</f>
        <v>6045.860472596215</v>
      </c>
      <c r="G80" s="599">
        <f>G72*'Demand - Wind'!M22+G73*'Demand - Solar'!N25</f>
        <v>20625.457424331871</v>
      </c>
      <c r="H80" s="599">
        <f>H72*'Demand - Wind'!N22+H73*'Demand - Solar'!O25</f>
        <v>0</v>
      </c>
      <c r="I80" s="599">
        <f>I72*'Demand - Wind'!O22+I73*'Demand - Solar'!P25</f>
        <v>0</v>
      </c>
      <c r="J80" s="599">
        <f>J72*'Demand - Wind'!P22+J73*'Demand - Solar'!Q25</f>
        <v>0</v>
      </c>
      <c r="K80" s="599">
        <f>K72*'Demand - Wind'!Q22+K73*'Demand - Solar'!R25</f>
        <v>0</v>
      </c>
      <c r="L80" s="599">
        <f>L72*'Demand - Wind'!R22+L73*'Demand - Solar'!S25</f>
        <v>0</v>
      </c>
      <c r="M80" s="599">
        <f>M72*'Demand - Wind'!S22+M73*'Demand - Solar'!T25</f>
        <v>0</v>
      </c>
      <c r="N80" s="599">
        <f>N72*'Demand - Wind'!T22+N73*'Demand - Solar'!U25</f>
        <v>0</v>
      </c>
      <c r="O80" s="599">
        <f>O72*'Demand - Wind'!U22+O73*'Demand - Solar'!V25</f>
        <v>0</v>
      </c>
      <c r="P80" s="599">
        <f>P72*'Demand - Wind'!V22+P73*'Demand - Solar'!W25</f>
        <v>0</v>
      </c>
      <c r="Q80" s="599">
        <f>Q72*'Demand - Wind'!W22+Q73*'Demand - Solar'!X25</f>
        <v>0</v>
      </c>
      <c r="R80" s="599">
        <f>R72*'Demand - Wind'!X22+R73*'Demand - Solar'!Y25</f>
        <v>0</v>
      </c>
      <c r="S80" s="599">
        <f>S72*'Demand - Wind'!Y22+S73*'Demand - Solar'!Z25</f>
        <v>0</v>
      </c>
      <c r="T80" s="599">
        <f>T72*'Demand - Wind'!Z22+T73*'Demand - Solar'!AA25</f>
        <v>0</v>
      </c>
      <c r="U80" s="599">
        <f>U72*'Demand - Wind'!AA22+U73*'Demand - Solar'!AB25</f>
        <v>0</v>
      </c>
      <c r="V80" s="599">
        <f>V72*'Demand - Wind'!AB22+V73*'Demand - Solar'!AC25</f>
        <v>0</v>
      </c>
      <c r="W80" s="599">
        <f>W72*'Demand - Wind'!AC22+W73*'Demand - Solar'!AD25</f>
        <v>0</v>
      </c>
      <c r="X80" s="599">
        <f>X72*'Demand - Wind'!AD22+X73*'Demand - Solar'!AE25</f>
        <v>0</v>
      </c>
      <c r="Y80" s="599">
        <f>Y72*'Demand - Wind'!AE22+Y73*'Demand - Solar'!AF25</f>
        <v>0</v>
      </c>
      <c r="Z80" s="599">
        <f>Z72*'Demand - Wind'!AF22+Z73*'Demand - Solar'!AG25</f>
        <v>0</v>
      </c>
      <c r="AA80" s="599">
        <f>AA72*'Demand - Wind'!AG22+AA73*'Demand - Solar'!AH25</f>
        <v>0</v>
      </c>
      <c r="AB80" s="599">
        <f>AB72*'Demand - Wind'!AH22+AB73*'Demand - Solar'!AI25</f>
        <v>0</v>
      </c>
      <c r="AC80" s="599">
        <f>AC72*'Demand - Wind'!AI22+AC73*'Demand - Solar'!AJ25</f>
        <v>0</v>
      </c>
      <c r="AD80" s="599">
        <f>AD72*'Demand - Wind'!AJ22+AD73*'Demand - Solar'!AK25</f>
        <v>0</v>
      </c>
      <c r="AE80" s="599">
        <f>AE72*'Demand - Wind'!AK22+AE73*'Demand - Solar'!AL25</f>
        <v>0</v>
      </c>
      <c r="AF80" s="599">
        <f>AF72*'Demand - Wind'!AL22+AF73*'Demand - Solar'!AM25</f>
        <v>0</v>
      </c>
      <c r="AG80" s="599">
        <f>AG72*'Demand - Wind'!AM22+AG73*'Demand - Solar'!AN25</f>
        <v>0</v>
      </c>
      <c r="AH80" s="599">
        <f>AH72*'Demand - Wind'!AN22+AH73*'Demand - Solar'!AO25</f>
        <v>0</v>
      </c>
      <c r="AI80" s="263"/>
    </row>
    <row r="81" spans="1:35" outlineLevel="1">
      <c r="A81" s="1" t="s">
        <v>78</v>
      </c>
      <c r="B81" s="1" t="s">
        <v>164</v>
      </c>
      <c r="C81" s="51" t="s">
        <v>166</v>
      </c>
      <c r="D81" s="633">
        <f>D17+D29+D41+D53+D63</f>
        <v>0</v>
      </c>
      <c r="E81" s="633">
        <f t="shared" ref="E81:AH81" si="20">E17+E29+E41+E53+E63</f>
        <v>4575.2518931350332</v>
      </c>
      <c r="F81" s="633">
        <f t="shared" si="20"/>
        <v>9151.4182871864614</v>
      </c>
      <c r="G81" s="633">
        <f t="shared" si="20"/>
        <v>13728.526216818416</v>
      </c>
      <c r="H81" s="633">
        <f t="shared" si="20"/>
        <v>18306.603390566739</v>
      </c>
      <c r="I81" s="633">
        <f t="shared" si="20"/>
        <v>22885.678205965574</v>
      </c>
      <c r="J81" s="633">
        <f t="shared" si="20"/>
        <v>27465.779764988984</v>
      </c>
      <c r="K81" s="633">
        <f t="shared" si="20"/>
        <v>32046.937889813733</v>
      </c>
      <c r="L81" s="633">
        <f t="shared" si="20"/>
        <v>36629.183138909604</v>
      </c>
      <c r="M81" s="633">
        <f t="shared" si="20"/>
        <v>41212.546823463592</v>
      </c>
      <c r="N81" s="633">
        <f t="shared" si="20"/>
        <v>45797.061024144481</v>
      </c>
      <c r="O81" s="633">
        <f t="shared" si="20"/>
        <v>53729.750929260437</v>
      </c>
      <c r="P81" s="633">
        <f t="shared" si="20"/>
        <v>61688.034584359186</v>
      </c>
      <c r="Q81" s="633">
        <f t="shared" si="20"/>
        <v>69672.613998164103</v>
      </c>
      <c r="R81" s="633">
        <f t="shared" si="20"/>
        <v>77684.207232746907</v>
      </c>
      <c r="S81" s="633">
        <f t="shared" si="20"/>
        <v>85723.548726789319</v>
      </c>
      <c r="T81" s="633">
        <f t="shared" si="20"/>
        <v>93791.389624648247</v>
      </c>
      <c r="U81" s="633">
        <f t="shared" si="20"/>
        <v>101888.49811131567</v>
      </c>
      <c r="V81" s="633">
        <f t="shared" si="20"/>
        <v>110015.65975336466</v>
      </c>
      <c r="W81" s="633">
        <f t="shared" si="20"/>
        <v>118173.67784597585</v>
      </c>
      <c r="X81" s="633">
        <f t="shared" si="20"/>
        <v>126363.37376613761</v>
      </c>
      <c r="Y81" s="633">
        <f t="shared" si="20"/>
        <v>135910.15754240676</v>
      </c>
      <c r="Z81" s="633">
        <f t="shared" si="20"/>
        <v>145525.88057744433</v>
      </c>
      <c r="AA81" s="633">
        <f t="shared" si="20"/>
        <v>155212.09586328507</v>
      </c>
      <c r="AB81" s="633">
        <f t="shared" si="20"/>
        <v>164970.38133957074</v>
      </c>
      <c r="AC81" s="633">
        <f t="shared" si="20"/>
        <v>174802.34008380442</v>
      </c>
      <c r="AD81" s="633">
        <f t="shared" si="20"/>
        <v>184709.60049604377</v>
      </c>
      <c r="AE81" s="633">
        <f t="shared" si="20"/>
        <v>194693.81647768666</v>
      </c>
      <c r="AF81" s="633">
        <f t="shared" si="20"/>
        <v>204756.66760398966</v>
      </c>
      <c r="AG81" s="633">
        <f t="shared" si="20"/>
        <v>214899.85928994574</v>
      </c>
      <c r="AH81" s="633">
        <f t="shared" si="20"/>
        <v>225125.12294913729</v>
      </c>
    </row>
    <row r="82" spans="1:35" outlineLevel="1">
      <c r="B82" s="1" t="s">
        <v>167</v>
      </c>
      <c r="C82" s="51" t="s">
        <v>166</v>
      </c>
      <c r="D82" s="633">
        <f>D18+D42+D54+D32+D64</f>
        <v>0</v>
      </c>
      <c r="E82" s="633">
        <f t="shared" ref="E82:AH82" si="21">E18+E42+E54+E32+E64</f>
        <v>3007.0776471657837</v>
      </c>
      <c r="F82" s="633">
        <f t="shared" si="21"/>
        <v>6011.4943683350402</v>
      </c>
      <c r="G82" s="633">
        <f t="shared" si="21"/>
        <v>9013.1823098948607</v>
      </c>
      <c r="H82" s="633">
        <f t="shared" si="21"/>
        <v>12012.072080217102</v>
      </c>
      <c r="I82" s="633">
        <f t="shared" si="21"/>
        <v>15008.092716975585</v>
      </c>
      <c r="J82" s="633">
        <f t="shared" si="21"/>
        <v>18001.171653796515</v>
      </c>
      <c r="K82" s="633">
        <f t="shared" si="21"/>
        <v>20991.234686228989</v>
      </c>
      <c r="L82" s="633">
        <f t="shared" si="21"/>
        <v>23978.205937022067</v>
      </c>
      <c r="M82" s="633">
        <f t="shared" si="21"/>
        <v>26962.007820694642</v>
      </c>
      <c r="N82" s="633">
        <f t="shared" si="21"/>
        <v>29942.561007384127</v>
      </c>
      <c r="O82" s="633">
        <f t="shared" si="21"/>
        <v>32919.78438595972</v>
      </c>
      <c r="P82" s="633">
        <f t="shared" si="21"/>
        <v>34792.81879020654</v>
      </c>
      <c r="Q82" s="633">
        <f t="shared" si="21"/>
        <v>37877.005308882879</v>
      </c>
      <c r="R82" s="633">
        <f t="shared" si="21"/>
        <v>40957.607618236187</v>
      </c>
      <c r="S82" s="633">
        <f t="shared" si="21"/>
        <v>44034.537097970271</v>
      </c>
      <c r="T82" s="633">
        <f t="shared" si="21"/>
        <v>47107.703150535352</v>
      </c>
      <c r="U82" s="633">
        <f t="shared" si="21"/>
        <v>50177.013159512746</v>
      </c>
      <c r="V82" s="633">
        <f t="shared" si="21"/>
        <v>53242.372447155925</v>
      </c>
      <c r="W82" s="633">
        <f t="shared" si="21"/>
        <v>56303.684231071646</v>
      </c>
      <c r="X82" s="633">
        <f t="shared" si="21"/>
        <v>59360.849580023714</v>
      </c>
      <c r="Y82" s="633">
        <f t="shared" si="21"/>
        <v>65907.432546891083</v>
      </c>
      <c r="Z82" s="633">
        <f t="shared" si="21"/>
        <v>68962.766824527833</v>
      </c>
      <c r="AA82" s="633">
        <f t="shared" si="21"/>
        <v>72013.528680941919</v>
      </c>
      <c r="AB82" s="633">
        <f t="shared" si="21"/>
        <v>75059.607183548564</v>
      </c>
      <c r="AC82" s="633">
        <f t="shared" si="21"/>
        <v>78100.888949484826</v>
      </c>
      <c r="AD82" s="633">
        <f t="shared" si="21"/>
        <v>81137.258094359699</v>
      </c>
      <c r="AE82" s="633">
        <f t="shared" si="21"/>
        <v>84168.596179969798</v>
      </c>
      <c r="AF82" s="633">
        <f t="shared" si="21"/>
        <v>87194.782160960225</v>
      </c>
      <c r="AG82" s="633">
        <f t="shared" si="21"/>
        <v>90215.692330410267</v>
      </c>
      <c r="AH82" s="633">
        <f t="shared" si="21"/>
        <v>93231.200264322062</v>
      </c>
    </row>
    <row r="83" spans="1:35" outlineLevel="1">
      <c r="B83" s="1" t="s">
        <v>244</v>
      </c>
      <c r="C83" s="51" t="s">
        <v>166</v>
      </c>
      <c r="D83" s="633">
        <f>D74+D13</f>
        <v>0</v>
      </c>
      <c r="E83" s="633">
        <f t="shared" ref="E83:AG83" si="22">E74+E13</f>
        <v>16134.17950800926</v>
      </c>
      <c r="F83" s="633">
        <f t="shared" si="22"/>
        <v>18390.896043827463</v>
      </c>
      <c r="G83" s="633">
        <f t="shared" si="22"/>
        <v>20941.571326020799</v>
      </c>
      <c r="H83" s="633">
        <f t="shared" si="22"/>
        <v>23825.431560023098</v>
      </c>
      <c r="I83" s="633">
        <f t="shared" si="22"/>
        <v>27086.976497260348</v>
      </c>
      <c r="J83" s="633">
        <f t="shared" si="22"/>
        <v>30776.689476998305</v>
      </c>
      <c r="K83" s="633">
        <f t="shared" si="22"/>
        <v>34951.843095216878</v>
      </c>
      <c r="L83" s="633">
        <f t="shared" si="22"/>
        <v>39677.413379947116</v>
      </c>
      <c r="M83" s="633">
        <f t="shared" si="22"/>
        <v>45027.117087174287</v>
      </c>
      <c r="N83" s="633">
        <f t="shared" si="22"/>
        <v>51084.588699712964</v>
      </c>
      <c r="O83" s="633">
        <f t="shared" si="22"/>
        <v>58281.561417681405</v>
      </c>
      <c r="P83" s="633">
        <f t="shared" si="22"/>
        <v>66400.298872587446</v>
      </c>
      <c r="Q83" s="633">
        <f t="shared" si="22"/>
        <v>75563.237579465946</v>
      </c>
      <c r="R83" s="633">
        <f t="shared" si="22"/>
        <v>85909.259848342743</v>
      </c>
      <c r="S83" s="633">
        <f t="shared" si="22"/>
        <v>97595.907761828217</v>
      </c>
      <c r="T83" s="633">
        <f t="shared" si="22"/>
        <v>110801.89532053402</v>
      </c>
      <c r="U83" s="633">
        <f t="shared" si="22"/>
        <v>125729.95891466562</v>
      </c>
      <c r="V83" s="633">
        <f t="shared" si="22"/>
        <v>142610.09168887447</v>
      </c>
      <c r="W83" s="633">
        <f t="shared" si="22"/>
        <v>161703.21350465991</v>
      </c>
      <c r="X83" s="633">
        <f t="shared" si="22"/>
        <v>183305.33516841108</v>
      </c>
      <c r="Y83" s="633">
        <f t="shared" si="22"/>
        <v>207885.18166140441</v>
      </c>
      <c r="Z83" s="633">
        <f t="shared" si="22"/>
        <v>235695.37761268445</v>
      </c>
      <c r="AA83" s="633">
        <f t="shared" si="22"/>
        <v>267168.30346124555</v>
      </c>
      <c r="AB83" s="633">
        <f t="shared" si="22"/>
        <v>302794.50606515398</v>
      </c>
      <c r="AC83" s="633">
        <f t="shared" si="22"/>
        <v>343130.53129134356</v>
      </c>
      <c r="AD83" s="633">
        <f t="shared" si="22"/>
        <v>388807.81150628935</v>
      </c>
      <c r="AE83" s="633">
        <f t="shared" si="22"/>
        <v>440542.75004652474</v>
      </c>
      <c r="AF83" s="633">
        <f t="shared" si="22"/>
        <v>499148.16388390743</v>
      </c>
      <c r="AG83" s="633">
        <f t="shared" si="22"/>
        <v>565546.26741380896</v>
      </c>
      <c r="AH83" s="633">
        <f>AH74+AH13</f>
        <v>640783.40493213828</v>
      </c>
    </row>
    <row r="84" spans="1:35" s="64" customFormat="1">
      <c r="A84" s="64" t="s">
        <v>249</v>
      </c>
      <c r="C84" s="65" t="s">
        <v>166</v>
      </c>
      <c r="D84" s="648">
        <f>D4+D83-D81-D82</f>
        <v>1049369.6122000003</v>
      </c>
      <c r="E84" s="648">
        <f t="shared" ref="E84:AG84" si="23">E4+E83-E81-E82</f>
        <v>1057921.4621677087</v>
      </c>
      <c r="F84" s="648">
        <f t="shared" si="23"/>
        <v>1052597.5955883064</v>
      </c>
      <c r="G84" s="648">
        <f t="shared" si="23"/>
        <v>1047569.4749993079</v>
      </c>
      <c r="H84" s="648">
        <f t="shared" si="23"/>
        <v>1042876.3682892395</v>
      </c>
      <c r="I84" s="648">
        <f t="shared" si="23"/>
        <v>1038562.8177743196</v>
      </c>
      <c r="J84" s="648">
        <f t="shared" si="23"/>
        <v>1034679.3502582131</v>
      </c>
      <c r="K84" s="648">
        <f t="shared" si="23"/>
        <v>1031283.2827191745</v>
      </c>
      <c r="L84" s="648">
        <f t="shared" si="23"/>
        <v>1028439.6365040159</v>
      </c>
      <c r="M84" s="648">
        <f t="shared" si="23"/>
        <v>1026222.1746430163</v>
      </c>
      <c r="N84" s="648">
        <f>N4+N83-N81-N82</f>
        <v>1024714.5788681846</v>
      </c>
      <c r="O84" s="648">
        <f t="shared" si="23"/>
        <v>1021001.6383024616</v>
      </c>
      <c r="P84" s="648">
        <f t="shared" si="23"/>
        <v>1019289.057698022</v>
      </c>
      <c r="Q84" s="648">
        <f t="shared" si="23"/>
        <v>1017383.2304724191</v>
      </c>
      <c r="R84" s="648">
        <f t="shared" si="23"/>
        <v>1016637.0571973599</v>
      </c>
      <c r="S84" s="648">
        <f t="shared" si="23"/>
        <v>1017207.4341370689</v>
      </c>
      <c r="T84" s="648">
        <f t="shared" si="23"/>
        <v>1019272.4147453507</v>
      </c>
      <c r="U84" s="648">
        <f t="shared" si="23"/>
        <v>1023034.0598438373</v>
      </c>
      <c r="V84" s="648">
        <f t="shared" si="23"/>
        <v>1028721.6716883541</v>
      </c>
      <c r="W84" s="648">
        <f t="shared" si="23"/>
        <v>1036595.4636276128</v>
      </c>
      <c r="X84" s="648">
        <f t="shared" si="23"/>
        <v>1046950.7240222502</v>
      </c>
      <c r="Y84" s="648">
        <f t="shared" si="23"/>
        <v>1055437.2037721069</v>
      </c>
      <c r="Z84" s="648">
        <f t="shared" si="23"/>
        <v>1070576.3424107125</v>
      </c>
      <c r="AA84" s="648">
        <f t="shared" si="23"/>
        <v>1089312.2911170188</v>
      </c>
      <c r="AB84" s="648">
        <f t="shared" si="23"/>
        <v>1112134.1297420349</v>
      </c>
      <c r="AC84" s="648">
        <f t="shared" si="23"/>
        <v>1139596.9144580546</v>
      </c>
      <c r="AD84" s="648">
        <f t="shared" si="23"/>
        <v>1172330.5651158863</v>
      </c>
      <c r="AE84" s="648">
        <f t="shared" si="23"/>
        <v>1211049.9495888685</v>
      </c>
      <c r="AF84" s="648">
        <f t="shared" si="23"/>
        <v>1256566.3263189581</v>
      </c>
      <c r="AG84" s="648">
        <f t="shared" si="23"/>
        <v>1309800.3279934532</v>
      </c>
      <c r="AH84" s="648">
        <f>AH4+AH83-AH81-AH82</f>
        <v>1371796.6939186791</v>
      </c>
    </row>
    <row r="85" spans="1:35" s="62" customFormat="1">
      <c r="A85" s="688" t="s">
        <v>685</v>
      </c>
      <c r="B85" s="55" t="s">
        <v>141</v>
      </c>
      <c r="C85" s="56" t="s">
        <v>166</v>
      </c>
      <c r="D85" s="630">
        <f>D20+D34+D44+D56+D66+D75</f>
        <v>313520.94128169795</v>
      </c>
      <c r="E85" s="630">
        <f t="shared" ref="E85:AH90" si="24">E20+E34+E44+E56+E66+E75</f>
        <v>317106.78909778647</v>
      </c>
      <c r="F85" s="630">
        <f t="shared" si="24"/>
        <v>314213.94441285712</v>
      </c>
      <c r="G85" s="630">
        <f t="shared" si="24"/>
        <v>311456.42737928737</v>
      </c>
      <c r="H85" s="630">
        <f t="shared" si="24"/>
        <v>308852.52897605347</v>
      </c>
      <c r="I85" s="630">
        <f t="shared" si="24"/>
        <v>306423.00386988133</v>
      </c>
      <c r="J85" s="630">
        <f t="shared" si="24"/>
        <v>304191.40222500358</v>
      </c>
      <c r="K85" s="630">
        <f t="shared" si="24"/>
        <v>302184.44620235357</v>
      </c>
      <c r="L85" s="630">
        <f t="shared" si="24"/>
        <v>300432.45716719143</v>
      </c>
      <c r="M85" s="630">
        <f t="shared" si="24"/>
        <v>298969.84043483698</v>
      </c>
      <c r="N85" s="630">
        <f t="shared" si="24"/>
        <v>297835.63530403562</v>
      </c>
      <c r="O85" s="630">
        <f t="shared" si="24"/>
        <v>294669.78609541093</v>
      </c>
      <c r="P85" s="630">
        <f t="shared" si="24"/>
        <v>292853.83416019334</v>
      </c>
      <c r="Q85" s="630">
        <f t="shared" si="24"/>
        <v>290492.93725825701</v>
      </c>
      <c r="R85" s="630">
        <f t="shared" si="24"/>
        <v>288675.70022252965</v>
      </c>
      <c r="S85" s="630">
        <f t="shared" si="24"/>
        <v>287475.52385925304</v>
      </c>
      <c r="T85" s="630">
        <f t="shared" si="24"/>
        <v>286975.69839026302</v>
      </c>
      <c r="U85" s="630">
        <f t="shared" si="24"/>
        <v>287270.73547366</v>
      </c>
      <c r="V85" s="630">
        <f t="shared" si="24"/>
        <v>288467.87962909602</v>
      </c>
      <c r="W85" s="630">
        <f t="shared" si="24"/>
        <v>290688.82323086553</v>
      </c>
      <c r="X85" s="630">
        <f t="shared" si="24"/>
        <v>294071.65248641209</v>
      </c>
      <c r="Y85" s="630">
        <f t="shared" si="24"/>
        <v>295715.9337139455</v>
      </c>
      <c r="Z85" s="630">
        <f t="shared" si="24"/>
        <v>301705.74950701953</v>
      </c>
      <c r="AA85" s="630">
        <f t="shared" si="24"/>
        <v>309391.26245166262</v>
      </c>
      <c r="AB85" s="630">
        <f t="shared" si="24"/>
        <v>319001.3516658658</v>
      </c>
      <c r="AC85" s="630">
        <f t="shared" si="24"/>
        <v>330795.73250808631</v>
      </c>
      <c r="AD85" s="630">
        <f t="shared" si="24"/>
        <v>345069.10988206428</v>
      </c>
      <c r="AE85" s="630">
        <f t="shared" si="24"/>
        <v>362155.89093029971</v>
      </c>
      <c r="AF85" s="630">
        <f t="shared" si="24"/>
        <v>382435.53245756135</v>
      </c>
      <c r="AG85" s="630">
        <f t="shared" si="24"/>
        <v>406338.60857316712</v>
      </c>
      <c r="AH85" s="630">
        <f t="shared" si="24"/>
        <v>434353.6955548611</v>
      </c>
      <c r="AI85" s="57"/>
    </row>
    <row r="86" spans="1:35">
      <c r="A86" s="689"/>
      <c r="B86" s="1" t="s">
        <v>18</v>
      </c>
      <c r="C86" s="51" t="s">
        <v>166</v>
      </c>
      <c r="D86" s="196">
        <f t="shared" ref="D86:S90" si="25">D21+D35+D45+D57+D67+D76</f>
        <v>221834.43765903774</v>
      </c>
      <c r="E86" s="196">
        <f t="shared" si="25"/>
        <v>222732.53320596961</v>
      </c>
      <c r="F86" s="196">
        <f t="shared" si="25"/>
        <v>220843.982854695</v>
      </c>
      <c r="G86" s="196">
        <f t="shared" si="25"/>
        <v>219012.7132555538</v>
      </c>
      <c r="H86" s="196">
        <f t="shared" si="25"/>
        <v>217246.55402088154</v>
      </c>
      <c r="I86" s="196">
        <f t="shared" si="25"/>
        <v>215554.39054967463</v>
      </c>
      <c r="J86" s="196">
        <f t="shared" si="25"/>
        <v>213946.30623341163</v>
      </c>
      <c r="K86" s="196">
        <f t="shared" si="25"/>
        <v>212433.74381465118</v>
      </c>
      <c r="L86" s="196">
        <f t="shared" si="25"/>
        <v>211029.68847798865</v>
      </c>
      <c r="M86" s="196">
        <f t="shared" si="25"/>
        <v>209748.87560038301</v>
      </c>
      <c r="N86" s="196">
        <f t="shared" si="25"/>
        <v>208608.02648209038</v>
      </c>
      <c r="O86" s="196">
        <f t="shared" si="25"/>
        <v>206267.60183016921</v>
      </c>
      <c r="P86" s="196">
        <f t="shared" si="25"/>
        <v>204660.33215192662</v>
      </c>
      <c r="Q86" s="196">
        <f t="shared" si="25"/>
        <v>202648.10625493267</v>
      </c>
      <c r="R86" s="196">
        <f t="shared" si="25"/>
        <v>200868.50829839899</v>
      </c>
      <c r="S86" s="196">
        <f t="shared" si="25"/>
        <v>199352.99869620692</v>
      </c>
      <c r="T86" s="196">
        <f t="shared" si="24"/>
        <v>198137.27642906262</v>
      </c>
      <c r="U86" s="196">
        <f t="shared" si="24"/>
        <v>197261.84992015996</v>
      </c>
      <c r="V86" s="196">
        <f t="shared" si="24"/>
        <v>196772.68479892163</v>
      </c>
      <c r="W86" s="196">
        <f t="shared" si="24"/>
        <v>196721.9389084868</v>
      </c>
      <c r="X86" s="196">
        <f t="shared" si="24"/>
        <v>197168.79630736925</v>
      </c>
      <c r="Y86" s="196">
        <f t="shared" si="24"/>
        <v>196343.53921307018</v>
      </c>
      <c r="Z86" s="196">
        <f t="shared" si="24"/>
        <v>197909.93852693541</v>
      </c>
      <c r="AA86" s="196">
        <f t="shared" si="24"/>
        <v>200203.79496927015</v>
      </c>
      <c r="AB86" s="196">
        <f t="shared" si="24"/>
        <v>203323.2241302086</v>
      </c>
      <c r="AC86" s="196">
        <f t="shared" si="24"/>
        <v>207379.55757081727</v>
      </c>
      <c r="AD86" s="196">
        <f t="shared" si="24"/>
        <v>212499.12281607126</v>
      </c>
      <c r="AE86" s="196">
        <f t="shared" si="24"/>
        <v>218825.2630859463</v>
      </c>
      <c r="AF86" s="196">
        <f t="shared" si="24"/>
        <v>226520.62905379338</v>
      </c>
      <c r="AG86" s="196">
        <f t="shared" si="24"/>
        <v>235769.77927004203</v>
      </c>
      <c r="AH86" s="196">
        <f t="shared" si="24"/>
        <v>246782.13082388259</v>
      </c>
      <c r="AI86" s="41"/>
    </row>
    <row r="87" spans="1:35">
      <c r="A87" s="689"/>
      <c r="B87" s="1" t="s">
        <v>684</v>
      </c>
      <c r="C87" s="51" t="s">
        <v>166</v>
      </c>
      <c r="D87" s="196">
        <f t="shared" si="25"/>
        <v>202943.65152000473</v>
      </c>
      <c r="E87" s="196">
        <f t="shared" si="24"/>
        <v>201265.08634056602</v>
      </c>
      <c r="F87" s="196">
        <f t="shared" si="24"/>
        <v>199579.92702357494</v>
      </c>
      <c r="G87" s="196">
        <f t="shared" si="24"/>
        <v>197893.77977616165</v>
      </c>
      <c r="H87" s="196">
        <f t="shared" si="24"/>
        <v>196206.63732733444</v>
      </c>
      <c r="I87" s="196">
        <f t="shared" si="24"/>
        <v>194518.49246238862</v>
      </c>
      <c r="J87" s="196">
        <f t="shared" si="24"/>
        <v>192829.33802789915</v>
      </c>
      <c r="K87" s="196">
        <f t="shared" si="24"/>
        <v>191139.16693691735</v>
      </c>
      <c r="L87" s="196">
        <f t="shared" si="24"/>
        <v>189447.97217437971</v>
      </c>
      <c r="M87" s="196">
        <f t="shared" si="24"/>
        <v>187755.74680273837</v>
      </c>
      <c r="N87" s="196">
        <f t="shared" si="24"/>
        <v>186062.48396782056</v>
      </c>
      <c r="O87" s="196">
        <f t="shared" si="24"/>
        <v>184209.66504210688</v>
      </c>
      <c r="P87" s="196">
        <f t="shared" si="24"/>
        <v>182355.14879737436</v>
      </c>
      <c r="Q87" s="196">
        <f t="shared" si="24"/>
        <v>180498.90988711928</v>
      </c>
      <c r="R87" s="196">
        <f t="shared" si="24"/>
        <v>178640.92264431142</v>
      </c>
      <c r="S87" s="196">
        <f t="shared" si="24"/>
        <v>176781.16108034507</v>
      </c>
      <c r="T87" s="196">
        <f t="shared" si="24"/>
        <v>174919.59888415426</v>
      </c>
      <c r="U87" s="196">
        <f t="shared" si="24"/>
        <v>173056.20942150193</v>
      </c>
      <c r="V87" s="196">
        <f t="shared" si="24"/>
        <v>171190.9657344555</v>
      </c>
      <c r="W87" s="196">
        <f t="shared" si="24"/>
        <v>169323.84054105988</v>
      </c>
      <c r="X87" s="196">
        <f t="shared" si="24"/>
        <v>167454.8062352197</v>
      </c>
      <c r="Y87" s="196">
        <f t="shared" si="24"/>
        <v>165486.0050495888</v>
      </c>
      <c r="Z87" s="196">
        <f t="shared" si="24"/>
        <v>163513.72591913168</v>
      </c>
      <c r="AA87" s="196">
        <f t="shared" si="24"/>
        <v>161537.91328186571</v>
      </c>
      <c r="AB87" s="196">
        <f t="shared" si="24"/>
        <v>159558.51113782302</v>
      </c>
      <c r="AC87" s="196">
        <f t="shared" si="24"/>
        <v>157575.46306322631</v>
      </c>
      <c r="AD87" s="196">
        <f t="shared" si="24"/>
        <v>155588.71222564537</v>
      </c>
      <c r="AE87" s="196">
        <f t="shared" si="24"/>
        <v>153598.20140017648</v>
      </c>
      <c r="AF87" s="196">
        <f t="shared" si="24"/>
        <v>151603.87298668709</v>
      </c>
      <c r="AG87" s="196">
        <f t="shared" si="24"/>
        <v>149605.66902816985</v>
      </c>
      <c r="AH87" s="196">
        <f>AH22+AH36+AH46+AH58+AH68+AH77</f>
        <v>147603.53123025337</v>
      </c>
      <c r="AI87" s="41"/>
    </row>
    <row r="88" spans="1:35" s="63" customFormat="1">
      <c r="A88" s="690"/>
      <c r="B88" s="59" t="s">
        <v>27</v>
      </c>
      <c r="C88" s="262" t="s">
        <v>166</v>
      </c>
      <c r="D88" s="599">
        <f t="shared" si="25"/>
        <v>311070.58173925988</v>
      </c>
      <c r="E88" s="599">
        <f t="shared" si="24"/>
        <v>316817.0535233866</v>
      </c>
      <c r="F88" s="599">
        <f t="shared" si="24"/>
        <v>317959.74129717919</v>
      </c>
      <c r="G88" s="599">
        <f t="shared" si="24"/>
        <v>319206.55458830495</v>
      </c>
      <c r="H88" s="599">
        <f t="shared" si="24"/>
        <v>320570.64796497015</v>
      </c>
      <c r="I88" s="599">
        <f t="shared" si="24"/>
        <v>322066.93089237495</v>
      </c>
      <c r="J88" s="599">
        <f t="shared" si="24"/>
        <v>323712.30377189873</v>
      </c>
      <c r="K88" s="599">
        <f t="shared" si="24"/>
        <v>325525.92576525244</v>
      </c>
      <c r="L88" s="599">
        <f t="shared" si="24"/>
        <v>327529.51868445601</v>
      </c>
      <c r="M88" s="599">
        <f t="shared" si="24"/>
        <v>329747.71180505812</v>
      </c>
      <c r="N88" s="599">
        <f t="shared" si="24"/>
        <v>332208.43311423808</v>
      </c>
      <c r="O88" s="599">
        <f t="shared" si="24"/>
        <v>335854.5853347744</v>
      </c>
      <c r="P88" s="599">
        <f t="shared" si="24"/>
        <v>339419.74258852779</v>
      </c>
      <c r="Q88" s="599">
        <f t="shared" si="24"/>
        <v>343743.27707211039</v>
      </c>
      <c r="R88" s="599">
        <f t="shared" si="24"/>
        <v>348451.92603211995</v>
      </c>
      <c r="S88" s="599">
        <f t="shared" si="24"/>
        <v>353597.75050126389</v>
      </c>
      <c r="T88" s="599">
        <f t="shared" si="24"/>
        <v>359239.84104187071</v>
      </c>
      <c r="U88" s="599">
        <f t="shared" si="24"/>
        <v>365445.26502851577</v>
      </c>
      <c r="V88" s="599">
        <f t="shared" si="24"/>
        <v>372290.14152588102</v>
      </c>
      <c r="W88" s="599">
        <f t="shared" si="24"/>
        <v>379860.86094720056</v>
      </c>
      <c r="X88" s="599">
        <f t="shared" si="24"/>
        <v>388255.468993249</v>
      </c>
      <c r="Y88" s="599">
        <f t="shared" si="24"/>
        <v>397891.72579550248</v>
      </c>
      <c r="Z88" s="599">
        <f t="shared" si="24"/>
        <v>407446.92845762603</v>
      </c>
      <c r="AA88" s="599">
        <f t="shared" si="24"/>
        <v>418179.32041422045</v>
      </c>
      <c r="AB88" s="599">
        <f t="shared" si="24"/>
        <v>430251.04280813754</v>
      </c>
      <c r="AC88" s="599">
        <f t="shared" si="24"/>
        <v>443846.16131592472</v>
      </c>
      <c r="AD88" s="599">
        <f t="shared" si="24"/>
        <v>459173.6201921053</v>
      </c>
      <c r="AE88" s="599">
        <f t="shared" si="24"/>
        <v>476470.59417244606</v>
      </c>
      <c r="AF88" s="599">
        <f t="shared" si="24"/>
        <v>496006.29182091606</v>
      </c>
      <c r="AG88" s="599">
        <f t="shared" si="24"/>
        <v>518086.2711220741</v>
      </c>
      <c r="AH88" s="599">
        <f t="shared" si="24"/>
        <v>543057.33630968211</v>
      </c>
      <c r="AI88" s="263"/>
    </row>
    <row r="89" spans="1:35" s="62" customFormat="1">
      <c r="A89" s="688" t="s">
        <v>686</v>
      </c>
      <c r="B89" s="55" t="s">
        <v>683</v>
      </c>
      <c r="C89" s="56" t="s">
        <v>166</v>
      </c>
      <c r="D89" s="630">
        <f t="shared" si="25"/>
        <v>92507.263988244042</v>
      </c>
      <c r="E89" s="630">
        <f t="shared" si="24"/>
        <v>91745.340652819854</v>
      </c>
      <c r="F89" s="630">
        <f t="shared" si="24"/>
        <v>90977.364954434976</v>
      </c>
      <c r="G89" s="630">
        <f t="shared" si="24"/>
        <v>90208.947506236582</v>
      </c>
      <c r="H89" s="630">
        <f t="shared" si="24"/>
        <v>89440.085436998401</v>
      </c>
      <c r="I89" s="630">
        <f t="shared" si="24"/>
        <v>88670.775924044501</v>
      </c>
      <c r="J89" s="630">
        <f t="shared" si="24"/>
        <v>87901.016196707918</v>
      </c>
      <c r="K89" s="630">
        <f t="shared" si="24"/>
        <v>87130.803539943343</v>
      </c>
      <c r="L89" s="630">
        <f t="shared" si="24"/>
        <v>86360.135298100897</v>
      </c>
      <c r="M89" s="630">
        <f t="shared" si="24"/>
        <v>85589.008878868393</v>
      </c>
      <c r="N89" s="630">
        <f t="shared" si="24"/>
        <v>84817.421757389107</v>
      </c>
      <c r="O89" s="630">
        <f t="shared" si="24"/>
        <v>83973.117440442496</v>
      </c>
      <c r="P89" s="630">
        <f t="shared" si="24"/>
        <v>83128.052934406907</v>
      </c>
      <c r="Q89" s="630">
        <f t="shared" si="24"/>
        <v>82282.217382916584</v>
      </c>
      <c r="R89" s="630">
        <f t="shared" si="24"/>
        <v>81435.599819526498</v>
      </c>
      <c r="S89" s="630">
        <f t="shared" si="24"/>
        <v>80588.189169095684</v>
      </c>
      <c r="T89" s="630">
        <f t="shared" si="24"/>
        <v>79739.974249341365</v>
      </c>
      <c r="U89" s="630">
        <f t="shared" si="24"/>
        <v>78890.943772573577</v>
      </c>
      <c r="V89" s="630">
        <f t="shared" si="24"/>
        <v>78041.086347621138</v>
      </c>
      <c r="W89" s="630">
        <f t="shared" si="24"/>
        <v>77190.390481959475</v>
      </c>
      <c r="X89" s="630">
        <f t="shared" si="24"/>
        <v>76338.844584051432</v>
      </c>
      <c r="Y89" s="630">
        <f t="shared" si="24"/>
        <v>75441.843451854453</v>
      </c>
      <c r="Z89" s="630">
        <f t="shared" si="24"/>
        <v>74543.279311299004</v>
      </c>
      <c r="AA89" s="630">
        <f t="shared" si="24"/>
        <v>73643.127989645087</v>
      </c>
      <c r="AB89" s="630">
        <f t="shared" si="24"/>
        <v>72741.365174127248</v>
      </c>
      <c r="AC89" s="630">
        <f t="shared" si="24"/>
        <v>71837.966421496734</v>
      </c>
      <c r="AD89" s="630">
        <f t="shared" si="24"/>
        <v>70932.907168169768</v>
      </c>
      <c r="AE89" s="630">
        <f t="shared" si="24"/>
        <v>70026.16274100951</v>
      </c>
      <c r="AF89" s="630">
        <f t="shared" si="24"/>
        <v>69117.708368769658</v>
      </c>
      <c r="AG89" s="630">
        <f t="shared" si="24"/>
        <v>68207.519194228735</v>
      </c>
      <c r="AH89" s="630">
        <f t="shared" si="24"/>
        <v>67295.570287046401</v>
      </c>
      <c r="AI89" s="57"/>
    </row>
    <row r="90" spans="1:35" s="63" customFormat="1">
      <c r="A90" s="690"/>
      <c r="B90" s="59" t="s">
        <v>682</v>
      </c>
      <c r="C90" s="262" t="s">
        <v>166</v>
      </c>
      <c r="D90" s="599">
        <f t="shared" si="25"/>
        <v>78081.78585770783</v>
      </c>
      <c r="E90" s="599">
        <f t="shared" si="24"/>
        <v>77251.882419103611</v>
      </c>
      <c r="F90" s="599">
        <f t="shared" si="24"/>
        <v>82455.718442570185</v>
      </c>
      <c r="G90" s="599">
        <f t="shared" si="24"/>
        <v>96198.877032044838</v>
      </c>
      <c r="H90" s="599">
        <f t="shared" si="24"/>
        <v>74736.66014128871</v>
      </c>
      <c r="I90" s="599">
        <f t="shared" si="24"/>
        <v>73899.575912333428</v>
      </c>
      <c r="J90" s="599">
        <f t="shared" si="24"/>
        <v>73062.163230893915</v>
      </c>
      <c r="K90" s="599">
        <f t="shared" si="24"/>
        <v>72224.418375414942</v>
      </c>
      <c r="L90" s="599">
        <f t="shared" si="24"/>
        <v>71386.337592731143</v>
      </c>
      <c r="M90" s="599">
        <f t="shared" si="24"/>
        <v>70547.917098067905</v>
      </c>
      <c r="N90" s="599">
        <f t="shared" si="24"/>
        <v>69709.153075051145</v>
      </c>
      <c r="O90" s="599">
        <f t="shared" si="24"/>
        <v>68432.755173577578</v>
      </c>
      <c r="P90" s="599">
        <f t="shared" si="24"/>
        <v>67340.997974145779</v>
      </c>
      <c r="Q90" s="599">
        <f t="shared" si="24"/>
        <v>66044.756550943232</v>
      </c>
      <c r="R90" s="599">
        <f t="shared" si="24"/>
        <v>64748.156018434514</v>
      </c>
      <c r="S90" s="599">
        <f t="shared" si="24"/>
        <v>63451.192402740875</v>
      </c>
      <c r="T90" s="599">
        <f t="shared" si="24"/>
        <v>62153.861698654189</v>
      </c>
      <c r="U90" s="599">
        <f t="shared" si="24"/>
        <v>60856.159869720352</v>
      </c>
      <c r="V90" s="599">
        <f t="shared" si="24"/>
        <v>59558.082848334336</v>
      </c>
      <c r="W90" s="599">
        <f t="shared" si="24"/>
        <v>58259.626535847645</v>
      </c>
      <c r="X90" s="599">
        <f t="shared" si="24"/>
        <v>56960.786802688337</v>
      </c>
      <c r="Y90" s="599">
        <f t="shared" si="24"/>
        <v>55038.111438748339</v>
      </c>
      <c r="Z90" s="599">
        <f t="shared" si="24"/>
        <v>53701.027807583108</v>
      </c>
      <c r="AA90" s="599">
        <f t="shared" si="24"/>
        <v>52363.55709846926</v>
      </c>
      <c r="AB90" s="599">
        <f t="shared" si="24"/>
        <v>51025.695286328206</v>
      </c>
      <c r="AC90" s="599">
        <f t="shared" si="24"/>
        <v>49687.438321094211</v>
      </c>
      <c r="AD90" s="599">
        <f t="shared" si="24"/>
        <v>48348.78212802804</v>
      </c>
      <c r="AE90" s="599">
        <f t="shared" si="24"/>
        <v>47009.722608048622</v>
      </c>
      <c r="AF90" s="599">
        <f t="shared" si="24"/>
        <v>45670.255638082948</v>
      </c>
      <c r="AG90" s="599">
        <f t="shared" si="24"/>
        <v>44330.377071434981</v>
      </c>
      <c r="AH90" s="599">
        <f t="shared" si="24"/>
        <v>42990.082738174104</v>
      </c>
      <c r="AI90" s="263"/>
    </row>
    <row r="91" spans="1:35">
      <c r="A91" s="277"/>
      <c r="C91" s="51"/>
      <c r="D91" s="196"/>
      <c r="E91" s="196"/>
      <c r="F91" s="196"/>
      <c r="G91" s="196"/>
      <c r="H91" s="196"/>
      <c r="I91" s="196"/>
      <c r="J91" s="196"/>
      <c r="K91" s="196"/>
      <c r="L91" s="196"/>
      <c r="M91" s="196"/>
      <c r="N91" s="196"/>
      <c r="O91" s="196"/>
      <c r="P91" s="196"/>
      <c r="Q91" s="196"/>
      <c r="R91" s="196"/>
      <c r="S91" s="196"/>
      <c r="T91" s="196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41"/>
    </row>
    <row r="92" spans="1:35" s="62" customFormat="1">
      <c r="A92" s="55" t="s">
        <v>400</v>
      </c>
      <c r="B92" s="55" t="s">
        <v>195</v>
      </c>
      <c r="C92" s="95" t="s">
        <v>166</v>
      </c>
      <c r="D92" s="631">
        <f>D33</f>
        <v>360575.67443292518</v>
      </c>
      <c r="E92" s="631">
        <f t="shared" ref="E92:AH92" si="26">E33</f>
        <v>356724.45219246898</v>
      </c>
      <c r="F92" s="631">
        <f t="shared" si="26"/>
        <v>352873.22995201277</v>
      </c>
      <c r="G92" s="631">
        <f t="shared" si="26"/>
        <v>349022.00771155651</v>
      </c>
      <c r="H92" s="631">
        <f t="shared" si="26"/>
        <v>345170.78547110036</v>
      </c>
      <c r="I92" s="631">
        <f t="shared" si="26"/>
        <v>341319.56323064415</v>
      </c>
      <c r="J92" s="631">
        <f t="shared" si="26"/>
        <v>337468.34099018795</v>
      </c>
      <c r="K92" s="631">
        <f t="shared" si="26"/>
        <v>333617.11874973174</v>
      </c>
      <c r="L92" s="631">
        <f t="shared" si="26"/>
        <v>329765.89650927548</v>
      </c>
      <c r="M92" s="631">
        <f t="shared" si="26"/>
        <v>325914.67426881928</v>
      </c>
      <c r="N92" s="631">
        <f t="shared" si="26"/>
        <v>322063.45202836307</v>
      </c>
      <c r="O92" s="631">
        <f t="shared" si="26"/>
        <v>315454.31626141223</v>
      </c>
      <c r="P92" s="631">
        <f t="shared" si="26"/>
        <v>309945.95673064044</v>
      </c>
      <c r="Q92" s="631">
        <f t="shared" si="26"/>
        <v>303222.94755994692</v>
      </c>
      <c r="R92" s="631">
        <f t="shared" si="26"/>
        <v>296499.9383892534</v>
      </c>
      <c r="S92" s="631">
        <f t="shared" si="26"/>
        <v>289776.92921855988</v>
      </c>
      <c r="T92" s="631">
        <f t="shared" si="26"/>
        <v>283053.92004786636</v>
      </c>
      <c r="U92" s="631">
        <f t="shared" si="26"/>
        <v>276330.91087717284</v>
      </c>
      <c r="V92" s="631">
        <f t="shared" si="26"/>
        <v>269607.90170647932</v>
      </c>
      <c r="W92" s="631">
        <f t="shared" si="26"/>
        <v>262884.8925357858</v>
      </c>
      <c r="X92" s="631">
        <f t="shared" si="26"/>
        <v>256161.88336509225</v>
      </c>
      <c r="Y92" s="631">
        <f t="shared" si="26"/>
        <v>245818.22206895868</v>
      </c>
      <c r="Z92" s="631">
        <f t="shared" si="26"/>
        <v>238961.34557337518</v>
      </c>
      <c r="AA92" s="631">
        <f t="shared" si="26"/>
        <v>232104.46907779167</v>
      </c>
      <c r="AB92" s="631">
        <f t="shared" si="26"/>
        <v>225247.59258220816</v>
      </c>
      <c r="AC92" s="631">
        <f t="shared" si="26"/>
        <v>218390.71608662474</v>
      </c>
      <c r="AD92" s="631">
        <f t="shared" si="26"/>
        <v>211533.83959104124</v>
      </c>
      <c r="AE92" s="631">
        <f t="shared" si="26"/>
        <v>204676.96309545773</v>
      </c>
      <c r="AF92" s="631">
        <f t="shared" si="26"/>
        <v>197820.08659987425</v>
      </c>
      <c r="AG92" s="631">
        <f t="shared" si="26"/>
        <v>190963.21010429075</v>
      </c>
      <c r="AH92" s="631">
        <f t="shared" si="26"/>
        <v>184106.33360870724</v>
      </c>
    </row>
    <row r="93" spans="1:35" outlineLevel="1">
      <c r="A93"/>
      <c r="B93" t="s">
        <v>262</v>
      </c>
      <c r="C93" s="51" t="s">
        <v>166</v>
      </c>
      <c r="D93" s="196">
        <f>'Ethylene Recycling LC'!C64-'Ethylene Recycling LC'!$C$64</f>
        <v>0</v>
      </c>
      <c r="E93" s="196">
        <f>'Ethylene Recycling LC'!D64-'Ethylene Recycling LC'!$C$64</f>
        <v>3917.1739940017287</v>
      </c>
      <c r="F93" s="196">
        <f>'Ethylene Recycling LC'!E64-'Ethylene Recycling LC'!$C$64</f>
        <v>7682.4132542010047</v>
      </c>
      <c r="G93" s="196">
        <f>'Ethylene Recycling LC'!F64-'Ethylene Recycling LC'!$C$64</f>
        <v>11296.506748673288</v>
      </c>
      <c r="H93" s="196">
        <f>'Ethylene Recycling LC'!G64-'Ethylene Recycling LC'!$C$64</f>
        <v>14760.243445494125</v>
      </c>
      <c r="I93" s="196">
        <f>'Ethylene Recycling LC'!H64-'Ethylene Recycling LC'!$C$64</f>
        <v>18074.412312739034</v>
      </c>
      <c r="J93" s="196">
        <f>'Ethylene Recycling LC'!I64-'Ethylene Recycling LC'!$C$64</f>
        <v>21239.802318483518</v>
      </c>
      <c r="K93" s="196">
        <f>'Ethylene Recycling LC'!J64-'Ethylene Recycling LC'!$C$64</f>
        <v>24257.202430803038</v>
      </c>
      <c r="L93" s="196">
        <f>'Ethylene Recycling LC'!K64-'Ethylene Recycling LC'!$C$64</f>
        <v>27127.401617773139</v>
      </c>
      <c r="M93" s="196">
        <f>'Ethylene Recycling LC'!L64-'Ethylene Recycling LC'!$C$64</f>
        <v>29851.188847469326</v>
      </c>
      <c r="N93" s="196">
        <f>'Ethylene Recycling LC'!M64-'Ethylene Recycling LC'!$C$64</f>
        <v>32429.353087967145</v>
      </c>
      <c r="O93" s="196">
        <f>'Ethylene Recycling LC'!N64-'Ethylene Recycling LC'!$C$64</f>
        <v>37373.894890578784</v>
      </c>
      <c r="P93" s="196">
        <f>'Ethylene Recycling LC'!O64-'Ethylene Recycling LC'!$C$64</f>
        <v>42347.901120816459</v>
      </c>
      <c r="Q93" s="196">
        <f>'Ethylene Recycling LC'!P64-'Ethylene Recycling LC'!$C$64</f>
        <v>46326.245187659559</v>
      </c>
      <c r="R93" s="196">
        <f>'Ethylene Recycling LC'!Q64-'Ethylene Recycling LC'!$C$64</f>
        <v>49830.056689946199</v>
      </c>
      <c r="S93" s="196">
        <f>'Ethylene Recycling LC'!R64-'Ethylene Recycling LC'!$C$64</f>
        <v>52862.049446133824</v>
      </c>
      <c r="T93" s="196">
        <f>'Ethylene Recycling LC'!S64-'Ethylene Recycling LC'!$C$64</f>
        <v>55424.937274679891</v>
      </c>
      <c r="U93" s="196">
        <f>'Ethylene Recycling LC'!T64-'Ethylene Recycling LC'!$C$64</f>
        <v>57521.433994041756</v>
      </c>
      <c r="V93" s="196">
        <f>'Ethylene Recycling LC'!U64-'Ethylene Recycling LC'!$C$64</f>
        <v>59154.253422677022</v>
      </c>
      <c r="W93" s="196">
        <f>'Ethylene Recycling LC'!V64-'Ethylene Recycling LC'!$C$64</f>
        <v>60326.109379043075</v>
      </c>
      <c r="X93" s="196">
        <f>'Ethylene Recycling LC'!W64-'Ethylene Recycling LC'!$C$64</f>
        <v>61039.71568159727</v>
      </c>
      <c r="Y93" s="196">
        <f>'Ethylene Recycling LC'!X64-'Ethylene Recycling LC'!$C$64</f>
        <v>63004.361968378245</v>
      </c>
      <c r="Z93" s="196">
        <f>'Ethylene Recycling LC'!Y64-'Ethylene Recycling LC'!$C$64</f>
        <v>66539.575239461992</v>
      </c>
      <c r="AA93" s="196">
        <f>'Ethylene Recycling LC'!Z64-'Ethylene Recycling LC'!$C$64</f>
        <v>69245.315705066867</v>
      </c>
      <c r="AB93" s="196">
        <f>'Ethylene Recycling LC'!AA64-'Ethylene Recycling LC'!$C$64</f>
        <v>71126.495667160634</v>
      </c>
      <c r="AC93" s="196">
        <f>'Ethylene Recycling LC'!AB64-'Ethylene Recycling LC'!$C$64</f>
        <v>72188.02742771068</v>
      </c>
      <c r="AD93" s="196">
        <f>'Ethylene Recycling LC'!AC64-'Ethylene Recycling LC'!$C$64</f>
        <v>72434.823288684624</v>
      </c>
      <c r="AE93" s="196">
        <f>'Ethylene Recycling LC'!AD64-'Ethylene Recycling LC'!$C$64</f>
        <v>71871.795552050084</v>
      </c>
      <c r="AF93" s="196">
        <f>'Ethylene Recycling LC'!AE64-'Ethylene Recycling LC'!$C$64</f>
        <v>70503.856519774534</v>
      </c>
      <c r="AG93" s="196">
        <f>'Ethylene Recycling LC'!AF64-'Ethylene Recycling LC'!$C$64</f>
        <v>68335.918493825622</v>
      </c>
      <c r="AH93" s="196">
        <f>'Ethylene Recycling LC'!AG64-'Ethylene Recycling LC'!$C$64</f>
        <v>65372.893776171026</v>
      </c>
    </row>
    <row r="94" spans="1:35" outlineLevel="1">
      <c r="A94"/>
      <c r="B94" s="169" t="s">
        <v>265</v>
      </c>
      <c r="C94" s="51" t="s">
        <v>166</v>
      </c>
      <c r="D94" s="196">
        <f>'Ethylene Recycling LC'!C115-'Ethylene Recycling LC'!$C$115</f>
        <v>0</v>
      </c>
      <c r="E94" s="196">
        <f>'Ethylene Recycling LC'!D115-'Ethylene Recycling LC'!$C$115</f>
        <v>27.981481075998431</v>
      </c>
      <c r="F94" s="196">
        <f>'Ethylene Recycling LC'!E115-'Ethylene Recycling LC'!$C$115</f>
        <v>55.832109847108569</v>
      </c>
      <c r="G94" s="196">
        <f>'Ethylene Recycling LC'!F115-'Ethylene Recycling LC'!$C$115</f>
        <v>83.551868945219582</v>
      </c>
      <c r="H94" s="196">
        <f>'Ethylene Recycling LC'!G115-'Ethylene Recycling LC'!$C$115</f>
        <v>111.14074100222038</v>
      </c>
      <c r="I94" s="196">
        <f>'Ethylene Recycling LC'!H115-'Ethylene Recycling LC'!$C$115</f>
        <v>138.59870865000008</v>
      </c>
      <c r="J94" s="196">
        <f>'Ethylene Recycling LC'!I115-'Ethylene Recycling LC'!$C$115</f>
        <v>165.92575452044755</v>
      </c>
      <c r="K94" s="196">
        <f>'Ethylene Recycling LC'!J115-'Ethylene Recycling LC'!$C$115</f>
        <v>193.12186124545215</v>
      </c>
      <c r="L94" s="196">
        <f>'Ethylene Recycling LC'!K115-'Ethylene Recycling LC'!$C$115</f>
        <v>220.18701145690281</v>
      </c>
      <c r="M94" s="196">
        <f>'Ethylene Recycling LC'!L115-'Ethylene Recycling LC'!$C$115</f>
        <v>247.12118778668841</v>
      </c>
      <c r="N94" s="196">
        <f>'Ethylene Recycling LC'!M115-'Ethylene Recycling LC'!$C$115</f>
        <v>273.92437286669804</v>
      </c>
      <c r="O94" s="196">
        <f>'Ethylene Recycling LC'!N115-'Ethylene Recycling LC'!$C$115</f>
        <v>325.5861166817424</v>
      </c>
      <c r="P94" s="196">
        <f>'Ethylene Recycling LC'!O115-'Ethylene Recycling LC'!$C$115</f>
        <v>376.99816453974654</v>
      </c>
      <c r="Q94" s="196">
        <f>'Ethylene Recycling LC'!P115-'Ethylene Recycling LC'!$C$115</f>
        <v>426.33847526423722</v>
      </c>
      <c r="R94" s="196">
        <f>'Ethylene Recycling LC'!Q115-'Ethylene Recycling LC'!$C$115</f>
        <v>475.07793741434045</v>
      </c>
      <c r="S94" s="196">
        <f>'Ethylene Recycling LC'!R115-'Ethylene Recycling LC'!$C$115</f>
        <v>523.2179578944158</v>
      </c>
      <c r="T94" s="196">
        <f>'Ethylene Recycling LC'!S115-'Ethylene Recycling LC'!$C$115</f>
        <v>570.75997230633641</v>
      </c>
      <c r="U94" s="196">
        <f>'Ethylene Recycling LC'!T115-'Ethylene Recycling LC'!$C$115</f>
        <v>617.7054447442373</v>
      </c>
      <c r="V94" s="196">
        <f>'Ethylene Recycling LC'!U115-'Ethylene Recycling LC'!$C$115</f>
        <v>664.05586758921322</v>
      </c>
      <c r="W94" s="196">
        <f>'Ethylene Recycling LC'!V115-'Ethylene Recycling LC'!$C$115</f>
        <v>709.81276130395679</v>
      </c>
      <c r="X94" s="196">
        <f>'Ethylene Recycling LC'!W115-'Ethylene Recycling LC'!$C$115</f>
        <v>754.97767422734387</v>
      </c>
      <c r="Y94" s="196">
        <f>'Ethylene Recycling LC'!X115-'Ethylene Recycling LC'!$C$115</f>
        <v>837.95118635023778</v>
      </c>
      <c r="Z94" s="196">
        <f>'Ethylene Recycling LC'!Y115-'Ethylene Recycling LC'!$C$115</f>
        <v>919.87464694689947</v>
      </c>
      <c r="AA94" s="196">
        <f>'Ethylene Recycling LC'!Z115-'Ethylene Recycling LC'!$C$115</f>
        <v>991.64895199342163</v>
      </c>
      <c r="AB94" s="196">
        <f>'Ethylene Recycling LC'!AA115-'Ethylene Recycling LC'!$C$115</f>
        <v>1060.9690421031726</v>
      </c>
      <c r="AC94" s="196">
        <f>'Ethylene Recycling LC'!AB115-'Ethylene Recycling LC'!$C$115</f>
        <v>1127.8449699896801</v>
      </c>
      <c r="AD94" s="196">
        <f>'Ethylene Recycling LC'!AC115-'Ethylene Recycling LC'!$C$115</f>
        <v>1192.2875153839309</v>
      </c>
      <c r="AE94" s="196">
        <f>'Ethylene Recycling LC'!AD115-'Ethylene Recycling LC'!$C$115</f>
        <v>1254.3081767579085</v>
      </c>
      <c r="AF94" s="196">
        <f>'Ethylene Recycling LC'!AE115-'Ethylene Recycling LC'!$C$115</f>
        <v>1313.9191630459395</v>
      </c>
      <c r="AG94" s="196">
        <f>'Ethylene Recycling LC'!AF115-'Ethylene Recycling LC'!$C$115</f>
        <v>1371.1333853638371</v>
      </c>
      <c r="AH94" s="196">
        <f>'Ethylene Recycling LC'!AG115-'Ethylene Recycling LC'!$C$115</f>
        <v>251.49842646906112</v>
      </c>
    </row>
    <row r="95" spans="1:35" s="63" customFormat="1">
      <c r="A95" s="59"/>
      <c r="B95" s="59" t="s">
        <v>263</v>
      </c>
      <c r="C95" s="60" t="s">
        <v>166</v>
      </c>
      <c r="D95" s="636">
        <f>D92-D93-D94</f>
        <v>360575.67443292518</v>
      </c>
      <c r="E95" s="636">
        <f t="shared" ref="E95:AG95" si="27">E92-E93-E94</f>
        <v>352779.29671739123</v>
      </c>
      <c r="F95" s="636">
        <f t="shared" si="27"/>
        <v>345134.98458796466</v>
      </c>
      <c r="G95" s="636">
        <f t="shared" si="27"/>
        <v>337641.94909393799</v>
      </c>
      <c r="H95" s="636">
        <f t="shared" si="27"/>
        <v>330299.40128460404</v>
      </c>
      <c r="I95" s="636">
        <f t="shared" si="27"/>
        <v>323106.55220925517</v>
      </c>
      <c r="J95" s="636">
        <f t="shared" si="27"/>
        <v>316062.61291718396</v>
      </c>
      <c r="K95" s="636">
        <f t="shared" si="27"/>
        <v>309166.79445768328</v>
      </c>
      <c r="L95" s="636">
        <f t="shared" si="27"/>
        <v>302418.30788004544</v>
      </c>
      <c r="M95" s="636">
        <f t="shared" si="27"/>
        <v>295816.36423356325</v>
      </c>
      <c r="N95" s="636">
        <f t="shared" si="27"/>
        <v>289360.17456752923</v>
      </c>
      <c r="O95" s="636">
        <f t="shared" si="27"/>
        <v>277754.83525415167</v>
      </c>
      <c r="P95" s="636">
        <f t="shared" si="27"/>
        <v>267221.05744528421</v>
      </c>
      <c r="Q95" s="636">
        <f t="shared" si="27"/>
        <v>256470.36389702311</v>
      </c>
      <c r="R95" s="636">
        <f t="shared" si="27"/>
        <v>246194.80376189284</v>
      </c>
      <c r="S95" s="636">
        <f t="shared" si="27"/>
        <v>236391.66181453163</v>
      </c>
      <c r="T95" s="636">
        <f t="shared" si="27"/>
        <v>227058.22280088012</v>
      </c>
      <c r="U95" s="636">
        <f t="shared" si="27"/>
        <v>218191.77143838684</v>
      </c>
      <c r="V95" s="636">
        <f t="shared" si="27"/>
        <v>209789.59241621307</v>
      </c>
      <c r="W95" s="636">
        <f t="shared" si="27"/>
        <v>201848.97039543875</v>
      </c>
      <c r="X95" s="636">
        <f t="shared" si="27"/>
        <v>194367.19000926762</v>
      </c>
      <c r="Y95" s="636">
        <f t="shared" si="27"/>
        <v>181975.90891423021</v>
      </c>
      <c r="Z95" s="636">
        <f t="shared" si="27"/>
        <v>171501.89568696628</v>
      </c>
      <c r="AA95" s="636">
        <f t="shared" si="27"/>
        <v>161867.50442073139</v>
      </c>
      <c r="AB95" s="636">
        <f t="shared" si="27"/>
        <v>153060.12787294434</v>
      </c>
      <c r="AC95" s="636">
        <f t="shared" si="27"/>
        <v>145074.84368892439</v>
      </c>
      <c r="AD95" s="636">
        <f t="shared" si="27"/>
        <v>137906.72878697267</v>
      </c>
      <c r="AE95" s="636">
        <f t="shared" si="27"/>
        <v>131550.85936664973</v>
      </c>
      <c r="AF95" s="636">
        <f t="shared" si="27"/>
        <v>126002.31091705378</v>
      </c>
      <c r="AG95" s="636">
        <f t="shared" si="27"/>
        <v>121256.15822510129</v>
      </c>
      <c r="AH95" s="636">
        <f>AH92-AH93-AH94</f>
        <v>118481.94140606716</v>
      </c>
    </row>
    <row r="96" spans="1:35" s="62" customFormat="1">
      <c r="A96" s="688" t="s">
        <v>685</v>
      </c>
      <c r="B96" s="55" t="s">
        <v>141</v>
      </c>
      <c r="C96" s="56" t="s">
        <v>166</v>
      </c>
      <c r="D96" s="630">
        <f>D34-('Ethylene Recycling LC'!C65+'Ethylene Recycling LC'!C116-'Ethylene Recycling LC'!$C$65-'Ethylene Recycling LC'!$C$116)</f>
        <v>220273.23005700734</v>
      </c>
      <c r="E96" s="630">
        <f>E34-('Ethylene Recycling LC'!D65+'Ethylene Recycling LC'!D116-'Ethylene Recycling LC'!$C$65-'Ethylene Recycling LC'!$C$116)</f>
        <v>213397.3018830269</v>
      </c>
      <c r="F96" s="630">
        <f>F34-('Ethylene Recycling LC'!E65+'Ethylene Recycling LC'!E116-'Ethylene Recycling LC'!$C$65-'Ethylene Recycling LC'!$C$116)</f>
        <v>206667.14356323576</v>
      </c>
      <c r="G96" s="630">
        <f>G34-('Ethylene Recycling LC'!F65+'Ethylene Recycling LC'!F116-'Ethylene Recycling LC'!$C$65-'Ethylene Recycling LC'!$C$116)</f>
        <v>200081.74806518288</v>
      </c>
      <c r="H96" s="630">
        <f>H34-('Ethylene Recycling LC'!G65+'Ethylene Recycling LC'!G116-'Ethylene Recycling LC'!$C$65-'Ethylene Recycling LC'!$C$116)</f>
        <v>193640.11026292585</v>
      </c>
      <c r="I96" s="630">
        <f>I34-('Ethylene Recycling LC'!H65+'Ethylene Recycling LC'!H116-'Ethylene Recycling LC'!$C$65-'Ethylene Recycling LC'!$C$116)</f>
        <v>187341.226937031</v>
      </c>
      <c r="J96" s="630">
        <f>J34-('Ethylene Recycling LC'!I65+'Ethylene Recycling LC'!I116-'Ethylene Recycling LC'!$C$65-'Ethylene Recycling LC'!$C$116)</f>
        <v>181184.09677457312</v>
      </c>
      <c r="K96" s="630">
        <f>K34-('Ethylene Recycling LC'!J65+'Ethylene Recycling LC'!J116-'Ethylene Recycling LC'!$C$65-'Ethylene Recycling LC'!$C$116)</f>
        <v>175167.72036913584</v>
      </c>
      <c r="L96" s="630">
        <f>L34-('Ethylene Recycling LC'!K65+'Ethylene Recycling LC'!K116-'Ethylene Recycling LC'!$C$65-'Ethylene Recycling LC'!$C$116)</f>
        <v>169291.10022081144</v>
      </c>
      <c r="M96" s="630">
        <f>M34-('Ethylene Recycling LC'!L65+'Ethylene Recycling LC'!L116-'Ethylene Recycling LC'!$C$65-'Ethylene Recycling LC'!$C$116)</f>
        <v>163553.24073620068</v>
      </c>
      <c r="N96" s="630">
        <f>N34-('Ethylene Recycling LC'!M65+'Ethylene Recycling LC'!M116-'Ethylene Recycling LC'!$C$65-'Ethylene Recycling LC'!$C$116)</f>
        <v>157953.14822841319</v>
      </c>
      <c r="O96" s="630">
        <f>O34-('Ethylene Recycling LC'!N65+'Ethylene Recycling LC'!N116-'Ethylene Recycling LC'!$C$65-'Ethylene Recycling LC'!$C$116)</f>
        <v>147774.7903917935</v>
      </c>
      <c r="P96" s="630">
        <f>P34-('Ethylene Recycling LC'!O65+'Ethylene Recycling LC'!O116-'Ethylene Recycling LC'!$C$65-'Ethylene Recycling LC'!$C$116)</f>
        <v>138503.7144525355</v>
      </c>
      <c r="Q96" s="630">
        <f>Q34-('Ethylene Recycling LC'!P65+'Ethylene Recycling LC'!P116-'Ethylene Recycling LC'!$C$65-'Ethylene Recycling LC'!$C$116)</f>
        <v>129132.47423642725</v>
      </c>
      <c r="R96" s="630">
        <f>R34-('Ethylene Recycling LC'!Q65+'Ethylene Recycling LC'!Q116-'Ethylene Recycling LC'!$C$65-'Ethylene Recycling LC'!$C$116)</f>
        <v>120203.00104344584</v>
      </c>
      <c r="S96" s="630">
        <f>S34-('Ethylene Recycling LC'!R65+'Ethylene Recycling LC'!R116-'Ethylene Recycling LC'!$C$65-'Ethylene Recycling LC'!$C$116)</f>
        <v>111711.93533007256</v>
      </c>
      <c r="T96" s="630">
        <f>T34-('Ethylene Recycling LC'!S65+'Ethylene Recycling LC'!S116-'Ethylene Recycling LC'!$C$65-'Ethylene Recycling LC'!$C$116)</f>
        <v>103655.92410630742</v>
      </c>
      <c r="U96" s="630">
        <f>U34-('Ethylene Recycling LC'!T65+'Ethylene Recycling LC'!T116-'Ethylene Recycling LC'!$C$65-'Ethylene Recycling LC'!$C$116)</f>
        <v>96031.620936251566</v>
      </c>
      <c r="V96" s="630">
        <f>V34-('Ethylene Recycling LC'!U65+'Ethylene Recycling LC'!U116-'Ethylene Recycling LC'!$C$65-'Ethylene Recycling LC'!$C$116)</f>
        <v>88835.685938686307</v>
      </c>
      <c r="W96" s="630">
        <f>W34-('Ethylene Recycling LC'!V65+'Ethylene Recycling LC'!V116-'Ethylene Recycling LC'!$C$65-'Ethylene Recycling LC'!$C$116)</f>
        <v>82064.785787648521</v>
      </c>
      <c r="X96" s="630">
        <f>X34-('Ethylene Recycling LC'!W65+'Ethylene Recycling LC'!W116-'Ethylene Recycling LC'!$C$65-'Ethylene Recycling LC'!$C$116)</f>
        <v>75715.593713002687</v>
      </c>
      <c r="Y96" s="630">
        <f>Y34-('Ethylene Recycling LC'!X65+'Ethylene Recycling LC'!X116-'Ethylene Recycling LC'!$C$65-'Ethylene Recycling LC'!$C$116)</f>
        <v>65227.234955511296</v>
      </c>
      <c r="Z96" s="630">
        <f>Z34-('Ethylene Recycling LC'!Y65+'Ethylene Recycling LC'!Y116-'Ethylene Recycling LC'!$C$65-'Ethylene Recycling LC'!$C$116)</f>
        <v>56157.93751465172</v>
      </c>
      <c r="AA96" s="630">
        <f>AA34-('Ethylene Recycling LC'!Z65+'Ethylene Recycling LC'!Z116-'Ethylene Recycling LC'!$C$65-'Ethylene Recycling LC'!$C$116)</f>
        <v>47858.861887547297</v>
      </c>
      <c r="AB96" s="630">
        <f>AB34-('Ethylene Recycling LC'!AA65+'Ethylene Recycling LC'!AA116-'Ethylene Recycling LC'!$C$65-'Ethylene Recycling LC'!$C$116)</f>
        <v>40318.269600390973</v>
      </c>
      <c r="AC96" s="630">
        <f>AC34-('Ethylene Recycling LC'!AB65+'Ethylene Recycling LC'!AB116-'Ethylene Recycling LC'!$C$65-'Ethylene Recycling LC'!$C$116)</f>
        <v>33530.153905972955</v>
      </c>
      <c r="AD96" s="630">
        <f>AD34-('Ethylene Recycling LC'!AC65+'Ethylene Recycling LC'!AC116-'Ethylene Recycling LC'!$C$65-'Ethylene Recycling LC'!$C$116)</f>
        <v>27488.519518246336</v>
      </c>
      <c r="AE96" s="630">
        <f>AE34-('Ethylene Recycling LC'!AD65+'Ethylene Recycling LC'!AD116-'Ethylene Recycling LC'!$C$65-'Ethylene Recycling LC'!$C$116)</f>
        <v>22187.382629167136</v>
      </c>
      <c r="AF96" s="630">
        <f>AF34-('Ethylene Recycling LC'!AE65+'Ethylene Recycling LC'!AE116-'Ethylene Recycling LC'!$C$65-'Ethylene Recycling LC'!$C$116)</f>
        <v>17620.77092538846</v>
      </c>
      <c r="AG96" s="630">
        <f>AG34-('Ethylene Recycling LC'!AF65+'Ethylene Recycling LC'!AF116-'Ethylene Recycling LC'!$C$65-'Ethylene Recycling LC'!$C$116)</f>
        <v>13782.723604807667</v>
      </c>
      <c r="AH96" s="630">
        <f>AH34-('Ethylene Recycling LC'!AG65+'Ethylene Recycling LC'!AG116-'Ethylene Recycling LC'!$C$65-'Ethylene Recycling LC'!$C$116)</f>
        <v>11509.940803069163</v>
      </c>
      <c r="AI96" s="57"/>
    </row>
    <row r="97" spans="1:36">
      <c r="A97" s="689"/>
      <c r="B97" s="1" t="s">
        <v>18</v>
      </c>
      <c r="C97" s="51" t="s">
        <v>166</v>
      </c>
      <c r="D97" s="196">
        <f>D35+(D101-D39)</f>
        <v>181040.18182479939</v>
      </c>
      <c r="E97" s="196">
        <f t="shared" ref="E97:AH97" si="28">E35+(E101-E39)</f>
        <v>178885.44034770416</v>
      </c>
      <c r="F97" s="196">
        <f t="shared" si="28"/>
        <v>176747.57497069362</v>
      </c>
      <c r="G97" s="196">
        <f t="shared" si="28"/>
        <v>174626.17398929759</v>
      </c>
      <c r="H97" s="196">
        <f t="shared" si="28"/>
        <v>172520.82816740841</v>
      </c>
      <c r="I97" s="196">
        <f t="shared" si="28"/>
        <v>170431.13073728047</v>
      </c>
      <c r="J97" s="196">
        <f t="shared" si="28"/>
        <v>168356.67739953066</v>
      </c>
      <c r="K97" s="196">
        <f t="shared" si="28"/>
        <v>166297.06632313805</v>
      </c>
      <c r="L97" s="196">
        <f t="shared" si="28"/>
        <v>164251.89814544417</v>
      </c>
      <c r="M97" s="196">
        <f t="shared" si="28"/>
        <v>162220.77597215277</v>
      </c>
      <c r="N97" s="196">
        <f t="shared" si="28"/>
        <v>160203.3053773299</v>
      </c>
      <c r="O97" s="196">
        <f t="shared" si="28"/>
        <v>156654.40731677687</v>
      </c>
      <c r="P97" s="196">
        <f t="shared" si="28"/>
        <v>153664.07491507137</v>
      </c>
      <c r="Q97" s="196">
        <f t="shared" si="28"/>
        <v>150133.53496237696</v>
      </c>
      <c r="R97" s="196">
        <f t="shared" si="28"/>
        <v>146638.33480112592</v>
      </c>
      <c r="S97" s="196">
        <f t="shared" si="28"/>
        <v>143177.19657335526</v>
      </c>
      <c r="T97" s="196">
        <f t="shared" si="28"/>
        <v>139748.85091154336</v>
      </c>
      <c r="U97" s="196">
        <f t="shared" si="28"/>
        <v>136352.03693861002</v>
      </c>
      <c r="V97" s="196">
        <f t="shared" si="28"/>
        <v>132985.5022679164</v>
      </c>
      <c r="W97" s="196">
        <f t="shared" si="28"/>
        <v>129648.00300326507</v>
      </c>
      <c r="X97" s="196">
        <f t="shared" si="28"/>
        <v>126338.30373890005</v>
      </c>
      <c r="Y97" s="196">
        <f t="shared" si="28"/>
        <v>121141.92808389496</v>
      </c>
      <c r="Z97" s="196">
        <f t="shared" si="28"/>
        <v>117612.75346777873</v>
      </c>
      <c r="AA97" s="196">
        <f t="shared" si="28"/>
        <v>114134.16501588744</v>
      </c>
      <c r="AB97" s="196">
        <f t="shared" si="28"/>
        <v>110703.95342567522</v>
      </c>
      <c r="AC97" s="196">
        <f t="shared" si="28"/>
        <v>107319.9247632043</v>
      </c>
      <c r="AD97" s="196">
        <f t="shared" si="28"/>
        <v>103979.90046314467</v>
      </c>
      <c r="AE97" s="196">
        <f t="shared" si="28"/>
        <v>100681.71732877442</v>
      </c>
      <c r="AF97" s="196">
        <f t="shared" si="28"/>
        <v>97423.227531979661</v>
      </c>
      <c r="AG97" s="196">
        <f t="shared" si="28"/>
        <v>94202.298613254345</v>
      </c>
      <c r="AH97" s="196">
        <f t="shared" si="28"/>
        <v>91016.81348170049</v>
      </c>
      <c r="AI97" s="41"/>
    </row>
    <row r="98" spans="1:36">
      <c r="A98" s="689"/>
      <c r="B98" s="1" t="s">
        <v>684</v>
      </c>
      <c r="C98" s="51" t="s">
        <v>166</v>
      </c>
      <c r="D98" s="196">
        <f>D36+(D100-D38)</f>
        <v>23327.595712084702</v>
      </c>
      <c r="E98" s="196">
        <f t="shared" ref="E98:AH98" si="29">E36+(E100-E38)</f>
        <v>23190.759493344594</v>
      </c>
      <c r="F98" s="196">
        <f t="shared" si="29"/>
        <v>23048.124775353681</v>
      </c>
      <c r="G98" s="196">
        <f t="shared" si="29"/>
        <v>22900.030130381972</v>
      </c>
      <c r="H98" s="196">
        <f t="shared" si="29"/>
        <v>22746.81178428189</v>
      </c>
      <c r="I98" s="196">
        <f t="shared" si="29"/>
        <v>22588.803616488221</v>
      </c>
      <c r="J98" s="196">
        <f t="shared" si="29"/>
        <v>22426.337160018167</v>
      </c>
      <c r="K98" s="196">
        <f t="shared" si="29"/>
        <v>22259.741601471302</v>
      </c>
      <c r="L98" s="196">
        <f t="shared" si="29"/>
        <v>22089.343781029602</v>
      </c>
      <c r="M98" s="196">
        <f t="shared" si="29"/>
        <v>21915.468192457436</v>
      </c>
      <c r="N98" s="196">
        <f t="shared" si="29"/>
        <v>21738.436983101543</v>
      </c>
      <c r="O98" s="196">
        <f t="shared" si="29"/>
        <v>21392.462376044292</v>
      </c>
      <c r="P98" s="196">
        <f t="shared" si="29"/>
        <v>21038.513151042593</v>
      </c>
      <c r="Q98" s="196">
        <f t="shared" si="29"/>
        <v>20686.520371017934</v>
      </c>
      <c r="R98" s="196">
        <f t="shared" si="29"/>
        <v>20333.228700172222</v>
      </c>
      <c r="S98" s="196">
        <f t="shared" si="29"/>
        <v>19979.672800182361</v>
      </c>
      <c r="T98" s="196">
        <f t="shared" si="29"/>
        <v>19626.87923914591</v>
      </c>
      <c r="U98" s="196">
        <f t="shared" si="29"/>
        <v>19275.86649108104</v>
      </c>
      <c r="V98" s="196">
        <f t="shared" si="29"/>
        <v>18927.644935430999</v>
      </c>
      <c r="W98" s="196">
        <f t="shared" si="29"/>
        <v>18583.216856572879</v>
      </c>
      <c r="X98" s="196">
        <f t="shared" si="29"/>
        <v>18243.576443330865</v>
      </c>
      <c r="Y98" s="196">
        <f t="shared" si="29"/>
        <v>17874.327458665364</v>
      </c>
      <c r="Z98" s="196">
        <f t="shared" si="29"/>
        <v>17475.953767688959</v>
      </c>
      <c r="AA98" s="196">
        <f t="shared" si="29"/>
        <v>17086.757172404476</v>
      </c>
      <c r="AB98" s="196">
        <f t="shared" si="29"/>
        <v>16707.949537718541</v>
      </c>
      <c r="AC98" s="196">
        <f t="shared" si="29"/>
        <v>16341.304340623894</v>
      </c>
      <c r="AD98" s="196">
        <f t="shared" si="29"/>
        <v>15988.580236098103</v>
      </c>
      <c r="AE98" s="196">
        <f t="shared" si="29"/>
        <v>15651.521044919216</v>
      </c>
      <c r="AF98" s="196">
        <f t="shared" si="29"/>
        <v>15331.855741658963</v>
      </c>
      <c r="AG98" s="196">
        <f t="shared" si="29"/>
        <v>15031.298442853564</v>
      </c>
      <c r="AH98" s="196">
        <f t="shared" si="29"/>
        <v>14877.384040594088</v>
      </c>
      <c r="AI98" s="41"/>
    </row>
    <row r="99" spans="1:36" s="63" customFormat="1">
      <c r="A99" s="690"/>
      <c r="B99" s="59" t="s">
        <v>27</v>
      </c>
      <c r="C99" s="262" t="s">
        <v>166</v>
      </c>
      <c r="D99" s="196">
        <f>D37-('Ethylene Recycling LC'!C66+'Ethylene Recycling LC'!C117-'Ethylene Recycling LC'!$C$66-'Ethylene Recycling LC'!$C$117+'Ethylene Recycling LC'!C69+'Ethylene Recycling LC'!C120-'Ethylene Recycling LC'!$C$69-'Ethylene Recycling LC'!$C$120)</f>
        <v>-64065.333160966286</v>
      </c>
      <c r="E99" s="196">
        <f>E37-('Ethylene Recycling LC'!D66+'Ethylene Recycling LC'!D117-'Ethylene Recycling LC'!$C$66-'Ethylene Recycling LC'!$C$117+'Ethylene Recycling LC'!D69+'Ethylene Recycling LC'!D120-'Ethylene Recycling LC'!$C$69-'Ethylene Recycling LC'!$C$120)</f>
        <v>-62694.205006684417</v>
      </c>
      <c r="F99" s="196">
        <f>F37-('Ethylene Recycling LC'!E66+'Ethylene Recycling LC'!E117-'Ethylene Recycling LC'!$C$66-'Ethylene Recycling LC'!$C$117+'Ethylene Recycling LC'!E69+'Ethylene Recycling LC'!E120-'Ethylene Recycling LC'!$C$69-'Ethylene Recycling LC'!$C$120)</f>
        <v>-61327.858721318393</v>
      </c>
      <c r="G99" s="196">
        <f>G37-('Ethylene Recycling LC'!F66+'Ethylene Recycling LC'!F117-'Ethylene Recycling LC'!$C$66-'Ethylene Recycling LC'!$C$117+'Ethylene Recycling LC'!F69+'Ethylene Recycling LC'!F120-'Ethylene Recycling LC'!$C$69-'Ethylene Recycling LC'!$C$120)</f>
        <v>-59966.003090924482</v>
      </c>
      <c r="H99" s="196">
        <f>H37-('Ethylene Recycling LC'!G66+'Ethylene Recycling LC'!G117-'Ethylene Recycling LC'!$C$66-'Ethylene Recycling LC'!$C$117+'Ethylene Recycling LC'!G69+'Ethylene Recycling LC'!G120-'Ethylene Recycling LC'!$C$69-'Ethylene Recycling LC'!$C$120)</f>
        <v>-58608.348930012144</v>
      </c>
      <c r="I99" s="196">
        <f>I37-('Ethylene Recycling LC'!H66+'Ethylene Recycling LC'!H117-'Ethylene Recycling LC'!$C$66-'Ethylene Recycling LC'!$C$117+'Ethylene Recycling LC'!H69+'Ethylene Recycling LC'!H120-'Ethylene Recycling LC'!$C$69-'Ethylene Recycling LC'!$C$120)</f>
        <v>-57254.6090815446</v>
      </c>
      <c r="J99" s="196">
        <f>J37-('Ethylene Recycling LC'!I66+'Ethylene Recycling LC'!I117-'Ethylene Recycling LC'!$C$66-'Ethylene Recycling LC'!$C$117+'Ethylene Recycling LC'!I69+'Ethylene Recycling LC'!I120-'Ethylene Recycling LC'!$C$69-'Ethylene Recycling LC'!$C$120)</f>
        <v>-55904.498416937975</v>
      </c>
      <c r="K99" s="196">
        <f>K37-('Ethylene Recycling LC'!J66+'Ethylene Recycling LC'!J117-'Ethylene Recycling LC'!$C$66-'Ethylene Recycling LC'!$C$117+'Ethylene Recycling LC'!J69+'Ethylene Recycling LC'!J120-'Ethylene Recycling LC'!$C$69-'Ethylene Recycling LC'!$C$120)</f>
        <v>-54557.733836061983</v>
      </c>
      <c r="L99" s="196">
        <f>L37-('Ethylene Recycling LC'!K66+'Ethylene Recycling LC'!K117-'Ethylene Recycling LC'!$C$66-'Ethylene Recycling LC'!$C$117+'Ethylene Recycling LC'!K69+'Ethylene Recycling LC'!K120-'Ethylene Recycling LC'!$C$69-'Ethylene Recycling LC'!$C$120)</f>
        <v>-53214.034267239818</v>
      </c>
      <c r="M99" s="196">
        <f>M37-('Ethylene Recycling LC'!L66+'Ethylene Recycling LC'!L117-'Ethylene Recycling LC'!$C$66-'Ethylene Recycling LC'!$C$117+'Ethylene Recycling LC'!L69+'Ethylene Recycling LC'!L120-'Ethylene Recycling LC'!$C$69-'Ethylene Recycling LC'!$C$120)</f>
        <v>-51873.120667247669</v>
      </c>
      <c r="N99" s="196">
        <f>N37-('Ethylene Recycling LC'!M66+'Ethylene Recycling LC'!M117-'Ethylene Recycling LC'!$C$66-'Ethylene Recycling LC'!$C$117+'Ethylene Recycling LC'!M69+'Ethylene Recycling LC'!M120-'Ethylene Recycling LC'!$C$69-'Ethylene Recycling LC'!$C$120)</f>
        <v>-50534.716021315442</v>
      </c>
      <c r="O99" s="196">
        <f>O37-('Ethylene Recycling LC'!N66+'Ethylene Recycling LC'!N117-'Ethylene Recycling LC'!$C$66-'Ethylene Recycling LC'!$C$117+'Ethylene Recycling LC'!N69+'Ethylene Recycling LC'!N120-'Ethylene Recycling LC'!$C$69-'Ethylene Recycling LC'!$C$120)</f>
        <v>-48066.824830463018</v>
      </c>
      <c r="P99" s="196">
        <f>P37-('Ethylene Recycling LC'!O66+'Ethylene Recycling LC'!O117-'Ethylene Recycling LC'!$C$66-'Ethylene Recycling LC'!$C$117+'Ethylene Recycling LC'!O69+'Ethylene Recycling LC'!O120-'Ethylene Recycling LC'!$C$69-'Ethylene Recycling LC'!$C$120)</f>
        <v>-45985.245073365259</v>
      </c>
      <c r="Q99" s="196">
        <f>Q37-('Ethylene Recycling LC'!P66+'Ethylene Recycling LC'!P117-'Ethylene Recycling LC'!$C$66-'Ethylene Recycling LC'!$C$117+'Ethylene Recycling LC'!P69+'Ethylene Recycling LC'!P120-'Ethylene Recycling LC'!$C$69-'Ethylene Recycling LC'!$C$120)</f>
        <v>-43482.165672799085</v>
      </c>
      <c r="R99" s="196">
        <f>R37-('Ethylene Recycling LC'!Q66+'Ethylene Recycling LC'!Q117-'Ethylene Recycling LC'!$C$66-'Ethylene Recycling LC'!$C$117+'Ethylene Recycling LC'!Q69+'Ethylene Recycling LC'!Q120-'Ethylene Recycling LC'!$C$69-'Ethylene Recycling LC'!$C$120)</f>
        <v>-40979.760782851197</v>
      </c>
      <c r="S99" s="196">
        <f>S37-('Ethylene Recycling LC'!R66+'Ethylene Recycling LC'!R117-'Ethylene Recycling LC'!$C$66-'Ethylene Recycling LC'!$C$117+'Ethylene Recycling LC'!R69+'Ethylene Recycling LC'!R120-'Ethylene Recycling LC'!$C$69-'Ethylene Recycling LC'!$C$120)</f>
        <v>-38477.142889078641</v>
      </c>
      <c r="T99" s="196">
        <f>T37-('Ethylene Recycling LC'!S66+'Ethylene Recycling LC'!S117-'Ethylene Recycling LC'!$C$66-'Ethylene Recycling LC'!$C$117+'Ethylene Recycling LC'!S69+'Ethylene Recycling LC'!S120-'Ethylene Recycling LC'!$C$69-'Ethylene Recycling LC'!$C$120)</f>
        <v>-35973.431456116647</v>
      </c>
      <c r="U99" s="196">
        <f>U37-('Ethylene Recycling LC'!T66+'Ethylene Recycling LC'!T117-'Ethylene Recycling LC'!$C$66-'Ethylene Recycling LC'!$C$117+'Ethylene Recycling LC'!T69+'Ethylene Recycling LC'!T120-'Ethylene Recycling LC'!$C$69-'Ethylene Recycling LC'!$C$120)</f>
        <v>-33467.752927555877</v>
      </c>
      <c r="V99" s="196">
        <f>V37-('Ethylene Recycling LC'!U66+'Ethylene Recycling LC'!U117-'Ethylene Recycling LC'!$C$66-'Ethylene Recycling LC'!$C$117+'Ethylene Recycling LC'!U69+'Ethylene Recycling LC'!U120-'Ethylene Recycling LC'!$C$69-'Ethylene Recycling LC'!$C$120)</f>
        <v>-30959.240725820724</v>
      </c>
      <c r="W99" s="196">
        <f>W37-('Ethylene Recycling LC'!V66+'Ethylene Recycling LC'!V117-'Ethylene Recycling LC'!$C$66-'Ethylene Recycling LC'!$C$117+'Ethylene Recycling LC'!V69+'Ethylene Recycling LC'!V120-'Ethylene Recycling LC'!$C$69-'Ethylene Recycling LC'!$C$120)</f>
        <v>-28447.035252047841</v>
      </c>
      <c r="X99" s="196">
        <f>X37-('Ethylene Recycling LC'!W66+'Ethylene Recycling LC'!W117-'Ethylene Recycling LC'!$C$66-'Ethylene Recycling LC'!$C$117+'Ethylene Recycling LC'!W69+'Ethylene Recycling LC'!W120-'Ethylene Recycling LC'!$C$69-'Ethylene Recycling LC'!$C$120)</f>
        <v>-25930.283885966095</v>
      </c>
      <c r="Y99" s="196">
        <f>Y37-('Ethylene Recycling LC'!X66+'Ethylene Recycling LC'!X117-'Ethylene Recycling LC'!$C$66-'Ethylene Recycling LC'!$C$117+'Ethylene Recycling LC'!X69+'Ethylene Recycling LC'!X120-'Ethylene Recycling LC'!$C$69-'Ethylene Recycling LC'!$C$120)</f>
        <v>-22267.581583841558</v>
      </c>
      <c r="Z99" s="196">
        <f>Z37-('Ethylene Recycling LC'!Y66+'Ethylene Recycling LC'!Y117-'Ethylene Recycling LC'!$C$66-'Ethylene Recycling LC'!$C$117+'Ethylene Recycling LC'!Y69+'Ethylene Recycling LC'!Y120-'Ethylene Recycling LC'!$C$69-'Ethylene Recycling LC'!$C$120)</f>
        <v>-19744.749063153282</v>
      </c>
      <c r="AA99" s="196">
        <f>AA37-('Ethylene Recycling LC'!Z66+'Ethylene Recycling LC'!Z117-'Ethylene Recycling LC'!$C$66-'Ethylene Recycling LC'!$C$117+'Ethylene Recycling LC'!Z69+'Ethylene Recycling LC'!Z120-'Ethylene Recycling LC'!$C$69-'Ethylene Recycling LC'!$C$120)</f>
        <v>-17212.279655107999</v>
      </c>
      <c r="AB99" s="196">
        <f>AB37-('Ethylene Recycling LC'!AA66+'Ethylene Recycling LC'!AA117-'Ethylene Recycling LC'!$C$66-'Ethylene Recycling LC'!$C$117+'Ethylene Recycling LC'!AA69+'Ethylene Recycling LC'!AA120-'Ethylene Recycling LC'!$C$69-'Ethylene Recycling LC'!$C$120)</f>
        <v>-14670.044690840545</v>
      </c>
      <c r="AC99" s="196">
        <f>AC37-('Ethylene Recycling LC'!AB66+'Ethylene Recycling LC'!AB117-'Ethylene Recycling LC'!$C$66-'Ethylene Recycling LC'!$C$117+'Ethylene Recycling LC'!AB69+'Ethylene Recycling LC'!AB120-'Ethylene Recycling LC'!$C$69-'Ethylene Recycling LC'!$C$120)</f>
        <v>-12116.539320876918</v>
      </c>
      <c r="AD99" s="196">
        <f>AD37-('Ethylene Recycling LC'!AC66+'Ethylene Recycling LC'!AC117-'Ethylene Recycling LC'!$C$66-'Ethylene Recycling LC'!$C$117+'Ethylene Recycling LC'!AC69+'Ethylene Recycling LC'!AC120-'Ethylene Recycling LC'!$C$69-'Ethylene Recycling LC'!$C$120)</f>
        <v>-9550.2714305165973</v>
      </c>
      <c r="AE99" s="196">
        <f>AE37-('Ethylene Recycling LC'!AD66+'Ethylene Recycling LC'!AD117-'Ethylene Recycling LC'!$C$66-'Ethylene Recycling LC'!$C$117+'Ethylene Recycling LC'!AD69+'Ethylene Recycling LC'!AD120-'Ethylene Recycling LC'!$C$69-'Ethylene Recycling LC'!$C$120)</f>
        <v>-6969.7616362112085</v>
      </c>
      <c r="AF99" s="196">
        <f>AF37-('Ethylene Recycling LC'!AE66+'Ethylene Recycling LC'!AE117-'Ethylene Recycling LC'!$C$66-'Ethylene Recycling LC'!$C$117+'Ethylene Recycling LC'!AE69+'Ethylene Recycling LC'!AE120-'Ethylene Recycling LC'!$C$69-'Ethylene Recycling LC'!$C$120)</f>
        <v>-4373.5432819734997</v>
      </c>
      <c r="AG99" s="196">
        <f>AG37-('Ethylene Recycling LC'!AF66+'Ethylene Recycling LC'!AF117-'Ethylene Recycling LC'!$C$66-'Ethylene Recycling LC'!$C$117+'Ethylene Recycling LC'!AF69+'Ethylene Recycling LC'!AF120-'Ethylene Recycling LC'!$C$69-'Ethylene Recycling LC'!$C$120)</f>
        <v>-1760.1624358144986</v>
      </c>
      <c r="AH99" s="196">
        <f>AH37-('Ethylene Recycling LC'!AG66+'Ethylene Recycling LC'!AG117-'Ethylene Recycling LC'!$C$66-'Ethylene Recycling LC'!$C$117+'Ethylene Recycling LC'!AG69+'Ethylene Recycling LC'!AG120-'Ethylene Recycling LC'!$C$69-'Ethylene Recycling LC'!$C$120)</f>
        <v>1077.8030807034002</v>
      </c>
      <c r="AI99" s="263"/>
    </row>
    <row r="100" spans="1:36" s="62" customFormat="1">
      <c r="A100" s="688" t="s">
        <v>686</v>
      </c>
      <c r="B100" s="55" t="s">
        <v>683</v>
      </c>
      <c r="C100" s="56" t="s">
        <v>166</v>
      </c>
      <c r="D100" s="630">
        <f>D38-('Ethylene Recycling LC'!C67+'Ethylene Recycling LC'!C118-'Ethylene Recycling LC'!$C$67-'Ethylene Recycling LC'!$C$118)</f>
        <v>10633.355803870178</v>
      </c>
      <c r="E100" s="630">
        <f>E38-('Ethylene Recycling LC'!D67+'Ethylene Recycling LC'!D118-'Ethylene Recycling LC'!$C$67-'Ethylene Recycling LC'!$C$118)</f>
        <v>10538.566915881403</v>
      </c>
      <c r="F100" s="630">
        <f>F38-('Ethylene Recycling LC'!E67+'Ethylene Recycling LC'!E118-'Ethylene Recycling LC'!$C$67-'Ethylene Recycling LC'!$C$118)</f>
        <v>10437.979528641819</v>
      </c>
      <c r="G100" s="630">
        <f>G38-('Ethylene Recycling LC'!F67+'Ethylene Recycling LC'!F118-'Ethylene Recycling LC'!$C$67-'Ethylene Recycling LC'!$C$118)</f>
        <v>10331.932214421447</v>
      </c>
      <c r="H100" s="630">
        <f>H38-('Ethylene Recycling LC'!G67+'Ethylene Recycling LC'!G118-'Ethylene Recycling LC'!$C$67-'Ethylene Recycling LC'!$C$118)</f>
        <v>10220.761199072693</v>
      </c>
      <c r="I100" s="630">
        <f>I38-('Ethylene Recycling LC'!H67+'Ethylene Recycling LC'!H118-'Ethylene Recycling LC'!$C$67-'Ethylene Recycling LC'!$C$118)</f>
        <v>10104.800362030361</v>
      </c>
      <c r="J100" s="630">
        <f>J38-('Ethylene Recycling LC'!I67+'Ethylene Recycling LC'!I118-'Ethylene Recycling LC'!$C$67-'Ethylene Recycling LC'!$C$118)</f>
        <v>9984.3812363116358</v>
      </c>
      <c r="K100" s="630">
        <f>K38-('Ethylene Recycling LC'!J67+'Ethylene Recycling LC'!J118-'Ethylene Recycling LC'!$C$67-'Ethylene Recycling LC'!$C$118)</f>
        <v>9859.8330085161051</v>
      </c>
      <c r="L100" s="630">
        <f>L38-('Ethylene Recycling LC'!K67+'Ethylene Recycling LC'!K118-'Ethylene Recycling LC'!$C$67-'Ethylene Recycling LC'!$C$118)</f>
        <v>9731.4825188257364</v>
      </c>
      <c r="M100" s="630">
        <f>M38-('Ethylene Recycling LC'!L67+'Ethylene Recycling LC'!L118-'Ethylene Recycling LC'!$C$67-'Ethylene Recycling LC'!$C$118)</f>
        <v>9599.6542610048982</v>
      </c>
      <c r="N100" s="630">
        <f>N38-('Ethylene Recycling LC'!M67+'Ethylene Recycling LC'!M118-'Ethylene Recycling LC'!$C$67-'Ethylene Recycling LC'!$C$118)</f>
        <v>9464.6703824003398</v>
      </c>
      <c r="O100" s="630">
        <f>O38-('Ethylene Recycling LC'!N67+'Ethylene Recycling LC'!N118-'Ethylene Recycling LC'!$C$67-'Ethylene Recycling LC'!$C$118)</f>
        <v>9239.4225810609259</v>
      </c>
      <c r="P100" s="630">
        <f>P38-('Ethylene Recycling LC'!O67+'Ethylene Recycling LC'!O118-'Ethylene Recycling LC'!$C$67-'Ethylene Recycling LC'!$C$118)</f>
        <v>9006.2001617770657</v>
      </c>
      <c r="Q100" s="630">
        <f>Q38-('Ethylene Recycling LC'!P67+'Ethylene Recycling LC'!P118-'Ethylene Recycling LC'!$C$67-'Ethylene Recycling LC'!$C$118)</f>
        <v>8774.9341874702441</v>
      </c>
      <c r="R100" s="630">
        <f>R38-('Ethylene Recycling LC'!Q67+'Ethylene Recycling LC'!Q118-'Ethylene Recycling LC'!$C$67-'Ethylene Recycling LC'!$C$118)</f>
        <v>8542.3693223423725</v>
      </c>
      <c r="S100" s="630">
        <f>S38-('Ethylene Recycling LC'!R67+'Ethylene Recycling LC'!R118-'Ethylene Recycling LC'!$C$67-'Ethylene Recycling LC'!$C$118)</f>
        <v>8309.5402280703547</v>
      </c>
      <c r="T100" s="630">
        <f>T38-('Ethylene Recycling LC'!S67+'Ethylene Recycling LC'!S118-'Ethylene Recycling LC'!$C$67-'Ethylene Recycling LC'!$C$118)</f>
        <v>8077.4734727517398</v>
      </c>
      <c r="U100" s="630">
        <f>U38-('Ethylene Recycling LC'!T67+'Ethylene Recycling LC'!T118-'Ethylene Recycling LC'!$C$67-'Ethylene Recycling LC'!$C$118)</f>
        <v>7847.1875304047107</v>
      </c>
      <c r="V100" s="630">
        <f>V38-('Ethylene Recycling LC'!U67+'Ethylene Recycling LC'!U118-'Ethylene Recycling LC'!$C$67-'Ethylene Recycling LC'!$C$118)</f>
        <v>7619.6927804725065</v>
      </c>
      <c r="W100" s="630">
        <f>W38-('Ethylene Recycling LC'!V67+'Ethylene Recycling LC'!V118-'Ethylene Recycling LC'!$C$67-'Ethylene Recycling LC'!$C$118)</f>
        <v>7395.9915073322281</v>
      </c>
      <c r="X100" s="630">
        <f>X38-('Ethylene Recycling LC'!W67+'Ethylene Recycling LC'!W118-'Ethylene Recycling LC'!$C$67-'Ethylene Recycling LC'!$C$118)</f>
        <v>7177.0778998080532</v>
      </c>
      <c r="Y100" s="630">
        <f>Y38-('Ethylene Recycling LC'!X67+'Ethylene Recycling LC'!X118-'Ethylene Recycling LC'!$C$67-'Ethylene Recycling LC'!$C$118)</f>
        <v>6931.7411247051859</v>
      </c>
      <c r="Z100" s="630">
        <f>Z38-('Ethylene Recycling LC'!Y67+'Ethylene Recycling LC'!Y118-'Ethylene Recycling LC'!$C$67-'Ethylene Recycling LC'!$C$118)</f>
        <v>6657.2796432914201</v>
      </c>
      <c r="AA100" s="630">
        <f>AA38-('Ethylene Recycling LC'!Z67+'Ethylene Recycling LC'!Z118-'Ethylene Recycling LC'!$C$67-'Ethylene Recycling LC'!$C$118)</f>
        <v>6391.9952575695715</v>
      </c>
      <c r="AB100" s="630">
        <f>AB38-('Ethylene Recycling LC'!AA67+'Ethylene Recycling LC'!AA118-'Ethylene Recycling LC'!$C$67-'Ethylene Recycling LC'!$C$118)</f>
        <v>6137.0998324462735</v>
      </c>
      <c r="AC100" s="630">
        <f>AC38-('Ethylene Recycling LC'!AB67+'Ethylene Recycling LC'!AB118-'Ethylene Recycling LC'!$C$67-'Ethylene Recycling LC'!$C$118)</f>
        <v>5894.3668449142633</v>
      </c>
      <c r="AD100" s="630">
        <f>AD38-('Ethylene Recycling LC'!AC67+'Ethylene Recycling LC'!AC118-'Ethylene Recycling LC'!$C$67-'Ethylene Recycling LC'!$C$118)</f>
        <v>5665.5549499511108</v>
      </c>
      <c r="AE100" s="630">
        <f>AE38-('Ethylene Recycling LC'!AD67+'Ethylene Recycling LC'!AD118-'Ethylene Recycling LC'!$C$67-'Ethylene Recycling LC'!$C$118)</f>
        <v>5452.4079683348618</v>
      </c>
      <c r="AF100" s="630">
        <f>AF38-('Ethylene Recycling LC'!AE67+'Ethylene Recycling LC'!AE118-'Ethylene Recycling LC'!$C$67-'Ethylene Recycling LC'!$C$118)</f>
        <v>5256.6548746372428</v>
      </c>
      <c r="AG100" s="630">
        <f>AG38-('Ethylene Recycling LC'!AF67+'Ethylene Recycling LC'!AF118-'Ethylene Recycling LC'!$C$67-'Ethylene Recycling LC'!$C$118)</f>
        <v>5080.0097853944817</v>
      </c>
      <c r="AH100" s="630">
        <f>AH38-('Ethylene Recycling LC'!AG67+'Ethylene Recycling LC'!AG118-'Ethylene Recycling LC'!$C$67-'Ethylene Recycling LC'!$C$118)</f>
        <v>5050.0075926976424</v>
      </c>
      <c r="AI100" s="57"/>
    </row>
    <row r="101" spans="1:36" s="63" customFormat="1">
      <c r="A101" s="690"/>
      <c r="B101" s="59" t="s">
        <v>682</v>
      </c>
      <c r="C101" s="262" t="s">
        <v>166</v>
      </c>
      <c r="D101" s="599">
        <f>D39-('Ethylene Recycling LC'!C68+'Ethylene Recycling LC'!C119-'Ethylene Recycling LC'!$C$68-'Ethylene Recycling LC'!$C$119)</f>
        <v>60596.874982885318</v>
      </c>
      <c r="E101" s="599">
        <f>E39-('Ethylene Recycling LC'!D68+'Ethylene Recycling LC'!D119-'Ethylene Recycling LC'!$C$68-'Ethylene Recycling LC'!$C$119)</f>
        <v>59728.559559774905</v>
      </c>
      <c r="F101" s="599">
        <f>F39-('Ethylene Recycling LC'!E68+'Ethylene Recycling LC'!E119-'Ethylene Recycling LC'!$C$68-'Ethylene Recycling LC'!$C$119)</f>
        <v>58877.120236749193</v>
      </c>
      <c r="G101" s="599">
        <f>G39-('Ethylene Recycling LC'!F68+'Ethylene Recycling LC'!F119-'Ethylene Recycling LC'!$C$68-'Ethylene Recycling LC'!$C$119)</f>
        <v>58042.145309338048</v>
      </c>
      <c r="H101" s="599">
        <f>H39-('Ethylene Recycling LC'!G68+'Ethylene Recycling LC'!G119-'Ethylene Recycling LC'!$C$68-'Ethylene Recycling LC'!$C$119)</f>
        <v>57223.225541433683</v>
      </c>
      <c r="I101" s="599">
        <f>I39-('Ethylene Recycling LC'!H68+'Ethylene Recycling LC'!H119-'Ethylene Recycling LC'!$C$68-'Ethylene Recycling LC'!$C$119)</f>
        <v>56419.95416529059</v>
      </c>
      <c r="J101" s="599">
        <f>J39-('Ethylene Recycling LC'!I68+'Ethylene Recycling LC'!I119-'Ethylene Recycling LC'!$C$68-'Ethylene Recycling LC'!$C$119)</f>
        <v>55631.9268815256</v>
      </c>
      <c r="K101" s="599">
        <f>K39-('Ethylene Recycling LC'!J68+'Ethylene Recycling LC'!J119-'Ethylene Recycling LC'!$C$68-'Ethylene Recycling LC'!$C$119)</f>
        <v>54858.741859117858</v>
      </c>
      <c r="L101" s="599">
        <f>L39-('Ethylene Recycling LC'!K68+'Ethylene Recycling LC'!K119-'Ethylene Recycling LC'!$C$68-'Ethylene Recycling LC'!$C$119)</f>
        <v>54099.999735408819</v>
      </c>
      <c r="M101" s="599">
        <f>M39-('Ethylene Recycling LC'!L68+'Ethylene Recycling LC'!L119-'Ethylene Recycling LC'!$C$68-'Ethylene Recycling LC'!$C$119)</f>
        <v>53355.303616102239</v>
      </c>
      <c r="N101" s="599">
        <f>N39-('Ethylene Recycling LC'!M68+'Ethylene Recycling LC'!M119-'Ethylene Recycling LC'!$C$68-'Ethylene Recycling LC'!$C$119)</f>
        <v>52624.259075264214</v>
      </c>
      <c r="O101" s="599">
        <f>O39-('Ethylene Recycling LC'!N68+'Ethylene Recycling LC'!N119-'Ethylene Recycling LC'!$C$68-'Ethylene Recycling LC'!$C$119)</f>
        <v>51283.01456313939</v>
      </c>
      <c r="P101" s="599">
        <f>P39-('Ethylene Recycling LC'!O68+'Ethylene Recycling LC'!O119-'Ethylene Recycling LC'!$C$68-'Ethylene Recycling LC'!$C$119)</f>
        <v>50132.642769435835</v>
      </c>
      <c r="Q101" s="599">
        <f>Q39-('Ethylene Recycling LC'!P68+'Ethylene Recycling LC'!P119-'Ethylene Recycling LC'!$C$68-'Ethylene Recycling LC'!$C$119)</f>
        <v>48847.793565903368</v>
      </c>
      <c r="R101" s="599">
        <f>R39-('Ethylene Recycling LC'!Q68+'Ethylene Recycling LC'!Q119-'Ethylene Recycling LC'!$C$68-'Ethylene Recycling LC'!$C$119)</f>
        <v>47598.28415381426</v>
      </c>
      <c r="S101" s="599">
        <f>S39-('Ethylene Recycling LC'!R68+'Ethylene Recycling LC'!R119-'Ethylene Recycling LC'!$C$68-'Ethylene Recycling LC'!$C$119)</f>
        <v>46382.836675205523</v>
      </c>
      <c r="T101" s="599">
        <f>T39-('Ethylene Recycling LC'!S68+'Ethylene Recycling LC'!S119-'Ethylene Recycling LC'!$C$68-'Ethylene Recycling LC'!$C$119)</f>
        <v>45200.181762555541</v>
      </c>
      <c r="U101" s="599">
        <f>U39-('Ethylene Recycling LC'!T68+'Ethylene Recycling LC'!T119-'Ethylene Recycling LC'!$C$68-'Ethylene Recycling LC'!$C$119)</f>
        <v>44049.058538784106</v>
      </c>
      <c r="V101" s="599">
        <f>V39-('Ethylene Recycling LC'!U68+'Ethylene Recycling LC'!U119-'Ethylene Recycling LC'!$C$68-'Ethylene Recycling LC'!$C$119)</f>
        <v>42928.214617252408</v>
      </c>
      <c r="W101" s="599">
        <f>W39-('Ethylene Recycling LC'!V68+'Ethylene Recycling LC'!V119-'Ethylene Recycling LC'!$C$68-'Ethylene Recycling LC'!$C$119)</f>
        <v>41836.40610176303</v>
      </c>
      <c r="X101" s="599">
        <f>X39-('Ethylene Recycling LC'!W68+'Ethylene Recycling LC'!W119-'Ethylene Recycling LC'!$C$68-'Ethylene Recycling LC'!$C$119)</f>
        <v>40772.397586559957</v>
      </c>
      <c r="Y101" s="599">
        <f>Y39-('Ethylene Recycling LC'!X68+'Ethylene Recycling LC'!X119-'Ethylene Recycling LC'!$C$68-'Ethylene Recycling LC'!$C$119)</f>
        <v>39031.121262141547</v>
      </c>
      <c r="Z101" s="599">
        <f>Z39-('Ethylene Recycling LC'!Y68+'Ethylene Recycling LC'!Y119-'Ethylene Recycling LC'!$C$68-'Ethylene Recycling LC'!$C$119)</f>
        <v>37792.353177285382</v>
      </c>
      <c r="AA101" s="599">
        <f>AA39-('Ethylene Recycling LC'!Z68+'Ethylene Recycling LC'!Z119-'Ethylene Recycling LC'!$C$68-'Ethylene Recycling LC'!$C$119)</f>
        <v>36604.171256654146</v>
      </c>
      <c r="AB101" s="599">
        <f>AB39-('Ethylene Recycling LC'!AA68+'Ethylene Recycling LC'!AA119-'Ethylene Recycling LC'!$C$68-'Ethylene Recycling LC'!$C$119)</f>
        <v>35464.366197702002</v>
      </c>
      <c r="AC101" s="599">
        <f>AC39-('Ethylene Recycling LC'!AB68+'Ethylene Recycling LC'!AB119-'Ethylene Recycling LC'!$C$68-'Ethylene Recycling LC'!$C$119)</f>
        <v>34370.744066491105</v>
      </c>
      <c r="AD101" s="599">
        <f>AD39-('Ethylene Recycling LC'!AC68+'Ethylene Recycling LC'!AC119-'Ethylene Recycling LC'!$C$68-'Ethylene Recycling LC'!$C$119)</f>
        <v>33321.126297691524</v>
      </c>
      <c r="AE101" s="599">
        <f>AE39-('Ethylene Recycling LC'!AD68+'Ethylene Recycling LC'!AD119-'Ethylene Recycling LC'!$C$68-'Ethylene Recycling LC'!$C$119)</f>
        <v>32313.349694581346</v>
      </c>
      <c r="AF101" s="599">
        <f>AF39-('Ethylene Recycling LC'!AE68+'Ethylene Recycling LC'!AE119-'Ethylene Recycling LC'!$C$68-'Ethylene Recycling LC'!$C$119)</f>
        <v>31345.266429046631</v>
      </c>
      <c r="AG101" s="599">
        <f>AG39-('Ethylene Recycling LC'!AF68+'Ethylene Recycling LC'!AF119-'Ethylene Recycling LC'!$C$68-'Ethylene Recycling LC'!$C$119)</f>
        <v>30414.744041581376</v>
      </c>
      <c r="AH101" s="599">
        <f>AH39-('Ethylene Recycling LC'!AG68+'Ethylene Recycling LC'!AG119-'Ethylene Recycling LC'!$C$68-'Ethylene Recycling LC'!$C$119)</f>
        <v>29519.66544128758</v>
      </c>
      <c r="AI101" s="263"/>
    </row>
    <row r="102" spans="1:36" s="62" customFormat="1">
      <c r="A102" s="55" t="s">
        <v>258</v>
      </c>
      <c r="B102" s="55" t="s">
        <v>195</v>
      </c>
      <c r="C102" s="95" t="s">
        <v>166</v>
      </c>
      <c r="D102" s="631">
        <f t="shared" ref="D102:AH102" si="30">D19</f>
        <v>93277.946794923075</v>
      </c>
      <c r="E102" s="631">
        <f t="shared" si="30"/>
        <v>94702.312031971771</v>
      </c>
      <c r="F102" s="631">
        <f t="shared" si="30"/>
        <v>96147.962681582503</v>
      </c>
      <c r="G102" s="631">
        <f t="shared" si="30"/>
        <v>97615.208669608532</v>
      </c>
      <c r="H102" s="631">
        <f t="shared" si="30"/>
        <v>99104.364288914003</v>
      </c>
      <c r="I102" s="631">
        <f t="shared" si="30"/>
        <v>100615.7482582558</v>
      </c>
      <c r="J102" s="631">
        <f t="shared" si="30"/>
        <v>102149.68378190979</v>
      </c>
      <c r="K102" s="631">
        <f t="shared" si="30"/>
        <v>103706.49861004997</v>
      </c>
      <c r="L102" s="631">
        <f t="shared" si="30"/>
        <v>105286.52509988923</v>
      </c>
      <c r="M102" s="631">
        <f t="shared" si="30"/>
        <v>106890.10027758991</v>
      </c>
      <c r="N102" s="631">
        <f t="shared" si="30"/>
        <v>108517.56590095328</v>
      </c>
      <c r="O102" s="631">
        <f t="shared" si="30"/>
        <v>109890.83802144183</v>
      </c>
      <c r="P102" s="631">
        <f t="shared" si="30"/>
        <v>111275.77460361992</v>
      </c>
      <c r="Q102" s="631">
        <f t="shared" si="30"/>
        <v>112672.3565137696</v>
      </c>
      <c r="R102" s="631">
        <f t="shared" si="30"/>
        <v>114080.56101495157</v>
      </c>
      <c r="S102" s="631">
        <f t="shared" si="30"/>
        <v>115500.36166969701</v>
      </c>
      <c r="T102" s="631">
        <f t="shared" si="30"/>
        <v>116931.72824098013</v>
      </c>
      <c r="U102" s="631">
        <f t="shared" si="30"/>
        <v>118374.62659145404</v>
      </c>
      <c r="V102" s="631">
        <f t="shared" si="30"/>
        <v>119829.01858093293</v>
      </c>
      <c r="W102" s="631">
        <f t="shared" si="30"/>
        <v>121294.86196210339</v>
      </c>
      <c r="X102" s="631">
        <f t="shared" si="30"/>
        <v>122772.11027444816</v>
      </c>
      <c r="Y102" s="631">
        <f t="shared" si="30"/>
        <v>123307.78273408843</v>
      </c>
      <c r="Z102" s="631">
        <f t="shared" si="30"/>
        <v>123823.37079068032</v>
      </c>
      <c r="AA102" s="631">
        <f t="shared" si="30"/>
        <v>124318.24608328319</v>
      </c>
      <c r="AB102" s="631">
        <f t="shared" si="30"/>
        <v>124791.77262175309</v>
      </c>
      <c r="AC102" s="631">
        <f t="shared" si="30"/>
        <v>125243.30691809618</v>
      </c>
      <c r="AD102" s="631">
        <f t="shared" si="30"/>
        <v>125672.19812931222</v>
      </c>
      <c r="AE102" s="631">
        <f t="shared" si="30"/>
        <v>126077.78821218412</v>
      </c>
      <c r="AF102" s="631">
        <f t="shared" si="30"/>
        <v>126459.41209048402</v>
      </c>
      <c r="AG102" s="631">
        <f t="shared" si="30"/>
        <v>126816.39783508083</v>
      </c>
      <c r="AH102" s="631">
        <f t="shared" si="30"/>
        <v>127148.06685745006</v>
      </c>
    </row>
    <row r="103" spans="1:36" outlineLevel="1">
      <c r="A103"/>
      <c r="B103" t="s">
        <v>262</v>
      </c>
      <c r="C103" s="51" t="s">
        <v>166</v>
      </c>
      <c r="D103" s="196">
        <f>'Ethylene Recycling LC'!C103-'Ethylene Recycling LC'!$C$103</f>
        <v>0</v>
      </c>
      <c r="E103" s="196">
        <f>'Ethylene Recycling LC'!D103-'Ethylene Recycling LC'!$C$103</f>
        <v>23.165186902814924</v>
      </c>
      <c r="F103" s="196">
        <f>'Ethylene Recycling LC'!E103-'Ethylene Recycling LC'!$C$103</f>
        <v>47.443076488616228</v>
      </c>
      <c r="G103" s="196">
        <f>'Ethylene Recycling LC'!F103-'Ethylene Recycling LC'!$C$103</f>
        <v>72.833813491661942</v>
      </c>
      <c r="H103" s="196">
        <f>'Ethylene Recycling LC'!G103-'Ethylene Recycling LC'!$C$103</f>
        <v>99.337542646209982</v>
      </c>
      <c r="I103" s="196">
        <f>'Ethylene Recycling LC'!H103-'Ethylene Recycling LC'!$C$103</f>
        <v>126.95440868651835</v>
      </c>
      <c r="J103" s="196">
        <f>'Ethylene Recycling LC'!I103-'Ethylene Recycling LC'!$C$103</f>
        <v>155.68455634684489</v>
      </c>
      <c r="K103" s="196">
        <f>'Ethylene Recycling LC'!J103-'Ethylene Recycling LC'!$C$103</f>
        <v>185.52813036144784</v>
      </c>
      <c r="L103" s="196">
        <f>'Ethylene Recycling LC'!K103-'Ethylene Recycling LC'!$C$103</f>
        <v>216.4852754645849</v>
      </c>
      <c r="M103" s="196">
        <f>'Ethylene Recycling LC'!L103-'Ethylene Recycling LC'!$C$103</f>
        <v>248.5561363905141</v>
      </c>
      <c r="N103" s="196">
        <f>'Ethylene Recycling LC'!M103-'Ethylene Recycling LC'!$C$103</f>
        <v>281.7408578734935</v>
      </c>
      <c r="O103" s="196">
        <f>'Ethylene Recycling LC'!N103-'Ethylene Recycling LC'!$C$103</f>
        <v>340.167816717817</v>
      </c>
      <c r="P103" s="196">
        <f>'Ethylene Recycling LC'!O103-'Ethylene Recycling LC'!$C$103</f>
        <v>400.71802130864165</v>
      </c>
      <c r="Q103" s="196">
        <f>'Ethylene Recycling LC'!P103-'Ethylene Recycling LC'!$C$103</f>
        <v>461.55021755675978</v>
      </c>
      <c r="R103" s="196">
        <f>'Ethylene Recycling LC'!Q103-'Ethylene Recycling LC'!$C$103</f>
        <v>524.06044985909045</v>
      </c>
      <c r="S103" s="196">
        <f>'Ethylene Recycling LC'!R103-'Ethylene Recycling LC'!$C$103</f>
        <v>588.22582271449949</v>
      </c>
      <c r="T103" s="196">
        <f>'Ethylene Recycling LC'!S103-'Ethylene Recycling LC'!$C$103</f>
        <v>654.02336223798773</v>
      </c>
      <c r="U103" s="196">
        <f>'Ethylene Recycling LC'!T103-'Ethylene Recycling LC'!$C$103</f>
        <v>721.43001790640187</v>
      </c>
      <c r="V103" s="196">
        <f>'Ethylene Recycling LC'!U103-'Ethylene Recycling LC'!$C$103</f>
        <v>790.42266430460916</v>
      </c>
      <c r="W103" s="196">
        <f>'Ethylene Recycling LC'!V103-'Ethylene Recycling LC'!$C$103</f>
        <v>860.97810287212678</v>
      </c>
      <c r="X103" s="196">
        <f>'Ethylene Recycling LC'!W103-'Ethylene Recycling LC'!$C$103</f>
        <v>933.07306365021179</v>
      </c>
      <c r="Y103" s="196">
        <f>'Ethylene Recycling LC'!X103-'Ethylene Recycling LC'!$C$103</f>
        <v>1052.606400660532</v>
      </c>
      <c r="Z103" s="196">
        <f>'Ethylene Recycling LC'!Y103-'Ethylene Recycling LC'!$C$103</f>
        <v>1174.8876612754461</v>
      </c>
      <c r="AA103" s="196">
        <f>'Ethylene Recycling LC'!Z103-'Ethylene Recycling LC'!$C$103</f>
        <v>1288.5583992176175</v>
      </c>
      <c r="AB103" s="196">
        <f>'Ethylene Recycling LC'!AA103-'Ethylene Recycling LC'!$C$103</f>
        <v>1402.6724397770226</v>
      </c>
      <c r="AC103" s="196">
        <f>'Ethylene Recycling LC'!AB103-'Ethylene Recycling LC'!$C$103</f>
        <v>1517.0925559855903</v>
      </c>
      <c r="AD103" s="196">
        <f>'Ethylene Recycling LC'!AC103-'Ethylene Recycling LC'!$C$103</f>
        <v>1631.6819408307101</v>
      </c>
      <c r="AE103" s="196">
        <f>'Ethylene Recycling LC'!AD103-'Ethylene Recycling LC'!$C$103</f>
        <v>1746.3042776332056</v>
      </c>
      <c r="AF103" s="196">
        <f>'Ethylene Recycling LC'!AE103-'Ethylene Recycling LC'!$C$103</f>
        <v>1860.8238104436007</v>
      </c>
      <c r="AG103" s="196">
        <f>'Ethylene Recycling LC'!AF103-'Ethylene Recycling LC'!$C$103</f>
        <v>1975.1054144566874</v>
      </c>
      <c r="AH103" s="196">
        <f>'Ethylene Recycling LC'!AG103-'Ethylene Recycling LC'!$C$103</f>
        <v>11876.231518584302</v>
      </c>
    </row>
    <row r="104" spans="1:36" outlineLevel="1">
      <c r="A104"/>
      <c r="B104" s="169" t="s">
        <v>264</v>
      </c>
      <c r="C104" s="51" t="s">
        <v>166</v>
      </c>
      <c r="D104" s="196">
        <f>'Ethylene Recycling LC'!C76-'Ethylene Recycling LC'!$C$76</f>
        <v>0</v>
      </c>
      <c r="E104" s="196">
        <f>'Ethylene Recycling LC'!D76-'Ethylene Recycling LC'!$C$76</f>
        <v>400.37596178660897</v>
      </c>
      <c r="F104" s="196">
        <f>'Ethylene Recycling LC'!E76-'Ethylene Recycling LC'!$C$76</f>
        <v>779.67023316053019</v>
      </c>
      <c r="G104" s="196">
        <f>'Ethylene Recycling LC'!F76-'Ethylene Recycling LC'!$C$76</f>
        <v>1137.9950260574369</v>
      </c>
      <c r="H104" s="196">
        <f>'Ethylene Recycling LC'!G76-'Ethylene Recycling LC'!$C$76</f>
        <v>1475.4625524130133</v>
      </c>
      <c r="I104" s="196">
        <f>'Ethylene Recycling LC'!H76-'Ethylene Recycling LC'!$C$76</f>
        <v>1792.1850241629145</v>
      </c>
      <c r="J104" s="196">
        <f>'Ethylene Recycling LC'!I76-'Ethylene Recycling LC'!$C$76</f>
        <v>2088.2746532428246</v>
      </c>
      <c r="K104" s="196">
        <f>'Ethylene Recycling LC'!J76-'Ethylene Recycling LC'!$C$76</f>
        <v>2363.8436515884168</v>
      </c>
      <c r="L104" s="196">
        <f>'Ethylene Recycling LC'!K76-'Ethylene Recycling LC'!$C$76</f>
        <v>2619.0042311353536</v>
      </c>
      <c r="M104" s="196">
        <f>'Ethylene Recycling LC'!L76-'Ethylene Recycling LC'!$C$76</f>
        <v>2853.8686038193046</v>
      </c>
      <c r="N104" s="196">
        <f>'Ethylene Recycling LC'!M76-'Ethylene Recycling LC'!$C$76</f>
        <v>3068.5489815759611</v>
      </c>
      <c r="O104" s="196">
        <f>'Ethylene Recycling LC'!N76-'Ethylene Recycling LC'!$C$76</f>
        <v>3755.5712927639252</v>
      </c>
      <c r="P104" s="196">
        <f>'Ethylene Recycling LC'!O76-'Ethylene Recycling LC'!$C$76</f>
        <v>4470.7254104319618</v>
      </c>
      <c r="Q104" s="196">
        <f>'Ethylene Recycling LC'!P76-'Ethylene Recycling LC'!$C$76</f>
        <v>4990.552754167049</v>
      </c>
      <c r="R104" s="196">
        <f>'Ethylene Recycling LC'!Q76-'Ethylene Recycling LC'!$C$76</f>
        <v>5429.4459428395967</v>
      </c>
      <c r="S104" s="196">
        <f>'Ethylene Recycling LC'!R76-'Ethylene Recycling LC'!$C$76</f>
        <v>5787.8712923360617</v>
      </c>
      <c r="T104" s="196">
        <f>'Ethylene Recycling LC'!S76-'Ethylene Recycling LC'!$C$76</f>
        <v>6066.2951185428647</v>
      </c>
      <c r="U104" s="196">
        <f>'Ethylene Recycling LC'!T76-'Ethylene Recycling LC'!$C$76</f>
        <v>6265.1837373464514</v>
      </c>
      <c r="V104" s="196">
        <f>'Ethylene Recycling LC'!U76-'Ethylene Recycling LC'!$C$76</f>
        <v>6385.0034646332679</v>
      </c>
      <c r="W104" s="196">
        <f>'Ethylene Recycling LC'!V76-'Ethylene Recycling LC'!$C$76</f>
        <v>6426.2206162897564</v>
      </c>
      <c r="X104" s="196">
        <f>'Ethylene Recycling LC'!W76-'Ethylene Recycling LC'!$C$76</f>
        <v>6389.3015082023339</v>
      </c>
      <c r="Y104" s="196">
        <f>'Ethylene Recycling LC'!X76-'Ethylene Recycling LC'!$C$76</f>
        <v>6323.0060803765191</v>
      </c>
      <c r="Z104" s="196">
        <f>'Ethylene Recycling LC'!Y76-'Ethylene Recycling LC'!$C$76</f>
        <v>6612.0642816889194</v>
      </c>
      <c r="AA104" s="196">
        <f>'Ethylene Recycling LC'!Z76-'Ethylene Recycling LC'!$C$76</f>
        <v>6773.9269541320718</v>
      </c>
      <c r="AB104" s="196">
        <f>'Ethylene Recycling LC'!AA76-'Ethylene Recycling LC'!$C$76</f>
        <v>6809.3532059859317</v>
      </c>
      <c r="AC104" s="196">
        <f>'Ethylene Recycling LC'!AB76-'Ethylene Recycling LC'!$C$76</f>
        <v>6719.1021455304544</v>
      </c>
      <c r="AD104" s="196">
        <f>'Ethylene Recycling LC'!AC76-'Ethylene Recycling LC'!$C$76</f>
        <v>6503.9328810455954</v>
      </c>
      <c r="AE104" s="196">
        <f>'Ethylene Recycling LC'!AD76-'Ethylene Recycling LC'!$C$76</f>
        <v>6164.6045208113101</v>
      </c>
      <c r="AF104" s="196">
        <f>'Ethylene Recycling LC'!AE76-'Ethylene Recycling LC'!$C$76</f>
        <v>5701.8761731075392</v>
      </c>
      <c r="AG104" s="196">
        <f>'Ethylene Recycling LC'!AF76-'Ethylene Recycling LC'!$C$76</f>
        <v>5116.5069462142565</v>
      </c>
      <c r="AH104" s="196">
        <f>'Ethylene Recycling LC'!AG76-'Ethylene Recycling LC'!$C$76</f>
        <v>4409.2559484114317</v>
      </c>
    </row>
    <row r="105" spans="1:36" s="63" customFormat="1">
      <c r="A105" s="59"/>
      <c r="B105" s="59" t="s">
        <v>263</v>
      </c>
      <c r="C105" s="60" t="s">
        <v>166</v>
      </c>
      <c r="D105" s="636">
        <f>D102-D103-D104</f>
        <v>93277.946794923075</v>
      </c>
      <c r="E105" s="636">
        <f t="shared" ref="E105:AH105" si="31">E102-E103-E104</f>
        <v>94278.770883282355</v>
      </c>
      <c r="F105" s="636">
        <f t="shared" si="31"/>
        <v>95320.849371933349</v>
      </c>
      <c r="G105" s="636">
        <f t="shared" si="31"/>
        <v>96404.379830059435</v>
      </c>
      <c r="H105" s="636">
        <f t="shared" si="31"/>
        <v>97529.564193854778</v>
      </c>
      <c r="I105" s="636">
        <f t="shared" si="31"/>
        <v>98696.608825406365</v>
      </c>
      <c r="J105" s="636">
        <f t="shared" si="31"/>
        <v>99905.724572320119</v>
      </c>
      <c r="K105" s="636">
        <f t="shared" si="31"/>
        <v>101157.1268281001</v>
      </c>
      <c r="L105" s="636">
        <f t="shared" si="31"/>
        <v>102451.0355932893</v>
      </c>
      <c r="M105" s="636">
        <f t="shared" si="31"/>
        <v>103787.6755373801</v>
      </c>
      <c r="N105" s="636">
        <f t="shared" si="31"/>
        <v>105167.27606150383</v>
      </c>
      <c r="O105" s="636">
        <f t="shared" si="31"/>
        <v>105795.09891196009</v>
      </c>
      <c r="P105" s="636">
        <f t="shared" si="31"/>
        <v>106404.33117187933</v>
      </c>
      <c r="Q105" s="636">
        <f t="shared" si="31"/>
        <v>107220.2535420458</v>
      </c>
      <c r="R105" s="636">
        <f t="shared" si="31"/>
        <v>108127.05462225289</v>
      </c>
      <c r="S105" s="636">
        <f t="shared" si="31"/>
        <v>109124.26455464645</v>
      </c>
      <c r="T105" s="636">
        <f t="shared" si="31"/>
        <v>110211.40976019927</v>
      </c>
      <c r="U105" s="636">
        <f t="shared" si="31"/>
        <v>111388.01283620119</v>
      </c>
      <c r="V105" s="636">
        <f t="shared" si="31"/>
        <v>112653.59245199505</v>
      </c>
      <c r="W105" s="636">
        <f t="shared" si="31"/>
        <v>114007.66324294149</v>
      </c>
      <c r="X105" s="636">
        <f t="shared" si="31"/>
        <v>115449.73570259562</v>
      </c>
      <c r="Y105" s="636">
        <f t="shared" si="31"/>
        <v>115932.17025305137</v>
      </c>
      <c r="Z105" s="636">
        <f t="shared" si="31"/>
        <v>116036.41884771596</v>
      </c>
      <c r="AA105" s="636">
        <f t="shared" si="31"/>
        <v>116255.76072993351</v>
      </c>
      <c r="AB105" s="636">
        <f t="shared" si="31"/>
        <v>116579.74697599014</v>
      </c>
      <c r="AC105" s="636">
        <f t="shared" si="31"/>
        <v>117007.11221658012</v>
      </c>
      <c r="AD105" s="636">
        <f t="shared" si="31"/>
        <v>117536.58330743593</v>
      </c>
      <c r="AE105" s="636">
        <f t="shared" si="31"/>
        <v>118166.87941373962</v>
      </c>
      <c r="AF105" s="636">
        <f t="shared" si="31"/>
        <v>118896.71210693289</v>
      </c>
      <c r="AG105" s="636">
        <f t="shared" si="31"/>
        <v>119724.78547440989</v>
      </c>
      <c r="AH105" s="636">
        <f t="shared" si="31"/>
        <v>110862.57939045432</v>
      </c>
      <c r="AI105" s="411"/>
      <c r="AJ105" s="411"/>
    </row>
    <row r="106" spans="1:36" s="62" customFormat="1">
      <c r="A106" s="688" t="s">
        <v>685</v>
      </c>
      <c r="B106" s="55" t="s">
        <v>141</v>
      </c>
      <c r="C106" s="56" t="s">
        <v>166</v>
      </c>
      <c r="D106" s="630">
        <f>D20-('Ethylene Recycling LC'!C104+'Ethylene Recycling LC'!C77-'Ethylene Recycling LC'!$C$104-'Ethylene Recycling LC'!$C$77)</f>
        <v>7235.252082164473</v>
      </c>
      <c r="E106" s="630">
        <f>E20-('Ethylene Recycling LC'!D104+'Ethylene Recycling LC'!D77-'Ethylene Recycling LC'!$C$104-'Ethylene Recycling LC'!$C$77)</f>
        <v>6926.9689433943768</v>
      </c>
      <c r="F106" s="630">
        <f>F20-('Ethylene Recycling LC'!E104+'Ethylene Recycling LC'!E77-'Ethylene Recycling LC'!$C$104-'Ethylene Recycling LC'!$C$77)</f>
        <v>6640.6653981257323</v>
      </c>
      <c r="G106" s="630">
        <f>G20-('Ethylene Recycling LC'!F104+'Ethylene Recycling LC'!F77-'Ethylene Recycling LC'!$C$104-'Ethylene Recycling LC'!$C$77)</f>
        <v>6376.263102310877</v>
      </c>
      <c r="H106" s="630">
        <f>H20-('Ethylene Recycling LC'!G104+'Ethylene Recycling LC'!G77-'Ethylene Recycling LC'!$C$104-'Ethylene Recycling LC'!$C$77)</f>
        <v>6133.6840523607889</v>
      </c>
      <c r="I106" s="630">
        <f>I20-('Ethylene Recycling LC'!H104+'Ethylene Recycling LC'!H77-'Ethylene Recycling LC'!$C$104-'Ethylene Recycling LC'!$C$77)</f>
        <v>5912.8505897123987</v>
      </c>
      <c r="J106" s="630">
        <f>J20-('Ethylene Recycling LC'!I104+'Ethylene Recycling LC'!I77-'Ethylene Recycling LC'!$C$104-'Ethylene Recycling LC'!$C$77)</f>
        <v>5713.6854054535388</v>
      </c>
      <c r="K106" s="630">
        <f>K20-('Ethylene Recycling LC'!J104+'Ethylene Recycling LC'!J77-'Ethylene Recycling LC'!$C$104-'Ethylene Recycling LC'!$C$77)</f>
        <v>5536.1115450063871</v>
      </c>
      <c r="L106" s="630">
        <f>L20-('Ethylene Recycling LC'!K104+'Ethylene Recycling LC'!K77-'Ethylene Recycling LC'!$C$104-'Ethylene Recycling LC'!$C$77)</f>
        <v>5380.0524128699408</v>
      </c>
      <c r="M106" s="630">
        <f>M20-('Ethylene Recycling LC'!L104+'Ethylene Recycling LC'!L77-'Ethylene Recycling LC'!$C$104-'Ethylene Recycling LC'!$C$77)</f>
        <v>5245.4317774221909</v>
      </c>
      <c r="N106" s="630">
        <f>N20-('Ethylene Recycling LC'!M104+'Ethylene Recycling LC'!M77-'Ethylene Recycling LC'!$C$104-'Ethylene Recycling LC'!$C$77)</f>
        <v>5132.1737757827304</v>
      </c>
      <c r="O106" s="630">
        <f>O20-('Ethylene Recycling LC'!N104+'Ethylene Recycling LC'!N77-'Ethylene Recycling LC'!$C$104-'Ethylene Recycling LC'!$C$77)</f>
        <v>4507.51532729053</v>
      </c>
      <c r="P106" s="630">
        <f>P20-('Ethylene Recycling LC'!O104+'Ethylene Recycling LC'!O77-'Ethylene Recycling LC'!$C$104-'Ethylene Recycling LC'!$C$77)</f>
        <v>3854.3407077850352</v>
      </c>
      <c r="Q106" s="630">
        <f>Q20-('Ethylene Recycling LC'!P104+'Ethylene Recycling LC'!P77-'Ethylene Recycling LC'!$C$104-'Ethylene Recycling LC'!$C$77)</f>
        <v>3397.5402800711254</v>
      </c>
      <c r="R106" s="630">
        <f>R20-('Ethylene Recycling LC'!Q104+'Ethylene Recycling LC'!Q77-'Ethylene Recycling LC'!$C$104-'Ethylene Recycling LC'!$C$77)</f>
        <v>3021.6540192942648</v>
      </c>
      <c r="S106" s="630">
        <f>S20-('Ethylene Recycling LC'!R104+'Ethylene Recycling LC'!R77-'Ethylene Recycling LC'!$C$104-'Ethylene Recycling LC'!$C$77)</f>
        <v>2726.2460043381398</v>
      </c>
      <c r="T106" s="630">
        <f>T20-('Ethylene Recycling LC'!S104+'Ethylene Recycling LC'!S77-'Ethylene Recycling LC'!$C$104-'Ethylene Recycling LC'!$C$77)</f>
        <v>2510.8798060726604</v>
      </c>
      <c r="U106" s="630">
        <f>U20-('Ethylene Recycling LC'!T104+'Ethylene Recycling LC'!T77-'Ethylene Recycling LC'!$C$104-'Ethylene Recycling LC'!$C$77)</f>
        <v>2375.118477050426</v>
      </c>
      <c r="V106" s="630">
        <f>V20-('Ethylene Recycling LC'!U104+'Ethylene Recycling LC'!U77-'Ethylene Recycling LC'!$C$104-'Ethylene Recycling LC'!$C$77)</f>
        <v>2318.524541098086</v>
      </c>
      <c r="W106" s="630">
        <f>W20-('Ethylene Recycling LC'!V104+'Ethylene Recycling LC'!V77-'Ethylene Recycling LC'!$C$104-'Ethylene Recycling LC'!$C$77)</f>
        <v>2340.6599828012222</v>
      </c>
      <c r="X106" s="630">
        <f>X20-('Ethylene Recycling LC'!W104+'Ethylene Recycling LC'!W77-'Ethylene Recycling LC'!$C$104-'Ethylene Recycling LC'!$C$77)</f>
        <v>2441.0862368814214</v>
      </c>
      <c r="Y106" s="630">
        <f>Y20-('Ethylene Recycling LC'!X104+'Ethylene Recycling LC'!X77-'Ethylene Recycling LC'!$C$104-'Ethylene Recycling LC'!$C$77)</f>
        <v>2462.9758939659168</v>
      </c>
      <c r="Z106" s="630">
        <f>Z20-('Ethylene Recycling LC'!Y104+'Ethylene Recycling LC'!Y77-'Ethylene Recycling LC'!$C$104-'Ethylene Recycling LC'!$C$77)</f>
        <v>2126.6291209808151</v>
      </c>
      <c r="AA106" s="630">
        <f>AA20-('Ethylene Recycling LC'!Z104+'Ethylene Recycling LC'!Z77-'Ethylene Recycling LC'!$C$104-'Ethylene Recycling LC'!$C$77)</f>
        <v>1922.9571279027987</v>
      </c>
      <c r="AB106" s="630">
        <f>AB20-('Ethylene Recycling LC'!AA104+'Ethylene Recycling LC'!AA77-'Ethylene Recycling LC'!$C$104-'Ethylene Recycling LC'!$C$77)</f>
        <v>1844.4168237173071</v>
      </c>
      <c r="AC106" s="630">
        <f>AC20-('Ethylene Recycling LC'!AB104+'Ethylene Recycling LC'!AB77-'Ethylene Recycling LC'!$C$104-'Ethylene Recycling LC'!$C$77)</f>
        <v>1890.3036491674065</v>
      </c>
      <c r="AD106" s="630">
        <f>AD20-('Ethylene Recycling LC'!AC104+'Ethylene Recycling LC'!AC77-'Ethylene Recycling LC'!$C$104-'Ethylene Recycling LC'!$C$77)</f>
        <v>2059.9105331079318</v>
      </c>
      <c r="AE106" s="630">
        <f>AE20-('Ethylene Recycling LC'!AD104+'Ethylene Recycling LC'!AD77-'Ethylene Recycling LC'!$C$104-'Ethylene Recycling LC'!$C$77)</f>
        <v>2352.5278596434291</v>
      </c>
      <c r="AF106" s="630">
        <f>AF20-('Ethylene Recycling LC'!AE104+'Ethylene Recycling LC'!AE77-'Ethylene Recycling LC'!$C$104-'Ethylene Recycling LC'!$C$77)</f>
        <v>2767.4434374738157</v>
      </c>
      <c r="AG106" s="630">
        <f>AG20-('Ethylene Recycling LC'!AF104+'Ethylene Recycling LC'!AF77-'Ethylene Recycling LC'!$C$104-'Ethylene Recycling LC'!$C$77)</f>
        <v>3303.9424714857196</v>
      </c>
      <c r="AH106" s="630">
        <f>AH20-('Ethylene Recycling LC'!AG104+'Ethylene Recycling LC'!AG77-'Ethylene Recycling LC'!$C$104-'Ethylene Recycling LC'!$C$77)</f>
        <v>-3060.7708808822845</v>
      </c>
      <c r="AI106" s="411"/>
      <c r="AJ106" s="411"/>
    </row>
    <row r="107" spans="1:36">
      <c r="A107" s="689"/>
      <c r="B107" s="1" t="s">
        <v>18</v>
      </c>
      <c r="C107" s="51" t="s">
        <v>166</v>
      </c>
      <c r="D107" s="196">
        <f>D21+(D111-D25)</f>
        <v>0</v>
      </c>
      <c r="E107" s="196">
        <f t="shared" ref="E107:AH107" si="32">E21+(E111-E25)</f>
        <v>0</v>
      </c>
      <c r="F107" s="196">
        <f t="shared" si="32"/>
        <v>0</v>
      </c>
      <c r="G107" s="196">
        <f t="shared" si="32"/>
        <v>0</v>
      </c>
      <c r="H107" s="196">
        <f t="shared" si="32"/>
        <v>0</v>
      </c>
      <c r="I107" s="196">
        <f t="shared" si="32"/>
        <v>0</v>
      </c>
      <c r="J107" s="196">
        <f t="shared" si="32"/>
        <v>0</v>
      </c>
      <c r="K107" s="196">
        <f t="shared" si="32"/>
        <v>0</v>
      </c>
      <c r="L107" s="196">
        <f t="shared" si="32"/>
        <v>0</v>
      </c>
      <c r="M107" s="196">
        <f t="shared" si="32"/>
        <v>0</v>
      </c>
      <c r="N107" s="196">
        <f t="shared" si="32"/>
        <v>0</v>
      </c>
      <c r="O107" s="196">
        <f t="shared" si="32"/>
        <v>0</v>
      </c>
      <c r="P107" s="196">
        <f t="shared" si="32"/>
        <v>0</v>
      </c>
      <c r="Q107" s="196">
        <f t="shared" si="32"/>
        <v>0</v>
      </c>
      <c r="R107" s="196">
        <f t="shared" si="32"/>
        <v>0</v>
      </c>
      <c r="S107" s="196">
        <f t="shared" si="32"/>
        <v>0</v>
      </c>
      <c r="T107" s="196">
        <f t="shared" si="32"/>
        <v>0</v>
      </c>
      <c r="U107" s="196">
        <f t="shared" si="32"/>
        <v>0</v>
      </c>
      <c r="V107" s="196">
        <f t="shared" si="32"/>
        <v>0</v>
      </c>
      <c r="W107" s="196">
        <f t="shared" si="32"/>
        <v>0</v>
      </c>
      <c r="X107" s="196">
        <f t="shared" si="32"/>
        <v>0</v>
      </c>
      <c r="Y107" s="196">
        <f t="shared" si="32"/>
        <v>0</v>
      </c>
      <c r="Z107" s="196">
        <f t="shared" si="32"/>
        <v>0</v>
      </c>
      <c r="AA107" s="196">
        <f t="shared" si="32"/>
        <v>0</v>
      </c>
      <c r="AB107" s="196">
        <f t="shared" si="32"/>
        <v>0</v>
      </c>
      <c r="AC107" s="196">
        <f t="shared" si="32"/>
        <v>0</v>
      </c>
      <c r="AD107" s="196">
        <f t="shared" si="32"/>
        <v>0</v>
      </c>
      <c r="AE107" s="196">
        <f t="shared" si="32"/>
        <v>0</v>
      </c>
      <c r="AF107" s="196">
        <f t="shared" si="32"/>
        <v>0</v>
      </c>
      <c r="AG107" s="196">
        <f t="shared" si="32"/>
        <v>0</v>
      </c>
      <c r="AH107" s="196">
        <f t="shared" si="32"/>
        <v>0</v>
      </c>
      <c r="AI107" s="411"/>
      <c r="AJ107" s="411"/>
    </row>
    <row r="108" spans="1:36">
      <c r="A108" s="689"/>
      <c r="B108" s="1" t="s">
        <v>684</v>
      </c>
      <c r="C108" s="51" t="s">
        <v>166</v>
      </c>
      <c r="D108" s="196">
        <f>D22+(D110-D24)</f>
        <v>4665.5191424169407</v>
      </c>
      <c r="E108" s="196">
        <f t="shared" ref="E108:AH108" si="33">E22+(E110-E24)</f>
        <v>4736.4022182723966</v>
      </c>
      <c r="F108" s="196">
        <f t="shared" si="33"/>
        <v>4808.1765213435901</v>
      </c>
      <c r="G108" s="196">
        <f t="shared" si="33"/>
        <v>4880.8456299466125</v>
      </c>
      <c r="H108" s="196">
        <f t="shared" si="33"/>
        <v>4954.4133387563925</v>
      </c>
      <c r="I108" s="196">
        <f t="shared" si="33"/>
        <v>5028.8836617518173</v>
      </c>
      <c r="J108" s="196">
        <f t="shared" si="33"/>
        <v>5104.2608351980762</v>
      </c>
      <c r="K108" s="196">
        <f t="shared" si="33"/>
        <v>5180.5493206666761</v>
      </c>
      <c r="L108" s="196">
        <f t="shared" si="33"/>
        <v>5257.7538080935346</v>
      </c>
      <c r="M108" s="196">
        <f t="shared" si="33"/>
        <v>5335.8792188755888</v>
      </c>
      <c r="N108" s="196">
        <f t="shared" si="33"/>
        <v>5414.9307090063576</v>
      </c>
      <c r="O108" s="196">
        <f t="shared" si="33"/>
        <v>5480.0394113383645</v>
      </c>
      <c r="P108" s="196">
        <f t="shared" si="33"/>
        <v>5545.2232078956222</v>
      </c>
      <c r="Q108" s="196">
        <f t="shared" si="33"/>
        <v>5610.5438793949907</v>
      </c>
      <c r="R108" s="196">
        <f t="shared" si="33"/>
        <v>5675.9274650351508</v>
      </c>
      <c r="S108" s="196">
        <f t="shared" si="33"/>
        <v>5741.3558900699809</v>
      </c>
      <c r="T108" s="196">
        <f t="shared" si="33"/>
        <v>5806.8112212671094</v>
      </c>
      <c r="U108" s="196">
        <f t="shared" si="33"/>
        <v>5872.2756631616921</v>
      </c>
      <c r="V108" s="196">
        <f t="shared" si="33"/>
        <v>5937.7315541850039</v>
      </c>
      <c r="W108" s="196">
        <f t="shared" si="33"/>
        <v>6003.161362667046</v>
      </c>
      <c r="X108" s="196">
        <f t="shared" si="33"/>
        <v>6068.5476827122529</v>
      </c>
      <c r="Y108" s="196">
        <f t="shared" si="33"/>
        <v>6082.7659969317883</v>
      </c>
      <c r="Z108" s="196">
        <f t="shared" si="33"/>
        <v>6094.9100239626187</v>
      </c>
      <c r="AA108" s="196">
        <f t="shared" si="33"/>
        <v>6105.851908023842</v>
      </c>
      <c r="AB108" s="196">
        <f t="shared" si="33"/>
        <v>6114.8760519827974</v>
      </c>
      <c r="AC108" s="196">
        <f t="shared" si="33"/>
        <v>6121.9577729885768</v>
      </c>
      <c r="AD108" s="196">
        <f t="shared" si="33"/>
        <v>6127.0739417014647</v>
      </c>
      <c r="AE108" s="196">
        <f t="shared" si="33"/>
        <v>6130.2029757494583</v>
      </c>
      <c r="AF108" s="196">
        <f t="shared" si="33"/>
        <v>6131.3248322958971</v>
      </c>
      <c r="AG108" s="196">
        <f t="shared" si="33"/>
        <v>6130.4209997419966</v>
      </c>
      <c r="AH108" s="196">
        <f t="shared" si="33"/>
        <v>5078.8441115739151</v>
      </c>
      <c r="AI108" s="411"/>
      <c r="AJ108" s="411"/>
    </row>
    <row r="109" spans="1:36">
      <c r="A109" s="690"/>
      <c r="B109" s="1" t="s">
        <v>27</v>
      </c>
      <c r="C109" s="51" t="s">
        <v>166</v>
      </c>
      <c r="D109" s="599">
        <f>D23-('Ethylene Recycling LC'!C78+'Ethylene Recycling LC'!C81-'Ethylene Recycling LC'!$C$78-'Ethylene Recycling LC'!$C$81+'Ethylene Recycling LC'!C105+'Ethylene Recycling LC'!C108-'Ethylene Recycling LC'!$C$105-'Ethylene Recycling LC'!$C$108)</f>
        <v>81377.175570341657</v>
      </c>
      <c r="E109" s="599">
        <f>E23-('Ethylene Recycling LC'!D78+'Ethylene Recycling LC'!D81-'Ethylene Recycling LC'!$C$78-'Ethylene Recycling LC'!$C$81+'Ethylene Recycling LC'!D105+'Ethylene Recycling LC'!D108-'Ethylene Recycling LC'!$C$105-'Ethylene Recycling LC'!$C$108)</f>
        <v>82615.399721615569</v>
      </c>
      <c r="F109" s="599">
        <f>F23-('Ethylene Recycling LC'!E78+'Ethylene Recycling LC'!E81-'Ethylene Recycling LC'!$C$78-'Ethylene Recycling LC'!$C$81+'Ethylene Recycling LC'!E105+'Ethylene Recycling LC'!E108-'Ethylene Recycling LC'!$C$105-'Ethylene Recycling LC'!$C$108)</f>
        <v>83872.007452464022</v>
      </c>
      <c r="G109" s="599">
        <f>G23-('Ethylene Recycling LC'!F78+'Ethylene Recycling LC'!F81-'Ethylene Recycling LC'!$C$78-'Ethylene Recycling LC'!$C$81+'Ethylene Recycling LC'!F105+'Ethylene Recycling LC'!F108-'Ethylene Recycling LC'!$C$105-'Ethylene Recycling LC'!$C$108)</f>
        <v>85147.271097801931</v>
      </c>
      <c r="H109" s="599">
        <f>H23-('Ethylene Recycling LC'!G78+'Ethylene Recycling LC'!G81-'Ethylene Recycling LC'!$C$78-'Ethylene Recycling LC'!$C$81+'Ethylene Recycling LC'!G105+'Ethylene Recycling LC'!G108-'Ethylene Recycling LC'!$C$105-'Ethylene Recycling LC'!$C$108)</f>
        <v>86441.466802737603</v>
      </c>
      <c r="I109" s="599">
        <f>I23-('Ethylene Recycling LC'!H78+'Ethylene Recycling LC'!H81-'Ethylene Recycling LC'!$C$78-'Ethylene Recycling LC'!$C$81+'Ethylene Recycling LC'!H105+'Ethylene Recycling LC'!H108-'Ethylene Recycling LC'!$C$105-'Ethylene Recycling LC'!$C$108)</f>
        <v>87754.874573942157</v>
      </c>
      <c r="J109" s="599">
        <f>J23-('Ethylene Recycling LC'!I78+'Ethylene Recycling LC'!I81-'Ethylene Recycling LC'!$C$78-'Ethylene Recycling LC'!$C$81+'Ethylene Recycling LC'!I105+'Ethylene Recycling LC'!I108-'Ethylene Recycling LC'!$C$105-'Ethylene Recycling LC'!$C$108)</f>
        <v>89087.778331668495</v>
      </c>
      <c r="K109" s="599">
        <f>K23-('Ethylene Recycling LC'!J78+'Ethylene Recycling LC'!J81-'Ethylene Recycling LC'!$C$78-'Ethylene Recycling LC'!$C$81+'Ethylene Recycling LC'!J105+'Ethylene Recycling LC'!J108-'Ethylene Recycling LC'!$C$105-'Ethylene Recycling LC'!$C$108)</f>
        <v>90440.465962427028</v>
      </c>
      <c r="L109" s="599">
        <f>L23-('Ethylene Recycling LC'!K78+'Ethylene Recycling LC'!K81-'Ethylene Recycling LC'!$C$78-'Ethylene Recycling LC'!$C$81+'Ethylene Recycling LC'!K105+'Ethylene Recycling LC'!K108-'Ethylene Recycling LC'!$C$105-'Ethylene Recycling LC'!$C$108)</f>
        <v>91813.229372325819</v>
      </c>
      <c r="M109" s="599">
        <f>M23-('Ethylene Recycling LC'!L78+'Ethylene Recycling LC'!L81-'Ethylene Recycling LC'!$C$78-'Ethylene Recycling LC'!$C$81+'Ethylene Recycling LC'!L105+'Ethylene Recycling LC'!L108-'Ethylene Recycling LC'!$C$105-'Ethylene Recycling LC'!$C$108)</f>
        <v>93206.364541082308</v>
      </c>
      <c r="N109" s="599">
        <f>N23-('Ethylene Recycling LC'!M78+'Ethylene Recycling LC'!M81-'Ethylene Recycling LC'!$C$78-'Ethylene Recycling LC'!$C$81+'Ethylene Recycling LC'!M105+'Ethylene Recycling LC'!M108-'Ethylene Recycling LC'!$C$105-'Ethylene Recycling LC'!$C$108)</f>
        <v>94620.17157671474</v>
      </c>
      <c r="O109" s="599">
        <f>O23-('Ethylene Recycling LC'!N78+'Ethylene Recycling LC'!N81-'Ethylene Recycling LC'!$C$78-'Ethylene Recycling LC'!$C$81+'Ethylene Recycling LC'!N105+'Ethylene Recycling LC'!N108-'Ethylene Recycling LC'!$C$105-'Ethylene Recycling LC'!$C$108)</f>
        <v>95807.544173331189</v>
      </c>
      <c r="P109" s="599">
        <f>P23-('Ethylene Recycling LC'!O78+'Ethylene Recycling LC'!O81-'Ethylene Recycling LC'!$C$78-'Ethylene Recycling LC'!$C$81+'Ethylene Recycling LC'!O105+'Ethylene Recycling LC'!O108-'Ethylene Recycling LC'!$C$105-'Ethylene Recycling LC'!$C$108)</f>
        <v>97004.767256198655</v>
      </c>
      <c r="Q109" s="599">
        <f>Q23-('Ethylene Recycling LC'!P78+'Ethylene Recycling LC'!P81-'Ethylene Recycling LC'!$C$78-'Ethylene Recycling LC'!$C$81+'Ethylene Recycling LC'!P105+'Ethylene Recycling LC'!P108-'Ethylene Recycling LC'!$C$105-'Ethylene Recycling LC'!$C$108)</f>
        <v>98212.169382579668</v>
      </c>
      <c r="R109" s="599">
        <f>R23-('Ethylene Recycling LC'!Q78+'Ethylene Recycling LC'!Q81-'Ethylene Recycling LC'!$C$78-'Ethylene Recycling LC'!$C$81+'Ethylene Recycling LC'!Q105+'Ethylene Recycling LC'!Q108-'Ethylene Recycling LC'!$C$105-'Ethylene Recycling LC'!$C$108)</f>
        <v>99429.473137923473</v>
      </c>
      <c r="S109" s="599">
        <f>S23-('Ethylene Recycling LC'!R78+'Ethylene Recycling LC'!R81-'Ethylene Recycling LC'!$C$78-'Ethylene Recycling LC'!$C$81+'Ethylene Recycling LC'!R105+'Ethylene Recycling LC'!R108-'Ethylene Recycling LC'!$C$105-'Ethylene Recycling LC'!$C$108)</f>
        <v>100656.66266023833</v>
      </c>
      <c r="T109" s="599">
        <f>T23-('Ethylene Recycling LC'!S78+'Ethylene Recycling LC'!S81-'Ethylene Recycling LC'!$C$78-'Ethylene Recycling LC'!$C$81+'Ethylene Recycling LC'!S105+'Ethylene Recycling LC'!S108-'Ethylene Recycling LC'!$C$105-'Ethylene Recycling LC'!$C$108)</f>
        <v>101893.7187328595</v>
      </c>
      <c r="U109" s="599">
        <f>U23-('Ethylene Recycling LC'!T78+'Ethylene Recycling LC'!T81-'Ethylene Recycling LC'!$C$78-'Ethylene Recycling LC'!$C$81+'Ethylene Recycling LC'!T105+'Ethylene Recycling LC'!T108-'Ethylene Recycling LC'!$C$105-'Ethylene Recycling LC'!$C$108)</f>
        <v>103140.61869598908</v>
      </c>
      <c r="V109" s="599">
        <f>V23-('Ethylene Recycling LC'!U78+'Ethylene Recycling LC'!U81-'Ethylene Recycling LC'!$C$78-'Ethylene Recycling LC'!$C$81+'Ethylene Recycling LC'!U105+'Ethylene Recycling LC'!U108-'Ethylene Recycling LC'!$C$105-'Ethylene Recycling LC'!$C$108)</f>
        <v>104397.33635671197</v>
      </c>
      <c r="W109" s="599">
        <f>W23-('Ethylene Recycling LC'!V78+'Ethylene Recycling LC'!V81-'Ethylene Recycling LC'!$C$78-'Ethylene Recycling LC'!$C$81+'Ethylene Recycling LC'!V105+'Ethylene Recycling LC'!V108-'Ethylene Recycling LC'!$C$105-'Ethylene Recycling LC'!$C$108)</f>
        <v>105663.84189747322</v>
      </c>
      <c r="X109" s="599">
        <f>X23-('Ethylene Recycling LC'!W78+'Ethylene Recycling LC'!W81-'Ethylene Recycling LC'!$C$78-'Ethylene Recycling LC'!$C$81+'Ethylene Recycling LC'!W105+'Ethylene Recycling LC'!W108-'Ethylene Recycling LC'!$C$105-'Ethylene Recycling LC'!$C$108)</f>
        <v>106940.10178300194</v>
      </c>
      <c r="Y109" s="599">
        <f>Y23-('Ethylene Recycling LC'!X78+'Ethylene Recycling LC'!X81-'Ethylene Recycling LC'!$C$78-'Ethylene Recycling LC'!$C$81+'Ethylene Recycling LC'!X105+'Ethylene Recycling LC'!X108-'Ethylene Recycling LC'!$C$105-'Ethylene Recycling LC'!$C$108)</f>
        <v>107386.42836215366</v>
      </c>
      <c r="Z109" s="599">
        <f>Z23-('Ethylene Recycling LC'!Y78+'Ethylene Recycling LC'!Y81-'Ethylene Recycling LC'!$C$78-'Ethylene Recycling LC'!$C$81+'Ethylene Recycling LC'!Y105+'Ethylene Recycling LC'!Y108-'Ethylene Recycling LC'!$C$105-'Ethylene Recycling LC'!$C$108)</f>
        <v>107814.87970277251</v>
      </c>
      <c r="AA109" s="599">
        <f>AA23-('Ethylene Recycling LC'!Z78+'Ethylene Recycling LC'!Z81-'Ethylene Recycling LC'!$C$78-'Ethylene Recycling LC'!$C$81+'Ethylene Recycling LC'!Z105+'Ethylene Recycling LC'!Z108-'Ethylene Recycling LC'!$C$105-'Ethylene Recycling LC'!$C$108)</f>
        <v>108226.95169400686</v>
      </c>
      <c r="AB109" s="599">
        <f>AB23-('Ethylene Recycling LC'!AA78+'Ethylene Recycling LC'!AA81-'Ethylene Recycling LC'!$C$78-'Ethylene Recycling LC'!$C$81+'Ethylene Recycling LC'!AA105+'Ethylene Recycling LC'!AA108-'Ethylene Recycling LC'!$C$105-'Ethylene Recycling LC'!$C$108)</f>
        <v>108620.45410029002</v>
      </c>
      <c r="AC109" s="599">
        <f>AC23-('Ethylene Recycling LC'!AB78+'Ethylene Recycling LC'!AB81-'Ethylene Recycling LC'!$C$78-'Ethylene Recycling LC'!$C$81+'Ethylene Recycling LC'!AB105+'Ethylene Recycling LC'!AB108-'Ethylene Recycling LC'!$C$105-'Ethylene Recycling LC'!$C$108)</f>
        <v>108994.85079442416</v>
      </c>
      <c r="AD109" s="599">
        <f>AD23-('Ethylene Recycling LC'!AC78+'Ethylene Recycling LC'!AC81-'Ethylene Recycling LC'!$C$78-'Ethylene Recycling LC'!$C$81+'Ethylene Recycling LC'!AC105+'Ethylene Recycling LC'!AC108-'Ethylene Recycling LC'!$C$105-'Ethylene Recycling LC'!$C$108)</f>
        <v>109349.59883262652</v>
      </c>
      <c r="AE109" s="599">
        <f>AE23-('Ethylene Recycling LC'!AD78+'Ethylene Recycling LC'!AD81-'Ethylene Recycling LC'!$C$78-'Ethylene Recycling LC'!$C$81+'Ethylene Recycling LC'!AD105+'Ethylene Recycling LC'!AD108-'Ethylene Recycling LC'!$C$105-'Ethylene Recycling LC'!$C$108)</f>
        <v>109684.14857834672</v>
      </c>
      <c r="AF109" s="599">
        <f>AF23-('Ethylene Recycling LC'!AE78+'Ethylene Recycling LC'!AE81-'Ethylene Recycling LC'!$C$78-'Ethylene Recycling LC'!$C$81+'Ethylene Recycling LC'!AE105+'Ethylene Recycling LC'!AE108-'Ethylene Recycling LC'!$C$105-'Ethylene Recycling LC'!$C$108)</f>
        <v>109997.94383716317</v>
      </c>
      <c r="AG109" s="599">
        <f>AG23-('Ethylene Recycling LC'!AF78+'Ethylene Recycling LC'!AF81-'Ethylene Recycling LC'!$C$78-'Ethylene Recycling LC'!$C$81+'Ethylene Recycling LC'!AF105+'Ethylene Recycling LC'!AF108-'Ethylene Recycling LC'!$C$105-'Ethylene Recycling LC'!$C$108)</f>
        <v>110290.42200318218</v>
      </c>
      <c r="AH109" s="599">
        <f>AH23-('Ethylene Recycling LC'!AG78+'Ethylene Recycling LC'!AG81-'Ethylene Recycling LC'!$C$78-'Ethylene Recycling LC'!$C$81+'Ethylene Recycling LC'!AG105+'Ethylene Recycling LC'!AG108-'Ethylene Recycling LC'!$C$105-'Ethylene Recycling LC'!$C$108)</f>
        <v>108844.50615976269</v>
      </c>
      <c r="AI109" s="411"/>
      <c r="AJ109" s="411"/>
    </row>
    <row r="110" spans="1:36" s="62" customFormat="1">
      <c r="A110" s="691" t="s">
        <v>686</v>
      </c>
      <c r="B110" s="55" t="s">
        <v>683</v>
      </c>
      <c r="C110" s="56" t="s">
        <v>166</v>
      </c>
      <c r="D110" s="630">
        <f>D24-('Ethylene Recycling LC'!C79+'Ethylene Recycling LC'!C106-'Ethylene Recycling LC'!$C$79-'Ethylene Recycling LC'!$C$106)</f>
        <v>2126.6711607740358</v>
      </c>
      <c r="E110" s="630">
        <f>E24-('Ethylene Recycling LC'!D79+'Ethylene Recycling LC'!D106-'Ethylene Recycling LC'!$C$79-'Ethylene Recycling LC'!$C$106)</f>
        <v>2158.7857288368195</v>
      </c>
      <c r="F110" s="630">
        <f>F24-('Ethylene Recycling LC'!E79+'Ethylene Recycling LC'!E106-'Ethylene Recycling LC'!$C$79-'Ethylene Recycling LC'!$C$106)</f>
        <v>2191.2121757422437</v>
      </c>
      <c r="G110" s="630">
        <f>G24-('Ethylene Recycling LC'!F79+'Ethylene Recycling LC'!F106-'Ethylene Recycling LC'!$C$79-'Ethylene Recycling LC'!$C$106)</f>
        <v>2223.9456442151995</v>
      </c>
      <c r="H110" s="630">
        <f>H24-('Ethylene Recycling LC'!G79+'Ethylene Recycling LC'!G106-'Ethylene Recycling LC'!$C$79-'Ethylene Recycling LC'!$C$106)</f>
        <v>2256.9813744777025</v>
      </c>
      <c r="I110" s="630">
        <f>I24-('Ethylene Recycling LC'!H79+'Ethylene Recycling LC'!H106-'Ethylene Recycling LC'!$C$79-'Ethylene Recycling LC'!$C$106)</f>
        <v>2290.3147055913573</v>
      </c>
      <c r="J110" s="630">
        <f>J24-('Ethylene Recycling LC'!I79+'Ethylene Recycling LC'!I106-'Ethylene Recycling LC'!$C$79-'Ethylene Recycling LC'!$C$106)</f>
        <v>2323.9410768167936</v>
      </c>
      <c r="K110" s="630">
        <f>K24-('Ethylene Recycling LC'!J79+'Ethylene Recycling LC'!J106-'Ethylene Recycling LC'!$C$79-'Ethylene Recycling LC'!$C$106)</f>
        <v>2357.8560289902698</v>
      </c>
      <c r="L110" s="630">
        <f>L24-('Ethylene Recycling LC'!K79+'Ethylene Recycling LC'!K106-'Ethylene Recycling LC'!$C$79-'Ethylene Recycling LC'!$C$106)</f>
        <v>2392.0552059176371</v>
      </c>
      <c r="M110" s="630">
        <f>M24-('Ethylene Recycling LC'!L79+'Ethylene Recycling LC'!L106-'Ethylene Recycling LC'!$C$79-'Ethylene Recycling LC'!$C$106)</f>
        <v>2426.5343557858564</v>
      </c>
      <c r="N110" s="630">
        <f>N24-('Ethylene Recycling LC'!M79+'Ethylene Recycling LC'!M106-'Ethylene Recycling LC'!$C$79-'Ethylene Recycling LC'!$C$106)</f>
        <v>2461.2893325922755</v>
      </c>
      <c r="O110" s="630">
        <f>O24-('Ethylene Recycling LC'!N79+'Ethylene Recycling LC'!N106-'Ethylene Recycling LC'!$C$79-'Ethylene Recycling LC'!$C$106)</f>
        <v>2489.0201844124754</v>
      </c>
      <c r="P110" s="630">
        <f>P24-('Ethylene Recycling LC'!O79+'Ethylene Recycling LC'!O106-'Ethylene Recycling LC'!$C$79-'Ethylene Recycling LC'!$C$106)</f>
        <v>2516.5086460359926</v>
      </c>
      <c r="Q110" s="630">
        <f>Q24-('Ethylene Recycling LC'!P79+'Ethylene Recycling LC'!P106-'Ethylene Recycling LC'!$C$79-'Ethylene Recycling LC'!$C$106)</f>
        <v>2543.8170189630314</v>
      </c>
      <c r="R110" s="630">
        <f>R24-('Ethylene Recycling LC'!Q79+'Ethylene Recycling LC'!Q106-'Ethylene Recycling LC'!$C$79-'Ethylene Recycling LC'!$C$106)</f>
        <v>2570.8719612484383</v>
      </c>
      <c r="S110" s="630">
        <f>S24-('Ethylene Recycling LC'!R79+'Ethylene Recycling LC'!R106-'Ethylene Recycling LC'!$C$79-'Ethylene Recycling LC'!$C$106)</f>
        <v>2597.6561177236176</v>
      </c>
      <c r="T110" s="630">
        <f>T24-('Ethylene Recycling LC'!S79+'Ethylene Recycling LC'!S106-'Ethylene Recycling LC'!$C$79-'Ethylene Recycling LC'!$C$106)</f>
        <v>2624.1523781504302</v>
      </c>
      <c r="U110" s="630">
        <f>U24-('Ethylene Recycling LC'!T79+'Ethylene Recycling LC'!T106-'Ethylene Recycling LC'!$C$79-'Ethylene Recycling LC'!$C$106)</f>
        <v>2650.3438762175651</v>
      </c>
      <c r="V110" s="630">
        <f>V24-('Ethylene Recycling LC'!U79+'Ethylene Recycling LC'!U106-'Ethylene Recycling LC'!$C$79-'Ethylene Recycling LC'!$C$106)</f>
        <v>2676.2139884594876</v>
      </c>
      <c r="W110" s="630">
        <f>W24-('Ethylene Recycling LC'!V79+'Ethylene Recycling LC'!V106-'Ethylene Recycling LC'!$C$79-'Ethylene Recycling LC'!$C$106)</f>
        <v>2701.7463330975702</v>
      </c>
      <c r="X110" s="630">
        <f>X24-('Ethylene Recycling LC'!W79+'Ethylene Recycling LC'!W106-'Ethylene Recycling LC'!$C$79-'Ethylene Recycling LC'!$C$106)</f>
        <v>2726.9247688030023</v>
      </c>
      <c r="Y110" s="630">
        <f>Y24-('Ethylene Recycling LC'!X79+'Ethylene Recycling LC'!X106-'Ethylene Recycling LC'!$C$79-'Ethylene Recycling LC'!$C$106)</f>
        <v>2726.5630993317591</v>
      </c>
      <c r="Z110" s="630">
        <f>Z24-('Ethylene Recycling LC'!Y79+'Ethylene Recycling LC'!Y106-'Ethylene Recycling LC'!$C$79-'Ethylene Recycling LC'!$C$106)</f>
        <v>2724.6738018543274</v>
      </c>
      <c r="AA110" s="630">
        <f>AA24-('Ethylene Recycling LC'!Z79+'Ethylene Recycling LC'!Z106-'Ethylene Recycling LC'!$C$79-'Ethylene Recycling LC'!$C$106)</f>
        <v>2722.1461233773439</v>
      </c>
      <c r="AB110" s="630">
        <f>AB24-('Ethylene Recycling LC'!AA79+'Ethylene Recycling LC'!AA106-'Ethylene Recycling LC'!$C$79-'Ethylene Recycling LC'!$C$106)</f>
        <v>2718.2817772080616</v>
      </c>
      <c r="AC110" s="630">
        <f>AC24-('Ethylene Recycling LC'!AB79+'Ethylene Recycling LC'!AB106-'Ethylene Recycling LC'!$C$79-'Ethylene Recycling LC'!$C$106)</f>
        <v>2713.0735950126736</v>
      </c>
      <c r="AD110" s="630">
        <f>AD24-('Ethylene Recycling LC'!AC79+'Ethylene Recycling LC'!AC106-'Ethylene Recycling LC'!$C$79-'Ethylene Recycling LC'!$C$106)</f>
        <v>2706.5161621578277</v>
      </c>
      <c r="AE110" s="630">
        <f>AE24-('Ethylene Recycling LC'!AD79+'Ethylene Recycling LC'!AD106-'Ethylene Recycling LC'!$C$79-'Ethylene Recycling LC'!$C$106)</f>
        <v>2698.6058069540659</v>
      </c>
      <c r="AF110" s="630">
        <f>AF24-('Ethylene Recycling LC'!AE79+'Ethylene Recycling LC'!AE106-'Ethylene Recycling LC'!$C$79-'Ethylene Recycling LC'!$C$106)</f>
        <v>2689.3405886724245</v>
      </c>
      <c r="AG110" s="630">
        <f>AG24-('Ethylene Recycling LC'!AF79+'Ethylene Recycling LC'!AF106-'Ethylene Recycling LC'!$C$79-'Ethylene Recycling LC'!$C$106)</f>
        <v>2678.7202843447894</v>
      </c>
      <c r="AH110" s="630">
        <f>AH24-('Ethylene Recycling LC'!AG79+'Ethylene Recycling LC'!AG106-'Ethylene Recycling LC'!$C$79-'Ethylene Recycling LC'!$C$106)</f>
        <v>1618.1159973439817</v>
      </c>
      <c r="AI110" s="411"/>
      <c r="AJ110" s="411"/>
    </row>
    <row r="111" spans="1:36" s="63" customFormat="1">
      <c r="A111" s="692"/>
      <c r="B111" s="59" t="s">
        <v>682</v>
      </c>
      <c r="C111" s="262" t="s">
        <v>166</v>
      </c>
      <c r="D111" s="599">
        <f>D25-('Ethylene Recycling LC'!C80+'Ethylene Recycling LC'!C107-'Ethylene Recycling LC'!$C$80-'Ethylene Recycling LC'!$C$107)</f>
        <v>0</v>
      </c>
      <c r="E111" s="599">
        <f>E25-('Ethylene Recycling LC'!D80+'Ethylene Recycling LC'!D107-'Ethylene Recycling LC'!$C$80-'Ethylene Recycling LC'!$C$107)</f>
        <v>0</v>
      </c>
      <c r="F111" s="599">
        <f>F25-('Ethylene Recycling LC'!E80+'Ethylene Recycling LC'!E107-'Ethylene Recycling LC'!$C$80-'Ethylene Recycling LC'!$C$107)</f>
        <v>0</v>
      </c>
      <c r="G111" s="599">
        <f>G25-('Ethylene Recycling LC'!F80+'Ethylene Recycling LC'!F107-'Ethylene Recycling LC'!$C$80-'Ethylene Recycling LC'!$C$107)</f>
        <v>0</v>
      </c>
      <c r="H111" s="599">
        <f>H25-('Ethylene Recycling LC'!G80+'Ethylene Recycling LC'!G107-'Ethylene Recycling LC'!$C$80-'Ethylene Recycling LC'!$C$107)</f>
        <v>0</v>
      </c>
      <c r="I111" s="599">
        <f>I25-('Ethylene Recycling LC'!H80+'Ethylene Recycling LC'!H107-'Ethylene Recycling LC'!$C$80-'Ethylene Recycling LC'!$C$107)</f>
        <v>0</v>
      </c>
      <c r="J111" s="599">
        <f>J25-('Ethylene Recycling LC'!I80+'Ethylene Recycling LC'!I107-'Ethylene Recycling LC'!$C$80-'Ethylene Recycling LC'!$C$107)</f>
        <v>0</v>
      </c>
      <c r="K111" s="599">
        <f>K25-('Ethylene Recycling LC'!J80+'Ethylene Recycling LC'!J107-'Ethylene Recycling LC'!$C$80-'Ethylene Recycling LC'!$C$107)</f>
        <v>0</v>
      </c>
      <c r="L111" s="599">
        <f>L25-('Ethylene Recycling LC'!K80+'Ethylene Recycling LC'!K107-'Ethylene Recycling LC'!$C$80-'Ethylene Recycling LC'!$C$107)</f>
        <v>0</v>
      </c>
      <c r="M111" s="599">
        <f>M25-('Ethylene Recycling LC'!L80+'Ethylene Recycling LC'!L107-'Ethylene Recycling LC'!$C$80-'Ethylene Recycling LC'!$C$107)</f>
        <v>0</v>
      </c>
      <c r="N111" s="599">
        <f>N25-('Ethylene Recycling LC'!M80+'Ethylene Recycling LC'!M107-'Ethylene Recycling LC'!$C$80-'Ethylene Recycling LC'!$C$107)</f>
        <v>0</v>
      </c>
      <c r="O111" s="599">
        <f>O25-('Ethylene Recycling LC'!N80+'Ethylene Recycling LC'!N107-'Ethylene Recycling LC'!$C$80-'Ethylene Recycling LC'!$C$107)</f>
        <v>0</v>
      </c>
      <c r="P111" s="599">
        <f>P25-('Ethylene Recycling LC'!O80+'Ethylene Recycling LC'!O107-'Ethylene Recycling LC'!$C$80-'Ethylene Recycling LC'!$C$107)</f>
        <v>0</v>
      </c>
      <c r="Q111" s="599">
        <f>Q25-('Ethylene Recycling LC'!P80+'Ethylene Recycling LC'!P107-'Ethylene Recycling LC'!$C$80-'Ethylene Recycling LC'!$C$107)</f>
        <v>0</v>
      </c>
      <c r="R111" s="599">
        <f>R25-('Ethylene Recycling LC'!Q80+'Ethylene Recycling LC'!Q107-'Ethylene Recycling LC'!$C$80-'Ethylene Recycling LC'!$C$107)</f>
        <v>0</v>
      </c>
      <c r="S111" s="599">
        <f>S25-('Ethylene Recycling LC'!R80+'Ethylene Recycling LC'!R107-'Ethylene Recycling LC'!$C$80-'Ethylene Recycling LC'!$C$107)</f>
        <v>0</v>
      </c>
      <c r="T111" s="599">
        <f>T25-('Ethylene Recycling LC'!S80+'Ethylene Recycling LC'!S107-'Ethylene Recycling LC'!$C$80-'Ethylene Recycling LC'!$C$107)</f>
        <v>0</v>
      </c>
      <c r="U111" s="599">
        <f>U25-('Ethylene Recycling LC'!T80+'Ethylene Recycling LC'!T107-'Ethylene Recycling LC'!$C$80-'Ethylene Recycling LC'!$C$107)</f>
        <v>0</v>
      </c>
      <c r="V111" s="599">
        <f>V25-('Ethylene Recycling LC'!U80+'Ethylene Recycling LC'!U107-'Ethylene Recycling LC'!$C$80-'Ethylene Recycling LC'!$C$107)</f>
        <v>0</v>
      </c>
      <c r="W111" s="599">
        <f>W25-('Ethylene Recycling LC'!V80+'Ethylene Recycling LC'!V107-'Ethylene Recycling LC'!$C$80-'Ethylene Recycling LC'!$C$107)</f>
        <v>0</v>
      </c>
      <c r="X111" s="599">
        <f>X25-('Ethylene Recycling LC'!W80+'Ethylene Recycling LC'!W107-'Ethylene Recycling LC'!$C$80-'Ethylene Recycling LC'!$C$107)</f>
        <v>0</v>
      </c>
      <c r="Y111" s="599">
        <f>Y25-('Ethylene Recycling LC'!X80+'Ethylene Recycling LC'!X107-'Ethylene Recycling LC'!$C$80-'Ethylene Recycling LC'!$C$107)</f>
        <v>0</v>
      </c>
      <c r="Z111" s="599">
        <f>Z25-('Ethylene Recycling LC'!Y80+'Ethylene Recycling LC'!Y107-'Ethylene Recycling LC'!$C$80-'Ethylene Recycling LC'!$C$107)</f>
        <v>0</v>
      </c>
      <c r="AA111" s="599">
        <f>AA25-('Ethylene Recycling LC'!Z80+'Ethylene Recycling LC'!Z107-'Ethylene Recycling LC'!$C$80-'Ethylene Recycling LC'!$C$107)</f>
        <v>0</v>
      </c>
      <c r="AB111" s="599">
        <f>AB25-('Ethylene Recycling LC'!AA80+'Ethylene Recycling LC'!AA107-'Ethylene Recycling LC'!$C$80-'Ethylene Recycling LC'!$C$107)</f>
        <v>0</v>
      </c>
      <c r="AC111" s="599">
        <f>AC25-('Ethylene Recycling LC'!AB80+'Ethylene Recycling LC'!AB107-'Ethylene Recycling LC'!$C$80-'Ethylene Recycling LC'!$C$107)</f>
        <v>0</v>
      </c>
      <c r="AD111" s="599">
        <f>AD25-('Ethylene Recycling LC'!AC80+'Ethylene Recycling LC'!AC107-'Ethylene Recycling LC'!$C$80-'Ethylene Recycling LC'!$C$107)</f>
        <v>0</v>
      </c>
      <c r="AE111" s="599">
        <f>AE25-('Ethylene Recycling LC'!AD80+'Ethylene Recycling LC'!AD107-'Ethylene Recycling LC'!$C$80-'Ethylene Recycling LC'!$C$107)</f>
        <v>0</v>
      </c>
      <c r="AF111" s="599">
        <f>AF25-('Ethylene Recycling LC'!AE80+'Ethylene Recycling LC'!AE107-'Ethylene Recycling LC'!$C$80-'Ethylene Recycling LC'!$C$107)</f>
        <v>0</v>
      </c>
      <c r="AG111" s="599">
        <f>AG25-('Ethylene Recycling LC'!AF80+'Ethylene Recycling LC'!AF107-'Ethylene Recycling LC'!$C$80-'Ethylene Recycling LC'!$C$107)</f>
        <v>0</v>
      </c>
      <c r="AH111" s="599">
        <f>AH25-('Ethylene Recycling LC'!AG80+'Ethylene Recycling LC'!AG107-'Ethylene Recycling LC'!$C$80-'Ethylene Recycling LC'!$C$107)</f>
        <v>0</v>
      </c>
      <c r="AI111" s="411"/>
    </row>
    <row r="112" spans="1:36" s="62" customFormat="1">
      <c r="A112" s="55" t="s">
        <v>532</v>
      </c>
      <c r="B112" s="55" t="s">
        <v>195</v>
      </c>
      <c r="C112" s="95" t="s">
        <v>166</v>
      </c>
      <c r="D112" s="633">
        <f t="shared" ref="D112:AH112" si="34">D55</f>
        <v>5757.6219164365802</v>
      </c>
      <c r="E112" s="633">
        <f t="shared" si="34"/>
        <v>5668.6666578276354</v>
      </c>
      <c r="F112" s="633">
        <f t="shared" si="34"/>
        <v>5579.7113992186896</v>
      </c>
      <c r="G112" s="633">
        <f t="shared" si="34"/>
        <v>5490.7561406097448</v>
      </c>
      <c r="H112" s="633">
        <f t="shared" si="34"/>
        <v>5401.8008820007999</v>
      </c>
      <c r="I112" s="633">
        <f t="shared" si="34"/>
        <v>5312.845623391855</v>
      </c>
      <c r="J112" s="633">
        <f t="shared" si="34"/>
        <v>5223.8903647829093</v>
      </c>
      <c r="K112" s="633">
        <f t="shared" si="34"/>
        <v>5134.9351061739644</v>
      </c>
      <c r="L112" s="633">
        <f t="shared" si="34"/>
        <v>5045.9798475650186</v>
      </c>
      <c r="M112" s="633">
        <f t="shared" si="34"/>
        <v>4957.0245889560738</v>
      </c>
      <c r="N112" s="633">
        <f t="shared" si="34"/>
        <v>4868.069330347128</v>
      </c>
      <c r="O112" s="633">
        <f t="shared" si="34"/>
        <v>4805.3112514579698</v>
      </c>
      <c r="P112" s="633">
        <f t="shared" si="34"/>
        <v>4742.5531725688115</v>
      </c>
      <c r="Q112" s="633">
        <f t="shared" si="34"/>
        <v>4679.7950936796524</v>
      </c>
      <c r="R112" s="633">
        <f t="shared" si="34"/>
        <v>4617.0370147904941</v>
      </c>
      <c r="S112" s="633">
        <f t="shared" si="34"/>
        <v>4554.278935901335</v>
      </c>
      <c r="T112" s="633">
        <f t="shared" si="34"/>
        <v>4491.5208570121758</v>
      </c>
      <c r="U112" s="633">
        <f t="shared" si="34"/>
        <v>4428.7627781230167</v>
      </c>
      <c r="V112" s="633">
        <f t="shared" si="34"/>
        <v>4366.0046992338594</v>
      </c>
      <c r="W112" s="633">
        <f t="shared" si="34"/>
        <v>4303.2466203447002</v>
      </c>
      <c r="X112" s="633">
        <f t="shared" si="34"/>
        <v>4240.488541455542</v>
      </c>
      <c r="Y112" s="633">
        <f t="shared" si="34"/>
        <v>4164.7758132544004</v>
      </c>
      <c r="Z112" s="633">
        <f t="shared" si="34"/>
        <v>4089.0630850532589</v>
      </c>
      <c r="AA112" s="633">
        <f t="shared" si="34"/>
        <v>4013.3503568521182</v>
      </c>
      <c r="AB112" s="633">
        <f t="shared" si="34"/>
        <v>3937.6376286509771</v>
      </c>
      <c r="AC112" s="633">
        <f t="shared" si="34"/>
        <v>3861.9249004498356</v>
      </c>
      <c r="AD112" s="633">
        <f t="shared" si="34"/>
        <v>3786.212172248695</v>
      </c>
      <c r="AE112" s="633">
        <f t="shared" si="34"/>
        <v>3710.4994440475548</v>
      </c>
      <c r="AF112" s="633">
        <f t="shared" si="34"/>
        <v>3634.7867158464132</v>
      </c>
      <c r="AG112" s="633">
        <f t="shared" si="34"/>
        <v>3559.0739876452717</v>
      </c>
      <c r="AH112" s="633">
        <f t="shared" si="34"/>
        <v>3483.3612594441311</v>
      </c>
    </row>
    <row r="113" spans="1:36" outlineLevel="1">
      <c r="A113"/>
      <c r="B113" t="s">
        <v>262</v>
      </c>
      <c r="C113" s="51" t="s">
        <v>166</v>
      </c>
      <c r="D113" s="196">
        <f>'Ethylene Recycling LC'!C135-'Ethylene Recycling LC'!$C$135</f>
        <v>0</v>
      </c>
      <c r="E113" s="196">
        <f>'Ethylene Recycling LC'!D135-'Ethylene Recycling LC'!$C$135</f>
        <v>113.01547153909507</v>
      </c>
      <c r="F113" s="196">
        <f>'Ethylene Recycling LC'!E135-'Ethylene Recycling LC'!$C$135</f>
        <v>233.64067154756015</v>
      </c>
      <c r="G113" s="196">
        <f>'Ethylene Recycling LC'!F135-'Ethylene Recycling LC'!$C$135</f>
        <v>361.87560002539522</v>
      </c>
      <c r="H113" s="196">
        <f>'Ethylene Recycling LC'!G135-'Ethylene Recycling LC'!$C$135</f>
        <v>497.72025697260017</v>
      </c>
      <c r="I113" s="196">
        <f>'Ethylene Recycling LC'!H135-'Ethylene Recycling LC'!$C$135</f>
        <v>641.17464238917512</v>
      </c>
      <c r="J113" s="196">
        <f>'Ethylene Recycling LC'!I135-'Ethylene Recycling LC'!$C$135</f>
        <v>750.56654906848905</v>
      </c>
      <c r="K113" s="196">
        <f>'Ethylene Recycling LC'!J135-'Ethylene Recycling LC'!$C$135</f>
        <v>857.76214075961423</v>
      </c>
      <c r="L113" s="196">
        <f>'Ethylene Recycling LC'!K135-'Ethylene Recycling LC'!$C$135</f>
        <v>962.05599563344038</v>
      </c>
      <c r="M113" s="196">
        <f>'Ethylene Recycling LC'!L135-'Ethylene Recycling LC'!$C$135</f>
        <v>1062.7426918608571</v>
      </c>
      <c r="N113" s="196">
        <f>'Ethylene Recycling LC'!M135-'Ethylene Recycling LC'!$C$135</f>
        <v>1159.1168076127533</v>
      </c>
      <c r="O113" s="196">
        <f>'Ethylene Recycling LC'!N135-'Ethylene Recycling LC'!$C$135</f>
        <v>1299.9722735011965</v>
      </c>
      <c r="P113" s="196">
        <f>'Ethylene Recycling LC'!O135-'Ethylene Recycling LC'!$C$135</f>
        <v>1436.7536675216088</v>
      </c>
      <c r="Q113" s="196">
        <f>'Ethylene Recycling LC'!P135-'Ethylene Recycling LC'!$C$135</f>
        <v>1568.1162793122498</v>
      </c>
      <c r="R113" s="196">
        <f>'Ethylene Recycling LC'!Q135-'Ethylene Recycling LC'!$C$135</f>
        <v>1692.715398511376</v>
      </c>
      <c r="S113" s="196">
        <f>'Ethylene Recycling LC'!R135-'Ethylene Recycling LC'!$C$135</f>
        <v>1809.2063147572462</v>
      </c>
      <c r="T113" s="196">
        <f>'Ethylene Recycling LC'!S135-'Ethylene Recycling LC'!$C$135</f>
        <v>1950.3313472297855</v>
      </c>
      <c r="U113" s="196">
        <f>'Ethylene Recycling LC'!T135-'Ethylene Recycling LC'!$C$135</f>
        <v>2086.7905953900163</v>
      </c>
      <c r="V113" s="196">
        <f>'Ethylene Recycling LC'!U135-'Ethylene Recycling LC'!$C$135</f>
        <v>2217.6353639018203</v>
      </c>
      <c r="W113" s="196">
        <f>'Ethylene Recycling LC'!V135-'Ethylene Recycling LC'!$C$135</f>
        <v>2341.9169574290854</v>
      </c>
      <c r="X113" s="196">
        <f>'Ethylene Recycling LC'!W135-'Ethylene Recycling LC'!$C$135</f>
        <v>2458.6866806356938</v>
      </c>
      <c r="Y113" s="196">
        <f>'Ethylene Recycling LC'!X135-'Ethylene Recycling LC'!$C$135</f>
        <v>2653.657719412995</v>
      </c>
      <c r="Z113" s="196">
        <f>'Ethylene Recycling LC'!Y135-'Ethylene Recycling LC'!$C$135</f>
        <v>2838.5052080674482</v>
      </c>
      <c r="AA113" s="196">
        <f>'Ethylene Recycling LC'!Z135-'Ethylene Recycling LC'!$C$135</f>
        <v>3011.5479143578377</v>
      </c>
      <c r="AB113" s="196">
        <f>'Ethylene Recycling LC'!AA135-'Ethylene Recycling LC'!$C$135</f>
        <v>3171.1046060429471</v>
      </c>
      <c r="AC113" s="196">
        <f>'Ethylene Recycling LC'!AB135-'Ethylene Recycling LC'!$C$135</f>
        <v>3315.4940508815548</v>
      </c>
      <c r="AD113" s="196">
        <f>'Ethylene Recycling LC'!AC135-'Ethylene Recycling LC'!$C$135</f>
        <v>3403.1472701532616</v>
      </c>
      <c r="AE113" s="196">
        <f>'Ethylene Recycling LC'!AD135-'Ethylene Recycling LC'!$C$135</f>
        <v>3465.9358758224162</v>
      </c>
      <c r="AF113" s="196">
        <f>'Ethylene Recycling LC'!AE135-'Ethylene Recycling LC'!$C$135</f>
        <v>3501.8315922952588</v>
      </c>
      <c r="AG113" s="196">
        <f>'Ethylene Recycling LC'!AF135-'Ethylene Recycling LC'!$C$135</f>
        <v>3508.8061439780258</v>
      </c>
      <c r="AH113" s="196">
        <f>'Ethylene Recycling LC'!AG135-'Ethylene Recycling LC'!$C$135</f>
        <v>3828.2973639406146</v>
      </c>
    </row>
    <row r="114" spans="1:36" outlineLevel="1">
      <c r="A114"/>
      <c r="B114" t="s">
        <v>264</v>
      </c>
      <c r="C114" s="51" t="s">
        <v>166</v>
      </c>
      <c r="D114" s="196">
        <f>'Ethylene Recycling LC'!C70-'Ethylene Recycling LC'!$C$70</f>
        <v>0</v>
      </c>
      <c r="E114" s="196">
        <f>'Ethylene Recycling LC'!D70-'Ethylene Recycling LC'!$C$70</f>
        <v>-3.2736896147034713</v>
      </c>
      <c r="F114" s="196">
        <f>'Ethylene Recycling LC'!E70-'Ethylene Recycling LC'!$C$70</f>
        <v>-36.043328351381206</v>
      </c>
      <c r="G114" s="196">
        <f>'Ethylene Recycling LC'!F70-'Ethylene Recycling LC'!$C$70</f>
        <v>-97.227067836658534</v>
      </c>
      <c r="H114" s="196">
        <f>'Ethylene Recycling LC'!G70-'Ethylene Recycling LC'!$C$70</f>
        <v>-185.75011102882854</v>
      </c>
      <c r="I114" s="196">
        <f>'Ethylene Recycling LC'!H70-'Ethylene Recycling LC'!$C$70</f>
        <v>-300.54471221787026</v>
      </c>
      <c r="J114" s="196">
        <f>'Ethylene Recycling LC'!I70-'Ethylene Recycling LC'!$C$70</f>
        <v>-440.55017702543046</v>
      </c>
      <c r="K114" s="196">
        <f>'Ethylene Recycling LC'!J70-'Ethylene Recycling LC'!$C$70</f>
        <v>-604.71286240482732</v>
      </c>
      <c r="L114" s="196">
        <f>'Ethylene Recycling LC'!K70-'Ethylene Recycling LC'!$C$70</f>
        <v>-791.98617664106496</v>
      </c>
      <c r="M114" s="196">
        <f>'Ethylene Recycling LC'!L70-'Ethylene Recycling LC'!$C$70</f>
        <v>-1001.3305793508043</v>
      </c>
      <c r="N114" s="196">
        <f>'Ethylene Recycling LC'!M70-'Ethylene Recycling LC'!$C$70</f>
        <v>-1231.7135814823905</v>
      </c>
      <c r="O114" s="196">
        <f>'Ethylene Recycling LC'!N70-'Ethylene Recycling LC'!$C$70</f>
        <v>-1156.6115424584059</v>
      </c>
      <c r="P114" s="196">
        <f>'Ethylene Recycling LC'!O70-'Ethylene Recycling LC'!$C$70</f>
        <v>-1084.9416361021504</v>
      </c>
      <c r="Q114" s="196">
        <f>'Ethylene Recycling LC'!P70-'Ethylene Recycling LC'!$C$70</f>
        <v>-1158.7206008751236</v>
      </c>
      <c r="R114" s="196">
        <f>'Ethylene Recycling LC'!Q70-'Ethylene Recycling LC'!$C$70</f>
        <v>-1298.5175661049507</v>
      </c>
      <c r="S114" s="196">
        <f>'Ethylene Recycling LC'!R70-'Ethylene Recycling LC'!$C$70</f>
        <v>-1500.2391971148827</v>
      </c>
      <c r="T114" s="196">
        <f>'Ethylene Recycling LC'!S70-'Ethylene Recycling LC'!$C$70</f>
        <v>-1759.821462242704</v>
      </c>
      <c r="U114" s="196">
        <f>'Ethylene Recycling LC'!T70-'Ethylene Recycling LC'!$C$70</f>
        <v>-2073.2296328407174</v>
      </c>
      <c r="V114" s="196">
        <f>'Ethylene Recycling LC'!U70-'Ethylene Recycling LC'!$C$70</f>
        <v>-2436.4582832757278</v>
      </c>
      <c r="W114" s="196">
        <f>'Ethylene Recycling LC'!V70-'Ethylene Recycling LC'!$C$70</f>
        <v>-2845.5312909290806</v>
      </c>
      <c r="X114" s="196">
        <f>'Ethylene Recycling LC'!W70-'Ethylene Recycling LC'!$C$70</f>
        <v>-3296.501836196634</v>
      </c>
      <c r="Y114" s="196">
        <f>'Ethylene Recycling LC'!X70-'Ethylene Recycling LC'!$C$70</f>
        <v>-3761.1159247749711</v>
      </c>
      <c r="Z114" s="196">
        <f>'Ethylene Recycling LC'!Y70-'Ethylene Recycling LC'!$C$70</f>
        <v>-4050.1571732283282</v>
      </c>
      <c r="AA114" s="196">
        <f>'Ethylene Recycling LC'!Z70-'Ethylene Recycling LC'!$C$70</f>
        <v>-4408.3814039634435</v>
      </c>
      <c r="AB114" s="196">
        <f>'Ethylene Recycling LC'!AA70-'Ethylene Recycling LC'!$C$70</f>
        <v>-4829.4471891409139</v>
      </c>
      <c r="AC114" s="196">
        <f>'Ethylene Recycling LC'!AB70-'Ethylene Recycling LC'!$C$70</f>
        <v>-5307.060802836726</v>
      </c>
      <c r="AD114" s="196">
        <f>'Ethylene Recycling LC'!AC70-'Ethylene Recycling LC'!$C$70</f>
        <v>-5834.9762210422232</v>
      </c>
      <c r="AE114" s="196">
        <f>'Ethylene Recycling LC'!AD70-'Ethylene Recycling LC'!$C$70</f>
        <v>-6406.9951216641075</v>
      </c>
      <c r="AF114" s="196">
        <f>'Ethylene Recycling LC'!AE70-'Ethylene Recycling LC'!$C$70</f>
        <v>-7016.9668845244687</v>
      </c>
      <c r="AG114" s="196">
        <f>'Ethylene Recycling LC'!AF70-'Ethylene Recycling LC'!$C$70</f>
        <v>-7658.7885913607388</v>
      </c>
      <c r="AH114" s="196">
        <f>'Ethylene Recycling LC'!AG70-'Ethylene Recycling LC'!$C$70</f>
        <v>-8326.4050258257394</v>
      </c>
    </row>
    <row r="115" spans="1:36" s="63" customFormat="1">
      <c r="A115" s="59"/>
      <c r="B115" s="59" t="s">
        <v>263</v>
      </c>
      <c r="C115" s="60" t="s">
        <v>166</v>
      </c>
      <c r="D115" s="636">
        <f>D112-D113-IF(D114&lt;0,0,D114)</f>
        <v>5757.6219164365802</v>
      </c>
      <c r="E115" s="636">
        <f t="shared" ref="E115:AH115" si="35">E112-E113-IF(E114&lt;0,0,E114)</f>
        <v>5555.65118628854</v>
      </c>
      <c r="F115" s="636">
        <f t="shared" si="35"/>
        <v>5346.0707276711291</v>
      </c>
      <c r="G115" s="636">
        <f t="shared" si="35"/>
        <v>5128.8805405843495</v>
      </c>
      <c r="H115" s="636">
        <f t="shared" si="35"/>
        <v>4904.0806250281994</v>
      </c>
      <c r="I115" s="636">
        <f t="shared" si="35"/>
        <v>4671.6709810026796</v>
      </c>
      <c r="J115" s="636">
        <f t="shared" si="35"/>
        <v>4473.3238157144206</v>
      </c>
      <c r="K115" s="636">
        <f t="shared" si="35"/>
        <v>4277.1729654143501</v>
      </c>
      <c r="L115" s="636">
        <f t="shared" si="35"/>
        <v>4083.9238519315782</v>
      </c>
      <c r="M115" s="636">
        <f t="shared" si="35"/>
        <v>3894.2818970952167</v>
      </c>
      <c r="N115" s="636">
        <f t="shared" si="35"/>
        <v>3708.9525227343747</v>
      </c>
      <c r="O115" s="636">
        <f t="shared" si="35"/>
        <v>3505.3389779567733</v>
      </c>
      <c r="P115" s="636">
        <f t="shared" si="35"/>
        <v>3305.7995050472027</v>
      </c>
      <c r="Q115" s="636">
        <f t="shared" si="35"/>
        <v>3111.6788143674025</v>
      </c>
      <c r="R115" s="636">
        <f t="shared" si="35"/>
        <v>2924.3216162791182</v>
      </c>
      <c r="S115" s="636">
        <f t="shared" si="35"/>
        <v>2745.0726211440888</v>
      </c>
      <c r="T115" s="636">
        <f t="shared" si="35"/>
        <v>2541.1895097823904</v>
      </c>
      <c r="U115" s="636">
        <f t="shared" si="35"/>
        <v>2341.9721827330004</v>
      </c>
      <c r="V115" s="636">
        <f t="shared" si="35"/>
        <v>2148.3693353320391</v>
      </c>
      <c r="W115" s="636">
        <f t="shared" si="35"/>
        <v>1961.3296629156148</v>
      </c>
      <c r="X115" s="636">
        <f t="shared" si="35"/>
        <v>1781.8018608198481</v>
      </c>
      <c r="Y115" s="636">
        <f t="shared" si="35"/>
        <v>1511.1180938414054</v>
      </c>
      <c r="Z115" s="636">
        <f t="shared" si="35"/>
        <v>1250.5578769858107</v>
      </c>
      <c r="AA115" s="636">
        <f t="shared" si="35"/>
        <v>1001.8024424942805</v>
      </c>
      <c r="AB115" s="636">
        <f t="shared" si="35"/>
        <v>766.53302260803002</v>
      </c>
      <c r="AC115" s="636">
        <f t="shared" si="35"/>
        <v>546.43084956828079</v>
      </c>
      <c r="AD115" s="636">
        <f t="shared" si="35"/>
        <v>383.06490209543335</v>
      </c>
      <c r="AE115" s="636">
        <f t="shared" si="35"/>
        <v>244.56356822513862</v>
      </c>
      <c r="AF115" s="636">
        <f t="shared" si="35"/>
        <v>132.95512355115443</v>
      </c>
      <c r="AG115" s="636">
        <f t="shared" si="35"/>
        <v>50.26784366724587</v>
      </c>
      <c r="AH115" s="636">
        <f t="shared" si="35"/>
        <v>-344.93610449648349</v>
      </c>
      <c r="AJ115" s="63" t="s">
        <v>859</v>
      </c>
    </row>
    <row r="116" spans="1:36" s="62" customFormat="1">
      <c r="A116" s="688" t="s">
        <v>685</v>
      </c>
      <c r="B116" s="55" t="s">
        <v>141</v>
      </c>
      <c r="C116" s="56" t="s">
        <v>166</v>
      </c>
      <c r="D116" s="630">
        <f>D56-('Ethylene Recycling LC'!C71+'Ethylene Recycling LC'!C136-'Ethylene Recycling LC'!$C$71-'Ethylene Recycling LC'!$C$136)</f>
        <v>0</v>
      </c>
      <c r="E116" s="630">
        <f>E56-('Ethylene Recycling LC'!D71+'Ethylene Recycling LC'!D136-'Ethylene Recycling LC'!$C$71-'Ethylene Recycling LC'!$C$136)</f>
        <v>0</v>
      </c>
      <c r="F116" s="630">
        <f>F56-('Ethylene Recycling LC'!E71+'Ethylene Recycling LC'!E136-'Ethylene Recycling LC'!$C$71-'Ethylene Recycling LC'!$C$136)</f>
        <v>0</v>
      </c>
      <c r="G116" s="630">
        <f>G56-('Ethylene Recycling LC'!F71+'Ethylene Recycling LC'!F136-'Ethylene Recycling LC'!$C$71-'Ethylene Recycling LC'!$C$136)</f>
        <v>0</v>
      </c>
      <c r="H116" s="630">
        <f>H56-('Ethylene Recycling LC'!G71+'Ethylene Recycling LC'!G136-'Ethylene Recycling LC'!$C$71-'Ethylene Recycling LC'!$C$136)</f>
        <v>0</v>
      </c>
      <c r="I116" s="630">
        <f>I56-('Ethylene Recycling LC'!H71+'Ethylene Recycling LC'!H136-'Ethylene Recycling LC'!$C$71-'Ethylene Recycling LC'!$C$136)</f>
        <v>0</v>
      </c>
      <c r="J116" s="630">
        <f>J56-('Ethylene Recycling LC'!I71+'Ethylene Recycling LC'!I136-'Ethylene Recycling LC'!$C$71-'Ethylene Recycling LC'!$C$136)</f>
        <v>0</v>
      </c>
      <c r="K116" s="630">
        <f>K56-('Ethylene Recycling LC'!J71+'Ethylene Recycling LC'!J136-'Ethylene Recycling LC'!$C$71-'Ethylene Recycling LC'!$C$136)</f>
        <v>0</v>
      </c>
      <c r="L116" s="630">
        <f>L56-('Ethylene Recycling LC'!K71+'Ethylene Recycling LC'!K136-'Ethylene Recycling LC'!$C$71-'Ethylene Recycling LC'!$C$136)</f>
        <v>0</v>
      </c>
      <c r="M116" s="630">
        <f>M56-('Ethylene Recycling LC'!L71+'Ethylene Recycling LC'!L136-'Ethylene Recycling LC'!$C$71-'Ethylene Recycling LC'!$C$136)</f>
        <v>0</v>
      </c>
      <c r="N116" s="630">
        <f>N56-('Ethylene Recycling LC'!M71+'Ethylene Recycling LC'!M136-'Ethylene Recycling LC'!$C$71-'Ethylene Recycling LC'!$C$136)</f>
        <v>0</v>
      </c>
      <c r="O116" s="630">
        <f>O56-('Ethylene Recycling LC'!N71+'Ethylene Recycling LC'!N136-'Ethylene Recycling LC'!$C$71-'Ethylene Recycling LC'!$C$136)</f>
        <v>0</v>
      </c>
      <c r="P116" s="630">
        <f>P56-('Ethylene Recycling LC'!O71+'Ethylene Recycling LC'!O136-'Ethylene Recycling LC'!$C$71-'Ethylene Recycling LC'!$C$136)</f>
        <v>0</v>
      </c>
      <c r="Q116" s="630">
        <f>Q56-('Ethylene Recycling LC'!P71+'Ethylene Recycling LC'!P136-'Ethylene Recycling LC'!$C$71-'Ethylene Recycling LC'!$C$136)</f>
        <v>0</v>
      </c>
      <c r="R116" s="630">
        <f>R56-('Ethylene Recycling LC'!Q71+'Ethylene Recycling LC'!Q136-'Ethylene Recycling LC'!$C$71-'Ethylene Recycling LC'!$C$136)</f>
        <v>0</v>
      </c>
      <c r="S116" s="630">
        <f>S56-('Ethylene Recycling LC'!R71+'Ethylene Recycling LC'!R136-'Ethylene Recycling LC'!$C$71-'Ethylene Recycling LC'!$C$136)</f>
        <v>0</v>
      </c>
      <c r="T116" s="630">
        <f>T56-('Ethylene Recycling LC'!S71+'Ethylene Recycling LC'!S136-'Ethylene Recycling LC'!$C$71-'Ethylene Recycling LC'!$C$136)</f>
        <v>0</v>
      </c>
      <c r="U116" s="630">
        <f>U56-('Ethylene Recycling LC'!T71+'Ethylene Recycling LC'!T136-'Ethylene Recycling LC'!$C$71-'Ethylene Recycling LC'!$C$136)</f>
        <v>0</v>
      </c>
      <c r="V116" s="630">
        <f>V56-('Ethylene Recycling LC'!U71+'Ethylene Recycling LC'!U136-'Ethylene Recycling LC'!$C$71-'Ethylene Recycling LC'!$C$136)</f>
        <v>0</v>
      </c>
      <c r="W116" s="630">
        <f>W56-('Ethylene Recycling LC'!V71+'Ethylene Recycling LC'!V136-'Ethylene Recycling LC'!$C$71-'Ethylene Recycling LC'!$C$136)</f>
        <v>0</v>
      </c>
      <c r="X116" s="630">
        <f>X56-('Ethylene Recycling LC'!W71+'Ethylene Recycling LC'!W136-'Ethylene Recycling LC'!$C$71-'Ethylene Recycling LC'!$C$136)</f>
        <v>0</v>
      </c>
      <c r="Y116" s="630">
        <f>Y56-('Ethylene Recycling LC'!X71+'Ethylene Recycling LC'!X136-'Ethylene Recycling LC'!$C$71-'Ethylene Recycling LC'!$C$136)</f>
        <v>0</v>
      </c>
      <c r="Z116" s="630">
        <f>Z56-('Ethylene Recycling LC'!Y71+'Ethylene Recycling LC'!Y136-'Ethylene Recycling LC'!$C$71-'Ethylene Recycling LC'!$C$136)</f>
        <v>0</v>
      </c>
      <c r="AA116" s="630">
        <f>AA56-('Ethylene Recycling LC'!Z71+'Ethylene Recycling LC'!Z136-'Ethylene Recycling LC'!$C$71-'Ethylene Recycling LC'!$C$136)</f>
        <v>0</v>
      </c>
      <c r="AB116" s="630">
        <f>AB56-('Ethylene Recycling LC'!AA71+'Ethylene Recycling LC'!AA136-'Ethylene Recycling LC'!$C$71-'Ethylene Recycling LC'!$C$136)</f>
        <v>0</v>
      </c>
      <c r="AC116" s="630">
        <f>AC56-('Ethylene Recycling LC'!AB71+'Ethylene Recycling LC'!AB136-'Ethylene Recycling LC'!$C$71-'Ethylene Recycling LC'!$C$136)</f>
        <v>0</v>
      </c>
      <c r="AD116" s="630">
        <f>AD56-('Ethylene Recycling LC'!AC71+'Ethylene Recycling LC'!AC136-'Ethylene Recycling LC'!$C$71-'Ethylene Recycling LC'!$C$136)</f>
        <v>0</v>
      </c>
      <c r="AE116" s="630">
        <f>AE56-('Ethylene Recycling LC'!AD71+'Ethylene Recycling LC'!AD136-'Ethylene Recycling LC'!$C$71-'Ethylene Recycling LC'!$C$136)</f>
        <v>0</v>
      </c>
      <c r="AF116" s="630">
        <f>AF56-('Ethylene Recycling LC'!AE71+'Ethylene Recycling LC'!AE136-'Ethylene Recycling LC'!$C$71-'Ethylene Recycling LC'!$C$136)</f>
        <v>0</v>
      </c>
      <c r="AG116" s="630">
        <f>AG56-('Ethylene Recycling LC'!AF71+'Ethylene Recycling LC'!AF136-'Ethylene Recycling LC'!$C$71-'Ethylene Recycling LC'!$C$136)</f>
        <v>0</v>
      </c>
      <c r="AH116" s="630">
        <f>AH56-('Ethylene Recycling LC'!AG71+'Ethylene Recycling LC'!AG136-'Ethylene Recycling LC'!$C$71-'Ethylene Recycling LC'!$C$136)</f>
        <v>0</v>
      </c>
      <c r="AI116" s="57"/>
    </row>
    <row r="117" spans="1:36">
      <c r="A117" s="689"/>
      <c r="B117" s="1" t="s">
        <v>18</v>
      </c>
      <c r="C117" s="51" t="s">
        <v>166</v>
      </c>
      <c r="D117" s="196">
        <f>D57+(D121-D61)</f>
        <v>5757.6219164365802</v>
      </c>
      <c r="E117" s="196">
        <f t="shared" ref="E117:AH117" si="36">E57+(E121-E61)</f>
        <v>5555.6624217041181</v>
      </c>
      <c r="F117" s="196">
        <f t="shared" si="36"/>
        <v>5346.0939550222602</v>
      </c>
      <c r="G117" s="196">
        <f t="shared" si="36"/>
        <v>5128.9165163910093</v>
      </c>
      <c r="H117" s="196">
        <f t="shared" si="36"/>
        <v>4904.1301058103636</v>
      </c>
      <c r="I117" s="196">
        <f t="shared" si="36"/>
        <v>4671.734723280324</v>
      </c>
      <c r="J117" s="196">
        <f t="shared" si="36"/>
        <v>4473.3984331715037</v>
      </c>
      <c r="K117" s="196">
        <f t="shared" si="36"/>
        <v>4277.258239704558</v>
      </c>
      <c r="L117" s="196">
        <f t="shared" si="36"/>
        <v>4084.0194945791955</v>
      </c>
      <c r="M117" s="196">
        <f t="shared" si="36"/>
        <v>3894.3875494951253</v>
      </c>
      <c r="N117" s="196">
        <f t="shared" si="36"/>
        <v>3709.0677561520561</v>
      </c>
      <c r="O117" s="196">
        <f t="shared" si="36"/>
        <v>3505.4682144987532</v>
      </c>
      <c r="P117" s="196">
        <f t="shared" si="36"/>
        <v>3305.942339690258</v>
      </c>
      <c r="Q117" s="196">
        <f t="shared" si="36"/>
        <v>3111.8347084041384</v>
      </c>
      <c r="R117" s="196">
        <f t="shared" si="36"/>
        <v>2924.489897317967</v>
      </c>
      <c r="S117" s="196">
        <f t="shared" si="36"/>
        <v>2745.2524831093119</v>
      </c>
      <c r="T117" s="196">
        <f t="shared" si="36"/>
        <v>2541.383401670832</v>
      </c>
      <c r="U117" s="196">
        <f t="shared" si="36"/>
        <v>2342.1796406964368</v>
      </c>
      <c r="V117" s="196">
        <f t="shared" si="36"/>
        <v>2148.5898012078464</v>
      </c>
      <c r="W117" s="196">
        <f t="shared" si="36"/>
        <v>1961.5624842267703</v>
      </c>
      <c r="X117" s="196">
        <f t="shared" si="36"/>
        <v>1782.0462907749284</v>
      </c>
      <c r="Y117" s="196">
        <f t="shared" si="36"/>
        <v>1511.3819068120711</v>
      </c>
      <c r="Z117" s="196">
        <f t="shared" si="36"/>
        <v>1250.8400665408958</v>
      </c>
      <c r="AA117" s="196">
        <f t="shared" si="36"/>
        <v>1002.1018350631775</v>
      </c>
      <c r="AB117" s="196">
        <f t="shared" si="36"/>
        <v>766.84827748068801</v>
      </c>
      <c r="AC117" s="196">
        <f t="shared" si="36"/>
        <v>546.76045889520628</v>
      </c>
      <c r="AD117" s="196">
        <f t="shared" si="36"/>
        <v>383.40322545356048</v>
      </c>
      <c r="AE117" s="196">
        <f t="shared" si="36"/>
        <v>244.90813370276146</v>
      </c>
      <c r="AF117" s="196">
        <f t="shared" si="36"/>
        <v>133.30325759586367</v>
      </c>
      <c r="AG117" s="196">
        <f t="shared" si="36"/>
        <v>50.616671085929283</v>
      </c>
      <c r="AH117" s="196">
        <f t="shared" si="36"/>
        <v>-344.55551490771222</v>
      </c>
      <c r="AI117" s="41"/>
    </row>
    <row r="118" spans="1:36">
      <c r="A118" s="689"/>
      <c r="B118" s="1" t="s">
        <v>684</v>
      </c>
      <c r="C118" s="51" t="s">
        <v>166</v>
      </c>
      <c r="D118" s="196">
        <f>D58+(D120-D60)</f>
        <v>0</v>
      </c>
      <c r="E118" s="196">
        <f t="shared" ref="E118:AH118" si="37">E58+(E120-E60)</f>
        <v>0</v>
      </c>
      <c r="F118" s="196">
        <f t="shared" si="37"/>
        <v>0</v>
      </c>
      <c r="G118" s="196">
        <f t="shared" si="37"/>
        <v>0</v>
      </c>
      <c r="H118" s="196">
        <f t="shared" si="37"/>
        <v>0</v>
      </c>
      <c r="I118" s="196">
        <f t="shared" si="37"/>
        <v>0</v>
      </c>
      <c r="J118" s="196">
        <f t="shared" si="37"/>
        <v>0</v>
      </c>
      <c r="K118" s="196">
        <f t="shared" si="37"/>
        <v>0</v>
      </c>
      <c r="L118" s="196">
        <f t="shared" si="37"/>
        <v>0</v>
      </c>
      <c r="M118" s="196">
        <f t="shared" si="37"/>
        <v>0</v>
      </c>
      <c r="N118" s="196">
        <f t="shared" si="37"/>
        <v>0</v>
      </c>
      <c r="O118" s="196">
        <f t="shared" si="37"/>
        <v>0</v>
      </c>
      <c r="P118" s="196">
        <f t="shared" si="37"/>
        <v>0</v>
      </c>
      <c r="Q118" s="196">
        <f t="shared" si="37"/>
        <v>0</v>
      </c>
      <c r="R118" s="196">
        <f t="shared" si="37"/>
        <v>0</v>
      </c>
      <c r="S118" s="196">
        <f t="shared" si="37"/>
        <v>0</v>
      </c>
      <c r="T118" s="196">
        <f t="shared" si="37"/>
        <v>0</v>
      </c>
      <c r="U118" s="196">
        <f t="shared" si="37"/>
        <v>0</v>
      </c>
      <c r="V118" s="196">
        <f t="shared" si="37"/>
        <v>0</v>
      </c>
      <c r="W118" s="196">
        <f t="shared" si="37"/>
        <v>0</v>
      </c>
      <c r="X118" s="196">
        <f t="shared" si="37"/>
        <v>0</v>
      </c>
      <c r="Y118" s="196">
        <f t="shared" si="37"/>
        <v>0</v>
      </c>
      <c r="Z118" s="196">
        <f t="shared" si="37"/>
        <v>0</v>
      </c>
      <c r="AA118" s="196">
        <f t="shared" si="37"/>
        <v>0</v>
      </c>
      <c r="AB118" s="196">
        <f t="shared" si="37"/>
        <v>0</v>
      </c>
      <c r="AC118" s="196">
        <f t="shared" si="37"/>
        <v>0</v>
      </c>
      <c r="AD118" s="196">
        <f t="shared" si="37"/>
        <v>0</v>
      </c>
      <c r="AE118" s="196">
        <f t="shared" si="37"/>
        <v>0</v>
      </c>
      <c r="AF118" s="196">
        <f t="shared" si="37"/>
        <v>0</v>
      </c>
      <c r="AG118" s="196">
        <f t="shared" si="37"/>
        <v>0</v>
      </c>
      <c r="AH118" s="196">
        <f t="shared" si="37"/>
        <v>0</v>
      </c>
      <c r="AI118" s="41"/>
    </row>
    <row r="119" spans="1:36">
      <c r="A119" s="690"/>
      <c r="B119" s="1" t="s">
        <v>27</v>
      </c>
      <c r="C119" s="51" t="s">
        <v>166</v>
      </c>
      <c r="D119" s="196">
        <f>D59-('Ethylene Recycling LC'!C72+'Ethylene Recycling LC'!C75-'Ethylene Recycling LC'!$C$72-'Ethylene Recycling LC'!$C$75+'Ethylene Recycling LC'!C137+'Ethylene Recycling LC'!C140-'Ethylene Recycling LC'!$C$137-'Ethylene Recycling LC'!$C$140)</f>
        <v>0</v>
      </c>
      <c r="E119" s="196">
        <f>E59-('Ethylene Recycling LC'!D72+'Ethylene Recycling LC'!D75-'Ethylene Recycling LC'!$C$72-'Ethylene Recycling LC'!$C$75+'Ethylene Recycling LC'!D137+'Ethylene Recycling LC'!D140-'Ethylene Recycling LC'!$C$137-'Ethylene Recycling LC'!$C$140)</f>
        <v>-0.5940315679672209</v>
      </c>
      <c r="F119" s="196">
        <f>F59-('Ethylene Recycling LC'!E72+'Ethylene Recycling LC'!E75-'Ethylene Recycling LC'!$C$72-'Ethylene Recycling LC'!$C$75+'Ethylene Recycling LC'!E137+'Ethylene Recycling LC'!E140-'Ethylene Recycling LC'!$C$137-'Ethylene Recycling LC'!$C$140)</f>
        <v>-1.1866440239033811</v>
      </c>
      <c r="G119" s="196">
        <f>G59-('Ethylene Recycling LC'!F72+'Ethylene Recycling LC'!F75-'Ethylene Recycling LC'!$C$72-'Ethylene Recycling LC'!$C$75+'Ethylene Recycling LC'!F137+'Ethylene Recycling LC'!F140-'Ethylene Recycling LC'!$C$137-'Ethylene Recycling LC'!$C$140)</f>
        <v>-1.7750076771520178</v>
      </c>
      <c r="H119" s="196">
        <f>H59-('Ethylene Recycling LC'!G72+'Ethylene Recycling LC'!G75-'Ethylene Recycling LC'!$C$72-'Ethylene Recycling LC'!$C$75+'Ethylene Recycling LC'!G137+'Ethylene Recycling LC'!G140-'Ethylene Recycling LC'!$C$137-'Ethylene Recycling LC'!$C$140)</f>
        <v>-2.3564355522610385</v>
      </c>
      <c r="I119" s="196">
        <f>I59-('Ethylene Recycling LC'!H72+'Ethylene Recycling LC'!H75-'Ethylene Recycling LC'!$C$72-'Ethylene Recycling LC'!$C$75+'Ethylene Recycling LC'!H137+'Ethylene Recycling LC'!H140-'Ethylene Recycling LC'!$C$137-'Ethylene Recycling LC'!$C$140)</f>
        <v>-2.9283822186079873</v>
      </c>
      <c r="J119" s="196">
        <f>J59-('Ethylene Recycling LC'!I72+'Ethylene Recycling LC'!I75-'Ethylene Recycling LC'!$C$72-'Ethylene Recycling LC'!$C$75+'Ethylene Recycling LC'!I137+'Ethylene Recycling LC'!I140-'Ethylene Recycling LC'!$C$137-'Ethylene Recycling LC'!$C$140)</f>
        <v>-3.4842997840080896</v>
      </c>
      <c r="K119" s="196">
        <f>K59-('Ethylene Recycling LC'!J72+'Ethylene Recycling LC'!J75-'Ethylene Recycling LC'!$C$72-'Ethylene Recycling LC'!$C$75+'Ethylene Recycling LC'!J137+'Ethylene Recycling LC'!J140-'Ethylene Recycling LC'!$C$137-'Ethylene Recycling LC'!$C$140)</f>
        <v>-4.0250903661015016</v>
      </c>
      <c r="L119" s="196">
        <f>L59-('Ethylene Recycling LC'!K72+'Ethylene Recycling LC'!K75-'Ethylene Recycling LC'!$C$72-'Ethylene Recycling LC'!$C$75+'Ethylene Recycling LC'!K137+'Ethylene Recycling LC'!K140-'Ethylene Recycling LC'!$C$137-'Ethylene Recycling LC'!$C$140)</f>
        <v>-4.5485560171045236</v>
      </c>
      <c r="M119" s="196">
        <f>M59-('Ethylene Recycling LC'!L72+'Ethylene Recycling LC'!L75-'Ethylene Recycling LC'!$C$72-'Ethylene Recycling LC'!$C$75+'Ethylene Recycling LC'!L137+'Ethylene Recycling LC'!L140-'Ethylene Recycling LC'!$C$137-'Ethylene Recycling LC'!$C$140)</f>
        <v>-5.0526356525641649</v>
      </c>
      <c r="N119" s="196">
        <f>N59-('Ethylene Recycling LC'!M72+'Ethylene Recycling LC'!M75-'Ethylene Recycling LC'!$C$72-'Ethylene Recycling LC'!$C$75+'Ethylene Recycling LC'!M137+'Ethylene Recycling LC'!M140-'Ethylene Recycling LC'!$C$137-'Ethylene Recycling LC'!$C$140)</f>
        <v>-5.5354038809834023</v>
      </c>
      <c r="O119" s="196">
        <f>O59-('Ethylene Recycling LC'!N72+'Ethylene Recycling LC'!N75-'Ethylene Recycling LC'!$C$72-'Ethylene Recycling LC'!$C$75+'Ethylene Recycling LC'!N137+'Ethylene Recycling LC'!N140-'Ethylene Recycling LC'!$C$137-'Ethylene Recycling LC'!$C$140)</f>
        <v>-6.1188478876370578</v>
      </c>
      <c r="P119" s="196">
        <f>P59-('Ethylene Recycling LC'!O72+'Ethylene Recycling LC'!O75-'Ethylene Recycling LC'!$C$72-'Ethylene Recycling LC'!$C$75+'Ethylene Recycling LC'!O137+'Ethylene Recycling LC'!O140-'Ethylene Recycling LC'!$C$137-'Ethylene Recycling LC'!$C$140)</f>
        <v>-6.7055058323485515</v>
      </c>
      <c r="Q119" s="196">
        <f>Q59-('Ethylene Recycling LC'!P72+'Ethylene Recycling LC'!P75-'Ethylene Recycling LC'!$C$72-'Ethylene Recycling LC'!$C$75+'Ethylene Recycling LC'!P137+'Ethylene Recycling LC'!P140-'Ethylene Recycling LC'!$C$137-'Ethylene Recycling LC'!$C$140)</f>
        <v>-7.2336154712361784</v>
      </c>
      <c r="R119" s="196">
        <f>R59-('Ethylene Recycling LC'!Q72+'Ethylene Recycling LC'!Q75-'Ethylene Recycling LC'!$C$72-'Ethylene Recycling LC'!$C$75+'Ethylene Recycling LC'!Q137+'Ethylene Recycling LC'!Q140-'Ethylene Recycling LC'!$C$137-'Ethylene Recycling LC'!$C$140)</f>
        <v>-7.7254730769780702</v>
      </c>
      <c r="S119" s="196">
        <f>S59-('Ethylene Recycling LC'!R72+'Ethylene Recycling LC'!R75-'Ethylene Recycling LC'!$C$72-'Ethylene Recycling LC'!$C$75+'Ethylene Recycling LC'!R137+'Ethylene Recycling LC'!R140-'Ethylene Recycling LC'!$C$137-'Ethylene Recycling LC'!$C$140)</f>
        <v>-8.1764086203758204</v>
      </c>
      <c r="T119" s="196">
        <f>T59-('Ethylene Recycling LC'!S72+'Ethylene Recycling LC'!S75-'Ethylene Recycling LC'!$C$72-'Ethylene Recycling LC'!$C$75+'Ethylene Recycling LC'!S137+'Ethylene Recycling LC'!S140-'Ethylene Recycling LC'!$C$137-'Ethylene Recycling LC'!$C$140)</f>
        <v>-8.5856687920628509</v>
      </c>
      <c r="U119" s="196">
        <f>U59-('Ethylene Recycling LC'!T72+'Ethylene Recycling LC'!T75-'Ethylene Recycling LC'!$C$72-'Ethylene Recycling LC'!$C$75+'Ethylene Recycling LC'!T137+'Ethylene Recycling LC'!T140-'Ethylene Recycling LC'!$C$137-'Ethylene Recycling LC'!$C$140)</f>
        <v>-8.9468554644038694</v>
      </c>
      <c r="V119" s="196">
        <f>V59-('Ethylene Recycling LC'!U72+'Ethylene Recycling LC'!U75-'Ethylene Recycling LC'!$C$72-'Ethylene Recycling LC'!$C$75+'Ethylene Recycling LC'!U137+'Ethylene Recycling LC'!U140-'Ethylene Recycling LC'!$C$137-'Ethylene Recycling LC'!$C$140)</f>
        <v>-9.2569072761235844</v>
      </c>
      <c r="W119" s="196">
        <f>W59-('Ethylene Recycling LC'!V72+'Ethylene Recycling LC'!V75-'Ethylene Recycling LC'!$C$72-'Ethylene Recycling LC'!$C$75+'Ethylene Recycling LC'!V137+'Ethylene Recycling LC'!V140-'Ethylene Recycling LC'!$C$137-'Ethylene Recycling LC'!$C$140)</f>
        <v>-9.5132762379456111</v>
      </c>
      <c r="X119" s="196">
        <f>X59-('Ethylene Recycling LC'!W72+'Ethylene Recycling LC'!W75-'Ethylene Recycling LC'!$C$72-'Ethylene Recycling LC'!$C$75+'Ethylene Recycling LC'!W137+'Ethylene Recycling LC'!W140-'Ethylene Recycling LC'!$C$137-'Ethylene Recycling LC'!$C$140)</f>
        <v>-9.7139228689001431</v>
      </c>
      <c r="Y119" s="196">
        <f>Y59-('Ethylene Recycling LC'!X72+'Ethylene Recycling LC'!X75-'Ethylene Recycling LC'!$C$72-'Ethylene Recycling LC'!$C$75+'Ethylene Recycling LC'!X137+'Ethylene Recycling LC'!X140-'Ethylene Recycling LC'!$C$137-'Ethylene Recycling LC'!$C$140)</f>
        <v>-9.8828920813178236</v>
      </c>
      <c r="Z119" s="196">
        <f>Z59-('Ethylene Recycling LC'!Y72+'Ethylene Recycling LC'!Y75-'Ethylene Recycling LC'!$C$72-'Ethylene Recycling LC'!$C$75+'Ethylene Recycling LC'!Y137+'Ethylene Recycling LC'!Y140-'Ethylene Recycling LC'!$C$137-'Ethylene Recycling LC'!$C$140)</f>
        <v>-10.148230715236476</v>
      </c>
      <c r="AA119" s="196">
        <f>AA59-('Ethylene Recycling LC'!Z72+'Ethylene Recycling LC'!Z75-'Ethylene Recycling LC'!$C$72-'Ethylene Recycling LC'!$C$75+'Ethylene Recycling LC'!Z137+'Ethylene Recycling LC'!Z140-'Ethylene Recycling LC'!$C$137-'Ethylene Recycling LC'!$C$140)</f>
        <v>-10.34038431751107</v>
      </c>
      <c r="AB119" s="196">
        <f>AB59-('Ethylene Recycling LC'!AA72+'Ethylene Recycling LC'!AA75-'Ethylene Recycling LC'!$C$72-'Ethylene Recycling LC'!$C$75+'Ethylene Recycling LC'!AA137+'Ethylene Recycling LC'!AA140-'Ethylene Recycling LC'!$C$137-'Ethylene Recycling LC'!$C$140)</f>
        <v>-10.457348203102784</v>
      </c>
      <c r="AC119" s="196">
        <f>AC59-('Ethylene Recycling LC'!AB72+'Ethylene Recycling LC'!AB75-'Ethylene Recycling LC'!$C$72-'Ethylene Recycling LC'!$C$75+'Ethylene Recycling LC'!AB137+'Ethylene Recycling LC'!AB140-'Ethylene Recycling LC'!$C$137-'Ethylene Recycling LC'!$C$140)</f>
        <v>-10.497920135675077</v>
      </c>
      <c r="AD119" s="196">
        <f>AD59-('Ethylene Recycling LC'!AC72+'Ethylene Recycling LC'!AC75-'Ethylene Recycling LC'!$C$72-'Ethylene Recycling LC'!$C$75+'Ethylene Recycling LC'!AC137+'Ethylene Recycling LC'!AC140-'Ethylene Recycling LC'!$C$137-'Ethylene Recycling LC'!$C$140)</f>
        <v>-10.45772697593492</v>
      </c>
      <c r="AE119" s="196">
        <f>AE59-('Ethylene Recycling LC'!AD72+'Ethylene Recycling LC'!AD75-'Ethylene Recycling LC'!$C$72-'Ethylene Recycling LC'!$C$75+'Ethylene Recycling LC'!AD137+'Ethylene Recycling LC'!AD140-'Ethylene Recycling LC'!$C$137-'Ethylene Recycling LC'!$C$140)</f>
        <v>-10.340483283169718</v>
      </c>
      <c r="AF119" s="196">
        <f>AF59-('Ethylene Recycling LC'!AE72+'Ethylene Recycling LC'!AE75-'Ethylene Recycling LC'!$C$72-'Ethylene Recycling LC'!$C$75+'Ethylene Recycling LC'!AE137+'Ethylene Recycling LC'!AE140-'Ethylene Recycling LC'!$C$137-'Ethylene Recycling LC'!$C$140)</f>
        <v>-10.147312160720297</v>
      </c>
      <c r="AG119" s="196">
        <f>AG59-('Ethylene Recycling LC'!AF72+'Ethylene Recycling LC'!AF75-'Ethylene Recycling LC'!$C$72-'Ethylene Recycling LC'!$C$75+'Ethylene Recycling LC'!AF137+'Ethylene Recycling LC'!AF140-'Ethylene Recycling LC'!$C$137-'Ethylene Recycling LC'!$C$140)</f>
        <v>-9.8801074905175135</v>
      </c>
      <c r="AH119" s="196">
        <f>AH59-('Ethylene Recycling LC'!AG72+'Ethylene Recycling LC'!AG75-'Ethylene Recycling LC'!$C$72-'Ethylene Recycling LC'!$C$75+'Ethylene Recycling LC'!AG137+'Ethylene Recycling LC'!AG140-'Ethylene Recycling LC'!$C$137-'Ethylene Recycling LC'!$C$140)</f>
        <v>-9.5756716454846789</v>
      </c>
      <c r="AI119" s="41"/>
    </row>
    <row r="120" spans="1:36" s="62" customFormat="1">
      <c r="A120" s="691" t="s">
        <v>686</v>
      </c>
      <c r="B120" s="55" t="s">
        <v>683</v>
      </c>
      <c r="C120" s="56" t="s">
        <v>166</v>
      </c>
      <c r="D120" s="630">
        <f>D60-('Ethylene Recycling LC'!C73+'Ethylene Recycling LC'!C138-'Ethylene Recycling LC'!$C$73-'Ethylene Recycling LC'!$C$138)</f>
        <v>0</v>
      </c>
      <c r="E120" s="630">
        <f>E60-('Ethylene Recycling LC'!D73+'Ethylene Recycling LC'!D138-'Ethylene Recycling LC'!$C$73-'Ethylene Recycling LC'!$C$138)</f>
        <v>0</v>
      </c>
      <c r="F120" s="630">
        <f>F60-('Ethylene Recycling LC'!E73+'Ethylene Recycling LC'!E138-'Ethylene Recycling LC'!$C$73-'Ethylene Recycling LC'!$C$138)</f>
        <v>0</v>
      </c>
      <c r="G120" s="630">
        <f>G60-('Ethylene Recycling LC'!F73+'Ethylene Recycling LC'!F138-'Ethylene Recycling LC'!$C$73-'Ethylene Recycling LC'!$C$138)</f>
        <v>0</v>
      </c>
      <c r="H120" s="630">
        <f>H60-('Ethylene Recycling LC'!G73+'Ethylene Recycling LC'!G138-'Ethylene Recycling LC'!$C$73-'Ethylene Recycling LC'!$C$138)</f>
        <v>0</v>
      </c>
      <c r="I120" s="630">
        <f>I60-('Ethylene Recycling LC'!H73+'Ethylene Recycling LC'!H138-'Ethylene Recycling LC'!$C$73-'Ethylene Recycling LC'!$C$138)</f>
        <v>0</v>
      </c>
      <c r="J120" s="630">
        <f>J60-('Ethylene Recycling LC'!I73+'Ethylene Recycling LC'!I138-'Ethylene Recycling LC'!$C$73-'Ethylene Recycling LC'!$C$138)</f>
        <v>0</v>
      </c>
      <c r="K120" s="630">
        <f>K60-('Ethylene Recycling LC'!J73+'Ethylene Recycling LC'!J138-'Ethylene Recycling LC'!$C$73-'Ethylene Recycling LC'!$C$138)</f>
        <v>0</v>
      </c>
      <c r="L120" s="630">
        <f>L60-('Ethylene Recycling LC'!K73+'Ethylene Recycling LC'!K138-'Ethylene Recycling LC'!$C$73-'Ethylene Recycling LC'!$C$138)</f>
        <v>0</v>
      </c>
      <c r="M120" s="630">
        <f>M60-('Ethylene Recycling LC'!L73+'Ethylene Recycling LC'!L138-'Ethylene Recycling LC'!$C$73-'Ethylene Recycling LC'!$C$138)</f>
        <v>0</v>
      </c>
      <c r="N120" s="630">
        <f>N60-('Ethylene Recycling LC'!M73+'Ethylene Recycling LC'!M138-'Ethylene Recycling LC'!$C$73-'Ethylene Recycling LC'!$C$138)</f>
        <v>0</v>
      </c>
      <c r="O120" s="630">
        <f>O60-('Ethylene Recycling LC'!N73+'Ethylene Recycling LC'!N138-'Ethylene Recycling LC'!$C$73-'Ethylene Recycling LC'!$C$138)</f>
        <v>0</v>
      </c>
      <c r="P120" s="630">
        <f>P60-('Ethylene Recycling LC'!O73+'Ethylene Recycling LC'!O138-'Ethylene Recycling LC'!$C$73-'Ethylene Recycling LC'!$C$138)</f>
        <v>0</v>
      </c>
      <c r="Q120" s="630">
        <f>Q60-('Ethylene Recycling LC'!P73+'Ethylene Recycling LC'!P138-'Ethylene Recycling LC'!$C$73-'Ethylene Recycling LC'!$C$138)</f>
        <v>0</v>
      </c>
      <c r="R120" s="630">
        <f>R60-('Ethylene Recycling LC'!Q73+'Ethylene Recycling LC'!Q138-'Ethylene Recycling LC'!$C$73-'Ethylene Recycling LC'!$C$138)</f>
        <v>0</v>
      </c>
      <c r="S120" s="630">
        <f>S60-('Ethylene Recycling LC'!R73+'Ethylene Recycling LC'!R138-'Ethylene Recycling LC'!$C$73-'Ethylene Recycling LC'!$C$138)</f>
        <v>0</v>
      </c>
      <c r="T120" s="630">
        <f>T60-('Ethylene Recycling LC'!S73+'Ethylene Recycling LC'!S138-'Ethylene Recycling LC'!$C$73-'Ethylene Recycling LC'!$C$138)</f>
        <v>0</v>
      </c>
      <c r="U120" s="630">
        <f>U60-('Ethylene Recycling LC'!T73+'Ethylene Recycling LC'!T138-'Ethylene Recycling LC'!$C$73-'Ethylene Recycling LC'!$C$138)</f>
        <v>0</v>
      </c>
      <c r="V120" s="630">
        <f>V60-('Ethylene Recycling LC'!U73+'Ethylene Recycling LC'!U138-'Ethylene Recycling LC'!$C$73-'Ethylene Recycling LC'!$C$138)</f>
        <v>0</v>
      </c>
      <c r="W120" s="630">
        <f>W60-('Ethylene Recycling LC'!V73+'Ethylene Recycling LC'!V138-'Ethylene Recycling LC'!$C$73-'Ethylene Recycling LC'!$C$138)</f>
        <v>0</v>
      </c>
      <c r="X120" s="630">
        <f>X60-('Ethylene Recycling LC'!W73+'Ethylene Recycling LC'!W138-'Ethylene Recycling LC'!$C$73-'Ethylene Recycling LC'!$C$138)</f>
        <v>0</v>
      </c>
      <c r="Y120" s="630">
        <f>Y60-('Ethylene Recycling LC'!X73+'Ethylene Recycling LC'!X138-'Ethylene Recycling LC'!$C$73-'Ethylene Recycling LC'!$C$138)</f>
        <v>0</v>
      </c>
      <c r="Z120" s="630">
        <f>Z60-('Ethylene Recycling LC'!Y73+'Ethylene Recycling LC'!Y138-'Ethylene Recycling LC'!$C$73-'Ethylene Recycling LC'!$C$138)</f>
        <v>0</v>
      </c>
      <c r="AA120" s="630">
        <f>AA60-('Ethylene Recycling LC'!Z73+'Ethylene Recycling LC'!Z138-'Ethylene Recycling LC'!$C$73-'Ethylene Recycling LC'!$C$138)</f>
        <v>0</v>
      </c>
      <c r="AB120" s="630">
        <f>AB60-('Ethylene Recycling LC'!AA73+'Ethylene Recycling LC'!AA138-'Ethylene Recycling LC'!$C$73-'Ethylene Recycling LC'!$C$138)</f>
        <v>0</v>
      </c>
      <c r="AC120" s="630">
        <f>AC60-('Ethylene Recycling LC'!AB73+'Ethylene Recycling LC'!AB138-'Ethylene Recycling LC'!$C$73-'Ethylene Recycling LC'!$C$138)</f>
        <v>0</v>
      </c>
      <c r="AD120" s="630">
        <f>AD60-('Ethylene Recycling LC'!AC73+'Ethylene Recycling LC'!AC138-'Ethylene Recycling LC'!$C$73-'Ethylene Recycling LC'!$C$138)</f>
        <v>0</v>
      </c>
      <c r="AE120" s="630">
        <f>AE60-('Ethylene Recycling LC'!AD73+'Ethylene Recycling LC'!AD138-'Ethylene Recycling LC'!$C$73-'Ethylene Recycling LC'!$C$138)</f>
        <v>0</v>
      </c>
      <c r="AF120" s="630">
        <f>AF60-('Ethylene Recycling LC'!AE73+'Ethylene Recycling LC'!AE138-'Ethylene Recycling LC'!$C$73-'Ethylene Recycling LC'!$C$138)</f>
        <v>0</v>
      </c>
      <c r="AG120" s="630">
        <f>AG60-('Ethylene Recycling LC'!AF73+'Ethylene Recycling LC'!AF138-'Ethylene Recycling LC'!$C$73-'Ethylene Recycling LC'!$C$138)</f>
        <v>0</v>
      </c>
      <c r="AH120" s="630">
        <f>AH60-('Ethylene Recycling LC'!AG73+'Ethylene Recycling LC'!AG138-'Ethylene Recycling LC'!$C$73-'Ethylene Recycling LC'!$C$138)</f>
        <v>0</v>
      </c>
      <c r="AI120" s="57"/>
    </row>
    <row r="121" spans="1:36" s="63" customFormat="1">
      <c r="A121" s="692"/>
      <c r="B121" s="59" t="s">
        <v>682</v>
      </c>
      <c r="C121" s="262" t="s">
        <v>166</v>
      </c>
      <c r="D121" s="599">
        <f>D61-('Ethylene Recycling LC'!C139-'Ethylene Recycling LC'!$C$139)-IF('Ethylene Recycling LC'!C74-'Ethylene Recycling LC'!$C$74&lt;0,0,'Ethylene Recycling LC'!C74-'Ethylene Recycling LC'!$C$74)</f>
        <v>5757.6219164365802</v>
      </c>
      <c r="E121" s="599">
        <f>E61-('Ethylene Recycling LC'!D139-'Ethylene Recycling LC'!$C$139)-IF('Ethylene Recycling LC'!D74-'Ethylene Recycling LC'!$C$74&lt;0,0,'Ethylene Recycling LC'!D74-'Ethylene Recycling LC'!$C$74)</f>
        <v>5555.6624217041181</v>
      </c>
      <c r="F121" s="599">
        <f>F61-('Ethylene Recycling LC'!E139-'Ethylene Recycling LC'!$C$139)-IF('Ethylene Recycling LC'!E74-'Ethylene Recycling LC'!$C$74&lt;0,0,'Ethylene Recycling LC'!E74-'Ethylene Recycling LC'!$C$74)</f>
        <v>5346.0939550222602</v>
      </c>
      <c r="G121" s="599">
        <f>G61-('Ethylene Recycling LC'!F139-'Ethylene Recycling LC'!$C$139)-IF('Ethylene Recycling LC'!F74-'Ethylene Recycling LC'!$C$74&lt;0,0,'Ethylene Recycling LC'!F74-'Ethylene Recycling LC'!$C$74)</f>
        <v>5128.9165163910093</v>
      </c>
      <c r="H121" s="599">
        <f>H61-('Ethylene Recycling LC'!G139-'Ethylene Recycling LC'!$C$139)-IF('Ethylene Recycling LC'!G74-'Ethylene Recycling LC'!$C$74&lt;0,0,'Ethylene Recycling LC'!G74-'Ethylene Recycling LC'!$C$74)</f>
        <v>4904.1301058103636</v>
      </c>
      <c r="I121" s="599">
        <f>I61-('Ethylene Recycling LC'!H139-'Ethylene Recycling LC'!$C$139)-IF('Ethylene Recycling LC'!H74-'Ethylene Recycling LC'!$C$74&lt;0,0,'Ethylene Recycling LC'!H74-'Ethylene Recycling LC'!$C$74)</f>
        <v>4671.734723280324</v>
      </c>
      <c r="J121" s="599">
        <f>J61-('Ethylene Recycling LC'!I139-'Ethylene Recycling LC'!$C$139)-IF('Ethylene Recycling LC'!I74-'Ethylene Recycling LC'!$C$74&lt;0,0,'Ethylene Recycling LC'!I74-'Ethylene Recycling LC'!$C$74)</f>
        <v>4473.3984331715037</v>
      </c>
      <c r="K121" s="599">
        <f>K61-('Ethylene Recycling LC'!J139-'Ethylene Recycling LC'!$C$139)-IF('Ethylene Recycling LC'!J74-'Ethylene Recycling LC'!$C$74&lt;0,0,'Ethylene Recycling LC'!J74-'Ethylene Recycling LC'!$C$74)</f>
        <v>4277.258239704558</v>
      </c>
      <c r="L121" s="599">
        <f>L61-('Ethylene Recycling LC'!K139-'Ethylene Recycling LC'!$C$139)-IF('Ethylene Recycling LC'!K74-'Ethylene Recycling LC'!$C$74&lt;0,0,'Ethylene Recycling LC'!K74-'Ethylene Recycling LC'!$C$74)</f>
        <v>4084.0194945791955</v>
      </c>
      <c r="M121" s="599">
        <f>M61-('Ethylene Recycling LC'!L139-'Ethylene Recycling LC'!$C$139)-IF('Ethylene Recycling LC'!L74-'Ethylene Recycling LC'!$C$74&lt;0,0,'Ethylene Recycling LC'!L74-'Ethylene Recycling LC'!$C$74)</f>
        <v>3894.3875494951253</v>
      </c>
      <c r="N121" s="599">
        <f>N61-('Ethylene Recycling LC'!M139-'Ethylene Recycling LC'!$C$139)-IF('Ethylene Recycling LC'!M74-'Ethylene Recycling LC'!$C$74&lt;0,0,'Ethylene Recycling LC'!M74-'Ethylene Recycling LC'!$C$74)</f>
        <v>3709.0677561520561</v>
      </c>
      <c r="O121" s="599">
        <f>O61-('Ethylene Recycling LC'!N139-'Ethylene Recycling LC'!$C$139)-IF('Ethylene Recycling LC'!N74-'Ethylene Recycling LC'!$C$74&lt;0,0,'Ethylene Recycling LC'!N74-'Ethylene Recycling LC'!$C$74)</f>
        <v>3505.4682144987532</v>
      </c>
      <c r="P121" s="599">
        <f>P61-('Ethylene Recycling LC'!O139-'Ethylene Recycling LC'!$C$139)-IF('Ethylene Recycling LC'!O74-'Ethylene Recycling LC'!$C$74&lt;0,0,'Ethylene Recycling LC'!O74-'Ethylene Recycling LC'!$C$74)</f>
        <v>3305.942339690258</v>
      </c>
      <c r="Q121" s="599">
        <f>Q61-('Ethylene Recycling LC'!P139-'Ethylene Recycling LC'!$C$139)-IF('Ethylene Recycling LC'!P74-'Ethylene Recycling LC'!$C$74&lt;0,0,'Ethylene Recycling LC'!P74-'Ethylene Recycling LC'!$C$74)</f>
        <v>3111.8347084041384</v>
      </c>
      <c r="R121" s="599">
        <f>R61-('Ethylene Recycling LC'!Q139-'Ethylene Recycling LC'!$C$139)-IF('Ethylene Recycling LC'!Q74-'Ethylene Recycling LC'!$C$74&lt;0,0,'Ethylene Recycling LC'!Q74-'Ethylene Recycling LC'!$C$74)</f>
        <v>2924.489897317967</v>
      </c>
      <c r="S121" s="599">
        <f>S61-('Ethylene Recycling LC'!R139-'Ethylene Recycling LC'!$C$139)-IF('Ethylene Recycling LC'!R74-'Ethylene Recycling LC'!$C$74&lt;0,0,'Ethylene Recycling LC'!R74-'Ethylene Recycling LC'!$C$74)</f>
        <v>2745.2524831093119</v>
      </c>
      <c r="T121" s="599">
        <f>T61-('Ethylene Recycling LC'!S139-'Ethylene Recycling LC'!$C$139)-IF('Ethylene Recycling LC'!S74-'Ethylene Recycling LC'!$C$74&lt;0,0,'Ethylene Recycling LC'!S74-'Ethylene Recycling LC'!$C$74)</f>
        <v>2541.383401670832</v>
      </c>
      <c r="U121" s="599">
        <f>U61-('Ethylene Recycling LC'!T139-'Ethylene Recycling LC'!$C$139)-IF('Ethylene Recycling LC'!T74-'Ethylene Recycling LC'!$C$74&lt;0,0,'Ethylene Recycling LC'!T74-'Ethylene Recycling LC'!$C$74)</f>
        <v>2342.1796406964368</v>
      </c>
      <c r="V121" s="599">
        <f>V61-('Ethylene Recycling LC'!U139-'Ethylene Recycling LC'!$C$139)-IF('Ethylene Recycling LC'!U74-'Ethylene Recycling LC'!$C$74&lt;0,0,'Ethylene Recycling LC'!U74-'Ethylene Recycling LC'!$C$74)</f>
        <v>2148.5898012078464</v>
      </c>
      <c r="W121" s="599">
        <f>W61-('Ethylene Recycling LC'!V139-'Ethylene Recycling LC'!$C$139)-IF('Ethylene Recycling LC'!V74-'Ethylene Recycling LC'!$C$74&lt;0,0,'Ethylene Recycling LC'!V74-'Ethylene Recycling LC'!$C$74)</f>
        <v>1961.5624842267703</v>
      </c>
      <c r="X121" s="599">
        <f>X61-('Ethylene Recycling LC'!W139-'Ethylene Recycling LC'!$C$139)-IF('Ethylene Recycling LC'!W74-'Ethylene Recycling LC'!$C$74&lt;0,0,'Ethylene Recycling LC'!W74-'Ethylene Recycling LC'!$C$74)</f>
        <v>1782.0462907749284</v>
      </c>
      <c r="Y121" s="599">
        <f>Y61-('Ethylene Recycling LC'!X139-'Ethylene Recycling LC'!$C$139)-IF('Ethylene Recycling LC'!X74-'Ethylene Recycling LC'!$C$74&lt;0,0,'Ethylene Recycling LC'!X74-'Ethylene Recycling LC'!$C$74)</f>
        <v>1511.3819068120711</v>
      </c>
      <c r="Z121" s="599">
        <f>Z61-('Ethylene Recycling LC'!Y139-'Ethylene Recycling LC'!$C$139)-IF('Ethylene Recycling LC'!Y74-'Ethylene Recycling LC'!$C$74&lt;0,0,'Ethylene Recycling LC'!Y74-'Ethylene Recycling LC'!$C$74)</f>
        <v>1250.8400665408958</v>
      </c>
      <c r="AA121" s="599">
        <f>AA61-('Ethylene Recycling LC'!Z139-'Ethylene Recycling LC'!$C$139)-IF('Ethylene Recycling LC'!Z74-'Ethylene Recycling LC'!$C$74&lt;0,0,'Ethylene Recycling LC'!Z74-'Ethylene Recycling LC'!$C$74)</f>
        <v>1002.1018350631775</v>
      </c>
      <c r="AB121" s="599">
        <f>AB61-('Ethylene Recycling LC'!AA139-'Ethylene Recycling LC'!$C$139)-IF('Ethylene Recycling LC'!AA74-'Ethylene Recycling LC'!$C$74&lt;0,0,'Ethylene Recycling LC'!AA74-'Ethylene Recycling LC'!$C$74)</f>
        <v>766.84827748068801</v>
      </c>
      <c r="AC121" s="599">
        <f>AC61-('Ethylene Recycling LC'!AB139-'Ethylene Recycling LC'!$C$139)-IF('Ethylene Recycling LC'!AB74-'Ethylene Recycling LC'!$C$74&lt;0,0,'Ethylene Recycling LC'!AB74-'Ethylene Recycling LC'!$C$74)</f>
        <v>546.76045889520628</v>
      </c>
      <c r="AD121" s="599">
        <f>AD61-('Ethylene Recycling LC'!AC139-'Ethylene Recycling LC'!$C$139)-IF('Ethylene Recycling LC'!AC74-'Ethylene Recycling LC'!$C$74&lt;0,0,'Ethylene Recycling LC'!AC74-'Ethylene Recycling LC'!$C$74)</f>
        <v>383.40322545356048</v>
      </c>
      <c r="AE121" s="599">
        <f>AE61-('Ethylene Recycling LC'!AD139-'Ethylene Recycling LC'!$C$139)-IF('Ethylene Recycling LC'!AD74-'Ethylene Recycling LC'!$C$74&lt;0,0,'Ethylene Recycling LC'!AD74-'Ethylene Recycling LC'!$C$74)</f>
        <v>244.90813370276146</v>
      </c>
      <c r="AF121" s="599">
        <f>AF61-('Ethylene Recycling LC'!AE139-'Ethylene Recycling LC'!$C$139)-IF('Ethylene Recycling LC'!AE74-'Ethylene Recycling LC'!$C$74&lt;0,0,'Ethylene Recycling LC'!AE74-'Ethylene Recycling LC'!$C$74)</f>
        <v>133.30325759586367</v>
      </c>
      <c r="AG121" s="599">
        <f>AG61-('Ethylene Recycling LC'!AF139-'Ethylene Recycling LC'!$C$139)-IF('Ethylene Recycling LC'!AF74-'Ethylene Recycling LC'!$C$74&lt;0,0,'Ethylene Recycling LC'!AF74-'Ethylene Recycling LC'!$C$74)</f>
        <v>50.616671085929283</v>
      </c>
      <c r="AH121" s="599">
        <f>AH61-('Ethylene Recycling LC'!AG139-'Ethylene Recycling LC'!$C$139)-IF('Ethylene Recycling LC'!AG74-'Ethylene Recycling LC'!$C$74&lt;0,0,'Ethylene Recycling LC'!AG74-'Ethylene Recycling LC'!$C$74)</f>
        <v>-344.55551490771222</v>
      </c>
      <c r="AI121" s="263"/>
      <c r="AJ121" s="63" t="s">
        <v>859</v>
      </c>
    </row>
    <row r="122" spans="1:36" s="62" customFormat="1">
      <c r="A122" s="55" t="s">
        <v>259</v>
      </c>
      <c r="B122" s="55" t="s">
        <v>195</v>
      </c>
      <c r="C122" s="95" t="s">
        <v>166</v>
      </c>
      <c r="D122" s="631">
        <f t="shared" ref="D122:AH122" si="38">D43</f>
        <v>201906.27397932502</v>
      </c>
      <c r="E122" s="631">
        <f t="shared" si="38"/>
        <v>199795.02448938167</v>
      </c>
      <c r="F122" s="631">
        <f t="shared" si="38"/>
        <v>197683.77499943832</v>
      </c>
      <c r="G122" s="631">
        <f t="shared" si="38"/>
        <v>195572.525509495</v>
      </c>
      <c r="H122" s="631">
        <f t="shared" si="38"/>
        <v>193461.27601955165</v>
      </c>
      <c r="I122" s="631">
        <f t="shared" si="38"/>
        <v>191350.02652960829</v>
      </c>
      <c r="J122" s="631">
        <f t="shared" si="38"/>
        <v>189238.77703966494</v>
      </c>
      <c r="K122" s="631">
        <f t="shared" si="38"/>
        <v>187127.52754972159</v>
      </c>
      <c r="L122" s="631">
        <f t="shared" si="38"/>
        <v>185016.27805977827</v>
      </c>
      <c r="M122" s="631">
        <f t="shared" si="38"/>
        <v>182905.02856983492</v>
      </c>
      <c r="N122" s="631">
        <f t="shared" si="38"/>
        <v>180793.77907989157</v>
      </c>
      <c r="O122" s="631">
        <f t="shared" si="38"/>
        <v>178682.52958994822</v>
      </c>
      <c r="P122" s="631">
        <f t="shared" si="38"/>
        <v>176571.28010000486</v>
      </c>
      <c r="Q122" s="631">
        <f t="shared" si="38"/>
        <v>174460.03061006151</v>
      </c>
      <c r="R122" s="631">
        <f t="shared" si="38"/>
        <v>172348.78112011816</v>
      </c>
      <c r="S122" s="631">
        <f t="shared" si="38"/>
        <v>170237.53163017481</v>
      </c>
      <c r="T122" s="631">
        <f t="shared" si="38"/>
        <v>168126.28214023146</v>
      </c>
      <c r="U122" s="631">
        <f t="shared" si="38"/>
        <v>166015.03265028814</v>
      </c>
      <c r="V122" s="631">
        <f t="shared" si="38"/>
        <v>163903.78316034478</v>
      </c>
      <c r="W122" s="631">
        <f t="shared" si="38"/>
        <v>161792.53367040143</v>
      </c>
      <c r="X122" s="631">
        <f t="shared" si="38"/>
        <v>159681.28418045808</v>
      </c>
      <c r="Y122" s="631">
        <f t="shared" si="38"/>
        <v>157506.05743324372</v>
      </c>
      <c r="Z122" s="631">
        <f t="shared" si="38"/>
        <v>155330.8306860294</v>
      </c>
      <c r="AA122" s="631">
        <f t="shared" si="38"/>
        <v>153155.60393881501</v>
      </c>
      <c r="AB122" s="631">
        <f t="shared" si="38"/>
        <v>150980.37719160065</v>
      </c>
      <c r="AC122" s="631">
        <f t="shared" si="38"/>
        <v>148805.15044438632</v>
      </c>
      <c r="AD122" s="631">
        <f t="shared" si="38"/>
        <v>146629.92369717197</v>
      </c>
      <c r="AE122" s="631">
        <f t="shared" si="38"/>
        <v>144454.69694995758</v>
      </c>
      <c r="AF122" s="631">
        <f t="shared" si="38"/>
        <v>142279.47020274325</v>
      </c>
      <c r="AG122" s="631">
        <f t="shared" si="38"/>
        <v>140104.24345552889</v>
      </c>
      <c r="AH122" s="631">
        <f t="shared" si="38"/>
        <v>137929.01670831451</v>
      </c>
    </row>
    <row r="123" spans="1:36" outlineLevel="1">
      <c r="A123"/>
      <c r="B123" t="s">
        <v>262</v>
      </c>
      <c r="C123" s="51" t="s">
        <v>166</v>
      </c>
      <c r="D123" s="196">
        <f>'Ethylene Recycling LC'!C159-'Ethylene Recycling LC'!$C$159</f>
        <v>0</v>
      </c>
      <c r="E123" s="196">
        <f>'Ethylene Recycling LC'!D159-'Ethylene Recycling LC'!$C$159</f>
        <v>779.23422146663711</v>
      </c>
      <c r="F123" s="196">
        <f>'Ethylene Recycling LC'!E159-'Ethylene Recycling LC'!$C$159</f>
        <v>1554.8169929978728</v>
      </c>
      <c r="G123" s="196">
        <f>'Ethylene Recycling LC'!F159-'Ethylene Recycling LC'!$C$159</f>
        <v>2326.7483145937076</v>
      </c>
      <c r="H123" s="196">
        <f>'Ethylene Recycling LC'!G159-'Ethylene Recycling LC'!$C$159</f>
        <v>3095.0281862541406</v>
      </c>
      <c r="I123" s="196">
        <f>'Ethylene Recycling LC'!H159-'Ethylene Recycling LC'!$C$159</f>
        <v>3859.6566079791728</v>
      </c>
      <c r="J123" s="196">
        <f>'Ethylene Recycling LC'!I159-'Ethylene Recycling LC'!$C$159</f>
        <v>4620.6335797688025</v>
      </c>
      <c r="K123" s="196">
        <f>'Ethylene Recycling LC'!J159-'Ethylene Recycling LC'!$C$159</f>
        <v>5377.9591016230324</v>
      </c>
      <c r="L123" s="196">
        <f>'Ethylene Recycling LC'!K159-'Ethylene Recycling LC'!$C$159</f>
        <v>6131.6331735418589</v>
      </c>
      <c r="M123" s="196">
        <f>'Ethylene Recycling LC'!L159-'Ethylene Recycling LC'!$C$159</f>
        <v>6881.6557955252847</v>
      </c>
      <c r="N123" s="196">
        <f>'Ethylene Recycling LC'!M159-'Ethylene Recycling LC'!$C$159</f>
        <v>7628.0269675733089</v>
      </c>
      <c r="O123" s="196">
        <f>'Ethylene Recycling LC'!N159-'Ethylene Recycling LC'!$C$159</f>
        <v>9063.8194129772764</v>
      </c>
      <c r="P123" s="196">
        <f>'Ethylene Recycling LC'!O159-'Ethylene Recycling LC'!$C$159</f>
        <v>10492.651281941886</v>
      </c>
      <c r="Q123" s="196">
        <f>'Ethylene Recycling LC'!P159-'Ethylene Recycling LC'!$C$159</f>
        <v>11914.522574467133</v>
      </c>
      <c r="R123" s="196">
        <f>'Ethylene Recycling LC'!Q159-'Ethylene Recycling LC'!$C$159</f>
        <v>13329.433290553023</v>
      </c>
      <c r="S123" s="196">
        <f>'Ethylene Recycling LC'!R159-'Ethylene Recycling LC'!$C$159</f>
        <v>14737.383430199556</v>
      </c>
      <c r="T123" s="196">
        <f>'Ethylene Recycling LC'!S159-'Ethylene Recycling LC'!$C$159</f>
        <v>16138.372993406727</v>
      </c>
      <c r="U123" s="196">
        <f>'Ethylene Recycling LC'!T159-'Ethylene Recycling LC'!$C$159</f>
        <v>17532.401980174542</v>
      </c>
      <c r="V123" s="196">
        <f>'Ethylene Recycling LC'!U159-'Ethylene Recycling LC'!$C$159</f>
        <v>18919.470390502996</v>
      </c>
      <c r="W123" s="196">
        <f>'Ethylene Recycling LC'!V159-'Ethylene Recycling LC'!$C$159</f>
        <v>20299.578224392091</v>
      </c>
      <c r="X123" s="196">
        <f>'Ethylene Recycling LC'!W159-'Ethylene Recycling LC'!$C$159</f>
        <v>21672.725481841826</v>
      </c>
      <c r="Y123" s="196">
        <f>'Ethylene Recycling LC'!X159-'Ethylene Recycling LC'!$C$159</f>
        <v>24137.715002119323</v>
      </c>
      <c r="Z123" s="196">
        <f>'Ethylene Recycling LC'!Y159-'Ethylene Recycling LC'!$C$159</f>
        <v>26590.369323643517</v>
      </c>
      <c r="AA123" s="196">
        <f>'Ethylene Recycling LC'!Z159-'Ethylene Recycling LC'!$C$159</f>
        <v>29030.68844641442</v>
      </c>
      <c r="AB123" s="196">
        <f>'Ethylene Recycling LC'!AA159-'Ethylene Recycling LC'!$C$159</f>
        <v>31458.672370432036</v>
      </c>
      <c r="AC123" s="196">
        <f>'Ethylene Recycling LC'!AB159-'Ethylene Recycling LC'!$C$159</f>
        <v>33874.321095696345</v>
      </c>
      <c r="AD123" s="196">
        <f>'Ethylene Recycling LC'!AC159-'Ethylene Recycling LC'!$C$159</f>
        <v>36277.63462220737</v>
      </c>
      <c r="AE123" s="196">
        <f>'Ethylene Recycling LC'!AD159-'Ethylene Recycling LC'!$C$159</f>
        <v>38668.612949965092</v>
      </c>
      <c r="AF123" s="196">
        <f>'Ethylene Recycling LC'!AE159-'Ethylene Recycling LC'!$C$159</f>
        <v>41047.256078969527</v>
      </c>
      <c r="AG123" s="196">
        <f>'Ethylene Recycling LC'!AF159-'Ethylene Recycling LC'!$C$159</f>
        <v>43413.564009220674</v>
      </c>
      <c r="AH123" s="196">
        <f>'Ethylene Recycling LC'!AG159-'Ethylene Recycling LC'!$C$159</f>
        <v>45767.536740718606</v>
      </c>
    </row>
    <row r="124" spans="1:36" outlineLevel="1">
      <c r="A124"/>
      <c r="B124" t="s">
        <v>264</v>
      </c>
      <c r="C124" s="51" t="s">
        <v>166</v>
      </c>
      <c r="D124" s="196">
        <f>'Ethylene Recycling LC'!C82-'Ethylene Recycling LC'!$C$82</f>
        <v>0</v>
      </c>
      <c r="E124" s="196">
        <f>'Ethylene Recycling LC'!D82-'Ethylene Recycling LC'!$C$82</f>
        <v>2190.8065677781124</v>
      </c>
      <c r="F124" s="196">
        <f>'Ethylene Recycling LC'!E82-'Ethylene Recycling LC'!$C$82</f>
        <v>4295.9251193391683</v>
      </c>
      <c r="G124" s="196">
        <f>'Ethylene Recycling LC'!F82-'Ethylene Recycling LC'!$C$82</f>
        <v>6314.8868983083812</v>
      </c>
      <c r="H124" s="196">
        <f>'Ethylene Recycling LC'!G82-'Ethylene Recycling LC'!$C$82</f>
        <v>8247.2301996427268</v>
      </c>
      <c r="I124" s="196">
        <f>'Ethylene Recycling LC'!H82-'Ethylene Recycling LC'!$C$82</f>
        <v>10092.500369630667</v>
      </c>
      <c r="J124" s="196">
        <f>'Ethylene Recycling LC'!I82-'Ethylene Recycling LC'!$C$82</f>
        <v>11850.249805892541</v>
      </c>
      <c r="K124" s="196">
        <f>'Ethylene Recycling LC'!J82-'Ethylene Recycling LC'!$C$82</f>
        <v>13520.037957380293</v>
      </c>
      <c r="L124" s="196">
        <f>'Ethylene Recycling LC'!K82-'Ethylene Recycling LC'!$C$82</f>
        <v>15101.431324377452</v>
      </c>
      <c r="M124" s="196">
        <f>'Ethylene Recycling LC'!L82-'Ethylene Recycling LC'!$C$82</f>
        <v>16594.003458499326</v>
      </c>
      <c r="N124" s="196">
        <f>'Ethylene Recycling LC'!M82-'Ethylene Recycling LC'!$C$82</f>
        <v>17997.334962692898</v>
      </c>
      <c r="O124" s="196">
        <f>'Ethylene Recycling LC'!N82-'Ethylene Recycling LC'!$C$82</f>
        <v>21675.914555925556</v>
      </c>
      <c r="P124" s="196">
        <f>'Ethylene Recycling LC'!O82-'Ethylene Recycling LC'!$C$82</f>
        <v>25511.629944060551</v>
      </c>
      <c r="Q124" s="196">
        <f>'Ethylene Recycling LC'!P82-'Ethylene Recycling LC'!$C$82</f>
        <v>28425.587925362284</v>
      </c>
      <c r="R124" s="196">
        <f>'Ethylene Recycling LC'!Q82-'Ethylene Recycling LC'!$C$82</f>
        <v>30963.364219668045</v>
      </c>
      <c r="S124" s="196">
        <f>'Ethylene Recycling LC'!R82-'Ethylene Recycling LC'!$C$82</f>
        <v>33123.413300937376</v>
      </c>
      <c r="T124" s="196">
        <f>'Ethylene Recycling LC'!S82-'Ethylene Recycling LC'!$C$82</f>
        <v>34904.21894614429</v>
      </c>
      <c r="U124" s="196">
        <f>'Ethylene Recycling LC'!T82-'Ethylene Recycling LC'!$C$82</f>
        <v>36304.294235277383</v>
      </c>
      <c r="V124" s="196">
        <f>'Ethylene Recycling LC'!U82-'Ethylene Recycling LC'!$C$82</f>
        <v>37322.181551339731</v>
      </c>
      <c r="W124" s="196">
        <f>'Ethylene Recycling LC'!V82-'Ethylene Recycling LC'!$C$82</f>
        <v>37956.452580348981</v>
      </c>
      <c r="X124" s="196">
        <f>'Ethylene Recycling LC'!W82-'Ethylene Recycling LC'!$C$82</f>
        <v>38205.708311337206</v>
      </c>
      <c r="Y124" s="196">
        <f>'Ethylene Recycling LC'!X82-'Ethylene Recycling LC'!$C$82</f>
        <v>38308.104280241838</v>
      </c>
      <c r="Z124" s="196">
        <f>'Ethylene Recycling LC'!Y82-'Ethylene Recycling LC'!$C$82</f>
        <v>40176.471910459062</v>
      </c>
      <c r="AA124" s="196">
        <f>'Ethylene Recycling LC'!Z82-'Ethylene Recycling LC'!$C$82</f>
        <v>41419.064713514948</v>
      </c>
      <c r="AB124" s="196">
        <f>'Ethylene Recycling LC'!AA82-'Ethylene Recycling LC'!$C$82</f>
        <v>42033.688799082403</v>
      </c>
      <c r="AC124" s="196">
        <f>'Ethylene Recycling LC'!AB82-'Ethylene Recycling LC'!$C$82</f>
        <v>42018.197978749566</v>
      </c>
      <c r="AD124" s="196">
        <f>'Ethylene Recycling LC'!AC82-'Ethylene Recycling LC'!$C$82</f>
        <v>41370.493766019892</v>
      </c>
      <c r="AE124" s="196">
        <f>'Ethylene Recycling LC'!AD82-'Ethylene Recycling LC'!$C$82</f>
        <v>40088.525376312391</v>
      </c>
      <c r="AF124" s="196">
        <f>'Ethylene Recycling LC'!AE82-'Ethylene Recycling LC'!$C$82</f>
        <v>38170.289726961215</v>
      </c>
      <c r="AG124" s="196">
        <f>'Ethylene Recycling LC'!AF82-'Ethylene Recycling LC'!$C$82</f>
        <v>35613.831437216068</v>
      </c>
      <c r="AH124" s="196">
        <f>'Ethylene Recycling LC'!AG82-'Ethylene Recycling LC'!$C$82</f>
        <v>32417.24282824203</v>
      </c>
    </row>
    <row r="125" spans="1:36" outlineLevel="1">
      <c r="A125"/>
      <c r="B125" t="s">
        <v>266</v>
      </c>
      <c r="C125" s="51" t="s">
        <v>166</v>
      </c>
      <c r="D125" s="196">
        <f>'Ethylene Recycling LC'!C141-'Ethylene Recycling LC'!$C$141</f>
        <v>0</v>
      </c>
      <c r="E125" s="196">
        <f>'Ethylene Recycling LC'!D141-'Ethylene Recycling LC'!$C$141</f>
        <v>195.47002811687616</v>
      </c>
      <c r="F125" s="196">
        <f>'Ethylene Recycling LC'!E141-'Ethylene Recycling LC'!$C$141</f>
        <v>387.13519199906568</v>
      </c>
      <c r="G125" s="196">
        <f>'Ethylene Recycling LC'!F141-'Ethylene Recycling LC'!$C$141</f>
        <v>574.99549164657219</v>
      </c>
      <c r="H125" s="196">
        <f>'Ethylene Recycling LC'!G141-'Ethylene Recycling LC'!$C$141</f>
        <v>759.05092705939296</v>
      </c>
      <c r="I125" s="196">
        <f>'Ethylene Recycling LC'!H141-'Ethylene Recycling LC'!$C$141</f>
        <v>939.30149823752708</v>
      </c>
      <c r="J125" s="196">
        <f>'Ethylene Recycling LC'!I141-'Ethylene Recycling LC'!$C$141</f>
        <v>917.94633498245094</v>
      </c>
      <c r="K125" s="196">
        <f>'Ethylene Recycling LC'!J141-'Ethylene Recycling LC'!$C$141</f>
        <v>882.11710341328853</v>
      </c>
      <c r="L125" s="196">
        <f>'Ethylene Recycling LC'!K141-'Ethylene Recycling LC'!$C$141</f>
        <v>832.1665144445933</v>
      </c>
      <c r="M125" s="196">
        <f>'Ethylene Recycling LC'!L141-'Ethylene Recycling LC'!$C$141</f>
        <v>768.44727899092413</v>
      </c>
      <c r="N125" s="196">
        <f>'Ethylene Recycling LC'!M141-'Ethylene Recycling LC'!$C$141</f>
        <v>691.31210796683263</v>
      </c>
      <c r="O125" s="196">
        <f>'Ethylene Recycling LC'!N141-'Ethylene Recycling LC'!$C$141</f>
        <v>762.38189567236532</v>
      </c>
      <c r="P125" s="196">
        <f>'Ethylene Recycling LC'!O141-'Ethylene Recycling LC'!$C$141</f>
        <v>805.8041638650684</v>
      </c>
      <c r="Q125" s="196">
        <f>'Ethylene Recycling LC'!P141-'Ethylene Recycling LC'!$C$141</f>
        <v>822.2512677258137</v>
      </c>
      <c r="R125" s="196">
        <f>'Ethylene Recycling LC'!Q141-'Ethylene Recycling LC'!$C$141</f>
        <v>812.39556243547122</v>
      </c>
      <c r="S125" s="196">
        <f>'Ethylene Recycling LC'!R141-'Ethylene Recycling LC'!$C$141</f>
        <v>776.90940317491277</v>
      </c>
      <c r="T125" s="196">
        <f>'Ethylene Recycling LC'!S141-'Ethylene Recycling LC'!$C$141</f>
        <v>799.20801660027337</v>
      </c>
      <c r="U125" s="196">
        <f>'Ethylene Recycling LC'!T141-'Ethylene Recycling LC'!$C$141</f>
        <v>802.89702028078045</v>
      </c>
      <c r="V125" s="196">
        <f>'Ethylene Recycling LC'!U141-'Ethylene Recycling LC'!$C$141</f>
        <v>788.45076188448638</v>
      </c>
      <c r="W125" s="196">
        <f>'Ethylene Recycling LC'!V141-'Ethylene Recycling LC'!$C$141</f>
        <v>756.34358907945443</v>
      </c>
      <c r="X125" s="196">
        <f>'Ethylene Recycling LC'!W141-'Ethylene Recycling LC'!$C$141</f>
        <v>707.04984953373969</v>
      </c>
      <c r="Y125" s="196">
        <f>'Ethylene Recycling LC'!X141-'Ethylene Recycling LC'!$C$141</f>
        <v>805.48538191870375</v>
      </c>
      <c r="Z125" s="196">
        <f>'Ethylene Recycling LC'!Y141-'Ethylene Recycling LC'!$C$141</f>
        <v>871.86939485696803</v>
      </c>
      <c r="AA125" s="196">
        <f>'Ethylene Recycling LC'!Z141-'Ethylene Recycling LC'!$C$141</f>
        <v>907.04250446914466</v>
      </c>
      <c r="AB125" s="196">
        <f>'Ethylene Recycling LC'!AA141-'Ethylene Recycling LC'!$C$141</f>
        <v>911.84532687584397</v>
      </c>
      <c r="AC125" s="196">
        <f>'Ethylene Recycling LC'!AB141-'Ethylene Recycling LC'!$C$141</f>
        <v>887.11847819767263</v>
      </c>
      <c r="AD125" s="196">
        <f>'Ethylene Recycling LC'!AC141-'Ethylene Recycling LC'!$C$141</f>
        <v>772.67254101614071</v>
      </c>
      <c r="AE125" s="196">
        <f>'Ethylene Recycling LC'!AD141-'Ethylene Recycling LC'!$C$141</f>
        <v>625.88461496782566</v>
      </c>
      <c r="AF125" s="196">
        <f>'Ethylene Recycling LC'!AE141-'Ethylene Recycling LC'!$C$141</f>
        <v>447.76883784961683</v>
      </c>
      <c r="AG125" s="196">
        <f>'Ethylene Recycling LC'!AF141-'Ethylene Recycling LC'!$C$141</f>
        <v>239.3393474583936</v>
      </c>
      <c r="AH125" s="196">
        <f>'Ethylene Recycling LC'!AG141-'Ethylene Recycling LC'!$C$141</f>
        <v>-170.12277274079406</v>
      </c>
    </row>
    <row r="126" spans="1:36" outlineLevel="1">
      <c r="A126" s="169"/>
      <c r="B126" s="169" t="s">
        <v>265</v>
      </c>
      <c r="C126" s="165" t="s">
        <v>166</v>
      </c>
      <c r="D126" s="613">
        <f>'Ethylene Recycling LC'!C109-'Ethylene Recycling LC'!$C$109</f>
        <v>0</v>
      </c>
      <c r="E126" s="613">
        <f>'Ethylene Recycling LC'!D109-'Ethylene Recycling LC'!$C$109</f>
        <v>121.25308466265989</v>
      </c>
      <c r="F126" s="613">
        <f>'Ethylene Recycling LC'!E109-'Ethylene Recycling LC'!$C$109</f>
        <v>241.93914267080385</v>
      </c>
      <c r="G126" s="613">
        <f>'Ethylene Recycling LC'!F109-'Ethylene Recycling LC'!$C$109</f>
        <v>362.05809876261816</v>
      </c>
      <c r="H126" s="613">
        <f>'Ethylene Recycling LC'!G109-'Ethylene Recycling LC'!$C$109</f>
        <v>481.60987767628825</v>
      </c>
      <c r="I126" s="613">
        <f>'Ethylene Recycling LC'!H109-'Ethylene Recycling LC'!$C$109</f>
        <v>600.59440415000017</v>
      </c>
      <c r="J126" s="613">
        <f>'Ethylene Recycling LC'!I109-'Ethylene Recycling LC'!$C$109</f>
        <v>719.01160292193958</v>
      </c>
      <c r="K126" s="613">
        <f>'Ethylene Recycling LC'!J109-'Ethylene Recycling LC'!$C$109</f>
        <v>836.8613987302931</v>
      </c>
      <c r="L126" s="613">
        <f>'Ethylene Recycling LC'!K109-'Ethylene Recycling LC'!$C$109</f>
        <v>954.1437163132457</v>
      </c>
      <c r="M126" s="613">
        <f>'Ethylene Recycling LC'!L109-'Ethylene Recycling LC'!$C$109</f>
        <v>1070.8584804089833</v>
      </c>
      <c r="N126" s="613">
        <f>'Ethylene Recycling LC'!M109-'Ethylene Recycling LC'!$C$109</f>
        <v>1187.0056157556917</v>
      </c>
      <c r="O126" s="613">
        <f>'Ethylene Recycling LC'!N109-'Ethylene Recycling LC'!$C$109</f>
        <v>1410.8731722875505</v>
      </c>
      <c r="P126" s="613">
        <f>'Ethylene Recycling LC'!O109-'Ethylene Recycling LC'!$C$109</f>
        <v>1633.6587130055686</v>
      </c>
      <c r="Q126" s="613">
        <f>'Ethylene Recycling LC'!P109-'Ethylene Recycling LC'!$C$109</f>
        <v>1847.4667261450281</v>
      </c>
      <c r="R126" s="613">
        <f>'Ethylene Recycling LC'!Q109-'Ethylene Recycling LC'!$C$109</f>
        <v>2058.6710621288084</v>
      </c>
      <c r="S126" s="613">
        <f>'Ethylene Recycling LC'!R109-'Ethylene Recycling LC'!$C$109</f>
        <v>2267.2778175424683</v>
      </c>
      <c r="T126" s="613">
        <f>'Ethylene Recycling LC'!S109-'Ethylene Recycling LC'!$C$109</f>
        <v>2473.2932133274576</v>
      </c>
      <c r="U126" s="613">
        <f>'Ethylene Recycling LC'!T109-'Ethylene Recycling LC'!$C$109</f>
        <v>2676.7235938916951</v>
      </c>
      <c r="V126" s="613">
        <f>'Ethylene Recycling LC'!U109-'Ethylene Recycling LC'!$C$109</f>
        <v>2877.5754262199248</v>
      </c>
      <c r="W126" s="613">
        <f>'Ethylene Recycling LC'!V109-'Ethylene Recycling LC'!$C$109</f>
        <v>3075.8552989838126</v>
      </c>
      <c r="X126" s="613">
        <f>'Ethylene Recycling LC'!W109-'Ethylene Recycling LC'!$C$109</f>
        <v>3271.5699216518237</v>
      </c>
      <c r="Y126" s="613">
        <f>'Ethylene Recycling LC'!X109-'Ethylene Recycling LC'!$C$109</f>
        <v>3631.1218075176971</v>
      </c>
      <c r="Z126" s="613">
        <f>'Ethylene Recycling LC'!Y109-'Ethylene Recycling LC'!$C$109</f>
        <v>3986.1234701032313</v>
      </c>
      <c r="AA126" s="613">
        <f>'Ethylene Recycling LC'!Z109-'Ethylene Recycling LC'!$C$109</f>
        <v>4297.1454586381597</v>
      </c>
      <c r="AB126" s="613">
        <f>'Ethylene Recycling LC'!AA109-'Ethylene Recycling LC'!$C$109</f>
        <v>4597.5325157804136</v>
      </c>
      <c r="AC126" s="613">
        <f>'Ethylene Recycling LC'!AB109-'Ethylene Recycling LC'!$C$109</f>
        <v>4887.3282032886136</v>
      </c>
      <c r="AD126" s="613">
        <f>'Ethylene Recycling LC'!AC109-'Ethylene Recycling LC'!$C$109</f>
        <v>5166.5792333303662</v>
      </c>
      <c r="AE126" s="613">
        <f>'Ethylene Recycling LC'!AD109-'Ethylene Recycling LC'!$C$109</f>
        <v>5435.335432617605</v>
      </c>
      <c r="AF126" s="613">
        <f>'Ethylene Recycling LC'!AE109-'Ethylene Recycling LC'!$C$109</f>
        <v>5693.6497065324047</v>
      </c>
      <c r="AG126" s="613">
        <f>'Ethylene Recycling LC'!AF109-'Ethylene Recycling LC'!$C$109</f>
        <v>5941.5780032432931</v>
      </c>
      <c r="AH126" s="613">
        <f>'Ethylene Recycling LC'!AG109-'Ethylene Recycling LC'!$C$109</f>
        <v>1089.8265146992653</v>
      </c>
    </row>
    <row r="127" spans="1:36" s="63" customFormat="1">
      <c r="A127" s="224"/>
      <c r="B127" s="224" t="s">
        <v>263</v>
      </c>
      <c r="C127" s="225" t="s">
        <v>166</v>
      </c>
      <c r="D127" s="620">
        <f>D122-D123-D124-D125-D126-IF(D131&lt;0,D131,0)</f>
        <v>201906.27397932502</v>
      </c>
      <c r="E127" s="620">
        <f t="shared" ref="E127:AH127" si="39">E122-E123-E124-E125-E126-IF(E131&lt;0,E131,0)</f>
        <v>196508.26058735739</v>
      </c>
      <c r="F127" s="620">
        <f t="shared" si="39"/>
        <v>191203.95855243143</v>
      </c>
      <c r="G127" s="620">
        <f t="shared" si="39"/>
        <v>185993.83670618371</v>
      </c>
      <c r="H127" s="620">
        <f t="shared" si="39"/>
        <v>180878.35682891906</v>
      </c>
      <c r="I127" s="620">
        <f t="shared" si="39"/>
        <v>175857.97364961091</v>
      </c>
      <c r="J127" s="620">
        <f t="shared" si="39"/>
        <v>171130.93571609922</v>
      </c>
      <c r="K127" s="620">
        <f t="shared" si="39"/>
        <v>166510.55198857468</v>
      </c>
      <c r="L127" s="620">
        <f t="shared" si="39"/>
        <v>161996.90333110112</v>
      </c>
      <c r="M127" s="620">
        <f t="shared" si="39"/>
        <v>157590.06355641037</v>
      </c>
      <c r="N127" s="620">
        <f t="shared" si="39"/>
        <v>153290.09942590285</v>
      </c>
      <c r="O127" s="620">
        <f t="shared" si="39"/>
        <v>145769.54055308548</v>
      </c>
      <c r="P127" s="620">
        <f t="shared" si="39"/>
        <v>138127.53599713178</v>
      </c>
      <c r="Q127" s="620">
        <f t="shared" si="39"/>
        <v>131450.20211636124</v>
      </c>
      <c r="R127" s="620">
        <f t="shared" si="39"/>
        <v>125184.91698533282</v>
      </c>
      <c r="S127" s="620">
        <f t="shared" si="39"/>
        <v>119332.54767832049</v>
      </c>
      <c r="T127" s="620">
        <f t="shared" si="39"/>
        <v>113811.18897075272</v>
      </c>
      <c r="U127" s="620">
        <f t="shared" si="39"/>
        <v>108698.71582066374</v>
      </c>
      <c r="V127" s="620">
        <f t="shared" si="39"/>
        <v>103996.10503039765</v>
      </c>
      <c r="W127" s="620">
        <f t="shared" si="39"/>
        <v>99704.303977597112</v>
      </c>
      <c r="X127" s="620">
        <f t="shared" si="39"/>
        <v>95824.230616093482</v>
      </c>
      <c r="Y127" s="620">
        <f t="shared" si="39"/>
        <v>90623.630961446179</v>
      </c>
      <c r="Z127" s="620">
        <f t="shared" si="39"/>
        <v>83705.996586966605</v>
      </c>
      <c r="AA127" s="620">
        <f t="shared" si="39"/>
        <v>77501.662815778327</v>
      </c>
      <c r="AB127" s="620">
        <f t="shared" si="39"/>
        <v>71978.638179429952</v>
      </c>
      <c r="AC127" s="620">
        <f t="shared" si="39"/>
        <v>67209.339180040057</v>
      </c>
      <c r="AD127" s="620">
        <f t="shared" si="39"/>
        <v>64297.879618519451</v>
      </c>
      <c r="AE127" s="620">
        <f t="shared" si="39"/>
        <v>61989.41321136144</v>
      </c>
      <c r="AF127" s="620">
        <f t="shared" si="39"/>
        <v>60275.0427374707</v>
      </c>
      <c r="AG127" s="620">
        <f t="shared" si="39"/>
        <v>59145.78749621172</v>
      </c>
      <c r="AH127" s="620">
        <f t="shared" si="39"/>
        <v>62961.069075209103</v>
      </c>
    </row>
    <row r="128" spans="1:36" s="62" customFormat="1">
      <c r="A128" s="688" t="s">
        <v>685</v>
      </c>
      <c r="B128" s="55" t="s">
        <v>141</v>
      </c>
      <c r="C128" s="56" t="s">
        <v>166</v>
      </c>
      <c r="D128" s="630">
        <f>D44-('Ethylene Recycling LC'!C83+'Ethylene Recycling LC'!C110+'Ethylene Recycling LC'!C142+'Ethylene Recycling LC'!C160-('Ethylene Recycling LC'!$C$83+'Ethylene Recycling LC'!$C$110+'Ethylene Recycling LC'!$C$142+'Ethylene Recycling LC'!$C$160))</f>
        <v>35372.343512804095</v>
      </c>
      <c r="E128" s="630">
        <f>E44-('Ethylene Recycling LC'!D83+'Ethylene Recycling LC'!D110+'Ethylene Recycling LC'!D142+'Ethylene Recycling LC'!D160-('Ethylene Recycling LC'!$C$83+'Ethylene Recycling LC'!$C$110+'Ethylene Recycling LC'!$C$142+'Ethylene Recycling LC'!$C$160))</f>
        <v>33590.936300863301</v>
      </c>
      <c r="F128" s="630">
        <f>F44-('Ethylene Recycling LC'!E83+'Ethylene Recycling LC'!E110+'Ethylene Recycling LC'!E142+'Ethylene Recycling LC'!E160-('Ethylene Recycling LC'!$C$83+'Ethylene Recycling LC'!$C$110+'Ethylene Recycling LC'!$C$142+'Ethylene Recycling LC'!$C$160))</f>
        <v>31938.830378081046</v>
      </c>
      <c r="G128" s="630">
        <f>G44-('Ethylene Recycling LC'!F83+'Ethylene Recycling LC'!F110+'Ethylene Recycling LC'!F142+'Ethylene Recycling LC'!F160-('Ethylene Recycling LC'!$C$83+'Ethylene Recycling LC'!$C$110+'Ethylene Recycling LC'!$C$142+'Ethylene Recycling LC'!$C$160))</f>
        <v>30413.530310178205</v>
      </c>
      <c r="H128" s="630">
        <f>H44-('Ethylene Recycling LC'!G83+'Ethylene Recycling LC'!G110+'Ethylene Recycling LC'!G142+'Ethylene Recycling LC'!G160-('Ethylene Recycling LC'!$C$83+'Ethylene Recycling LC'!$C$110+'Ethylene Recycling LC'!$C$142+'Ethylene Recycling LC'!$C$160))</f>
        <v>29012.512064411814</v>
      </c>
      <c r="I128" s="630">
        <f>I44-('Ethylene Recycling LC'!H83+'Ethylene Recycling LC'!H110+'Ethylene Recycling LC'!H142+'Ethylene Recycling LC'!H160-('Ethylene Recycling LC'!$C$83+'Ethylene Recycling LC'!$C$110+'Ethylene Recycling LC'!$C$142+'Ethylene Recycling LC'!$C$160))</f>
        <v>27733.22342090297</v>
      </c>
      <c r="J128" s="630">
        <f>J44-('Ethylene Recycling LC'!I83+'Ethylene Recycling LC'!I110+'Ethylene Recycling LC'!I142+'Ethylene Recycling LC'!I160-('Ethylene Recycling LC'!$C$83+'Ethylene Recycling LC'!$C$110+'Ethylene Recycling LC'!$C$142+'Ethylene Recycling LC'!$C$160))</f>
        <v>26573.08438396416</v>
      </c>
      <c r="K128" s="630">
        <f>K44-('Ethylene Recycling LC'!J83+'Ethylene Recycling LC'!J110+'Ethylene Recycling LC'!J142+'Ethylene Recycling LC'!J160-('Ethylene Recycling LC'!$C$83+'Ethylene Recycling LC'!$C$110+'Ethylene Recycling LC'!$C$142+'Ethylene Recycling LC'!$C$160))</f>
        <v>25529.487593427213</v>
      </c>
      <c r="L128" s="630">
        <f>L44-('Ethylene Recycling LC'!K83+'Ethylene Recycling LC'!K110+'Ethylene Recycling LC'!K142+'Ethylene Recycling LC'!K160-('Ethylene Recycling LC'!$C$83+'Ethylene Recycling LC'!$C$110+'Ethylene Recycling LC'!$C$142+'Ethylene Recycling LC'!$C$160))</f>
        <v>24599.798735971042</v>
      </c>
      <c r="M128" s="630">
        <f>M44-('Ethylene Recycling LC'!L83+'Ethylene Recycling LC'!L110+'Ethylene Recycling LC'!L142+'Ethylene Recycling LC'!L160-('Ethylene Recycling LC'!$C$83+'Ethylene Recycling LC'!$C$110+'Ethylene Recycling LC'!$C$142+'Ethylene Recycling LC'!$C$160))</f>
        <v>23781.356956449035</v>
      </c>
      <c r="N128" s="630">
        <f>N44-('Ethylene Recycling LC'!M83+'Ethylene Recycling LC'!M110+'Ethylene Recycling LC'!M142+'Ethylene Recycling LC'!M160-('Ethylene Recycling LC'!$C$83+'Ethylene Recycling LC'!$C$110+'Ethylene Recycling LC'!$C$142+'Ethylene Recycling LC'!$C$160))</f>
        <v>23071.475269216888</v>
      </c>
      <c r="O128" s="630">
        <f>O44-('Ethylene Recycling LC'!N83+'Ethylene Recycling LC'!N110+'Ethylene Recycling LC'!N142+'Ethylene Recycling LC'!N160-('Ethylene Recycling LC'!$C$83+'Ethylene Recycling LC'!$C$110+'Ethylene Recycling LC'!$C$142+'Ethylene Recycling LC'!$C$160))</f>
        <v>20038.162440844131</v>
      </c>
      <c r="P128" s="630">
        <f>P44-('Ethylene Recycling LC'!O83+'Ethylene Recycling LC'!O110+'Ethylene Recycling LC'!O142+'Ethylene Recycling LC'!O160-('Ethylene Recycling LC'!$C$83+'Ethylene Recycling LC'!$C$110+'Ethylene Recycling LC'!$C$142+'Ethylene Recycling LC'!$C$160))</f>
        <v>16945.843451149649</v>
      </c>
      <c r="Q128" s="630">
        <f>Q44-('Ethylene Recycling LC'!P83+'Ethylene Recycling LC'!P110+'Ethylene Recycling LC'!P142+'Ethylene Recycling LC'!P160-('Ethylene Recycling LC'!$C$83+'Ethylene Recycling LC'!$C$110+'Ethylene Recycling LC'!$C$142+'Ethylene Recycling LC'!$C$160))</f>
        <v>14721.441429131552</v>
      </c>
      <c r="R128" s="630">
        <f>R44-('Ethylene Recycling LC'!Q83+'Ethylene Recycling LC'!Q110+'Ethylene Recycling LC'!Q142+'Ethylene Recycling LC'!Q160-('Ethylene Recycling LC'!$C$83+'Ethylene Recycling LC'!$C$110+'Ethylene Recycling LC'!$C$142+'Ethylene Recycling LC'!$C$160))</f>
        <v>12871.380093368327</v>
      </c>
      <c r="S128" s="630">
        <f>S44-('Ethylene Recycling LC'!R83+'Ethylene Recycling LC'!R110+'Ethylene Recycling LC'!R142+'Ethylene Recycling LC'!R160-('Ethylene Recycling LC'!$C$83+'Ethylene Recycling LC'!$C$110+'Ethylene Recycling LC'!$C$142+'Ethylene Recycling LC'!$C$160))</f>
        <v>11383.847558421494</v>
      </c>
      <c r="T128" s="630">
        <f>T44-('Ethylene Recycling LC'!S83+'Ethylene Recycling LC'!S110+'Ethylene Recycling LC'!S142+'Ethylene Recycling LC'!S160-('Ethylene Recycling LC'!$C$83+'Ethylene Recycling LC'!$C$110+'Ethylene Recycling LC'!$C$142+'Ethylene Recycling LC'!$C$160))</f>
        <v>10246.935959418861</v>
      </c>
      <c r="U128" s="630">
        <f>U44-('Ethylene Recycling LC'!T83+'Ethylene Recycling LC'!T110+'Ethylene Recycling LC'!T142+'Ethylene Recycling LC'!T160-('Ethylene Recycling LC'!$C$83+'Ethylene Recycling LC'!$C$110+'Ethylene Recycling LC'!$C$142+'Ethylene Recycling LC'!$C$160))</f>
        <v>9448.6431639218026</v>
      </c>
      <c r="V128" s="630">
        <f>V44-('Ethylene Recycling LC'!U83+'Ethylene Recycling LC'!U110+'Ethylene Recycling LC'!U142+'Ethylene Recycling LC'!U160-('Ethylene Recycling LC'!$C$83+'Ethylene Recycling LC'!$C$110+'Ethylene Recycling LC'!$C$142+'Ethylene Recycling LC'!$C$160))</f>
        <v>8976.874483776639</v>
      </c>
      <c r="W128" s="630">
        <f>W44-('Ethylene Recycling LC'!V83+'Ethylene Recycling LC'!V110+'Ethylene Recycling LC'!V142+'Ethylene Recycling LC'!V160-('Ethylene Recycling LC'!$C$83+'Ethylene Recycling LC'!$C$110+'Ethylene Recycling LC'!$C$142+'Ethylene Recycling LC'!$C$160))</f>
        <v>8819.4443869505303</v>
      </c>
      <c r="X128" s="630">
        <f>X44-('Ethylene Recycling LC'!W83+'Ethylene Recycling LC'!W110+'Ethylene Recycling LC'!W142+'Ethylene Recycling LC'!W160-('Ethylene Recycling LC'!$C$83+'Ethylene Recycling LC'!$C$110+'Ethylene Recycling LC'!$C$142+'Ethylene Recycling LC'!$C$160))</f>
        <v>8964.0782093515409</v>
      </c>
      <c r="Y128" s="630">
        <f>Y44-('Ethylene Recycling LC'!X83+'Ethylene Recycling LC'!X110+'Ethylene Recycling LC'!X142+'Ethylene Recycling LC'!X160-('Ethylene Recycling LC'!$C$83+'Ethylene Recycling LC'!$C$110+'Ethylene Recycling LC'!$C$142+'Ethylene Recycling LC'!$C$160))</f>
        <v>8575.7062199533575</v>
      </c>
      <c r="Z128" s="630">
        <f>Z44-('Ethylene Recycling LC'!Y83+'Ethylene Recycling LC'!Y110+'Ethylene Recycling LC'!Y142+'Ethylene Recycling LC'!Y160-('Ethylene Recycling LC'!$C$83+'Ethylene Recycling LC'!$C$110+'Ethylene Recycling LC'!$C$142+'Ethylene Recycling LC'!$C$160))</f>
        <v>6862.9466684243853</v>
      </c>
      <c r="AA128" s="630">
        <f>AA44-('Ethylene Recycling LC'!Z83+'Ethylene Recycling LC'!Z110+'Ethylene Recycling LC'!Z142+'Ethylene Recycling LC'!Z160-('Ethylene Recycling LC'!$C$83+'Ethylene Recycling LC'!$C$110+'Ethylene Recycling LC'!$C$142+'Ethylene Recycling LC'!$C$160))</f>
        <v>5666.8310696973422</v>
      </c>
      <c r="AB128" s="630">
        <f>AB44-('Ethylene Recycling LC'!AA83+'Ethylene Recycling LC'!AA110+'Ethylene Recycling LC'!AA142+'Ethylene Recycling LC'!AA160-('Ethylene Recycling LC'!$C$83+'Ethylene Recycling LC'!$C$110+'Ethylene Recycling LC'!$C$142+'Ethylene Recycling LC'!$C$160))</f>
        <v>4942.3141296729736</v>
      </c>
      <c r="AC128" s="630">
        <f>AC44-('Ethylene Recycling LC'!AB83+'Ethylene Recycling LC'!AB110+'Ethylene Recycling LC'!AB142+'Ethylene Recycling LC'!AB160-('Ethylene Recycling LC'!$C$83+'Ethylene Recycling LC'!$C$110+'Ethylene Recycling LC'!$C$142+'Ethylene Recycling LC'!$C$160))</f>
        <v>4669.0004218975482</v>
      </c>
      <c r="AD128" s="630">
        <f>AD44-('Ethylene Recycling LC'!AC83+'Ethylene Recycling LC'!AC110+'Ethylene Recycling LC'!AC142+'Ethylene Recycling LC'!AC160-('Ethylene Recycling LC'!$C$83+'Ethylene Recycling LC'!$C$110+'Ethylene Recycling LC'!$C$142+'Ethylene Recycling LC'!$C$160))</f>
        <v>4826.359353291311</v>
      </c>
      <c r="AE128" s="630">
        <f>AE44-('Ethylene Recycling LC'!AD83+'Ethylene Recycling LC'!AD110+'Ethylene Recycling LC'!AD142+'Ethylene Recycling LC'!AD160-('Ethylene Recycling LC'!$C$83+'Ethylene Recycling LC'!$C$110+'Ethylene Recycling LC'!$C$142+'Ethylene Recycling LC'!$C$160))</f>
        <v>5393.7280197344298</v>
      </c>
      <c r="AF128" s="630">
        <f>AF44-('Ethylene Recycling LC'!AE83+'Ethylene Recycling LC'!AE110+'Ethylene Recycling LC'!AE142+'Ethylene Recycling LC'!AE160-('Ethylene Recycling LC'!$C$83+'Ethylene Recycling LC'!$C$110+'Ethylene Recycling LC'!$C$142+'Ethylene Recycling LC'!$C$160))</f>
        <v>6350.3140610191986</v>
      </c>
      <c r="AG128" s="630">
        <f>AG44-('Ethylene Recycling LC'!AF83+'Ethylene Recycling LC'!AF110+'Ethylene Recycling LC'!AF142+'Ethylene Recycling LC'!AF160-('Ethylene Recycling LC'!$C$83+'Ethylene Recycling LC'!$C$110+'Ethylene Recycling LC'!$C$142+'Ethylene Recycling LC'!$C$160))</f>
        <v>7675.1985151673143</v>
      </c>
      <c r="AH128" s="630">
        <f>AH44-('Ethylene Recycling LC'!AG83+'Ethylene Recycling LC'!AG110+'Ethylene Recycling LC'!AG142+'Ethylene Recycling LC'!AG160-('Ethylene Recycling LC'!$C$83+'Ethylene Recycling LC'!$C$110+'Ethylene Recycling LC'!$C$142+'Ethylene Recycling LC'!$C$160))</f>
        <v>12998.819449218765</v>
      </c>
      <c r="AI128" s="57"/>
    </row>
    <row r="129" spans="1:35">
      <c r="A129" s="689"/>
      <c r="B129" s="1" t="s">
        <v>18</v>
      </c>
      <c r="C129" s="51" t="s">
        <v>166</v>
      </c>
      <c r="D129" s="196">
        <f>D45+(D133-D49)</f>
        <v>12741.658619367416</v>
      </c>
      <c r="E129" s="196">
        <f t="shared" ref="E129:AH129" si="40">E45+(E133-E49)</f>
        <v>12246.823371838707</v>
      </c>
      <c r="F129" s="196">
        <f t="shared" si="40"/>
        <v>11748.77554844616</v>
      </c>
      <c r="G129" s="196">
        <f t="shared" si="40"/>
        <v>11247.945933052732</v>
      </c>
      <c r="H129" s="196">
        <f t="shared" si="40"/>
        <v>10744.768387554999</v>
      </c>
      <c r="I129" s="196">
        <f t="shared" si="40"/>
        <v>10239.679793122072</v>
      </c>
      <c r="J129" s="196">
        <f t="shared" si="40"/>
        <v>9930.9011972901644</v>
      </c>
      <c r="K129" s="196">
        <f t="shared" si="40"/>
        <v>9631.7622810365829</v>
      </c>
      <c r="L129" s="196">
        <f t="shared" si="40"/>
        <v>9342.3559549315542</v>
      </c>
      <c r="M129" s="196">
        <f t="shared" si="40"/>
        <v>9062.7779137734506</v>
      </c>
      <c r="N129" s="196">
        <f t="shared" si="40"/>
        <v>8793.1265778276829</v>
      </c>
      <c r="O129" s="196">
        <f t="shared" si="40"/>
        <v>8328.8943636122494</v>
      </c>
      <c r="P129" s="196">
        <f t="shared" si="40"/>
        <v>7876.9022724602937</v>
      </c>
      <c r="Q129" s="196">
        <f t="shared" si="40"/>
        <v>7459.0683564294532</v>
      </c>
      <c r="R129" s="196">
        <f t="shared" si="40"/>
        <v>7066.5990140855729</v>
      </c>
      <c r="S129" s="196">
        <f t="shared" si="40"/>
        <v>6700.7415036758639</v>
      </c>
      <c r="T129" s="196">
        <f t="shared" si="40"/>
        <v>6280.017959935215</v>
      </c>
      <c r="U129" s="196">
        <f t="shared" si="40"/>
        <v>5882.7535171393547</v>
      </c>
      <c r="V129" s="196">
        <f t="shared" si="40"/>
        <v>5510.4212550677103</v>
      </c>
      <c r="W129" s="196">
        <f t="shared" si="40"/>
        <v>5164.5030430175402</v>
      </c>
      <c r="X129" s="196">
        <f t="shared" si="40"/>
        <v>4846.4892956121885</v>
      </c>
      <c r="Y129" s="196">
        <f t="shared" si="40"/>
        <v>4381.0328020892894</v>
      </c>
      <c r="Z129" s="196">
        <f t="shared" si="40"/>
        <v>3882.5310274717785</v>
      </c>
      <c r="AA129" s="196">
        <f t="shared" si="40"/>
        <v>3432.9971962936988</v>
      </c>
      <c r="AB129" s="196">
        <f t="shared" si="40"/>
        <v>3034.807405753053</v>
      </c>
      <c r="AC129" s="196">
        <f t="shared" si="40"/>
        <v>2690.3503914035637</v>
      </c>
      <c r="AD129" s="196">
        <f t="shared" si="40"/>
        <v>2463.0510958864679</v>
      </c>
      <c r="AE129" s="196">
        <f t="shared" si="40"/>
        <v>2298.7914759687801</v>
      </c>
      <c r="AF129" s="196">
        <f t="shared" si="40"/>
        <v>2199.8222927499328</v>
      </c>
      <c r="AG129" s="196">
        <f t="shared" si="40"/>
        <v>2168.4053556212029</v>
      </c>
      <c r="AH129" s="196">
        <f t="shared" si="40"/>
        <v>2378.5291062666429</v>
      </c>
      <c r="AI129" s="41"/>
    </row>
    <row r="130" spans="1:35">
      <c r="A130" s="689"/>
      <c r="B130" s="1" t="s">
        <v>684</v>
      </c>
      <c r="C130" s="51" t="s">
        <v>166</v>
      </c>
      <c r="D130" s="196">
        <f>D46+(D132-D48)</f>
        <v>125969.0168452574</v>
      </c>
      <c r="E130" s="196">
        <f t="shared" ref="E130:AH130" si="41">E46+(E132-E48)</f>
        <v>123679.41034428046</v>
      </c>
      <c r="F130" s="196">
        <f t="shared" si="41"/>
        <v>121380.96001505508</v>
      </c>
      <c r="G130" s="196">
        <f t="shared" si="41"/>
        <v>119074.8881580375</v>
      </c>
      <c r="H130" s="196">
        <f t="shared" si="41"/>
        <v>116762.42630885993</v>
      </c>
      <c r="I130" s="196">
        <f t="shared" si="41"/>
        <v>114444.81506204739</v>
      </c>
      <c r="J130" s="196">
        <f t="shared" si="41"/>
        <v>112123.30389473436</v>
      </c>
      <c r="K130" s="196">
        <f t="shared" si="41"/>
        <v>109799.15099038143</v>
      </c>
      <c r="L130" s="196">
        <f t="shared" si="41"/>
        <v>107473.62306249209</v>
      </c>
      <c r="M130" s="196">
        <f t="shared" si="41"/>
        <v>105147.99517832929</v>
      </c>
      <c r="N130" s="196">
        <f t="shared" si="41"/>
        <v>102823.55058263244</v>
      </c>
      <c r="O130" s="196">
        <f t="shared" si="41"/>
        <v>99985.658866613201</v>
      </c>
      <c r="P130" s="196">
        <f t="shared" si="41"/>
        <v>97123.740637920419</v>
      </c>
      <c r="Q130" s="196">
        <f t="shared" si="41"/>
        <v>94305.799970580003</v>
      </c>
      <c r="R130" s="196">
        <f t="shared" si="41"/>
        <v>91507.105303058284</v>
      </c>
      <c r="S130" s="196">
        <f t="shared" si="41"/>
        <v>88733.29772752944</v>
      </c>
      <c r="T130" s="196">
        <f t="shared" si="41"/>
        <v>85990.046808247265</v>
      </c>
      <c r="U130" s="196">
        <f t="shared" si="41"/>
        <v>83283.049846803013</v>
      </c>
      <c r="V130" s="196">
        <f t="shared" si="41"/>
        <v>80618.031147402464</v>
      </c>
      <c r="W130" s="196">
        <f t="shared" si="41"/>
        <v>78000.741282162257</v>
      </c>
      <c r="X130" s="196">
        <f t="shared" si="41"/>
        <v>75436.956356424926</v>
      </c>
      <c r="Y130" s="196">
        <f t="shared" si="41"/>
        <v>72326.305123375903</v>
      </c>
      <c r="Z130" s="196">
        <f t="shared" si="41"/>
        <v>69058.271875512743</v>
      </c>
      <c r="AA130" s="196">
        <f t="shared" si="41"/>
        <v>65884.448313932357</v>
      </c>
      <c r="AB130" s="196">
        <f t="shared" si="41"/>
        <v>62811.840247583619</v>
      </c>
      <c r="AC130" s="196">
        <f t="shared" si="41"/>
        <v>59849.988366739111</v>
      </c>
      <c r="AD130" s="196">
        <f t="shared" si="41"/>
        <v>57008.469169341835</v>
      </c>
      <c r="AE130" s="196">
        <f t="shared" si="41"/>
        <v>54296.893715658378</v>
      </c>
      <c r="AF130" s="196">
        <f t="shared" si="41"/>
        <v>51724.906383701709</v>
      </c>
      <c r="AG130" s="196">
        <f t="shared" si="41"/>
        <v>49302.183625423357</v>
      </c>
      <c r="AH130" s="196">
        <f t="shared" si="41"/>
        <v>47583.720519723676</v>
      </c>
      <c r="AI130" s="41"/>
    </row>
    <row r="131" spans="1:35">
      <c r="A131" s="690"/>
      <c r="B131" s="1" t="s">
        <v>27</v>
      </c>
      <c r="C131" s="51" t="s">
        <v>166</v>
      </c>
      <c r="D131" s="196">
        <f>D47-('Ethylene Recycling LC'!C84+'Ethylene Recycling LC'!C111+'Ethylene Recycling LC'!C143+'Ethylene Recycling LC'!C161-('Ethylene Recycling LC'!$C$84+'Ethylene Recycling LC'!$C$111+'Ethylene Recycling LC'!$C$143+'Ethylene Recycling LC'!$C$161)+'Ethylene Recycling LC'!C87+'Ethylene Recycling LC'!C114+'Ethylene Recycling LC'!C146+'Ethylene Recycling LC'!C164-('Ethylene Recycling LC'!$C$87+'Ethylene Recycling LC'!$C$114+'Ethylene Recycling LC'!$C$146+'Ethylene Recycling LC'!$C$164))</f>
        <v>27823.255001896119</v>
      </c>
      <c r="E131" s="196">
        <f>E47-('Ethylene Recycling LC'!D84+'Ethylene Recycling LC'!D111+'Ethylene Recycling LC'!D143+'Ethylene Recycling LC'!D161-('Ethylene Recycling LC'!$C$84+'Ethylene Recycling LC'!$C$111+'Ethylene Recycling LC'!$C$143+'Ethylene Recycling LC'!$C$161)+'Ethylene Recycling LC'!D87+'Ethylene Recycling LC'!D114+'Ethylene Recycling LC'!D146+'Ethylene Recycling LC'!D164-('Ethylene Recycling LC'!$C$87+'Ethylene Recycling LC'!$C$114+'Ethylene Recycling LC'!$C$146+'Ethylene Recycling LC'!$C$164))</f>
        <v>26991.090570374927</v>
      </c>
      <c r="F131" s="196">
        <f>F47-('Ethylene Recycling LC'!E84+'Ethylene Recycling LC'!E111+'Ethylene Recycling LC'!E143+'Ethylene Recycling LC'!E161-('Ethylene Recycling LC'!$C$84+'Ethylene Recycling LC'!$C$111+'Ethylene Recycling LC'!$C$143+'Ethylene Recycling LC'!$C$161)+'Ethylene Recycling LC'!E87+'Ethylene Recycling LC'!E114+'Ethylene Recycling LC'!E146+'Ethylene Recycling LC'!E164-('Ethylene Recycling LC'!$C$87+'Ethylene Recycling LC'!$C$114+'Ethylene Recycling LC'!$C$146+'Ethylene Recycling LC'!$C$164))</f>
        <v>26135.392610849136</v>
      </c>
      <c r="G131" s="196">
        <f>G47-('Ethylene Recycling LC'!F84+'Ethylene Recycling LC'!F111+'Ethylene Recycling LC'!F143+'Ethylene Recycling LC'!F161-('Ethylene Recycling LC'!$C$84+'Ethylene Recycling LC'!$C$111+'Ethylene Recycling LC'!$C$143+'Ethylene Recycling LC'!$C$161)+'Ethylene Recycling LC'!F87+'Ethylene Recycling LC'!F114+'Ethylene Recycling LC'!F146+'Ethylene Recycling LC'!F164-('Ethylene Recycling LC'!$C$87+'Ethylene Recycling LC'!$C$114+'Ethylene Recycling LC'!$C$146+'Ethylene Recycling LC'!$C$164))</f>
        <v>25257.472304915282</v>
      </c>
      <c r="H131" s="196">
        <f>H47-('Ethylene Recycling LC'!G84+'Ethylene Recycling LC'!G111+'Ethylene Recycling LC'!G143+'Ethylene Recycling LC'!G161-('Ethylene Recycling LC'!$C$84+'Ethylene Recycling LC'!$C$111+'Ethylene Recycling LC'!$C$143+'Ethylene Recycling LC'!$C$161)+'Ethylene Recycling LC'!G87+'Ethylene Recycling LC'!G114+'Ethylene Recycling LC'!G146+'Ethylene Recycling LC'!G164-('Ethylene Recycling LC'!$C$87+'Ethylene Recycling LC'!$C$114+'Ethylene Recycling LC'!$C$146+'Ethylene Recycling LC'!$C$164))</f>
        <v>24358.650068092382</v>
      </c>
      <c r="I131" s="196">
        <f>I47-('Ethylene Recycling LC'!H84+'Ethylene Recycling LC'!H111+'Ethylene Recycling LC'!H143+'Ethylene Recycling LC'!H161-('Ethylene Recycling LC'!$C$84+'Ethylene Recycling LC'!$C$111+'Ethylene Recycling LC'!$C$143+'Ethylene Recycling LC'!$C$161)+'Ethylene Recycling LC'!H87+'Ethylene Recycling LC'!H114+'Ethylene Recycling LC'!H146+'Ethylene Recycling LC'!H164-('Ethylene Recycling LC'!$C$87+'Ethylene Recycling LC'!$C$114+'Ethylene Recycling LC'!$C$146+'Ethylene Recycling LC'!$C$164))</f>
        <v>23440.255373538515</v>
      </c>
      <c r="J131" s="196">
        <f>J47-('Ethylene Recycling LC'!I84+'Ethylene Recycling LC'!I111+'Ethylene Recycling LC'!I143+'Ethylene Recycling LC'!I161-('Ethylene Recycling LC'!$C$84+'Ethylene Recycling LC'!$C$111+'Ethylene Recycling LC'!$C$143+'Ethylene Recycling LC'!$C$161)+'Ethylene Recycling LC'!I87+'Ethylene Recycling LC'!I114+'Ethylene Recycling LC'!I146+'Ethylene Recycling LC'!I164-('Ethylene Recycling LC'!$C$87+'Ethylene Recycling LC'!$C$114+'Ethylene Recycling LC'!$C$146+'Ethylene Recycling LC'!$C$164))</f>
        <v>22503.646240110545</v>
      </c>
      <c r="K131" s="196">
        <f>K47-('Ethylene Recycling LC'!J84+'Ethylene Recycling LC'!J111+'Ethylene Recycling LC'!J143+'Ethylene Recycling LC'!J161-('Ethylene Recycling LC'!$C$84+'Ethylene Recycling LC'!$C$111+'Ethylene Recycling LC'!$C$143+'Ethylene Recycling LC'!$C$161)+'Ethylene Recycling LC'!J87+'Ethylene Recycling LC'!J114+'Ethylene Recycling LC'!J146+'Ethylene Recycling LC'!J164-('Ethylene Recycling LC'!$C$87+'Ethylene Recycling LC'!$C$114+'Ethylene Recycling LC'!$C$146+'Ethylene Recycling LC'!$C$164))</f>
        <v>21550.15112372948</v>
      </c>
      <c r="L131" s="196">
        <f>L47-('Ethylene Recycling LC'!K84+'Ethylene Recycling LC'!K111+'Ethylene Recycling LC'!K143+'Ethylene Recycling LC'!K161-('Ethylene Recycling LC'!$C$84+'Ethylene Recycling LC'!$C$111+'Ethylene Recycling LC'!$C$143+'Ethylene Recycling LC'!$C$161)+'Ethylene Recycling LC'!K87+'Ethylene Recycling LC'!K114+'Ethylene Recycling LC'!K146+'Ethylene Recycling LC'!K164-('Ethylene Recycling LC'!$C$87+'Ethylene Recycling LC'!$C$114+'Ethylene Recycling LC'!$C$146+'Ethylene Recycling LC'!$C$164))</f>
        <v>20581.125577706469</v>
      </c>
      <c r="M131" s="196">
        <f>M47-('Ethylene Recycling LC'!L84+'Ethylene Recycling LC'!L111+'Ethylene Recycling LC'!L143+'Ethylene Recycling LC'!L161-('Ethylene Recycling LC'!$C$84+'Ethylene Recycling LC'!$C$111+'Ethylene Recycling LC'!$C$143+'Ethylene Recycling LC'!$C$161)+'Ethylene Recycling LC'!L87+'Ethylene Recycling LC'!L114+'Ethylene Recycling LC'!L146+'Ethylene Recycling LC'!L164-('Ethylene Recycling LC'!$C$87+'Ethylene Recycling LC'!$C$114+'Ethylene Recycling LC'!$C$146+'Ethylene Recycling LC'!$C$164))</f>
        <v>19597.933507858674</v>
      </c>
      <c r="N131" s="196">
        <f>N47-('Ethylene Recycling LC'!M84+'Ethylene Recycling LC'!M111+'Ethylene Recycling LC'!M143+'Ethylene Recycling LC'!M161-('Ethylene Recycling LC'!$C$84+'Ethylene Recycling LC'!$C$111+'Ethylene Recycling LC'!$C$143+'Ethylene Recycling LC'!$C$161)+'Ethylene Recycling LC'!M87+'Ethylene Recycling LC'!M114+'Ethylene Recycling LC'!M146+'Ethylene Recycling LC'!M164-('Ethylene Recycling LC'!$C$87+'Ethylene Recycling LC'!$C$114+'Ethylene Recycling LC'!$C$146+'Ethylene Recycling LC'!$C$164))</f>
        <v>18601.946996225863</v>
      </c>
      <c r="O131" s="196">
        <f>O47-('Ethylene Recycling LC'!N84+'Ethylene Recycling LC'!N111+'Ethylene Recycling LC'!N143+'Ethylene Recycling LC'!N161-('Ethylene Recycling LC'!$C$84+'Ethylene Recycling LC'!$C$111+'Ethylene Recycling LC'!$C$143+'Ethylene Recycling LC'!$C$161)+'Ethylene Recycling LC'!N87+'Ethylene Recycling LC'!N114+'Ethylene Recycling LC'!N146+'Ethylene Recycling LC'!N164-('Ethylene Recycling LC'!$C$87+'Ethylene Recycling LC'!$C$114+'Ethylene Recycling LC'!$C$146+'Ethylene Recycling LC'!$C$164))</f>
        <v>17416.824882015957</v>
      </c>
      <c r="P131" s="196">
        <f>P47-('Ethylene Recycling LC'!O84+'Ethylene Recycling LC'!O111+'Ethylene Recycling LC'!O143+'Ethylene Recycling LC'!O161-('Ethylene Recycling LC'!$C$84+'Ethylene Recycling LC'!$C$111+'Ethylene Recycling LC'!$C$143+'Ethylene Recycling LC'!$C$161)+'Ethylene Recycling LC'!O87+'Ethylene Recycling LC'!O114+'Ethylene Recycling LC'!O146+'Ethylene Recycling LC'!O164-('Ethylene Recycling LC'!$C$87+'Ethylene Recycling LC'!$C$114+'Ethylene Recycling LC'!$C$146+'Ethylene Recycling LC'!$C$164))</f>
        <v>16181.049635601517</v>
      </c>
      <c r="Q131" s="196">
        <f>Q47-('Ethylene Recycling LC'!P84+'Ethylene Recycling LC'!P111+'Ethylene Recycling LC'!P143+'Ethylene Recycling LC'!P161-('Ethylene Recycling LC'!$C$84+'Ethylene Recycling LC'!$C$111+'Ethylene Recycling LC'!$C$143+'Ethylene Recycling LC'!$C$161)+'Ethylene Recycling LC'!P87+'Ethylene Recycling LC'!P114+'Ethylene Recycling LC'!P146+'Ethylene Recycling LC'!P164-('Ethylene Recycling LC'!$C$87+'Ethylene Recycling LC'!$C$114+'Ethylene Recycling LC'!$C$146+'Ethylene Recycling LC'!$C$164))</f>
        <v>14963.892360220307</v>
      </c>
      <c r="R131" s="196">
        <f>R47-('Ethylene Recycling LC'!Q84+'Ethylene Recycling LC'!Q111+'Ethylene Recycling LC'!Q143+'Ethylene Recycling LC'!Q161-('Ethylene Recycling LC'!$C$84+'Ethylene Recycling LC'!$C$111+'Ethylene Recycling LC'!$C$143+'Ethylene Recycling LC'!$C$161)+'Ethylene Recycling LC'!Q87+'Ethylene Recycling LC'!Q114+'Ethylene Recycling LC'!Q146+'Ethylene Recycling LC'!Q164-('Ethylene Recycling LC'!$C$87+'Ethylene Recycling LC'!$C$114+'Ethylene Recycling LC'!$C$146+'Ethylene Recycling LC'!$C$164))</f>
        <v>13739.832574820679</v>
      </c>
      <c r="S131" s="196">
        <f>S47-('Ethylene Recycling LC'!R84+'Ethylene Recycling LC'!R111+'Ethylene Recycling LC'!R143+'Ethylene Recycling LC'!R161-('Ethylene Recycling LC'!$C$84+'Ethylene Recycling LC'!$C$111+'Ethylene Recycling LC'!$C$143+'Ethylene Recycling LC'!$C$161)+'Ethylene Recycling LC'!R87+'Ethylene Recycling LC'!R114+'Ethylene Recycling LC'!R146+'Ethylene Recycling LC'!R164-('Ethylene Recycling LC'!$C$87+'Ethylene Recycling LC'!$C$114+'Ethylene Recycling LC'!$C$146+'Ethylene Recycling LC'!$C$164))</f>
        <v>12514.660888693781</v>
      </c>
      <c r="T131" s="196">
        <f>T47-('Ethylene Recycling LC'!S84+'Ethylene Recycling LC'!S111+'Ethylene Recycling LC'!S143+'Ethylene Recycling LC'!S161-('Ethylene Recycling LC'!$C$84+'Ethylene Recycling LC'!$C$111+'Ethylene Recycling LC'!$C$143+'Ethylene Recycling LC'!$C$161)+'Ethylene Recycling LC'!S87+'Ethylene Recycling LC'!S114+'Ethylene Recycling LC'!S146+'Ethylene Recycling LC'!S164-('Ethylene Recycling LC'!$C$87+'Ethylene Recycling LC'!$C$114+'Ethylene Recycling LC'!$C$146+'Ethylene Recycling LC'!$C$164))</f>
        <v>11294.188243151437</v>
      </c>
      <c r="U131" s="196">
        <f>U47-('Ethylene Recycling LC'!T84+'Ethylene Recycling LC'!T111+'Ethylene Recycling LC'!T143+'Ethylene Recycling LC'!T161-('Ethylene Recycling LC'!$C$84+'Ethylene Recycling LC'!$C$111+'Ethylene Recycling LC'!$C$143+'Ethylene Recycling LC'!$C$161)+'Ethylene Recycling LC'!T87+'Ethylene Recycling LC'!T114+'Ethylene Recycling LC'!T146+'Ethylene Recycling LC'!T164-('Ethylene Recycling LC'!$C$87+'Ethylene Recycling LC'!$C$114+'Ethylene Recycling LC'!$C$146+'Ethylene Recycling LC'!$C$164))</f>
        <v>10084.269292799667</v>
      </c>
      <c r="V131" s="196">
        <f>V47-('Ethylene Recycling LC'!U84+'Ethylene Recycling LC'!U111+'Ethylene Recycling LC'!U143+'Ethylene Recycling LC'!U161-('Ethylene Recycling LC'!$C$84+'Ethylene Recycling LC'!$C$111+'Ethylene Recycling LC'!$C$143+'Ethylene Recycling LC'!$C$161)+'Ethylene Recycling LC'!U87+'Ethylene Recycling LC'!U114+'Ethylene Recycling LC'!U146+'Ethylene Recycling LC'!U164-('Ethylene Recycling LC'!$C$87+'Ethylene Recycling LC'!$C$114+'Ethylene Recycling LC'!$C$146+'Ethylene Recycling LC'!$C$164))</f>
        <v>8890.7781441509123</v>
      </c>
      <c r="W131" s="196">
        <f>W47-('Ethylene Recycling LC'!V84+'Ethylene Recycling LC'!V111+'Ethylene Recycling LC'!V143+'Ethylene Recycling LC'!V161-('Ethylene Recycling LC'!$C$84+'Ethylene Recycling LC'!$C$111+'Ethylene Recycling LC'!$C$143+'Ethylene Recycling LC'!$C$161)+'Ethylene Recycling LC'!V87+'Ethylene Recycling LC'!V114+'Ethylene Recycling LC'!V146+'Ethylene Recycling LC'!V164-('Ethylene Recycling LC'!$C$87+'Ethylene Recycling LC'!$C$114+'Ethylene Recycling LC'!$C$146+'Ethylene Recycling LC'!$C$164))</f>
        <v>7719.6152654668604</v>
      </c>
      <c r="X131" s="196">
        <f>X47-('Ethylene Recycling LC'!W84+'Ethylene Recycling LC'!W111+'Ethylene Recycling LC'!W143+'Ethylene Recycling LC'!W161-('Ethylene Recycling LC'!$C$84+'Ethylene Recycling LC'!$C$111+'Ethylene Recycling LC'!$C$143+'Ethylene Recycling LC'!$C$161)+'Ethylene Recycling LC'!W87+'Ethylene Recycling LC'!W114+'Ethylene Recycling LC'!W146+'Ethylene Recycling LC'!W164-('Ethylene Recycling LC'!$C$87+'Ethylene Recycling LC'!$C$114+'Ethylene Recycling LC'!$C$146+'Ethylene Recycling LC'!$C$164))</f>
        <v>6576.7067547049337</v>
      </c>
      <c r="Y131" s="196">
        <f>Y47-('Ethylene Recycling LC'!X84+'Ethylene Recycling LC'!X111+'Ethylene Recycling LC'!X143+'Ethylene Recycling LC'!X161-('Ethylene Recycling LC'!$C$84+'Ethylene Recycling LC'!$C$111+'Ethylene Recycling LC'!$C$143+'Ethylene Recycling LC'!$C$161)+'Ethylene Recycling LC'!X87+'Ethylene Recycling LC'!X114+'Ethylene Recycling LC'!X146+'Ethylene Recycling LC'!X164-('Ethylene Recycling LC'!$C$87+'Ethylene Recycling LC'!$C$114+'Ethylene Recycling LC'!$C$146+'Ethylene Recycling LC'!$C$164))</f>
        <v>5340.5868160277278</v>
      </c>
      <c r="Z131" s="196">
        <f>Z47-('Ethylene Recycling LC'!Y84+'Ethylene Recycling LC'!Y111+'Ethylene Recycling LC'!Y143+'Ethylene Recycling LC'!Y161-('Ethylene Recycling LC'!$C$84+'Ethylene Recycling LC'!$C$111+'Ethylene Recycling LC'!$C$143+'Ethylene Recycling LC'!$C$161)+'Ethylene Recycling LC'!Y87+'Ethylene Recycling LC'!Y114+'Ethylene Recycling LC'!Y146+'Ethylene Recycling LC'!Y164-('Ethylene Recycling LC'!$C$87+'Ethylene Recycling LC'!$C$114+'Ethylene Recycling LC'!$C$146+'Ethylene Recycling LC'!$C$164))</f>
        <v>3902.2470155578339</v>
      </c>
      <c r="AA131" s="196">
        <f>AA47-('Ethylene Recycling LC'!Z84+'Ethylene Recycling LC'!Z111+'Ethylene Recycling LC'!Z143+'Ethylene Recycling LC'!Z161-('Ethylene Recycling LC'!$C$84+'Ethylene Recycling LC'!$C$111+'Ethylene Recycling LC'!$C$143+'Ethylene Recycling LC'!$C$161)+'Ethylene Recycling LC'!Z87+'Ethylene Recycling LC'!Z114+'Ethylene Recycling LC'!Z146+'Ethylene Recycling LC'!Z164-('Ethylene Recycling LC'!$C$87+'Ethylene Recycling LC'!$C$114+'Ethylene Recycling LC'!$C$146+'Ethylene Recycling LC'!$C$164))</f>
        <v>2517.386235855065</v>
      </c>
      <c r="AB131" s="196">
        <f>AB47-('Ethylene Recycling LC'!AA84+'Ethylene Recycling LC'!AA111+'Ethylene Recycling LC'!AA143+'Ethylene Recycling LC'!AA161-('Ethylene Recycling LC'!$C$84+'Ethylene Recycling LC'!$C$111+'Ethylene Recycling LC'!$C$143+'Ethylene Recycling LC'!$C$161)+'Ethylene Recycling LC'!AA87+'Ethylene Recycling LC'!AA114+'Ethylene Recycling LC'!AA146+'Ethylene Recycling LC'!AA164-('Ethylene Recycling LC'!$C$87+'Ethylene Recycling LC'!$C$114+'Ethylene Recycling LC'!$C$146+'Ethylene Recycling LC'!$C$164))</f>
        <v>1189.6763964204511</v>
      </c>
      <c r="AC131" s="196">
        <f>AC47-('Ethylene Recycling LC'!AB84+'Ethylene Recycling LC'!AB111+'Ethylene Recycling LC'!AB143+'Ethylene Recycling LC'!AB161-('Ethylene Recycling LC'!$C$84+'Ethylene Recycling LC'!$C$111+'Ethylene Recycling LC'!$C$143+'Ethylene Recycling LC'!$C$161)+'Ethylene Recycling LC'!AB87+'Ethylene Recycling LC'!AB114+'Ethylene Recycling LC'!AB146+'Ethylene Recycling LC'!AB164-('Ethylene Recycling LC'!$C$87+'Ethylene Recycling LC'!$C$114+'Ethylene Recycling LC'!$C$146+'Ethylene Recycling LC'!$C$164))</f>
        <v>-71.154491585944925</v>
      </c>
      <c r="AD131" s="196">
        <f>AD47-('Ethylene Recycling LC'!AC84+'Ethylene Recycling LC'!AC111+'Ethylene Recycling LC'!AC143+'Ethylene Recycling LC'!AC161-('Ethylene Recycling LC'!$C$84+'Ethylene Recycling LC'!$C$111+'Ethylene Recycling LC'!$C$143+'Ethylene Recycling LC'!$C$161)+'Ethylene Recycling LC'!AC87+'Ethylene Recycling LC'!AC114+'Ethylene Recycling LC'!AC146+'Ethylene Recycling LC'!AC164-('Ethylene Recycling LC'!$C$87+'Ethylene Recycling LC'!$C$114+'Ethylene Recycling LC'!$C$146+'Ethylene Recycling LC'!$C$164))</f>
        <v>-1255.3360839212655</v>
      </c>
      <c r="AE131" s="196">
        <f>AE47-('Ethylene Recycling LC'!AD84+'Ethylene Recycling LC'!AD111+'Ethylene Recycling LC'!AD143+'Ethylene Recycling LC'!AD161-('Ethylene Recycling LC'!$C$84+'Ethylene Recycling LC'!$C$111+'Ethylene Recycling LC'!$C$143+'Ethylene Recycling LC'!$C$161)+'Ethylene Recycling LC'!AD87+'Ethylene Recycling LC'!AD114+'Ethylene Recycling LC'!AD146+'Ethylene Recycling LC'!AD164-('Ethylene Recycling LC'!$C$87+'Ethylene Recycling LC'!$C$114+'Ethylene Recycling LC'!$C$146+'Ethylene Recycling LC'!$C$164))</f>
        <v>-2353.0746352667702</v>
      </c>
      <c r="AF131" s="196">
        <f>AF47-('Ethylene Recycling LC'!AE84+'Ethylene Recycling LC'!AE111+'Ethylene Recycling LC'!AE143+'Ethylene Recycling LC'!AE161-('Ethylene Recycling LC'!$C$84+'Ethylene Recycling LC'!$C$111+'Ethylene Recycling LC'!$C$143+'Ethylene Recycling LC'!$C$161)+'Ethylene Recycling LC'!AE87+'Ethylene Recycling LC'!AE114+'Ethylene Recycling LC'!AE146+'Ethylene Recycling LC'!AE164-('Ethylene Recycling LC'!$C$87+'Ethylene Recycling LC'!$C$114+'Ethylene Recycling LC'!$C$146+'Ethylene Recycling LC'!$C$164))</f>
        <v>-3354.5368850402156</v>
      </c>
      <c r="AG131" s="196">
        <f>AG47-('Ethylene Recycling LC'!AF84+'Ethylene Recycling LC'!AF111+'Ethylene Recycling LC'!AF143+'Ethylene Recycling LC'!AF161-('Ethylene Recycling LC'!$C$84+'Ethylene Recycling LC'!$C$111+'Ethylene Recycling LC'!$C$143+'Ethylene Recycling LC'!$C$161)+'Ethylene Recycling LC'!AF87+'Ethylene Recycling LC'!AF114+'Ethylene Recycling LC'!AF146+'Ethylene Recycling LC'!AF164-('Ethylene Recycling LC'!$C$87+'Ethylene Recycling LC'!$C$114+'Ethylene Recycling LC'!$C$146+'Ethylene Recycling LC'!$C$164))</f>
        <v>-4249.8568378212549</v>
      </c>
      <c r="AH131" s="196">
        <f>AH47-('Ethylene Recycling LC'!AG84+'Ethylene Recycling LC'!AG111+'Ethylene Recycling LC'!AG143+'Ethylene Recycling LC'!AG161-('Ethylene Recycling LC'!$C$84+'Ethylene Recycling LC'!$C$111+'Ethylene Recycling LC'!$C$143+'Ethylene Recycling LC'!$C$161)+'Ethylene Recycling LC'!AG87+'Ethylene Recycling LC'!AG114+'Ethylene Recycling LC'!AG146+'Ethylene Recycling LC'!AG164-('Ethylene Recycling LC'!$C$87+'Ethylene Recycling LC'!$C$114+'Ethylene Recycling LC'!$C$146+'Ethylene Recycling LC'!$C$164))</f>
        <v>-4136.5356778137102</v>
      </c>
      <c r="AI131" s="41"/>
    </row>
    <row r="132" spans="1:35" s="62" customFormat="1">
      <c r="A132" s="691" t="s">
        <v>686</v>
      </c>
      <c r="B132" s="55" t="s">
        <v>683</v>
      </c>
      <c r="C132" s="56" t="s">
        <v>166</v>
      </c>
      <c r="D132" s="630">
        <f>D48-('Ethylene Recycling LC'!C85+'Ethylene Recycling LC'!C112+'Ethylene Recycling LC'!C144+'Ethylene Recycling LC'!C162-('Ethylene Recycling LC'!$C$85+'Ethylene Recycling LC'!$C$112+'Ethylene Recycling LC'!$C$144+'Ethylene Recycling LC'!$C$162))</f>
        <v>57420.121340898964</v>
      </c>
      <c r="E132" s="630">
        <f>E48-('Ethylene Recycling LC'!D85+'Ethylene Recycling LC'!D112+'Ethylene Recycling LC'!D144+'Ethylene Recycling LC'!D162-('Ethylene Recycling LC'!$C$85+'Ethylene Recycling LC'!$C$112+'Ethylene Recycling LC'!$C$144+'Ethylene Recycling LC'!$C$162))</f>
        <v>55847.301979902521</v>
      </c>
      <c r="F132" s="630">
        <f>F48-('Ethylene Recycling LC'!E85+'Ethylene Recycling LC'!E112+'Ethylene Recycling LC'!E144+'Ethylene Recycling LC'!E162-('Ethylene Recycling LC'!$C$85+'Ethylene Recycling LC'!$C$112+'Ethylene Recycling LC'!$C$144+'Ethylene Recycling LC'!$C$162))</f>
        <v>54265.63879065762</v>
      </c>
      <c r="G132" s="630">
        <f>G48-('Ethylene Recycling LC'!F85+'Ethylene Recycling LC'!F112+'Ethylene Recycling LC'!F144+'Ethylene Recycling LC'!F162-('Ethylene Recycling LC'!$C$85+'Ethylene Recycling LC'!$C$112+'Ethylene Recycling LC'!$C$144+'Ethylene Recycling LC'!$C$162))</f>
        <v>52676.354073620503</v>
      </c>
      <c r="H132" s="630">
        <f>H48-('Ethylene Recycling LC'!G85+'Ethylene Recycling LC'!G112+'Ethylene Recycling LC'!G144+'Ethylene Recycling LC'!G162-('Ethylene Recycling LC'!$C$85+'Ethylene Recycling LC'!$C$112+'Ethylene Recycling LC'!$C$144+'Ethylene Recycling LC'!$C$162))</f>
        <v>51080.67936442342</v>
      </c>
      <c r="I132" s="630">
        <f>I48-('Ethylene Recycling LC'!H85+'Ethylene Recycling LC'!H112+'Ethylene Recycling LC'!H144+'Ethylene Recycling LC'!H162-('Ethylene Recycling LC'!$C$85+'Ethylene Recycling LC'!$C$112+'Ethylene Recycling LC'!$C$144+'Ethylene Recycling LC'!$C$162))</f>
        <v>49479.855257591385</v>
      </c>
      <c r="J132" s="630">
        <f>J48-('Ethylene Recycling LC'!I85+'Ethylene Recycling LC'!I112+'Ethylene Recycling LC'!I144+'Ethylene Recycling LC'!I162-('Ethylene Recycling LC'!$C$85+'Ethylene Recycling LC'!$C$112+'Ethylene Recycling LC'!$C$144+'Ethylene Recycling LC'!$C$162))</f>
        <v>47875.131230258834</v>
      </c>
      <c r="K132" s="630">
        <f>K48-('Ethylene Recycling LC'!J85+'Ethylene Recycling LC'!J112+'Ethylene Recycling LC'!J144+'Ethylene Recycling LC'!J162-('Ethylene Recycling LC'!$C$85+'Ethylene Recycling LC'!$C$112+'Ethylene Recycling LC'!$C$144+'Ethylene Recycling LC'!$C$162))</f>
        <v>46267.765465886383</v>
      </c>
      <c r="L132" s="630">
        <f>L48-('Ethylene Recycling LC'!K85+'Ethylene Recycling LC'!K112+'Ethylene Recycling LC'!K144+'Ethylene Recycling LC'!K162-('Ethylene Recycling LC'!$C$85+'Ethylene Recycling LC'!$C$112+'Ethylene Recycling LC'!$C$144+'Ethylene Recycling LC'!$C$162))</f>
        <v>44659.024677977504</v>
      </c>
      <c r="M132" s="630">
        <f>M48-('Ethylene Recycling LC'!L85+'Ethylene Recycling LC'!L112+'Ethylene Recycling LC'!L144+'Ethylene Recycling LC'!L162-('Ethylene Recycling LC'!$C$85+'Ethylene Recycling LC'!$C$112+'Ethylene Recycling LC'!$C$144+'Ethylene Recycling LC'!$C$162))</f>
        <v>43050.183933795211</v>
      </c>
      <c r="N132" s="630">
        <f>N48-('Ethylene Recycling LC'!M85+'Ethylene Recycling LC'!M112+'Ethylene Recycling LC'!M144+'Ethylene Recycling LC'!M162-('Ethylene Recycling LC'!$C$85+'Ethylene Recycling LC'!$C$112+'Ethylene Recycling LC'!$C$144+'Ethylene Recycling LC'!$C$162))</f>
        <v>41442.526478078842</v>
      </c>
      <c r="O132" s="630">
        <f>O48-('Ethylene Recycling LC'!N85+'Ethylene Recycling LC'!N112+'Ethylene Recycling LC'!N144+'Ethylene Recycling LC'!N162-('Ethylene Recycling LC'!$C$85+'Ethylene Recycling LC'!$C$112+'Ethylene Recycling LC'!$C$144+'Ethylene Recycling LC'!$C$162))</f>
        <v>39321.421902040085</v>
      </c>
      <c r="P132" s="630">
        <f>P48-('Ethylene Recycling LC'!O85+'Ethylene Recycling LC'!O112+'Ethylene Recycling LC'!O144+'Ethylene Recycling LC'!O162-('Ethylene Recycling LC'!$C$85+'Ethylene Recycling LC'!$C$112+'Ethylene Recycling LC'!$C$144+'Ethylene Recycling LC'!$C$162))</f>
        <v>37176.290813327796</v>
      </c>
      <c r="Q132" s="630">
        <f>Q48-('Ethylene Recycling LC'!P85+'Ethylene Recycling LC'!P112+'Ethylene Recycling LC'!P144+'Ethylene Recycling LC'!P162-('Ethylene Recycling LC'!$C$85+'Ethylene Recycling LC'!$C$112+'Ethylene Recycling LC'!$C$144+'Ethylene Recycling LC'!$C$162))</f>
        <v>35075.137285967874</v>
      </c>
      <c r="R132" s="630">
        <f>R48-('Ethylene Recycling LC'!Q85+'Ethylene Recycling LC'!Q112+'Ethylene Recycling LC'!Q144+'Ethylene Recycling LC'!Q162-('Ethylene Recycling LC'!$C$85+'Ethylene Recycling LC'!$C$112+'Ethylene Recycling LC'!$C$144+'Ethylene Recycling LC'!$C$162))</f>
        <v>32993.229758426634</v>
      </c>
      <c r="S132" s="630">
        <f>S48-('Ethylene Recycling LC'!R85+'Ethylene Recycling LC'!R112+'Ethylene Recycling LC'!R144+'Ethylene Recycling LC'!R162-('Ethylene Recycling LC'!$C$85+'Ethylene Recycling LC'!$C$112+'Ethylene Recycling LC'!$C$144+'Ethylene Recycling LC'!$C$162))</f>
        <v>30936.209322878283</v>
      </c>
      <c r="T132" s="630">
        <f>T48-('Ethylene Recycling LC'!S85+'Ethylene Recycling LC'!S112+'Ethylene Recycling LC'!S144+'Ethylene Recycling LC'!S162-('Ethylene Recycling LC'!$C$85+'Ethylene Recycling LC'!$C$112+'Ethylene Recycling LC'!$C$144+'Ethylene Recycling LC'!$C$162))</f>
        <v>28909.745543576591</v>
      </c>
      <c r="U132" s="630">
        <f>U48-('Ethylene Recycling LC'!T85+'Ethylene Recycling LC'!T112+'Ethylene Recycling LC'!T144+'Ethylene Recycling LC'!T162-('Ethylene Recycling LC'!$C$85+'Ethylene Recycling LC'!$C$112+'Ethylene Recycling LC'!$C$144+'Ethylene Recycling LC'!$C$162))</f>
        <v>26919.535722112811</v>
      </c>
      <c r="V132" s="630">
        <f>V48-('Ethylene Recycling LC'!U85+'Ethylene Recycling LC'!U112+'Ethylene Recycling LC'!U144+'Ethylene Recycling LC'!U162-('Ethylene Recycling LC'!$C$85+'Ethylene Recycling LC'!$C$112+'Ethylene Recycling LC'!$C$144+'Ethylene Recycling LC'!$C$162))</f>
        <v>24971.304162692759</v>
      </c>
      <c r="W132" s="630">
        <f>W48-('Ethylene Recycling LC'!V85+'Ethylene Recycling LC'!V112+'Ethylene Recycling LC'!V144+'Ethylene Recycling LC'!V162-('Ethylene Recycling LC'!$C$85+'Ethylene Recycling LC'!$C$112+'Ethylene Recycling LC'!$C$144+'Ethylene Recycling LC'!$C$162))</f>
        <v>23070.801437433034</v>
      </c>
      <c r="X132" s="630">
        <f>X48-('Ethylene Recycling LC'!W85+'Ethylene Recycling LC'!W112+'Ethylene Recycling LC'!W144+'Ethylene Recycling LC'!W162-('Ethylene Recycling LC'!$C$85+'Ethylene Recycling LC'!$C$112+'Ethylene Recycling LC'!$C$144+'Ethylene Recycling LC'!$C$162))</f>
        <v>21223.803651676186</v>
      </c>
      <c r="Y132" s="630">
        <f>Y48-('Ethylene Recycling LC'!X85+'Ethylene Recycling LC'!X112+'Ethylene Recycling LC'!X144+'Ethylene Recycling LC'!X162-('Ethylene Recycling LC'!$C$85+'Ethylene Recycling LC'!$C$112+'Ethylene Recycling LC'!$C$144+'Ethylene Recycling LC'!$C$162))</f>
        <v>18851.660381031295</v>
      </c>
      <c r="Z132" s="630">
        <f>Z48-('Ethylene Recycling LC'!Y85+'Ethylene Recycling LC'!Y112+'Ethylene Recycling LC'!Y144+'Ethylene Recycling LC'!Y162-('Ethylene Recycling LC'!$C$85+'Ethylene Recycling LC'!$C$112+'Ethylene Recycling LC'!$C$144+'Ethylene Recycling LC'!$C$162))</f>
        <v>16322.135095572263</v>
      </c>
      <c r="AA132" s="630">
        <f>AA48-('Ethylene Recycling LC'!Z85+'Ethylene Recycling LC'!Z112+'Ethylene Recycling LC'!Z144+'Ethylene Recycling LC'!Z162-('Ethylene Recycling LC'!$C$85+'Ethylene Recycling LC'!$C$112+'Ethylene Recycling LC'!$C$144+'Ethylene Recycling LC'!$C$162))</f>
        <v>13886.819496396023</v>
      </c>
      <c r="AB132" s="630">
        <f>AB48-('Ethylene Recycling LC'!AA85+'Ethylene Recycling LC'!AA112+'Ethylene Recycling LC'!AA144+'Ethylene Recycling LC'!AA162-('Ethylene Recycling LC'!$C$85+'Ethylene Recycling LC'!$C$112+'Ethylene Recycling LC'!$C$144+'Ethylene Recycling LC'!$C$162))</f>
        <v>11552.719392451418</v>
      </c>
      <c r="AC132" s="630">
        <f>AC48-('Ethylene Recycling LC'!AB85+'Ethylene Recycling LC'!AB112+'Ethylene Recycling LC'!AB144+'Ethylene Recycling LC'!AB162-('Ethylene Recycling LC'!$C$85+'Ethylene Recycling LC'!$C$112+'Ethylene Recycling LC'!$C$144+'Ethylene Recycling LC'!$C$162))</f>
        <v>9329.3754740110453</v>
      </c>
      <c r="AD132" s="630">
        <f>AD48-('Ethylene Recycling LC'!AC85+'Ethylene Recycling LC'!AC112+'Ethylene Recycling LC'!AC144+'Ethylene Recycling LC'!AC162-('Ethylene Recycling LC'!$C$85+'Ethylene Recycling LC'!$C$112+'Ethylene Recycling LC'!$C$144+'Ethylene Recycling LC'!$C$162))</f>
        <v>7226.3642390179011</v>
      </c>
      <c r="AE132" s="630">
        <f>AE48-('Ethylene Recycling LC'!AD85+'Ethylene Recycling LC'!AD112+'Ethylene Recycling LC'!AD144+'Ethylene Recycling LC'!AD162-('Ethylene Recycling LC'!$C$85+'Ethylene Recycling LC'!$C$112+'Ethylene Recycling LC'!$C$144+'Ethylene Recycling LC'!$C$162))</f>
        <v>5253.2967477385901</v>
      </c>
      <c r="AF132" s="630">
        <f>AF48-('Ethylene Recycling LC'!AE85+'Ethylene Recycling LC'!AE112+'Ethylene Recycling LC'!AE144+'Ethylene Recycling LC'!AE162-('Ethylene Recycling LC'!$C$85+'Ethylene Recycling LC'!$C$112+'Ethylene Recycling LC'!$C$144+'Ethylene Recycling LC'!$C$162))</f>
        <v>3419.8173781860387</v>
      </c>
      <c r="AG132" s="630">
        <f>AG48-('Ethylene Recycling LC'!AF85+'Ethylene Recycling LC'!AF112+'Ethylene Recycling LC'!AF144+'Ethylene Recycling LC'!AF162-('Ethylene Recycling LC'!$C$85+'Ethylene Recycling LC'!$C$112+'Ethylene Recycling LC'!$C$144+'Ethylene Recycling LC'!$C$162))</f>
        <v>1735.6025823118252</v>
      </c>
      <c r="AH132" s="630">
        <f>AH48-('Ethylene Recycling LC'!AG85+'Ethylene Recycling LC'!AG112+'Ethylene Recycling LC'!AG144+'Ethylene Recycling LC'!AG162-('Ethylene Recycling LC'!$C$85+'Ethylene Recycling LC'!$C$112+'Ethylene Recycling LC'!$C$144+'Ethylene Recycling LC'!$C$162))</f>
        <v>755.6474390162839</v>
      </c>
      <c r="AI132" s="57"/>
    </row>
    <row r="133" spans="1:35" s="63" customFormat="1">
      <c r="A133" s="692"/>
      <c r="B133" s="59" t="s">
        <v>682</v>
      </c>
      <c r="C133" s="262" t="s">
        <v>166</v>
      </c>
      <c r="D133" s="599">
        <f>D49-('Ethylene Recycling LC'!C86+'Ethylene Recycling LC'!C113+'Ethylene Recycling LC'!C145+'Ethylene Recycling LC'!C163-('Ethylene Recycling LC'!$C$86+'Ethylene Recycling LC'!$C$113+'Ethylene Recycling LC'!$C$145+'Ethylene Recycling LC'!$C$163))</f>
        <v>4264.8250054212294</v>
      </c>
      <c r="E133" s="599">
        <f>E49-('Ethylene Recycling LC'!D86+'Ethylene Recycling LC'!D113+'Ethylene Recycling LC'!D145+'Ethylene Recycling LC'!D163-('Ethylene Recycling LC'!$C$86+'Ethylene Recycling LC'!$C$113+'Ethylene Recycling LC'!$C$145+'Ethylene Recycling LC'!$C$163))</f>
        <v>3858.6284628275189</v>
      </c>
      <c r="F133" s="599">
        <f>F49-('Ethylene Recycling LC'!E86+'Ethylene Recycling LC'!E113+'Ethylene Recycling LC'!E145+'Ethylene Recycling LC'!E163-('Ethylene Recycling LC'!$C$86+'Ethylene Recycling LC'!$C$113+'Ethylene Recycling LC'!$C$145+'Ethylene Recycling LC'!$C$163))</f>
        <v>3449.2193443699716</v>
      </c>
      <c r="G133" s="599">
        <f>G49-('Ethylene Recycling LC'!F86+'Ethylene Recycling LC'!F113+'Ethylene Recycling LC'!F145+'Ethylene Recycling LC'!F163-('Ethylene Recycling LC'!$C$86+'Ethylene Recycling LC'!$C$113+'Ethylene Recycling LC'!$C$145+'Ethylene Recycling LC'!$C$163))</f>
        <v>3037.0284339115406</v>
      </c>
      <c r="H133" s="599">
        <f>H49-('Ethylene Recycling LC'!G86+'Ethylene Recycling LC'!G113+'Ethylene Recycling LC'!G145+'Ethylene Recycling LC'!G163-('Ethylene Recycling LC'!$C$86+'Ethylene Recycling LC'!$C$113+'Ethylene Recycling LC'!$C$145+'Ethylene Recycling LC'!$C$163))</f>
        <v>2622.4895933488078</v>
      </c>
      <c r="I133" s="599">
        <f>I49-('Ethylene Recycling LC'!H86+'Ethylene Recycling LC'!H113+'Ethylene Recycling LC'!H145+'Ethylene Recycling LC'!H163-('Ethylene Recycling LC'!$C$86+'Ethylene Recycling LC'!$C$113+'Ethylene Recycling LC'!$C$145+'Ethylene Recycling LC'!$C$163))</f>
        <v>2206.0397038508818</v>
      </c>
      <c r="J133" s="599">
        <f>J49-('Ethylene Recycling LC'!I86+'Ethylene Recycling LC'!I113+'Ethylene Recycling LC'!I145+'Ethylene Recycling LC'!I163-('Ethylene Recycling LC'!$C$86+'Ethylene Recycling LC'!$C$113+'Ethylene Recycling LC'!$C$145+'Ethylene Recycling LC'!$C$163))</f>
        <v>1985.8998129539737</v>
      </c>
      <c r="K133" s="599">
        <f>K49-('Ethylene Recycling LC'!J86+'Ethylene Recycling LC'!J113+'Ethylene Recycling LC'!J145+'Ethylene Recycling LC'!J163-('Ethylene Recycling LC'!$C$86+'Ethylene Recycling LC'!$C$113+'Ethylene Recycling LC'!$C$145+'Ethylene Recycling LC'!$C$163))</f>
        <v>1775.3996016353881</v>
      </c>
      <c r="L133" s="599">
        <f>L49-('Ethylene Recycling LC'!K86+'Ethylene Recycling LC'!K113+'Ethylene Recycling LC'!K145+'Ethylene Recycling LC'!K163-('Ethylene Recycling LC'!$C$86+'Ethylene Recycling LC'!$C$113+'Ethylene Recycling LC'!$C$145+'Ethylene Recycling LC'!$C$163))</f>
        <v>1574.6319804653608</v>
      </c>
      <c r="M133" s="599">
        <f>M49-('Ethylene Recycling LC'!L86+'Ethylene Recycling LC'!L113+'Ethylene Recycling LC'!L145+'Ethylene Recycling LC'!L163-('Ethylene Recycling LC'!$C$86+'Ethylene Recycling LC'!$C$113+'Ethylene Recycling LC'!$C$145+'Ethylene Recycling LC'!$C$163))</f>
        <v>1383.6926442422564</v>
      </c>
      <c r="N133" s="599">
        <f>N49-('Ethylene Recycling LC'!M86+'Ethylene Recycling LC'!M113+'Ethylene Recycling LC'!M145+'Ethylene Recycling LC'!M163-('Ethylene Recycling LC'!$C$86+'Ethylene Recycling LC'!$C$113+'Ethylene Recycling LC'!$C$145+'Ethylene Recycling LC'!$C$163))</f>
        <v>1202.6800132314875</v>
      </c>
      <c r="O133" s="599">
        <f>O49-('Ethylene Recycling LC'!N86+'Ethylene Recycling LC'!N113+'Ethylene Recycling LC'!N145+'Ethylene Recycling LC'!N163-('Ethylene Recycling LC'!$C$86+'Ethylene Recycling LC'!$C$113+'Ethylene Recycling LC'!$C$145+'Ethylene Recycling LC'!$C$163))</f>
        <v>827.08650395105406</v>
      </c>
      <c r="P133" s="599">
        <f>P49-('Ethylene Recycling LC'!O86+'Ethylene Recycling LC'!O113+'Ethylene Recycling LC'!O145+'Ethylene Recycling LC'!O163-('Ethylene Recycling LC'!$C$86+'Ethylene Recycling LC'!$C$113+'Ethylene Recycling LC'!$C$145+'Ethylene Recycling LC'!$C$163))</f>
        <v>463.7331177340966</v>
      </c>
      <c r="Q133" s="599">
        <f>Q49-('Ethylene Recycling LC'!P86+'Ethylene Recycling LC'!P113+'Ethylene Recycling LC'!P145+'Ethylene Recycling LC'!P163-('Ethylene Recycling LC'!$C$86+'Ethylene Recycling LC'!$C$113+'Ethylene Recycling LC'!$C$145+'Ethylene Recycling LC'!$C$163))</f>
        <v>134.53790663825566</v>
      </c>
      <c r="R133" s="599">
        <f>R49-('Ethylene Recycling LC'!Q86+'Ethylene Recycling LC'!Q113+'Ethylene Recycling LC'!Q145+'Ethylene Recycling LC'!Q163-('Ethylene Recycling LC'!$C$86+'Ethylene Recycling LC'!$C$113+'Ethylene Recycling LC'!$C$145+'Ethylene Recycling LC'!$C$163))</f>
        <v>-169.29273077062408</v>
      </c>
      <c r="S133" s="599">
        <f>S49-('Ethylene Recycling LC'!R86+'Ethylene Recycling LC'!R113+'Ethylene Recycling LC'!R145+'Ethylene Recycling LC'!R163-('Ethylene Recycling LC'!$C$86+'Ethylene Recycling LC'!$C$113+'Ethylene Recycling LC'!$C$145+'Ethylene Recycling LC'!$C$163))</f>
        <v>-446.51153624533526</v>
      </c>
      <c r="T133" s="599">
        <f>T49-('Ethylene Recycling LC'!S86+'Ethylene Recycling LC'!S113+'Ethylene Recycling LC'!S145+'Ethylene Recycling LC'!S163-('Ethylene Recycling LC'!$C$86+'Ethylene Recycling LC'!$C$113+'Ethylene Recycling LC'!$C$145+'Ethylene Recycling LC'!$C$163))</f>
        <v>-778.59637505098499</v>
      </c>
      <c r="U133" s="599">
        <f>U49-('Ethylene Recycling LC'!T86+'Ethylene Recycling LC'!T113+'Ethylene Recycling LC'!T145+'Ethylene Recycling LC'!T163-('Ethylene Recycling LC'!$C$86+'Ethylene Recycling LC'!$C$113+'Ethylene Recycling LC'!$C$145+'Ethylene Recycling LC'!$C$163))</f>
        <v>-1087.2221129118457</v>
      </c>
      <c r="V133" s="599">
        <f>V49-('Ethylene Recycling LC'!U86+'Ethylene Recycling LC'!U113+'Ethylene Recycling LC'!U145+'Ethylene Recycling LC'!U163-('Ethylene Recycling LC'!$C$86+'Ethylene Recycling LC'!$C$113+'Ethylene Recycling LC'!$C$145+'Ethylene Recycling LC'!$C$163))</f>
        <v>-1370.9156700484923</v>
      </c>
      <c r="W133" s="599">
        <f>W49-('Ethylene Recycling LC'!V86+'Ethylene Recycling LC'!V113+'Ethylene Recycling LC'!V145+'Ethylene Recycling LC'!V163-('Ethylene Recycling LC'!$C$86+'Ethylene Recycling LC'!$C$113+'Ethylene Recycling LC'!$C$145+'Ethylene Recycling LC'!$C$163))</f>
        <v>-1628.1951771636614</v>
      </c>
      <c r="X133" s="599">
        <f>X49-('Ethylene Recycling LC'!W86+'Ethylene Recycling LC'!W113+'Ethylene Recycling LC'!W145+'Ethylene Recycling LC'!W163-('Ethylene Recycling LC'!$C$86+'Ethylene Recycling LC'!$C$113+'Ethylene Recycling LC'!$C$145+'Ethylene Recycling LC'!$C$163))</f>
        <v>-1857.5702196340139</v>
      </c>
      <c r="Y133" s="599">
        <f>Y49-('Ethylene Recycling LC'!X86+'Ethylene Recycling LC'!X113+'Ethylene Recycling LC'!X145+'Ethylene Recycling LC'!X163-('Ethylene Recycling LC'!$C$86+'Ethylene Recycling LC'!$C$113+'Ethylene Recycling LC'!$C$145+'Ethylene Recycling LC'!$C$163))</f>
        <v>-2231.7019868602483</v>
      </c>
      <c r="Z133" s="599">
        <f>Z49-('Ethylene Recycling LC'!Y86+'Ethylene Recycling LC'!Y113+'Ethylene Recycling LC'!Y145+'Ethylene Recycling LC'!Y163-('Ethylene Recycling LC'!$C$86+'Ethylene Recycling LC'!$C$113+'Ethylene Recycling LC'!$C$145+'Ethylene Recycling LC'!$C$163))</f>
        <v>-2638.8790351810944</v>
      </c>
      <c r="AA133" s="599">
        <f>AA49-('Ethylene Recycling LC'!Z86+'Ethylene Recycling LC'!Z113+'Ethylene Recycling LC'!Z145+'Ethylene Recycling LC'!Z163-('Ethylene Recycling LC'!$C$86+'Ethylene Recycling LC'!$C$113+'Ethylene Recycling LC'!$C$145+'Ethylene Recycling LC'!$C$163))</f>
        <v>-2997.0881400625071</v>
      </c>
      <c r="AB133" s="599">
        <f>AB49-('Ethylene Recycling LC'!AA86+'Ethylene Recycling LC'!AA113+'Ethylene Recycling LC'!AA145+'Ethylene Recycling LC'!AA163-('Ethylene Recycling LC'!$C$86+'Ethylene Recycling LC'!$C$113+'Ethylene Recycling LC'!$C$145+'Ethylene Recycling LC'!$C$163))</f>
        <v>-3303.9532043064855</v>
      </c>
      <c r="AC133" s="599">
        <f>AC49-('Ethylene Recycling LC'!AB86+'Ethylene Recycling LC'!AB113+'Ethylene Recycling LC'!AB145+'Ethylene Recycling LC'!AB163-('Ethylene Recycling LC'!$C$86+'Ethylene Recycling LC'!$C$113+'Ethylene Recycling LC'!$C$145+'Ethylene Recycling LC'!$C$163))</f>
        <v>-3557.0854923593101</v>
      </c>
      <c r="AD133" s="599">
        <f>AD49-('Ethylene Recycling LC'!AC86+'Ethylene Recycling LC'!AC113+'Ethylene Recycling LC'!AC145+'Ethylene Recycling LC'!AC163-('Ethylene Recycling LC'!$C$86+'Ethylene Recycling LC'!$C$113+'Ethylene Recycling LC'!$C$145+'Ethylene Recycling LC'!$C$163))</f>
        <v>-3693.0600615797398</v>
      </c>
      <c r="AE133" s="599">
        <f>AE49-('Ethylene Recycling LC'!AD86+'Ethylene Recycling LC'!AD113+'Ethylene Recycling LC'!AD145+'Ethylene Recycling LC'!AD163-('Ethylene Recycling LC'!$C$86+'Ethylene Recycling LC'!$C$113+'Ethylene Recycling LC'!$C$145+'Ethylene Recycling LC'!$C$163))</f>
        <v>-3765.9949552007606</v>
      </c>
      <c r="AF133" s="599">
        <f>AF49-('Ethylene Recycling LC'!AE86+'Ethylene Recycling LC'!AE113+'Ethylene Recycling LC'!AE145+'Ethylene Recycling LC'!AE163-('Ethylene Recycling LC'!$C$86+'Ethylene Recycling LC'!$C$113+'Ethylene Recycling LC'!$C$145+'Ethylene Recycling LC'!$C$163))</f>
        <v>-3773.6394121229432</v>
      </c>
      <c r="AG133" s="599">
        <f>AG49-('Ethylene Recycling LC'!AF86+'Ethylene Recycling LC'!AF113+'Ethylene Recycling LC'!AF145+'Ethylene Recycling LC'!AF163-('Ethylene Recycling LC'!$C$86+'Ethylene Recycling LC'!$C$113+'Ethylene Recycling LC'!$C$145+'Ethylene Recycling LC'!$C$163))</f>
        <v>-3713.731622955007</v>
      </c>
      <c r="AH133" s="599">
        <f>AH49-('Ethylene Recycling LC'!AG86+'Ethylene Recycling LC'!AG113+'Ethylene Recycling LC'!AG145+'Ethylene Recycling LC'!AG163-('Ethylene Recycling LC'!$C$86+'Ethylene Recycling LC'!$C$113+'Ethylene Recycling LC'!$C$145+'Ethylene Recycling LC'!$C$163))</f>
        <v>-3412.2831460129</v>
      </c>
      <c r="AI133" s="263"/>
    </row>
    <row r="134" spans="1:35">
      <c r="A134" s="167" t="s">
        <v>304</v>
      </c>
      <c r="B134" s="226" t="s">
        <v>195</v>
      </c>
      <c r="C134" s="227" t="s">
        <v>166</v>
      </c>
      <c r="D134" s="627">
        <f t="shared" ref="D134:AH134" si="42">D65+D74</f>
        <v>387852.09507639048</v>
      </c>
      <c r="E134" s="627">
        <f t="shared" si="42"/>
        <v>401031.00679605867</v>
      </c>
      <c r="F134" s="627">
        <f t="shared" si="42"/>
        <v>400312.91655605397</v>
      </c>
      <c r="G134" s="627">
        <f t="shared" si="42"/>
        <v>399868.97696803807</v>
      </c>
      <c r="H134" s="627">
        <f t="shared" si="42"/>
        <v>399738.14162767277</v>
      </c>
      <c r="I134" s="627">
        <f t="shared" si="42"/>
        <v>399964.63413241936</v>
      </c>
      <c r="J134" s="627">
        <f t="shared" si="42"/>
        <v>400598.6580816675</v>
      </c>
      <c r="K134" s="627">
        <f t="shared" si="42"/>
        <v>401697.20270349731</v>
      </c>
      <c r="L134" s="627">
        <f t="shared" si="42"/>
        <v>403324.95698750776</v>
      </c>
      <c r="M134" s="627">
        <f t="shared" si="42"/>
        <v>405555.3469378163</v>
      </c>
      <c r="N134" s="627">
        <f t="shared" si="42"/>
        <v>408471.71252862958</v>
      </c>
      <c r="O134" s="627">
        <f t="shared" si="42"/>
        <v>412168.64317820128</v>
      </c>
      <c r="P134" s="627">
        <f t="shared" si="42"/>
        <v>416753.49309118796</v>
      </c>
      <c r="Q134" s="627">
        <f t="shared" si="42"/>
        <v>422348.10069496167</v>
      </c>
      <c r="R134" s="627">
        <f t="shared" si="42"/>
        <v>429090.7396582464</v>
      </c>
      <c r="S134" s="627">
        <f t="shared" si="42"/>
        <v>437138.33268273587</v>
      </c>
      <c r="T134" s="627">
        <f t="shared" si="42"/>
        <v>446668.96345926053</v>
      </c>
      <c r="U134" s="627">
        <f t="shared" si="42"/>
        <v>457884.72694679955</v>
      </c>
      <c r="V134" s="627">
        <f t="shared" si="42"/>
        <v>471014.96354136325</v>
      </c>
      <c r="W134" s="627">
        <f t="shared" si="42"/>
        <v>486319.92883897747</v>
      </c>
      <c r="X134" s="627">
        <f t="shared" si="42"/>
        <v>504094.957660796</v>
      </c>
      <c r="Y134" s="627">
        <f t="shared" si="42"/>
        <v>524640.36572256172</v>
      </c>
      <c r="Z134" s="627">
        <f t="shared" si="42"/>
        <v>548371.73227557447</v>
      </c>
      <c r="AA134" s="627">
        <f t="shared" si="42"/>
        <v>575720.62166027701</v>
      </c>
      <c r="AB134" s="627">
        <f t="shared" si="42"/>
        <v>607176.74971782207</v>
      </c>
      <c r="AC134" s="627">
        <f t="shared" si="42"/>
        <v>643295.81610849756</v>
      </c>
      <c r="AD134" s="627">
        <f t="shared" si="42"/>
        <v>684708.3915261121</v>
      </c>
      <c r="AE134" s="627">
        <f t="shared" si="42"/>
        <v>732130.00188722159</v>
      </c>
      <c r="AF134" s="627">
        <f t="shared" si="42"/>
        <v>786372.5707100099</v>
      </c>
      <c r="AG134" s="627">
        <f t="shared" si="42"/>
        <v>848357.40261090745</v>
      </c>
      <c r="AH134" s="627">
        <f t="shared" si="42"/>
        <v>919129.91548476322</v>
      </c>
    </row>
    <row r="135" spans="1:35">
      <c r="A135" s="167"/>
      <c r="B135" s="169" t="s">
        <v>262</v>
      </c>
      <c r="C135" s="165" t="s">
        <v>166</v>
      </c>
      <c r="D135" s="613">
        <f>'Ethylene Recycling LC'!C169-'Ethylene Recycling LC'!$C$169</f>
        <v>0</v>
      </c>
      <c r="E135" s="613">
        <f>'Ethylene Recycling LC'!D169-'Ethylene Recycling LC'!$C$169</f>
        <v>1010.8761175007676</v>
      </c>
      <c r="F135" s="613">
        <f>'Ethylene Recycling LC'!E169-'Ethylene Recycling LC'!$C$169</f>
        <v>2021.7522350015352</v>
      </c>
      <c r="G135" s="613">
        <f>'Ethylene Recycling LC'!F169-'Ethylene Recycling LC'!$C$169</f>
        <v>3032.6283525023064</v>
      </c>
      <c r="H135" s="613">
        <f>'Ethylene Recycling LC'!G169-'Ethylene Recycling LC'!$C$169</f>
        <v>4043.5044700030739</v>
      </c>
      <c r="I135" s="613">
        <f>'Ethylene Recycling LC'!H169-'Ethylene Recycling LC'!$C$169</f>
        <v>5054.3805875038415</v>
      </c>
      <c r="J135" s="613">
        <f>'Ethylene Recycling LC'!I169-'Ethylene Recycling LC'!$C$169</f>
        <v>5885.4651898132179</v>
      </c>
      <c r="K135" s="613">
        <f>'Ethylene Recycling LC'!J169-'Ethylene Recycling LC'!$C$169</f>
        <v>6703.2062273715965</v>
      </c>
      <c r="L135" s="613">
        <f>'Ethylene Recycling LC'!K169-'Ethylene Recycling LC'!$C$169</f>
        <v>7507.6037001789591</v>
      </c>
      <c r="M135" s="613">
        <f>'Ethylene Recycling LC'!L169-'Ethylene Recycling LC'!$C$169</f>
        <v>8298.6576082353058</v>
      </c>
      <c r="N135" s="613">
        <f>'Ethylene Recycling LC'!M169-'Ethylene Recycling LC'!$C$169</f>
        <v>9076.3679515406511</v>
      </c>
      <c r="O135" s="613">
        <f>'Ethylene Recycling LC'!N169-'Ethylene Recycling LC'!$C$169</f>
        <v>10720.563394913246</v>
      </c>
      <c r="P135" s="613">
        <f>'Ethylene Recycling LC'!O169-'Ethylene Recycling LC'!$C$169</f>
        <v>12339.322667979231</v>
      </c>
      <c r="Q135" s="613">
        <f>'Ethylene Recycling LC'!P169-'Ethylene Recycling LC'!$C$169</f>
        <v>13932.645770738589</v>
      </c>
      <c r="R135" s="613">
        <f>'Ethylene Recycling LC'!Q169-'Ethylene Recycling LC'!$C$169</f>
        <v>15500.532703191351</v>
      </c>
      <c r="S135" s="613">
        <f>'Ethylene Recycling LC'!R169-'Ethylene Recycling LC'!$C$169</f>
        <v>17042.983465337489</v>
      </c>
      <c r="T135" s="613">
        <f>'Ethylene Recycling LC'!S169-'Ethylene Recycling LC'!$C$169</f>
        <v>18559.998057177025</v>
      </c>
      <c r="U135" s="613">
        <f>'Ethylene Recycling LC'!T169-'Ethylene Recycling LC'!$C$169</f>
        <v>20051.576478709929</v>
      </c>
      <c r="V135" s="613">
        <f>'Ethylene Recycling LC'!U169-'Ethylene Recycling LC'!$C$169</f>
        <v>21517.718729936238</v>
      </c>
      <c r="W135" s="613">
        <f>'Ethylene Recycling LC'!V169-'Ethylene Recycling LC'!$C$169</f>
        <v>22958.42481085593</v>
      </c>
      <c r="X135" s="613">
        <f>'Ethylene Recycling LC'!W169-'Ethylene Recycling LC'!$C$169</f>
        <v>24373.694721469004</v>
      </c>
      <c r="Y135" s="613">
        <f>'Ethylene Recycling LC'!X169-'Ethylene Recycling LC'!$C$169</f>
        <v>27094.327036819883</v>
      </c>
      <c r="Z135" s="613">
        <f>'Ethylene Recycling LC'!Y169-'Ethylene Recycling LC'!$C$169</f>
        <v>29769.882594665392</v>
      </c>
      <c r="AA135" s="613">
        <f>'Ethylene Recycling LC'!Z169-'Ethylene Recycling LC'!$C$169</f>
        <v>32400.361395005482</v>
      </c>
      <c r="AB135" s="613">
        <f>'Ethylene Recycling LC'!AA169-'Ethylene Recycling LC'!$C$169</f>
        <v>34985.763437840185</v>
      </c>
      <c r="AC135" s="613">
        <f>'Ethylene Recycling LC'!AB169-'Ethylene Recycling LC'!$C$169</f>
        <v>37526.088723169509</v>
      </c>
      <c r="AD135" s="613">
        <f>'Ethylene Recycling LC'!AC169-'Ethylene Recycling LC'!$C$169</f>
        <v>40007.12847012245</v>
      </c>
      <c r="AE135" s="613">
        <f>'Ethylene Recycling LC'!AD169-'Ethylene Recycling LC'!$C$169</f>
        <v>42441.725497221356</v>
      </c>
      <c r="AF135" s="613">
        <f>'Ethylene Recycling LC'!AE169-'Ethylene Recycling LC'!$C$169</f>
        <v>44829.879804466225</v>
      </c>
      <c r="AG135" s="613">
        <f>'Ethylene Recycling LC'!AF169-'Ethylene Recycling LC'!$C$169</f>
        <v>47171.591391857059</v>
      </c>
      <c r="AH135" s="613">
        <f>'Ethylene Recycling LC'!AG169-'Ethylene Recycling LC'!$C$169</f>
        <v>49466.860259393827</v>
      </c>
    </row>
    <row r="136" spans="1:35" outlineLevel="1">
      <c r="A136"/>
      <c r="B136" t="s">
        <v>264</v>
      </c>
      <c r="C136" s="51" t="s">
        <v>166</v>
      </c>
      <c r="D136" s="196">
        <f>'Ethylene Recycling LC'!C88-'Ethylene Recycling LC'!$C$88</f>
        <v>0</v>
      </c>
      <c r="E136" s="196">
        <f>'Ethylene Recycling LC'!D88-'Ethylene Recycling LC'!$C$88</f>
        <v>315.12656779113604</v>
      </c>
      <c r="F136" s="196">
        <f>'Ethylene Recycling LC'!E88-'Ethylene Recycling LC'!$C$88</f>
        <v>613.66022947137753</v>
      </c>
      <c r="G136" s="196">
        <f>'Ethylene Recycling LC'!F88-'Ethylene Recycling LC'!$C$88</f>
        <v>895.689304434316</v>
      </c>
      <c r="H136" s="196">
        <f>'Ethylene Recycling LC'!G88-'Ethylene Recycling LC'!$C$88</f>
        <v>1161.302112073543</v>
      </c>
      <c r="I136" s="196">
        <f>'Ethylene Recycling LC'!H88-'Ethylene Recycling LC'!$C$88</f>
        <v>1410.5869717826499</v>
      </c>
      <c r="J136" s="196">
        <f>'Ethylene Recycling LC'!I88-'Ethylene Recycling LC'!$C$88</f>
        <v>1643.6322029552248</v>
      </c>
      <c r="K136" s="196">
        <f>'Ethylene Recycling LC'!J88-'Ethylene Recycling LC'!$C$88</f>
        <v>1860.5261249848663</v>
      </c>
      <c r="L136" s="196">
        <f>'Ethylene Recycling LC'!K88-'Ethylene Recycling LC'!$C$88</f>
        <v>2061.3570572651588</v>
      </c>
      <c r="M136" s="196">
        <f>'Ethylene Recycling LC'!L88-'Ethylene Recycling LC'!$C$88</f>
        <v>2246.2133191896937</v>
      </c>
      <c r="N136" s="196">
        <f>'Ethylene Recycling LC'!M88-'Ethylene Recycling LC'!$C$88</f>
        <v>2415.1832301520735</v>
      </c>
      <c r="O136" s="196">
        <f>'Ethylene Recycling LC'!N88-'Ethylene Recycling LC'!$C$88</f>
        <v>2955.9224442510131</v>
      </c>
      <c r="P136" s="196">
        <f>'Ethylene Recycling LC'!O88-'Ethylene Recycling LC'!$C$88</f>
        <v>3518.8035461452964</v>
      </c>
      <c r="Q136" s="196">
        <f>'Ethylene Recycling LC'!P88-'Ethylene Recycling LC'!$C$88</f>
        <v>3927.9475065974657</v>
      </c>
      <c r="R136" s="196">
        <f>'Ethylene Recycling LC'!Q88-'Ethylene Recycling LC'!$C$88</f>
        <v>4273.3900840092538</v>
      </c>
      <c r="S136" s="196">
        <f>'Ethylene Recycling LC'!R88-'Ethylene Recycling LC'!$C$88</f>
        <v>4555.498304722958</v>
      </c>
      <c r="T136" s="196">
        <f>'Ethylene Recycling LC'!S88-'Ethylene Recycling LC'!$C$88</f>
        <v>4774.6391950808829</v>
      </c>
      <c r="U136" s="196">
        <f>'Ethylene Recycling LC'!T88-'Ethylene Recycling LC'!$C$88</f>
        <v>4931.1797814253187</v>
      </c>
      <c r="V136" s="196">
        <f>'Ethylene Recycling LC'!U88-'Ethylene Recycling LC'!$C$88</f>
        <v>5025.4870900985879</v>
      </c>
      <c r="W136" s="196">
        <f>'Ethylene Recycling LC'!V88-'Ethylene Recycling LC'!$C$88</f>
        <v>5057.9281474429808</v>
      </c>
      <c r="X136" s="196">
        <f>'Ethylene Recycling LC'!W88-'Ethylene Recycling LC'!$C$88</f>
        <v>5028.8699798007874</v>
      </c>
      <c r="Y136" s="196">
        <f>'Ethylene Recycling LC'!X88-'Ethylene Recycling LC'!$C$88</f>
        <v>4976.6903970461935</v>
      </c>
      <c r="Z136" s="196">
        <f>'Ethylene Recycling LC'!Y88-'Ethylene Recycling LC'!$C$88</f>
        <v>5204.2013556586535</v>
      </c>
      <c r="AA136" s="196">
        <f>'Ethylene Recycling LC'!Z88-'Ethylene Recycling LC'!$C$88</f>
        <v>5331.5996844516667</v>
      </c>
      <c r="AB136" s="196">
        <f>'Ethylene Recycling LC'!AA88-'Ethylene Recycling LC'!$C$88</f>
        <v>5359.48285982163</v>
      </c>
      <c r="AC136" s="196">
        <f>'Ethylene Recycling LC'!AB88-'Ethylene Recycling LC'!$C$88</f>
        <v>5288.4483581649038</v>
      </c>
      <c r="AD136" s="196">
        <f>'Ethylene Recycling LC'!AC88-'Ethylene Recycling LC'!$C$88</f>
        <v>5119.0936558778631</v>
      </c>
      <c r="AE136" s="196">
        <f>'Ethylene Recycling LC'!AD88-'Ethylene Recycling LC'!$C$88</f>
        <v>4852.0162293568937</v>
      </c>
      <c r="AF136" s="196">
        <f>'Ethylene Recycling LC'!AE88-'Ethylene Recycling LC'!$C$88</f>
        <v>4487.8135549983563</v>
      </c>
      <c r="AG136" s="196">
        <f>'Ethylene Recycling LC'!AF88-'Ethylene Recycling LC'!$C$88</f>
        <v>4027.0831091986474</v>
      </c>
      <c r="AH136" s="196">
        <f>'Ethylene Recycling LC'!AG88-'Ethylene Recycling LC'!$C$88</f>
        <v>3470.4223683541495</v>
      </c>
    </row>
    <row r="137" spans="1:35" outlineLevel="1">
      <c r="A137"/>
      <c r="B137" t="s">
        <v>266</v>
      </c>
      <c r="C137" s="51" t="s">
        <v>166</v>
      </c>
      <c r="D137" s="196">
        <f>'Ethylene Recycling LC'!C147-'Ethylene Recycling LC'!$C$147</f>
        <v>0</v>
      </c>
      <c r="E137" s="196">
        <f>'Ethylene Recycling LC'!D147-'Ethylene Recycling LC'!$C$147</f>
        <v>195.47002811687616</v>
      </c>
      <c r="F137" s="196">
        <f>'Ethylene Recycling LC'!E147-'Ethylene Recycling LC'!$C$147</f>
        <v>387.13519199906568</v>
      </c>
      <c r="G137" s="196">
        <f>'Ethylene Recycling LC'!F147-'Ethylene Recycling LC'!$C$147</f>
        <v>574.99549164657219</v>
      </c>
      <c r="H137" s="196">
        <f>'Ethylene Recycling LC'!G147-'Ethylene Recycling LC'!$C$147</f>
        <v>759.05092705939296</v>
      </c>
      <c r="I137" s="196">
        <f>'Ethylene Recycling LC'!H147-'Ethylene Recycling LC'!$C$147</f>
        <v>939.30149823752708</v>
      </c>
      <c r="J137" s="196">
        <f>'Ethylene Recycling LC'!I147-'Ethylene Recycling LC'!$C$147</f>
        <v>917.94633498245094</v>
      </c>
      <c r="K137" s="196">
        <f>'Ethylene Recycling LC'!J147-'Ethylene Recycling LC'!$C$147</f>
        <v>882.11710341328853</v>
      </c>
      <c r="L137" s="196">
        <f>'Ethylene Recycling LC'!K147-'Ethylene Recycling LC'!$C$147</f>
        <v>832.1665144445933</v>
      </c>
      <c r="M137" s="196">
        <f>'Ethylene Recycling LC'!L147-'Ethylene Recycling LC'!$C$147</f>
        <v>768.44727899092413</v>
      </c>
      <c r="N137" s="196">
        <f>'Ethylene Recycling LC'!M147-'Ethylene Recycling LC'!$C$147</f>
        <v>691.31210796683263</v>
      </c>
      <c r="O137" s="196">
        <f>'Ethylene Recycling LC'!N147-'Ethylene Recycling LC'!$C$147</f>
        <v>762.38189567236532</v>
      </c>
      <c r="P137" s="196">
        <f>'Ethylene Recycling LC'!O147-'Ethylene Recycling LC'!$C$147</f>
        <v>805.8041638650684</v>
      </c>
      <c r="Q137" s="196">
        <f>'Ethylene Recycling LC'!P147-'Ethylene Recycling LC'!$C$147</f>
        <v>822.2512677258137</v>
      </c>
      <c r="R137" s="196">
        <f>'Ethylene Recycling LC'!Q147-'Ethylene Recycling LC'!$C$147</f>
        <v>812.39556243547122</v>
      </c>
      <c r="S137" s="196">
        <f>'Ethylene Recycling LC'!R147-'Ethylene Recycling LC'!$C$147</f>
        <v>776.90940317491277</v>
      </c>
      <c r="T137" s="196">
        <f>'Ethylene Recycling LC'!S147-'Ethylene Recycling LC'!$C$147</f>
        <v>799.20801660027337</v>
      </c>
      <c r="U137" s="196">
        <f>'Ethylene Recycling LC'!T147-'Ethylene Recycling LC'!$C$147</f>
        <v>802.89702028078045</v>
      </c>
      <c r="V137" s="196">
        <f>'Ethylene Recycling LC'!U147-'Ethylene Recycling LC'!$C$147</f>
        <v>788.45076188448638</v>
      </c>
      <c r="W137" s="196">
        <f>'Ethylene Recycling LC'!V147-'Ethylene Recycling LC'!$C$147</f>
        <v>756.34358907945443</v>
      </c>
      <c r="X137" s="196">
        <f>'Ethylene Recycling LC'!W147-'Ethylene Recycling LC'!$C$147</f>
        <v>707.04984953373969</v>
      </c>
      <c r="Y137" s="196">
        <f>'Ethylene Recycling LC'!X147-'Ethylene Recycling LC'!$C$147</f>
        <v>805.48538191870375</v>
      </c>
      <c r="Z137" s="196">
        <f>'Ethylene Recycling LC'!Y147-'Ethylene Recycling LC'!$C$147</f>
        <v>871.86939485696803</v>
      </c>
      <c r="AA137" s="196">
        <f>'Ethylene Recycling LC'!Z147-'Ethylene Recycling LC'!$C$147</f>
        <v>907.04250446914466</v>
      </c>
      <c r="AB137" s="196">
        <f>'Ethylene Recycling LC'!AA147-'Ethylene Recycling LC'!$C$147</f>
        <v>911.84532687584397</v>
      </c>
      <c r="AC137" s="196">
        <f>'Ethylene Recycling LC'!AB147-'Ethylene Recycling LC'!$C$147</f>
        <v>887.11847819767263</v>
      </c>
      <c r="AD137" s="196">
        <f>'Ethylene Recycling LC'!AC147-'Ethylene Recycling LC'!$C$147</f>
        <v>772.67254101614071</v>
      </c>
      <c r="AE137" s="196">
        <f>'Ethylene Recycling LC'!AD147-'Ethylene Recycling LC'!$C$147</f>
        <v>625.88461496782566</v>
      </c>
      <c r="AF137" s="196">
        <f>'Ethylene Recycling LC'!AE147-'Ethylene Recycling LC'!$C$147</f>
        <v>447.76883784961683</v>
      </c>
      <c r="AG137" s="196">
        <f>'Ethylene Recycling LC'!AF147-'Ethylene Recycling LC'!$C$147</f>
        <v>239.3393474583936</v>
      </c>
      <c r="AH137" s="196">
        <f>'Ethylene Recycling LC'!AG147-'Ethylene Recycling LC'!$C$147</f>
        <v>-170.12277274079406</v>
      </c>
    </row>
    <row r="138" spans="1:35" outlineLevel="1">
      <c r="A138" s="169"/>
      <c r="B138" s="169" t="s">
        <v>265</v>
      </c>
      <c r="C138" s="165" t="s">
        <v>166</v>
      </c>
      <c r="D138" s="613">
        <f>'Ethylene Recycling LC'!C121-'Ethylene Recycling LC'!$C$121</f>
        <v>0</v>
      </c>
      <c r="E138" s="613">
        <f>'Ethylene Recycling LC'!D121-'Ethylene Recycling LC'!$C$121</f>
        <v>83.94444322799535</v>
      </c>
      <c r="F138" s="613">
        <f>'Ethylene Recycling LC'!E121-'Ethylene Recycling LC'!$C$121</f>
        <v>167.49632954132574</v>
      </c>
      <c r="G138" s="613">
        <f>'Ethylene Recycling LC'!F121-'Ethylene Recycling LC'!$C$121</f>
        <v>250.65560683565866</v>
      </c>
      <c r="H138" s="613">
        <f>'Ethylene Recycling LC'!G121-'Ethylene Recycling LC'!$C$121</f>
        <v>333.42222300666106</v>
      </c>
      <c r="I138" s="613">
        <f>'Ethylene Recycling LC'!H121-'Ethylene Recycling LC'!$C$121</f>
        <v>415.79612595000026</v>
      </c>
      <c r="J138" s="613">
        <f>'Ethylene Recycling LC'!I121-'Ethylene Recycling LC'!$C$121</f>
        <v>497.77726356134269</v>
      </c>
      <c r="K138" s="613">
        <f>'Ethylene Recycling LC'!J121-'Ethylene Recycling LC'!$C$121</f>
        <v>579.36558373635671</v>
      </c>
      <c r="L138" s="613">
        <f>'Ethylene Recycling LC'!K121-'Ethylene Recycling LC'!$C$121</f>
        <v>660.5610343707084</v>
      </c>
      <c r="M138" s="613">
        <f>'Ethylene Recycling LC'!L121-'Ethylene Recycling LC'!$C$121</f>
        <v>741.36356336006531</v>
      </c>
      <c r="N138" s="613">
        <f>'Ethylene Recycling LC'!M121-'Ethylene Recycling LC'!$C$121</f>
        <v>821.77311860009411</v>
      </c>
      <c r="O138" s="613">
        <f>'Ethylene Recycling LC'!N121-'Ethylene Recycling LC'!$C$121</f>
        <v>976.75835004522708</v>
      </c>
      <c r="P138" s="613">
        <f>'Ethylene Recycling LC'!O121-'Ethylene Recycling LC'!$C$121</f>
        <v>1130.9944936192396</v>
      </c>
      <c r="Q138" s="613">
        <f>'Ethylene Recycling LC'!P121-'Ethylene Recycling LC'!$C$121</f>
        <v>1279.015425792712</v>
      </c>
      <c r="R138" s="613">
        <f>'Ethylene Recycling LC'!Q121-'Ethylene Recycling LC'!$C$121</f>
        <v>1425.233812243021</v>
      </c>
      <c r="S138" s="613">
        <f>'Ethylene Recycling LC'!R121-'Ethylene Recycling LC'!$C$121</f>
        <v>1569.6538736832472</v>
      </c>
      <c r="T138" s="613">
        <f>'Ethylene Recycling LC'!S121-'Ethylene Recycling LC'!$C$121</f>
        <v>1712.2799169190089</v>
      </c>
      <c r="U138" s="613">
        <f>'Ethylene Recycling LC'!T121-'Ethylene Recycling LC'!$C$121</f>
        <v>1853.1163342327118</v>
      </c>
      <c r="V138" s="613">
        <f>'Ethylene Recycling LC'!U121-'Ethylene Recycling LC'!$C$121</f>
        <v>1992.1676027676399</v>
      </c>
      <c r="W138" s="613">
        <f>'Ethylene Recycling LC'!V121-'Ethylene Recycling LC'!$C$121</f>
        <v>2129.4382839118698</v>
      </c>
      <c r="X138" s="613">
        <f>'Ethylene Recycling LC'!W121-'Ethylene Recycling LC'!$C$121</f>
        <v>2264.9330226820312</v>
      </c>
      <c r="Y138" s="613">
        <f>'Ethylene Recycling LC'!X121-'Ethylene Recycling LC'!$C$121</f>
        <v>2513.8535590507136</v>
      </c>
      <c r="Z138" s="613">
        <f>'Ethylene Recycling LC'!Y121-'Ethylene Recycling LC'!$C$121</f>
        <v>2759.6239408406987</v>
      </c>
      <c r="AA138" s="613">
        <f>'Ethylene Recycling LC'!Z121-'Ethylene Recycling LC'!$C$121</f>
        <v>2974.9468559802644</v>
      </c>
      <c r="AB138" s="613">
        <f>'Ethylene Recycling LC'!AA121-'Ethylene Recycling LC'!$C$121</f>
        <v>3182.9071263095175</v>
      </c>
      <c r="AC138" s="613">
        <f>'Ethylene Recycling LC'!AB121-'Ethylene Recycling LC'!$C$121</f>
        <v>3383.5349099690402</v>
      </c>
      <c r="AD138" s="613">
        <f>'Ethylene Recycling LC'!AC121-'Ethylene Recycling LC'!$C$121</f>
        <v>3576.8625461517922</v>
      </c>
      <c r="AE138" s="613">
        <f>'Ethylene Recycling LC'!AD121-'Ethylene Recycling LC'!$C$121</f>
        <v>3762.9245302737258</v>
      </c>
      <c r="AF138" s="613">
        <f>'Ethylene Recycling LC'!AE121-'Ethylene Recycling LC'!$C$121</f>
        <v>3941.7574891378181</v>
      </c>
      <c r="AG138" s="613">
        <f>'Ethylene Recycling LC'!AF121-'Ethylene Recycling LC'!$C$121</f>
        <v>4113.4001560915103</v>
      </c>
      <c r="AH138" s="613">
        <f>'Ethylene Recycling LC'!AG121-'Ethylene Recycling LC'!$C$121</f>
        <v>754.4952794071836</v>
      </c>
    </row>
    <row r="139" spans="1:35">
      <c r="A139" s="167"/>
      <c r="B139" s="224" t="s">
        <v>263</v>
      </c>
      <c r="C139" s="168" t="s">
        <v>166</v>
      </c>
      <c r="D139" s="620">
        <f>D134-D135-D136-D137-D138</f>
        <v>387852.09507639048</v>
      </c>
      <c r="E139" s="620">
        <f t="shared" ref="E139:AG139" si="43">E134-E135-E136-E137-E138</f>
        <v>399425.58963942184</v>
      </c>
      <c r="F139" s="620">
        <f t="shared" si="43"/>
        <v>397122.87257004064</v>
      </c>
      <c r="G139" s="620">
        <f t="shared" si="43"/>
        <v>395115.00821261917</v>
      </c>
      <c r="H139" s="620">
        <f t="shared" si="43"/>
        <v>393440.86189553014</v>
      </c>
      <c r="I139" s="620">
        <f t="shared" si="43"/>
        <v>392144.56894894532</v>
      </c>
      <c r="J139" s="620">
        <f t="shared" si="43"/>
        <v>391653.83709035523</v>
      </c>
      <c r="K139" s="620">
        <f t="shared" si="43"/>
        <v>391671.98766399128</v>
      </c>
      <c r="L139" s="620">
        <f t="shared" si="43"/>
        <v>392263.26868124836</v>
      </c>
      <c r="M139" s="620">
        <f t="shared" si="43"/>
        <v>393500.66516804032</v>
      </c>
      <c r="N139" s="620">
        <f t="shared" si="43"/>
        <v>395467.07612037001</v>
      </c>
      <c r="O139" s="620">
        <f t="shared" si="43"/>
        <v>396753.01709331945</v>
      </c>
      <c r="P139" s="620">
        <f t="shared" si="43"/>
        <v>398958.56821957912</v>
      </c>
      <c r="Q139" s="620">
        <f t="shared" si="43"/>
        <v>402386.24072410708</v>
      </c>
      <c r="R139" s="620">
        <f t="shared" si="43"/>
        <v>407079.18749636732</v>
      </c>
      <c r="S139" s="620">
        <f t="shared" si="43"/>
        <v>413193.28763581725</v>
      </c>
      <c r="T139" s="620">
        <f t="shared" si="43"/>
        <v>420822.83827348333</v>
      </c>
      <c r="U139" s="620">
        <f t="shared" si="43"/>
        <v>430245.95733215078</v>
      </c>
      <c r="V139" s="620">
        <f t="shared" si="43"/>
        <v>441691.13935667626</v>
      </c>
      <c r="W139" s="620">
        <f t="shared" si="43"/>
        <v>455417.79400768725</v>
      </c>
      <c r="X139" s="620">
        <f t="shared" si="43"/>
        <v>471720.41008731042</v>
      </c>
      <c r="Y139" s="620">
        <f t="shared" si="43"/>
        <v>489250.00934772618</v>
      </c>
      <c r="Z139" s="620">
        <f t="shared" si="43"/>
        <v>509766.15498955274</v>
      </c>
      <c r="AA139" s="620">
        <f t="shared" si="43"/>
        <v>534106.67122037034</v>
      </c>
      <c r="AB139" s="620">
        <f t="shared" si="43"/>
        <v>562736.750966975</v>
      </c>
      <c r="AC139" s="620">
        <f t="shared" si="43"/>
        <v>596210.62563899637</v>
      </c>
      <c r="AD139" s="620">
        <f t="shared" si="43"/>
        <v>635232.6343129439</v>
      </c>
      <c r="AE139" s="620">
        <f t="shared" si="43"/>
        <v>680447.45101540175</v>
      </c>
      <c r="AF139" s="620">
        <f t="shared" si="43"/>
        <v>732665.35102355783</v>
      </c>
      <c r="AG139" s="620">
        <f t="shared" si="43"/>
        <v>792805.98860630183</v>
      </c>
      <c r="AH139" s="620">
        <f>AH134-AH135-AH136-AH137-AH138</f>
        <v>865608.26035034889</v>
      </c>
    </row>
    <row r="140" spans="1:35" s="62" customFormat="1">
      <c r="A140" s="688" t="s">
        <v>685</v>
      </c>
      <c r="B140" s="55" t="s">
        <v>141</v>
      </c>
      <c r="C140" s="56" t="s">
        <v>166</v>
      </c>
      <c r="D140" s="630">
        <f>D66+D75-('Ethylene Recycling LC'!C89+'Ethylene Recycling LC'!C122+'Ethylene Recycling LC'!C148+'Ethylene Recycling LC'!C170-('Ethylene Recycling LC'!$C$89+'Ethylene Recycling LC'!$C$122+'Ethylene Recycling LC'!$C$148+'Ethylene Recycling LC'!$C$170))</f>
        <v>50640.115629722037</v>
      </c>
      <c r="E140" s="630">
        <f>E66+E75-('Ethylene Recycling LC'!D89+'Ethylene Recycling LC'!D122+'Ethylene Recycling LC'!D148+'Ethylene Recycling LC'!D170-('Ethylene Recycling LC'!$C$89+'Ethylene Recycling LC'!$C$122+'Ethylene Recycling LC'!$C$148+'Ethylene Recycling LC'!$C$170))</f>
        <v>56626.910825273881</v>
      </c>
      <c r="F140" s="630">
        <f>F66+F75-('Ethylene Recycling LC'!E89+'Ethylene Recycling LC'!E122+'Ethylene Recycling LC'!E148+'Ethylene Recycling LC'!E170-('Ethylene Recycling LC'!$C$89+'Ethylene Recycling LC'!$C$122+'Ethylene Recycling LC'!$C$148+'Ethylene Recycling LC'!$C$170))</f>
        <v>56142.264534819347</v>
      </c>
      <c r="G140" s="630">
        <f>G66+G75-('Ethylene Recycling LC'!F89+'Ethylene Recycling LC'!F122+'Ethylene Recycling LC'!F148+'Ethylene Recycling LC'!F170-('Ethylene Recycling LC'!$C$89+'Ethylene Recycling LC'!$C$122+'Ethylene Recycling LC'!$C$148+'Ethylene Recycling LC'!$C$170))</f>
        <v>55800.422808910022</v>
      </c>
      <c r="H140" s="630">
        <f>H66+H75-('Ethylene Recycling LC'!G89+'Ethylene Recycling LC'!G122+'Ethylene Recycling LC'!G148+'Ethylene Recycling LC'!G170-('Ethylene Recycling LC'!$C$89+'Ethylene Recycling LC'!$C$122+'Ethylene Recycling LC'!$C$148+'Ethylene Recycling LC'!$C$170))</f>
        <v>55619.899925100166</v>
      </c>
      <c r="I140" s="630">
        <f>I66+I75-('Ethylene Recycling LC'!H89+'Ethylene Recycling LC'!H122+'Ethylene Recycling LC'!H148+'Ethylene Recycling LC'!H170-('Ethylene Recycling LC'!$C$89+'Ethylene Recycling LC'!$C$122+'Ethylene Recycling LC'!$C$148+'Ethylene Recycling LC'!$C$170))</f>
        <v>55621.6712445296</v>
      </c>
      <c r="J140" s="630">
        <f>J66+J75-('Ethylene Recycling LC'!I89+'Ethylene Recycling LC'!I122+'Ethylene Recycling LC'!I148+'Ethylene Recycling LC'!I170-('Ethylene Recycling LC'!$C$89+'Ethylene Recycling LC'!$C$122+'Ethylene Recycling LC'!$C$148+'Ethylene Recycling LC'!$C$170))</f>
        <v>55958.548981751243</v>
      </c>
      <c r="K140" s="630">
        <f>K66+K75-('Ethylene Recycling LC'!J89+'Ethylene Recycling LC'!J122+'Ethylene Recycling LC'!J148+'Ethylene Recycling LC'!J170-('Ethylene Recycling LC'!$C$89+'Ethylene Recycling LC'!$C$122+'Ethylene Recycling LC'!$C$148+'Ethylene Recycling LC'!$C$170))</f>
        <v>56538.004045200025</v>
      </c>
      <c r="L140" s="630">
        <f>L66+L75-('Ethylene Recycling LC'!K89+'Ethylene Recycling LC'!K122+'Ethylene Recycling LC'!K148+'Ethylene Recycling LC'!K170-('Ethylene Recycling LC'!$C$89+'Ethylene Recycling LC'!$C$122+'Ethylene Recycling LC'!$C$148+'Ethylene Recycling LC'!$C$170))</f>
        <v>57390.570654075149</v>
      </c>
      <c r="M140" s="630">
        <f>M66+M75-('Ethylene Recycling LC'!L89+'Ethylene Recycling LC'!L122+'Ethylene Recycling LC'!L148+'Ethylene Recycling LC'!L170-('Ethylene Recycling LC'!$C$89+'Ethylene Recycling LC'!$C$122+'Ethylene Recycling LC'!$C$148+'Ethylene Recycling LC'!$C$170))</f>
        <v>58550.864354618847</v>
      </c>
      <c r="N140" s="630">
        <f>N66+N75-('Ethylene Recycling LC'!M89+'Ethylene Recycling LC'!M122+'Ethylene Recycling LC'!M148+'Ethylene Recycling LC'!M170-('Ethylene Recycling LC'!$C$89+'Ethylene Recycling LC'!$C$122+'Ethylene Recycling LC'!$C$148+'Ethylene Recycling LC'!$C$170))</f>
        <v>60058.132048619264</v>
      </c>
      <c r="O140" s="630">
        <f>O66+O75-('Ethylene Recycling LC'!N89+'Ethylene Recycling LC'!N122+'Ethylene Recycling LC'!N148+'Ethylene Recycling LC'!N170-('Ethylene Recycling LC'!$C$89+'Ethylene Recycling LC'!$C$122+'Ethylene Recycling LC'!$C$148+'Ethylene Recycling LC'!$C$170))</f>
        <v>60961.949475357884</v>
      </c>
      <c r="P140" s="630">
        <f>P66+P75-('Ethylene Recycling LC'!O89+'Ethylene Recycling LC'!O122+'Ethylene Recycling LC'!O148+'Ethylene Recycling LC'!O170-('Ethylene Recycling LC'!$C$89+'Ethylene Recycling LC'!$C$122+'Ethylene Recycling LC'!$C$148+'Ethylene Recycling LC'!$C$170))</f>
        <v>62282.081080649819</v>
      </c>
      <c r="Q140" s="630">
        <f>Q66+Q75-('Ethylene Recycling LC'!P89+'Ethylene Recycling LC'!P122+'Ethylene Recycling LC'!P148+'Ethylene Recycling LC'!P170-('Ethylene Recycling LC'!$C$89+'Ethylene Recycling LC'!$C$122+'Ethylene Recycling LC'!$C$148+'Ethylene Recycling LC'!$C$170))</f>
        <v>64220.143856683593</v>
      </c>
      <c r="R140" s="630">
        <f>R66+R75-('Ethylene Recycling LC'!Q89+'Ethylene Recycling LC'!Q122+'Ethylene Recycling LC'!Q148+'Ethylene Recycling LC'!Q170-('Ethylene Recycling LC'!$C$89+'Ethylene Recycling LC'!$C$122+'Ethylene Recycling LC'!$C$148+'Ethylene Recycling LC'!$C$170))</f>
        <v>66767.667010676116</v>
      </c>
      <c r="S140" s="630">
        <f>S66+S75-('Ethylene Recycling LC'!R89+'Ethylene Recycling LC'!R122+'Ethylene Recycling LC'!R148+'Ethylene Recycling LC'!R170-('Ethylene Recycling LC'!$C$89+'Ethylene Recycling LC'!$C$122+'Ethylene Recycling LC'!$C$148+'Ethylene Recycling LC'!$C$170))</f>
        <v>69998.958131756954</v>
      </c>
      <c r="T140" s="630">
        <f>T66+T75-('Ethylene Recycling LC'!S89+'Ethylene Recycling LC'!S122+'Ethylene Recycling LC'!S148+'Ethylene Recycling LC'!S170-('Ethylene Recycling LC'!$C$89+'Ethylene Recycling LC'!$C$122+'Ethylene Recycling LC'!$C$148+'Ethylene Recycling LC'!$C$170))</f>
        <v>73998.205111479547</v>
      </c>
      <c r="U140" s="630">
        <f>U66+U75-('Ethylene Recycling LC'!T89+'Ethylene Recycling LC'!T122+'Ethylene Recycling LC'!T148+'Ethylene Recycling LC'!T170-('Ethylene Recycling LC'!$C$89+'Ethylene Recycling LC'!$C$122+'Ethylene Recycling LC'!$C$148+'Ethylene Recycling LC'!$C$170))</f>
        <v>78860.808174055332</v>
      </c>
      <c r="V140" s="630">
        <f>V66+V75-('Ethylene Recycling LC'!U89+'Ethylene Recycling LC'!U122+'Ethylene Recycling LC'!U148+'Ethylene Recycling LC'!U170-('Ethylene Recycling LC'!$C$89+'Ethylene Recycling LC'!$C$122+'Ethylene Recycling LC'!$C$148+'Ethylene Recycling LC'!$C$170))</f>
        <v>84694.891311329935</v>
      </c>
      <c r="W140" s="630">
        <f>W66+W75-('Ethylene Recycling LC'!V89+'Ethylene Recycling LC'!V122+'Ethylene Recycling LC'!V148+'Ethylene Recycling LC'!V170-('Ethylene Recycling LC'!$C$89+'Ethylene Recycling LC'!$C$122+'Ethylene Recycling LC'!$C$148+'Ethylene Recycling LC'!$C$170))</f>
        <v>91623.017285689333</v>
      </c>
      <c r="X140" s="630">
        <f>X66+X75-('Ethylene Recycling LC'!W89+'Ethylene Recycling LC'!W122+'Ethylene Recycling LC'!W148+'Ethylene Recycling LC'!W170-('Ethylene Recycling LC'!$C$89+'Ethylene Recycling LC'!$C$122+'Ethylene Recycling LC'!$C$148+'Ethylene Recycling LC'!$C$170))</f>
        <v>99784.13361850963</v>
      </c>
      <c r="Y140" s="630">
        <f>Y66+Y75-('Ethylene Recycling LC'!X89+'Ethylene Recycling LC'!X122+'Ethylene Recycling LC'!X148+'Ethylene Recycling LC'!X170-('Ethylene Recycling LC'!$C$89+'Ethylene Recycling LC'!$C$122+'Ethylene Recycling LC'!$C$148+'Ethylene Recycling LC'!$C$170))</f>
        <v>108257.93976597593</v>
      </c>
      <c r="Z140" s="630">
        <f>Z66+Z75-('Ethylene Recycling LC'!Y89+'Ethylene Recycling LC'!Y122+'Ethylene Recycling LC'!Y148+'Ethylene Recycling LC'!Y170-('Ethylene Recycling LC'!$C$89+'Ethylene Recycling LC'!$C$122+'Ethylene Recycling LC'!$C$148+'Ethylene Recycling LC'!$C$170))</f>
        <v>118024.05552208834</v>
      </c>
      <c r="AA140" s="630">
        <f>AA66+AA75-('Ethylene Recycling LC'!Z89+'Ethylene Recycling LC'!Z122+'Ethylene Recycling LC'!Z148+'Ethylene Recycling LC'!Z170-('Ethylene Recycling LC'!$C$89+'Ethylene Recycling LC'!$C$122+'Ethylene Recycling LC'!$C$148+'Ethylene Recycling LC'!$C$170))</f>
        <v>129627.43717709821</v>
      </c>
      <c r="AB140" s="630">
        <f>AB66+AB75-('Ethylene Recycling LC'!AA89+'Ethylene Recycling LC'!AA122+'Ethylene Recycling LC'!AA148+'Ethylene Recycling LC'!AA170-('Ethylene Recycling LC'!$C$89+'Ethylene Recycling LC'!$C$122+'Ethylene Recycling LC'!$C$148+'Ethylene Recycling LC'!$C$170))</f>
        <v>143281.16676270129</v>
      </c>
      <c r="AC140" s="630">
        <f>AC66+AC75-('Ethylene Recycling LC'!AB89+'Ethylene Recycling LC'!AB122+'Ethylene Recycling LC'!AB148+'Ethylene Recycling LC'!AB170-('Ethylene Recycling LC'!$C$89+'Ethylene Recycling LC'!$C$122+'Ethylene Recycling LC'!$C$148+'Ethylene Recycling LC'!$C$170))</f>
        <v>159246.30740702385</v>
      </c>
      <c r="AD140" s="630">
        <f>AD66+AD75-('Ethylene Recycling LC'!AC89+'Ethylene Recycling LC'!AC122+'Ethylene Recycling LC'!AC148+'Ethylene Recycling LC'!AC170-('Ethylene Recycling LC'!$C$89+'Ethylene Recycling LC'!$C$122+'Ethylene Recycling LC'!$C$148+'Ethylene Recycling LC'!$C$170))</f>
        <v>177829.09407425291</v>
      </c>
      <c r="AE140" s="630">
        <f>AE66+AE75-('Ethylene Recycling LC'!AD89+'Ethylene Recycling LC'!AD122+'Ethylene Recycling LC'!AD148+'Ethylene Recycling LC'!AD170-('Ethylene Recycling LC'!$C$89+'Ethylene Recycling LC'!$C$122+'Ethylene Recycling LC'!$C$148+'Ethylene Recycling LC'!$C$170))</f>
        <v>199356.03197890887</v>
      </c>
      <c r="AF140" s="630">
        <f>AF66+AF75-('Ethylene Recycling LC'!AE89+'Ethylene Recycling LC'!AE122+'Ethylene Recycling LC'!AE148+'Ethylene Recycling LC'!AE170-('Ethylene Recycling LC'!$C$89+'Ethylene Recycling LC'!$C$122+'Ethylene Recycling LC'!$C$148+'Ethylene Recycling LC'!$C$170))</f>
        <v>224207.87795531048</v>
      </c>
      <c r="AG140" s="630">
        <f>AG66+AG75-('Ethylene Recycling LC'!AF89+'Ethylene Recycling LC'!AF122+'Ethylene Recycling LC'!AF148+'Ethylene Recycling LC'!AF170-('Ethylene Recycling LC'!$C$89+'Ethylene Recycling LC'!$C$122+'Ethylene Recycling LC'!$C$148+'Ethylene Recycling LC'!$C$170))</f>
        <v>252816.49030220468</v>
      </c>
      <c r="AH140" s="630">
        <f>AH66+AH75-('Ethylene Recycling LC'!AG89+'Ethylene Recycling LC'!AG122+'Ethylene Recycling LC'!AG148+'Ethylene Recycling LC'!AG170-('Ethylene Recycling LC'!$C$89+'Ethylene Recycling LC'!$C$122+'Ethylene Recycling LC'!$C$148+'Ethylene Recycling LC'!$C$170))</f>
        <v>288199.66191114049</v>
      </c>
      <c r="AI140" s="57"/>
    </row>
    <row r="141" spans="1:35">
      <c r="A141" s="689"/>
      <c r="B141" s="1" t="s">
        <v>18</v>
      </c>
      <c r="C141" s="51" t="s">
        <v>166</v>
      </c>
      <c r="D141" s="196">
        <f>D67+D76+(D145-D71-D80)</f>
        <v>22294.975298434343</v>
      </c>
      <c r="E141" s="196">
        <f t="shared" ref="E141:AH141" si="44">E67+E76+(E145-E71-E80)</f>
        <v>25131.360861468875</v>
      </c>
      <c r="F141" s="196">
        <f t="shared" si="44"/>
        <v>25184.72848945453</v>
      </c>
      <c r="G141" s="196">
        <f t="shared" si="44"/>
        <v>25299.04754282748</v>
      </c>
      <c r="H141" s="196">
        <f t="shared" si="44"/>
        <v>25482.190025548272</v>
      </c>
      <c r="I141" s="196">
        <f t="shared" si="44"/>
        <v>25743.083409767758</v>
      </c>
      <c r="J141" s="196">
        <f t="shared" si="44"/>
        <v>26289.634047503456</v>
      </c>
      <c r="K141" s="196">
        <f t="shared" si="44"/>
        <v>26946.21305507284</v>
      </c>
      <c r="L141" s="196">
        <f t="shared" si="44"/>
        <v>27725.494058962886</v>
      </c>
      <c r="M141" s="196">
        <f t="shared" si="44"/>
        <v>28641.900559553229</v>
      </c>
      <c r="N141" s="196">
        <f t="shared" si="44"/>
        <v>29711.841662049657</v>
      </c>
      <c r="O141" s="196">
        <f t="shared" si="44"/>
        <v>30780.435392076222</v>
      </c>
      <c r="P141" s="196">
        <f t="shared" si="44"/>
        <v>32055.446834191658</v>
      </c>
      <c r="Q141" s="196">
        <f t="shared" si="44"/>
        <v>33566.471970673389</v>
      </c>
      <c r="R141" s="196">
        <f t="shared" si="44"/>
        <v>35337.8801925429</v>
      </c>
      <c r="S141" s="196">
        <f t="shared" si="44"/>
        <v>37400.618936977495</v>
      </c>
      <c r="T141" s="196">
        <f t="shared" si="44"/>
        <v>39707.138238913292</v>
      </c>
      <c r="U141" s="196">
        <f t="shared" si="44"/>
        <v>42374.489973953168</v>
      </c>
      <c r="V141" s="196">
        <f t="shared" si="44"/>
        <v>45448.320812262347</v>
      </c>
      <c r="W141" s="196">
        <f t="shared" si="44"/>
        <v>48980.468314262071</v>
      </c>
      <c r="X141" s="196">
        <f t="shared" si="44"/>
        <v>53029.79493228771</v>
      </c>
      <c r="Y141" s="196">
        <f t="shared" si="44"/>
        <v>57495.159247799194</v>
      </c>
      <c r="Z141" s="196">
        <f t="shared" si="44"/>
        <v>62622.010683533976</v>
      </c>
      <c r="AA141" s="196">
        <f t="shared" si="44"/>
        <v>68511.374999399544</v>
      </c>
      <c r="AB141" s="196">
        <f t="shared" si="44"/>
        <v>75260.772048730389</v>
      </c>
      <c r="AC141" s="196">
        <f t="shared" si="44"/>
        <v>82980.935501352957</v>
      </c>
      <c r="AD141" s="196">
        <f t="shared" si="44"/>
        <v>91858.616802809818</v>
      </c>
      <c r="AE141" s="196">
        <f t="shared" si="44"/>
        <v>101980.02611000545</v>
      </c>
      <c r="AF141" s="196">
        <f t="shared" si="44"/>
        <v>113507.03623730392</v>
      </c>
      <c r="AG141" s="196">
        <f t="shared" si="44"/>
        <v>126623.42572170748</v>
      </c>
      <c r="AH141" s="196">
        <f t="shared" si="44"/>
        <v>141709.54546605554</v>
      </c>
      <c r="AI141" s="41"/>
    </row>
    <row r="142" spans="1:35">
      <c r="A142" s="689"/>
      <c r="B142" s="1" t="s">
        <v>684</v>
      </c>
      <c r="C142" s="51" t="s">
        <v>166</v>
      </c>
      <c r="D142" s="196">
        <f>D68+D77+(D144-D70-D79)</f>
        <v>48981.519820245696</v>
      </c>
      <c r="E142" s="196">
        <f t="shared" ref="E142:AH142" si="45">E68+E77+(E144-E70-E79)</f>
        <v>48449.655759567184</v>
      </c>
      <c r="F142" s="196">
        <f t="shared" si="45"/>
        <v>47909.092149915436</v>
      </c>
      <c r="G142" s="196">
        <f t="shared" si="45"/>
        <v>47365.460721054587</v>
      </c>
      <c r="H142" s="196">
        <f t="shared" si="45"/>
        <v>46818.77924425219</v>
      </c>
      <c r="I142" s="196">
        <f t="shared" si="45"/>
        <v>46269.065063742972</v>
      </c>
      <c r="J142" s="196">
        <f t="shared" si="45"/>
        <v>45745.240946830541</v>
      </c>
      <c r="K142" s="196">
        <f t="shared" si="45"/>
        <v>45220.562843559106</v>
      </c>
      <c r="L142" s="196">
        <f t="shared" si="45"/>
        <v>44695.046829799889</v>
      </c>
      <c r="M142" s="196">
        <f t="shared" si="45"/>
        <v>44168.708563462707</v>
      </c>
      <c r="N142" s="196">
        <f t="shared" si="45"/>
        <v>43641.563287219964</v>
      </c>
      <c r="O142" s="196">
        <f t="shared" si="45"/>
        <v>42966.056738032319</v>
      </c>
      <c r="P142" s="196">
        <f t="shared" si="45"/>
        <v>42290.282245445727</v>
      </c>
      <c r="Q142" s="196">
        <f t="shared" si="45"/>
        <v>41616.127994715418</v>
      </c>
      <c r="R142" s="196">
        <f t="shared" si="45"/>
        <v>40942.821073239655</v>
      </c>
      <c r="S142" s="196">
        <f t="shared" si="45"/>
        <v>40270.493910453166</v>
      </c>
      <c r="T142" s="196">
        <f t="shared" si="45"/>
        <v>39599.277646494542</v>
      </c>
      <c r="U142" s="196">
        <f t="shared" si="45"/>
        <v>38929.302135035796</v>
      </c>
      <c r="V142" s="196">
        <f t="shared" si="45"/>
        <v>38260.695946398555</v>
      </c>
      <c r="W142" s="196">
        <f t="shared" si="45"/>
        <v>37593.586370969708</v>
      </c>
      <c r="X142" s="196">
        <f t="shared" si="45"/>
        <v>36928.09942292911</v>
      </c>
      <c r="Y142" s="196">
        <f t="shared" si="45"/>
        <v>36036.770567855725</v>
      </c>
      <c r="Z142" s="196">
        <f t="shared" si="45"/>
        <v>35144.187194427599</v>
      </c>
      <c r="AA142" s="196">
        <f t="shared" si="45"/>
        <v>34258.472862128678</v>
      </c>
      <c r="AB142" s="196">
        <f t="shared" si="45"/>
        <v>33378.163570141849</v>
      </c>
      <c r="AC142" s="196">
        <f t="shared" si="45"/>
        <v>32503.522160707471</v>
      </c>
      <c r="AD142" s="196">
        <f t="shared" si="45"/>
        <v>31637.093431083871</v>
      </c>
      <c r="AE142" s="196">
        <f t="shared" si="45"/>
        <v>30777.070498262368</v>
      </c>
      <c r="AF142" s="196">
        <f t="shared" si="45"/>
        <v>29923.708767409433</v>
      </c>
      <c r="AG142" s="196">
        <f t="shared" si="45"/>
        <v>29077.261111060543</v>
      </c>
      <c r="AH142" s="196">
        <f t="shared" si="45"/>
        <v>28615.484779722676</v>
      </c>
      <c r="AI142" s="41"/>
    </row>
    <row r="143" spans="1:35">
      <c r="A143" s="690"/>
      <c r="B143" s="1" t="s">
        <v>27</v>
      </c>
      <c r="C143" s="51" t="s">
        <v>166</v>
      </c>
      <c r="D143" s="599">
        <f>D69+D78-('Ethylene Recycling LC'!C90+'Ethylene Recycling LC'!C123+'Ethylene Recycling LC'!C149+'Ethylene Recycling LC'!C171-('Ethylene Recycling LC'!$C$90+'Ethylene Recycling LC'!$C$123+'Ethylene Recycling LC'!$C$149+'Ethylene Recycling LC'!$C$171)+'Ethylene Recycling LC'!C93+'Ethylene Recycling LC'!C126+'Ethylene Recycling LC'!C152+'Ethylene Recycling LC'!C174-('Ethylene Recycling LC'!$C$93+'Ethylene Recycling LC'!$C$126+'Ethylene Recycling LC'!$C$152+'Ethylene Recycling LC'!$C$174))</f>
        <v>265935.48432798841</v>
      </c>
      <c r="E143" s="599">
        <f>E69+E78-('Ethylene Recycling LC'!D90+'Ethylene Recycling LC'!D123+'Ethylene Recycling LC'!D149+'Ethylene Recycling LC'!D171-('Ethylene Recycling LC'!$C$90+'Ethylene Recycling LC'!$C$123+'Ethylene Recycling LC'!$C$149+'Ethylene Recycling LC'!$C$171)+'Ethylene Recycling LC'!D93+'Ethylene Recycling LC'!D126+'Ethylene Recycling LC'!D152+'Ethylene Recycling LC'!D174-('Ethylene Recycling LC'!$C$93+'Ethylene Recycling LC'!$C$126+'Ethylene Recycling LC'!$C$152+'Ethylene Recycling LC'!$C$174))</f>
        <v>269217.66219311196</v>
      </c>
      <c r="F143" s="599">
        <f>F69+F78-('Ethylene Recycling LC'!E90+'Ethylene Recycling LC'!E123+'Ethylene Recycling LC'!E149+'Ethylene Recycling LC'!E171-('Ethylene Recycling LC'!$C$90+'Ethylene Recycling LC'!$C$123+'Ethylene Recycling LC'!$C$149+'Ethylene Recycling LC'!$C$171)+'Ethylene Recycling LC'!E93+'Ethylene Recycling LC'!E126+'Ethylene Recycling LC'!E152+'Ethylene Recycling LC'!E174-('Ethylene Recycling LC'!$C$93+'Ethylene Recycling LC'!$C$126+'Ethylene Recycling LC'!$C$152+'Ethylene Recycling LC'!$C$174))</f>
        <v>267886.78739585134</v>
      </c>
      <c r="G143" s="599">
        <f>G69+G78-('Ethylene Recycling LC'!F90+'Ethylene Recycling LC'!F123+'Ethylene Recycling LC'!F149+'Ethylene Recycling LC'!F171-('Ethylene Recycling LC'!$C$90+'Ethylene Recycling LC'!$C$123+'Ethylene Recycling LC'!$C$149+'Ethylene Recycling LC'!$C$171)+'Ethylene Recycling LC'!F93+'Ethylene Recycling LC'!F126+'Ethylene Recycling LC'!F152+'Ethylene Recycling LC'!F174-('Ethylene Recycling LC'!$C$93+'Ethylene Recycling LC'!$C$126+'Ethylene Recycling LC'!$C$152+'Ethylene Recycling LC'!$C$174))</f>
        <v>266650.07713982713</v>
      </c>
      <c r="H143" s="599">
        <f>H69+H78-('Ethylene Recycling LC'!G90+'Ethylene Recycling LC'!G123+'Ethylene Recycling LC'!G149+'Ethylene Recycling LC'!G171-('Ethylene Recycling LC'!$C$90+'Ethylene Recycling LC'!$C$123+'Ethylene Recycling LC'!$C$149+'Ethylene Recycling LC'!$C$171)+'Ethylene Recycling LC'!G93+'Ethylene Recycling LC'!G126+'Ethylene Recycling LC'!G152+'Ethylene Recycling LC'!G174-('Ethylene Recycling LC'!$C$93+'Ethylene Recycling LC'!$C$126+'Ethylene Recycling LC'!$C$152+'Ethylene Recycling LC'!$C$174))</f>
        <v>265519.99270062952</v>
      </c>
      <c r="I143" s="599">
        <f>I69+I78-('Ethylene Recycling LC'!H90+'Ethylene Recycling LC'!H123+'Ethylene Recycling LC'!H149+'Ethylene Recycling LC'!H171-('Ethylene Recycling LC'!$C$90+'Ethylene Recycling LC'!$C$123+'Ethylene Recycling LC'!$C$149+'Ethylene Recycling LC'!$C$171)+'Ethylene Recycling LC'!H93+'Ethylene Recycling LC'!H126+'Ethylene Recycling LC'!H152+'Ethylene Recycling LC'!H174-('Ethylene Recycling LC'!$C$93+'Ethylene Recycling LC'!$C$126+'Ethylene Recycling LC'!$C$152+'Ethylene Recycling LC'!$C$174))</f>
        <v>264510.74923090503</v>
      </c>
      <c r="J143" s="599">
        <f>J69+J78-('Ethylene Recycling LC'!I90+'Ethylene Recycling LC'!I123+'Ethylene Recycling LC'!I149+'Ethylene Recycling LC'!I171-('Ethylene Recycling LC'!$C$90+'Ethylene Recycling LC'!$C$123+'Ethylene Recycling LC'!$C$149+'Ethylene Recycling LC'!$C$171)+'Ethylene Recycling LC'!I93+'Ethylene Recycling LC'!I126+'Ethylene Recycling LC'!I152+'Ethylene Recycling LC'!I174-('Ethylene Recycling LC'!$C$93+'Ethylene Recycling LC'!$C$126+'Ethylene Recycling LC'!$C$152+'Ethylene Recycling LC'!$C$174))</f>
        <v>263660.41311427008</v>
      </c>
      <c r="K143" s="599">
        <f>K69+K78-('Ethylene Recycling LC'!J90+'Ethylene Recycling LC'!J123+'Ethylene Recycling LC'!J149+'Ethylene Recycling LC'!J171-('Ethylene Recycling LC'!$C$90+'Ethylene Recycling LC'!$C$123+'Ethylene Recycling LC'!$C$149+'Ethylene Recycling LC'!$C$171)+'Ethylene Recycling LC'!J93+'Ethylene Recycling LC'!J126+'Ethylene Recycling LC'!J152+'Ethylene Recycling LC'!J174-('Ethylene Recycling LC'!$C$93+'Ethylene Recycling LC'!$C$126+'Ethylene Recycling LC'!$C$152+'Ethylene Recycling LC'!$C$174))</f>
        <v>262967.2077201592</v>
      </c>
      <c r="L143" s="599">
        <f>L69+L78-('Ethylene Recycling LC'!K90+'Ethylene Recycling LC'!K123+'Ethylene Recycling LC'!K149+'Ethylene Recycling LC'!K171-('Ethylene Recycling LC'!$C$90+'Ethylene Recycling LC'!$C$123+'Ethylene Recycling LC'!$C$149+'Ethylene Recycling LC'!$C$171)+'Ethylene Recycling LC'!K93+'Ethylene Recycling LC'!K126+'Ethylene Recycling LC'!K152+'Ethylene Recycling LC'!K174-('Ethylene Recycling LC'!$C$93+'Ethylene Recycling LC'!$C$126+'Ethylene Recycling LC'!$C$152+'Ethylene Recycling LC'!$C$174))</f>
        <v>262452.15713841043</v>
      </c>
      <c r="M143" s="599">
        <f>M69+M78-('Ethylene Recycling LC'!L90+'Ethylene Recycling LC'!L123+'Ethylene Recycling LC'!L149+'Ethylene Recycling LC'!L171-('Ethylene Recycling LC'!$C$90+'Ethylene Recycling LC'!$C$123+'Ethylene Recycling LC'!$C$149+'Ethylene Recycling LC'!$C$171)+'Ethylene Recycling LC'!L93+'Ethylene Recycling LC'!L126+'Ethylene Recycling LC'!L152+'Ethylene Recycling LC'!L174-('Ethylene Recycling LC'!$C$93+'Ethylene Recycling LC'!$C$126+'Ethylene Recycling LC'!$C$152+'Ethylene Recycling LC'!$C$174))</f>
        <v>262139.19169040548</v>
      </c>
      <c r="N143" s="599">
        <f>N69+N78-('Ethylene Recycling LC'!M90+'Ethylene Recycling LC'!M123+'Ethylene Recycling LC'!M149+'Ethylene Recycling LC'!M171-('Ethylene Recycling LC'!$C$90+'Ethylene Recycling LC'!$C$123+'Ethylene Recycling LC'!$C$149+'Ethylene Recycling LC'!$C$171)+'Ethylene Recycling LC'!M93+'Ethylene Recycling LC'!M126+'Ethylene Recycling LC'!M152+'Ethylene Recycling LC'!M174-('Ethylene Recycling LC'!$C$93+'Ethylene Recycling LC'!$C$126+'Ethylene Recycling LC'!$C$152+'Ethylene Recycling LC'!$C$174))</f>
        <v>262055.53912248104</v>
      </c>
      <c r="O143" s="599">
        <f>O69+O78-('Ethylene Recycling LC'!N90+'Ethylene Recycling LC'!N123+'Ethylene Recycling LC'!N149+'Ethylene Recycling LC'!N171-('Ethylene Recycling LC'!$C$90+'Ethylene Recycling LC'!$C$123+'Ethylene Recycling LC'!$C$149+'Ethylene Recycling LC'!$C$171)+'Ethylene Recycling LC'!N93+'Ethylene Recycling LC'!N126+'Ethylene Recycling LC'!N152+'Ethylene Recycling LC'!N174-('Ethylene Recycling LC'!$C$93+'Ethylene Recycling LC'!$C$126+'Ethylene Recycling LC'!$C$152+'Ethylene Recycling LC'!$C$174))</f>
        <v>262044.57548785297</v>
      </c>
      <c r="P143" s="599">
        <f>P69+P78-('Ethylene Recycling LC'!O90+'Ethylene Recycling LC'!O123+'Ethylene Recycling LC'!O149+'Ethylene Recycling LC'!O171-('Ethylene Recycling LC'!$C$90+'Ethylene Recycling LC'!$C$123+'Ethylene Recycling LC'!$C$149+'Ethylene Recycling LC'!$C$171)+'Ethylene Recycling LC'!O93+'Ethylene Recycling LC'!O126+'Ethylene Recycling LC'!O152+'Ethylene Recycling LC'!O174-('Ethylene Recycling LC'!$C$93+'Ethylene Recycling LC'!$C$126+'Ethylene Recycling LC'!$C$152+'Ethylene Recycling LC'!$C$174))</f>
        <v>262330.75805929193</v>
      </c>
      <c r="Q143" s="599">
        <f>Q69+Q78-('Ethylene Recycling LC'!P90+'Ethylene Recycling LC'!P123+'Ethylene Recycling LC'!P149+'Ethylene Recycling LC'!P171-('Ethylene Recycling LC'!$C$90+'Ethylene Recycling LC'!$C$123+'Ethylene Recycling LC'!$C$149+'Ethylene Recycling LC'!$C$171)+'Ethylene Recycling LC'!P93+'Ethylene Recycling LC'!P126+'Ethylene Recycling LC'!P152+'Ethylene Recycling LC'!P174-('Ethylene Recycling LC'!$C$93+'Ethylene Recycling LC'!$C$126+'Ethylene Recycling LC'!$C$152+'Ethylene Recycling LC'!$C$174))</f>
        <v>262983.49690203468</v>
      </c>
      <c r="R143" s="599">
        <f>R69+R78-('Ethylene Recycling LC'!Q90+'Ethylene Recycling LC'!Q123+'Ethylene Recycling LC'!Q149+'Ethylene Recycling LC'!Q171-('Ethylene Recycling LC'!$C$90+'Ethylene Recycling LC'!$C$123+'Ethylene Recycling LC'!$C$149+'Ethylene Recycling LC'!$C$171)+'Ethylene Recycling LC'!Q93+'Ethylene Recycling LC'!Q126+'Ethylene Recycling LC'!Q152+'Ethylene Recycling LC'!Q174-('Ethylene Recycling LC'!$C$93+'Ethylene Recycling LC'!$C$126+'Ethylene Recycling LC'!$C$152+'Ethylene Recycling LC'!$C$174))</f>
        <v>264030.81921990856</v>
      </c>
      <c r="S143" s="599">
        <f>S69+S78-('Ethylene Recycling LC'!R90+'Ethylene Recycling LC'!R123+'Ethylene Recycling LC'!R149+'Ethylene Recycling LC'!R171-('Ethylene Recycling LC'!$C$90+'Ethylene Recycling LC'!$C$123+'Ethylene Recycling LC'!$C$149+'Ethylene Recycling LC'!$C$171)+'Ethylene Recycling LC'!R93+'Ethylene Recycling LC'!R126+'Ethylene Recycling LC'!R152+'Ethylene Recycling LC'!R174-('Ethylene Recycling LC'!$C$93+'Ethylene Recycling LC'!$C$126+'Ethylene Recycling LC'!$C$152+'Ethylene Recycling LC'!$C$174))</f>
        <v>265523.21665662964</v>
      </c>
      <c r="T143" s="599">
        <f>T69+T78-('Ethylene Recycling LC'!S90+'Ethylene Recycling LC'!S123+'Ethylene Recycling LC'!S149+'Ethylene Recycling LC'!S171-('Ethylene Recycling LC'!$C$90+'Ethylene Recycling LC'!$C$123+'Ethylene Recycling LC'!$C$149+'Ethylene Recycling LC'!$C$171)+'Ethylene Recycling LC'!S93+'Ethylene Recycling LC'!S126+'Ethylene Recycling LC'!S152+'Ethylene Recycling LC'!S174-('Ethylene Recycling LC'!$C$93+'Ethylene Recycling LC'!$C$126+'Ethylene Recycling LC'!$C$152+'Ethylene Recycling LC'!$C$174))</f>
        <v>267518.21727659588</v>
      </c>
      <c r="U143" s="599">
        <f>U69+U78-('Ethylene Recycling LC'!T90+'Ethylene Recycling LC'!T123+'Ethylene Recycling LC'!T149+'Ethylene Recycling LC'!T171-('Ethylene Recycling LC'!$C$90+'Ethylene Recycling LC'!$C$123+'Ethylene Recycling LC'!$C$149+'Ethylene Recycling LC'!$C$171)+'Ethylene Recycling LC'!T93+'Ethylene Recycling LC'!T126+'Ethylene Recycling LC'!T152+'Ethylene Recycling LC'!T174-('Ethylene Recycling LC'!$C$93+'Ethylene Recycling LC'!$C$126+'Ethylene Recycling LC'!$C$152+'Ethylene Recycling LC'!$C$174))</f>
        <v>270081.3570491065</v>
      </c>
      <c r="V143" s="599">
        <f>V69+V78-('Ethylene Recycling LC'!U90+'Ethylene Recycling LC'!U123+'Ethylene Recycling LC'!U149+'Ethylene Recycling LC'!U171-('Ethylene Recycling LC'!$C$90+'Ethylene Recycling LC'!$C$123+'Ethylene Recycling LC'!$C$149+'Ethylene Recycling LC'!$C$171)+'Ethylene Recycling LC'!U93+'Ethylene Recycling LC'!U126+'Ethylene Recycling LC'!U152+'Ethylene Recycling LC'!U174-('Ethylene Recycling LC'!$C$93+'Ethylene Recycling LC'!$C$126+'Ethylene Recycling LC'!$C$152+'Ethylene Recycling LC'!$C$174))</f>
        <v>273287.23128668545</v>
      </c>
      <c r="W143" s="599">
        <f>W69+W78-('Ethylene Recycling LC'!V90+'Ethylene Recycling LC'!V123+'Ethylene Recycling LC'!V149+'Ethylene Recycling LC'!V171-('Ethylene Recycling LC'!$C$90+'Ethylene Recycling LC'!$C$123+'Ethylene Recycling LC'!$C$149+'Ethylene Recycling LC'!$C$171)+'Ethylene Recycling LC'!V93+'Ethylene Recycling LC'!V126+'Ethylene Recycling LC'!V152+'Ethylene Recycling LC'!V174-('Ethylene Recycling LC'!$C$93+'Ethylene Recycling LC'!$C$126+'Ethylene Recycling LC'!$C$152+'Ethylene Recycling LC'!$C$174))</f>
        <v>277220.72203676612</v>
      </c>
      <c r="X143" s="599">
        <f>X69+X78-('Ethylene Recycling LC'!W90+'Ethylene Recycling LC'!W123+'Ethylene Recycling LC'!W149+'Ethylene Recycling LC'!W171-('Ethylene Recycling LC'!$C$90+'Ethylene Recycling LC'!$C$123+'Ethylene Recycling LC'!$C$149+'Ethylene Recycling LC'!$C$171)+'Ethylene Recycling LC'!W93+'Ethylene Recycling LC'!W126+'Ethylene Recycling LC'!W152+'Ethylene Recycling LC'!W174-('Ethylene Recycling LC'!$C$93+'Ethylene Recycling LC'!$C$126+'Ethylene Recycling LC'!$C$152+'Ethylene Recycling LC'!$C$174))</f>
        <v>281978.38211358397</v>
      </c>
      <c r="Y143" s="599">
        <f>Y69+Y78-('Ethylene Recycling LC'!X90+'Ethylene Recycling LC'!X123+'Ethylene Recycling LC'!X149+'Ethylene Recycling LC'!X171-('Ethylene Recycling LC'!$C$90+'Ethylene Recycling LC'!$C$123+'Ethylene Recycling LC'!$C$149+'Ethylene Recycling LC'!$C$171)+'Ethylene Recycling LC'!X93+'Ethylene Recycling LC'!X126+'Ethylene Recycling LC'!X152+'Ethylene Recycling LC'!X174-('Ethylene Recycling LC'!$C$93+'Ethylene Recycling LC'!$C$126+'Ethylene Recycling LC'!$C$152+'Ethylene Recycling LC'!$C$174))</f>
        <v>287460.13976609538</v>
      </c>
      <c r="Z143" s="599">
        <f>Z69+Z78-('Ethylene Recycling LC'!Y90+'Ethylene Recycling LC'!Y123+'Ethylene Recycling LC'!Y149+'Ethylene Recycling LC'!Y171-('Ethylene Recycling LC'!$C$90+'Ethylene Recycling LC'!$C$123+'Ethylene Recycling LC'!$C$149+'Ethylene Recycling LC'!$C$171)+'Ethylene Recycling LC'!Y93+'Ethylene Recycling LC'!Y126+'Ethylene Recycling LC'!Y152+'Ethylene Recycling LC'!Y174-('Ethylene Recycling LC'!$C$93+'Ethylene Recycling LC'!$C$126+'Ethylene Recycling LC'!$C$152+'Ethylene Recycling LC'!$C$174))</f>
        <v>293975.90158950287</v>
      </c>
      <c r="AA143" s="599">
        <f>AA69+AA78-('Ethylene Recycling LC'!Z90+'Ethylene Recycling LC'!Z123+'Ethylene Recycling LC'!Z149+'Ethylene Recycling LC'!Z171-('Ethylene Recycling LC'!$C$90+'Ethylene Recycling LC'!$C$123+'Ethylene Recycling LC'!$C$149+'Ethylene Recycling LC'!$C$171)+'Ethylene Recycling LC'!Z93+'Ethylene Recycling LC'!Z126+'Ethylene Recycling LC'!Z152+'Ethylene Recycling LC'!Z174-('Ethylene Recycling LC'!$C$93+'Ethylene Recycling LC'!$C$126+'Ethylene Recycling LC'!$C$152+'Ethylene Recycling LC'!$C$174))</f>
        <v>301709.38618174393</v>
      </c>
      <c r="AB143" s="599">
        <f>AB69+AB78-('Ethylene Recycling LC'!AA90+'Ethylene Recycling LC'!AA123+'Ethylene Recycling LC'!AA149+'Ethylene Recycling LC'!AA171-('Ethylene Recycling LC'!$C$90+'Ethylene Recycling LC'!$C$123+'Ethylene Recycling LC'!$C$149+'Ethylene Recycling LC'!$C$171)+'Ethylene Recycling LC'!AA93+'Ethylene Recycling LC'!AA126+'Ethylene Recycling LC'!AA152+'Ethylene Recycling LC'!AA174-('Ethylene Recycling LC'!$C$93+'Ethylene Recycling LC'!$C$126+'Ethylene Recycling LC'!$C$152+'Ethylene Recycling LC'!$C$174))</f>
        <v>310816.64858540136</v>
      </c>
      <c r="AC143" s="599">
        <f>AC69+AC78-('Ethylene Recycling LC'!AB90+'Ethylene Recycling LC'!AB123+'Ethylene Recycling LC'!AB149+'Ethylene Recycling LC'!AB171-('Ethylene Recycling LC'!$C$90+'Ethylene Recycling LC'!$C$123+'Ethylene Recycling LC'!$C$149+'Ethylene Recycling LC'!$C$171)+'Ethylene Recycling LC'!AB93+'Ethylene Recycling LC'!AB126+'Ethylene Recycling LC'!AB152+'Ethylene Recycling LC'!AB174-('Ethylene Recycling LC'!$C$93+'Ethylene Recycling LC'!$C$126+'Ethylene Recycling LC'!$C$152+'Ethylene Recycling LC'!$C$174))</f>
        <v>321479.86056991207</v>
      </c>
      <c r="AD143" s="599">
        <f>AD69+AD78-('Ethylene Recycling LC'!AC90+'Ethylene Recycling LC'!AC123+'Ethylene Recycling LC'!AC149+'Ethylene Recycling LC'!AC171-('Ethylene Recycling LC'!$C$90+'Ethylene Recycling LC'!$C$123+'Ethylene Recycling LC'!$C$149+'Ethylene Recycling LC'!$C$171)+'Ethylene Recycling LC'!AC93+'Ethylene Recycling LC'!AC126+'Ethylene Recycling LC'!AC152+'Ethylene Recycling LC'!AC174-('Ethylene Recycling LC'!$C$93+'Ethylene Recycling LC'!$C$126+'Ethylene Recycling LC'!$C$152+'Ethylene Recycling LC'!$C$174))</f>
        <v>333907.8300047972</v>
      </c>
      <c r="AE143" s="599">
        <f>AE69+AE78-('Ethylene Recycling LC'!AD90+'Ethylene Recycling LC'!AD123+'Ethylene Recycling LC'!AD149+'Ethylene Recycling LC'!AD171-('Ethylene Recycling LC'!$C$90+'Ethylene Recycling LC'!$C$123+'Ethylene Recycling LC'!$C$149+'Ethylene Recycling LC'!$C$171)+'Ethylene Recycling LC'!AD93+'Ethylene Recycling LC'!AD126+'Ethylene Recycling LC'!AD152+'Ethylene Recycling LC'!AD174-('Ethylene Recycling LC'!$C$93+'Ethylene Recycling LC'!$C$126+'Ethylene Recycling LC'!$C$152+'Ethylene Recycling LC'!$C$174))</f>
        <v>348334.32242822502</v>
      </c>
      <c r="AF143" s="599">
        <f>AF69+AF78-('Ethylene Recycling LC'!AE90+'Ethylene Recycling LC'!AE123+'Ethylene Recycling LC'!AE149+'Ethylene Recycling LC'!AE171-('Ethylene Recycling LC'!$C$90+'Ethylene Recycling LC'!$C$123+'Ethylene Recycling LC'!$C$149+'Ethylene Recycling LC'!$C$171)+'Ethylene Recycling LC'!AE93+'Ethylene Recycling LC'!AE126+'Ethylene Recycling LC'!AE152+'Ethylene Recycling LC'!AE174-('Ethylene Recycling LC'!$C$93+'Ethylene Recycling LC'!$C$126+'Ethylene Recycling LC'!$C$152+'Ethylene Recycling LC'!$C$174))</f>
        <v>365026.72806353401</v>
      </c>
      <c r="AG143" s="599">
        <f>AG69+AG78-('Ethylene Recycling LC'!AF90+'Ethylene Recycling LC'!AF123+'Ethylene Recycling LC'!AF149+'Ethylene Recycling LC'!AF171-('Ethylene Recycling LC'!$C$90+'Ethylene Recycling LC'!$C$123+'Ethylene Recycling LC'!$C$149+'Ethylene Recycling LC'!$C$171)+'Ethylene Recycling LC'!AF93+'Ethylene Recycling LC'!AF126+'Ethylene Recycling LC'!AF152+'Ethylene Recycling LC'!AF174-('Ethylene Recycling LC'!$C$93+'Ethylene Recycling LC'!$C$126+'Ethylene Recycling LC'!$C$152+'Ethylene Recycling LC'!$C$174))</f>
        <v>384288.81147132895</v>
      </c>
      <c r="AH143" s="599">
        <f>AH69+AH78-('Ethylene Recycling LC'!AG90+'Ethylene Recycling LC'!AG123+'Ethylene Recycling LC'!AG149+'Ethylene Recycling LC'!AG171-('Ethylene Recycling LC'!$C$90+'Ethylene Recycling LC'!$C$123+'Ethylene Recycling LC'!$C$149+'Ethylene Recycling LC'!$C$171)+'Ethylene Recycling LC'!AG93+'Ethylene Recycling LC'!AG126+'Ethylene Recycling LC'!AG152+'Ethylene Recycling LC'!AG174-('Ethylene Recycling LC'!$C$93+'Ethylene Recycling LC'!$C$126+'Ethylene Recycling LC'!$C$152+'Ethylene Recycling LC'!$C$174))</f>
        <v>407083.56819343014</v>
      </c>
      <c r="AI143" s="41"/>
    </row>
    <row r="144" spans="1:35" s="62" customFormat="1">
      <c r="A144" s="691" t="s">
        <v>686</v>
      </c>
      <c r="B144" s="55" t="s">
        <v>683</v>
      </c>
      <c r="C144" s="56" t="s">
        <v>166</v>
      </c>
      <c r="D144" s="630">
        <f>D70+D79-('Ethylene Recycling LC'!C91+'Ethylene Recycling LC'!C124+'Ethylene Recycling LC'!C150+'Ethylene Recycling LC'!C172-('Ethylene Recycling LC'!$C$91+'Ethylene Recycling LC'!$C$124+'Ethylene Recycling LC'!$C$150+'Ethylene Recycling LC'!$C$172))</f>
        <v>22327.115682700864</v>
      </c>
      <c r="E144" s="630">
        <f>E70+E79-('Ethylene Recycling LC'!D91+'Ethylene Recycling LC'!D124+'Ethylene Recycling LC'!D150+'Ethylene Recycling LC'!D172-('Ethylene Recycling LC'!$C$91+'Ethylene Recycling LC'!$C$124+'Ethylene Recycling LC'!$C$150+'Ethylene Recycling LC'!$C$172))</f>
        <v>21991.82750309772</v>
      </c>
      <c r="F144" s="630">
        <f>F70+F79-('Ethylene Recycling LC'!E91+'Ethylene Recycling LC'!E124+'Ethylene Recycling LC'!E150+'Ethylene Recycling LC'!E172-('Ethylene Recycling LC'!$C$91+'Ethylene Recycling LC'!$C$124+'Ethylene Recycling LC'!$C$150+'Ethylene Recycling LC'!$C$172))</f>
        <v>21648.960897486129</v>
      </c>
      <c r="G144" s="630">
        <f>G70+G79-('Ethylene Recycling LC'!F91+'Ethylene Recycling LC'!F124+'Ethylene Recycling LC'!F150+'Ethylene Recycling LC'!F172-('Ethylene Recycling LC'!$C$91+'Ethylene Recycling LC'!$C$124+'Ethylene Recycling LC'!$C$150+'Ethylene Recycling LC'!$C$172))</f>
        <v>21304.160437238443</v>
      </c>
      <c r="H144" s="630">
        <f>H70+H79-('Ethylene Recycling LC'!G91+'Ethylene Recycling LC'!G124+'Ethylene Recycling LC'!G150+'Ethylene Recycling LC'!G172-('Ethylene Recycling LC'!$C$91+'Ethylene Recycling LC'!$C$124+'Ethylene Recycling LC'!$C$150+'Ethylene Recycling LC'!$C$172))</f>
        <v>20957.456847840545</v>
      </c>
      <c r="I144" s="630">
        <f>I70+I79-('Ethylene Recycling LC'!H91+'Ethylene Recycling LC'!H124+'Ethylene Recycling LC'!H150+'Ethylene Recycling LC'!H172-('Ethylene Recycling LC'!$C$91+'Ethylene Recycling LC'!$C$124+'Ethylene Recycling LC'!$C$150+'Ethylene Recycling LC'!$C$172))</f>
        <v>20608.880540473194</v>
      </c>
      <c r="J144" s="630">
        <f>J70+J79-('Ethylene Recycling LC'!I91+'Ethylene Recycling LC'!I124+'Ethylene Recycling LC'!I150+'Ethylene Recycling LC'!I172-('Ethylene Recycling LC'!$C$91+'Ethylene Recycling LC'!$C$124+'Ethylene Recycling LC'!$C$150+'Ethylene Recycling LC'!$C$172))</f>
        <v>20287.367462202634</v>
      </c>
      <c r="K144" s="630">
        <f>K70+K79-('Ethylene Recycling LC'!J91+'Ethylene Recycling LC'!J124+'Ethylene Recycling LC'!J150+'Ethylene Recycling LC'!J172-('Ethylene Recycling LC'!$C$91+'Ethylene Recycling LC'!$C$124+'Ethylene Recycling LC'!$C$150+'Ethylene Recycling LC'!$C$172))</f>
        <v>19966.18685571177</v>
      </c>
      <c r="L144" s="630">
        <f>L70+L79-('Ethylene Recycling LC'!K91+'Ethylene Recycling LC'!K124+'Ethylene Recycling LC'!K150+'Ethylene Recycling LC'!K172-('Ethylene Recycling LC'!$C$91+'Ethylene Recycling LC'!$C$124+'Ethylene Recycling LC'!$C$150+'Ethylene Recycling LC'!$C$172))</f>
        <v>19645.36820241543</v>
      </c>
      <c r="M144" s="630">
        <f>M70+M79-('Ethylene Recycling LC'!L91+'Ethylene Recycling LC'!L124+'Ethylene Recycling LC'!L150+'Ethylene Recycling LC'!L172-('Ethylene Recycling LC'!$C$91+'Ethylene Recycling LC'!$C$124+'Ethylene Recycling LC'!$C$150+'Ethylene Recycling LC'!$C$172))</f>
        <v>19324.940678669078</v>
      </c>
      <c r="N144" s="630">
        <f>N70+N79-('Ethylene Recycling LC'!M91+'Ethylene Recycling LC'!M124+'Ethylene Recycling LC'!M150+'Ethylene Recycling LC'!M172-('Ethylene Recycling LC'!$C$91+'Ethylene Recycling LC'!$C$124+'Ethylene Recycling LC'!$C$150+'Ethylene Recycling LC'!$C$172))</f>
        <v>19004.933158457352</v>
      </c>
      <c r="O144" s="630">
        <f>O70+O79-('Ethylene Recycling LC'!N91+'Ethylene Recycling LC'!N124+'Ethylene Recycling LC'!N150+'Ethylene Recycling LC'!N172-('Ethylene Recycling LC'!$C$91+'Ethylene Recycling LC'!$C$124+'Ethylene Recycling LC'!$C$150+'Ethylene Recycling LC'!$C$172))</f>
        <v>18537.805122850288</v>
      </c>
      <c r="P144" s="630">
        <f>P70+P79-('Ethylene Recycling LC'!O91+'Ethylene Recycling LC'!O124+'Ethylene Recycling LC'!O150+'Ethylene Recycling LC'!O172-('Ethylene Recycling LC'!$C$91+'Ethylene Recycling LC'!$C$124+'Ethylene Recycling LC'!$C$150+'Ethylene Recycling LC'!$C$172))</f>
        <v>18071.663758196064</v>
      </c>
      <c r="Q144" s="630">
        <f>Q70+Q79-('Ethylene Recycling LC'!P91+'Ethylene Recycling LC'!P124+'Ethylene Recycling LC'!P150+'Ethylene Recycling LC'!P172-('Ethylene Recycling LC'!$C$91+'Ethylene Recycling LC'!$C$124+'Ethylene Recycling LC'!$C$150+'Ethylene Recycling LC'!$C$172))</f>
        <v>17608.411219104495</v>
      </c>
      <c r="R144" s="630">
        <f>R70+R79-('Ethylene Recycling LC'!Q91+'Ethylene Recycling LC'!Q124+'Ethylene Recycling LC'!Q150+'Ethylene Recycling LC'!Q172-('Ethylene Recycling LC'!$C$91+'Ethylene Recycling LC'!$C$124+'Ethylene Recycling LC'!$C$150+'Ethylene Recycling LC'!$C$172))</f>
        <v>17147.288674702937</v>
      </c>
      <c r="S144" s="630">
        <f>S70+S79-('Ethylene Recycling LC'!R91+'Ethylene Recycling LC'!R124+'Ethylene Recycling LC'!R150+'Ethylene Recycling LC'!R172-('Ethylene Recycling LC'!$C$91+'Ethylene Recycling LC'!$C$124+'Ethylene Recycling LC'!$C$150+'Ethylene Recycling LC'!$C$172))</f>
        <v>16688.442748313289</v>
      </c>
      <c r="T144" s="630">
        <f>T70+T79-('Ethylene Recycling LC'!S91+'Ethylene Recycling LC'!S124+'Ethylene Recycling LC'!S150+'Ethylene Recycling LC'!S172-('Ethylene Recycling LC'!$C$91+'Ethylene Recycling LC'!$C$124+'Ethylene Recycling LC'!$C$150+'Ethylene Recycling LC'!$C$172))</f>
        <v>16232.018885863165</v>
      </c>
      <c r="U144" s="630">
        <f>U70+U79-('Ethylene Recycling LC'!T91+'Ethylene Recycling LC'!T124+'Ethylene Recycling LC'!T150+'Ethylene Recycling LC'!T172-('Ethylene Recycling LC'!$C$91+'Ethylene Recycling LC'!$C$124+'Ethylene Recycling LC'!$C$150+'Ethylene Recycling LC'!$C$172))</f>
        <v>15778.161358418092</v>
      </c>
      <c r="V144" s="630">
        <f>V70+V79-('Ethylene Recycling LC'!U91+'Ethylene Recycling LC'!U124+'Ethylene Recycling LC'!U150+'Ethylene Recycling LC'!U172-('Ethylene Recycling LC'!$C$91+'Ethylene Recycling LC'!$C$124+'Ethylene Recycling LC'!$C$150+'Ethylene Recycling LC'!$C$172))</f>
        <v>15327.013264957895</v>
      </c>
      <c r="W144" s="630">
        <f>W70+W79-('Ethylene Recycling LC'!V91+'Ethylene Recycling LC'!V124+'Ethylene Recycling LC'!V150+'Ethylene Recycling LC'!V172-('Ethylene Recycling LC'!$C$91+'Ethylene Recycling LC'!$C$124+'Ethylene Recycling LC'!$C$150+'Ethylene Recycling LC'!$C$172))</f>
        <v>14878.716535408643</v>
      </c>
      <c r="X144" s="630">
        <f>X70+X79-('Ethylene Recycling LC'!W91+'Ethylene Recycling LC'!W124+'Ethylene Recycling LC'!W150+'Ethylene Recycling LC'!W172-('Ethylene Recycling LC'!$C$91+'Ethylene Recycling LC'!$C$124+'Ethylene Recycling LC'!$C$150+'Ethylene Recycling LC'!$C$172))</f>
        <v>14433.411933941639</v>
      </c>
      <c r="Y144" s="630">
        <f>Y70+Y79-('Ethylene Recycling LC'!X91+'Ethylene Recycling LC'!X124+'Ethylene Recycling LC'!X150+'Ethylene Recycling LC'!X172-('Ethylene Recycling LC'!$C$91+'Ethylene Recycling LC'!$C$124+'Ethylene Recycling LC'!$C$150+'Ethylene Recycling LC'!$C$172))</f>
        <v>13766.042944026189</v>
      </c>
      <c r="Z144" s="630">
        <f>Z70+Z79-('Ethylene Recycling LC'!Y91+'Ethylene Recycling LC'!Y124+'Ethylene Recycling LC'!Y150+'Ethylene Recycling LC'!Y172-('Ethylene Recycling LC'!$C$91+'Ethylene Recycling LC'!$C$124+'Ethylene Recycling LC'!$C$150+'Ethylene Recycling LC'!$C$172))</f>
        <v>13098.787713041211</v>
      </c>
      <c r="AA144" s="630">
        <f>AA70+AA79-('Ethylene Recycling LC'!Z91+'Ethylene Recycling LC'!Z124+'Ethylene Recycling LC'!Z150+'Ethylene Recycling LC'!Z172-('Ethylene Recycling LC'!$C$91+'Ethylene Recycling LC'!$C$124+'Ethylene Recycling LC'!$C$150+'Ethylene Recycling LC'!$C$172))</f>
        <v>12439.784086925782</v>
      </c>
      <c r="AB144" s="630">
        <f>AB70+AB79-('Ethylene Recycling LC'!AA91+'Ethylene Recycling LC'!AA124+'Ethylene Recycling LC'!AA150+'Ethylene Recycling LC'!AA172-('Ethylene Recycling LC'!$C$91+'Ethylene Recycling LC'!$C$124+'Ethylene Recycling LC'!$C$150+'Ethylene Recycling LC'!$C$172))</f>
        <v>11787.582441625284</v>
      </c>
      <c r="AC144" s="630">
        <f>AC70+AC79-('Ethylene Recycling LC'!AB91+'Ethylene Recycling LC'!AB124+'Ethylene Recycling LC'!AB150+'Ethylene Recycling LC'!AB172-('Ethylene Recycling LC'!$C$91+'Ethylene Recycling LC'!$C$124+'Ethylene Recycling LC'!$C$150+'Ethylene Recycling LC'!$C$172))</f>
        <v>11142.460085391496</v>
      </c>
      <c r="AD144" s="630">
        <f>AD70+AD79-('Ethylene Recycling LC'!AC91+'Ethylene Recycling LC'!AC124+'Ethylene Recycling LC'!AC150+'Ethylene Recycling LC'!AC172-('Ethylene Recycling LC'!$C$91+'Ethylene Recycling LC'!$C$124+'Ethylene Recycling LC'!$C$150+'Ethylene Recycling LC'!$C$172))</f>
        <v>10506.976369622831</v>
      </c>
      <c r="AE144" s="630">
        <f>AE70+AE79-('Ethylene Recycling LC'!AD91+'Ethylene Recycling LC'!AD124+'Ethylene Recycling LC'!AD150+'Ethylene Recycling LC'!AD172-('Ethylene Recycling LC'!$C$91+'Ethylene Recycling LC'!$C$124+'Ethylene Recycling LC'!$C$150+'Ethylene Recycling LC'!$C$172))</f>
        <v>9879.339052394942</v>
      </c>
      <c r="AF144" s="630">
        <f>AF70+AF79-('Ethylene Recycling LC'!AE91+'Ethylene Recycling LC'!AE124+'Ethylene Recycling LC'!AE150+'Ethylene Recycling LC'!AE172-('Ethylene Recycling LC'!$C$91+'Ethylene Recycling LC'!$C$124+'Ethylene Recycling LC'!$C$150+'Ethylene Recycling LC'!$C$172))</f>
        <v>9259.8182656528643</v>
      </c>
      <c r="AG144" s="630">
        <f>AG70+AG79-('Ethylene Recycling LC'!AF91+'Ethylene Recycling LC'!AF124+'Ethylene Recycling LC'!AF150+'Ethylene Recycling LC'!AF172-('Ethylene Recycling LC'!$C$91+'Ethylene Recycling LC'!$C$124+'Ethylene Recycling LC'!$C$150+'Ethylene Recycling LC'!$C$172))</f>
        <v>8648.6816930872337</v>
      </c>
      <c r="AH144" s="630">
        <f>AH70+AH79-('Ethylene Recycling LC'!AG91+'Ethylene Recycling LC'!AG124+'Ethylene Recycling LC'!AG150+'Ethylene Recycling LC'!AG172-('Ethylene Recycling LC'!$C$91+'Ethylene Recycling LC'!$C$124+'Ethylene Recycling LC'!$C$150+'Ethylene Recycling LC'!$C$172))</f>
        <v>8423.7014793494818</v>
      </c>
      <c r="AI144" s="57"/>
    </row>
    <row r="145" spans="1:36" s="63" customFormat="1">
      <c r="A145" s="692"/>
      <c r="B145" s="59" t="s">
        <v>682</v>
      </c>
      <c r="C145" s="262" t="s">
        <v>166</v>
      </c>
      <c r="D145" s="599">
        <f>D71+D80-('Ethylene Recycling LC'!C92+'Ethylene Recycling LC'!C125+'Ethylene Recycling LC'!C151+'Ethylene Recycling LC'!C173-('Ethylene Recycling LC'!$C$92+'Ethylene Recycling LC'!$C$125+'Ethylene Recycling LC'!$C$151+'Ethylene Recycling LC'!$C$173))</f>
        <v>7462.4639529647093</v>
      </c>
      <c r="E145" s="599">
        <f>E71+E80-('Ethylene Recycling LC'!D92+'Ethylene Recycling LC'!D125+'Ethylene Recycling LC'!D151+'Ethylene Recycling LC'!D173-('Ethylene Recycling LC'!$C$92+'Ethylene Recycling LC'!$C$125+'Ethylene Recycling LC'!$C$151+'Ethylene Recycling LC'!$C$173))</f>
        <v>7195.785771543292</v>
      </c>
      <c r="F145" s="599">
        <f>F71+F80-('Ethylene Recycling LC'!E92+'Ethylene Recycling LC'!E125+'Ethylene Recycling LC'!E151+'Ethylene Recycling LC'!E173-('Ethylene Recycling LC'!$C$92+'Ethylene Recycling LC'!$C$125+'Ethylene Recycling LC'!$C$151+'Ethylene Recycling LC'!$C$173))</f>
        <v>12966.475015350323</v>
      </c>
      <c r="G145" s="599">
        <f>G71+G80-('Ethylene Recycling LC'!F92+'Ethylene Recycling LC'!F125+'Ethylene Recycling LC'!F151+'Ethylene Recycling LC'!F173-('Ethylene Recycling LC'!$C$92+'Ethylene Recycling LC'!$C$125+'Ethylene Recycling LC'!$C$151+'Ethylene Recycling LC'!$C$173))</f>
        <v>27280.15749841923</v>
      </c>
      <c r="H145" s="599">
        <f>H71+H80-('Ethylene Recycling LC'!G92+'Ethylene Recycling LC'!G125+'Ethylene Recycling LC'!G151+'Ethylene Recycling LC'!G173-('Ethylene Recycling LC'!$C$92+'Ethylene Recycling LC'!$C$125+'Ethylene Recycling LC'!$C$151+'Ethylene Recycling LC'!$C$173))</f>
        <v>6392.1775661363736</v>
      </c>
      <c r="I145" s="599">
        <f>I71+I80-('Ethylene Recycling LC'!H92+'Ethylene Recycling LC'!H125+'Ethylene Recycling LC'!H151+'Ethylene Recycling LC'!H173-('Ethylene Recycling LC'!$C$92+'Ethylene Recycling LC'!$C$125+'Ethylene Recycling LC'!$C$151+'Ethylene Recycling LC'!$C$173))</f>
        <v>6133.0854336876382</v>
      </c>
      <c r="J145" s="599">
        <f>J71+J80-('Ethylene Recycling LC'!I92+'Ethylene Recycling LC'!I125+'Ethylene Recycling LC'!I151+'Ethylene Recycling LC'!I173-('Ethylene Recycling LC'!$C$92+'Ethylene Recycling LC'!$C$125+'Ethylene Recycling LC'!$C$151+'Ethylene Recycling LC'!$C$173))</f>
        <v>6075.2429473269767</v>
      </c>
      <c r="K145" s="599">
        <f>K71+K80-('Ethylene Recycling LC'!J92+'Ethylene Recycling LC'!J125+'Ethylene Recycling LC'!J151+'Ethylene Recycling LC'!J173-('Ethylene Recycling LC'!$C$92+'Ethylene Recycling LC'!$C$125+'Ethylene Recycling LC'!$C$151+'Ethylene Recycling LC'!$C$173))</f>
        <v>6031.5747592579964</v>
      </c>
      <c r="L145" s="599">
        <f>L71+L80-('Ethylene Recycling LC'!K92+'Ethylene Recycling LC'!K125+'Ethylene Recycling LC'!K151+'Ethylene Recycling LC'!K173-('Ethylene Recycling LC'!$C$92+'Ethylene Recycling LC'!$C$125+'Ethylene Recycling LC'!$C$151+'Ethylene Recycling LC'!$C$173))</f>
        <v>6001.7655582069474</v>
      </c>
      <c r="M145" s="599">
        <f>M71+M80-('Ethylene Recycling LC'!L92+'Ethylene Recycling LC'!L125+'Ethylene Recycling LC'!L151+'Ethylene Recycling LC'!L173-('Ethylene Recycling LC'!$C$92+'Ethylene Recycling LC'!$C$125+'Ethylene Recycling LC'!$C$151+'Ethylene Recycling LC'!$C$173))</f>
        <v>5985.49968281982</v>
      </c>
      <c r="N145" s="599">
        <f>N71+N80-('Ethylene Recycling LC'!M92+'Ethylene Recycling LC'!M125+'Ethylene Recycling LC'!M151+'Ethylene Recycling LC'!M173-('Ethylene Recycling LC'!$C$92+'Ethylene Recycling LC'!$C$125+'Ethylene Recycling LC'!$C$151+'Ethylene Recycling LC'!$C$173))</f>
        <v>5982.4611216722842</v>
      </c>
      <c r="O145" s="599">
        <f>O71+O80-('Ethylene Recycling LC'!N92+'Ethylene Recycling LC'!N125+'Ethylene Recycling LC'!N151+'Ethylene Recycling LC'!N173-('Ethylene Recycling LC'!$C$92+'Ethylene Recycling LC'!$C$125+'Ethylene Recycling LC'!$C$151+'Ethylene Recycling LC'!$C$173))</f>
        <v>5818.7893487832762</v>
      </c>
      <c r="P145" s="599">
        <f>P71+P80-('Ethylene Recycling LC'!O92+'Ethylene Recycling LC'!O125+'Ethylene Recycling LC'!O151+'Ethylene Recycling LC'!O173-('Ethylene Recycling LC'!$C$92+'Ethylene Recycling LC'!$C$125+'Ethylene Recycling LC'!$C$151+'Ethylene Recycling LC'!$C$173))</f>
        <v>5680.7139567725453</v>
      </c>
      <c r="Q145" s="599">
        <f>Q71+Q80-('Ethylene Recycling LC'!P92+'Ethylene Recycling LC'!P125+'Ethylene Recycling LC'!P151+'Ethylene Recycling LC'!P173-('Ethylene Recycling LC'!$C$92+'Ethylene Recycling LC'!$C$125+'Ethylene Recycling LC'!$C$151+'Ethylene Recycling LC'!$C$173))</f>
        <v>5573.3941129487421</v>
      </c>
      <c r="R145" s="599">
        <f>R71+R80-('Ethylene Recycling LC'!Q92+'Ethylene Recycling LC'!Q125+'Ethylene Recycling LC'!Q151+'Ethylene Recycling LC'!Q173-('Ethylene Recycling LC'!$C$92+'Ethylene Recycling LC'!$C$125+'Ethylene Recycling LC'!$C$151+'Ethylene Recycling LC'!$C$173))</f>
        <v>5493.4703047462954</v>
      </c>
      <c r="S145" s="599">
        <f>S71+S80-('Ethylene Recycling LC'!R92+'Ethylene Recycling LC'!R125+'Ethylene Recycling LC'!R151+'Ethylene Recycling LC'!R173-('Ethylene Recycling LC'!$C$92+'Ethylene Recycling LC'!$C$125+'Ethylene Recycling LC'!$C$151+'Ethylene Recycling LC'!$C$173))</f>
        <v>5440.4255815823826</v>
      </c>
      <c r="T145" s="599">
        <f>T71+T80-('Ethylene Recycling LC'!S92+'Ethylene Recycling LC'!S125+'Ethylene Recycling LC'!S151+'Ethylene Recycling LC'!S173-('Ethylene Recycling LC'!$C$92+'Ethylene Recycling LC'!$C$125+'Ethylene Recycling LC'!$C$151+'Ethylene Recycling LC'!$C$173))</f>
        <v>5331.0069924789041</v>
      </c>
      <c r="U145" s="599">
        <f>U71+U80-('Ethylene Recycling LC'!T92+'Ethylene Recycling LC'!T125+'Ethylene Recycling LC'!T151+'Ethylene Recycling LC'!T173-('Ethylene Recycling LC'!$C$92+'Ethylene Recycling LC'!$C$125+'Ethylene Recycling LC'!$C$151+'Ethylene Recycling LC'!$C$173))</f>
        <v>5241.7539533906856</v>
      </c>
      <c r="V145" s="599">
        <f>V71+V80-('Ethylene Recycling LC'!U92+'Ethylene Recycling LC'!U125+'Ethylene Recycling LC'!U151+'Ethylene Recycling LC'!U173-('Ethylene Recycling LC'!$C$92+'Ethylene Recycling LC'!$C$125+'Ethylene Recycling LC'!$C$151+'Ethylene Recycling LC'!$C$173))</f>
        <v>5172.3434374552435</v>
      </c>
      <c r="W145" s="599">
        <f>W71+W80-('Ethylene Recycling LC'!V92+'Ethylene Recycling LC'!V125+'Ethylene Recycling LC'!V151+'Ethylene Recycling LC'!V173-('Ethylene Recycling LC'!$C$92+'Ethylene Recycling LC'!$C$125+'Ethylene Recycling LC'!$C$151+'Ethylene Recycling LC'!$C$173))</f>
        <v>5122.4510633061573</v>
      </c>
      <c r="X145" s="599">
        <f>X71+X80-('Ethylene Recycling LC'!W92+'Ethylene Recycling LC'!W125+'Ethylene Recycling LC'!W151+'Ethylene Recycling LC'!W173-('Ethylene Recycling LC'!$C$92+'Ethylene Recycling LC'!$C$125+'Ethylene Recycling LC'!$C$151+'Ethylene Recycling LC'!$C$173))</f>
        <v>5091.7510951931154</v>
      </c>
      <c r="Y145" s="599">
        <f>Y71+Y80-('Ethylene Recycling LC'!X92+'Ethylene Recycling LC'!X125+'Ethylene Recycling LC'!X151+'Ethylene Recycling LC'!X173-('Ethylene Recycling LC'!$C$92+'Ethylene Recycling LC'!$C$125+'Ethylene Recycling LC'!$C$151+'Ethylene Recycling LC'!$C$173))</f>
        <v>4913.2730841803095</v>
      </c>
      <c r="Z145" s="599">
        <f>Z71+Z80-('Ethylene Recycling LC'!Y92+'Ethylene Recycling LC'!Y125+'Ethylene Recycling LC'!Y151+'Ethylene Recycling LC'!Y173-('Ethylene Recycling LC'!$C$92+'Ethylene Recycling LC'!$C$125+'Ethylene Recycling LC'!$C$151+'Ethylene Recycling LC'!$C$173))</f>
        <v>4754.9103173278909</v>
      </c>
      <c r="AA145" s="599">
        <f>AA71+AA80-('Ethylene Recycling LC'!Z92+'Ethylene Recycling LC'!Z125+'Ethylene Recycling LC'!Z151+'Ethylene Recycling LC'!Z173-('Ethylene Recycling LC'!$C$92+'Ethylene Recycling LC'!$C$125+'Ethylene Recycling LC'!$C$151+'Ethylene Recycling LC'!$C$173))</f>
        <v>4631.2162241881251</v>
      </c>
      <c r="AB145" s="599">
        <f>AB71+AB80-('Ethylene Recycling LC'!AA92+'Ethylene Recycling LC'!AA125+'Ethylene Recycling LC'!AA151+'Ethylene Recycling LC'!AA173-('Ethylene Recycling LC'!$C$92+'Ethylene Recycling LC'!$C$125+'Ethylene Recycling LC'!$C$151+'Ethylene Recycling LC'!$C$173))</f>
        <v>4541.5910428827583</v>
      </c>
      <c r="AC145" s="599">
        <f>AC71+AC80-('Ethylene Recycling LC'!AB92+'Ethylene Recycling LC'!AB125+'Ethylene Recycling LC'!AB151+'Ethylene Recycling LC'!AB173-('Ethylene Recycling LC'!$C$92+'Ethylene Recycling LC'!$C$125+'Ethylene Recycling LC'!$C$151+'Ethylene Recycling LC'!$C$173))</f>
        <v>4485.4328321059911</v>
      </c>
      <c r="AD145" s="599">
        <f>AD71+AD80-('Ethylene Recycling LC'!AC92+'Ethylene Recycling LC'!AC125+'Ethylene Recycling LC'!AC151+'Ethylene Recycling LC'!AC173-('Ethylene Recycling LC'!$C$92+'Ethylene Recycling LC'!$C$125+'Ethylene Recycling LC'!$C$151+'Ethylene Recycling LC'!$C$173))</f>
        <v>4523.1614376859307</v>
      </c>
      <c r="AE145" s="599">
        <f>AE71+AE80-('Ethylene Recycling LC'!AD92+'Ethylene Recycling LC'!AD125+'Ethylene Recycling LC'!AD151+'Ethylene Recycling LC'!AD173-('Ethylene Recycling LC'!$C$92+'Ethylene Recycling LC'!$C$125+'Ethylene Recycling LC'!$C$151+'Ethylene Recycling LC'!$C$173))</f>
        <v>4597.6396974703748</v>
      </c>
      <c r="AF145" s="599">
        <f>AF71+AF80-('Ethylene Recycling LC'!AE92+'Ethylene Recycling LC'!AE125+'Ethylene Recycling LC'!AE151+'Ethylene Recycling LC'!AE173-('Ethylene Recycling LC'!$C$92+'Ethylene Recycling LC'!$C$125+'Ethylene Recycling LC'!$C$151+'Ethylene Recycling LC'!$C$173))</f>
        <v>4708.085629399382</v>
      </c>
      <c r="AG145" s="599">
        <f>AG71+AG80-('Ethylene Recycling LC'!AF92+'Ethylene Recycling LC'!AF125+'Ethylene Recycling LC'!AF151+'Ethylene Recycling LC'!AF173-('Ethylene Recycling LC'!$C$92+'Ethylene Recycling LC'!$C$125+'Ethylene Recycling LC'!$C$151+'Ethylene Recycling LC'!$C$173))</f>
        <v>4853.7150733496028</v>
      </c>
      <c r="AH145" s="599">
        <f>AH71+AH80-('Ethylene Recycling LC'!AG92+'Ethylene Recycling LC'!AG125+'Ethylene Recycling LC'!AG151+'Ethylene Recycling LC'!AG173-('Ethylene Recycling LC'!$C$92+'Ethylene Recycling LC'!$C$125+'Ethylene Recycling LC'!$C$151+'Ethylene Recycling LC'!$C$173))</f>
        <v>5205.4576730395329</v>
      </c>
      <c r="AI145" s="263"/>
    </row>
    <row r="146" spans="1:36" s="62" customFormat="1">
      <c r="A146" s="55" t="s">
        <v>78</v>
      </c>
      <c r="B146" s="55" t="s">
        <v>260</v>
      </c>
      <c r="C146" s="95" t="s">
        <v>166</v>
      </c>
      <c r="D146" s="631">
        <f t="shared" ref="D146:AH146" si="46">D94+D114+D124+D125+D126+D136+D137+D138+D104</f>
        <v>0</v>
      </c>
      <c r="E146" s="631">
        <f t="shared" si="46"/>
        <v>3527.15447294156</v>
      </c>
      <c r="F146" s="631">
        <f t="shared" si="46"/>
        <v>6892.7502196770638</v>
      </c>
      <c r="G146" s="631">
        <f t="shared" si="46"/>
        <v>10097.600718800117</v>
      </c>
      <c r="H146" s="631">
        <f t="shared" si="46"/>
        <v>13142.51944890441</v>
      </c>
      <c r="I146" s="631">
        <f t="shared" si="46"/>
        <v>16028.319888583417</v>
      </c>
      <c r="J146" s="631">
        <f t="shared" si="46"/>
        <v>18360.21377603379</v>
      </c>
      <c r="K146" s="631">
        <f t="shared" si="46"/>
        <v>20513.277922087429</v>
      </c>
      <c r="L146" s="631">
        <f t="shared" si="46"/>
        <v>22489.031227166946</v>
      </c>
      <c r="M146" s="631">
        <f t="shared" si="46"/>
        <v>24288.992591695103</v>
      </c>
      <c r="N146" s="631">
        <f t="shared" si="46"/>
        <v>25914.680916094687</v>
      </c>
      <c r="O146" s="631">
        <f t="shared" si="46"/>
        <v>31468.778180841338</v>
      </c>
      <c r="P146" s="631">
        <f t="shared" si="46"/>
        <v>37169.476963430352</v>
      </c>
      <c r="Q146" s="631">
        <f t="shared" si="46"/>
        <v>41382.690747905275</v>
      </c>
      <c r="R146" s="631">
        <f t="shared" si="46"/>
        <v>44951.456617069067</v>
      </c>
      <c r="S146" s="631">
        <f t="shared" si="46"/>
        <v>47880.512156351469</v>
      </c>
      <c r="T146" s="631">
        <f t="shared" si="46"/>
        <v>50340.080933278688</v>
      </c>
      <c r="U146" s="631">
        <f t="shared" si="46"/>
        <v>52180.767534638646</v>
      </c>
      <c r="V146" s="631">
        <f t="shared" si="46"/>
        <v>53406.914243141611</v>
      </c>
      <c r="W146" s="631">
        <f t="shared" si="46"/>
        <v>54022.86357551119</v>
      </c>
      <c r="X146" s="631">
        <f t="shared" si="46"/>
        <v>54032.958280772371</v>
      </c>
      <c r="Y146" s="631">
        <f t="shared" si="46"/>
        <v>54440.582149645634</v>
      </c>
      <c r="Z146" s="631">
        <f t="shared" si="46"/>
        <v>57351.941222183072</v>
      </c>
      <c r="AA146" s="631">
        <f t="shared" si="46"/>
        <v>59194.036223685383</v>
      </c>
      <c r="AB146" s="631">
        <f t="shared" si="46"/>
        <v>60038.177013693843</v>
      </c>
      <c r="AC146" s="631">
        <f t="shared" si="46"/>
        <v>59891.632719250876</v>
      </c>
      <c r="AD146" s="631">
        <f t="shared" si="46"/>
        <v>58639.618458799494</v>
      </c>
      <c r="AE146" s="631">
        <f t="shared" si="46"/>
        <v>56402.488374401379</v>
      </c>
      <c r="AF146" s="631">
        <f t="shared" si="46"/>
        <v>53187.876604958044</v>
      </c>
      <c r="AG146" s="631">
        <f t="shared" si="46"/>
        <v>49003.423140883664</v>
      </c>
      <c r="AH146" s="631">
        <f t="shared" si="46"/>
        <v>33726.090794275799</v>
      </c>
    </row>
    <row r="147" spans="1:36" s="63" customFormat="1">
      <c r="B147" s="59" t="s">
        <v>261</v>
      </c>
      <c r="C147" s="60" t="s">
        <v>166</v>
      </c>
      <c r="D147" s="646">
        <f t="shared" ref="D147:AH147" si="47">D93+D103+D113+D123+D135</f>
        <v>0</v>
      </c>
      <c r="E147" s="646">
        <f t="shared" si="47"/>
        <v>5843.4649914110432</v>
      </c>
      <c r="F147" s="646">
        <f t="shared" si="47"/>
        <v>11540.066230236589</v>
      </c>
      <c r="G147" s="646">
        <f t="shared" si="47"/>
        <v>17090.592829286357</v>
      </c>
      <c r="H147" s="646">
        <f t="shared" si="47"/>
        <v>22495.833901370148</v>
      </c>
      <c r="I147" s="646">
        <f t="shared" si="47"/>
        <v>27756.578559297741</v>
      </c>
      <c r="J147" s="646">
        <f t="shared" si="47"/>
        <v>32652.152193480873</v>
      </c>
      <c r="K147" s="646">
        <f t="shared" si="47"/>
        <v>37381.658030918727</v>
      </c>
      <c r="L147" s="646">
        <f t="shared" si="47"/>
        <v>41945.179762591979</v>
      </c>
      <c r="M147" s="646">
        <f t="shared" si="47"/>
        <v>46342.801079481287</v>
      </c>
      <c r="N147" s="646">
        <f t="shared" si="47"/>
        <v>50574.605672567355</v>
      </c>
      <c r="O147" s="646">
        <f t="shared" si="47"/>
        <v>58798.417788688319</v>
      </c>
      <c r="P147" s="646">
        <f t="shared" si="47"/>
        <v>67017.346759567823</v>
      </c>
      <c r="Q147" s="646">
        <f t="shared" si="47"/>
        <v>74203.080029734294</v>
      </c>
      <c r="R147" s="646">
        <f t="shared" si="47"/>
        <v>80876.798532061046</v>
      </c>
      <c r="S147" s="646">
        <f t="shared" si="47"/>
        <v>87039.848479142616</v>
      </c>
      <c r="T147" s="646">
        <f t="shared" si="47"/>
        <v>92727.66303473142</v>
      </c>
      <c r="U147" s="646">
        <f t="shared" si="47"/>
        <v>97913.633066222654</v>
      </c>
      <c r="V147" s="646">
        <f t="shared" si="47"/>
        <v>102599.50057132269</v>
      </c>
      <c r="W147" s="646">
        <f t="shared" si="47"/>
        <v>106787.0074745923</v>
      </c>
      <c r="X147" s="646">
        <f t="shared" si="47"/>
        <v>110477.895629194</v>
      </c>
      <c r="Y147" s="646">
        <f t="shared" si="47"/>
        <v>117942.66812739098</v>
      </c>
      <c r="Z147" s="646">
        <f t="shared" si="47"/>
        <v>126913.2200271138</v>
      </c>
      <c r="AA147" s="646">
        <f t="shared" si="47"/>
        <v>134976.47186006221</v>
      </c>
      <c r="AB147" s="646">
        <f t="shared" si="47"/>
        <v>142144.70852125282</v>
      </c>
      <c r="AC147" s="646">
        <f t="shared" si="47"/>
        <v>148421.02385344368</v>
      </c>
      <c r="AD147" s="646">
        <f t="shared" si="47"/>
        <v>153754.41559199843</v>
      </c>
      <c r="AE147" s="646">
        <f t="shared" si="47"/>
        <v>158194.37415269215</v>
      </c>
      <c r="AF147" s="646">
        <f t="shared" si="47"/>
        <v>161743.64780594915</v>
      </c>
      <c r="AG147" s="646">
        <f t="shared" si="47"/>
        <v>164404.98545333807</v>
      </c>
      <c r="AH147" s="646">
        <f t="shared" si="47"/>
        <v>176311.81965880835</v>
      </c>
    </row>
    <row r="148" spans="1:36" s="99" customFormat="1">
      <c r="A148" s="97" t="s">
        <v>535</v>
      </c>
      <c r="B148" s="97"/>
      <c r="C148" s="98" t="s">
        <v>166</v>
      </c>
      <c r="D148" s="642">
        <f t="shared" ref="D148:AH148" si="48">D95+D105+D115+IF(D127&lt;0,0,D127)+D139</f>
        <v>1049369.6122000003</v>
      </c>
      <c r="E148" s="642">
        <f t="shared" si="48"/>
        <v>1048547.5690137413</v>
      </c>
      <c r="F148" s="642">
        <f t="shared" si="48"/>
        <v>1034128.7358100412</v>
      </c>
      <c r="G148" s="642">
        <f t="shared" si="48"/>
        <v>1020284.0543833845</v>
      </c>
      <c r="H148" s="642">
        <f t="shared" si="48"/>
        <v>1007052.2648279362</v>
      </c>
      <c r="I148" s="642">
        <f t="shared" si="48"/>
        <v>994477.37461422035</v>
      </c>
      <c r="J148" s="642">
        <f t="shared" si="48"/>
        <v>983226.43411167292</v>
      </c>
      <c r="K148" s="642">
        <f t="shared" si="48"/>
        <v>972783.63390376372</v>
      </c>
      <c r="L148" s="642">
        <f t="shared" si="48"/>
        <v>963213.43933761586</v>
      </c>
      <c r="M148" s="642">
        <f t="shared" si="48"/>
        <v>954589.0503924893</v>
      </c>
      <c r="N148" s="642">
        <f t="shared" si="48"/>
        <v>946993.57869804022</v>
      </c>
      <c r="O148" s="642">
        <f t="shared" si="48"/>
        <v>929577.8307904735</v>
      </c>
      <c r="P148" s="642">
        <f t="shared" si="48"/>
        <v>914017.29233892169</v>
      </c>
      <c r="Q148" s="642">
        <f t="shared" si="48"/>
        <v>900638.73909390462</v>
      </c>
      <c r="R148" s="642">
        <f t="shared" si="48"/>
        <v>889510.28448212496</v>
      </c>
      <c r="S148" s="642">
        <f t="shared" si="48"/>
        <v>880786.83430445986</v>
      </c>
      <c r="T148" s="642">
        <f t="shared" si="48"/>
        <v>874444.84931509779</v>
      </c>
      <c r="U148" s="642">
        <f t="shared" si="48"/>
        <v>870866.4296101355</v>
      </c>
      <c r="V148" s="642">
        <f t="shared" si="48"/>
        <v>870278.79859061399</v>
      </c>
      <c r="W148" s="642">
        <f t="shared" si="48"/>
        <v>872940.06128658017</v>
      </c>
      <c r="X148" s="642">
        <f t="shared" si="48"/>
        <v>879143.36827608699</v>
      </c>
      <c r="Y148" s="642">
        <f t="shared" si="48"/>
        <v>879292.83757029544</v>
      </c>
      <c r="Z148" s="642">
        <f t="shared" si="48"/>
        <v>882261.02398818743</v>
      </c>
      <c r="AA148" s="642">
        <f t="shared" si="48"/>
        <v>890733.40162930777</v>
      </c>
      <c r="AB148" s="642">
        <f t="shared" si="48"/>
        <v>905121.79701794742</v>
      </c>
      <c r="AC148" s="642">
        <f t="shared" si="48"/>
        <v>926048.35157410917</v>
      </c>
      <c r="AD148" s="642">
        <f t="shared" si="48"/>
        <v>955356.89092796738</v>
      </c>
      <c r="AE148" s="642">
        <f t="shared" si="48"/>
        <v>992399.16657537769</v>
      </c>
      <c r="AF148" s="642">
        <f t="shared" si="48"/>
        <v>1037972.3719085663</v>
      </c>
      <c r="AG148" s="642">
        <f t="shared" si="48"/>
        <v>1092982.987645692</v>
      </c>
      <c r="AH148" s="642">
        <f t="shared" si="48"/>
        <v>1157568.9141175831</v>
      </c>
      <c r="AJ148" s="99" t="s">
        <v>550</v>
      </c>
    </row>
    <row r="149" spans="1:36" s="62" customFormat="1">
      <c r="A149" s="688" t="s">
        <v>685</v>
      </c>
      <c r="B149" s="55" t="s">
        <v>141</v>
      </c>
      <c r="C149" s="56" t="s">
        <v>166</v>
      </c>
      <c r="D149" s="630">
        <f>D96+D106+D116+D128+D140</f>
        <v>313520.94128169795</v>
      </c>
      <c r="E149" s="630">
        <f t="shared" ref="E149:AH154" si="49">E96+E106+E116+E128+E140</f>
        <v>310542.11795255844</v>
      </c>
      <c r="F149" s="630">
        <f t="shared" si="49"/>
        <v>301388.90387426189</v>
      </c>
      <c r="G149" s="630">
        <f t="shared" si="49"/>
        <v>292671.96428658196</v>
      </c>
      <c r="H149" s="630">
        <f t="shared" si="49"/>
        <v>284406.2063047986</v>
      </c>
      <c r="I149" s="630">
        <f t="shared" si="49"/>
        <v>276608.97219217598</v>
      </c>
      <c r="J149" s="630">
        <f t="shared" si="49"/>
        <v>269429.41554574209</v>
      </c>
      <c r="K149" s="630">
        <f t="shared" si="49"/>
        <v>262771.32355276949</v>
      </c>
      <c r="L149" s="630">
        <f t="shared" si="49"/>
        <v>256661.52202372756</v>
      </c>
      <c r="M149" s="630">
        <f t="shared" si="49"/>
        <v>251130.89382469078</v>
      </c>
      <c r="N149" s="630">
        <f t="shared" si="49"/>
        <v>246214.92932203208</v>
      </c>
      <c r="O149" s="630">
        <f t="shared" si="49"/>
        <v>233282.41763528608</v>
      </c>
      <c r="P149" s="630">
        <f t="shared" si="49"/>
        <v>221585.97969211999</v>
      </c>
      <c r="Q149" s="630">
        <f t="shared" si="49"/>
        <v>211471.59980231352</v>
      </c>
      <c r="R149" s="630">
        <f t="shared" si="49"/>
        <v>202863.70216678455</v>
      </c>
      <c r="S149" s="630">
        <f t="shared" si="49"/>
        <v>195820.98702458915</v>
      </c>
      <c r="T149" s="630">
        <f t="shared" si="49"/>
        <v>190411.94498327846</v>
      </c>
      <c r="U149" s="630">
        <f t="shared" si="49"/>
        <v>186716.19075127912</v>
      </c>
      <c r="V149" s="630">
        <f t="shared" si="49"/>
        <v>184825.97627489097</v>
      </c>
      <c r="W149" s="630">
        <f t="shared" si="49"/>
        <v>184847.90744308961</v>
      </c>
      <c r="X149" s="630">
        <f t="shared" si="49"/>
        <v>186904.89177774527</v>
      </c>
      <c r="Y149" s="630">
        <f t="shared" si="49"/>
        <v>184523.85683540651</v>
      </c>
      <c r="Z149" s="630">
        <f t="shared" si="49"/>
        <v>183171.56882614526</v>
      </c>
      <c r="AA149" s="630">
        <f t="shared" si="49"/>
        <v>185076.08726224565</v>
      </c>
      <c r="AB149" s="630">
        <f t="shared" si="49"/>
        <v>190386.16731648255</v>
      </c>
      <c r="AC149" s="630">
        <f t="shared" si="49"/>
        <v>199335.76538406176</v>
      </c>
      <c r="AD149" s="630">
        <f t="shared" si="49"/>
        <v>212203.8834788985</v>
      </c>
      <c r="AE149" s="630">
        <f t="shared" si="49"/>
        <v>229289.67048745387</v>
      </c>
      <c r="AF149" s="630">
        <f t="shared" si="49"/>
        <v>250946.40637919196</v>
      </c>
      <c r="AG149" s="630">
        <f t="shared" si="49"/>
        <v>277578.35489366535</v>
      </c>
      <c r="AH149" s="630">
        <f t="shared" si="49"/>
        <v>309647.65128254611</v>
      </c>
      <c r="AI149" s="57"/>
    </row>
    <row r="150" spans="1:36">
      <c r="A150" s="689"/>
      <c r="B150" s="1" t="s">
        <v>18</v>
      </c>
      <c r="C150" s="51" t="s">
        <v>166</v>
      </c>
      <c r="D150" s="196">
        <f t="shared" ref="D150:S154" si="50">D97+D107+D117+D129+D141</f>
        <v>221834.43765903774</v>
      </c>
      <c r="E150" s="196">
        <f t="shared" si="50"/>
        <v>221819.28700271589</v>
      </c>
      <c r="F150" s="196">
        <f t="shared" si="50"/>
        <v>219027.17296361655</v>
      </c>
      <c r="G150" s="196">
        <f t="shared" si="50"/>
        <v>216302.08398156881</v>
      </c>
      <c r="H150" s="196">
        <f t="shared" si="50"/>
        <v>213651.91668632205</v>
      </c>
      <c r="I150" s="196">
        <f t="shared" si="50"/>
        <v>211085.62866345065</v>
      </c>
      <c r="J150" s="196">
        <f t="shared" si="50"/>
        <v>209050.61107749579</v>
      </c>
      <c r="K150" s="196">
        <f t="shared" si="50"/>
        <v>207152.29989895204</v>
      </c>
      <c r="L150" s="196">
        <f t="shared" si="50"/>
        <v>205403.76765391781</v>
      </c>
      <c r="M150" s="196">
        <f t="shared" si="50"/>
        <v>203819.84199497459</v>
      </c>
      <c r="N150" s="196">
        <f t="shared" si="50"/>
        <v>202417.34137335926</v>
      </c>
      <c r="O150" s="196">
        <f t="shared" si="50"/>
        <v>199269.20528696408</v>
      </c>
      <c r="P150" s="196">
        <f t="shared" si="50"/>
        <v>196902.36636141356</v>
      </c>
      <c r="Q150" s="196">
        <f t="shared" si="50"/>
        <v>194270.90999788395</v>
      </c>
      <c r="R150" s="196">
        <f t="shared" si="50"/>
        <v>191967.30390507239</v>
      </c>
      <c r="S150" s="196">
        <f t="shared" si="50"/>
        <v>190023.80949711794</v>
      </c>
      <c r="T150" s="196">
        <f t="shared" si="49"/>
        <v>188277.3905120627</v>
      </c>
      <c r="U150" s="196">
        <f t="shared" si="49"/>
        <v>186951.46007039899</v>
      </c>
      <c r="V150" s="196">
        <f t="shared" si="49"/>
        <v>186092.83413645433</v>
      </c>
      <c r="W150" s="196">
        <f t="shared" si="49"/>
        <v>185754.53684477147</v>
      </c>
      <c r="X150" s="196">
        <f t="shared" si="49"/>
        <v>185996.63425757489</v>
      </c>
      <c r="Y150" s="196">
        <f t="shared" si="49"/>
        <v>184529.50204059551</v>
      </c>
      <c r="Z150" s="196">
        <f t="shared" si="49"/>
        <v>185368.13524532539</v>
      </c>
      <c r="AA150" s="196">
        <f t="shared" si="49"/>
        <v>187080.63904664386</v>
      </c>
      <c r="AB150" s="196">
        <f t="shared" si="49"/>
        <v>189766.38115763935</v>
      </c>
      <c r="AC150" s="196">
        <f t="shared" si="49"/>
        <v>193537.97111485602</v>
      </c>
      <c r="AD150" s="196">
        <f t="shared" si="49"/>
        <v>198684.97158729451</v>
      </c>
      <c r="AE150" s="196">
        <f t="shared" si="49"/>
        <v>205205.44304845142</v>
      </c>
      <c r="AF150" s="196">
        <f t="shared" si="49"/>
        <v>213263.38931962938</v>
      </c>
      <c r="AG150" s="196">
        <f t="shared" si="49"/>
        <v>223044.74636166895</v>
      </c>
      <c r="AH150" s="196">
        <f t="shared" si="49"/>
        <v>234760.33253911496</v>
      </c>
      <c r="AI150" s="41"/>
    </row>
    <row r="151" spans="1:36">
      <c r="A151" s="689"/>
      <c r="B151" s="1" t="s">
        <v>684</v>
      </c>
      <c r="C151" s="51" t="s">
        <v>166</v>
      </c>
      <c r="D151" s="196">
        <f t="shared" si="50"/>
        <v>202943.65152000473</v>
      </c>
      <c r="E151" s="196">
        <f t="shared" si="49"/>
        <v>200056.22781546463</v>
      </c>
      <c r="F151" s="196">
        <f t="shared" si="49"/>
        <v>197146.35346166778</v>
      </c>
      <c r="G151" s="196">
        <f t="shared" si="49"/>
        <v>194221.22463942066</v>
      </c>
      <c r="H151" s="196">
        <f t="shared" si="49"/>
        <v>191282.4306761504</v>
      </c>
      <c r="I151" s="196">
        <f t="shared" si="49"/>
        <v>188331.56740403041</v>
      </c>
      <c r="J151" s="196">
        <f t="shared" si="49"/>
        <v>185399.14283678116</v>
      </c>
      <c r="K151" s="196">
        <f t="shared" si="49"/>
        <v>182460.0047560785</v>
      </c>
      <c r="L151" s="196">
        <f t="shared" si="49"/>
        <v>179515.76748141513</v>
      </c>
      <c r="M151" s="196">
        <f t="shared" si="49"/>
        <v>176568.05115312504</v>
      </c>
      <c r="N151" s="196">
        <f t="shared" si="49"/>
        <v>173618.4815619603</v>
      </c>
      <c r="O151" s="196">
        <f t="shared" si="49"/>
        <v>169824.21739202819</v>
      </c>
      <c r="P151" s="196">
        <f t="shared" si="49"/>
        <v>165997.75924230437</v>
      </c>
      <c r="Q151" s="196">
        <f t="shared" si="49"/>
        <v>162218.99221570833</v>
      </c>
      <c r="R151" s="196">
        <f t="shared" si="49"/>
        <v>158459.08254150531</v>
      </c>
      <c r="S151" s="196">
        <f t="shared" si="49"/>
        <v>154724.82032823496</v>
      </c>
      <c r="T151" s="196">
        <f t="shared" si="49"/>
        <v>151023.01491515481</v>
      </c>
      <c r="U151" s="196">
        <f t="shared" si="49"/>
        <v>147360.49413608154</v>
      </c>
      <c r="V151" s="196">
        <f t="shared" si="49"/>
        <v>143744.10358341702</v>
      </c>
      <c r="W151" s="196">
        <f t="shared" si="49"/>
        <v>140180.70587237188</v>
      </c>
      <c r="X151" s="196">
        <f t="shared" si="49"/>
        <v>136677.17990539715</v>
      </c>
      <c r="Y151" s="196">
        <f t="shared" si="49"/>
        <v>132320.16914682876</v>
      </c>
      <c r="Z151" s="196">
        <f t="shared" si="49"/>
        <v>127773.32286159191</v>
      </c>
      <c r="AA151" s="196">
        <f t="shared" si="49"/>
        <v>123335.53025648935</v>
      </c>
      <c r="AB151" s="196">
        <f t="shared" si="49"/>
        <v>119012.82940742682</v>
      </c>
      <c r="AC151" s="196">
        <f t="shared" si="49"/>
        <v>114816.77264105907</v>
      </c>
      <c r="AD151" s="196">
        <f t="shared" si="49"/>
        <v>110761.21677822527</v>
      </c>
      <c r="AE151" s="196">
        <f t="shared" si="49"/>
        <v>106855.68823458943</v>
      </c>
      <c r="AF151" s="196">
        <f t="shared" si="49"/>
        <v>103111.79572506601</v>
      </c>
      <c r="AG151" s="196">
        <f t="shared" si="49"/>
        <v>99541.164179079467</v>
      </c>
      <c r="AH151" s="196">
        <f t="shared" si="49"/>
        <v>96155.433451614343</v>
      </c>
      <c r="AI151" s="41"/>
    </row>
    <row r="152" spans="1:36">
      <c r="A152" s="690"/>
      <c r="B152" s="1" t="s">
        <v>27</v>
      </c>
      <c r="C152" s="51" t="s">
        <v>166</v>
      </c>
      <c r="D152" s="196">
        <f t="shared" ref="D152:AG152" si="51">D99+D109+D119+IF(D131&lt;0,0,D131)+D143</f>
        <v>311070.58173925988</v>
      </c>
      <c r="E152" s="196">
        <f t="shared" si="51"/>
        <v>316129.35344685009</v>
      </c>
      <c r="F152" s="196">
        <f t="shared" si="51"/>
        <v>316565.14209382219</v>
      </c>
      <c r="G152" s="196">
        <f t="shared" si="51"/>
        <v>317087.04244394274</v>
      </c>
      <c r="H152" s="196">
        <f t="shared" si="51"/>
        <v>317709.40420589509</v>
      </c>
      <c r="I152" s="196">
        <f t="shared" si="51"/>
        <v>318448.34171462251</v>
      </c>
      <c r="J152" s="196">
        <f t="shared" si="51"/>
        <v>319343.85496932711</v>
      </c>
      <c r="K152" s="196">
        <f t="shared" si="51"/>
        <v>320396.06587988761</v>
      </c>
      <c r="L152" s="196">
        <f t="shared" si="51"/>
        <v>321627.92926518578</v>
      </c>
      <c r="M152" s="196">
        <f t="shared" si="51"/>
        <v>323065.31643644621</v>
      </c>
      <c r="N152" s="196">
        <f t="shared" si="51"/>
        <v>324737.40627022524</v>
      </c>
      <c r="O152" s="196">
        <f t="shared" si="51"/>
        <v>327196.00086484948</v>
      </c>
      <c r="P152" s="196">
        <f t="shared" si="51"/>
        <v>329524.62437189452</v>
      </c>
      <c r="Q152" s="196">
        <f t="shared" si="51"/>
        <v>332670.15935656434</v>
      </c>
      <c r="R152" s="196">
        <f t="shared" si="51"/>
        <v>336212.63867672451</v>
      </c>
      <c r="S152" s="196">
        <f t="shared" si="51"/>
        <v>340209.22090786276</v>
      </c>
      <c r="T152" s="196">
        <f t="shared" si="51"/>
        <v>344724.10712769814</v>
      </c>
      <c r="U152" s="196">
        <f t="shared" si="51"/>
        <v>349829.54525487497</v>
      </c>
      <c r="V152" s="196">
        <f t="shared" si="51"/>
        <v>355606.84815445147</v>
      </c>
      <c r="W152" s="196">
        <f t="shared" si="51"/>
        <v>362147.63067142043</v>
      </c>
      <c r="X152" s="196">
        <f t="shared" si="51"/>
        <v>369555.19284245581</v>
      </c>
      <c r="Y152" s="196">
        <f t="shared" si="51"/>
        <v>377909.69046835392</v>
      </c>
      <c r="Z152" s="196">
        <f t="shared" si="51"/>
        <v>385938.13101396471</v>
      </c>
      <c r="AA152" s="196">
        <f t="shared" si="51"/>
        <v>395231.10407218034</v>
      </c>
      <c r="AB152" s="196">
        <f t="shared" si="51"/>
        <v>405946.2770430682</v>
      </c>
      <c r="AC152" s="196">
        <f t="shared" si="51"/>
        <v>418347.67412332364</v>
      </c>
      <c r="AD152" s="196">
        <f t="shared" si="51"/>
        <v>433696.69967993116</v>
      </c>
      <c r="AE152" s="196">
        <f t="shared" si="51"/>
        <v>451038.36888707738</v>
      </c>
      <c r="AF152" s="196">
        <f t="shared" si="51"/>
        <v>470640.98130656296</v>
      </c>
      <c r="AG152" s="196">
        <f t="shared" si="51"/>
        <v>492809.1909312061</v>
      </c>
      <c r="AH152" s="196">
        <f>AH99+AH109+AH119+IF(AH131&lt;0,0,AH131)+AH143</f>
        <v>516996.30176225072</v>
      </c>
      <c r="AI152" s="41"/>
    </row>
    <row r="153" spans="1:36" s="62" customFormat="1">
      <c r="A153" s="691" t="s">
        <v>686</v>
      </c>
      <c r="B153" s="55" t="s">
        <v>683</v>
      </c>
      <c r="C153" s="56" t="s">
        <v>166</v>
      </c>
      <c r="D153" s="630">
        <f t="shared" si="50"/>
        <v>92507.263988244042</v>
      </c>
      <c r="E153" s="630">
        <f t="shared" si="49"/>
        <v>90536.482127718467</v>
      </c>
      <c r="F153" s="630">
        <f t="shared" si="49"/>
        <v>88543.791392527812</v>
      </c>
      <c r="G153" s="630">
        <f t="shared" si="49"/>
        <v>86536.392369495588</v>
      </c>
      <c r="H153" s="630">
        <f t="shared" si="49"/>
        <v>84515.878785814362</v>
      </c>
      <c r="I153" s="630">
        <f t="shared" si="49"/>
        <v>82483.850865686298</v>
      </c>
      <c r="J153" s="630">
        <f t="shared" si="49"/>
        <v>80470.821005589896</v>
      </c>
      <c r="K153" s="630">
        <f t="shared" si="49"/>
        <v>78451.641359104528</v>
      </c>
      <c r="L153" s="630">
        <f t="shared" si="49"/>
        <v>76427.930605136309</v>
      </c>
      <c r="M153" s="630">
        <f t="shared" si="49"/>
        <v>74401.313229255044</v>
      </c>
      <c r="N153" s="630">
        <f t="shared" si="49"/>
        <v>72373.419351528806</v>
      </c>
      <c r="O153" s="630">
        <f t="shared" si="49"/>
        <v>69587.669790363783</v>
      </c>
      <c r="P153" s="630">
        <f t="shared" si="49"/>
        <v>66770.663379336926</v>
      </c>
      <c r="Q153" s="630">
        <f t="shared" si="49"/>
        <v>64002.29971150565</v>
      </c>
      <c r="R153" s="630">
        <f t="shared" si="49"/>
        <v>61253.759716720378</v>
      </c>
      <c r="S153" s="630">
        <f t="shared" si="49"/>
        <v>58531.848416985544</v>
      </c>
      <c r="T153" s="630">
        <f t="shared" si="49"/>
        <v>55843.390280341926</v>
      </c>
      <c r="U153" s="630">
        <f t="shared" si="49"/>
        <v>53195.228487153174</v>
      </c>
      <c r="V153" s="630">
        <f t="shared" si="49"/>
        <v>50594.224196582647</v>
      </c>
      <c r="W153" s="630">
        <f t="shared" si="49"/>
        <v>48047.255813271477</v>
      </c>
      <c r="X153" s="630">
        <f t="shared" si="49"/>
        <v>45561.218254228879</v>
      </c>
      <c r="Y153" s="630">
        <f t="shared" si="49"/>
        <v>42276.007549094429</v>
      </c>
      <c r="Z153" s="630">
        <f t="shared" si="49"/>
        <v>38802.876253759219</v>
      </c>
      <c r="AA153" s="630">
        <f t="shared" si="49"/>
        <v>35440.744964268721</v>
      </c>
      <c r="AB153" s="630">
        <f t="shared" si="49"/>
        <v>32195.683443731035</v>
      </c>
      <c r="AC153" s="630">
        <f t="shared" si="49"/>
        <v>29079.275999329479</v>
      </c>
      <c r="AD153" s="630">
        <f t="shared" si="49"/>
        <v>26105.411720749671</v>
      </c>
      <c r="AE153" s="630">
        <f t="shared" si="49"/>
        <v>23283.64957542246</v>
      </c>
      <c r="AF153" s="630">
        <f t="shared" si="49"/>
        <v>20625.631107148569</v>
      </c>
      <c r="AG153" s="630">
        <f t="shared" si="49"/>
        <v>18143.01434513833</v>
      </c>
      <c r="AH153" s="630">
        <f t="shared" si="49"/>
        <v>15847.472508407391</v>
      </c>
      <c r="AI153" s="57"/>
    </row>
    <row r="154" spans="1:36" s="63" customFormat="1">
      <c r="A154" s="692"/>
      <c r="B154" s="59" t="s">
        <v>682</v>
      </c>
      <c r="C154" s="262" t="s">
        <v>166</v>
      </c>
      <c r="D154" s="599">
        <f t="shared" si="50"/>
        <v>78081.78585770783</v>
      </c>
      <c r="E154" s="599">
        <f t="shared" si="49"/>
        <v>76338.636215849838</v>
      </c>
      <c r="F154" s="599">
        <f t="shared" si="49"/>
        <v>80638.908551491753</v>
      </c>
      <c r="G154" s="599">
        <f t="shared" si="49"/>
        <v>93488.247758059821</v>
      </c>
      <c r="H154" s="599">
        <f t="shared" si="49"/>
        <v>71142.022806729234</v>
      </c>
      <c r="I154" s="599">
        <f t="shared" si="49"/>
        <v>69430.814026109438</v>
      </c>
      <c r="J154" s="599">
        <f t="shared" si="49"/>
        <v>68166.468074978053</v>
      </c>
      <c r="K154" s="599">
        <f t="shared" si="49"/>
        <v>66942.974459715799</v>
      </c>
      <c r="L154" s="599">
        <f t="shared" si="49"/>
        <v>65760.416768660318</v>
      </c>
      <c r="M154" s="599">
        <f t="shared" si="49"/>
        <v>64618.883492659443</v>
      </c>
      <c r="N154" s="599">
        <f t="shared" si="49"/>
        <v>63518.467966320044</v>
      </c>
      <c r="O154" s="599">
        <f t="shared" si="49"/>
        <v>61434.358630372473</v>
      </c>
      <c r="P154" s="599">
        <f t="shared" si="49"/>
        <v>59583.032183632735</v>
      </c>
      <c r="Q154" s="599">
        <f t="shared" si="49"/>
        <v>57667.560293894501</v>
      </c>
      <c r="R154" s="599">
        <f t="shared" si="49"/>
        <v>55846.951625107897</v>
      </c>
      <c r="S154" s="599">
        <f t="shared" si="49"/>
        <v>54122.003203651882</v>
      </c>
      <c r="T154" s="599">
        <f t="shared" si="49"/>
        <v>52293.975781654299</v>
      </c>
      <c r="U154" s="599">
        <f t="shared" si="49"/>
        <v>50545.770019959382</v>
      </c>
      <c r="V154" s="599">
        <f t="shared" si="49"/>
        <v>48878.232185867011</v>
      </c>
      <c r="W154" s="599">
        <f t="shared" si="49"/>
        <v>47292.2244721323</v>
      </c>
      <c r="X154" s="599">
        <f t="shared" si="49"/>
        <v>45788.624752893993</v>
      </c>
      <c r="Y154" s="599">
        <f t="shared" si="49"/>
        <v>43224.074266273674</v>
      </c>
      <c r="Z154" s="599">
        <f t="shared" si="49"/>
        <v>41159.224525973077</v>
      </c>
      <c r="AA154" s="599">
        <f t="shared" si="49"/>
        <v>39240.401175842941</v>
      </c>
      <c r="AB154" s="599">
        <f t="shared" si="49"/>
        <v>37468.852313758965</v>
      </c>
      <c r="AC154" s="599">
        <f t="shared" si="49"/>
        <v>35845.851865132994</v>
      </c>
      <c r="AD154" s="599">
        <f t="shared" si="49"/>
        <v>34534.630899251279</v>
      </c>
      <c r="AE154" s="599">
        <f t="shared" si="49"/>
        <v>33389.902570553721</v>
      </c>
      <c r="AF154" s="599">
        <f t="shared" si="49"/>
        <v>32413.015903918935</v>
      </c>
      <c r="AG154" s="599">
        <f t="shared" si="49"/>
        <v>31605.344163061898</v>
      </c>
      <c r="AH154" s="599">
        <f t="shared" si="49"/>
        <v>30968.284453406501</v>
      </c>
      <c r="AI154" s="263"/>
    </row>
    <row r="155" spans="1:36">
      <c r="A155" s="1" t="s">
        <v>843</v>
      </c>
      <c r="C155" s="56" t="s">
        <v>166</v>
      </c>
      <c r="D155" s="649">
        <f>'Ethylene Recycling LC'!C266</f>
        <v>0.18308938531480826</v>
      </c>
      <c r="E155" s="649">
        <f>'Ethylene Recycling LC'!D266</f>
        <v>0.36761232774593561</v>
      </c>
      <c r="F155" s="649">
        <f>'Ethylene Recycling LC'!E266</f>
        <v>0.73666150732645752</v>
      </c>
      <c r="G155" s="649">
        <f>'Ethylene Recycling LC'!F266</f>
        <v>1.4723064899477905</v>
      </c>
      <c r="H155" s="649">
        <f>'Ethylene Recycling LC'!G266</f>
        <v>2.9319613185987365</v>
      </c>
      <c r="I155" s="649">
        <f>'Ethylene Recycling LC'!H266</f>
        <v>5.8097459089244667</v>
      </c>
      <c r="J155" s="649">
        <f>'Ethylene Recycling LC'!I266</f>
        <v>11.427593466905568</v>
      </c>
      <c r="K155" s="649">
        <f>'Ethylene Recycling LC'!J266</f>
        <v>22.267860716638815</v>
      </c>
      <c r="L155" s="649">
        <f>'Ethylene Recycling LC'!K266</f>
        <v>42.839363000226257</v>
      </c>
      <c r="M155" s="649">
        <f>'Ethylene Recycling LC'!L266</f>
        <v>81.0053777392244</v>
      </c>
      <c r="N155" s="649">
        <f>'Ethylene Recycling LC'!M266</f>
        <v>150.35963892801956</v>
      </c>
      <c r="O155" s="649">
        <f>'Ethylene Recycling LC'!N266</f>
        <v>256.63278425790145</v>
      </c>
      <c r="P155" s="649">
        <f>'Ethylene Recycling LC'!O266</f>
        <v>424.8565048154174</v>
      </c>
      <c r="Q155" s="649">
        <f>'Ethylene Recycling LC'!P266</f>
        <v>673.10819148426424</v>
      </c>
      <c r="R155" s="649">
        <f>'Ethylene Recycling LC'!Q266</f>
        <v>1014.853440495108</v>
      </c>
      <c r="S155" s="649">
        <f>'Ethylene Recycling LC'!R266</f>
        <v>1450.055000811639</v>
      </c>
      <c r="T155" s="649">
        <f>'Ethylene Recycling LC'!S266</f>
        <v>1958.7889130414251</v>
      </c>
      <c r="U155" s="649">
        <f>'Ethylene Recycling LC'!T266</f>
        <v>2507.6793892419005</v>
      </c>
      <c r="V155" s="649">
        <f>'Ethylene Recycling LC'!U266</f>
        <v>3057.7448027638452</v>
      </c>
      <c r="W155" s="649">
        <f>'Ethylene Recycling LC'!V266</f>
        <v>3576.393140883813</v>
      </c>
      <c r="X155" s="649">
        <f>'Ethylene Recycling LC'!W266</f>
        <v>4044.6535287387273</v>
      </c>
      <c r="Y155" s="649">
        <f>'Ethylene Recycling LC'!X266</f>
        <v>4216.3433085336246</v>
      </c>
      <c r="Z155" s="649">
        <f>'Ethylene Recycling LC'!Y266</f>
        <v>4308.734696112353</v>
      </c>
      <c r="AA155" s="649">
        <f>'Ethylene Recycling LC'!Z266</f>
        <v>4358.9114002067245</v>
      </c>
      <c r="AB155" s="649">
        <f>'Ethylene Recycling LC'!AA266</f>
        <v>4401.8804932970497</v>
      </c>
      <c r="AC155" s="649">
        <f>'Ethylene Recycling LC'!AB266</f>
        <v>4617.647057787698</v>
      </c>
      <c r="AD155" s="649">
        <f>'Ethylene Recycling LC'!AC266</f>
        <v>4833.3076094249946</v>
      </c>
      <c r="AE155" s="649">
        <f>'Ethylene Recycling LC'!AD266</f>
        <v>5076.2320407970528</v>
      </c>
      <c r="AF155" s="649">
        <f>'Ethylene Recycling LC'!AE266</f>
        <v>5367.5721335891594</v>
      </c>
      <c r="AG155" s="649">
        <f>'Ethylene Recycling LC'!AF266</f>
        <v>5714.8816653372933</v>
      </c>
      <c r="AH155" s="649">
        <f>'Ethylene Recycling LC'!AG266</f>
        <v>6103.9885752203381</v>
      </c>
    </row>
    <row r="156" spans="1:36">
      <c r="A156" s="1" t="s">
        <v>844</v>
      </c>
      <c r="C156" s="262" t="s">
        <v>166</v>
      </c>
      <c r="D156" s="649">
        <f>'Ethylene Recycling LC'!C268</f>
        <v>0.4882185707751171</v>
      </c>
      <c r="E156" s="649">
        <f>'Ethylene Recycling LC'!D268</f>
        <v>0.98025980557442327</v>
      </c>
      <c r="F156" s="649">
        <f>'Ethylene Recycling LC'!E268</f>
        <v>1.9643510607322898</v>
      </c>
      <c r="G156" s="649">
        <f>'Ethylene Recycling LC'!F268</f>
        <v>3.9259914987933624</v>
      </c>
      <c r="H156" s="649">
        <f>'Ethylene Recycling LC'!G268</f>
        <v>7.8182466016418939</v>
      </c>
      <c r="I156" s="649">
        <f>'Ethylene Recycling LC'!H268</f>
        <v>15.492027783831752</v>
      </c>
      <c r="J156" s="649">
        <f>'Ethylene Recycling LC'!I268</f>
        <v>30.472347374036762</v>
      </c>
      <c r="K156" s="649">
        <f>'Ethylene Recycling LC'!J268</f>
        <v>59.378554986155628</v>
      </c>
      <c r="L156" s="649">
        <f>'Ethylene Recycling LC'!K268</f>
        <v>114.23367084293386</v>
      </c>
      <c r="M156" s="649">
        <f>'Ethylene Recycling LC'!L268</f>
        <v>216.00558479642214</v>
      </c>
      <c r="N156" s="649">
        <f>'Ethylene Recycling LC'!M268</f>
        <v>400.94278482327235</v>
      </c>
      <c r="O156" s="649">
        <f>'Ethylene Recycling LC'!N268</f>
        <v>684.32635201106848</v>
      </c>
      <c r="P156" s="649">
        <f>'Ethylene Recycling LC'!O268</f>
        <v>1132.904756924313</v>
      </c>
      <c r="Q156" s="649">
        <f>'Ethylene Recycling LC'!P268</f>
        <v>1794.8824212743273</v>
      </c>
      <c r="R156" s="649">
        <f>'Ethylene Recycling LC'!Q268</f>
        <v>2706.166146184873</v>
      </c>
      <c r="S156" s="649">
        <f>'Ethylene Recycling LC'!R268</f>
        <v>3866.6565995855753</v>
      </c>
      <c r="T156" s="649">
        <f>'Ethylene Recycling LC'!S268</f>
        <v>5223.2253766700633</v>
      </c>
      <c r="U156" s="649">
        <f>'Ethylene Recycling LC'!T268</f>
        <v>6686.8739838348138</v>
      </c>
      <c r="V156" s="649">
        <f>'Ethylene Recycling LC'!U268</f>
        <v>8153.6556301916071</v>
      </c>
      <c r="W156" s="649">
        <f>'Ethylene Recycling LC'!V268</f>
        <v>9536.6618046699277</v>
      </c>
      <c r="X156" s="649">
        <f>'Ethylene Recycling LC'!W268</f>
        <v>10785.305558189801</v>
      </c>
      <c r="Y156" s="649">
        <f>'Ethylene Recycling LC'!X268</f>
        <v>11243.126413090993</v>
      </c>
      <c r="Z156" s="649">
        <f>'Ethylene Recycling LC'!Y268</f>
        <v>11489.493460083138</v>
      </c>
      <c r="AA156" s="649">
        <f>'Ethylene Recycling LC'!Z268</f>
        <v>11623.292580753292</v>
      </c>
      <c r="AB156" s="649">
        <f>'Ethylene Recycling LC'!AA268</f>
        <v>11737.872184480679</v>
      </c>
      <c r="AC156" s="649">
        <f>'Ethylene Recycling LC'!AB268</f>
        <v>12313.226367660414</v>
      </c>
      <c r="AD156" s="649">
        <f>'Ethylene Recycling LC'!AC268</f>
        <v>12888.297861356768</v>
      </c>
      <c r="AE156" s="649">
        <f>'Ethylene Recycling LC'!AD268</f>
        <v>13536.070087403081</v>
      </c>
      <c r="AF156" s="649">
        <f>'Ethylene Recycling LC'!AE268</f>
        <v>14312.945510671807</v>
      </c>
      <c r="AG156" s="649">
        <f>'Ethylene Recycling LC'!AF268</f>
        <v>15239.066721440515</v>
      </c>
      <c r="AH156" s="649">
        <f>'Ethylene Recycling LC'!AG268</f>
        <v>16276.643089372414</v>
      </c>
    </row>
    <row r="157" spans="1:36" s="99" customFormat="1">
      <c r="A157" s="97" t="s">
        <v>845</v>
      </c>
      <c r="B157" s="97"/>
      <c r="C157" s="98" t="s">
        <v>166</v>
      </c>
      <c r="D157" s="642">
        <f>D148-D155-D156</f>
        <v>1049368.9408920442</v>
      </c>
      <c r="E157" s="642">
        <f t="shared" ref="E157:AH157" si="52">E148-E155-E156</f>
        <v>1048546.221141608</v>
      </c>
      <c r="F157" s="642">
        <f t="shared" si="52"/>
        <v>1034126.0347974732</v>
      </c>
      <c r="G157" s="642">
        <f t="shared" si="52"/>
        <v>1020278.6560853958</v>
      </c>
      <c r="H157" s="642">
        <f t="shared" si="52"/>
        <v>1007041.514620016</v>
      </c>
      <c r="I157" s="642">
        <f t="shared" si="52"/>
        <v>994456.07284052751</v>
      </c>
      <c r="J157" s="642">
        <f t="shared" si="52"/>
        <v>983184.5341708319</v>
      </c>
      <c r="K157" s="642">
        <f t="shared" si="52"/>
        <v>972701.98748806084</v>
      </c>
      <c r="L157" s="642">
        <f t="shared" si="52"/>
        <v>963056.36630377267</v>
      </c>
      <c r="M157" s="642">
        <f t="shared" si="52"/>
        <v>954292.03942995367</v>
      </c>
      <c r="N157" s="642">
        <f t="shared" si="52"/>
        <v>946442.276274289</v>
      </c>
      <c r="O157" s="642">
        <f t="shared" si="52"/>
        <v>928636.87165420456</v>
      </c>
      <c r="P157" s="642">
        <f t="shared" si="52"/>
        <v>912459.53107718192</v>
      </c>
      <c r="Q157" s="642">
        <f t="shared" si="52"/>
        <v>898170.74848114606</v>
      </c>
      <c r="R157" s="642">
        <f t="shared" si="52"/>
        <v>885789.26489544497</v>
      </c>
      <c r="S157" s="642">
        <f t="shared" si="52"/>
        <v>875470.12270406273</v>
      </c>
      <c r="T157" s="642">
        <f t="shared" si="52"/>
        <v>867262.8350253863</v>
      </c>
      <c r="U157" s="642">
        <f t="shared" si="52"/>
        <v>861671.87623705878</v>
      </c>
      <c r="V157" s="642">
        <f t="shared" si="52"/>
        <v>859067.39815765864</v>
      </c>
      <c r="W157" s="642">
        <f t="shared" si="52"/>
        <v>859827.00634102651</v>
      </c>
      <c r="X157" s="642">
        <f t="shared" si="52"/>
        <v>864313.40918915847</v>
      </c>
      <c r="Y157" s="642">
        <f t="shared" si="52"/>
        <v>863833.36784867081</v>
      </c>
      <c r="Z157" s="642">
        <f t="shared" si="52"/>
        <v>866462.79583199194</v>
      </c>
      <c r="AA157" s="642">
        <f t="shared" si="52"/>
        <v>874751.1976483477</v>
      </c>
      <c r="AB157" s="642">
        <f t="shared" si="52"/>
        <v>888982.04434016976</v>
      </c>
      <c r="AC157" s="642">
        <f t="shared" si="52"/>
        <v>909117.47814866097</v>
      </c>
      <c r="AD157" s="642">
        <f t="shared" si="52"/>
        <v>937635.28545718559</v>
      </c>
      <c r="AE157" s="642">
        <f t="shared" si="52"/>
        <v>973786.86444717762</v>
      </c>
      <c r="AF157" s="642">
        <f t="shared" si="52"/>
        <v>1018291.8542643053</v>
      </c>
      <c r="AG157" s="642">
        <f t="shared" si="52"/>
        <v>1072029.0392589141</v>
      </c>
      <c r="AH157" s="642">
        <f t="shared" si="52"/>
        <v>1135188.2824529903</v>
      </c>
    </row>
    <row r="158" spans="1:36" s="62" customFormat="1">
      <c r="A158" s="688" t="s">
        <v>685</v>
      </c>
      <c r="B158" s="55" t="s">
        <v>141</v>
      </c>
      <c r="C158" s="56" t="s">
        <v>166</v>
      </c>
      <c r="D158" s="630">
        <f>D149-D156*D149/D148</f>
        <v>313520.79541627161</v>
      </c>
      <c r="E158" s="630">
        <f t="shared" ref="E158:AH158" si="53">E149-E156*E149/E148</f>
        <v>310541.82763482258</v>
      </c>
      <c r="F158" s="630">
        <f t="shared" si="53"/>
        <v>301388.33137918217</v>
      </c>
      <c r="G158" s="630">
        <f t="shared" si="53"/>
        <v>292670.83810251707</v>
      </c>
      <c r="H158" s="630">
        <f t="shared" si="53"/>
        <v>284403.99831824854</v>
      </c>
      <c r="I158" s="630">
        <f t="shared" si="53"/>
        <v>276604.66316112928</v>
      </c>
      <c r="J158" s="630">
        <f t="shared" si="53"/>
        <v>269421.06533620902</v>
      </c>
      <c r="K158" s="630">
        <f t="shared" si="53"/>
        <v>262755.28403386666</v>
      </c>
      <c r="L158" s="630">
        <f t="shared" si="53"/>
        <v>256631.08288466709</v>
      </c>
      <c r="M158" s="630">
        <f t="shared" si="53"/>
        <v>251074.06761705855</v>
      </c>
      <c r="N158" s="630">
        <f t="shared" si="53"/>
        <v>246110.68563796915</v>
      </c>
      <c r="O158" s="630">
        <f t="shared" si="53"/>
        <v>233110.68235873271</v>
      </c>
      <c r="P158" s="630">
        <f t="shared" si="53"/>
        <v>221311.3286405862</v>
      </c>
      <c r="Q158" s="630">
        <f t="shared" si="53"/>
        <v>211050.15817360254</v>
      </c>
      <c r="R158" s="630">
        <f t="shared" si="53"/>
        <v>202246.52787136525</v>
      </c>
      <c r="S158" s="630">
        <f t="shared" si="53"/>
        <v>194961.33235864047</v>
      </c>
      <c r="T158" s="630">
        <f t="shared" si="53"/>
        <v>189274.57822557297</v>
      </c>
      <c r="U158" s="630">
        <f t="shared" si="53"/>
        <v>185282.50632408814</v>
      </c>
      <c r="V158" s="630">
        <f t="shared" si="53"/>
        <v>183094.33882204257</v>
      </c>
      <c r="W158" s="630">
        <f t="shared" si="53"/>
        <v>182828.48817621861</v>
      </c>
      <c r="X158" s="630">
        <f t="shared" si="53"/>
        <v>184611.94794072787</v>
      </c>
      <c r="Y158" s="630">
        <f t="shared" si="53"/>
        <v>182164.43235247282</v>
      </c>
      <c r="Z158" s="630">
        <f t="shared" si="53"/>
        <v>180786.16531756939</v>
      </c>
      <c r="AA158" s="630">
        <f t="shared" si="53"/>
        <v>182661.00604039498</v>
      </c>
      <c r="AB158" s="630">
        <f t="shared" si="53"/>
        <v>187917.18634064408</v>
      </c>
      <c r="AC158" s="630">
        <f t="shared" si="53"/>
        <v>196685.29211431005</v>
      </c>
      <c r="AD158" s="630">
        <f t="shared" si="53"/>
        <v>209341.13461134583</v>
      </c>
      <c r="AE158" s="630">
        <f t="shared" si="53"/>
        <v>226162.21819348825</v>
      </c>
      <c r="AF158" s="630">
        <f t="shared" si="53"/>
        <v>247486.02309943287</v>
      </c>
      <c r="AG158" s="630">
        <f t="shared" si="53"/>
        <v>273708.18022629578</v>
      </c>
      <c r="AH158" s="630">
        <f t="shared" si="53"/>
        <v>305293.67784569855</v>
      </c>
      <c r="AI158" s="57"/>
    </row>
    <row r="159" spans="1:36">
      <c r="A159" s="689"/>
      <c r="B159" s="1" t="s">
        <v>18</v>
      </c>
      <c r="C159" s="51" t="s">
        <v>166</v>
      </c>
      <c r="D159" s="196">
        <f>D163/('Demand - Ethylene'!$K$14)</f>
        <v>233277.52266903734</v>
      </c>
      <c r="E159" s="196">
        <f>E163/('Demand - Ethylene'!$K$14)</f>
        <v>228068.79874938392</v>
      </c>
      <c r="F159" s="196">
        <f>F163/('Demand - Ethylene'!$K$14)</f>
        <v>240914.63435801119</v>
      </c>
      <c r="G159" s="196">
        <f>G163/('Demand - Ethylene'!$K$14)</f>
        <v>279300.08185831638</v>
      </c>
      <c r="H159" s="196">
        <f>H163/('Demand - Ethylene'!$K$14)</f>
        <v>212531.31710749539</v>
      </c>
      <c r="I159" s="196">
        <f>I163/('Demand - Ethylene'!$K$14)</f>
        <v>207405.41630868684</v>
      </c>
      <c r="J159" s="196">
        <f>J163/('Demand - Ethylene'!$K$14)</f>
        <v>203601.71999743456</v>
      </c>
      <c r="K159" s="196">
        <f>K163/('Demand - Ethylene'!$K$14)</f>
        <v>199895.58411440052</v>
      </c>
      <c r="L159" s="196">
        <f>L163/('Demand - Ethylene'!$K$14)</f>
        <v>196266.09457181048</v>
      </c>
      <c r="M159" s="196">
        <f>M163/('Demand - Ethylene'!$K$14)</f>
        <v>192676.59444755319</v>
      </c>
      <c r="N159" s="196">
        <f>N163/('Demand - Ethylene'!$K$14)</f>
        <v>189063.52237305645</v>
      </c>
      <c r="O159" s="196">
        <f>O163/('Demand - Ethylene'!$K$14)</f>
        <v>182337.27034099746</v>
      </c>
      <c r="P159" s="196">
        <f>P163/('Demand - Ethylene'!$K$14)</f>
        <v>176012.75474195302</v>
      </c>
      <c r="Q159" s="196">
        <f>Q163/('Demand - Ethylene'!$K$14)</f>
        <v>169120.83380752889</v>
      </c>
      <c r="R159" s="196">
        <f>R163/('Demand - Ethylene'!$K$14)</f>
        <v>162072.40395894632</v>
      </c>
      <c r="S159" s="196">
        <f>S163/('Demand - Ethylene'!$K$14)</f>
        <v>154871.26110197575</v>
      </c>
      <c r="T159" s="196">
        <f>T163/('Demand - Ethylene'!$K$14)</f>
        <v>147022.27765311929</v>
      </c>
      <c r="U159" s="196">
        <f>U163/('Demand - Ethylene'!$K$14)</f>
        <v>139230.66374349702</v>
      </c>
      <c r="V159" s="196">
        <f>V163/('Demand - Ethylene'!$K$14)</f>
        <v>131685.08451873431</v>
      </c>
      <c r="W159" s="196">
        <f>W163/('Demand - Ethylene'!$K$14)</f>
        <v>124543.26849765411</v>
      </c>
      <c r="X159" s="196">
        <f>X163/('Demand - Ethylene'!$K$14)</f>
        <v>117897.80264158999</v>
      </c>
      <c r="Y159" s="196">
        <f>Y163/('Demand - Ethylene'!$K$14)</f>
        <v>109490.84423362842</v>
      </c>
      <c r="Z159" s="196">
        <f>Z163/('Demand - Ethylene'!$K$14)</f>
        <v>102882.9748716043</v>
      </c>
      <c r="AA159" s="196">
        <f>AA163/('Demand - Ethylene'!$K$14)</f>
        <v>96919.00653062317</v>
      </c>
      <c r="AB159" s="196">
        <f>AB163/('Demand - Ethylene'!$K$14)</f>
        <v>91439.054387963581</v>
      </c>
      <c r="AC159" s="196">
        <f>AC163/('Demand - Ethylene'!$K$14)</f>
        <v>85609.599468127723</v>
      </c>
      <c r="AD159" s="196">
        <f>AD163/('Demand - Ethylene'!$K$14)</f>
        <v>80728.223710197781</v>
      </c>
      <c r="AE159" s="196">
        <f>AE163/('Demand - Ethylene'!$K$14)</f>
        <v>76228.183647717844</v>
      </c>
      <c r="AF159" s="196">
        <f>AF163/('Demand - Ethylene'!$K$14)</f>
        <v>72015.535403800284</v>
      </c>
      <c r="AG159" s="196">
        <f>AG163/('Demand - Ethylene'!$K$14)</f>
        <v>68059.771046941445</v>
      </c>
      <c r="AH159" s="196">
        <f>AH163/('Demand - Ethylene'!$K$14)</f>
        <v>64422.907826865179</v>
      </c>
      <c r="AI159" s="41"/>
    </row>
    <row r="160" spans="1:36">
      <c r="A160" s="689"/>
      <c r="B160" s="1" t="s">
        <v>684</v>
      </c>
      <c r="C160" s="51" t="s">
        <v>166</v>
      </c>
      <c r="D160" s="196">
        <f>D162/('Demand - Ethylene'!$M$14)</f>
        <v>202943.44438146253</v>
      </c>
      <c r="E160" s="196">
        <f>E162/('Demand - Ethylene'!$M$14)</f>
        <v>198619.71407018733</v>
      </c>
      <c r="F160" s="196">
        <f>F162/('Demand - Ethylene'!$M$14)</f>
        <v>194247.71170144714</v>
      </c>
      <c r="G160" s="196">
        <f>G162/('Demand - Ethylene'!$M$14)</f>
        <v>189843.03534056645</v>
      </c>
      <c r="H160" s="196">
        <f>H162/('Demand - Ethylene'!$M$14)</f>
        <v>185408.78777823324</v>
      </c>
      <c r="I160" s="196">
        <f>I162/('Demand - Ethylene'!$M$14)</f>
        <v>180947.71978081836</v>
      </c>
      <c r="J160" s="196">
        <f>J162/('Demand - Ethylene'!$M$14)</f>
        <v>176525.33922528909</v>
      </c>
      <c r="K160" s="196">
        <f>K162/('Demand - Ethylene'!$M$14)</f>
        <v>172083.80865044214</v>
      </c>
      <c r="L160" s="196">
        <f>L162/('Demand - Ethylene'!$M$14)</f>
        <v>167621.89249589955</v>
      </c>
      <c r="M160" s="196">
        <f>M162/('Demand - Ethylene'!$M$14)</f>
        <v>163134.9270973703</v>
      </c>
      <c r="N160" s="196">
        <f>N162/('Demand - Ethylene'!$M$14)</f>
        <v>158612.4969488309</v>
      </c>
      <c r="O160" s="196">
        <f>O162/('Demand - Ethylene'!$M$14)</f>
        <v>152388.07552182829</v>
      </c>
      <c r="P160" s="196">
        <f>P162/('Demand - Ethylene'!$M$14)</f>
        <v>146030.98038143609</v>
      </c>
      <c r="Q160" s="196">
        <f>Q162/('Demand - Ethylene'!$M$14)</f>
        <v>139699.85688832469</v>
      </c>
      <c r="R160" s="196">
        <f>R162/('Demand - Ethylene'!$M$14)</f>
        <v>133321.70599131926</v>
      </c>
      <c r="S160" s="196">
        <f>S162/('Demand - Ethylene'!$M$14)</f>
        <v>126917.807450418</v>
      </c>
      <c r="T160" s="196">
        <f>T162/('Demand - Ethylene'!$M$14)</f>
        <v>120530.9484061797</v>
      </c>
      <c r="U160" s="196">
        <f>U162/('Demand - Ethylene'!$M$14)</f>
        <v>114218.10266492688</v>
      </c>
      <c r="V160" s="196">
        <f>V162/('Demand - Ethylene'!$M$14)</f>
        <v>108039.77642942721</v>
      </c>
      <c r="W160" s="196">
        <f>W162/('Demand - Ethylene'!$M$14)</f>
        <v>102047.00641963586</v>
      </c>
      <c r="X160" s="196">
        <f>X162/('Demand - Ethylene'!$M$14)</f>
        <v>96274.319454080382</v>
      </c>
      <c r="Y160" s="196">
        <f>Y162/('Demand - Ethylene'!$M$14)</f>
        <v>89033.906512944843</v>
      </c>
      <c r="Z160" s="196">
        <f>Z162/('Demand - Ethylene'!$M$14)</f>
        <v>81475.833367978106</v>
      </c>
      <c r="AA160" s="196">
        <f>AA162/('Demand - Ethylene'!$M$14)</f>
        <v>74219.603360392837</v>
      </c>
      <c r="AB160" s="196">
        <f>AB162/('Demand - Ethylene'!$M$14)</f>
        <v>67245.400693068907</v>
      </c>
      <c r="AC160" s="196">
        <f>AC162/('Demand - Ethylene'!$M$14)</f>
        <v>60445.281767122826</v>
      </c>
      <c r="AD160" s="196">
        <f>AD162/('Demand - Ethylene'!$M$14)</f>
        <v>53992.332475055962</v>
      </c>
      <c r="AE160" s="196">
        <f>AE162/('Demand - Ethylene'!$M$14)</f>
        <v>47882.528497011997</v>
      </c>
      <c r="AF160" s="196">
        <f>AF162/('Demand - Ethylene'!$M$14)</f>
        <v>42129.523238376722</v>
      </c>
      <c r="AG160" s="196">
        <f>AG162/('Demand - Ethylene'!$M$14)</f>
        <v>36757.663610820462</v>
      </c>
      <c r="AH160" s="196">
        <f>AH162/('Demand - Ethylene'!$M$14)</f>
        <v>31800.25480968316</v>
      </c>
      <c r="AI160" s="41"/>
    </row>
    <row r="161" spans="1:46">
      <c r="A161" s="690"/>
      <c r="B161" s="1" t="s">
        <v>27</v>
      </c>
      <c r="C161" s="51" t="s">
        <v>166</v>
      </c>
      <c r="D161" s="196">
        <f>D157-D160-D159-D158</f>
        <v>299627.17842527275</v>
      </c>
      <c r="E161" s="196">
        <f t="shared" ref="E161:AH161" si="54">E157-E160-E159-E158</f>
        <v>311315.8806872142</v>
      </c>
      <c r="F161" s="196">
        <f t="shared" si="54"/>
        <v>297575.35735883273</v>
      </c>
      <c r="G161" s="196">
        <f t="shared" si="54"/>
        <v>258464.70078399603</v>
      </c>
      <c r="H161" s="196">
        <f t="shared" si="54"/>
        <v>324697.41141603875</v>
      </c>
      <c r="I161" s="196">
        <f t="shared" si="54"/>
        <v>329498.27358989307</v>
      </c>
      <c r="J161" s="196">
        <f t="shared" si="54"/>
        <v>333636.40961189929</v>
      </c>
      <c r="K161" s="196">
        <f t="shared" si="54"/>
        <v>337967.31068935146</v>
      </c>
      <c r="L161" s="196">
        <f t="shared" si="54"/>
        <v>342537.29635139555</v>
      </c>
      <c r="M161" s="196">
        <f t="shared" si="54"/>
        <v>347406.45026797173</v>
      </c>
      <c r="N161" s="196">
        <f t="shared" si="54"/>
        <v>352655.57131443254</v>
      </c>
      <c r="O161" s="196">
        <f t="shared" si="54"/>
        <v>360800.84343264613</v>
      </c>
      <c r="P161" s="196">
        <f t="shared" si="54"/>
        <v>369104.46731320664</v>
      </c>
      <c r="Q161" s="196">
        <f t="shared" si="54"/>
        <v>378299.89961168985</v>
      </c>
      <c r="R161" s="196">
        <f t="shared" si="54"/>
        <v>388148.6270738141</v>
      </c>
      <c r="S161" s="196">
        <f t="shared" si="54"/>
        <v>398719.72179302841</v>
      </c>
      <c r="T161" s="196">
        <f t="shared" si="54"/>
        <v>410435.0307405144</v>
      </c>
      <c r="U161" s="196">
        <f t="shared" si="54"/>
        <v>422940.60350454674</v>
      </c>
      <c r="V161" s="196">
        <f t="shared" si="54"/>
        <v>436248.1983874545</v>
      </c>
      <c r="W161" s="196">
        <f t="shared" si="54"/>
        <v>450408.24324751797</v>
      </c>
      <c r="X161" s="196">
        <f t="shared" si="54"/>
        <v>465529.33915276016</v>
      </c>
      <c r="Y161" s="196">
        <f t="shared" si="54"/>
        <v>483144.18474962469</v>
      </c>
      <c r="Z161" s="196">
        <f t="shared" si="54"/>
        <v>501317.8222748402</v>
      </c>
      <c r="AA161" s="196">
        <f t="shared" si="54"/>
        <v>520951.58171693666</v>
      </c>
      <c r="AB161" s="196">
        <f t="shared" si="54"/>
        <v>542380.40291849314</v>
      </c>
      <c r="AC161" s="196">
        <f t="shared" si="54"/>
        <v>566377.30479910038</v>
      </c>
      <c r="AD161" s="196">
        <f t="shared" si="54"/>
        <v>593573.59466058598</v>
      </c>
      <c r="AE161" s="196">
        <f t="shared" si="54"/>
        <v>623513.93410895951</v>
      </c>
      <c r="AF161" s="196">
        <f t="shared" si="54"/>
        <v>656660.77252269536</v>
      </c>
      <c r="AG161" s="196">
        <f t="shared" si="54"/>
        <v>693503.42437485652</v>
      </c>
      <c r="AH161" s="196">
        <f t="shared" si="54"/>
        <v>733671.44197074336</v>
      </c>
      <c r="AI161" s="41"/>
    </row>
    <row r="162" spans="1:46" s="62" customFormat="1">
      <c r="A162" s="691" t="s">
        <v>686</v>
      </c>
      <c r="B162" s="55" t="s">
        <v>683</v>
      </c>
      <c r="C162" s="56" t="s">
        <v>166</v>
      </c>
      <c r="D162" s="630">
        <f>D153-D156*D151/D148</f>
        <v>92507.169568834201</v>
      </c>
      <c r="E162" s="630">
        <f t="shared" ref="E162:AH162" si="55">E153-E156*E151/E148</f>
        <v>90536.295100362942</v>
      </c>
      <c r="F162" s="630">
        <f t="shared" si="55"/>
        <v>88543.416908544212</v>
      </c>
      <c r="G162" s="630">
        <f t="shared" si="55"/>
        <v>86535.645017938397</v>
      </c>
      <c r="H162" s="630">
        <f t="shared" si="55"/>
        <v>84514.393765358313</v>
      </c>
      <c r="I162" s="630">
        <f t="shared" si="55"/>
        <v>82480.917025310162</v>
      </c>
      <c r="J162" s="630">
        <f t="shared" si="55"/>
        <v>80465.07507882535</v>
      </c>
      <c r="K162" s="630">
        <f t="shared" si="55"/>
        <v>78440.504030054581</v>
      </c>
      <c r="L162" s="630">
        <f t="shared" si="55"/>
        <v>76406.640676802577</v>
      </c>
      <c r="M162" s="630">
        <f t="shared" si="55"/>
        <v>74361.359193400538</v>
      </c>
      <c r="N162" s="630">
        <f t="shared" si="55"/>
        <v>72299.91190748685</v>
      </c>
      <c r="O162" s="630">
        <f t="shared" si="55"/>
        <v>69462.650471570218</v>
      </c>
      <c r="P162" s="630">
        <f t="shared" si="55"/>
        <v>66564.912730349592</v>
      </c>
      <c r="Q162" s="630">
        <f t="shared" si="55"/>
        <v>63679.013575915102</v>
      </c>
      <c r="R162" s="630">
        <f t="shared" si="55"/>
        <v>60771.678045254383</v>
      </c>
      <c r="S162" s="630">
        <f t="shared" si="55"/>
        <v>57852.606034673707</v>
      </c>
      <c r="T162" s="630">
        <f t="shared" si="55"/>
        <v>54941.301092460148</v>
      </c>
      <c r="U162" s="630">
        <f t="shared" si="55"/>
        <v>52063.733436959614</v>
      </c>
      <c r="V162" s="630">
        <f t="shared" si="55"/>
        <v>49247.483449378589</v>
      </c>
      <c r="W162" s="630">
        <f t="shared" si="55"/>
        <v>46515.815061801783</v>
      </c>
      <c r="X162" s="630">
        <f t="shared" si="55"/>
        <v>43884.466541931986</v>
      </c>
      <c r="Y162" s="630">
        <f t="shared" si="55"/>
        <v>40584.088400940964</v>
      </c>
      <c r="Z162" s="630">
        <f t="shared" si="55"/>
        <v>37138.912055550449</v>
      </c>
      <c r="AA162" s="630">
        <f t="shared" si="55"/>
        <v>33831.324063299602</v>
      </c>
      <c r="AB162" s="630">
        <f t="shared" si="55"/>
        <v>30652.291842180555</v>
      </c>
      <c r="AC162" s="630">
        <f t="shared" si="55"/>
        <v>27552.611749098458</v>
      </c>
      <c r="AD162" s="630">
        <f t="shared" si="55"/>
        <v>24611.181065295375</v>
      </c>
      <c r="AE162" s="630">
        <f t="shared" si="55"/>
        <v>21826.165395772827</v>
      </c>
      <c r="AF162" s="630">
        <f t="shared" si="55"/>
        <v>19203.788335932306</v>
      </c>
      <c r="AG162" s="630">
        <f t="shared" si="55"/>
        <v>16755.147873655253</v>
      </c>
      <c r="AH162" s="630">
        <f t="shared" si="55"/>
        <v>14495.425427401507</v>
      </c>
      <c r="AI162" s="57"/>
    </row>
    <row r="163" spans="1:46" s="63" customFormat="1">
      <c r="A163" s="692"/>
      <c r="B163" s="59" t="s">
        <v>682</v>
      </c>
      <c r="C163" s="262" t="s">
        <v>166</v>
      </c>
      <c r="D163" s="599">
        <f>D154-D155-D156*D150/D148</f>
        <v>78081.499559985954</v>
      </c>
      <c r="E163" s="599">
        <f t="shared" ref="E163:AH163" si="56">E154-E155-E156*E150/E148</f>
        <v>76338.061230449501</v>
      </c>
      <c r="F163" s="599">
        <f t="shared" si="56"/>
        <v>80637.755842886385</v>
      </c>
      <c r="G163" s="599">
        <f t="shared" si="56"/>
        <v>93485.943134197834</v>
      </c>
      <c r="H163" s="599">
        <f t="shared" si="56"/>
        <v>71137.432159531163</v>
      </c>
      <c r="I163" s="599">
        <f t="shared" si="56"/>
        <v>69421.715975702595</v>
      </c>
      <c r="J163" s="599">
        <f t="shared" si="56"/>
        <v>68148.561543782766</v>
      </c>
      <c r="K163" s="599">
        <f t="shared" si="56"/>
        <v>66908.062056264927</v>
      </c>
      <c r="L163" s="599">
        <f t="shared" si="56"/>
        <v>65693.217253044058</v>
      </c>
      <c r="M163" s="599">
        <f t="shared" si="56"/>
        <v>64491.757510304924</v>
      </c>
      <c r="N163" s="599">
        <f t="shared" si="56"/>
        <v>63282.407880871215</v>
      </c>
      <c r="O163" s="599">
        <f t="shared" si="56"/>
        <v>61031.03004098095</v>
      </c>
      <c r="P163" s="599">
        <f t="shared" si="56"/>
        <v>58914.119434619053</v>
      </c>
      <c r="Q163" s="599">
        <f t="shared" si="56"/>
        <v>56607.289718443746</v>
      </c>
      <c r="R163" s="599">
        <f t="shared" si="56"/>
        <v>54248.074111968432</v>
      </c>
      <c r="S163" s="599">
        <f t="shared" si="56"/>
        <v>51837.743162013707</v>
      </c>
      <c r="T163" s="599">
        <f t="shared" si="56"/>
        <v>49210.570210688616</v>
      </c>
      <c r="U163" s="599">
        <f t="shared" si="56"/>
        <v>46602.599708023023</v>
      </c>
      <c r="V163" s="599">
        <f t="shared" si="56"/>
        <v>44076.980719201565</v>
      </c>
      <c r="W163" s="599">
        <f t="shared" si="56"/>
        <v>41686.507354570414</v>
      </c>
      <c r="X163" s="599">
        <f t="shared" si="56"/>
        <v>39462.169864274169</v>
      </c>
      <c r="Y163" s="599">
        <f t="shared" si="56"/>
        <v>36648.23429207856</v>
      </c>
      <c r="Z163" s="599">
        <f t="shared" si="56"/>
        <v>34436.480914470296</v>
      </c>
      <c r="AA163" s="599">
        <f t="shared" si="56"/>
        <v>32440.250904548742</v>
      </c>
      <c r="AB163" s="599">
        <f t="shared" si="56"/>
        <v>30606.028404582994</v>
      </c>
      <c r="AC163" s="599">
        <f t="shared" si="56"/>
        <v>28654.822062238996</v>
      </c>
      <c r="AD163" s="599">
        <f t="shared" si="56"/>
        <v>27020.952091681724</v>
      </c>
      <c r="AE163" s="599">
        <f t="shared" si="56"/>
        <v>25514.720920593063</v>
      </c>
      <c r="AF163" s="599">
        <f t="shared" si="56"/>
        <v>24104.684118759847</v>
      </c>
      <c r="AG163" s="599">
        <f t="shared" si="56"/>
        <v>22780.630222115491</v>
      </c>
      <c r="AH163" s="599">
        <f t="shared" si="56"/>
        <v>21563.317338006207</v>
      </c>
      <c r="AI163" s="263"/>
    </row>
    <row r="164" spans="1:46" s="401" customFormat="1">
      <c r="A164" s="400" t="s">
        <v>723</v>
      </c>
      <c r="C164" s="404" t="s">
        <v>166</v>
      </c>
      <c r="D164" s="644">
        <f>'Ethylene Recycling LC'!C275</f>
        <v>240750.15914188031</v>
      </c>
      <c r="E164" s="644">
        <f>'Ethylene Recycling LC'!D275</f>
        <v>242283.92782708516</v>
      </c>
      <c r="F164" s="644">
        <f>'Ethylene Recycling LC'!E275</f>
        <v>243981.66636427215</v>
      </c>
      <c r="G164" s="644">
        <f>'Ethylene Recycling LC'!F275</f>
        <v>245838.80207104504</v>
      </c>
      <c r="H164" s="644">
        <f>'Ethylene Recycling LC'!G275</f>
        <v>247850.13574702197</v>
      </c>
      <c r="I164" s="644">
        <f>'Ethylene Recycling LC'!H275</f>
        <v>250009.25003282574</v>
      </c>
      <c r="J164" s="644">
        <f>'Ethylene Recycling LC'!I275</f>
        <v>252177.35029211178</v>
      </c>
      <c r="K164" s="644">
        <f>'Ethylene Recycling LC'!J275</f>
        <v>254477.69498890598</v>
      </c>
      <c r="L164" s="644">
        <f>'Ethylene Recycling LC'!K275</f>
        <v>256889.64440088684</v>
      </c>
      <c r="M164" s="644">
        <f>'Ethylene Recycling LC'!L275</f>
        <v>259380.2786231752</v>
      </c>
      <c r="N164" s="644">
        <f>'Ethylene Recycling LC'!M275</f>
        <v>261895.68584534337</v>
      </c>
      <c r="O164" s="644">
        <f>'Ethylene Recycling LC'!N275</f>
        <v>252557.13356292166</v>
      </c>
      <c r="P164" s="644">
        <f>'Ethylene Recycling LC'!O275</f>
        <v>243944.64381020784</v>
      </c>
      <c r="Q164" s="644">
        <f>'Ethylene Recycling LC'!P275</f>
        <v>235568.69886263856</v>
      </c>
      <c r="R164" s="644">
        <f>'Ethylene Recycling LC'!Q275</f>
        <v>227618.08681660841</v>
      </c>
      <c r="S164" s="644">
        <f>'Ethylene Recycling LC'!R275</f>
        <v>220083.28635414847</v>
      </c>
      <c r="T164" s="644">
        <f>'Ethylene Recycling LC'!S275</f>
        <v>212963.20562274565</v>
      </c>
      <c r="U164" s="644">
        <f>'Ethylene Recycling LC'!T275</f>
        <v>206423.4152827599</v>
      </c>
      <c r="V164" s="644">
        <f>'Ethylene Recycling LC'!U275</f>
        <v>200597.317511114</v>
      </c>
      <c r="W164" s="644">
        <f>'Ethylene Recycling LC'!V275</f>
        <v>195594.91748075071</v>
      </c>
      <c r="X164" s="644">
        <f>'Ethylene Recycling LC'!W275</f>
        <v>191476.30855484007</v>
      </c>
      <c r="Y164" s="644">
        <f>'Ethylene Recycling LC'!X275</f>
        <v>178025.94353343235</v>
      </c>
      <c r="Z164" s="644">
        <f>'Ethylene Recycling LC'!Y275</f>
        <v>165952.61405973861</v>
      </c>
      <c r="AA164" s="644">
        <f>'Ethylene Recycling LC'!Z275</f>
        <v>155545.50209448635</v>
      </c>
      <c r="AB164" s="644">
        <f>'Ethylene Recycling LC'!AA275</f>
        <v>146845.08744547362</v>
      </c>
      <c r="AC164" s="644">
        <f>'Ethylene Recycling LC'!AB275</f>
        <v>144368.38083908678</v>
      </c>
      <c r="AD164" s="644">
        <f>'Ethylene Recycling LC'!AC275</f>
        <v>141070.35812402033</v>
      </c>
      <c r="AE164" s="644">
        <f>'Ethylene Recycling LC'!AD275</f>
        <v>136977.2845553442</v>
      </c>
      <c r="AF164" s="644">
        <f>'Ethylene Recycling LC'!AE275</f>
        <v>132077.94145856728</v>
      </c>
      <c r="AG164" s="644">
        <f>'Ethylene Recycling LC'!AF275</f>
        <v>126408.86274388256</v>
      </c>
      <c r="AH164" s="644">
        <f>'Ethylene Recycling LC'!AG275</f>
        <v>120084.19679401793</v>
      </c>
      <c r="AI164" s="405"/>
    </row>
    <row r="165" spans="1:46" s="403" customFormat="1">
      <c r="A165" s="402" t="s">
        <v>724</v>
      </c>
      <c r="C165" s="406" t="s">
        <v>166</v>
      </c>
      <c r="D165" s="645">
        <f>'Ethylene Recycling LC'!C276</f>
        <v>1552681.3817703528</v>
      </c>
      <c r="E165" s="645">
        <f>'Ethylene Recycling LC'!D276</f>
        <v>1538303.3706341099</v>
      </c>
      <c r="F165" s="645">
        <f>'Ethylene Recycling LC'!E276</f>
        <v>1524103.6884771769</v>
      </c>
      <c r="G165" s="645">
        <f>'Ethylene Recycling LC'!F276</f>
        <v>1510080.0651394208</v>
      </c>
      <c r="H165" s="645">
        <f>'Ethylene Recycling LC'!G276</f>
        <v>1496229.5875499144</v>
      </c>
      <c r="I165" s="645">
        <f>'Ethylene Recycling LC'!H276</f>
        <v>1482548.1080859238</v>
      </c>
      <c r="J165" s="645">
        <f>'Ethylene Recycling LC'!I276</f>
        <v>1467296.1004413976</v>
      </c>
      <c r="K165" s="645">
        <f>'Ethylene Recycling LC'!J276</f>
        <v>1452218.6645278551</v>
      </c>
      <c r="L165" s="645">
        <f>'Ethylene Recycling LC'!K276</f>
        <v>1437297.665918326</v>
      </c>
      <c r="M165" s="645">
        <f>'Ethylene Recycling LC'!L276</f>
        <v>1422502.670854134</v>
      </c>
      <c r="N165" s="645">
        <f>'Ethylene Recycling LC'!M276</f>
        <v>1407782.2345219047</v>
      </c>
      <c r="O165" s="645">
        <f>'Ethylene Recycling LC'!N276</f>
        <v>1374614.0029442431</v>
      </c>
      <c r="P165" s="645">
        <f>'Ethylene Recycling LC'!O276</f>
        <v>1344939.0109380144</v>
      </c>
      <c r="Q165" s="645">
        <f>'Ethylene Recycling LC'!P276</f>
        <v>1312667.7733611639</v>
      </c>
      <c r="R165" s="645">
        <f>'Ethylene Recycling LC'!Q276</f>
        <v>1280961.8554522023</v>
      </c>
      <c r="S165" s="645">
        <f>'Ethylene Recycling LC'!R276</f>
        <v>1249815.3094029427</v>
      </c>
      <c r="T165" s="645">
        <f>'Ethylene Recycling LC'!S276</f>
        <v>1219447.605223154</v>
      </c>
      <c r="U165" s="645">
        <f>'Ethylene Recycling LC'!T276</f>
        <v>1189808.1619059911</v>
      </c>
      <c r="V165" s="645">
        <f>'Ethylene Recycling LC'!U276</f>
        <v>1161033.8230168512</v>
      </c>
      <c r="W165" s="645">
        <f>'Ethylene Recycling LC'!V276</f>
        <v>1133238.0040736995</v>
      </c>
      <c r="X165" s="645">
        <f>'Ethylene Recycling LC'!W276</f>
        <v>1106484.1777409294</v>
      </c>
      <c r="Y165" s="645">
        <f>'Ethylene Recycling LC'!X276</f>
        <v>1062348.351233141</v>
      </c>
      <c r="Z165" s="645">
        <f>'Ethylene Recycling LC'!Y276</f>
        <v>1027718.6189504982</v>
      </c>
      <c r="AA165" s="645">
        <f>'Ethylene Recycling LC'!Z276</f>
        <v>994870.7100245076</v>
      </c>
      <c r="AB165" s="645">
        <f>'Ethylene Recycling LC'!AA276</f>
        <v>963690.3855877897</v>
      </c>
      <c r="AC165" s="645">
        <f>'Ethylene Recycling LC'!AB276</f>
        <v>933507.28204951505</v>
      </c>
      <c r="AD165" s="645">
        <f>'Ethylene Recycling LC'!AC276</f>
        <v>904899.35938385176</v>
      </c>
      <c r="AE165" s="645">
        <f>'Ethylene Recycling LC'!AD276</f>
        <v>877816.32598624495</v>
      </c>
      <c r="AF165" s="645">
        <f>'Ethylene Recycling LC'!AE276</f>
        <v>852170.24453418679</v>
      </c>
      <c r="AG165" s="645">
        <f>'Ethylene Recycling LC'!AF276</f>
        <v>827923.02935979248</v>
      </c>
      <c r="AH165" s="645">
        <f>'Ethylene Recycling LC'!AG276</f>
        <v>805116.24762861896</v>
      </c>
      <c r="AI165" s="407"/>
    </row>
    <row r="166" spans="1:46" hidden="1">
      <c r="A166" t="s">
        <v>536</v>
      </c>
      <c r="B166"/>
      <c r="C166" s="51"/>
      <c r="D166" s="41">
        <f>'Ethylene Recycling LC'!C277</f>
        <v>0</v>
      </c>
      <c r="E166" s="41">
        <f>'Ethylene Recycling LC'!D277</f>
        <v>0</v>
      </c>
      <c r="F166" s="41">
        <f>'Ethylene Recycling LC'!E277</f>
        <v>0</v>
      </c>
      <c r="G166" s="41">
        <f>'Ethylene Recycling LC'!F277</f>
        <v>0</v>
      </c>
      <c r="H166" s="41">
        <f>'Ethylene Recycling LC'!G277</f>
        <v>0</v>
      </c>
      <c r="I166" s="41">
        <f>'Ethylene Recycling LC'!H277</f>
        <v>0</v>
      </c>
      <c r="J166" s="41">
        <f>'Ethylene Recycling LC'!I277</f>
        <v>0</v>
      </c>
      <c r="K166" s="41">
        <f>'Ethylene Recycling LC'!J277</f>
        <v>0</v>
      </c>
      <c r="L166" s="41">
        <f>'Ethylene Recycling LC'!K277</f>
        <v>0</v>
      </c>
      <c r="M166" s="41">
        <f>'Ethylene Recycling LC'!L277</f>
        <v>0</v>
      </c>
      <c r="N166" s="41">
        <f>'Ethylene Recycling LC'!M277</f>
        <v>0</v>
      </c>
      <c r="O166" s="41">
        <f>'Ethylene Recycling LC'!N277</f>
        <v>0</v>
      </c>
      <c r="P166" s="41">
        <f>'Ethylene Recycling LC'!O277</f>
        <v>0</v>
      </c>
      <c r="Q166" s="41">
        <f>'Ethylene Recycling LC'!P277</f>
        <v>0</v>
      </c>
      <c r="R166" s="41">
        <f>'Ethylene Recycling LC'!Q277</f>
        <v>0</v>
      </c>
      <c r="S166" s="41">
        <f>'Ethylene Recycling LC'!R277</f>
        <v>0</v>
      </c>
      <c r="T166" s="41">
        <f>'Ethylene Recycling LC'!S277</f>
        <v>0</v>
      </c>
      <c r="U166" s="41">
        <f>'Ethylene Recycling LC'!T277</f>
        <v>0</v>
      </c>
      <c r="V166" s="41">
        <f>'Ethylene Recycling LC'!U277</f>
        <v>0</v>
      </c>
      <c r="W166" s="41">
        <f>'Ethylene Recycling LC'!V277</f>
        <v>0</v>
      </c>
      <c r="X166" s="41">
        <f>'Ethylene Recycling LC'!W277</f>
        <v>0</v>
      </c>
      <c r="Y166" s="41">
        <f>'Ethylene Recycling LC'!X277</f>
        <v>0</v>
      </c>
      <c r="Z166" s="41">
        <f>'Ethylene Recycling LC'!Y277</f>
        <v>0</v>
      </c>
      <c r="AA166" s="41">
        <f>'Ethylene Recycling LC'!Z277</f>
        <v>0</v>
      </c>
      <c r="AB166" s="41">
        <f>'Ethylene Recycling LC'!AA277</f>
        <v>0</v>
      </c>
      <c r="AC166" s="41">
        <f>'Ethylene Recycling LC'!AB277</f>
        <v>0</v>
      </c>
      <c r="AD166" s="41">
        <f>'Ethylene Recycling LC'!AC277</f>
        <v>0</v>
      </c>
      <c r="AE166" s="41">
        <f>'Ethylene Recycling LC'!AD277</f>
        <v>0</v>
      </c>
      <c r="AF166" s="41">
        <f>'Ethylene Recycling LC'!AE277</f>
        <v>0</v>
      </c>
      <c r="AG166" s="41">
        <f>'Ethylene Recycling LC'!AF277</f>
        <v>0</v>
      </c>
      <c r="AH166" s="41">
        <f>'Ethylene Recycling LC'!AG277</f>
        <v>0</v>
      </c>
    </row>
    <row r="167" spans="1:46" hidden="1">
      <c r="A167" t="s">
        <v>537</v>
      </c>
      <c r="B167"/>
      <c r="C167" s="51"/>
      <c r="D167" s="41">
        <f>'Ethylene Recycling LC'!C278</f>
        <v>0</v>
      </c>
      <c r="E167" s="41">
        <f>'Ethylene Recycling LC'!D278</f>
        <v>0</v>
      </c>
      <c r="F167" s="41">
        <f>'Ethylene Recycling LC'!E278</f>
        <v>0</v>
      </c>
      <c r="G167" s="41">
        <f>'Ethylene Recycling LC'!F278</f>
        <v>0</v>
      </c>
      <c r="H167" s="41">
        <f>'Ethylene Recycling LC'!G278</f>
        <v>0</v>
      </c>
      <c r="I167" s="41">
        <f>'Ethylene Recycling LC'!H278</f>
        <v>0</v>
      </c>
      <c r="J167" s="41">
        <f>'Ethylene Recycling LC'!I278</f>
        <v>0</v>
      </c>
      <c r="K167" s="41">
        <f>'Ethylene Recycling LC'!J278</f>
        <v>0</v>
      </c>
      <c r="L167" s="41">
        <f>'Ethylene Recycling LC'!K278</f>
        <v>0</v>
      </c>
      <c r="M167" s="41">
        <f>'Ethylene Recycling LC'!L278</f>
        <v>0</v>
      </c>
      <c r="N167" s="41">
        <f>'Ethylene Recycling LC'!M278</f>
        <v>0</v>
      </c>
      <c r="O167" s="41">
        <f>'Ethylene Recycling LC'!N278</f>
        <v>0</v>
      </c>
      <c r="P167" s="41">
        <f>'Ethylene Recycling LC'!O278</f>
        <v>0</v>
      </c>
      <c r="Q167" s="41">
        <f>'Ethylene Recycling LC'!P278</f>
        <v>0</v>
      </c>
      <c r="R167" s="41">
        <f>'Ethylene Recycling LC'!Q278</f>
        <v>0</v>
      </c>
      <c r="S167" s="41">
        <f>'Ethylene Recycling LC'!R278</f>
        <v>0</v>
      </c>
      <c r="T167" s="41">
        <f>'Ethylene Recycling LC'!S278</f>
        <v>0</v>
      </c>
      <c r="U167" s="41">
        <f>'Ethylene Recycling LC'!T278</f>
        <v>0</v>
      </c>
      <c r="V167" s="41">
        <f>'Ethylene Recycling LC'!U278</f>
        <v>0</v>
      </c>
      <c r="W167" s="41">
        <f>'Ethylene Recycling LC'!V278</f>
        <v>0</v>
      </c>
      <c r="X167" s="41">
        <f>'Ethylene Recycling LC'!W278</f>
        <v>0</v>
      </c>
      <c r="Y167" s="41">
        <f>'Ethylene Recycling LC'!X278</f>
        <v>0</v>
      </c>
      <c r="Z167" s="41">
        <f>'Ethylene Recycling LC'!Y278</f>
        <v>0</v>
      </c>
      <c r="AA167" s="41">
        <f>'Ethylene Recycling LC'!Z278</f>
        <v>0</v>
      </c>
      <c r="AB167" s="41">
        <f>'Ethylene Recycling LC'!AA278</f>
        <v>0</v>
      </c>
      <c r="AC167" s="41">
        <f>'Ethylene Recycling LC'!AB278</f>
        <v>0</v>
      </c>
      <c r="AD167" s="41">
        <f>'Ethylene Recycling LC'!AC278</f>
        <v>0</v>
      </c>
      <c r="AE167" s="41">
        <f>'Ethylene Recycling LC'!AD278</f>
        <v>0</v>
      </c>
      <c r="AF167" s="41">
        <f>'Ethylene Recycling LC'!AE278</f>
        <v>0</v>
      </c>
      <c r="AG167" s="41">
        <f>'Ethylene Recycling LC'!AF278</f>
        <v>0</v>
      </c>
      <c r="AH167" s="41">
        <f>'Ethylene Recycling LC'!AG278</f>
        <v>0</v>
      </c>
    </row>
    <row r="168" spans="1:46" hidden="1">
      <c r="A168" t="s">
        <v>538</v>
      </c>
      <c r="B168"/>
      <c r="C168" s="51"/>
      <c r="D168" s="229">
        <f>'Ethylene Recycling LC'!C279</f>
        <v>0</v>
      </c>
      <c r="E168" s="229">
        <f>'Ethylene Recycling LC'!D279</f>
        <v>0</v>
      </c>
      <c r="F168" s="229">
        <f>'Ethylene Recycling LC'!E279</f>
        <v>0</v>
      </c>
      <c r="G168" s="229">
        <f>'Ethylene Recycling LC'!F279</f>
        <v>0</v>
      </c>
      <c r="H168" s="229">
        <f>'Ethylene Recycling LC'!G279</f>
        <v>0</v>
      </c>
      <c r="I168" s="229">
        <f>'Ethylene Recycling LC'!H279</f>
        <v>0</v>
      </c>
      <c r="J168" s="229">
        <f>'Ethylene Recycling LC'!I279</f>
        <v>0</v>
      </c>
      <c r="K168" s="229">
        <f>'Ethylene Recycling LC'!J279</f>
        <v>0</v>
      </c>
      <c r="L168" s="229">
        <f>'Ethylene Recycling LC'!K279</f>
        <v>0</v>
      </c>
      <c r="M168" s="229">
        <f>'Ethylene Recycling LC'!L279</f>
        <v>0</v>
      </c>
      <c r="N168" s="229">
        <f>'Ethylene Recycling LC'!M279</f>
        <v>0</v>
      </c>
      <c r="O168" s="229">
        <f>'Ethylene Recycling LC'!N279</f>
        <v>0</v>
      </c>
      <c r="P168" s="229">
        <f>'Ethylene Recycling LC'!O279</f>
        <v>0</v>
      </c>
      <c r="Q168" s="229">
        <f>'Ethylene Recycling LC'!P279</f>
        <v>0</v>
      </c>
      <c r="R168" s="229">
        <f>'Ethylene Recycling LC'!Q279</f>
        <v>0</v>
      </c>
      <c r="S168" s="229">
        <f>'Ethylene Recycling LC'!R279</f>
        <v>0</v>
      </c>
      <c r="T168" s="229">
        <f>'Ethylene Recycling LC'!S279</f>
        <v>0</v>
      </c>
      <c r="U168" s="229">
        <f>'Ethylene Recycling LC'!T279</f>
        <v>0</v>
      </c>
      <c r="V168" s="229">
        <f>'Ethylene Recycling LC'!U279</f>
        <v>0</v>
      </c>
      <c r="W168" s="229">
        <f>'Ethylene Recycling LC'!V279</f>
        <v>0</v>
      </c>
      <c r="X168" s="229">
        <f>'Ethylene Recycling LC'!W279</f>
        <v>0</v>
      </c>
      <c r="Y168" s="229">
        <f>'Ethylene Recycling LC'!X279</f>
        <v>0</v>
      </c>
      <c r="Z168" s="229">
        <f>'Ethylene Recycling LC'!Y279</f>
        <v>0</v>
      </c>
      <c r="AA168" s="229">
        <f>'Ethylene Recycling LC'!Z279</f>
        <v>0</v>
      </c>
      <c r="AB168" s="229">
        <f>'Ethylene Recycling LC'!AA279</f>
        <v>0</v>
      </c>
      <c r="AC168" s="229">
        <f>'Ethylene Recycling LC'!AB279</f>
        <v>0</v>
      </c>
      <c r="AD168" s="229">
        <f>'Ethylene Recycling LC'!AC279</f>
        <v>0</v>
      </c>
      <c r="AE168" s="229">
        <f>'Ethylene Recycling LC'!AD279</f>
        <v>0</v>
      </c>
      <c r="AF168" s="229">
        <f>'Ethylene Recycling LC'!AE279</f>
        <v>0</v>
      </c>
      <c r="AG168" s="229">
        <f>'Ethylene Recycling LC'!AF279</f>
        <v>0</v>
      </c>
      <c r="AH168" s="229">
        <f>'Ethylene Recycling LC'!AG279</f>
        <v>0</v>
      </c>
    </row>
    <row r="169" spans="1:46" hidden="1">
      <c r="A169" t="s">
        <v>539</v>
      </c>
      <c r="B169"/>
      <c r="C169" s="51"/>
      <c r="D169" s="229">
        <f>'Ethylene Recycling LC'!C280</f>
        <v>0</v>
      </c>
      <c r="E169" s="229">
        <f>'Ethylene Recycling LC'!D280</f>
        <v>0</v>
      </c>
      <c r="F169" s="229">
        <f>'Ethylene Recycling LC'!E280</f>
        <v>0</v>
      </c>
      <c r="G169" s="229">
        <f>'Ethylene Recycling LC'!F280</f>
        <v>0</v>
      </c>
      <c r="H169" s="229">
        <f>'Ethylene Recycling LC'!G280</f>
        <v>0</v>
      </c>
      <c r="I169" s="229">
        <f>'Ethylene Recycling LC'!H280</f>
        <v>0</v>
      </c>
      <c r="J169" s="229">
        <f>'Ethylene Recycling LC'!I280</f>
        <v>0</v>
      </c>
      <c r="K169" s="229">
        <f>'Ethylene Recycling LC'!J280</f>
        <v>0</v>
      </c>
      <c r="L169" s="229">
        <f>'Ethylene Recycling LC'!K280</f>
        <v>0</v>
      </c>
      <c r="M169" s="229">
        <f>'Ethylene Recycling LC'!L280</f>
        <v>0</v>
      </c>
      <c r="N169" s="229">
        <f>'Ethylene Recycling LC'!M280</f>
        <v>0</v>
      </c>
      <c r="O169" s="229">
        <f>'Ethylene Recycling LC'!N280</f>
        <v>0</v>
      </c>
      <c r="P169" s="229">
        <f>'Ethylene Recycling LC'!O280</f>
        <v>0</v>
      </c>
      <c r="Q169" s="229">
        <f>'Ethylene Recycling LC'!P280</f>
        <v>0</v>
      </c>
      <c r="R169" s="229">
        <f>'Ethylene Recycling LC'!Q280</f>
        <v>0</v>
      </c>
      <c r="S169" s="229">
        <f>'Ethylene Recycling LC'!R280</f>
        <v>0</v>
      </c>
      <c r="T169" s="229">
        <f>'Ethylene Recycling LC'!S280</f>
        <v>0</v>
      </c>
      <c r="U169" s="229">
        <f>'Ethylene Recycling LC'!T280</f>
        <v>0</v>
      </c>
      <c r="V169" s="229">
        <f>'Ethylene Recycling LC'!U280</f>
        <v>0</v>
      </c>
      <c r="W169" s="229">
        <f>'Ethylene Recycling LC'!V280</f>
        <v>0</v>
      </c>
      <c r="X169" s="229">
        <f>'Ethylene Recycling LC'!W280</f>
        <v>0</v>
      </c>
      <c r="Y169" s="229">
        <f>'Ethylene Recycling LC'!X280</f>
        <v>0</v>
      </c>
      <c r="Z169" s="229">
        <f>'Ethylene Recycling LC'!Y280</f>
        <v>0</v>
      </c>
      <c r="AA169" s="229">
        <f>'Ethylene Recycling LC'!Z280</f>
        <v>0</v>
      </c>
      <c r="AB169" s="229">
        <f>'Ethylene Recycling LC'!AA280</f>
        <v>0</v>
      </c>
      <c r="AC169" s="229">
        <f>'Ethylene Recycling LC'!AB280</f>
        <v>0</v>
      </c>
      <c r="AD169" s="229">
        <f>'Ethylene Recycling LC'!AC280</f>
        <v>0</v>
      </c>
      <c r="AE169" s="229">
        <f>'Ethylene Recycling LC'!AD280</f>
        <v>0</v>
      </c>
      <c r="AF169" s="229">
        <f>'Ethylene Recycling LC'!AE280</f>
        <v>0</v>
      </c>
      <c r="AG169" s="229">
        <f>'Ethylene Recycling LC'!AF280</f>
        <v>0</v>
      </c>
      <c r="AH169" s="229">
        <f>'Ethylene Recycling LC'!AG280</f>
        <v>0</v>
      </c>
    </row>
    <row r="170" spans="1:46" ht="15.5" thickBot="1">
      <c r="C170" s="61"/>
      <c r="D170" s="228"/>
      <c r="E170" s="228"/>
      <c r="F170" s="228"/>
      <c r="G170" s="228"/>
      <c r="H170" s="228"/>
      <c r="I170" s="228"/>
      <c r="J170" s="228"/>
      <c r="K170" s="228"/>
      <c r="L170" s="228"/>
      <c r="M170" s="228"/>
      <c r="N170" s="228"/>
      <c r="O170" s="228"/>
      <c r="P170" s="228"/>
      <c r="Q170" s="228"/>
      <c r="R170" s="228"/>
      <c r="S170" s="228"/>
      <c r="T170" s="228"/>
      <c r="U170" s="228"/>
      <c r="V170" s="228"/>
      <c r="W170" s="228"/>
      <c r="X170" s="228"/>
      <c r="Y170" s="228"/>
      <c r="Z170" s="228"/>
      <c r="AA170" s="228"/>
      <c r="AB170" s="228"/>
      <c r="AC170" s="228"/>
      <c r="AD170" s="228"/>
      <c r="AE170" s="228"/>
      <c r="AF170" s="228"/>
      <c r="AG170" s="228"/>
      <c r="AH170" s="228"/>
    </row>
    <row r="171" spans="1:46" ht="54" customHeight="1" thickBot="1">
      <c r="A171" s="235" t="s">
        <v>54</v>
      </c>
      <c r="B171" s="173">
        <v>2020</v>
      </c>
      <c r="C171" s="174" t="s">
        <v>386</v>
      </c>
      <c r="D171" s="174" t="s">
        <v>386</v>
      </c>
      <c r="E171" s="174" t="s">
        <v>387</v>
      </c>
      <c r="F171" s="174" t="s">
        <v>388</v>
      </c>
      <c r="G171" s="174" t="s">
        <v>389</v>
      </c>
      <c r="H171" s="174" t="s">
        <v>390</v>
      </c>
      <c r="I171" s="174" t="s">
        <v>391</v>
      </c>
      <c r="J171" s="174" t="s">
        <v>392</v>
      </c>
      <c r="K171" s="174" t="s">
        <v>393</v>
      </c>
      <c r="L171" s="174" t="s">
        <v>394</v>
      </c>
      <c r="M171" s="174" t="s">
        <v>395</v>
      </c>
      <c r="N171" s="174" t="s">
        <v>540</v>
      </c>
      <c r="O171" s="174" t="s">
        <v>541</v>
      </c>
      <c r="P171" s="174" t="s">
        <v>542</v>
      </c>
      <c r="Q171" s="174" t="s">
        <v>543</v>
      </c>
      <c r="R171" s="174" t="s">
        <v>544</v>
      </c>
      <c r="S171" s="174" t="s">
        <v>545</v>
      </c>
      <c r="T171" s="174" t="s">
        <v>546</v>
      </c>
      <c r="U171" s="174" t="s">
        <v>547</v>
      </c>
      <c r="V171" s="174" t="s">
        <v>548</v>
      </c>
      <c r="W171" s="174" t="s">
        <v>549</v>
      </c>
      <c r="X171" s="174" t="s">
        <v>540</v>
      </c>
      <c r="AJ171" s="131" t="s">
        <v>601</v>
      </c>
      <c r="AK171" s="132" t="s">
        <v>128</v>
      </c>
      <c r="AL171" s="132" t="s">
        <v>305</v>
      </c>
      <c r="AM171" s="132" t="s">
        <v>306</v>
      </c>
      <c r="AN171" s="132" t="s">
        <v>582</v>
      </c>
      <c r="AO171" s="132" t="s">
        <v>583</v>
      </c>
      <c r="AP171" s="132" t="s">
        <v>584</v>
      </c>
      <c r="AQ171" s="132" t="s">
        <v>579</v>
      </c>
      <c r="AR171" s="132" t="s">
        <v>580</v>
      </c>
      <c r="AS171" s="132" t="s">
        <v>581</v>
      </c>
      <c r="AT171" s="132" t="s">
        <v>585</v>
      </c>
    </row>
    <row r="172" spans="1:46">
      <c r="A172" t="s">
        <v>17</v>
      </c>
      <c r="B172" s="171">
        <f>'Demand - Ethylene'!J63</f>
        <v>0.25274807297950463</v>
      </c>
      <c r="C172" s="172">
        <f>D172/$D$180</f>
        <v>9.8718577733807211E-2</v>
      </c>
      <c r="D172" s="234">
        <f>AH33*B172/(B172+B176)</f>
        <v>135421.81856359087</v>
      </c>
      <c r="N172" s="181">
        <f>X172/$X$180</f>
        <v>7.528790606023715E-2</v>
      </c>
      <c r="X172" s="41">
        <f>AH95*B172/(B172+B176)</f>
        <v>87150.939664335296</v>
      </c>
      <c r="AJ172" s="27" t="s">
        <v>78</v>
      </c>
      <c r="AK172" s="133">
        <f>D4</f>
        <v>1049369.6122000003</v>
      </c>
      <c r="AM172" s="133">
        <f>AH4</f>
        <v>1049369.6122000003</v>
      </c>
      <c r="AN172" s="133"/>
      <c r="AO172" s="133"/>
      <c r="AP172" s="133"/>
      <c r="AQ172" s="133"/>
      <c r="AS172" s="130"/>
      <c r="AT172" s="133">
        <f>AH84</f>
        <v>1371796.6939186791</v>
      </c>
    </row>
    <row r="173" spans="1:46">
      <c r="A173" t="s">
        <v>19</v>
      </c>
      <c r="B173" s="171">
        <f>'Demand - Ethylene'!J64</f>
        <v>0.19240720488944701</v>
      </c>
      <c r="C173" s="172">
        <f t="shared" ref="C173:C179" si="57">D173/$D$180</f>
        <v>0.10054625245837705</v>
      </c>
      <c r="D173" s="234">
        <f>AH43</f>
        <v>137929.01670831451</v>
      </c>
      <c r="N173" s="181">
        <f t="shared" ref="N173:N179" si="58">X173/$X$180</f>
        <v>5.4390773894619014E-2</v>
      </c>
      <c r="X173" s="41">
        <f>IF(AH127&lt;0,0,AH127)</f>
        <v>62961.069075209103</v>
      </c>
      <c r="AJ173" s="27" t="s">
        <v>164</v>
      </c>
      <c r="AN173" s="41">
        <f>-AH29</f>
        <v>-111533.26761559243</v>
      </c>
      <c r="AO173" s="40">
        <f>-AH41</f>
        <v>-44419.380275451505</v>
      </c>
      <c r="AP173" s="41">
        <f>-AH17</f>
        <v>-42989.512987262831</v>
      </c>
      <c r="AQ173" s="41">
        <f>-AH53</f>
        <v>-1698.4984653487913</v>
      </c>
      <c r="AR173" s="40">
        <f>-AH63</f>
        <v>-24484.46360548172</v>
      </c>
    </row>
    <row r="174" spans="1:46">
      <c r="A174" t="s">
        <v>333</v>
      </c>
      <c r="B174" s="171">
        <f>'Demand - Ethylene'!J65</f>
        <v>8.88895063383493E-2</v>
      </c>
      <c r="C174" s="172">
        <f t="shared" si="57"/>
        <v>9.2687252725648761E-2</v>
      </c>
      <c r="D174" s="234">
        <f>AH19</f>
        <v>127148.06685745006</v>
      </c>
      <c r="N174" s="181">
        <f t="shared" si="58"/>
        <v>9.5771904409652442E-2</v>
      </c>
      <c r="X174" s="41">
        <f>AH105</f>
        <v>110862.57939045432</v>
      </c>
      <c r="AJ174" s="27" t="s">
        <v>167</v>
      </c>
      <c r="AN174" s="41">
        <f>-AH32</f>
        <v>-64936.073208625501</v>
      </c>
      <c r="AO174" s="40">
        <f>-AH42</f>
        <v>-19557.876995558996</v>
      </c>
      <c r="AP174">
        <f>-AH18</f>
        <v>0</v>
      </c>
      <c r="AQ174" s="40">
        <f>-AH54</f>
        <v>-575.76219164365807</v>
      </c>
      <c r="AR174" s="40">
        <f>-AH64</f>
        <v>-8161.4878684939076</v>
      </c>
    </row>
    <row r="175" spans="1:46">
      <c r="A175" t="s">
        <v>23</v>
      </c>
      <c r="B175" s="171">
        <f>'Demand - Ethylene'!J66</f>
        <v>5.1910838859592162E-2</v>
      </c>
      <c r="C175" s="172">
        <f t="shared" si="57"/>
        <v>5.263607628573562E-2</v>
      </c>
      <c r="D175" s="234">
        <f>AH65*B175/(B175+B177)</f>
        <v>72205.995429623508</v>
      </c>
      <c r="N175" s="181">
        <f t="shared" si="58"/>
        <v>5.8744998169569906E-2</v>
      </c>
      <c r="X175" s="41">
        <f>AH139*C175/(C175+C177+C179)</f>
        <v>68001.383740988429</v>
      </c>
      <c r="AJ175" s="27" t="s">
        <v>578</v>
      </c>
      <c r="AL175" s="133">
        <f>AH4-D4</f>
        <v>0</v>
      </c>
      <c r="AS175" s="41">
        <f>AH74</f>
        <v>625316.35221898253</v>
      </c>
    </row>
    <row r="176" spans="1:46">
      <c r="A176" t="s">
        <v>26</v>
      </c>
      <c r="B176" s="171">
        <f>'Demand - Ethylene'!J67</f>
        <v>9.0863625168471407E-2</v>
      </c>
      <c r="C176" s="172">
        <f t="shared" si="57"/>
        <v>3.5489599341462195E-2</v>
      </c>
      <c r="D176" s="234">
        <f>AH33*B176/(B172+B176)</f>
        <v>48684.515045116372</v>
      </c>
      <c r="N176" s="181">
        <f t="shared" si="58"/>
        <v>2.7066208637449067E-2</v>
      </c>
      <c r="X176" s="41">
        <f>AH95*B176/(B172+B176)</f>
        <v>31331.00174173186</v>
      </c>
    </row>
    <row r="177" spans="1:43">
      <c r="A177" t="s">
        <v>27</v>
      </c>
      <c r="B177" s="171">
        <f>'Demand - Ethylene'!J68</f>
        <v>0.15931966141539111</v>
      </c>
      <c r="C177" s="172">
        <f t="shared" si="57"/>
        <v>0.16154548907907937</v>
      </c>
      <c r="D177" s="234">
        <f>AH65*B177/(B175+B177)</f>
        <v>221607.56783615716</v>
      </c>
      <c r="N177" s="181">
        <f t="shared" si="58"/>
        <v>0.18029439369181438</v>
      </c>
      <c r="X177" s="41">
        <f>AH139*C177/(C175+C177+C179)</f>
        <v>208703.18552732156</v>
      </c>
      <c r="AJ177" s="135"/>
      <c r="AK177" s="132"/>
      <c r="AL177" s="132"/>
      <c r="AM177" s="132"/>
      <c r="AN177" s="132"/>
      <c r="AO177" s="132"/>
      <c r="AP177" s="132"/>
    </row>
    <row r="178" spans="1:43">
      <c r="A178" s="124" t="s">
        <v>365</v>
      </c>
      <c r="B178" s="171">
        <f>'Demand - Ethylene'!J69</f>
        <v>5.4867435167726486E-3</v>
      </c>
      <c r="C178" s="172">
        <f t="shared" si="57"/>
        <v>2.5392693209469325E-3</v>
      </c>
      <c r="D178" s="234">
        <f>AH55</f>
        <v>3483.3612594441311</v>
      </c>
      <c r="N178" s="181">
        <f t="shared" si="58"/>
        <v>-2.9798321317174364E-4</v>
      </c>
      <c r="X178" s="41">
        <f>AH115</f>
        <v>-344.93610449648349</v>
      </c>
      <c r="AK178" s="134"/>
      <c r="AL178" s="136"/>
      <c r="AM178" s="134"/>
      <c r="AN178" s="136"/>
      <c r="AO178" s="136"/>
      <c r="AP178" s="134"/>
    </row>
    <row r="179" spans="1:43" ht="15.5" thickBot="1">
      <c r="A179" t="s">
        <v>254</v>
      </c>
      <c r="B179" s="171"/>
      <c r="C179" s="172">
        <f t="shared" si="57"/>
        <v>0.45583748305494287</v>
      </c>
      <c r="D179" s="234">
        <f>AH74</f>
        <v>625316.35221898253</v>
      </c>
      <c r="N179" s="181">
        <f t="shared" si="58"/>
        <v>0.5087417983498298</v>
      </c>
      <c r="X179" s="41">
        <f>AH139*C179/(C175+C177+C179)</f>
        <v>588903.6910820388</v>
      </c>
    </row>
    <row r="180" spans="1:43" ht="15.5" thickBot="1">
      <c r="A180" s="173" t="s">
        <v>78</v>
      </c>
      <c r="B180" s="232">
        <f>SUM(B172:B178)</f>
        <v>0.84162565316752835</v>
      </c>
      <c r="C180" s="231">
        <f>SUM(C172:C179)</f>
        <v>1</v>
      </c>
      <c r="D180" s="175">
        <f>SUM(D172:D179)</f>
        <v>1371796.6939186791</v>
      </c>
      <c r="E180" s="176"/>
      <c r="F180" s="176"/>
      <c r="G180" s="176"/>
      <c r="H180" s="176"/>
      <c r="I180" s="176"/>
      <c r="J180" s="176"/>
      <c r="K180" s="176"/>
      <c r="L180" s="176"/>
      <c r="M180" s="176"/>
      <c r="N180" s="233">
        <f>SUM(N172:N179)</f>
        <v>1</v>
      </c>
      <c r="X180" s="41">
        <f>SUM(X172:X179)</f>
        <v>1157568.9141175828</v>
      </c>
    </row>
    <row r="181" spans="1:43" ht="15.5" thickBot="1">
      <c r="AJ181" s="135"/>
      <c r="AK181" s="129"/>
      <c r="AL181" s="129"/>
      <c r="AM181" s="129"/>
      <c r="AN181" s="129"/>
      <c r="AO181" s="129"/>
      <c r="AP181" s="129"/>
      <c r="AQ181" s="129"/>
    </row>
    <row r="182" spans="1:43" ht="30.25" thickBot="1">
      <c r="A182" s="235" t="s">
        <v>554</v>
      </c>
      <c r="B182" s="173">
        <v>2020</v>
      </c>
      <c r="C182" s="174" t="s">
        <v>386</v>
      </c>
      <c r="D182" s="174" t="s">
        <v>540</v>
      </c>
      <c r="E182" s="174" t="s">
        <v>387</v>
      </c>
      <c r="F182" s="174" t="s">
        <v>388</v>
      </c>
      <c r="G182" s="174" t="s">
        <v>389</v>
      </c>
      <c r="H182" s="174" t="s">
        <v>390</v>
      </c>
      <c r="I182" s="174" t="s">
        <v>391</v>
      </c>
      <c r="J182" s="174" t="s">
        <v>392</v>
      </c>
      <c r="K182" s="174" t="s">
        <v>393</v>
      </c>
      <c r="L182" s="174" t="s">
        <v>394</v>
      </c>
      <c r="M182" s="174" t="s">
        <v>395</v>
      </c>
      <c r="O182" s="174" t="s">
        <v>541</v>
      </c>
      <c r="P182" s="174" t="s">
        <v>542</v>
      </c>
      <c r="Q182" s="174" t="s">
        <v>543</v>
      </c>
      <c r="R182" s="174" t="s">
        <v>544</v>
      </c>
      <c r="S182" s="174" t="s">
        <v>545</v>
      </c>
      <c r="T182" s="174" t="s">
        <v>546</v>
      </c>
      <c r="U182" s="174" t="s">
        <v>547</v>
      </c>
      <c r="V182" s="174" t="s">
        <v>548</v>
      </c>
      <c r="W182" s="174" t="s">
        <v>549</v>
      </c>
      <c r="X182" s="174"/>
      <c r="AK182" s="134"/>
      <c r="AL182" s="136"/>
      <c r="AM182" s="136"/>
      <c r="AN182" s="136"/>
      <c r="AO182" s="136"/>
      <c r="AP182" s="134"/>
      <c r="AQ182" s="136"/>
    </row>
    <row r="183" spans="1:43">
      <c r="A183" t="s">
        <v>555</v>
      </c>
      <c r="B183" s="171">
        <f>B172+B176</f>
        <v>0.34361169814797604</v>
      </c>
      <c r="C183" s="172">
        <f t="shared" ref="C183" si="59">C172+C176</f>
        <v>0.13420817707526941</v>
      </c>
      <c r="D183" s="181">
        <f>N172+N176</f>
        <v>0.10235411469768621</v>
      </c>
      <c r="X183" s="41"/>
    </row>
    <row r="184" spans="1:43">
      <c r="A184" t="s">
        <v>19</v>
      </c>
      <c r="B184" s="171">
        <f>B173</f>
        <v>0.19240720488944701</v>
      </c>
      <c r="C184" s="172">
        <f t="shared" ref="C184" si="60">C173</f>
        <v>0.10054625245837705</v>
      </c>
      <c r="D184" s="181">
        <f>N173</f>
        <v>5.4390773894619014E-2</v>
      </c>
      <c r="X184" s="41"/>
      <c r="AJ184" s="135"/>
      <c r="AK184" s="129"/>
      <c r="AL184" s="129"/>
      <c r="AM184" s="129"/>
      <c r="AN184" s="129"/>
      <c r="AO184" s="129"/>
      <c r="AP184" s="132"/>
    </row>
    <row r="185" spans="1:43">
      <c r="A185" t="s">
        <v>333</v>
      </c>
      <c r="B185" s="171">
        <f>B174</f>
        <v>8.88895063383493E-2</v>
      </c>
      <c r="C185" s="172">
        <f>C174</f>
        <v>9.2687252725648761E-2</v>
      </c>
      <c r="D185" s="181">
        <f>N174</f>
        <v>9.5771904409652442E-2</v>
      </c>
      <c r="X185" s="41"/>
      <c r="AK185" s="134"/>
      <c r="AL185" s="136"/>
      <c r="AM185" s="134"/>
      <c r="AN185" s="136"/>
      <c r="AO185" s="136"/>
      <c r="AP185" s="134"/>
    </row>
    <row r="186" spans="1:43">
      <c r="A186" s="124" t="s">
        <v>53</v>
      </c>
      <c r="B186" s="171">
        <f>'Demand - Ethylene'!C37</f>
        <v>1.0973487033545297E-2</v>
      </c>
      <c r="C186" s="172">
        <f>(AH65*('Demand - Ethylene'!C37-'Yearly HC Ethylene'!C178)/(SUM('Yearly HC Ethylene'!C177:C178,C175))+'Yearly HC Ethylene'!AH55)/'Yearly HC Ethylene'!AH84</f>
        <v>1.2287275381835366E-2</v>
      </c>
      <c r="D186" s="181">
        <f>((AH139-AH74)*('Demand - Ethylene'!C37-'Yearly HC Ethylene'!N178)/(SUM('Yearly HC Ethylene'!N177:N178,N175))+'Yearly HC Ethylene'!AH115)/('Yearly HC Ethylene'!AH148-AH74)</f>
        <v>2.9741243157633896E-2</v>
      </c>
      <c r="X186" s="41"/>
    </row>
    <row r="187" spans="1:43">
      <c r="A187" t="s">
        <v>23</v>
      </c>
      <c r="B187" s="171">
        <f>B175</f>
        <v>5.1910838859592162E-2</v>
      </c>
      <c r="C187" s="172">
        <f>C175</f>
        <v>5.263607628573562E-2</v>
      </c>
      <c r="D187" s="181">
        <f>N175</f>
        <v>5.8744998169569906E-2</v>
      </c>
      <c r="X187" s="41"/>
      <c r="AJ187" s="135"/>
      <c r="AK187" s="129"/>
      <c r="AL187" s="129"/>
      <c r="AM187" s="129"/>
      <c r="AN187" s="129"/>
      <c r="AO187" s="129"/>
      <c r="AP187" s="129"/>
    </row>
    <row r="188" spans="1:43">
      <c r="A188" t="s">
        <v>27</v>
      </c>
      <c r="B188" s="171">
        <f>B177+B178-B186</f>
        <v>0.15383291789861844</v>
      </c>
      <c r="C188" s="172">
        <f>C177+C178-C186</f>
        <v>0.15179748301819093</v>
      </c>
      <c r="D188" s="181">
        <f>N177+N178-D186</f>
        <v>0.15025516732100874</v>
      </c>
      <c r="X188" s="41"/>
      <c r="AK188" s="134"/>
      <c r="AL188" s="136"/>
      <c r="AM188" s="136"/>
      <c r="AN188" s="136"/>
      <c r="AO188" s="136"/>
      <c r="AP188" s="134"/>
    </row>
    <row r="189" spans="1:43" ht="15.5" thickBot="1">
      <c r="A189" t="s">
        <v>254</v>
      </c>
      <c r="B189" s="171">
        <f>B179</f>
        <v>0</v>
      </c>
      <c r="C189" s="172">
        <f t="shared" ref="C189" si="61">C179</f>
        <v>0.45583748305494287</v>
      </c>
      <c r="D189" s="181">
        <f>N179</f>
        <v>0.5087417983498298</v>
      </c>
      <c r="X189" s="41"/>
    </row>
    <row r="190" spans="1:43" ht="15.5" thickBot="1">
      <c r="A190" s="173" t="s">
        <v>78</v>
      </c>
      <c r="B190" s="236">
        <f>SUM(B183:B189)</f>
        <v>0.84162565316752824</v>
      </c>
      <c r="C190" s="237">
        <f>SUM(C183:C189)</f>
        <v>1</v>
      </c>
      <c r="D190" s="238">
        <f>SUM(D183:D189)</f>
        <v>1</v>
      </c>
      <c r="E190" s="176"/>
      <c r="F190" s="176"/>
      <c r="G190" s="176"/>
      <c r="H190" s="176"/>
      <c r="I190" s="176"/>
      <c r="J190" s="176"/>
      <c r="K190" s="176"/>
      <c r="L190" s="176"/>
      <c r="M190" s="176"/>
      <c r="X190" s="41"/>
    </row>
    <row r="191" spans="1:43" ht="15.5" thickBot="1"/>
    <row r="192" spans="1:43" ht="30.25" thickBot="1">
      <c r="A192" s="235" t="s">
        <v>556</v>
      </c>
      <c r="B192" s="239">
        <v>2020</v>
      </c>
      <c r="C192" s="174" t="s">
        <v>557</v>
      </c>
      <c r="D192" s="174" t="s">
        <v>386</v>
      </c>
      <c r="E192" s="176"/>
      <c r="F192" s="176"/>
      <c r="G192" s="176"/>
      <c r="H192" s="176"/>
      <c r="I192" s="176"/>
      <c r="J192" s="176"/>
      <c r="K192" s="176"/>
      <c r="L192" s="176"/>
      <c r="M192" s="176"/>
      <c r="N192" s="240" t="s">
        <v>540</v>
      </c>
    </row>
    <row r="193" spans="1:47">
      <c r="A193" t="s">
        <v>254</v>
      </c>
      <c r="B193" s="171">
        <f>B189</f>
        <v>0</v>
      </c>
      <c r="C193" s="171">
        <f>0</f>
        <v>0</v>
      </c>
      <c r="D193" s="172">
        <f>C189</f>
        <v>0.45583748305494287</v>
      </c>
      <c r="N193" s="181">
        <f>D189</f>
        <v>0.5087417983498298</v>
      </c>
    </row>
    <row r="194" spans="1:47">
      <c r="A194" t="s">
        <v>27</v>
      </c>
      <c r="B194" s="171">
        <f>B188</f>
        <v>0.15383291789861844</v>
      </c>
      <c r="C194" s="171">
        <f>'Demand - Ethylene'!N68+'Demand - Ethylene'!N69-C196</f>
        <v>0.18484564503770412</v>
      </c>
      <c r="D194" s="172">
        <f>C188</f>
        <v>0.15179748301819093</v>
      </c>
      <c r="N194" s="181">
        <f>D188</f>
        <v>0.15025516732100874</v>
      </c>
      <c r="AJ194" s="131"/>
      <c r="AK194" s="132"/>
      <c r="AL194" s="132"/>
      <c r="AM194" s="132"/>
      <c r="AN194" s="132"/>
      <c r="AO194" s="132"/>
      <c r="AP194" s="132"/>
      <c r="AQ194" s="132"/>
      <c r="AR194" s="132"/>
      <c r="AS194" s="132"/>
      <c r="AT194" s="132"/>
      <c r="AU194" s="132"/>
    </row>
    <row r="195" spans="1:47">
      <c r="A195" t="s">
        <v>23</v>
      </c>
      <c r="B195" s="171">
        <f>B187</f>
        <v>5.1910838859592162E-2</v>
      </c>
      <c r="C195" s="171">
        <f>'Demand - Ethylene'!N66</f>
        <v>6.1679249752216316E-2</v>
      </c>
      <c r="D195" s="172">
        <f>C187</f>
        <v>5.263607628573562E-2</v>
      </c>
      <c r="N195" s="181">
        <f>D187</f>
        <v>5.8744998169569906E-2</v>
      </c>
      <c r="AK195" s="133"/>
      <c r="AL195" s="133"/>
      <c r="AM195" s="133"/>
      <c r="AN195" s="133"/>
      <c r="AO195" s="133"/>
      <c r="AP195" s="133"/>
      <c r="AQ195" s="133"/>
      <c r="AR195" s="133"/>
      <c r="AS195" s="133"/>
      <c r="AT195" s="130"/>
      <c r="AU195" s="130"/>
    </row>
    <row r="196" spans="1:47">
      <c r="A196" s="124" t="s">
        <v>53</v>
      </c>
      <c r="B196" s="171">
        <f>B186</f>
        <v>1.0973487033545297E-2</v>
      </c>
      <c r="C196" s="171">
        <f>('Demand - Ethylene'!M68*('Demand - Ethylene'!C37-'Demand - Ethylene'!N69)/('Demand - Ethylene'!N68)+'Demand - Ethylene'!M69)/'Demand - Ethylene'!M70</f>
        <v>1.0973487033545297E-2</v>
      </c>
      <c r="D196" s="172">
        <f>C186</f>
        <v>1.2287275381835366E-2</v>
      </c>
      <c r="N196" s="181">
        <f>D186</f>
        <v>2.9741243157633896E-2</v>
      </c>
      <c r="AJ196" s="130"/>
    </row>
    <row r="197" spans="1:47" ht="103.25">
      <c r="A197" t="s">
        <v>333</v>
      </c>
      <c r="B197" s="171">
        <f>B185</f>
        <v>8.88895063383493E-2</v>
      </c>
      <c r="C197" s="171">
        <f>'Demand - Ethylene'!N65</f>
        <v>0.10561644123347028</v>
      </c>
      <c r="D197" s="172">
        <f>C185</f>
        <v>9.2687252725648761E-2</v>
      </c>
      <c r="N197" s="181">
        <f>D185</f>
        <v>9.5771904409652442E-2</v>
      </c>
      <c r="AJ197" s="131" t="s">
        <v>602</v>
      </c>
      <c r="AK197" s="132" t="s">
        <v>128</v>
      </c>
      <c r="AL197" s="132" t="s">
        <v>305</v>
      </c>
      <c r="AM197" s="132" t="s">
        <v>306</v>
      </c>
      <c r="AN197" s="132" t="s">
        <v>603</v>
      </c>
      <c r="AO197" s="247" t="s">
        <v>585</v>
      </c>
      <c r="AP197" s="132" t="s">
        <v>604</v>
      </c>
      <c r="AQ197" s="132" t="s">
        <v>605</v>
      </c>
      <c r="AR197" s="132" t="s">
        <v>606</v>
      </c>
      <c r="AS197" s="132" t="s">
        <v>609</v>
      </c>
      <c r="AT197" s="132" t="s">
        <v>608</v>
      </c>
      <c r="AU197" s="132" t="s">
        <v>607</v>
      </c>
    </row>
    <row r="198" spans="1:47">
      <c r="A198" t="s">
        <v>19</v>
      </c>
      <c r="B198" s="171">
        <f>B184</f>
        <v>0.19240720488944701</v>
      </c>
      <c r="C198" s="171">
        <f>'Demand - Ethylene'!N64</f>
        <v>0.22861375976992437</v>
      </c>
      <c r="D198" s="172">
        <f>C184</f>
        <v>0.10054625245837705</v>
      </c>
      <c r="N198" s="181">
        <f>D184</f>
        <v>5.4390773894619014E-2</v>
      </c>
      <c r="AK198" s="133">
        <f>D4</f>
        <v>1049369.6122000003</v>
      </c>
      <c r="AL198" s="133">
        <f>AH4-D4</f>
        <v>0</v>
      </c>
      <c r="AM198" s="133">
        <f>AH4</f>
        <v>1049369.6122000003</v>
      </c>
      <c r="AN198" s="133">
        <f>AH83-AH82-AH81</f>
        <v>322427.08171867888</v>
      </c>
      <c r="AO198" s="133">
        <f>SUM(AM198:AN198)</f>
        <v>1371796.6939186791</v>
      </c>
      <c r="AP198" s="133">
        <f>AH95-AH92</f>
        <v>-65624.392202640083</v>
      </c>
      <c r="AQ198" s="133">
        <f>AH127-AH122</f>
        <v>-74967.947633105403</v>
      </c>
      <c r="AR198" s="133">
        <f>AH105-AH102</f>
        <v>-16285.487466995735</v>
      </c>
      <c r="AS198" s="133">
        <f>AH115-AH112</f>
        <v>-3828.2973639406146</v>
      </c>
      <c r="AT198" s="41">
        <f>AH139-AH134</f>
        <v>-53521.655134414323</v>
      </c>
      <c r="AU198" s="130" t="s">
        <v>307</v>
      </c>
    </row>
    <row r="199" spans="1:47" ht="15.5" thickBot="1">
      <c r="A199" t="s">
        <v>555</v>
      </c>
      <c r="B199" s="171">
        <f>B183</f>
        <v>0.34361169814797604</v>
      </c>
      <c r="C199" s="171">
        <f>'Demand - Ethylene'!N63+'Demand - Ethylene'!N67</f>
        <v>0.40827141717313953</v>
      </c>
      <c r="D199" s="172">
        <f>C183</f>
        <v>0.13420817707526941</v>
      </c>
      <c r="N199" s="181">
        <f>D183</f>
        <v>0.10235411469768621</v>
      </c>
      <c r="AK199" s="134"/>
      <c r="AL199" s="136"/>
      <c r="AM199" s="134"/>
      <c r="AN199" s="136"/>
      <c r="AO199" s="136"/>
      <c r="AP199" s="134"/>
    </row>
    <row r="200" spans="1:47" ht="15.5" thickBot="1">
      <c r="A200" s="173" t="s">
        <v>78</v>
      </c>
      <c r="B200" s="236">
        <f>SUM(B193:B199)</f>
        <v>0.84162565316752824</v>
      </c>
      <c r="C200" s="236">
        <f>SUM(C193:C199)</f>
        <v>0.99999999999999989</v>
      </c>
      <c r="D200" s="237">
        <f>SUM(D193:D199)</f>
        <v>1</v>
      </c>
      <c r="N200" s="238">
        <f>SUM(N193:N199)</f>
        <v>1</v>
      </c>
    </row>
    <row r="202" spans="1:47">
      <c r="AJ202" s="135"/>
      <c r="AK202" s="129"/>
      <c r="AL202" s="129"/>
      <c r="AM202" s="129"/>
      <c r="AN202" s="129"/>
      <c r="AO202" s="129"/>
      <c r="AP202" s="129"/>
      <c r="AQ202" s="129"/>
    </row>
    <row r="203" spans="1:47">
      <c r="AK203" s="134"/>
      <c r="AL203" s="136"/>
      <c r="AM203" s="136"/>
      <c r="AN203" s="136"/>
      <c r="AO203" s="136"/>
      <c r="AP203" s="134"/>
      <c r="AQ203" s="136"/>
    </row>
    <row r="205" spans="1:47">
      <c r="AJ205" s="135"/>
      <c r="AK205" s="129"/>
      <c r="AL205" s="129"/>
      <c r="AM205" s="129"/>
      <c r="AN205" s="129"/>
      <c r="AO205" s="129"/>
      <c r="AP205" s="132"/>
    </row>
    <row r="206" spans="1:47">
      <c r="AK206" s="134"/>
      <c r="AL206" s="136"/>
      <c r="AM206" s="134"/>
      <c r="AN206" s="136"/>
      <c r="AO206" s="136"/>
      <c r="AP206" s="134"/>
    </row>
    <row r="208" spans="1:47">
      <c r="AJ208" s="135"/>
      <c r="AK208" s="129"/>
      <c r="AL208" s="129"/>
      <c r="AM208" s="129"/>
      <c r="AN208" s="129"/>
      <c r="AO208" s="129"/>
      <c r="AP208" s="129"/>
    </row>
    <row r="209" spans="1:42">
      <c r="AK209" s="134"/>
      <c r="AL209" s="136"/>
      <c r="AM209" s="136"/>
      <c r="AN209" s="136"/>
      <c r="AO209" s="136"/>
      <c r="AP209" s="134"/>
    </row>
    <row r="212" spans="1:42">
      <c r="A212" s="1" t="s">
        <v>619</v>
      </c>
      <c r="D212" s="1">
        <v>2020</v>
      </c>
      <c r="E212" s="1">
        <f>D212+1</f>
        <v>2021</v>
      </c>
      <c r="F212" s="1">
        <f t="shared" ref="F212:Q212" si="62">E212+1</f>
        <v>2022</v>
      </c>
      <c r="G212" s="1">
        <f t="shared" si="62"/>
        <v>2023</v>
      </c>
      <c r="H212" s="1">
        <f t="shared" si="62"/>
        <v>2024</v>
      </c>
      <c r="I212" s="1">
        <f t="shared" si="62"/>
        <v>2025</v>
      </c>
      <c r="J212" s="1">
        <f t="shared" si="62"/>
        <v>2026</v>
      </c>
      <c r="K212" s="1">
        <f t="shared" si="62"/>
        <v>2027</v>
      </c>
      <c r="L212" s="1">
        <f t="shared" si="62"/>
        <v>2028</v>
      </c>
      <c r="M212" s="1">
        <f t="shared" si="62"/>
        <v>2029</v>
      </c>
      <c r="N212" s="1">
        <f t="shared" si="62"/>
        <v>2030</v>
      </c>
      <c r="O212" s="1">
        <f t="shared" si="62"/>
        <v>2031</v>
      </c>
      <c r="P212" s="1">
        <f t="shared" si="62"/>
        <v>2032</v>
      </c>
      <c r="Q212" s="1">
        <f t="shared" si="62"/>
        <v>2033</v>
      </c>
      <c r="R212" s="1">
        <f>Q212+1</f>
        <v>2034</v>
      </c>
      <c r="S212" s="1">
        <f t="shared" ref="S212:AB212" si="63">R212+1</f>
        <v>2035</v>
      </c>
      <c r="T212" s="1">
        <f t="shared" si="63"/>
        <v>2036</v>
      </c>
      <c r="U212" s="1">
        <f t="shared" si="63"/>
        <v>2037</v>
      </c>
      <c r="V212" s="1">
        <f t="shared" si="63"/>
        <v>2038</v>
      </c>
      <c r="W212" s="1">
        <f t="shared" si="63"/>
        <v>2039</v>
      </c>
      <c r="X212" s="1">
        <f t="shared" si="63"/>
        <v>2040</v>
      </c>
      <c r="Y212" s="1">
        <f t="shared" si="63"/>
        <v>2041</v>
      </c>
      <c r="Z212" s="1">
        <f t="shared" si="63"/>
        <v>2042</v>
      </c>
      <c r="AA212" s="1">
        <f t="shared" si="63"/>
        <v>2043</v>
      </c>
      <c r="AB212" s="1">
        <f t="shared" si="63"/>
        <v>2044</v>
      </c>
      <c r="AC212" s="1">
        <f>AB212+1</f>
        <v>2045</v>
      </c>
      <c r="AD212" s="1">
        <f t="shared" ref="AD212:AF212" si="64">AC212+1</f>
        <v>2046</v>
      </c>
      <c r="AE212" s="1">
        <f t="shared" si="64"/>
        <v>2047</v>
      </c>
      <c r="AF212" s="1">
        <f t="shared" si="64"/>
        <v>2048</v>
      </c>
      <c r="AG212" s="1">
        <f>AF212+1</f>
        <v>2049</v>
      </c>
      <c r="AH212" s="1">
        <f t="shared" ref="AH212" si="65">AG212+1</f>
        <v>2050</v>
      </c>
      <c r="AK212" s="134"/>
      <c r="AL212" s="136"/>
      <c r="AM212" s="136"/>
      <c r="AN212" s="136"/>
      <c r="AO212" s="136"/>
      <c r="AP212" s="134"/>
    </row>
    <row r="213" spans="1:42">
      <c r="C213" t="s">
        <v>164</v>
      </c>
      <c r="D213" s="41">
        <f t="shared" ref="D213:AH213" si="66">D81</f>
        <v>0</v>
      </c>
      <c r="E213" s="41">
        <f t="shared" si="66"/>
        <v>4575.2518931350332</v>
      </c>
      <c r="F213" s="41">
        <f t="shared" si="66"/>
        <v>9151.4182871864614</v>
      </c>
      <c r="G213" s="41">
        <f t="shared" si="66"/>
        <v>13728.526216818416</v>
      </c>
      <c r="H213" s="41">
        <f t="shared" si="66"/>
        <v>18306.603390566739</v>
      </c>
      <c r="I213" s="41">
        <f t="shared" si="66"/>
        <v>22885.678205965574</v>
      </c>
      <c r="J213" s="41">
        <f t="shared" si="66"/>
        <v>27465.779764988984</v>
      </c>
      <c r="K213" s="41">
        <f t="shared" si="66"/>
        <v>32046.937889813733</v>
      </c>
      <c r="L213" s="41">
        <f t="shared" si="66"/>
        <v>36629.183138909604</v>
      </c>
      <c r="M213" s="41">
        <f t="shared" si="66"/>
        <v>41212.546823463592</v>
      </c>
      <c r="N213" s="41">
        <f t="shared" si="66"/>
        <v>45797.061024144481</v>
      </c>
      <c r="O213" s="41">
        <f t="shared" si="66"/>
        <v>53729.750929260437</v>
      </c>
      <c r="P213" s="41">
        <f t="shared" si="66"/>
        <v>61688.034584359186</v>
      </c>
      <c r="Q213" s="41">
        <f t="shared" si="66"/>
        <v>69672.613998164103</v>
      </c>
      <c r="R213" s="41">
        <f t="shared" si="66"/>
        <v>77684.207232746907</v>
      </c>
      <c r="S213" s="41">
        <f t="shared" si="66"/>
        <v>85723.548726789319</v>
      </c>
      <c r="T213" s="41">
        <f t="shared" si="66"/>
        <v>93791.389624648247</v>
      </c>
      <c r="U213" s="41">
        <f t="shared" si="66"/>
        <v>101888.49811131567</v>
      </c>
      <c r="V213" s="41">
        <f t="shared" si="66"/>
        <v>110015.65975336466</v>
      </c>
      <c r="W213" s="41">
        <f t="shared" si="66"/>
        <v>118173.67784597585</v>
      </c>
      <c r="X213" s="41">
        <f t="shared" si="66"/>
        <v>126363.37376613761</v>
      </c>
      <c r="Y213" s="41">
        <f t="shared" si="66"/>
        <v>135910.15754240676</v>
      </c>
      <c r="Z213" s="41">
        <f t="shared" si="66"/>
        <v>145525.88057744433</v>
      </c>
      <c r="AA213" s="41">
        <f t="shared" si="66"/>
        <v>155212.09586328507</v>
      </c>
      <c r="AB213" s="41">
        <f t="shared" si="66"/>
        <v>164970.38133957074</v>
      </c>
      <c r="AC213" s="41">
        <f t="shared" si="66"/>
        <v>174802.34008380442</v>
      </c>
      <c r="AD213" s="41">
        <f t="shared" si="66"/>
        <v>184709.60049604377</v>
      </c>
      <c r="AE213" s="41">
        <f t="shared" si="66"/>
        <v>194693.81647768666</v>
      </c>
      <c r="AF213" s="41">
        <f t="shared" si="66"/>
        <v>204756.66760398966</v>
      </c>
      <c r="AG213" s="41">
        <f t="shared" si="66"/>
        <v>214899.85928994574</v>
      </c>
      <c r="AH213" s="41">
        <f t="shared" si="66"/>
        <v>225125.12294913729</v>
      </c>
    </row>
    <row r="214" spans="1:42">
      <c r="C214" t="s">
        <v>167</v>
      </c>
      <c r="D214" s="41">
        <f t="shared" ref="D214:AH214" si="67">D82</f>
        <v>0</v>
      </c>
      <c r="E214" s="41">
        <f t="shared" si="67"/>
        <v>3007.0776471657837</v>
      </c>
      <c r="F214" s="41">
        <f t="shared" si="67"/>
        <v>6011.4943683350402</v>
      </c>
      <c r="G214" s="41">
        <f t="shared" si="67"/>
        <v>9013.1823098948607</v>
      </c>
      <c r="H214" s="41">
        <f t="shared" si="67"/>
        <v>12012.072080217102</v>
      </c>
      <c r="I214" s="41">
        <f t="shared" si="67"/>
        <v>15008.092716975585</v>
      </c>
      <c r="J214" s="41">
        <f t="shared" si="67"/>
        <v>18001.171653796515</v>
      </c>
      <c r="K214" s="41">
        <f t="shared" si="67"/>
        <v>20991.234686228989</v>
      </c>
      <c r="L214" s="41">
        <f t="shared" si="67"/>
        <v>23978.205937022067</v>
      </c>
      <c r="M214" s="41">
        <f t="shared" si="67"/>
        <v>26962.007820694642</v>
      </c>
      <c r="N214" s="41">
        <f t="shared" si="67"/>
        <v>29942.561007384127</v>
      </c>
      <c r="O214" s="41">
        <f t="shared" si="67"/>
        <v>32919.78438595972</v>
      </c>
      <c r="P214" s="41">
        <f t="shared" si="67"/>
        <v>34792.81879020654</v>
      </c>
      <c r="Q214" s="41">
        <f t="shared" si="67"/>
        <v>37877.005308882879</v>
      </c>
      <c r="R214" s="41">
        <f t="shared" si="67"/>
        <v>40957.607618236187</v>
      </c>
      <c r="S214" s="41">
        <f t="shared" si="67"/>
        <v>44034.537097970271</v>
      </c>
      <c r="T214" s="41">
        <f t="shared" si="67"/>
        <v>47107.703150535352</v>
      </c>
      <c r="U214" s="41">
        <f t="shared" si="67"/>
        <v>50177.013159512746</v>
      </c>
      <c r="V214" s="41">
        <f t="shared" si="67"/>
        <v>53242.372447155925</v>
      </c>
      <c r="W214" s="41">
        <f t="shared" si="67"/>
        <v>56303.684231071646</v>
      </c>
      <c r="X214" s="41">
        <f t="shared" si="67"/>
        <v>59360.849580023714</v>
      </c>
      <c r="Y214" s="41">
        <f t="shared" si="67"/>
        <v>65907.432546891083</v>
      </c>
      <c r="Z214" s="41">
        <f t="shared" si="67"/>
        <v>68962.766824527833</v>
      </c>
      <c r="AA214" s="41">
        <f t="shared" si="67"/>
        <v>72013.528680941919</v>
      </c>
      <c r="AB214" s="41">
        <f t="shared" si="67"/>
        <v>75059.607183548564</v>
      </c>
      <c r="AC214" s="41">
        <f t="shared" si="67"/>
        <v>78100.888949484826</v>
      </c>
      <c r="AD214" s="41">
        <f t="shared" si="67"/>
        <v>81137.258094359699</v>
      </c>
      <c r="AE214" s="41">
        <f t="shared" si="67"/>
        <v>84168.596179969798</v>
      </c>
      <c r="AF214" s="41">
        <f t="shared" si="67"/>
        <v>87194.782160960225</v>
      </c>
      <c r="AG214" s="41">
        <f t="shared" si="67"/>
        <v>90215.692330410267</v>
      </c>
      <c r="AH214" s="41">
        <f t="shared" si="67"/>
        <v>93231.200264322062</v>
      </c>
    </row>
    <row r="215" spans="1:42">
      <c r="C215" t="s">
        <v>555</v>
      </c>
      <c r="D215" s="41">
        <f t="shared" ref="D215:AH215" si="68">D33</f>
        <v>360575.67443292518</v>
      </c>
      <c r="E215" s="41">
        <f t="shared" si="68"/>
        <v>356724.45219246898</v>
      </c>
      <c r="F215" s="41">
        <f t="shared" si="68"/>
        <v>352873.22995201277</v>
      </c>
      <c r="G215" s="41">
        <f t="shared" si="68"/>
        <v>349022.00771155651</v>
      </c>
      <c r="H215" s="41">
        <f t="shared" si="68"/>
        <v>345170.78547110036</v>
      </c>
      <c r="I215" s="41">
        <f t="shared" si="68"/>
        <v>341319.56323064415</v>
      </c>
      <c r="J215" s="41">
        <f t="shared" si="68"/>
        <v>337468.34099018795</v>
      </c>
      <c r="K215" s="41">
        <f t="shared" si="68"/>
        <v>333617.11874973174</v>
      </c>
      <c r="L215" s="41">
        <f t="shared" si="68"/>
        <v>329765.89650927548</v>
      </c>
      <c r="M215" s="41">
        <f t="shared" si="68"/>
        <v>325914.67426881928</v>
      </c>
      <c r="N215" s="41">
        <f t="shared" si="68"/>
        <v>322063.45202836307</v>
      </c>
      <c r="O215" s="41">
        <f t="shared" si="68"/>
        <v>315454.31626141223</v>
      </c>
      <c r="P215" s="41">
        <f t="shared" si="68"/>
        <v>309945.95673064044</v>
      </c>
      <c r="Q215" s="41">
        <f t="shared" si="68"/>
        <v>303222.94755994692</v>
      </c>
      <c r="R215" s="41">
        <f t="shared" si="68"/>
        <v>296499.9383892534</v>
      </c>
      <c r="S215" s="41">
        <f t="shared" si="68"/>
        <v>289776.92921855988</v>
      </c>
      <c r="T215" s="41">
        <f t="shared" si="68"/>
        <v>283053.92004786636</v>
      </c>
      <c r="U215" s="41">
        <f t="shared" si="68"/>
        <v>276330.91087717284</v>
      </c>
      <c r="V215" s="41">
        <f t="shared" si="68"/>
        <v>269607.90170647932</v>
      </c>
      <c r="W215" s="41">
        <f t="shared" si="68"/>
        <v>262884.8925357858</v>
      </c>
      <c r="X215" s="41">
        <f t="shared" si="68"/>
        <v>256161.88336509225</v>
      </c>
      <c r="Y215" s="41">
        <f t="shared" si="68"/>
        <v>245818.22206895868</v>
      </c>
      <c r="Z215" s="41">
        <f t="shared" si="68"/>
        <v>238961.34557337518</v>
      </c>
      <c r="AA215" s="41">
        <f t="shared" si="68"/>
        <v>232104.46907779167</v>
      </c>
      <c r="AB215" s="41">
        <f t="shared" si="68"/>
        <v>225247.59258220816</v>
      </c>
      <c r="AC215" s="41">
        <f t="shared" si="68"/>
        <v>218390.71608662474</v>
      </c>
      <c r="AD215" s="41">
        <f t="shared" si="68"/>
        <v>211533.83959104124</v>
      </c>
      <c r="AE215" s="41">
        <f t="shared" si="68"/>
        <v>204676.96309545773</v>
      </c>
      <c r="AF215" s="41">
        <f t="shared" si="68"/>
        <v>197820.08659987425</v>
      </c>
      <c r="AG215" s="41">
        <f t="shared" si="68"/>
        <v>190963.21010429075</v>
      </c>
      <c r="AH215" s="41">
        <f t="shared" si="68"/>
        <v>184106.33360870724</v>
      </c>
    </row>
    <row r="216" spans="1:42">
      <c r="C216" t="s">
        <v>19</v>
      </c>
      <c r="D216" s="41">
        <f t="shared" ref="D216:AH216" si="69">D43</f>
        <v>201906.27397932502</v>
      </c>
      <c r="E216" s="41">
        <f t="shared" si="69"/>
        <v>199795.02448938167</v>
      </c>
      <c r="F216" s="41">
        <f t="shared" si="69"/>
        <v>197683.77499943832</v>
      </c>
      <c r="G216" s="41">
        <f t="shared" si="69"/>
        <v>195572.525509495</v>
      </c>
      <c r="H216" s="41">
        <f t="shared" si="69"/>
        <v>193461.27601955165</v>
      </c>
      <c r="I216" s="41">
        <f t="shared" si="69"/>
        <v>191350.02652960829</v>
      </c>
      <c r="J216" s="41">
        <f t="shared" si="69"/>
        <v>189238.77703966494</v>
      </c>
      <c r="K216" s="41">
        <f t="shared" si="69"/>
        <v>187127.52754972159</v>
      </c>
      <c r="L216" s="41">
        <f t="shared" si="69"/>
        <v>185016.27805977827</v>
      </c>
      <c r="M216" s="41">
        <f t="shared" si="69"/>
        <v>182905.02856983492</v>
      </c>
      <c r="N216" s="41">
        <f t="shared" si="69"/>
        <v>180793.77907989157</v>
      </c>
      <c r="O216" s="41">
        <f t="shared" si="69"/>
        <v>178682.52958994822</v>
      </c>
      <c r="P216" s="41">
        <f t="shared" si="69"/>
        <v>176571.28010000486</v>
      </c>
      <c r="Q216" s="41">
        <f t="shared" si="69"/>
        <v>174460.03061006151</v>
      </c>
      <c r="R216" s="41">
        <f t="shared" si="69"/>
        <v>172348.78112011816</v>
      </c>
      <c r="S216" s="41">
        <f t="shared" si="69"/>
        <v>170237.53163017481</v>
      </c>
      <c r="T216" s="41">
        <f t="shared" si="69"/>
        <v>168126.28214023146</v>
      </c>
      <c r="U216" s="41">
        <f t="shared" si="69"/>
        <v>166015.03265028814</v>
      </c>
      <c r="V216" s="41">
        <f t="shared" si="69"/>
        <v>163903.78316034478</v>
      </c>
      <c r="W216" s="41">
        <f t="shared" si="69"/>
        <v>161792.53367040143</v>
      </c>
      <c r="X216" s="41">
        <f t="shared" si="69"/>
        <v>159681.28418045808</v>
      </c>
      <c r="Y216" s="41">
        <f t="shared" si="69"/>
        <v>157506.05743324372</v>
      </c>
      <c r="Z216" s="41">
        <f t="shared" si="69"/>
        <v>155330.8306860294</v>
      </c>
      <c r="AA216" s="41">
        <f t="shared" si="69"/>
        <v>153155.60393881501</v>
      </c>
      <c r="AB216" s="41">
        <f t="shared" si="69"/>
        <v>150980.37719160065</v>
      </c>
      <c r="AC216" s="41">
        <f t="shared" si="69"/>
        <v>148805.15044438632</v>
      </c>
      <c r="AD216" s="41">
        <f t="shared" si="69"/>
        <v>146629.92369717197</v>
      </c>
      <c r="AE216" s="41">
        <f t="shared" si="69"/>
        <v>144454.69694995758</v>
      </c>
      <c r="AF216" s="41">
        <f t="shared" si="69"/>
        <v>142279.47020274325</v>
      </c>
      <c r="AG216" s="41">
        <f t="shared" si="69"/>
        <v>140104.24345552889</v>
      </c>
      <c r="AH216" s="41">
        <f t="shared" si="69"/>
        <v>137929.01670831451</v>
      </c>
    </row>
    <row r="217" spans="1:42">
      <c r="C217" t="s">
        <v>333</v>
      </c>
      <c r="D217" s="41">
        <f t="shared" ref="D217:AH217" si="70">D19</f>
        <v>93277.946794923075</v>
      </c>
      <c r="E217" s="41">
        <f t="shared" si="70"/>
        <v>94702.312031971771</v>
      </c>
      <c r="F217" s="41">
        <f t="shared" si="70"/>
        <v>96147.962681582503</v>
      </c>
      <c r="G217" s="41">
        <f t="shared" si="70"/>
        <v>97615.208669608532</v>
      </c>
      <c r="H217" s="41">
        <f t="shared" si="70"/>
        <v>99104.364288914003</v>
      </c>
      <c r="I217" s="41">
        <f t="shared" si="70"/>
        <v>100615.7482582558</v>
      </c>
      <c r="J217" s="41">
        <f t="shared" si="70"/>
        <v>102149.68378190979</v>
      </c>
      <c r="K217" s="41">
        <f t="shared" si="70"/>
        <v>103706.49861004997</v>
      </c>
      <c r="L217" s="41">
        <f t="shared" si="70"/>
        <v>105286.52509988923</v>
      </c>
      <c r="M217" s="41">
        <f t="shared" si="70"/>
        <v>106890.10027758991</v>
      </c>
      <c r="N217" s="41">
        <f t="shared" si="70"/>
        <v>108517.56590095328</v>
      </c>
      <c r="O217" s="41">
        <f t="shared" si="70"/>
        <v>109890.83802144183</v>
      </c>
      <c r="P217" s="41">
        <f t="shared" si="70"/>
        <v>111275.77460361992</v>
      </c>
      <c r="Q217" s="41">
        <f t="shared" si="70"/>
        <v>112672.3565137696</v>
      </c>
      <c r="R217" s="41">
        <f t="shared" si="70"/>
        <v>114080.56101495157</v>
      </c>
      <c r="S217" s="41">
        <f t="shared" si="70"/>
        <v>115500.36166969701</v>
      </c>
      <c r="T217" s="41">
        <f t="shared" si="70"/>
        <v>116931.72824098013</v>
      </c>
      <c r="U217" s="41">
        <f t="shared" si="70"/>
        <v>118374.62659145404</v>
      </c>
      <c r="V217" s="41">
        <f t="shared" si="70"/>
        <v>119829.01858093293</v>
      </c>
      <c r="W217" s="41">
        <f t="shared" si="70"/>
        <v>121294.86196210339</v>
      </c>
      <c r="X217" s="41">
        <f t="shared" si="70"/>
        <v>122772.11027444816</v>
      </c>
      <c r="Y217" s="41">
        <f t="shared" si="70"/>
        <v>123307.78273408843</v>
      </c>
      <c r="Z217" s="41">
        <f t="shared" si="70"/>
        <v>123823.37079068032</v>
      </c>
      <c r="AA217" s="41">
        <f t="shared" si="70"/>
        <v>124318.24608328319</v>
      </c>
      <c r="AB217" s="41">
        <f t="shared" si="70"/>
        <v>124791.77262175309</v>
      </c>
      <c r="AC217" s="41">
        <f t="shared" si="70"/>
        <v>125243.30691809618</v>
      </c>
      <c r="AD217" s="41">
        <f t="shared" si="70"/>
        <v>125672.19812931222</v>
      </c>
      <c r="AE217" s="41">
        <f t="shared" si="70"/>
        <v>126077.78821218412</v>
      </c>
      <c r="AF217" s="41">
        <f t="shared" si="70"/>
        <v>126459.41209048402</v>
      </c>
      <c r="AG217" s="41">
        <f t="shared" si="70"/>
        <v>126816.39783508083</v>
      </c>
      <c r="AH217" s="41">
        <f t="shared" si="70"/>
        <v>127148.06685745006</v>
      </c>
    </row>
    <row r="218" spans="1:42">
      <c r="C218" s="124" t="s">
        <v>365</v>
      </c>
      <c r="D218" s="41">
        <f t="shared" ref="D218:AH218" si="71">D55</f>
        <v>5757.6219164365802</v>
      </c>
      <c r="E218" s="41">
        <f t="shared" si="71"/>
        <v>5668.6666578276354</v>
      </c>
      <c r="F218" s="41">
        <f t="shared" si="71"/>
        <v>5579.7113992186896</v>
      </c>
      <c r="G218" s="41">
        <f t="shared" si="71"/>
        <v>5490.7561406097448</v>
      </c>
      <c r="H218" s="41">
        <f t="shared" si="71"/>
        <v>5401.8008820007999</v>
      </c>
      <c r="I218" s="41">
        <f t="shared" si="71"/>
        <v>5312.845623391855</v>
      </c>
      <c r="J218" s="41">
        <f t="shared" si="71"/>
        <v>5223.8903647829093</v>
      </c>
      <c r="K218" s="41">
        <f t="shared" si="71"/>
        <v>5134.9351061739644</v>
      </c>
      <c r="L218" s="41">
        <f t="shared" si="71"/>
        <v>5045.9798475650186</v>
      </c>
      <c r="M218" s="41">
        <f t="shared" si="71"/>
        <v>4957.0245889560738</v>
      </c>
      <c r="N218" s="41">
        <f t="shared" si="71"/>
        <v>4868.069330347128</v>
      </c>
      <c r="O218" s="41">
        <f t="shared" si="71"/>
        <v>4805.3112514579698</v>
      </c>
      <c r="P218" s="41">
        <f t="shared" si="71"/>
        <v>4742.5531725688115</v>
      </c>
      <c r="Q218" s="41">
        <f t="shared" si="71"/>
        <v>4679.7950936796524</v>
      </c>
      <c r="R218" s="41">
        <f t="shared" si="71"/>
        <v>4617.0370147904941</v>
      </c>
      <c r="S218" s="41">
        <f t="shared" si="71"/>
        <v>4554.278935901335</v>
      </c>
      <c r="T218" s="41">
        <f t="shared" si="71"/>
        <v>4491.5208570121758</v>
      </c>
      <c r="U218" s="41">
        <f t="shared" si="71"/>
        <v>4428.7627781230167</v>
      </c>
      <c r="V218" s="41">
        <f t="shared" si="71"/>
        <v>4366.0046992338594</v>
      </c>
      <c r="W218" s="41">
        <f t="shared" si="71"/>
        <v>4303.2466203447002</v>
      </c>
      <c r="X218" s="41">
        <f t="shared" si="71"/>
        <v>4240.488541455542</v>
      </c>
      <c r="Y218" s="41">
        <f t="shared" si="71"/>
        <v>4164.7758132544004</v>
      </c>
      <c r="Z218" s="41">
        <f t="shared" si="71"/>
        <v>4089.0630850532589</v>
      </c>
      <c r="AA218" s="41">
        <f t="shared" si="71"/>
        <v>4013.3503568521182</v>
      </c>
      <c r="AB218" s="41">
        <f t="shared" si="71"/>
        <v>3937.6376286509771</v>
      </c>
      <c r="AC218" s="41">
        <f t="shared" si="71"/>
        <v>3861.9249004498356</v>
      </c>
      <c r="AD218" s="41">
        <f t="shared" si="71"/>
        <v>3786.212172248695</v>
      </c>
      <c r="AE218" s="41">
        <f t="shared" si="71"/>
        <v>3710.4994440475548</v>
      </c>
      <c r="AF218" s="41">
        <f t="shared" si="71"/>
        <v>3634.7867158464132</v>
      </c>
      <c r="AG218" s="41">
        <f t="shared" si="71"/>
        <v>3559.0739876452717</v>
      </c>
      <c r="AH218" s="41">
        <f t="shared" si="71"/>
        <v>3483.3612594441311</v>
      </c>
    </row>
    <row r="219" spans="1:42">
      <c r="C219" t="s">
        <v>254</v>
      </c>
      <c r="D219" s="41">
        <f t="shared" ref="D219:AH219" si="72">D74</f>
        <v>0</v>
      </c>
      <c r="E219" s="41">
        <f t="shared" si="72"/>
        <v>16039.315836118823</v>
      </c>
      <c r="F219" s="41">
        <f t="shared" si="72"/>
        <v>18197.943335202315</v>
      </c>
      <c r="G219" s="41">
        <f t="shared" si="72"/>
        <v>20647.221969013135</v>
      </c>
      <c r="H219" s="41">
        <f t="shared" si="72"/>
        <v>23426.293831920706</v>
      </c>
      <c r="I219" s="41">
        <f t="shared" si="72"/>
        <v>26579.572660410184</v>
      </c>
      <c r="J219" s="41">
        <f t="shared" si="72"/>
        <v>30157.453834506363</v>
      </c>
      <c r="K219" s="41">
        <f t="shared" si="72"/>
        <v>34217.120005400189</v>
      </c>
      <c r="L219" s="41">
        <f t="shared" si="72"/>
        <v>38823.455228697319</v>
      </c>
      <c r="M219" s="41">
        <f t="shared" si="72"/>
        <v>44050.08221737561</v>
      </c>
      <c r="N219" s="41">
        <f t="shared" si="72"/>
        <v>49980.539296840463</v>
      </c>
      <c r="O219" s="41">
        <f t="shared" si="72"/>
        <v>56709.615877871533</v>
      </c>
      <c r="P219" s="41">
        <f t="shared" si="72"/>
        <v>64344.867797461768</v>
      </c>
      <c r="Q219" s="41">
        <f t="shared" si="72"/>
        <v>73008.336753084732</v>
      </c>
      <c r="R219" s="41">
        <f t="shared" si="72"/>
        <v>82838.501318744005</v>
      </c>
      <c r="S219" s="41">
        <f t="shared" si="72"/>
        <v>93992.490733441402</v>
      </c>
      <c r="T219" s="41">
        <f t="shared" si="72"/>
        <v>106648.59685361538</v>
      </c>
      <c r="U219" s="41">
        <f t="shared" si="72"/>
        <v>121009.12442782627</v>
      </c>
      <c r="V219" s="41">
        <f t="shared" si="72"/>
        <v>137303.62526069404</v>
      </c>
      <c r="W219" s="41">
        <f t="shared" si="72"/>
        <v>155792.56797029951</v>
      </c>
      <c r="X219" s="41">
        <f t="shared" si="72"/>
        <v>176771.50200705836</v>
      </c>
      <c r="Y219" s="41">
        <f t="shared" si="72"/>
        <v>200575.7825037991</v>
      </c>
      <c r="Z219" s="41">
        <f t="shared" si="72"/>
        <v>227585.93149273761</v>
      </c>
      <c r="AA219" s="41">
        <f t="shared" si="72"/>
        <v>258233.72119859414</v>
      </c>
      <c r="AB219" s="41">
        <f t="shared" si="72"/>
        <v>293009.07666087471</v>
      </c>
      <c r="AC219" s="41">
        <f t="shared" si="72"/>
        <v>332467.90803689492</v>
      </c>
      <c r="AD219" s="41">
        <f t="shared" si="72"/>
        <v>377240.99779986346</v>
      </c>
      <c r="AE219" s="41">
        <f t="shared" si="72"/>
        <v>428044.08491087495</v>
      </c>
      <c r="AF219" s="41">
        <f t="shared" si="72"/>
        <v>485689.30717960122</v>
      </c>
      <c r="AG219" s="41">
        <f t="shared" si="72"/>
        <v>551098.18474173627</v>
      </c>
      <c r="AH219" s="41">
        <f t="shared" si="72"/>
        <v>625316.35221898253</v>
      </c>
    </row>
    <row r="220" spans="1:42">
      <c r="C220" t="s">
        <v>27</v>
      </c>
      <c r="D220" s="41">
        <f t="shared" ref="D220:AH220" si="73">D65</f>
        <v>387852.09507639048</v>
      </c>
      <c r="E220" s="41">
        <f t="shared" si="73"/>
        <v>384991.69095993985</v>
      </c>
      <c r="F220" s="41">
        <f t="shared" si="73"/>
        <v>382114.97322085168</v>
      </c>
      <c r="G220" s="41">
        <f t="shared" si="73"/>
        <v>379221.75499902491</v>
      </c>
      <c r="H220" s="41">
        <f t="shared" si="73"/>
        <v>376311.84779575205</v>
      </c>
      <c r="I220" s="41">
        <f t="shared" si="73"/>
        <v>373385.06147200917</v>
      </c>
      <c r="J220" s="41">
        <f t="shared" si="73"/>
        <v>370441.20424716116</v>
      </c>
      <c r="K220" s="41">
        <f t="shared" si="73"/>
        <v>367480.0826980971</v>
      </c>
      <c r="L220" s="41">
        <f t="shared" si="73"/>
        <v>364501.50175881042</v>
      </c>
      <c r="M220" s="41">
        <f t="shared" si="73"/>
        <v>361505.26472044067</v>
      </c>
      <c r="N220" s="41">
        <f t="shared" si="73"/>
        <v>358491.17323178914</v>
      </c>
      <c r="O220" s="41">
        <f t="shared" si="73"/>
        <v>355459.02730032976</v>
      </c>
      <c r="P220" s="41">
        <f t="shared" si="73"/>
        <v>352408.62529372622</v>
      </c>
      <c r="Q220" s="41">
        <f t="shared" si="73"/>
        <v>349339.76394187694</v>
      </c>
      <c r="R220" s="41">
        <f t="shared" si="73"/>
        <v>346252.23833950236</v>
      </c>
      <c r="S220" s="41">
        <f t="shared" si="73"/>
        <v>343145.8419492945</v>
      </c>
      <c r="T220" s="41">
        <f t="shared" si="73"/>
        <v>340020.36660564516</v>
      </c>
      <c r="U220" s="41">
        <f t="shared" si="73"/>
        <v>336875.60251897329</v>
      </c>
      <c r="V220" s="41">
        <f t="shared" si="73"/>
        <v>333711.33828066924</v>
      </c>
      <c r="W220" s="41">
        <f t="shared" si="73"/>
        <v>330527.36086867796</v>
      </c>
      <c r="X220" s="41">
        <f t="shared" si="73"/>
        <v>327323.45565373765</v>
      </c>
      <c r="Y220" s="41">
        <f t="shared" si="73"/>
        <v>324064.58321876265</v>
      </c>
      <c r="Z220" s="41">
        <f t="shared" si="73"/>
        <v>320785.80078283692</v>
      </c>
      <c r="AA220" s="41">
        <f t="shared" si="73"/>
        <v>317486.90046168282</v>
      </c>
      <c r="AB220" s="41">
        <f t="shared" si="73"/>
        <v>314167.67305694736</v>
      </c>
      <c r="AC220" s="41">
        <f t="shared" si="73"/>
        <v>310827.90807160258</v>
      </c>
      <c r="AD220" s="41">
        <f t="shared" si="73"/>
        <v>307467.39372624864</v>
      </c>
      <c r="AE220" s="41">
        <f t="shared" si="73"/>
        <v>304085.91697634663</v>
      </c>
      <c r="AF220" s="41">
        <f t="shared" si="73"/>
        <v>300683.26353040873</v>
      </c>
      <c r="AG220" s="41">
        <f t="shared" si="73"/>
        <v>297259.21786917117</v>
      </c>
      <c r="AH220" s="41">
        <f t="shared" si="73"/>
        <v>293813.56326578069</v>
      </c>
    </row>
    <row r="221" spans="1:42">
      <c r="C221" t="s">
        <v>43</v>
      </c>
      <c r="D221" s="41">
        <f>SUM(D213:D220)</f>
        <v>1049369.6122000003</v>
      </c>
      <c r="E221" s="41">
        <f t="shared" ref="E221:AH221" si="74">SUM(E213:E220)</f>
        <v>1065503.7917080096</v>
      </c>
      <c r="F221" s="41">
        <f t="shared" si="74"/>
        <v>1067760.5082438278</v>
      </c>
      <c r="G221" s="41">
        <f t="shared" si="74"/>
        <v>1070311.1835260212</v>
      </c>
      <c r="H221" s="41">
        <f t="shared" si="74"/>
        <v>1073195.0437600235</v>
      </c>
      <c r="I221" s="41">
        <f t="shared" si="74"/>
        <v>1076456.5886972607</v>
      </c>
      <c r="J221" s="41">
        <f t="shared" si="74"/>
        <v>1080146.3016769984</v>
      </c>
      <c r="K221" s="41">
        <f t="shared" si="74"/>
        <v>1084321.4552952172</v>
      </c>
      <c r="L221" s="41">
        <f t="shared" si="74"/>
        <v>1089047.0255799475</v>
      </c>
      <c r="M221" s="41">
        <f t="shared" si="74"/>
        <v>1094396.7292871745</v>
      </c>
      <c r="N221" s="41">
        <f t="shared" si="74"/>
        <v>1100454.2008997132</v>
      </c>
      <c r="O221" s="41">
        <f t="shared" si="74"/>
        <v>1107651.1736176817</v>
      </c>
      <c r="P221" s="41">
        <f t="shared" si="74"/>
        <v>1115769.9110725876</v>
      </c>
      <c r="Q221" s="41">
        <f t="shared" si="74"/>
        <v>1124932.8497794662</v>
      </c>
      <c r="R221" s="41">
        <f t="shared" si="74"/>
        <v>1135278.8720483431</v>
      </c>
      <c r="S221" s="41">
        <f t="shared" si="74"/>
        <v>1146965.5199618286</v>
      </c>
      <c r="T221" s="41">
        <f t="shared" si="74"/>
        <v>1160171.5075205341</v>
      </c>
      <c r="U221" s="41">
        <f t="shared" si="74"/>
        <v>1175099.5711146658</v>
      </c>
      <c r="V221" s="41">
        <f t="shared" si="74"/>
        <v>1191979.7038888747</v>
      </c>
      <c r="W221" s="41">
        <f t="shared" si="74"/>
        <v>1211072.8257046603</v>
      </c>
      <c r="X221" s="41">
        <f t="shared" si="74"/>
        <v>1232674.9473684113</v>
      </c>
      <c r="Y221" s="41">
        <f t="shared" si="74"/>
        <v>1257254.793861405</v>
      </c>
      <c r="Z221" s="41">
        <f t="shared" si="74"/>
        <v>1285064.9898126847</v>
      </c>
      <c r="AA221" s="41">
        <f t="shared" si="74"/>
        <v>1316537.9156612461</v>
      </c>
      <c r="AB221" s="41">
        <f t="shared" si="74"/>
        <v>1352164.1182651541</v>
      </c>
      <c r="AC221" s="41">
        <f t="shared" si="74"/>
        <v>1392500.1434913436</v>
      </c>
      <c r="AD221" s="41">
        <f t="shared" si="74"/>
        <v>1438177.4237062898</v>
      </c>
      <c r="AE221" s="41">
        <f t="shared" si="74"/>
        <v>1489912.362246525</v>
      </c>
      <c r="AF221" s="41">
        <f t="shared" si="74"/>
        <v>1548517.7760839078</v>
      </c>
      <c r="AG221" s="41">
        <f t="shared" si="74"/>
        <v>1614915.8796138091</v>
      </c>
      <c r="AH221" s="41">
        <f t="shared" si="74"/>
        <v>1690153.0171321386</v>
      </c>
    </row>
    <row r="223" spans="1:42">
      <c r="A223" s="1" t="s">
        <v>620</v>
      </c>
      <c r="C223" t="s">
        <v>164</v>
      </c>
      <c r="D223" s="41">
        <f>D213</f>
        <v>0</v>
      </c>
      <c r="E223" s="41">
        <f t="shared" ref="E223:AH224" si="75">E213</f>
        <v>4575.2518931350332</v>
      </c>
      <c r="F223" s="41">
        <f t="shared" si="75"/>
        <v>9151.4182871864614</v>
      </c>
      <c r="G223" s="41">
        <f t="shared" si="75"/>
        <v>13728.526216818416</v>
      </c>
      <c r="H223" s="41">
        <f t="shared" si="75"/>
        <v>18306.603390566739</v>
      </c>
      <c r="I223" s="41">
        <f t="shared" si="75"/>
        <v>22885.678205965574</v>
      </c>
      <c r="J223" s="41">
        <f t="shared" si="75"/>
        <v>27465.779764988984</v>
      </c>
      <c r="K223" s="41">
        <f t="shared" si="75"/>
        <v>32046.937889813733</v>
      </c>
      <c r="L223" s="41">
        <f t="shared" si="75"/>
        <v>36629.183138909604</v>
      </c>
      <c r="M223" s="41">
        <f t="shared" si="75"/>
        <v>41212.546823463592</v>
      </c>
      <c r="N223" s="41">
        <f t="shared" si="75"/>
        <v>45797.061024144481</v>
      </c>
      <c r="O223" s="41">
        <f t="shared" si="75"/>
        <v>53729.750929260437</v>
      </c>
      <c r="P223" s="41">
        <f t="shared" si="75"/>
        <v>61688.034584359186</v>
      </c>
      <c r="Q223" s="41">
        <f t="shared" si="75"/>
        <v>69672.613998164103</v>
      </c>
      <c r="R223" s="41">
        <f t="shared" si="75"/>
        <v>77684.207232746907</v>
      </c>
      <c r="S223" s="41">
        <f t="shared" si="75"/>
        <v>85723.548726789319</v>
      </c>
      <c r="T223" s="41">
        <f t="shared" si="75"/>
        <v>93791.389624648247</v>
      </c>
      <c r="U223" s="41">
        <f t="shared" si="75"/>
        <v>101888.49811131567</v>
      </c>
      <c r="V223" s="41">
        <f t="shared" si="75"/>
        <v>110015.65975336466</v>
      </c>
      <c r="W223" s="41">
        <f t="shared" si="75"/>
        <v>118173.67784597585</v>
      </c>
      <c r="X223" s="41">
        <f t="shared" si="75"/>
        <v>126363.37376613761</v>
      </c>
      <c r="Y223" s="41">
        <f t="shared" si="75"/>
        <v>135910.15754240676</v>
      </c>
      <c r="Z223" s="41">
        <f t="shared" si="75"/>
        <v>145525.88057744433</v>
      </c>
      <c r="AA223" s="41">
        <f t="shared" si="75"/>
        <v>155212.09586328507</v>
      </c>
      <c r="AB223" s="41">
        <f t="shared" si="75"/>
        <v>164970.38133957074</v>
      </c>
      <c r="AC223" s="41">
        <f t="shared" si="75"/>
        <v>174802.34008380442</v>
      </c>
      <c r="AD223" s="41">
        <f t="shared" si="75"/>
        <v>184709.60049604377</v>
      </c>
      <c r="AE223" s="41">
        <f t="shared" si="75"/>
        <v>194693.81647768666</v>
      </c>
      <c r="AF223" s="41">
        <f t="shared" si="75"/>
        <v>204756.66760398966</v>
      </c>
      <c r="AG223" s="41">
        <f t="shared" si="75"/>
        <v>214899.85928994574</v>
      </c>
      <c r="AH223" s="41">
        <f t="shared" si="75"/>
        <v>225125.12294913729</v>
      </c>
    </row>
    <row r="224" spans="1:42">
      <c r="C224" t="s">
        <v>167</v>
      </c>
      <c r="D224" s="41">
        <f>D214</f>
        <v>0</v>
      </c>
      <c r="E224" s="41">
        <f t="shared" si="75"/>
        <v>3007.0776471657837</v>
      </c>
      <c r="F224" s="41">
        <f t="shared" si="75"/>
        <v>6011.4943683350402</v>
      </c>
      <c r="G224" s="41">
        <f t="shared" si="75"/>
        <v>9013.1823098948607</v>
      </c>
      <c r="H224" s="41">
        <f t="shared" si="75"/>
        <v>12012.072080217102</v>
      </c>
      <c r="I224" s="41">
        <f t="shared" si="75"/>
        <v>15008.092716975585</v>
      </c>
      <c r="J224" s="41">
        <f t="shared" si="75"/>
        <v>18001.171653796515</v>
      </c>
      <c r="K224" s="41">
        <f t="shared" si="75"/>
        <v>20991.234686228989</v>
      </c>
      <c r="L224" s="41">
        <f t="shared" si="75"/>
        <v>23978.205937022067</v>
      </c>
      <c r="M224" s="41">
        <f t="shared" si="75"/>
        <v>26962.007820694642</v>
      </c>
      <c r="N224" s="41">
        <f t="shared" si="75"/>
        <v>29942.561007384127</v>
      </c>
      <c r="O224" s="41">
        <f t="shared" si="75"/>
        <v>32919.78438595972</v>
      </c>
      <c r="P224" s="41">
        <f t="shared" si="75"/>
        <v>34792.81879020654</v>
      </c>
      <c r="Q224" s="41">
        <f t="shared" si="75"/>
        <v>37877.005308882879</v>
      </c>
      <c r="R224" s="41">
        <f t="shared" si="75"/>
        <v>40957.607618236187</v>
      </c>
      <c r="S224" s="41">
        <f t="shared" si="75"/>
        <v>44034.537097970271</v>
      </c>
      <c r="T224" s="41">
        <f t="shared" si="75"/>
        <v>47107.703150535352</v>
      </c>
      <c r="U224" s="41">
        <f t="shared" si="75"/>
        <v>50177.013159512746</v>
      </c>
      <c r="V224" s="41">
        <f t="shared" si="75"/>
        <v>53242.372447155925</v>
      </c>
      <c r="W224" s="41">
        <f t="shared" si="75"/>
        <v>56303.684231071646</v>
      </c>
      <c r="X224" s="41">
        <f t="shared" si="75"/>
        <v>59360.849580023714</v>
      </c>
      <c r="Y224" s="41">
        <f t="shared" si="75"/>
        <v>65907.432546891083</v>
      </c>
      <c r="Z224" s="41">
        <f t="shared" si="75"/>
        <v>68962.766824527833</v>
      </c>
      <c r="AA224" s="41">
        <f t="shared" si="75"/>
        <v>72013.528680941919</v>
      </c>
      <c r="AB224" s="41">
        <f t="shared" si="75"/>
        <v>75059.607183548564</v>
      </c>
      <c r="AC224" s="41">
        <f t="shared" si="75"/>
        <v>78100.888949484826</v>
      </c>
      <c r="AD224" s="41">
        <f t="shared" si="75"/>
        <v>81137.258094359699</v>
      </c>
      <c r="AE224" s="41">
        <f t="shared" si="75"/>
        <v>84168.596179969798</v>
      </c>
      <c r="AF224" s="41">
        <f t="shared" si="75"/>
        <v>87194.782160960225</v>
      </c>
      <c r="AG224" s="41">
        <f t="shared" si="75"/>
        <v>90215.692330410267</v>
      </c>
      <c r="AH224" s="41">
        <f t="shared" si="75"/>
        <v>93231.200264322062</v>
      </c>
      <c r="AJ224" cm="1">
        <f t="array" ref="AJ224">_xlfn.IFS(AH127&lt;0, AH122, AH127-AH122&lt;=0,AH127-AH122, else, AH122)</f>
        <v>-74967.947633105403</v>
      </c>
    </row>
    <row r="225" spans="3:36">
      <c r="C225" t="s">
        <v>621</v>
      </c>
      <c r="D225" s="41" cm="1">
        <f t="array" ref="D225">-(D95-D92+D105-D102+D115-D112+_xlfn.IFS(D127&lt;0, -D122, D127-D122&lt;=0,D127-D122, else, D122)+D139-D134)</f>
        <v>0</v>
      </c>
      <c r="E225" s="41" cm="1">
        <f t="array" ref="E225">-(E95-E92+E105-E102+E115-E112+_xlfn.IFS(E127&lt;0, -E122, E127-E122&lt;=0,E127-E122, else, E122)+E139-E134)</f>
        <v>9373.8931539673358</v>
      </c>
      <c r="F225" s="41" cm="1">
        <f t="array" ref="F225">-(F95-F92+F105-F102+F115-F112+_xlfn.IFS(F127&lt;0, -F122, F127-F122&lt;=0,F127-F122, else, F122)+F139-F134)</f>
        <v>18468.859778265061</v>
      </c>
      <c r="G225" s="41" cm="1">
        <f t="array" ref="G225">-(G95-G92+G105-G102+G115-G112+_xlfn.IFS(G127&lt;0, -G122, G127-G122&lt;=0,G127-G122, else, G122)+G139-G134)</f>
        <v>27285.420615923184</v>
      </c>
      <c r="H225" s="41" cm="1">
        <f t="array" ref="H225">-(H95-H92+H105-H102+H115-H112+_xlfn.IFS(H127&lt;0, -H122, H127-H122&lt;=0,H127-H122, else, H122)+H139-H134)</f>
        <v>35824.103461303341</v>
      </c>
      <c r="I225" s="41" cm="1">
        <f t="array" ref="I225">-(I95-I92+I105-I102+I115-I112+_xlfn.IFS(I127&lt;0, -I122, I127-I122&lt;=0,I127-I122, else, I122)+I139-I134)</f>
        <v>44085.443160099036</v>
      </c>
      <c r="J225" s="41" cm="1">
        <f t="array" ref="J225">-(J95-J92+J105-J102+J115-J112+_xlfn.IFS(J127&lt;0, -J122, J127-J122&lt;=0,J127-J122, else, J122)+J139-J134)</f>
        <v>51452.916146540141</v>
      </c>
      <c r="K225" s="41" cm="1">
        <f t="array" ref="K225">-(K95-K92+K105-K102+K115-K112+_xlfn.IFS(K127&lt;0, -K122, K127-K122&lt;=0,K127-K122, else, K122)+K139-K134)</f>
        <v>58499.64881541091</v>
      </c>
      <c r="L225" s="41" cm="1">
        <f t="array" ref="L225">-(L95-L92+L105-L102+L115-L112+_xlfn.IFS(L127&lt;0, -L122, L127-L122&lt;=0,L127-L122, else, L122)+L139-L134)</f>
        <v>65226.197166399972</v>
      </c>
      <c r="M225" s="41" cm="1">
        <f t="array" ref="M225">-(M95-M92+M105-M102+M115-M112+_xlfn.IFS(M127&lt;0, -M122, M127-M122&lt;=0,M127-M122, else, M122)+M139-M134)</f>
        <v>71633.124250527238</v>
      </c>
      <c r="N225" s="41" cm="1">
        <f t="array" ref="N225">-(N95-N92+N105-N102+N115-N112+_xlfn.IFS(N127&lt;0, -N122, N127-N122&lt;=0,N127-N122, else, N122)+N139-N134)</f>
        <v>77721.000170144311</v>
      </c>
      <c r="O225" s="41" cm="1">
        <f t="array" ref="O225">-(O95-O92+O105-O102+O115-O112+_xlfn.IFS(O127&lt;0, -O122, O127-O122&lt;=0,O127-O122, else, O122)+O139-O134)</f>
        <v>91423.807511988096</v>
      </c>
      <c r="P225" s="41" cm="1">
        <f t="array" ref="P225">-(P95-P92+P105-P102+P115-P112+_xlfn.IFS(P127&lt;0, -P122, P127-P122&lt;=0,P127-P122, else, P122)+P139-P134)</f>
        <v>105271.76535910036</v>
      </c>
      <c r="Q225" s="41" cm="1">
        <f t="array" ref="Q225">-(Q95-Q92+Q105-Q102+Q115-Q112+_xlfn.IFS(Q127&lt;0, -Q122, Q127-Q122&lt;=0,Q127-Q122, else, Q122)+Q139-Q134)</f>
        <v>116744.49137851474</v>
      </c>
      <c r="R225" s="41" cm="1">
        <f t="array" ref="R225">-(R95-R92+R105-R102+R115-R112+_xlfn.IFS(R127&lt;0, -R122, R127-R122&lt;=0,R127-R122, else, R122)+R139-R134)</f>
        <v>127126.77271523501</v>
      </c>
      <c r="S225" s="41" cm="1">
        <f t="array" ref="S225">-(S95-S92+S105-S102+S115-S112+_xlfn.IFS(S127&lt;0, -S122, S127-S122&lt;=0,S127-S122, else, S122)+S139-S134)</f>
        <v>136420.59983260895</v>
      </c>
      <c r="T225" s="41" cm="1">
        <f t="array" ref="T225">-(T95-T92+T105-T102+T115-T112+_xlfn.IFS(T127&lt;0, -T122, T127-T122&lt;=0,T127-T122, else, T122)+T139-T134)</f>
        <v>144827.56543025281</v>
      </c>
      <c r="U225" s="41" cm="1">
        <f t="array" ref="U225">-(U95-U92+U105-U102+U115-U112+_xlfn.IFS(U127&lt;0, -U122, U127-U122&lt;=0,U127-U122, else, U122)+U139-U134)</f>
        <v>152167.63023370202</v>
      </c>
      <c r="V225" s="41" cm="1">
        <f t="array" ref="V225">-(V95-V92+V105-V102+V115-V112+_xlfn.IFS(V127&lt;0, -V122, V127-V122&lt;=0,V127-V122, else, V122)+V139-V134)</f>
        <v>158442.87309774006</v>
      </c>
      <c r="W225" s="41" cm="1">
        <f t="array" ref="W225">-(W95-W92+W105-W102+W115-W112+_xlfn.IFS(W127&lt;0, -W122, W127-W122&lt;=0,W127-W122, else, W122)+W139-W134)</f>
        <v>163655.40234103258</v>
      </c>
      <c r="X225" s="41" cm="1">
        <f t="array" ref="X225">-(X95-X92+X105-X102+X115-X112+_xlfn.IFS(X127&lt;0, -X122, X127-X122&lt;=0,X127-X122, else, X122)+X139-X134)</f>
        <v>167807.35574616306</v>
      </c>
      <c r="Y225" s="41" cm="1">
        <f t="array" ref="Y225">-(Y95-Y92+Y105-Y102+Y115-Y112+_xlfn.IFS(Y127&lt;0, -Y122, Y127-Y122&lt;=0,Y127-Y122, else, Y122)+Y139-Y134)</f>
        <v>176144.36620181159</v>
      </c>
      <c r="Z225" s="41" cm="1">
        <f t="array" ref="Z225">-(Z95-Z92+Z105-Z102+Z115-Z112+_xlfn.IFS(Z127&lt;0, -Z122, Z127-Z122&lt;=0,Z127-Z122, else, Z122)+Z139-Z134)</f>
        <v>188315.31842252519</v>
      </c>
      <c r="AA225" s="41" cm="1">
        <f t="array" ref="AA225">-(AA95-AA92+AA105-AA102+AA115-AA112+_xlfn.IFS(AA127&lt;0, -AA122, AA127-AA122&lt;=0,AA127-AA122, else, AA122)+AA139-AA134)</f>
        <v>198578.88948771113</v>
      </c>
      <c r="AB225" s="41" cm="1">
        <f t="array" ref="AB225">-(AB95-AB92+AB105-AB102+AB115-AB112+_xlfn.IFS(AB127&lt;0, -AB122, AB127-AB122&lt;=0,AB127-AB122, else, AB122)+AB139-AB134)</f>
        <v>207012.33272408746</v>
      </c>
      <c r="AC225" s="41" cm="1">
        <f t="array" ref="AC225">-(AC95-AC92+AC105-AC102+AC115-AC112+_xlfn.IFS(AC127&lt;0, -AC122, AC127-AC122&lt;=0,AC127-AC122, else, AC122)+AC139-AC134)</f>
        <v>213548.56288394541</v>
      </c>
      <c r="AD225" s="41" cm="1">
        <f t="array" ref="AD225">-(AD95-AD92+AD105-AD102+AD115-AD112+_xlfn.IFS(AD127&lt;0, -AD122, AD127-AD122&lt;=0,AD127-AD122, else, AD122)+AD139-AD134)</f>
        <v>216973.67418791883</v>
      </c>
      <c r="AE225" s="41" cm="1">
        <f t="array" ref="AE225">-(AE95-AE92+AE105-AE102+AE115-AE112+_xlfn.IFS(AE127&lt;0, -AE122, AE127-AE122&lt;=0,AE127-AE122, else, AE122)+AE139-AE134)</f>
        <v>218650.7830134909</v>
      </c>
      <c r="AF225" s="41" cm="1">
        <f t="array" ref="AF225">-(AF95-AF92+AF105-AF102+AF115-AF112+_xlfn.IFS(AF127&lt;0, -AF122, AF127-AF122&lt;=0,AF127-AF122, else, AF122)+AF139-AF134)</f>
        <v>218593.95441039139</v>
      </c>
      <c r="AG225" s="41" cm="1">
        <f t="array" ref="AG225">-(AG95-AG92+AG105-AG102+AG115-AG112+_xlfn.IFS(AG127&lt;0, -AG122, AG127-AG122&lt;=0,AG127-AG122, else, AG122)+AG139-AG134)</f>
        <v>216817.34034776117</v>
      </c>
      <c r="AH225" s="41" cm="1">
        <f t="array" ref="AH225">-(AH95-AH92+AH105-AH102+AH115-AH112+_xlfn.IFS(AH127&lt;0, -AH122, AH127-AH122&lt;=0,AH127-AH122, else, AH122)+AH139-AH134)</f>
        <v>214227.77980109619</v>
      </c>
      <c r="AI225" s="41"/>
    </row>
    <row r="226" spans="3:36">
      <c r="C226" t="s">
        <v>555</v>
      </c>
      <c r="D226" s="41">
        <f t="shared" ref="D226:AH226" si="76">D95</f>
        <v>360575.67443292518</v>
      </c>
      <c r="E226" s="41">
        <f t="shared" si="76"/>
        <v>352779.29671739123</v>
      </c>
      <c r="F226" s="41">
        <f t="shared" si="76"/>
        <v>345134.98458796466</v>
      </c>
      <c r="G226" s="41">
        <f t="shared" si="76"/>
        <v>337641.94909393799</v>
      </c>
      <c r="H226" s="41">
        <f t="shared" si="76"/>
        <v>330299.40128460404</v>
      </c>
      <c r="I226" s="41">
        <f t="shared" si="76"/>
        <v>323106.55220925517</v>
      </c>
      <c r="J226" s="41">
        <f t="shared" si="76"/>
        <v>316062.61291718396</v>
      </c>
      <c r="K226" s="41">
        <f t="shared" si="76"/>
        <v>309166.79445768328</v>
      </c>
      <c r="L226" s="41">
        <f t="shared" si="76"/>
        <v>302418.30788004544</v>
      </c>
      <c r="M226" s="41">
        <f t="shared" si="76"/>
        <v>295816.36423356325</v>
      </c>
      <c r="N226" s="41">
        <f t="shared" si="76"/>
        <v>289360.17456752923</v>
      </c>
      <c r="O226" s="41">
        <f t="shared" si="76"/>
        <v>277754.83525415167</v>
      </c>
      <c r="P226" s="41">
        <f t="shared" si="76"/>
        <v>267221.05744528421</v>
      </c>
      <c r="Q226" s="41">
        <f t="shared" si="76"/>
        <v>256470.36389702311</v>
      </c>
      <c r="R226" s="41">
        <f t="shared" si="76"/>
        <v>246194.80376189284</v>
      </c>
      <c r="S226" s="41">
        <f t="shared" si="76"/>
        <v>236391.66181453163</v>
      </c>
      <c r="T226" s="41">
        <f t="shared" si="76"/>
        <v>227058.22280088012</v>
      </c>
      <c r="U226" s="41">
        <f t="shared" si="76"/>
        <v>218191.77143838684</v>
      </c>
      <c r="V226" s="41">
        <f t="shared" si="76"/>
        <v>209789.59241621307</v>
      </c>
      <c r="W226" s="41">
        <f t="shared" si="76"/>
        <v>201848.97039543875</v>
      </c>
      <c r="X226" s="41">
        <f t="shared" si="76"/>
        <v>194367.19000926762</v>
      </c>
      <c r="Y226" s="41">
        <f t="shared" si="76"/>
        <v>181975.90891423021</v>
      </c>
      <c r="Z226" s="41">
        <f t="shared" si="76"/>
        <v>171501.89568696628</v>
      </c>
      <c r="AA226" s="41">
        <f t="shared" si="76"/>
        <v>161867.50442073139</v>
      </c>
      <c r="AB226" s="41">
        <f t="shared" si="76"/>
        <v>153060.12787294434</v>
      </c>
      <c r="AC226" s="41">
        <f t="shared" si="76"/>
        <v>145074.84368892439</v>
      </c>
      <c r="AD226" s="41">
        <f t="shared" si="76"/>
        <v>137906.72878697267</v>
      </c>
      <c r="AE226" s="41">
        <f t="shared" si="76"/>
        <v>131550.85936664973</v>
      </c>
      <c r="AF226" s="41">
        <f t="shared" si="76"/>
        <v>126002.31091705378</v>
      </c>
      <c r="AG226" s="41">
        <f t="shared" si="76"/>
        <v>121256.15822510129</v>
      </c>
      <c r="AH226" s="41">
        <f t="shared" si="76"/>
        <v>118481.94140606716</v>
      </c>
    </row>
    <row r="227" spans="3:36">
      <c r="C227" t="s">
        <v>19</v>
      </c>
      <c r="D227" s="41">
        <f t="shared" ref="D227:AH227" si="77">IF(D127&lt;0,0,D127)</f>
        <v>201906.27397932502</v>
      </c>
      <c r="E227" s="41">
        <f t="shared" si="77"/>
        <v>196508.26058735739</v>
      </c>
      <c r="F227" s="41">
        <f t="shared" si="77"/>
        <v>191203.95855243143</v>
      </c>
      <c r="G227" s="41">
        <f t="shared" si="77"/>
        <v>185993.83670618371</v>
      </c>
      <c r="H227" s="41">
        <f t="shared" si="77"/>
        <v>180878.35682891906</v>
      </c>
      <c r="I227" s="41">
        <f t="shared" si="77"/>
        <v>175857.97364961091</v>
      </c>
      <c r="J227" s="41">
        <f t="shared" si="77"/>
        <v>171130.93571609922</v>
      </c>
      <c r="K227" s="41">
        <f t="shared" si="77"/>
        <v>166510.55198857468</v>
      </c>
      <c r="L227" s="41">
        <f t="shared" si="77"/>
        <v>161996.90333110112</v>
      </c>
      <c r="M227" s="41">
        <f t="shared" si="77"/>
        <v>157590.06355641037</v>
      </c>
      <c r="N227" s="41">
        <f t="shared" si="77"/>
        <v>153290.09942590285</v>
      </c>
      <c r="O227" s="41">
        <f t="shared" si="77"/>
        <v>145769.54055308548</v>
      </c>
      <c r="P227" s="41">
        <f t="shared" si="77"/>
        <v>138127.53599713178</v>
      </c>
      <c r="Q227" s="41">
        <f t="shared" si="77"/>
        <v>131450.20211636124</v>
      </c>
      <c r="R227" s="41">
        <f t="shared" si="77"/>
        <v>125184.91698533282</v>
      </c>
      <c r="S227" s="41">
        <f t="shared" si="77"/>
        <v>119332.54767832049</v>
      </c>
      <c r="T227" s="41">
        <f t="shared" si="77"/>
        <v>113811.18897075272</v>
      </c>
      <c r="U227" s="41">
        <f t="shared" si="77"/>
        <v>108698.71582066374</v>
      </c>
      <c r="V227" s="41">
        <f t="shared" si="77"/>
        <v>103996.10503039765</v>
      </c>
      <c r="W227" s="41">
        <f t="shared" si="77"/>
        <v>99704.303977597112</v>
      </c>
      <c r="X227" s="41">
        <f t="shared" si="77"/>
        <v>95824.230616093482</v>
      </c>
      <c r="Y227" s="41">
        <f t="shared" si="77"/>
        <v>90623.630961446179</v>
      </c>
      <c r="Z227" s="41">
        <f t="shared" si="77"/>
        <v>83705.996586966605</v>
      </c>
      <c r="AA227" s="41">
        <f t="shared" si="77"/>
        <v>77501.662815778327</v>
      </c>
      <c r="AB227" s="41">
        <f t="shared" si="77"/>
        <v>71978.638179429952</v>
      </c>
      <c r="AC227" s="41">
        <f t="shared" si="77"/>
        <v>67209.339180040057</v>
      </c>
      <c r="AD227" s="41">
        <f t="shared" si="77"/>
        <v>64297.879618519451</v>
      </c>
      <c r="AE227" s="41">
        <f t="shared" si="77"/>
        <v>61989.41321136144</v>
      </c>
      <c r="AF227" s="41">
        <f t="shared" si="77"/>
        <v>60275.0427374707</v>
      </c>
      <c r="AG227" s="41">
        <f t="shared" si="77"/>
        <v>59145.78749621172</v>
      </c>
      <c r="AH227" s="41">
        <f t="shared" si="77"/>
        <v>62961.069075209103</v>
      </c>
    </row>
    <row r="228" spans="3:36">
      <c r="C228" t="s">
        <v>333</v>
      </c>
      <c r="D228" s="41">
        <f t="shared" ref="D228:AH228" si="78">D105</f>
        <v>93277.946794923075</v>
      </c>
      <c r="E228" s="41">
        <f t="shared" si="78"/>
        <v>94278.770883282355</v>
      </c>
      <c r="F228" s="41">
        <f t="shared" si="78"/>
        <v>95320.849371933349</v>
      </c>
      <c r="G228" s="41">
        <f t="shared" si="78"/>
        <v>96404.379830059435</v>
      </c>
      <c r="H228" s="41">
        <f t="shared" si="78"/>
        <v>97529.564193854778</v>
      </c>
      <c r="I228" s="41">
        <f t="shared" si="78"/>
        <v>98696.608825406365</v>
      </c>
      <c r="J228" s="41">
        <f t="shared" si="78"/>
        <v>99905.724572320119</v>
      </c>
      <c r="K228" s="41">
        <f t="shared" si="78"/>
        <v>101157.1268281001</v>
      </c>
      <c r="L228" s="41">
        <f t="shared" si="78"/>
        <v>102451.0355932893</v>
      </c>
      <c r="M228" s="41">
        <f t="shared" si="78"/>
        <v>103787.6755373801</v>
      </c>
      <c r="N228" s="41">
        <f t="shared" si="78"/>
        <v>105167.27606150383</v>
      </c>
      <c r="O228" s="41">
        <f t="shared" si="78"/>
        <v>105795.09891196009</v>
      </c>
      <c r="P228" s="41">
        <f t="shared" si="78"/>
        <v>106404.33117187933</v>
      </c>
      <c r="Q228" s="41">
        <f t="shared" si="78"/>
        <v>107220.2535420458</v>
      </c>
      <c r="R228" s="41">
        <f t="shared" si="78"/>
        <v>108127.05462225289</v>
      </c>
      <c r="S228" s="41">
        <f t="shared" si="78"/>
        <v>109124.26455464645</v>
      </c>
      <c r="T228" s="41">
        <f t="shared" si="78"/>
        <v>110211.40976019927</v>
      </c>
      <c r="U228" s="41">
        <f t="shared" si="78"/>
        <v>111388.01283620119</v>
      </c>
      <c r="V228" s="41">
        <f t="shared" si="78"/>
        <v>112653.59245199505</v>
      </c>
      <c r="W228" s="41">
        <f t="shared" si="78"/>
        <v>114007.66324294149</v>
      </c>
      <c r="X228" s="41">
        <f t="shared" si="78"/>
        <v>115449.73570259562</v>
      </c>
      <c r="Y228" s="41">
        <f t="shared" si="78"/>
        <v>115932.17025305137</v>
      </c>
      <c r="Z228" s="41">
        <f t="shared" si="78"/>
        <v>116036.41884771596</v>
      </c>
      <c r="AA228" s="41">
        <f t="shared" si="78"/>
        <v>116255.76072993351</v>
      </c>
      <c r="AB228" s="41">
        <f t="shared" si="78"/>
        <v>116579.74697599014</v>
      </c>
      <c r="AC228" s="41">
        <f t="shared" si="78"/>
        <v>117007.11221658012</v>
      </c>
      <c r="AD228" s="41">
        <f t="shared" si="78"/>
        <v>117536.58330743593</v>
      </c>
      <c r="AE228" s="41">
        <f t="shared" si="78"/>
        <v>118166.87941373962</v>
      </c>
      <c r="AF228" s="41">
        <f t="shared" si="78"/>
        <v>118896.71210693289</v>
      </c>
      <c r="AG228" s="41">
        <f t="shared" si="78"/>
        <v>119724.78547440989</v>
      </c>
      <c r="AH228" s="41">
        <f t="shared" si="78"/>
        <v>110862.57939045432</v>
      </c>
    </row>
    <row r="229" spans="3:36">
      <c r="C229" s="124" t="s">
        <v>365</v>
      </c>
      <c r="D229" s="41">
        <f t="shared" ref="D229:AH229" si="79">D115</f>
        <v>5757.6219164365802</v>
      </c>
      <c r="E229" s="41">
        <f t="shared" si="79"/>
        <v>5555.65118628854</v>
      </c>
      <c r="F229" s="41">
        <f t="shared" si="79"/>
        <v>5346.0707276711291</v>
      </c>
      <c r="G229" s="41">
        <f t="shared" si="79"/>
        <v>5128.8805405843495</v>
      </c>
      <c r="H229" s="41">
        <f t="shared" si="79"/>
        <v>4904.0806250281994</v>
      </c>
      <c r="I229" s="41">
        <f t="shared" si="79"/>
        <v>4671.6709810026796</v>
      </c>
      <c r="J229" s="41">
        <f t="shared" si="79"/>
        <v>4473.3238157144206</v>
      </c>
      <c r="K229" s="41">
        <f t="shared" si="79"/>
        <v>4277.1729654143501</v>
      </c>
      <c r="L229" s="41">
        <f t="shared" si="79"/>
        <v>4083.9238519315782</v>
      </c>
      <c r="M229" s="41">
        <f t="shared" si="79"/>
        <v>3894.2818970952167</v>
      </c>
      <c r="N229" s="41">
        <f t="shared" si="79"/>
        <v>3708.9525227343747</v>
      </c>
      <c r="O229" s="41">
        <f t="shared" si="79"/>
        <v>3505.3389779567733</v>
      </c>
      <c r="P229" s="41">
        <f t="shared" si="79"/>
        <v>3305.7995050472027</v>
      </c>
      <c r="Q229" s="41">
        <f t="shared" si="79"/>
        <v>3111.6788143674025</v>
      </c>
      <c r="R229" s="41">
        <f t="shared" si="79"/>
        <v>2924.3216162791182</v>
      </c>
      <c r="S229" s="41">
        <f t="shared" si="79"/>
        <v>2745.0726211440888</v>
      </c>
      <c r="T229" s="41">
        <f t="shared" si="79"/>
        <v>2541.1895097823904</v>
      </c>
      <c r="U229" s="41">
        <f t="shared" si="79"/>
        <v>2341.9721827330004</v>
      </c>
      <c r="V229" s="41">
        <f t="shared" si="79"/>
        <v>2148.3693353320391</v>
      </c>
      <c r="W229" s="41">
        <f t="shared" si="79"/>
        <v>1961.3296629156148</v>
      </c>
      <c r="X229" s="41">
        <f t="shared" si="79"/>
        <v>1781.8018608198481</v>
      </c>
      <c r="Y229" s="41">
        <f t="shared" si="79"/>
        <v>1511.1180938414054</v>
      </c>
      <c r="Z229" s="41">
        <f t="shared" si="79"/>
        <v>1250.5578769858107</v>
      </c>
      <c r="AA229" s="41">
        <f t="shared" si="79"/>
        <v>1001.8024424942805</v>
      </c>
      <c r="AB229" s="41">
        <f t="shared" si="79"/>
        <v>766.53302260803002</v>
      </c>
      <c r="AC229" s="41">
        <f t="shared" si="79"/>
        <v>546.43084956828079</v>
      </c>
      <c r="AD229" s="41">
        <f t="shared" si="79"/>
        <v>383.06490209543335</v>
      </c>
      <c r="AE229" s="41">
        <f t="shared" si="79"/>
        <v>244.56356822513862</v>
      </c>
      <c r="AF229" s="41">
        <f t="shared" si="79"/>
        <v>132.95512355115443</v>
      </c>
      <c r="AG229" s="41">
        <f t="shared" si="79"/>
        <v>50.26784366724587</v>
      </c>
      <c r="AH229" s="41">
        <f t="shared" si="79"/>
        <v>-344.93610449648349</v>
      </c>
    </row>
    <row r="230" spans="3:36">
      <c r="C230" t="s">
        <v>254</v>
      </c>
      <c r="D230" s="41">
        <f>D219</f>
        <v>0</v>
      </c>
      <c r="E230" s="41">
        <f t="shared" ref="E230:AH230" si="80">E219</f>
        <v>16039.315836118823</v>
      </c>
      <c r="F230" s="41">
        <f t="shared" si="80"/>
        <v>18197.943335202315</v>
      </c>
      <c r="G230" s="41">
        <f t="shared" si="80"/>
        <v>20647.221969013135</v>
      </c>
      <c r="H230" s="41">
        <f t="shared" si="80"/>
        <v>23426.293831920706</v>
      </c>
      <c r="I230" s="41">
        <f t="shared" si="80"/>
        <v>26579.572660410184</v>
      </c>
      <c r="J230" s="41">
        <f t="shared" si="80"/>
        <v>30157.453834506363</v>
      </c>
      <c r="K230" s="41">
        <f t="shared" si="80"/>
        <v>34217.120005400189</v>
      </c>
      <c r="L230" s="41">
        <f t="shared" si="80"/>
        <v>38823.455228697319</v>
      </c>
      <c r="M230" s="41">
        <f t="shared" si="80"/>
        <v>44050.08221737561</v>
      </c>
      <c r="N230" s="41">
        <f t="shared" si="80"/>
        <v>49980.539296840463</v>
      </c>
      <c r="O230" s="41">
        <f t="shared" si="80"/>
        <v>56709.615877871533</v>
      </c>
      <c r="P230" s="41">
        <f t="shared" si="80"/>
        <v>64344.867797461768</v>
      </c>
      <c r="Q230" s="41">
        <f t="shared" si="80"/>
        <v>73008.336753084732</v>
      </c>
      <c r="R230" s="41">
        <f t="shared" si="80"/>
        <v>82838.501318744005</v>
      </c>
      <c r="S230" s="41">
        <f t="shared" si="80"/>
        <v>93992.490733441402</v>
      </c>
      <c r="T230" s="41">
        <f t="shared" si="80"/>
        <v>106648.59685361538</v>
      </c>
      <c r="U230" s="41">
        <f t="shared" si="80"/>
        <v>121009.12442782627</v>
      </c>
      <c r="V230" s="41">
        <f t="shared" si="80"/>
        <v>137303.62526069404</v>
      </c>
      <c r="W230" s="41">
        <f t="shared" si="80"/>
        <v>155792.56797029951</v>
      </c>
      <c r="X230" s="41">
        <f t="shared" si="80"/>
        <v>176771.50200705836</v>
      </c>
      <c r="Y230" s="41">
        <f t="shared" si="80"/>
        <v>200575.7825037991</v>
      </c>
      <c r="Z230" s="41">
        <f t="shared" si="80"/>
        <v>227585.93149273761</v>
      </c>
      <c r="AA230" s="41">
        <f t="shared" si="80"/>
        <v>258233.72119859414</v>
      </c>
      <c r="AB230" s="41">
        <f t="shared" si="80"/>
        <v>293009.07666087471</v>
      </c>
      <c r="AC230" s="41">
        <f t="shared" si="80"/>
        <v>332467.90803689492</v>
      </c>
      <c r="AD230" s="41">
        <f t="shared" si="80"/>
        <v>377240.99779986346</v>
      </c>
      <c r="AE230" s="41">
        <f t="shared" si="80"/>
        <v>428044.08491087495</v>
      </c>
      <c r="AF230" s="41">
        <f t="shared" si="80"/>
        <v>485689.30717960122</v>
      </c>
      <c r="AG230" s="41">
        <f t="shared" si="80"/>
        <v>551098.18474173627</v>
      </c>
      <c r="AH230" s="41">
        <f t="shared" si="80"/>
        <v>625316.35221898253</v>
      </c>
    </row>
    <row r="231" spans="3:36">
      <c r="C231" t="s">
        <v>27</v>
      </c>
      <c r="D231" s="41">
        <f t="shared" ref="D231:AH231" si="81">D139-D230</f>
        <v>387852.09507639048</v>
      </c>
      <c r="E231" s="41">
        <f t="shared" si="81"/>
        <v>383386.27380330302</v>
      </c>
      <c r="F231" s="41">
        <f t="shared" si="81"/>
        <v>378924.92923483835</v>
      </c>
      <c r="G231" s="41">
        <f t="shared" si="81"/>
        <v>374467.78624360601</v>
      </c>
      <c r="H231" s="41">
        <f t="shared" si="81"/>
        <v>370014.56806360942</v>
      </c>
      <c r="I231" s="41">
        <f t="shared" si="81"/>
        <v>365564.99628853513</v>
      </c>
      <c r="J231" s="41">
        <f t="shared" si="81"/>
        <v>361496.38325584889</v>
      </c>
      <c r="K231" s="41">
        <f t="shared" si="81"/>
        <v>357454.86765859107</v>
      </c>
      <c r="L231" s="41">
        <f t="shared" si="81"/>
        <v>353439.81345255102</v>
      </c>
      <c r="M231" s="41">
        <f t="shared" si="81"/>
        <v>349450.58295066468</v>
      </c>
      <c r="N231" s="41">
        <f t="shared" si="81"/>
        <v>345486.53682352952</v>
      </c>
      <c r="O231" s="41">
        <f t="shared" si="81"/>
        <v>340043.40121544793</v>
      </c>
      <c r="P231" s="41">
        <f t="shared" si="81"/>
        <v>334613.70042211737</v>
      </c>
      <c r="Q231" s="41">
        <f t="shared" si="81"/>
        <v>329377.90397102234</v>
      </c>
      <c r="R231" s="41">
        <f t="shared" si="81"/>
        <v>324240.68617762334</v>
      </c>
      <c r="S231" s="41">
        <f t="shared" si="81"/>
        <v>319200.79690237588</v>
      </c>
      <c r="T231" s="41">
        <f t="shared" si="81"/>
        <v>314174.24141986796</v>
      </c>
      <c r="U231" s="41">
        <f t="shared" si="81"/>
        <v>309236.83290432452</v>
      </c>
      <c r="V231" s="41">
        <f t="shared" si="81"/>
        <v>304387.51409598219</v>
      </c>
      <c r="W231" s="41">
        <f t="shared" si="81"/>
        <v>299625.22603738774</v>
      </c>
      <c r="X231" s="41">
        <f t="shared" si="81"/>
        <v>294948.90808025206</v>
      </c>
      <c r="Y231" s="41">
        <f t="shared" si="81"/>
        <v>288674.22684392706</v>
      </c>
      <c r="Z231" s="41">
        <f t="shared" si="81"/>
        <v>282180.22349681513</v>
      </c>
      <c r="AA231" s="41">
        <f t="shared" si="81"/>
        <v>275872.9500217762</v>
      </c>
      <c r="AB231" s="41">
        <f t="shared" si="81"/>
        <v>269727.67430610029</v>
      </c>
      <c r="AC231" s="41">
        <f t="shared" si="81"/>
        <v>263742.71760210145</v>
      </c>
      <c r="AD231" s="41">
        <f t="shared" si="81"/>
        <v>257991.63651308045</v>
      </c>
      <c r="AE231" s="41">
        <f t="shared" si="81"/>
        <v>252403.36610452679</v>
      </c>
      <c r="AF231" s="41">
        <f t="shared" si="81"/>
        <v>246976.04384395661</v>
      </c>
      <c r="AG231" s="41">
        <f t="shared" si="81"/>
        <v>241707.80386456556</v>
      </c>
      <c r="AH231" s="41">
        <f t="shared" si="81"/>
        <v>240291.90813136636</v>
      </c>
    </row>
    <row r="232" spans="3:36">
      <c r="D232" s="41">
        <f>SUM(D226:D231)</f>
        <v>1049369.6122000003</v>
      </c>
      <c r="E232" s="41">
        <f t="shared" ref="E232:AG232" si="82">SUM(E226:E231)</f>
        <v>1048547.5690137413</v>
      </c>
      <c r="F232" s="41">
        <f t="shared" si="82"/>
        <v>1034128.7358100413</v>
      </c>
      <c r="G232" s="41">
        <f t="shared" si="82"/>
        <v>1020284.0543833846</v>
      </c>
      <c r="H232" s="41">
        <f t="shared" si="82"/>
        <v>1007052.2648279363</v>
      </c>
      <c r="I232" s="41">
        <f t="shared" si="82"/>
        <v>994477.37461422035</v>
      </c>
      <c r="J232" s="41">
        <f t="shared" si="82"/>
        <v>983226.43411167292</v>
      </c>
      <c r="K232" s="41">
        <f t="shared" si="82"/>
        <v>972783.63390376372</v>
      </c>
      <c r="L232" s="41">
        <f t="shared" si="82"/>
        <v>963213.43933761574</v>
      </c>
      <c r="M232" s="41">
        <f t="shared" si="82"/>
        <v>954589.0503924893</v>
      </c>
      <c r="N232" s="41">
        <f t="shared" si="82"/>
        <v>946993.57869804022</v>
      </c>
      <c r="O232" s="41">
        <f t="shared" si="82"/>
        <v>929577.8307904735</v>
      </c>
      <c r="P232" s="41">
        <f t="shared" si="82"/>
        <v>914017.29233892169</v>
      </c>
      <c r="Q232" s="41">
        <f t="shared" si="82"/>
        <v>900638.73909390473</v>
      </c>
      <c r="R232" s="41">
        <f t="shared" si="82"/>
        <v>889510.28448212508</v>
      </c>
      <c r="S232" s="41">
        <f t="shared" si="82"/>
        <v>880786.83430445986</v>
      </c>
      <c r="T232" s="41">
        <f t="shared" si="82"/>
        <v>874444.8493150979</v>
      </c>
      <c r="U232" s="41">
        <f t="shared" si="82"/>
        <v>870866.42961013562</v>
      </c>
      <c r="V232" s="41">
        <f t="shared" si="82"/>
        <v>870278.79859061399</v>
      </c>
      <c r="W232" s="41">
        <f t="shared" si="82"/>
        <v>872940.06128658028</v>
      </c>
      <c r="X232" s="41">
        <f t="shared" si="82"/>
        <v>879143.3682760871</v>
      </c>
      <c r="Y232" s="41">
        <f t="shared" si="82"/>
        <v>879292.83757029532</v>
      </c>
      <c r="Z232" s="41">
        <f t="shared" si="82"/>
        <v>882261.02398818731</v>
      </c>
      <c r="AA232" s="41">
        <f t="shared" si="82"/>
        <v>890733.40162930777</v>
      </c>
      <c r="AB232" s="41">
        <f t="shared" si="82"/>
        <v>905121.79701794754</v>
      </c>
      <c r="AC232" s="41">
        <f t="shared" si="82"/>
        <v>926048.35157410917</v>
      </c>
      <c r="AD232" s="41">
        <f t="shared" si="82"/>
        <v>955356.89092796738</v>
      </c>
      <c r="AE232" s="41">
        <f t="shared" si="82"/>
        <v>992399.16657537769</v>
      </c>
      <c r="AF232" s="41">
        <f t="shared" si="82"/>
        <v>1037972.3719085664</v>
      </c>
      <c r="AG232" s="41">
        <f t="shared" si="82"/>
        <v>1092982.987645692</v>
      </c>
      <c r="AH232" s="41">
        <f>SUM(AH226:AH231)</f>
        <v>1157568.9141175831</v>
      </c>
    </row>
    <row r="233" spans="3:36">
      <c r="C233" t="s">
        <v>43</v>
      </c>
      <c r="D233" s="41">
        <f>SUM(D223:D231)</f>
        <v>1049369.6122000003</v>
      </c>
      <c r="E233" s="41">
        <f t="shared" ref="E233:AH233" si="83">SUM(E223:E231)</f>
        <v>1065503.7917080096</v>
      </c>
      <c r="F233" s="41">
        <f t="shared" si="83"/>
        <v>1067760.5082438278</v>
      </c>
      <c r="G233" s="41">
        <f t="shared" si="83"/>
        <v>1070311.183526021</v>
      </c>
      <c r="H233" s="41">
        <f t="shared" si="83"/>
        <v>1073195.0437600235</v>
      </c>
      <c r="I233" s="41">
        <f t="shared" si="83"/>
        <v>1076456.5886972607</v>
      </c>
      <c r="J233" s="41">
        <f t="shared" si="83"/>
        <v>1080146.3016769986</v>
      </c>
      <c r="K233" s="41">
        <f t="shared" si="83"/>
        <v>1084321.4552952172</v>
      </c>
      <c r="L233" s="41">
        <f t="shared" si="83"/>
        <v>1089047.0255799475</v>
      </c>
      <c r="M233" s="41">
        <f t="shared" si="83"/>
        <v>1094396.729287175</v>
      </c>
      <c r="N233" s="41">
        <f t="shared" si="83"/>
        <v>1100454.2008997132</v>
      </c>
      <c r="O233" s="41">
        <f t="shared" si="83"/>
        <v>1107651.173617682</v>
      </c>
      <c r="P233" s="41">
        <f t="shared" si="83"/>
        <v>1115769.9110725876</v>
      </c>
      <c r="Q233" s="41">
        <f t="shared" si="83"/>
        <v>1124932.8497794662</v>
      </c>
      <c r="R233" s="41">
        <f t="shared" si="83"/>
        <v>1135278.8720483431</v>
      </c>
      <c r="S233" s="41">
        <f t="shared" si="83"/>
        <v>1146965.5199618286</v>
      </c>
      <c r="T233" s="41">
        <f t="shared" si="83"/>
        <v>1160171.5075205341</v>
      </c>
      <c r="U233" s="41">
        <f t="shared" si="83"/>
        <v>1175099.5711146661</v>
      </c>
      <c r="V233" s="41">
        <f t="shared" si="83"/>
        <v>1191979.7038888745</v>
      </c>
      <c r="W233" s="41">
        <f t="shared" si="83"/>
        <v>1211072.8257046603</v>
      </c>
      <c r="X233" s="41">
        <f t="shared" si="83"/>
        <v>1232674.9473684113</v>
      </c>
      <c r="Y233" s="41">
        <f t="shared" si="83"/>
        <v>1257254.7938614045</v>
      </c>
      <c r="Z233" s="41">
        <f t="shared" si="83"/>
        <v>1285064.9898126847</v>
      </c>
      <c r="AA233" s="41">
        <f t="shared" si="83"/>
        <v>1316537.9156612458</v>
      </c>
      <c r="AB233" s="41">
        <f t="shared" si="83"/>
        <v>1352164.1182651541</v>
      </c>
      <c r="AC233" s="41">
        <f t="shared" si="83"/>
        <v>1392500.1434913438</v>
      </c>
      <c r="AD233" s="41">
        <f t="shared" si="83"/>
        <v>1438177.4237062898</v>
      </c>
      <c r="AE233" s="41">
        <f t="shared" si="83"/>
        <v>1489912.362246525</v>
      </c>
      <c r="AF233" s="41">
        <f t="shared" si="83"/>
        <v>1548517.7760839076</v>
      </c>
      <c r="AG233" s="41">
        <f t="shared" si="83"/>
        <v>1614915.8796138093</v>
      </c>
      <c r="AH233" s="41">
        <f t="shared" si="83"/>
        <v>1690153.0171321386</v>
      </c>
    </row>
    <row r="234" spans="3:36">
      <c r="C234" t="s">
        <v>636</v>
      </c>
      <c r="D234" s="41">
        <f>D221-D233</f>
        <v>0</v>
      </c>
      <c r="E234" s="41">
        <f t="shared" ref="E234:AH234" si="84">E221-E233</f>
        <v>0</v>
      </c>
      <c r="F234" s="41">
        <f t="shared" si="84"/>
        <v>0</v>
      </c>
      <c r="G234" s="41">
        <f t="shared" si="84"/>
        <v>0</v>
      </c>
      <c r="H234" s="41">
        <f t="shared" si="84"/>
        <v>0</v>
      </c>
      <c r="I234" s="41">
        <f t="shared" si="84"/>
        <v>0</v>
      </c>
      <c r="J234" s="41">
        <f t="shared" si="84"/>
        <v>0</v>
      </c>
      <c r="K234" s="41">
        <f t="shared" si="84"/>
        <v>0</v>
      </c>
      <c r="L234" s="41">
        <f t="shared" si="84"/>
        <v>0</v>
      </c>
      <c r="M234" s="41">
        <f t="shared" si="84"/>
        <v>0</v>
      </c>
      <c r="N234" s="41">
        <f t="shared" si="84"/>
        <v>0</v>
      </c>
      <c r="O234" s="41">
        <f t="shared" si="84"/>
        <v>0</v>
      </c>
      <c r="P234" s="41">
        <f t="shared" si="84"/>
        <v>0</v>
      </c>
      <c r="Q234" s="41">
        <f t="shared" si="84"/>
        <v>0</v>
      </c>
      <c r="R234" s="41">
        <f t="shared" si="84"/>
        <v>0</v>
      </c>
      <c r="S234" s="41">
        <f t="shared" si="84"/>
        <v>0</v>
      </c>
      <c r="T234" s="41">
        <f t="shared" si="84"/>
        <v>0</v>
      </c>
      <c r="U234" s="41">
        <f t="shared" si="84"/>
        <v>0</v>
      </c>
      <c r="V234" s="41">
        <f t="shared" si="84"/>
        <v>0</v>
      </c>
      <c r="W234" s="41">
        <f t="shared" si="84"/>
        <v>0</v>
      </c>
      <c r="X234" s="41">
        <f t="shared" si="84"/>
        <v>0</v>
      </c>
      <c r="Y234" s="41">
        <f t="shared" si="84"/>
        <v>0</v>
      </c>
      <c r="Z234" s="41">
        <f t="shared" si="84"/>
        <v>0</v>
      </c>
      <c r="AA234" s="41">
        <f t="shared" si="84"/>
        <v>0</v>
      </c>
      <c r="AB234" s="41">
        <f t="shared" si="84"/>
        <v>0</v>
      </c>
      <c r="AC234" s="41">
        <f t="shared" si="84"/>
        <v>0</v>
      </c>
      <c r="AD234" s="41">
        <f t="shared" si="84"/>
        <v>0</v>
      </c>
      <c r="AE234" s="41">
        <f t="shared" si="84"/>
        <v>0</v>
      </c>
      <c r="AF234" s="41">
        <f t="shared" si="84"/>
        <v>0</v>
      </c>
      <c r="AG234" s="41">
        <f t="shared" si="84"/>
        <v>0</v>
      </c>
      <c r="AH234" s="41">
        <f t="shared" si="84"/>
        <v>0</v>
      </c>
      <c r="AJ234" s="195" t="s">
        <v>637</v>
      </c>
    </row>
    <row r="237" spans="3:36">
      <c r="D237">
        <v>0</v>
      </c>
      <c r="E237">
        <v>0.81640345713137952</v>
      </c>
      <c r="F237">
        <v>1.666058500053833</v>
      </c>
      <c r="G237">
        <v>2.5500343564866434</v>
      </c>
      <c r="H237">
        <v>3.4694321026148049</v>
      </c>
      <c r="I237">
        <v>4.4253855804194231</v>
      </c>
      <c r="J237">
        <v>5.4116148447371781</v>
      </c>
      <c r="K237">
        <v>6.433880749495084</v>
      </c>
      <c r="L237">
        <v>7.493230731469148</v>
      </c>
      <c r="M237">
        <v>8.5907402011062644</v>
      </c>
      <c r="N237">
        <v>9.7275132597225848</v>
      </c>
      <c r="O237">
        <v>11.804876621985937</v>
      </c>
      <c r="P237">
        <v>13.938610172529065</v>
      </c>
      <c r="Q237">
        <v>16.129902849560086</v>
      </c>
      <c r="R237">
        <v>18.379966319311229</v>
      </c>
      <c r="S237">
        <v>20.690035389852653</v>
      </c>
      <c r="T237">
        <v>23.05560340231235</v>
      </c>
      <c r="U237">
        <v>25.482855337839865</v>
      </c>
      <c r="V237">
        <v>27.97307035955501</v>
      </c>
      <c r="W237">
        <v>30.527551880542326</v>
      </c>
      <c r="X237">
        <v>33.147628003827421</v>
      </c>
      <c r="Y237">
        <v>35.899497453601754</v>
      </c>
      <c r="Z237">
        <v>38.721439396182326</v>
      </c>
      <c r="AA237">
        <v>41.614885549660386</v>
      </c>
      <c r="AB237">
        <v>44.58129407873237</v>
      </c>
      <c r="AC237">
        <v>47.622150050812053</v>
      </c>
      <c r="AD237">
        <v>50.73051754498232</v>
      </c>
      <c r="AE237">
        <v>53.915538122746852</v>
      </c>
      <c r="AF237">
        <v>57.178756739585751</v>
      </c>
      <c r="AG237">
        <v>60.521746681557659</v>
      </c>
      <c r="AH237">
        <v>63.946110051417364</v>
      </c>
    </row>
    <row r="238" spans="3:36">
      <c r="D238">
        <v>0</v>
      </c>
      <c r="E238">
        <v>0.58501860007994644</v>
      </c>
      <c r="F238">
        <v>1.1898942462762592</v>
      </c>
      <c r="G238">
        <v>1.8151673035349989</v>
      </c>
      <c r="H238">
        <v>2.4613921637713059</v>
      </c>
      <c r="I238">
        <v>3.1291376104103765</v>
      </c>
      <c r="J238">
        <v>3.8165046937955225</v>
      </c>
      <c r="K238">
        <v>4.5256116539601754</v>
      </c>
      <c r="L238">
        <v>5.2570092435616997</v>
      </c>
      <c r="M238">
        <v>6.0112612541719805</v>
      </c>
      <c r="N238">
        <v>6.7889448190446444</v>
      </c>
      <c r="O238">
        <v>7.576152326111206</v>
      </c>
      <c r="P238">
        <v>8.1702142514352012</v>
      </c>
      <c r="Q238">
        <v>9.0989506583252666</v>
      </c>
      <c r="R238">
        <v>10.052082252239591</v>
      </c>
      <c r="S238">
        <v>11.030116272159832</v>
      </c>
      <c r="T238">
        <v>12.031647894498484</v>
      </c>
      <c r="U238">
        <v>13.058837966924941</v>
      </c>
      <c r="V238">
        <v>14.11221388775324</v>
      </c>
      <c r="W238">
        <v>15.192312994588908</v>
      </c>
      <c r="X238">
        <v>16.29968274422421</v>
      </c>
      <c r="Y238">
        <v>19.427495870574027</v>
      </c>
      <c r="Z238">
        <v>20.690121258239859</v>
      </c>
      <c r="AA238">
        <v>21.984019755867106</v>
      </c>
      <c r="AB238">
        <v>23.309828817006292</v>
      </c>
      <c r="AC238">
        <v>24.668197941666296</v>
      </c>
      <c r="AD238">
        <v>26.056972778481665</v>
      </c>
      <c r="AE238">
        <v>27.479361348969807</v>
      </c>
      <c r="AF238">
        <v>28.936042753580981</v>
      </c>
      <c r="AG238">
        <v>30.427708887657744</v>
      </c>
      <c r="AH238">
        <v>31.955064675496793</v>
      </c>
    </row>
    <row r="239" spans="3:36">
      <c r="D239">
        <v>0</v>
      </c>
      <c r="E239">
        <v>1.0047696737200127</v>
      </c>
      <c r="F239">
        <v>1.9851561693802289</v>
      </c>
      <c r="G239">
        <v>2.9406823927491779</v>
      </c>
      <c r="H239">
        <v>3.8708827073308569</v>
      </c>
      <c r="I239">
        <v>4.7753038236557153</v>
      </c>
      <c r="J239">
        <v>5.6168437643600413</v>
      </c>
      <c r="K239">
        <v>6.4281475387448026</v>
      </c>
      <c r="L239">
        <v>7.2086762420734729</v>
      </c>
      <c r="M239">
        <v>7.9619417933628327</v>
      </c>
      <c r="N239">
        <v>8.6907809274938117</v>
      </c>
      <c r="O239">
        <v>10.167888341291665</v>
      </c>
      <c r="P239">
        <v>11.630989692151246</v>
      </c>
      <c r="Q239">
        <v>12.848382969285815</v>
      </c>
      <c r="R239">
        <v>13.945010912770556</v>
      </c>
      <c r="S239">
        <v>14.932592614916285</v>
      </c>
      <c r="T239">
        <v>15.814768905882126</v>
      </c>
      <c r="U239">
        <v>16.581783027196586</v>
      </c>
      <c r="V239">
        <v>17.233599009805907</v>
      </c>
      <c r="W239">
        <v>17.7703390910766</v>
      </c>
      <c r="X239">
        <v>18.192291540453553</v>
      </c>
      <c r="Y239">
        <v>18.603596337147973</v>
      </c>
      <c r="Z239">
        <v>19.822469584573334</v>
      </c>
      <c r="AA239">
        <v>20.844383215943012</v>
      </c>
      <c r="AB239">
        <v>21.678519202096069</v>
      </c>
      <c r="AC239">
        <v>22.326277066318752</v>
      </c>
      <c r="AD239">
        <v>22.764166958275204</v>
      </c>
      <c r="AE239">
        <v>23.016417926355913</v>
      </c>
      <c r="AF239">
        <v>23.085377402470726</v>
      </c>
      <c r="AG239">
        <v>22.973776311064839</v>
      </c>
      <c r="AH239">
        <v>22.684746139261904</v>
      </c>
    </row>
    <row r="240" spans="3:36">
      <c r="D240">
        <v>90.483384663862097</v>
      </c>
      <c r="E240">
        <v>90.434934825429465</v>
      </c>
      <c r="F240">
        <v>90.393620037559145</v>
      </c>
      <c r="G240">
        <v>90.359469631274649</v>
      </c>
      <c r="H240">
        <v>90.33250274444805</v>
      </c>
      <c r="I240">
        <v>90.312727800200378</v>
      </c>
      <c r="J240">
        <v>90.300141968175211</v>
      </c>
      <c r="K240">
        <v>90.294730608228491</v>
      </c>
      <c r="L240">
        <v>90.296466696065096</v>
      </c>
      <c r="M240">
        <v>90.305310230342371</v>
      </c>
      <c r="N240">
        <v>90.32120762074949</v>
      </c>
      <c r="O240">
        <v>89.166055732116291</v>
      </c>
      <c r="P240">
        <v>88.20716351364679</v>
      </c>
      <c r="Q240">
        <v>87.002547946001584</v>
      </c>
      <c r="R240">
        <v>85.813590707463391</v>
      </c>
      <c r="S240">
        <v>84.639422433409919</v>
      </c>
      <c r="T240">
        <v>83.479091551807116</v>
      </c>
      <c r="U240">
        <v>82.331560936753888</v>
      </c>
      <c r="V240">
        <v>81.195704461389155</v>
      </c>
      <c r="W240">
        <v>80.070303447594867</v>
      </c>
      <c r="X240">
        <v>78.954043009870361</v>
      </c>
      <c r="Y240">
        <v>75.892381793098735</v>
      </c>
      <c r="Z240">
        <v>74.353735143232427</v>
      </c>
      <c r="AA240">
        <v>72.861059130987471</v>
      </c>
      <c r="AB240">
        <v>71.412035198291051</v>
      </c>
      <c r="AC240">
        <v>70.004571482917669</v>
      </c>
      <c r="AD240">
        <v>68.636391076123076</v>
      </c>
      <c r="AE240">
        <v>67.305024699983363</v>
      </c>
      <c r="AF240">
        <v>66.007803168386317</v>
      </c>
      <c r="AG240">
        <v>64.741849626233787</v>
      </c>
      <c r="AH240">
        <v>63.504071561287859</v>
      </c>
    </row>
    <row r="241" spans="4:44">
      <c r="D241">
        <v>34.871127768537121</v>
      </c>
      <c r="E241">
        <v>34.678603375151376</v>
      </c>
      <c r="F241">
        <v>34.494710003768645</v>
      </c>
      <c r="G241">
        <v>34.319607257959156</v>
      </c>
      <c r="H241">
        <v>34.153447524981289</v>
      </c>
      <c r="I241">
        <v>33.996375444556236</v>
      </c>
      <c r="J241">
        <v>33.859322637699485</v>
      </c>
      <c r="K241">
        <v>33.732458144271625</v>
      </c>
      <c r="L241">
        <v>33.615907533837834</v>
      </c>
      <c r="M241">
        <v>33.509785861916669</v>
      </c>
      <c r="N241">
        <v>33.41419700634691</v>
      </c>
      <c r="O241">
        <v>32.935362471237902</v>
      </c>
      <c r="P241">
        <v>32.459492817403515</v>
      </c>
      <c r="Q241">
        <v>32.106166183451492</v>
      </c>
      <c r="R241">
        <v>31.807411409536119</v>
      </c>
      <c r="S241">
        <v>31.563359462210734</v>
      </c>
      <c r="T241">
        <v>31.369639861580122</v>
      </c>
      <c r="U241">
        <v>31.230206252086951</v>
      </c>
      <c r="V241">
        <v>31.144937737314926</v>
      </c>
      <c r="W241">
        <v>31.113621983328599</v>
      </c>
      <c r="X241">
        <v>31.135950603656987</v>
      </c>
      <c r="Y241">
        <v>31.261341019796014</v>
      </c>
      <c r="Z241">
        <v>30.927321737000664</v>
      </c>
      <c r="AA241">
        <v>30.680009441532516</v>
      </c>
      <c r="AB241">
        <v>30.516862796384899</v>
      </c>
      <c r="AC241">
        <v>30.43691415398402</v>
      </c>
      <c r="AD241">
        <v>30.44776717598614</v>
      </c>
      <c r="AE241">
        <v>30.540170224959898</v>
      </c>
      <c r="AF241">
        <v>30.712566112914121</v>
      </c>
      <c r="AG241">
        <v>30.963181162293047</v>
      </c>
      <c r="AH241">
        <v>31.290015418728764</v>
      </c>
    </row>
    <row r="242" spans="4:44">
      <c r="D242">
        <v>8.4778361655826675</v>
      </c>
      <c r="E242">
        <v>8.6031616391533561</v>
      </c>
      <c r="F242">
        <v>8.7293239190458998</v>
      </c>
      <c r="G242">
        <v>8.8563078449407264</v>
      </c>
      <c r="H242">
        <v>8.9840974728022402</v>
      </c>
      <c r="I242">
        <v>9.112676053178431</v>
      </c>
      <c r="J242">
        <v>9.2420260090082618</v>
      </c>
      <c r="K242">
        <v>9.3721289129267014</v>
      </c>
      <c r="L242">
        <v>9.5029654640571941</v>
      </c>
      <c r="M242">
        <v>9.6345154642810584</v>
      </c>
      <c r="N242">
        <v>9.7667577939732091</v>
      </c>
      <c r="O242">
        <v>9.8655185121240176</v>
      </c>
      <c r="P242">
        <v>9.9622548916984446</v>
      </c>
      <c r="Q242">
        <v>10.05749857161501</v>
      </c>
      <c r="R242">
        <v>10.15072826224028</v>
      </c>
      <c r="S242">
        <v>10.241857777039931</v>
      </c>
      <c r="T242">
        <v>10.330799250693721</v>
      </c>
      <c r="U242">
        <v>10.417463120382381</v>
      </c>
      <c r="V242">
        <v>10.501758107104557</v>
      </c>
      <c r="W242">
        <v>10.583591197031753</v>
      </c>
      <c r="X242">
        <v>10.662867622909415</v>
      </c>
      <c r="Y242">
        <v>10.631484924079524</v>
      </c>
      <c r="Z242">
        <v>10.592283274944998</v>
      </c>
      <c r="AA242">
        <v>10.551297742922612</v>
      </c>
      <c r="AB242">
        <v>10.503756412864183</v>
      </c>
      <c r="AC242">
        <v>10.449626062487326</v>
      </c>
      <c r="AD242">
        <v>10.388878673861853</v>
      </c>
      <c r="AE242">
        <v>10.321491606904754</v>
      </c>
      <c r="AF242">
        <v>10.247447773971198</v>
      </c>
      <c r="AG242">
        <v>10.166735815408664</v>
      </c>
      <c r="AH242">
        <v>10.079350275933354</v>
      </c>
    </row>
    <row r="243" spans="4:44">
      <c r="D243">
        <v>3.4336211538461541</v>
      </c>
      <c r="E243">
        <v>3.4399047467618709</v>
      </c>
      <c r="F243">
        <v>3.4474350620335588</v>
      </c>
      <c r="G243">
        <v>3.4561099120954841</v>
      </c>
      <c r="H243">
        <v>3.4658231670285007</v>
      </c>
      <c r="I243">
        <v>3.4764647103733761</v>
      </c>
      <c r="J243">
        <v>3.4903193477107184</v>
      </c>
      <c r="K243">
        <v>3.5055216612542863</v>
      </c>
      <c r="L243">
        <v>3.5220171393677031</v>
      </c>
      <c r="M243">
        <v>3.5357122039254825</v>
      </c>
      <c r="N243">
        <v>3.5432012624089588</v>
      </c>
      <c r="O243">
        <v>3.5611153762228196</v>
      </c>
      <c r="P243">
        <v>3.5703081207132348</v>
      </c>
      <c r="Q243">
        <v>3.5886747290748779</v>
      </c>
      <c r="R243">
        <v>3.6120881086831171</v>
      </c>
      <c r="S243">
        <v>3.6283945907388668</v>
      </c>
      <c r="T243">
        <v>3.6425038224958479</v>
      </c>
      <c r="U243">
        <v>3.6560558136989467</v>
      </c>
      <c r="V243">
        <v>3.6690987027116684</v>
      </c>
      <c r="W243">
        <v>3.6816838972977148</v>
      </c>
      <c r="X243">
        <v>3.6938661925276621</v>
      </c>
      <c r="Y243">
        <v>3.6769611298269003</v>
      </c>
      <c r="Z243">
        <v>3.6586648583115786</v>
      </c>
      <c r="AA243">
        <v>3.6390651562393557</v>
      </c>
      <c r="AB243">
        <v>3.6182558614676079</v>
      </c>
      <c r="AC243">
        <v>3.5963370897684288</v>
      </c>
      <c r="AD243">
        <v>3.579786065716406</v>
      </c>
      <c r="AE243">
        <v>3.5635478905655504</v>
      </c>
      <c r="AF243">
        <v>3.5478465752499098</v>
      </c>
      <c r="AG243">
        <v>3.53291777814899</v>
      </c>
      <c r="AH243">
        <v>3.5190091940821056</v>
      </c>
    </row>
    <row r="244" spans="4:44">
      <c r="D244">
        <v>0</v>
      </c>
      <c r="E244">
        <v>0.25016154756968118</v>
      </c>
      <c r="F244">
        <v>0.28986870200513859</v>
      </c>
      <c r="G244">
        <v>0.33653620313046528</v>
      </c>
      <c r="H244">
        <v>0.39147496099701284</v>
      </c>
      <c r="I244">
        <v>0.45625413576964957</v>
      </c>
      <c r="J244">
        <v>0.53275333422256232</v>
      </c>
      <c r="K244">
        <v>0.62322550294024293</v>
      </c>
      <c r="L244">
        <v>0.73037272624888538</v>
      </c>
      <c r="M244">
        <v>0.85743759439017908</v>
      </c>
      <c r="N244">
        <v>1.0083133599050675</v>
      </c>
      <c r="O244">
        <v>1.1876767673530007</v>
      </c>
      <c r="P244">
        <v>1.4011482471884467</v>
      </c>
      <c r="Q244">
        <v>1.6554851376425255</v>
      </c>
      <c r="R244">
        <v>1.9588147735910229</v>
      </c>
      <c r="S244">
        <v>2.3209157006390968</v>
      </c>
      <c r="T244">
        <v>2.7535569867604934</v>
      </c>
      <c r="U244">
        <v>3.2709076740888903</v>
      </c>
      <c r="V244">
        <v>3.890030913909952</v>
      </c>
      <c r="W244">
        <v>4.6314803479793598</v>
      </c>
      <c r="X244">
        <v>5.5200199470268672</v>
      </c>
      <c r="Y244">
        <v>6.5854929231963908</v>
      </c>
      <c r="Z244">
        <v>7.8638706548523567</v>
      </c>
      <c r="AA244">
        <v>9.3985189900692099</v>
      </c>
      <c r="AB244">
        <v>11.241727059229223</v>
      </c>
      <c r="AC244">
        <v>13.456553105334194</v>
      </c>
      <c r="AD244">
        <v>16.11905316852248</v>
      </c>
      <c r="AE244">
        <v>19.320972144310595</v>
      </c>
      <c r="AF244">
        <v>23.172993263001359</v>
      </c>
      <c r="AG244">
        <v>27.808662002130689</v>
      </c>
      <c r="AH244">
        <v>33.389124559412735</v>
      </c>
    </row>
    <row r="245" spans="4:44">
      <c r="D245">
        <v>25.426337940479648</v>
      </c>
      <c r="E245">
        <v>27.164606280152238</v>
      </c>
      <c r="F245">
        <v>28.956243915604524</v>
      </c>
      <c r="G245">
        <v>30.802520505213469</v>
      </c>
      <c r="H245">
        <v>32.704731716846361</v>
      </c>
      <c r="I245">
        <v>34.664199689633357</v>
      </c>
      <c r="J245">
        <v>36.214156325723977</v>
      </c>
      <c r="K245">
        <v>37.806593765827508</v>
      </c>
      <c r="L245">
        <v>39.442399583717588</v>
      </c>
      <c r="M245">
        <v>41.122476392376726</v>
      </c>
      <c r="N245">
        <v>42.847742035652352</v>
      </c>
      <c r="O245">
        <v>42.507065634067452</v>
      </c>
      <c r="P245">
        <v>42.159178404291012</v>
      </c>
      <c r="Q245">
        <v>41.811133413425679</v>
      </c>
      <c r="R245">
        <v>41.458680395495861</v>
      </c>
      <c r="S245">
        <v>41.101728445541625</v>
      </c>
      <c r="T245">
        <v>40.597863969185894</v>
      </c>
      <c r="U245">
        <v>40.086644914924577</v>
      </c>
      <c r="V245">
        <v>39.567939723523594</v>
      </c>
      <c r="W245">
        <v>39.041611264422031</v>
      </c>
      <c r="X245">
        <v>38.507516620046623</v>
      </c>
      <c r="Y245">
        <v>37.71893700310833</v>
      </c>
      <c r="Z245">
        <v>36.891776101033173</v>
      </c>
      <c r="AA245">
        <v>36.057806191286502</v>
      </c>
      <c r="AB245">
        <v>35.215624222229266</v>
      </c>
      <c r="AC245">
        <v>34.365029526986675</v>
      </c>
      <c r="AD245">
        <v>33.396795535284454</v>
      </c>
      <c r="AE245">
        <v>32.419162895088455</v>
      </c>
      <c r="AF245">
        <v>31.431891372272197</v>
      </c>
      <c r="AG245">
        <v>30.434726796521176</v>
      </c>
      <c r="AH245">
        <v>29.42740053538121</v>
      </c>
    </row>
    <row r="249" spans="4:44" ht="59">
      <c r="AJ249" s="27"/>
      <c r="AK249" s="132" t="s">
        <v>128</v>
      </c>
      <c r="AL249" s="132" t="s">
        <v>305</v>
      </c>
      <c r="AM249" s="132" t="s">
        <v>306</v>
      </c>
      <c r="AN249" s="132" t="s">
        <v>678</v>
      </c>
      <c r="AO249" s="132" t="s">
        <v>151</v>
      </c>
      <c r="AP249" s="247" t="s">
        <v>152</v>
      </c>
      <c r="AQ249" s="132" t="s">
        <v>696</v>
      </c>
      <c r="AR249" s="132" t="s">
        <v>607</v>
      </c>
    </row>
    <row r="251" spans="4:44">
      <c r="AJ251" s="27" t="s">
        <v>1287</v>
      </c>
      <c r="AK251" s="136">
        <f>D4+'Yearly LC Propylene'!D4</f>
        <v>2176813.9622000009</v>
      </c>
      <c r="AL251" s="130"/>
      <c r="AM251" s="136" t="s">
        <v>307</v>
      </c>
      <c r="AN251" s="130"/>
      <c r="AO251" s="130"/>
      <c r="AP251" s="130"/>
      <c r="AQ251" s="130"/>
      <c r="AR251" s="505" t="s">
        <v>307</v>
      </c>
    </row>
    <row r="252" spans="4:44">
      <c r="AJ252" s="27" t="s">
        <v>151</v>
      </c>
      <c r="AK252" s="130"/>
      <c r="AL252" s="130"/>
      <c r="AM252" s="130"/>
      <c r="AN252" s="130"/>
      <c r="AO252" s="136">
        <f>AH81+'Yearly LC Propylene'!AH39</f>
        <v>414224.60819504631</v>
      </c>
      <c r="AP252" s="130"/>
      <c r="AQ252" s="130"/>
      <c r="AR252" s="130"/>
    </row>
    <row r="253" spans="4:44">
      <c r="AJ253" s="27" t="s">
        <v>152</v>
      </c>
      <c r="AK253" s="130"/>
      <c r="AL253" s="130"/>
      <c r="AM253" s="130"/>
      <c r="AN253" s="130"/>
      <c r="AO253" s="130"/>
      <c r="AP253" s="136">
        <f>AH82+'Yearly LC Propylene'!AH40</f>
        <v>121851.2308406927</v>
      </c>
      <c r="AQ253" s="130"/>
      <c r="AR253" s="130"/>
    </row>
    <row r="254" spans="4:44">
      <c r="AJ254" s="27" t="s">
        <v>621</v>
      </c>
      <c r="AK254" s="130"/>
      <c r="AL254" s="130"/>
      <c r="AM254" s="130"/>
      <c r="AN254" s="130"/>
      <c r="AO254" s="130"/>
      <c r="AP254" s="130"/>
      <c r="AQ254" s="136">
        <f>AH146+AH147+'Yearly LC Propylene'!AH66+'Yearly LC Propylene'!AH67</f>
        <v>487168.91417855368</v>
      </c>
      <c r="AR254" s="130"/>
    </row>
    <row r="255" spans="4:44">
      <c r="AJ255" s="27" t="s">
        <v>1288</v>
      </c>
      <c r="AK255" s="130"/>
      <c r="AL255" s="130"/>
      <c r="AM255" s="130"/>
      <c r="AN255" s="130"/>
      <c r="AO255" s="130"/>
      <c r="AP255" s="130"/>
      <c r="AQ255" s="136">
        <f>AH155+AH156+'Yearly LC Propylene'!AH69+'Yearly LC Propylene'!AH70</f>
        <v>37058.337831474186</v>
      </c>
      <c r="AR255" s="130"/>
    </row>
    <row r="256" spans="4:44">
      <c r="AJ256" s="27" t="s">
        <v>578</v>
      </c>
      <c r="AK256" s="130"/>
      <c r="AL256" s="136">
        <f>AH4-D4+'Yearly LC Propylene'!AH4-'Yearly LC Propylene'!D4</f>
        <v>0</v>
      </c>
      <c r="AM256" s="130"/>
      <c r="AN256" s="506">
        <f>AH83+'Yearly LC Propylene'!AH41</f>
        <v>671617.26395016955</v>
      </c>
      <c r="AO256" s="130"/>
      <c r="AP256" s="130"/>
      <c r="AQ256" s="130"/>
      <c r="AR256" s="130"/>
    </row>
  </sheetData>
  <mergeCells count="30">
    <mergeCell ref="A149:A152"/>
    <mergeCell ref="A153:A154"/>
    <mergeCell ref="A158:A161"/>
    <mergeCell ref="A162:A163"/>
    <mergeCell ref="A120:A121"/>
    <mergeCell ref="A128:A131"/>
    <mergeCell ref="A132:A133"/>
    <mergeCell ref="A140:A143"/>
    <mergeCell ref="A144:A145"/>
    <mergeCell ref="A96:A99"/>
    <mergeCell ref="A100:A101"/>
    <mergeCell ref="A106:A109"/>
    <mergeCell ref="A110:A111"/>
    <mergeCell ref="A116:A119"/>
    <mergeCell ref="A38:A39"/>
    <mergeCell ref="A5:A8"/>
    <mergeCell ref="A9:A10"/>
    <mergeCell ref="A20:A23"/>
    <mergeCell ref="A24:A25"/>
    <mergeCell ref="A34:A37"/>
    <mergeCell ref="A75:A78"/>
    <mergeCell ref="A79:A80"/>
    <mergeCell ref="A85:A88"/>
    <mergeCell ref="A89:A90"/>
    <mergeCell ref="A44:A47"/>
    <mergeCell ref="A48:A49"/>
    <mergeCell ref="A56:A59"/>
    <mergeCell ref="A60:A61"/>
    <mergeCell ref="A66:A69"/>
    <mergeCell ref="A70:A71"/>
  </mergeCell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91FC4-54DC-421E-B792-54D5F178C5C2}">
  <sheetPr>
    <tabColor theme="9"/>
  </sheetPr>
  <dimension ref="A2:AT153"/>
  <sheetViews>
    <sheetView zoomScale="70" zoomScaleNormal="70" workbookViewId="0">
      <pane xSplit="3" ySplit="3" topLeftCell="D4" activePane="bottomRight" state="frozen"/>
      <selection activeCell="C65" sqref="C65"/>
      <selection pane="topRight" activeCell="C65" sqref="C65"/>
      <selection pane="bottomLeft" activeCell="C65" sqref="C65"/>
      <selection pane="bottomRight" activeCell="D4" sqref="D4"/>
    </sheetView>
  </sheetViews>
  <sheetFormatPr defaultRowHeight="14.75" outlineLevelRow="1" outlineLevelCol="1"/>
  <cols>
    <col min="1" max="1" width="53.36328125" style="1" customWidth="1"/>
    <col min="2" max="2" width="24.36328125" style="1" customWidth="1"/>
    <col min="4" max="4" width="12.76953125" bestFit="1" customWidth="1"/>
    <col min="5" max="13" width="8.81640625" hidden="1" customWidth="1" outlineLevel="1"/>
    <col min="14" max="14" width="12.76953125" bestFit="1" customWidth="1" collapsed="1"/>
    <col min="15" max="23" width="8.81640625" hidden="1" customWidth="1" outlineLevel="1"/>
    <col min="24" max="24" width="12.76953125" bestFit="1" customWidth="1" collapsed="1"/>
    <col min="25" max="33" width="8.81640625" hidden="1" customWidth="1" outlineLevel="1"/>
    <col min="34" max="34" width="12.76953125" bestFit="1" customWidth="1" collapsed="1"/>
    <col min="36" max="36" width="15.36328125" customWidth="1"/>
  </cols>
  <sheetData>
    <row r="2" spans="1:36" s="50" customFormat="1">
      <c r="A2" s="49" t="s">
        <v>245</v>
      </c>
      <c r="B2" s="49"/>
      <c r="C2" s="49"/>
    </row>
    <row r="3" spans="1:36" s="1" customFormat="1">
      <c r="D3" s="1">
        <v>2020</v>
      </c>
      <c r="E3" s="1">
        <f>D3+1</f>
        <v>2021</v>
      </c>
      <c r="F3" s="1">
        <f t="shared" ref="F3:AH3" si="0">E3+1</f>
        <v>2022</v>
      </c>
      <c r="G3" s="1">
        <f t="shared" si="0"/>
        <v>2023</v>
      </c>
      <c r="H3" s="1">
        <f t="shared" si="0"/>
        <v>2024</v>
      </c>
      <c r="I3" s="1">
        <f t="shared" si="0"/>
        <v>2025</v>
      </c>
      <c r="J3" s="1">
        <f t="shared" si="0"/>
        <v>2026</v>
      </c>
      <c r="K3" s="1">
        <f t="shared" si="0"/>
        <v>2027</v>
      </c>
      <c r="L3" s="1">
        <f t="shared" si="0"/>
        <v>2028</v>
      </c>
      <c r="M3" s="1">
        <f t="shared" si="0"/>
        <v>2029</v>
      </c>
      <c r="N3" s="1">
        <f t="shared" si="0"/>
        <v>2030</v>
      </c>
      <c r="O3" s="1">
        <f t="shared" si="0"/>
        <v>2031</v>
      </c>
      <c r="P3" s="1">
        <f t="shared" si="0"/>
        <v>2032</v>
      </c>
      <c r="Q3" s="1">
        <f t="shared" si="0"/>
        <v>2033</v>
      </c>
      <c r="R3" s="1">
        <f>Q3+1</f>
        <v>2034</v>
      </c>
      <c r="S3" s="1">
        <f t="shared" si="0"/>
        <v>2035</v>
      </c>
      <c r="T3" s="1">
        <f t="shared" si="0"/>
        <v>2036</v>
      </c>
      <c r="U3" s="1">
        <f t="shared" si="0"/>
        <v>2037</v>
      </c>
      <c r="V3" s="1">
        <f t="shared" si="0"/>
        <v>2038</v>
      </c>
      <c r="W3" s="1">
        <f t="shared" si="0"/>
        <v>2039</v>
      </c>
      <c r="X3" s="1">
        <f t="shared" si="0"/>
        <v>2040</v>
      </c>
      <c r="Y3" s="1">
        <f t="shared" si="0"/>
        <v>2041</v>
      </c>
      <c r="Z3" s="1">
        <f t="shared" si="0"/>
        <v>2042</v>
      </c>
      <c r="AA3" s="1">
        <f t="shared" si="0"/>
        <v>2043</v>
      </c>
      <c r="AB3" s="1">
        <f t="shared" si="0"/>
        <v>2044</v>
      </c>
      <c r="AC3" s="1">
        <f>AB3+1</f>
        <v>2045</v>
      </c>
      <c r="AD3" s="1">
        <f t="shared" si="0"/>
        <v>2046</v>
      </c>
      <c r="AE3" s="1">
        <f t="shared" si="0"/>
        <v>2047</v>
      </c>
      <c r="AF3" s="1">
        <f t="shared" si="0"/>
        <v>2048</v>
      </c>
      <c r="AG3" s="1">
        <f>AF3+1</f>
        <v>2049</v>
      </c>
      <c r="AH3" s="1">
        <f t="shared" si="0"/>
        <v>2050</v>
      </c>
    </row>
    <row r="4" spans="1:36">
      <c r="A4" s="1" t="s">
        <v>246</v>
      </c>
      <c r="C4" s="51" t="s">
        <v>166</v>
      </c>
      <c r="D4" s="101">
        <f>'Yearly Demand - Eth-Prop'!L4</f>
        <v>1127444.3500000006</v>
      </c>
      <c r="E4" s="101">
        <f>'Yearly Demand - Eth-Prop'!M4</f>
        <v>1127444.3500000006</v>
      </c>
      <c r="F4" s="101">
        <f>'Yearly Demand - Eth-Prop'!N4</f>
        <v>1127444.3500000006</v>
      </c>
      <c r="G4" s="101">
        <f>'Yearly Demand - Eth-Prop'!O4</f>
        <v>1127444.3500000006</v>
      </c>
      <c r="H4" s="101">
        <f>'Yearly Demand - Eth-Prop'!P4</f>
        <v>1127444.3500000006</v>
      </c>
      <c r="I4" s="101">
        <f>'Yearly Demand - Eth-Prop'!Q4</f>
        <v>1127444.3500000006</v>
      </c>
      <c r="J4" s="101">
        <f>'Yearly Demand - Eth-Prop'!R4</f>
        <v>1127444.3500000006</v>
      </c>
      <c r="K4" s="101">
        <f>'Yearly Demand - Eth-Prop'!S4</f>
        <v>1127444.3500000006</v>
      </c>
      <c r="L4" s="101">
        <f>'Yearly Demand - Eth-Prop'!T4</f>
        <v>1127444.3500000006</v>
      </c>
      <c r="M4" s="101">
        <f>'Yearly Demand - Eth-Prop'!U4</f>
        <v>1127444.3500000006</v>
      </c>
      <c r="N4" s="101">
        <f>'Yearly Demand - Eth-Prop'!V4</f>
        <v>1127444.3500000006</v>
      </c>
      <c r="O4" s="101">
        <f>'Yearly Demand - Eth-Prop'!W4</f>
        <v>1127444.3500000006</v>
      </c>
      <c r="P4" s="101">
        <f>'Yearly Demand - Eth-Prop'!X4</f>
        <v>1127444.3500000006</v>
      </c>
      <c r="Q4" s="101">
        <f>'Yearly Demand - Eth-Prop'!Y4</f>
        <v>1127444.3500000006</v>
      </c>
      <c r="R4" s="101">
        <f>'Yearly Demand - Eth-Prop'!Z4</f>
        <v>1127444.3500000006</v>
      </c>
      <c r="S4" s="101">
        <f>'Yearly Demand - Eth-Prop'!AA4</f>
        <v>1127444.3500000006</v>
      </c>
      <c r="T4" s="101">
        <f>'Yearly Demand - Eth-Prop'!AB4</f>
        <v>1127444.3500000006</v>
      </c>
      <c r="U4" s="101">
        <f>'Yearly Demand - Eth-Prop'!AC4</f>
        <v>1127444.3500000006</v>
      </c>
      <c r="V4" s="101">
        <f>'Yearly Demand - Eth-Prop'!AD4</f>
        <v>1127444.3500000006</v>
      </c>
      <c r="W4" s="101">
        <f>'Yearly Demand - Eth-Prop'!AE4</f>
        <v>1127444.3500000006</v>
      </c>
      <c r="X4" s="101">
        <f>'Yearly Demand - Eth-Prop'!AF4</f>
        <v>1127444.3500000006</v>
      </c>
      <c r="Y4" s="101">
        <f>'Yearly Demand - Eth-Prop'!AG4</f>
        <v>1127444.3500000006</v>
      </c>
      <c r="Z4" s="101">
        <f>'Yearly Demand - Eth-Prop'!AH4</f>
        <v>1127444.3500000006</v>
      </c>
      <c r="AA4" s="101">
        <f>'Yearly Demand - Eth-Prop'!AI4</f>
        <v>1127444.3500000006</v>
      </c>
      <c r="AB4" s="101">
        <f>'Yearly Demand - Eth-Prop'!AJ4</f>
        <v>1127444.3500000006</v>
      </c>
      <c r="AC4" s="101">
        <f>'Yearly Demand - Eth-Prop'!AK4</f>
        <v>1127444.3500000006</v>
      </c>
      <c r="AD4" s="101">
        <f>'Yearly Demand - Eth-Prop'!AL4</f>
        <v>1127444.3500000006</v>
      </c>
      <c r="AE4" s="101">
        <f>'Yearly Demand - Eth-Prop'!AM4</f>
        <v>1127444.3500000006</v>
      </c>
      <c r="AF4" s="101">
        <f>'Yearly Demand - Eth-Prop'!AN4</f>
        <v>1127444.3500000006</v>
      </c>
      <c r="AG4" s="101">
        <f>'Yearly Demand - Eth-Prop'!AO4</f>
        <v>1127444.3500000006</v>
      </c>
      <c r="AH4" s="101">
        <f>'Yearly Demand - Eth-Prop'!AP4</f>
        <v>1127444.3500000006</v>
      </c>
    </row>
    <row r="5" spans="1:36">
      <c r="D5" s="101"/>
      <c r="E5" s="101"/>
      <c r="F5" s="101"/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/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/>
      <c r="AE5" s="101"/>
      <c r="AF5" s="101"/>
      <c r="AG5" s="101"/>
      <c r="AH5" s="101"/>
    </row>
    <row r="6" spans="1:36">
      <c r="A6" s="55" t="s">
        <v>165</v>
      </c>
      <c r="B6" s="55" t="s">
        <v>174</v>
      </c>
      <c r="C6" s="56" t="s">
        <v>166</v>
      </c>
      <c r="D6" s="630">
        <f>'R&amp;S - Transportation'!C4</f>
        <v>185951.33244226652</v>
      </c>
      <c r="E6" s="630">
        <f>D6*(1+'R&amp;S - Transportation'!$B$5)</f>
        <v>189112.50509378503</v>
      </c>
      <c r="F6" s="630">
        <f>E6*(1+'R&amp;S - Transportation'!$B$5)</f>
        <v>192327.41768037935</v>
      </c>
      <c r="G6" s="630">
        <f>F6*(1+'R&amp;S - Transportation'!$B$5)</f>
        <v>195596.9837809458</v>
      </c>
      <c r="H6" s="630">
        <f>G6*(1+'R&amp;S - Transportation'!$B$5)</f>
        <v>198922.13250522185</v>
      </c>
      <c r="I6" s="630">
        <f>H6*(1+'R&amp;S - Transportation'!$B$5)</f>
        <v>202303.80875781059</v>
      </c>
      <c r="J6" s="630">
        <f>I6*(1+'R&amp;S - Transportation'!$B$5)</f>
        <v>205742.97350669335</v>
      </c>
      <c r="K6" s="630">
        <f>J6*(1+'R&amp;S - Transportation'!$B$5)</f>
        <v>209240.60405630711</v>
      </c>
      <c r="L6" s="630">
        <f>K6*(1+'R&amp;S - Transportation'!$B$5)</f>
        <v>212797.69432526431</v>
      </c>
      <c r="M6" s="630">
        <f>L6*(1+'R&amp;S - Transportation'!$B$5)</f>
        <v>216415.2551287938</v>
      </c>
      <c r="N6" s="630">
        <f>M6*(1+'R&amp;S - Transportation'!$B$5)</f>
        <v>220094.31446598328</v>
      </c>
      <c r="O6" s="630">
        <f>N6*(1+'R&amp;S - Transportation'!$B$5)</f>
        <v>223835.91781190498</v>
      </c>
      <c r="P6" s="630">
        <f>O6*(1+'R&amp;S - Transportation'!$B$5)</f>
        <v>227641.12841470735</v>
      </c>
      <c r="Q6" s="630">
        <f>P6*(1+'R&amp;S - Transportation'!$B$5)</f>
        <v>231511.02759775735</v>
      </c>
      <c r="R6" s="630">
        <f>Q6*(1+'R&amp;S - Transportation'!$B$5)</f>
        <v>235446.71506691919</v>
      </c>
      <c r="S6" s="630">
        <f>R6*(1+'R&amp;S - Transportation'!$B$5)</f>
        <v>239449.3092230568</v>
      </c>
      <c r="T6" s="630">
        <f>S6*(1+'R&amp;S - Transportation'!$B$5)</f>
        <v>243519.94747984875</v>
      </c>
      <c r="U6" s="630">
        <f>T6*(1+'R&amp;S - Transportation'!$B$5)</f>
        <v>247659.78658700615</v>
      </c>
      <c r="V6" s="630">
        <f>U6*(1+'R&amp;S - Transportation'!$B$5)</f>
        <v>251870.00295898522</v>
      </c>
      <c r="W6" s="630">
        <f>V6*(1+'R&amp;S - Transportation'!$B$5)</f>
        <v>256151.79300928794</v>
      </c>
      <c r="X6" s="630">
        <f>W6*(1+'R&amp;S - Transportation'!$B$5)</f>
        <v>260506.37349044581</v>
      </c>
      <c r="Y6" s="630">
        <f>X6*(1+'R&amp;S - Transportation'!$B$5)</f>
        <v>264934.98183978337</v>
      </c>
      <c r="Z6" s="630">
        <f>Y6*(1+'R&amp;S - Transportation'!$B$5)</f>
        <v>269438.87653105968</v>
      </c>
      <c r="AA6" s="630">
        <f>Z6*(1+'R&amp;S - Transportation'!$B$5)</f>
        <v>274019.33743208769</v>
      </c>
      <c r="AB6" s="630">
        <f>AA6*(1+'R&amp;S - Transportation'!$B$5)</f>
        <v>278677.66616843315</v>
      </c>
      <c r="AC6" s="630">
        <f>AB6*(1+'R&amp;S - Transportation'!$B$5)</f>
        <v>283415.18649329647</v>
      </c>
      <c r="AD6" s="630">
        <f>AC6*(1+'R&amp;S - Transportation'!$B$5)</f>
        <v>288233.24466368248</v>
      </c>
      <c r="AE6" s="630">
        <f>AD6*(1+'R&amp;S - Transportation'!$B$5)</f>
        <v>293133.20982296503</v>
      </c>
      <c r="AF6" s="630">
        <f>AE6*(1+'R&amp;S - Transportation'!$B$5)</f>
        <v>298116.4743899554</v>
      </c>
      <c r="AG6" s="630">
        <f>AF6*(1+'R&amp;S - Transportation'!$B$5)</f>
        <v>303184.45445458463</v>
      </c>
      <c r="AH6" s="630">
        <f>AG6*(1+'R&amp;S - Transportation'!$B$5)</f>
        <v>308338.59018031252</v>
      </c>
      <c r="AJ6" s="40"/>
    </row>
    <row r="7" spans="1:36" outlineLevel="1">
      <c r="B7" s="1" t="s">
        <v>175</v>
      </c>
      <c r="C7" s="51" t="s">
        <v>166</v>
      </c>
      <c r="D7" s="196">
        <v>0</v>
      </c>
      <c r="E7" s="196">
        <f>E6*('R&amp;S - Transportation'!$B$8*'R&amp;S - Transportation'!$D$19*('Yearly HC Propylene'!E3-'Yearly HC Propylene'!$D$3)/10)</f>
        <v>378.22501018757015</v>
      </c>
      <c r="F7" s="196">
        <f>F6*('R&amp;S - Transportation'!$B$8*'R&amp;S - Transportation'!$D$19*('Yearly HC Propylene'!F3-'Yearly HC Propylene'!$D$3)/10)</f>
        <v>769.30967072151759</v>
      </c>
      <c r="G7" s="196">
        <f>G6*('R&amp;S - Transportation'!$B$8*'R&amp;S - Transportation'!$D$19*('Yearly HC Propylene'!G3-'Yearly HC Propylene'!$D$3)/10)</f>
        <v>1173.581902685675</v>
      </c>
      <c r="H7" s="196">
        <f>H6*('R&amp;S - Transportation'!$B$8*'R&amp;S - Transportation'!$D$19*('Yearly HC Propylene'!H3-'Yearly HC Propylene'!$D$3)/10)</f>
        <v>1591.3770600417752</v>
      </c>
      <c r="I7" s="196">
        <f>I6*('R&amp;S - Transportation'!$B$8*'R&amp;S - Transportation'!$D$19*('Yearly HC Propylene'!I3-'Yearly HC Propylene'!$D$3)/10)</f>
        <v>2023.0380875781063</v>
      </c>
      <c r="J7" s="196">
        <f>J6*('R&amp;S - Transportation'!$B$8*'R&amp;S - Transportation'!$D$19*('Yearly HC Propylene'!J3-'Yearly HC Propylene'!$D$3)/10)</f>
        <v>2468.9156820803205</v>
      </c>
      <c r="K7" s="196">
        <f>K6*('R&amp;S - Transportation'!$B$8*'R&amp;S - Transportation'!$D$19*('Yearly HC Propylene'!K3-'Yearly HC Propylene'!$D$3)/10)</f>
        <v>2929.3684567883001</v>
      </c>
      <c r="L7" s="196">
        <f>L6*('R&amp;S - Transportation'!$B$8*'R&amp;S - Transportation'!$D$19*('Yearly HC Propylene'!L3-'Yearly HC Propylene'!$D$3)/10)</f>
        <v>3404.7631092042297</v>
      </c>
      <c r="M7" s="196">
        <f>M6*('R&amp;S - Transportation'!$B$8*'R&amp;S - Transportation'!$D$19*('Yearly HC Propylene'!M3-'Yearly HC Propylene'!$D$3)/10)</f>
        <v>3895.4745923182895</v>
      </c>
      <c r="N7" s="196">
        <f>N6*('R&amp;S - Transportation'!$B$8*'R&amp;S - Transportation'!$D$19*('Yearly HC Propylene'!N3-'Yearly HC Propylene'!$D$3)/10)</f>
        <v>4401.8862893196665</v>
      </c>
      <c r="O7" s="196">
        <f>O6*('R&amp;S - Transportation'!$B$8*('R&amp;S - Transportation'!$D$19+('R&amp;S - Transportation'!$D$20-'R&amp;S - Transportation'!$D$19)*('Yearly HC Propylene'!O3-'Yearly HC Propylene'!$N$3)/10))</f>
        <v>5595.8979452976246</v>
      </c>
      <c r="P7" s="196">
        <f>P6*('R&amp;S - Transportation'!$B$8*('R&amp;S - Transportation'!$D$19+('R&amp;S - Transportation'!$D$20-'R&amp;S - Transportation'!$D$19)*('Yearly HC Propylene'!P3-'Yearly HC Propylene'!$N$3)/10))</f>
        <v>6829.2338524412198</v>
      </c>
      <c r="Q7" s="196">
        <f>Q6*('R&amp;S - Transportation'!$B$8*('R&amp;S - Transportation'!$D$19+('R&amp;S - Transportation'!$D$20-'R&amp;S - Transportation'!$D$19)*('Yearly HC Propylene'!Q3-'Yearly HC Propylene'!$N$3)/10))</f>
        <v>8102.8859659215059</v>
      </c>
      <c r="R7" s="196">
        <f>R6*('R&amp;S - Transportation'!$B$8*('R&amp;S - Transportation'!$D$19+('R&amp;S - Transportation'!$D$20-'R&amp;S - Transportation'!$D$19)*('Yearly HC Propylene'!R3-'Yearly HC Propylene'!$N$3)/10))</f>
        <v>9417.86860267677</v>
      </c>
      <c r="S7" s="196">
        <f>S6*('R&amp;S - Transportation'!$B$8*('R&amp;S - Transportation'!$D$19+('R&amp;S - Transportation'!$D$20-'R&amp;S - Transportation'!$D$19)*('Yearly HC Propylene'!S3-'Yearly HC Propylene'!$N$3)/10))</f>
        <v>10775.218915037556</v>
      </c>
      <c r="T7" s="196">
        <f>T6*('R&amp;S - Transportation'!$B$8*('R&amp;S - Transportation'!$D$19+('R&amp;S - Transportation'!$D$20-'R&amp;S - Transportation'!$D$19)*('Yearly HC Propylene'!T3-'Yearly HC Propylene'!$N$3)/10))</f>
        <v>12175.997373992437</v>
      </c>
      <c r="U7" s="196">
        <f>U6*('R&amp;S - Transportation'!$B$8*('R&amp;S - Transportation'!$D$19+('R&amp;S - Transportation'!$D$20-'R&amp;S - Transportation'!$D$19)*('Yearly HC Propylene'!U3-'Yearly HC Propylene'!$N$3)/10))</f>
        <v>13621.288262285339</v>
      </c>
      <c r="V7" s="196">
        <f>V6*('R&amp;S - Transportation'!$B$8*('R&amp;S - Transportation'!$D$19+('R&amp;S - Transportation'!$D$20-'R&amp;S - Transportation'!$D$19)*('Yearly HC Propylene'!V3-'Yearly HC Propylene'!$N$3)/10))</f>
        <v>15112.200177539113</v>
      </c>
      <c r="W7" s="196">
        <f>W6*('R&amp;S - Transportation'!$B$8*('R&amp;S - Transportation'!$D$19+('R&amp;S - Transportation'!$D$20-'R&amp;S - Transportation'!$D$19)*('Yearly HC Propylene'!W3-'Yearly HC Propylene'!$N$3)/10))</f>
        <v>16649.866545603712</v>
      </c>
      <c r="X7" s="196">
        <f>X6*('R&amp;S - Transportation'!$B$8*('R&amp;S - Transportation'!$D$19+('R&amp;S - Transportation'!$D$20-'R&amp;S - Transportation'!$D$19)*('Yearly HC Propylene'!X3-'Yearly HC Propylene'!$N$3)/10))</f>
        <v>18235.446144331207</v>
      </c>
      <c r="Y7" s="196">
        <f>Y6*('R&amp;S - Transportation'!$B$8*('R&amp;S - Transportation'!$D$20+('R&amp;S - Transportation'!$D$21-'R&amp;S - Transportation'!$D$20)*('Yearly HC Propylene'!Y3-'Yearly HC Propylene'!$X$3)/10))</f>
        <v>19340.253674304186</v>
      </c>
      <c r="Z7" s="196">
        <f>Z6*('R&amp;S - Transportation'!$B$8*('R&amp;S - Transportation'!$D$20+('R&amp;S - Transportation'!$D$21-'R&amp;S - Transportation'!$D$20)*('Yearly HC Propylene'!Z3-'Yearly HC Propylene'!$X$3)/10))</f>
        <v>20477.354616360539</v>
      </c>
      <c r="AA7" s="196">
        <f>AA6*('R&amp;S - Transportation'!$B$8*('R&amp;S - Transportation'!$D$20+('R&amp;S - Transportation'!$D$21-'R&amp;S - Transportation'!$D$20)*('Yearly HC Propylene'!AA3-'Yearly HC Propylene'!$X$3)/10))</f>
        <v>21647.527657134928</v>
      </c>
      <c r="AB7" s="196">
        <f>AB6*('R&amp;S - Transportation'!$B$8*('R&amp;S - Transportation'!$D$20+('R&amp;S - Transportation'!$D$21-'R&amp;S - Transportation'!$D$20)*('Yearly HC Propylene'!AB3-'Yearly HC Propylene'!$X$3)/10))</f>
        <v>22851.56862581152</v>
      </c>
      <c r="AC7" s="196">
        <f>AC6*('R&amp;S - Transportation'!$B$8*('R&amp;S - Transportation'!$D$20+('R&amp;S - Transportation'!$D$21-'R&amp;S - Transportation'!$D$20)*('Yearly HC Propylene'!AC3-'Yearly HC Propylene'!$X$3)/10))</f>
        <v>24090.2908519302</v>
      </c>
      <c r="AD7" s="196">
        <f>AD6*('R&amp;S - Transportation'!$B$8*('R&amp;S - Transportation'!$D$20+('R&amp;S - Transportation'!$D$21-'R&amp;S - Transportation'!$D$20)*('Yearly HC Propylene'!AD3-'Yearly HC Propylene'!$X$3)/10))</f>
        <v>25364.525530404062</v>
      </c>
      <c r="AE7" s="196">
        <f>AE6*('R&amp;S - Transportation'!$B$8*('R&amp;S - Transportation'!$D$20+('R&amp;S - Transportation'!$D$21-'R&amp;S - Transportation'!$D$20)*('Yearly HC Propylene'!AE3-'Yearly HC Propylene'!$X$3)/10))</f>
        <v>26675.122093889822</v>
      </c>
      <c r="AF7" s="196">
        <f>AF6*('R&amp;S - Transportation'!$B$8*('R&amp;S - Transportation'!$D$20+('R&amp;S - Transportation'!$D$21-'R&amp;S - Transportation'!$D$20)*('Yearly HC Propylene'!AF3-'Yearly HC Propylene'!$X$3)/10))</f>
        <v>28022.948592655808</v>
      </c>
      <c r="AG7" s="196">
        <f>AG6*('R&amp;S - Transportation'!$B$8*('R&amp;S - Transportation'!$D$20+('R&amp;S - Transportation'!$D$21-'R&amp;S - Transportation'!$D$20)*('Yearly HC Propylene'!AG3-'Yearly HC Propylene'!$X$3)/10))</f>
        <v>29408.89208209471</v>
      </c>
      <c r="AH7" s="196">
        <f>AH6*('R&amp;S - Transportation'!$B$8*('R&amp;S - Transportation'!$D$20+('R&amp;S - Transportation'!$D$21-'R&amp;S - Transportation'!$D$20)*('Yearly HC Propylene'!AH3-'Yearly HC Propylene'!$X$3)/10))</f>
        <v>30833.859018031253</v>
      </c>
      <c r="AJ7" s="40"/>
    </row>
    <row r="8" spans="1:36" outlineLevel="1">
      <c r="B8" s="1" t="s">
        <v>176</v>
      </c>
      <c r="C8" s="51" t="s">
        <v>166</v>
      </c>
      <c r="D8" s="196">
        <f>SUM(D6:D7)</f>
        <v>185951.33244226652</v>
      </c>
      <c r="E8" s="196">
        <f t="shared" ref="E8:AH8" si="1">SUM(E6:E7)</f>
        <v>189490.7301039726</v>
      </c>
      <c r="F8" s="196">
        <f t="shared" si="1"/>
        <v>193096.72735110088</v>
      </c>
      <c r="G8" s="196">
        <f t="shared" si="1"/>
        <v>196770.56568363146</v>
      </c>
      <c r="H8" s="196">
        <f t="shared" si="1"/>
        <v>200513.50956526361</v>
      </c>
      <c r="I8" s="196">
        <f t="shared" si="1"/>
        <v>204326.8468453887</v>
      </c>
      <c r="J8" s="196">
        <f t="shared" si="1"/>
        <v>208211.88918877367</v>
      </c>
      <c r="K8" s="196">
        <f t="shared" si="1"/>
        <v>212169.97251309542</v>
      </c>
      <c r="L8" s="196">
        <f t="shared" si="1"/>
        <v>216202.45743446855</v>
      </c>
      <c r="M8" s="196">
        <f t="shared" si="1"/>
        <v>220310.72972111209</v>
      </c>
      <c r="N8" s="196">
        <f>SUM(N6:N7)</f>
        <v>224496.20075530294</v>
      </c>
      <c r="O8" s="196">
        <f t="shared" si="1"/>
        <v>229431.8157572026</v>
      </c>
      <c r="P8" s="196">
        <f t="shared" si="1"/>
        <v>234470.36226714856</v>
      </c>
      <c r="Q8" s="196">
        <f t="shared" si="1"/>
        <v>239613.91356367886</v>
      </c>
      <c r="R8" s="196">
        <f t="shared" si="1"/>
        <v>244864.58366959597</v>
      </c>
      <c r="S8" s="196">
        <f t="shared" si="1"/>
        <v>250224.52813809435</v>
      </c>
      <c r="T8" s="196">
        <f t="shared" si="1"/>
        <v>255695.94485384118</v>
      </c>
      <c r="U8" s="196">
        <f t="shared" si="1"/>
        <v>261281.0748492915</v>
      </c>
      <c r="V8" s="196">
        <f t="shared" si="1"/>
        <v>266982.20313652436</v>
      </c>
      <c r="W8" s="196">
        <f t="shared" si="1"/>
        <v>272801.65955489164</v>
      </c>
      <c r="X8" s="196">
        <f t="shared" si="1"/>
        <v>278741.81963477703</v>
      </c>
      <c r="Y8" s="196">
        <f t="shared" si="1"/>
        <v>284275.23551408754</v>
      </c>
      <c r="Z8" s="196">
        <f t="shared" si="1"/>
        <v>289916.23114742024</v>
      </c>
      <c r="AA8" s="196">
        <f t="shared" si="1"/>
        <v>295666.86508922261</v>
      </c>
      <c r="AB8" s="196">
        <f t="shared" si="1"/>
        <v>301529.23479424469</v>
      </c>
      <c r="AC8" s="196">
        <f t="shared" si="1"/>
        <v>307505.47734522668</v>
      </c>
      <c r="AD8" s="196">
        <f t="shared" si="1"/>
        <v>313597.77019408654</v>
      </c>
      <c r="AE8" s="196">
        <f t="shared" si="1"/>
        <v>319808.33191685483</v>
      </c>
      <c r="AF8" s="196">
        <f t="shared" si="1"/>
        <v>326139.42298261123</v>
      </c>
      <c r="AG8" s="196">
        <f t="shared" si="1"/>
        <v>332593.34653667931</v>
      </c>
      <c r="AH8" s="196">
        <f t="shared" si="1"/>
        <v>339172.44919834379</v>
      </c>
      <c r="AJ8" s="40"/>
    </row>
    <row r="9" spans="1:36" outlineLevel="1">
      <c r="B9" s="58" t="s">
        <v>134</v>
      </c>
      <c r="C9" s="51" t="s">
        <v>166</v>
      </c>
      <c r="D9" s="196">
        <v>0</v>
      </c>
      <c r="E9" s="196">
        <f>E8*'R&amp;S - Transportation'!$B$15*('R&amp;S - Transportation'!$B$10*'R&amp;S - Transportation'!$B$19*('Yearly HC Propylene'!E$3-'Yearly HC Propylene'!$D$3)/10)</f>
        <v>625.31940934310956</v>
      </c>
      <c r="F9" s="196">
        <f>F8*'R&amp;S - Transportation'!$B$15*('R&amp;S - Transportation'!$B$10*'R&amp;S - Transportation'!$B$19*('Yearly HC Propylene'!F$3-'Yearly HC Propylene'!$D$3)/10)</f>
        <v>1274.4384005172658</v>
      </c>
      <c r="G9" s="196">
        <f>G8*'R&amp;S - Transportation'!$B$15*('R&amp;S - Transportation'!$B$10*'R&amp;S - Transportation'!$B$19*('Yearly HC Propylene'!G$3-'Yearly HC Propylene'!$D$3)/10)</f>
        <v>1948.0286002679516</v>
      </c>
      <c r="H9" s="196">
        <f>H8*'R&amp;S - Transportation'!$B$15*('R&amp;S - Transportation'!$B$10*'R&amp;S - Transportation'!$B$19*('Yearly HC Propylene'!H$3-'Yearly HC Propylene'!$D$3)/10)</f>
        <v>2646.7783262614798</v>
      </c>
      <c r="I9" s="196">
        <f>I8*'R&amp;S - Transportation'!$B$15*('R&amp;S - Transportation'!$B$10*'R&amp;S - Transportation'!$B$19*('Yearly HC Propylene'!I$3-'Yearly HC Propylene'!$D$3)/10)</f>
        <v>3371.3929729489137</v>
      </c>
      <c r="J9" s="196">
        <f>J8*'R&amp;S - Transportation'!$B$15*('R&amp;S - Transportation'!$B$10*'R&amp;S - Transportation'!$B$19*('Yearly HC Propylene'!J$3-'Yearly HC Propylene'!$D$3)/10)</f>
        <v>4122.5954059377191</v>
      </c>
      <c r="K9" s="196">
        <f>K8*'R&amp;S - Transportation'!$B$15*('R&amp;S - Transportation'!$B$10*'R&amp;S - Transportation'!$B$19*('Yearly HC Propylene'!K$3-'Yearly HC Propylene'!$D$3)/10)</f>
        <v>4901.1263650525043</v>
      </c>
      <c r="L9" s="196">
        <f>L8*'R&amp;S - Transportation'!$B$15*('R&amp;S - Transportation'!$B$10*'R&amp;S - Transportation'!$B$19*('Yearly HC Propylene'!L$3-'Yearly HC Propylene'!$D$3)/10)</f>
        <v>5707.7448762699696</v>
      </c>
      <c r="M9" s="196">
        <f>M8*'R&amp;S - Transportation'!$B$15*('R&amp;S - Transportation'!$B$10*'R&amp;S - Transportation'!$B$19*('Yearly HC Propylene'!M$3-'Yearly HC Propylene'!$D$3)/10)</f>
        <v>6543.2286727170303</v>
      </c>
      <c r="N9" s="196">
        <f>N8*'R&amp;S - Transportation'!$B$15*('R&amp;S - Transportation'!$B$10*'R&amp;S - Transportation'!$B$19*('Yearly HC Propylene'!N$3-'Yearly HC Propylene'!$D$3)/10)</f>
        <v>7408.3746249249971</v>
      </c>
      <c r="O9" s="196">
        <f>O8*'R&amp;S - Transportation'!$B$15*('R&amp;S - Transportation'!$B$10*('R&amp;S - Transportation'!$B$19+('R&amp;S - Transportation'!$B$20-'R&amp;S - Transportation'!$B$19)*('Yearly HC Propylene'!O3-'Yearly HC Propylene'!$N$3)/10))</f>
        <v>9842.6248959839922</v>
      </c>
      <c r="P9" s="196">
        <f>P8*'R&amp;S - Transportation'!$B$15*('R&amp;S - Transportation'!$B$10*('R&amp;S - Transportation'!$B$19+('R&amp;S - Transportation'!$B$20-'R&amp;S - Transportation'!$B$19)*('Yearly HC Propylene'!P3-'Yearly HC Propylene'!$N$3)/10))</f>
        <v>12380.035127705447</v>
      </c>
      <c r="Q9" s="196">
        <f>Q8*'R&amp;S - Transportation'!$B$15*('R&amp;S - Transportation'!$B$10*('R&amp;S - Transportation'!$B$19+('R&amp;S - Transportation'!$B$20-'R&amp;S - Transportation'!$B$19)*('Yearly HC Propylene'!Q3-'Yearly HC Propylene'!$N$3)/10))</f>
        <v>15023.792380442666</v>
      </c>
      <c r="R9" s="196">
        <f>R8*'R&amp;S - Transportation'!$B$15*('R&amp;S - Transportation'!$B$10*('R&amp;S - Transportation'!$B$19+('R&amp;S - Transportation'!$B$20-'R&amp;S - Transportation'!$B$19)*('Yearly HC Propylene'!R3-'Yearly HC Propylene'!$N$3)/10))</f>
        <v>17777.168774412672</v>
      </c>
      <c r="S9" s="196">
        <f>S8*'R&amp;S - Transportation'!$B$15*('R&amp;S - Transportation'!$B$10*('R&amp;S - Transportation'!$B$19+('R&amp;S - Transportation'!$B$20-'R&amp;S - Transportation'!$B$19)*('Yearly HC Propylene'!S3-'Yearly HC Propylene'!$N$3)/10))</f>
        <v>20643.523571392783</v>
      </c>
      <c r="T9" s="196">
        <f>T8*'R&amp;S - Transportation'!$B$15*('R&amp;S - Transportation'!$B$10*('R&amp;S - Transportation'!$B$19+('R&amp;S - Transportation'!$B$20-'R&amp;S - Transportation'!$B$19)*('Yearly HC Propylene'!T3-'Yearly HC Propylene'!$N$3)/10))</f>
        <v>23626.305304494927</v>
      </c>
      <c r="U9" s="196">
        <f>U8*'R&amp;S - Transportation'!$B$15*('R&amp;S - Transportation'!$B$10*('R&amp;S - Transportation'!$B$19+('R&amp;S - Transportation'!$B$20-'R&amp;S - Transportation'!$B$19)*('Yearly HC Propylene'!U3-'Yearly HC Propylene'!$N$3)/10))</f>
        <v>26729.053957082524</v>
      </c>
      <c r="V9" s="196">
        <f>V8*'R&amp;S - Transportation'!$B$15*('R&amp;S - Transportation'!$B$10*('R&amp;S - Transportation'!$B$19+('R&amp;S - Transportation'!$B$20-'R&amp;S - Transportation'!$B$19)*('Yearly HC Propylene'!V3-'Yearly HC Propylene'!$N$3)/10))</f>
        <v>29955.403191918042</v>
      </c>
      <c r="W9" s="196">
        <f>W8*'R&amp;S - Transportation'!$B$15*('R&amp;S - Transportation'!$B$10*('R&amp;S - Transportation'!$B$19+('R&amp;S - Transportation'!$B$20-'R&amp;S - Transportation'!$B$19)*('Yearly HC Propylene'!W3-'Yearly HC Propylene'!$N$3)/10))</f>
        <v>33309.082631652273</v>
      </c>
      <c r="X9" s="196">
        <f>X8*'R&amp;S - Transportation'!$B$15*('R&amp;S - Transportation'!$B$10*('R&amp;S - Transportation'!$B$19+('R&amp;S - Transportation'!$B$20-'R&amp;S - Transportation'!$B$19)*('Yearly HC Propylene'!X3-'Yearly HC Propylene'!$N$3)/10))</f>
        <v>36793.920191790567</v>
      </c>
      <c r="Y9" s="196">
        <f>Y8*'R&amp;S - Transportation'!$B$15*('R&amp;S - Transportation'!$B$10*('R&amp;S - Transportation'!$B$20+('R&amp;S - Transportation'!$B$21-'R&amp;S - Transportation'!$B$20)*('Yearly HC Propylene'!Y3-'Yearly HC Propylene'!$X$3)/10))</f>
        <v>43152.980751038493</v>
      </c>
      <c r="Z9" s="196">
        <f>Z8*'R&amp;S - Transportation'!$B$15*('R&amp;S - Transportation'!$B$10*('R&amp;S - Transportation'!$B$20+('R&amp;S - Transportation'!$B$21-'R&amp;S - Transportation'!$B$20)*('Yearly HC Propylene'!Z3-'Yearly HC Propylene'!$X$3)/10))</f>
        <v>49749.625264897317</v>
      </c>
      <c r="AA9" s="196">
        <f>AA8*'R&amp;S - Transportation'!$B$15*('R&amp;S - Transportation'!$B$10*('R&amp;S - Transportation'!$B$20+('R&amp;S - Transportation'!$B$21-'R&amp;S - Transportation'!$B$20)*('Yearly HC Propylene'!AA3-'Yearly HC Propylene'!$X$3)/10))</f>
        <v>56590.637978077219</v>
      </c>
      <c r="AB9" s="196">
        <f>AB8*'R&amp;S - Transportation'!$B$15*('R&amp;S - Transportation'!$B$10*('R&amp;S - Transportation'!$B$20+('R&amp;S - Transportation'!$B$21-'R&amp;S - Transportation'!$B$20)*('Yearly HC Propylene'!AB3-'Yearly HC Propylene'!$X$3)/10))</f>
        <v>63682.974388544484</v>
      </c>
      <c r="AC9" s="196">
        <f>AC8*'R&amp;S - Transportation'!$B$15*('R&amp;S - Transportation'!$B$10*('R&amp;S - Transportation'!$B$20+('R&amp;S - Transportation'!$B$21-'R&amp;S - Transportation'!$B$20)*('Yearly HC Propylene'!AC3-'Yearly HC Propylene'!$X$3)/10))</f>
        <v>71033.765266747359</v>
      </c>
      <c r="AD9" s="196">
        <f>AD8*'R&amp;S - Transportation'!$B$15*('R&amp;S - Transportation'!$B$10*('R&amp;S - Transportation'!$B$20+('R&amp;S - Transportation'!$B$21-'R&amp;S - Transportation'!$B$20)*('Yearly HC Propylene'!AD3-'Yearly HC Propylene'!$X$3)/10))</f>
        <v>78650.320764676915</v>
      </c>
      <c r="AE9" s="196">
        <f>AE8*'R&amp;S - Transportation'!$B$15*('R&amp;S - Transportation'!$B$10*('R&amp;S - Transportation'!$B$20+('R&amp;S - Transportation'!$B$21-'R&amp;S - Transportation'!$B$20)*('Yearly HC Propylene'!AE3-'Yearly HC Propylene'!$X$3)/10))</f>
        <v>86540.134616700918</v>
      </c>
      <c r="AF9" s="196">
        <f>AF8*'R&amp;S - Transportation'!$B$15*('R&amp;S - Transportation'!$B$10*('R&amp;S - Transportation'!$B$20+('R&amp;S - Transportation'!$B$21-'R&amp;S - Transportation'!$B$20)*('Yearly HC Propylene'!AF3-'Yearly HC Propylene'!$X$3)/10))</f>
        <v>94710.8884341503</v>
      </c>
      <c r="AG9" s="196">
        <f>AG8*'R&amp;S - Transportation'!$B$15*('R&amp;S - Transportation'!$B$10*('R&amp;S - Transportation'!$B$20+('R&amp;S - Transportation'!$B$21-'R&amp;S - Transportation'!$B$20)*('Yearly HC Propylene'!AG3-'Yearly HC Propylene'!$X$3)/10))</f>
        <v>103170.45609567792</v>
      </c>
      <c r="AH9" s="196">
        <f>AH8*'R&amp;S - Transportation'!$B$15*('R&amp;S - Transportation'!$B$10*('R&amp;S - Transportation'!$B$20+('R&amp;S - Transportation'!$B$21-'R&amp;S - Transportation'!$B$20)*('Yearly HC Propylene'!AH3-'Yearly HC Propylene'!$X$3)/10))</f>
        <v>111926.90823545346</v>
      </c>
    </row>
    <row r="10" spans="1:36" outlineLevel="1">
      <c r="B10" s="58" t="s">
        <v>177</v>
      </c>
      <c r="C10" s="51" t="s">
        <v>166</v>
      </c>
      <c r="D10" s="196">
        <v>0</v>
      </c>
      <c r="E10" s="196">
        <f>(E8-E9)*'R&amp;S - Transportation'!$B$15*('R&amp;S - Transportation'!$B$11*'R&amp;S - Transportation'!$B$19*('Yearly HC Propylene'!E$3-'Yearly HC Propylene'!$D$3)/10)</f>
        <v>396.61736245872197</v>
      </c>
      <c r="F10" s="196">
        <f>(F8-F9)*'R&amp;S - Transportation'!$B$15*('R&amp;S - Transportation'!$B$11*'R&amp;S - Transportation'!$B$19*('Yearly HC Propylene'!F$3-'Yearly HC Propylene'!$D$3)/10)</f>
        <v>805.65361359245128</v>
      </c>
      <c r="G10" s="196">
        <f>(G8-G9)*'R&amp;S - Transportation'!$B$15*('R&amp;S - Transportation'!$B$11*'R&amp;S - Transportation'!$B$19*('Yearly HC Propylene'!G$3-'Yearly HC Propylene'!$D$3)/10)</f>
        <v>1227.3819836251901</v>
      </c>
      <c r="H10" s="196">
        <f>(H8-H9)*'R&amp;S - Transportation'!$B$15*('R&amp;S - Transportation'!$B$11*'R&amp;S - Transportation'!$B$19*('Yearly HC Propylene'!H$3-'Yearly HC Propylene'!$D$3)/10)</f>
        <v>1662.0805424076182</v>
      </c>
      <c r="I10" s="196">
        <f>(I8-I9)*'R&amp;S - Transportation'!$B$15*('R&amp;S - Transportation'!$B$11*'R&amp;S - Transportation'!$B$19*('Yearly HC Propylene'!I$3-'Yearly HC Propylene'!$D$3)/10)</f>
        <v>2110.0322656606181</v>
      </c>
      <c r="J10" s="196">
        <f>(J8-J9)*'R&amp;S - Transportation'!$B$15*('R&amp;S - Transportation'!$B$11*'R&amp;S - Transportation'!$B$19*('Yearly HC Propylene'!J$3-'Yearly HC Propylene'!$D$3)/10)</f>
        <v>2571.525101663733</v>
      </c>
      <c r="K10" s="196">
        <f>(K8-K9)*'R&amp;S - Transportation'!$B$15*('R&amp;S - Transportation'!$B$11*'R&amp;S - Transportation'!$B$19*('Yearly HC Propylene'!K$3-'Yearly HC Propylene'!$D$3)/10)</f>
        <v>3046.8520383762311</v>
      </c>
      <c r="L10" s="196">
        <f>(L8-L9)*'R&amp;S - Transportation'!$B$15*('R&amp;S - Transportation'!$B$11*'R&amp;S - Transportation'!$B$19*('Yearly HC Propylene'!L$3-'Yearly HC Propylene'!$D$3)/10)</f>
        <v>3536.3111709777368</v>
      </c>
      <c r="M10" s="196">
        <f>(M8-M9)*'R&amp;S - Transportation'!$B$15*('R&amp;S - Transportation'!$B$11*'R&amp;S - Transportation'!$B$19*('Yearly HC Propylene'!M$3-'Yearly HC Propylene'!$D$3)/10)</f>
        <v>4040.2057698146668</v>
      </c>
      <c r="N10" s="196">
        <f>(N8-N9)*'R&amp;S - Transportation'!$B$15*('R&amp;S - Transportation'!$B$11*'R&amp;S - Transportation'!$B$19*('Yearly HC Propylene'!N$3-'Yearly HC Propylene'!$D$3)/10)</f>
        <v>4558.8443487379373</v>
      </c>
      <c r="O10" s="196">
        <f>(O8-O9)*'R&amp;S - Transportation'!$B$15*('R&amp;S - Transportation'!$B$11*('R&amp;S - Transportation'!$B$19+('R&amp;S - Transportation'!$B$20-'R&amp;S - Transportation'!$B$19)*('Yearly HC Propylene'!O$3-'Yearly HC Propylene'!$N$3)/10))</f>
        <v>5994.7849105112682</v>
      </c>
      <c r="P10" s="196">
        <f>(P8-P9)*'R&amp;S - Transportation'!$B$15*('R&amp;S - Transportation'!$B$11*('R&amp;S - Transportation'!$B$19+('R&amp;S - Transportation'!$B$20-'R&amp;S - Transportation'!$B$19)*('Yearly HC Propylene'!P$3-'Yearly HC Propylene'!$N$3)/10))</f>
        <v>7462.2349918852897</v>
      </c>
      <c r="Q10" s="196">
        <f>(Q8-Q9)*'R&amp;S - Transportation'!$B$15*('R&amp;S - Transportation'!$B$11*('R&amp;S - Transportation'!$B$19+('R&amp;S - Transportation'!$B$20-'R&amp;S - Transportation'!$B$19)*('Yearly HC Propylene'!Q$3-'Yearly HC Propylene'!$N$3)/10))</f>
        <v>8961.145835211124</v>
      </c>
      <c r="R10" s="196">
        <f>(R8-R9)*'R&amp;S - Transportation'!$B$15*('R&amp;S - Transportation'!$B$11*('R&amp;S - Transportation'!$B$19+('R&amp;S - Transportation'!$B$20-'R&amp;S - Transportation'!$B$19)*('Yearly HC Propylene'!R$3-'Yearly HC Propylene'!$N$3)/10))</f>
        <v>10491.438568157469</v>
      </c>
      <c r="S10" s="196">
        <f>(S8-S9)*'R&amp;S - Transportation'!$B$15*('R&amp;S - Transportation'!$B$11*('R&amp;S - Transportation'!$B$19+('R&amp;S - Transportation'!$B$20-'R&amp;S - Transportation'!$B$19)*('Yearly HC Propylene'!S$3-'Yearly HC Propylene'!$N$3)/10))</f>
        <v>12053.002739751832</v>
      </c>
      <c r="T10" s="196">
        <f>(T8-T9)*'R&amp;S - Transportation'!$B$15*('R&amp;S - Transportation'!$B$11*('R&amp;S - Transportation'!$B$19+('R&amp;S - Transportation'!$B$20-'R&amp;S - Transportation'!$B$19)*('Yearly HC Propylene'!T$3-'Yearly HC Propylene'!$N$3)/10))</f>
        <v>13645.694805501562</v>
      </c>
      <c r="U10" s="196">
        <f>(U8-U9)*'R&amp;S - Transportation'!$B$15*('R&amp;S - Transportation'!$B$11*('R&amp;S - Transportation'!$B$19+('R&amp;S - Transportation'!$B$20-'R&amp;S - Transportation'!$B$19)*('Yearly HC Propylene'!U$3-'Yearly HC Propylene'!$N$3)/10))</f>
        <v>15269.336560082806</v>
      </c>
      <c r="V10" s="196">
        <f>(V8-V9)*'R&amp;S - Transportation'!$B$15*('R&amp;S - Transportation'!$B$11*('R&amp;S - Transportation'!$B$19+('R&amp;S - Transportation'!$B$20-'R&amp;S - Transportation'!$B$19)*('Yearly HC Propylene'!V$3-'Yearly HC Propylene'!$N$3)/10))</f>
        <v>16923.713516044896</v>
      </c>
      <c r="W10" s="196">
        <f>(W8-W9)*'R&amp;S - Transportation'!$B$15*('R&amp;S - Transportation'!$B$11*('R&amp;S - Transportation'!$B$19+('R&amp;S - Transportation'!$B$20-'R&amp;S - Transportation'!$B$19)*('Yearly HC Propylene'!W$3-'Yearly HC Propylene'!$N$3)/10))</f>
        <v>18608.573226935696</v>
      </c>
      <c r="X10" s="196">
        <f>(X8-X9)*'R&amp;S - Transportation'!$B$15*('R&amp;S - Transportation'!$B$11*('R&amp;S - Transportation'!$B$19+('R&amp;S - Transportation'!$B$20-'R&amp;S - Transportation'!$B$19)*('Yearly HC Propylene'!X$3-'Yearly HC Propylene'!$N$3)/10))</f>
        <v>20323.623553210866</v>
      </c>
      <c r="Y10" s="196">
        <f>(Y8-Y9)*'R&amp;S - Transportation'!$B$15*('R&amp;S - Transportation'!$B$11*('R&amp;S - Transportation'!$B$20+('R&amp;S - Transportation'!$B$21-'R&amp;S - Transportation'!$B$20)*('Yearly HC Propylene'!Y$3-'Yearly HC Propylene'!$X$3)/10))</f>
        <v>23292.409810110537</v>
      </c>
      <c r="Z10" s="196">
        <f>(Z8-Z9)*'R&amp;S - Transportation'!$B$15*('R&amp;S - Transportation'!$B$11*('R&amp;S - Transportation'!$B$20+('R&amp;S - Transportation'!$B$21-'R&amp;S - Transportation'!$B$20)*('Yearly HC Propylene'!Z$3-'Yearly HC Propylene'!$X$3)/10))</f>
        <v>26226.193362371505</v>
      </c>
      <c r="AA10" s="196">
        <f>(AA8-AA9)*'R&amp;S - Transportation'!$B$15*('R&amp;S - Transportation'!$B$11*('R&amp;S - Transportation'!$B$20+('R&amp;S - Transportation'!$B$21-'R&amp;S - Transportation'!$B$20)*('Yearly HC Propylene'!AA$3-'Yearly HC Propylene'!$X$3)/10))</f>
        <v>29119.484462137509</v>
      </c>
      <c r="AB10" s="196">
        <f>(AB8-AB9)*'R&amp;S - Transportation'!$B$15*('R&amp;S - Transportation'!$B$11*('R&amp;S - Transportation'!$B$20+('R&amp;S - Transportation'!$B$21-'R&amp;S - Transportation'!$B$20)*('Yearly HC Propylene'!AB$3-'Yearly HC Propylene'!$X$3)/10))</f>
        <v>31966.537398526107</v>
      </c>
      <c r="AC10" s="196">
        <f>(AC8-AC9)*'R&amp;S - Transportation'!$B$15*('R&amp;S - Transportation'!$B$11*('R&amp;S - Transportation'!$B$20+('R&amp;S - Transportation'!$B$21-'R&amp;S - Transportation'!$B$20)*('Yearly HC Propylene'!AC$3-'Yearly HC Propylene'!$X$3)/10))</f>
        <v>34761.34167553646</v>
      </c>
      <c r="AD10" s="196">
        <f>(AD8-AD9)*'R&amp;S - Transportation'!$B$15*('R&amp;S - Transportation'!$B$11*('R&amp;S - Transportation'!$B$20+('R&amp;S - Transportation'!$B$21-'R&amp;S - Transportation'!$B$20)*('Yearly HC Propylene'!AD$3-'Yearly HC Propylene'!$X$3)/10))</f>
        <v>37497.612928933777</v>
      </c>
      <c r="AE10" s="196">
        <f>(AE8-AE9)*'R&amp;S - Transportation'!$B$15*('R&amp;S - Transportation'!$B$11*('R&amp;S - Transportation'!$B$20+('R&amp;S - Transportation'!$B$21-'R&amp;S - Transportation'!$B$20)*('Yearly HC Propylene'!AE$3-'Yearly HC Propylene'!$X$3)/10))</f>
        <v>40168.783575086505</v>
      </c>
      <c r="AF10" s="196">
        <f>(AF8-AF9)*'R&amp;S - Transportation'!$B$15*('R&amp;S - Transportation'!$B$11*('R&amp;S - Transportation'!$B$20+('R&amp;S - Transportation'!$B$21-'R&amp;S - Transportation'!$B$20)*('Yearly HC Propylene'!AF$3-'Yearly HC Propylene'!$X$3)/10))</f>
        <v>42767.993184555577</v>
      </c>
      <c r="AG10" s="196">
        <f>(AG8-AG9)*'R&amp;S - Transportation'!$B$15*('R&amp;S - Transportation'!$B$11*('R&amp;S - Transportation'!$B$20+('R&amp;S - Transportation'!$B$21-'R&amp;S - Transportation'!$B$20)*('Yearly HC Propylene'!AG$3-'Yearly HC Propylene'!$X$3)/10))</f>
        <v>45288.078573053674</v>
      </c>
      <c r="AH10" s="196">
        <f>(AH8-AH9)*'R&amp;S - Transportation'!$B$15*('R&amp;S - Transportation'!$B$11*('R&amp;S - Transportation'!$B$20+('R&amp;S - Transportation'!$B$21-'R&amp;S - Transportation'!$B$20)*('Yearly HC Propylene'!AH$3-'Yearly HC Propylene'!$X$3)/10))</f>
        <v>47721.563602206967</v>
      </c>
    </row>
    <row r="11" spans="1:36" outlineLevel="1">
      <c r="B11" s="1" t="s">
        <v>164</v>
      </c>
      <c r="C11" s="51" t="s">
        <v>166</v>
      </c>
      <c r="D11" s="196">
        <f>SUM(D9:D10)</f>
        <v>0</v>
      </c>
      <c r="E11" s="196">
        <f t="shared" ref="E11:AH11" si="2">SUM(E9:E10)</f>
        <v>1021.9367718018316</v>
      </c>
      <c r="F11" s="196">
        <f t="shared" si="2"/>
        <v>2080.0920141097172</v>
      </c>
      <c r="G11" s="196">
        <f t="shared" si="2"/>
        <v>3175.4105838931418</v>
      </c>
      <c r="H11" s="196">
        <f t="shared" si="2"/>
        <v>4308.8588686690982</v>
      </c>
      <c r="I11" s="196">
        <f t="shared" si="2"/>
        <v>5481.4252386095322</v>
      </c>
      <c r="J11" s="196">
        <f t="shared" si="2"/>
        <v>6694.1205076014521</v>
      </c>
      <c r="K11" s="196">
        <f t="shared" si="2"/>
        <v>7947.978403428735</v>
      </c>
      <c r="L11" s="196">
        <f t="shared" si="2"/>
        <v>9244.0560472477064</v>
      </c>
      <c r="M11" s="196">
        <f t="shared" si="2"/>
        <v>10583.434442531698</v>
      </c>
      <c r="N11" s="196">
        <f t="shared" si="2"/>
        <v>11967.218973662933</v>
      </c>
      <c r="O11" s="196">
        <f t="shared" si="2"/>
        <v>15837.40980649526</v>
      </c>
      <c r="P11" s="196">
        <f t="shared" si="2"/>
        <v>19842.270119590736</v>
      </c>
      <c r="Q11" s="196">
        <f t="shared" si="2"/>
        <v>23984.93821565379</v>
      </c>
      <c r="R11" s="196">
        <f t="shared" si="2"/>
        <v>28268.60734257014</v>
      </c>
      <c r="S11" s="196">
        <f t="shared" si="2"/>
        <v>32696.526311144615</v>
      </c>
      <c r="T11" s="196">
        <f t="shared" si="2"/>
        <v>37272.000109996487</v>
      </c>
      <c r="U11" s="196">
        <f t="shared" si="2"/>
        <v>41998.390517165331</v>
      </c>
      <c r="V11" s="196">
        <f t="shared" si="2"/>
        <v>46879.116707962938</v>
      </c>
      <c r="W11" s="196">
        <f t="shared" si="2"/>
        <v>51917.655858587968</v>
      </c>
      <c r="X11" s="196">
        <f t="shared" si="2"/>
        <v>57117.543745001429</v>
      </c>
      <c r="Y11" s="196">
        <f t="shared" si="2"/>
        <v>66445.390561149034</v>
      </c>
      <c r="Z11" s="196">
        <f t="shared" si="2"/>
        <v>75975.818627268818</v>
      </c>
      <c r="AA11" s="196">
        <f t="shared" si="2"/>
        <v>85710.122440214735</v>
      </c>
      <c r="AB11" s="196">
        <f t="shared" si="2"/>
        <v>95649.511787070587</v>
      </c>
      <c r="AC11" s="196">
        <f t="shared" si="2"/>
        <v>105795.10694228382</v>
      </c>
      <c r="AD11" s="196">
        <f t="shared" si="2"/>
        <v>116147.93369361068</v>
      </c>
      <c r="AE11" s="196">
        <f t="shared" si="2"/>
        <v>126708.91819178742</v>
      </c>
      <c r="AF11" s="196">
        <f t="shared" si="2"/>
        <v>137478.88161870587</v>
      </c>
      <c r="AG11" s="196">
        <f t="shared" si="2"/>
        <v>148458.53466873159</v>
      </c>
      <c r="AH11" s="196">
        <f t="shared" si="2"/>
        <v>159648.47183766041</v>
      </c>
      <c r="AI11" s="41"/>
    </row>
    <row r="12" spans="1:36" outlineLevel="1">
      <c r="B12" s="1" t="s">
        <v>167</v>
      </c>
      <c r="C12" s="51" t="s">
        <v>166</v>
      </c>
      <c r="D12" s="196">
        <v>0</v>
      </c>
      <c r="E12" s="196">
        <v>0</v>
      </c>
      <c r="F12" s="196">
        <v>0</v>
      </c>
      <c r="G12" s="196">
        <v>0</v>
      </c>
      <c r="H12" s="196">
        <v>0</v>
      </c>
      <c r="I12" s="196">
        <v>0</v>
      </c>
      <c r="J12" s="196">
        <v>0</v>
      </c>
      <c r="K12" s="196">
        <v>0</v>
      </c>
      <c r="L12" s="196">
        <v>0</v>
      </c>
      <c r="M12" s="196">
        <v>0</v>
      </c>
      <c r="N12" s="196">
        <v>0</v>
      </c>
      <c r="O12" s="196">
        <v>0</v>
      </c>
      <c r="P12" s="196">
        <v>0</v>
      </c>
      <c r="Q12" s="196">
        <v>0</v>
      </c>
      <c r="R12" s="196">
        <v>0</v>
      </c>
      <c r="S12" s="196">
        <v>0</v>
      </c>
      <c r="T12" s="196">
        <v>0</v>
      </c>
      <c r="U12" s="196">
        <v>0</v>
      </c>
      <c r="V12" s="196">
        <v>0</v>
      </c>
      <c r="W12" s="196">
        <v>0</v>
      </c>
      <c r="X12" s="196">
        <v>0</v>
      </c>
      <c r="Y12" s="196">
        <v>0</v>
      </c>
      <c r="Z12" s="196">
        <v>0</v>
      </c>
      <c r="AA12" s="196">
        <v>0</v>
      </c>
      <c r="AB12" s="196">
        <v>0</v>
      </c>
      <c r="AC12" s="196">
        <v>0</v>
      </c>
      <c r="AD12" s="196">
        <v>0</v>
      </c>
      <c r="AE12" s="196">
        <v>0</v>
      </c>
      <c r="AF12" s="196">
        <v>0</v>
      </c>
      <c r="AG12" s="196">
        <v>0</v>
      </c>
      <c r="AH12" s="196">
        <v>0</v>
      </c>
    </row>
    <row r="13" spans="1:36" s="1" customFormat="1">
      <c r="A13" s="59"/>
      <c r="B13" s="59" t="s">
        <v>195</v>
      </c>
      <c r="C13" s="60" t="s">
        <v>166</v>
      </c>
      <c r="D13" s="636">
        <f>D8-D11-D12</f>
        <v>185951.33244226652</v>
      </c>
      <c r="E13" s="636">
        <f t="shared" ref="E13:AG13" si="3">E8-E11-E12</f>
        <v>188468.79333217078</v>
      </c>
      <c r="F13" s="636">
        <f t="shared" si="3"/>
        <v>191016.63533699117</v>
      </c>
      <c r="G13" s="636">
        <f t="shared" si="3"/>
        <v>193595.15509973833</v>
      </c>
      <c r="H13" s="636">
        <f t="shared" si="3"/>
        <v>196204.6506965945</v>
      </c>
      <c r="I13" s="636">
        <f t="shared" si="3"/>
        <v>198845.42160677916</v>
      </c>
      <c r="J13" s="636">
        <f t="shared" si="3"/>
        <v>201517.76868117222</v>
      </c>
      <c r="K13" s="636">
        <f t="shared" si="3"/>
        <v>204221.99410966667</v>
      </c>
      <c r="L13" s="636">
        <f t="shared" si="3"/>
        <v>206958.40138722086</v>
      </c>
      <c r="M13" s="636">
        <f t="shared" si="3"/>
        <v>209727.29527858039</v>
      </c>
      <c r="N13" s="636">
        <f>N8-N11-N12</f>
        <v>212528.98178164</v>
      </c>
      <c r="O13" s="636">
        <f t="shared" si="3"/>
        <v>213594.40595070733</v>
      </c>
      <c r="P13" s="636">
        <f t="shared" si="3"/>
        <v>214628.09214755782</v>
      </c>
      <c r="Q13" s="636">
        <f t="shared" si="3"/>
        <v>215628.97534802507</v>
      </c>
      <c r="R13" s="636">
        <f t="shared" si="3"/>
        <v>216595.97632702583</v>
      </c>
      <c r="S13" s="636">
        <f t="shared" si="3"/>
        <v>217528.00182694974</v>
      </c>
      <c r="T13" s="636">
        <f t="shared" si="3"/>
        <v>218423.94474384468</v>
      </c>
      <c r="U13" s="636">
        <f t="shared" si="3"/>
        <v>219282.68433212617</v>
      </c>
      <c r="V13" s="636">
        <f t="shared" si="3"/>
        <v>220103.08642856142</v>
      </c>
      <c r="W13" s="636">
        <f t="shared" si="3"/>
        <v>220884.00369630367</v>
      </c>
      <c r="X13" s="636">
        <f t="shared" si="3"/>
        <v>221624.2758897756</v>
      </c>
      <c r="Y13" s="636">
        <f t="shared" si="3"/>
        <v>217829.8449529385</v>
      </c>
      <c r="Z13" s="636">
        <f t="shared" si="3"/>
        <v>213940.41252015141</v>
      </c>
      <c r="AA13" s="636">
        <f t="shared" si="3"/>
        <v>209956.74264900788</v>
      </c>
      <c r="AB13" s="636">
        <f t="shared" si="3"/>
        <v>205879.72300717409</v>
      </c>
      <c r="AC13" s="636">
        <f t="shared" si="3"/>
        <v>201710.37040294288</v>
      </c>
      <c r="AD13" s="636">
        <f t="shared" si="3"/>
        <v>197449.83650047585</v>
      </c>
      <c r="AE13" s="636">
        <f t="shared" si="3"/>
        <v>193099.4137250674</v>
      </c>
      <c r="AF13" s="636">
        <f t="shared" si="3"/>
        <v>188660.54136390536</v>
      </c>
      <c r="AG13" s="636">
        <f t="shared" si="3"/>
        <v>184134.81186794772</v>
      </c>
      <c r="AH13" s="636">
        <f>AH8-AH11-AH12</f>
        <v>179523.97736068338</v>
      </c>
    </row>
    <row r="14" spans="1:36">
      <c r="A14" s="1" t="s">
        <v>399</v>
      </c>
      <c r="B14" s="1" t="s">
        <v>174</v>
      </c>
      <c r="C14" s="51" t="s">
        <v>166</v>
      </c>
      <c r="D14" s="101">
        <f>'R&amp;S - Packaging and hh goods'!I4</f>
        <v>435529.06307600881</v>
      </c>
      <c r="E14" s="101">
        <f>D14*(1+'R&amp;S - Packaging and hh goods'!$B$5)</f>
        <v>435529.06307600881</v>
      </c>
      <c r="F14" s="101">
        <f>E14*(1+'R&amp;S - Packaging and hh goods'!$B$5)</f>
        <v>435529.06307600881</v>
      </c>
      <c r="G14" s="101">
        <f>F14*(1+'R&amp;S - Packaging and hh goods'!$B$5)</f>
        <v>435529.06307600881</v>
      </c>
      <c r="H14" s="101">
        <f>G14*(1+'R&amp;S - Packaging and hh goods'!$B$5)</f>
        <v>435529.06307600881</v>
      </c>
      <c r="I14" s="101">
        <f>H14*(1+'R&amp;S - Packaging and hh goods'!$B$5)</f>
        <v>435529.06307600881</v>
      </c>
      <c r="J14" s="101">
        <f>I14*(1+'R&amp;S - Packaging and hh goods'!$B$5)</f>
        <v>435529.06307600881</v>
      </c>
      <c r="K14" s="101">
        <f>J14*(1+'R&amp;S - Packaging and hh goods'!$B$5)</f>
        <v>435529.06307600881</v>
      </c>
      <c r="L14" s="101">
        <f>K14*(1+'R&amp;S - Packaging and hh goods'!$B$5)</f>
        <v>435529.06307600881</v>
      </c>
      <c r="M14" s="101">
        <f>L14*(1+'R&amp;S - Packaging and hh goods'!$B$5)</f>
        <v>435529.06307600881</v>
      </c>
      <c r="N14" s="101">
        <f>M14*(1+'R&amp;S - Packaging and hh goods'!$B$5)</f>
        <v>435529.06307600881</v>
      </c>
      <c r="O14" s="101">
        <f>N14*(1+'R&amp;S - Packaging and hh goods'!$B$5)</f>
        <v>435529.06307600881</v>
      </c>
      <c r="P14" s="101">
        <f>O14*(1+'R&amp;S - Packaging and hh goods'!$B$5)</f>
        <v>435529.06307600881</v>
      </c>
      <c r="Q14" s="101">
        <f>P14*(1+'R&amp;S - Packaging and hh goods'!$B$5)</f>
        <v>435529.06307600881</v>
      </c>
      <c r="R14" s="101">
        <f>Q14*(1+'R&amp;S - Packaging and hh goods'!$B$5)</f>
        <v>435529.06307600881</v>
      </c>
      <c r="S14" s="101">
        <f>R14*(1+'R&amp;S - Packaging and hh goods'!$B$5)</f>
        <v>435529.06307600881</v>
      </c>
      <c r="T14" s="101">
        <f>S14*(1+'R&amp;S - Packaging and hh goods'!$B$5)</f>
        <v>435529.06307600881</v>
      </c>
      <c r="U14" s="101">
        <f>T14*(1+'R&amp;S - Packaging and hh goods'!$B$5)</f>
        <v>435529.06307600881</v>
      </c>
      <c r="V14" s="101">
        <f>U14*(1+'R&amp;S - Packaging and hh goods'!$B$5)</f>
        <v>435529.06307600881</v>
      </c>
      <c r="W14" s="101">
        <f>V14*(1+'R&amp;S - Packaging and hh goods'!$B$5)</f>
        <v>435529.06307600881</v>
      </c>
      <c r="X14" s="101">
        <f>W14*(1+'R&amp;S - Packaging and hh goods'!$B$5)</f>
        <v>435529.06307600881</v>
      </c>
      <c r="Y14" s="101">
        <f>X14*(1+'R&amp;S - Packaging and hh goods'!$B$5)</f>
        <v>435529.06307600881</v>
      </c>
      <c r="Z14" s="101">
        <f>Y14*(1+'R&amp;S - Packaging and hh goods'!$B$5)</f>
        <v>435529.06307600881</v>
      </c>
      <c r="AA14" s="101">
        <f>Z14*(1+'R&amp;S - Packaging and hh goods'!$B$5)</f>
        <v>435529.06307600881</v>
      </c>
      <c r="AB14" s="101">
        <f>AA14*(1+'R&amp;S - Packaging and hh goods'!$B$5)</f>
        <v>435529.06307600881</v>
      </c>
      <c r="AC14" s="101">
        <f>AB14*(1+'R&amp;S - Packaging and hh goods'!$B$5)</f>
        <v>435529.06307600881</v>
      </c>
      <c r="AD14" s="101">
        <f>AC14*(1+'R&amp;S - Packaging and hh goods'!$B$5)</f>
        <v>435529.06307600881</v>
      </c>
      <c r="AE14" s="101">
        <f>AD14*(1+'R&amp;S - Packaging and hh goods'!$B$5)</f>
        <v>435529.06307600881</v>
      </c>
      <c r="AF14" s="101">
        <f>AE14*(1+'R&amp;S - Packaging and hh goods'!$B$5)</f>
        <v>435529.06307600881</v>
      </c>
      <c r="AG14" s="101">
        <f>AF14*(1+'R&amp;S - Packaging and hh goods'!$B$5)</f>
        <v>435529.06307600881</v>
      </c>
      <c r="AH14" s="101">
        <f>AG14*(1+'R&amp;S - Packaging and hh goods'!$B$5)</f>
        <v>435529.06307600881</v>
      </c>
    </row>
    <row r="15" spans="1:36" outlineLevel="1">
      <c r="B15" s="58" t="s">
        <v>146</v>
      </c>
      <c r="C15" s="51" t="s">
        <v>166</v>
      </c>
      <c r="D15" s="196">
        <v>0</v>
      </c>
      <c r="E15" s="196">
        <f>E14*'R&amp;S - Packaging and hh goods'!$B$7*('R&amp;S - Packaging and hh goods'!$D$14*'R&amp;S - Packaging and hh goods'!$P$19*('Yearly HC Propylene'!E$3-'Yearly HC Propylene'!$D$3)/10)</f>
        <v>160.71022427504724</v>
      </c>
      <c r="F15" s="196">
        <f>F14*'R&amp;S - Packaging and hh goods'!$B$7*('R&amp;S - Packaging and hh goods'!$D$14*'R&amp;S - Packaging and hh goods'!$P$19*('Yearly HC Propylene'!F$3-'Yearly HC Propylene'!$D$3)/10)</f>
        <v>321.42044855009448</v>
      </c>
      <c r="G15" s="196">
        <f>G14*'R&amp;S - Packaging and hh goods'!$B$7*('R&amp;S - Packaging and hh goods'!$D$14*'R&amp;S - Packaging and hh goods'!$P$19*('Yearly HC Propylene'!G$3-'Yearly HC Propylene'!$D$3)/10)</f>
        <v>482.1306728251418</v>
      </c>
      <c r="H15" s="196">
        <f>H14*'R&amp;S - Packaging and hh goods'!$B$7*('R&amp;S - Packaging and hh goods'!$D$14*'R&amp;S - Packaging and hh goods'!$P$19*('Yearly HC Propylene'!H$3-'Yearly HC Propylene'!$D$3)/10)</f>
        <v>642.84089710018895</v>
      </c>
      <c r="I15" s="196">
        <f>I14*'R&amp;S - Packaging and hh goods'!$B$7*('R&amp;S - Packaging and hh goods'!$D$14*'R&amp;S - Packaging and hh goods'!$P$19*('Yearly HC Propylene'!I$3-'Yearly HC Propylene'!$D$3)/10)</f>
        <v>803.55112137523622</v>
      </c>
      <c r="J15" s="196">
        <f>J14*'R&amp;S - Packaging and hh goods'!$B$7*('R&amp;S - Packaging and hh goods'!$D$14*'R&amp;S - Packaging and hh goods'!$P$19*('Yearly HC Propylene'!J$3-'Yearly HC Propylene'!$D$3)/10)</f>
        <v>964.2613456502836</v>
      </c>
      <c r="K15" s="196">
        <f>K14*'R&amp;S - Packaging and hh goods'!$B$7*('R&amp;S - Packaging and hh goods'!$D$14*'R&amp;S - Packaging and hh goods'!$P$19*('Yearly HC Propylene'!K$3-'Yearly HC Propylene'!$D$3)/10)</f>
        <v>1124.9715699253309</v>
      </c>
      <c r="L15" s="196">
        <f>L14*'R&amp;S - Packaging and hh goods'!$B$7*('R&amp;S - Packaging and hh goods'!$D$14*'R&amp;S - Packaging and hh goods'!$P$19*('Yearly HC Propylene'!L$3-'Yearly HC Propylene'!$D$3)/10)</f>
        <v>1285.6817942003779</v>
      </c>
      <c r="M15" s="196">
        <f>M14*'R&amp;S - Packaging and hh goods'!$B$7*('R&amp;S - Packaging and hh goods'!$D$14*'R&amp;S - Packaging and hh goods'!$P$19*('Yearly HC Propylene'!M$3-'Yearly HC Propylene'!$D$3)/10)</f>
        <v>1446.3920184754252</v>
      </c>
      <c r="N15" s="196">
        <f>N14*'R&amp;S - Packaging and hh goods'!$B$7*('R&amp;S - Packaging and hh goods'!$D$14*'R&amp;S - Packaging and hh goods'!$P$19*('Yearly HC Propylene'!N$3-'Yearly HC Propylene'!$D$3)/10)</f>
        <v>1607.1022427504724</v>
      </c>
      <c r="O15" s="196">
        <f>O14*'R&amp;S - Packaging and hh goods'!$B$7*('R&amp;S - Packaging and hh goods'!$D$14*('R&amp;S - Packaging and hh goods'!$P$19+('R&amp;S - Packaging and hh goods'!$P$20-'R&amp;S - Packaging and hh goods'!$P$19)*('Yearly HC Propylene'!O$3-'Yearly HC Propylene'!$N$3)/10))</f>
        <v>2428.5100557118253</v>
      </c>
      <c r="P15" s="196">
        <f>P14*'R&amp;S - Packaging and hh goods'!$B$7*('R&amp;S - Packaging and hh goods'!$D$14*('R&amp;S - Packaging and hh goods'!$P$19+('R&amp;S - Packaging and hh goods'!$P$20-'R&amp;S - Packaging and hh goods'!$P$19)*('Yearly HC Propylene'!P$3-'Yearly HC Propylene'!$N$3)/10))</f>
        <v>3249.9178686731775</v>
      </c>
      <c r="Q15" s="196">
        <f>Q14*'R&amp;S - Packaging and hh goods'!$B$7*('R&amp;S - Packaging and hh goods'!$D$14*('R&amp;S - Packaging and hh goods'!$P$19+('R&amp;S - Packaging and hh goods'!$P$20-'R&amp;S - Packaging and hh goods'!$P$19)*('Yearly HC Propylene'!Q$3-'Yearly HC Propylene'!$N$3)/10))</f>
        <v>4071.3256816345311</v>
      </c>
      <c r="R15" s="196">
        <f>R14*'R&amp;S - Packaging and hh goods'!$B$7*('R&amp;S - Packaging and hh goods'!$D$14*('R&amp;S - Packaging and hh goods'!$P$19+('R&amp;S - Packaging and hh goods'!$P$20-'R&amp;S - Packaging and hh goods'!$P$19)*('Yearly HC Propylene'!R$3-'Yearly HC Propylene'!$N$3)/10))</f>
        <v>4892.7334945958837</v>
      </c>
      <c r="S15" s="196">
        <f>S14*'R&amp;S - Packaging and hh goods'!$B$7*('R&amp;S - Packaging and hh goods'!$D$14*('R&amp;S - Packaging and hh goods'!$P$19+('R&amp;S - Packaging and hh goods'!$P$20-'R&amp;S - Packaging and hh goods'!$P$19)*('Yearly HC Propylene'!S$3-'Yearly HC Propylene'!$N$3)/10))</f>
        <v>5714.1413075572373</v>
      </c>
      <c r="T15" s="196">
        <f>T14*'R&amp;S - Packaging and hh goods'!$B$7*('R&amp;S - Packaging and hh goods'!$D$14*('R&amp;S - Packaging and hh goods'!$P$19+('R&amp;S - Packaging and hh goods'!$P$20-'R&amp;S - Packaging and hh goods'!$P$19)*('Yearly HC Propylene'!T$3-'Yearly HC Propylene'!$N$3)/10))</f>
        <v>6535.5491205185899</v>
      </c>
      <c r="U15" s="196">
        <f>U14*'R&amp;S - Packaging and hh goods'!$B$7*('R&amp;S - Packaging and hh goods'!$D$14*('R&amp;S - Packaging and hh goods'!$P$19+('R&amp;S - Packaging and hh goods'!$P$20-'R&amp;S - Packaging and hh goods'!$P$19)*('Yearly HC Propylene'!U$3-'Yearly HC Propylene'!$N$3)/10))</f>
        <v>7356.9569334799417</v>
      </c>
      <c r="V15" s="196">
        <f>V14*'R&amp;S - Packaging and hh goods'!$B$7*('R&amp;S - Packaging and hh goods'!$D$14*('R&amp;S - Packaging and hh goods'!$P$19+('R&amp;S - Packaging and hh goods'!$P$20-'R&amp;S - Packaging and hh goods'!$P$19)*('Yearly HC Propylene'!V$3-'Yearly HC Propylene'!$N$3)/10))</f>
        <v>8178.3647464412952</v>
      </c>
      <c r="W15" s="196">
        <f>W14*'R&amp;S - Packaging and hh goods'!$B$7*('R&amp;S - Packaging and hh goods'!$D$14*('R&amp;S - Packaging and hh goods'!$P$19+('R&amp;S - Packaging and hh goods'!$P$20-'R&amp;S - Packaging and hh goods'!$P$19)*('Yearly HC Propylene'!W$3-'Yearly HC Propylene'!$N$3)/10))</f>
        <v>8999.7725594026469</v>
      </c>
      <c r="X15" s="196">
        <f>X14*'R&amp;S - Packaging and hh goods'!$B$7*('R&amp;S - Packaging and hh goods'!$D$14*('R&amp;S - Packaging and hh goods'!$P$19+('R&amp;S - Packaging and hh goods'!$P$20-'R&amp;S - Packaging and hh goods'!$P$19)*('Yearly HC Propylene'!X$3-'Yearly HC Propylene'!$N$3)/10))</f>
        <v>9821.1803723640005</v>
      </c>
      <c r="Y15" s="196">
        <f>Y14*'R&amp;S - Packaging and hh goods'!$B$7*('R&amp;S - Packaging and hh goods'!$D$14*('R&amp;S - Packaging and hh goods'!$P$20+('R&amp;S - Packaging and hh goods'!$P$21-'R&amp;S - Packaging and hh goods'!$P$20)*('Yearly HC Propylene'!Y$3-'Yearly HC Propylene'!$X$3)/10))</f>
        <v>10624.731493739237</v>
      </c>
      <c r="Z15" s="196">
        <f>Z14*'R&amp;S - Packaging and hh goods'!$B$7*('R&amp;S - Packaging and hh goods'!$D$14*('R&amp;S - Packaging and hh goods'!$P$20+('R&amp;S - Packaging and hh goods'!$P$21-'R&amp;S - Packaging and hh goods'!$P$20)*('Yearly HC Propylene'!Z$3-'Yearly HC Propylene'!$X$3)/10))</f>
        <v>11428.282615114471</v>
      </c>
      <c r="AA15" s="196">
        <f>AA14*'R&amp;S - Packaging and hh goods'!$B$7*('R&amp;S - Packaging and hh goods'!$D$14*('R&amp;S - Packaging and hh goods'!$P$20+('R&amp;S - Packaging and hh goods'!$P$21-'R&amp;S - Packaging and hh goods'!$P$20)*('Yearly HC Propylene'!AA$3-'Yearly HC Propylene'!$X$3)/10))</f>
        <v>12231.833736489709</v>
      </c>
      <c r="AB15" s="196">
        <f>AB14*'R&amp;S - Packaging and hh goods'!$B$7*('R&amp;S - Packaging and hh goods'!$D$14*('R&amp;S - Packaging and hh goods'!$P$20+('R&amp;S - Packaging and hh goods'!$P$21-'R&amp;S - Packaging and hh goods'!$P$20)*('Yearly HC Propylene'!AB$3-'Yearly HC Propylene'!$X$3)/10))</f>
        <v>13035.384857864943</v>
      </c>
      <c r="AC15" s="196">
        <f>AC14*'R&amp;S - Packaging and hh goods'!$B$7*('R&amp;S - Packaging and hh goods'!$D$14*('R&amp;S - Packaging and hh goods'!$P$20+('R&amp;S - Packaging and hh goods'!$P$21-'R&amp;S - Packaging and hh goods'!$P$20)*('Yearly HC Propylene'!AC$3-'Yearly HC Propylene'!$X$3)/10))</f>
        <v>13838.935979240181</v>
      </c>
      <c r="AD15" s="196">
        <f>AD14*'R&amp;S - Packaging and hh goods'!$B$7*('R&amp;S - Packaging and hh goods'!$D$14*('R&amp;S - Packaging and hh goods'!$P$20+('R&amp;S - Packaging and hh goods'!$P$21-'R&amp;S - Packaging and hh goods'!$P$20)*('Yearly HC Propylene'!AD$3-'Yearly HC Propylene'!$X$3)/10))</f>
        <v>14642.487100615417</v>
      </c>
      <c r="AE15" s="196">
        <f>AE14*'R&amp;S - Packaging and hh goods'!$B$7*('R&amp;S - Packaging and hh goods'!$D$14*('R&amp;S - Packaging and hh goods'!$P$20+('R&amp;S - Packaging and hh goods'!$P$21-'R&amp;S - Packaging and hh goods'!$P$20)*('Yearly HC Propylene'!AE$3-'Yearly HC Propylene'!$X$3)/10))</f>
        <v>15446.038221990653</v>
      </c>
      <c r="AF15" s="196">
        <f>AF14*'R&amp;S - Packaging and hh goods'!$B$7*('R&amp;S - Packaging and hh goods'!$D$14*('R&amp;S - Packaging and hh goods'!$P$20+('R&amp;S - Packaging and hh goods'!$P$21-'R&amp;S - Packaging and hh goods'!$P$20)*('Yearly HC Propylene'!AF$3-'Yearly HC Propylene'!$X$3)/10))</f>
        <v>16249.589343365889</v>
      </c>
      <c r="AG15" s="196">
        <f>AG14*'R&amp;S - Packaging and hh goods'!$B$7*('R&amp;S - Packaging and hh goods'!$D$14*('R&amp;S - Packaging and hh goods'!$P$20+('R&amp;S - Packaging and hh goods'!$P$21-'R&amp;S - Packaging and hh goods'!$P$20)*('Yearly HC Propylene'!AG$3-'Yearly HC Propylene'!$X$3)/10))</f>
        <v>17053.140464741125</v>
      </c>
      <c r="AH15" s="196">
        <f>AH14*'R&amp;S - Packaging and hh goods'!$B$7*('R&amp;S - Packaging and hh goods'!$D$14*('R&amp;S - Packaging and hh goods'!$P$20+('R&amp;S - Packaging and hh goods'!$P$21-'R&amp;S - Packaging and hh goods'!$P$20)*('Yearly HC Propylene'!AH$3-'Yearly HC Propylene'!$X$3)/10))</f>
        <v>17856.691586116362</v>
      </c>
    </row>
    <row r="16" spans="1:36" outlineLevel="1">
      <c r="B16" s="58" t="s">
        <v>188</v>
      </c>
      <c r="C16" s="51" t="s">
        <v>166</v>
      </c>
      <c r="D16" s="196">
        <v>0</v>
      </c>
      <c r="E16" s="196">
        <f>E14*'R&amp;S - Packaging and hh goods'!$B$8*('R&amp;S - Packaging and hh goods'!$D$14*'R&amp;S - Packaging and hh goods'!$Q$19*('Yearly HC Propylene'!E$3-'Yearly HC Propylene'!$D$3)/10)</f>
        <v>1275.2290966865539</v>
      </c>
      <c r="F16" s="196">
        <f>F14*'R&amp;S - Packaging and hh goods'!$B$8*('R&amp;S - Packaging and hh goods'!$D$14*'R&amp;S - Packaging and hh goods'!$Q$19*('Yearly HC Propylene'!F$3-'Yearly HC Propylene'!$D$3)/10)</f>
        <v>2550.4581933731079</v>
      </c>
      <c r="G16" s="196">
        <f>G14*'R&amp;S - Packaging and hh goods'!$B$8*('R&amp;S - Packaging and hh goods'!$D$14*'R&amp;S - Packaging and hh goods'!$Q$19*('Yearly HC Propylene'!G$3-'Yearly HC Propylene'!$D$3)/10)</f>
        <v>3825.6872900596609</v>
      </c>
      <c r="H16" s="196">
        <f>H14*'R&amp;S - Packaging and hh goods'!$B$8*('R&amp;S - Packaging and hh goods'!$D$14*'R&amp;S - Packaging and hh goods'!$Q$19*('Yearly HC Propylene'!H$3-'Yearly HC Propylene'!$D$3)/10)</f>
        <v>5100.9163867462157</v>
      </c>
      <c r="I16" s="196">
        <f>I14*'R&amp;S - Packaging and hh goods'!$B$8*('R&amp;S - Packaging and hh goods'!$D$14*'R&amp;S - Packaging and hh goods'!$Q$19*('Yearly HC Propylene'!I$3-'Yearly HC Propylene'!$D$3)/10)</f>
        <v>6376.1454834327687</v>
      </c>
      <c r="J16" s="196">
        <f>J14*'R&amp;S - Packaging and hh goods'!$B$8*('R&amp;S - Packaging and hh goods'!$D$14*'R&amp;S - Packaging and hh goods'!$Q$19*('Yearly HC Propylene'!J$3-'Yearly HC Propylene'!$D$3)/10)</f>
        <v>7651.3745801193218</v>
      </c>
      <c r="K16" s="196">
        <f>K14*'R&amp;S - Packaging and hh goods'!$B$8*('R&amp;S - Packaging and hh goods'!$D$14*'R&amp;S - Packaging and hh goods'!$Q$19*('Yearly HC Propylene'!K$3-'Yearly HC Propylene'!$D$3)/10)</f>
        <v>8926.6036768058748</v>
      </c>
      <c r="L16" s="196">
        <f>L14*'R&amp;S - Packaging and hh goods'!$B$8*('R&amp;S - Packaging and hh goods'!$D$14*'R&amp;S - Packaging and hh goods'!$Q$19*('Yearly HC Propylene'!L$3-'Yearly HC Propylene'!$D$3)/10)</f>
        <v>10201.832773492431</v>
      </c>
      <c r="M16" s="196">
        <f>M14*'R&amp;S - Packaging and hh goods'!$B$8*('R&amp;S - Packaging and hh goods'!$D$14*'R&amp;S - Packaging and hh goods'!$Q$19*('Yearly HC Propylene'!M$3-'Yearly HC Propylene'!$D$3)/10)</f>
        <v>11477.061870178986</v>
      </c>
      <c r="N16" s="196">
        <f>N14*'R&amp;S - Packaging and hh goods'!$B$8*('R&amp;S - Packaging and hh goods'!$D$14*'R&amp;S - Packaging and hh goods'!$Q$19*('Yearly HC Propylene'!N$3-'Yearly HC Propylene'!$D$3)/10)</f>
        <v>12752.290966865537</v>
      </c>
      <c r="O16" s="196">
        <f>O14*'R&amp;S - Packaging and hh goods'!$B$8*('R&amp;S - Packaging and hh goods'!$D$14*('R&amp;S - Packaging and hh goods'!$Q$19+('R&amp;S - Packaging and hh goods'!$Q$20-'R&amp;S - Packaging and hh goods'!$Q$19)*('Yearly HC Propylene'!O$3-'Yearly HC Propylene'!$N$3)/10))</f>
        <v>14771.403703285912</v>
      </c>
      <c r="P16" s="196">
        <f>P14*'R&amp;S - Packaging and hh goods'!$B$8*('R&amp;S - Packaging and hh goods'!$D$14*('R&amp;S - Packaging and hh goods'!$Q$19+('R&amp;S - Packaging and hh goods'!$Q$20-'R&amp;S - Packaging and hh goods'!$Q$19)*('Yearly HC Propylene'!P$3-'Yearly HC Propylene'!$N$3)/10))</f>
        <v>16790.516439706291</v>
      </c>
      <c r="Q16" s="196">
        <f>Q14*'R&amp;S - Packaging and hh goods'!$B$8*('R&amp;S - Packaging and hh goods'!$D$14*('R&amp;S - Packaging and hh goods'!$Q$19+('R&amp;S - Packaging and hh goods'!$Q$20-'R&amp;S - Packaging and hh goods'!$Q$19)*('Yearly HC Propylene'!Q$3-'Yearly HC Propylene'!$N$3)/10))</f>
        <v>18809.629176126666</v>
      </c>
      <c r="R16" s="196">
        <f>R14*'R&amp;S - Packaging and hh goods'!$B$8*('R&amp;S - Packaging and hh goods'!$D$14*('R&amp;S - Packaging and hh goods'!$Q$19+('R&amp;S - Packaging and hh goods'!$Q$20-'R&amp;S - Packaging and hh goods'!$Q$19)*('Yearly HC Propylene'!R$3-'Yearly HC Propylene'!$N$3)/10))</f>
        <v>20828.741912547048</v>
      </c>
      <c r="S16" s="196">
        <f>S14*'R&amp;S - Packaging and hh goods'!$B$8*('R&amp;S - Packaging and hh goods'!$D$14*('R&amp;S - Packaging and hh goods'!$Q$19+('R&amp;S - Packaging and hh goods'!$Q$20-'R&amp;S - Packaging and hh goods'!$Q$19)*('Yearly HC Propylene'!S$3-'Yearly HC Propylene'!$N$3)/10))</f>
        <v>22847.854648967423</v>
      </c>
      <c r="T16" s="196">
        <f>T14*'R&amp;S - Packaging and hh goods'!$B$8*('R&amp;S - Packaging and hh goods'!$D$14*('R&amp;S - Packaging and hh goods'!$Q$19+('R&amp;S - Packaging and hh goods'!$Q$20-'R&amp;S - Packaging and hh goods'!$Q$19)*('Yearly HC Propylene'!T$3-'Yearly HC Propylene'!$N$3)/10))</f>
        <v>24866.967385387801</v>
      </c>
      <c r="U16" s="196">
        <f>U14*'R&amp;S - Packaging and hh goods'!$B$8*('R&amp;S - Packaging and hh goods'!$D$14*('R&amp;S - Packaging and hh goods'!$Q$19+('R&amp;S - Packaging and hh goods'!$Q$20-'R&amp;S - Packaging and hh goods'!$Q$19)*('Yearly HC Propylene'!U$3-'Yearly HC Propylene'!$N$3)/10))</f>
        <v>26886.080121808176</v>
      </c>
      <c r="V16" s="196">
        <f>V14*'R&amp;S - Packaging and hh goods'!$B$8*('R&amp;S - Packaging and hh goods'!$D$14*('R&amp;S - Packaging and hh goods'!$Q$19+('R&amp;S - Packaging and hh goods'!$Q$20-'R&amp;S - Packaging and hh goods'!$Q$19)*('Yearly HC Propylene'!V$3-'Yearly HC Propylene'!$N$3)/10))</f>
        <v>28905.192858228555</v>
      </c>
      <c r="W16" s="196">
        <f>W14*'R&amp;S - Packaging and hh goods'!$B$8*('R&amp;S - Packaging and hh goods'!$D$14*('R&amp;S - Packaging and hh goods'!$Q$19+('R&amp;S - Packaging and hh goods'!$Q$20-'R&amp;S - Packaging and hh goods'!$Q$19)*('Yearly HC Propylene'!W$3-'Yearly HC Propylene'!$N$3)/10))</f>
        <v>30924.305594648926</v>
      </c>
      <c r="X16" s="196">
        <f>X14*'R&amp;S - Packaging and hh goods'!$B$8*('R&amp;S - Packaging and hh goods'!$D$14*('R&amp;S - Packaging and hh goods'!$Q$19+('R&amp;S - Packaging and hh goods'!$Q$20-'R&amp;S - Packaging and hh goods'!$Q$19)*('Yearly HC Propylene'!X$3-'Yearly HC Propylene'!$N$3)/10))</f>
        <v>32943.418331069304</v>
      </c>
      <c r="Y16" s="196">
        <f>Y14*'R&amp;S - Packaging and hh goods'!$B$8*('R&amp;S - Packaging and hh goods'!$D$14*('R&amp;S - Packaging and hh goods'!$Q$20+('R&amp;S - Packaging and hh goods'!$Q$21-'R&amp;S - Packaging and hh goods'!$Q$20)*('Yearly HC Propylene'!Y$3-'Yearly HC Propylene'!$X$3)/10))</f>
        <v>34962.531067489683</v>
      </c>
      <c r="Z16" s="196">
        <f>Z14*'R&amp;S - Packaging and hh goods'!$B$8*('R&amp;S - Packaging and hh goods'!$D$14*('R&amp;S - Packaging and hh goods'!$Q$20+('R&amp;S - Packaging and hh goods'!$Q$21-'R&amp;S - Packaging and hh goods'!$Q$20)*('Yearly HC Propylene'!Z$3-'Yearly HC Propylene'!$X$3)/10))</f>
        <v>36981.643803910054</v>
      </c>
      <c r="AA16" s="196">
        <f>AA14*'R&amp;S - Packaging and hh goods'!$B$8*('R&amp;S - Packaging and hh goods'!$D$14*('R&amp;S - Packaging and hh goods'!$Q$20+('R&amp;S - Packaging and hh goods'!$Q$21-'R&amp;S - Packaging and hh goods'!$Q$20)*('Yearly HC Propylene'!AA$3-'Yearly HC Propylene'!$X$3)/10))</f>
        <v>39000.756540330432</v>
      </c>
      <c r="AB16" s="196">
        <f>AB14*'R&amp;S - Packaging and hh goods'!$B$8*('R&amp;S - Packaging and hh goods'!$D$14*('R&amp;S - Packaging and hh goods'!$Q$20+('R&amp;S - Packaging and hh goods'!$Q$21-'R&amp;S - Packaging and hh goods'!$Q$20)*('Yearly HC Propylene'!AB$3-'Yearly HC Propylene'!$X$3)/10))</f>
        <v>41019.869276750818</v>
      </c>
      <c r="AC16" s="196">
        <f>AC14*'R&amp;S - Packaging and hh goods'!$B$8*('R&amp;S - Packaging and hh goods'!$D$14*('R&amp;S - Packaging and hh goods'!$Q$20+('R&amp;S - Packaging and hh goods'!$Q$21-'R&amp;S - Packaging and hh goods'!$Q$20)*('Yearly HC Propylene'!AC$3-'Yearly HC Propylene'!$X$3)/10))</f>
        <v>43038.982013171197</v>
      </c>
      <c r="AD16" s="196">
        <f>AD14*'R&amp;S - Packaging and hh goods'!$B$8*('R&amp;S - Packaging and hh goods'!$D$14*('R&amp;S - Packaging and hh goods'!$Q$20+('R&amp;S - Packaging and hh goods'!$Q$21-'R&amp;S - Packaging and hh goods'!$Q$20)*('Yearly HC Propylene'!AD$3-'Yearly HC Propylene'!$X$3)/10))</f>
        <v>45058.094749591575</v>
      </c>
      <c r="AE16" s="196">
        <f>AE14*'R&amp;S - Packaging and hh goods'!$B$8*('R&amp;S - Packaging and hh goods'!$D$14*('R&amp;S - Packaging and hh goods'!$Q$20+('R&amp;S - Packaging and hh goods'!$Q$21-'R&amp;S - Packaging and hh goods'!$Q$20)*('Yearly HC Propylene'!AE$3-'Yearly HC Propylene'!$X$3)/10))</f>
        <v>47077.207486011946</v>
      </c>
      <c r="AF16" s="196">
        <f>AF14*'R&amp;S - Packaging and hh goods'!$B$8*('R&amp;S - Packaging and hh goods'!$D$14*('R&amp;S - Packaging and hh goods'!$Q$20+('R&amp;S - Packaging and hh goods'!$Q$21-'R&amp;S - Packaging and hh goods'!$Q$20)*('Yearly HC Propylene'!AF$3-'Yearly HC Propylene'!$X$3)/10))</f>
        <v>49096.320222432318</v>
      </c>
      <c r="AG16" s="196">
        <f>AG14*'R&amp;S - Packaging and hh goods'!$B$8*('R&amp;S - Packaging and hh goods'!$D$14*('R&amp;S - Packaging and hh goods'!$Q$20+('R&amp;S - Packaging and hh goods'!$Q$21-'R&amp;S - Packaging and hh goods'!$Q$20)*('Yearly HC Propylene'!AG$3-'Yearly HC Propylene'!$X$3)/10))</f>
        <v>51115.432958852696</v>
      </c>
      <c r="AH16" s="196">
        <f>AH14*'R&amp;S - Packaging and hh goods'!$B$8*('R&amp;S - Packaging and hh goods'!$D$14*('R&amp;S - Packaging and hh goods'!$Q$20+('R&amp;S - Packaging and hh goods'!$Q$21-'R&amp;S - Packaging and hh goods'!$Q$20)*('Yearly HC Propylene'!AH$3-'Yearly HC Propylene'!$X$3)/10))</f>
        <v>53134.545695273075</v>
      </c>
    </row>
    <row r="17" spans="1:34" outlineLevel="1">
      <c r="B17" s="1" t="s">
        <v>164</v>
      </c>
      <c r="C17" s="51" t="s">
        <v>166</v>
      </c>
      <c r="D17" s="101">
        <f>SUM(D15:D16)</f>
        <v>0</v>
      </c>
      <c r="E17" s="101">
        <f t="shared" ref="E17:AH17" si="4">SUM(E15:E16)</f>
        <v>1435.9393209616012</v>
      </c>
      <c r="F17" s="101">
        <f t="shared" si="4"/>
        <v>2871.8786419232024</v>
      </c>
      <c r="G17" s="101">
        <f t="shared" si="4"/>
        <v>4307.8179628848029</v>
      </c>
      <c r="H17" s="101">
        <f t="shared" si="4"/>
        <v>5743.7572838464048</v>
      </c>
      <c r="I17" s="101">
        <f t="shared" si="4"/>
        <v>7179.6966048080048</v>
      </c>
      <c r="J17" s="101">
        <f t="shared" si="4"/>
        <v>8615.6359257696058</v>
      </c>
      <c r="K17" s="101">
        <f t="shared" si="4"/>
        <v>10051.575246731205</v>
      </c>
      <c r="L17" s="101">
        <f t="shared" si="4"/>
        <v>11487.51456769281</v>
      </c>
      <c r="M17" s="101">
        <f t="shared" si="4"/>
        <v>12923.453888654411</v>
      </c>
      <c r="N17" s="101">
        <f t="shared" si="4"/>
        <v>14359.39320961601</v>
      </c>
      <c r="O17" s="101">
        <f t="shared" si="4"/>
        <v>17199.913758997736</v>
      </c>
      <c r="P17" s="101">
        <f t="shared" si="4"/>
        <v>20040.434308379467</v>
      </c>
      <c r="Q17" s="101">
        <f t="shared" si="4"/>
        <v>22880.954857761197</v>
      </c>
      <c r="R17" s="101">
        <f t="shared" si="4"/>
        <v>25721.475407142931</v>
      </c>
      <c r="S17" s="101">
        <f t="shared" si="4"/>
        <v>28561.995956524661</v>
      </c>
      <c r="T17" s="101">
        <f t="shared" si="4"/>
        <v>31402.516505906391</v>
      </c>
      <c r="U17" s="101">
        <f t="shared" si="4"/>
        <v>34243.037055288121</v>
      </c>
      <c r="V17" s="101">
        <f t="shared" si="4"/>
        <v>37083.557604669848</v>
      </c>
      <c r="W17" s="101">
        <f t="shared" si="4"/>
        <v>39924.078154051575</v>
      </c>
      <c r="X17" s="101">
        <f t="shared" si="4"/>
        <v>42764.598703433308</v>
      </c>
      <c r="Y17" s="101">
        <f t="shared" si="4"/>
        <v>45587.262561228919</v>
      </c>
      <c r="Z17" s="101">
        <f t="shared" si="4"/>
        <v>48409.926419024523</v>
      </c>
      <c r="AA17" s="101">
        <f t="shared" si="4"/>
        <v>51232.590276820141</v>
      </c>
      <c r="AB17" s="101">
        <f t="shared" si="4"/>
        <v>54055.25413461576</v>
      </c>
      <c r="AC17" s="101">
        <f t="shared" si="4"/>
        <v>56877.917992411378</v>
      </c>
      <c r="AD17" s="101">
        <f t="shared" si="4"/>
        <v>59700.581850206989</v>
      </c>
      <c r="AE17" s="101">
        <f t="shared" si="4"/>
        <v>62523.2457080026</v>
      </c>
      <c r="AF17" s="101">
        <f t="shared" si="4"/>
        <v>65345.909565798211</v>
      </c>
      <c r="AG17" s="101">
        <f t="shared" si="4"/>
        <v>68168.573423593829</v>
      </c>
      <c r="AH17" s="101">
        <f t="shared" si="4"/>
        <v>70991.237281389433</v>
      </c>
    </row>
    <row r="18" spans="1:34" outlineLevel="1">
      <c r="B18" s="58" t="s">
        <v>189</v>
      </c>
      <c r="C18" s="51" t="s">
        <v>166</v>
      </c>
      <c r="D18" s="196">
        <v>0</v>
      </c>
      <c r="E18" s="196">
        <f>E14*'R&amp;S - Packaging and hh goods'!$B$9*('R&amp;S - Packaging and hh goods'!$E$14*'R&amp;S - Packaging and hh goods'!$R$19*('Yearly HC Propylene'!E$3-'Yearly HC Propylene'!$D$3)/10)</f>
        <v>404.17097053453614</v>
      </c>
      <c r="F18" s="196">
        <f>F14*'R&amp;S - Packaging and hh goods'!$B$9*('R&amp;S - Packaging and hh goods'!$E$14*'R&amp;S - Packaging and hh goods'!$R$19*('Yearly HC Propylene'!F$3-'Yearly HC Propylene'!$D$3)/10)</f>
        <v>808.34194106907228</v>
      </c>
      <c r="G18" s="196">
        <f>G14*'R&amp;S - Packaging and hh goods'!$B$9*('R&amp;S - Packaging and hh goods'!$E$14*'R&amp;S - Packaging and hh goods'!$R$19*('Yearly HC Propylene'!G$3-'Yearly HC Propylene'!$D$3)/10)</f>
        <v>1212.5129116036085</v>
      </c>
      <c r="H18" s="196">
        <f>H14*'R&amp;S - Packaging and hh goods'!$B$9*('R&amp;S - Packaging and hh goods'!$E$14*'R&amp;S - Packaging and hh goods'!$R$19*('Yearly HC Propylene'!H$3-'Yearly HC Propylene'!$D$3)/10)</f>
        <v>1616.6838821381446</v>
      </c>
      <c r="I18" s="196">
        <f>I14*'R&amp;S - Packaging and hh goods'!$B$9*('R&amp;S - Packaging and hh goods'!$E$14*'R&amp;S - Packaging and hh goods'!$R$19*('Yearly HC Propylene'!I$3-'Yearly HC Propylene'!$D$3)/10)</f>
        <v>2020.8548526726806</v>
      </c>
      <c r="J18" s="196">
        <f>J14*'R&amp;S - Packaging and hh goods'!$B$9*('R&amp;S - Packaging and hh goods'!$E$14*'R&amp;S - Packaging and hh goods'!$R$19*('Yearly HC Propylene'!J$3-'Yearly HC Propylene'!$D$3)/10)</f>
        <v>2425.0258232072169</v>
      </c>
      <c r="K18" s="196">
        <f>K14*'R&amp;S - Packaging and hh goods'!$B$9*('R&amp;S - Packaging and hh goods'!$E$14*'R&amp;S - Packaging and hh goods'!$R$19*('Yearly HC Propylene'!K$3-'Yearly HC Propylene'!$D$3)/10)</f>
        <v>2829.196793741753</v>
      </c>
      <c r="L18" s="196">
        <f>L14*'R&amp;S - Packaging and hh goods'!$B$9*('R&amp;S - Packaging and hh goods'!$E$14*'R&amp;S - Packaging and hh goods'!$R$19*('Yearly HC Propylene'!L$3-'Yearly HC Propylene'!$D$3)/10)</f>
        <v>3233.3677642762891</v>
      </c>
      <c r="M18" s="196">
        <f>M14*'R&amp;S - Packaging and hh goods'!$B$9*('R&amp;S - Packaging and hh goods'!$E$14*'R&amp;S - Packaging and hh goods'!$R$19*('Yearly HC Propylene'!M$3-'Yearly HC Propylene'!$D$3)/10)</f>
        <v>3637.5387348108256</v>
      </c>
      <c r="N18" s="196">
        <f>N14*'R&amp;S - Packaging and hh goods'!$B$9*('R&amp;S - Packaging and hh goods'!$E$14*'R&amp;S - Packaging and hh goods'!$R$19*('Yearly HC Propylene'!N$3-'Yearly HC Propylene'!$D$3)/10)</f>
        <v>4041.7097053453613</v>
      </c>
      <c r="O18" s="196">
        <f>O14*'R&amp;S - Packaging and hh goods'!$B$9*('R&amp;S - Packaging and hh goods'!$E$14*'R&amp;S - Packaging and hh goods'!$R$19*('Yearly HC Propylene'!O$3-'Yearly HC Propylene'!$D$3)/10)</f>
        <v>4445.8806758798983</v>
      </c>
      <c r="P18" s="196">
        <f>P14*'R&amp;S - Packaging and hh goods'!$B$9*('R&amp;S - Packaging and hh goods'!$E$14*'R&amp;S - Packaging and hh goods'!$R$19*('Yearly HC Propylene'!P$3-'Yearly HC Propylene'!$D$3)/10)</f>
        <v>4850.0516464144339</v>
      </c>
      <c r="Q18" s="196">
        <f>Q14*'R&amp;S - Packaging and hh goods'!$B$9*('R&amp;S - Packaging and hh goods'!$E$14*'R&amp;S - Packaging and hh goods'!$R$19*('Yearly HC Propylene'!Q$3-'Yearly HC Propylene'!$D$3)/10)</f>
        <v>5254.2226169489695</v>
      </c>
      <c r="R18" s="196">
        <f>R14*'R&amp;S - Packaging and hh goods'!$B$9*('R&amp;S - Packaging and hh goods'!$E$14*'R&amp;S - Packaging and hh goods'!$R$19*('Yearly HC Propylene'!R$3-'Yearly HC Propylene'!$D$3)/10)</f>
        <v>5658.3935874835061</v>
      </c>
      <c r="S18" s="196">
        <f>S14*'R&amp;S - Packaging and hh goods'!$B$9*('R&amp;S - Packaging and hh goods'!$E$14*'R&amp;S - Packaging and hh goods'!$R$19*('Yearly HC Propylene'!S$3-'Yearly HC Propylene'!$D$3)/10)</f>
        <v>6062.5645580180417</v>
      </c>
      <c r="T18" s="196">
        <f>T14*'R&amp;S - Packaging and hh goods'!$B$9*('R&amp;S - Packaging and hh goods'!$E$14*'R&amp;S - Packaging and hh goods'!$R$19*('Yearly HC Propylene'!T$3-'Yearly HC Propylene'!$D$3)/10)</f>
        <v>6466.7355285525782</v>
      </c>
      <c r="U18" s="196">
        <f>U14*'R&amp;S - Packaging and hh goods'!$B$9*('R&amp;S - Packaging and hh goods'!$E$14*'R&amp;S - Packaging and hh goods'!$R$19*('Yearly HC Propylene'!U$3-'Yearly HC Propylene'!$D$3)/10)</f>
        <v>6870.9064990871148</v>
      </c>
      <c r="V18" s="196">
        <f>V14*'R&amp;S - Packaging and hh goods'!$B$9*('R&amp;S - Packaging and hh goods'!$E$14*'R&amp;S - Packaging and hh goods'!$R$19*('Yearly HC Propylene'!V$3-'Yearly HC Propylene'!$D$3)/10)</f>
        <v>7275.0774696216513</v>
      </c>
      <c r="W18" s="196">
        <f>W14*'R&amp;S - Packaging and hh goods'!$B$9*('R&amp;S - Packaging and hh goods'!$E$14*'R&amp;S - Packaging and hh goods'!$R$19*('Yearly HC Propylene'!W$3-'Yearly HC Propylene'!$D$3)/10)</f>
        <v>7679.248440156186</v>
      </c>
      <c r="X18" s="196">
        <f>X14*'R&amp;S - Packaging and hh goods'!$B$9*('R&amp;S - Packaging and hh goods'!$E$14*'R&amp;S - Packaging and hh goods'!$R$19*('Yearly HC Propylene'!X$3-'Yearly HC Propylene'!$D$3)/10)</f>
        <v>8083.4194106907225</v>
      </c>
      <c r="Y18" s="196">
        <f>Y14*'R&amp;S - Packaging and hh goods'!$B$9*('R&amp;S - Packaging and hh goods'!$E$14*('R&amp;S - Packaging and hh goods'!$R$20+('R&amp;S - Packaging and hh goods'!$R$21-'R&amp;S - Packaging and hh goods'!$R$20)*('Yearly HC Propylene'!Y$3-'Yearly HC Propylene'!$X$3)/10))</f>
        <v>10173.958913455566</v>
      </c>
      <c r="Z18" s="196">
        <f>Z14*'R&amp;S - Packaging and hh goods'!$B$9*('R&amp;S - Packaging and hh goods'!$E$14*('R&amp;S - Packaging and hh goods'!$R$20+('R&amp;S - Packaging and hh goods'!$R$21-'R&amp;S - Packaging and hh goods'!$R$20)*('Yearly HC Propylene'!Z$3-'Yearly HC Propylene'!$X$3)/10))</f>
        <v>10592.066814008534</v>
      </c>
      <c r="AA18" s="196">
        <f>AA14*'R&amp;S - Packaging and hh goods'!$B$9*('R&amp;S - Packaging and hh goods'!$E$14*('R&amp;S - Packaging and hh goods'!$R$20+('R&amp;S - Packaging and hh goods'!$R$21-'R&amp;S - Packaging and hh goods'!$R$20)*('Yearly HC Propylene'!AA$3-'Yearly HC Propylene'!$X$3)/10))</f>
        <v>11010.174714561501</v>
      </c>
      <c r="AB18" s="196">
        <f>AB14*'R&amp;S - Packaging and hh goods'!$B$9*('R&amp;S - Packaging and hh goods'!$E$14*('R&amp;S - Packaging and hh goods'!$R$20+('R&amp;S - Packaging and hh goods'!$R$21-'R&amp;S - Packaging and hh goods'!$R$20)*('Yearly HC Propylene'!AB$3-'Yearly HC Propylene'!$X$3)/10))</f>
        <v>11428.282615114471</v>
      </c>
      <c r="AC18" s="196">
        <f>AC14*'R&amp;S - Packaging and hh goods'!$B$9*('R&amp;S - Packaging and hh goods'!$E$14*('R&amp;S - Packaging and hh goods'!$R$20+('R&amp;S - Packaging and hh goods'!$R$21-'R&amp;S - Packaging and hh goods'!$R$20)*('Yearly HC Propylene'!AC$3-'Yearly HC Propylene'!$X$3)/10))</f>
        <v>11846.390515667439</v>
      </c>
      <c r="AD18" s="196">
        <f>AD14*'R&amp;S - Packaging and hh goods'!$B$9*('R&amp;S - Packaging and hh goods'!$E$14*('R&amp;S - Packaging and hh goods'!$R$20+('R&amp;S - Packaging and hh goods'!$R$21-'R&amp;S - Packaging and hh goods'!$R$20)*('Yearly HC Propylene'!AD$3-'Yearly HC Propylene'!$X$3)/10))</f>
        <v>12264.498416220407</v>
      </c>
      <c r="AE18" s="196">
        <f>AE14*'R&amp;S - Packaging and hh goods'!$B$9*('R&amp;S - Packaging and hh goods'!$E$14*('R&amp;S - Packaging and hh goods'!$R$20+('R&amp;S - Packaging and hh goods'!$R$21-'R&amp;S - Packaging and hh goods'!$R$20)*('Yearly HC Propylene'!AE$3-'Yearly HC Propylene'!$X$3)/10))</f>
        <v>12682.606316773377</v>
      </c>
      <c r="AF18" s="196">
        <f>AF14*'R&amp;S - Packaging and hh goods'!$B$9*('R&amp;S - Packaging and hh goods'!$E$14*('R&amp;S - Packaging and hh goods'!$R$20+('R&amp;S - Packaging and hh goods'!$R$21-'R&amp;S - Packaging and hh goods'!$R$20)*('Yearly HC Propylene'!AF$3-'Yearly HC Propylene'!$X$3)/10))</f>
        <v>13100.714217326344</v>
      </c>
      <c r="AG18" s="196">
        <f>AG14*'R&amp;S - Packaging and hh goods'!$B$9*('R&amp;S - Packaging and hh goods'!$E$14*('R&amp;S - Packaging and hh goods'!$R$20+('R&amp;S - Packaging and hh goods'!$R$21-'R&amp;S - Packaging and hh goods'!$R$20)*('Yearly HC Propylene'!AG$3-'Yearly HC Propylene'!$X$3)/10))</f>
        <v>13518.822117879314</v>
      </c>
      <c r="AH18" s="196">
        <f>AH14*'R&amp;S - Packaging and hh goods'!$B$9*('R&amp;S - Packaging and hh goods'!$E$14*('R&amp;S - Packaging and hh goods'!$R$20+('R&amp;S - Packaging and hh goods'!$R$21-'R&amp;S - Packaging and hh goods'!$R$20)*('Yearly HC Propylene'!AH$3-'Yearly HC Propylene'!$X$3)/10))</f>
        <v>13936.930018432282</v>
      </c>
    </row>
    <row r="19" spans="1:34" outlineLevel="1">
      <c r="B19" s="58" t="s">
        <v>180</v>
      </c>
      <c r="C19" s="51" t="s">
        <v>166</v>
      </c>
      <c r="D19" s="196">
        <v>0</v>
      </c>
      <c r="E19" s="196">
        <f>E14*'R&amp;S - Packaging and hh goods'!$B$10*('R&amp;S - Packaging and hh goods'!$E$14*'R&amp;S - Packaging and hh goods'!$S$19*('Yearly HC Propylene'!E$3-'Yearly HC Propylene'!$D$3)/10)</f>
        <v>353.64959921771913</v>
      </c>
      <c r="F19" s="196">
        <f>F14*'R&amp;S - Packaging and hh goods'!$B$10*('R&amp;S - Packaging and hh goods'!$E$14*'R&amp;S - Packaging and hh goods'!$S$19*('Yearly HC Propylene'!F$3-'Yearly HC Propylene'!$D$3)/10)</f>
        <v>707.29919843543826</v>
      </c>
      <c r="G19" s="196">
        <f>G14*'R&amp;S - Packaging and hh goods'!$B$10*('R&amp;S - Packaging and hh goods'!$E$14*'R&amp;S - Packaging and hh goods'!$S$19*('Yearly HC Propylene'!G$3-'Yearly HC Propylene'!$D$3)/10)</f>
        <v>1060.9487976531575</v>
      </c>
      <c r="H19" s="196">
        <f>H14*'R&amp;S - Packaging and hh goods'!$B$10*('R&amp;S - Packaging and hh goods'!$E$14*'R&amp;S - Packaging and hh goods'!$S$19*('Yearly HC Propylene'!H$3-'Yearly HC Propylene'!$D$3)/10)</f>
        <v>1414.5983968708765</v>
      </c>
      <c r="I19" s="196">
        <f>I14*'R&amp;S - Packaging and hh goods'!$B$10*('R&amp;S - Packaging and hh goods'!$E$14*'R&amp;S - Packaging and hh goods'!$S$19*('Yearly HC Propylene'!I$3-'Yearly HC Propylene'!$D$3)/10)</f>
        <v>1768.2479960885958</v>
      </c>
      <c r="J19" s="196">
        <f>J14*'R&amp;S - Packaging and hh goods'!$B$10*('R&amp;S - Packaging and hh goods'!$E$14*'R&amp;S - Packaging and hh goods'!$S$19*('Yearly HC Propylene'!J$3-'Yearly HC Propylene'!$D$3)/10)</f>
        <v>2121.897595306315</v>
      </c>
      <c r="K19" s="196">
        <f>K14*'R&amp;S - Packaging and hh goods'!$B$10*('R&amp;S - Packaging and hh goods'!$E$14*'R&amp;S - Packaging and hh goods'!$S$19*('Yearly HC Propylene'!K$3-'Yearly HC Propylene'!$D$3)/10)</f>
        <v>2475.5471945240338</v>
      </c>
      <c r="L19" s="196">
        <f>L14*'R&amp;S - Packaging and hh goods'!$B$10*('R&amp;S - Packaging and hh goods'!$E$14*'R&amp;S - Packaging and hh goods'!$S$19*('Yearly HC Propylene'!L$3-'Yearly HC Propylene'!$D$3)/10)</f>
        <v>2829.196793741753</v>
      </c>
      <c r="M19" s="196">
        <f>M14*'R&amp;S - Packaging and hh goods'!$B$10*('R&amp;S - Packaging and hh goods'!$E$14*'R&amp;S - Packaging and hh goods'!$S$19*('Yearly HC Propylene'!M$3-'Yearly HC Propylene'!$D$3)/10)</f>
        <v>3182.8463929594727</v>
      </c>
      <c r="N19" s="196">
        <f>N14*'R&amp;S - Packaging and hh goods'!$B$10*('R&amp;S - Packaging and hh goods'!$E$14*'R&amp;S - Packaging and hh goods'!$S$19*('Yearly HC Propylene'!N$3-'Yearly HC Propylene'!$D$3)/10)</f>
        <v>3536.4959921771915</v>
      </c>
      <c r="O19" s="196">
        <f>O14*'R&amp;S - Packaging and hh goods'!$B$10*('R&amp;S - Packaging and hh goods'!$E$14*'R&amp;S - Packaging and hh goods'!$S$19*('Yearly HC Propylene'!O$3-'Yearly HC Propylene'!$D$3)/10)</f>
        <v>3890.1455913949108</v>
      </c>
      <c r="P19" s="196">
        <f>P14*'R&amp;S - Packaging and hh goods'!$B$10*('R&amp;S - Packaging and hh goods'!$E$14*('R&amp;S - Packaging and hh goods'!$S$19+('R&amp;S - Packaging and hh goods'!$S$20-'R&amp;S - Packaging and hh goods'!$S$19)*('Yearly HC Propylene'!P$3-'Yearly HC Propylene'!$O$3)/10))</f>
        <v>3999.8989152900645</v>
      </c>
      <c r="Q19" s="196">
        <f>Q14*'R&amp;S - Packaging and hh goods'!$B$10*('R&amp;S - Packaging and hh goods'!$E$14*('R&amp;S - Packaging and hh goods'!$S$19+('R&amp;S - Packaging and hh goods'!$S$20-'R&amp;S - Packaging and hh goods'!$S$19)*('Yearly HC Propylene'!Q$3-'Yearly HC Propylene'!$O$3)/10))</f>
        <v>4463.3018384029383</v>
      </c>
      <c r="R19" s="196">
        <f>R14*'R&amp;S - Packaging and hh goods'!$B$10*('R&amp;S - Packaging and hh goods'!$E$14*('R&amp;S - Packaging and hh goods'!$S$19+('R&amp;S - Packaging and hh goods'!$S$20-'R&amp;S - Packaging and hh goods'!$S$19)*('Yearly HC Propylene'!R$3-'Yearly HC Propylene'!$O$3)/10))</f>
        <v>4926.7047615158126</v>
      </c>
      <c r="S19" s="196">
        <f>S14*'R&amp;S - Packaging and hh goods'!$B$10*('R&amp;S - Packaging and hh goods'!$E$14*('R&amp;S - Packaging and hh goods'!$S$19+('R&amp;S - Packaging and hh goods'!$S$20-'R&amp;S - Packaging and hh goods'!$S$19)*('Yearly HC Propylene'!S$3-'Yearly HC Propylene'!$O$3)/10))</f>
        <v>5390.1076846286851</v>
      </c>
      <c r="T19" s="196">
        <f>T14*'R&amp;S - Packaging and hh goods'!$B$10*('R&amp;S - Packaging and hh goods'!$E$14*('R&amp;S - Packaging and hh goods'!$S$19+('R&amp;S - Packaging and hh goods'!$S$20-'R&amp;S - Packaging and hh goods'!$S$19)*('Yearly HC Propylene'!T$3-'Yearly HC Propylene'!$O$3)/10))</f>
        <v>5853.5106077415585</v>
      </c>
      <c r="U19" s="196">
        <f>U14*'R&amp;S - Packaging and hh goods'!$B$10*('R&amp;S - Packaging and hh goods'!$E$14*('R&amp;S - Packaging and hh goods'!$S$19+('R&amp;S - Packaging and hh goods'!$S$20-'R&amp;S - Packaging and hh goods'!$S$19)*('Yearly HC Propylene'!U$3-'Yearly HC Propylene'!$O$3)/10))</f>
        <v>6316.9135308544319</v>
      </c>
      <c r="V19" s="196">
        <f>V14*'R&amp;S - Packaging and hh goods'!$B$10*('R&amp;S - Packaging and hh goods'!$E$14*('R&amp;S - Packaging and hh goods'!$S$19+('R&amp;S - Packaging and hh goods'!$S$20-'R&amp;S - Packaging and hh goods'!$S$19)*('Yearly HC Propylene'!V$3-'Yearly HC Propylene'!$O$3)/10))</f>
        <v>6780.3164539673062</v>
      </c>
      <c r="W19" s="196">
        <f>W14*'R&amp;S - Packaging and hh goods'!$B$10*('R&amp;S - Packaging and hh goods'!$E$14*('R&amp;S - Packaging and hh goods'!$S$19+('R&amp;S - Packaging and hh goods'!$S$20-'R&amp;S - Packaging and hh goods'!$S$19)*('Yearly HC Propylene'!W$3-'Yearly HC Propylene'!$O$3)/10))</f>
        <v>7243.7193770801796</v>
      </c>
      <c r="X19" s="196">
        <f>X14*'R&amp;S - Packaging and hh goods'!$B$10*('R&amp;S - Packaging and hh goods'!$E$14*('R&amp;S - Packaging and hh goods'!$S$19+('R&amp;S - Packaging and hh goods'!$S$20-'R&amp;S - Packaging and hh goods'!$S$19)*('Yearly HC Propylene'!X$3-'Yearly HC Propylene'!$O$3)/10))</f>
        <v>7707.1223001930521</v>
      </c>
      <c r="Y19" s="196">
        <f>Y14*'R&amp;S - Packaging and hh goods'!$B$10*('R&amp;S - Packaging and hh goods'!$E$14*('R&amp;S - Packaging and hh goods'!$S$20+('R&amp;S - Packaging and hh goods'!$S$21-'R&amp;S - Packaging and hh goods'!$S$20)*('Yearly HC Propylene'!Y$3-'Yearly HC Propylene'!$X$3)/10))</f>
        <v>8572.9540775881578</v>
      </c>
      <c r="Z19" s="196">
        <f>Z14*'R&amp;S - Packaging and hh goods'!$B$10*('R&amp;S - Packaging and hh goods'!$E$14*('R&amp;S - Packaging and hh goods'!$S$20+('R&amp;S - Packaging and hh goods'!$S$21-'R&amp;S - Packaging and hh goods'!$S$20)*('Yearly HC Propylene'!Z$3-'Yearly HC Propylene'!$X$3)/10))</f>
        <v>8975.3829318703902</v>
      </c>
      <c r="AA19" s="196">
        <f>AA14*'R&amp;S - Packaging and hh goods'!$B$10*('R&amp;S - Packaging and hh goods'!$E$14*('R&amp;S - Packaging and hh goods'!$S$20+('R&amp;S - Packaging and hh goods'!$S$21-'R&amp;S - Packaging and hh goods'!$S$20)*('Yearly HC Propylene'!AA$3-'Yearly HC Propylene'!$X$3)/10))</f>
        <v>9377.8117861526225</v>
      </c>
      <c r="AB19" s="196">
        <f>AB14*'R&amp;S - Packaging and hh goods'!$B$10*('R&amp;S - Packaging and hh goods'!$E$14*('R&amp;S - Packaging and hh goods'!$S$20+('R&amp;S - Packaging and hh goods'!$S$21-'R&amp;S - Packaging and hh goods'!$S$20)*('Yearly HC Propylene'!AB$3-'Yearly HC Propylene'!$X$3)/10))</f>
        <v>9780.2406404348549</v>
      </c>
      <c r="AC19" s="196">
        <f>AC14*'R&amp;S - Packaging and hh goods'!$B$10*('R&amp;S - Packaging and hh goods'!$E$14*('R&amp;S - Packaging and hh goods'!$S$20+('R&amp;S - Packaging and hh goods'!$S$21-'R&amp;S - Packaging and hh goods'!$S$20)*('Yearly HC Propylene'!AC$3-'Yearly HC Propylene'!$X$3)/10))</f>
        <v>10182.669494717085</v>
      </c>
      <c r="AD19" s="196">
        <f>AD14*'R&amp;S - Packaging and hh goods'!$B$10*('R&amp;S - Packaging and hh goods'!$E$14*('R&amp;S - Packaging and hh goods'!$S$20+('R&amp;S - Packaging and hh goods'!$S$21-'R&amp;S - Packaging and hh goods'!$S$20)*('Yearly HC Propylene'!AD$3-'Yearly HC Propylene'!$X$3)/10))</f>
        <v>10585.098348999318</v>
      </c>
      <c r="AE19" s="196">
        <f>AE14*'R&amp;S - Packaging and hh goods'!$B$10*('R&amp;S - Packaging and hh goods'!$E$14*('R&amp;S - Packaging and hh goods'!$S$20+('R&amp;S - Packaging and hh goods'!$S$21-'R&amp;S - Packaging and hh goods'!$S$20)*('Yearly HC Propylene'!AE$3-'Yearly HC Propylene'!$X$3)/10))</f>
        <v>10987.52720328155</v>
      </c>
      <c r="AF19" s="196">
        <f>AF14*'R&amp;S - Packaging and hh goods'!$B$10*('R&amp;S - Packaging and hh goods'!$E$14*('R&amp;S - Packaging and hh goods'!$S$20+('R&amp;S - Packaging and hh goods'!$S$21-'R&amp;S - Packaging and hh goods'!$S$20)*('Yearly HC Propylene'!AF$3-'Yearly HC Propylene'!$X$3)/10))</f>
        <v>11389.956057563782</v>
      </c>
      <c r="AG19" s="196">
        <f>AG14*'R&amp;S - Packaging and hh goods'!$B$10*('R&amp;S - Packaging and hh goods'!$E$14*('R&amp;S - Packaging and hh goods'!$S$20+('R&amp;S - Packaging and hh goods'!$S$21-'R&amp;S - Packaging and hh goods'!$S$20)*('Yearly HC Propylene'!AG$3-'Yearly HC Propylene'!$X$3)/10))</f>
        <v>11792.384911846017</v>
      </c>
      <c r="AH19" s="196">
        <f>AH14*'R&amp;S - Packaging and hh goods'!$B$10*('R&amp;S - Packaging and hh goods'!$E$14*('R&amp;S - Packaging and hh goods'!$S$20+('R&amp;S - Packaging and hh goods'!$S$21-'R&amp;S - Packaging and hh goods'!$S$20)*('Yearly HC Propylene'!AH$3-'Yearly HC Propylene'!$X$3)/10))</f>
        <v>12194.813766128247</v>
      </c>
    </row>
    <row r="20" spans="1:34" outlineLevel="1">
      <c r="B20" s="1" t="s">
        <v>167</v>
      </c>
      <c r="C20" s="51" t="s">
        <v>166</v>
      </c>
      <c r="D20" s="101">
        <f>SUM(D18:D19)</f>
        <v>0</v>
      </c>
      <c r="E20" s="101">
        <f t="shared" ref="E20:AH20" si="5">SUM(E18:E19)</f>
        <v>757.82056975225532</v>
      </c>
      <c r="F20" s="101">
        <f t="shared" si="5"/>
        <v>1515.6411395045106</v>
      </c>
      <c r="G20" s="101">
        <f t="shared" si="5"/>
        <v>2273.461709256766</v>
      </c>
      <c r="H20" s="101">
        <f t="shared" si="5"/>
        <v>3031.2822790090213</v>
      </c>
      <c r="I20" s="101">
        <f t="shared" si="5"/>
        <v>3789.1028487612766</v>
      </c>
      <c r="J20" s="101">
        <f t="shared" si="5"/>
        <v>4546.9234185135319</v>
      </c>
      <c r="K20" s="101">
        <f t="shared" si="5"/>
        <v>5304.7439882657873</v>
      </c>
      <c r="L20" s="101">
        <f t="shared" si="5"/>
        <v>6062.5645580180426</v>
      </c>
      <c r="M20" s="101">
        <f t="shared" si="5"/>
        <v>6820.3851277702979</v>
      </c>
      <c r="N20" s="101">
        <f t="shared" si="5"/>
        <v>7578.2056975225532</v>
      </c>
      <c r="O20" s="101">
        <f t="shared" si="5"/>
        <v>8336.0262672748086</v>
      </c>
      <c r="P20" s="101">
        <f t="shared" si="5"/>
        <v>8849.9505617044979</v>
      </c>
      <c r="Q20" s="101">
        <f t="shared" si="5"/>
        <v>9717.5244553519078</v>
      </c>
      <c r="R20" s="101">
        <f t="shared" si="5"/>
        <v>10585.09834899932</v>
      </c>
      <c r="S20" s="101">
        <f t="shared" si="5"/>
        <v>11452.672242646728</v>
      </c>
      <c r="T20" s="101">
        <f t="shared" si="5"/>
        <v>12320.246136294136</v>
      </c>
      <c r="U20" s="101">
        <f t="shared" si="5"/>
        <v>13187.820029941548</v>
      </c>
      <c r="V20" s="101">
        <f t="shared" si="5"/>
        <v>14055.393923588957</v>
      </c>
      <c r="W20" s="101">
        <f t="shared" si="5"/>
        <v>14922.967817236366</v>
      </c>
      <c r="X20" s="101">
        <f t="shared" si="5"/>
        <v>15790.541710883776</v>
      </c>
      <c r="Y20" s="101">
        <f t="shared" si="5"/>
        <v>18746.912991043726</v>
      </c>
      <c r="Z20" s="101">
        <f t="shared" si="5"/>
        <v>19567.449745878926</v>
      </c>
      <c r="AA20" s="101">
        <f t="shared" si="5"/>
        <v>20387.986500714123</v>
      </c>
      <c r="AB20" s="101">
        <f t="shared" si="5"/>
        <v>21208.523255549328</v>
      </c>
      <c r="AC20" s="101">
        <f t="shared" si="5"/>
        <v>22029.060010384525</v>
      </c>
      <c r="AD20" s="101">
        <f t="shared" si="5"/>
        <v>22849.596765219725</v>
      </c>
      <c r="AE20" s="101">
        <f t="shared" si="5"/>
        <v>23670.133520054929</v>
      </c>
      <c r="AF20" s="101">
        <f t="shared" si="5"/>
        <v>24490.670274890126</v>
      </c>
      <c r="AG20" s="101">
        <f t="shared" si="5"/>
        <v>25311.20702972533</v>
      </c>
      <c r="AH20" s="101">
        <f t="shared" si="5"/>
        <v>26131.743784560531</v>
      </c>
    </row>
    <row r="21" spans="1:34" s="1" customFormat="1">
      <c r="B21" s="1" t="s">
        <v>195</v>
      </c>
      <c r="C21" s="61" t="s">
        <v>166</v>
      </c>
      <c r="D21" s="633">
        <f>D14-D17-D20</f>
        <v>435529.06307600881</v>
      </c>
      <c r="E21" s="633">
        <f t="shared" ref="E21:AH21" si="6">E14-E17-E20</f>
        <v>433335.30318529496</v>
      </c>
      <c r="F21" s="633">
        <f t="shared" si="6"/>
        <v>431141.54329458112</v>
      </c>
      <c r="G21" s="633">
        <f t="shared" si="6"/>
        <v>428947.78340386727</v>
      </c>
      <c r="H21" s="633">
        <f t="shared" si="6"/>
        <v>426754.02351315343</v>
      </c>
      <c r="I21" s="633">
        <f t="shared" si="6"/>
        <v>424560.26362243958</v>
      </c>
      <c r="J21" s="633">
        <f t="shared" si="6"/>
        <v>422366.50373172562</v>
      </c>
      <c r="K21" s="633">
        <f t="shared" si="6"/>
        <v>420172.74384101178</v>
      </c>
      <c r="L21" s="633">
        <f t="shared" si="6"/>
        <v>417978.98395029793</v>
      </c>
      <c r="M21" s="633">
        <f t="shared" si="6"/>
        <v>415785.22405958408</v>
      </c>
      <c r="N21" s="633">
        <f t="shared" si="6"/>
        <v>413591.46416887024</v>
      </c>
      <c r="O21" s="633">
        <f t="shared" si="6"/>
        <v>409993.12304973626</v>
      </c>
      <c r="P21" s="633">
        <f t="shared" si="6"/>
        <v>406638.67820592481</v>
      </c>
      <c r="Q21" s="633">
        <f t="shared" si="6"/>
        <v>402930.58376289567</v>
      </c>
      <c r="R21" s="633">
        <f t="shared" si="6"/>
        <v>399222.48931986652</v>
      </c>
      <c r="S21" s="633">
        <f t="shared" si="6"/>
        <v>395514.39487683738</v>
      </c>
      <c r="T21" s="633">
        <f t="shared" si="6"/>
        <v>391806.30043380824</v>
      </c>
      <c r="U21" s="633">
        <f t="shared" si="6"/>
        <v>388098.20599077916</v>
      </c>
      <c r="V21" s="633">
        <f t="shared" si="6"/>
        <v>384390.11154775001</v>
      </c>
      <c r="W21" s="633">
        <f t="shared" si="6"/>
        <v>380682.01710472087</v>
      </c>
      <c r="X21" s="633">
        <f t="shared" si="6"/>
        <v>376973.92266169173</v>
      </c>
      <c r="Y21" s="633">
        <f t="shared" si="6"/>
        <v>371194.88752373616</v>
      </c>
      <c r="Z21" s="633">
        <f t="shared" si="6"/>
        <v>367551.68691110535</v>
      </c>
      <c r="AA21" s="633">
        <f t="shared" si="6"/>
        <v>363908.48629847454</v>
      </c>
      <c r="AB21" s="633">
        <f t="shared" si="6"/>
        <v>360265.28568584373</v>
      </c>
      <c r="AC21" s="633">
        <f t="shared" si="6"/>
        <v>356622.08507321292</v>
      </c>
      <c r="AD21" s="633">
        <f t="shared" si="6"/>
        <v>352978.88446058211</v>
      </c>
      <c r="AE21" s="633">
        <f t="shared" si="6"/>
        <v>349335.6838479513</v>
      </c>
      <c r="AF21" s="633">
        <f t="shared" si="6"/>
        <v>345692.48323532043</v>
      </c>
      <c r="AG21" s="633">
        <f t="shared" si="6"/>
        <v>342049.28262268967</v>
      </c>
      <c r="AH21" s="633">
        <f t="shared" si="6"/>
        <v>338406.08201005886</v>
      </c>
    </row>
    <row r="22" spans="1:34" s="62" customFormat="1">
      <c r="A22" s="55" t="s">
        <v>190</v>
      </c>
      <c r="B22" s="55" t="s">
        <v>174</v>
      </c>
      <c r="C22" s="56" t="s">
        <v>166</v>
      </c>
      <c r="D22" s="630">
        <f>'R&amp;S - Buildings'!I4</f>
        <v>137707.45987773585</v>
      </c>
      <c r="E22" s="630">
        <f>D22*(1+'R&amp;S - Buildings'!$B$5)</f>
        <v>137707.45987773585</v>
      </c>
      <c r="F22" s="630">
        <f>E22*(1+'R&amp;S - Buildings'!$B$5)</f>
        <v>137707.45987773585</v>
      </c>
      <c r="G22" s="630">
        <f>F22*(1+'R&amp;S - Buildings'!$B$5)</f>
        <v>137707.45987773585</v>
      </c>
      <c r="H22" s="630">
        <f>G22*(1+'R&amp;S - Buildings'!$B$5)</f>
        <v>137707.45987773585</v>
      </c>
      <c r="I22" s="630">
        <f>H22*(1+'R&amp;S - Buildings'!$B$5)</f>
        <v>137707.45987773585</v>
      </c>
      <c r="J22" s="630">
        <f>I22*(1+'R&amp;S - Buildings'!$B$5)</f>
        <v>137707.45987773585</v>
      </c>
      <c r="K22" s="630">
        <f>J22*(1+'R&amp;S - Buildings'!$B$5)</f>
        <v>137707.45987773585</v>
      </c>
      <c r="L22" s="630">
        <f>K22*(1+'R&amp;S - Buildings'!$B$5)</f>
        <v>137707.45987773585</v>
      </c>
      <c r="M22" s="630">
        <f>L22*(1+'R&amp;S - Buildings'!$B$5)</f>
        <v>137707.45987773585</v>
      </c>
      <c r="N22" s="630">
        <f>M22*(1+'R&amp;S - Buildings'!$B$5)</f>
        <v>137707.45987773585</v>
      </c>
      <c r="O22" s="630">
        <f>N22*(1+'R&amp;S - Buildings'!$B$5)</f>
        <v>137707.45987773585</v>
      </c>
      <c r="P22" s="630">
        <f>O22*(1+'R&amp;S - Buildings'!$B$5)</f>
        <v>137707.45987773585</v>
      </c>
      <c r="Q22" s="630">
        <f>P22*(1+'R&amp;S - Buildings'!$B$5)</f>
        <v>137707.45987773585</v>
      </c>
      <c r="R22" s="630">
        <f>Q22*(1+'R&amp;S - Buildings'!$B$5)</f>
        <v>137707.45987773585</v>
      </c>
      <c r="S22" s="630">
        <f>R22*(1+'R&amp;S - Buildings'!$B$5)</f>
        <v>137707.45987773585</v>
      </c>
      <c r="T22" s="630">
        <f>S22*(1+'R&amp;S - Buildings'!$B$5)</f>
        <v>137707.45987773585</v>
      </c>
      <c r="U22" s="630">
        <f>T22*(1+'R&amp;S - Buildings'!$B$5)</f>
        <v>137707.45987773585</v>
      </c>
      <c r="V22" s="630">
        <f>U22*(1+'R&amp;S - Buildings'!$B$5)</f>
        <v>137707.45987773585</v>
      </c>
      <c r="W22" s="630">
        <f>V22*(1+'R&amp;S - Buildings'!$B$5)</f>
        <v>137707.45987773585</v>
      </c>
      <c r="X22" s="630">
        <f>W22*(1+'R&amp;S - Buildings'!$B$5)</f>
        <v>137707.45987773585</v>
      </c>
      <c r="Y22" s="630">
        <f>X22*(1+'R&amp;S - Buildings'!$B$5)</f>
        <v>137707.45987773585</v>
      </c>
      <c r="Z22" s="630">
        <f>Y22*(1+'R&amp;S - Buildings'!$B$5)</f>
        <v>137707.45987773585</v>
      </c>
      <c r="AA22" s="630">
        <f>Z22*(1+'R&amp;S - Buildings'!$B$5)</f>
        <v>137707.45987773585</v>
      </c>
      <c r="AB22" s="630">
        <f>AA22*(1+'R&amp;S - Buildings'!$B$5)</f>
        <v>137707.45987773585</v>
      </c>
      <c r="AC22" s="630">
        <f>AB22*(1+'R&amp;S - Buildings'!$B$5)</f>
        <v>137707.45987773585</v>
      </c>
      <c r="AD22" s="630">
        <f>AC22*(1+'R&amp;S - Buildings'!$B$5)</f>
        <v>137707.45987773585</v>
      </c>
      <c r="AE22" s="630">
        <f>AD22*(1+'R&amp;S - Buildings'!$B$5)</f>
        <v>137707.45987773585</v>
      </c>
      <c r="AF22" s="630">
        <f>AE22*(1+'R&amp;S - Buildings'!$B$5)</f>
        <v>137707.45987773585</v>
      </c>
      <c r="AG22" s="630">
        <f>AF22*(1+'R&amp;S - Buildings'!$B$5)</f>
        <v>137707.45987773585</v>
      </c>
      <c r="AH22" s="630">
        <f>AG22*(1+'R&amp;S - Buildings'!$B$5)</f>
        <v>137707.45987773585</v>
      </c>
    </row>
    <row r="23" spans="1:34" outlineLevel="1">
      <c r="B23" s="1" t="s">
        <v>164</v>
      </c>
      <c r="C23" s="51" t="s">
        <v>166</v>
      </c>
      <c r="D23" s="196">
        <v>0</v>
      </c>
      <c r="E23" s="196">
        <f>E22*'R&amp;S - Buildings'!$B$7*'R&amp;S - Buildings'!$B$11*'R&amp;S - Buildings'!$B$15*('Yearly HC Propylene'!E$3-'Yearly HC Propylene'!$D$3)/10</f>
        <v>2499.3903967809065</v>
      </c>
      <c r="F23" s="196">
        <f>F22*'R&amp;S - Buildings'!$B$7*'R&amp;S - Buildings'!$B$11*'R&amp;S - Buildings'!$B$15*('Yearly HC Propylene'!F$3-'Yearly HC Propylene'!$D$3)/10</f>
        <v>4998.780793561813</v>
      </c>
      <c r="G23" s="196">
        <f>G22*'R&amp;S - Buildings'!$B$7*'R&amp;S - Buildings'!$B$11*'R&amp;S - Buildings'!$B$15*('Yearly HC Propylene'!G$3-'Yearly HC Propylene'!$D$3)/10</f>
        <v>7498.1711903427185</v>
      </c>
      <c r="H23" s="196">
        <f>H22*'R&amp;S - Buildings'!$B$7*'R&amp;S - Buildings'!$B$11*'R&amp;S - Buildings'!$B$15*('Yearly HC Propylene'!H$3-'Yearly HC Propylene'!$D$3)/10</f>
        <v>9997.5615871236259</v>
      </c>
      <c r="I23" s="196">
        <f>I22*'R&amp;S - Buildings'!$B$7*'R&amp;S - Buildings'!$B$11*'R&amp;S - Buildings'!$B$15*('Yearly HC Propylene'!I$3-'Yearly HC Propylene'!$D$3)/10</f>
        <v>12496.951983904532</v>
      </c>
      <c r="J23" s="196">
        <f>J22*'R&amp;S - Buildings'!$B$7*'R&amp;S - Buildings'!$B$11*'R&amp;S - Buildings'!$B$15*('Yearly HC Propylene'!J$3-'Yearly HC Propylene'!$D$3)/10</f>
        <v>14996.342380685437</v>
      </c>
      <c r="K23" s="196">
        <f>K22*'R&amp;S - Buildings'!$B$7*'R&amp;S - Buildings'!$B$11*'R&amp;S - Buildings'!$B$15*('Yearly HC Propylene'!K$3-'Yearly HC Propylene'!$D$3)/10</f>
        <v>17495.732777466346</v>
      </c>
      <c r="L23" s="196">
        <f>L22*'R&amp;S - Buildings'!$B$7*'R&amp;S - Buildings'!$B$11*'R&amp;S - Buildings'!$B$15*('Yearly HC Propylene'!L$3-'Yearly HC Propylene'!$D$3)/10</f>
        <v>19995.123174247252</v>
      </c>
      <c r="M23" s="196">
        <f>M22*'R&amp;S - Buildings'!$B$7*'R&amp;S - Buildings'!$B$11*'R&amp;S - Buildings'!$B$15*('Yearly HC Propylene'!M$3-'Yearly HC Propylene'!$D$3)/10</f>
        <v>22494.513571028154</v>
      </c>
      <c r="N23" s="196">
        <f>N22*'R&amp;S - Buildings'!$B$7*'R&amp;S - Buildings'!$B$11*'R&amp;S - Buildings'!$B$15*('Yearly HC Propylene'!N$3-'Yearly HC Propylene'!$D$3)/10</f>
        <v>24993.903967809063</v>
      </c>
      <c r="O23" s="196">
        <f>O22*'R&amp;S - Buildings'!$B$7*'R&amp;S - Buildings'!$B$11*('R&amp;S - Buildings'!$B$15+('R&amp;S - Buildings'!$B$16-'R&amp;S - Buildings'!$B$15)*('Yearly HC Propylene'!O$3-'Yearly HC Propylene'!$N$3)/10)</f>
        <v>27493.294364589965</v>
      </c>
      <c r="P23" s="196">
        <f>P22*'R&amp;S - Buildings'!$B$7*'R&amp;S - Buildings'!$B$11*('R&amp;S - Buildings'!$B$15+('R&amp;S - Buildings'!$B$16-'R&amp;S - Buildings'!$B$15)*('Yearly HC Propylene'!P$3-'Yearly HC Propylene'!$N$3)/10)</f>
        <v>29992.684761370874</v>
      </c>
      <c r="Q23" s="196">
        <f>Q22*'R&amp;S - Buildings'!$B$7*'R&amp;S - Buildings'!$B$11*('R&amp;S - Buildings'!$B$15+('R&amp;S - Buildings'!$B$16-'R&amp;S - Buildings'!$B$15)*('Yearly HC Propylene'!Q$3-'Yearly HC Propylene'!$N$3)/10)</f>
        <v>32492.075158151783</v>
      </c>
      <c r="R23" s="196">
        <f>R22*'R&amp;S - Buildings'!$B$7*'R&amp;S - Buildings'!$B$11*('R&amp;S - Buildings'!$B$15+('R&amp;S - Buildings'!$B$16-'R&amp;S - Buildings'!$B$15)*('Yearly HC Propylene'!R$3-'Yearly HC Propylene'!$N$3)/10)</f>
        <v>34991.465554932685</v>
      </c>
      <c r="S23" s="196">
        <f>S22*'R&amp;S - Buildings'!$B$7*'R&amp;S - Buildings'!$B$11*('R&amp;S - Buildings'!$B$15+('R&amp;S - Buildings'!$B$16-'R&amp;S - Buildings'!$B$15)*('Yearly HC Propylene'!S$3-'Yearly HC Propylene'!$N$3)/10)</f>
        <v>37490.855951713587</v>
      </c>
      <c r="T23" s="196">
        <f>T22*'R&amp;S - Buildings'!$B$7*'R&amp;S - Buildings'!$B$11*('R&amp;S - Buildings'!$B$15+('R&amp;S - Buildings'!$B$16-'R&amp;S - Buildings'!$B$15)*('Yearly HC Propylene'!T$3-'Yearly HC Propylene'!$N$3)/10)</f>
        <v>39990.246348494496</v>
      </c>
      <c r="U23" s="196">
        <f>U22*'R&amp;S - Buildings'!$B$7*'R&amp;S - Buildings'!$B$11*('R&amp;S - Buildings'!$B$15+('R&amp;S - Buildings'!$B$16-'R&amp;S - Buildings'!$B$15)*('Yearly HC Propylene'!U$3-'Yearly HC Propylene'!$N$3)/10)</f>
        <v>42489.636745275406</v>
      </c>
      <c r="V23" s="196">
        <f>V22*'R&amp;S - Buildings'!$B$7*'R&amp;S - Buildings'!$B$11*('R&amp;S - Buildings'!$B$15+('R&amp;S - Buildings'!$B$16-'R&amp;S - Buildings'!$B$15)*('Yearly HC Propylene'!V$3-'Yearly HC Propylene'!$N$3)/10)</f>
        <v>44989.027142056315</v>
      </c>
      <c r="W23" s="196">
        <f>W22*'R&amp;S - Buildings'!$B$7*'R&amp;S - Buildings'!$B$11*('R&amp;S - Buildings'!$B$15+('R&amp;S - Buildings'!$B$16-'R&amp;S - Buildings'!$B$15)*('Yearly HC Propylene'!W$3-'Yearly HC Propylene'!$N$3)/10)</f>
        <v>47488.417538837217</v>
      </c>
      <c r="X23" s="196">
        <f>X22*'R&amp;S - Buildings'!$B$7*'R&amp;S - Buildings'!$B$11*('R&amp;S - Buildings'!$B$15+('R&amp;S - Buildings'!$B$16-'R&amp;S - Buildings'!$B$15)*('Yearly HC Propylene'!X$3-'Yearly HC Propylene'!$N$3)/10)</f>
        <v>49987.807935618126</v>
      </c>
      <c r="Y23" s="196">
        <f>Y22*'R&amp;S - Buildings'!$B$7*'R&amp;S - Buildings'!$B$11*('R&amp;S - Buildings'!$B$16+('R&amp;S - Buildings'!$B$17-'R&amp;S - Buildings'!$B$16)*('Yearly HC Propylene'!Y$3-'Yearly HC Propylene'!$X$3)/10)</f>
        <v>52562.937435331783</v>
      </c>
      <c r="Z23" s="196">
        <f>Z22*'R&amp;S - Buildings'!$B$7*'R&amp;S - Buildings'!$B$11*('R&amp;S - Buildings'!$B$16+('R&amp;S - Buildings'!$B$17-'R&amp;S - Buildings'!$B$16)*('Yearly HC Propylene'!Z$3-'Yearly HC Propylene'!$X$3)/10)</f>
        <v>55138.066935045441</v>
      </c>
      <c r="AA23" s="196">
        <f>AA22*'R&amp;S - Buildings'!$B$7*'R&amp;S - Buildings'!$B$11*('R&amp;S - Buildings'!$B$16+('R&amp;S - Buildings'!$B$17-'R&amp;S - Buildings'!$B$16)*('Yearly HC Propylene'!AA$3-'Yearly HC Propylene'!$X$3)/10)</f>
        <v>57713.196434759106</v>
      </c>
      <c r="AB23" s="196">
        <f>AB22*'R&amp;S - Buildings'!$B$7*'R&amp;S - Buildings'!$B$11*('R&amp;S - Buildings'!$B$16+('R&amp;S - Buildings'!$B$17-'R&amp;S - Buildings'!$B$16)*('Yearly HC Propylene'!AB$3-'Yearly HC Propylene'!$X$3)/10)</f>
        <v>60288.32593447277</v>
      </c>
      <c r="AC23" s="196">
        <f>AC22*'R&amp;S - Buildings'!$B$7*'R&amp;S - Buildings'!$B$11*('R&amp;S - Buildings'!$B$16+('R&amp;S - Buildings'!$B$17-'R&amp;S - Buildings'!$B$16)*('Yearly HC Propylene'!AC$3-'Yearly HC Propylene'!$X$3)/10)</f>
        <v>62863.455434186428</v>
      </c>
      <c r="AD23" s="196">
        <f>AD22*'R&amp;S - Buildings'!$B$7*'R&amp;S - Buildings'!$B$11*('R&amp;S - Buildings'!$B$16+('R&amp;S - Buildings'!$B$17-'R&amp;S - Buildings'!$B$16)*('Yearly HC Propylene'!AD$3-'Yearly HC Propylene'!$X$3)/10)</f>
        <v>65438.584933900092</v>
      </c>
      <c r="AE23" s="196">
        <f>AE22*'R&amp;S - Buildings'!$B$7*'R&amp;S - Buildings'!$B$11*('R&amp;S - Buildings'!$B$16+('R&amp;S - Buildings'!$B$17-'R&amp;S - Buildings'!$B$16)*('Yearly HC Propylene'!AE$3-'Yearly HC Propylene'!$X$3)/10)</f>
        <v>68013.714433613743</v>
      </c>
      <c r="AF23" s="196">
        <f>AF22*'R&amp;S - Buildings'!$B$7*'R&amp;S - Buildings'!$B$11*('R&amp;S - Buildings'!$B$16+('R&amp;S - Buildings'!$B$17-'R&amp;S - Buildings'!$B$16)*('Yearly HC Propylene'!AF$3-'Yearly HC Propylene'!$X$3)/10)</f>
        <v>70588.8439333274</v>
      </c>
      <c r="AG23" s="196">
        <f>AG22*'R&amp;S - Buildings'!$B$7*'R&amp;S - Buildings'!$B$11*('R&amp;S - Buildings'!$B$16+('R&amp;S - Buildings'!$B$17-'R&amp;S - Buildings'!$B$16)*('Yearly HC Propylene'!AG$3-'Yearly HC Propylene'!$X$3)/10)</f>
        <v>73163.973433041072</v>
      </c>
      <c r="AH23" s="196">
        <f>AH22*'R&amp;S - Buildings'!$B$7*'R&amp;S - Buildings'!$B$11*('R&amp;S - Buildings'!$B$16+('R&amp;S - Buildings'!$B$17-'R&amp;S - Buildings'!$B$16)*('Yearly HC Propylene'!AH$3-'Yearly HC Propylene'!$X$3)/10)</f>
        <v>75739.102932754729</v>
      </c>
    </row>
    <row r="24" spans="1:34" outlineLevel="1">
      <c r="B24" s="1" t="s">
        <v>167</v>
      </c>
      <c r="C24" s="51" t="s">
        <v>166</v>
      </c>
      <c r="D24" s="196">
        <v>0</v>
      </c>
      <c r="E24" s="196">
        <f>E22*'R&amp;S - Buildings'!$B$8*'R&amp;S - Buildings'!$C$11*'R&amp;S - Buildings'!$B$15*('Yearly HC Propylene'!E$3-'Yearly HC Propylene'!$D$3)/10</f>
        <v>0</v>
      </c>
      <c r="F24" s="196">
        <f>F22*'R&amp;S - Buildings'!$B$8*'R&amp;S - Buildings'!$C$11*'R&amp;S - Buildings'!$B$15*('Yearly HC Propylene'!F$3-'Yearly HC Propylene'!$D$3)/10</f>
        <v>0</v>
      </c>
      <c r="G24" s="196">
        <f>G22*'R&amp;S - Buildings'!$B$8*'R&amp;S - Buildings'!$C$11*'R&amp;S - Buildings'!$B$15*('Yearly HC Propylene'!G$3-'Yearly HC Propylene'!$D$3)/10</f>
        <v>0</v>
      </c>
      <c r="H24" s="196">
        <f>H22*'R&amp;S - Buildings'!$B$8*'R&amp;S - Buildings'!$C$11*'R&amp;S - Buildings'!$B$15*('Yearly HC Propylene'!H$3-'Yearly HC Propylene'!$D$3)/10</f>
        <v>0</v>
      </c>
      <c r="I24" s="196">
        <f>I22*'R&amp;S - Buildings'!$B$8*'R&amp;S - Buildings'!$C$11*'R&amp;S - Buildings'!$B$15*('Yearly HC Propylene'!I$3-'Yearly HC Propylene'!$D$3)/10</f>
        <v>0</v>
      </c>
      <c r="J24" s="196">
        <f>J22*'R&amp;S - Buildings'!$B$8*'R&amp;S - Buildings'!$C$11*'R&amp;S - Buildings'!$B$15*('Yearly HC Propylene'!J$3-'Yearly HC Propylene'!$D$3)/10</f>
        <v>0</v>
      </c>
      <c r="K24" s="196">
        <f>K22*'R&amp;S - Buildings'!$B$8*'R&amp;S - Buildings'!$C$11*'R&amp;S - Buildings'!$B$15*('Yearly HC Propylene'!K$3-'Yearly HC Propylene'!$D$3)/10</f>
        <v>0</v>
      </c>
      <c r="L24" s="196">
        <f>L22*'R&amp;S - Buildings'!$B$8*'R&amp;S - Buildings'!$C$11*'R&amp;S - Buildings'!$B$15*('Yearly HC Propylene'!L$3-'Yearly HC Propylene'!$D$3)/10</f>
        <v>0</v>
      </c>
      <c r="M24" s="196">
        <f>M22*'R&amp;S - Buildings'!$B$8*'R&amp;S - Buildings'!$C$11*'R&amp;S - Buildings'!$B$15*('Yearly HC Propylene'!M$3-'Yearly HC Propylene'!$D$3)/10</f>
        <v>0</v>
      </c>
      <c r="N24" s="196">
        <f>N22*'R&amp;S - Buildings'!$B$8*'R&amp;S - Buildings'!$C$11*'R&amp;S - Buildings'!$B$15*('Yearly HC Propylene'!N$3-'Yearly HC Propylene'!$D$3)/10</f>
        <v>0</v>
      </c>
      <c r="O24" s="196">
        <f>O22*'R&amp;S - Buildings'!$B$8*'R&amp;S - Buildings'!$C$11*('R&amp;S - Buildings'!$B$15+('R&amp;S - Buildings'!$B$16-'R&amp;S - Buildings'!$B$15)*('Yearly HC Propylene'!O$3-'Yearly HC Propylene'!$N$3)/10)</f>
        <v>0</v>
      </c>
      <c r="P24" s="196">
        <f>P22*'R&amp;S - Buildings'!$B$8*'R&amp;S - Buildings'!$C$11*('R&amp;S - Buildings'!$B$15+('R&amp;S - Buildings'!$B$16-'R&amp;S - Buildings'!$B$15)*('Yearly HC Propylene'!P$3-'Yearly HC Propylene'!$N$3)/10)</f>
        <v>0</v>
      </c>
      <c r="Q24" s="196">
        <f>Q22*'R&amp;S - Buildings'!$B$8*'R&amp;S - Buildings'!$C$11*('R&amp;S - Buildings'!$B$15+('R&amp;S - Buildings'!$B$16-'R&amp;S - Buildings'!$B$15)*('Yearly HC Propylene'!Q$3-'Yearly HC Propylene'!$N$3)/10)</f>
        <v>0</v>
      </c>
      <c r="R24" s="196">
        <f>R22*'R&amp;S - Buildings'!$B$8*'R&amp;S - Buildings'!$C$11*('R&amp;S - Buildings'!$B$15+('R&amp;S - Buildings'!$B$16-'R&amp;S - Buildings'!$B$15)*('Yearly HC Propylene'!R$3-'Yearly HC Propylene'!$N$3)/10)</f>
        <v>0</v>
      </c>
      <c r="S24" s="196">
        <f>S22*'R&amp;S - Buildings'!$B$8*'R&amp;S - Buildings'!$C$11*('R&amp;S - Buildings'!$B$15+('R&amp;S - Buildings'!$B$16-'R&amp;S - Buildings'!$B$15)*('Yearly HC Propylene'!S$3-'Yearly HC Propylene'!$N$3)/10)</f>
        <v>0</v>
      </c>
      <c r="T24" s="196">
        <f>T22*'R&amp;S - Buildings'!$B$8*'R&amp;S - Buildings'!$C$11*('R&amp;S - Buildings'!$B$15+('R&amp;S - Buildings'!$B$16-'R&amp;S - Buildings'!$B$15)*('Yearly HC Propylene'!T$3-'Yearly HC Propylene'!$N$3)/10)</f>
        <v>0</v>
      </c>
      <c r="U24" s="196">
        <f>U22*'R&amp;S - Buildings'!$B$8*'R&amp;S - Buildings'!$C$11*('R&amp;S - Buildings'!$B$15+('R&amp;S - Buildings'!$B$16-'R&amp;S - Buildings'!$B$15)*('Yearly HC Propylene'!U$3-'Yearly HC Propylene'!$N$3)/10)</f>
        <v>0</v>
      </c>
      <c r="V24" s="196">
        <f>V22*'R&amp;S - Buildings'!$B$8*'R&amp;S - Buildings'!$C$11*('R&amp;S - Buildings'!$B$15+('R&amp;S - Buildings'!$B$16-'R&amp;S - Buildings'!$B$15)*('Yearly HC Propylene'!V$3-'Yearly HC Propylene'!$N$3)/10)</f>
        <v>0</v>
      </c>
      <c r="W24" s="196">
        <f>W22*'R&amp;S - Buildings'!$B$8*'R&amp;S - Buildings'!$C$11*('R&amp;S - Buildings'!$B$15+('R&amp;S - Buildings'!$B$16-'R&amp;S - Buildings'!$B$15)*('Yearly HC Propylene'!W$3-'Yearly HC Propylene'!$N$3)/10)</f>
        <v>0</v>
      </c>
      <c r="X24" s="196">
        <f>X22*'R&amp;S - Buildings'!$B$8*'R&amp;S - Buildings'!$C$11*('R&amp;S - Buildings'!$B$15+('R&amp;S - Buildings'!$B$16-'R&amp;S - Buildings'!$B$15)*('Yearly HC Propylene'!X$3-'Yearly HC Propylene'!$N$3)/10)</f>
        <v>0</v>
      </c>
      <c r="Y24" s="196">
        <f>Y22*'R&amp;S - Buildings'!$B$8*'R&amp;S - Buildings'!$C$11*('R&amp;S - Buildings'!$B$16+('R&amp;S - Buildings'!$B$17-'R&amp;S - Buildings'!$B$16)*('Yearly HC Propylene'!Y$3-'Yearly HC Propylene'!$X$3)/10)</f>
        <v>0</v>
      </c>
      <c r="Z24" s="196">
        <f>Z22*'R&amp;S - Buildings'!$B$8*'R&amp;S - Buildings'!$C$11*('R&amp;S - Buildings'!$B$16+('R&amp;S - Buildings'!$B$17-'R&amp;S - Buildings'!$B$16)*('Yearly HC Propylene'!Z$3-'Yearly HC Propylene'!$X$3)/10)</f>
        <v>0</v>
      </c>
      <c r="AA24" s="196">
        <f>AA22*'R&amp;S - Buildings'!$B$8*'R&amp;S - Buildings'!$C$11*('R&amp;S - Buildings'!$B$16+('R&amp;S - Buildings'!$B$17-'R&amp;S - Buildings'!$B$16)*('Yearly HC Propylene'!AA$3-'Yearly HC Propylene'!$X$3)/10)</f>
        <v>0</v>
      </c>
      <c r="AB24" s="196">
        <f>AB22*'R&amp;S - Buildings'!$B$8*'R&amp;S - Buildings'!$C$11*('R&amp;S - Buildings'!$B$16+('R&amp;S - Buildings'!$B$17-'R&amp;S - Buildings'!$B$16)*('Yearly HC Propylene'!AB$3-'Yearly HC Propylene'!$X$3)/10)</f>
        <v>0</v>
      </c>
      <c r="AC24" s="196">
        <f>AC22*'R&amp;S - Buildings'!$B$8*'R&amp;S - Buildings'!$C$11*('R&amp;S - Buildings'!$B$16+('R&amp;S - Buildings'!$B$17-'R&amp;S - Buildings'!$B$16)*('Yearly HC Propylene'!AC$3-'Yearly HC Propylene'!$X$3)/10)</f>
        <v>0</v>
      </c>
      <c r="AD24" s="196">
        <f>AD22*'R&amp;S - Buildings'!$B$8*'R&amp;S - Buildings'!$C$11*('R&amp;S - Buildings'!$B$16+('R&amp;S - Buildings'!$B$17-'R&amp;S - Buildings'!$B$16)*('Yearly HC Propylene'!AD$3-'Yearly HC Propylene'!$X$3)/10)</f>
        <v>0</v>
      </c>
      <c r="AE24" s="196">
        <f>AE22*'R&amp;S - Buildings'!$B$8*'R&amp;S - Buildings'!$C$11*('R&amp;S - Buildings'!$B$16+('R&amp;S - Buildings'!$B$17-'R&amp;S - Buildings'!$B$16)*('Yearly HC Propylene'!AE$3-'Yearly HC Propylene'!$X$3)/10)</f>
        <v>0</v>
      </c>
      <c r="AF24" s="196">
        <f>AF22*'R&amp;S - Buildings'!$B$8*'R&amp;S - Buildings'!$C$11*('R&amp;S - Buildings'!$B$16+('R&amp;S - Buildings'!$B$17-'R&amp;S - Buildings'!$B$16)*('Yearly HC Propylene'!AF$3-'Yearly HC Propylene'!$X$3)/10)</f>
        <v>0</v>
      </c>
      <c r="AG24" s="196">
        <f>AG22*'R&amp;S - Buildings'!$B$8*'R&amp;S - Buildings'!$C$11*('R&amp;S - Buildings'!$B$16+('R&amp;S - Buildings'!$B$17-'R&amp;S - Buildings'!$B$16)*('Yearly HC Propylene'!AG$3-'Yearly HC Propylene'!$X$3)/10)</f>
        <v>0</v>
      </c>
      <c r="AH24" s="196">
        <f>AH22*'R&amp;S - Buildings'!$B$8*'R&amp;S - Buildings'!$C$11*('R&amp;S - Buildings'!$B$16+('R&amp;S - Buildings'!$B$17-'R&amp;S - Buildings'!$B$16)*('Yearly HC Propylene'!AH$3-'Yearly HC Propylene'!$X$3)/10)</f>
        <v>0</v>
      </c>
    </row>
    <row r="25" spans="1:34" s="63" customFormat="1">
      <c r="A25" s="59"/>
      <c r="B25" s="59" t="s">
        <v>195</v>
      </c>
      <c r="C25" s="60" t="s">
        <v>166</v>
      </c>
      <c r="D25" s="636">
        <f>D22-D23-D24</f>
        <v>137707.45987773585</v>
      </c>
      <c r="E25" s="636">
        <f t="shared" ref="E25:AH25" si="7">E22-E23-E24</f>
        <v>135208.06948095493</v>
      </c>
      <c r="F25" s="636">
        <f t="shared" si="7"/>
        <v>132708.67908417404</v>
      </c>
      <c r="G25" s="636">
        <f t="shared" si="7"/>
        <v>130209.28868739313</v>
      </c>
      <c r="H25" s="636">
        <f t="shared" si="7"/>
        <v>127709.89829061223</v>
      </c>
      <c r="I25" s="636">
        <f t="shared" si="7"/>
        <v>125210.50789383132</v>
      </c>
      <c r="J25" s="636">
        <f t="shared" si="7"/>
        <v>122711.11749705041</v>
      </c>
      <c r="K25" s="636">
        <f t="shared" si="7"/>
        <v>120211.72710026951</v>
      </c>
      <c r="L25" s="636">
        <f t="shared" si="7"/>
        <v>117712.3367034886</v>
      </c>
      <c r="M25" s="636">
        <f t="shared" si="7"/>
        <v>115212.94630670769</v>
      </c>
      <c r="N25" s="636">
        <f t="shared" si="7"/>
        <v>112713.55590992678</v>
      </c>
      <c r="O25" s="636">
        <f t="shared" si="7"/>
        <v>110214.16551314588</v>
      </c>
      <c r="P25" s="636">
        <f t="shared" si="7"/>
        <v>107714.77511636497</v>
      </c>
      <c r="Q25" s="636">
        <f t="shared" si="7"/>
        <v>105215.38471958406</v>
      </c>
      <c r="R25" s="636">
        <f t="shared" si="7"/>
        <v>102715.99432280316</v>
      </c>
      <c r="S25" s="636">
        <f t="shared" si="7"/>
        <v>100216.60392602226</v>
      </c>
      <c r="T25" s="636">
        <f t="shared" si="7"/>
        <v>97717.213529241359</v>
      </c>
      <c r="U25" s="636">
        <f t="shared" si="7"/>
        <v>95217.823132460442</v>
      </c>
      <c r="V25" s="636">
        <f t="shared" si="7"/>
        <v>92718.432735679526</v>
      </c>
      <c r="W25" s="636">
        <f t="shared" si="7"/>
        <v>90219.042338898638</v>
      </c>
      <c r="X25" s="636">
        <f t="shared" si="7"/>
        <v>87719.651942117722</v>
      </c>
      <c r="Y25" s="636">
        <f t="shared" si="7"/>
        <v>85144.522442404064</v>
      </c>
      <c r="Z25" s="636">
        <f t="shared" si="7"/>
        <v>82569.392942690407</v>
      </c>
      <c r="AA25" s="636">
        <f t="shared" si="7"/>
        <v>79994.26344297675</v>
      </c>
      <c r="AB25" s="636">
        <f t="shared" si="7"/>
        <v>77419.133943263078</v>
      </c>
      <c r="AC25" s="636">
        <f t="shared" si="7"/>
        <v>74844.00444354942</v>
      </c>
      <c r="AD25" s="636">
        <f t="shared" si="7"/>
        <v>72268.874943835748</v>
      </c>
      <c r="AE25" s="636">
        <f t="shared" si="7"/>
        <v>69693.745444122105</v>
      </c>
      <c r="AF25" s="636">
        <f t="shared" si="7"/>
        <v>67118.615944408448</v>
      </c>
      <c r="AG25" s="636">
        <f t="shared" si="7"/>
        <v>64543.486444694776</v>
      </c>
      <c r="AH25" s="636">
        <f t="shared" si="7"/>
        <v>61968.356944981118</v>
      </c>
    </row>
    <row r="26" spans="1:34">
      <c r="A26" s="1" t="s">
        <v>191</v>
      </c>
      <c r="B26" s="55" t="s">
        <v>174</v>
      </c>
      <c r="C26" s="56" t="s">
        <v>166</v>
      </c>
      <c r="D26" s="630">
        <v>0</v>
      </c>
      <c r="E26" s="630">
        <v>0</v>
      </c>
      <c r="F26" s="630">
        <v>0</v>
      </c>
      <c r="G26" s="630">
        <v>0</v>
      </c>
      <c r="H26" s="630">
        <v>0</v>
      </c>
      <c r="I26" s="630">
        <v>0</v>
      </c>
      <c r="J26" s="630">
        <v>0</v>
      </c>
      <c r="K26" s="630">
        <v>0</v>
      </c>
      <c r="L26" s="630">
        <v>0</v>
      </c>
      <c r="M26" s="630">
        <v>0</v>
      </c>
      <c r="N26" s="630">
        <v>0</v>
      </c>
      <c r="O26" s="630">
        <v>0</v>
      </c>
      <c r="P26" s="630">
        <v>0</v>
      </c>
      <c r="Q26" s="630">
        <v>0</v>
      </c>
      <c r="R26" s="630">
        <v>0</v>
      </c>
      <c r="S26" s="630">
        <v>0</v>
      </c>
      <c r="T26" s="630">
        <v>0</v>
      </c>
      <c r="U26" s="630">
        <v>0</v>
      </c>
      <c r="V26" s="630">
        <v>0</v>
      </c>
      <c r="W26" s="630">
        <v>0</v>
      </c>
      <c r="X26" s="630">
        <v>0</v>
      </c>
      <c r="Y26" s="630">
        <v>0</v>
      </c>
      <c r="Z26" s="630">
        <v>0</v>
      </c>
      <c r="AA26" s="630">
        <v>0</v>
      </c>
      <c r="AB26" s="630">
        <v>0</v>
      </c>
      <c r="AC26" s="630">
        <v>0</v>
      </c>
      <c r="AD26" s="630">
        <v>0</v>
      </c>
      <c r="AE26" s="630">
        <v>0</v>
      </c>
      <c r="AF26" s="630">
        <v>0</v>
      </c>
      <c r="AG26" s="630">
        <v>0</v>
      </c>
      <c r="AH26" s="630">
        <v>0</v>
      </c>
    </row>
    <row r="27" spans="1:34" outlineLevel="1">
      <c r="B27" s="58" t="s">
        <v>196</v>
      </c>
      <c r="C27" s="51" t="s">
        <v>166</v>
      </c>
      <c r="D27" s="196">
        <v>0</v>
      </c>
      <c r="E27" s="196">
        <v>0</v>
      </c>
      <c r="F27" s="196">
        <v>0</v>
      </c>
      <c r="G27" s="196">
        <v>0</v>
      </c>
      <c r="H27" s="196">
        <v>0</v>
      </c>
      <c r="I27" s="196">
        <v>0</v>
      </c>
      <c r="J27" s="196">
        <v>0</v>
      </c>
      <c r="K27" s="196">
        <v>0</v>
      </c>
      <c r="L27" s="196">
        <v>0</v>
      </c>
      <c r="M27" s="196">
        <v>0</v>
      </c>
      <c r="N27" s="196">
        <v>0</v>
      </c>
      <c r="O27" s="196">
        <v>0</v>
      </c>
      <c r="P27" s="196">
        <v>0</v>
      </c>
      <c r="Q27" s="196">
        <v>0</v>
      </c>
      <c r="R27" s="196">
        <v>0</v>
      </c>
      <c r="S27" s="196">
        <v>0</v>
      </c>
      <c r="T27" s="196">
        <v>0</v>
      </c>
      <c r="U27" s="196">
        <v>0</v>
      </c>
      <c r="V27" s="196">
        <v>0</v>
      </c>
      <c r="W27" s="196">
        <v>0</v>
      </c>
      <c r="X27" s="196">
        <v>0</v>
      </c>
      <c r="Y27" s="196">
        <v>0</v>
      </c>
      <c r="Z27" s="196">
        <v>0</v>
      </c>
      <c r="AA27" s="196">
        <v>0</v>
      </c>
      <c r="AB27" s="196">
        <v>0</v>
      </c>
      <c r="AC27" s="196">
        <v>0</v>
      </c>
      <c r="AD27" s="196">
        <v>0</v>
      </c>
      <c r="AE27" s="196">
        <v>0</v>
      </c>
      <c r="AF27" s="196">
        <v>0</v>
      </c>
      <c r="AG27" s="196">
        <v>0</v>
      </c>
      <c r="AH27" s="196">
        <v>0</v>
      </c>
    </row>
    <row r="28" spans="1:34" outlineLevel="1">
      <c r="B28" s="58" t="s">
        <v>200</v>
      </c>
      <c r="C28" s="51" t="s">
        <v>166</v>
      </c>
      <c r="D28" s="196">
        <v>0</v>
      </c>
      <c r="E28" s="196">
        <v>0</v>
      </c>
      <c r="F28" s="196">
        <v>0</v>
      </c>
      <c r="G28" s="196">
        <v>0</v>
      </c>
      <c r="H28" s="196">
        <v>0</v>
      </c>
      <c r="I28" s="196">
        <v>0</v>
      </c>
      <c r="J28" s="196">
        <v>0</v>
      </c>
      <c r="K28" s="196">
        <v>0</v>
      </c>
      <c r="L28" s="196">
        <v>0</v>
      </c>
      <c r="M28" s="196">
        <v>0</v>
      </c>
      <c r="N28" s="196">
        <v>0</v>
      </c>
      <c r="O28" s="196">
        <v>0</v>
      </c>
      <c r="P28" s="196">
        <v>0</v>
      </c>
      <c r="Q28" s="196">
        <v>0</v>
      </c>
      <c r="R28" s="196">
        <v>0</v>
      </c>
      <c r="S28" s="196">
        <v>0</v>
      </c>
      <c r="T28" s="196">
        <v>0</v>
      </c>
      <c r="U28" s="196">
        <v>0</v>
      </c>
      <c r="V28" s="196">
        <v>0</v>
      </c>
      <c r="W28" s="196">
        <v>0</v>
      </c>
      <c r="X28" s="196">
        <v>0</v>
      </c>
      <c r="Y28" s="196">
        <v>0</v>
      </c>
      <c r="Z28" s="196">
        <v>0</v>
      </c>
      <c r="AA28" s="196">
        <v>0</v>
      </c>
      <c r="AB28" s="196">
        <v>0</v>
      </c>
      <c r="AC28" s="196">
        <v>0</v>
      </c>
      <c r="AD28" s="196">
        <v>0</v>
      </c>
      <c r="AE28" s="196">
        <v>0</v>
      </c>
      <c r="AF28" s="196">
        <v>0</v>
      </c>
      <c r="AG28" s="196">
        <v>0</v>
      </c>
      <c r="AH28" s="196">
        <v>0</v>
      </c>
    </row>
    <row r="29" spans="1:34" outlineLevel="1">
      <c r="B29" s="1" t="s">
        <v>164</v>
      </c>
      <c r="C29" s="51" t="s">
        <v>166</v>
      </c>
      <c r="D29" s="196">
        <v>0</v>
      </c>
      <c r="E29" s="196">
        <v>0</v>
      </c>
      <c r="F29" s="196">
        <v>0</v>
      </c>
      <c r="G29" s="196">
        <v>0</v>
      </c>
      <c r="H29" s="196">
        <v>0</v>
      </c>
      <c r="I29" s="196">
        <v>0</v>
      </c>
      <c r="J29" s="196">
        <v>0</v>
      </c>
      <c r="K29" s="196">
        <v>0</v>
      </c>
      <c r="L29" s="196">
        <v>0</v>
      </c>
      <c r="M29" s="196">
        <v>0</v>
      </c>
      <c r="N29" s="196">
        <v>0</v>
      </c>
      <c r="O29" s="196">
        <v>0</v>
      </c>
      <c r="P29" s="196">
        <v>0</v>
      </c>
      <c r="Q29" s="196">
        <v>0</v>
      </c>
      <c r="R29" s="196">
        <v>0</v>
      </c>
      <c r="S29" s="196">
        <v>0</v>
      </c>
      <c r="T29" s="196">
        <v>0</v>
      </c>
      <c r="U29" s="196">
        <v>0</v>
      </c>
      <c r="V29" s="196">
        <v>0</v>
      </c>
      <c r="W29" s="196">
        <v>0</v>
      </c>
      <c r="X29" s="196">
        <v>0</v>
      </c>
      <c r="Y29" s="196">
        <v>0</v>
      </c>
      <c r="Z29" s="196">
        <v>0</v>
      </c>
      <c r="AA29" s="196">
        <v>0</v>
      </c>
      <c r="AB29" s="196">
        <v>0</v>
      </c>
      <c r="AC29" s="196">
        <v>0</v>
      </c>
      <c r="AD29" s="196">
        <v>0</v>
      </c>
      <c r="AE29" s="196">
        <v>0</v>
      </c>
      <c r="AF29" s="196">
        <v>0</v>
      </c>
      <c r="AG29" s="196">
        <v>0</v>
      </c>
      <c r="AH29" s="196">
        <v>0</v>
      </c>
    </row>
    <row r="30" spans="1:34" outlineLevel="1">
      <c r="B30" s="1" t="s">
        <v>167</v>
      </c>
      <c r="C30" s="51" t="s">
        <v>166</v>
      </c>
      <c r="D30" s="196">
        <v>0</v>
      </c>
      <c r="E30" s="196">
        <v>0</v>
      </c>
      <c r="F30" s="196">
        <v>0</v>
      </c>
      <c r="G30" s="196">
        <v>0</v>
      </c>
      <c r="H30" s="196">
        <v>0</v>
      </c>
      <c r="I30" s="196">
        <v>0</v>
      </c>
      <c r="J30" s="196">
        <v>0</v>
      </c>
      <c r="K30" s="196">
        <v>0</v>
      </c>
      <c r="L30" s="196">
        <v>0</v>
      </c>
      <c r="M30" s="196">
        <v>0</v>
      </c>
      <c r="N30" s="196">
        <v>0</v>
      </c>
      <c r="O30" s="196">
        <v>0</v>
      </c>
      <c r="P30" s="196">
        <v>0</v>
      </c>
      <c r="Q30" s="196">
        <v>0</v>
      </c>
      <c r="R30" s="196">
        <v>0</v>
      </c>
      <c r="S30" s="196">
        <v>0</v>
      </c>
      <c r="T30" s="196">
        <v>0</v>
      </c>
      <c r="U30" s="196">
        <v>0</v>
      </c>
      <c r="V30" s="196">
        <v>0</v>
      </c>
      <c r="W30" s="196">
        <v>0</v>
      </c>
      <c r="X30" s="196">
        <v>0</v>
      </c>
      <c r="Y30" s="196">
        <v>0</v>
      </c>
      <c r="Z30" s="196">
        <v>0</v>
      </c>
      <c r="AA30" s="196">
        <v>0</v>
      </c>
      <c r="AB30" s="196">
        <v>0</v>
      </c>
      <c r="AC30" s="196">
        <v>0</v>
      </c>
      <c r="AD30" s="196">
        <v>0</v>
      </c>
      <c r="AE30" s="196">
        <v>0</v>
      </c>
      <c r="AF30" s="196">
        <v>0</v>
      </c>
      <c r="AG30" s="196">
        <v>0</v>
      </c>
      <c r="AH30" s="196">
        <v>0</v>
      </c>
    </row>
    <row r="31" spans="1:34">
      <c r="B31" s="1" t="s">
        <v>195</v>
      </c>
      <c r="C31" s="61" t="s">
        <v>166</v>
      </c>
      <c r="D31" s="633">
        <f>D26-D29-D30</f>
        <v>0</v>
      </c>
      <c r="E31" s="633">
        <f t="shared" ref="E31:AH31" si="8">E26-E29-E30</f>
        <v>0</v>
      </c>
      <c r="F31" s="633">
        <f t="shared" si="8"/>
        <v>0</v>
      </c>
      <c r="G31" s="633">
        <f t="shared" si="8"/>
        <v>0</v>
      </c>
      <c r="H31" s="633">
        <f t="shared" si="8"/>
        <v>0</v>
      </c>
      <c r="I31" s="633">
        <f t="shared" si="8"/>
        <v>0</v>
      </c>
      <c r="J31" s="633">
        <f t="shared" si="8"/>
        <v>0</v>
      </c>
      <c r="K31" s="633">
        <f t="shared" si="8"/>
        <v>0</v>
      </c>
      <c r="L31" s="633">
        <f t="shared" si="8"/>
        <v>0</v>
      </c>
      <c r="M31" s="633">
        <f t="shared" si="8"/>
        <v>0</v>
      </c>
      <c r="N31" s="633">
        <f t="shared" si="8"/>
        <v>0</v>
      </c>
      <c r="O31" s="633">
        <f t="shared" si="8"/>
        <v>0</v>
      </c>
      <c r="P31" s="633">
        <f t="shared" si="8"/>
        <v>0</v>
      </c>
      <c r="Q31" s="633">
        <f t="shared" si="8"/>
        <v>0</v>
      </c>
      <c r="R31" s="633">
        <f t="shared" si="8"/>
        <v>0</v>
      </c>
      <c r="S31" s="633">
        <f t="shared" si="8"/>
        <v>0</v>
      </c>
      <c r="T31" s="633">
        <f t="shared" si="8"/>
        <v>0</v>
      </c>
      <c r="U31" s="633">
        <f t="shared" si="8"/>
        <v>0</v>
      </c>
      <c r="V31" s="633">
        <f t="shared" si="8"/>
        <v>0</v>
      </c>
      <c r="W31" s="633">
        <f t="shared" si="8"/>
        <v>0</v>
      </c>
      <c r="X31" s="633">
        <f t="shared" si="8"/>
        <v>0</v>
      </c>
      <c r="Y31" s="633">
        <f t="shared" si="8"/>
        <v>0</v>
      </c>
      <c r="Z31" s="633">
        <f t="shared" si="8"/>
        <v>0</v>
      </c>
      <c r="AA31" s="633">
        <f t="shared" si="8"/>
        <v>0</v>
      </c>
      <c r="AB31" s="633">
        <f t="shared" si="8"/>
        <v>0</v>
      </c>
      <c r="AC31" s="633">
        <f t="shared" si="8"/>
        <v>0</v>
      </c>
      <c r="AD31" s="633">
        <f t="shared" si="8"/>
        <v>0</v>
      </c>
      <c r="AE31" s="633">
        <f t="shared" si="8"/>
        <v>0</v>
      </c>
      <c r="AF31" s="633">
        <f t="shared" si="8"/>
        <v>0</v>
      </c>
      <c r="AG31" s="633">
        <f t="shared" si="8"/>
        <v>0</v>
      </c>
      <c r="AH31" s="633">
        <f t="shared" si="8"/>
        <v>0</v>
      </c>
    </row>
    <row r="32" spans="1:34" s="62" customFormat="1">
      <c r="A32" s="55" t="s">
        <v>303</v>
      </c>
      <c r="B32" s="55" t="s">
        <v>174</v>
      </c>
      <c r="C32" s="56" t="s">
        <v>166</v>
      </c>
      <c r="D32" s="630">
        <f t="shared" ref="D32:AH32" si="9">D4-D6-D14-D22-D26</f>
        <v>368256.49460398941</v>
      </c>
      <c r="E32" s="630">
        <f t="shared" si="9"/>
        <v>365095.32195247093</v>
      </c>
      <c r="F32" s="630">
        <f t="shared" si="9"/>
        <v>361880.40936587658</v>
      </c>
      <c r="G32" s="630">
        <f t="shared" si="9"/>
        <v>358610.84326531016</v>
      </c>
      <c r="H32" s="630">
        <f t="shared" si="9"/>
        <v>355285.69454103406</v>
      </c>
      <c r="I32" s="630">
        <f t="shared" si="9"/>
        <v>351904.01828844531</v>
      </c>
      <c r="J32" s="630">
        <f t="shared" si="9"/>
        <v>348464.85353956255</v>
      </c>
      <c r="K32" s="630">
        <f t="shared" si="9"/>
        <v>344967.22298994882</v>
      </c>
      <c r="L32" s="630">
        <f t="shared" si="9"/>
        <v>341410.13272099162</v>
      </c>
      <c r="M32" s="630">
        <f t="shared" si="9"/>
        <v>337792.57191746216</v>
      </c>
      <c r="N32" s="630">
        <f t="shared" si="9"/>
        <v>334113.51258027263</v>
      </c>
      <c r="O32" s="630">
        <f t="shared" si="9"/>
        <v>330371.9092343509</v>
      </c>
      <c r="P32" s="630">
        <f t="shared" si="9"/>
        <v>326566.69863154856</v>
      </c>
      <c r="Q32" s="630">
        <f t="shared" si="9"/>
        <v>322696.79944849864</v>
      </c>
      <c r="R32" s="630">
        <f t="shared" si="9"/>
        <v>318761.11197933671</v>
      </c>
      <c r="S32" s="630">
        <f t="shared" si="9"/>
        <v>314758.51782319916</v>
      </c>
      <c r="T32" s="630">
        <f t="shared" si="9"/>
        <v>310687.87956640718</v>
      </c>
      <c r="U32" s="630">
        <f t="shared" si="9"/>
        <v>306548.04045924975</v>
      </c>
      <c r="V32" s="630">
        <f t="shared" si="9"/>
        <v>302337.82408727065</v>
      </c>
      <c r="W32" s="630">
        <f t="shared" si="9"/>
        <v>298056.03403696802</v>
      </c>
      <c r="X32" s="630">
        <f t="shared" si="9"/>
        <v>293701.45355581015</v>
      </c>
      <c r="Y32" s="630">
        <f t="shared" si="9"/>
        <v>289272.84520647256</v>
      </c>
      <c r="Z32" s="630">
        <f t="shared" si="9"/>
        <v>284768.95051519631</v>
      </c>
      <c r="AA32" s="630">
        <f t="shared" si="9"/>
        <v>280188.4896141683</v>
      </c>
      <c r="AB32" s="630">
        <f t="shared" si="9"/>
        <v>275530.16087782278</v>
      </c>
      <c r="AC32" s="630">
        <f t="shared" si="9"/>
        <v>270792.64055295952</v>
      </c>
      <c r="AD32" s="630">
        <f t="shared" si="9"/>
        <v>265974.5823825734</v>
      </c>
      <c r="AE32" s="630">
        <f t="shared" si="9"/>
        <v>261074.61722329081</v>
      </c>
      <c r="AF32" s="630">
        <f t="shared" si="9"/>
        <v>256091.3526563005</v>
      </c>
      <c r="AG32" s="630">
        <f t="shared" si="9"/>
        <v>251023.37259167127</v>
      </c>
      <c r="AH32" s="630">
        <f t="shared" si="9"/>
        <v>245869.23686594339</v>
      </c>
    </row>
    <row r="33" spans="1:34" s="169" customFormat="1" outlineLevel="1">
      <c r="A33" s="167"/>
      <c r="B33" s="167" t="s">
        <v>164</v>
      </c>
      <c r="C33" s="165" t="s">
        <v>166</v>
      </c>
      <c r="D33" s="613">
        <v>0</v>
      </c>
      <c r="E33" s="613">
        <f>E32*'R&amp;S - Others'!$B$7*'R&amp;S - Others'!$B$11*'R&amp;S - Others'!$B$15*('Yearly HC Propylene'!E$3-'Yearly HC Propylene'!$D$3)/10</f>
        <v>1807.2218436647313</v>
      </c>
      <c r="F33" s="613">
        <f>F32*'R&amp;S - Others'!$B$7*'R&amp;S - Others'!$B$11*'R&amp;S - Others'!$B$15*('Yearly HC Propylene'!F$3-'Yearly HC Propylene'!$D$3)/10</f>
        <v>3582.6160527221778</v>
      </c>
      <c r="G33" s="613">
        <f>G32*'R&amp;S - Others'!$B$7*'R&amp;S - Others'!$B$11*'R&amp;S - Others'!$B$15*('Yearly HC Propylene'!G$3-'Yearly HC Propylene'!$D$3)/10</f>
        <v>5325.3710224898559</v>
      </c>
      <c r="H33" s="613">
        <f>H32*'R&amp;S - Others'!$B$7*'R&amp;S - Others'!$B$11*'R&amp;S - Others'!$B$15*('Yearly HC Propylene'!H$3-'Yearly HC Propylene'!$D$3)/10</f>
        <v>7034.6567519124746</v>
      </c>
      <c r="I33" s="613">
        <f>I32*'R&amp;S - Others'!$B$7*'R&amp;S - Others'!$B$11*'R&amp;S - Others'!$B$15*('Yearly HC Propylene'!I$3-'Yearly HC Propylene'!$D$3)/10</f>
        <v>8709.6244526390219</v>
      </c>
      <c r="J33" s="613">
        <f>J32*'R&amp;S - Others'!$B$7*'R&amp;S - Others'!$B$11*'R&amp;S - Others'!$B$15*('Yearly HC Propylene'!J$3-'Yearly HC Propylene'!$D$3)/10</f>
        <v>10349.406150125007</v>
      </c>
      <c r="K33" s="613">
        <f>K32*'R&amp;S - Others'!$B$7*'R&amp;S - Others'!$B$11*'R&amp;S - Others'!$B$15*('Yearly HC Propylene'!K$3-'Yearly HC Propylene'!$D$3)/10</f>
        <v>11953.114276601726</v>
      </c>
      <c r="L33" s="613">
        <f>L32*'R&amp;S - Others'!$B$7*'R&amp;S - Others'!$B$11*'R&amp;S - Others'!$B$15*('Yearly HC Propylene'!L$3-'Yearly HC Propylene'!$D$3)/10</f>
        <v>13519.841255751269</v>
      </c>
      <c r="M33" s="613">
        <f>M32*'R&amp;S - Others'!$B$7*'R&amp;S - Others'!$B$11*'R&amp;S - Others'!$B$15*('Yearly HC Propylene'!M$3-'Yearly HC Propylene'!$D$3)/10</f>
        <v>15048.659078922938</v>
      </c>
      <c r="N33" s="613">
        <f>N32*'R&amp;S - Others'!$B$7*'R&amp;S - Others'!$B$11*'R&amp;S - Others'!$B$15*('Yearly HC Propylene'!N$3-'Yearly HC Propylene'!$D$3)/10</f>
        <v>16538.618872723495</v>
      </c>
      <c r="O33" s="613">
        <f>O32*'R&amp;S - Others'!$B$7*'R&amp;S - Others'!$B$11*('R&amp;S - Others'!$B$15+('R&amp;S - Others'!$B$16-'R&amp;S - Others'!$B$15)*('Yearly HC Propylene'!O$3-'Yearly HC Propylene'!$N$3)/10)</f>
        <v>17988.750457810405</v>
      </c>
      <c r="P33" s="613">
        <f>P32*'R&amp;S - Others'!$B$7*'R&amp;S - Others'!$B$11*('R&amp;S - Others'!$B$15+('R&amp;S - Others'!$B$16-'R&amp;S - Others'!$B$15)*('Yearly HC Propylene'!P$3-'Yearly HC Propylene'!$N$3)/10)</f>
        <v>19398.061898713986</v>
      </c>
      <c r="Q33" s="613">
        <f>Q32*'R&amp;S - Others'!$B$7*'R&amp;S - Others'!$B$11*('R&amp;S - Others'!$B$15+('R&amp;S - Others'!$B$16-'R&amp;S - Others'!$B$15)*('Yearly HC Propylene'!Q$3-'Yearly HC Propylene'!$N$3)/10)</f>
        <v>20765.53904451089</v>
      </c>
      <c r="R33" s="613">
        <f>R32*'R&amp;S - Others'!$B$7*'R&amp;S - Others'!$B$11*('R&amp;S - Others'!$B$15+('R&amp;S - Others'!$B$16-'R&amp;S - Others'!$B$15)*('Yearly HC Propylene'!R$3-'Yearly HC Propylene'!$N$3)/10)</f>
        <v>22090.145060168034</v>
      </c>
      <c r="S33" s="613">
        <f>S32*'R&amp;S - Others'!$B$7*'R&amp;S - Others'!$B$11*('R&amp;S - Others'!$B$15+('R&amp;S - Others'!$B$16-'R&amp;S - Others'!$B$15)*('Yearly HC Propylene'!S$3-'Yearly HC Propylene'!$N$3)/10)</f>
        <v>23370.819948372537</v>
      </c>
      <c r="T33" s="613">
        <f>T32*'R&amp;S - Others'!$B$7*'R&amp;S - Others'!$B$11*('R&amp;S - Others'!$B$15+('R&amp;S - Others'!$B$16-'R&amp;S - Others'!$B$15)*('Yearly HC Propylene'!T$3-'Yearly HC Propylene'!$N$3)/10)</f>
        <v>24606.480061659448</v>
      </c>
      <c r="U33" s="613">
        <f>U32*'R&amp;S - Others'!$B$7*'R&amp;S - Others'!$B$11*('R&amp;S - Others'!$B$15+('R&amp;S - Others'!$B$16-'R&amp;S - Others'!$B$15)*('Yearly HC Propylene'!U$3-'Yearly HC Propylene'!$N$3)/10)</f>
        <v>25796.017604645869</v>
      </c>
      <c r="V33" s="613">
        <f>V32*'R&amp;S - Others'!$B$7*'R&amp;S - Others'!$B$11*('R&amp;S - Others'!$B$15+('R&amp;S - Others'!$B$16-'R&amp;S - Others'!$B$15)*('Yearly HC Propylene'!V$3-'Yearly HC Propylene'!$N$3)/10)</f>
        <v>26938.300126175818</v>
      </c>
      <c r="W33" s="613">
        <f>W32*'R&amp;S - Others'!$B$7*'R&amp;S - Others'!$B$11*('R&amp;S - Others'!$B$15+('R&amp;S - Others'!$B$16-'R&amp;S - Others'!$B$15)*('Yearly HC Propylene'!W$3-'Yearly HC Propylene'!$N$3)/10)</f>
        <v>28032.170001176841</v>
      </c>
      <c r="X33" s="613">
        <f>X32*'R&amp;S - Others'!$B$7*'R&amp;S - Others'!$B$11*('R&amp;S - Others'!$B$15+('R&amp;S - Others'!$B$16-'R&amp;S - Others'!$B$15)*('Yearly HC Propylene'!X$3-'Yearly HC Propylene'!$N$3)/10)</f>
        <v>29076.443902025207</v>
      </c>
      <c r="Y33" s="613">
        <f>Y32*'R&amp;S - Others'!$B$7*'R&amp;S - Others'!$B$11*('R&amp;S - Others'!$B$16+('R&amp;S - Others'!$B$17-'R&amp;S - Others'!$B$16)*('Yearly HC Propylene'!Y$3-'Yearly HC Propylene'!$X$3)/10)</f>
        <v>30113.303185993795</v>
      </c>
      <c r="Z33" s="613">
        <f>Z32*'R&amp;S - Others'!$B$7*'R&amp;S - Others'!$B$11*('R&amp;S - Others'!$B$16+('R&amp;S - Others'!$B$17-'R&amp;S - Others'!$B$16)*('Yearly HC Propylene'!Z$3-'Yearly HC Propylene'!$X$3)/10)</f>
        <v>31096.769396259435</v>
      </c>
      <c r="AA33" s="613">
        <f>AA32*'R&amp;S - Others'!$B$7*'R&amp;S - Others'!$B$11*('R&amp;S - Others'!$B$16+('R&amp;S - Others'!$B$17-'R&amp;S - Others'!$B$16)*('Yearly HC Propylene'!AA$3-'Yearly HC Propylene'!$X$3)/10)</f>
        <v>32025.54436289944</v>
      </c>
      <c r="AB33" s="613">
        <f>AB32*'R&amp;S - Others'!$B$7*'R&amp;S - Others'!$B$11*('R&amp;S - Others'!$B$16+('R&amp;S - Others'!$B$17-'R&amp;S - Others'!$B$16)*('Yearly HC Propylene'!AB$3-'Yearly HC Propylene'!$X$3)/10)</f>
        <v>32898.301208812045</v>
      </c>
      <c r="AC33" s="613">
        <f>AC32*'R&amp;S - Others'!$B$7*'R&amp;S - Others'!$B$11*('R&amp;S - Others'!$B$16+('R&amp;S - Others'!$B$17-'R&amp;S - Others'!$B$16)*('Yearly HC Propylene'!AC$3-'Yearly HC Propylene'!$X$3)/10)</f>
        <v>33713.683748843461</v>
      </c>
      <c r="AD33" s="613">
        <f>AD32*'R&amp;S - Others'!$B$7*'R&amp;S - Others'!$B$11*('R&amp;S - Others'!$B$16+('R&amp;S - Others'!$B$17-'R&amp;S - Others'!$B$16)*('Yearly HC Propylene'!AD$3-'Yearly HC Propylene'!$X$3)/10)</f>
        <v>34470.305876781516</v>
      </c>
      <c r="AE33" s="613">
        <f>AE32*'R&amp;S - Others'!$B$7*'R&amp;S - Others'!$B$11*('R&amp;S - Others'!$B$16+('R&amp;S - Others'!$B$17-'R&amp;S - Others'!$B$16)*('Yearly HC Propylene'!AE$3-'Yearly HC Propylene'!$X$3)/10)</f>
        <v>35166.750939977268</v>
      </c>
      <c r="AF33" s="613">
        <f>AF32*'R&amp;S - Others'!$B$7*'R&amp;S - Others'!$B$11*('R&amp;S - Others'!$B$16+('R&amp;S - Others'!$B$17-'R&amp;S - Others'!$B$16)*('Yearly HC Propylene'!AF$3-'Yearly HC Propylene'!$X$3)/10)</f>
        <v>35801.571101350804</v>
      </c>
      <c r="AG33" s="613">
        <f>AG32*'R&amp;S - Others'!$B$7*'R&amp;S - Others'!$B$11*('R&amp;S - Others'!$B$16+('R&amp;S - Others'!$B$17-'R&amp;S - Others'!$B$16)*('Yearly HC Propylene'!AG$3-'Yearly HC Propylene'!$X$3)/10)</f>
        <v>36373.286688533168</v>
      </c>
      <c r="AH33" s="613">
        <f>AH32*'R&amp;S - Others'!$B$7*'R&amp;S - Others'!$B$11*('R&amp;S - Others'!$B$16+('R&amp;S - Others'!$B$17-'R&amp;S - Others'!$B$16)*('Yearly HC Propylene'!AH$3-'Yearly HC Propylene'!$X$3)/10)</f>
        <v>36880.385529891508</v>
      </c>
    </row>
    <row r="34" spans="1:34" s="169" customFormat="1" outlineLevel="1">
      <c r="A34" s="167"/>
      <c r="B34" s="167" t="s">
        <v>167</v>
      </c>
      <c r="C34" s="165" t="s">
        <v>166</v>
      </c>
      <c r="D34" s="613">
        <v>0</v>
      </c>
      <c r="E34" s="613">
        <f>E32*'R&amp;S - Others'!$B$8*'R&amp;S - Others'!$B$11*'R&amp;S - Others'!$C$15*('Yearly HC Propylene'!E$3-'Yearly HC Propylene'!$D$3)/10</f>
        <v>602.40728122157702</v>
      </c>
      <c r="F34" s="613">
        <f>F32*'R&amp;S - Others'!$B$8*'R&amp;S - Others'!$B$11*'R&amp;S - Others'!$C$15*('Yearly HC Propylene'!F$3-'Yearly HC Propylene'!$D$3)/10</f>
        <v>1194.2053509073928</v>
      </c>
      <c r="G34" s="613">
        <f>G32*'R&amp;S - Others'!$B$8*'R&amp;S - Others'!$B$11*'R&amp;S - Others'!$C$15*('Yearly HC Propylene'!G$3-'Yearly HC Propylene'!$D$3)/10</f>
        <v>1775.1236741632856</v>
      </c>
      <c r="H34" s="613">
        <f>H32*'R&amp;S - Others'!$B$8*'R&amp;S - Others'!$B$11*'R&amp;S - Others'!$C$15*('Yearly HC Propylene'!H$3-'Yearly HC Propylene'!$D$3)/10</f>
        <v>2344.8855839708253</v>
      </c>
      <c r="I34" s="613">
        <f>I32*'R&amp;S - Others'!$B$8*'R&amp;S - Others'!$B$11*'R&amp;S - Others'!$C$15*('Yearly HC Propylene'!I$3-'Yearly HC Propylene'!$D$3)/10</f>
        <v>2903.2081508796737</v>
      </c>
      <c r="J34" s="613">
        <f>J32*'R&amp;S - Others'!$B$8*'R&amp;S - Others'!$B$11*'R&amp;S - Others'!$C$15*('Yearly HC Propylene'!J$3-'Yearly HC Propylene'!$D$3)/10</f>
        <v>3449.8020500416692</v>
      </c>
      <c r="K34" s="613">
        <f>K32*'R&amp;S - Others'!$B$8*'R&amp;S - Others'!$B$11*'R&amp;S - Others'!$C$15*('Yearly HC Propylene'!K$3-'Yearly HC Propylene'!$D$3)/10</f>
        <v>3984.3714255339096</v>
      </c>
      <c r="L34" s="613">
        <f>L32*'R&amp;S - Others'!$B$8*'R&amp;S - Others'!$B$11*'R&amp;S - Others'!$C$15*('Yearly HC Propylene'!L$3-'Yearly HC Propylene'!$D$3)/10</f>
        <v>4506.6137519170898</v>
      </c>
      <c r="M34" s="613">
        <f>M32*'R&amp;S - Others'!$B$8*'R&amp;S - Others'!$B$11*'R&amp;S - Others'!$C$15*('Yearly HC Propylene'!M$3-'Yearly HC Propylene'!$D$3)/10</f>
        <v>5016.2196929743131</v>
      </c>
      <c r="N34" s="613">
        <f>N32*'R&amp;S - Others'!$B$8*'R&amp;S - Others'!$B$11*'R&amp;S - Others'!$C$15*('Yearly HC Propylene'!N$3-'Yearly HC Propylene'!$D$3)/10</f>
        <v>5512.8729575744992</v>
      </c>
      <c r="O34" s="613">
        <f>O32*'R&amp;S - Others'!$B$8*'R&amp;S - Others'!$B$11*('R&amp;S - Others'!$C$15+('R&amp;S - Others'!$C$16-'R&amp;S - Others'!$C$15)*('Yearly HC Propylene'!O$3-'Yearly HC Propylene'!$N$3)/10)</f>
        <v>5996.2501526034685</v>
      </c>
      <c r="P34" s="613">
        <f>P32*'R&amp;S - Others'!$B$8*'R&amp;S - Others'!$B$11*('R&amp;S - Others'!$C$15+('R&amp;S - Others'!$C$16-'R&amp;S - Others'!$C$15)*('Yearly HC Propylene'!P$3-'Yearly HC Propylene'!$N$3)/10)</f>
        <v>6466.0206329046623</v>
      </c>
      <c r="Q34" s="613">
        <f>Q32*'R&amp;S - Others'!$B$8*'R&amp;S - Others'!$B$11*('R&amp;S - Others'!$C$15+('R&amp;S - Others'!$C$16-'R&amp;S - Others'!$C$15)*('Yearly HC Propylene'!Q$3-'Yearly HC Propylene'!$N$3)/10)</f>
        <v>6921.8463481702966</v>
      </c>
      <c r="R34" s="613">
        <f>R32*'R&amp;S - Others'!$B$8*'R&amp;S - Others'!$B$11*('R&amp;S - Others'!$C$15+('R&amp;S - Others'!$C$16-'R&amp;S - Others'!$C$15)*('Yearly HC Propylene'!R$3-'Yearly HC Propylene'!$N$3)/10)</f>
        <v>7363.3816867226788</v>
      </c>
      <c r="S34" s="613">
        <f>S32*'R&amp;S - Others'!$B$8*'R&amp;S - Others'!$B$11*('R&amp;S - Others'!$C$15+('R&amp;S - Others'!$C$16-'R&amp;S - Others'!$C$15)*('Yearly HC Propylene'!S$3-'Yearly HC Propylene'!$N$3)/10)</f>
        <v>7790.2733161241795</v>
      </c>
      <c r="T34" s="613">
        <f>T32*'R&amp;S - Others'!$B$8*'R&amp;S - Others'!$B$11*('R&amp;S - Others'!$C$15+('R&amp;S - Others'!$C$16-'R&amp;S - Others'!$C$15)*('Yearly HC Propylene'!T$3-'Yearly HC Propylene'!$N$3)/10)</f>
        <v>8202.1600205531504</v>
      </c>
      <c r="U34" s="613">
        <f>U32*'R&amp;S - Others'!$B$8*'R&amp;S - Others'!$B$11*('R&amp;S - Others'!$C$15+('R&amp;S - Others'!$C$16-'R&amp;S - Others'!$C$15)*('Yearly HC Propylene'!U$3-'Yearly HC Propylene'!$N$3)/10)</f>
        <v>8598.6725348819564</v>
      </c>
      <c r="V34" s="613">
        <f>V32*'R&amp;S - Others'!$B$8*'R&amp;S - Others'!$B$11*('R&amp;S - Others'!$C$15+('R&amp;S - Others'!$C$16-'R&amp;S - Others'!$C$15)*('Yearly HC Propylene'!V$3-'Yearly HC Propylene'!$N$3)/10)</f>
        <v>8979.43337539194</v>
      </c>
      <c r="W34" s="613">
        <f>W32*'R&amp;S - Others'!$B$8*'R&amp;S - Others'!$B$11*('R&amp;S - Others'!$C$15+('R&amp;S - Others'!$C$16-'R&amp;S - Others'!$C$15)*('Yearly HC Propylene'!W$3-'Yearly HC Propylene'!$N$3)/10)</f>
        <v>9344.0566670589487</v>
      </c>
      <c r="X34" s="613">
        <f>X32*'R&amp;S - Others'!$B$8*'R&amp;S - Others'!$B$11*('R&amp;S - Others'!$C$15+('R&amp;S - Others'!$C$16-'R&amp;S - Others'!$C$15)*('Yearly HC Propylene'!X$3-'Yearly HC Propylene'!$N$3)/10)</f>
        <v>9692.1479673417361</v>
      </c>
      <c r="Y34" s="613">
        <f>Y32*'R&amp;S - Others'!$B$8*'R&amp;S - Others'!$B$11*('R&amp;S - Others'!$C$16+('R&amp;S - Others'!$C$17-'R&amp;S - Others'!$C$16)*('Yearly HC Propylene'!Y$3-'Yearly HC Propylene'!$X$3)/10)</f>
        <v>10037.767728664599</v>
      </c>
      <c r="Z34" s="613">
        <f>Z32*'R&amp;S - Others'!$B$8*'R&amp;S - Others'!$B$11*('R&amp;S - Others'!$C$16+('R&amp;S - Others'!$C$17-'R&amp;S - Others'!$C$16)*('Yearly HC Propylene'!Z$3-'Yearly HC Propylene'!$X$3)/10)</f>
        <v>10365.589798753146</v>
      </c>
      <c r="AA34" s="613">
        <f>AA32*'R&amp;S - Others'!$B$8*'R&amp;S - Others'!$B$11*('R&amp;S - Others'!$C$16+('R&amp;S - Others'!$C$17-'R&amp;S - Others'!$C$16)*('Yearly HC Propylene'!AA$3-'Yearly HC Propylene'!$X$3)/10)</f>
        <v>10675.181454299813</v>
      </c>
      <c r="AB34" s="613">
        <f>AB32*'R&amp;S - Others'!$B$8*'R&amp;S - Others'!$B$11*('R&amp;S - Others'!$C$16+('R&amp;S - Others'!$C$17-'R&amp;S - Others'!$C$16)*('Yearly HC Propylene'!AB$3-'Yearly HC Propylene'!$X$3)/10)</f>
        <v>10966.100402937347</v>
      </c>
      <c r="AC34" s="613">
        <f>AC32*'R&amp;S - Others'!$B$8*'R&amp;S - Others'!$B$11*('R&amp;S - Others'!$C$16+('R&amp;S - Others'!$C$17-'R&amp;S - Others'!$C$16)*('Yearly HC Propylene'!AC$3-'Yearly HC Propylene'!$X$3)/10)</f>
        <v>11237.894582947822</v>
      </c>
      <c r="AD34" s="613">
        <f>AD32*'R&amp;S - Others'!$B$8*'R&amp;S - Others'!$B$11*('R&amp;S - Others'!$C$16+('R&amp;S - Others'!$C$17-'R&amp;S - Others'!$C$16)*('Yearly HC Propylene'!AD$3-'Yearly HC Propylene'!$X$3)/10)</f>
        <v>11490.101958927173</v>
      </c>
      <c r="AE34" s="613">
        <f>AE32*'R&amp;S - Others'!$B$8*'R&amp;S - Others'!$B$11*('R&amp;S - Others'!$C$16+('R&amp;S - Others'!$C$17-'R&amp;S - Others'!$C$16)*('Yearly HC Propylene'!AE$3-'Yearly HC Propylene'!$X$3)/10)</f>
        <v>11722.25031332576</v>
      </c>
      <c r="AF34" s="613">
        <f>AF32*'R&amp;S - Others'!$B$8*'R&amp;S - Others'!$B$11*('R&amp;S - Others'!$C$16+('R&amp;S - Others'!$C$17-'R&amp;S - Others'!$C$16)*('Yearly HC Propylene'!AF$3-'Yearly HC Propylene'!$X$3)/10)</f>
        <v>11933.857033783603</v>
      </c>
      <c r="AG34" s="613">
        <f>AG32*'R&amp;S - Others'!$B$8*'R&amp;S - Others'!$B$11*('R&amp;S - Others'!$C$16+('R&amp;S - Others'!$C$17-'R&amp;S - Others'!$C$16)*('Yearly HC Propylene'!AG$3-'Yearly HC Propylene'!$X$3)/10)</f>
        <v>12124.428896177722</v>
      </c>
      <c r="AH34" s="613">
        <f>AH32*'R&amp;S - Others'!$B$8*'R&amp;S - Others'!$B$11*('R&amp;S - Others'!$C$16+('R&amp;S - Others'!$C$17-'R&amp;S - Others'!$C$16)*('Yearly HC Propylene'!AH$3-'Yearly HC Propylene'!$X$3)/10)</f>
        <v>12293.461843297169</v>
      </c>
    </row>
    <row r="35" spans="1:34" s="169" customFormat="1">
      <c r="A35" s="167"/>
      <c r="B35" s="167" t="s">
        <v>195</v>
      </c>
      <c r="C35" s="168" t="s">
        <v>166</v>
      </c>
      <c r="D35" s="627">
        <f>D32-D33-D34</f>
        <v>368256.49460398941</v>
      </c>
      <c r="E35" s="627">
        <f t="shared" ref="E35:AG35" si="10">E32-E33-E34</f>
        <v>362685.69282758463</v>
      </c>
      <c r="F35" s="627">
        <f t="shared" si="10"/>
        <v>357103.58796224702</v>
      </c>
      <c r="G35" s="627">
        <f t="shared" si="10"/>
        <v>351510.34856865701</v>
      </c>
      <c r="H35" s="627">
        <f t="shared" si="10"/>
        <v>345906.15220515075</v>
      </c>
      <c r="I35" s="627">
        <f t="shared" si="10"/>
        <v>340291.18568492663</v>
      </c>
      <c r="J35" s="627">
        <f t="shared" si="10"/>
        <v>334665.64533939585</v>
      </c>
      <c r="K35" s="627">
        <f t="shared" si="10"/>
        <v>329029.73728781322</v>
      </c>
      <c r="L35" s="627">
        <f t="shared" si="10"/>
        <v>323383.67771332327</v>
      </c>
      <c r="M35" s="627">
        <f t="shared" si="10"/>
        <v>317727.69314556493</v>
      </c>
      <c r="N35" s="627">
        <f t="shared" si="10"/>
        <v>312062.02074997465</v>
      </c>
      <c r="O35" s="627">
        <f t="shared" si="10"/>
        <v>306386.90862393699</v>
      </c>
      <c r="P35" s="627">
        <f t="shared" si="10"/>
        <v>300702.6160999299</v>
      </c>
      <c r="Q35" s="627">
        <f t="shared" si="10"/>
        <v>295009.41405581747</v>
      </c>
      <c r="R35" s="627">
        <f t="shared" si="10"/>
        <v>289307.58523244597</v>
      </c>
      <c r="S35" s="627">
        <f t="shared" si="10"/>
        <v>283597.42455870245</v>
      </c>
      <c r="T35" s="627">
        <f t="shared" si="10"/>
        <v>277879.23948419455</v>
      </c>
      <c r="U35" s="627">
        <f t="shared" si="10"/>
        <v>272153.35031972191</v>
      </c>
      <c r="V35" s="627">
        <f t="shared" si="10"/>
        <v>266420.09058570291</v>
      </c>
      <c r="W35" s="627">
        <f t="shared" si="10"/>
        <v>260679.80736873223</v>
      </c>
      <c r="X35" s="627">
        <f t="shared" si="10"/>
        <v>254932.86168644318</v>
      </c>
      <c r="Y35" s="627">
        <f t="shared" si="10"/>
        <v>249121.77429181416</v>
      </c>
      <c r="Z35" s="627">
        <f t="shared" si="10"/>
        <v>243306.59132018371</v>
      </c>
      <c r="AA35" s="627">
        <f t="shared" si="10"/>
        <v>237487.76379696905</v>
      </c>
      <c r="AB35" s="627">
        <f t="shared" si="10"/>
        <v>231665.75926607338</v>
      </c>
      <c r="AC35" s="627">
        <f t="shared" si="10"/>
        <v>225841.06222116822</v>
      </c>
      <c r="AD35" s="627">
        <f t="shared" si="10"/>
        <v>220014.1745468647</v>
      </c>
      <c r="AE35" s="627">
        <f t="shared" si="10"/>
        <v>214185.61596998779</v>
      </c>
      <c r="AF35" s="627">
        <f t="shared" si="10"/>
        <v>208355.9245211661</v>
      </c>
      <c r="AG35" s="627">
        <f t="shared" si="10"/>
        <v>202525.65700696036</v>
      </c>
      <c r="AH35" s="627">
        <f>AH32-AH33-AH34</f>
        <v>196695.38949275471</v>
      </c>
    </row>
    <row r="36" spans="1:34" s="62" customFormat="1" outlineLevel="1">
      <c r="B36" s="55" t="s">
        <v>193</v>
      </c>
      <c r="C36" s="56" t="s">
        <v>166</v>
      </c>
      <c r="D36" s="630">
        <v>0</v>
      </c>
      <c r="E36" s="630">
        <v>0</v>
      </c>
      <c r="F36" s="630">
        <v>0</v>
      </c>
      <c r="G36" s="630">
        <v>0</v>
      </c>
      <c r="H36" s="630">
        <v>0</v>
      </c>
      <c r="I36" s="630">
        <v>0</v>
      </c>
      <c r="J36" s="630">
        <v>0</v>
      </c>
      <c r="K36" s="630">
        <v>0</v>
      </c>
      <c r="L36" s="630">
        <v>0</v>
      </c>
      <c r="M36" s="630">
        <v>0</v>
      </c>
      <c r="N36" s="630">
        <v>0</v>
      </c>
      <c r="O36" s="630">
        <v>0</v>
      </c>
      <c r="P36" s="630">
        <v>0</v>
      </c>
      <c r="Q36" s="630">
        <v>0</v>
      </c>
      <c r="R36" s="630">
        <v>0</v>
      </c>
      <c r="S36" s="630">
        <v>0</v>
      </c>
      <c r="T36" s="630">
        <v>0</v>
      </c>
      <c r="U36" s="630">
        <v>0</v>
      </c>
      <c r="V36" s="630">
        <v>0</v>
      </c>
      <c r="W36" s="630">
        <v>0</v>
      </c>
      <c r="X36" s="630">
        <v>0</v>
      </c>
      <c r="Y36" s="630">
        <v>0</v>
      </c>
      <c r="Z36" s="630">
        <v>0</v>
      </c>
      <c r="AA36" s="630">
        <v>0</v>
      </c>
      <c r="AB36" s="630">
        <v>0</v>
      </c>
      <c r="AC36" s="630">
        <v>0</v>
      </c>
      <c r="AD36" s="630">
        <v>0</v>
      </c>
      <c r="AE36" s="630">
        <v>0</v>
      </c>
      <c r="AF36" s="630">
        <v>0</v>
      </c>
      <c r="AG36" s="630">
        <v>0</v>
      </c>
      <c r="AH36" s="630">
        <v>0</v>
      </c>
    </row>
    <row r="37" spans="1:34" outlineLevel="1">
      <c r="B37" s="1" t="s">
        <v>194</v>
      </c>
      <c r="C37" s="51" t="s">
        <v>166</v>
      </c>
      <c r="D37" s="196">
        <v>0</v>
      </c>
      <c r="E37" s="196">
        <v>0</v>
      </c>
      <c r="F37" s="196">
        <v>0</v>
      </c>
      <c r="G37" s="196">
        <v>0</v>
      </c>
      <c r="H37" s="196">
        <v>0</v>
      </c>
      <c r="I37" s="196">
        <v>0</v>
      </c>
      <c r="J37" s="196">
        <v>0</v>
      </c>
      <c r="K37" s="196">
        <v>0</v>
      </c>
      <c r="L37" s="196">
        <v>0</v>
      </c>
      <c r="M37" s="196">
        <v>0</v>
      </c>
      <c r="N37" s="196">
        <v>0</v>
      </c>
      <c r="O37" s="196">
        <v>0</v>
      </c>
      <c r="P37" s="196">
        <v>0</v>
      </c>
      <c r="Q37" s="196">
        <v>0</v>
      </c>
      <c r="R37" s="196">
        <v>0</v>
      </c>
      <c r="S37" s="196">
        <v>0</v>
      </c>
      <c r="T37" s="196">
        <v>0</v>
      </c>
      <c r="U37" s="196">
        <v>0</v>
      </c>
      <c r="V37" s="196">
        <v>0</v>
      </c>
      <c r="W37" s="196">
        <v>0</v>
      </c>
      <c r="X37" s="196">
        <v>0</v>
      </c>
      <c r="Y37" s="196">
        <v>0</v>
      </c>
      <c r="Z37" s="196">
        <v>0</v>
      </c>
      <c r="AA37" s="196">
        <v>0</v>
      </c>
      <c r="AB37" s="196">
        <v>0</v>
      </c>
      <c r="AC37" s="196">
        <v>0</v>
      </c>
      <c r="AD37" s="196">
        <v>0</v>
      </c>
      <c r="AE37" s="196">
        <v>0</v>
      </c>
      <c r="AF37" s="196">
        <v>0</v>
      </c>
      <c r="AG37" s="196">
        <v>0</v>
      </c>
      <c r="AH37" s="196">
        <v>0</v>
      </c>
    </row>
    <row r="38" spans="1:34" s="63" customFormat="1">
      <c r="A38" s="59" t="s">
        <v>192</v>
      </c>
      <c r="B38" s="59" t="s">
        <v>225</v>
      </c>
      <c r="C38" s="60" t="s">
        <v>166</v>
      </c>
      <c r="D38" s="636">
        <f>D36+D37</f>
        <v>0</v>
      </c>
      <c r="E38" s="636">
        <f t="shared" ref="E38:AH38" si="11">E36+E37</f>
        <v>0</v>
      </c>
      <c r="F38" s="636">
        <f t="shared" si="11"/>
        <v>0</v>
      </c>
      <c r="G38" s="636">
        <f t="shared" si="11"/>
        <v>0</v>
      </c>
      <c r="H38" s="636">
        <f t="shared" si="11"/>
        <v>0</v>
      </c>
      <c r="I38" s="636">
        <f t="shared" si="11"/>
        <v>0</v>
      </c>
      <c r="J38" s="636">
        <f t="shared" si="11"/>
        <v>0</v>
      </c>
      <c r="K38" s="636">
        <f t="shared" si="11"/>
        <v>0</v>
      </c>
      <c r="L38" s="636">
        <f t="shared" si="11"/>
        <v>0</v>
      </c>
      <c r="M38" s="636">
        <f t="shared" si="11"/>
        <v>0</v>
      </c>
      <c r="N38" s="636">
        <f t="shared" si="11"/>
        <v>0</v>
      </c>
      <c r="O38" s="636">
        <f t="shared" si="11"/>
        <v>0</v>
      </c>
      <c r="P38" s="636">
        <f t="shared" si="11"/>
        <v>0</v>
      </c>
      <c r="Q38" s="636">
        <f t="shared" si="11"/>
        <v>0</v>
      </c>
      <c r="R38" s="636">
        <f t="shared" si="11"/>
        <v>0</v>
      </c>
      <c r="S38" s="636">
        <f t="shared" si="11"/>
        <v>0</v>
      </c>
      <c r="T38" s="636">
        <f t="shared" si="11"/>
        <v>0</v>
      </c>
      <c r="U38" s="636">
        <f t="shared" si="11"/>
        <v>0</v>
      </c>
      <c r="V38" s="636">
        <f t="shared" si="11"/>
        <v>0</v>
      </c>
      <c r="W38" s="636">
        <f t="shared" si="11"/>
        <v>0</v>
      </c>
      <c r="X38" s="636">
        <f t="shared" si="11"/>
        <v>0</v>
      </c>
      <c r="Y38" s="636">
        <f t="shared" si="11"/>
        <v>0</v>
      </c>
      <c r="Z38" s="636">
        <f t="shared" si="11"/>
        <v>0</v>
      </c>
      <c r="AA38" s="636">
        <f t="shared" si="11"/>
        <v>0</v>
      </c>
      <c r="AB38" s="636">
        <f t="shared" si="11"/>
        <v>0</v>
      </c>
      <c r="AC38" s="636">
        <f t="shared" si="11"/>
        <v>0</v>
      </c>
      <c r="AD38" s="636">
        <f t="shared" si="11"/>
        <v>0</v>
      </c>
      <c r="AE38" s="636">
        <f t="shared" si="11"/>
        <v>0</v>
      </c>
      <c r="AF38" s="636">
        <f t="shared" si="11"/>
        <v>0</v>
      </c>
      <c r="AG38" s="636">
        <f t="shared" si="11"/>
        <v>0</v>
      </c>
      <c r="AH38" s="636">
        <f t="shared" si="11"/>
        <v>0</v>
      </c>
    </row>
    <row r="39" spans="1:34">
      <c r="A39" s="1" t="s">
        <v>78</v>
      </c>
      <c r="B39" s="1" t="s">
        <v>164</v>
      </c>
      <c r="C39" s="51" t="s">
        <v>166</v>
      </c>
      <c r="D39" s="633">
        <f>D11+D17+D23+D29+D33</f>
        <v>0</v>
      </c>
      <c r="E39" s="633">
        <f t="shared" ref="E39:AH39" si="12">E11+E17+E23+E29+E33</f>
        <v>6764.4883332090703</v>
      </c>
      <c r="F39" s="633">
        <f t="shared" si="12"/>
        <v>13533.367502316911</v>
      </c>
      <c r="G39" s="633">
        <f t="shared" si="12"/>
        <v>20306.770759610521</v>
      </c>
      <c r="H39" s="633">
        <f t="shared" si="12"/>
        <v>27084.834491551606</v>
      </c>
      <c r="I39" s="633">
        <f t="shared" si="12"/>
        <v>33867.698279961092</v>
      </c>
      <c r="J39" s="633">
        <f t="shared" si="12"/>
        <v>40655.504964181499</v>
      </c>
      <c r="K39" s="633">
        <f t="shared" si="12"/>
        <v>47448.400704228014</v>
      </c>
      <c r="L39" s="633">
        <f t="shared" si="12"/>
        <v>54246.535044939039</v>
      </c>
      <c r="M39" s="633">
        <f t="shared" si="12"/>
        <v>61050.060981137198</v>
      </c>
      <c r="N39" s="633">
        <f t="shared" si="12"/>
        <v>67859.135023811497</v>
      </c>
      <c r="O39" s="633">
        <f t="shared" si="12"/>
        <v>78519.368387893366</v>
      </c>
      <c r="P39" s="633">
        <f t="shared" si="12"/>
        <v>89273.451088055066</v>
      </c>
      <c r="Q39" s="633">
        <f t="shared" si="12"/>
        <v>100123.50727607767</v>
      </c>
      <c r="R39" s="633">
        <f t="shared" si="12"/>
        <v>111071.69336481378</v>
      </c>
      <c r="S39" s="633">
        <f t="shared" si="12"/>
        <v>122120.1981677554</v>
      </c>
      <c r="T39" s="633">
        <f t="shared" si="12"/>
        <v>133271.24302605682</v>
      </c>
      <c r="U39" s="633">
        <f t="shared" si="12"/>
        <v>144527.08192237472</v>
      </c>
      <c r="V39" s="633">
        <f t="shared" si="12"/>
        <v>155890.00158086495</v>
      </c>
      <c r="W39" s="633">
        <f t="shared" si="12"/>
        <v>167362.32155265362</v>
      </c>
      <c r="X39" s="633">
        <f t="shared" si="12"/>
        <v>178946.39428607808</v>
      </c>
      <c r="Y39" s="633">
        <f t="shared" si="12"/>
        <v>194708.89374370355</v>
      </c>
      <c r="Z39" s="633">
        <f t="shared" si="12"/>
        <v>210620.58137759822</v>
      </c>
      <c r="AA39" s="633">
        <f t="shared" si="12"/>
        <v>226681.45351469342</v>
      </c>
      <c r="AB39" s="633">
        <f t="shared" si="12"/>
        <v>242891.39306497114</v>
      </c>
      <c r="AC39" s="633">
        <f t="shared" si="12"/>
        <v>259250.16411772507</v>
      </c>
      <c r="AD39" s="633">
        <f t="shared" si="12"/>
        <v>275757.40635449928</v>
      </c>
      <c r="AE39" s="633">
        <f t="shared" si="12"/>
        <v>292412.62927338108</v>
      </c>
      <c r="AF39" s="633">
        <f t="shared" si="12"/>
        <v>309215.20621918229</v>
      </c>
      <c r="AG39" s="633">
        <f t="shared" si="12"/>
        <v>326164.36821389967</v>
      </c>
      <c r="AH39" s="633">
        <f t="shared" si="12"/>
        <v>343259.19758169609</v>
      </c>
    </row>
    <row r="40" spans="1:34">
      <c r="B40" s="1" t="s">
        <v>167</v>
      </c>
      <c r="C40" s="51" t="s">
        <v>166</v>
      </c>
      <c r="D40" s="633">
        <f>D12+D24+D30+D20+D34</f>
        <v>0</v>
      </c>
      <c r="E40" s="633">
        <f t="shared" ref="E40:AH40" si="13">E12+E24+E30+E20+E34</f>
        <v>1360.2278509738323</v>
      </c>
      <c r="F40" s="633">
        <f t="shared" si="13"/>
        <v>2709.8464904119037</v>
      </c>
      <c r="G40" s="633">
        <f t="shared" si="13"/>
        <v>4048.5853834200516</v>
      </c>
      <c r="H40" s="633">
        <f t="shared" si="13"/>
        <v>5376.1678629798462</v>
      </c>
      <c r="I40" s="633">
        <f t="shared" si="13"/>
        <v>6692.3109996409503</v>
      </c>
      <c r="J40" s="633">
        <f t="shared" si="13"/>
        <v>7996.7254685552016</v>
      </c>
      <c r="K40" s="633">
        <f t="shared" si="13"/>
        <v>9289.1154137996964</v>
      </c>
      <c r="L40" s="633">
        <f t="shared" si="13"/>
        <v>10569.178309935132</v>
      </c>
      <c r="M40" s="633">
        <f t="shared" si="13"/>
        <v>11836.604820744611</v>
      </c>
      <c r="N40" s="633">
        <f t="shared" si="13"/>
        <v>13091.078655097052</v>
      </c>
      <c r="O40" s="633">
        <f t="shared" si="13"/>
        <v>14332.276419878277</v>
      </c>
      <c r="P40" s="633">
        <f t="shared" si="13"/>
        <v>15315.971194609159</v>
      </c>
      <c r="Q40" s="633">
        <f t="shared" si="13"/>
        <v>16639.370803522204</v>
      </c>
      <c r="R40" s="633">
        <f t="shared" si="13"/>
        <v>17948.480035721997</v>
      </c>
      <c r="S40" s="633">
        <f t="shared" si="13"/>
        <v>19242.945558770909</v>
      </c>
      <c r="T40" s="633">
        <f t="shared" si="13"/>
        <v>20522.406156847286</v>
      </c>
      <c r="U40" s="633">
        <f t="shared" si="13"/>
        <v>21786.492564823504</v>
      </c>
      <c r="V40" s="633">
        <f t="shared" si="13"/>
        <v>23034.827298980897</v>
      </c>
      <c r="W40" s="633">
        <f t="shared" si="13"/>
        <v>24267.024484295314</v>
      </c>
      <c r="X40" s="633">
        <f t="shared" si="13"/>
        <v>25482.689678225513</v>
      </c>
      <c r="Y40" s="633">
        <f t="shared" si="13"/>
        <v>28784.680719708325</v>
      </c>
      <c r="Z40" s="633">
        <f t="shared" si="13"/>
        <v>29933.039544632073</v>
      </c>
      <c r="AA40" s="633">
        <f t="shared" si="13"/>
        <v>31063.167955013938</v>
      </c>
      <c r="AB40" s="633">
        <f t="shared" si="13"/>
        <v>32174.623658486675</v>
      </c>
      <c r="AC40" s="633">
        <f t="shared" si="13"/>
        <v>33266.954593332346</v>
      </c>
      <c r="AD40" s="633">
        <f t="shared" si="13"/>
        <v>34339.698724146896</v>
      </c>
      <c r="AE40" s="633">
        <f t="shared" si="13"/>
        <v>35392.383833380693</v>
      </c>
      <c r="AF40" s="633">
        <f t="shared" si="13"/>
        <v>36424.527308673729</v>
      </c>
      <c r="AG40" s="633">
        <f t="shared" si="13"/>
        <v>37435.635925903051</v>
      </c>
      <c r="AH40" s="633">
        <f t="shared" si="13"/>
        <v>38425.2056278577</v>
      </c>
    </row>
    <row r="41" spans="1:34">
      <c r="B41" s="1" t="s">
        <v>244</v>
      </c>
      <c r="C41" s="51" t="s">
        <v>166</v>
      </c>
      <c r="D41" s="633">
        <f>D38+D7</f>
        <v>0</v>
      </c>
      <c r="E41" s="633">
        <f t="shared" ref="E41:AH41" si="14">E38+E7</f>
        <v>378.22501018757015</v>
      </c>
      <c r="F41" s="633">
        <f t="shared" si="14"/>
        <v>769.30967072151759</v>
      </c>
      <c r="G41" s="633">
        <f t="shared" si="14"/>
        <v>1173.581902685675</v>
      </c>
      <c r="H41" s="633">
        <f t="shared" si="14"/>
        <v>1591.3770600417752</v>
      </c>
      <c r="I41" s="633">
        <f t="shared" si="14"/>
        <v>2023.0380875781063</v>
      </c>
      <c r="J41" s="633">
        <f t="shared" si="14"/>
        <v>2468.9156820803205</v>
      </c>
      <c r="K41" s="633">
        <f t="shared" si="14"/>
        <v>2929.3684567883001</v>
      </c>
      <c r="L41" s="633">
        <f t="shared" si="14"/>
        <v>3404.7631092042297</v>
      </c>
      <c r="M41" s="633">
        <f t="shared" si="14"/>
        <v>3895.4745923182895</v>
      </c>
      <c r="N41" s="633">
        <f t="shared" si="14"/>
        <v>4401.8862893196665</v>
      </c>
      <c r="O41" s="633">
        <f t="shared" si="14"/>
        <v>5595.8979452976246</v>
      </c>
      <c r="P41" s="633">
        <f t="shared" si="14"/>
        <v>6829.2338524412198</v>
      </c>
      <c r="Q41" s="633">
        <f t="shared" si="14"/>
        <v>8102.8859659215059</v>
      </c>
      <c r="R41" s="633">
        <f t="shared" si="14"/>
        <v>9417.86860267677</v>
      </c>
      <c r="S41" s="633">
        <f t="shared" si="14"/>
        <v>10775.218915037556</v>
      </c>
      <c r="T41" s="633">
        <f t="shared" si="14"/>
        <v>12175.997373992437</v>
      </c>
      <c r="U41" s="633">
        <f t="shared" si="14"/>
        <v>13621.288262285339</v>
      </c>
      <c r="V41" s="633">
        <f t="shared" si="14"/>
        <v>15112.200177539113</v>
      </c>
      <c r="W41" s="633">
        <f t="shared" si="14"/>
        <v>16649.866545603712</v>
      </c>
      <c r="X41" s="633">
        <f t="shared" si="14"/>
        <v>18235.446144331207</v>
      </c>
      <c r="Y41" s="633">
        <f t="shared" si="14"/>
        <v>19340.253674304186</v>
      </c>
      <c r="Z41" s="633">
        <f t="shared" si="14"/>
        <v>20477.354616360539</v>
      </c>
      <c r="AA41" s="633">
        <f t="shared" si="14"/>
        <v>21647.527657134928</v>
      </c>
      <c r="AB41" s="633">
        <f t="shared" si="14"/>
        <v>22851.56862581152</v>
      </c>
      <c r="AC41" s="633">
        <f t="shared" si="14"/>
        <v>24090.2908519302</v>
      </c>
      <c r="AD41" s="633">
        <f t="shared" si="14"/>
        <v>25364.525530404062</v>
      </c>
      <c r="AE41" s="633">
        <f t="shared" si="14"/>
        <v>26675.122093889822</v>
      </c>
      <c r="AF41" s="633">
        <f t="shared" si="14"/>
        <v>28022.948592655808</v>
      </c>
      <c r="AG41" s="633">
        <f t="shared" si="14"/>
        <v>29408.89208209471</v>
      </c>
      <c r="AH41" s="633">
        <f t="shared" si="14"/>
        <v>30833.859018031253</v>
      </c>
    </row>
    <row r="42" spans="1:34" s="64" customFormat="1">
      <c r="A42" s="64" t="s">
        <v>247</v>
      </c>
      <c r="C42" s="65" t="s">
        <v>166</v>
      </c>
      <c r="D42" s="648">
        <f>D4+D41-D39-D40</f>
        <v>1127444.3500000006</v>
      </c>
      <c r="E42" s="648">
        <f t="shared" ref="E42:AG42" si="15">E4+E41-E39-E40</f>
        <v>1119697.8588260051</v>
      </c>
      <c r="F42" s="648">
        <f t="shared" si="15"/>
        <v>1111970.4456779931</v>
      </c>
      <c r="G42" s="648">
        <f t="shared" si="15"/>
        <v>1104262.5757596556</v>
      </c>
      <c r="H42" s="648">
        <f t="shared" si="15"/>
        <v>1096574.7247055108</v>
      </c>
      <c r="I42" s="648">
        <f t="shared" si="15"/>
        <v>1088907.3788079766</v>
      </c>
      <c r="J42" s="648">
        <f t="shared" si="15"/>
        <v>1081261.0352493443</v>
      </c>
      <c r="K42" s="648">
        <f t="shared" si="15"/>
        <v>1073636.2023387612</v>
      </c>
      <c r="L42" s="648">
        <f t="shared" si="15"/>
        <v>1066033.3997543305</v>
      </c>
      <c r="M42" s="648">
        <f t="shared" si="15"/>
        <v>1058453.158790437</v>
      </c>
      <c r="N42" s="648">
        <f t="shared" si="15"/>
        <v>1050896.0226104115</v>
      </c>
      <c r="O42" s="648">
        <f t="shared" si="15"/>
        <v>1040188.6031375267</v>
      </c>
      <c r="P42" s="648">
        <f t="shared" si="15"/>
        <v>1029684.1615697775</v>
      </c>
      <c r="Q42" s="648">
        <f t="shared" si="15"/>
        <v>1018784.3578863222</v>
      </c>
      <c r="R42" s="648">
        <f t="shared" si="15"/>
        <v>1007842.0452021415</v>
      </c>
      <c r="S42" s="648">
        <f t="shared" si="15"/>
        <v>996856.42518851184</v>
      </c>
      <c r="T42" s="648">
        <f t="shared" si="15"/>
        <v>985826.69819108886</v>
      </c>
      <c r="U42" s="648">
        <f t="shared" si="15"/>
        <v>974752.06377508771</v>
      </c>
      <c r="V42" s="648">
        <f t="shared" si="15"/>
        <v>963631.7212976939</v>
      </c>
      <c r="W42" s="648">
        <f t="shared" si="15"/>
        <v>952464.87050865532</v>
      </c>
      <c r="X42" s="648">
        <f t="shared" si="15"/>
        <v>941250.7121800282</v>
      </c>
      <c r="Y42" s="648">
        <f t="shared" si="15"/>
        <v>923291.02921089274</v>
      </c>
      <c r="Z42" s="648">
        <f t="shared" si="15"/>
        <v>907368.08369413076</v>
      </c>
      <c r="AA42" s="648">
        <f t="shared" si="15"/>
        <v>891347.25618742814</v>
      </c>
      <c r="AB42" s="648">
        <f t="shared" si="15"/>
        <v>875229.90190235432</v>
      </c>
      <c r="AC42" s="648">
        <f t="shared" si="15"/>
        <v>859017.52214087325</v>
      </c>
      <c r="AD42" s="648">
        <f t="shared" si="15"/>
        <v>842711.77045175829</v>
      </c>
      <c r="AE42" s="648">
        <f t="shared" si="15"/>
        <v>826314.45898712869</v>
      </c>
      <c r="AF42" s="648">
        <f t="shared" si="15"/>
        <v>809827.56506480032</v>
      </c>
      <c r="AG42" s="648">
        <f t="shared" si="15"/>
        <v>793253.23794229247</v>
      </c>
      <c r="AH42" s="648">
        <f>AH4+AH41-AH39-AH40</f>
        <v>776593.80580847804</v>
      </c>
    </row>
    <row r="43" spans="1:34" s="62" customFormat="1">
      <c r="A43" s="55" t="s">
        <v>400</v>
      </c>
      <c r="B43" s="55" t="s">
        <v>195</v>
      </c>
      <c r="C43" s="95" t="s">
        <v>166</v>
      </c>
      <c r="D43" s="631">
        <f t="shared" ref="D43" si="16">D21</f>
        <v>435529.06307600881</v>
      </c>
      <c r="E43" s="631">
        <f t="shared" ref="E43:AH43" si="17">E21</f>
        <v>433335.30318529496</v>
      </c>
      <c r="F43" s="631">
        <f t="shared" si="17"/>
        <v>431141.54329458112</v>
      </c>
      <c r="G43" s="631">
        <f t="shared" si="17"/>
        <v>428947.78340386727</v>
      </c>
      <c r="H43" s="631">
        <f t="shared" si="17"/>
        <v>426754.02351315343</v>
      </c>
      <c r="I43" s="631">
        <f t="shared" si="17"/>
        <v>424560.26362243958</v>
      </c>
      <c r="J43" s="631">
        <f t="shared" si="17"/>
        <v>422366.50373172562</v>
      </c>
      <c r="K43" s="631">
        <f t="shared" si="17"/>
        <v>420172.74384101178</v>
      </c>
      <c r="L43" s="631">
        <f t="shared" si="17"/>
        <v>417978.98395029793</v>
      </c>
      <c r="M43" s="631">
        <f t="shared" si="17"/>
        <v>415785.22405958408</v>
      </c>
      <c r="N43" s="631">
        <f t="shared" si="17"/>
        <v>413591.46416887024</v>
      </c>
      <c r="O43" s="631">
        <f t="shared" si="17"/>
        <v>409993.12304973626</v>
      </c>
      <c r="P43" s="631">
        <f t="shared" si="17"/>
        <v>406638.67820592481</v>
      </c>
      <c r="Q43" s="631">
        <f t="shared" si="17"/>
        <v>402930.58376289567</v>
      </c>
      <c r="R43" s="631">
        <f t="shared" si="17"/>
        <v>399222.48931986652</v>
      </c>
      <c r="S43" s="631">
        <f t="shared" si="17"/>
        <v>395514.39487683738</v>
      </c>
      <c r="T43" s="631">
        <f t="shared" si="17"/>
        <v>391806.30043380824</v>
      </c>
      <c r="U43" s="631">
        <f t="shared" si="17"/>
        <v>388098.20599077916</v>
      </c>
      <c r="V43" s="631">
        <f t="shared" si="17"/>
        <v>384390.11154775001</v>
      </c>
      <c r="W43" s="631">
        <f t="shared" si="17"/>
        <v>380682.01710472087</v>
      </c>
      <c r="X43" s="631">
        <f t="shared" si="17"/>
        <v>376973.92266169173</v>
      </c>
      <c r="Y43" s="631">
        <f t="shared" si="17"/>
        <v>371194.88752373616</v>
      </c>
      <c r="Z43" s="631">
        <f t="shared" si="17"/>
        <v>367551.68691110535</v>
      </c>
      <c r="AA43" s="631">
        <f t="shared" si="17"/>
        <v>363908.48629847454</v>
      </c>
      <c r="AB43" s="631">
        <f t="shared" si="17"/>
        <v>360265.28568584373</v>
      </c>
      <c r="AC43" s="631">
        <f t="shared" si="17"/>
        <v>356622.08507321292</v>
      </c>
      <c r="AD43" s="631">
        <f t="shared" si="17"/>
        <v>352978.88446058211</v>
      </c>
      <c r="AE43" s="631">
        <f t="shared" si="17"/>
        <v>349335.6838479513</v>
      </c>
      <c r="AF43" s="631">
        <f t="shared" si="17"/>
        <v>345692.48323532043</v>
      </c>
      <c r="AG43" s="631">
        <f t="shared" si="17"/>
        <v>342049.28262268967</v>
      </c>
      <c r="AH43" s="631">
        <f t="shared" si="17"/>
        <v>338406.08201005886</v>
      </c>
    </row>
    <row r="44" spans="1:34" outlineLevel="1">
      <c r="A44"/>
      <c r="B44" t="s">
        <v>262</v>
      </c>
      <c r="C44" s="51" t="s">
        <v>166</v>
      </c>
      <c r="D44" s="196">
        <f>0</f>
        <v>0</v>
      </c>
      <c r="E44" s="196">
        <f>'Propylene Recycling HC'!D60*'Propylene Recycling HC'!D42-'Propylene Recycling HC'!$C$60*'Propylene Recycling HC'!$C$42</f>
        <v>1153.053646510305</v>
      </c>
      <c r="F44" s="196">
        <f>'Propylene Recycling HC'!E60*'Propylene Recycling HC'!E42-'Propylene Recycling HC'!$C$60*'Propylene Recycling HC'!$C$42</f>
        <v>2335.4569822892518</v>
      </c>
      <c r="G44" s="196">
        <f>'Propylene Recycling HC'!F60*'Propylene Recycling HC'!F42-'Propylene Recycling HC'!$C$60*'Propylene Recycling HC'!$C$42</f>
        <v>3546.5735452319514</v>
      </c>
      <c r="H44" s="196">
        <f>'Propylene Recycling HC'!G60*'Propylene Recycling HC'!G42-'Propylene Recycling HC'!$C$60*'Propylene Recycling HC'!$C$42</f>
        <v>4785.7668732335205</v>
      </c>
      <c r="I44" s="196">
        <f>'Propylene Recycling HC'!H60*'Propylene Recycling HC'!H42-'Propylene Recycling HC'!$C$60*'Propylene Recycling HC'!$C$42</f>
        <v>6052.4005041890687</v>
      </c>
      <c r="J44" s="196">
        <f>'Propylene Recycling HC'!I60*'Propylene Recycling HC'!I42-'Propylene Recycling HC'!$C$60*'Propylene Recycling HC'!$C$42</f>
        <v>7345.8379759937143</v>
      </c>
      <c r="K44" s="196">
        <f>'Propylene Recycling HC'!J60*'Propylene Recycling HC'!J42-'Propylene Recycling HC'!$C$60*'Propylene Recycling HC'!$C$42</f>
        <v>8665.4428265425686</v>
      </c>
      <c r="L44" s="196">
        <f>'Propylene Recycling HC'!K60*'Propylene Recycling HC'!K42-'Propylene Recycling HC'!$C$60*'Propylene Recycling HC'!$C$42</f>
        <v>10010.57859373075</v>
      </c>
      <c r="M44" s="196">
        <f>'Propylene Recycling HC'!L60*'Propylene Recycling HC'!L42-'Propylene Recycling HC'!$C$60*'Propylene Recycling HC'!$C$42</f>
        <v>11380.60881545337</v>
      </c>
      <c r="N44" s="196">
        <f>'Propylene Recycling HC'!M60*'Propylene Recycling HC'!M42-'Propylene Recycling HC'!$C$60*'Propylene Recycling HC'!$C$42</f>
        <v>12774.897029605536</v>
      </c>
      <c r="O44" s="196">
        <f>'Propylene Recycling HC'!N60*'Propylene Recycling HC'!N42-'Propylene Recycling HC'!$C$60*'Propylene Recycling HC'!$C$42</f>
        <v>15060.694301364021</v>
      </c>
      <c r="P44" s="196">
        <f>'Propylene Recycling HC'!O60*'Propylene Recycling HC'!O42-'Propylene Recycling HC'!$C$60*'Propylene Recycling HC'!$C$42</f>
        <v>17395.647333455359</v>
      </c>
      <c r="Q44" s="196">
        <f>'Propylene Recycling HC'!P60*'Propylene Recycling HC'!P42-'Propylene Recycling HC'!$C$60*'Propylene Recycling HC'!$C$42</f>
        <v>19733.756406035842</v>
      </c>
      <c r="R44" s="196">
        <f>'Propylene Recycling HC'!Q60*'Propylene Recycling HC'!Q42-'Propylene Recycling HC'!$C$60*'Propylene Recycling HC'!$C$42</f>
        <v>22097.301464024393</v>
      </c>
      <c r="S44" s="196">
        <f>'Propylene Recycling HC'!R60*'Propylene Recycling HC'!R42-'Propylene Recycling HC'!$C$60*'Propylene Recycling HC'!$C$42</f>
        <v>24484.231750894185</v>
      </c>
      <c r="T44" s="196">
        <f>'Propylene Recycling HC'!S60*'Propylene Recycling HC'!S42-'Propylene Recycling HC'!$C$60*'Propylene Recycling HC'!$C$42</f>
        <v>26892.496510118377</v>
      </c>
      <c r="U44" s="196">
        <f>'Propylene Recycling HC'!T60*'Propylene Recycling HC'!T42-'Propylene Recycling HC'!$C$60*'Propylene Recycling HC'!$C$42</f>
        <v>29320.044985170163</v>
      </c>
      <c r="V44" s="196">
        <f>'Propylene Recycling HC'!U60*'Propylene Recycling HC'!U42-'Propylene Recycling HC'!$C$60*'Propylene Recycling HC'!$C$42</f>
        <v>31764.82641952268</v>
      </c>
      <c r="W44" s="196">
        <f>'Propylene Recycling HC'!V60*'Propylene Recycling HC'!V42-'Propylene Recycling HC'!$C$60*'Propylene Recycling HC'!$C$42</f>
        <v>34224.790056649101</v>
      </c>
      <c r="X44" s="196">
        <f>'Propylene Recycling HC'!W60*'Propylene Recycling HC'!W42-'Propylene Recycling HC'!$C$60*'Propylene Recycling HC'!$C$42</f>
        <v>36697.885140022598</v>
      </c>
      <c r="Y44" s="196">
        <f>'Propylene Recycling HC'!X60*'Propylene Recycling HC'!X42-'Propylene Recycling HC'!$C$60*'Propylene Recycling HC'!$C$42</f>
        <v>40569.393880440381</v>
      </c>
      <c r="Z44" s="196">
        <f>'Propylene Recycling HC'!Y60*'Propylene Recycling HC'!Y42-'Propylene Recycling HC'!$C$60*'Propylene Recycling HC'!$C$42</f>
        <v>44752.389096714709</v>
      </c>
      <c r="AA44" s="196">
        <f>'Propylene Recycling HC'!Z60*'Propylene Recycling HC'!Z42-'Propylene Recycling HC'!$C$60*'Propylene Recycling HC'!$C$42</f>
        <v>48960.895721286579</v>
      </c>
      <c r="AB44" s="196">
        <f>'Propylene Recycling HC'!AA60*'Propylene Recycling HC'!AA42-'Propylene Recycling HC'!$C$60*'Propylene Recycling HC'!$C$42</f>
        <v>53191.343103628671</v>
      </c>
      <c r="AC44" s="196">
        <f>'Propylene Recycling HC'!AB60*'Propylene Recycling HC'!AB42-'Propylene Recycling HC'!$C$60*'Propylene Recycling HC'!$C$42</f>
        <v>57440.160593213666</v>
      </c>
      <c r="AD44" s="196">
        <f>'Propylene Recycling HC'!AC60*'Propylene Recycling HC'!AC42-'Propylene Recycling HC'!$C$60*'Propylene Recycling HC'!$C$42</f>
        <v>61703.777539514245</v>
      </c>
      <c r="AE44" s="196">
        <f>'Propylene Recycling HC'!AD60*'Propylene Recycling HC'!AD42-'Propylene Recycling HC'!$C$60*'Propylene Recycling HC'!$C$42</f>
        <v>65978.623292003103</v>
      </c>
      <c r="AF44" s="196">
        <f>'Propylene Recycling HC'!AE60*'Propylene Recycling HC'!AE42-'Propylene Recycling HC'!$C$60*'Propylene Recycling HC'!$C$42</f>
        <v>70261.127200152929</v>
      </c>
      <c r="AG44" s="196">
        <f>'Propylene Recycling HC'!AF60*'Propylene Recycling HC'!AF42-'Propylene Recycling HC'!$C$60*'Propylene Recycling HC'!$C$42</f>
        <v>74547.718613436387</v>
      </c>
      <c r="AH44" s="196">
        <f>'Propylene Recycling HC'!AG60*'Propylene Recycling HC'!AG42-'Propylene Recycling HC'!$C$60*'Propylene Recycling HC'!$C$42</f>
        <v>78834.826881326371</v>
      </c>
    </row>
    <row r="45" spans="1:34" outlineLevel="1">
      <c r="A45"/>
      <c r="B45" s="169" t="s">
        <v>265</v>
      </c>
      <c r="C45" s="51" t="s">
        <v>166</v>
      </c>
      <c r="D45" s="196">
        <f>0</f>
        <v>0</v>
      </c>
      <c r="E45" s="196">
        <f>'Propylene Recycling HC'!D87*'Propylene Recycling HC'!D43-'Propylene Recycling HC'!$C$87*'Propylene Recycling HC'!$C$43</f>
        <v>117.85987879922567</v>
      </c>
      <c r="F45" s="196">
        <f>'Propylene Recycling HC'!E87*'Propylene Recycling HC'!E43-'Propylene Recycling HC'!$C$87*'Propylene Recycling HC'!$C$43</f>
        <v>232.68894121799116</v>
      </c>
      <c r="G45" s="196">
        <f>'Propylene Recycling HC'!F87*'Propylene Recycling HC'!F43-'Propylene Recycling HC'!$C$87*'Propylene Recycling HC'!$C$43</f>
        <v>344.50471453297297</v>
      </c>
      <c r="H45" s="196">
        <f>'Propylene Recycling HC'!G87*'Propylene Recycling HC'!G43-'Propylene Recycling HC'!$C$87*'Propylene Recycling HC'!$C$43</f>
        <v>453.32472602084641</v>
      </c>
      <c r="I45" s="196">
        <f>'Propylene Recycling HC'!H87*'Propylene Recycling HC'!H43-'Propylene Recycling HC'!$C$87*'Propylene Recycling HC'!$C$43</f>
        <v>559.16650295828777</v>
      </c>
      <c r="J45" s="196">
        <f>'Propylene Recycling HC'!I87*'Propylene Recycling HC'!I43-'Propylene Recycling HC'!$C$87*'Propylene Recycling HC'!$C$43</f>
        <v>662.04757262197222</v>
      </c>
      <c r="K45" s="196">
        <f>'Propylene Recycling HC'!J87*'Propylene Recycling HC'!J43-'Propylene Recycling HC'!$C$87*'Propylene Recycling HC'!$C$43</f>
        <v>761.98546228857663</v>
      </c>
      <c r="L45" s="196">
        <f>'Propylene Recycling HC'!K87*'Propylene Recycling HC'!K43-'Propylene Recycling HC'!$C$87*'Propylene Recycling HC'!$C$43</f>
        <v>858.99769923477652</v>
      </c>
      <c r="M45" s="196">
        <f>'Propylene Recycling HC'!L87*'Propylene Recycling HC'!L43-'Propylene Recycling HC'!$C$87*'Propylene Recycling HC'!$C$43</f>
        <v>953.10181073724766</v>
      </c>
      <c r="N45" s="196">
        <f>'Propylene Recycling HC'!M87*'Propylene Recycling HC'!M43-'Propylene Recycling HC'!$C$87*'Propylene Recycling HC'!$C$43</f>
        <v>1044.3153240726651</v>
      </c>
      <c r="O45" s="196">
        <f>'Propylene Recycling HC'!N87*'Propylene Recycling HC'!N43-'Propylene Recycling HC'!$C$87*'Propylene Recycling HC'!$C$43</f>
        <v>1231.1280946858237</v>
      </c>
      <c r="P45" s="196">
        <f>'Propylene Recycling HC'!O87*'Propylene Recycling HC'!O43-'Propylene Recycling HC'!$C$87*'Propylene Recycling HC'!$C$43</f>
        <v>1412.4244936783134</v>
      </c>
      <c r="Q45" s="196">
        <f>'Propylene Recycling HC'!P87*'Propylene Recycling HC'!P43-'Propylene Recycling HC'!$C$87*'Propylene Recycling HC'!$C$43</f>
        <v>1581.2185230497673</v>
      </c>
      <c r="R45" s="196">
        <f>'Propylene Recycling HC'!Q87*'Propylene Recycling HC'!Q43-'Propylene Recycling HC'!$C$87*'Propylene Recycling HC'!$C$43</f>
        <v>1743.3861208644828</v>
      </c>
      <c r="S45" s="196">
        <f>'Propylene Recycling HC'!R87*'Propylene Recycling HC'!R43-'Propylene Recycling HC'!$C$87*'Propylene Recycling HC'!$C$43</f>
        <v>1899.0124161932183</v>
      </c>
      <c r="T45" s="196">
        <f>'Propylene Recycling HC'!S87*'Propylene Recycling HC'!S43-'Propylene Recycling HC'!$C$87*'Propylene Recycling HC'!$C$43</f>
        <v>2048.1823835624746</v>
      </c>
      <c r="U45" s="196">
        <f>'Propylene Recycling HC'!T87*'Propylene Recycling HC'!T43-'Propylene Recycling HC'!$C$87*'Propylene Recycling HC'!$C$43</f>
        <v>2190.9808359477511</v>
      </c>
      <c r="V45" s="196">
        <f>'Propylene Recycling HC'!U87*'Propylene Recycling HC'!U43-'Propylene Recycling HC'!$C$87*'Propylene Recycling HC'!$C$43</f>
        <v>2327.4924178223705</v>
      </c>
      <c r="W45" s="196">
        <f>'Propylene Recycling HC'!V87*'Propylene Recycling HC'!V43-'Propylene Recycling HC'!$C$87*'Propylene Recycling HC'!$C$43</f>
        <v>2457.8015982618699</v>
      </c>
      <c r="X45" s="196">
        <f>'Propylene Recycling HC'!W87*'Propylene Recycling HC'!W43-'Propylene Recycling HC'!$C$87*'Propylene Recycling HC'!$C$43</f>
        <v>2581.9926641039706</v>
      </c>
      <c r="Y45" s="196">
        <f>'Propylene Recycling HC'!X87*'Propylene Recycling HC'!X43-'Propylene Recycling HC'!$C$87*'Propylene Recycling HC'!$C$43</f>
        <v>2834.5785169311971</v>
      </c>
      <c r="Z45" s="196">
        <f>'Propylene Recycling HC'!Y87*'Propylene Recycling HC'!Y43-'Propylene Recycling HC'!$C$87*'Propylene Recycling HC'!$C$43</f>
        <v>3076.2445922263128</v>
      </c>
      <c r="AA45" s="196">
        <f>'Propylene Recycling HC'!Z87*'Propylene Recycling HC'!Z43-'Propylene Recycling HC'!$C$87*'Propylene Recycling HC'!$C$43</f>
        <v>3276.075508997309</v>
      </c>
      <c r="AB45" s="196">
        <f>'Propylene Recycling HC'!AA87*'Propylene Recycling HC'!AA43-'Propylene Recycling HC'!$C$87*'Propylene Recycling HC'!$C$43</f>
        <v>3461.3344012384941</v>
      </c>
      <c r="AC45" s="196">
        <f>'Propylene Recycling HC'!AB87*'Propylene Recycling HC'!AB43-'Propylene Recycling HC'!$C$87*'Propylene Recycling HC'!$C$43</f>
        <v>3632.3790097645992</v>
      </c>
      <c r="AD45" s="196">
        <f>'Propylene Recycling HC'!AC87*'Propylene Recycling HC'!AC43-'Propylene Recycling HC'!$C$87*'Propylene Recycling HC'!$C$43</f>
        <v>3789.5676379430192</v>
      </c>
      <c r="AE45" s="196">
        <f>'Propylene Recycling HC'!AD87*'Propylene Recycling HC'!AD43-'Propylene Recycling HC'!$C$87*'Propylene Recycling HC'!$C$43</f>
        <v>3933.258965608718</v>
      </c>
      <c r="AF45" s="196">
        <f>'Propylene Recycling HC'!AE87*'Propylene Recycling HC'!AE43-'Propylene Recycling HC'!$C$87*'Propylene Recycling HC'!$C$43</f>
        <v>4063.8118651949057</v>
      </c>
      <c r="AG45" s="196">
        <f>'Propylene Recycling HC'!AF87*'Propylene Recycling HC'!AF43-'Propylene Recycling HC'!$C$87*'Propylene Recycling HC'!$C$43</f>
        <v>4181.5852200794598</v>
      </c>
      <c r="AH45" s="196">
        <f>'Propylene Recycling HC'!AG87*'Propylene Recycling HC'!AG43-'Propylene Recycling HC'!$C$87*'Propylene Recycling HC'!$C$43</f>
        <v>639.70382984529192</v>
      </c>
    </row>
    <row r="46" spans="1:34" s="63" customFormat="1">
      <c r="A46" s="59"/>
      <c r="B46" s="59" t="s">
        <v>263</v>
      </c>
      <c r="C46" s="60" t="s">
        <v>166</v>
      </c>
      <c r="D46" s="636">
        <f>D43-D44-D45</f>
        <v>435529.06307600881</v>
      </c>
      <c r="E46" s="636">
        <f t="shared" ref="E46:AH46" si="18">E43-E44-E45</f>
        <v>432064.38965998543</v>
      </c>
      <c r="F46" s="636">
        <f t="shared" si="18"/>
        <v>428573.39737107384</v>
      </c>
      <c r="G46" s="636">
        <f t="shared" si="18"/>
        <v>425056.70514410234</v>
      </c>
      <c r="H46" s="636">
        <f t="shared" si="18"/>
        <v>421514.93191389902</v>
      </c>
      <c r="I46" s="636">
        <f t="shared" si="18"/>
        <v>417948.69661529223</v>
      </c>
      <c r="J46" s="636">
        <f t="shared" si="18"/>
        <v>414358.61818310997</v>
      </c>
      <c r="K46" s="636">
        <f t="shared" si="18"/>
        <v>410745.31555218057</v>
      </c>
      <c r="L46" s="636">
        <f t="shared" si="18"/>
        <v>407109.40765733243</v>
      </c>
      <c r="M46" s="636">
        <f t="shared" si="18"/>
        <v>403451.5134333935</v>
      </c>
      <c r="N46" s="636">
        <f t="shared" si="18"/>
        <v>399772.25181519205</v>
      </c>
      <c r="O46" s="636">
        <f t="shared" si="18"/>
        <v>393701.3006536864</v>
      </c>
      <c r="P46" s="636">
        <f t="shared" si="18"/>
        <v>387830.6063787911</v>
      </c>
      <c r="Q46" s="636">
        <f t="shared" si="18"/>
        <v>381615.60883381002</v>
      </c>
      <c r="R46" s="636">
        <f t="shared" si="18"/>
        <v>375381.80173497763</v>
      </c>
      <c r="S46" s="636">
        <f t="shared" si="18"/>
        <v>369131.15070975001</v>
      </c>
      <c r="T46" s="636">
        <f t="shared" si="18"/>
        <v>362865.62154012738</v>
      </c>
      <c r="U46" s="636">
        <f t="shared" si="18"/>
        <v>356587.18016966124</v>
      </c>
      <c r="V46" s="636">
        <f t="shared" si="18"/>
        <v>350297.79271040496</v>
      </c>
      <c r="W46" s="636">
        <f t="shared" si="18"/>
        <v>343999.42544980993</v>
      </c>
      <c r="X46" s="636">
        <f t="shared" si="18"/>
        <v>337694.04485756514</v>
      </c>
      <c r="Y46" s="636">
        <f t="shared" si="18"/>
        <v>327790.91512636456</v>
      </c>
      <c r="Z46" s="636">
        <f t="shared" si="18"/>
        <v>319723.05322216434</v>
      </c>
      <c r="AA46" s="636">
        <f t="shared" si="18"/>
        <v>311671.51506819064</v>
      </c>
      <c r="AB46" s="636">
        <f t="shared" si="18"/>
        <v>303612.60818097659</v>
      </c>
      <c r="AC46" s="636">
        <f t="shared" si="18"/>
        <v>295549.54547023465</v>
      </c>
      <c r="AD46" s="636">
        <f t="shared" si="18"/>
        <v>287485.53928312485</v>
      </c>
      <c r="AE46" s="636">
        <f t="shared" si="18"/>
        <v>279423.80159033946</v>
      </c>
      <c r="AF46" s="636">
        <f t="shared" si="18"/>
        <v>271367.54416997253</v>
      </c>
      <c r="AG46" s="636">
        <f t="shared" si="18"/>
        <v>263319.97878917382</v>
      </c>
      <c r="AH46" s="636">
        <f t="shared" si="18"/>
        <v>258931.55129888718</v>
      </c>
    </row>
    <row r="47" spans="1:34" s="62" customFormat="1">
      <c r="A47" s="55" t="s">
        <v>258</v>
      </c>
      <c r="B47" s="55" t="s">
        <v>195</v>
      </c>
      <c r="C47" s="95" t="s">
        <v>166</v>
      </c>
      <c r="D47" s="631">
        <f>D13</f>
        <v>185951.33244226652</v>
      </c>
      <c r="E47" s="631">
        <f t="shared" ref="E47:AH47" si="19">E13</f>
        <v>188468.79333217078</v>
      </c>
      <c r="F47" s="631">
        <f t="shared" si="19"/>
        <v>191016.63533699117</v>
      </c>
      <c r="G47" s="631">
        <f t="shared" si="19"/>
        <v>193595.15509973833</v>
      </c>
      <c r="H47" s="631">
        <f t="shared" si="19"/>
        <v>196204.6506965945</v>
      </c>
      <c r="I47" s="631">
        <f t="shared" si="19"/>
        <v>198845.42160677916</v>
      </c>
      <c r="J47" s="631">
        <f t="shared" si="19"/>
        <v>201517.76868117222</v>
      </c>
      <c r="K47" s="631">
        <f t="shared" si="19"/>
        <v>204221.99410966667</v>
      </c>
      <c r="L47" s="631">
        <f t="shared" si="19"/>
        <v>206958.40138722086</v>
      </c>
      <c r="M47" s="631">
        <f t="shared" si="19"/>
        <v>209727.29527858039</v>
      </c>
      <c r="N47" s="631">
        <f t="shared" si="19"/>
        <v>212528.98178164</v>
      </c>
      <c r="O47" s="631">
        <f t="shared" si="19"/>
        <v>213594.40595070733</v>
      </c>
      <c r="P47" s="631">
        <f t="shared" si="19"/>
        <v>214628.09214755782</v>
      </c>
      <c r="Q47" s="631">
        <f t="shared" si="19"/>
        <v>215628.97534802507</v>
      </c>
      <c r="R47" s="631">
        <f t="shared" si="19"/>
        <v>216595.97632702583</v>
      </c>
      <c r="S47" s="631">
        <f t="shared" si="19"/>
        <v>217528.00182694974</v>
      </c>
      <c r="T47" s="631">
        <f t="shared" si="19"/>
        <v>218423.94474384468</v>
      </c>
      <c r="U47" s="631">
        <f t="shared" si="19"/>
        <v>219282.68433212617</v>
      </c>
      <c r="V47" s="631">
        <f t="shared" si="19"/>
        <v>220103.08642856142</v>
      </c>
      <c r="W47" s="631">
        <f t="shared" si="19"/>
        <v>220884.00369630367</v>
      </c>
      <c r="X47" s="631">
        <f t="shared" si="19"/>
        <v>221624.2758897756</v>
      </c>
      <c r="Y47" s="631">
        <f t="shared" si="19"/>
        <v>217829.8449529385</v>
      </c>
      <c r="Z47" s="631">
        <f t="shared" si="19"/>
        <v>213940.41252015141</v>
      </c>
      <c r="AA47" s="631">
        <f t="shared" si="19"/>
        <v>209956.74264900788</v>
      </c>
      <c r="AB47" s="631">
        <f t="shared" si="19"/>
        <v>205879.72300717409</v>
      </c>
      <c r="AC47" s="631">
        <f t="shared" si="19"/>
        <v>201710.37040294288</v>
      </c>
      <c r="AD47" s="631">
        <f t="shared" si="19"/>
        <v>197449.83650047585</v>
      </c>
      <c r="AE47" s="631">
        <f t="shared" si="19"/>
        <v>193099.4137250674</v>
      </c>
      <c r="AF47" s="631">
        <f t="shared" si="19"/>
        <v>188660.54136390536</v>
      </c>
      <c r="AG47" s="631">
        <f t="shared" si="19"/>
        <v>184134.81186794772</v>
      </c>
      <c r="AH47" s="631">
        <f t="shared" si="19"/>
        <v>179523.97736068338</v>
      </c>
    </row>
    <row r="48" spans="1:34" outlineLevel="1">
      <c r="A48"/>
      <c r="B48" t="s">
        <v>262</v>
      </c>
      <c r="C48" s="51" t="s">
        <v>166</v>
      </c>
      <c r="D48" s="196">
        <f>0</f>
        <v>0</v>
      </c>
      <c r="E48" s="196">
        <f>'Propylene Recycling HC'!D84*'Propylene Recycling HC'!D43-'Propylene Recycling HC'!$C$84*'Propylene Recycling HC'!$C$43</f>
        <v>98.060220095894692</v>
      </c>
      <c r="F48" s="196">
        <f>'Propylene Recycling HC'!E84*'Propylene Recycling HC'!E43-'Propylene Recycling HC'!$C$84*'Propylene Recycling HC'!$C$43</f>
        <v>198.90637582910006</v>
      </c>
      <c r="G48" s="196">
        <f>'Propylene Recycling HC'!F84*'Propylene Recycling HC'!F43-'Propylene Recycling HC'!$C$84*'Propylene Recycling HC'!$C$43</f>
        <v>302.39240656065078</v>
      </c>
      <c r="H48" s="196">
        <f>'Propylene Recycling HC'!G84*'Propylene Recycling HC'!G43-'Propylene Recycling HC'!$C$84*'Propylene Recycling HC'!$C$43</f>
        <v>408.37225165158077</v>
      </c>
      <c r="I48" s="196">
        <f>'Propylene Recycling HC'!H84*'Propylene Recycling HC'!H43-'Propylene Recycling HC'!$C$84*'Propylene Recycling HC'!$C$43</f>
        <v>516.6998504629247</v>
      </c>
      <c r="J48" s="196">
        <f>'Propylene Recycling HC'!I84*'Propylene Recycling HC'!I43-'Propylene Recycling HC'!$C$84*'Propylene Recycling HC'!$C$43</f>
        <v>627.22914235571625</v>
      </c>
      <c r="K48" s="196">
        <f>'Propylene Recycling HC'!J84*'Propylene Recycling HC'!J43-'Propylene Recycling HC'!$C$84*'Propylene Recycling HC'!$C$43</f>
        <v>739.81406669099022</v>
      </c>
      <c r="L48" s="196">
        <f>'Propylene Recycling HC'!K84*'Propylene Recycling HC'!K43-'Propylene Recycling HC'!$C$84*'Propylene Recycling HC'!$C$43</f>
        <v>854.30856282978095</v>
      </c>
      <c r="M48" s="196">
        <f>'Propylene Recycling HC'!L84*'Propylene Recycling HC'!L43-'Propylene Recycling HC'!$C$84*'Propylene Recycling HC'!$C$43</f>
        <v>970.56657013312213</v>
      </c>
      <c r="N48" s="196">
        <f>'Propylene Recycling HC'!M84*'Propylene Recycling HC'!M43-'Propylene Recycling HC'!$C$84*'Propylene Recycling HC'!$C$43</f>
        <v>1088.4420279620485</v>
      </c>
      <c r="O48" s="196">
        <f>'Propylene Recycling HC'!N84*'Propylene Recycling HC'!N43-'Propylene Recycling HC'!$C$84*'Propylene Recycling HC'!$C$43</f>
        <v>1302.86707983223</v>
      </c>
      <c r="P48" s="196">
        <f>'Propylene Recycling HC'!O84*'Propylene Recycling HC'!O43-'Propylene Recycling HC'!$C$84*'Propylene Recycling HC'!$C$43</f>
        <v>1520.426803972844</v>
      </c>
      <c r="Q48" s="196">
        <f>'Propylene Recycling HC'!P84*'Propylene Recycling HC'!P43-'Propylene Recycling HC'!$C$84*'Propylene Recycling HC'!$C$43</f>
        <v>1733.7481534001186</v>
      </c>
      <c r="R48" s="196">
        <f>'Propylene Recycling HC'!Q84*'Propylene Recycling HC'!Q43-'Propylene Recycling HC'!$C$84*'Propylene Recycling HC'!$C$43</f>
        <v>1948.1115748945076</v>
      </c>
      <c r="S48" s="196">
        <f>'Propylene Recycling HC'!R84*'Propylene Recycling HC'!R43-'Propylene Recycling HC'!$C$84*'Propylene Recycling HC'!$C$43</f>
        <v>2163.2101955128528</v>
      </c>
      <c r="T48" s="196">
        <f>'Propylene Recycling HC'!S84*'Propylene Recycling HC'!S43-'Propylene Recycling HC'!$C$84*'Propylene Recycling HC'!$C$43</f>
        <v>2378.7409159974673</v>
      </c>
      <c r="U48" s="196">
        <f>'Propylene Recycling HC'!T84*'Propylene Recycling HC'!T43-'Propylene Recycling HC'!$C$84*'Propylene Recycling HC'!$C$43</f>
        <v>2594.4044335440176</v>
      </c>
      <c r="V48" s="196">
        <f>'Propylene Recycling HC'!U84*'Propylene Recycling HC'!U43-'Propylene Recycling HC'!$C$84*'Propylene Recycling HC'!$C$43</f>
        <v>2809.9052641063204</v>
      </c>
      <c r="W48" s="196">
        <f>'Propylene Recycling HC'!V84*'Propylene Recycling HC'!V43-'Propylene Recycling HC'!$C$84*'Propylene Recycling HC'!$C$43</f>
        <v>3024.9517642380697</v>
      </c>
      <c r="X48" s="196">
        <f>'Propylene Recycling HC'!W84*'Propylene Recycling HC'!W43-'Propylene Recycling HC'!$C$84*'Propylene Recycling HC'!$C$43</f>
        <v>3239.2561524714706</v>
      </c>
      <c r="Y48" s="196">
        <f>'Propylene Recycling HC'!X84*'Propylene Recycling HC'!X43-'Propylene Recycling HC'!$C$84*'Propylene Recycling HC'!$C$43</f>
        <v>3613.3008240461177</v>
      </c>
      <c r="Z48" s="196">
        <f>'Propylene Recycling HC'!Y84*'Propylene Recycling HC'!Y43-'Propylene Recycling HC'!$C$84*'Propylene Recycling HC'!$C$43</f>
        <v>3986.3419641585697</v>
      </c>
      <c r="AA48" s="196">
        <f>'Propylene Recycling HC'!Z84*'Propylene Recycling HC'!Z43-'Propylene Recycling HC'!$C$84*'Propylene Recycling HC'!$C$43</f>
        <v>4319.2528894726684</v>
      </c>
      <c r="AB48" s="196">
        <f>'Propylene Recycling HC'!AA84*'Propylene Recycling HC'!AA43-'Propylene Recycling HC'!$C$84*'Propylene Recycling HC'!$C$43</f>
        <v>4643.6724593326817</v>
      </c>
      <c r="AC48" s="196">
        <f>'Propylene Recycling HC'!AB84*'Propylene Recycling HC'!AB43-'Propylene Recycling HC'!$C$84*'Propylene Recycling HC'!$C$43</f>
        <v>4959.0872519479008</v>
      </c>
      <c r="AD48" s="196">
        <f>'Propylene Recycling HC'!AC84*'Propylene Recycling HC'!AC43-'Propylene Recycling HC'!$C$84*'Propylene Recycling HC'!$C$43</f>
        <v>5265.0093487735767</v>
      </c>
      <c r="AE48" s="196">
        <f>'Propylene Recycling HC'!AD84*'Propylene Recycling HC'!AD43-'Propylene Recycling HC'!$C$84*'Propylene Recycling HC'!$C$43</f>
        <v>5560.9764648625942</v>
      </c>
      <c r="AF48" s="196">
        <f>'Propylene Recycling HC'!AE84*'Propylene Recycling HC'!AE43-'Propylene Recycling HC'!$C$84*'Propylene Recycling HC'!$C$43</f>
        <v>5846.5520607524859</v>
      </c>
      <c r="AG48" s="196">
        <f>'Propylene Recycling HC'!AF84*'Propylene Recycling HC'!AF43-'Propylene Recycling HC'!$C$84*'Propylene Recycling HC'!$C$43</f>
        <v>6121.3254358878221</v>
      </c>
      <c r="AH48" s="196">
        <f>'Propylene Recycling HC'!AG84*'Propylene Recycling HC'!AG43-'Propylene Recycling HC'!$C$84*'Propylene Recycling HC'!$C$43</f>
        <v>36778.527764426319</v>
      </c>
    </row>
    <row r="49" spans="1:36" s="63" customFormat="1">
      <c r="A49" s="59"/>
      <c r="B49" s="59" t="s">
        <v>263</v>
      </c>
      <c r="C49" s="60" t="s">
        <v>166</v>
      </c>
      <c r="D49" s="636">
        <f>D47-D48</f>
        <v>185951.33244226652</v>
      </c>
      <c r="E49" s="636">
        <f t="shared" ref="E49:AH49" si="20">E47-E48</f>
        <v>188370.7331120749</v>
      </c>
      <c r="F49" s="636">
        <f t="shared" si="20"/>
        <v>190817.72896116207</v>
      </c>
      <c r="G49" s="636">
        <f t="shared" si="20"/>
        <v>193292.76269317768</v>
      </c>
      <c r="H49" s="636">
        <f t="shared" si="20"/>
        <v>195796.27844494293</v>
      </c>
      <c r="I49" s="636">
        <f t="shared" si="20"/>
        <v>198328.72175631623</v>
      </c>
      <c r="J49" s="636">
        <f t="shared" si="20"/>
        <v>200890.53953881652</v>
      </c>
      <c r="K49" s="636">
        <f t="shared" si="20"/>
        <v>203482.18004297567</v>
      </c>
      <c r="L49" s="636">
        <f t="shared" si="20"/>
        <v>206104.09282439109</v>
      </c>
      <c r="M49" s="636">
        <f t="shared" si="20"/>
        <v>208756.72870844728</v>
      </c>
      <c r="N49" s="636">
        <f t="shared" si="20"/>
        <v>211440.53975367796</v>
      </c>
      <c r="O49" s="636">
        <f t="shared" si="20"/>
        <v>212291.53887087508</v>
      </c>
      <c r="P49" s="636">
        <f t="shared" si="20"/>
        <v>213107.66534358499</v>
      </c>
      <c r="Q49" s="636">
        <f t="shared" si="20"/>
        <v>213895.22719462495</v>
      </c>
      <c r="R49" s="636">
        <f t="shared" si="20"/>
        <v>214647.86475213131</v>
      </c>
      <c r="S49" s="636">
        <f t="shared" si="20"/>
        <v>215364.79163143688</v>
      </c>
      <c r="T49" s="636">
        <f t="shared" si="20"/>
        <v>216045.2038278472</v>
      </c>
      <c r="U49" s="636">
        <f t="shared" si="20"/>
        <v>216688.27989858214</v>
      </c>
      <c r="V49" s="636">
        <f t="shared" si="20"/>
        <v>217293.18116445511</v>
      </c>
      <c r="W49" s="636">
        <f t="shared" si="20"/>
        <v>217859.0519320656</v>
      </c>
      <c r="X49" s="636">
        <f t="shared" si="20"/>
        <v>218385.01973730413</v>
      </c>
      <c r="Y49" s="636">
        <f t="shared" si="20"/>
        <v>214216.54412889239</v>
      </c>
      <c r="Z49" s="636">
        <f t="shared" si="20"/>
        <v>209954.07055599283</v>
      </c>
      <c r="AA49" s="636">
        <f t="shared" si="20"/>
        <v>205637.48975953521</v>
      </c>
      <c r="AB49" s="636">
        <f t="shared" si="20"/>
        <v>201236.05054784141</v>
      </c>
      <c r="AC49" s="636">
        <f t="shared" si="20"/>
        <v>196751.28315099498</v>
      </c>
      <c r="AD49" s="636">
        <f t="shared" si="20"/>
        <v>192184.82715170228</v>
      </c>
      <c r="AE49" s="636">
        <f t="shared" si="20"/>
        <v>187538.43726020481</v>
      </c>
      <c r="AF49" s="636">
        <f t="shared" si="20"/>
        <v>182813.98930315286</v>
      </c>
      <c r="AG49" s="636">
        <f t="shared" si="20"/>
        <v>178013.4864320599</v>
      </c>
      <c r="AH49" s="636">
        <f t="shared" si="20"/>
        <v>142745.44959625707</v>
      </c>
    </row>
    <row r="50" spans="1:36" s="62" customFormat="1">
      <c r="A50" s="55" t="s">
        <v>532</v>
      </c>
      <c r="B50" s="55" t="s">
        <v>195</v>
      </c>
      <c r="C50" s="95" t="s">
        <v>166</v>
      </c>
      <c r="D50" s="631">
        <f>D31</f>
        <v>0</v>
      </c>
      <c r="E50" s="631">
        <f t="shared" ref="E50:AH50" si="21">E31</f>
        <v>0</v>
      </c>
      <c r="F50" s="631">
        <f t="shared" si="21"/>
        <v>0</v>
      </c>
      <c r="G50" s="631">
        <f t="shared" si="21"/>
        <v>0</v>
      </c>
      <c r="H50" s="631">
        <f t="shared" si="21"/>
        <v>0</v>
      </c>
      <c r="I50" s="631">
        <f t="shared" si="21"/>
        <v>0</v>
      </c>
      <c r="J50" s="631">
        <f t="shared" si="21"/>
        <v>0</v>
      </c>
      <c r="K50" s="631">
        <f t="shared" si="21"/>
        <v>0</v>
      </c>
      <c r="L50" s="631">
        <f t="shared" si="21"/>
        <v>0</v>
      </c>
      <c r="M50" s="631">
        <f t="shared" si="21"/>
        <v>0</v>
      </c>
      <c r="N50" s="631">
        <f t="shared" si="21"/>
        <v>0</v>
      </c>
      <c r="O50" s="631">
        <f t="shared" si="21"/>
        <v>0</v>
      </c>
      <c r="P50" s="631">
        <f t="shared" si="21"/>
        <v>0</v>
      </c>
      <c r="Q50" s="631">
        <f t="shared" si="21"/>
        <v>0</v>
      </c>
      <c r="R50" s="631">
        <f t="shared" si="21"/>
        <v>0</v>
      </c>
      <c r="S50" s="631">
        <f t="shared" si="21"/>
        <v>0</v>
      </c>
      <c r="T50" s="631">
        <f t="shared" si="21"/>
        <v>0</v>
      </c>
      <c r="U50" s="631">
        <f t="shared" si="21"/>
        <v>0</v>
      </c>
      <c r="V50" s="631">
        <f t="shared" si="21"/>
        <v>0</v>
      </c>
      <c r="W50" s="631">
        <f t="shared" si="21"/>
        <v>0</v>
      </c>
      <c r="X50" s="631">
        <f t="shared" si="21"/>
        <v>0</v>
      </c>
      <c r="Y50" s="631">
        <f t="shared" si="21"/>
        <v>0</v>
      </c>
      <c r="Z50" s="631">
        <f t="shared" si="21"/>
        <v>0</v>
      </c>
      <c r="AA50" s="631">
        <f t="shared" si="21"/>
        <v>0</v>
      </c>
      <c r="AB50" s="631">
        <f t="shared" si="21"/>
        <v>0</v>
      </c>
      <c r="AC50" s="631">
        <f t="shared" si="21"/>
        <v>0</v>
      </c>
      <c r="AD50" s="631">
        <f t="shared" si="21"/>
        <v>0</v>
      </c>
      <c r="AE50" s="631">
        <f t="shared" si="21"/>
        <v>0</v>
      </c>
      <c r="AF50" s="631">
        <f t="shared" si="21"/>
        <v>0</v>
      </c>
      <c r="AG50" s="631">
        <f t="shared" si="21"/>
        <v>0</v>
      </c>
      <c r="AH50" s="631">
        <f t="shared" si="21"/>
        <v>0</v>
      </c>
    </row>
    <row r="51" spans="1:36" outlineLevel="1">
      <c r="A51"/>
      <c r="B51" t="s">
        <v>262</v>
      </c>
      <c r="C51" s="51" t="s">
        <v>166</v>
      </c>
      <c r="D51" s="196">
        <f>0</f>
        <v>0</v>
      </c>
      <c r="E51" s="196">
        <f>'Propylene Recycling HC'!D94*'Propylene Recycling HC'!D45-'Propylene Recycling HC'!$C$94*'Propylene Recycling HC'!$C$45</f>
        <v>0</v>
      </c>
      <c r="F51" s="196">
        <f>'Propylene Recycling HC'!E94*'Propylene Recycling HC'!E45-'Propylene Recycling HC'!$C$94*'Propylene Recycling HC'!$C$45</f>
        <v>0</v>
      </c>
      <c r="G51" s="196">
        <f>'Propylene Recycling HC'!F94*'Propylene Recycling HC'!F45-'Propylene Recycling HC'!$C$94*'Propylene Recycling HC'!$C$45</f>
        <v>0</v>
      </c>
      <c r="H51" s="196">
        <f>'Propylene Recycling HC'!G94*'Propylene Recycling HC'!G45-'Propylene Recycling HC'!$C$94*'Propylene Recycling HC'!$C$45</f>
        <v>0</v>
      </c>
      <c r="I51" s="196">
        <f>'Propylene Recycling HC'!H94*'Propylene Recycling HC'!H45-'Propylene Recycling HC'!$C$94*'Propylene Recycling HC'!$C$45</f>
        <v>0</v>
      </c>
      <c r="J51" s="196">
        <f>'Propylene Recycling HC'!I94*'Propylene Recycling HC'!I45-'Propylene Recycling HC'!$C$94*'Propylene Recycling HC'!$C$45</f>
        <v>0</v>
      </c>
      <c r="K51" s="196">
        <f>'Propylene Recycling HC'!J94*'Propylene Recycling HC'!J45-'Propylene Recycling HC'!$C$94*'Propylene Recycling HC'!$C$45</f>
        <v>0</v>
      </c>
      <c r="L51" s="196">
        <f>'Propylene Recycling HC'!K94*'Propylene Recycling HC'!K45-'Propylene Recycling HC'!$C$94*'Propylene Recycling HC'!$C$45</f>
        <v>0</v>
      </c>
      <c r="M51" s="196">
        <f>'Propylene Recycling HC'!L94*'Propylene Recycling HC'!L45-'Propylene Recycling HC'!$C$94*'Propylene Recycling HC'!$C$45</f>
        <v>0</v>
      </c>
      <c r="N51" s="196">
        <f>'Propylene Recycling HC'!M94*'Propylene Recycling HC'!M45-'Propylene Recycling HC'!$C$94*'Propylene Recycling HC'!$C$45</f>
        <v>0</v>
      </c>
      <c r="O51" s="196">
        <f>'Propylene Recycling HC'!N94*'Propylene Recycling HC'!N45-'Propylene Recycling HC'!$C$94*'Propylene Recycling HC'!$C$45</f>
        <v>0</v>
      </c>
      <c r="P51" s="196">
        <f>'Propylene Recycling HC'!O94*'Propylene Recycling HC'!O45-'Propylene Recycling HC'!$C$94*'Propylene Recycling HC'!$C$45</f>
        <v>0</v>
      </c>
      <c r="Q51" s="196">
        <f>'Propylene Recycling HC'!P94*'Propylene Recycling HC'!P45-'Propylene Recycling HC'!$C$94*'Propylene Recycling HC'!$C$45</f>
        <v>0</v>
      </c>
      <c r="R51" s="196">
        <f>'Propylene Recycling HC'!Q94*'Propylene Recycling HC'!Q45-'Propylene Recycling HC'!$C$94*'Propylene Recycling HC'!$C$45</f>
        <v>0</v>
      </c>
      <c r="S51" s="196">
        <f>'Propylene Recycling HC'!R94*'Propylene Recycling HC'!R45-'Propylene Recycling HC'!$C$94*'Propylene Recycling HC'!$C$45</f>
        <v>0</v>
      </c>
      <c r="T51" s="196">
        <f>'Propylene Recycling HC'!S94*'Propylene Recycling HC'!S45-'Propylene Recycling HC'!$C$94*'Propylene Recycling HC'!$C$45</f>
        <v>0</v>
      </c>
      <c r="U51" s="196">
        <f>'Propylene Recycling HC'!T94*'Propylene Recycling HC'!T45-'Propylene Recycling HC'!$C$94*'Propylene Recycling HC'!$C$45</f>
        <v>0</v>
      </c>
      <c r="V51" s="196">
        <f>'Propylene Recycling HC'!U94*'Propylene Recycling HC'!U45-'Propylene Recycling HC'!$C$94*'Propylene Recycling HC'!$C$45</f>
        <v>0</v>
      </c>
      <c r="W51" s="196">
        <f>'Propylene Recycling HC'!V94*'Propylene Recycling HC'!V45-'Propylene Recycling HC'!$C$94*'Propylene Recycling HC'!$C$45</f>
        <v>0</v>
      </c>
      <c r="X51" s="196">
        <f>'Propylene Recycling HC'!W94*'Propylene Recycling HC'!W45-'Propylene Recycling HC'!$C$94*'Propylene Recycling HC'!$C$45</f>
        <v>0</v>
      </c>
      <c r="Y51" s="196">
        <f>'Propylene Recycling HC'!X94*'Propylene Recycling HC'!X45-'Propylene Recycling HC'!$C$94*'Propylene Recycling HC'!$C$45</f>
        <v>0</v>
      </c>
      <c r="Z51" s="196">
        <f>'Propylene Recycling HC'!Y94*'Propylene Recycling HC'!Y45-'Propylene Recycling HC'!$C$94*'Propylene Recycling HC'!$C$45</f>
        <v>0</v>
      </c>
      <c r="AA51" s="196">
        <f>'Propylene Recycling HC'!Z94*'Propylene Recycling HC'!Z45-'Propylene Recycling HC'!$C$94*'Propylene Recycling HC'!$C$45</f>
        <v>0</v>
      </c>
      <c r="AB51" s="196">
        <f>'Propylene Recycling HC'!AA94*'Propylene Recycling HC'!AA45-'Propylene Recycling HC'!$C$94*'Propylene Recycling HC'!$C$45</f>
        <v>0</v>
      </c>
      <c r="AC51" s="196">
        <f>'Propylene Recycling HC'!AB94*'Propylene Recycling HC'!AB45-'Propylene Recycling HC'!$C$94*'Propylene Recycling HC'!$C$45</f>
        <v>0</v>
      </c>
      <c r="AD51" s="196">
        <f>'Propylene Recycling HC'!AC94*'Propylene Recycling HC'!AC45-'Propylene Recycling HC'!$C$94*'Propylene Recycling HC'!$C$45</f>
        <v>0</v>
      </c>
      <c r="AE51" s="196">
        <f>'Propylene Recycling HC'!AD94*'Propylene Recycling HC'!AD45-'Propylene Recycling HC'!$C$94*'Propylene Recycling HC'!$C$45</f>
        <v>0</v>
      </c>
      <c r="AF51" s="196">
        <f>'Propylene Recycling HC'!AE94*'Propylene Recycling HC'!AE45-'Propylene Recycling HC'!$C$94*'Propylene Recycling HC'!$C$45</f>
        <v>0</v>
      </c>
      <c r="AG51" s="196">
        <f>'Propylene Recycling HC'!AF94*'Propylene Recycling HC'!AF45-'Propylene Recycling HC'!$C$94*'Propylene Recycling HC'!$C$45</f>
        <v>0</v>
      </c>
      <c r="AH51" s="196">
        <f>'Propylene Recycling HC'!AG94*'Propylene Recycling HC'!AG45-'Propylene Recycling HC'!$C$94*'Propylene Recycling HC'!$C$45</f>
        <v>0</v>
      </c>
    </row>
    <row r="52" spans="1:36" outlineLevel="1">
      <c r="A52"/>
      <c r="B52" t="s">
        <v>264</v>
      </c>
      <c r="C52" s="51" t="s">
        <v>166</v>
      </c>
      <c r="D52" s="196">
        <f>0</f>
        <v>0</v>
      </c>
      <c r="E52" s="196">
        <f>0</f>
        <v>0</v>
      </c>
      <c r="F52" s="196">
        <f>0</f>
        <v>0</v>
      </c>
      <c r="G52" s="196">
        <f>0</f>
        <v>0</v>
      </c>
      <c r="H52" s="196">
        <f>0</f>
        <v>0</v>
      </c>
      <c r="I52" s="196">
        <f>0</f>
        <v>0</v>
      </c>
      <c r="J52" s="196">
        <f>0</f>
        <v>0</v>
      </c>
      <c r="K52" s="196">
        <f>0</f>
        <v>0</v>
      </c>
      <c r="L52" s="196">
        <f>0</f>
        <v>0</v>
      </c>
      <c r="M52" s="196">
        <f>0</f>
        <v>0</v>
      </c>
      <c r="N52" s="196">
        <f>0</f>
        <v>0</v>
      </c>
      <c r="O52" s="196">
        <f>0</f>
        <v>0</v>
      </c>
      <c r="P52" s="196">
        <f>0</f>
        <v>0</v>
      </c>
      <c r="Q52" s="196">
        <f>0</f>
        <v>0</v>
      </c>
      <c r="R52" s="196">
        <f>0</f>
        <v>0</v>
      </c>
      <c r="S52" s="196">
        <f>0</f>
        <v>0</v>
      </c>
      <c r="T52" s="196">
        <f>0</f>
        <v>0</v>
      </c>
      <c r="U52" s="196">
        <f>0</f>
        <v>0</v>
      </c>
      <c r="V52" s="196">
        <f>0</f>
        <v>0</v>
      </c>
      <c r="W52" s="196">
        <f>0</f>
        <v>0</v>
      </c>
      <c r="X52" s="196">
        <f>0</f>
        <v>0</v>
      </c>
      <c r="Y52" s="196">
        <f>0</f>
        <v>0</v>
      </c>
      <c r="Z52" s="196">
        <f>0</f>
        <v>0</v>
      </c>
      <c r="AA52" s="196">
        <f>0</f>
        <v>0</v>
      </c>
      <c r="AB52" s="196">
        <f>0</f>
        <v>0</v>
      </c>
      <c r="AC52" s="196">
        <f>0</f>
        <v>0</v>
      </c>
      <c r="AD52" s="196">
        <f>0</f>
        <v>0</v>
      </c>
      <c r="AE52" s="196">
        <f>0</f>
        <v>0</v>
      </c>
      <c r="AF52" s="196">
        <f>0</f>
        <v>0</v>
      </c>
      <c r="AG52" s="196">
        <f>0</f>
        <v>0</v>
      </c>
      <c r="AH52" s="196">
        <f>0</f>
        <v>0</v>
      </c>
    </row>
    <row r="53" spans="1:36" s="63" customFormat="1">
      <c r="A53" s="59"/>
      <c r="B53" s="59" t="s">
        <v>263</v>
      </c>
      <c r="C53" s="60" t="s">
        <v>166</v>
      </c>
      <c r="D53" s="636">
        <f>D50-D51-D52</f>
        <v>0</v>
      </c>
      <c r="E53" s="636">
        <f t="shared" ref="E53:AH53" si="22">E50-E51-E52</f>
        <v>0</v>
      </c>
      <c r="F53" s="636">
        <f t="shared" si="22"/>
        <v>0</v>
      </c>
      <c r="G53" s="636">
        <f t="shared" si="22"/>
        <v>0</v>
      </c>
      <c r="H53" s="636">
        <f t="shared" si="22"/>
        <v>0</v>
      </c>
      <c r="I53" s="636">
        <f t="shared" si="22"/>
        <v>0</v>
      </c>
      <c r="J53" s="636">
        <f t="shared" si="22"/>
        <v>0</v>
      </c>
      <c r="K53" s="636">
        <f t="shared" si="22"/>
        <v>0</v>
      </c>
      <c r="L53" s="636">
        <f t="shared" si="22"/>
        <v>0</v>
      </c>
      <c r="M53" s="636">
        <f t="shared" si="22"/>
        <v>0</v>
      </c>
      <c r="N53" s="636">
        <f t="shared" si="22"/>
        <v>0</v>
      </c>
      <c r="O53" s="636">
        <f t="shared" si="22"/>
        <v>0</v>
      </c>
      <c r="P53" s="636">
        <f t="shared" si="22"/>
        <v>0</v>
      </c>
      <c r="Q53" s="636">
        <f t="shared" si="22"/>
        <v>0</v>
      </c>
      <c r="R53" s="636">
        <f t="shared" si="22"/>
        <v>0</v>
      </c>
      <c r="S53" s="636">
        <f t="shared" si="22"/>
        <v>0</v>
      </c>
      <c r="T53" s="636">
        <f t="shared" si="22"/>
        <v>0</v>
      </c>
      <c r="U53" s="636">
        <f t="shared" si="22"/>
        <v>0</v>
      </c>
      <c r="V53" s="636">
        <f t="shared" si="22"/>
        <v>0</v>
      </c>
      <c r="W53" s="636">
        <f t="shared" si="22"/>
        <v>0</v>
      </c>
      <c r="X53" s="636">
        <f t="shared" si="22"/>
        <v>0</v>
      </c>
      <c r="Y53" s="636">
        <f t="shared" si="22"/>
        <v>0</v>
      </c>
      <c r="Z53" s="636">
        <f t="shared" si="22"/>
        <v>0</v>
      </c>
      <c r="AA53" s="636">
        <f t="shared" si="22"/>
        <v>0</v>
      </c>
      <c r="AB53" s="636">
        <f t="shared" si="22"/>
        <v>0</v>
      </c>
      <c r="AC53" s="636">
        <f t="shared" si="22"/>
        <v>0</v>
      </c>
      <c r="AD53" s="636">
        <f t="shared" si="22"/>
        <v>0</v>
      </c>
      <c r="AE53" s="636">
        <f t="shared" si="22"/>
        <v>0</v>
      </c>
      <c r="AF53" s="636">
        <f t="shared" si="22"/>
        <v>0</v>
      </c>
      <c r="AG53" s="636">
        <f t="shared" si="22"/>
        <v>0</v>
      </c>
      <c r="AH53" s="636">
        <f t="shared" si="22"/>
        <v>0</v>
      </c>
    </row>
    <row r="54" spans="1:36" s="62" customFormat="1">
      <c r="A54" s="55" t="s">
        <v>259</v>
      </c>
      <c r="B54" s="55" t="s">
        <v>195</v>
      </c>
      <c r="C54" s="95" t="s">
        <v>166</v>
      </c>
      <c r="D54" s="631">
        <f>D25</f>
        <v>137707.45987773585</v>
      </c>
      <c r="E54" s="631">
        <f t="shared" ref="E54:AH54" si="23">E25</f>
        <v>135208.06948095493</v>
      </c>
      <c r="F54" s="631">
        <f t="shared" si="23"/>
        <v>132708.67908417404</v>
      </c>
      <c r="G54" s="631">
        <f t="shared" si="23"/>
        <v>130209.28868739313</v>
      </c>
      <c r="H54" s="631">
        <f t="shared" si="23"/>
        <v>127709.89829061223</v>
      </c>
      <c r="I54" s="631">
        <f t="shared" si="23"/>
        <v>125210.50789383132</v>
      </c>
      <c r="J54" s="631">
        <f t="shared" si="23"/>
        <v>122711.11749705041</v>
      </c>
      <c r="K54" s="631">
        <f t="shared" si="23"/>
        <v>120211.72710026951</v>
      </c>
      <c r="L54" s="631">
        <f t="shared" si="23"/>
        <v>117712.3367034886</v>
      </c>
      <c r="M54" s="631">
        <f t="shared" si="23"/>
        <v>115212.94630670769</v>
      </c>
      <c r="N54" s="631">
        <f t="shared" si="23"/>
        <v>112713.55590992678</v>
      </c>
      <c r="O54" s="631">
        <f t="shared" si="23"/>
        <v>110214.16551314588</v>
      </c>
      <c r="P54" s="631">
        <f t="shared" si="23"/>
        <v>107714.77511636497</v>
      </c>
      <c r="Q54" s="631">
        <f t="shared" si="23"/>
        <v>105215.38471958406</v>
      </c>
      <c r="R54" s="631">
        <f t="shared" si="23"/>
        <v>102715.99432280316</v>
      </c>
      <c r="S54" s="631">
        <f t="shared" si="23"/>
        <v>100216.60392602226</v>
      </c>
      <c r="T54" s="631">
        <f t="shared" si="23"/>
        <v>97717.213529241359</v>
      </c>
      <c r="U54" s="631">
        <f t="shared" si="23"/>
        <v>95217.823132460442</v>
      </c>
      <c r="V54" s="631">
        <f t="shared" si="23"/>
        <v>92718.432735679526</v>
      </c>
      <c r="W54" s="631">
        <f t="shared" si="23"/>
        <v>90219.042338898638</v>
      </c>
      <c r="X54" s="631">
        <f t="shared" si="23"/>
        <v>87719.651942117722</v>
      </c>
      <c r="Y54" s="631">
        <f t="shared" si="23"/>
        <v>85144.522442404064</v>
      </c>
      <c r="Z54" s="631">
        <f t="shared" si="23"/>
        <v>82569.392942690407</v>
      </c>
      <c r="AA54" s="631">
        <f t="shared" si="23"/>
        <v>79994.26344297675</v>
      </c>
      <c r="AB54" s="631">
        <f t="shared" si="23"/>
        <v>77419.133943263078</v>
      </c>
      <c r="AC54" s="631">
        <f t="shared" si="23"/>
        <v>74844.00444354942</v>
      </c>
      <c r="AD54" s="631">
        <f t="shared" si="23"/>
        <v>72268.874943835748</v>
      </c>
      <c r="AE54" s="631">
        <f t="shared" si="23"/>
        <v>69693.745444122105</v>
      </c>
      <c r="AF54" s="631">
        <f t="shared" si="23"/>
        <v>67118.615944408448</v>
      </c>
      <c r="AG54" s="631">
        <f t="shared" si="23"/>
        <v>64543.486444694776</v>
      </c>
      <c r="AH54" s="631">
        <f t="shared" si="23"/>
        <v>61968.356944981118</v>
      </c>
    </row>
    <row r="55" spans="1:36" outlineLevel="1">
      <c r="A55"/>
      <c r="B55" t="s">
        <v>262</v>
      </c>
      <c r="C55" s="51" t="s">
        <v>166</v>
      </c>
      <c r="D55" s="196">
        <f>0</f>
        <v>0</v>
      </c>
      <c r="E55" s="196">
        <f>'Propylene Recycling HC'!D108*'Propylene Recycling HC'!D44-'Propylene Recycling HC'!$C$108*'Propylene Recycling HC'!$C$44</f>
        <v>107.95537673507235</v>
      </c>
      <c r="F55" s="196">
        <f>'Propylene Recycling HC'!E108*'Propylene Recycling HC'!E44-'Propylene Recycling HC'!$C$108*'Propylene Recycling HC'!$C$44</f>
        <v>216.04167844781759</v>
      </c>
      <c r="G55" s="196">
        <f>'Propylene Recycling HC'!F108*'Propylene Recycling HC'!F44-'Propylene Recycling HC'!$C$108*'Propylene Recycling HC'!$C$44</f>
        <v>324.25890513823595</v>
      </c>
      <c r="H55" s="196">
        <f>'Propylene Recycling HC'!G108*'Propylene Recycling HC'!G44-'Propylene Recycling HC'!$C$108*'Propylene Recycling HC'!$C$44</f>
        <v>432.60705680632714</v>
      </c>
      <c r="I55" s="196">
        <f>'Propylene Recycling HC'!H108*'Propylene Recycling HC'!H44-'Propylene Recycling HC'!$C$108*'Propylene Recycling HC'!$C$44</f>
        <v>541.08613345209119</v>
      </c>
      <c r="J55" s="196">
        <f>'Propylene Recycling HC'!I108*'Propylene Recycling HC'!I44-'Propylene Recycling HC'!$C$108*'Propylene Recycling HC'!$C$44</f>
        <v>649.69613507552833</v>
      </c>
      <c r="K55" s="196">
        <f>'Propylene Recycling HC'!J108*'Propylene Recycling HC'!J44-'Propylene Recycling HC'!$C$108*'Propylene Recycling HC'!$C$44</f>
        <v>758.43706167663845</v>
      </c>
      <c r="L55" s="196">
        <f>'Propylene Recycling HC'!K108*'Propylene Recycling HC'!K44-'Propylene Recycling HC'!$C$108*'Propylene Recycling HC'!$C$44</f>
        <v>867.30891325542132</v>
      </c>
      <c r="M55" s="196">
        <f>'Propylene Recycling HC'!L108*'Propylene Recycling HC'!L44-'Propylene Recycling HC'!$C$108*'Propylene Recycling HC'!$C$44</f>
        <v>976.31168981187727</v>
      </c>
      <c r="N55" s="196">
        <f>'Propylene Recycling HC'!M108*'Propylene Recycling HC'!M44-'Propylene Recycling HC'!$C$108*'Propylene Recycling HC'!$C$44</f>
        <v>1085.4453913460061</v>
      </c>
      <c r="O55" s="196">
        <f>'Propylene Recycling HC'!N108*'Propylene Recycling HC'!N44-'Propylene Recycling HC'!$C$108*'Propylene Recycling HC'!$C$44</f>
        <v>1293.0145838009942</v>
      </c>
      <c r="P55" s="196">
        <f>'Propylene Recycling HC'!O108*'Propylene Recycling HC'!O44-'Propylene Recycling HC'!$C$108*'Propylene Recycling HC'!$C$44</f>
        <v>1500.8333519946716</v>
      </c>
      <c r="Q55" s="196">
        <f>'Propylene Recycling HC'!P108*'Propylene Recycling HC'!P44-'Propylene Recycling HC'!$C$108*'Propylene Recycling HC'!$C$44</f>
        <v>1708.901695927038</v>
      </c>
      <c r="R55" s="196">
        <f>'Propylene Recycling HC'!Q108*'Propylene Recycling HC'!Q44-'Propylene Recycling HC'!$C$108*'Propylene Recycling HC'!$C$44</f>
        <v>1917.2196155980932</v>
      </c>
      <c r="S55" s="196">
        <f>'Propylene Recycling HC'!R108*'Propylene Recycling HC'!R44-'Propylene Recycling HC'!$C$108*'Propylene Recycling HC'!$C$44</f>
        <v>2125.7871110078377</v>
      </c>
      <c r="T55" s="196">
        <f>'Propylene Recycling HC'!S108*'Propylene Recycling HC'!S44-'Propylene Recycling HC'!$C$108*'Propylene Recycling HC'!$C$44</f>
        <v>2334.6041821562712</v>
      </c>
      <c r="U55" s="196">
        <f>'Propylene Recycling HC'!T108*'Propylene Recycling HC'!T44-'Propylene Recycling HC'!$C$108*'Propylene Recycling HC'!$C$44</f>
        <v>2543.670829043394</v>
      </c>
      <c r="V55" s="196">
        <f>'Propylene Recycling HC'!U108*'Propylene Recycling HC'!U44-'Propylene Recycling HC'!$C$108*'Propylene Recycling HC'!$C$44</f>
        <v>2752.9870516692054</v>
      </c>
      <c r="W55" s="196">
        <f>'Propylene Recycling HC'!V108*'Propylene Recycling HC'!V44-'Propylene Recycling HC'!$C$108*'Propylene Recycling HC'!$C$44</f>
        <v>2962.5528500337064</v>
      </c>
      <c r="X55" s="196">
        <f>'Propylene Recycling HC'!W108*'Propylene Recycling HC'!W44-'Propylene Recycling HC'!$C$108*'Propylene Recycling HC'!$C$44</f>
        <v>3172.3682241368956</v>
      </c>
      <c r="Y55" s="196">
        <f>'Propylene Recycling HC'!X108*'Propylene Recycling HC'!X44-'Propylene Recycling HC'!$C$108*'Propylene Recycling HC'!$C$44</f>
        <v>3543.0611911255673</v>
      </c>
      <c r="Z55" s="196">
        <f>'Propylene Recycling HC'!Y108*'Propylene Recycling HC'!Y44-'Propylene Recycling HC'!$C$108*'Propylene Recycling HC'!$C$44</f>
        <v>3914.1964442334342</v>
      </c>
      <c r="AA55" s="196">
        <f>'Propylene Recycling HC'!Z108*'Propylene Recycling HC'!Z44-'Propylene Recycling HC'!$C$108*'Propylene Recycling HC'!$C$44</f>
        <v>4285.7739834604972</v>
      </c>
      <c r="AB55" s="196">
        <f>'Propylene Recycling HC'!AA108*'Propylene Recycling HC'!AA44-'Propylene Recycling HC'!$C$108*'Propylene Recycling HC'!$C$44</f>
        <v>4657.7938088067567</v>
      </c>
      <c r="AC55" s="196">
        <f>'Propylene Recycling HC'!AB108*'Propylene Recycling HC'!AB44-'Propylene Recycling HC'!$C$108*'Propylene Recycling HC'!$C$44</f>
        <v>5030.2559202722114</v>
      </c>
      <c r="AD55" s="196">
        <f>'Propylene Recycling HC'!AC108*'Propylene Recycling HC'!AC44-'Propylene Recycling HC'!$C$108*'Propylene Recycling HC'!$C$44</f>
        <v>5403.1603178568603</v>
      </c>
      <c r="AE55" s="196">
        <f>'Propylene Recycling HC'!AD108*'Propylene Recycling HC'!AD44-'Propylene Recycling HC'!$C$108*'Propylene Recycling HC'!$C$44</f>
        <v>5776.5070015607062</v>
      </c>
      <c r="AF55" s="196">
        <f>'Propylene Recycling HC'!AE108*'Propylene Recycling HC'!AE44-'Propylene Recycling HC'!$C$108*'Propylene Recycling HC'!$C$44</f>
        <v>6150.295971383749</v>
      </c>
      <c r="AG55" s="196">
        <f>'Propylene Recycling HC'!AF108*'Propylene Recycling HC'!AF44-'Propylene Recycling HC'!$C$108*'Propylene Recycling HC'!$C$44</f>
        <v>6524.527227325987</v>
      </c>
      <c r="AH55" s="196">
        <f>'Propylene Recycling HC'!AG108*'Propylene Recycling HC'!AG44-'Propylene Recycling HC'!$C$108*'Propylene Recycling HC'!$C$44</f>
        <v>6899.2007693874311</v>
      </c>
    </row>
    <row r="56" spans="1:36" outlineLevel="1">
      <c r="A56"/>
      <c r="B56" t="s">
        <v>264</v>
      </c>
      <c r="C56" s="51" t="s">
        <v>166</v>
      </c>
      <c r="D56" s="196">
        <f>0</f>
        <v>0</v>
      </c>
      <c r="E56" s="196">
        <f>'Propylene Recycling HC'!D64*'Propylene Recycling HC'!D42-'Propylene Recycling HC'!$C$64*'Propylene Recycling HC'!$C$42</f>
        <v>1142.5709165101034</v>
      </c>
      <c r="F56" s="196">
        <f>'Propylene Recycling HC'!E64*'Propylene Recycling HC'!E42-'Propylene Recycling HC'!$C$64*'Propylene Recycling HC'!$C$42</f>
        <v>2306.8873785570031</v>
      </c>
      <c r="G56" s="196">
        <f>'Propylene Recycling HC'!F64*'Propylene Recycling HC'!F42-'Propylene Recycling HC'!$C$64*'Propylene Recycling HC'!$C$42</f>
        <v>3492.4243049041652</v>
      </c>
      <c r="H56" s="196">
        <f>'Propylene Recycling HC'!G64*'Propylene Recycling HC'!G42-'Propylene Recycling HC'!$C$64*'Propylene Recycling HC'!$C$42</f>
        <v>4698.6566143150667</v>
      </c>
      <c r="I56" s="196">
        <f>'Propylene Recycling HC'!H64*'Propylene Recycling HC'!H42-'Propylene Recycling HC'!$C$64*'Propylene Recycling HC'!$C$42</f>
        <v>5925.0592255531592</v>
      </c>
      <c r="J56" s="196">
        <f>'Propylene Recycling HC'!I64*'Propylene Recycling HC'!I42-'Propylene Recycling HC'!$C$64*'Propylene Recycling HC'!$C$42</f>
        <v>7171.107057381927</v>
      </c>
      <c r="K56" s="196">
        <f>'Propylene Recycling HC'!J64*'Propylene Recycling HC'!J42-'Propylene Recycling HC'!$C$64*'Propylene Recycling HC'!$C$42</f>
        <v>8436.2750285648399</v>
      </c>
      <c r="L56" s="196">
        <f>'Propylene Recycling HC'!K64*'Propylene Recycling HC'!K42-'Propylene Recycling HC'!$C$64*'Propylene Recycling HC'!$C$42</f>
        <v>9720.0380578653676</v>
      </c>
      <c r="M56" s="196">
        <f>'Propylene Recycling HC'!L64*'Propylene Recycling HC'!L42-'Propylene Recycling HC'!$C$64*'Propylene Recycling HC'!$C$42</f>
        <v>11021.871064046962</v>
      </c>
      <c r="N56" s="196">
        <f>'Propylene Recycling HC'!M64*'Propylene Recycling HC'!M42-'Propylene Recycling HC'!$C$64*'Propylene Recycling HC'!$C$42</f>
        <v>12341.248965873106</v>
      </c>
      <c r="O56" s="196">
        <f>'Propylene Recycling HC'!N64*'Propylene Recycling HC'!N42-'Propylene Recycling HC'!$C$64*'Propylene Recycling HC'!$C$42</f>
        <v>14698.586001425145</v>
      </c>
      <c r="P56" s="196">
        <f>'Propylene Recycling HC'!O64*'Propylene Recycling HC'!O42-'Propylene Recycling HC'!$C$64*'Propylene Recycling HC'!$C$42</f>
        <v>17107.097016084423</v>
      </c>
      <c r="Q56" s="196">
        <f>'Propylene Recycling HC'!P64*'Propylene Recycling HC'!P42-'Propylene Recycling HC'!$C$64*'Propylene Recycling HC'!$C$42</f>
        <v>19509.338135738537</v>
      </c>
      <c r="R56" s="196">
        <f>'Propylene Recycling HC'!Q64*'Propylene Recycling HC'!Q42-'Propylene Recycling HC'!$C$64*'Propylene Recycling HC'!$C$42</f>
        <v>21934.280539084233</v>
      </c>
      <c r="S56" s="196">
        <f>'Propylene Recycling HC'!R64*'Propylene Recycling HC'!R42-'Propylene Recycling HC'!$C$64*'Propylene Recycling HC'!$C$42</f>
        <v>24379.880193386569</v>
      </c>
      <c r="T56" s="196">
        <f>'Propylene Recycling HC'!S64*'Propylene Recycling HC'!S42-'Propylene Recycling HC'!$C$64*'Propylene Recycling HC'!$C$42</f>
        <v>26844.093065910587</v>
      </c>
      <c r="U56" s="196">
        <f>'Propylene Recycling HC'!T64*'Propylene Recycling HC'!T42-'Propylene Recycling HC'!$C$64*'Propylene Recycling HC'!$C$42</f>
        <v>29324.875123921396</v>
      </c>
      <c r="V56" s="196">
        <f>'Propylene Recycling HC'!U64*'Propylene Recycling HC'!U42-'Propylene Recycling HC'!$C$64*'Propylene Recycling HC'!$C$42</f>
        <v>31820.182334683996</v>
      </c>
      <c r="W56" s="196">
        <f>'Propylene Recycling HC'!V64*'Propylene Recycling HC'!V42-'Propylene Recycling HC'!$C$64*'Propylene Recycling HC'!$C$42</f>
        <v>34327.970665463472</v>
      </c>
      <c r="X56" s="196">
        <f>'Propylene Recycling HC'!W64*'Propylene Recycling HC'!W42-'Propylene Recycling HC'!$C$64*'Propylene Recycling HC'!$C$42</f>
        <v>36846.196083524876</v>
      </c>
      <c r="Y56" s="196">
        <f>'Propylene Recycling HC'!X64*'Propylene Recycling HC'!X42-'Propylene Recycling HC'!$C$64*'Propylene Recycling HC'!$C$42</f>
        <v>40322.240005138141</v>
      </c>
      <c r="Z56" s="196">
        <f>'Propylene Recycling HC'!Y64*'Propylene Recycling HC'!Y42-'Propylene Recycling HC'!$C$64*'Propylene Recycling HC'!$C$42</f>
        <v>44149.403847947222</v>
      </c>
      <c r="AA56" s="196">
        <f>'Propylene Recycling HC'!Z64*'Propylene Recycling HC'!Z42-'Propylene Recycling HC'!$C$64*'Propylene Recycling HC'!$C$42</f>
        <v>47995.284082761777</v>
      </c>
      <c r="AB56" s="196">
        <f>'Propylene Recycling HC'!AA64*'Propylene Recycling HC'!AA42-'Propylene Recycling HC'!$C$64*'Propylene Recycling HC'!$C$42</f>
        <v>51856.680043674089</v>
      </c>
      <c r="AC56" s="196">
        <f>'Propylene Recycling HC'!AB64*'Propylene Recycling HC'!AB42-'Propylene Recycling HC'!$C$64*'Propylene Recycling HC'!$C$42</f>
        <v>55730.391064776501</v>
      </c>
      <c r="AD56" s="196">
        <f>'Propylene Recycling HC'!AC64*'Propylene Recycling HC'!AC42-'Propylene Recycling HC'!$C$64*'Propylene Recycling HC'!$C$42</f>
        <v>59613.216480161311</v>
      </c>
      <c r="AE56" s="196">
        <f>'Propylene Recycling HC'!AD64*'Propylene Recycling HC'!AD42-'Propylene Recycling HC'!$C$64*'Propylene Recycling HC'!$C$42</f>
        <v>63501.955623920832</v>
      </c>
      <c r="AF56" s="196">
        <f>'Propylene Recycling HC'!AE64*'Propylene Recycling HC'!AE42-'Propylene Recycling HC'!$C$64*'Propylene Recycling HC'!$C$42</f>
        <v>67393.407830147364</v>
      </c>
      <c r="AG56" s="196">
        <f>'Propylene Recycling HC'!AF64*'Propylene Recycling HC'!AF42-'Propylene Recycling HC'!$C$64*'Propylene Recycling HC'!$C$42</f>
        <v>71284.372432933262</v>
      </c>
      <c r="AH56" s="196">
        <f>'Propylene Recycling HC'!AG64*'Propylene Recycling HC'!AG42-'Propylene Recycling HC'!$C$64*'Propylene Recycling HC'!$C$42</f>
        <v>75171.648766371</v>
      </c>
    </row>
    <row r="57" spans="1:36" outlineLevel="1">
      <c r="A57"/>
      <c r="B57" t="s">
        <v>266</v>
      </c>
      <c r="C57" s="51" t="s">
        <v>166</v>
      </c>
      <c r="D57" s="196">
        <f>0</f>
        <v>0</v>
      </c>
      <c r="E57" s="196">
        <f>'Propylene Recycling HC'!D101*'Propylene Recycling HC'!D45-'Propylene Recycling HC'!$C$101*'Propylene Recycling HC'!$C$45</f>
        <v>0</v>
      </c>
      <c r="F57" s="196">
        <f>'Propylene Recycling HC'!E101*'Propylene Recycling HC'!E45-'Propylene Recycling HC'!$C$101*'Propylene Recycling HC'!$C$45</f>
        <v>0</v>
      </c>
      <c r="G57" s="196">
        <f>'Propylene Recycling HC'!F101*'Propylene Recycling HC'!F45-'Propylene Recycling HC'!$C$101*'Propylene Recycling HC'!$C$45</f>
        <v>0</v>
      </c>
      <c r="H57" s="196">
        <f>'Propylene Recycling HC'!G101*'Propylene Recycling HC'!G45-'Propylene Recycling HC'!$C$101*'Propylene Recycling HC'!$C$45</f>
        <v>0</v>
      </c>
      <c r="I57" s="196">
        <f>'Propylene Recycling HC'!H101*'Propylene Recycling HC'!H45-'Propylene Recycling HC'!$C$101*'Propylene Recycling HC'!$C$45</f>
        <v>0</v>
      </c>
      <c r="J57" s="196">
        <f>'Propylene Recycling HC'!I101*'Propylene Recycling HC'!I45-'Propylene Recycling HC'!$C$101*'Propylene Recycling HC'!$C$45</f>
        <v>0</v>
      </c>
      <c r="K57" s="196">
        <f>'Propylene Recycling HC'!J101*'Propylene Recycling HC'!J45-'Propylene Recycling HC'!$C$101*'Propylene Recycling HC'!$C$45</f>
        <v>0</v>
      </c>
      <c r="L57" s="196">
        <f>'Propylene Recycling HC'!K101*'Propylene Recycling HC'!K45-'Propylene Recycling HC'!$C$101*'Propylene Recycling HC'!$C$45</f>
        <v>0</v>
      </c>
      <c r="M57" s="196">
        <f>'Propylene Recycling HC'!L101*'Propylene Recycling HC'!L45-'Propylene Recycling HC'!$C$101*'Propylene Recycling HC'!$C$45</f>
        <v>0</v>
      </c>
      <c r="N57" s="196">
        <f>'Propylene Recycling HC'!M101*'Propylene Recycling HC'!M45-'Propylene Recycling HC'!$C$101*'Propylene Recycling HC'!$C$45</f>
        <v>0</v>
      </c>
      <c r="O57" s="196">
        <f>'Propylene Recycling HC'!N101*'Propylene Recycling HC'!N45-'Propylene Recycling HC'!$C$101*'Propylene Recycling HC'!$C$45</f>
        <v>0</v>
      </c>
      <c r="P57" s="196">
        <f>'Propylene Recycling HC'!O101*'Propylene Recycling HC'!O45-'Propylene Recycling HC'!$C$101*'Propylene Recycling HC'!$C$45</f>
        <v>0</v>
      </c>
      <c r="Q57" s="196">
        <f>'Propylene Recycling HC'!P101*'Propylene Recycling HC'!P45-'Propylene Recycling HC'!$C$101*'Propylene Recycling HC'!$C$45</f>
        <v>0</v>
      </c>
      <c r="R57" s="196">
        <f>'Propylene Recycling HC'!Q101*'Propylene Recycling HC'!Q45-'Propylene Recycling HC'!$C$101*'Propylene Recycling HC'!$C$45</f>
        <v>0</v>
      </c>
      <c r="S57" s="196">
        <f>'Propylene Recycling HC'!R101*'Propylene Recycling HC'!R45-'Propylene Recycling HC'!$C$101*'Propylene Recycling HC'!$C$45</f>
        <v>0</v>
      </c>
      <c r="T57" s="196">
        <f>'Propylene Recycling HC'!S101*'Propylene Recycling HC'!S45-'Propylene Recycling HC'!$C$101*'Propylene Recycling HC'!$C$45</f>
        <v>0</v>
      </c>
      <c r="U57" s="196">
        <f>'Propylene Recycling HC'!T101*'Propylene Recycling HC'!T45-'Propylene Recycling HC'!$C$101*'Propylene Recycling HC'!$C$45</f>
        <v>0</v>
      </c>
      <c r="V57" s="196">
        <f>'Propylene Recycling HC'!U101*'Propylene Recycling HC'!U45-'Propylene Recycling HC'!$C$101*'Propylene Recycling HC'!$C$45</f>
        <v>0</v>
      </c>
      <c r="W57" s="196">
        <f>'Propylene Recycling HC'!V101*'Propylene Recycling HC'!V45-'Propylene Recycling HC'!$C$101*'Propylene Recycling HC'!$C$45</f>
        <v>0</v>
      </c>
      <c r="X57" s="196">
        <f>'Propylene Recycling HC'!W101*'Propylene Recycling HC'!W45-'Propylene Recycling HC'!$C$101*'Propylene Recycling HC'!$C$45</f>
        <v>0</v>
      </c>
      <c r="Y57" s="196">
        <f>'Propylene Recycling HC'!X101*'Propylene Recycling HC'!X45-'Propylene Recycling HC'!$C$101*'Propylene Recycling HC'!$C$45</f>
        <v>0</v>
      </c>
      <c r="Z57" s="196">
        <f>'Propylene Recycling HC'!Y101*'Propylene Recycling HC'!Y45-'Propylene Recycling HC'!$C$101*'Propylene Recycling HC'!$C$45</f>
        <v>0</v>
      </c>
      <c r="AA57" s="196">
        <f>'Propylene Recycling HC'!Z101*'Propylene Recycling HC'!Z45-'Propylene Recycling HC'!$C$101*'Propylene Recycling HC'!$C$45</f>
        <v>0</v>
      </c>
      <c r="AB57" s="196">
        <f>'Propylene Recycling HC'!AA101*'Propylene Recycling HC'!AA45-'Propylene Recycling HC'!$C$101*'Propylene Recycling HC'!$C$45</f>
        <v>0</v>
      </c>
      <c r="AC57" s="196">
        <f>'Propylene Recycling HC'!AB101*'Propylene Recycling HC'!AB45-'Propylene Recycling HC'!$C$101*'Propylene Recycling HC'!$C$45</f>
        <v>0</v>
      </c>
      <c r="AD57" s="196">
        <f>'Propylene Recycling HC'!AC101*'Propylene Recycling HC'!AC45-'Propylene Recycling HC'!$C$101*'Propylene Recycling HC'!$C$45</f>
        <v>0</v>
      </c>
      <c r="AE57" s="196">
        <f>'Propylene Recycling HC'!AD101*'Propylene Recycling HC'!AD45-'Propylene Recycling HC'!$C$101*'Propylene Recycling HC'!$C$45</f>
        <v>0</v>
      </c>
      <c r="AF57" s="196">
        <f>'Propylene Recycling HC'!AE101*'Propylene Recycling HC'!AE45-'Propylene Recycling HC'!$C$101*'Propylene Recycling HC'!$C$45</f>
        <v>0</v>
      </c>
      <c r="AG57" s="196">
        <f>'Propylene Recycling HC'!AF101*'Propylene Recycling HC'!AF45-'Propylene Recycling HC'!$C$101*'Propylene Recycling HC'!$C$45</f>
        <v>0</v>
      </c>
      <c r="AH57" s="196">
        <f>'Propylene Recycling HC'!AG101*'Propylene Recycling HC'!AG45-'Propylene Recycling HC'!$C$101*'Propylene Recycling HC'!$C$45</f>
        <v>0</v>
      </c>
    </row>
    <row r="58" spans="1:36" outlineLevel="1">
      <c r="A58" s="169"/>
      <c r="B58" s="169" t="s">
        <v>265</v>
      </c>
      <c r="C58" s="165" t="s">
        <v>166</v>
      </c>
      <c r="D58" s="613">
        <f>0</f>
        <v>0</v>
      </c>
      <c r="E58" s="613">
        <f>'Propylene Recycling HC'!D86*'Propylene Recycling HC'!D43-'Propylene Recycling HC'!$C$86*'Propylene Recycling HC'!$C$43</f>
        <v>510.72614146331125</v>
      </c>
      <c r="F58" s="613">
        <f>'Propylene Recycling HC'!E86*'Propylene Recycling HC'!E43-'Propylene Recycling HC'!$C$86*'Propylene Recycling HC'!$C$43</f>
        <v>1008.3187452779625</v>
      </c>
      <c r="G58" s="613">
        <f>'Propylene Recycling HC'!F86*'Propylene Recycling HC'!F43-'Propylene Recycling HC'!$C$86*'Propylene Recycling HC'!$C$43</f>
        <v>1492.8537629762163</v>
      </c>
      <c r="H58" s="613">
        <f>'Propylene Recycling HC'!G86*'Propylene Recycling HC'!G43-'Propylene Recycling HC'!$C$86*'Propylene Recycling HC'!$C$43</f>
        <v>1964.4071460903347</v>
      </c>
      <c r="I58" s="613">
        <f>'Propylene Recycling HC'!H86*'Propylene Recycling HC'!H43-'Propylene Recycling HC'!$C$86*'Propylene Recycling HC'!$C$43</f>
        <v>2423.0548461525805</v>
      </c>
      <c r="J58" s="613">
        <f>'Propylene Recycling HC'!I86*'Propylene Recycling HC'!I43-'Propylene Recycling HC'!$C$86*'Propylene Recycling HC'!$C$43</f>
        <v>2868.8728146952135</v>
      </c>
      <c r="K58" s="613">
        <f>'Propylene Recycling HC'!J86*'Propylene Recycling HC'!J43-'Propylene Recycling HC'!$C$86*'Propylene Recycling HC'!$C$43</f>
        <v>3301.9370032505003</v>
      </c>
      <c r="L58" s="613">
        <f>'Propylene Recycling HC'!K86*'Propylene Recycling HC'!K43-'Propylene Recycling HC'!$C$86*'Propylene Recycling HC'!$C$43</f>
        <v>3722.3233633506998</v>
      </c>
      <c r="M58" s="613">
        <f>'Propylene Recycling HC'!L86*'Propylene Recycling HC'!L43-'Propylene Recycling HC'!$C$86*'Propylene Recycling HC'!$C$43</f>
        <v>4130.1078465280725</v>
      </c>
      <c r="N58" s="613">
        <f>'Propylene Recycling HC'!M86*'Propylene Recycling HC'!M43-'Propylene Recycling HC'!$C$86*'Propylene Recycling HC'!$C$43</f>
        <v>4525.3664043148829</v>
      </c>
      <c r="O58" s="613">
        <f>'Propylene Recycling HC'!N86*'Propylene Recycling HC'!N43-'Propylene Recycling HC'!$C$86*'Propylene Recycling HC'!$C$43</f>
        <v>5334.8884103052378</v>
      </c>
      <c r="P58" s="613">
        <f>'Propylene Recycling HC'!O86*'Propylene Recycling HC'!O43-'Propylene Recycling HC'!$C$86*'Propylene Recycling HC'!$C$43</f>
        <v>6120.506139272693</v>
      </c>
      <c r="Q58" s="613">
        <f>'Propylene Recycling HC'!P86*'Propylene Recycling HC'!P43-'Propylene Recycling HC'!$C$86*'Propylene Recycling HC'!$C$43</f>
        <v>6851.9469332156605</v>
      </c>
      <c r="R58" s="613">
        <f>'Propylene Recycling HC'!Q86*'Propylene Recycling HC'!Q43-'Propylene Recycling HC'!$C$86*'Propylene Recycling HC'!$C$43</f>
        <v>7554.673190412761</v>
      </c>
      <c r="S58" s="613">
        <f>'Propylene Recycling HC'!R86*'Propylene Recycling HC'!R43-'Propylene Recycling HC'!$C$86*'Propylene Recycling HC'!$C$43</f>
        <v>8229.0538035039463</v>
      </c>
      <c r="T58" s="613">
        <f>'Propylene Recycling HC'!S86*'Propylene Recycling HC'!S43-'Propylene Recycling HC'!$C$86*'Propylene Recycling HC'!$C$43</f>
        <v>8875.456995437391</v>
      </c>
      <c r="U58" s="613">
        <f>'Propylene Recycling HC'!T86*'Propylene Recycling HC'!T43-'Propylene Recycling HC'!$C$86*'Propylene Recycling HC'!$C$43</f>
        <v>9494.2502891069234</v>
      </c>
      <c r="V58" s="613">
        <f>'Propylene Recycling HC'!U86*'Propylene Recycling HC'!U43-'Propylene Recycling HC'!$C$86*'Propylene Recycling HC'!$C$43</f>
        <v>10085.800477230276</v>
      </c>
      <c r="W58" s="613">
        <f>'Propylene Recycling HC'!V86*'Propylene Recycling HC'!V43-'Propylene Recycling HC'!$C$86*'Propylene Recycling HC'!$C$43</f>
        <v>10650.473592468104</v>
      </c>
      <c r="X58" s="613">
        <f>'Propylene Recycling HC'!W86*'Propylene Recycling HC'!W43-'Propylene Recycling HC'!$C$86*'Propylene Recycling HC'!$C$43</f>
        <v>11188.634877783876</v>
      </c>
      <c r="Y58" s="613">
        <f>'Propylene Recycling HC'!X86*'Propylene Recycling HC'!X43-'Propylene Recycling HC'!$C$86*'Propylene Recycling HC'!$C$43</f>
        <v>12283.173573368524</v>
      </c>
      <c r="Z58" s="613">
        <f>'Propylene Recycling HC'!Y86*'Propylene Recycling HC'!Y43-'Propylene Recycling HC'!$C$86*'Propylene Recycling HC'!$C$43</f>
        <v>13330.393232980688</v>
      </c>
      <c r="AA58" s="613">
        <f>'Propylene Recycling HC'!Z86*'Propylene Recycling HC'!Z43-'Propylene Recycling HC'!$C$86*'Propylene Recycling HC'!$C$43</f>
        <v>14196.327205655009</v>
      </c>
      <c r="AB58" s="613">
        <f>'Propylene Recycling HC'!AA86*'Propylene Recycling HC'!AA43-'Propylene Recycling HC'!$C$86*'Propylene Recycling HC'!$C$43</f>
        <v>14999.115738700139</v>
      </c>
      <c r="AC58" s="613">
        <f>'Propylene Recycling HC'!AB86*'Propylene Recycling HC'!AB43-'Propylene Recycling HC'!$C$86*'Propylene Recycling HC'!$C$43</f>
        <v>15740.309042313265</v>
      </c>
      <c r="AD58" s="613">
        <f>'Propylene Recycling HC'!AC86*'Propylene Recycling HC'!AC43-'Propylene Recycling HC'!$C$86*'Propylene Recycling HC'!$C$43</f>
        <v>16421.459764419749</v>
      </c>
      <c r="AE58" s="613">
        <f>'Propylene Recycling HC'!AD86*'Propylene Recycling HC'!AD43-'Propylene Recycling HC'!$C$86*'Propylene Recycling HC'!$C$43</f>
        <v>17044.122184304448</v>
      </c>
      <c r="AF58" s="613">
        <f>'Propylene Recycling HC'!AE86*'Propylene Recycling HC'!AE43-'Propylene Recycling HC'!$C$86*'Propylene Recycling HC'!$C$43</f>
        <v>17609.851415844598</v>
      </c>
      <c r="AG58" s="613">
        <f>'Propylene Recycling HC'!AF86*'Propylene Recycling HC'!AF43-'Propylene Recycling HC'!$C$86*'Propylene Recycling HC'!$C$43</f>
        <v>18120.202620344324</v>
      </c>
      <c r="AH58" s="613">
        <f>'Propylene Recycling HC'!AG86*'Propylene Recycling HC'!AG43-'Propylene Recycling HC'!$C$86*'Propylene Recycling HC'!$C$43</f>
        <v>2772.0499293295989</v>
      </c>
    </row>
    <row r="59" spans="1:36" s="63" customFormat="1">
      <c r="A59" s="224"/>
      <c r="B59" s="224" t="s">
        <v>263</v>
      </c>
      <c r="C59" s="225" t="s">
        <v>166</v>
      </c>
      <c r="D59" s="620">
        <f>D54-D55-D56-D57-D58</f>
        <v>137707.45987773585</v>
      </c>
      <c r="E59" s="620">
        <f t="shared" ref="E59:AH59" si="24">E54-E55-E56-E57-E58</f>
        <v>133446.81704624643</v>
      </c>
      <c r="F59" s="620">
        <f t="shared" si="24"/>
        <v>129177.43128189124</v>
      </c>
      <c r="G59" s="620">
        <f t="shared" si="24"/>
        <v>124899.75171437451</v>
      </c>
      <c r="H59" s="620">
        <f t="shared" si="24"/>
        <v>120614.22747340049</v>
      </c>
      <c r="I59" s="620">
        <f t="shared" si="24"/>
        <v>116321.30768867349</v>
      </c>
      <c r="J59" s="620">
        <f t="shared" si="24"/>
        <v>112021.44148989773</v>
      </c>
      <c r="K59" s="620">
        <f t="shared" si="24"/>
        <v>107715.07800677753</v>
      </c>
      <c r="L59" s="620">
        <f t="shared" si="24"/>
        <v>103402.66636901711</v>
      </c>
      <c r="M59" s="620">
        <f t="shared" si="24"/>
        <v>99084.655706320773</v>
      </c>
      <c r="N59" s="620">
        <f t="shared" si="24"/>
        <v>94761.495148392787</v>
      </c>
      <c r="O59" s="620">
        <f t="shared" si="24"/>
        <v>88887.676517614498</v>
      </c>
      <c r="P59" s="620">
        <f t="shared" si="24"/>
        <v>82986.338609013168</v>
      </c>
      <c r="Q59" s="620">
        <f t="shared" si="24"/>
        <v>77145.197954702831</v>
      </c>
      <c r="R59" s="620">
        <f t="shared" si="24"/>
        <v>71309.820977708077</v>
      </c>
      <c r="S59" s="620">
        <f t="shared" si="24"/>
        <v>65481.882818123908</v>
      </c>
      <c r="T59" s="620">
        <f t="shared" si="24"/>
        <v>59663.059285737108</v>
      </c>
      <c r="U59" s="620">
        <f t="shared" si="24"/>
        <v>53855.026890388734</v>
      </c>
      <c r="V59" s="620">
        <f t="shared" si="24"/>
        <v>48059.462872096054</v>
      </c>
      <c r="W59" s="620">
        <f t="shared" si="24"/>
        <v>42278.045230933349</v>
      </c>
      <c r="X59" s="620">
        <f t="shared" si="24"/>
        <v>36512.452756672079</v>
      </c>
      <c r="Y59" s="620">
        <f t="shared" si="24"/>
        <v>28996.047672771831</v>
      </c>
      <c r="Z59" s="620">
        <f t="shared" si="24"/>
        <v>21175.399417529068</v>
      </c>
      <c r="AA59" s="620">
        <f t="shared" si="24"/>
        <v>13516.878171099463</v>
      </c>
      <c r="AB59" s="620">
        <f t="shared" si="24"/>
        <v>5905.54435208209</v>
      </c>
      <c r="AC59" s="620">
        <f t="shared" si="24"/>
        <v>-1656.9515838125644</v>
      </c>
      <c r="AD59" s="620">
        <f t="shared" si="24"/>
        <v>-9168.961618602174</v>
      </c>
      <c r="AE59" s="620">
        <f t="shared" si="24"/>
        <v>-16628.83936566388</v>
      </c>
      <c r="AF59" s="620">
        <f t="shared" si="24"/>
        <v>-24034.939272967262</v>
      </c>
      <c r="AG59" s="620">
        <f t="shared" si="24"/>
        <v>-31385.6158359088</v>
      </c>
      <c r="AH59" s="620">
        <f t="shared" si="24"/>
        <v>-22874.542520106912</v>
      </c>
    </row>
    <row r="60" spans="1:36">
      <c r="A60" s="167" t="s">
        <v>304</v>
      </c>
      <c r="B60" s="226" t="s">
        <v>195</v>
      </c>
      <c r="C60" s="227" t="s">
        <v>166</v>
      </c>
      <c r="D60" s="627">
        <f>D35+D38</f>
        <v>368256.49460398941</v>
      </c>
      <c r="E60" s="627">
        <f t="shared" ref="E60:AH60" si="25">E35+E38</f>
        <v>362685.69282758463</v>
      </c>
      <c r="F60" s="627">
        <f t="shared" si="25"/>
        <v>357103.58796224702</v>
      </c>
      <c r="G60" s="627">
        <f t="shared" si="25"/>
        <v>351510.34856865701</v>
      </c>
      <c r="H60" s="627">
        <f t="shared" si="25"/>
        <v>345906.15220515075</v>
      </c>
      <c r="I60" s="627">
        <f t="shared" si="25"/>
        <v>340291.18568492663</v>
      </c>
      <c r="J60" s="627">
        <f t="shared" si="25"/>
        <v>334665.64533939585</v>
      </c>
      <c r="K60" s="627">
        <f t="shared" si="25"/>
        <v>329029.73728781322</v>
      </c>
      <c r="L60" s="627">
        <f t="shared" si="25"/>
        <v>323383.67771332327</v>
      </c>
      <c r="M60" s="627">
        <f t="shared" si="25"/>
        <v>317727.69314556493</v>
      </c>
      <c r="N60" s="627">
        <f t="shared" si="25"/>
        <v>312062.02074997465</v>
      </c>
      <c r="O60" s="627">
        <f t="shared" si="25"/>
        <v>306386.90862393699</v>
      </c>
      <c r="P60" s="627">
        <f t="shared" si="25"/>
        <v>300702.6160999299</v>
      </c>
      <c r="Q60" s="627">
        <f t="shared" si="25"/>
        <v>295009.41405581747</v>
      </c>
      <c r="R60" s="627">
        <f t="shared" si="25"/>
        <v>289307.58523244597</v>
      </c>
      <c r="S60" s="627">
        <f t="shared" si="25"/>
        <v>283597.42455870245</v>
      </c>
      <c r="T60" s="627">
        <f t="shared" si="25"/>
        <v>277879.23948419455</v>
      </c>
      <c r="U60" s="627">
        <f t="shared" si="25"/>
        <v>272153.35031972191</v>
      </c>
      <c r="V60" s="627">
        <f t="shared" si="25"/>
        <v>266420.09058570291</v>
      </c>
      <c r="W60" s="627">
        <f t="shared" si="25"/>
        <v>260679.80736873223</v>
      </c>
      <c r="X60" s="627">
        <f t="shared" si="25"/>
        <v>254932.86168644318</v>
      </c>
      <c r="Y60" s="627">
        <f t="shared" si="25"/>
        <v>249121.77429181416</v>
      </c>
      <c r="Z60" s="627">
        <f t="shared" si="25"/>
        <v>243306.59132018371</v>
      </c>
      <c r="AA60" s="627">
        <f t="shared" si="25"/>
        <v>237487.76379696905</v>
      </c>
      <c r="AB60" s="627">
        <f t="shared" si="25"/>
        <v>231665.75926607338</v>
      </c>
      <c r="AC60" s="627">
        <f t="shared" si="25"/>
        <v>225841.06222116822</v>
      </c>
      <c r="AD60" s="627">
        <f t="shared" si="25"/>
        <v>220014.1745468647</v>
      </c>
      <c r="AE60" s="627">
        <f t="shared" si="25"/>
        <v>214185.61596998779</v>
      </c>
      <c r="AF60" s="627">
        <f t="shared" si="25"/>
        <v>208355.9245211661</v>
      </c>
      <c r="AG60" s="627">
        <f t="shared" si="25"/>
        <v>202525.65700696036</v>
      </c>
      <c r="AH60" s="627">
        <f t="shared" si="25"/>
        <v>196695.38949275471</v>
      </c>
    </row>
    <row r="61" spans="1:36">
      <c r="A61" s="167"/>
      <c r="B61" s="169" t="s">
        <v>262</v>
      </c>
      <c r="C61" s="165" t="s">
        <v>166</v>
      </c>
      <c r="D61" s="613">
        <f>0</f>
        <v>0</v>
      </c>
      <c r="E61" s="613">
        <f>'Propylene Recycling HC'!D111*'Propylene Recycling HC'!D46-'Propylene Recycling HC'!$C$111*'Propylene Recycling HC'!$C$46</f>
        <v>1130.5492505344846</v>
      </c>
      <c r="F61" s="613">
        <f>'Propylene Recycling HC'!E111*'Propylene Recycling HC'!E46-'Propylene Recycling HC'!$C$111*'Propylene Recycling HC'!$C$46</f>
        <v>2261.0985010689692</v>
      </c>
      <c r="G61" s="613">
        <f>'Propylene Recycling HC'!F111*'Propylene Recycling HC'!F46-'Propylene Recycling HC'!$C$111*'Propylene Recycling HC'!$C$46</f>
        <v>3391.6477516034538</v>
      </c>
      <c r="H61" s="613">
        <f>'Propylene Recycling HC'!G111*'Propylene Recycling HC'!G46-'Propylene Recycling HC'!$C$111*'Propylene Recycling HC'!$C$46</f>
        <v>4522.1970021379384</v>
      </c>
      <c r="I61" s="613">
        <f>'Propylene Recycling HC'!H111*'Propylene Recycling HC'!H46-'Propylene Recycling HC'!$C$111*'Propylene Recycling HC'!$C$46</f>
        <v>5652.746252672423</v>
      </c>
      <c r="J61" s="613">
        <f>'Propylene Recycling HC'!I111*'Propylene Recycling HC'!I46-'Propylene Recycling HC'!$C$111*'Propylene Recycling HC'!$C$46</f>
        <v>6582.2192692024728</v>
      </c>
      <c r="K61" s="613">
        <f>'Propylene Recycling HC'!J111*'Propylene Recycling HC'!J46-'Propylene Recycling HC'!$C$111*'Propylene Recycling HC'!$C$46</f>
        <v>7496.7690356254643</v>
      </c>
      <c r="L61" s="613">
        <f>'Propylene Recycling HC'!K111*'Propylene Recycling HC'!K46-'Propylene Recycling HC'!$C$111*'Propylene Recycling HC'!$C$46</f>
        <v>8396.3955519414048</v>
      </c>
      <c r="M61" s="613">
        <f>'Propylene Recycling HC'!L111*'Propylene Recycling HC'!L46-'Propylene Recycling HC'!$C$111*'Propylene Recycling HC'!$C$46</f>
        <v>9281.0988181502835</v>
      </c>
      <c r="N61" s="613">
        <f>'Propylene Recycling HC'!M111*'Propylene Recycling HC'!M46-'Propylene Recycling HC'!$C$111*'Propylene Recycling HC'!$C$46</f>
        <v>10150.878834252115</v>
      </c>
      <c r="O61" s="613">
        <f>'Propylene Recycling HC'!N111*'Propylene Recycling HC'!N46-'Propylene Recycling HC'!$C$111*'Propylene Recycling HC'!$C$46</f>
        <v>11989.723272315205</v>
      </c>
      <c r="P61" s="613">
        <f>'Propylene Recycling HC'!O111*'Propylene Recycling HC'!O46-'Propylene Recycling HC'!$C$111*'Propylene Recycling HC'!$C$46</f>
        <v>13800.120264861733</v>
      </c>
      <c r="Q61" s="613">
        <f>'Propylene Recycling HC'!P111*'Propylene Recycling HC'!P46-'Propylene Recycling HC'!$C$111*'Propylene Recycling HC'!$C$46</f>
        <v>15582.06981189167</v>
      </c>
      <c r="R61" s="613">
        <f>'Propylene Recycling HC'!Q111*'Propylene Recycling HC'!Q46-'Propylene Recycling HC'!$C$111*'Propylene Recycling HC'!$C$46</f>
        <v>17335.571913405045</v>
      </c>
      <c r="S61" s="613">
        <f>'Propylene Recycling HC'!R111*'Propylene Recycling HC'!R46-'Propylene Recycling HC'!$C$111*'Propylene Recycling HC'!$C$46</f>
        <v>19060.626569401844</v>
      </c>
      <c r="T61" s="613">
        <f>'Propylene Recycling HC'!S111*'Propylene Recycling HC'!S46-'Propylene Recycling HC'!$C$111*'Propylene Recycling HC'!$C$46</f>
        <v>20757.233779882059</v>
      </c>
      <c r="U61" s="613">
        <f>'Propylene Recycling HC'!T111*'Propylene Recycling HC'!T46-'Propylene Recycling HC'!$C$111*'Propylene Recycling HC'!$C$46</f>
        <v>22425.393544845712</v>
      </c>
      <c r="V61" s="613">
        <f>'Propylene Recycling HC'!U111*'Propylene Recycling HC'!U46-'Propylene Recycling HC'!$C$111*'Propylene Recycling HC'!$C$46</f>
        <v>24065.105864292789</v>
      </c>
      <c r="W61" s="613">
        <f>'Propylene Recycling HC'!V111*'Propylene Recycling HC'!V46-'Propylene Recycling HC'!$C$111*'Propylene Recycling HC'!$C$46</f>
        <v>25676.37073822329</v>
      </c>
      <c r="X61" s="613">
        <f>'Propylene Recycling HC'!W111*'Propylene Recycling HC'!W46-'Propylene Recycling HC'!$C$111*'Propylene Recycling HC'!$C$46</f>
        <v>27259.188166637214</v>
      </c>
      <c r="Y61" s="613">
        <f>'Propylene Recycling HC'!X111*'Propylene Recycling HC'!X46-'Propylene Recycling HC'!$C$111*'Propylene Recycling HC'!$C$46</f>
        <v>30301.904056200699</v>
      </c>
      <c r="Z61" s="613">
        <f>'Propylene Recycling HC'!Y111*'Propylene Recycling HC'!Y46-'Propylene Recycling HC'!$C$111*'Propylene Recycling HC'!$C$46</f>
        <v>33294.206751177859</v>
      </c>
      <c r="AA61" s="613">
        <f>'Propylene Recycling HC'!Z111*'Propylene Recycling HC'!Z46-'Propylene Recycling HC'!$C$111*'Propylene Recycling HC'!$C$46</f>
        <v>36236.096251568699</v>
      </c>
      <c r="AB61" s="613">
        <f>'Propylene Recycling HC'!AA111*'Propylene Recycling HC'!AA46-'Propylene Recycling HC'!$C$111*'Propylene Recycling HC'!$C$46</f>
        <v>39127.572557373191</v>
      </c>
      <c r="AC61" s="613">
        <f>'Propylene Recycling HC'!AB111*'Propylene Recycling HC'!AB46-'Propylene Recycling HC'!$C$111*'Propylene Recycling HC'!$C$46</f>
        <v>41968.635668591334</v>
      </c>
      <c r="AD61" s="613">
        <f>'Propylene Recycling HC'!AC111*'Propylene Recycling HC'!AC46-'Propylene Recycling HC'!$C$111*'Propylene Recycling HC'!$C$46</f>
        <v>44743.394689903158</v>
      </c>
      <c r="AE61" s="613">
        <f>'Propylene Recycling HC'!AD111*'Propylene Recycling HC'!AD46-'Propylene Recycling HC'!$C$111*'Propylene Recycling HC'!$C$46</f>
        <v>47466.212844065405</v>
      </c>
      <c r="AF61" s="613">
        <f>'Propylene Recycling HC'!AE111*'Propylene Recycling HC'!AE46-'Propylene Recycling HC'!$C$111*'Propylene Recycling HC'!$C$46</f>
        <v>50137.090131078119</v>
      </c>
      <c r="AG61" s="613">
        <f>'Propylene Recycling HC'!AF111*'Propylene Recycling HC'!AF46-'Propylene Recycling HC'!$C$111*'Propylene Recycling HC'!$C$46</f>
        <v>52756.026550941257</v>
      </c>
      <c r="AH61" s="613">
        <f>'Propylene Recycling HC'!AG111*'Propylene Recycling HC'!AG46-'Propylene Recycling HC'!$C$111*'Propylene Recycling HC'!$C$46</f>
        <v>55323.022103654846</v>
      </c>
    </row>
    <row r="62" spans="1:36" outlineLevel="1">
      <c r="A62"/>
      <c r="B62" t="s">
        <v>264</v>
      </c>
      <c r="C62" s="51" t="s">
        <v>166</v>
      </c>
      <c r="D62" s="196">
        <f>0</f>
        <v>0</v>
      </c>
      <c r="E62" s="196">
        <f>'Propylene Recycling HC'!D63*'Propylene Recycling HC'!D42-'Propylene Recycling HC'!$C$63*'Propylene Recycling HC'!$C$42</f>
        <v>285.64272912752585</v>
      </c>
      <c r="F62" s="196">
        <f>'Propylene Recycling HC'!E63*'Propylene Recycling HC'!E42-'Propylene Recycling HC'!$C$63*'Propylene Recycling HC'!$C$42</f>
        <v>576.72184463925078</v>
      </c>
      <c r="G62" s="196">
        <f>'Propylene Recycling HC'!F63*'Propylene Recycling HC'!F42-'Propylene Recycling HC'!$C$63*'Propylene Recycling HC'!$C$42</f>
        <v>873.1060762260413</v>
      </c>
      <c r="H62" s="196">
        <f>'Propylene Recycling HC'!G63*'Propylene Recycling HC'!G42-'Propylene Recycling HC'!$C$63*'Propylene Recycling HC'!$C$42</f>
        <v>1174.6641535787667</v>
      </c>
      <c r="I62" s="196">
        <f>'Propylene Recycling HC'!H63*'Propylene Recycling HC'!H42-'Propylene Recycling HC'!$C$63*'Propylene Recycling HC'!$C$42</f>
        <v>1481.2648063882898</v>
      </c>
      <c r="J62" s="196">
        <f>'Propylene Recycling HC'!I63*'Propylene Recycling HC'!I42-'Propylene Recycling HC'!$C$63*'Propylene Recycling HC'!$C$42</f>
        <v>1792.7767643454818</v>
      </c>
      <c r="K62" s="196">
        <f>'Propylene Recycling HC'!J63*'Propylene Recycling HC'!J42-'Propylene Recycling HC'!$C$63*'Propylene Recycling HC'!$C$42</f>
        <v>2109.06875714121</v>
      </c>
      <c r="L62" s="196">
        <f>'Propylene Recycling HC'!K63*'Propylene Recycling HC'!K42-'Propylene Recycling HC'!$C$63*'Propylene Recycling HC'!$C$42</f>
        <v>2430.0095144663419</v>
      </c>
      <c r="M62" s="196">
        <f>'Propylene Recycling HC'!L63*'Propylene Recycling HC'!L42-'Propylene Recycling HC'!$C$63*'Propylene Recycling HC'!$C$42</f>
        <v>2755.4677660117404</v>
      </c>
      <c r="N62" s="196">
        <f>'Propylene Recycling HC'!M63*'Propylene Recycling HC'!M42-'Propylene Recycling HC'!$C$63*'Propylene Recycling HC'!$C$42</f>
        <v>3085.3122414682766</v>
      </c>
      <c r="O62" s="196">
        <f>'Propylene Recycling HC'!N63*'Propylene Recycling HC'!N42-'Propylene Recycling HC'!$C$63*'Propylene Recycling HC'!$C$42</f>
        <v>3674.6465003562862</v>
      </c>
      <c r="P62" s="196">
        <f>'Propylene Recycling HC'!O63*'Propylene Recycling HC'!O42-'Propylene Recycling HC'!$C$63*'Propylene Recycling HC'!$C$42</f>
        <v>4276.7742540211057</v>
      </c>
      <c r="Q62" s="196">
        <f>'Propylene Recycling HC'!P63*'Propylene Recycling HC'!P42-'Propylene Recycling HC'!$C$63*'Propylene Recycling HC'!$C$42</f>
        <v>4877.3345339346342</v>
      </c>
      <c r="R62" s="196">
        <f>'Propylene Recycling HC'!Q63*'Propylene Recycling HC'!Q42-'Propylene Recycling HC'!$C$63*'Propylene Recycling HC'!$C$42</f>
        <v>5483.5701347710583</v>
      </c>
      <c r="S62" s="196">
        <f>'Propylene Recycling HC'!R63*'Propylene Recycling HC'!R42-'Propylene Recycling HC'!$C$63*'Propylene Recycling HC'!$C$42</f>
        <v>6094.9700483466422</v>
      </c>
      <c r="T62" s="196">
        <f>'Propylene Recycling HC'!S63*'Propylene Recycling HC'!S42-'Propylene Recycling HC'!$C$63*'Propylene Recycling HC'!$C$42</f>
        <v>6711.0232664776468</v>
      </c>
      <c r="U62" s="196">
        <f>'Propylene Recycling HC'!T63*'Propylene Recycling HC'!T42-'Propylene Recycling HC'!$C$63*'Propylene Recycling HC'!$C$42</f>
        <v>7331.218780980349</v>
      </c>
      <c r="V62" s="196">
        <f>'Propylene Recycling HC'!U63*'Propylene Recycling HC'!U42-'Propylene Recycling HC'!$C$63*'Propylene Recycling HC'!$C$42</f>
        <v>7955.0455836709989</v>
      </c>
      <c r="W62" s="196">
        <f>'Propylene Recycling HC'!V63*'Propylene Recycling HC'!V42-'Propylene Recycling HC'!$C$63*'Propylene Recycling HC'!$C$42</f>
        <v>8581.992666365868</v>
      </c>
      <c r="X62" s="196">
        <f>'Propylene Recycling HC'!W63*'Propylene Recycling HC'!W42-'Propylene Recycling HC'!$C$63*'Propylene Recycling HC'!$C$42</f>
        <v>9211.5490208812189</v>
      </c>
      <c r="Y62" s="196">
        <f>'Propylene Recycling HC'!X63*'Propylene Recycling HC'!X42-'Propylene Recycling HC'!$C$63*'Propylene Recycling HC'!$C$42</f>
        <v>10080.560001284535</v>
      </c>
      <c r="Z62" s="196">
        <f>'Propylene Recycling HC'!Y63*'Propylene Recycling HC'!Y42-'Propylene Recycling HC'!$C$63*'Propylene Recycling HC'!$C$42</f>
        <v>11037.350961986805</v>
      </c>
      <c r="AA62" s="196">
        <f>'Propylene Recycling HC'!Z63*'Propylene Recycling HC'!Z42-'Propylene Recycling HC'!$C$63*'Propylene Recycling HC'!$C$42</f>
        <v>11998.821020690444</v>
      </c>
      <c r="AB62" s="196">
        <f>'Propylene Recycling HC'!AA63*'Propylene Recycling HC'!AA42-'Propylene Recycling HC'!$C$63*'Propylene Recycling HC'!$C$42</f>
        <v>12964.170010918522</v>
      </c>
      <c r="AC62" s="196">
        <f>'Propylene Recycling HC'!AB63*'Propylene Recycling HC'!AB42-'Propylene Recycling HC'!$C$63*'Propylene Recycling HC'!$C$42</f>
        <v>13932.597766194125</v>
      </c>
      <c r="AD62" s="196">
        <f>'Propylene Recycling HC'!AC63*'Propylene Recycling HC'!AC42-'Propylene Recycling HC'!$C$63*'Propylene Recycling HC'!$C$42</f>
        <v>14903.304120040328</v>
      </c>
      <c r="AE62" s="196">
        <f>'Propylene Recycling HC'!AD63*'Propylene Recycling HC'!AD42-'Propylene Recycling HC'!$C$63*'Propylene Recycling HC'!$C$42</f>
        <v>15875.488905980208</v>
      </c>
      <c r="AF62" s="196">
        <f>'Propylene Recycling HC'!AE63*'Propylene Recycling HC'!AE42-'Propylene Recycling HC'!$C$63*'Propylene Recycling HC'!$C$42</f>
        <v>16848.351957536841</v>
      </c>
      <c r="AG62" s="196">
        <f>'Propylene Recycling HC'!AF63*'Propylene Recycling HC'!AF42-'Propylene Recycling HC'!$C$63*'Propylene Recycling HC'!$C$42</f>
        <v>17821.093108233315</v>
      </c>
      <c r="AH62" s="196">
        <f>'Propylene Recycling HC'!AG63*'Propylene Recycling HC'!AG42-'Propylene Recycling HC'!$C$63*'Propylene Recycling HC'!$C$42</f>
        <v>18792.91219159275</v>
      </c>
    </row>
    <row r="63" spans="1:36" outlineLevel="1">
      <c r="A63"/>
      <c r="B63" t="s">
        <v>266</v>
      </c>
      <c r="C63" s="51" t="s">
        <v>166</v>
      </c>
      <c r="D63" s="196">
        <f>0</f>
        <v>0</v>
      </c>
      <c r="E63" s="196">
        <f>'Propylene Recycling HC'!D102*'Propylene Recycling HC'!D45-'Propylene Recycling HC'!$C$102*'Propylene Recycling HC'!$C$45</f>
        <v>0</v>
      </c>
      <c r="F63" s="196">
        <f>'Propylene Recycling HC'!E102*'Propylene Recycling HC'!E45-'Propylene Recycling HC'!$C$102*'Propylene Recycling HC'!$C$45</f>
        <v>0</v>
      </c>
      <c r="G63" s="196">
        <f>'Propylene Recycling HC'!F102*'Propylene Recycling HC'!F45-'Propylene Recycling HC'!$C$102*'Propylene Recycling HC'!$C$45</f>
        <v>0</v>
      </c>
      <c r="H63" s="196">
        <f>'Propylene Recycling HC'!G102*'Propylene Recycling HC'!G45-'Propylene Recycling HC'!$C$102*'Propylene Recycling HC'!$C$45</f>
        <v>0</v>
      </c>
      <c r="I63" s="196">
        <f>'Propylene Recycling HC'!H102*'Propylene Recycling HC'!H45-'Propylene Recycling HC'!$C$102*'Propylene Recycling HC'!$C$45</f>
        <v>0</v>
      </c>
      <c r="J63" s="196">
        <f>'Propylene Recycling HC'!I102*'Propylene Recycling HC'!I45-'Propylene Recycling HC'!$C$102*'Propylene Recycling HC'!$C$45</f>
        <v>0</v>
      </c>
      <c r="K63" s="196">
        <f>'Propylene Recycling HC'!J102*'Propylene Recycling HC'!J45-'Propylene Recycling HC'!$C$102*'Propylene Recycling HC'!$C$45</f>
        <v>0</v>
      </c>
      <c r="L63" s="196">
        <f>'Propylene Recycling HC'!K102*'Propylene Recycling HC'!K45-'Propylene Recycling HC'!$C$102*'Propylene Recycling HC'!$C$45</f>
        <v>0</v>
      </c>
      <c r="M63" s="196">
        <f>'Propylene Recycling HC'!L102*'Propylene Recycling HC'!L45-'Propylene Recycling HC'!$C$102*'Propylene Recycling HC'!$C$45</f>
        <v>0</v>
      </c>
      <c r="N63" s="196">
        <f>'Propylene Recycling HC'!M102*'Propylene Recycling HC'!M45-'Propylene Recycling HC'!$C$102*'Propylene Recycling HC'!$C$45</f>
        <v>0</v>
      </c>
      <c r="O63" s="196">
        <f>'Propylene Recycling HC'!N102*'Propylene Recycling HC'!N45-'Propylene Recycling HC'!$C$102*'Propylene Recycling HC'!$C$45</f>
        <v>0</v>
      </c>
      <c r="P63" s="196">
        <f>'Propylene Recycling HC'!O102*'Propylene Recycling HC'!O45-'Propylene Recycling HC'!$C$102*'Propylene Recycling HC'!$C$45</f>
        <v>0</v>
      </c>
      <c r="Q63" s="196">
        <f>'Propylene Recycling HC'!P102*'Propylene Recycling HC'!P45-'Propylene Recycling HC'!$C$102*'Propylene Recycling HC'!$C$45</f>
        <v>0</v>
      </c>
      <c r="R63" s="196">
        <f>'Propylene Recycling HC'!Q102*'Propylene Recycling HC'!Q45-'Propylene Recycling HC'!$C$102*'Propylene Recycling HC'!$C$45</f>
        <v>0</v>
      </c>
      <c r="S63" s="196">
        <f>'Propylene Recycling HC'!R102*'Propylene Recycling HC'!R45-'Propylene Recycling HC'!$C$102*'Propylene Recycling HC'!$C$45</f>
        <v>0</v>
      </c>
      <c r="T63" s="196">
        <f>'Propylene Recycling HC'!S102*'Propylene Recycling HC'!S45-'Propylene Recycling HC'!$C$102*'Propylene Recycling HC'!$C$45</f>
        <v>0</v>
      </c>
      <c r="U63" s="196">
        <f>'Propylene Recycling HC'!T102*'Propylene Recycling HC'!T45-'Propylene Recycling HC'!$C$102*'Propylene Recycling HC'!$C$45</f>
        <v>0</v>
      </c>
      <c r="V63" s="196">
        <f>'Propylene Recycling HC'!U102*'Propylene Recycling HC'!U45-'Propylene Recycling HC'!$C$102*'Propylene Recycling HC'!$C$45</f>
        <v>0</v>
      </c>
      <c r="W63" s="196">
        <f>'Propylene Recycling HC'!V102*'Propylene Recycling HC'!V45-'Propylene Recycling HC'!$C$102*'Propylene Recycling HC'!$C$45</f>
        <v>0</v>
      </c>
      <c r="X63" s="196">
        <f>'Propylene Recycling HC'!W102*'Propylene Recycling HC'!W45-'Propylene Recycling HC'!$C$102*'Propylene Recycling HC'!$C$45</f>
        <v>0</v>
      </c>
      <c r="Y63" s="196">
        <f>'Propylene Recycling HC'!X102*'Propylene Recycling HC'!X45-'Propylene Recycling HC'!$C$102*'Propylene Recycling HC'!$C$45</f>
        <v>0</v>
      </c>
      <c r="Z63" s="196">
        <f>'Propylene Recycling HC'!Y102*'Propylene Recycling HC'!Y45-'Propylene Recycling HC'!$C$102*'Propylene Recycling HC'!$C$45</f>
        <v>0</v>
      </c>
      <c r="AA63" s="196">
        <f>'Propylene Recycling HC'!Z102*'Propylene Recycling HC'!Z45-'Propylene Recycling HC'!$C$102*'Propylene Recycling HC'!$C$45</f>
        <v>0</v>
      </c>
      <c r="AB63" s="196">
        <f>'Propylene Recycling HC'!AA102*'Propylene Recycling HC'!AA45-'Propylene Recycling HC'!$C$102*'Propylene Recycling HC'!$C$45</f>
        <v>0</v>
      </c>
      <c r="AC63" s="196">
        <f>'Propylene Recycling HC'!AB102*'Propylene Recycling HC'!AB45-'Propylene Recycling HC'!$C$102*'Propylene Recycling HC'!$C$45</f>
        <v>0</v>
      </c>
      <c r="AD63" s="196">
        <f>'Propylene Recycling HC'!AC102*'Propylene Recycling HC'!AC45-'Propylene Recycling HC'!$C$102*'Propylene Recycling HC'!$C$45</f>
        <v>0</v>
      </c>
      <c r="AE63" s="196">
        <f>'Propylene Recycling HC'!AD102*'Propylene Recycling HC'!AD45-'Propylene Recycling HC'!$C$102*'Propylene Recycling HC'!$C$45</f>
        <v>0</v>
      </c>
      <c r="AF63" s="196">
        <f>'Propylene Recycling HC'!AE102*'Propylene Recycling HC'!AE45-'Propylene Recycling HC'!$C$102*'Propylene Recycling HC'!$C$45</f>
        <v>0</v>
      </c>
      <c r="AG63" s="196">
        <f>'Propylene Recycling HC'!AF102*'Propylene Recycling HC'!AF45-'Propylene Recycling HC'!$C$102*'Propylene Recycling HC'!$C$45</f>
        <v>0</v>
      </c>
      <c r="AH63" s="196">
        <f>'Propylene Recycling HC'!AG102*'Propylene Recycling HC'!AG45-'Propylene Recycling HC'!$C$102*'Propylene Recycling HC'!$C$45</f>
        <v>0</v>
      </c>
      <c r="AJ63" s="41"/>
    </row>
    <row r="64" spans="1:36" outlineLevel="1">
      <c r="A64" s="169"/>
      <c r="B64" s="169" t="s">
        <v>265</v>
      </c>
      <c r="C64" s="165" t="s">
        <v>166</v>
      </c>
      <c r="D64" s="613">
        <f>0</f>
        <v>0</v>
      </c>
      <c r="E64" s="613">
        <f>'Propylene Recycling HC'!D88*'Propylene Recycling HC'!D43-'Propylene Recycling HC'!$C$88*'Propylene Recycling HC'!$C$43</f>
        <v>353.57963639767695</v>
      </c>
      <c r="F64" s="613">
        <f>'Propylene Recycling HC'!E88*'Propylene Recycling HC'!E43-'Propylene Recycling HC'!$C$88*'Propylene Recycling HC'!$C$43</f>
        <v>698.06682365397387</v>
      </c>
      <c r="G64" s="613">
        <f>'Propylene Recycling HC'!F88*'Propylene Recycling HC'!F43-'Propylene Recycling HC'!$C$88*'Propylene Recycling HC'!$C$43</f>
        <v>1033.5141435989192</v>
      </c>
      <c r="H64" s="613">
        <f>'Propylene Recycling HC'!G88*'Propylene Recycling HC'!G43-'Propylene Recycling HC'!$C$88*'Propylene Recycling HC'!$C$43</f>
        <v>1359.9741780625393</v>
      </c>
      <c r="I64" s="613">
        <f>'Propylene Recycling HC'!H88*'Propylene Recycling HC'!H43-'Propylene Recycling HC'!$C$88*'Propylene Recycling HC'!$C$43</f>
        <v>1677.4995088748631</v>
      </c>
      <c r="J64" s="613">
        <f>'Propylene Recycling HC'!I88*'Propylene Recycling HC'!I43-'Propylene Recycling HC'!$C$88*'Propylene Recycling HC'!$C$43</f>
        <v>1986.1427178659167</v>
      </c>
      <c r="K64" s="613">
        <f>'Propylene Recycling HC'!J88*'Propylene Recycling HC'!J43-'Propylene Recycling HC'!$C$88*'Propylene Recycling HC'!$C$43</f>
        <v>2285.9563868657306</v>
      </c>
      <c r="L64" s="613">
        <f>'Propylene Recycling HC'!K88*'Propylene Recycling HC'!K43-'Propylene Recycling HC'!$C$88*'Propylene Recycling HC'!$C$43</f>
        <v>2576.9930977043296</v>
      </c>
      <c r="M64" s="613">
        <f>'Propylene Recycling HC'!L88*'Propylene Recycling HC'!L43-'Propylene Recycling HC'!$C$88*'Propylene Recycling HC'!$C$43</f>
        <v>2859.3054322117423</v>
      </c>
      <c r="N64" s="613">
        <f>'Propylene Recycling HC'!M88*'Propylene Recycling HC'!M43-'Propylene Recycling HC'!$C$88*'Propylene Recycling HC'!$C$43</f>
        <v>3132.9459722179954</v>
      </c>
      <c r="O64" s="613">
        <f>'Propylene Recycling HC'!N88*'Propylene Recycling HC'!N43-'Propylene Recycling HC'!$C$88*'Propylene Recycling HC'!$C$43</f>
        <v>3693.3842840574707</v>
      </c>
      <c r="P64" s="613">
        <f>'Propylene Recycling HC'!O88*'Propylene Recycling HC'!O43-'Propylene Recycling HC'!$C$88*'Propylene Recycling HC'!$C$43</f>
        <v>4237.2734810349411</v>
      </c>
      <c r="Q64" s="613">
        <f>'Propylene Recycling HC'!P88*'Propylene Recycling HC'!P43-'Propylene Recycling HC'!$C$88*'Propylene Recycling HC'!$C$43</f>
        <v>4743.6555691493022</v>
      </c>
      <c r="R64" s="613">
        <f>'Propylene Recycling HC'!Q88*'Propylene Recycling HC'!Q43-'Propylene Recycling HC'!$C$88*'Propylene Recycling HC'!$C$43</f>
        <v>5230.1583625934481</v>
      </c>
      <c r="S64" s="613">
        <f>'Propylene Recycling HC'!R88*'Propylene Recycling HC'!R43-'Propylene Recycling HC'!$C$88*'Propylene Recycling HC'!$C$43</f>
        <v>5697.0372485796552</v>
      </c>
      <c r="T64" s="613">
        <f>'Propylene Recycling HC'!S88*'Propylene Recycling HC'!S43-'Propylene Recycling HC'!$C$88*'Propylene Recycling HC'!$C$43</f>
        <v>6144.5471506874237</v>
      </c>
      <c r="U64" s="613">
        <f>'Propylene Recycling HC'!T88*'Propylene Recycling HC'!T43-'Propylene Recycling HC'!$C$88*'Propylene Recycling HC'!$C$43</f>
        <v>6572.9425078432541</v>
      </c>
      <c r="V64" s="613">
        <f>'Propylene Recycling HC'!U88*'Propylene Recycling HC'!U43-'Propylene Recycling HC'!$C$88*'Propylene Recycling HC'!$C$43</f>
        <v>6982.477253467112</v>
      </c>
      <c r="W64" s="613">
        <f>'Propylene Recycling HC'!V88*'Propylene Recycling HC'!V43-'Propylene Recycling HC'!$C$88*'Propylene Recycling HC'!$C$43</f>
        <v>7373.4047947856106</v>
      </c>
      <c r="X64" s="613">
        <f>'Propylene Recycling HC'!W88*'Propylene Recycling HC'!W43-'Propylene Recycling HC'!$C$88*'Propylene Recycling HC'!$C$43</f>
        <v>7745.9779923119131</v>
      </c>
      <c r="Y64" s="613">
        <f>'Propylene Recycling HC'!X88*'Propylene Recycling HC'!X43-'Propylene Recycling HC'!$C$88*'Propylene Recycling HC'!$C$43</f>
        <v>8503.7355507935918</v>
      </c>
      <c r="Z64" s="613">
        <f>'Propylene Recycling HC'!Y88*'Propylene Recycling HC'!Y43-'Propylene Recycling HC'!$C$88*'Propylene Recycling HC'!$C$43</f>
        <v>9228.7337766789387</v>
      </c>
      <c r="AA64" s="613">
        <f>'Propylene Recycling HC'!Z88*'Propylene Recycling HC'!Z43-'Propylene Recycling HC'!$C$88*'Propylene Recycling HC'!$C$43</f>
        <v>9828.226526991928</v>
      </c>
      <c r="AB64" s="613">
        <f>'Propylene Recycling HC'!AA88*'Propylene Recycling HC'!AA43-'Propylene Recycling HC'!$C$88*'Propylene Recycling HC'!$C$43</f>
        <v>10384.003203715482</v>
      </c>
      <c r="AC64" s="613">
        <f>'Propylene Recycling HC'!AB88*'Propylene Recycling HC'!AB43-'Propylene Recycling HC'!$C$88*'Propylene Recycling HC'!$C$43</f>
        <v>10897.137029293801</v>
      </c>
      <c r="AD64" s="613">
        <f>'Propylene Recycling HC'!AC88*'Propylene Recycling HC'!AC43-'Propylene Recycling HC'!$C$88*'Propylene Recycling HC'!$C$43</f>
        <v>11368.702913829058</v>
      </c>
      <c r="AE64" s="613">
        <f>'Propylene Recycling HC'!AD88*'Propylene Recycling HC'!AD43-'Propylene Recycling HC'!$C$88*'Propylene Recycling HC'!$C$43</f>
        <v>11799.776896826153</v>
      </c>
      <c r="AF64" s="613">
        <f>'Propylene Recycling HC'!AE88*'Propylene Recycling HC'!AE43-'Propylene Recycling HC'!$C$88*'Propylene Recycling HC'!$C$43</f>
        <v>12191.435595584717</v>
      </c>
      <c r="AG64" s="613">
        <f>'Propylene Recycling HC'!AF88*'Propylene Recycling HC'!AF43-'Propylene Recycling HC'!$C$88*'Propylene Recycling HC'!$C$43</f>
        <v>12544.755660238377</v>
      </c>
      <c r="AH64" s="613">
        <f>'Propylene Recycling HC'!AG88*'Propylene Recycling HC'!AG43-'Propylene Recycling HC'!$C$88*'Propylene Recycling HC'!$C$43</f>
        <v>1919.1114895358762</v>
      </c>
    </row>
    <row r="65" spans="1:45">
      <c r="A65" s="167"/>
      <c r="B65" s="224" t="s">
        <v>263</v>
      </c>
      <c r="C65" s="168" t="s">
        <v>166</v>
      </c>
      <c r="D65" s="620">
        <f>D60-D61-D62-D63-D64</f>
        <v>368256.49460398941</v>
      </c>
      <c r="E65" s="620">
        <f t="shared" ref="E65:AH65" si="26">E60-E61-E62-E63-E64</f>
        <v>360915.92121152492</v>
      </c>
      <c r="F65" s="620">
        <f t="shared" si="26"/>
        <v>353567.7007928848</v>
      </c>
      <c r="G65" s="620">
        <f t="shared" si="26"/>
        <v>346212.0805972286</v>
      </c>
      <c r="H65" s="620">
        <f t="shared" si="26"/>
        <v>338849.31687137153</v>
      </c>
      <c r="I65" s="620">
        <f t="shared" si="26"/>
        <v>331479.6751169911</v>
      </c>
      <c r="J65" s="620">
        <f t="shared" si="26"/>
        <v>324304.50658798194</v>
      </c>
      <c r="K65" s="620">
        <f t="shared" si="26"/>
        <v>317137.94310818083</v>
      </c>
      <c r="L65" s="620">
        <f t="shared" si="26"/>
        <v>309980.27954921121</v>
      </c>
      <c r="M65" s="620">
        <f t="shared" si="26"/>
        <v>302831.8211291912</v>
      </c>
      <c r="N65" s="620">
        <f t="shared" si="26"/>
        <v>295692.88370203623</v>
      </c>
      <c r="O65" s="620">
        <f t="shared" si="26"/>
        <v>287029.15456720802</v>
      </c>
      <c r="P65" s="620">
        <f t="shared" si="26"/>
        <v>278388.44810001209</v>
      </c>
      <c r="Q65" s="620">
        <f t="shared" si="26"/>
        <v>269806.35414084187</v>
      </c>
      <c r="R65" s="620">
        <f t="shared" si="26"/>
        <v>261258.28482167644</v>
      </c>
      <c r="S65" s="620">
        <f t="shared" si="26"/>
        <v>252744.79069237431</v>
      </c>
      <c r="T65" s="620">
        <f t="shared" si="26"/>
        <v>244266.43528714741</v>
      </c>
      <c r="U65" s="620">
        <f t="shared" si="26"/>
        <v>235823.79548605258</v>
      </c>
      <c r="V65" s="620">
        <f t="shared" si="26"/>
        <v>227417.46188427202</v>
      </c>
      <c r="W65" s="620">
        <f t="shared" si="26"/>
        <v>219048.03916935748</v>
      </c>
      <c r="X65" s="620">
        <f t="shared" si="26"/>
        <v>210716.14650661286</v>
      </c>
      <c r="Y65" s="620">
        <f t="shared" si="26"/>
        <v>200235.57468353535</v>
      </c>
      <c r="Z65" s="620">
        <f t="shared" si="26"/>
        <v>189746.29983034011</v>
      </c>
      <c r="AA65" s="620">
        <f t="shared" si="26"/>
        <v>179424.61999771799</v>
      </c>
      <c r="AB65" s="620">
        <f t="shared" si="26"/>
        <v>169190.0134940662</v>
      </c>
      <c r="AC65" s="620">
        <f t="shared" si="26"/>
        <v>159042.69175708896</v>
      </c>
      <c r="AD65" s="620">
        <f t="shared" si="26"/>
        <v>148998.77282309215</v>
      </c>
      <c r="AE65" s="620">
        <f t="shared" si="26"/>
        <v>139044.13732311601</v>
      </c>
      <c r="AF65" s="620">
        <f t="shared" si="26"/>
        <v>129179.04683696644</v>
      </c>
      <c r="AG65" s="620">
        <f t="shared" si="26"/>
        <v>119403.78168754739</v>
      </c>
      <c r="AH65" s="620">
        <f t="shared" si="26"/>
        <v>120660.34370797122</v>
      </c>
    </row>
    <row r="66" spans="1:45" s="62" customFormat="1">
      <c r="A66" s="55" t="s">
        <v>78</v>
      </c>
      <c r="B66" s="55" t="s">
        <v>260</v>
      </c>
      <c r="C66" s="95" t="s">
        <v>166</v>
      </c>
      <c r="D66" s="631">
        <f>D45+D52+D56+D57+D58+D62+D63+D64</f>
        <v>0</v>
      </c>
      <c r="E66" s="631">
        <f t="shared" ref="E66:AG66" si="27">E45+E52+E56+E57+E58+E62+E63+E64</f>
        <v>2410.3793022978434</v>
      </c>
      <c r="F66" s="631">
        <f t="shared" si="27"/>
        <v>4822.6837333461817</v>
      </c>
      <c r="G66" s="631">
        <f t="shared" si="27"/>
        <v>7236.4030022383149</v>
      </c>
      <c r="H66" s="631">
        <f t="shared" si="27"/>
        <v>9651.0268180675539</v>
      </c>
      <c r="I66" s="631">
        <f t="shared" si="27"/>
        <v>12066.04488992718</v>
      </c>
      <c r="J66" s="631">
        <f t="shared" si="27"/>
        <v>14480.946926910512</v>
      </c>
      <c r="K66" s="631">
        <f t="shared" si="27"/>
        <v>16895.222638110856</v>
      </c>
      <c r="L66" s="631">
        <f t="shared" si="27"/>
        <v>19308.361732621517</v>
      </c>
      <c r="M66" s="631">
        <f t="shared" si="27"/>
        <v>21719.853919535766</v>
      </c>
      <c r="N66" s="631">
        <f t="shared" si="27"/>
        <v>24129.188907946926</v>
      </c>
      <c r="O66" s="631">
        <f t="shared" si="27"/>
        <v>28632.633290829966</v>
      </c>
      <c r="P66" s="631">
        <f t="shared" si="27"/>
        <v>33154.075384091477</v>
      </c>
      <c r="Q66" s="631">
        <f t="shared" si="27"/>
        <v>37563.493695087906</v>
      </c>
      <c r="R66" s="631">
        <f t="shared" si="27"/>
        <v>41946.068347725981</v>
      </c>
      <c r="S66" s="631">
        <f t="shared" si="27"/>
        <v>46299.953710010028</v>
      </c>
      <c r="T66" s="631">
        <f t="shared" si="27"/>
        <v>50623.302862075521</v>
      </c>
      <c r="U66" s="631">
        <f t="shared" si="27"/>
        <v>54914.267537799671</v>
      </c>
      <c r="V66" s="631">
        <f t="shared" si="27"/>
        <v>59170.998066874752</v>
      </c>
      <c r="W66" s="631">
        <f t="shared" si="27"/>
        <v>63391.643317344926</v>
      </c>
      <c r="X66" s="631">
        <f t="shared" si="27"/>
        <v>67574.350638605858</v>
      </c>
      <c r="Y66" s="631">
        <f t="shared" si="27"/>
        <v>74024.287647515986</v>
      </c>
      <c r="Z66" s="631">
        <f t="shared" si="27"/>
        <v>80822.126411819976</v>
      </c>
      <c r="AA66" s="631">
        <f t="shared" si="27"/>
        <v>87294.734345096469</v>
      </c>
      <c r="AB66" s="631">
        <f t="shared" si="27"/>
        <v>93665.303398246731</v>
      </c>
      <c r="AC66" s="631">
        <f t="shared" si="27"/>
        <v>99932.813912342303</v>
      </c>
      <c r="AD66" s="631">
        <f t="shared" si="27"/>
        <v>106096.25091639346</v>
      </c>
      <c r="AE66" s="631">
        <f t="shared" si="27"/>
        <v>112154.60257664036</v>
      </c>
      <c r="AF66" s="631">
        <f t="shared" si="27"/>
        <v>118106.85866430843</v>
      </c>
      <c r="AG66" s="631">
        <f t="shared" si="27"/>
        <v>123952.00904182874</v>
      </c>
      <c r="AH66" s="631">
        <f>AH45+AH52+AH56+AH57+AH58+AH62+AH63+AH64</f>
        <v>99295.426206674529</v>
      </c>
    </row>
    <row r="67" spans="1:45" s="63" customFormat="1">
      <c r="B67" s="59" t="s">
        <v>261</v>
      </c>
      <c r="C67" s="60" t="s">
        <v>166</v>
      </c>
      <c r="D67" s="646">
        <f>D44+D48+D51+D55+D61</f>
        <v>0</v>
      </c>
      <c r="E67" s="646">
        <f t="shared" ref="E67:AG67" si="28">E44+E48+E51+E55+E61</f>
        <v>2489.6184938757569</v>
      </c>
      <c r="F67" s="646">
        <f t="shared" si="28"/>
        <v>5011.5035376351389</v>
      </c>
      <c r="G67" s="646">
        <f t="shared" si="28"/>
        <v>7564.8726085342914</v>
      </c>
      <c r="H67" s="646">
        <f t="shared" si="28"/>
        <v>10148.943183829368</v>
      </c>
      <c r="I67" s="646">
        <f t="shared" si="28"/>
        <v>12762.932740776509</v>
      </c>
      <c r="J67" s="646">
        <f t="shared" si="28"/>
        <v>15204.982522627432</v>
      </c>
      <c r="K67" s="646">
        <f t="shared" si="28"/>
        <v>17660.462990535663</v>
      </c>
      <c r="L67" s="646">
        <f t="shared" si="28"/>
        <v>20128.591621757358</v>
      </c>
      <c r="M67" s="646">
        <f t="shared" si="28"/>
        <v>22608.585893548654</v>
      </c>
      <c r="N67" s="646">
        <f t="shared" si="28"/>
        <v>25099.663283165704</v>
      </c>
      <c r="O67" s="646">
        <f t="shared" si="28"/>
        <v>29646.299237312451</v>
      </c>
      <c r="P67" s="646">
        <f t="shared" si="28"/>
        <v>34217.027754284609</v>
      </c>
      <c r="Q67" s="646">
        <f t="shared" si="28"/>
        <v>38758.476067254669</v>
      </c>
      <c r="R67" s="646">
        <f t="shared" si="28"/>
        <v>43298.204567922039</v>
      </c>
      <c r="S67" s="646">
        <f t="shared" si="28"/>
        <v>47833.855626816716</v>
      </c>
      <c r="T67" s="646">
        <f t="shared" si="28"/>
        <v>52363.075388154175</v>
      </c>
      <c r="U67" s="646">
        <f t="shared" si="28"/>
        <v>56883.513792603291</v>
      </c>
      <c r="V67" s="646">
        <f t="shared" si="28"/>
        <v>61392.824599590989</v>
      </c>
      <c r="W67" s="646">
        <f t="shared" si="28"/>
        <v>65888.66540914416</v>
      </c>
      <c r="X67" s="646">
        <f t="shared" si="28"/>
        <v>70368.697683268168</v>
      </c>
      <c r="Y67" s="646">
        <f t="shared" si="28"/>
        <v>78027.659951812762</v>
      </c>
      <c r="Z67" s="646">
        <f t="shared" si="28"/>
        <v>85947.134256284568</v>
      </c>
      <c r="AA67" s="646">
        <f t="shared" si="28"/>
        <v>93802.018845788436</v>
      </c>
      <c r="AB67" s="646">
        <f t="shared" si="28"/>
        <v>101620.38192914129</v>
      </c>
      <c r="AC67" s="646">
        <f t="shared" si="28"/>
        <v>109398.13943402511</v>
      </c>
      <c r="AD67" s="646">
        <f t="shared" si="28"/>
        <v>117115.34189604784</v>
      </c>
      <c r="AE67" s="646">
        <f t="shared" si="28"/>
        <v>124782.31960249181</v>
      </c>
      <c r="AF67" s="646">
        <f t="shared" si="28"/>
        <v>132395.06536336726</v>
      </c>
      <c r="AG67" s="646">
        <f t="shared" si="28"/>
        <v>139949.59782759147</v>
      </c>
      <c r="AH67" s="646">
        <f>AH44+AH48+AH51+AH55+AH61</f>
        <v>177835.57751879498</v>
      </c>
    </row>
    <row r="68" spans="1:45" s="99" customFormat="1">
      <c r="A68" s="97" t="s">
        <v>630</v>
      </c>
      <c r="B68" s="97"/>
      <c r="C68" s="98" t="s">
        <v>166</v>
      </c>
      <c r="D68" s="642">
        <f t="shared" ref="D68:AH68" si="29">D46+D49+D53+IF(D59&lt;0,0,D59)+D65</f>
        <v>1127444.3500000006</v>
      </c>
      <c r="E68" s="642">
        <f t="shared" si="29"/>
        <v>1114797.8610298317</v>
      </c>
      <c r="F68" s="642">
        <f t="shared" si="29"/>
        <v>1102136.2584070121</v>
      </c>
      <c r="G68" s="642">
        <f t="shared" si="29"/>
        <v>1089461.3001488831</v>
      </c>
      <c r="H68" s="642">
        <f t="shared" si="29"/>
        <v>1076774.7547036139</v>
      </c>
      <c r="I68" s="642">
        <f t="shared" si="29"/>
        <v>1064078.4011772731</v>
      </c>
      <c r="J68" s="642">
        <f t="shared" si="29"/>
        <v>1051575.1057998061</v>
      </c>
      <c r="K68" s="642">
        <f t="shared" si="29"/>
        <v>1039080.5167101147</v>
      </c>
      <c r="L68" s="642">
        <f t="shared" si="29"/>
        <v>1026596.4463999518</v>
      </c>
      <c r="M68" s="642">
        <f t="shared" si="29"/>
        <v>1014124.7189773527</v>
      </c>
      <c r="N68" s="642">
        <f t="shared" si="29"/>
        <v>1001667.1704192989</v>
      </c>
      <c r="O68" s="642">
        <f t="shared" si="29"/>
        <v>981909.67060938408</v>
      </c>
      <c r="P68" s="642">
        <f t="shared" si="29"/>
        <v>962313.05843140138</v>
      </c>
      <c r="Q68" s="642">
        <f t="shared" si="29"/>
        <v>942462.38812397979</v>
      </c>
      <c r="R68" s="642">
        <f t="shared" si="29"/>
        <v>922597.77228649345</v>
      </c>
      <c r="S68" s="642">
        <f t="shared" si="29"/>
        <v>902722.61585168517</v>
      </c>
      <c r="T68" s="642">
        <f t="shared" si="29"/>
        <v>882840.3199408591</v>
      </c>
      <c r="U68" s="642">
        <f t="shared" si="29"/>
        <v>862954.28244468453</v>
      </c>
      <c r="V68" s="642">
        <f t="shared" si="29"/>
        <v>843067.89863122825</v>
      </c>
      <c r="W68" s="642">
        <f t="shared" si="29"/>
        <v>823184.56178216636</v>
      </c>
      <c r="X68" s="642">
        <f t="shared" si="29"/>
        <v>803307.66385815421</v>
      </c>
      <c r="Y68" s="642">
        <f t="shared" si="29"/>
        <v>771239.08161156415</v>
      </c>
      <c r="Z68" s="642">
        <f t="shared" si="29"/>
        <v>740598.82302602637</v>
      </c>
      <c r="AA68" s="642">
        <f t="shared" si="29"/>
        <v>710250.50299654331</v>
      </c>
      <c r="AB68" s="642">
        <f t="shared" si="29"/>
        <v>679944.21657496621</v>
      </c>
      <c r="AC68" s="642">
        <f t="shared" si="29"/>
        <v>651343.52037831862</v>
      </c>
      <c r="AD68" s="642">
        <f t="shared" si="29"/>
        <v>628669.13925791928</v>
      </c>
      <c r="AE68" s="642">
        <f t="shared" si="29"/>
        <v>606006.37617366028</v>
      </c>
      <c r="AF68" s="642">
        <f t="shared" si="29"/>
        <v>583360.58031009184</v>
      </c>
      <c r="AG68" s="642">
        <f t="shared" si="29"/>
        <v>560737.24690878112</v>
      </c>
      <c r="AH68" s="642">
        <f t="shared" si="29"/>
        <v>522337.34460311546</v>
      </c>
      <c r="AJ68" s="99" t="s">
        <v>550</v>
      </c>
    </row>
    <row r="69" spans="1:45">
      <c r="A69" s="1" t="s">
        <v>843</v>
      </c>
      <c r="C69" s="56" t="s">
        <v>166</v>
      </c>
      <c r="D69" s="649">
        <f>'Propylene Recycling HC'!C201</f>
        <v>0</v>
      </c>
      <c r="E69" s="649">
        <f>'Propylene Recycling HC'!D201</f>
        <v>0</v>
      </c>
      <c r="F69" s="649">
        <f>'Propylene Recycling HC'!E201</f>
        <v>0</v>
      </c>
      <c r="G69" s="649">
        <f>'Propylene Recycling HC'!F201</f>
        <v>0</v>
      </c>
      <c r="H69" s="649">
        <f>'Propylene Recycling HC'!G201</f>
        <v>0</v>
      </c>
      <c r="I69" s="649">
        <f>'Propylene Recycling HC'!H201</f>
        <v>0</v>
      </c>
      <c r="J69" s="649">
        <f>'Propylene Recycling HC'!I201</f>
        <v>0</v>
      </c>
      <c r="K69" s="649">
        <f>'Propylene Recycling HC'!J201</f>
        <v>0</v>
      </c>
      <c r="L69" s="649">
        <f>'Propylene Recycling HC'!K201</f>
        <v>0</v>
      </c>
      <c r="M69" s="649">
        <f>'Propylene Recycling HC'!L201</f>
        <v>0</v>
      </c>
      <c r="N69" s="649">
        <f>'Propylene Recycling HC'!M201</f>
        <v>0</v>
      </c>
      <c r="O69" s="649">
        <f>'Propylene Recycling HC'!N201</f>
        <v>0</v>
      </c>
      <c r="P69" s="649">
        <f>'Propylene Recycling HC'!O201</f>
        <v>0</v>
      </c>
      <c r="Q69" s="649">
        <f>'Propylene Recycling HC'!P201</f>
        <v>0</v>
      </c>
      <c r="R69" s="649">
        <f>'Propylene Recycling HC'!Q201</f>
        <v>0</v>
      </c>
      <c r="S69" s="649">
        <f>'Propylene Recycling HC'!R201</f>
        <v>0</v>
      </c>
      <c r="T69" s="649">
        <f>'Propylene Recycling HC'!S201</f>
        <v>0</v>
      </c>
      <c r="U69" s="649">
        <f>'Propylene Recycling HC'!T201</f>
        <v>0</v>
      </c>
      <c r="V69" s="649">
        <f>'Propylene Recycling HC'!U201</f>
        <v>0</v>
      </c>
      <c r="W69" s="649">
        <f>'Propylene Recycling HC'!V201</f>
        <v>0</v>
      </c>
      <c r="X69" s="649">
        <f>'Propylene Recycling HC'!W201</f>
        <v>0</v>
      </c>
      <c r="Y69" s="649">
        <f>'Propylene Recycling HC'!X201</f>
        <v>0</v>
      </c>
      <c r="Z69" s="649">
        <f>'Propylene Recycling HC'!Y201</f>
        <v>0</v>
      </c>
      <c r="AA69" s="649">
        <f>'Propylene Recycling HC'!Z201</f>
        <v>0</v>
      </c>
      <c r="AB69" s="649">
        <f>'Propylene Recycling HC'!AA201</f>
        <v>0</v>
      </c>
      <c r="AC69" s="649">
        <f>'Propylene Recycling HC'!AB201</f>
        <v>0</v>
      </c>
      <c r="AD69" s="649">
        <f>'Propylene Recycling HC'!AC201</f>
        <v>0</v>
      </c>
      <c r="AE69" s="649">
        <f>'Propylene Recycling HC'!AD201</f>
        <v>0</v>
      </c>
      <c r="AF69" s="649">
        <f>'Propylene Recycling HC'!AE201</f>
        <v>0</v>
      </c>
      <c r="AG69" s="649">
        <f>'Propylene Recycling HC'!AF201</f>
        <v>0</v>
      </c>
      <c r="AH69" s="649">
        <f>'Propylene Recycling HC'!AG201</f>
        <v>0</v>
      </c>
    </row>
    <row r="70" spans="1:45">
      <c r="A70" s="1" t="s">
        <v>844</v>
      </c>
      <c r="C70" s="262" t="s">
        <v>166</v>
      </c>
      <c r="D70" s="649">
        <f>'Propylene Recycling HC'!C203</f>
        <v>0.8548874826080245</v>
      </c>
      <c r="E70" s="649">
        <f>'Propylene Recycling HC'!D203</f>
        <v>1.7262932686426868</v>
      </c>
      <c r="F70" s="649">
        <f>'Propylene Recycling HC'!E203</f>
        <v>3.4759115088981676</v>
      </c>
      <c r="G70" s="649">
        <f>'Propylene Recycling HC'!F203</f>
        <v>6.9741370317985805</v>
      </c>
      <c r="H70" s="649">
        <f>'Propylene Recycling HC'!G203</f>
        <v>13.930766278195849</v>
      </c>
      <c r="I70" s="649">
        <f>'Propylene Recycling HC'!H203</f>
        <v>27.666168361748898</v>
      </c>
      <c r="J70" s="649">
        <f>'Propylene Recycling HC'!I203</f>
        <v>54.368360806779712</v>
      </c>
      <c r="K70" s="649">
        <f>'Propylene Recycling HC'!J203</f>
        <v>105.75647467966485</v>
      </c>
      <c r="L70" s="649">
        <f>'Propylene Recycling HC'!K203</f>
        <v>202.93777169643363</v>
      </c>
      <c r="M70" s="649">
        <f>'Propylene Recycling HC'!L203</f>
        <v>382.46899836493105</v>
      </c>
      <c r="N70" s="649">
        <f>'Propylene Recycling HC'!M203</f>
        <v>707.07196931324131</v>
      </c>
      <c r="O70" s="649">
        <f>'Propylene Recycling HC'!N203</f>
        <v>1231.7325141999377</v>
      </c>
      <c r="P70" s="649">
        <f>'Propylene Recycling HC'!O203</f>
        <v>2075.1754611718288</v>
      </c>
      <c r="Q70" s="649">
        <f>'Propylene Recycling HC'!P203</f>
        <v>3338.0419610484096</v>
      </c>
      <c r="R70" s="649">
        <f>'Propylene Recycling HC'!Q203</f>
        <v>5095.2002265664159</v>
      </c>
      <c r="S70" s="649">
        <f>'Propylene Recycling HC'!R203</f>
        <v>7347.9154601651089</v>
      </c>
      <c r="T70" s="649">
        <f>'Propylene Recycling HC'!S203</f>
        <v>9988.6217400193564</v>
      </c>
      <c r="U70" s="649">
        <f>'Propylene Recycling HC'!T203</f>
        <v>12825.407957886982</v>
      </c>
      <c r="V70" s="649">
        <f>'Propylene Recycling HC'!U203</f>
        <v>15629.960755904749</v>
      </c>
      <c r="W70" s="649">
        <f>'Propylene Recycling HC'!V203</f>
        <v>18204.480882734882</v>
      </c>
      <c r="X70" s="649">
        <f>'Propylene Recycling HC'!W203</f>
        <v>20425.063168953668</v>
      </c>
      <c r="Y70" s="649">
        <f>'Propylene Recycling HC'!X203</f>
        <v>21484.813170892834</v>
      </c>
      <c r="Z70" s="649">
        <f>'Propylene Recycling HC'!Y203</f>
        <v>22098.218710105226</v>
      </c>
      <c r="AA70" s="649">
        <f>'Propylene Recycling HC'!Z203</f>
        <v>22314.169397039546</v>
      </c>
      <c r="AB70" s="649">
        <f>'Propylene Recycling HC'!AA203</f>
        <v>22259.092869395823</v>
      </c>
      <c r="AC70" s="649">
        <f>'Propylene Recycling HC'!AB203</f>
        <v>22055.384075141606</v>
      </c>
      <c r="AD70" s="649">
        <f>'Propylene Recycling HC'!AC203</f>
        <v>21815.627752982025</v>
      </c>
      <c r="AE70" s="649">
        <f>'Propylene Recycling HC'!AD203</f>
        <v>21638.641628661651</v>
      </c>
      <c r="AF70" s="649">
        <f>'Propylene Recycling HC'!AE203</f>
        <v>21574.487847379889</v>
      </c>
      <c r="AG70" s="649">
        <f>'Propylene Recycling HC'!AF203</f>
        <v>21599.946759707818</v>
      </c>
      <c r="AH70" s="649">
        <f>'Propylene Recycling HC'!AG203</f>
        <v>23747.134176928332</v>
      </c>
    </row>
    <row r="71" spans="1:45" s="99" customFormat="1">
      <c r="A71" s="97" t="s">
        <v>1197</v>
      </c>
      <c r="B71" s="97"/>
      <c r="C71" s="98" t="s">
        <v>166</v>
      </c>
      <c r="D71" s="642">
        <f>D68-D69-D70</f>
        <v>1127443.4951125178</v>
      </c>
      <c r="E71" s="642">
        <f t="shared" ref="E71:AH71" si="30">E68-E69-E70</f>
        <v>1114796.1347365631</v>
      </c>
      <c r="F71" s="642">
        <f t="shared" si="30"/>
        <v>1102132.7824955031</v>
      </c>
      <c r="G71" s="642">
        <f t="shared" si="30"/>
        <v>1089454.3260118514</v>
      </c>
      <c r="H71" s="642">
        <f t="shared" si="30"/>
        <v>1076760.8239373358</v>
      </c>
      <c r="I71" s="642">
        <f t="shared" si="30"/>
        <v>1064050.7350089115</v>
      </c>
      <c r="J71" s="642">
        <f t="shared" si="30"/>
        <v>1051520.7374389993</v>
      </c>
      <c r="K71" s="642">
        <f t="shared" si="30"/>
        <v>1038974.760235435</v>
      </c>
      <c r="L71" s="642">
        <f t="shared" si="30"/>
        <v>1026393.5086282553</v>
      </c>
      <c r="M71" s="642">
        <f t="shared" si="30"/>
        <v>1013742.2499789877</v>
      </c>
      <c r="N71" s="642">
        <f t="shared" si="30"/>
        <v>1000960.0984499857</v>
      </c>
      <c r="O71" s="642">
        <f t="shared" si="30"/>
        <v>980677.93809518416</v>
      </c>
      <c r="P71" s="642">
        <f t="shared" si="30"/>
        <v>960237.88297022961</v>
      </c>
      <c r="Q71" s="642">
        <f t="shared" si="30"/>
        <v>939124.34616293141</v>
      </c>
      <c r="R71" s="642">
        <f t="shared" si="30"/>
        <v>917502.57205992704</v>
      </c>
      <c r="S71" s="642">
        <f t="shared" si="30"/>
        <v>895374.70039152005</v>
      </c>
      <c r="T71" s="642">
        <f t="shared" si="30"/>
        <v>872851.6982008398</v>
      </c>
      <c r="U71" s="642">
        <f t="shared" si="30"/>
        <v>850128.87448679761</v>
      </c>
      <c r="V71" s="642">
        <f t="shared" si="30"/>
        <v>827437.93787532346</v>
      </c>
      <c r="W71" s="642">
        <f t="shared" si="30"/>
        <v>804980.08089943149</v>
      </c>
      <c r="X71" s="642">
        <f t="shared" si="30"/>
        <v>782882.60068920057</v>
      </c>
      <c r="Y71" s="642">
        <f t="shared" si="30"/>
        <v>749754.26844067127</v>
      </c>
      <c r="Z71" s="642">
        <f t="shared" si="30"/>
        <v>718500.6043159212</v>
      </c>
      <c r="AA71" s="642">
        <f t="shared" si="30"/>
        <v>687936.33359950373</v>
      </c>
      <c r="AB71" s="642">
        <f t="shared" si="30"/>
        <v>657685.12370557035</v>
      </c>
      <c r="AC71" s="642">
        <f t="shared" si="30"/>
        <v>629288.13630317699</v>
      </c>
      <c r="AD71" s="642">
        <f t="shared" si="30"/>
        <v>606853.5115049372</v>
      </c>
      <c r="AE71" s="642">
        <f t="shared" si="30"/>
        <v>584367.73454499862</v>
      </c>
      <c r="AF71" s="642">
        <f t="shared" si="30"/>
        <v>561786.09246271197</v>
      </c>
      <c r="AG71" s="642">
        <f t="shared" si="30"/>
        <v>539137.30014907336</v>
      </c>
      <c r="AH71" s="642">
        <f t="shared" si="30"/>
        <v>498590.21042618714</v>
      </c>
    </row>
    <row r="72" spans="1:45" s="401" customFormat="1">
      <c r="A72" s="400" t="s">
        <v>723</v>
      </c>
      <c r="C72" s="404" t="s">
        <v>166</v>
      </c>
      <c r="D72" s="644">
        <f>'Propylene Recycling HC'!C210</f>
        <v>210780.63080271892</v>
      </c>
      <c r="E72" s="644">
        <f>'Propylene Recycling HC'!D210</f>
        <v>213337.34879290429</v>
      </c>
      <c r="F72" s="644">
        <f>'Propylene Recycling HC'!E210</f>
        <v>215861.21536222062</v>
      </c>
      <c r="G72" s="644">
        <f>'Propylene Recycling HC'!F210</f>
        <v>218352.02414067069</v>
      </c>
      <c r="H72" s="644">
        <f>'Propylene Recycling HC'!G210</f>
        <v>220808.73240091591</v>
      </c>
      <c r="I72" s="644">
        <f>'Propylene Recycling HC'!H210</f>
        <v>223228.68988721698</v>
      </c>
      <c r="J72" s="644">
        <f>'Propylene Recycling HC'!I210</f>
        <v>224948.76367168393</v>
      </c>
      <c r="K72" s="644">
        <f>'Propylene Recycling HC'!J210</f>
        <v>226586.34263421147</v>
      </c>
      <c r="L72" s="644">
        <f>'Propylene Recycling HC'!K210</f>
        <v>228120.67151601848</v>
      </c>
      <c r="M72" s="644">
        <f>'Propylene Recycling HC'!L210</f>
        <v>229515.55178561446</v>
      </c>
      <c r="N72" s="644">
        <f>'Propylene Recycling HC'!M210</f>
        <v>230708.62605547233</v>
      </c>
      <c r="O72" s="644">
        <f>'Propylene Recycling HC'!N210</f>
        <v>226906.37889102372</v>
      </c>
      <c r="P72" s="644">
        <f>'Propylene Recycling HC'!O210</f>
        <v>222771.86642392457</v>
      </c>
      <c r="Q72" s="644">
        <f>'Propylene Recycling HC'!P210</f>
        <v>218006.94652398952</v>
      </c>
      <c r="R72" s="644">
        <f>'Propylene Recycling HC'!Q210</f>
        <v>212688.7427551781</v>
      </c>
      <c r="S72" s="644">
        <f>'Propylene Recycling HC'!R210</f>
        <v>206819.03821615857</v>
      </c>
      <c r="T72" s="644">
        <f>'Propylene Recycling HC'!S210</f>
        <v>200508.45343891878</v>
      </c>
      <c r="U72" s="644">
        <f>'Propylene Recycling HC'!T210</f>
        <v>193951.96049164433</v>
      </c>
      <c r="V72" s="644">
        <f>'Propylene Recycling HC'!U210</f>
        <v>187380.94008260089</v>
      </c>
      <c r="W72" s="644">
        <f>'Propylene Recycling HC'!V210</f>
        <v>180996.26524462132</v>
      </c>
      <c r="X72" s="644">
        <f>'Propylene Recycling HC'!W210</f>
        <v>174924.92140030276</v>
      </c>
      <c r="Y72" s="644">
        <f>'Propylene Recycling HC'!X210</f>
        <v>163383.60342174052</v>
      </c>
      <c r="Z72" s="644">
        <f>'Propylene Recycling HC'!Y210</f>
        <v>152686.2431109155</v>
      </c>
      <c r="AA72" s="644">
        <f>'Propylene Recycling HC'!Z210</f>
        <v>142333.59555688477</v>
      </c>
      <c r="AB72" s="644">
        <f>'Propylene Recycling HC'!AA210</f>
        <v>132278.91178717781</v>
      </c>
      <c r="AC72" s="644">
        <f>'Propylene Recycling HC'!AB210</f>
        <v>122403.78924038113</v>
      </c>
      <c r="AD72" s="644">
        <f>'Propylene Recycling HC'!AC210</f>
        <v>112575.52324360894</v>
      </c>
      <c r="AE72" s="644">
        <f>'Propylene Recycling HC'!AD210</f>
        <v>102723.42526584861</v>
      </c>
      <c r="AF72" s="644">
        <f>'Propylene Recycling HC'!AE210</f>
        <v>92801.376617760136</v>
      </c>
      <c r="AG72" s="644">
        <f>'Propylene Recycling HC'!AF210</f>
        <v>82836.529993320612</v>
      </c>
      <c r="AH72" s="644">
        <f>'Propylene Recycling HC'!AG210</f>
        <v>80178.822125101462</v>
      </c>
      <c r="AI72" s="405"/>
    </row>
    <row r="73" spans="1:45" s="403" customFormat="1">
      <c r="A73" s="402" t="s">
        <v>724</v>
      </c>
      <c r="C73" s="406" t="s">
        <v>166</v>
      </c>
      <c r="D73" s="645">
        <f>'Propylene Recycling HC'!C211</f>
        <v>936405.12793266738</v>
      </c>
      <c r="E73" s="645">
        <f>'Propylene Recycling HC'!D211</f>
        <v>933751.19887056376</v>
      </c>
      <c r="F73" s="645">
        <f>'Propylene Recycling HC'!E211</f>
        <v>931038.16619432345</v>
      </c>
      <c r="G73" s="645">
        <f>'Propylene Recycling HC'!F211</f>
        <v>928266.45232276921</v>
      </c>
      <c r="H73" s="645">
        <f>'Propylene Recycling HC'!G211</f>
        <v>925435.64027310978</v>
      </c>
      <c r="I73" s="645">
        <f>'Propylene Recycling HC'!H211</f>
        <v>922543.70248988259</v>
      </c>
      <c r="J73" s="645">
        <f>'Propylene Recycling HC'!I211</f>
        <v>917085.8439651716</v>
      </c>
      <c r="K73" s="645">
        <f>'Propylene Recycling HC'!J211</f>
        <v>911541.45239832089</v>
      </c>
      <c r="L73" s="645">
        <f>'Propylene Recycling HC'!K211</f>
        <v>905890.71334126522</v>
      </c>
      <c r="M73" s="645">
        <f>'Propylene Recycling HC'!L211</f>
        <v>900098.3628611468</v>
      </c>
      <c r="N73" s="645">
        <f>'Propylene Recycling HC'!M211</f>
        <v>894102.97195698868</v>
      </c>
      <c r="O73" s="645">
        <f>'Propylene Recycling HC'!N211</f>
        <v>882008.45190383471</v>
      </c>
      <c r="P73" s="645">
        <f>'Propylene Recycling HC'!O211</f>
        <v>869785.22099463339</v>
      </c>
      <c r="Q73" s="645">
        <f>'Propylene Recycling HC'!P211</f>
        <v>856457.00990144734</v>
      </c>
      <c r="R73" s="645">
        <f>'Propylene Recycling HC'!Q211</f>
        <v>842593.6973065146</v>
      </c>
      <c r="S73" s="645">
        <f>'Propylene Recycling HC'!R211</f>
        <v>828198.21939961449</v>
      </c>
      <c r="T73" s="645">
        <f>'Propylene Recycling HC'!S211</f>
        <v>813382.34115494986</v>
      </c>
      <c r="U73" s="645">
        <f>'Propylene Recycling HC'!T211</f>
        <v>798342.17042892193</v>
      </c>
      <c r="V73" s="645">
        <f>'Propylene Recycling HC'!U211</f>
        <v>783310.21505895397</v>
      </c>
      <c r="W73" s="645">
        <f>'Propylene Recycling HC'!V211</f>
        <v>768488.46654296876</v>
      </c>
      <c r="X73" s="645">
        <f>'Propylene Recycling HC'!W211</f>
        <v>754005.02009962022</v>
      </c>
      <c r="Y73" s="645">
        <f>'Propylene Recycling HC'!X211</f>
        <v>732546.37846182752</v>
      </c>
      <c r="Z73" s="645">
        <f>'Propylene Recycling HC'!Y211</f>
        <v>713547.893403152</v>
      </c>
      <c r="AA73" s="645">
        <f>'Propylene Recycling HC'!Z211</f>
        <v>694459.75399949995</v>
      </c>
      <c r="AB73" s="645">
        <f>'Propylene Recycling HC'!AA211</f>
        <v>675703.33999766863</v>
      </c>
      <c r="AC73" s="645">
        <f>'Propylene Recycling HC'!AB211</f>
        <v>657161.51531089656</v>
      </c>
      <c r="AD73" s="645">
        <f>'Propylene Recycling HC'!AC211</f>
        <v>638653.39179536584</v>
      </c>
      <c r="AE73" s="645">
        <f>'Propylene Recycling HC'!AD211</f>
        <v>620159.66337596357</v>
      </c>
      <c r="AF73" s="645">
        <f>'Propylene Recycling HC'!AE211</f>
        <v>601635.45030957251</v>
      </c>
      <c r="AG73" s="645">
        <f>'Propylene Recycling HC'!AF211</f>
        <v>583109.13200204412</v>
      </c>
      <c r="AH73" s="645">
        <f>'Propylene Recycling HC'!AG211</f>
        <v>562553.7311732138</v>
      </c>
      <c r="AI73" s="407"/>
    </row>
    <row r="74" spans="1:45" hidden="1">
      <c r="A74" t="s">
        <v>536</v>
      </c>
      <c r="B74"/>
      <c r="C74" s="51"/>
      <c r="D74" s="41">
        <f t="shared" ref="D74:AH74" si="31">D4-D6-D14-D22-D26-D32</f>
        <v>0</v>
      </c>
      <c r="E74" s="41">
        <f t="shared" si="31"/>
        <v>0</v>
      </c>
      <c r="F74" s="41">
        <f t="shared" si="31"/>
        <v>0</v>
      </c>
      <c r="G74" s="41">
        <f t="shared" si="31"/>
        <v>0</v>
      </c>
      <c r="H74" s="41">
        <f t="shared" si="31"/>
        <v>0</v>
      </c>
      <c r="I74" s="41">
        <f t="shared" si="31"/>
        <v>0</v>
      </c>
      <c r="J74" s="41">
        <f t="shared" si="31"/>
        <v>0</v>
      </c>
      <c r="K74" s="41">
        <f t="shared" si="31"/>
        <v>0</v>
      </c>
      <c r="L74" s="41">
        <f t="shared" si="31"/>
        <v>0</v>
      </c>
      <c r="M74" s="41">
        <f t="shared" si="31"/>
        <v>0</v>
      </c>
      <c r="N74" s="41">
        <f t="shared" si="31"/>
        <v>0</v>
      </c>
      <c r="O74" s="41">
        <f t="shared" si="31"/>
        <v>0</v>
      </c>
      <c r="P74" s="41">
        <f t="shared" si="31"/>
        <v>0</v>
      </c>
      <c r="Q74" s="41">
        <f t="shared" si="31"/>
        <v>0</v>
      </c>
      <c r="R74" s="41">
        <f t="shared" si="31"/>
        <v>0</v>
      </c>
      <c r="S74" s="41">
        <f t="shared" si="31"/>
        <v>0</v>
      </c>
      <c r="T74" s="41">
        <f t="shared" si="31"/>
        <v>0</v>
      </c>
      <c r="U74" s="41">
        <f t="shared" si="31"/>
        <v>0</v>
      </c>
      <c r="V74" s="41">
        <f t="shared" si="31"/>
        <v>0</v>
      </c>
      <c r="W74" s="41">
        <f t="shared" si="31"/>
        <v>0</v>
      </c>
      <c r="X74" s="41">
        <f t="shared" si="31"/>
        <v>0</v>
      </c>
      <c r="Y74" s="41">
        <f t="shared" si="31"/>
        <v>0</v>
      </c>
      <c r="Z74" s="41">
        <f t="shared" si="31"/>
        <v>0</v>
      </c>
      <c r="AA74" s="41">
        <f t="shared" si="31"/>
        <v>0</v>
      </c>
      <c r="AB74" s="41">
        <f t="shared" si="31"/>
        <v>0</v>
      </c>
      <c r="AC74" s="41">
        <f t="shared" si="31"/>
        <v>0</v>
      </c>
      <c r="AD74" s="41">
        <f t="shared" si="31"/>
        <v>0</v>
      </c>
      <c r="AE74" s="41">
        <f t="shared" si="31"/>
        <v>0</v>
      </c>
      <c r="AF74" s="41">
        <f t="shared" si="31"/>
        <v>0</v>
      </c>
      <c r="AG74" s="41">
        <f t="shared" si="31"/>
        <v>0</v>
      </c>
      <c r="AH74" s="41">
        <f t="shared" si="31"/>
        <v>0</v>
      </c>
    </row>
    <row r="75" spans="1:45" hidden="1">
      <c r="A75" t="s">
        <v>537</v>
      </c>
      <c r="B75"/>
      <c r="C75" s="51"/>
      <c r="D75" s="41">
        <f t="shared" ref="D75:AH75" si="32">D42-D13-D21-D25-D31-D35-D38</f>
        <v>0</v>
      </c>
      <c r="E75" s="41">
        <f t="shared" si="32"/>
        <v>-1.7462298274040222E-10</v>
      </c>
      <c r="F75" s="41">
        <f t="shared" si="32"/>
        <v>-2.3283064365386963E-10</v>
      </c>
      <c r="G75" s="41">
        <f t="shared" si="32"/>
        <v>-2.3283064365386963E-10</v>
      </c>
      <c r="H75" s="41">
        <f t="shared" si="32"/>
        <v>-1.1641532182693481E-10</v>
      </c>
      <c r="I75" s="41">
        <f t="shared" si="32"/>
        <v>-5.8207660913467407E-11</v>
      </c>
      <c r="J75" s="41">
        <f t="shared" si="32"/>
        <v>1.1641532182693481E-10</v>
      </c>
      <c r="K75" s="41">
        <f t="shared" si="32"/>
        <v>0</v>
      </c>
      <c r="L75" s="41">
        <f t="shared" si="32"/>
        <v>-1.1641532182693481E-10</v>
      </c>
      <c r="M75" s="41">
        <f t="shared" si="32"/>
        <v>-5.8207660913467407E-11</v>
      </c>
      <c r="N75" s="41">
        <f t="shared" si="32"/>
        <v>-1.1641532182693481E-10</v>
      </c>
      <c r="O75" s="41">
        <f t="shared" si="32"/>
        <v>1.7462298274040222E-10</v>
      </c>
      <c r="P75" s="41">
        <f t="shared" si="32"/>
        <v>0</v>
      </c>
      <c r="Q75" s="41">
        <f t="shared" si="32"/>
        <v>-1.1641532182693481E-10</v>
      </c>
      <c r="R75" s="41">
        <f t="shared" si="32"/>
        <v>5.8207660913467407E-11</v>
      </c>
      <c r="S75" s="41">
        <f t="shared" si="32"/>
        <v>0</v>
      </c>
      <c r="T75" s="41">
        <f t="shared" si="32"/>
        <v>0</v>
      </c>
      <c r="U75" s="41">
        <f t="shared" si="32"/>
        <v>5.8207660913467407E-11</v>
      </c>
      <c r="V75" s="41">
        <f t="shared" si="32"/>
        <v>0</v>
      </c>
      <c r="W75" s="41">
        <f t="shared" si="32"/>
        <v>-1.1641532182693481E-10</v>
      </c>
      <c r="X75" s="41">
        <f t="shared" si="32"/>
        <v>-2.9103830456733704E-11</v>
      </c>
      <c r="Y75" s="41">
        <f t="shared" si="32"/>
        <v>-1.4551915228366852E-10</v>
      </c>
      <c r="Z75" s="41">
        <f t="shared" si="32"/>
        <v>-1.7462298274040222E-10</v>
      </c>
      <c r="AA75" s="41">
        <f t="shared" si="32"/>
        <v>-1.4551915228366852E-10</v>
      </c>
      <c r="AB75" s="41">
        <f t="shared" si="32"/>
        <v>2.9103830456733704E-11</v>
      </c>
      <c r="AC75" s="41">
        <f t="shared" si="32"/>
        <v>-2.0372681319713593E-10</v>
      </c>
      <c r="AD75" s="41">
        <f t="shared" si="32"/>
        <v>-1.4551915228366852E-10</v>
      </c>
      <c r="AE75" s="41">
        <f t="shared" si="32"/>
        <v>8.7311491370201111E-11</v>
      </c>
      <c r="AF75" s="41">
        <f t="shared" si="32"/>
        <v>2.9103830456733704E-11</v>
      </c>
      <c r="AG75" s="41">
        <f t="shared" si="32"/>
        <v>-2.9103830456733704E-11</v>
      </c>
      <c r="AH75" s="41">
        <f t="shared" si="32"/>
        <v>-2.9103830456733704E-11</v>
      </c>
    </row>
    <row r="76" spans="1:45" hidden="1">
      <c r="A76" t="s">
        <v>538</v>
      </c>
      <c r="B76"/>
      <c r="C76" s="51"/>
      <c r="D76" s="229">
        <f t="shared" ref="D76:AH76" si="33">D42-D43-D47-D50-D54-D60</f>
        <v>0</v>
      </c>
      <c r="E76" s="229">
        <f t="shared" si="33"/>
        <v>0</v>
      </c>
      <c r="F76" s="229">
        <f t="shared" si="33"/>
        <v>0</v>
      </c>
      <c r="G76" s="229">
        <f t="shared" si="33"/>
        <v>0</v>
      </c>
      <c r="H76" s="229">
        <f t="shared" si="33"/>
        <v>0</v>
      </c>
      <c r="I76" s="229">
        <f t="shared" si="33"/>
        <v>0</v>
      </c>
      <c r="J76" s="229">
        <f t="shared" si="33"/>
        <v>0</v>
      </c>
      <c r="K76" s="229">
        <f t="shared" si="33"/>
        <v>0</v>
      </c>
      <c r="L76" s="229">
        <f t="shared" si="33"/>
        <v>0</v>
      </c>
      <c r="M76" s="229">
        <f t="shared" si="33"/>
        <v>0</v>
      </c>
      <c r="N76" s="229">
        <f t="shared" si="33"/>
        <v>0</v>
      </c>
      <c r="O76" s="229">
        <f t="shared" si="33"/>
        <v>0</v>
      </c>
      <c r="P76" s="229">
        <f t="shared" si="33"/>
        <v>0</v>
      </c>
      <c r="Q76" s="229">
        <f t="shared" si="33"/>
        <v>0</v>
      </c>
      <c r="R76" s="229">
        <f t="shared" si="33"/>
        <v>0</v>
      </c>
      <c r="S76" s="229">
        <f t="shared" si="33"/>
        <v>0</v>
      </c>
      <c r="T76" s="229">
        <f t="shared" si="33"/>
        <v>0</v>
      </c>
      <c r="U76" s="229">
        <f t="shared" si="33"/>
        <v>0</v>
      </c>
      <c r="V76" s="229">
        <f t="shared" si="33"/>
        <v>0</v>
      </c>
      <c r="W76" s="229">
        <f t="shared" si="33"/>
        <v>0</v>
      </c>
      <c r="X76" s="229">
        <f t="shared" si="33"/>
        <v>0</v>
      </c>
      <c r="Y76" s="229">
        <f t="shared" si="33"/>
        <v>0</v>
      </c>
      <c r="Z76" s="229">
        <f t="shared" si="33"/>
        <v>0</v>
      </c>
      <c r="AA76" s="229">
        <f t="shared" si="33"/>
        <v>0</v>
      </c>
      <c r="AB76" s="229">
        <f t="shared" si="33"/>
        <v>0</v>
      </c>
      <c r="AC76" s="229">
        <f t="shared" si="33"/>
        <v>0</v>
      </c>
      <c r="AD76" s="229">
        <f t="shared" si="33"/>
        <v>0</v>
      </c>
      <c r="AE76" s="229">
        <f t="shared" si="33"/>
        <v>0</v>
      </c>
      <c r="AF76" s="229">
        <f t="shared" si="33"/>
        <v>0</v>
      </c>
      <c r="AG76" s="229">
        <f t="shared" si="33"/>
        <v>0</v>
      </c>
      <c r="AH76" s="229">
        <f t="shared" si="33"/>
        <v>0</v>
      </c>
    </row>
    <row r="77" spans="1:45" hidden="1">
      <c r="A77" t="s">
        <v>539</v>
      </c>
      <c r="B77"/>
      <c r="C77" s="51"/>
      <c r="D77" s="229">
        <f t="shared" ref="D77:AH77" si="34">D46+D49+D53+D59+D65-D68</f>
        <v>0</v>
      </c>
      <c r="E77" s="229">
        <f t="shared" si="34"/>
        <v>0</v>
      </c>
      <c r="F77" s="229">
        <f t="shared" si="34"/>
        <v>0</v>
      </c>
      <c r="G77" s="229">
        <f t="shared" si="34"/>
        <v>0</v>
      </c>
      <c r="H77" s="229">
        <f t="shared" si="34"/>
        <v>0</v>
      </c>
      <c r="I77" s="229">
        <f t="shared" si="34"/>
        <v>0</v>
      </c>
      <c r="J77" s="229">
        <f t="shared" si="34"/>
        <v>0</v>
      </c>
      <c r="K77" s="229">
        <f t="shared" si="34"/>
        <v>0</v>
      </c>
      <c r="L77" s="229">
        <f t="shared" si="34"/>
        <v>0</v>
      </c>
      <c r="M77" s="229">
        <f t="shared" si="34"/>
        <v>0</v>
      </c>
      <c r="N77" s="229">
        <f t="shared" si="34"/>
        <v>0</v>
      </c>
      <c r="O77" s="229">
        <f t="shared" si="34"/>
        <v>0</v>
      </c>
      <c r="P77" s="229">
        <f t="shared" si="34"/>
        <v>0</v>
      </c>
      <c r="Q77" s="229">
        <f t="shared" si="34"/>
        <v>0</v>
      </c>
      <c r="R77" s="229">
        <f t="shared" si="34"/>
        <v>0</v>
      </c>
      <c r="S77" s="229">
        <f t="shared" si="34"/>
        <v>0</v>
      </c>
      <c r="T77" s="229">
        <f t="shared" si="34"/>
        <v>0</v>
      </c>
      <c r="U77" s="229">
        <f t="shared" si="34"/>
        <v>0</v>
      </c>
      <c r="V77" s="229">
        <f t="shared" si="34"/>
        <v>0</v>
      </c>
      <c r="W77" s="229">
        <f t="shared" si="34"/>
        <v>0</v>
      </c>
      <c r="X77" s="229">
        <f t="shared" si="34"/>
        <v>0</v>
      </c>
      <c r="Y77" s="229">
        <f t="shared" si="34"/>
        <v>0</v>
      </c>
      <c r="Z77" s="229">
        <f t="shared" si="34"/>
        <v>0</v>
      </c>
      <c r="AA77" s="229">
        <f t="shared" si="34"/>
        <v>0</v>
      </c>
      <c r="AB77" s="229">
        <f t="shared" si="34"/>
        <v>0</v>
      </c>
      <c r="AC77" s="229">
        <f t="shared" si="34"/>
        <v>-1656.9515838125953</v>
      </c>
      <c r="AD77" s="229">
        <f t="shared" si="34"/>
        <v>-9168.9616186021594</v>
      </c>
      <c r="AE77" s="229">
        <f t="shared" si="34"/>
        <v>-16628.839365663822</v>
      </c>
      <c r="AF77" s="229">
        <f t="shared" si="34"/>
        <v>-24034.939272967284</v>
      </c>
      <c r="AG77" s="229">
        <f t="shared" si="34"/>
        <v>-31385.6158359088</v>
      </c>
      <c r="AH77" s="229">
        <f t="shared" si="34"/>
        <v>-22874.542520106887</v>
      </c>
    </row>
    <row r="78" spans="1:45" ht="15.5" thickBot="1">
      <c r="C78" s="61"/>
      <c r="D78" s="228"/>
      <c r="E78" s="228"/>
      <c r="F78" s="228"/>
      <c r="G78" s="228"/>
      <c r="H78" s="228"/>
      <c r="I78" s="228"/>
      <c r="J78" s="228"/>
      <c r="K78" s="228"/>
      <c r="L78" s="228"/>
      <c r="M78" s="228"/>
      <c r="N78" s="228"/>
      <c r="O78" s="228"/>
      <c r="P78" s="228"/>
      <c r="Q78" s="228"/>
      <c r="R78" s="228"/>
      <c r="S78" s="228"/>
      <c r="T78" s="228"/>
      <c r="U78" s="228"/>
      <c r="V78" s="228"/>
      <c r="W78" s="228"/>
      <c r="X78" s="228"/>
      <c r="Y78" s="228"/>
      <c r="Z78" s="228"/>
      <c r="AA78" s="228"/>
      <c r="AB78" s="228"/>
      <c r="AC78" s="228"/>
      <c r="AD78" s="228"/>
      <c r="AE78" s="228"/>
      <c r="AF78" s="228"/>
      <c r="AG78" s="228"/>
      <c r="AH78" s="228"/>
    </row>
    <row r="79" spans="1:45" ht="54" customHeight="1" thickBot="1">
      <c r="A79" s="235" t="s">
        <v>98</v>
      </c>
      <c r="B79" s="173">
        <v>2020</v>
      </c>
      <c r="C79" s="174" t="s">
        <v>386</v>
      </c>
      <c r="D79" s="174" t="s">
        <v>386</v>
      </c>
      <c r="E79" s="174" t="s">
        <v>387</v>
      </c>
      <c r="F79" s="174" t="s">
        <v>388</v>
      </c>
      <c r="G79" s="174" t="s">
        <v>389</v>
      </c>
      <c r="H79" s="174" t="s">
        <v>390</v>
      </c>
      <c r="I79" s="174" t="s">
        <v>391</v>
      </c>
      <c r="J79" s="174" t="s">
        <v>392</v>
      </c>
      <c r="K79" s="174" t="s">
        <v>393</v>
      </c>
      <c r="L79" s="174" t="s">
        <v>394</v>
      </c>
      <c r="M79" s="174" t="s">
        <v>395</v>
      </c>
      <c r="N79" s="174" t="s">
        <v>540</v>
      </c>
      <c r="O79" s="174" t="s">
        <v>541</v>
      </c>
      <c r="P79" s="174" t="s">
        <v>542</v>
      </c>
      <c r="Q79" s="174" t="s">
        <v>543</v>
      </c>
      <c r="R79" s="174" t="s">
        <v>544</v>
      </c>
      <c r="S79" s="174" t="s">
        <v>545</v>
      </c>
      <c r="T79" s="174" t="s">
        <v>546</v>
      </c>
      <c r="U79" s="174" t="s">
        <v>547</v>
      </c>
      <c r="V79" s="174" t="s">
        <v>548</v>
      </c>
      <c r="W79" s="174" t="s">
        <v>549</v>
      </c>
      <c r="X79" s="174" t="s">
        <v>540</v>
      </c>
      <c r="AJ79" s="131" t="s">
        <v>601</v>
      </c>
      <c r="AK79" s="132" t="s">
        <v>128</v>
      </c>
      <c r="AL79" s="132" t="s">
        <v>305</v>
      </c>
      <c r="AM79" s="132" t="s">
        <v>306</v>
      </c>
      <c r="AN79" s="132" t="s">
        <v>582</v>
      </c>
      <c r="AO79" s="132" t="s">
        <v>583</v>
      </c>
      <c r="AP79" s="132" t="s">
        <v>584</v>
      </c>
      <c r="AQ79" s="132" t="s">
        <v>638</v>
      </c>
      <c r="AR79" s="132" t="s">
        <v>585</v>
      </c>
      <c r="AS79" s="132"/>
    </row>
    <row r="80" spans="1:45">
      <c r="A80" t="s">
        <v>17</v>
      </c>
      <c r="B80" s="171">
        <f>'Demand - Propylene'!J50</f>
        <v>0.2419533720775105</v>
      </c>
      <c r="C80" s="172">
        <f>D80/$D$88</f>
        <v>0.27293164345542131</v>
      </c>
      <c r="D80" s="234">
        <f>AH21*B80/(B80+B84)</f>
        <v>211957.02371660824</v>
      </c>
      <c r="N80" s="181">
        <f>X80/$X$88</f>
        <v>0.31048709150768877</v>
      </c>
      <c r="X80" s="41">
        <f>AH46*B80/(B80+B84)</f>
        <v>162179.00291167063</v>
      </c>
      <c r="AJ80" s="27" t="s">
        <v>78</v>
      </c>
      <c r="AK80" s="133">
        <f>D4</f>
        <v>1127444.3500000006</v>
      </c>
      <c r="AM80" s="133">
        <f>AH4</f>
        <v>1127444.3500000006</v>
      </c>
      <c r="AN80" s="133"/>
      <c r="AO80" s="133"/>
      <c r="AP80" s="133"/>
      <c r="AR80" s="133" t="s">
        <v>307</v>
      </c>
      <c r="AS80" s="130"/>
    </row>
    <row r="81" spans="1:45">
      <c r="A81" t="s">
        <v>19</v>
      </c>
      <c r="B81" s="171">
        <f>'Demand - Propylene'!J51</f>
        <v>0.12214124792743497</v>
      </c>
      <c r="C81" s="172">
        <f t="shared" ref="C81:C87" si="35">D81/$D$88</f>
        <v>7.9795069805467425E-2</v>
      </c>
      <c r="D81" s="234">
        <f>AH25</f>
        <v>61968.356944981118</v>
      </c>
      <c r="N81" s="181">
        <f t="shared" ref="N81:N87" si="36">X81/$X$88</f>
        <v>0</v>
      </c>
      <c r="X81" s="41">
        <f>IF(AH59&lt;0,0,AH59)</f>
        <v>0</v>
      </c>
      <c r="AJ81" s="27" t="s">
        <v>164</v>
      </c>
      <c r="AN81" s="41">
        <f>-AH17</f>
        <v>-70991.237281389433</v>
      </c>
      <c r="AO81" s="40">
        <f>-AH23</f>
        <v>-75739.102932754729</v>
      </c>
      <c r="AP81" s="41">
        <f>-AH11+AH7</f>
        <v>-128814.61281962917</v>
      </c>
      <c r="AQ81" s="40">
        <f>-AH33</f>
        <v>-36880.385529891508</v>
      </c>
    </row>
    <row r="82" spans="1:45">
      <c r="A82" t="s">
        <v>333</v>
      </c>
      <c r="B82" s="171">
        <f>'Demand - Propylene'!J52</f>
        <v>0.16493171697766407</v>
      </c>
      <c r="C82" s="172">
        <f t="shared" si="35"/>
        <v>0.23116843840106188</v>
      </c>
      <c r="D82" s="234">
        <f>AH13</f>
        <v>179523.97736068338</v>
      </c>
      <c r="N82" s="181">
        <f t="shared" si="36"/>
        <v>0.27328210603957209</v>
      </c>
      <c r="X82" s="41">
        <f>AH49</f>
        <v>142745.44959625707</v>
      </c>
      <c r="AJ82" s="27" t="s">
        <v>167</v>
      </c>
      <c r="AN82" s="41">
        <f>-AH20</f>
        <v>-26131.743784560531</v>
      </c>
      <c r="AO82" s="40">
        <f>-AH24</f>
        <v>0</v>
      </c>
      <c r="AP82">
        <f>-AH12</f>
        <v>0</v>
      </c>
      <c r="AQ82" s="40">
        <f>-AH34</f>
        <v>-12293.461843297169</v>
      </c>
    </row>
    <row r="83" spans="1:45">
      <c r="A83" t="s">
        <v>23</v>
      </c>
      <c r="B83" s="171">
        <f>'Demand - Propylene'!J53</f>
        <v>6.8070880670308739E-2</v>
      </c>
      <c r="C83" s="172">
        <f t="shared" si="35"/>
        <v>5.2784489668998687E-2</v>
      </c>
      <c r="D83" s="234">
        <f>AH35*B83/(B83+B85)</f>
        <v>40992.107719705979</v>
      </c>
      <c r="N83" s="181">
        <f t="shared" si="36"/>
        <v>4.8141492494076114E-2</v>
      </c>
      <c r="X83" s="41">
        <f>AH65*C83/(C83+C85+C87)</f>
        <v>25146.099354586528</v>
      </c>
      <c r="AJ83" s="27" t="s">
        <v>578</v>
      </c>
      <c r="AL83" s="133">
        <f>AH4-D4</f>
        <v>0</v>
      </c>
      <c r="AS83" s="41"/>
    </row>
    <row r="84" spans="1:45">
      <c r="A84" t="s">
        <v>26</v>
      </c>
      <c r="B84" s="171">
        <f>'Demand - Propylene'!J54</f>
        <v>0.14434424259057366</v>
      </c>
      <c r="C84" s="172">
        <f t="shared" si="35"/>
        <v>0.16282522130318824</v>
      </c>
      <c r="D84" s="234">
        <f>AH21*B84/(B80+B84)</f>
        <v>126449.05829345062</v>
      </c>
      <c r="N84" s="181">
        <f t="shared" si="36"/>
        <v>0.18523000391773914</v>
      </c>
      <c r="X84" s="41">
        <f>AH46*B84/(B80+B84)</f>
        <v>96752.54838721652</v>
      </c>
    </row>
    <row r="85" spans="1:45" ht="88.5">
      <c r="A85" t="s">
        <v>27</v>
      </c>
      <c r="B85" s="171">
        <f>'Demand - Propylene'!J55</f>
        <v>0.258558539756508</v>
      </c>
      <c r="C85" s="172">
        <f t="shared" si="35"/>
        <v>0.20049513736586244</v>
      </c>
      <c r="D85" s="234">
        <f>AH35*B85/(B83+B85)</f>
        <v>155703.28177304871</v>
      </c>
      <c r="N85" s="181">
        <f t="shared" si="36"/>
        <v>0.18285930604092407</v>
      </c>
      <c r="X85" s="41">
        <f>AH65*C85/(C83+C85+C87)</f>
        <v>95514.244353384682</v>
      </c>
      <c r="AJ85" s="244" t="s">
        <v>589</v>
      </c>
      <c r="AK85" s="129" t="s">
        <v>128</v>
      </c>
      <c r="AL85" s="129" t="s">
        <v>305</v>
      </c>
      <c r="AM85" s="129" t="s">
        <v>306</v>
      </c>
      <c r="AN85" s="129" t="s">
        <v>146</v>
      </c>
      <c r="AO85" s="129" t="s">
        <v>586</v>
      </c>
      <c r="AP85" s="129" t="s">
        <v>591</v>
      </c>
      <c r="AQ85" s="129" t="s">
        <v>587</v>
      </c>
      <c r="AR85" s="129" t="s">
        <v>588</v>
      </c>
      <c r="AS85" s="247" t="s">
        <v>590</v>
      </c>
    </row>
    <row r="86" spans="1:45">
      <c r="A86" s="124" t="s">
        <v>365</v>
      </c>
      <c r="B86" s="171">
        <f>'Demand - Propylene'!J56</f>
        <v>0</v>
      </c>
      <c r="C86" s="172">
        <f t="shared" si="35"/>
        <v>0</v>
      </c>
      <c r="D86" s="234">
        <f>AH31</f>
        <v>0</v>
      </c>
      <c r="N86" s="181">
        <f t="shared" si="36"/>
        <v>0</v>
      </c>
      <c r="X86" s="41">
        <f>AH53</f>
        <v>0</v>
      </c>
      <c r="AK86" s="136">
        <f>D14</f>
        <v>435529.06307600881</v>
      </c>
      <c r="AL86" s="136">
        <f>AH14-D14</f>
        <v>0</v>
      </c>
      <c r="AM86" s="136">
        <f>AH14</f>
        <v>435529.06307600881</v>
      </c>
      <c r="AN86" s="136">
        <f>-'Yearly LC Propylene'!AH15</f>
        <v>-13749.652521309599</v>
      </c>
      <c r="AO86" s="136">
        <f>-'Yearly LC Propylene'!AH16</f>
        <v>-40913.600185360272</v>
      </c>
      <c r="AP86" s="136">
        <f>SUM(AM86:AO87)</f>
        <v>364537.82579461933</v>
      </c>
      <c r="AQ86" s="246">
        <f>-'Yearly LC Propylene'!AH18</f>
        <v>-11985.759815851763</v>
      </c>
      <c r="AR86" s="246">
        <f>-'Yearly LC Propylene'!AH19</f>
        <v>-10487.539838870292</v>
      </c>
      <c r="AS86" s="41" t="s">
        <v>307</v>
      </c>
    </row>
    <row r="87" spans="1:45" ht="15.5" thickBot="1">
      <c r="A87" t="s">
        <v>254</v>
      </c>
      <c r="B87" s="171"/>
      <c r="C87" s="172">
        <f t="shared" si="35"/>
        <v>0</v>
      </c>
      <c r="D87" s="234">
        <f>AH38</f>
        <v>0</v>
      </c>
      <c r="N87" s="181">
        <f t="shared" si="36"/>
        <v>0</v>
      </c>
      <c r="X87" s="41">
        <f>AH65*C87/(C83+C85+C87)</f>
        <v>0</v>
      </c>
      <c r="AN87" s="41">
        <f>-AH15-AN86</f>
        <v>-4107.0390648067623</v>
      </c>
      <c r="AO87" s="41">
        <f>-AH16-AO86</f>
        <v>-12220.945509912803</v>
      </c>
      <c r="AP87" s="41"/>
      <c r="AQ87" s="41">
        <f>-AH18-AQ86</f>
        <v>-1951.1702025805189</v>
      </c>
      <c r="AR87" s="41">
        <f>-AH19-AR86</f>
        <v>-1707.2739272579547</v>
      </c>
    </row>
    <row r="88" spans="1:45" ht="15.5" thickBot="1">
      <c r="A88" s="173" t="s">
        <v>78</v>
      </c>
      <c r="B88" s="232">
        <f>SUM(B80:B86)</f>
        <v>1</v>
      </c>
      <c r="C88" s="231">
        <f>SUM(C80:C87)</f>
        <v>1</v>
      </c>
      <c r="D88" s="175">
        <f>SUM(D80:D87)</f>
        <v>776593.80580847804</v>
      </c>
      <c r="E88" s="176"/>
      <c r="F88" s="176"/>
      <c r="G88" s="176"/>
      <c r="H88" s="176"/>
      <c r="I88" s="176"/>
      <c r="J88" s="176"/>
      <c r="K88" s="176"/>
      <c r="L88" s="176"/>
      <c r="M88" s="176"/>
      <c r="N88" s="233">
        <f>SUM(N80:N87)</f>
        <v>1.0000000000000002</v>
      </c>
      <c r="X88" s="41">
        <f>SUM(X80:X87)</f>
        <v>522337.34460311534</v>
      </c>
    </row>
    <row r="89" spans="1:45" ht="74.5" thickBot="1">
      <c r="AJ89" s="244" t="s">
        <v>592</v>
      </c>
      <c r="AK89" s="129" t="s">
        <v>128</v>
      </c>
      <c r="AL89" s="129" t="s">
        <v>305</v>
      </c>
      <c r="AM89" s="129" t="s">
        <v>306</v>
      </c>
      <c r="AN89" s="129" t="s">
        <v>151</v>
      </c>
      <c r="AO89" s="129" t="s">
        <v>152</v>
      </c>
      <c r="AP89" s="247" t="s">
        <v>590</v>
      </c>
      <c r="AQ89" s="129"/>
      <c r="AR89" s="129"/>
    </row>
    <row r="90" spans="1:45" ht="59.75" thickBot="1">
      <c r="A90" s="235" t="s">
        <v>628</v>
      </c>
      <c r="B90" s="173">
        <v>2020</v>
      </c>
      <c r="C90" s="174" t="s">
        <v>386</v>
      </c>
      <c r="D90" s="174" t="s">
        <v>540</v>
      </c>
      <c r="E90" s="174" t="s">
        <v>387</v>
      </c>
      <c r="F90" s="174" t="s">
        <v>388</v>
      </c>
      <c r="G90" s="174" t="s">
        <v>389</v>
      </c>
      <c r="H90" s="174" t="s">
        <v>390</v>
      </c>
      <c r="I90" s="174" t="s">
        <v>391</v>
      </c>
      <c r="J90" s="174" t="s">
        <v>392</v>
      </c>
      <c r="K90" s="174" t="s">
        <v>393</v>
      </c>
      <c r="L90" s="174" t="s">
        <v>394</v>
      </c>
      <c r="M90" s="174" t="s">
        <v>395</v>
      </c>
      <c r="O90" s="174" t="s">
        <v>541</v>
      </c>
      <c r="P90" s="174" t="s">
        <v>542</v>
      </c>
      <c r="Q90" s="174" t="s">
        <v>543</v>
      </c>
      <c r="R90" s="174" t="s">
        <v>544</v>
      </c>
      <c r="S90" s="174" t="s">
        <v>545</v>
      </c>
      <c r="T90" s="174" t="s">
        <v>546</v>
      </c>
      <c r="U90" s="174" t="s">
        <v>547</v>
      </c>
      <c r="V90" s="174" t="s">
        <v>548</v>
      </c>
      <c r="W90" s="174" t="s">
        <v>549</v>
      </c>
      <c r="X90" s="174"/>
      <c r="AK90" s="136">
        <f>D22</f>
        <v>137707.45987773585</v>
      </c>
      <c r="AL90" s="136">
        <f>AH22-D22</f>
        <v>0</v>
      </c>
      <c r="AM90" s="136">
        <f>AH22</f>
        <v>137707.45987773585</v>
      </c>
      <c r="AN90" s="136">
        <f>-'Yearly LC Propylene'!AH23</f>
        <v>-30295.641173101889</v>
      </c>
      <c r="AO90" s="136">
        <f>-'Yearly LC Propylene'!AH24</f>
        <v>0</v>
      </c>
      <c r="AP90" s="136" t="s">
        <v>307</v>
      </c>
      <c r="AQ90" s="136"/>
    </row>
    <row r="91" spans="1:45">
      <c r="A91" t="s">
        <v>555</v>
      </c>
      <c r="B91" s="171">
        <f>B80+B84</f>
        <v>0.38629761466808415</v>
      </c>
      <c r="C91" s="172">
        <f t="shared" ref="C91" si="37">C80+C84</f>
        <v>0.43575686475860953</v>
      </c>
      <c r="D91" s="181">
        <f>N80+N84</f>
        <v>0.49571709542542791</v>
      </c>
      <c r="X91" s="41"/>
      <c r="AN91" s="41">
        <f>-(AH23+AN90)</f>
        <v>-45443.461759652841</v>
      </c>
      <c r="AO91" s="41">
        <f>-(AH24+AO90)</f>
        <v>0</v>
      </c>
    </row>
    <row r="92" spans="1:45">
      <c r="A92" t="s">
        <v>333</v>
      </c>
      <c r="B92" s="171">
        <f>B82</f>
        <v>0.16493171697766407</v>
      </c>
      <c r="C92" s="172">
        <f>C82</f>
        <v>0.23116843840106188</v>
      </c>
      <c r="D92" s="181">
        <f>N82</f>
        <v>0.27328210603957209</v>
      </c>
      <c r="X92" s="41"/>
    </row>
    <row r="93" spans="1:45" ht="88.5">
      <c r="A93" t="s">
        <v>19</v>
      </c>
      <c r="B93" s="171">
        <f>B81</f>
        <v>0.12214124792743497</v>
      </c>
      <c r="C93" s="172">
        <f>C81</f>
        <v>7.9795069805467425E-2</v>
      </c>
      <c r="D93" s="181">
        <f>N81</f>
        <v>0</v>
      </c>
      <c r="X93" s="41"/>
      <c r="AJ93" s="244" t="s">
        <v>593</v>
      </c>
      <c r="AK93" s="129" t="s">
        <v>128</v>
      </c>
      <c r="AL93" s="129" t="s">
        <v>305</v>
      </c>
      <c r="AM93" s="129" t="s">
        <v>306</v>
      </c>
      <c r="AN93" s="129" t="s">
        <v>596</v>
      </c>
      <c r="AO93" s="129" t="s">
        <v>594</v>
      </c>
      <c r="AP93" s="129" t="s">
        <v>595</v>
      </c>
      <c r="AQ93" s="129" t="s">
        <v>591</v>
      </c>
      <c r="AR93" s="129" t="s">
        <v>152</v>
      </c>
      <c r="AS93" s="247" t="s">
        <v>590</v>
      </c>
    </row>
    <row r="94" spans="1:45">
      <c r="A94" t="s">
        <v>23</v>
      </c>
      <c r="B94" s="171">
        <f>B83</f>
        <v>6.8070880670308739E-2</v>
      </c>
      <c r="C94" s="172">
        <f>C83</f>
        <v>5.2784489668998687E-2</v>
      </c>
      <c r="D94" s="181">
        <f>N83</f>
        <v>4.8141492494076114E-2</v>
      </c>
      <c r="X94" s="41"/>
      <c r="AK94" s="136">
        <f>D6</f>
        <v>185951.33244226652</v>
      </c>
      <c r="AL94" s="136">
        <f>AH6-D6</f>
        <v>122387.257738046</v>
      </c>
      <c r="AM94" s="136">
        <f>AH6</f>
        <v>308338.59018031252</v>
      </c>
      <c r="AN94" s="136">
        <f>AH7</f>
        <v>30833.859018031253</v>
      </c>
      <c r="AO94" s="136">
        <f>-'Yearly LC Propylene'!AH9</f>
        <v>-55963.454117726731</v>
      </c>
      <c r="AP94" s="136">
        <f>-'Yearly LC Propylene'!AH10</f>
        <v>-29736.944483464791</v>
      </c>
      <c r="AQ94" s="41">
        <f>SUM(AM94:AP95)</f>
        <v>179523.97736068338</v>
      </c>
      <c r="AR94">
        <f>-'Yearly LC Propylene'!AH12</f>
        <v>0</v>
      </c>
      <c r="AS94" s="41" t="s">
        <v>307</v>
      </c>
    </row>
    <row r="95" spans="1:45">
      <c r="A95" t="s">
        <v>27</v>
      </c>
      <c r="B95" s="171">
        <f>B85+B86+B87</f>
        <v>0.258558539756508</v>
      </c>
      <c r="C95" s="171">
        <f>C85+C86+C87</f>
        <v>0.20049513736586244</v>
      </c>
      <c r="D95" s="171">
        <f>N85+N86+N87</f>
        <v>0.18285930604092407</v>
      </c>
      <c r="X95" s="41"/>
      <c r="AN95" s="41"/>
      <c r="AO95" s="41">
        <f>-(AH9+AO94)</f>
        <v>-55963.454117726731</v>
      </c>
      <c r="AP95" s="41">
        <f>-(AH10+AP94)</f>
        <v>-17984.619118742175</v>
      </c>
      <c r="AR95">
        <f>-(AH12+AR94)</f>
        <v>0</v>
      </c>
    </row>
    <row r="96" spans="1:45" ht="15.5" thickBot="1">
      <c r="A96" t="s">
        <v>254</v>
      </c>
      <c r="B96" s="171">
        <f>B87</f>
        <v>0</v>
      </c>
      <c r="C96" s="172">
        <f>C87</f>
        <v>0</v>
      </c>
      <c r="D96" s="181">
        <f>N87</f>
        <v>0</v>
      </c>
      <c r="X96" s="41"/>
      <c r="AJ96" s="135"/>
      <c r="AK96" s="129"/>
      <c r="AL96" s="129"/>
      <c r="AM96" s="129"/>
      <c r="AN96" s="129"/>
      <c r="AO96" s="129"/>
      <c r="AP96" s="129"/>
    </row>
    <row r="97" spans="1:46" ht="89.25" thickBot="1">
      <c r="A97" s="173" t="s">
        <v>78</v>
      </c>
      <c r="B97" s="236">
        <f>SUM(B91:B96)</f>
        <v>0.99999999999999989</v>
      </c>
      <c r="C97" s="237">
        <f>SUM(C91:C96)</f>
        <v>1</v>
      </c>
      <c r="D97" s="238">
        <f>SUM(D91:D96)</f>
        <v>1.0000000000000002</v>
      </c>
      <c r="X97" s="41"/>
      <c r="AJ97" s="244" t="s">
        <v>597</v>
      </c>
      <c r="AK97" s="129" t="s">
        <v>128</v>
      </c>
      <c r="AL97" s="129" t="s">
        <v>305</v>
      </c>
      <c r="AM97" s="129" t="s">
        <v>306</v>
      </c>
      <c r="AN97" s="129" t="s">
        <v>598</v>
      </c>
      <c r="AO97" s="129" t="s">
        <v>599</v>
      </c>
      <c r="AP97" s="129" t="s">
        <v>591</v>
      </c>
      <c r="AQ97" s="129" t="s">
        <v>152</v>
      </c>
      <c r="AR97" s="247" t="s">
        <v>590</v>
      </c>
    </row>
    <row r="98" spans="1:46" ht="15.5" thickBot="1">
      <c r="E98" s="176"/>
      <c r="F98" s="176"/>
      <c r="G98" s="176"/>
      <c r="H98" s="176"/>
      <c r="I98" s="176"/>
      <c r="J98" s="176"/>
      <c r="K98" s="176"/>
      <c r="L98" s="176"/>
      <c r="M98" s="176"/>
      <c r="X98" s="41"/>
      <c r="AK98" s="136">
        <f>D26</f>
        <v>0</v>
      </c>
      <c r="AL98" s="136">
        <f>AH26-D26</f>
        <v>0</v>
      </c>
      <c r="AM98" s="136">
        <f>AH26</f>
        <v>0</v>
      </c>
      <c r="AN98" s="136">
        <f>-'Yearly LC Propylene'!AH27</f>
        <v>0</v>
      </c>
      <c r="AO98" s="136">
        <f>-'Yearly LC Propylene'!AH28</f>
        <v>0</v>
      </c>
      <c r="AP98" s="136">
        <f>SUM(AM98:AO99)</f>
        <v>0</v>
      </c>
      <c r="AQ98" s="40">
        <f>-'Yearly LC Propylene'!AH30</f>
        <v>0</v>
      </c>
      <c r="AR98" s="41">
        <f>SUM(AP98:AQ99)</f>
        <v>0</v>
      </c>
    </row>
    <row r="99" spans="1:46" ht="15.5" thickBot="1">
      <c r="AN99" s="41">
        <f>-(AH27+AN98)</f>
        <v>0</v>
      </c>
      <c r="AO99" s="41">
        <f>-(AH28+AO98)</f>
        <v>0</v>
      </c>
      <c r="AP99" s="41"/>
      <c r="AQ99" s="40">
        <f>-(AH30+AQ98)</f>
        <v>0</v>
      </c>
    </row>
    <row r="100" spans="1:46" ht="45" thickBot="1">
      <c r="A100" s="235" t="s">
        <v>629</v>
      </c>
      <c r="B100" s="239">
        <v>2020</v>
      </c>
      <c r="C100" s="174" t="s">
        <v>557</v>
      </c>
      <c r="D100" s="174" t="s">
        <v>386</v>
      </c>
      <c r="E100" s="176"/>
      <c r="F100" s="176"/>
      <c r="G100" s="176"/>
      <c r="H100" s="176"/>
      <c r="I100" s="176"/>
      <c r="J100" s="176"/>
      <c r="K100" s="176"/>
      <c r="L100" s="176"/>
      <c r="M100" s="176"/>
      <c r="N100" s="240" t="s">
        <v>540</v>
      </c>
    </row>
    <row r="101" spans="1:46" ht="73.75">
      <c r="A101" t="s">
        <v>254</v>
      </c>
      <c r="B101" s="171">
        <f>B96</f>
        <v>0</v>
      </c>
      <c r="C101" s="171">
        <f>0</f>
        <v>0</v>
      </c>
      <c r="D101" s="172">
        <f>C96</f>
        <v>0</v>
      </c>
      <c r="N101" s="181">
        <f>D96</f>
        <v>0</v>
      </c>
      <c r="AJ101" s="244" t="s">
        <v>600</v>
      </c>
      <c r="AK101" s="129" t="s">
        <v>128</v>
      </c>
      <c r="AL101" s="129" t="s">
        <v>305</v>
      </c>
      <c r="AM101" s="129" t="s">
        <v>306</v>
      </c>
      <c r="AN101" s="129" t="s">
        <v>151</v>
      </c>
      <c r="AO101" s="129" t="s">
        <v>152</v>
      </c>
      <c r="AP101" s="247" t="s">
        <v>590</v>
      </c>
    </row>
    <row r="102" spans="1:46">
      <c r="A102" t="s">
        <v>27</v>
      </c>
      <c r="B102" s="171">
        <f>B95</f>
        <v>0.258558539756508</v>
      </c>
      <c r="C102" s="171">
        <f>'Demand - Propylene'!N55</f>
        <v>0.25855853975650805</v>
      </c>
      <c r="D102" s="172">
        <f>C95</f>
        <v>0.20049513736586244</v>
      </c>
      <c r="N102" s="181">
        <f>D95</f>
        <v>0.18285930604092407</v>
      </c>
      <c r="AK102" s="136">
        <f>D32</f>
        <v>368256.49460398941</v>
      </c>
      <c r="AL102" s="136">
        <f>AH32-D32</f>
        <v>-122387.25773804603</v>
      </c>
      <c r="AM102" s="136">
        <f>AH32</f>
        <v>245869.23686594339</v>
      </c>
      <c r="AN102" s="136">
        <f>-'Yearly LC Propylene'!AH33</f>
        <v>-18440.192764945754</v>
      </c>
      <c r="AO102" s="40">
        <f>-'Yearly LC Propylene'!AH34</f>
        <v>-6146.7309216485846</v>
      </c>
      <c r="AP102" s="41">
        <f>SUM(AM102:AO103)</f>
        <v>196695.38949275468</v>
      </c>
    </row>
    <row r="103" spans="1:46">
      <c r="A103" t="s">
        <v>23</v>
      </c>
      <c r="B103" s="171">
        <f>B94</f>
        <v>6.8070880670308739E-2</v>
      </c>
      <c r="C103" s="171">
        <f>'Demand - Propylene'!N53</f>
        <v>6.8070880670308753E-2</v>
      </c>
      <c r="D103" s="172">
        <f>C94</f>
        <v>5.2784489668998687E-2</v>
      </c>
      <c r="N103" s="181">
        <f>D94</f>
        <v>4.8141492494076114E-2</v>
      </c>
      <c r="AN103" s="41">
        <f>-(AH33+AN102)</f>
        <v>-18440.192764945754</v>
      </c>
      <c r="AO103" s="40">
        <f>-(AH34+AO102)</f>
        <v>-6146.7309216485846</v>
      </c>
    </row>
    <row r="104" spans="1:46">
      <c r="A104" t="s">
        <v>19</v>
      </c>
      <c r="B104" s="171">
        <f>B93</f>
        <v>0.12214124792743497</v>
      </c>
      <c r="C104" s="171">
        <f>'Demand - Propylene'!N51</f>
        <v>0.12214124792743498</v>
      </c>
      <c r="D104" s="172">
        <f>C93</f>
        <v>7.9795069805467425E-2</v>
      </c>
      <c r="N104" s="181">
        <f>D93</f>
        <v>0</v>
      </c>
    </row>
    <row r="105" spans="1:46" ht="103.25">
      <c r="A105" t="s">
        <v>333</v>
      </c>
      <c r="B105" s="171">
        <f>B92</f>
        <v>0.16493171697766407</v>
      </c>
      <c r="C105" s="171">
        <f>'Demand - Propylene'!N52</f>
        <v>0.16493171697766407</v>
      </c>
      <c r="D105" s="172">
        <f>C92</f>
        <v>0.23116843840106188</v>
      </c>
      <c r="N105" s="181">
        <f>D92</f>
        <v>0.27328210603957209</v>
      </c>
      <c r="AJ105" s="131" t="s">
        <v>602</v>
      </c>
      <c r="AK105" s="132" t="s">
        <v>128</v>
      </c>
      <c r="AL105" s="132" t="s">
        <v>305</v>
      </c>
      <c r="AM105" s="132" t="s">
        <v>306</v>
      </c>
      <c r="AN105" s="132" t="s">
        <v>643</v>
      </c>
      <c r="AO105" s="247" t="s">
        <v>585</v>
      </c>
      <c r="AP105" s="132" t="s">
        <v>639</v>
      </c>
      <c r="AQ105" s="132" t="s">
        <v>640</v>
      </c>
      <c r="AR105" s="132" t="s">
        <v>641</v>
      </c>
      <c r="AS105" s="132" t="s">
        <v>642</v>
      </c>
      <c r="AT105" s="132" t="s">
        <v>607</v>
      </c>
    </row>
    <row r="106" spans="1:46" ht="15.5" thickBot="1">
      <c r="A106" t="s">
        <v>555</v>
      </c>
      <c r="B106" s="171">
        <f>B91</f>
        <v>0.38629761466808415</v>
      </c>
      <c r="C106" s="171">
        <f>'Demand - Propylene'!N50+'Demand - Propylene'!N54</f>
        <v>0.38629761466808421</v>
      </c>
      <c r="D106" s="172">
        <f>C91</f>
        <v>0.43575686475860953</v>
      </c>
      <c r="N106" s="181">
        <f>D91</f>
        <v>0.49571709542542791</v>
      </c>
      <c r="AK106" s="133">
        <f>D4</f>
        <v>1127444.3500000006</v>
      </c>
      <c r="AL106" s="133">
        <f>AH4-D4</f>
        <v>0</v>
      </c>
      <c r="AM106" s="133">
        <f>AH4</f>
        <v>1127444.3500000006</v>
      </c>
      <c r="AN106" s="133">
        <f>AH41-AH40-AH39</f>
        <v>-350850.54419152252</v>
      </c>
      <c r="AO106" s="133">
        <f>SUM(AM106:AN106)</f>
        <v>776593.80580847804</v>
      </c>
      <c r="AP106" s="133">
        <f>AH46-AH43</f>
        <v>-79474.530711171683</v>
      </c>
      <c r="AQ106" s="133">
        <f>IF(AH59-AH54&lt;AH54,-AH54,AH59-AH54)</f>
        <v>-61968.356944981118</v>
      </c>
      <c r="AR106" s="133">
        <f>AH49-AH47</f>
        <v>-36778.527764426311</v>
      </c>
      <c r="AS106" s="41">
        <f>AH65-AH60</f>
        <v>-76035.045784783491</v>
      </c>
      <c r="AT106" s="130" t="s">
        <v>307</v>
      </c>
    </row>
    <row r="107" spans="1:46" ht="15.5" thickBot="1">
      <c r="A107" s="173" t="s">
        <v>78</v>
      </c>
      <c r="B107" s="236">
        <f>SUM(B101:B106)</f>
        <v>1</v>
      </c>
      <c r="C107" s="236">
        <f>SUM(C101:C106)</f>
        <v>1</v>
      </c>
      <c r="D107" s="237">
        <f>SUM(D101:D106)</f>
        <v>0.99999999999999989</v>
      </c>
      <c r="N107" s="238">
        <f>SUM(N101:N106)</f>
        <v>1.0000000000000002</v>
      </c>
      <c r="AJ107" s="130"/>
    </row>
    <row r="109" spans="1:46" ht="78" customHeight="1" thickBot="1">
      <c r="AJ109" s="135" t="s">
        <v>308</v>
      </c>
      <c r="AK109" s="132" t="s">
        <v>128</v>
      </c>
      <c r="AL109" s="132" t="s">
        <v>305</v>
      </c>
      <c r="AM109" s="132" t="s">
        <v>306</v>
      </c>
      <c r="AN109" s="132" t="s">
        <v>611</v>
      </c>
      <c r="AO109" s="247" t="s">
        <v>585</v>
      </c>
      <c r="AP109" s="132" t="s">
        <v>612</v>
      </c>
      <c r="AQ109" s="132" t="s">
        <v>613</v>
      </c>
      <c r="AR109" s="132" t="s">
        <v>632</v>
      </c>
      <c r="AS109" s="132" t="s">
        <v>607</v>
      </c>
    </row>
    <row r="110" spans="1:46" ht="45" thickBot="1">
      <c r="A110" s="235" t="s">
        <v>629</v>
      </c>
      <c r="B110" s="239">
        <v>2020</v>
      </c>
      <c r="C110" s="174" t="s">
        <v>557</v>
      </c>
      <c r="D110" s="174" t="s">
        <v>386</v>
      </c>
      <c r="E110" s="176"/>
      <c r="F110" s="176"/>
      <c r="G110" s="176"/>
      <c r="H110" s="176"/>
      <c r="I110" s="176"/>
      <c r="J110" s="176"/>
      <c r="K110" s="176"/>
      <c r="L110" s="176"/>
      <c r="M110" s="176"/>
      <c r="N110" s="240" t="s">
        <v>540</v>
      </c>
      <c r="AK110" s="133">
        <f>D14</f>
        <v>435529.06307600881</v>
      </c>
      <c r="AL110" s="133">
        <f>AH14-D14</f>
        <v>0</v>
      </c>
      <c r="AM110" s="133" t="s">
        <v>307</v>
      </c>
      <c r="AN110" s="133">
        <f>AH21-AH14</f>
        <v>-97122.981065949949</v>
      </c>
      <c r="AO110" s="136" t="s">
        <v>307</v>
      </c>
      <c r="AP110" s="136">
        <f>-AH44</f>
        <v>-78834.826881326371</v>
      </c>
      <c r="AQ110" s="136">
        <f>-AH45</f>
        <v>-639.70382984529192</v>
      </c>
      <c r="AR110" s="136">
        <f>SUM(AP110:AQ110)</f>
        <v>-79474.530711171668</v>
      </c>
      <c r="AS110" s="136" t="s">
        <v>307</v>
      </c>
    </row>
    <row r="111" spans="1:46">
      <c r="A111" t="s">
        <v>254</v>
      </c>
      <c r="B111" s="245">
        <f>$D$4*B101</f>
        <v>0</v>
      </c>
      <c r="C111" s="245">
        <f>$AH$4*C101</f>
        <v>0</v>
      </c>
      <c r="D111" s="172"/>
      <c r="N111" s="181"/>
    </row>
    <row r="112" spans="1:46">
      <c r="A112" t="s">
        <v>27</v>
      </c>
      <c r="B112" s="245">
        <f t="shared" ref="B112:B113" si="38">$D$4*B102</f>
        <v>291510.36479272548</v>
      </c>
      <c r="C112" s="245">
        <f t="shared" ref="C112:C113" si="39">$AH$4*C102</f>
        <v>291510.36479272554</v>
      </c>
      <c r="D112" s="172"/>
      <c r="N112" s="181"/>
    </row>
    <row r="113" spans="1:46" ht="71.5" customHeight="1">
      <c r="A113" t="s">
        <v>23</v>
      </c>
      <c r="B113" s="245">
        <f t="shared" si="38"/>
        <v>76746.129811263832</v>
      </c>
      <c r="C113" s="245">
        <f t="shared" si="39"/>
        <v>76746.129811263861</v>
      </c>
      <c r="D113" s="172"/>
      <c r="N113" s="181"/>
      <c r="AJ113" s="135" t="s">
        <v>309</v>
      </c>
      <c r="AK113" s="132" t="s">
        <v>128</v>
      </c>
      <c r="AL113" s="132" t="s">
        <v>305</v>
      </c>
      <c r="AM113" s="132" t="s">
        <v>306</v>
      </c>
      <c r="AN113" s="132" t="s">
        <v>611</v>
      </c>
      <c r="AO113" s="247" t="s">
        <v>585</v>
      </c>
      <c r="AP113" s="132" t="s">
        <v>612</v>
      </c>
      <c r="AQ113" s="132" t="s">
        <v>614</v>
      </c>
      <c r="AR113" s="132" t="s">
        <v>616</v>
      </c>
      <c r="AS113" s="132" t="s">
        <v>633</v>
      </c>
      <c r="AT113" s="132" t="s">
        <v>607</v>
      </c>
    </row>
    <row r="114" spans="1:46">
      <c r="A114" s="124"/>
      <c r="B114" s="245"/>
      <c r="C114" s="245"/>
      <c r="D114" s="172"/>
      <c r="N114" s="181"/>
      <c r="AK114" s="136">
        <f>D22</f>
        <v>137707.45987773585</v>
      </c>
      <c r="AL114" s="136">
        <f>AH22-D22</f>
        <v>0</v>
      </c>
      <c r="AM114" s="136" t="s">
        <v>307</v>
      </c>
      <c r="AN114" s="136">
        <f>AH25-AH22</f>
        <v>-75739.102932754729</v>
      </c>
      <c r="AO114" s="136" t="s">
        <v>307</v>
      </c>
      <c r="AP114" s="136">
        <f>-AH55</f>
        <v>-6899.2007693874311</v>
      </c>
      <c r="AQ114" s="136">
        <f>-AH56</f>
        <v>-75171.648766371</v>
      </c>
      <c r="AR114" s="41">
        <f>-AH58</f>
        <v>-2772.0499293295989</v>
      </c>
      <c r="AS114" s="136">
        <f>SUM(AP114:AR114)</f>
        <v>-84842.899465088034</v>
      </c>
      <c r="AT114" t="s">
        <v>307</v>
      </c>
    </row>
    <row r="115" spans="1:46">
      <c r="A115" t="s">
        <v>333</v>
      </c>
      <c r="B115" s="245">
        <f>$D$4*B105</f>
        <v>185951.33244226652</v>
      </c>
      <c r="C115" s="245">
        <f>$AH$4*C105</f>
        <v>185951.33244226652</v>
      </c>
      <c r="D115" s="172"/>
      <c r="N115" s="181"/>
    </row>
    <row r="116" spans="1:46" ht="59">
      <c r="A116" t="s">
        <v>19</v>
      </c>
      <c r="B116" s="245">
        <f>$D$4*B104</f>
        <v>137707.45987773585</v>
      </c>
      <c r="C116" s="245">
        <f>$AH$4*C104</f>
        <v>137707.45987773585</v>
      </c>
      <c r="D116" s="172"/>
      <c r="N116" s="181"/>
      <c r="AJ116" s="135" t="s">
        <v>310</v>
      </c>
      <c r="AK116" s="132" t="s">
        <v>128</v>
      </c>
      <c r="AL116" s="132" t="s">
        <v>305</v>
      </c>
      <c r="AM116" s="132" t="s">
        <v>306</v>
      </c>
      <c r="AN116" s="132" t="s">
        <v>611</v>
      </c>
      <c r="AO116" s="247" t="s">
        <v>585</v>
      </c>
      <c r="AP116" s="132" t="s">
        <v>612</v>
      </c>
      <c r="AQ116" s="132" t="s">
        <v>607</v>
      </c>
      <c r="AR116" s="132"/>
      <c r="AS116" s="132"/>
      <c r="AT116" s="132"/>
    </row>
    <row r="117" spans="1:46" ht="15.5" thickBot="1">
      <c r="A117" t="s">
        <v>555</v>
      </c>
      <c r="B117" s="245">
        <f>$D$4*B106</f>
        <v>435529.06307600881</v>
      </c>
      <c r="C117" s="245">
        <f>$AH$4*C106</f>
        <v>435529.06307600887</v>
      </c>
      <c r="D117" s="172"/>
      <c r="N117" s="181"/>
      <c r="AK117" s="136">
        <f>D6</f>
        <v>185951.33244226652</v>
      </c>
      <c r="AL117" s="136">
        <f>AH6-D6</f>
        <v>122387.257738046</v>
      </c>
      <c r="AM117" s="136" t="s">
        <v>307</v>
      </c>
      <c r="AN117" s="136">
        <f>AH13-AH6</f>
        <v>-128814.61281962914</v>
      </c>
      <c r="AO117" s="136" t="s">
        <v>307</v>
      </c>
      <c r="AP117" s="136">
        <f>-AH48</f>
        <v>-36778.527764426319</v>
      </c>
      <c r="AQ117" t="s">
        <v>307</v>
      </c>
      <c r="AR117" s="41"/>
      <c r="AS117" s="41"/>
      <c r="AT117" s="136"/>
    </row>
    <row r="118" spans="1:46" ht="15.5" thickBot="1">
      <c r="A118" s="173" t="s">
        <v>78</v>
      </c>
      <c r="B118" s="248">
        <f>SUM(B111:B117)</f>
        <v>1127444.3500000006</v>
      </c>
      <c r="C118" s="248">
        <f>SUM(C111:C117)</f>
        <v>1127444.3500000006</v>
      </c>
      <c r="D118" s="237"/>
      <c r="N118" s="238"/>
    </row>
    <row r="119" spans="1:46" ht="51.65" customHeight="1">
      <c r="AJ119" s="135" t="s">
        <v>311</v>
      </c>
      <c r="AK119" s="132" t="s">
        <v>128</v>
      </c>
      <c r="AL119" s="132" t="s">
        <v>305</v>
      </c>
      <c r="AM119" s="132" t="s">
        <v>306</v>
      </c>
      <c r="AN119" s="132" t="s">
        <v>611</v>
      </c>
      <c r="AO119" s="247" t="s">
        <v>585</v>
      </c>
      <c r="AP119" s="132" t="s">
        <v>612</v>
      </c>
      <c r="AQ119" s="132" t="s">
        <v>618</v>
      </c>
      <c r="AR119" s="132" t="s">
        <v>634</v>
      </c>
      <c r="AS119" s="132" t="s">
        <v>607</v>
      </c>
    </row>
    <row r="120" spans="1:46">
      <c r="A120" s="1" t="s">
        <v>619</v>
      </c>
      <c r="D120" s="1">
        <v>2020</v>
      </c>
      <c r="E120" s="1">
        <f>D120+1</f>
        <v>2021</v>
      </c>
      <c r="F120" s="1">
        <f t="shared" ref="F120:Q120" si="40">E120+1</f>
        <v>2022</v>
      </c>
      <c r="G120" s="1">
        <f t="shared" si="40"/>
        <v>2023</v>
      </c>
      <c r="H120" s="1">
        <f t="shared" si="40"/>
        <v>2024</v>
      </c>
      <c r="I120" s="1">
        <f t="shared" si="40"/>
        <v>2025</v>
      </c>
      <c r="J120" s="1">
        <f t="shared" si="40"/>
        <v>2026</v>
      </c>
      <c r="K120" s="1">
        <f t="shared" si="40"/>
        <v>2027</v>
      </c>
      <c r="L120" s="1">
        <f t="shared" si="40"/>
        <v>2028</v>
      </c>
      <c r="M120" s="1">
        <f t="shared" si="40"/>
        <v>2029</v>
      </c>
      <c r="N120" s="1">
        <f t="shared" si="40"/>
        <v>2030</v>
      </c>
      <c r="O120" s="1">
        <f t="shared" si="40"/>
        <v>2031</v>
      </c>
      <c r="P120" s="1">
        <f t="shared" si="40"/>
        <v>2032</v>
      </c>
      <c r="Q120" s="1">
        <f t="shared" si="40"/>
        <v>2033</v>
      </c>
      <c r="R120" s="1">
        <f>Q120+1</f>
        <v>2034</v>
      </c>
      <c r="S120" s="1">
        <f t="shared" ref="S120:AB120" si="41">R120+1</f>
        <v>2035</v>
      </c>
      <c r="T120" s="1">
        <f t="shared" si="41"/>
        <v>2036</v>
      </c>
      <c r="U120" s="1">
        <f t="shared" si="41"/>
        <v>2037</v>
      </c>
      <c r="V120" s="1">
        <f t="shared" si="41"/>
        <v>2038</v>
      </c>
      <c r="W120" s="1">
        <f t="shared" si="41"/>
        <v>2039</v>
      </c>
      <c r="X120" s="1">
        <f t="shared" si="41"/>
        <v>2040</v>
      </c>
      <c r="Y120" s="1">
        <f t="shared" si="41"/>
        <v>2041</v>
      </c>
      <c r="Z120" s="1">
        <f t="shared" si="41"/>
        <v>2042</v>
      </c>
      <c r="AA120" s="1">
        <f t="shared" si="41"/>
        <v>2043</v>
      </c>
      <c r="AB120" s="1">
        <f t="shared" si="41"/>
        <v>2044</v>
      </c>
      <c r="AC120" s="1">
        <f>AB120+1</f>
        <v>2045</v>
      </c>
      <c r="AD120" s="1">
        <f t="shared" ref="AD120:AF120" si="42">AC120+1</f>
        <v>2046</v>
      </c>
      <c r="AE120" s="1">
        <f t="shared" si="42"/>
        <v>2047</v>
      </c>
      <c r="AF120" s="1">
        <f t="shared" si="42"/>
        <v>2048</v>
      </c>
      <c r="AG120" s="1">
        <f>AF120+1</f>
        <v>2049</v>
      </c>
      <c r="AH120" s="1">
        <f t="shared" ref="AH120" si="43">AG120+1</f>
        <v>2050</v>
      </c>
      <c r="AK120" s="136">
        <f>D26</f>
        <v>0</v>
      </c>
      <c r="AL120" s="136">
        <f>AH26-D26</f>
        <v>0</v>
      </c>
      <c r="AM120" s="136" t="s">
        <v>307</v>
      </c>
      <c r="AN120" s="136">
        <f>AH31-AH26</f>
        <v>0</v>
      </c>
      <c r="AO120" s="136" t="s">
        <v>307</v>
      </c>
      <c r="AP120" s="136">
        <f>-AH51</f>
        <v>0</v>
      </c>
      <c r="AQ120" s="136">
        <f>-AH52</f>
        <v>0</v>
      </c>
      <c r="AR120" s="136">
        <f>SUM(AP120:AQ120)</f>
        <v>0</v>
      </c>
      <c r="AS120" t="s">
        <v>307</v>
      </c>
    </row>
    <row r="121" spans="1:46">
      <c r="C121" t="s">
        <v>164</v>
      </c>
      <c r="D121" s="41">
        <f t="shared" ref="D121:AH121" si="44">D39</f>
        <v>0</v>
      </c>
      <c r="E121" s="41">
        <f t="shared" si="44"/>
        <v>6764.4883332090703</v>
      </c>
      <c r="F121" s="41">
        <f t="shared" si="44"/>
        <v>13533.367502316911</v>
      </c>
      <c r="G121" s="41">
        <f t="shared" si="44"/>
        <v>20306.770759610521</v>
      </c>
      <c r="H121" s="41">
        <f t="shared" si="44"/>
        <v>27084.834491551606</v>
      </c>
      <c r="I121" s="41">
        <f t="shared" si="44"/>
        <v>33867.698279961092</v>
      </c>
      <c r="J121" s="41">
        <f t="shared" si="44"/>
        <v>40655.504964181499</v>
      </c>
      <c r="K121" s="41">
        <f t="shared" si="44"/>
        <v>47448.400704228014</v>
      </c>
      <c r="L121" s="41">
        <f t="shared" si="44"/>
        <v>54246.535044939039</v>
      </c>
      <c r="M121" s="41">
        <f t="shared" si="44"/>
        <v>61050.060981137198</v>
      </c>
      <c r="N121" s="41">
        <f t="shared" si="44"/>
        <v>67859.135023811497</v>
      </c>
      <c r="O121" s="41">
        <f t="shared" si="44"/>
        <v>78519.368387893366</v>
      </c>
      <c r="P121" s="41">
        <f t="shared" si="44"/>
        <v>89273.451088055066</v>
      </c>
      <c r="Q121" s="41">
        <f t="shared" si="44"/>
        <v>100123.50727607767</v>
      </c>
      <c r="R121" s="41">
        <f t="shared" si="44"/>
        <v>111071.69336481378</v>
      </c>
      <c r="S121" s="41">
        <f t="shared" si="44"/>
        <v>122120.1981677554</v>
      </c>
      <c r="T121" s="41">
        <f t="shared" si="44"/>
        <v>133271.24302605682</v>
      </c>
      <c r="U121" s="41">
        <f t="shared" si="44"/>
        <v>144527.08192237472</v>
      </c>
      <c r="V121" s="41">
        <f t="shared" si="44"/>
        <v>155890.00158086495</v>
      </c>
      <c r="W121" s="41">
        <f t="shared" si="44"/>
        <v>167362.32155265362</v>
      </c>
      <c r="X121" s="41">
        <f t="shared" si="44"/>
        <v>178946.39428607808</v>
      </c>
      <c r="Y121" s="41">
        <f t="shared" si="44"/>
        <v>194708.89374370355</v>
      </c>
      <c r="Z121" s="41">
        <f t="shared" si="44"/>
        <v>210620.58137759822</v>
      </c>
      <c r="AA121" s="41">
        <f t="shared" si="44"/>
        <v>226681.45351469342</v>
      </c>
      <c r="AB121" s="41">
        <f t="shared" si="44"/>
        <v>242891.39306497114</v>
      </c>
      <c r="AC121" s="41">
        <f t="shared" si="44"/>
        <v>259250.16411772507</v>
      </c>
      <c r="AD121" s="41">
        <f t="shared" si="44"/>
        <v>275757.40635449928</v>
      </c>
      <c r="AE121" s="41">
        <f t="shared" si="44"/>
        <v>292412.62927338108</v>
      </c>
      <c r="AF121" s="41">
        <f t="shared" si="44"/>
        <v>309215.20621918229</v>
      </c>
      <c r="AG121" s="41">
        <f t="shared" si="44"/>
        <v>326164.36821389967</v>
      </c>
      <c r="AH121" s="41">
        <f t="shared" si="44"/>
        <v>343259.19758169609</v>
      </c>
    </row>
    <row r="122" spans="1:46" ht="46" customHeight="1">
      <c r="C122" t="s">
        <v>167</v>
      </c>
      <c r="D122" s="41">
        <f t="shared" ref="D122:AH122" si="45">D40</f>
        <v>0</v>
      </c>
      <c r="E122" s="41">
        <f t="shared" si="45"/>
        <v>1360.2278509738323</v>
      </c>
      <c r="F122" s="41">
        <f t="shared" si="45"/>
        <v>2709.8464904119037</v>
      </c>
      <c r="G122" s="41">
        <f t="shared" si="45"/>
        <v>4048.5853834200516</v>
      </c>
      <c r="H122" s="41">
        <f t="shared" si="45"/>
        <v>5376.1678629798462</v>
      </c>
      <c r="I122" s="41">
        <f t="shared" si="45"/>
        <v>6692.3109996409503</v>
      </c>
      <c r="J122" s="41">
        <f t="shared" si="45"/>
        <v>7996.7254685552016</v>
      </c>
      <c r="K122" s="41">
        <f t="shared" si="45"/>
        <v>9289.1154137996964</v>
      </c>
      <c r="L122" s="41">
        <f t="shared" si="45"/>
        <v>10569.178309935132</v>
      </c>
      <c r="M122" s="41">
        <f t="shared" si="45"/>
        <v>11836.604820744611</v>
      </c>
      <c r="N122" s="41">
        <f t="shared" si="45"/>
        <v>13091.078655097052</v>
      </c>
      <c r="O122" s="41">
        <f t="shared" si="45"/>
        <v>14332.276419878277</v>
      </c>
      <c r="P122" s="41">
        <f t="shared" si="45"/>
        <v>15315.971194609159</v>
      </c>
      <c r="Q122" s="41">
        <f t="shared" si="45"/>
        <v>16639.370803522204</v>
      </c>
      <c r="R122" s="41">
        <f t="shared" si="45"/>
        <v>17948.480035721997</v>
      </c>
      <c r="S122" s="41">
        <f t="shared" si="45"/>
        <v>19242.945558770909</v>
      </c>
      <c r="T122" s="41">
        <f t="shared" si="45"/>
        <v>20522.406156847286</v>
      </c>
      <c r="U122" s="41">
        <f t="shared" si="45"/>
        <v>21786.492564823504</v>
      </c>
      <c r="V122" s="41">
        <f t="shared" si="45"/>
        <v>23034.827298980897</v>
      </c>
      <c r="W122" s="41">
        <f t="shared" si="45"/>
        <v>24267.024484295314</v>
      </c>
      <c r="X122" s="41">
        <f t="shared" si="45"/>
        <v>25482.689678225513</v>
      </c>
      <c r="Y122" s="41">
        <f t="shared" si="45"/>
        <v>28784.680719708325</v>
      </c>
      <c r="Z122" s="41">
        <f t="shared" si="45"/>
        <v>29933.039544632073</v>
      </c>
      <c r="AA122" s="41">
        <f t="shared" si="45"/>
        <v>31063.167955013938</v>
      </c>
      <c r="AB122" s="41">
        <f t="shared" si="45"/>
        <v>32174.623658486675</v>
      </c>
      <c r="AC122" s="41">
        <f t="shared" si="45"/>
        <v>33266.954593332346</v>
      </c>
      <c r="AD122" s="41">
        <f t="shared" si="45"/>
        <v>34339.698724146896</v>
      </c>
      <c r="AE122" s="41">
        <f t="shared" si="45"/>
        <v>35392.383833380693</v>
      </c>
      <c r="AF122" s="41">
        <f t="shared" si="45"/>
        <v>36424.527308673729</v>
      </c>
      <c r="AG122" s="41">
        <f t="shared" si="45"/>
        <v>37435.635925903051</v>
      </c>
      <c r="AH122" s="41">
        <f t="shared" si="45"/>
        <v>38425.2056278577</v>
      </c>
      <c r="AJ122" s="135" t="s">
        <v>622</v>
      </c>
      <c r="AK122" s="132" t="s">
        <v>128</v>
      </c>
      <c r="AL122" s="132" t="s">
        <v>305</v>
      </c>
      <c r="AM122" s="132" t="s">
        <v>306</v>
      </c>
      <c r="AN122" s="132" t="s">
        <v>611</v>
      </c>
      <c r="AO122" s="247" t="s">
        <v>585</v>
      </c>
      <c r="AP122" s="132" t="s">
        <v>612</v>
      </c>
      <c r="AQ122" s="132" t="s">
        <v>623</v>
      </c>
      <c r="AR122" s="132" t="s">
        <v>624</v>
      </c>
      <c r="AS122" s="132" t="s">
        <v>631</v>
      </c>
      <c r="AT122" s="132" t="s">
        <v>607</v>
      </c>
    </row>
    <row r="123" spans="1:46">
      <c r="C123" t="s">
        <v>555</v>
      </c>
      <c r="D123" s="41">
        <f t="shared" ref="D123:AH123" si="46">D21</f>
        <v>435529.06307600881</v>
      </c>
      <c r="E123" s="41">
        <f t="shared" si="46"/>
        <v>433335.30318529496</v>
      </c>
      <c r="F123" s="41">
        <f t="shared" si="46"/>
        <v>431141.54329458112</v>
      </c>
      <c r="G123" s="41">
        <f t="shared" si="46"/>
        <v>428947.78340386727</v>
      </c>
      <c r="H123" s="41">
        <f t="shared" si="46"/>
        <v>426754.02351315343</v>
      </c>
      <c r="I123" s="41">
        <f t="shared" si="46"/>
        <v>424560.26362243958</v>
      </c>
      <c r="J123" s="41">
        <f t="shared" si="46"/>
        <v>422366.50373172562</v>
      </c>
      <c r="K123" s="41">
        <f t="shared" si="46"/>
        <v>420172.74384101178</v>
      </c>
      <c r="L123" s="41">
        <f t="shared" si="46"/>
        <v>417978.98395029793</v>
      </c>
      <c r="M123" s="41">
        <f t="shared" si="46"/>
        <v>415785.22405958408</v>
      </c>
      <c r="N123" s="41">
        <f t="shared" si="46"/>
        <v>413591.46416887024</v>
      </c>
      <c r="O123" s="41">
        <f t="shared" si="46"/>
        <v>409993.12304973626</v>
      </c>
      <c r="P123" s="41">
        <f t="shared" si="46"/>
        <v>406638.67820592481</v>
      </c>
      <c r="Q123" s="41">
        <f t="shared" si="46"/>
        <v>402930.58376289567</v>
      </c>
      <c r="R123" s="41">
        <f t="shared" si="46"/>
        <v>399222.48931986652</v>
      </c>
      <c r="S123" s="41">
        <f t="shared" si="46"/>
        <v>395514.39487683738</v>
      </c>
      <c r="T123" s="41">
        <f t="shared" si="46"/>
        <v>391806.30043380824</v>
      </c>
      <c r="U123" s="41">
        <f t="shared" si="46"/>
        <v>388098.20599077916</v>
      </c>
      <c r="V123" s="41">
        <f t="shared" si="46"/>
        <v>384390.11154775001</v>
      </c>
      <c r="W123" s="41">
        <f t="shared" si="46"/>
        <v>380682.01710472087</v>
      </c>
      <c r="X123" s="41">
        <f t="shared" si="46"/>
        <v>376973.92266169173</v>
      </c>
      <c r="Y123" s="41">
        <f t="shared" si="46"/>
        <v>371194.88752373616</v>
      </c>
      <c r="Z123" s="41">
        <f t="shared" si="46"/>
        <v>367551.68691110535</v>
      </c>
      <c r="AA123" s="41">
        <f t="shared" si="46"/>
        <v>363908.48629847454</v>
      </c>
      <c r="AB123" s="41">
        <f t="shared" si="46"/>
        <v>360265.28568584373</v>
      </c>
      <c r="AC123" s="41">
        <f t="shared" si="46"/>
        <v>356622.08507321292</v>
      </c>
      <c r="AD123" s="41">
        <f t="shared" si="46"/>
        <v>352978.88446058211</v>
      </c>
      <c r="AE123" s="41">
        <f t="shared" si="46"/>
        <v>349335.6838479513</v>
      </c>
      <c r="AF123" s="41">
        <f t="shared" si="46"/>
        <v>345692.48323532043</v>
      </c>
      <c r="AG123" s="41">
        <f t="shared" si="46"/>
        <v>342049.28262268967</v>
      </c>
      <c r="AH123" s="41">
        <f t="shared" si="46"/>
        <v>338406.08201005886</v>
      </c>
      <c r="AK123" s="136">
        <f>D32</f>
        <v>368256.49460398941</v>
      </c>
      <c r="AL123" s="136">
        <f>AH32-D32</f>
        <v>-122387.25773804603</v>
      </c>
      <c r="AM123" s="136" t="s">
        <v>307</v>
      </c>
      <c r="AN123" s="136">
        <f>AH35-AH32</f>
        <v>-49173.847373188677</v>
      </c>
      <c r="AO123" s="136" t="s">
        <v>307</v>
      </c>
      <c r="AP123" s="136">
        <f>-AH61</f>
        <v>-55323.022103654846</v>
      </c>
      <c r="AQ123" s="136">
        <f>-AH62</f>
        <v>-18792.91219159275</v>
      </c>
      <c r="AR123" s="41">
        <f>-AH64</f>
        <v>-1919.1114895358762</v>
      </c>
      <c r="AS123" s="136">
        <f>SUM(AP123:AR123)</f>
        <v>-76035.045784783477</v>
      </c>
      <c r="AT123" t="s">
        <v>307</v>
      </c>
    </row>
    <row r="124" spans="1:46">
      <c r="C124" t="s">
        <v>19</v>
      </c>
      <c r="D124" s="41">
        <f t="shared" ref="D124:AH124" si="47">D25</f>
        <v>137707.45987773585</v>
      </c>
      <c r="E124" s="41">
        <f t="shared" si="47"/>
        <v>135208.06948095493</v>
      </c>
      <c r="F124" s="41">
        <f t="shared" si="47"/>
        <v>132708.67908417404</v>
      </c>
      <c r="G124" s="41">
        <f t="shared" si="47"/>
        <v>130209.28868739313</v>
      </c>
      <c r="H124" s="41">
        <f t="shared" si="47"/>
        <v>127709.89829061223</v>
      </c>
      <c r="I124" s="41">
        <f t="shared" si="47"/>
        <v>125210.50789383132</v>
      </c>
      <c r="J124" s="41">
        <f t="shared" si="47"/>
        <v>122711.11749705041</v>
      </c>
      <c r="K124" s="41">
        <f t="shared" si="47"/>
        <v>120211.72710026951</v>
      </c>
      <c r="L124" s="41">
        <f t="shared" si="47"/>
        <v>117712.3367034886</v>
      </c>
      <c r="M124" s="41">
        <f t="shared" si="47"/>
        <v>115212.94630670769</v>
      </c>
      <c r="N124" s="41">
        <f t="shared" si="47"/>
        <v>112713.55590992678</v>
      </c>
      <c r="O124" s="41">
        <f t="shared" si="47"/>
        <v>110214.16551314588</v>
      </c>
      <c r="P124" s="41">
        <f t="shared" si="47"/>
        <v>107714.77511636497</v>
      </c>
      <c r="Q124" s="41">
        <f t="shared" si="47"/>
        <v>105215.38471958406</v>
      </c>
      <c r="R124" s="41">
        <f t="shared" si="47"/>
        <v>102715.99432280316</v>
      </c>
      <c r="S124" s="41">
        <f t="shared" si="47"/>
        <v>100216.60392602226</v>
      </c>
      <c r="T124" s="41">
        <f t="shared" si="47"/>
        <v>97717.213529241359</v>
      </c>
      <c r="U124" s="41">
        <f t="shared" si="47"/>
        <v>95217.823132460442</v>
      </c>
      <c r="V124" s="41">
        <f t="shared" si="47"/>
        <v>92718.432735679526</v>
      </c>
      <c r="W124" s="41">
        <f t="shared" si="47"/>
        <v>90219.042338898638</v>
      </c>
      <c r="X124" s="41">
        <f t="shared" si="47"/>
        <v>87719.651942117722</v>
      </c>
      <c r="Y124" s="41">
        <f t="shared" si="47"/>
        <v>85144.522442404064</v>
      </c>
      <c r="Z124" s="41">
        <f t="shared" si="47"/>
        <v>82569.392942690407</v>
      </c>
      <c r="AA124" s="41">
        <f t="shared" si="47"/>
        <v>79994.26344297675</v>
      </c>
      <c r="AB124" s="41">
        <f t="shared" si="47"/>
        <v>77419.133943263078</v>
      </c>
      <c r="AC124" s="41">
        <f t="shared" si="47"/>
        <v>74844.00444354942</v>
      </c>
      <c r="AD124" s="41">
        <f t="shared" si="47"/>
        <v>72268.874943835748</v>
      </c>
      <c r="AE124" s="41">
        <f t="shared" si="47"/>
        <v>69693.745444122105</v>
      </c>
      <c r="AF124" s="41">
        <f t="shared" si="47"/>
        <v>67118.615944408448</v>
      </c>
      <c r="AG124" s="41">
        <f t="shared" si="47"/>
        <v>64543.486444694776</v>
      </c>
      <c r="AH124" s="41">
        <f t="shared" si="47"/>
        <v>61968.356944981118</v>
      </c>
    </row>
    <row r="125" spans="1:46" ht="59">
      <c r="C125" t="s">
        <v>333</v>
      </c>
      <c r="D125" s="41">
        <f t="shared" ref="D125:AH125" si="48">D13</f>
        <v>185951.33244226652</v>
      </c>
      <c r="E125" s="41">
        <f t="shared" si="48"/>
        <v>188468.79333217078</v>
      </c>
      <c r="F125" s="41">
        <f t="shared" si="48"/>
        <v>191016.63533699117</v>
      </c>
      <c r="G125" s="41">
        <f t="shared" si="48"/>
        <v>193595.15509973833</v>
      </c>
      <c r="H125" s="41">
        <f t="shared" si="48"/>
        <v>196204.6506965945</v>
      </c>
      <c r="I125" s="41">
        <f t="shared" si="48"/>
        <v>198845.42160677916</v>
      </c>
      <c r="J125" s="41">
        <f t="shared" si="48"/>
        <v>201517.76868117222</v>
      </c>
      <c r="K125" s="41">
        <f t="shared" si="48"/>
        <v>204221.99410966667</v>
      </c>
      <c r="L125" s="41">
        <f t="shared" si="48"/>
        <v>206958.40138722086</v>
      </c>
      <c r="M125" s="41">
        <f t="shared" si="48"/>
        <v>209727.29527858039</v>
      </c>
      <c r="N125" s="41">
        <f t="shared" si="48"/>
        <v>212528.98178164</v>
      </c>
      <c r="O125" s="41">
        <f t="shared" si="48"/>
        <v>213594.40595070733</v>
      </c>
      <c r="P125" s="41">
        <f t="shared" si="48"/>
        <v>214628.09214755782</v>
      </c>
      <c r="Q125" s="41">
        <f t="shared" si="48"/>
        <v>215628.97534802507</v>
      </c>
      <c r="R125" s="41">
        <f t="shared" si="48"/>
        <v>216595.97632702583</v>
      </c>
      <c r="S125" s="41">
        <f t="shared" si="48"/>
        <v>217528.00182694974</v>
      </c>
      <c r="T125" s="41">
        <f t="shared" si="48"/>
        <v>218423.94474384468</v>
      </c>
      <c r="U125" s="41">
        <f t="shared" si="48"/>
        <v>219282.68433212617</v>
      </c>
      <c r="V125" s="41">
        <f t="shared" si="48"/>
        <v>220103.08642856142</v>
      </c>
      <c r="W125" s="41">
        <f t="shared" si="48"/>
        <v>220884.00369630367</v>
      </c>
      <c r="X125" s="41">
        <f t="shared" si="48"/>
        <v>221624.2758897756</v>
      </c>
      <c r="Y125" s="41">
        <f t="shared" si="48"/>
        <v>217829.8449529385</v>
      </c>
      <c r="Z125" s="41">
        <f t="shared" si="48"/>
        <v>213940.41252015141</v>
      </c>
      <c r="AA125" s="41">
        <f t="shared" si="48"/>
        <v>209956.74264900788</v>
      </c>
      <c r="AB125" s="41">
        <f t="shared" si="48"/>
        <v>205879.72300717409</v>
      </c>
      <c r="AC125" s="41">
        <f t="shared" si="48"/>
        <v>201710.37040294288</v>
      </c>
      <c r="AD125" s="41">
        <f t="shared" si="48"/>
        <v>197449.83650047585</v>
      </c>
      <c r="AE125" s="41">
        <f t="shared" si="48"/>
        <v>193099.4137250674</v>
      </c>
      <c r="AF125" s="41">
        <f t="shared" si="48"/>
        <v>188660.54136390536</v>
      </c>
      <c r="AG125" s="41">
        <f t="shared" si="48"/>
        <v>184134.81186794772</v>
      </c>
      <c r="AH125" s="41">
        <f t="shared" si="48"/>
        <v>179523.97736068338</v>
      </c>
      <c r="AJ125" s="135" t="s">
        <v>677</v>
      </c>
      <c r="AK125" s="132" t="s">
        <v>128</v>
      </c>
      <c r="AL125" s="132" t="s">
        <v>305</v>
      </c>
      <c r="AM125" s="132" t="s">
        <v>306</v>
      </c>
      <c r="AN125" s="132" t="s">
        <v>678</v>
      </c>
      <c r="AO125" s="132" t="s">
        <v>151</v>
      </c>
      <c r="AP125" s="247" t="s">
        <v>152</v>
      </c>
      <c r="AQ125" s="132" t="s">
        <v>621</v>
      </c>
      <c r="AR125" s="132" t="s">
        <v>607</v>
      </c>
    </row>
    <row r="126" spans="1:46">
      <c r="C126" s="124" t="s">
        <v>365</v>
      </c>
      <c r="D126" s="41">
        <f t="shared" ref="D126:AH126" si="49">D31</f>
        <v>0</v>
      </c>
      <c r="E126" s="41">
        <f t="shared" si="49"/>
        <v>0</v>
      </c>
      <c r="F126" s="41">
        <f t="shared" si="49"/>
        <v>0</v>
      </c>
      <c r="G126" s="41">
        <f t="shared" si="49"/>
        <v>0</v>
      </c>
      <c r="H126" s="41">
        <f t="shared" si="49"/>
        <v>0</v>
      </c>
      <c r="I126" s="41">
        <f t="shared" si="49"/>
        <v>0</v>
      </c>
      <c r="J126" s="41">
        <f t="shared" si="49"/>
        <v>0</v>
      </c>
      <c r="K126" s="41">
        <f t="shared" si="49"/>
        <v>0</v>
      </c>
      <c r="L126" s="41">
        <f t="shared" si="49"/>
        <v>0</v>
      </c>
      <c r="M126" s="41">
        <f t="shared" si="49"/>
        <v>0</v>
      </c>
      <c r="N126" s="41">
        <f t="shared" si="49"/>
        <v>0</v>
      </c>
      <c r="O126" s="41">
        <f t="shared" si="49"/>
        <v>0</v>
      </c>
      <c r="P126" s="41">
        <f t="shared" si="49"/>
        <v>0</v>
      </c>
      <c r="Q126" s="41">
        <f t="shared" si="49"/>
        <v>0</v>
      </c>
      <c r="R126" s="41">
        <f t="shared" si="49"/>
        <v>0</v>
      </c>
      <c r="S126" s="41">
        <f t="shared" si="49"/>
        <v>0</v>
      </c>
      <c r="T126" s="41">
        <f t="shared" si="49"/>
        <v>0</v>
      </c>
      <c r="U126" s="41">
        <f t="shared" si="49"/>
        <v>0</v>
      </c>
      <c r="V126" s="41">
        <f t="shared" si="49"/>
        <v>0</v>
      </c>
      <c r="W126" s="41">
        <f t="shared" si="49"/>
        <v>0</v>
      </c>
      <c r="X126" s="41">
        <f t="shared" si="49"/>
        <v>0</v>
      </c>
      <c r="Y126" s="41">
        <f t="shared" si="49"/>
        <v>0</v>
      </c>
      <c r="Z126" s="41">
        <f t="shared" si="49"/>
        <v>0</v>
      </c>
      <c r="AA126" s="41">
        <f t="shared" si="49"/>
        <v>0</v>
      </c>
      <c r="AB126" s="41">
        <f t="shared" si="49"/>
        <v>0</v>
      </c>
      <c r="AC126" s="41">
        <f t="shared" si="49"/>
        <v>0</v>
      </c>
      <c r="AD126" s="41">
        <f t="shared" si="49"/>
        <v>0</v>
      </c>
      <c r="AE126" s="41">
        <f t="shared" si="49"/>
        <v>0</v>
      </c>
      <c r="AF126" s="41">
        <f t="shared" si="49"/>
        <v>0</v>
      </c>
      <c r="AG126" s="41">
        <f t="shared" si="49"/>
        <v>0</v>
      </c>
      <c r="AH126" s="41">
        <f t="shared" si="49"/>
        <v>0</v>
      </c>
      <c r="AK126" s="136">
        <f>D4</f>
        <v>1127444.3500000006</v>
      </c>
      <c r="AL126" s="136">
        <f>AH4-D4</f>
        <v>0</v>
      </c>
      <c r="AM126" s="136" t="s">
        <v>307</v>
      </c>
      <c r="AN126" s="41">
        <f>AH41</f>
        <v>30833.859018031253</v>
      </c>
      <c r="AO126" s="136">
        <f>AH39</f>
        <v>343259.19758169609</v>
      </c>
      <c r="AP126" s="136">
        <f>AH40</f>
        <v>38425.2056278577</v>
      </c>
      <c r="AQ126" s="136">
        <f>AH66+AH67</f>
        <v>277131.00372546952</v>
      </c>
      <c r="AR126" t="s">
        <v>307</v>
      </c>
    </row>
    <row r="127" spans="1:46">
      <c r="C127" t="s">
        <v>254</v>
      </c>
      <c r="D127" s="41">
        <f t="shared" ref="D127:AH127" si="50">D38</f>
        <v>0</v>
      </c>
      <c r="E127" s="41">
        <f t="shared" si="50"/>
        <v>0</v>
      </c>
      <c r="F127" s="41">
        <f t="shared" si="50"/>
        <v>0</v>
      </c>
      <c r="G127" s="41">
        <f t="shared" si="50"/>
        <v>0</v>
      </c>
      <c r="H127" s="41">
        <f t="shared" si="50"/>
        <v>0</v>
      </c>
      <c r="I127" s="41">
        <f t="shared" si="50"/>
        <v>0</v>
      </c>
      <c r="J127" s="41">
        <f t="shared" si="50"/>
        <v>0</v>
      </c>
      <c r="K127" s="41">
        <f t="shared" si="50"/>
        <v>0</v>
      </c>
      <c r="L127" s="41">
        <f t="shared" si="50"/>
        <v>0</v>
      </c>
      <c r="M127" s="41">
        <f t="shared" si="50"/>
        <v>0</v>
      </c>
      <c r="N127" s="41">
        <f t="shared" si="50"/>
        <v>0</v>
      </c>
      <c r="O127" s="41">
        <f t="shared" si="50"/>
        <v>0</v>
      </c>
      <c r="P127" s="41">
        <f t="shared" si="50"/>
        <v>0</v>
      </c>
      <c r="Q127" s="41">
        <f t="shared" si="50"/>
        <v>0</v>
      </c>
      <c r="R127" s="41">
        <f t="shared" si="50"/>
        <v>0</v>
      </c>
      <c r="S127" s="41">
        <f t="shared" si="50"/>
        <v>0</v>
      </c>
      <c r="T127" s="41">
        <f t="shared" si="50"/>
        <v>0</v>
      </c>
      <c r="U127" s="41">
        <f t="shared" si="50"/>
        <v>0</v>
      </c>
      <c r="V127" s="41">
        <f t="shared" si="50"/>
        <v>0</v>
      </c>
      <c r="W127" s="41">
        <f t="shared" si="50"/>
        <v>0</v>
      </c>
      <c r="X127" s="41">
        <f t="shared" si="50"/>
        <v>0</v>
      </c>
      <c r="Y127" s="41">
        <f t="shared" si="50"/>
        <v>0</v>
      </c>
      <c r="Z127" s="41">
        <f t="shared" si="50"/>
        <v>0</v>
      </c>
      <c r="AA127" s="41">
        <f t="shared" si="50"/>
        <v>0</v>
      </c>
      <c r="AB127" s="41">
        <f t="shared" si="50"/>
        <v>0</v>
      </c>
      <c r="AC127" s="41">
        <f t="shared" si="50"/>
        <v>0</v>
      </c>
      <c r="AD127" s="41">
        <f t="shared" si="50"/>
        <v>0</v>
      </c>
      <c r="AE127" s="41">
        <f t="shared" si="50"/>
        <v>0</v>
      </c>
      <c r="AF127" s="41">
        <f t="shared" si="50"/>
        <v>0</v>
      </c>
      <c r="AG127" s="41">
        <f t="shared" si="50"/>
        <v>0</v>
      </c>
      <c r="AH127" s="41">
        <f t="shared" si="50"/>
        <v>0</v>
      </c>
    </row>
    <row r="128" spans="1:46">
      <c r="C128" t="s">
        <v>27</v>
      </c>
      <c r="D128" s="41">
        <f t="shared" ref="D128:AH128" si="51">D35</f>
        <v>368256.49460398941</v>
      </c>
      <c r="E128" s="41">
        <f t="shared" si="51"/>
        <v>362685.69282758463</v>
      </c>
      <c r="F128" s="41">
        <f t="shared" si="51"/>
        <v>357103.58796224702</v>
      </c>
      <c r="G128" s="41">
        <f t="shared" si="51"/>
        <v>351510.34856865701</v>
      </c>
      <c r="H128" s="41">
        <f t="shared" si="51"/>
        <v>345906.15220515075</v>
      </c>
      <c r="I128" s="41">
        <f t="shared" si="51"/>
        <v>340291.18568492663</v>
      </c>
      <c r="J128" s="41">
        <f t="shared" si="51"/>
        <v>334665.64533939585</v>
      </c>
      <c r="K128" s="41">
        <f t="shared" si="51"/>
        <v>329029.73728781322</v>
      </c>
      <c r="L128" s="41">
        <f t="shared" si="51"/>
        <v>323383.67771332327</v>
      </c>
      <c r="M128" s="41">
        <f t="shared" si="51"/>
        <v>317727.69314556493</v>
      </c>
      <c r="N128" s="41">
        <f t="shared" si="51"/>
        <v>312062.02074997465</v>
      </c>
      <c r="O128" s="41">
        <f t="shared" si="51"/>
        <v>306386.90862393699</v>
      </c>
      <c r="P128" s="41">
        <f t="shared" si="51"/>
        <v>300702.6160999299</v>
      </c>
      <c r="Q128" s="41">
        <f t="shared" si="51"/>
        <v>295009.41405581747</v>
      </c>
      <c r="R128" s="41">
        <f t="shared" si="51"/>
        <v>289307.58523244597</v>
      </c>
      <c r="S128" s="41">
        <f t="shared" si="51"/>
        <v>283597.42455870245</v>
      </c>
      <c r="T128" s="41">
        <f t="shared" si="51"/>
        <v>277879.23948419455</v>
      </c>
      <c r="U128" s="41">
        <f t="shared" si="51"/>
        <v>272153.35031972191</v>
      </c>
      <c r="V128" s="41">
        <f t="shared" si="51"/>
        <v>266420.09058570291</v>
      </c>
      <c r="W128" s="41">
        <f t="shared" si="51"/>
        <v>260679.80736873223</v>
      </c>
      <c r="X128" s="41">
        <f t="shared" si="51"/>
        <v>254932.86168644318</v>
      </c>
      <c r="Y128" s="41">
        <f t="shared" si="51"/>
        <v>249121.77429181416</v>
      </c>
      <c r="Z128" s="41">
        <f t="shared" si="51"/>
        <v>243306.59132018371</v>
      </c>
      <c r="AA128" s="41">
        <f t="shared" si="51"/>
        <v>237487.76379696905</v>
      </c>
      <c r="AB128" s="41">
        <f t="shared" si="51"/>
        <v>231665.75926607338</v>
      </c>
      <c r="AC128" s="41">
        <f t="shared" si="51"/>
        <v>225841.06222116822</v>
      </c>
      <c r="AD128" s="41">
        <f t="shared" si="51"/>
        <v>220014.1745468647</v>
      </c>
      <c r="AE128" s="41">
        <f t="shared" si="51"/>
        <v>214185.61596998779</v>
      </c>
      <c r="AF128" s="41">
        <f t="shared" si="51"/>
        <v>208355.9245211661</v>
      </c>
      <c r="AG128" s="41">
        <f t="shared" si="51"/>
        <v>202525.65700696036</v>
      </c>
      <c r="AH128" s="41">
        <f t="shared" si="51"/>
        <v>196695.38949275471</v>
      </c>
    </row>
    <row r="129" spans="1:36">
      <c r="C129" t="s">
        <v>43</v>
      </c>
      <c r="D129" s="41">
        <f>SUM(D121:D128)</f>
        <v>1127444.3500000006</v>
      </c>
      <c r="E129" s="41">
        <f t="shared" ref="E129:AH129" si="52">SUM(E121:E128)</f>
        <v>1127822.5750101882</v>
      </c>
      <c r="F129" s="41">
        <f t="shared" si="52"/>
        <v>1128213.6596707222</v>
      </c>
      <c r="G129" s="41">
        <f t="shared" si="52"/>
        <v>1128617.9319026864</v>
      </c>
      <c r="H129" s="41">
        <f t="shared" si="52"/>
        <v>1129035.7270600423</v>
      </c>
      <c r="I129" s="41">
        <f t="shared" si="52"/>
        <v>1129467.3880875786</v>
      </c>
      <c r="J129" s="41">
        <f t="shared" si="52"/>
        <v>1129913.2656820808</v>
      </c>
      <c r="K129" s="41">
        <f t="shared" si="52"/>
        <v>1130373.7184567889</v>
      </c>
      <c r="L129" s="41">
        <f t="shared" si="52"/>
        <v>1130849.1131092049</v>
      </c>
      <c r="M129" s="41">
        <f t="shared" si="52"/>
        <v>1131339.8245923189</v>
      </c>
      <c r="N129" s="41">
        <f t="shared" si="52"/>
        <v>1131846.23628932</v>
      </c>
      <c r="O129" s="41">
        <f t="shared" si="52"/>
        <v>1133040.2479452982</v>
      </c>
      <c r="P129" s="41">
        <f t="shared" si="52"/>
        <v>1134273.5838524417</v>
      </c>
      <c r="Q129" s="41">
        <f t="shared" si="52"/>
        <v>1135547.2359659222</v>
      </c>
      <c r="R129" s="41">
        <f t="shared" si="52"/>
        <v>1136862.2186026771</v>
      </c>
      <c r="S129" s="41">
        <f t="shared" si="52"/>
        <v>1138219.5689150381</v>
      </c>
      <c r="T129" s="41">
        <f t="shared" si="52"/>
        <v>1139620.3473739929</v>
      </c>
      <c r="U129" s="41">
        <f t="shared" si="52"/>
        <v>1141065.6382622859</v>
      </c>
      <c r="V129" s="41">
        <f t="shared" si="52"/>
        <v>1142556.5501775397</v>
      </c>
      <c r="W129" s="41">
        <f t="shared" si="52"/>
        <v>1144094.2165456044</v>
      </c>
      <c r="X129" s="41">
        <f t="shared" si="52"/>
        <v>1145679.7961443318</v>
      </c>
      <c r="Y129" s="41">
        <f t="shared" si="52"/>
        <v>1146784.6036743047</v>
      </c>
      <c r="Z129" s="41">
        <f t="shared" si="52"/>
        <v>1147921.7046163613</v>
      </c>
      <c r="AA129" s="41">
        <f t="shared" si="52"/>
        <v>1149091.8776571357</v>
      </c>
      <c r="AB129" s="41">
        <f t="shared" si="52"/>
        <v>1150295.918625812</v>
      </c>
      <c r="AC129" s="41">
        <f t="shared" si="52"/>
        <v>1151534.6408519309</v>
      </c>
      <c r="AD129" s="41">
        <f t="shared" si="52"/>
        <v>1152808.8755304045</v>
      </c>
      <c r="AE129" s="41">
        <f t="shared" si="52"/>
        <v>1154119.4720938904</v>
      </c>
      <c r="AF129" s="41">
        <f t="shared" si="52"/>
        <v>1155467.2985926564</v>
      </c>
      <c r="AG129" s="41">
        <f t="shared" si="52"/>
        <v>1156853.2420820952</v>
      </c>
      <c r="AH129" s="41">
        <f t="shared" si="52"/>
        <v>1158278.2090180321</v>
      </c>
    </row>
    <row r="131" spans="1:36">
      <c r="A131" s="1" t="s">
        <v>620</v>
      </c>
      <c r="C131" t="s">
        <v>164</v>
      </c>
      <c r="D131" s="41">
        <f>D121</f>
        <v>0</v>
      </c>
      <c r="E131" s="41">
        <f t="shared" ref="E131:AH132" si="53">E121</f>
        <v>6764.4883332090703</v>
      </c>
      <c r="F131" s="41">
        <f t="shared" si="53"/>
        <v>13533.367502316911</v>
      </c>
      <c r="G131" s="41">
        <f t="shared" si="53"/>
        <v>20306.770759610521</v>
      </c>
      <c r="H131" s="41">
        <f t="shared" si="53"/>
        <v>27084.834491551606</v>
      </c>
      <c r="I131" s="41">
        <f t="shared" si="53"/>
        <v>33867.698279961092</v>
      </c>
      <c r="J131" s="41">
        <f t="shared" si="53"/>
        <v>40655.504964181499</v>
      </c>
      <c r="K131" s="41">
        <f t="shared" si="53"/>
        <v>47448.400704228014</v>
      </c>
      <c r="L131" s="41">
        <f t="shared" si="53"/>
        <v>54246.535044939039</v>
      </c>
      <c r="M131" s="41">
        <f t="shared" si="53"/>
        <v>61050.060981137198</v>
      </c>
      <c r="N131" s="41">
        <f t="shared" si="53"/>
        <v>67859.135023811497</v>
      </c>
      <c r="O131" s="41">
        <f t="shared" si="53"/>
        <v>78519.368387893366</v>
      </c>
      <c r="P131" s="41">
        <f t="shared" si="53"/>
        <v>89273.451088055066</v>
      </c>
      <c r="Q131" s="41">
        <f t="shared" si="53"/>
        <v>100123.50727607767</v>
      </c>
      <c r="R131" s="41">
        <f t="shared" si="53"/>
        <v>111071.69336481378</v>
      </c>
      <c r="S131" s="41">
        <f t="shared" si="53"/>
        <v>122120.1981677554</v>
      </c>
      <c r="T131" s="41">
        <f t="shared" si="53"/>
        <v>133271.24302605682</v>
      </c>
      <c r="U131" s="41">
        <f t="shared" si="53"/>
        <v>144527.08192237472</v>
      </c>
      <c r="V131" s="41">
        <f t="shared" si="53"/>
        <v>155890.00158086495</v>
      </c>
      <c r="W131" s="41">
        <f t="shared" si="53"/>
        <v>167362.32155265362</v>
      </c>
      <c r="X131" s="41">
        <f t="shared" si="53"/>
        <v>178946.39428607808</v>
      </c>
      <c r="Y131" s="41">
        <f t="shared" si="53"/>
        <v>194708.89374370355</v>
      </c>
      <c r="Z131" s="41">
        <f t="shared" si="53"/>
        <v>210620.58137759822</v>
      </c>
      <c r="AA131" s="41">
        <f t="shared" si="53"/>
        <v>226681.45351469342</v>
      </c>
      <c r="AB131" s="41">
        <f t="shared" si="53"/>
        <v>242891.39306497114</v>
      </c>
      <c r="AC131" s="41">
        <f t="shared" si="53"/>
        <v>259250.16411772507</v>
      </c>
      <c r="AD131" s="41">
        <f t="shared" si="53"/>
        <v>275757.40635449928</v>
      </c>
      <c r="AE131" s="41">
        <f t="shared" si="53"/>
        <v>292412.62927338108</v>
      </c>
      <c r="AF131" s="41">
        <f t="shared" si="53"/>
        <v>309215.20621918229</v>
      </c>
      <c r="AG131" s="41">
        <f t="shared" si="53"/>
        <v>326164.36821389967</v>
      </c>
      <c r="AH131" s="41">
        <f t="shared" si="53"/>
        <v>343259.19758169609</v>
      </c>
    </row>
    <row r="132" spans="1:36">
      <c r="C132" t="s">
        <v>167</v>
      </c>
      <c r="D132" s="41">
        <f>D122</f>
        <v>0</v>
      </c>
      <c r="E132" s="41">
        <f t="shared" si="53"/>
        <v>1360.2278509738323</v>
      </c>
      <c r="F132" s="41">
        <f t="shared" si="53"/>
        <v>2709.8464904119037</v>
      </c>
      <c r="G132" s="41">
        <f t="shared" si="53"/>
        <v>4048.5853834200516</v>
      </c>
      <c r="H132" s="41">
        <f t="shared" si="53"/>
        <v>5376.1678629798462</v>
      </c>
      <c r="I132" s="41">
        <f t="shared" si="53"/>
        <v>6692.3109996409503</v>
      </c>
      <c r="J132" s="41">
        <f t="shared" si="53"/>
        <v>7996.7254685552016</v>
      </c>
      <c r="K132" s="41">
        <f t="shared" si="53"/>
        <v>9289.1154137996964</v>
      </c>
      <c r="L132" s="41">
        <f t="shared" si="53"/>
        <v>10569.178309935132</v>
      </c>
      <c r="M132" s="41">
        <f t="shared" si="53"/>
        <v>11836.604820744611</v>
      </c>
      <c r="N132" s="41">
        <f t="shared" si="53"/>
        <v>13091.078655097052</v>
      </c>
      <c r="O132" s="41">
        <f t="shared" si="53"/>
        <v>14332.276419878277</v>
      </c>
      <c r="P132" s="41">
        <f t="shared" si="53"/>
        <v>15315.971194609159</v>
      </c>
      <c r="Q132" s="41">
        <f t="shared" si="53"/>
        <v>16639.370803522204</v>
      </c>
      <c r="R132" s="41">
        <f t="shared" si="53"/>
        <v>17948.480035721997</v>
      </c>
      <c r="S132" s="41">
        <f t="shared" si="53"/>
        <v>19242.945558770909</v>
      </c>
      <c r="T132" s="41">
        <f t="shared" si="53"/>
        <v>20522.406156847286</v>
      </c>
      <c r="U132" s="41">
        <f t="shared" si="53"/>
        <v>21786.492564823504</v>
      </c>
      <c r="V132" s="41">
        <f t="shared" si="53"/>
        <v>23034.827298980897</v>
      </c>
      <c r="W132" s="41">
        <f t="shared" si="53"/>
        <v>24267.024484295314</v>
      </c>
      <c r="X132" s="41">
        <f t="shared" si="53"/>
        <v>25482.689678225513</v>
      </c>
      <c r="Y132" s="41">
        <f t="shared" si="53"/>
        <v>28784.680719708325</v>
      </c>
      <c r="Z132" s="41">
        <f t="shared" si="53"/>
        <v>29933.039544632073</v>
      </c>
      <c r="AA132" s="41">
        <f t="shared" si="53"/>
        <v>31063.167955013938</v>
      </c>
      <c r="AB132" s="41">
        <f t="shared" si="53"/>
        <v>32174.623658486675</v>
      </c>
      <c r="AC132" s="41">
        <f t="shared" si="53"/>
        <v>33266.954593332346</v>
      </c>
      <c r="AD132" s="41">
        <f t="shared" si="53"/>
        <v>34339.698724146896</v>
      </c>
      <c r="AE132" s="41">
        <f t="shared" si="53"/>
        <v>35392.383833380693</v>
      </c>
      <c r="AF132" s="41">
        <f t="shared" si="53"/>
        <v>36424.527308673729</v>
      </c>
      <c r="AG132" s="41">
        <f t="shared" si="53"/>
        <v>37435.635925903051</v>
      </c>
      <c r="AH132" s="41">
        <f t="shared" si="53"/>
        <v>38425.2056278577</v>
      </c>
    </row>
    <row r="133" spans="1:36">
      <c r="C133" t="s">
        <v>621</v>
      </c>
      <c r="D133" s="41" cm="1">
        <f t="array" ref="D133">-(D46-D43+D49-D47+D53-D50+_xlfn.IFS(D59&lt;0, -D54, D59-D54&lt;=0,D59-D54, else, D54)+D65-D60)</f>
        <v>0</v>
      </c>
      <c r="E133" s="41" cm="1">
        <f t="array" ref="E133">-(E46-E43+E49-E47+E53-E50+_xlfn.IFS(E59&lt;0, -E54, E59-E54&lt;=0,E59-E54, else, E54)+E65-E60)</f>
        <v>4899.9977961736149</v>
      </c>
      <c r="F133" s="41" cm="1">
        <f t="array" ref="F133">-(F46-F43+F49-F47+F53-F50+_xlfn.IFS(F59&lt;0, -F54, F59-F54&lt;=0,F59-F54, else, F54)+F65-F60)</f>
        <v>9834.1872709814343</v>
      </c>
      <c r="G133" s="41" cm="1">
        <f t="array" ref="G133">-(G46-G43+G49-G47+G53-G50+_xlfn.IFS(G59&lt;0, -G54, G59-G54&lt;=0,G59-G54, else, G54)+G65-G60)</f>
        <v>14801.275610772602</v>
      </c>
      <c r="H133" s="41" cm="1">
        <f t="array" ref="H133">-(H46-H43+H49-H47+H53-H50+_xlfn.IFS(H59&lt;0, -H54, H59-H54&lt;=0,H59-H54, else, H54)+H65-H60)</f>
        <v>19799.970001896902</v>
      </c>
      <c r="I133" s="41" cm="1">
        <f t="array" ref="I133">-(I46-I43+I49-I47+I53-I50+_xlfn.IFS(I59&lt;0, -I54, I59-I54&lt;=0,I59-I54, else, I54)+I65-I60)</f>
        <v>24828.977630703652</v>
      </c>
      <c r="J133" s="41" cm="1">
        <f t="array" ref="J133">-(J46-J43+J49-J47+J53-J50+_xlfn.IFS(J59&lt;0, -J54, J59-J54&lt;=0,J59-J54, else, J54)+J65-J60)</f>
        <v>29685.929449537944</v>
      </c>
      <c r="K133" s="41" cm="1">
        <f t="array" ref="K133">-(K46-K43+K49-K47+K53-K50+_xlfn.IFS(K59&lt;0, -K54, K59-K54&lt;=0,K59-K54, else, K54)+K65-K60)</f>
        <v>34555.685628646577</v>
      </c>
      <c r="L133" s="41" cm="1">
        <f t="array" ref="L133">-(L46-L43+L49-L47+L53-L50+_xlfn.IFS(L59&lt;0, -L54, L59-L54&lt;=0,L59-L54, else, L54)+L65-L60)</f>
        <v>39436.953354378813</v>
      </c>
      <c r="M133" s="41" cm="1">
        <f t="array" ref="M133">-(M46-M43+M49-M47+M53-M50+_xlfn.IFS(M59&lt;0, -M54, M59-M54&lt;=0,M59-M54, else, M54)+M65-M60)</f>
        <v>44328.439813084377</v>
      </c>
      <c r="N133" s="41" cm="1">
        <f t="array" ref="N133">-(N46-N43+N49-N47+N53-N50+_xlfn.IFS(N59&lt;0, -N54, N59-N54&lt;=0,N59-N54, else, N54)+N65-N60)</f>
        <v>49228.852191112645</v>
      </c>
      <c r="O133" s="41" cm="1">
        <f t="array" ref="O133">-(O46-O43+O49-O47+O53-O50+_xlfn.IFS(O59&lt;0, -O54, O59-O54&lt;=0,O59-O54, else, O54)+O65-O60)</f>
        <v>58278.932528142468</v>
      </c>
      <c r="P133" s="41" cm="1">
        <f t="array" ref="P133">-(P46-P43+P49-P47+P53-P50+_xlfn.IFS(P59&lt;0, -P54, P59-P54&lt;=0,P59-P54, else, P54)+P65-P60)</f>
        <v>67371.103138376144</v>
      </c>
      <c r="Q133" s="41" cm="1">
        <f t="array" ref="Q133">-(Q46-Q43+Q49-Q47+Q53-Q50+_xlfn.IFS(Q59&lt;0, -Q54, Q59-Q54&lt;=0,Q59-Q54, else, Q54)+Q65-Q60)</f>
        <v>76321.969762342575</v>
      </c>
      <c r="R133" s="41" cm="1">
        <f t="array" ref="R133">-(R46-R43+R49-R47+R53-R50+_xlfn.IFS(R59&lt;0, -R54, R59-R54&lt;=0,R59-R54, else, R54)+R65-R60)</f>
        <v>85244.272915648005</v>
      </c>
      <c r="S133" s="41" cm="1">
        <f t="array" ref="S133">-(S46-S43+S49-S47+S53-S50+_xlfn.IFS(S59&lt;0, -S54, S59-S54&lt;=0,S59-S54, else, S54)+S65-S60)</f>
        <v>94133.809336826729</v>
      </c>
      <c r="T133" s="41" cm="1">
        <f t="array" ref="T133">-(T46-T43+T49-T47+T53-T50+_xlfn.IFS(T59&lt;0, -T54, T59-T54&lt;=0,T59-T54, else, T54)+T65-T60)</f>
        <v>102986.37825022973</v>
      </c>
      <c r="U133" s="41" cm="1">
        <f t="array" ref="U133">-(U46-U43+U49-U47+U53-U50+_xlfn.IFS(U59&lt;0, -U54, U59-U54&lt;=0,U59-U54, else, U54)+U65-U60)</f>
        <v>111797.781330403</v>
      </c>
      <c r="V133" s="41" cm="1">
        <f t="array" ref="V133">-(V46-V43+V49-V47+V53-V50+_xlfn.IFS(V59&lt;0, -V54, V59-V54&lt;=0,V59-V54, else, V54)+V65-V60)</f>
        <v>120563.82266646574</v>
      </c>
      <c r="W133" s="41" cm="1">
        <f t="array" ref="W133">-(W46-W43+W49-W47+W53-W50+_xlfn.IFS(W59&lt;0, -W54, W59-W54&lt;=0,W59-W54, else, W54)+W65-W60)</f>
        <v>129280.30872648905</v>
      </c>
      <c r="X133" s="41" cm="1">
        <f t="array" ref="X133">-(X46-X43+X49-X47+X53-X50+_xlfn.IFS(X59&lt;0, -X54, X59-X54&lt;=0,X59-X54, else, X54)+X65-X60)</f>
        <v>137943.04832187403</v>
      </c>
      <c r="Y133" s="41" cm="1">
        <f t="array" ref="Y133">-(Y46-Y43+Y49-Y47+Y53-Y50+_xlfn.IFS(Y59&lt;0, -Y54, Y59-Y54&lt;=0,Y59-Y54, else, Y54)+Y65-Y60)</f>
        <v>152051.94759932876</v>
      </c>
      <c r="Z133" s="41" cm="1">
        <f t="array" ref="Z133">-(Z46-Z43+Z49-Z47+Z53-Z50+_xlfn.IFS(Z59&lt;0, -Z54, Z59-Z54&lt;=0,Z59-Z54, else, Z54)+Z65-Z60)</f>
        <v>166769.26066810451</v>
      </c>
      <c r="AA133" s="41" cm="1">
        <f t="array" ref="AA133">-(AA46-AA43+AA49-AA47+AA53-AA50+_xlfn.IFS(AA59&lt;0, -AA54, AA59-AA54&lt;=0,AA59-AA54, else, AA54)+AA65-AA60)</f>
        <v>181096.75319088492</v>
      </c>
      <c r="AB133" s="41" cm="1">
        <f t="array" ref="AB133">-(AB46-AB43+AB49-AB47+AB53-AB50+_xlfn.IFS(AB59&lt;0, -AB54, AB59-AB54&lt;=0,AB59-AB54, else, AB54)+AB65-AB60)</f>
        <v>195285.685327388</v>
      </c>
      <c r="AC133" s="41" cm="1">
        <f t="array" ref="AC133">-(AC46-AC43+AC49-AC47+AC53-AC50+_xlfn.IFS(AC59&lt;0, -AC54, AC59-AC54&lt;=0,AC59-AC54, else, AC54)+AC65-AC60)</f>
        <v>207674.00176255486</v>
      </c>
      <c r="AD133" s="41" cm="1">
        <f t="array" ref="AD133">-(AD46-AD43+AD49-AD47+AD53-AD50+_xlfn.IFS(AD59&lt;0, -AD54, AD59-AD54&lt;=0,AD59-AD54, else, AD54)+AD65-AD60)</f>
        <v>214042.63119383913</v>
      </c>
      <c r="AE133" s="41" cm="1">
        <f t="array" ref="AE133">-(AE46-AE43+AE49-AE47+AE53-AE50+_xlfn.IFS(AE59&lt;0, -AE54, AE59-AE54&lt;=0,AE59-AE54, else, AE54)+AE65-AE60)</f>
        <v>220308.08281346833</v>
      </c>
      <c r="AF133" s="41" cm="1">
        <f t="array" ref="AF133">-(AF46-AF43+AF49-AF47+AF53-AF50+_xlfn.IFS(AF59&lt;0, -AF54, AF59-AF54&lt;=0,AF59-AF54, else, AF54)+AF65-AF60)</f>
        <v>226466.98475470848</v>
      </c>
      <c r="AG133" s="41" cm="1">
        <f t="array" ref="AG133">-(AG46-AG43+AG49-AG47+AG53-AG50+_xlfn.IFS(AG59&lt;0, -AG54, AG59-AG54&lt;=0,AG59-AG54, else, AG54)+AG65-AG60)</f>
        <v>232515.99103351141</v>
      </c>
      <c r="AH133" s="41" cm="1">
        <f t="array" ref="AH133">-(AH46-AH43+AH49-AH47+AH53-AH50+_xlfn.IFS(AH59&lt;0, -AH54, AH59-AH54&lt;=0,AH59-AH54, else, AH54)+AH65-AH60)</f>
        <v>254256.4612053626</v>
      </c>
      <c r="AI133" s="41"/>
    </row>
    <row r="134" spans="1:36">
      <c r="C134" t="s">
        <v>555</v>
      </c>
      <c r="D134" s="41">
        <f t="shared" ref="D134:AH134" si="54">D46</f>
        <v>435529.06307600881</v>
      </c>
      <c r="E134" s="41">
        <f t="shared" si="54"/>
        <v>432064.38965998543</v>
      </c>
      <c r="F134" s="41">
        <f t="shared" si="54"/>
        <v>428573.39737107384</v>
      </c>
      <c r="G134" s="41">
        <f t="shared" si="54"/>
        <v>425056.70514410234</v>
      </c>
      <c r="H134" s="41">
        <f t="shared" si="54"/>
        <v>421514.93191389902</v>
      </c>
      <c r="I134" s="41">
        <f t="shared" si="54"/>
        <v>417948.69661529223</v>
      </c>
      <c r="J134" s="41">
        <f t="shared" si="54"/>
        <v>414358.61818310997</v>
      </c>
      <c r="K134" s="41">
        <f t="shared" si="54"/>
        <v>410745.31555218057</v>
      </c>
      <c r="L134" s="41">
        <f t="shared" si="54"/>
        <v>407109.40765733243</v>
      </c>
      <c r="M134" s="41">
        <f t="shared" si="54"/>
        <v>403451.5134333935</v>
      </c>
      <c r="N134" s="41">
        <f t="shared" si="54"/>
        <v>399772.25181519205</v>
      </c>
      <c r="O134" s="41">
        <f t="shared" si="54"/>
        <v>393701.3006536864</v>
      </c>
      <c r="P134" s="41">
        <f t="shared" si="54"/>
        <v>387830.6063787911</v>
      </c>
      <c r="Q134" s="41">
        <f t="shared" si="54"/>
        <v>381615.60883381002</v>
      </c>
      <c r="R134" s="41">
        <f t="shared" si="54"/>
        <v>375381.80173497763</v>
      </c>
      <c r="S134" s="41">
        <f t="shared" si="54"/>
        <v>369131.15070975001</v>
      </c>
      <c r="T134" s="41">
        <f t="shared" si="54"/>
        <v>362865.62154012738</v>
      </c>
      <c r="U134" s="41">
        <f t="shared" si="54"/>
        <v>356587.18016966124</v>
      </c>
      <c r="V134" s="41">
        <f t="shared" si="54"/>
        <v>350297.79271040496</v>
      </c>
      <c r="W134" s="41">
        <f t="shared" si="54"/>
        <v>343999.42544980993</v>
      </c>
      <c r="X134" s="41">
        <f t="shared" si="54"/>
        <v>337694.04485756514</v>
      </c>
      <c r="Y134" s="41">
        <f t="shared" si="54"/>
        <v>327790.91512636456</v>
      </c>
      <c r="Z134" s="41">
        <f t="shared" si="54"/>
        <v>319723.05322216434</v>
      </c>
      <c r="AA134" s="41">
        <f t="shared" si="54"/>
        <v>311671.51506819064</v>
      </c>
      <c r="AB134" s="41">
        <f t="shared" si="54"/>
        <v>303612.60818097659</v>
      </c>
      <c r="AC134" s="41">
        <f t="shared" si="54"/>
        <v>295549.54547023465</v>
      </c>
      <c r="AD134" s="41">
        <f t="shared" si="54"/>
        <v>287485.53928312485</v>
      </c>
      <c r="AE134" s="41">
        <f t="shared" si="54"/>
        <v>279423.80159033946</v>
      </c>
      <c r="AF134" s="41">
        <f t="shared" si="54"/>
        <v>271367.54416997253</v>
      </c>
      <c r="AG134" s="41">
        <f t="shared" si="54"/>
        <v>263319.97878917382</v>
      </c>
      <c r="AH134" s="41">
        <f t="shared" si="54"/>
        <v>258931.55129888718</v>
      </c>
    </row>
    <row r="135" spans="1:36">
      <c r="C135" t="s">
        <v>19</v>
      </c>
      <c r="D135" s="41">
        <f t="shared" ref="D135:AH135" si="55">IF(D59&lt;0,0,D59)</f>
        <v>137707.45987773585</v>
      </c>
      <c r="E135" s="41">
        <f t="shared" si="55"/>
        <v>133446.81704624643</v>
      </c>
      <c r="F135" s="41">
        <f t="shared" si="55"/>
        <v>129177.43128189124</v>
      </c>
      <c r="G135" s="41">
        <f t="shared" si="55"/>
        <v>124899.75171437451</v>
      </c>
      <c r="H135" s="41">
        <f t="shared" si="55"/>
        <v>120614.22747340049</v>
      </c>
      <c r="I135" s="41">
        <f t="shared" si="55"/>
        <v>116321.30768867349</v>
      </c>
      <c r="J135" s="41">
        <f t="shared" si="55"/>
        <v>112021.44148989773</v>
      </c>
      <c r="K135" s="41">
        <f t="shared" si="55"/>
        <v>107715.07800677753</v>
      </c>
      <c r="L135" s="41">
        <f t="shared" si="55"/>
        <v>103402.66636901711</v>
      </c>
      <c r="M135" s="41">
        <f t="shared" si="55"/>
        <v>99084.655706320773</v>
      </c>
      <c r="N135" s="41">
        <f t="shared" si="55"/>
        <v>94761.495148392787</v>
      </c>
      <c r="O135" s="41">
        <f t="shared" si="55"/>
        <v>88887.676517614498</v>
      </c>
      <c r="P135" s="41">
        <f t="shared" si="55"/>
        <v>82986.338609013168</v>
      </c>
      <c r="Q135" s="41">
        <f t="shared" si="55"/>
        <v>77145.197954702831</v>
      </c>
      <c r="R135" s="41">
        <f t="shared" si="55"/>
        <v>71309.820977708077</v>
      </c>
      <c r="S135" s="41">
        <f t="shared" si="55"/>
        <v>65481.882818123908</v>
      </c>
      <c r="T135" s="41">
        <f t="shared" si="55"/>
        <v>59663.059285737108</v>
      </c>
      <c r="U135" s="41">
        <f t="shared" si="55"/>
        <v>53855.026890388734</v>
      </c>
      <c r="V135" s="41">
        <f t="shared" si="55"/>
        <v>48059.462872096054</v>
      </c>
      <c r="W135" s="41">
        <f t="shared" si="55"/>
        <v>42278.045230933349</v>
      </c>
      <c r="X135" s="41">
        <f t="shared" si="55"/>
        <v>36512.452756672079</v>
      </c>
      <c r="Y135" s="41">
        <f t="shared" si="55"/>
        <v>28996.047672771831</v>
      </c>
      <c r="Z135" s="41">
        <f t="shared" si="55"/>
        <v>21175.399417529068</v>
      </c>
      <c r="AA135" s="41">
        <f t="shared" si="55"/>
        <v>13516.878171099463</v>
      </c>
      <c r="AB135" s="41">
        <f t="shared" si="55"/>
        <v>5905.54435208209</v>
      </c>
      <c r="AC135" s="41">
        <f t="shared" si="55"/>
        <v>0</v>
      </c>
      <c r="AD135" s="41">
        <f t="shared" si="55"/>
        <v>0</v>
      </c>
      <c r="AE135" s="41">
        <f t="shared" si="55"/>
        <v>0</v>
      </c>
      <c r="AF135" s="41">
        <f t="shared" si="55"/>
        <v>0</v>
      </c>
      <c r="AG135" s="41">
        <f t="shared" si="55"/>
        <v>0</v>
      </c>
      <c r="AH135" s="41">
        <f t="shared" si="55"/>
        <v>0</v>
      </c>
    </row>
    <row r="136" spans="1:36">
      <c r="C136" t="s">
        <v>333</v>
      </c>
      <c r="D136" s="41">
        <f t="shared" ref="D136:AH136" si="56">D49</f>
        <v>185951.33244226652</v>
      </c>
      <c r="E136" s="41">
        <f t="shared" si="56"/>
        <v>188370.7331120749</v>
      </c>
      <c r="F136" s="41">
        <f t="shared" si="56"/>
        <v>190817.72896116207</v>
      </c>
      <c r="G136" s="41">
        <f t="shared" si="56"/>
        <v>193292.76269317768</v>
      </c>
      <c r="H136" s="41">
        <f t="shared" si="56"/>
        <v>195796.27844494293</v>
      </c>
      <c r="I136" s="41">
        <f t="shared" si="56"/>
        <v>198328.72175631623</v>
      </c>
      <c r="J136" s="41">
        <f t="shared" si="56"/>
        <v>200890.53953881652</v>
      </c>
      <c r="K136" s="41">
        <f t="shared" si="56"/>
        <v>203482.18004297567</v>
      </c>
      <c r="L136" s="41">
        <f t="shared" si="56"/>
        <v>206104.09282439109</v>
      </c>
      <c r="M136" s="41">
        <f t="shared" si="56"/>
        <v>208756.72870844728</v>
      </c>
      <c r="N136" s="41">
        <f t="shared" si="56"/>
        <v>211440.53975367796</v>
      </c>
      <c r="O136" s="41">
        <f t="shared" si="56"/>
        <v>212291.53887087508</v>
      </c>
      <c r="P136" s="41">
        <f t="shared" si="56"/>
        <v>213107.66534358499</v>
      </c>
      <c r="Q136" s="41">
        <f t="shared" si="56"/>
        <v>213895.22719462495</v>
      </c>
      <c r="R136" s="41">
        <f t="shared" si="56"/>
        <v>214647.86475213131</v>
      </c>
      <c r="S136" s="41">
        <f t="shared" si="56"/>
        <v>215364.79163143688</v>
      </c>
      <c r="T136" s="41">
        <f t="shared" si="56"/>
        <v>216045.2038278472</v>
      </c>
      <c r="U136" s="41">
        <f t="shared" si="56"/>
        <v>216688.27989858214</v>
      </c>
      <c r="V136" s="41">
        <f t="shared" si="56"/>
        <v>217293.18116445511</v>
      </c>
      <c r="W136" s="41">
        <f t="shared" si="56"/>
        <v>217859.0519320656</v>
      </c>
      <c r="X136" s="41">
        <f t="shared" si="56"/>
        <v>218385.01973730413</v>
      </c>
      <c r="Y136" s="41">
        <f t="shared" si="56"/>
        <v>214216.54412889239</v>
      </c>
      <c r="Z136" s="41">
        <f t="shared" si="56"/>
        <v>209954.07055599283</v>
      </c>
      <c r="AA136" s="41">
        <f t="shared" si="56"/>
        <v>205637.48975953521</v>
      </c>
      <c r="AB136" s="41">
        <f t="shared" si="56"/>
        <v>201236.05054784141</v>
      </c>
      <c r="AC136" s="41">
        <f t="shared" si="56"/>
        <v>196751.28315099498</v>
      </c>
      <c r="AD136" s="41">
        <f t="shared" si="56"/>
        <v>192184.82715170228</v>
      </c>
      <c r="AE136" s="41">
        <f t="shared" si="56"/>
        <v>187538.43726020481</v>
      </c>
      <c r="AF136" s="41">
        <f t="shared" si="56"/>
        <v>182813.98930315286</v>
      </c>
      <c r="AG136" s="41">
        <f t="shared" si="56"/>
        <v>178013.4864320599</v>
      </c>
      <c r="AH136" s="41">
        <f t="shared" si="56"/>
        <v>142745.44959625707</v>
      </c>
    </row>
    <row r="137" spans="1:36">
      <c r="C137" s="124" t="s">
        <v>365</v>
      </c>
      <c r="D137" s="41">
        <f t="shared" ref="D137:AH137" si="57">D53</f>
        <v>0</v>
      </c>
      <c r="E137" s="41">
        <f t="shared" si="57"/>
        <v>0</v>
      </c>
      <c r="F137" s="41">
        <f t="shared" si="57"/>
        <v>0</v>
      </c>
      <c r="G137" s="41">
        <f t="shared" si="57"/>
        <v>0</v>
      </c>
      <c r="H137" s="41">
        <f t="shared" si="57"/>
        <v>0</v>
      </c>
      <c r="I137" s="41">
        <f t="shared" si="57"/>
        <v>0</v>
      </c>
      <c r="J137" s="41">
        <f t="shared" si="57"/>
        <v>0</v>
      </c>
      <c r="K137" s="41">
        <f t="shared" si="57"/>
        <v>0</v>
      </c>
      <c r="L137" s="41">
        <f t="shared" si="57"/>
        <v>0</v>
      </c>
      <c r="M137" s="41">
        <f t="shared" si="57"/>
        <v>0</v>
      </c>
      <c r="N137" s="41">
        <f t="shared" si="57"/>
        <v>0</v>
      </c>
      <c r="O137" s="41">
        <f t="shared" si="57"/>
        <v>0</v>
      </c>
      <c r="P137" s="41">
        <f t="shared" si="57"/>
        <v>0</v>
      </c>
      <c r="Q137" s="41">
        <f t="shared" si="57"/>
        <v>0</v>
      </c>
      <c r="R137" s="41">
        <f t="shared" si="57"/>
        <v>0</v>
      </c>
      <c r="S137" s="41">
        <f t="shared" si="57"/>
        <v>0</v>
      </c>
      <c r="T137" s="41">
        <f t="shared" si="57"/>
        <v>0</v>
      </c>
      <c r="U137" s="41">
        <f t="shared" si="57"/>
        <v>0</v>
      </c>
      <c r="V137" s="41">
        <f t="shared" si="57"/>
        <v>0</v>
      </c>
      <c r="W137" s="41">
        <f t="shared" si="57"/>
        <v>0</v>
      </c>
      <c r="X137" s="41">
        <f t="shared" si="57"/>
        <v>0</v>
      </c>
      <c r="Y137" s="41">
        <f t="shared" si="57"/>
        <v>0</v>
      </c>
      <c r="Z137" s="41">
        <f t="shared" si="57"/>
        <v>0</v>
      </c>
      <c r="AA137" s="41">
        <f t="shared" si="57"/>
        <v>0</v>
      </c>
      <c r="AB137" s="41">
        <f t="shared" si="57"/>
        <v>0</v>
      </c>
      <c r="AC137" s="41">
        <f t="shared" si="57"/>
        <v>0</v>
      </c>
      <c r="AD137" s="41">
        <f t="shared" si="57"/>
        <v>0</v>
      </c>
      <c r="AE137" s="41">
        <f t="shared" si="57"/>
        <v>0</v>
      </c>
      <c r="AF137" s="41">
        <f t="shared" si="57"/>
        <v>0</v>
      </c>
      <c r="AG137" s="41">
        <f t="shared" si="57"/>
        <v>0</v>
      </c>
      <c r="AH137" s="41">
        <f t="shared" si="57"/>
        <v>0</v>
      </c>
    </row>
    <row r="138" spans="1:36">
      <c r="C138" t="s">
        <v>254</v>
      </c>
      <c r="D138" s="41">
        <f>D127</f>
        <v>0</v>
      </c>
      <c r="E138" s="41">
        <f t="shared" ref="E138:AH138" si="58">E127</f>
        <v>0</v>
      </c>
      <c r="F138" s="41">
        <f t="shared" si="58"/>
        <v>0</v>
      </c>
      <c r="G138" s="41">
        <f t="shared" si="58"/>
        <v>0</v>
      </c>
      <c r="H138" s="41">
        <f t="shared" si="58"/>
        <v>0</v>
      </c>
      <c r="I138" s="41">
        <f t="shared" si="58"/>
        <v>0</v>
      </c>
      <c r="J138" s="41">
        <f t="shared" si="58"/>
        <v>0</v>
      </c>
      <c r="K138" s="41">
        <f t="shared" si="58"/>
        <v>0</v>
      </c>
      <c r="L138" s="41">
        <f t="shared" si="58"/>
        <v>0</v>
      </c>
      <c r="M138" s="41">
        <f t="shared" si="58"/>
        <v>0</v>
      </c>
      <c r="N138" s="41">
        <f t="shared" si="58"/>
        <v>0</v>
      </c>
      <c r="O138" s="41">
        <f t="shared" si="58"/>
        <v>0</v>
      </c>
      <c r="P138" s="41">
        <f t="shared" si="58"/>
        <v>0</v>
      </c>
      <c r="Q138" s="41">
        <f t="shared" si="58"/>
        <v>0</v>
      </c>
      <c r="R138" s="41">
        <f t="shared" si="58"/>
        <v>0</v>
      </c>
      <c r="S138" s="41">
        <f t="shared" si="58"/>
        <v>0</v>
      </c>
      <c r="T138" s="41">
        <f t="shared" si="58"/>
        <v>0</v>
      </c>
      <c r="U138" s="41">
        <f t="shared" si="58"/>
        <v>0</v>
      </c>
      <c r="V138" s="41">
        <f t="shared" si="58"/>
        <v>0</v>
      </c>
      <c r="W138" s="41">
        <f t="shared" si="58"/>
        <v>0</v>
      </c>
      <c r="X138" s="41">
        <f t="shared" si="58"/>
        <v>0</v>
      </c>
      <c r="Y138" s="41">
        <f t="shared" si="58"/>
        <v>0</v>
      </c>
      <c r="Z138" s="41">
        <f t="shared" si="58"/>
        <v>0</v>
      </c>
      <c r="AA138" s="41">
        <f t="shared" si="58"/>
        <v>0</v>
      </c>
      <c r="AB138" s="41">
        <f t="shared" si="58"/>
        <v>0</v>
      </c>
      <c r="AC138" s="41">
        <f t="shared" si="58"/>
        <v>0</v>
      </c>
      <c r="AD138" s="41">
        <f t="shared" si="58"/>
        <v>0</v>
      </c>
      <c r="AE138" s="41">
        <f t="shared" si="58"/>
        <v>0</v>
      </c>
      <c r="AF138" s="41">
        <f t="shared" si="58"/>
        <v>0</v>
      </c>
      <c r="AG138" s="41">
        <f t="shared" si="58"/>
        <v>0</v>
      </c>
      <c r="AH138" s="41">
        <f t="shared" si="58"/>
        <v>0</v>
      </c>
    </row>
    <row r="139" spans="1:36">
      <c r="C139" t="s">
        <v>27</v>
      </c>
      <c r="D139" s="41">
        <f t="shared" ref="D139:AH139" si="59">D65-D138</f>
        <v>368256.49460398941</v>
      </c>
      <c r="E139" s="41">
        <f t="shared" si="59"/>
        <v>360915.92121152492</v>
      </c>
      <c r="F139" s="41">
        <f t="shared" si="59"/>
        <v>353567.7007928848</v>
      </c>
      <c r="G139" s="41">
        <f t="shared" si="59"/>
        <v>346212.0805972286</v>
      </c>
      <c r="H139" s="41">
        <f t="shared" si="59"/>
        <v>338849.31687137153</v>
      </c>
      <c r="I139" s="41">
        <f t="shared" si="59"/>
        <v>331479.6751169911</v>
      </c>
      <c r="J139" s="41">
        <f t="shared" si="59"/>
        <v>324304.50658798194</v>
      </c>
      <c r="K139" s="41">
        <f t="shared" si="59"/>
        <v>317137.94310818083</v>
      </c>
      <c r="L139" s="41">
        <f t="shared" si="59"/>
        <v>309980.27954921121</v>
      </c>
      <c r="M139" s="41">
        <f t="shared" si="59"/>
        <v>302831.8211291912</v>
      </c>
      <c r="N139" s="41">
        <f t="shared" si="59"/>
        <v>295692.88370203623</v>
      </c>
      <c r="O139" s="41">
        <f t="shared" si="59"/>
        <v>287029.15456720802</v>
      </c>
      <c r="P139" s="41">
        <f t="shared" si="59"/>
        <v>278388.44810001209</v>
      </c>
      <c r="Q139" s="41">
        <f t="shared" si="59"/>
        <v>269806.35414084187</v>
      </c>
      <c r="R139" s="41">
        <f t="shared" si="59"/>
        <v>261258.28482167644</v>
      </c>
      <c r="S139" s="41">
        <f t="shared" si="59"/>
        <v>252744.79069237431</v>
      </c>
      <c r="T139" s="41">
        <f t="shared" si="59"/>
        <v>244266.43528714741</v>
      </c>
      <c r="U139" s="41">
        <f t="shared" si="59"/>
        <v>235823.79548605258</v>
      </c>
      <c r="V139" s="41">
        <f t="shared" si="59"/>
        <v>227417.46188427202</v>
      </c>
      <c r="W139" s="41">
        <f t="shared" si="59"/>
        <v>219048.03916935748</v>
      </c>
      <c r="X139" s="41">
        <f t="shared" si="59"/>
        <v>210716.14650661286</v>
      </c>
      <c r="Y139" s="41">
        <f t="shared" si="59"/>
        <v>200235.57468353535</v>
      </c>
      <c r="Z139" s="41">
        <f t="shared" si="59"/>
        <v>189746.29983034011</v>
      </c>
      <c r="AA139" s="41">
        <f t="shared" si="59"/>
        <v>179424.61999771799</v>
      </c>
      <c r="AB139" s="41">
        <f t="shared" si="59"/>
        <v>169190.0134940662</v>
      </c>
      <c r="AC139" s="41">
        <f t="shared" si="59"/>
        <v>159042.69175708896</v>
      </c>
      <c r="AD139" s="41">
        <f t="shared" si="59"/>
        <v>148998.77282309215</v>
      </c>
      <c r="AE139" s="41">
        <f t="shared" si="59"/>
        <v>139044.13732311601</v>
      </c>
      <c r="AF139" s="41">
        <f t="shared" si="59"/>
        <v>129179.04683696644</v>
      </c>
      <c r="AG139" s="41">
        <f t="shared" si="59"/>
        <v>119403.78168754739</v>
      </c>
      <c r="AH139" s="41">
        <f t="shared" si="59"/>
        <v>120660.34370797122</v>
      </c>
    </row>
    <row r="140" spans="1:36">
      <c r="D140" s="41">
        <f>SUM(D134:D139)</f>
        <v>1127444.3500000006</v>
      </c>
      <c r="E140" s="41">
        <f t="shared" ref="E140:AG140" si="60">SUM(E134:E139)</f>
        <v>1114797.8610298317</v>
      </c>
      <c r="F140" s="41">
        <f t="shared" si="60"/>
        <v>1102136.2584070121</v>
      </c>
      <c r="G140" s="41">
        <f t="shared" si="60"/>
        <v>1089461.3001488831</v>
      </c>
      <c r="H140" s="41">
        <f t="shared" si="60"/>
        <v>1076774.7547036139</v>
      </c>
      <c r="I140" s="41">
        <f t="shared" si="60"/>
        <v>1064078.4011772731</v>
      </c>
      <c r="J140" s="41">
        <f t="shared" si="60"/>
        <v>1051575.1057998063</v>
      </c>
      <c r="K140" s="41">
        <f t="shared" si="60"/>
        <v>1039080.5167101147</v>
      </c>
      <c r="L140" s="41">
        <f t="shared" si="60"/>
        <v>1026596.4463999518</v>
      </c>
      <c r="M140" s="41">
        <f t="shared" si="60"/>
        <v>1014124.7189773527</v>
      </c>
      <c r="N140" s="41">
        <f t="shared" si="60"/>
        <v>1001667.170419299</v>
      </c>
      <c r="O140" s="41">
        <f t="shared" si="60"/>
        <v>981909.67060938396</v>
      </c>
      <c r="P140" s="41">
        <f t="shared" si="60"/>
        <v>962313.05843140138</v>
      </c>
      <c r="Q140" s="41">
        <f t="shared" si="60"/>
        <v>942462.38812397968</v>
      </c>
      <c r="R140" s="41">
        <f t="shared" si="60"/>
        <v>922597.77228649345</v>
      </c>
      <c r="S140" s="41">
        <f t="shared" si="60"/>
        <v>902722.61585168517</v>
      </c>
      <c r="T140" s="41">
        <f t="shared" si="60"/>
        <v>882840.3199408591</v>
      </c>
      <c r="U140" s="41">
        <f t="shared" si="60"/>
        <v>862954.28244468477</v>
      </c>
      <c r="V140" s="41">
        <f t="shared" si="60"/>
        <v>843067.89863122813</v>
      </c>
      <c r="W140" s="41">
        <f t="shared" si="60"/>
        <v>823184.56178216636</v>
      </c>
      <c r="X140" s="41">
        <f t="shared" si="60"/>
        <v>803307.66385815432</v>
      </c>
      <c r="Y140" s="41">
        <f t="shared" si="60"/>
        <v>771239.08161156415</v>
      </c>
      <c r="Z140" s="41">
        <f t="shared" si="60"/>
        <v>740598.82302602637</v>
      </c>
      <c r="AA140" s="41">
        <f t="shared" si="60"/>
        <v>710250.50299654331</v>
      </c>
      <c r="AB140" s="41">
        <f t="shared" si="60"/>
        <v>679944.21657496621</v>
      </c>
      <c r="AC140" s="41">
        <f t="shared" si="60"/>
        <v>651343.52037831862</v>
      </c>
      <c r="AD140" s="41">
        <f t="shared" si="60"/>
        <v>628669.13925791928</v>
      </c>
      <c r="AE140" s="41">
        <f t="shared" si="60"/>
        <v>606006.37617366028</v>
      </c>
      <c r="AF140" s="41">
        <f t="shared" si="60"/>
        <v>583360.58031009184</v>
      </c>
      <c r="AG140" s="41">
        <f t="shared" si="60"/>
        <v>560737.24690878112</v>
      </c>
      <c r="AH140" s="41">
        <f>SUM(AH134:AH139)</f>
        <v>522337.34460311546</v>
      </c>
    </row>
    <row r="141" spans="1:36">
      <c r="C141" t="s">
        <v>43</v>
      </c>
      <c r="D141" s="41">
        <f>SUM(D131:D139)</f>
        <v>1127444.3500000006</v>
      </c>
      <c r="E141" s="41">
        <f t="shared" ref="E141:AH141" si="61">SUM(E131:E139)</f>
        <v>1127822.5750101882</v>
      </c>
      <c r="F141" s="41">
        <f t="shared" si="61"/>
        <v>1128213.6596707222</v>
      </c>
      <c r="G141" s="41">
        <f t="shared" si="61"/>
        <v>1128617.9319026861</v>
      </c>
      <c r="H141" s="41">
        <f t="shared" si="61"/>
        <v>1129035.7270600423</v>
      </c>
      <c r="I141" s="41">
        <f t="shared" si="61"/>
        <v>1129467.3880875788</v>
      </c>
      <c r="J141" s="41">
        <f t="shared" si="61"/>
        <v>1129913.2656820808</v>
      </c>
      <c r="K141" s="41">
        <f t="shared" si="61"/>
        <v>1130373.7184567889</v>
      </c>
      <c r="L141" s="41">
        <f t="shared" si="61"/>
        <v>1130849.1131092049</v>
      </c>
      <c r="M141" s="41">
        <f t="shared" si="61"/>
        <v>1131339.8245923189</v>
      </c>
      <c r="N141" s="41">
        <f t="shared" si="61"/>
        <v>1131846.2362893203</v>
      </c>
      <c r="O141" s="41">
        <f t="shared" si="61"/>
        <v>1133040.247945298</v>
      </c>
      <c r="P141" s="41">
        <f t="shared" si="61"/>
        <v>1134273.5838524417</v>
      </c>
      <c r="Q141" s="41">
        <f t="shared" si="61"/>
        <v>1135547.2359659222</v>
      </c>
      <c r="R141" s="41">
        <f t="shared" si="61"/>
        <v>1136862.2186026773</v>
      </c>
      <c r="S141" s="41">
        <f t="shared" si="61"/>
        <v>1138219.5689150381</v>
      </c>
      <c r="T141" s="41">
        <f t="shared" si="61"/>
        <v>1139620.3473739931</v>
      </c>
      <c r="U141" s="41">
        <f t="shared" si="61"/>
        <v>1141065.6382622859</v>
      </c>
      <c r="V141" s="41">
        <f t="shared" si="61"/>
        <v>1142556.5501775397</v>
      </c>
      <c r="W141" s="41">
        <f t="shared" si="61"/>
        <v>1144094.2165456044</v>
      </c>
      <c r="X141" s="41">
        <f t="shared" si="61"/>
        <v>1145679.7961443318</v>
      </c>
      <c r="Y141" s="41">
        <f t="shared" si="61"/>
        <v>1146784.6036743047</v>
      </c>
      <c r="Z141" s="41">
        <f t="shared" si="61"/>
        <v>1147921.7046163613</v>
      </c>
      <c r="AA141" s="41">
        <f t="shared" si="61"/>
        <v>1149091.8776571355</v>
      </c>
      <c r="AB141" s="41">
        <f t="shared" si="61"/>
        <v>1150295.918625812</v>
      </c>
      <c r="AC141" s="41">
        <f t="shared" si="61"/>
        <v>1151534.6408519309</v>
      </c>
      <c r="AD141" s="41">
        <f t="shared" si="61"/>
        <v>1152808.8755304045</v>
      </c>
      <c r="AE141" s="41">
        <f t="shared" si="61"/>
        <v>1154119.4720938904</v>
      </c>
      <c r="AF141" s="41">
        <f t="shared" si="61"/>
        <v>1155467.2985926564</v>
      </c>
      <c r="AG141" s="41">
        <f t="shared" si="61"/>
        <v>1156853.2420820952</v>
      </c>
      <c r="AH141" s="41">
        <f t="shared" si="61"/>
        <v>1158278.2090180318</v>
      </c>
    </row>
    <row r="142" spans="1:36">
      <c r="C142" t="s">
        <v>636</v>
      </c>
      <c r="D142" s="41">
        <f>D129-D141</f>
        <v>0</v>
      </c>
      <c r="E142" s="41">
        <f t="shared" ref="E142:AH142" si="62">E129-E141</f>
        <v>0</v>
      </c>
      <c r="F142" s="41">
        <f t="shared" si="62"/>
        <v>0</v>
      </c>
      <c r="G142" s="41">
        <f t="shared" si="62"/>
        <v>0</v>
      </c>
      <c r="H142" s="41">
        <f t="shared" si="62"/>
        <v>0</v>
      </c>
      <c r="I142" s="41">
        <f t="shared" si="62"/>
        <v>0</v>
      </c>
      <c r="J142" s="41">
        <f t="shared" si="62"/>
        <v>0</v>
      </c>
      <c r="K142" s="41">
        <f t="shared" si="62"/>
        <v>0</v>
      </c>
      <c r="L142" s="41">
        <f t="shared" si="62"/>
        <v>0</v>
      </c>
      <c r="M142" s="41">
        <f t="shared" si="62"/>
        <v>0</v>
      </c>
      <c r="N142" s="41">
        <f t="shared" si="62"/>
        <v>0</v>
      </c>
      <c r="O142" s="41">
        <f t="shared" si="62"/>
        <v>0</v>
      </c>
      <c r="P142" s="41">
        <f t="shared" si="62"/>
        <v>0</v>
      </c>
      <c r="Q142" s="41">
        <f t="shared" si="62"/>
        <v>0</v>
      </c>
      <c r="R142" s="41">
        <f t="shared" si="62"/>
        <v>0</v>
      </c>
      <c r="S142" s="41">
        <f t="shared" si="62"/>
        <v>0</v>
      </c>
      <c r="T142" s="41">
        <f t="shared" si="62"/>
        <v>0</v>
      </c>
      <c r="U142" s="41">
        <f t="shared" si="62"/>
        <v>0</v>
      </c>
      <c r="V142" s="41">
        <f t="shared" si="62"/>
        <v>0</v>
      </c>
      <c r="W142" s="41">
        <f t="shared" si="62"/>
        <v>0</v>
      </c>
      <c r="X142" s="41">
        <f t="shared" si="62"/>
        <v>0</v>
      </c>
      <c r="Y142" s="41">
        <f t="shared" si="62"/>
        <v>0</v>
      </c>
      <c r="Z142" s="41">
        <f t="shared" si="62"/>
        <v>0</v>
      </c>
      <c r="AA142" s="41">
        <f t="shared" si="62"/>
        <v>0</v>
      </c>
      <c r="AB142" s="41">
        <f t="shared" si="62"/>
        <v>0</v>
      </c>
      <c r="AC142" s="41">
        <f t="shared" si="62"/>
        <v>0</v>
      </c>
      <c r="AD142" s="41">
        <f t="shared" si="62"/>
        <v>0</v>
      </c>
      <c r="AE142" s="41">
        <f t="shared" si="62"/>
        <v>0</v>
      </c>
      <c r="AF142" s="41">
        <f t="shared" si="62"/>
        <v>0</v>
      </c>
      <c r="AG142" s="41">
        <f t="shared" si="62"/>
        <v>0</v>
      </c>
      <c r="AH142" s="41">
        <f t="shared" si="62"/>
        <v>0</v>
      </c>
      <c r="AJ142" s="195" t="s">
        <v>637</v>
      </c>
    </row>
    <row r="145" spans="4:34">
      <c r="D145">
        <v>0</v>
      </c>
      <c r="E145">
        <v>0.64921268890543893</v>
      </c>
      <c r="F145">
        <v>1.3243625429929002</v>
      </c>
      <c r="G145">
        <v>2.0262189690438124</v>
      </c>
      <c r="H145">
        <v>2.7555715370566896</v>
      </c>
      <c r="I145">
        <v>3.5132304738549394</v>
      </c>
      <c r="J145">
        <v>4.2934718221194768</v>
      </c>
      <c r="K145">
        <v>5.1012294302403571</v>
      </c>
      <c r="L145">
        <v>5.9372451273370963</v>
      </c>
      <c r="M145">
        <v>6.8022785267027173</v>
      </c>
      <c r="N145">
        <v>7.6971074245662905</v>
      </c>
      <c r="O145">
        <v>8.9909862357689185</v>
      </c>
      <c r="P145">
        <v>10.316402131108308</v>
      </c>
      <c r="Q145">
        <v>11.673964341283362</v>
      </c>
      <c r="R145">
        <v>13.06429230543791</v>
      </c>
      <c r="S145">
        <v>14.48801581123416</v>
      </c>
      <c r="T145">
        <v>15.941351309626564</v>
      </c>
      <c r="U145">
        <v>17.428736942376418</v>
      </c>
      <c r="V145">
        <v>18.950818456926729</v>
      </c>
      <c r="W145">
        <v>20.508252243007988</v>
      </c>
      <c r="X145">
        <v>22.1017054739456</v>
      </c>
      <c r="Y145">
        <v>24.100436488111185</v>
      </c>
      <c r="Z145">
        <v>26.138868058547377</v>
      </c>
      <c r="AA145">
        <v>28.217447616783076</v>
      </c>
      <c r="AB145">
        <v>30.336619710726399</v>
      </c>
      <c r="AC145">
        <v>32.496825634376123</v>
      </c>
      <c r="AD145">
        <v>34.69185839782957</v>
      </c>
      <c r="AE145">
        <v>36.928160488628706</v>
      </c>
      <c r="AF145">
        <v>39.206146818500585</v>
      </c>
      <c r="AG145">
        <v>41.526227186289837</v>
      </c>
      <c r="AH145">
        <v>43.888805826140164</v>
      </c>
    </row>
    <row r="146" spans="4:34">
      <c r="D146">
        <v>0</v>
      </c>
      <c r="E146">
        <v>0.31779908010242236</v>
      </c>
      <c r="F146">
        <v>0.64750728916653177</v>
      </c>
      <c r="G146">
        <v>0.98946075333609462</v>
      </c>
      <c r="H146">
        <v>1.3440040679070355</v>
      </c>
      <c r="I146">
        <v>1.7114904982382797</v>
      </c>
      <c r="J146">
        <v>2.0900970698722814</v>
      </c>
      <c r="K146">
        <v>2.4815552696778944</v>
      </c>
      <c r="L146">
        <v>2.8862011428136718</v>
      </c>
      <c r="M146">
        <v>3.3043785999451147</v>
      </c>
      <c r="N146">
        <v>3.7364395903629011</v>
      </c>
      <c r="O146">
        <v>4.1608458534141377</v>
      </c>
      <c r="P146">
        <v>4.5797370197268457</v>
      </c>
      <c r="Q146">
        <v>5.0476645900452422</v>
      </c>
      <c r="R146">
        <v>5.5266365891073495</v>
      </c>
      <c r="S146">
        <v>6.0168750921385818</v>
      </c>
      <c r="T146">
        <v>6.5171318851522724</v>
      </c>
      <c r="U146">
        <v>7.0289001768402191</v>
      </c>
      <c r="V146">
        <v>7.552409940836597</v>
      </c>
      <c r="W146">
        <v>8.0878956331832903</v>
      </c>
      <c r="X146">
        <v>8.6355962793591488</v>
      </c>
      <c r="Y146">
        <v>9.6408345080233655</v>
      </c>
      <c r="Z146">
        <v>10.233429386845996</v>
      </c>
      <c r="AA146">
        <v>10.8392434169866</v>
      </c>
      <c r="AB146">
        <v>11.458538945184827</v>
      </c>
      <c r="AC146">
        <v>12.091583439682218</v>
      </c>
      <c r="AD146">
        <v>12.736434708339557</v>
      </c>
      <c r="AE146">
        <v>13.395373720874813</v>
      </c>
      <c r="AF146">
        <v>14.068679166766929</v>
      </c>
      <c r="AG146">
        <v>14.756635192623248</v>
      </c>
      <c r="AH146">
        <v>15.459531508899575</v>
      </c>
    </row>
    <row r="147" spans="4:34">
      <c r="D147">
        <v>0</v>
      </c>
      <c r="E147">
        <v>0.39470029650525618</v>
      </c>
      <c r="F147">
        <v>0.80418754469548048</v>
      </c>
      <c r="G147">
        <v>1.2286883029451303</v>
      </c>
      <c r="H147">
        <v>1.6684298876832244</v>
      </c>
      <c r="I147">
        <v>2.1236403081696267</v>
      </c>
      <c r="J147">
        <v>2.5805030408336052</v>
      </c>
      <c r="K147">
        <v>3.0519446933123575</v>
      </c>
      <c r="L147">
        <v>3.5381525359869315</v>
      </c>
      <c r="M147">
        <v>4.0393132774175768</v>
      </c>
      <c r="N147">
        <v>4.5556129669908003</v>
      </c>
      <c r="O147">
        <v>5.4177423721489788</v>
      </c>
      <c r="P147">
        <v>6.3071469547421657</v>
      </c>
      <c r="Q147">
        <v>7.2130149872974414</v>
      </c>
      <c r="R147">
        <v>8.1427833941377727</v>
      </c>
      <c r="S147">
        <v>9.0963180048014465</v>
      </c>
      <c r="T147">
        <v>10.073463867560086</v>
      </c>
      <c r="U147">
        <v>11.074044514100535</v>
      </c>
      <c r="V147">
        <v>12.097861205402936</v>
      </c>
      <c r="W147">
        <v>13.144692158406244</v>
      </c>
      <c r="X147">
        <v>14.214291753043881</v>
      </c>
      <c r="Y147">
        <v>15.64272392600267</v>
      </c>
      <c r="Z147">
        <v>16.247511415288539</v>
      </c>
      <c r="AA147">
        <v>16.842705983378284</v>
      </c>
      <c r="AB147">
        <v>17.44316901481826</v>
      </c>
      <c r="AC147">
        <v>18.047895092413338</v>
      </c>
      <c r="AD147">
        <v>18.654415090456279</v>
      </c>
      <c r="AE147">
        <v>19.262909304007778</v>
      </c>
      <c r="AF147">
        <v>19.872258922995414</v>
      </c>
      <c r="AG147">
        <v>20.481307831271657</v>
      </c>
      <c r="AH147">
        <v>21.088861967154429</v>
      </c>
    </row>
    <row r="148" spans="4:34">
      <c r="D148">
        <v>46.844581662413418</v>
      </c>
      <c r="E148">
        <v>47.190705701793391</v>
      </c>
      <c r="F148">
        <v>47.534115611157176</v>
      </c>
      <c r="G148">
        <v>47.874698166625052</v>
      </c>
      <c r="H148">
        <v>48.212338479416253</v>
      </c>
      <c r="I148">
        <v>48.546919987687033</v>
      </c>
      <c r="J148">
        <v>48.878324448687209</v>
      </c>
      <c r="K148">
        <v>49.206431931248439</v>
      </c>
      <c r="L148">
        <v>49.531120808617587</v>
      </c>
      <c r="M148">
        <v>49.852267751649187</v>
      </c>
      <c r="N148">
        <v>50.169747722371071</v>
      </c>
      <c r="O148">
        <v>50.213945050797975</v>
      </c>
      <c r="P148">
        <v>50.25990431218316</v>
      </c>
      <c r="Q148">
        <v>50.255823122566277</v>
      </c>
      <c r="R148">
        <v>50.237965406464788</v>
      </c>
      <c r="S148">
        <v>50.206167235810796</v>
      </c>
      <c r="T148">
        <v>50.160268033651242</v>
      </c>
      <c r="U148">
        <v>50.100110789241576</v>
      </c>
      <c r="V148">
        <v>50.025542279796355</v>
      </c>
      <c r="W148">
        <v>49.936413299057577</v>
      </c>
      <c r="X148">
        <v>49.832578892843841</v>
      </c>
      <c r="Y148">
        <v>49.174670530975895</v>
      </c>
      <c r="Z148">
        <v>48.884416466271311</v>
      </c>
      <c r="AA148">
        <v>48.572369510540682</v>
      </c>
      <c r="AB148">
        <v>48.237359022080526</v>
      </c>
      <c r="AC148">
        <v>47.879234278149525</v>
      </c>
      <c r="AD148">
        <v>47.497856593015904</v>
      </c>
      <c r="AE148">
        <v>47.093099946329609</v>
      </c>
      <c r="AF148">
        <v>46.664851629671197</v>
      </c>
      <c r="AG148">
        <v>46.213012911629832</v>
      </c>
      <c r="AH148">
        <v>45.737499721766603</v>
      </c>
    </row>
    <row r="149" spans="4:34">
      <c r="D149">
        <v>12.379169704702877</v>
      </c>
      <c r="E149">
        <v>12.021959950560552</v>
      </c>
      <c r="F149">
        <v>11.650683763936648</v>
      </c>
      <c r="G149">
        <v>11.264978094970145</v>
      </c>
      <c r="H149">
        <v>10.864471719936198</v>
      </c>
      <c r="I149">
        <v>10.448785069096706</v>
      </c>
      <c r="J149">
        <v>10.017530051065568</v>
      </c>
      <c r="K149">
        <v>9.5703098736199461</v>
      </c>
      <c r="L149">
        <v>9.1067188608874066</v>
      </c>
      <c r="M149">
        <v>8.6263422668375718</v>
      </c>
      <c r="N149">
        <v>8.1287560850054348</v>
      </c>
      <c r="O149">
        <v>7.4965694225481556</v>
      </c>
      <c r="P149">
        <v>6.8431607698248245</v>
      </c>
      <c r="Q149">
        <v>6.172632356155793</v>
      </c>
      <c r="R149">
        <v>5.481457433223472</v>
      </c>
      <c r="S149">
        <v>4.7692621519907705</v>
      </c>
      <c r="T149">
        <v>4.0356693041843661</v>
      </c>
      <c r="U149">
        <v>3.280298385979358</v>
      </c>
      <c r="V149">
        <v>2.5027656657543127</v>
      </c>
      <c r="W149">
        <v>1.7026842560404041</v>
      </c>
      <c r="X149">
        <v>0.87966418979136674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</row>
    <row r="150" spans="4:34">
      <c r="D150">
        <v>17.63451512942034</v>
      </c>
      <c r="E150">
        <v>17.859745842394727</v>
      </c>
      <c r="F150">
        <v>18.084601928600026</v>
      </c>
      <c r="G150">
        <v>18.309112103754927</v>
      </c>
      <c r="H150">
        <v>18.533307960107038</v>
      </c>
      <c r="I150">
        <v>18.757224072306926</v>
      </c>
      <c r="J150">
        <v>18.980898106085995</v>
      </c>
      <c r="K150">
        <v>19.204370929800909</v>
      </c>
      <c r="L150">
        <v>19.427686728907993</v>
      </c>
      <c r="M150">
        <v>19.650893123432898</v>
      </c>
      <c r="N150">
        <v>19.874041288501676</v>
      </c>
      <c r="O150">
        <v>19.903671582415452</v>
      </c>
      <c r="P150">
        <v>19.923635913813847</v>
      </c>
      <c r="Q150">
        <v>19.935716445984294</v>
      </c>
      <c r="R150">
        <v>19.938674319214869</v>
      </c>
      <c r="S150">
        <v>19.932546749736371</v>
      </c>
      <c r="T150">
        <v>19.917377335704348</v>
      </c>
      <c r="U150">
        <v>19.893216217517214</v>
      </c>
      <c r="V150">
        <v>19.860120240542411</v>
      </c>
      <c r="W150">
        <v>19.818153120280769</v>
      </c>
      <c r="X150">
        <v>19.76738560999971</v>
      </c>
      <c r="Y150">
        <v>19.228490033827438</v>
      </c>
      <c r="Z150">
        <v>18.67233751874388</v>
      </c>
      <c r="AA150">
        <v>18.114384547663779</v>
      </c>
      <c r="AB150">
        <v>17.543490991315437</v>
      </c>
      <c r="AC150">
        <v>16.960333365466195</v>
      </c>
      <c r="AD150">
        <v>16.365606567395623</v>
      </c>
      <c r="AE150">
        <v>15.760023673676287</v>
      </c>
      <c r="AF150">
        <v>15.144315730490137</v>
      </c>
      <c r="AG150">
        <v>14.519231537031434</v>
      </c>
      <c r="AH150">
        <v>13.885537422594032</v>
      </c>
    </row>
    <row r="151" spans="4:34"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</row>
    <row r="152" spans="4:34"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</row>
    <row r="153" spans="4:34">
      <c r="D153">
        <v>35.064810426540291</v>
      </c>
      <c r="E153">
        <v>35.742844014654473</v>
      </c>
      <c r="F153">
        <v>36.430574462566192</v>
      </c>
      <c r="G153">
        <v>37.128019415583218</v>
      </c>
      <c r="H153">
        <v>37.835192058247905</v>
      </c>
      <c r="I153">
        <v>38.552100916556682</v>
      </c>
      <c r="J153">
        <v>39.080816547687867</v>
      </c>
      <c r="K153">
        <v>39.615564265951548</v>
      </c>
      <c r="L153">
        <v>40.156320408089989</v>
      </c>
      <c r="M153">
        <v>40.70305738990411</v>
      </c>
      <c r="N153">
        <v>41.255743559689257</v>
      </c>
      <c r="O153">
        <v>40.574395788222304</v>
      </c>
      <c r="P153">
        <v>39.883766846928189</v>
      </c>
      <c r="Q153">
        <v>39.185621271888941</v>
      </c>
      <c r="R153">
        <v>38.478594950443359</v>
      </c>
      <c r="S153">
        <v>37.762672439708375</v>
      </c>
      <c r="T153">
        <v>36.98788308718126</v>
      </c>
      <c r="U153">
        <v>36.204030174763432</v>
      </c>
      <c r="V153">
        <v>35.411114878361481</v>
      </c>
      <c r="W153">
        <v>34.609141725063651</v>
      </c>
      <c r="X153">
        <v>33.798118735014768</v>
      </c>
      <c r="Y153">
        <v>32.776295521521305</v>
      </c>
      <c r="Z153">
        <v>31.734306641745928</v>
      </c>
      <c r="AA153">
        <v>30.685604535813511</v>
      </c>
      <c r="AB153">
        <v>29.627093273143384</v>
      </c>
      <c r="AC153">
        <v>28.558707670580734</v>
      </c>
      <c r="AD153">
        <v>27.439405788634645</v>
      </c>
      <c r="AE153">
        <v>26.310298531172851</v>
      </c>
      <c r="AF153">
        <v>25.171353840127427</v>
      </c>
      <c r="AG153">
        <v>24.022547321652713</v>
      </c>
      <c r="AH153">
        <v>22.863862812162267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0F808-D4BB-4D0D-A060-7245A3CB5532}">
  <sheetPr>
    <tabColor theme="9"/>
  </sheetPr>
  <dimension ref="A2:AU152"/>
  <sheetViews>
    <sheetView zoomScale="70" zoomScaleNormal="70" workbookViewId="0">
      <pane xSplit="3" ySplit="3" topLeftCell="D4" activePane="bottomRight" state="frozen"/>
      <selection activeCell="C65" sqref="C65"/>
      <selection pane="topRight" activeCell="C65" sqref="C65"/>
      <selection pane="bottomLeft" activeCell="C65" sqref="C65"/>
      <selection pane="bottomRight" activeCell="X37" sqref="X37"/>
    </sheetView>
  </sheetViews>
  <sheetFormatPr defaultRowHeight="14.75" outlineLevelRow="1" outlineLevelCol="1"/>
  <cols>
    <col min="1" max="1" width="29.36328125" style="1" customWidth="1"/>
    <col min="2" max="2" width="24.36328125" style="1" customWidth="1"/>
    <col min="4" max="4" width="12.76953125" bestFit="1" customWidth="1"/>
    <col min="5" max="13" width="8.81640625" hidden="1" customWidth="1" outlineLevel="1"/>
    <col min="14" max="14" width="12.76953125" bestFit="1" customWidth="1" collapsed="1"/>
    <col min="15" max="23" width="8.81640625" hidden="1" customWidth="1" outlineLevel="1"/>
    <col min="24" max="24" width="12.76953125" bestFit="1" customWidth="1" collapsed="1"/>
    <col min="25" max="33" width="12.953125" hidden="1" customWidth="1" outlineLevel="1"/>
    <col min="34" max="34" width="12.76953125" bestFit="1" customWidth="1" collapsed="1"/>
  </cols>
  <sheetData>
    <row r="2" spans="1:36" s="50" customFormat="1">
      <c r="A2" s="49" t="s">
        <v>252</v>
      </c>
      <c r="B2" s="49"/>
      <c r="C2" s="49"/>
    </row>
    <row r="3" spans="1:36" s="1" customFormat="1">
      <c r="D3" s="1">
        <v>2020</v>
      </c>
      <c r="E3" s="1">
        <f>D3+1</f>
        <v>2021</v>
      </c>
      <c r="F3" s="1">
        <f t="shared" ref="F3:AH3" si="0">E3+1</f>
        <v>2022</v>
      </c>
      <c r="G3" s="1">
        <f t="shared" si="0"/>
        <v>2023</v>
      </c>
      <c r="H3" s="1">
        <f t="shared" si="0"/>
        <v>2024</v>
      </c>
      <c r="I3" s="1">
        <f t="shared" si="0"/>
        <v>2025</v>
      </c>
      <c r="J3" s="1">
        <f t="shared" si="0"/>
        <v>2026</v>
      </c>
      <c r="K3" s="1">
        <f t="shared" si="0"/>
        <v>2027</v>
      </c>
      <c r="L3" s="1">
        <f t="shared" si="0"/>
        <v>2028</v>
      </c>
      <c r="M3" s="1">
        <f t="shared" si="0"/>
        <v>2029</v>
      </c>
      <c r="N3" s="1">
        <f t="shared" si="0"/>
        <v>2030</v>
      </c>
      <c r="O3" s="1">
        <f t="shared" si="0"/>
        <v>2031</v>
      </c>
      <c r="P3" s="1">
        <f t="shared" si="0"/>
        <v>2032</v>
      </c>
      <c r="Q3" s="1">
        <f t="shared" si="0"/>
        <v>2033</v>
      </c>
      <c r="R3" s="1">
        <f>Q3+1</f>
        <v>2034</v>
      </c>
      <c r="S3" s="1">
        <f t="shared" si="0"/>
        <v>2035</v>
      </c>
      <c r="T3" s="1">
        <f t="shared" si="0"/>
        <v>2036</v>
      </c>
      <c r="U3" s="1">
        <f t="shared" si="0"/>
        <v>2037</v>
      </c>
      <c r="V3" s="1">
        <f t="shared" si="0"/>
        <v>2038</v>
      </c>
      <c r="W3" s="1">
        <f t="shared" si="0"/>
        <v>2039</v>
      </c>
      <c r="X3" s="1">
        <f t="shared" si="0"/>
        <v>2040</v>
      </c>
      <c r="Y3" s="1">
        <f t="shared" si="0"/>
        <v>2041</v>
      </c>
      <c r="Z3" s="1">
        <f t="shared" si="0"/>
        <v>2042</v>
      </c>
      <c r="AA3" s="1">
        <f t="shared" si="0"/>
        <v>2043</v>
      </c>
      <c r="AB3" s="1">
        <f t="shared" si="0"/>
        <v>2044</v>
      </c>
      <c r="AC3" s="1">
        <f>AB3+1</f>
        <v>2045</v>
      </c>
      <c r="AD3" s="1">
        <f t="shared" si="0"/>
        <v>2046</v>
      </c>
      <c r="AE3" s="1">
        <f t="shared" si="0"/>
        <v>2047</v>
      </c>
      <c r="AF3" s="1">
        <f t="shared" si="0"/>
        <v>2048</v>
      </c>
      <c r="AG3" s="1">
        <f>AF3+1</f>
        <v>2049</v>
      </c>
      <c r="AH3" s="1">
        <f t="shared" si="0"/>
        <v>2050</v>
      </c>
    </row>
    <row r="4" spans="1:36">
      <c r="A4" s="1" t="s">
        <v>246</v>
      </c>
      <c r="C4" s="51" t="s">
        <v>166</v>
      </c>
      <c r="D4" s="101">
        <f>'Yearly Demand - Eth-Prop'!L4</f>
        <v>1127444.3500000006</v>
      </c>
      <c r="E4" s="101">
        <f>'Yearly Demand - Eth-Prop'!M4</f>
        <v>1127444.3500000006</v>
      </c>
      <c r="F4" s="101">
        <f>'Yearly Demand - Eth-Prop'!N4</f>
        <v>1127444.3500000006</v>
      </c>
      <c r="G4" s="101">
        <f>'Yearly Demand - Eth-Prop'!O4</f>
        <v>1127444.3500000006</v>
      </c>
      <c r="H4" s="101">
        <f>'Yearly Demand - Eth-Prop'!P4</f>
        <v>1127444.3500000006</v>
      </c>
      <c r="I4" s="101">
        <f>'Yearly Demand - Eth-Prop'!Q4</f>
        <v>1127444.3500000006</v>
      </c>
      <c r="J4" s="101">
        <f>'Yearly Demand - Eth-Prop'!R4</f>
        <v>1127444.3500000006</v>
      </c>
      <c r="K4" s="101">
        <f>'Yearly Demand - Eth-Prop'!S4</f>
        <v>1127444.3500000006</v>
      </c>
      <c r="L4" s="101">
        <f>'Yearly Demand - Eth-Prop'!T4</f>
        <v>1127444.3500000006</v>
      </c>
      <c r="M4" s="101">
        <f>'Yearly Demand - Eth-Prop'!U4</f>
        <v>1127444.3500000006</v>
      </c>
      <c r="N4" s="101">
        <f>'Yearly Demand - Eth-Prop'!V4</f>
        <v>1127444.3500000006</v>
      </c>
      <c r="O4" s="101">
        <f>'Yearly Demand - Eth-Prop'!W4</f>
        <v>1127444.3500000006</v>
      </c>
      <c r="P4" s="101">
        <f>'Yearly Demand - Eth-Prop'!X4</f>
        <v>1127444.3500000006</v>
      </c>
      <c r="Q4" s="101">
        <f>'Yearly Demand - Eth-Prop'!Y4</f>
        <v>1127444.3500000006</v>
      </c>
      <c r="R4" s="101">
        <f>'Yearly Demand - Eth-Prop'!Z4</f>
        <v>1127444.3500000006</v>
      </c>
      <c r="S4" s="101">
        <f>'Yearly Demand - Eth-Prop'!AA4</f>
        <v>1127444.3500000006</v>
      </c>
      <c r="T4" s="101">
        <f>'Yearly Demand - Eth-Prop'!AB4</f>
        <v>1127444.3500000006</v>
      </c>
      <c r="U4" s="101">
        <f>'Yearly Demand - Eth-Prop'!AC4</f>
        <v>1127444.3500000006</v>
      </c>
      <c r="V4" s="101">
        <f>'Yearly Demand - Eth-Prop'!AD4</f>
        <v>1127444.3500000006</v>
      </c>
      <c r="W4" s="101">
        <f>'Yearly Demand - Eth-Prop'!AE4</f>
        <v>1127444.3500000006</v>
      </c>
      <c r="X4" s="101">
        <f>'Yearly Demand - Eth-Prop'!AF4</f>
        <v>1127444.3500000006</v>
      </c>
      <c r="Y4" s="101">
        <f>'Yearly Demand - Eth-Prop'!AG4</f>
        <v>1127444.3500000006</v>
      </c>
      <c r="Z4" s="101">
        <f>'Yearly Demand - Eth-Prop'!AH4</f>
        <v>1127444.3500000006</v>
      </c>
      <c r="AA4" s="101">
        <f>'Yearly Demand - Eth-Prop'!AI4</f>
        <v>1127444.3500000006</v>
      </c>
      <c r="AB4" s="101">
        <f>'Yearly Demand - Eth-Prop'!AJ4</f>
        <v>1127444.3500000006</v>
      </c>
      <c r="AC4" s="101">
        <f>'Yearly Demand - Eth-Prop'!AK4</f>
        <v>1127444.3500000006</v>
      </c>
      <c r="AD4" s="101">
        <f>'Yearly Demand - Eth-Prop'!AL4</f>
        <v>1127444.3500000006</v>
      </c>
      <c r="AE4" s="101">
        <f>'Yearly Demand - Eth-Prop'!AM4</f>
        <v>1127444.3500000006</v>
      </c>
      <c r="AF4" s="101">
        <f>'Yearly Demand - Eth-Prop'!AN4</f>
        <v>1127444.3500000006</v>
      </c>
      <c r="AG4" s="101">
        <f>'Yearly Demand - Eth-Prop'!AO4</f>
        <v>1127444.3500000006</v>
      </c>
      <c r="AH4" s="101">
        <f>'Yearly Demand - Eth-Prop'!AP4</f>
        <v>1127444.3500000006</v>
      </c>
    </row>
    <row r="5" spans="1:36">
      <c r="D5" s="101"/>
      <c r="E5" s="101"/>
      <c r="F5" s="101"/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/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/>
      <c r="AE5" s="101"/>
      <c r="AF5" s="101"/>
      <c r="AG5" s="101"/>
      <c r="AH5" s="101"/>
    </row>
    <row r="6" spans="1:36">
      <c r="A6" s="55" t="s">
        <v>165</v>
      </c>
      <c r="B6" s="55" t="s">
        <v>174</v>
      </c>
      <c r="C6" s="56" t="s">
        <v>166</v>
      </c>
      <c r="D6" s="630">
        <f>'R&amp;S - Transportation'!C4</f>
        <v>185951.33244226652</v>
      </c>
      <c r="E6" s="630">
        <f>D6*(1+'R&amp;S - Transportation'!$B$5)</f>
        <v>189112.50509378503</v>
      </c>
      <c r="F6" s="630">
        <f>E6*(1+'R&amp;S - Transportation'!$B$5)</f>
        <v>192327.41768037935</v>
      </c>
      <c r="G6" s="630">
        <f>F6*(1+'R&amp;S - Transportation'!$B$5)</f>
        <v>195596.9837809458</v>
      </c>
      <c r="H6" s="630">
        <f>G6*(1+'R&amp;S - Transportation'!$B$5)</f>
        <v>198922.13250522185</v>
      </c>
      <c r="I6" s="630">
        <f>H6*(1+'R&amp;S - Transportation'!$B$5)</f>
        <v>202303.80875781059</v>
      </c>
      <c r="J6" s="630">
        <f>I6*(1+'R&amp;S - Transportation'!$B$5)</f>
        <v>205742.97350669335</v>
      </c>
      <c r="K6" s="630">
        <f>J6*(1+'R&amp;S - Transportation'!$B$5)</f>
        <v>209240.60405630711</v>
      </c>
      <c r="L6" s="630">
        <f>K6*(1+'R&amp;S - Transportation'!$B$5)</f>
        <v>212797.69432526431</v>
      </c>
      <c r="M6" s="630">
        <f>L6*(1+'R&amp;S - Transportation'!$B$5)</f>
        <v>216415.2551287938</v>
      </c>
      <c r="N6" s="630">
        <f>M6*(1+'R&amp;S - Transportation'!$B$5)</f>
        <v>220094.31446598328</v>
      </c>
      <c r="O6" s="630">
        <f>N6*(1+'R&amp;S - Transportation'!$B$5)</f>
        <v>223835.91781190498</v>
      </c>
      <c r="P6" s="630">
        <f>O6*(1+'R&amp;S - Transportation'!$B$5)</f>
        <v>227641.12841470735</v>
      </c>
      <c r="Q6" s="630">
        <f>P6*(1+'R&amp;S - Transportation'!$B$5)</f>
        <v>231511.02759775735</v>
      </c>
      <c r="R6" s="630">
        <f>Q6*(1+'R&amp;S - Transportation'!$B$5)</f>
        <v>235446.71506691919</v>
      </c>
      <c r="S6" s="630">
        <f>R6*(1+'R&amp;S - Transportation'!$B$5)</f>
        <v>239449.3092230568</v>
      </c>
      <c r="T6" s="630">
        <f>S6*(1+'R&amp;S - Transportation'!$B$5)</f>
        <v>243519.94747984875</v>
      </c>
      <c r="U6" s="630">
        <f>T6*(1+'R&amp;S - Transportation'!$B$5)</f>
        <v>247659.78658700615</v>
      </c>
      <c r="V6" s="630">
        <f>U6*(1+'R&amp;S - Transportation'!$B$5)</f>
        <v>251870.00295898522</v>
      </c>
      <c r="W6" s="630">
        <f>V6*(1+'R&amp;S - Transportation'!$B$5)</f>
        <v>256151.79300928794</v>
      </c>
      <c r="X6" s="630">
        <f>W6*(1+'R&amp;S - Transportation'!$B$5)</f>
        <v>260506.37349044581</v>
      </c>
      <c r="Y6" s="630">
        <f>X6*(1+'R&amp;S - Transportation'!$B$5)</f>
        <v>264934.98183978337</v>
      </c>
      <c r="Z6" s="630">
        <f>Y6*(1+'R&amp;S - Transportation'!$B$5)</f>
        <v>269438.87653105968</v>
      </c>
      <c r="AA6" s="630">
        <f>Z6*(1+'R&amp;S - Transportation'!$B$5)</f>
        <v>274019.33743208769</v>
      </c>
      <c r="AB6" s="630">
        <f>AA6*(1+'R&amp;S - Transportation'!$B$5)</f>
        <v>278677.66616843315</v>
      </c>
      <c r="AC6" s="630">
        <f>AB6*(1+'R&amp;S - Transportation'!$B$5)</f>
        <v>283415.18649329647</v>
      </c>
      <c r="AD6" s="630">
        <f>AC6*(1+'R&amp;S - Transportation'!$B$5)</f>
        <v>288233.24466368248</v>
      </c>
      <c r="AE6" s="630">
        <f>AD6*(1+'R&amp;S - Transportation'!$B$5)</f>
        <v>293133.20982296503</v>
      </c>
      <c r="AF6" s="630">
        <f>AE6*(1+'R&amp;S - Transportation'!$B$5)</f>
        <v>298116.4743899554</v>
      </c>
      <c r="AG6" s="630">
        <f>AF6*(1+'R&amp;S - Transportation'!$B$5)</f>
        <v>303184.45445458463</v>
      </c>
      <c r="AH6" s="630">
        <f>AG6*(1+'R&amp;S - Transportation'!$B$5)</f>
        <v>308338.59018031252</v>
      </c>
      <c r="AJ6" s="40"/>
    </row>
    <row r="7" spans="1:36" outlineLevel="1">
      <c r="B7" s="1" t="s">
        <v>175</v>
      </c>
      <c r="C7" s="51" t="s">
        <v>166</v>
      </c>
      <c r="D7" s="196">
        <v>0</v>
      </c>
      <c r="E7" s="196">
        <f>E6*('R&amp;S - Transportation'!$B$8*'R&amp;S - Transportation'!$C$19*('Yearly LC Propylene'!E3-'Yearly LC Propylene'!$D$3)/10)</f>
        <v>189.11250509378507</v>
      </c>
      <c r="F7" s="196">
        <f>F6*('R&amp;S - Transportation'!$B$8*'R&amp;S - Transportation'!$C$19*('Yearly LC Propylene'!F3-'Yearly LC Propylene'!$D$3)/10)</f>
        <v>384.6548353607588</v>
      </c>
      <c r="G7" s="196">
        <f>G6*('R&amp;S - Transportation'!$B$8*'R&amp;S - Transportation'!$C$19*('Yearly LC Propylene'!G3-'Yearly LC Propylene'!$D$3)/10)</f>
        <v>586.7909513428375</v>
      </c>
      <c r="H7" s="196">
        <f>H6*('R&amp;S - Transportation'!$B$8*'R&amp;S - Transportation'!$C$19*('Yearly LC Propylene'!H3-'Yearly LC Propylene'!$D$3)/10)</f>
        <v>795.68853002088758</v>
      </c>
      <c r="I7" s="196">
        <f>I6*('R&amp;S - Transportation'!$B$8*'R&amp;S - Transportation'!$C$19*('Yearly LC Propylene'!I3-'Yearly LC Propylene'!$D$3)/10)</f>
        <v>1011.5190437890532</v>
      </c>
      <c r="J7" s="196">
        <f>J6*('R&amp;S - Transportation'!$B$8*'R&amp;S - Transportation'!$C$19*('Yearly LC Propylene'!J3-'Yearly LC Propylene'!$D$3)/10)</f>
        <v>1234.4578410401602</v>
      </c>
      <c r="K7" s="196">
        <f>K6*('R&amp;S - Transportation'!$B$8*'R&amp;S - Transportation'!$C$19*('Yearly LC Propylene'!K3-'Yearly LC Propylene'!$D$3)/10)</f>
        <v>1464.6842283941501</v>
      </c>
      <c r="L7" s="196">
        <f>L6*('R&amp;S - Transportation'!$B$8*'R&amp;S - Transportation'!$C$19*('Yearly LC Propylene'!L3-'Yearly LC Propylene'!$D$3)/10)</f>
        <v>1702.3815546021149</v>
      </c>
      <c r="M7" s="196">
        <f>M6*('R&amp;S - Transportation'!$B$8*'R&amp;S - Transportation'!$C$19*('Yearly LC Propylene'!M3-'Yearly LC Propylene'!$D$3)/10)</f>
        <v>1947.7372961591448</v>
      </c>
      <c r="N7" s="196">
        <f>N6*('R&amp;S - Transportation'!$B$8*'R&amp;S - Transportation'!$C$19*('Yearly LC Propylene'!N3-'Yearly LC Propylene'!$D$3)/10)</f>
        <v>2200.9431446598333</v>
      </c>
      <c r="O7" s="196">
        <f>O6*('R&amp;S - Transportation'!$B$8*('R&amp;S - Transportation'!$C$19+('R&amp;S - Transportation'!$C$20-'R&amp;S - Transportation'!$C$19)*('Yearly LC Propylene'!O3-'Yearly LC Propylene'!$N$3)/10))</f>
        <v>3133.7028493666703</v>
      </c>
      <c r="P7" s="196">
        <f>P6*('R&amp;S - Transportation'!$B$8*('R&amp;S - Transportation'!$C$19+('R&amp;S - Transportation'!$C$20-'R&amp;S - Transportation'!$C$19)*('Yearly LC Propylene'!P3-'Yearly LC Propylene'!$N$3)/10))</f>
        <v>4097.5403114647315</v>
      </c>
      <c r="Q7" s="196">
        <f>Q6*('R&amp;S - Transportation'!$B$8*('R&amp;S - Transportation'!$C$19+('R&amp;S - Transportation'!$C$20-'R&amp;S - Transportation'!$C$19)*('Yearly LC Propylene'!Q3-'Yearly LC Propylene'!$N$3)/10))</f>
        <v>5093.2426071506634</v>
      </c>
      <c r="R7" s="196">
        <f>R6*('R&amp;S - Transportation'!$B$8*('R&amp;S - Transportation'!$C$19+('R&amp;S - Transportation'!$C$20-'R&amp;S - Transportation'!$C$19)*('Yearly LC Propylene'!R3-'Yearly LC Propylene'!$N$3)/10))</f>
        <v>6121.6145917398999</v>
      </c>
      <c r="S7" s="196">
        <f>S6*('R&amp;S - Transportation'!$B$8*('R&amp;S - Transportation'!$C$19+('R&amp;S - Transportation'!$C$20-'R&amp;S - Transportation'!$C$19)*('Yearly LC Propylene'!S3-'Yearly LC Propylene'!$N$3)/10))</f>
        <v>7183.4792766917053</v>
      </c>
      <c r="T7" s="196">
        <f>T6*('R&amp;S - Transportation'!$B$8*('R&amp;S - Transportation'!$C$19+('R&amp;S - Transportation'!$C$20-'R&amp;S - Transportation'!$C$19)*('Yearly LC Propylene'!T3-'Yearly LC Propylene'!$N$3)/10))</f>
        <v>8279.6782143148594</v>
      </c>
      <c r="U7" s="196">
        <f>U6*('R&amp;S - Transportation'!$B$8*('R&amp;S - Transportation'!$C$19+('R&amp;S - Transportation'!$C$20-'R&amp;S - Transportation'!$C$19)*('Yearly LC Propylene'!U3-'Yearly LC Propylene'!$N$3)/10))</f>
        <v>9411.0718903062352</v>
      </c>
      <c r="V7" s="196">
        <f>V6*('R&amp;S - Transportation'!$B$8*('R&amp;S - Transportation'!$C$19+('R&amp;S - Transportation'!$C$20-'R&amp;S - Transportation'!$C$19)*('Yearly LC Propylene'!V3-'Yearly LC Propylene'!$N$3)/10))</f>
        <v>10578.540124277382</v>
      </c>
      <c r="W7" s="196">
        <f>W6*('R&amp;S - Transportation'!$B$8*('R&amp;S - Transportation'!$C$19+('R&amp;S - Transportation'!$C$20-'R&amp;S - Transportation'!$C$19)*('Yearly LC Propylene'!W3-'Yearly LC Propylene'!$N$3)/10))</f>
        <v>11782.982478427244</v>
      </c>
      <c r="X7" s="196">
        <f>X6*('R&amp;S - Transportation'!$B$8*('R&amp;S - Transportation'!$C$19+('R&amp;S - Transportation'!$C$20-'R&amp;S - Transportation'!$C$19)*('Yearly LC Propylene'!X3-'Yearly LC Propylene'!$N$3)/10))</f>
        <v>13025.318674522292</v>
      </c>
      <c r="Y7" s="196">
        <f>Y6*('R&amp;S - Transportation'!$B$8*('R&amp;S - Transportation'!$C$20+('R&amp;S - Transportation'!$C$21-'R&amp;S - Transportation'!$C$20)*('Yearly LC Propylene'!Y3-'Yearly LC Propylene'!$X$3)/10))</f>
        <v>14571.424001188087</v>
      </c>
      <c r="Z7" s="196">
        <f>Z6*('R&amp;S - Transportation'!$B$8*('R&amp;S - Transportation'!$C$20+('R&amp;S - Transportation'!$C$21-'R&amp;S - Transportation'!$C$20)*('Yearly LC Propylene'!Z3-'Yearly LC Propylene'!$X$3)/10))</f>
        <v>16166.33259186358</v>
      </c>
      <c r="AA7" s="196">
        <f>AA6*('R&amp;S - Transportation'!$B$8*('R&amp;S - Transportation'!$C$20+('R&amp;S - Transportation'!$C$21-'R&amp;S - Transportation'!$C$20)*('Yearly LC Propylene'!AA3-'Yearly LC Propylene'!$X$3)/10))</f>
        <v>17811.2569330857</v>
      </c>
      <c r="AB7" s="196">
        <f>AB6*('R&amp;S - Transportation'!$B$8*('R&amp;S - Transportation'!$C$20+('R&amp;S - Transportation'!$C$21-'R&amp;S - Transportation'!$C$20)*('Yearly LC Propylene'!AB3-'Yearly LC Propylene'!$X$3)/10))</f>
        <v>19507.436631790319</v>
      </c>
      <c r="AC7" s="196">
        <f>AC6*('R&amp;S - Transportation'!$B$8*('R&amp;S - Transportation'!$C$20+('R&amp;S - Transportation'!$C$21-'R&amp;S - Transportation'!$C$20)*('Yearly LC Propylene'!AC3-'Yearly LC Propylene'!$X$3)/10))</f>
        <v>21256.138986997237</v>
      </c>
      <c r="AD7" s="196">
        <f>AD6*('R&amp;S - Transportation'!$B$8*('R&amp;S - Transportation'!$C$20+('R&amp;S - Transportation'!$C$21-'R&amp;S - Transportation'!$C$20)*('Yearly LC Propylene'!AD3-'Yearly LC Propylene'!$X$3)/10))</f>
        <v>23058.659573094603</v>
      </c>
      <c r="AE7" s="196">
        <f>AE6*('R&amp;S - Transportation'!$B$8*('R&amp;S - Transportation'!$C$20+('R&amp;S - Transportation'!$C$21-'R&amp;S - Transportation'!$C$20)*('Yearly LC Propylene'!AE3-'Yearly LC Propylene'!$X$3)/10))</f>
        <v>24916.322834952029</v>
      </c>
      <c r="AF7" s="196">
        <f>AF6*('R&amp;S - Transportation'!$B$8*('R&amp;S - Transportation'!$C$20+('R&amp;S - Transportation'!$C$21-'R&amp;S - Transportation'!$C$20)*('Yearly LC Propylene'!AF3-'Yearly LC Propylene'!$X$3)/10))</f>
        <v>26830.48269509599</v>
      </c>
      <c r="AG7" s="196">
        <f>AG6*('R&amp;S - Transportation'!$B$8*('R&amp;S - Transportation'!$C$20+('R&amp;S - Transportation'!$C$21-'R&amp;S - Transportation'!$C$20)*('Yearly LC Propylene'!AG3-'Yearly LC Propylene'!$X$3)/10))</f>
        <v>28802.523173185538</v>
      </c>
      <c r="AH7" s="196">
        <f>AH6*('R&amp;S - Transportation'!$B$8*('R&amp;S - Transportation'!$C$20+('R&amp;S - Transportation'!$C$21-'R&amp;S - Transportation'!$C$20)*('Yearly LC Propylene'!AH3-'Yearly LC Propylene'!$X$3)/10))</f>
        <v>30833.859018031253</v>
      </c>
      <c r="AJ7" s="40"/>
    </row>
    <row r="8" spans="1:36" outlineLevel="1">
      <c r="B8" s="1" t="s">
        <v>176</v>
      </c>
      <c r="C8" s="51" t="s">
        <v>166</v>
      </c>
      <c r="D8" s="196">
        <f>SUM(D6:D7)</f>
        <v>185951.33244226652</v>
      </c>
      <c r="E8" s="196">
        <f t="shared" ref="E8:AH8" si="1">SUM(E6:E7)</f>
        <v>189301.61759887883</v>
      </c>
      <c r="F8" s="196">
        <f t="shared" si="1"/>
        <v>192712.07251574012</v>
      </c>
      <c r="G8" s="196">
        <f t="shared" si="1"/>
        <v>196183.77473228864</v>
      </c>
      <c r="H8" s="196">
        <f t="shared" si="1"/>
        <v>199717.82103524273</v>
      </c>
      <c r="I8" s="196">
        <f t="shared" si="1"/>
        <v>203315.32780159963</v>
      </c>
      <c r="J8" s="196">
        <f t="shared" si="1"/>
        <v>206977.43134773351</v>
      </c>
      <c r="K8" s="196">
        <f t="shared" si="1"/>
        <v>210705.28828470127</v>
      </c>
      <c r="L8" s="196">
        <f t="shared" si="1"/>
        <v>214500.07587986643</v>
      </c>
      <c r="M8" s="196">
        <f t="shared" si="1"/>
        <v>218362.99242495294</v>
      </c>
      <c r="N8" s="196">
        <f>SUM(N6:N7)</f>
        <v>222295.25761064311</v>
      </c>
      <c r="O8" s="196">
        <f t="shared" si="1"/>
        <v>226969.62066127165</v>
      </c>
      <c r="P8" s="196">
        <f t="shared" si="1"/>
        <v>231738.66872617207</v>
      </c>
      <c r="Q8" s="196">
        <f t="shared" si="1"/>
        <v>236604.27020490801</v>
      </c>
      <c r="R8" s="196">
        <f t="shared" si="1"/>
        <v>241568.32965865909</v>
      </c>
      <c r="S8" s="196">
        <f t="shared" si="1"/>
        <v>246632.78849974851</v>
      </c>
      <c r="T8" s="196">
        <f t="shared" si="1"/>
        <v>251799.62569416361</v>
      </c>
      <c r="U8" s="196">
        <f t="shared" si="1"/>
        <v>257070.85847731237</v>
      </c>
      <c r="V8" s="196">
        <f t="shared" si="1"/>
        <v>262448.54308326263</v>
      </c>
      <c r="W8" s="196">
        <f t="shared" si="1"/>
        <v>267934.7754877152</v>
      </c>
      <c r="X8" s="196">
        <f t="shared" si="1"/>
        <v>273531.69216496812</v>
      </c>
      <c r="Y8" s="196">
        <f t="shared" si="1"/>
        <v>279506.40584097145</v>
      </c>
      <c r="Z8" s="196">
        <f t="shared" si="1"/>
        <v>285605.20912292326</v>
      </c>
      <c r="AA8" s="196">
        <f t="shared" si="1"/>
        <v>291830.59436517337</v>
      </c>
      <c r="AB8" s="196">
        <f t="shared" si="1"/>
        <v>298185.10280022345</v>
      </c>
      <c r="AC8" s="196">
        <f t="shared" si="1"/>
        <v>304671.32548029372</v>
      </c>
      <c r="AD8" s="196">
        <f t="shared" si="1"/>
        <v>311291.9042367771</v>
      </c>
      <c r="AE8" s="196">
        <f t="shared" si="1"/>
        <v>318049.53265791707</v>
      </c>
      <c r="AF8" s="196">
        <f t="shared" si="1"/>
        <v>324946.9570850514</v>
      </c>
      <c r="AG8" s="196">
        <f t="shared" si="1"/>
        <v>331986.97762777016</v>
      </c>
      <c r="AH8" s="196">
        <f t="shared" si="1"/>
        <v>339172.44919834379</v>
      </c>
      <c r="AJ8" s="40"/>
    </row>
    <row r="9" spans="1:36" outlineLevel="1">
      <c r="B9" s="58" t="s">
        <v>134</v>
      </c>
      <c r="C9" s="51" t="s">
        <v>166</v>
      </c>
      <c r="D9" s="196">
        <v>0</v>
      </c>
      <c r="E9" s="196">
        <f>E8*'R&amp;S - Transportation'!$B$16*('R&amp;S - Transportation'!$B$10*'R&amp;S - Transportation'!$B$19*('Yearly LC Propylene'!E$3-'Yearly LC Propylene'!$D$3)/10)</f>
        <v>312.34766903815006</v>
      </c>
      <c r="F9" s="196">
        <f>F8*'R&amp;S - Transportation'!$B$16*('R&amp;S - Transportation'!$B$10*'R&amp;S - Transportation'!$B$19*('Yearly LC Propylene'!F$3-'Yearly LC Propylene'!$D$3)/10)</f>
        <v>635.94983930194235</v>
      </c>
      <c r="G9" s="196">
        <f>G8*'R&amp;S - Transportation'!$B$16*('R&amp;S - Transportation'!$B$10*'R&amp;S - Transportation'!$B$19*('Yearly LC Propylene'!G$3-'Yearly LC Propylene'!$D$3)/10)</f>
        <v>971.10968492482891</v>
      </c>
      <c r="H9" s="196">
        <f>H8*'R&amp;S - Transportation'!$B$16*('R&amp;S - Transportation'!$B$10*'R&amp;S - Transportation'!$B$19*('Yearly LC Propylene'!H$3-'Yearly LC Propylene'!$D$3)/10)</f>
        <v>1318.1376188326019</v>
      </c>
      <c r="I9" s="196">
        <f>I8*'R&amp;S - Transportation'!$B$16*('R&amp;S - Transportation'!$B$10*'R&amp;S - Transportation'!$B$19*('Yearly LC Propylene'!I$3-'Yearly LC Propylene'!$D$3)/10)</f>
        <v>1677.351454363197</v>
      </c>
      <c r="J9" s="196">
        <f>J8*'R&amp;S - Transportation'!$B$16*('R&amp;S - Transportation'!$B$10*'R&amp;S - Transportation'!$B$19*('Yearly LC Propylene'!J$3-'Yearly LC Propylene'!$D$3)/10)</f>
        <v>2049.0765703425618</v>
      </c>
      <c r="K9" s="196">
        <f>K8*'R&amp;S - Transportation'!$B$16*('R&amp;S - Transportation'!$B$10*'R&amp;S - Transportation'!$B$19*('Yearly LC Propylene'!K$3-'Yearly LC Propylene'!$D$3)/10)</f>
        <v>2433.6460796882998</v>
      </c>
      <c r="L9" s="196">
        <f>L8*'R&amp;S - Transportation'!$B$16*('R&amp;S - Transportation'!$B$10*'R&amp;S - Transportation'!$B$19*('Yearly LC Propylene'!L$3-'Yearly LC Propylene'!$D$3)/10)</f>
        <v>2831.401001614237</v>
      </c>
      <c r="M9" s="196">
        <f>M8*'R&amp;S - Transportation'!$B$16*('R&amp;S - Transportation'!$B$10*'R&amp;S - Transportation'!$B$19*('Yearly LC Propylene'!M$3-'Yearly LC Propylene'!$D$3)/10)</f>
        <v>3242.6904375105519</v>
      </c>
      <c r="N9" s="196">
        <f>N8*'R&amp;S - Transportation'!$B$16*('R&amp;S - Transportation'!$B$10*'R&amp;S - Transportation'!$B$19*('Yearly LC Propylene'!N$3-'Yearly LC Propylene'!$D$3)/10)</f>
        <v>3667.8717505756113</v>
      </c>
      <c r="O9" s="196">
        <f>O8*'R&amp;S - Transportation'!$B$16*('R&amp;S - Transportation'!$B$10*('R&amp;S - Transportation'!$B$19+('R&amp;S - Transportation'!$B$20-'R&amp;S - Transportation'!$B$19)*('Yearly LC Propylene'!O3-'Yearly LC Propylene'!$N$3)/10))</f>
        <v>4868.498363184277</v>
      </c>
      <c r="P9" s="196">
        <f>P8*'R&amp;S - Transportation'!$B$16*('R&amp;S - Transportation'!$B$10*('R&amp;S - Transportation'!$B$19+('R&amp;S - Transportation'!$B$20-'R&amp;S - Transportation'!$B$19)*('Yearly LC Propylene'!P3-'Yearly LC Propylene'!$N$3)/10))</f>
        <v>6117.9008543709442</v>
      </c>
      <c r="Q9" s="196">
        <f>Q8*'R&amp;S - Transportation'!$B$16*('R&amp;S - Transportation'!$B$10*('R&amp;S - Transportation'!$B$19+('R&amp;S - Transportation'!$B$20-'R&amp;S - Transportation'!$B$19)*('Yearly LC Propylene'!Q3-'Yearly LC Propylene'!$N$3)/10))</f>
        <v>7417.543870923867</v>
      </c>
      <c r="R9" s="196">
        <f>R8*'R&amp;S - Transportation'!$B$16*('R&amp;S - Transportation'!$B$10*('R&amp;S - Transportation'!$B$19+('R&amp;S - Transportation'!$B$20-'R&amp;S - Transportation'!$B$19)*('Yearly LC Propylene'!R3-'Yearly LC Propylene'!$N$3)/10))</f>
        <v>8768.9303666093256</v>
      </c>
      <c r="S9" s="196">
        <f>S8*'R&amp;S - Transportation'!$B$16*('R&amp;S - Transportation'!$B$10*('R&amp;S - Transportation'!$B$19+('R&amp;S - Transportation'!$B$20-'R&amp;S - Transportation'!$B$19)*('Yearly LC Propylene'!S3-'Yearly LC Propylene'!$N$3)/10))</f>
        <v>10173.602525614626</v>
      </c>
      <c r="T9" s="196">
        <f>T8*'R&amp;S - Transportation'!$B$16*('R&amp;S - Transportation'!$B$10*('R&amp;S - Transportation'!$B$19+('R&amp;S - Transportation'!$B$20-'R&amp;S - Transportation'!$B$19)*('Yearly LC Propylene'!T3-'Yearly LC Propylene'!$N$3)/10))</f>
        <v>11633.142707070359</v>
      </c>
      <c r="U9" s="196">
        <f>U8*'R&amp;S - Transportation'!$B$16*('R&amp;S - Transportation'!$B$10*('R&amp;S - Transportation'!$B$19+('R&amp;S - Transportation'!$B$20-'R&amp;S - Transportation'!$B$19)*('Yearly LC Propylene'!U3-'Yearly LC Propylene'!$N$3)/10))</f>
        <v>13149.174411114531</v>
      </c>
      <c r="V9" s="196">
        <f>V8*'R&amp;S - Transportation'!$B$16*('R&amp;S - Transportation'!$B$10*('R&amp;S - Transportation'!$B$19+('R&amp;S - Transportation'!$B$20-'R&amp;S - Transportation'!$B$19)*('Yearly LC Propylene'!V3-'Yearly LC Propylene'!$N$3)/10))</f>
        <v>14723.363266971039</v>
      </c>
      <c r="W9" s="196">
        <f>W8*'R&amp;S - Transportation'!$B$16*('R&amp;S - Transportation'!$B$10*('R&amp;S - Transportation'!$B$19+('R&amp;S - Transportation'!$B$20-'R&amp;S - Transportation'!$B$19)*('Yearly LC Propylene'!W3-'Yearly LC Propylene'!$N$3)/10))</f>
        <v>16357.418043525013</v>
      </c>
      <c r="X9" s="196">
        <f>X8*'R&amp;S - Transportation'!$B$16*('R&amp;S - Transportation'!$B$10*('R&amp;S - Transportation'!$B$19+('R&amp;S - Transportation'!$B$20-'R&amp;S - Transportation'!$B$19)*('Yearly LC Propylene'!X3-'Yearly LC Propylene'!$N$3)/10))</f>
        <v>18053.091682887898</v>
      </c>
      <c r="Y9" s="196">
        <f>Y8*'R&amp;S - Transportation'!$B$16*('R&amp;S - Transportation'!$B$10*('R&amp;S - Transportation'!$B$20+('R&amp;S - Transportation'!$B$21-'R&amp;S - Transportation'!$B$20)*('Yearly LC Propylene'!Y3-'Yearly LC Propylene'!$X$3)/10))</f>
        <v>21214.536203329735</v>
      </c>
      <c r="Z9" s="196">
        <f>Z8*'R&amp;S - Transportation'!$B$16*('R&amp;S - Transportation'!$B$10*('R&amp;S - Transportation'!$B$20+('R&amp;S - Transportation'!$B$21-'R&amp;S - Transportation'!$B$20)*('Yearly LC Propylene'!Z3-'Yearly LC Propylene'!$X$3)/10))</f>
        <v>24504.926942746817</v>
      </c>
      <c r="AA9" s="196">
        <f>AA8*'R&amp;S - Transportation'!$B$16*('R&amp;S - Transportation'!$B$10*('R&amp;S - Transportation'!$B$20+('R&amp;S - Transportation'!$B$21-'R&amp;S - Transportation'!$B$20)*('Yearly LC Propylene'!AA3-'Yearly LC Propylene'!$X$3)/10))</f>
        <v>27928.187880747097</v>
      </c>
      <c r="AB9" s="196">
        <f>AB8*'R&amp;S - Transportation'!$B$16*('R&amp;S - Transportation'!$B$10*('R&amp;S - Transportation'!$B$20+('R&amp;S - Transportation'!$B$21-'R&amp;S - Transportation'!$B$20)*('Yearly LC Propylene'!AB3-'Yearly LC Propylene'!$X$3)/10))</f>
        <v>31488.346855703599</v>
      </c>
      <c r="AC9" s="196">
        <f>AC8*'R&amp;S - Transportation'!$B$16*('R&amp;S - Transportation'!$B$10*('R&amp;S - Transportation'!$B$20+('R&amp;S - Transportation'!$B$21-'R&amp;S - Transportation'!$B$20)*('Yearly LC Propylene'!AC3-'Yearly LC Propylene'!$X$3)/10))</f>
        <v>35189.538092973919</v>
      </c>
      <c r="AD9" s="196">
        <f>AD8*'R&amp;S - Transportation'!$B$16*('R&amp;S - Transportation'!$B$10*('R&amp;S - Transportation'!$B$20+('R&amp;S - Transportation'!$B$21-'R&amp;S - Transportation'!$B$20)*('Yearly LC Propylene'!AD3-'Yearly LC Propylene'!$X$3)/10))</f>
        <v>39036.004791291853</v>
      </c>
      <c r="AE9" s="196">
        <f>AE8*'R&amp;S - Transportation'!$B$16*('R&amp;S - Transportation'!$B$10*('R&amp;S - Transportation'!$B$20+('R&amp;S - Transportation'!$B$21-'R&amp;S - Transportation'!$B$20)*('Yearly LC Propylene'!AE3-'Yearly LC Propylene'!$X$3)/10))</f>
        <v>43032.101768616179</v>
      </c>
      <c r="AF9" s="196">
        <f>AF8*'R&amp;S - Transportation'!$B$16*('R&amp;S - Transportation'!$B$10*('R&amp;S - Transportation'!$B$20+('R&amp;S - Transportation'!$B$21-'R&amp;S - Transportation'!$B$20)*('Yearly LC Propylene'!AF3-'Yearly LC Propylene'!$X$3)/10))</f>
        <v>47182.298168749461</v>
      </c>
      <c r="AG9" s="196">
        <f>AG8*'R&amp;S - Transportation'!$B$16*('R&amp;S - Transportation'!$B$10*('R&amp;S - Transportation'!$B$20+('R&amp;S - Transportation'!$B$21-'R&amp;S - Transportation'!$B$20)*('Yearly LC Propylene'!AG3-'Yearly LC Propylene'!$X$3)/10))</f>
        <v>51491.180230067148</v>
      </c>
      <c r="AH9" s="196">
        <f>AH8*'R&amp;S - Transportation'!$B$16*('R&amp;S - Transportation'!$B$10*('R&amp;S - Transportation'!$B$20+('R&amp;S - Transportation'!$B$21-'R&amp;S - Transportation'!$B$20)*('Yearly LC Propylene'!AH3-'Yearly LC Propylene'!$X$3)/10))</f>
        <v>55963.454117726731</v>
      </c>
    </row>
    <row r="10" spans="1:36" outlineLevel="1">
      <c r="B10" s="58" t="s">
        <v>177</v>
      </c>
      <c r="C10" s="51" t="s">
        <v>166</v>
      </c>
      <c r="D10" s="196">
        <v>0</v>
      </c>
      <c r="E10" s="196">
        <f>(E8-E9)*'R&amp;S - Transportation'!$B$16*('R&amp;S - Transportation'!$B$11*'R&amp;S - Transportation'!$B$19*('Yearly LC Propylene'!E$3-'Yearly LC Propylene'!$D$3)/10)</f>
        <v>198.43873342633276</v>
      </c>
      <c r="F10" s="196">
        <f>(F8-F9)*'R&amp;S - Transportation'!$B$16*('R&amp;S - Transportation'!$B$11*'R&amp;S - Transportation'!$B$19*('Yearly LC Propylene'!F$3-'Yearly LC Propylene'!$D$3)/10)</f>
        <v>403.35985762052024</v>
      </c>
      <c r="G10" s="196">
        <f>(G8-G9)*'R&amp;S - Transportation'!$B$16*('R&amp;S - Transportation'!$B$11*'R&amp;S - Transportation'!$B$19*('Yearly LC Propylene'!G$3-'Yearly LC Propylene'!$D$3)/10)</f>
        <v>614.91989489919604</v>
      </c>
      <c r="H10" s="196">
        <f>(H8-H9)*'R&amp;S - Transportation'!$B$16*('R&amp;S - Transportation'!$B$11*'R&amp;S - Transportation'!$B$19*('Yearly LC Propylene'!H$3-'Yearly LC Propylene'!$D$3)/10)</f>
        <v>833.27867034892256</v>
      </c>
      <c r="I10" s="196">
        <f>(I8-I9)*'R&amp;S - Transportation'!$B$16*('R&amp;S - Transportation'!$B$11*'R&amp;S - Transportation'!$B$19*('Yearly LC Propylene'!I$3-'Yearly LC Propylene'!$D$3)/10)</f>
        <v>1058.5993758229913</v>
      </c>
      <c r="J10" s="196">
        <f>(J8-J9)*'R&amp;S - Transportation'!$B$16*('R&amp;S - Transportation'!$B$11*'R&amp;S - Transportation'!$B$19*('Yearly LC Propylene'!J$3-'Yearly LC Propylene'!$D$3)/10)</f>
        <v>1291.048635097563</v>
      </c>
      <c r="K10" s="196">
        <f>(K8-K9)*'R&amp;S - Transportation'!$B$16*('R&amp;S - Transportation'!$B$11*'R&amp;S - Transportation'!$B$19*('Yearly LC Propylene'!K$3-'Yearly LC Propylene'!$D$3)/10)</f>
        <v>1530.7965702068454</v>
      </c>
      <c r="L10" s="196">
        <f>(L8-L9)*'R&amp;S - Transportation'!$B$16*('R&amp;S - Transportation'!$B$11*'R&amp;S - Transportation'!$B$19*('Yearly LC Propylene'!L$3-'Yearly LC Propylene'!$D$3)/10)</f>
        <v>1778.0168689773188</v>
      </c>
      <c r="M10" s="196">
        <f>(M8-M9)*'R&amp;S - Transportation'!$B$16*('R&amp;S - Transportation'!$B$11*'R&amp;S - Transportation'!$B$19*('Yearly LC Propylene'!M$3-'Yearly LC Propylene'!$D$3)/10)</f>
        <v>2032.8868537813307</v>
      </c>
      <c r="N10" s="196">
        <f>(N8-N9)*'R&amp;S - Transportation'!$B$16*('R&amp;S - Transportation'!$B$11*'R&amp;S - Transportation'!$B$19*('Yearly LC Propylene'!N$3-'Yearly LC Propylene'!$D$3)/10)</f>
        <v>2295.5875515307089</v>
      </c>
      <c r="O10" s="196">
        <f>(O8-O9)*'R&amp;S - Transportation'!$B$16*('R&amp;S - Transportation'!$B$11*('R&amp;S - Transportation'!$B$19+('R&amp;S - Transportation'!$B$20-'R&amp;S - Transportation'!$B$19)*('Yearly LC Propylene'!O$3-'Yearly LC Propylene'!$N$3)/10))</f>
        <v>3031.6803193688929</v>
      </c>
      <c r="P10" s="196">
        <f>(P8-P9)*'R&amp;S - Transportation'!$B$16*('R&amp;S - Transportation'!$B$11*('R&amp;S - Transportation'!$B$19+('R&amp;S - Transportation'!$B$20-'R&amp;S - Transportation'!$B$19)*('Yearly LC Propylene'!P$3-'Yearly LC Propylene'!$N$3)/10))</f>
        <v>3790.4289002462597</v>
      </c>
      <c r="Q10" s="196">
        <f>(Q8-Q9)*'R&amp;S - Transportation'!$B$16*('R&amp;S - Transportation'!$B$11*('R&amp;S - Transportation'!$B$19+('R&amp;S - Transportation'!$B$20-'R&amp;S - Transportation'!$B$19)*('Yearly LC Propylene'!Q$3-'Yearly LC Propylene'!$N$3)/10))</f>
        <v>4572.2751903629833</v>
      </c>
      <c r="R10" s="196">
        <f>(R8-R9)*'R&amp;S - Transportation'!$B$16*('R&amp;S - Transportation'!$B$11*('R&amp;S - Transportation'!$B$19+('R&amp;S - Transportation'!$B$20-'R&amp;S - Transportation'!$B$19)*('Yearly LC Propylene'!R$3-'Yearly LC Propylene'!$N$3)/10))</f>
        <v>5377.6661236463497</v>
      </c>
      <c r="S10" s="196">
        <f>(S8-S9)*'R&amp;S - Transportation'!$B$16*('R&amp;S - Transportation'!$B$11*('R&amp;S - Transportation'!$B$19+('R&amp;S - Transportation'!$B$20-'R&amp;S - Transportation'!$B$19)*('Yearly LC Propylene'!S$3-'Yearly LC Propylene'!$N$3)/10))</f>
        <v>6207.0536318210143</v>
      </c>
      <c r="T10" s="196">
        <f>(T8-T9)*'R&amp;S - Transportation'!$B$16*('R&amp;S - Transportation'!$B$11*('R&amp;S - Transportation'!$B$19+('R&amp;S - Transportation'!$B$20-'R&amp;S - Transportation'!$B$19)*('Yearly LC Propylene'!T$3-'Yearly LC Propylene'!$N$3)/10))</f>
        <v>7060.8945998205418</v>
      </c>
      <c r="U10" s="196">
        <f>(U8-U9)*'R&amp;S - Transportation'!$B$16*('R&amp;S - Transportation'!$B$11*('R&amp;S - Transportation'!$B$19+('R&amp;S - Transportation'!$B$20-'R&amp;S - Transportation'!$B$19)*('Yearly LC Propylene'!U$3-'Yearly LC Propylene'!$N$3)/10))</f>
        <v>7939.6508163547405</v>
      </c>
      <c r="V10" s="196">
        <f>(V8-V9)*'R&amp;S - Transportation'!$B$16*('R&amp;S - Transportation'!$B$11*('R&amp;S - Transportation'!$B$19+('R&amp;S - Transportation'!$B$20-'R&amp;S - Transportation'!$B$19)*('Yearly LC Propylene'!V$3-'Yearly LC Propylene'!$N$3)/10))</f>
        <v>8843.7889194416111</v>
      </c>
      <c r="W10" s="196">
        <f>(W8-W9)*'R&amp;S - Transportation'!$B$16*('R&amp;S - Transportation'!$B$11*('R&amp;S - Transportation'!$B$19+('R&amp;S - Transportation'!$B$20-'R&amp;S - Transportation'!$B$19)*('Yearly LC Propylene'!W$3-'Yearly LC Propylene'!$N$3)/10))</f>
        <v>9773.7803367067881</v>
      </c>
      <c r="X10" s="196">
        <f>(X8-X9)*'R&amp;S - Transportation'!$B$16*('R&amp;S - Transportation'!$B$11*('R&amp;S - Transportation'!$B$19+('R&amp;S - Transportation'!$B$20-'R&amp;S - Transportation'!$B$19)*('Yearly LC Propylene'!X$3-'Yearly LC Propylene'!$N$3)/10))</f>
        <v>10730.10122024737</v>
      </c>
      <c r="Y10" s="196">
        <f>(Y8-Y9)*'R&amp;S - Transportation'!$B$16*('R&amp;S - Transportation'!$B$11*('R&amp;S - Transportation'!$B$20+('R&amp;S - Transportation'!$B$21-'R&amp;S - Transportation'!$B$20)*('Yearly LC Propylene'!Y$3-'Yearly LC Propylene'!$X$3)/10))</f>
        <v>12475.497303498096</v>
      </c>
      <c r="Z10" s="196">
        <f>(Z8-Z9)*'R&amp;S - Transportation'!$B$16*('R&amp;S - Transportation'!$B$11*('R&amp;S - Transportation'!$B$20+('R&amp;S - Transportation'!$B$21-'R&amp;S - Transportation'!$B$20)*('Yearly LC Propylene'!Z$3-'Yearly LC Propylene'!$X$3)/10))</f>
        <v>14256.075407037633</v>
      </c>
      <c r="AA10" s="196">
        <f>(AA8-AA9)*'R&amp;S - Transportation'!$B$16*('R&amp;S - Transportation'!$B$11*('R&amp;S - Transportation'!$B$20+('R&amp;S - Transportation'!$B$21-'R&amp;S - Transportation'!$B$20)*('Yearly LC Propylene'!AA$3-'Yearly LC Propylene'!$X$3)/10))</f>
        <v>16071.656554901561</v>
      </c>
      <c r="AB10" s="196">
        <f>(AB8-AB9)*'R&amp;S - Transportation'!$B$16*('R&amp;S - Transportation'!$B$11*('R&amp;S - Transportation'!$B$20+('R&amp;S - Transportation'!$B$21-'R&amp;S - Transportation'!$B$20)*('Yearly LC Propylene'!AB$3-'Yearly LC Propylene'!$X$3)/10))</f>
        <v>17922.02199947173</v>
      </c>
      <c r="AC10" s="196">
        <f>(AC8-AC9)*'R&amp;S - Transportation'!$B$16*('R&amp;S - Transportation'!$B$11*('R&amp;S - Transportation'!$B$20+('R&amp;S - Transportation'!$B$21-'R&amp;S - Transportation'!$B$20)*('Yearly LC Propylene'!AC$3-'Yearly LC Propylene'!$X$3)/10))</f>
        <v>19806.911372968003</v>
      </c>
      <c r="AD10" s="196">
        <f>(AD8-AD9)*'R&amp;S - Transportation'!$B$16*('R&amp;S - Transportation'!$B$11*('R&amp;S - Transportation'!$B$20+('R&amp;S - Transportation'!$B$21-'R&amp;S - Transportation'!$B$20)*('Yearly LC Propylene'!AD$3-'Yearly LC Propylene'!$X$3)/10))</f>
        <v>21726.020775749723</v>
      </c>
      <c r="AE10" s="196">
        <f>(AE8-AE9)*'R&amp;S - Transportation'!$B$16*('R&amp;S - Transportation'!$B$11*('R&amp;S - Transportation'!$B$20+('R&amp;S - Transportation'!$B$21-'R&amp;S - Transportation'!$B$20)*('Yearly LC Propylene'!AE$3-'Yearly LC Propylene'!$X$3)/10))</f>
        <v>23679.00079956881</v>
      </c>
      <c r="AF10" s="196">
        <f>(AF8-AF9)*'R&amp;S - Transportation'!$B$16*('R&amp;S - Transportation'!$B$11*('R&amp;S - Transportation'!$B$20+('R&amp;S - Transportation'!$B$21-'R&amp;S - Transportation'!$B$20)*('Yearly LC Propylene'!AF$3-'Yearly LC Propylene'!$X$3)/10))</f>
        <v>25665.454483866295</v>
      </c>
      <c r="AG10" s="196">
        <f>(AG8-AG9)*'R&amp;S - Transportation'!$B$16*('R&amp;S - Transportation'!$B$11*('R&amp;S - Transportation'!$B$20+('R&amp;S - Transportation'!$B$21-'R&amp;S - Transportation'!$B$20)*('Yearly LC Propylene'!AG$3-'Yearly LC Propylene'!$X$3)/10))</f>
        <v>27684.935203153284</v>
      </c>
      <c r="AH10" s="196">
        <f>(AH8-AH9)*'R&amp;S - Transportation'!$B$16*('R&amp;S - Transportation'!$B$11*('R&amp;S - Transportation'!$B$20+('R&amp;S - Transportation'!$B$21-'R&amp;S - Transportation'!$B$20)*('Yearly LC Propylene'!AH$3-'Yearly LC Propylene'!$X$3)/10))</f>
        <v>29736.944483464791</v>
      </c>
    </row>
    <row r="11" spans="1:36" outlineLevel="1">
      <c r="B11" s="1" t="s">
        <v>164</v>
      </c>
      <c r="C11" s="51" t="s">
        <v>166</v>
      </c>
      <c r="D11" s="196">
        <f>SUM(D9:D10)</f>
        <v>0</v>
      </c>
      <c r="E11" s="196">
        <f t="shared" ref="E11:AH11" si="2">SUM(E9:E10)</f>
        <v>510.78640246448282</v>
      </c>
      <c r="F11" s="196">
        <f t="shared" si="2"/>
        <v>1039.3096969224625</v>
      </c>
      <c r="G11" s="196">
        <f t="shared" si="2"/>
        <v>1586.0295798240249</v>
      </c>
      <c r="H11" s="196">
        <f t="shared" si="2"/>
        <v>2151.4162891815245</v>
      </c>
      <c r="I11" s="196">
        <f t="shared" si="2"/>
        <v>2735.9508301861883</v>
      </c>
      <c r="J11" s="196">
        <f t="shared" si="2"/>
        <v>3340.1252054401248</v>
      </c>
      <c r="K11" s="196">
        <f t="shared" si="2"/>
        <v>3964.4426498951452</v>
      </c>
      <c r="L11" s="196">
        <f t="shared" si="2"/>
        <v>4609.4178705915556</v>
      </c>
      <c r="M11" s="196">
        <f t="shared" si="2"/>
        <v>5275.5772912918828</v>
      </c>
      <c r="N11" s="196">
        <f t="shared" si="2"/>
        <v>5963.4593021063201</v>
      </c>
      <c r="O11" s="196">
        <f t="shared" si="2"/>
        <v>7900.1786825531699</v>
      </c>
      <c r="P11" s="196">
        <f t="shared" si="2"/>
        <v>9908.3297546172034</v>
      </c>
      <c r="Q11" s="196">
        <f t="shared" si="2"/>
        <v>11989.819061286849</v>
      </c>
      <c r="R11" s="196">
        <f t="shared" si="2"/>
        <v>14146.596490255675</v>
      </c>
      <c r="S11" s="196">
        <f t="shared" si="2"/>
        <v>16380.65615743564</v>
      </c>
      <c r="T11" s="196">
        <f t="shared" si="2"/>
        <v>18694.037306890903</v>
      </c>
      <c r="U11" s="196">
        <f t="shared" si="2"/>
        <v>21088.825227469271</v>
      </c>
      <c r="V11" s="196">
        <f t="shared" si="2"/>
        <v>23567.152186412648</v>
      </c>
      <c r="W11" s="196">
        <f t="shared" si="2"/>
        <v>26131.198380231799</v>
      </c>
      <c r="X11" s="196">
        <f t="shared" si="2"/>
        <v>28783.19290313527</v>
      </c>
      <c r="Y11" s="196">
        <f t="shared" si="2"/>
        <v>33690.033506827829</v>
      </c>
      <c r="Z11" s="196">
        <f t="shared" si="2"/>
        <v>38761.002349784452</v>
      </c>
      <c r="AA11" s="196">
        <f t="shared" si="2"/>
        <v>43999.844435648658</v>
      </c>
      <c r="AB11" s="196">
        <f t="shared" si="2"/>
        <v>49410.368855175329</v>
      </c>
      <c r="AC11" s="196">
        <f t="shared" si="2"/>
        <v>54996.449465941922</v>
      </c>
      <c r="AD11" s="196">
        <f t="shared" si="2"/>
        <v>60762.025567041579</v>
      </c>
      <c r="AE11" s="196">
        <f t="shared" si="2"/>
        <v>66711.102568184986</v>
      </c>
      <c r="AF11" s="196">
        <f t="shared" si="2"/>
        <v>72847.75265261576</v>
      </c>
      <c r="AG11" s="196">
        <f t="shared" si="2"/>
        <v>79176.115433220431</v>
      </c>
      <c r="AH11" s="196">
        <f t="shared" si="2"/>
        <v>85700.398601191526</v>
      </c>
      <c r="AI11" s="41"/>
    </row>
    <row r="12" spans="1:36" outlineLevel="1">
      <c r="B12" s="1" t="s">
        <v>167</v>
      </c>
      <c r="C12" s="51" t="s">
        <v>166</v>
      </c>
      <c r="D12" s="196">
        <v>0</v>
      </c>
      <c r="E12" s="196">
        <v>0</v>
      </c>
      <c r="F12" s="196">
        <v>0</v>
      </c>
      <c r="G12" s="196">
        <v>0</v>
      </c>
      <c r="H12" s="196">
        <v>0</v>
      </c>
      <c r="I12" s="196">
        <v>0</v>
      </c>
      <c r="J12" s="196">
        <v>0</v>
      </c>
      <c r="K12" s="196">
        <v>0</v>
      </c>
      <c r="L12" s="196">
        <v>0</v>
      </c>
      <c r="M12" s="196">
        <v>0</v>
      </c>
      <c r="N12" s="196">
        <v>0</v>
      </c>
      <c r="O12" s="196">
        <v>0</v>
      </c>
      <c r="P12" s="196">
        <v>0</v>
      </c>
      <c r="Q12" s="196">
        <v>0</v>
      </c>
      <c r="R12" s="196">
        <v>0</v>
      </c>
      <c r="S12" s="196">
        <v>0</v>
      </c>
      <c r="T12" s="196">
        <v>0</v>
      </c>
      <c r="U12" s="196">
        <v>0</v>
      </c>
      <c r="V12" s="196">
        <v>0</v>
      </c>
      <c r="W12" s="196">
        <v>0</v>
      </c>
      <c r="X12" s="196">
        <v>0</v>
      </c>
      <c r="Y12" s="196">
        <v>0</v>
      </c>
      <c r="Z12" s="196">
        <v>0</v>
      </c>
      <c r="AA12" s="196">
        <v>0</v>
      </c>
      <c r="AB12" s="196">
        <v>0</v>
      </c>
      <c r="AC12" s="196">
        <v>0</v>
      </c>
      <c r="AD12" s="196">
        <v>0</v>
      </c>
      <c r="AE12" s="196">
        <v>0</v>
      </c>
      <c r="AF12" s="196">
        <v>0</v>
      </c>
      <c r="AG12" s="196">
        <v>0</v>
      </c>
      <c r="AH12" s="196">
        <v>0</v>
      </c>
    </row>
    <row r="13" spans="1:36" s="1" customFormat="1">
      <c r="A13" s="59"/>
      <c r="B13" s="59" t="s">
        <v>195</v>
      </c>
      <c r="C13" s="60" t="s">
        <v>166</v>
      </c>
      <c r="D13" s="636">
        <f>D8-D11-D12</f>
        <v>185951.33244226652</v>
      </c>
      <c r="E13" s="636">
        <f t="shared" ref="E13:AH13" si="3">E8-E11-E12</f>
        <v>188790.83119641434</v>
      </c>
      <c r="F13" s="636">
        <f t="shared" si="3"/>
        <v>191672.76281881766</v>
      </c>
      <c r="G13" s="636">
        <f t="shared" si="3"/>
        <v>194597.74515246463</v>
      </c>
      <c r="H13" s="636">
        <f t="shared" si="3"/>
        <v>197566.40474606119</v>
      </c>
      <c r="I13" s="636">
        <f t="shared" si="3"/>
        <v>200579.37697141344</v>
      </c>
      <c r="J13" s="636">
        <f t="shared" si="3"/>
        <v>203637.30614229338</v>
      </c>
      <c r="K13" s="636">
        <f t="shared" si="3"/>
        <v>206740.84563480612</v>
      </c>
      <c r="L13" s="636">
        <f t="shared" si="3"/>
        <v>209890.65800927486</v>
      </c>
      <c r="M13" s="636">
        <f t="shared" si="3"/>
        <v>213087.41513366107</v>
      </c>
      <c r="N13" s="636">
        <f>N8-N11-N12</f>
        <v>216331.79830853679</v>
      </c>
      <c r="O13" s="636">
        <f t="shared" si="3"/>
        <v>219069.44197871847</v>
      </c>
      <c r="P13" s="636">
        <f t="shared" si="3"/>
        <v>221830.33897155485</v>
      </c>
      <c r="Q13" s="636">
        <f t="shared" si="3"/>
        <v>224614.45114362118</v>
      </c>
      <c r="R13" s="636">
        <f t="shared" si="3"/>
        <v>227421.73316840341</v>
      </c>
      <c r="S13" s="636">
        <f t="shared" si="3"/>
        <v>230252.13234231286</v>
      </c>
      <c r="T13" s="636">
        <f t="shared" si="3"/>
        <v>233105.5883872727</v>
      </c>
      <c r="U13" s="636">
        <f t="shared" si="3"/>
        <v>235982.03324984311</v>
      </c>
      <c r="V13" s="636">
        <f t="shared" si="3"/>
        <v>238881.39089684997</v>
      </c>
      <c r="W13" s="636">
        <f t="shared" si="3"/>
        <v>241803.5771074834</v>
      </c>
      <c r="X13" s="636">
        <f t="shared" si="3"/>
        <v>244748.49926183285</v>
      </c>
      <c r="Y13" s="636">
        <f t="shared" si="3"/>
        <v>245816.37233414361</v>
      </c>
      <c r="Z13" s="636">
        <f t="shared" si="3"/>
        <v>246844.20677313881</v>
      </c>
      <c r="AA13" s="636">
        <f t="shared" si="3"/>
        <v>247830.74992952473</v>
      </c>
      <c r="AB13" s="636">
        <f t="shared" si="3"/>
        <v>248774.73394504812</v>
      </c>
      <c r="AC13" s="636">
        <f t="shared" si="3"/>
        <v>249674.87601435179</v>
      </c>
      <c r="AD13" s="636">
        <f t="shared" si="3"/>
        <v>250529.87866973551</v>
      </c>
      <c r="AE13" s="636">
        <f t="shared" si="3"/>
        <v>251338.43008973208</v>
      </c>
      <c r="AF13" s="636">
        <f t="shared" si="3"/>
        <v>252099.20443243562</v>
      </c>
      <c r="AG13" s="636">
        <f t="shared" si="3"/>
        <v>252810.86219454973</v>
      </c>
      <c r="AH13" s="636">
        <f t="shared" si="3"/>
        <v>253472.05059715227</v>
      </c>
    </row>
    <row r="14" spans="1:36">
      <c r="A14" s="1" t="s">
        <v>399</v>
      </c>
      <c r="B14" s="1" t="s">
        <v>174</v>
      </c>
      <c r="C14" s="51" t="s">
        <v>166</v>
      </c>
      <c r="D14" s="101">
        <f>'R&amp;S - Packaging and hh goods'!I4</f>
        <v>435529.06307600881</v>
      </c>
      <c r="E14" s="101">
        <f>D14*(1+'R&amp;S - Packaging and hh goods'!$B$5)</f>
        <v>435529.06307600881</v>
      </c>
      <c r="F14" s="101">
        <f>E14*(1+'R&amp;S - Packaging and hh goods'!$B$5)</f>
        <v>435529.06307600881</v>
      </c>
      <c r="G14" s="101">
        <f>F14*(1+'R&amp;S - Packaging and hh goods'!$B$5)</f>
        <v>435529.06307600881</v>
      </c>
      <c r="H14" s="101">
        <f>G14*(1+'R&amp;S - Packaging and hh goods'!$B$5)</f>
        <v>435529.06307600881</v>
      </c>
      <c r="I14" s="101">
        <f>H14*(1+'R&amp;S - Packaging and hh goods'!$B$5)</f>
        <v>435529.06307600881</v>
      </c>
      <c r="J14" s="101">
        <f>I14*(1+'R&amp;S - Packaging and hh goods'!$B$5)</f>
        <v>435529.06307600881</v>
      </c>
      <c r="K14" s="101">
        <f>J14*(1+'R&amp;S - Packaging and hh goods'!$B$5)</f>
        <v>435529.06307600881</v>
      </c>
      <c r="L14" s="101">
        <f>K14*(1+'R&amp;S - Packaging and hh goods'!$B$5)</f>
        <v>435529.06307600881</v>
      </c>
      <c r="M14" s="101">
        <f>L14*(1+'R&amp;S - Packaging and hh goods'!$B$5)</f>
        <v>435529.06307600881</v>
      </c>
      <c r="N14" s="101">
        <f>M14*(1+'R&amp;S - Packaging and hh goods'!$B$5)</f>
        <v>435529.06307600881</v>
      </c>
      <c r="O14" s="101">
        <f>N14*(1+'R&amp;S - Packaging and hh goods'!$B$5)</f>
        <v>435529.06307600881</v>
      </c>
      <c r="P14" s="101">
        <f>O14*(1+'R&amp;S - Packaging and hh goods'!$B$5)</f>
        <v>435529.06307600881</v>
      </c>
      <c r="Q14" s="101">
        <f>P14*(1+'R&amp;S - Packaging and hh goods'!$B$5)</f>
        <v>435529.06307600881</v>
      </c>
      <c r="R14" s="101">
        <f>Q14*(1+'R&amp;S - Packaging and hh goods'!$B$5)</f>
        <v>435529.06307600881</v>
      </c>
      <c r="S14" s="101">
        <f>R14*(1+'R&amp;S - Packaging and hh goods'!$B$5)</f>
        <v>435529.06307600881</v>
      </c>
      <c r="T14" s="101">
        <f>S14*(1+'R&amp;S - Packaging and hh goods'!$B$5)</f>
        <v>435529.06307600881</v>
      </c>
      <c r="U14" s="101">
        <f>T14*(1+'R&amp;S - Packaging and hh goods'!$B$5)</f>
        <v>435529.06307600881</v>
      </c>
      <c r="V14" s="101">
        <f>U14*(1+'R&amp;S - Packaging and hh goods'!$B$5)</f>
        <v>435529.06307600881</v>
      </c>
      <c r="W14" s="101">
        <f>V14*(1+'R&amp;S - Packaging and hh goods'!$B$5)</f>
        <v>435529.06307600881</v>
      </c>
      <c r="X14" s="101">
        <f>W14*(1+'R&amp;S - Packaging and hh goods'!$B$5)</f>
        <v>435529.06307600881</v>
      </c>
      <c r="Y14" s="101">
        <f>X14*(1+'R&amp;S - Packaging and hh goods'!$B$5)</f>
        <v>435529.06307600881</v>
      </c>
      <c r="Z14" s="101">
        <f>Y14*(1+'R&amp;S - Packaging and hh goods'!$B$5)</f>
        <v>435529.06307600881</v>
      </c>
      <c r="AA14" s="101">
        <f>Z14*(1+'R&amp;S - Packaging and hh goods'!$B$5)</f>
        <v>435529.06307600881</v>
      </c>
      <c r="AB14" s="101">
        <f>AA14*(1+'R&amp;S - Packaging and hh goods'!$B$5)</f>
        <v>435529.06307600881</v>
      </c>
      <c r="AC14" s="101">
        <f>AB14*(1+'R&amp;S - Packaging and hh goods'!$B$5)</f>
        <v>435529.06307600881</v>
      </c>
      <c r="AD14" s="101">
        <f>AC14*(1+'R&amp;S - Packaging and hh goods'!$B$5)</f>
        <v>435529.06307600881</v>
      </c>
      <c r="AE14" s="101">
        <f>AD14*(1+'R&amp;S - Packaging and hh goods'!$B$5)</f>
        <v>435529.06307600881</v>
      </c>
      <c r="AF14" s="101">
        <f>AE14*(1+'R&amp;S - Packaging and hh goods'!$B$5)</f>
        <v>435529.06307600881</v>
      </c>
      <c r="AG14" s="101">
        <f>AF14*(1+'R&amp;S - Packaging and hh goods'!$B$5)</f>
        <v>435529.06307600881</v>
      </c>
      <c r="AH14" s="101">
        <f>AG14*(1+'R&amp;S - Packaging and hh goods'!$B$5)</f>
        <v>435529.06307600881</v>
      </c>
    </row>
    <row r="15" spans="1:36" outlineLevel="1">
      <c r="B15" s="58" t="s">
        <v>146</v>
      </c>
      <c r="C15" s="51" t="s">
        <v>166</v>
      </c>
      <c r="D15" s="196">
        <v>0</v>
      </c>
      <c r="E15" s="196">
        <f>E14*'R&amp;S - Packaging and hh goods'!$B$7*('R&amp;S - Packaging and hh goods'!$D$15*'R&amp;S - Packaging and hh goods'!$P$19*('Yearly LC Propylene'!E$3-'Yearly LC Propylene'!$D$3)/10)</f>
        <v>123.74687269178639</v>
      </c>
      <c r="F15" s="196">
        <f>F14*'R&amp;S - Packaging and hh goods'!$B$7*('R&amp;S - Packaging and hh goods'!$D$15*'R&amp;S - Packaging and hh goods'!$P$19*('Yearly LC Propylene'!F$3-'Yearly LC Propylene'!$D$3)/10)</f>
        <v>247.49374538357279</v>
      </c>
      <c r="G15" s="196">
        <f>G14*'R&amp;S - Packaging and hh goods'!$B$7*('R&amp;S - Packaging and hh goods'!$D$15*'R&amp;S - Packaging and hh goods'!$P$19*('Yearly LC Propylene'!G$3-'Yearly LC Propylene'!$D$3)/10)</f>
        <v>371.24061807535912</v>
      </c>
      <c r="H15" s="196">
        <f>H14*'R&amp;S - Packaging and hh goods'!$B$7*('R&amp;S - Packaging and hh goods'!$D$15*'R&amp;S - Packaging and hh goods'!$P$19*('Yearly LC Propylene'!H$3-'Yearly LC Propylene'!$D$3)/10)</f>
        <v>494.98749076714557</v>
      </c>
      <c r="I15" s="196">
        <f>I14*'R&amp;S - Packaging and hh goods'!$B$7*('R&amp;S - Packaging and hh goods'!$D$15*'R&amp;S - Packaging and hh goods'!$P$19*('Yearly LC Propylene'!I$3-'Yearly LC Propylene'!$D$3)/10)</f>
        <v>618.73436345893197</v>
      </c>
      <c r="J15" s="196">
        <f>J14*'R&amp;S - Packaging and hh goods'!$B$7*('R&amp;S - Packaging and hh goods'!$D$15*'R&amp;S - Packaging and hh goods'!$P$19*('Yearly LC Propylene'!J$3-'Yearly LC Propylene'!$D$3)/10)</f>
        <v>742.48123615071825</v>
      </c>
      <c r="K15" s="196">
        <f>K14*'R&amp;S - Packaging and hh goods'!$B$7*('R&amp;S - Packaging and hh goods'!$D$15*'R&amp;S - Packaging and hh goods'!$P$19*('Yearly LC Propylene'!K$3-'Yearly LC Propylene'!$D$3)/10)</f>
        <v>866.22810884250464</v>
      </c>
      <c r="L15" s="196">
        <f>L14*'R&amp;S - Packaging and hh goods'!$B$7*('R&amp;S - Packaging and hh goods'!$D$15*'R&amp;S - Packaging and hh goods'!$P$19*('Yearly LC Propylene'!L$3-'Yearly LC Propylene'!$D$3)/10)</f>
        <v>989.97498153429115</v>
      </c>
      <c r="M15" s="196">
        <f>M14*'R&amp;S - Packaging and hh goods'!$B$7*('R&amp;S - Packaging and hh goods'!$D$15*'R&amp;S - Packaging and hh goods'!$P$19*('Yearly LC Propylene'!M$3-'Yearly LC Propylene'!$D$3)/10)</f>
        <v>1113.7218542260775</v>
      </c>
      <c r="N15" s="196">
        <f>N14*'R&amp;S - Packaging and hh goods'!$B$7*('R&amp;S - Packaging and hh goods'!$D$15*'R&amp;S - Packaging and hh goods'!$P$19*('Yearly LC Propylene'!N$3-'Yearly LC Propylene'!$D$3)/10)</f>
        <v>1237.4687269178639</v>
      </c>
      <c r="O15" s="196">
        <f>O14*'R&amp;S - Packaging and hh goods'!$B$7*('R&amp;S - Packaging and hh goods'!$D$15*('R&amp;S - Packaging and hh goods'!$P$19+('R&amp;S - Packaging and hh goods'!$P$20-'R&amp;S - Packaging and hh goods'!$P$19)*('Yearly LC Propylene'!O$3-'Yearly LC Propylene'!$N$3)/10))</f>
        <v>1869.9527428981055</v>
      </c>
      <c r="P15" s="196">
        <f>P14*'R&amp;S - Packaging and hh goods'!$B$7*('R&amp;S - Packaging and hh goods'!$D$15*('R&amp;S - Packaging and hh goods'!$P$19+('R&amp;S - Packaging and hh goods'!$P$20-'R&amp;S - Packaging and hh goods'!$P$19)*('Yearly LC Propylene'!P$3-'Yearly LC Propylene'!$N$3)/10))</f>
        <v>2502.4367588783466</v>
      </c>
      <c r="Q15" s="196">
        <f>Q14*'R&amp;S - Packaging and hh goods'!$B$7*('R&amp;S - Packaging and hh goods'!$D$15*('R&amp;S - Packaging and hh goods'!$P$19+('R&amp;S - Packaging and hh goods'!$P$20-'R&amp;S - Packaging and hh goods'!$P$19)*('Yearly LC Propylene'!Q$3-'Yearly LC Propylene'!$N$3)/10))</f>
        <v>3134.9207748585886</v>
      </c>
      <c r="R15" s="196">
        <f>R14*'R&amp;S - Packaging and hh goods'!$B$7*('R&amp;S - Packaging and hh goods'!$D$15*('R&amp;S - Packaging and hh goods'!$P$19+('R&amp;S - Packaging and hh goods'!$P$20-'R&amp;S - Packaging and hh goods'!$P$19)*('Yearly LC Propylene'!R$3-'Yearly LC Propylene'!$N$3)/10))</f>
        <v>3767.4047908388306</v>
      </c>
      <c r="S15" s="196">
        <f>S14*'R&amp;S - Packaging and hh goods'!$B$7*('R&amp;S - Packaging and hh goods'!$D$15*('R&amp;S - Packaging and hh goods'!$P$19+('R&amp;S - Packaging and hh goods'!$P$20-'R&amp;S - Packaging and hh goods'!$P$19)*('Yearly LC Propylene'!S$3-'Yearly LC Propylene'!$N$3)/10))</f>
        <v>4399.8888068190727</v>
      </c>
      <c r="T15" s="196">
        <f>T14*'R&amp;S - Packaging and hh goods'!$B$7*('R&amp;S - Packaging and hh goods'!$D$15*('R&amp;S - Packaging and hh goods'!$P$19+('R&amp;S - Packaging and hh goods'!$P$20-'R&amp;S - Packaging and hh goods'!$P$19)*('Yearly LC Propylene'!T$3-'Yearly LC Propylene'!$N$3)/10))</f>
        <v>5032.3728227993142</v>
      </c>
      <c r="U15" s="196">
        <f>U14*'R&amp;S - Packaging and hh goods'!$B$7*('R&amp;S - Packaging and hh goods'!$D$15*('R&amp;S - Packaging and hh goods'!$P$19+('R&amp;S - Packaging and hh goods'!$P$20-'R&amp;S - Packaging and hh goods'!$P$19)*('Yearly LC Propylene'!U$3-'Yearly LC Propylene'!$N$3)/10))</f>
        <v>5664.8568387795549</v>
      </c>
      <c r="V15" s="196">
        <f>V14*'R&amp;S - Packaging and hh goods'!$B$7*('R&amp;S - Packaging and hh goods'!$D$15*('R&amp;S - Packaging and hh goods'!$P$19+('R&amp;S - Packaging and hh goods'!$P$20-'R&amp;S - Packaging and hh goods'!$P$19)*('Yearly LC Propylene'!V$3-'Yearly LC Propylene'!$N$3)/10))</f>
        <v>6297.3408547597974</v>
      </c>
      <c r="W15" s="196">
        <f>W14*'R&amp;S - Packaging and hh goods'!$B$7*('R&amp;S - Packaging and hh goods'!$D$15*('R&amp;S - Packaging and hh goods'!$P$19+('R&amp;S - Packaging and hh goods'!$P$20-'R&amp;S - Packaging and hh goods'!$P$19)*('Yearly LC Propylene'!W$3-'Yearly LC Propylene'!$N$3)/10))</f>
        <v>6929.824870740038</v>
      </c>
      <c r="X15" s="196">
        <f>X14*'R&amp;S - Packaging and hh goods'!$B$7*('R&amp;S - Packaging and hh goods'!$D$15*('R&amp;S - Packaging and hh goods'!$P$19+('R&amp;S - Packaging and hh goods'!$P$20-'R&amp;S - Packaging and hh goods'!$P$19)*('Yearly LC Propylene'!X$3-'Yearly LC Propylene'!$N$3)/10))</f>
        <v>7562.3088867202796</v>
      </c>
      <c r="Y15" s="196">
        <f>Y14*'R&amp;S - Packaging and hh goods'!$B$7*('R&amp;S - Packaging and hh goods'!$D$15*('R&amp;S - Packaging and hh goods'!$P$20+('R&amp;S - Packaging and hh goods'!$P$21-'R&amp;S - Packaging and hh goods'!$P$20)*('Yearly LC Propylene'!Y$3-'Yearly LC Propylene'!$X$3)/10))</f>
        <v>8181.043250179212</v>
      </c>
      <c r="Z15" s="196">
        <f>Z14*'R&amp;S - Packaging and hh goods'!$B$7*('R&amp;S - Packaging and hh goods'!$D$15*('R&amp;S - Packaging and hh goods'!$P$20+('R&amp;S - Packaging and hh goods'!$P$21-'R&amp;S - Packaging and hh goods'!$P$20)*('Yearly LC Propylene'!Z$3-'Yearly LC Propylene'!$X$3)/10))</f>
        <v>8799.7776136381435</v>
      </c>
      <c r="AA15" s="196">
        <f>AA14*'R&amp;S - Packaging and hh goods'!$B$7*('R&amp;S - Packaging and hh goods'!$D$15*('R&amp;S - Packaging and hh goods'!$P$20+('R&amp;S - Packaging and hh goods'!$P$21-'R&amp;S - Packaging and hh goods'!$P$20)*('Yearly LC Propylene'!AA$3-'Yearly LC Propylene'!$X$3)/10))</f>
        <v>9418.5119770970759</v>
      </c>
      <c r="AB15" s="196">
        <f>AB14*'R&amp;S - Packaging and hh goods'!$B$7*('R&amp;S - Packaging and hh goods'!$D$15*('R&amp;S - Packaging and hh goods'!$P$20+('R&amp;S - Packaging and hh goods'!$P$21-'R&amp;S - Packaging and hh goods'!$P$20)*('Yearly LC Propylene'!AB$3-'Yearly LC Propylene'!$X$3)/10))</f>
        <v>10037.246340556008</v>
      </c>
      <c r="AC15" s="196">
        <f>AC14*'R&amp;S - Packaging and hh goods'!$B$7*('R&amp;S - Packaging and hh goods'!$D$15*('R&amp;S - Packaging and hh goods'!$P$20+('R&amp;S - Packaging and hh goods'!$P$21-'R&amp;S - Packaging and hh goods'!$P$20)*('Yearly LC Propylene'!AC$3-'Yearly LC Propylene'!$X$3)/10))</f>
        <v>10655.980704014939</v>
      </c>
      <c r="AD15" s="196">
        <f>AD14*'R&amp;S - Packaging and hh goods'!$B$7*('R&amp;S - Packaging and hh goods'!$D$15*('R&amp;S - Packaging and hh goods'!$P$20+('R&amp;S - Packaging and hh goods'!$P$21-'R&amp;S - Packaging and hh goods'!$P$20)*('Yearly LC Propylene'!AD$3-'Yearly LC Propylene'!$X$3)/10))</f>
        <v>11274.715067473871</v>
      </c>
      <c r="AE15" s="196">
        <f>AE14*'R&amp;S - Packaging and hh goods'!$B$7*('R&amp;S - Packaging and hh goods'!$D$15*('R&amp;S - Packaging and hh goods'!$P$20+('R&amp;S - Packaging and hh goods'!$P$21-'R&amp;S - Packaging and hh goods'!$P$20)*('Yearly LC Propylene'!AE$3-'Yearly LC Propylene'!$X$3)/10))</f>
        <v>11893.449430932804</v>
      </c>
      <c r="AF15" s="196">
        <f>AF14*'R&amp;S - Packaging and hh goods'!$B$7*('R&amp;S - Packaging and hh goods'!$D$15*('R&amp;S - Packaging and hh goods'!$P$20+('R&amp;S - Packaging and hh goods'!$P$21-'R&amp;S - Packaging and hh goods'!$P$20)*('Yearly LC Propylene'!AF$3-'Yearly LC Propylene'!$X$3)/10))</f>
        <v>12512.183794391734</v>
      </c>
      <c r="AG15" s="196">
        <f>AG14*'R&amp;S - Packaging and hh goods'!$B$7*('R&amp;S - Packaging and hh goods'!$D$15*('R&amp;S - Packaging and hh goods'!$P$20+('R&amp;S - Packaging and hh goods'!$P$21-'R&amp;S - Packaging and hh goods'!$P$20)*('Yearly LC Propylene'!AG$3-'Yearly LC Propylene'!$X$3)/10))</f>
        <v>13130.918157850667</v>
      </c>
      <c r="AH15" s="196">
        <f>AH14*'R&amp;S - Packaging and hh goods'!$B$7*('R&amp;S - Packaging and hh goods'!$D$15*('R&amp;S - Packaging and hh goods'!$P$20+('R&amp;S - Packaging and hh goods'!$P$21-'R&amp;S - Packaging and hh goods'!$P$20)*('Yearly LC Propylene'!AH$3-'Yearly LC Propylene'!$X$3)/10))</f>
        <v>13749.652521309599</v>
      </c>
    </row>
    <row r="16" spans="1:36" outlineLevel="1">
      <c r="B16" s="58" t="s">
        <v>188</v>
      </c>
      <c r="C16" s="51" t="s">
        <v>166</v>
      </c>
      <c r="D16" s="196">
        <v>0</v>
      </c>
      <c r="E16" s="196">
        <f>E14*'R&amp;S - Packaging and hh goods'!$B$8*('R&amp;S - Packaging and hh goods'!$D$15*'R&amp;S - Packaging and hh goods'!$Q$19*('Yearly LC Propylene'!E$3-'Yearly LC Propylene'!$D$3)/10)</f>
        <v>981.92640444864639</v>
      </c>
      <c r="F16" s="196">
        <f>F14*'R&amp;S - Packaging and hh goods'!$B$8*('R&amp;S - Packaging and hh goods'!$D$15*'R&amp;S - Packaging and hh goods'!$Q$19*('Yearly LC Propylene'!F$3-'Yearly LC Propylene'!$D$3)/10)</f>
        <v>1963.8528088972928</v>
      </c>
      <c r="G16" s="196">
        <f>G14*'R&amp;S - Packaging and hh goods'!$B$8*('R&amp;S - Packaging and hh goods'!$D$15*'R&amp;S - Packaging and hh goods'!$Q$19*('Yearly LC Propylene'!G$3-'Yearly LC Propylene'!$D$3)/10)</f>
        <v>2945.7792133459393</v>
      </c>
      <c r="H16" s="196">
        <f>H14*'R&amp;S - Packaging and hh goods'!$B$8*('R&amp;S - Packaging and hh goods'!$D$15*'R&amp;S - Packaging and hh goods'!$Q$19*('Yearly LC Propylene'!H$3-'Yearly LC Propylene'!$D$3)/10)</f>
        <v>3927.7056177945856</v>
      </c>
      <c r="I16" s="196">
        <f>I14*'R&amp;S - Packaging and hh goods'!$B$8*('R&amp;S - Packaging and hh goods'!$D$15*'R&amp;S - Packaging and hh goods'!$Q$19*('Yearly LC Propylene'!I$3-'Yearly LC Propylene'!$D$3)/10)</f>
        <v>4909.6320222432323</v>
      </c>
      <c r="J16" s="196">
        <f>J14*'R&amp;S - Packaging and hh goods'!$B$8*('R&amp;S - Packaging and hh goods'!$D$15*'R&amp;S - Packaging and hh goods'!$Q$19*('Yearly LC Propylene'!J$3-'Yearly LC Propylene'!$D$3)/10)</f>
        <v>5891.5584266918786</v>
      </c>
      <c r="K16" s="196">
        <f>K14*'R&amp;S - Packaging and hh goods'!$B$8*('R&amp;S - Packaging and hh goods'!$D$15*'R&amp;S - Packaging and hh goods'!$Q$19*('Yearly LC Propylene'!K$3-'Yearly LC Propylene'!$D$3)/10)</f>
        <v>6873.484831140524</v>
      </c>
      <c r="L16" s="196">
        <f>L14*'R&amp;S - Packaging and hh goods'!$B$8*('R&amp;S - Packaging and hh goods'!$D$15*'R&amp;S - Packaging and hh goods'!$Q$19*('Yearly LC Propylene'!L$3-'Yearly LC Propylene'!$D$3)/10)</f>
        <v>7855.4112355891712</v>
      </c>
      <c r="M16" s="196">
        <f>M14*'R&amp;S - Packaging and hh goods'!$B$8*('R&amp;S - Packaging and hh goods'!$D$15*'R&amp;S - Packaging and hh goods'!$Q$19*('Yearly LC Propylene'!M$3-'Yearly LC Propylene'!$D$3)/10)</f>
        <v>8837.3376400378183</v>
      </c>
      <c r="N16" s="196">
        <f>N14*'R&amp;S - Packaging and hh goods'!$B$8*('R&amp;S - Packaging and hh goods'!$D$15*'R&amp;S - Packaging and hh goods'!$Q$19*('Yearly LC Propylene'!N$3-'Yearly LC Propylene'!$D$3)/10)</f>
        <v>9819.2640444864646</v>
      </c>
      <c r="O16" s="196">
        <f>O14*'R&amp;S - Packaging and hh goods'!$B$8*('R&amp;S - Packaging and hh goods'!$D$15*('R&amp;S - Packaging and hh goods'!$Q$19+('R&amp;S - Packaging and hh goods'!$Q$20-'R&amp;S - Packaging and hh goods'!$Q$19)*('Yearly LC Propylene'!O$3-'Yearly LC Propylene'!$N$3)/10))</f>
        <v>11373.980851530152</v>
      </c>
      <c r="P16" s="196">
        <f>P14*'R&amp;S - Packaging and hh goods'!$B$8*('R&amp;S - Packaging and hh goods'!$D$15*('R&amp;S - Packaging and hh goods'!$Q$19+('R&amp;S - Packaging and hh goods'!$Q$20-'R&amp;S - Packaging and hh goods'!$Q$19)*('Yearly LC Propylene'!P$3-'Yearly LC Propylene'!$N$3)/10))</f>
        <v>12928.697658573845</v>
      </c>
      <c r="Q16" s="196">
        <f>Q14*'R&amp;S - Packaging and hh goods'!$B$8*('R&amp;S - Packaging and hh goods'!$D$15*('R&amp;S - Packaging and hh goods'!$Q$19+('R&amp;S - Packaging and hh goods'!$Q$20-'R&amp;S - Packaging and hh goods'!$Q$19)*('Yearly LC Propylene'!Q$3-'Yearly LC Propylene'!$N$3)/10))</f>
        <v>14483.414465617534</v>
      </c>
      <c r="R16" s="196">
        <f>R14*'R&amp;S - Packaging and hh goods'!$B$8*('R&amp;S - Packaging and hh goods'!$D$15*('R&amp;S - Packaging and hh goods'!$Q$19+('R&amp;S - Packaging and hh goods'!$Q$20-'R&amp;S - Packaging and hh goods'!$Q$19)*('Yearly LC Propylene'!R$3-'Yearly LC Propylene'!$N$3)/10))</f>
        <v>16038.131272661225</v>
      </c>
      <c r="S16" s="196">
        <f>S14*'R&amp;S - Packaging and hh goods'!$B$8*('R&amp;S - Packaging and hh goods'!$D$15*('R&amp;S - Packaging and hh goods'!$Q$19+('R&amp;S - Packaging and hh goods'!$Q$20-'R&amp;S - Packaging and hh goods'!$Q$19)*('Yearly LC Propylene'!S$3-'Yearly LC Propylene'!$N$3)/10))</f>
        <v>17592.848079704916</v>
      </c>
      <c r="T16" s="196">
        <f>T14*'R&amp;S - Packaging and hh goods'!$B$8*('R&amp;S - Packaging and hh goods'!$D$15*('R&amp;S - Packaging and hh goods'!$Q$19+('R&amp;S - Packaging and hh goods'!$Q$20-'R&amp;S - Packaging and hh goods'!$Q$19)*('Yearly LC Propylene'!T$3-'Yearly LC Propylene'!$N$3)/10))</f>
        <v>19147.564886748605</v>
      </c>
      <c r="U16" s="196">
        <f>U14*'R&amp;S - Packaging and hh goods'!$B$8*('R&amp;S - Packaging and hh goods'!$D$15*('R&amp;S - Packaging and hh goods'!$Q$19+('R&amp;S - Packaging and hh goods'!$Q$20-'R&amp;S - Packaging and hh goods'!$Q$19)*('Yearly LC Propylene'!U$3-'Yearly LC Propylene'!$N$3)/10))</f>
        <v>20702.281693792298</v>
      </c>
      <c r="V16" s="196">
        <f>V14*'R&amp;S - Packaging and hh goods'!$B$8*('R&amp;S - Packaging and hh goods'!$D$15*('R&amp;S - Packaging and hh goods'!$Q$19+('R&amp;S - Packaging and hh goods'!$Q$20-'R&amp;S - Packaging and hh goods'!$Q$19)*('Yearly LC Propylene'!V$3-'Yearly LC Propylene'!$N$3)/10))</f>
        <v>22256.998500835987</v>
      </c>
      <c r="W16" s="196">
        <f>W14*'R&amp;S - Packaging and hh goods'!$B$8*('R&amp;S - Packaging and hh goods'!$D$15*('R&amp;S - Packaging and hh goods'!$Q$19+('R&amp;S - Packaging and hh goods'!$Q$20-'R&amp;S - Packaging and hh goods'!$Q$19)*('Yearly LC Propylene'!W$3-'Yearly LC Propylene'!$N$3)/10))</f>
        <v>23811.715307879676</v>
      </c>
      <c r="X16" s="196">
        <f>X14*'R&amp;S - Packaging and hh goods'!$B$8*('R&amp;S - Packaging and hh goods'!$D$15*('R&amp;S - Packaging and hh goods'!$Q$19+('R&amp;S - Packaging and hh goods'!$Q$20-'R&amp;S - Packaging and hh goods'!$Q$19)*('Yearly LC Propylene'!X$3-'Yearly LC Propylene'!$N$3)/10))</f>
        <v>25366.432114923366</v>
      </c>
      <c r="Y16" s="196">
        <f>Y14*'R&amp;S - Packaging and hh goods'!$B$8*('R&amp;S - Packaging and hh goods'!$D$15*('R&amp;S - Packaging and hh goods'!$Q$20+('R&amp;S - Packaging and hh goods'!$Q$21-'R&amp;S - Packaging and hh goods'!$Q$20)*('Yearly LC Propylene'!Y$3-'Yearly LC Propylene'!$X$3)/10))</f>
        <v>26921.148921967055</v>
      </c>
      <c r="Z16" s="196">
        <f>Z14*'R&amp;S - Packaging and hh goods'!$B$8*('R&amp;S - Packaging and hh goods'!$D$15*('R&amp;S - Packaging and hh goods'!$Q$20+('R&amp;S - Packaging and hh goods'!$Q$21-'R&amp;S - Packaging and hh goods'!$Q$20)*('Yearly LC Propylene'!Z$3-'Yearly LC Propylene'!$X$3)/10))</f>
        <v>28475.865729010744</v>
      </c>
      <c r="AA16" s="196">
        <f>AA14*'R&amp;S - Packaging and hh goods'!$B$8*('R&amp;S - Packaging and hh goods'!$D$15*('R&amp;S - Packaging and hh goods'!$Q$20+('R&amp;S - Packaging and hh goods'!$Q$21-'R&amp;S - Packaging and hh goods'!$Q$20)*('Yearly LC Propylene'!AA$3-'Yearly LC Propylene'!$X$3)/10))</f>
        <v>30030.582536054437</v>
      </c>
      <c r="AB16" s="196">
        <f>AB14*'R&amp;S - Packaging and hh goods'!$B$8*('R&amp;S - Packaging and hh goods'!$D$15*('R&amp;S - Packaging and hh goods'!$Q$20+('R&amp;S - Packaging and hh goods'!$Q$21-'R&amp;S - Packaging and hh goods'!$Q$20)*('Yearly LC Propylene'!AB$3-'Yearly LC Propylene'!$X$3)/10))</f>
        <v>31585.29934309813</v>
      </c>
      <c r="AC16" s="196">
        <f>AC14*'R&amp;S - Packaging and hh goods'!$B$8*('R&amp;S - Packaging and hh goods'!$D$15*('R&amp;S - Packaging and hh goods'!$Q$20+('R&amp;S - Packaging and hh goods'!$Q$21-'R&amp;S - Packaging and hh goods'!$Q$20)*('Yearly LC Propylene'!AC$3-'Yearly LC Propylene'!$X$3)/10))</f>
        <v>33140.016150141819</v>
      </c>
      <c r="AD16" s="196">
        <f>AD14*'R&amp;S - Packaging and hh goods'!$B$8*('R&amp;S - Packaging and hh goods'!$D$15*('R&amp;S - Packaging and hh goods'!$Q$20+('R&amp;S - Packaging and hh goods'!$Q$21-'R&amp;S - Packaging and hh goods'!$Q$20)*('Yearly LC Propylene'!AD$3-'Yearly LC Propylene'!$X$3)/10))</f>
        <v>34694.732957185515</v>
      </c>
      <c r="AE16" s="196">
        <f>AE14*'R&amp;S - Packaging and hh goods'!$B$8*('R&amp;S - Packaging and hh goods'!$D$15*('R&amp;S - Packaging and hh goods'!$Q$20+('R&amp;S - Packaging and hh goods'!$Q$21-'R&amp;S - Packaging and hh goods'!$Q$20)*('Yearly LC Propylene'!AE$3-'Yearly LC Propylene'!$X$3)/10))</f>
        <v>36249.449764229197</v>
      </c>
      <c r="AF16" s="196">
        <f>AF14*'R&amp;S - Packaging and hh goods'!$B$8*('R&amp;S - Packaging and hh goods'!$D$15*('R&amp;S - Packaging and hh goods'!$Q$20+('R&amp;S - Packaging and hh goods'!$Q$21-'R&amp;S - Packaging and hh goods'!$Q$20)*('Yearly LC Propylene'!AF$3-'Yearly LC Propylene'!$X$3)/10))</f>
        <v>37804.166571272886</v>
      </c>
      <c r="AG16" s="196">
        <f>AG14*'R&amp;S - Packaging and hh goods'!$B$8*('R&amp;S - Packaging and hh goods'!$D$15*('R&amp;S - Packaging and hh goods'!$Q$20+('R&amp;S - Packaging and hh goods'!$Q$21-'R&amp;S - Packaging and hh goods'!$Q$20)*('Yearly LC Propylene'!AG$3-'Yearly LC Propylene'!$X$3)/10))</f>
        <v>39358.883378316576</v>
      </c>
      <c r="AH16" s="196">
        <f>AH14*'R&amp;S - Packaging and hh goods'!$B$8*('R&amp;S - Packaging and hh goods'!$D$15*('R&amp;S - Packaging and hh goods'!$Q$20+('R&amp;S - Packaging and hh goods'!$Q$21-'R&amp;S - Packaging and hh goods'!$Q$20)*('Yearly LC Propylene'!AH$3-'Yearly LC Propylene'!$X$3)/10))</f>
        <v>40913.600185360272</v>
      </c>
    </row>
    <row r="17" spans="1:34" outlineLevel="1">
      <c r="B17" s="1" t="s">
        <v>164</v>
      </c>
      <c r="C17" s="51" t="s">
        <v>166</v>
      </c>
      <c r="D17" s="101">
        <f>SUM(D15:D16)</f>
        <v>0</v>
      </c>
      <c r="E17" s="101">
        <f t="shared" ref="E17:AH17" si="4">SUM(E15:E16)</f>
        <v>1105.6732771404327</v>
      </c>
      <c r="F17" s="101">
        <f t="shared" si="4"/>
        <v>2211.3465542808653</v>
      </c>
      <c r="G17" s="101">
        <f t="shared" si="4"/>
        <v>3317.0198314212985</v>
      </c>
      <c r="H17" s="101">
        <f t="shared" si="4"/>
        <v>4422.6931085617307</v>
      </c>
      <c r="I17" s="101">
        <f t="shared" si="4"/>
        <v>5528.3663857021638</v>
      </c>
      <c r="J17" s="101">
        <f t="shared" si="4"/>
        <v>6634.039662842597</v>
      </c>
      <c r="K17" s="101">
        <f t="shared" si="4"/>
        <v>7739.7129399830283</v>
      </c>
      <c r="L17" s="101">
        <f t="shared" si="4"/>
        <v>8845.3862171234614</v>
      </c>
      <c r="M17" s="101">
        <f t="shared" si="4"/>
        <v>9951.0594942638963</v>
      </c>
      <c r="N17" s="101">
        <f t="shared" si="4"/>
        <v>11056.732771404328</v>
      </c>
      <c r="O17" s="101">
        <f t="shared" si="4"/>
        <v>13243.933594428257</v>
      </c>
      <c r="P17" s="101">
        <f t="shared" si="4"/>
        <v>15431.134417452191</v>
      </c>
      <c r="Q17" s="101">
        <f t="shared" si="4"/>
        <v>17618.335240476124</v>
      </c>
      <c r="R17" s="101">
        <f t="shared" si="4"/>
        <v>19805.536063500054</v>
      </c>
      <c r="S17" s="101">
        <f t="shared" si="4"/>
        <v>21992.736886523988</v>
      </c>
      <c r="T17" s="101">
        <f t="shared" si="4"/>
        <v>24179.937709547921</v>
      </c>
      <c r="U17" s="101">
        <f t="shared" si="4"/>
        <v>26367.138532571851</v>
      </c>
      <c r="V17" s="101">
        <f t="shared" si="4"/>
        <v>28554.339355595785</v>
      </c>
      <c r="W17" s="101">
        <f t="shared" si="4"/>
        <v>30741.540178619714</v>
      </c>
      <c r="X17" s="101">
        <f t="shared" si="4"/>
        <v>32928.741001643648</v>
      </c>
      <c r="Y17" s="101">
        <f t="shared" si="4"/>
        <v>35102.192172146264</v>
      </c>
      <c r="Z17" s="101">
        <f t="shared" si="4"/>
        <v>37275.643342648887</v>
      </c>
      <c r="AA17" s="101">
        <f t="shared" si="4"/>
        <v>39449.094513151511</v>
      </c>
      <c r="AB17" s="101">
        <f t="shared" si="4"/>
        <v>41622.545683654142</v>
      </c>
      <c r="AC17" s="101">
        <f t="shared" si="4"/>
        <v>43795.996854156758</v>
      </c>
      <c r="AD17" s="101">
        <f t="shared" si="4"/>
        <v>45969.448024659388</v>
      </c>
      <c r="AE17" s="101">
        <f t="shared" si="4"/>
        <v>48142.899195161997</v>
      </c>
      <c r="AF17" s="101">
        <f t="shared" si="4"/>
        <v>50316.350365664621</v>
      </c>
      <c r="AG17" s="101">
        <f t="shared" si="4"/>
        <v>52489.801536167244</v>
      </c>
      <c r="AH17" s="101">
        <f t="shared" si="4"/>
        <v>54663.252706669868</v>
      </c>
    </row>
    <row r="18" spans="1:34" outlineLevel="1">
      <c r="B18" s="58" t="s">
        <v>189</v>
      </c>
      <c r="C18" s="51" t="s">
        <v>166</v>
      </c>
      <c r="D18" s="196">
        <v>0</v>
      </c>
      <c r="E18" s="196">
        <f>E14*'R&amp;S - Packaging and hh goods'!$B$9*('R&amp;S - Packaging and hh goods'!$E$15*'R&amp;S - Packaging and hh goods'!$R$19*('Yearly LC Propylene'!E$3-'Yearly LC Propylene'!$D$3)/10)</f>
        <v>347.58703465970109</v>
      </c>
      <c r="F18" s="196">
        <f>F14*'R&amp;S - Packaging and hh goods'!$B$9*('R&amp;S - Packaging and hh goods'!$E$15*'R&amp;S - Packaging and hh goods'!$R$19*('Yearly LC Propylene'!F$3-'Yearly LC Propylene'!$D$3)/10)</f>
        <v>695.17406931940218</v>
      </c>
      <c r="G18" s="196">
        <f>G14*'R&amp;S - Packaging and hh goods'!$B$9*('R&amp;S - Packaging and hh goods'!$E$15*'R&amp;S - Packaging and hh goods'!$R$19*('Yearly LC Propylene'!G$3-'Yearly LC Propylene'!$D$3)/10)</f>
        <v>1042.7611039791034</v>
      </c>
      <c r="H18" s="196">
        <f>H14*'R&amp;S - Packaging and hh goods'!$B$9*('R&amp;S - Packaging and hh goods'!$E$15*'R&amp;S - Packaging and hh goods'!$R$19*('Yearly LC Propylene'!H$3-'Yearly LC Propylene'!$D$3)/10)</f>
        <v>1390.3481386388044</v>
      </c>
      <c r="I18" s="196">
        <f>I14*'R&amp;S - Packaging and hh goods'!$B$9*('R&amp;S - Packaging and hh goods'!$E$15*'R&amp;S - Packaging and hh goods'!$R$19*('Yearly LC Propylene'!I$3-'Yearly LC Propylene'!$D$3)/10)</f>
        <v>1737.9351732985053</v>
      </c>
      <c r="J18" s="196">
        <f>J14*'R&amp;S - Packaging and hh goods'!$B$9*('R&amp;S - Packaging and hh goods'!$E$15*'R&amp;S - Packaging and hh goods'!$R$19*('Yearly LC Propylene'!J$3-'Yearly LC Propylene'!$D$3)/10)</f>
        <v>2085.5222079582068</v>
      </c>
      <c r="K18" s="196">
        <f>K14*'R&amp;S - Packaging and hh goods'!$B$9*('R&amp;S - Packaging and hh goods'!$E$15*'R&amp;S - Packaging and hh goods'!$R$19*('Yearly LC Propylene'!K$3-'Yearly LC Propylene'!$D$3)/10)</f>
        <v>2433.1092426179075</v>
      </c>
      <c r="L18" s="196">
        <f>L14*'R&amp;S - Packaging and hh goods'!$B$9*('R&amp;S - Packaging and hh goods'!$E$15*'R&amp;S - Packaging and hh goods'!$R$19*('Yearly LC Propylene'!L$3-'Yearly LC Propylene'!$D$3)/10)</f>
        <v>2780.6962772776087</v>
      </c>
      <c r="M18" s="196">
        <f>M14*'R&amp;S - Packaging and hh goods'!$B$9*('R&amp;S - Packaging and hh goods'!$E$15*'R&amp;S - Packaging and hh goods'!$R$19*('Yearly LC Propylene'!M$3-'Yearly LC Propylene'!$D$3)/10)</f>
        <v>3128.2833119373095</v>
      </c>
      <c r="N18" s="196">
        <f>N14*'R&amp;S - Packaging and hh goods'!$B$9*('R&amp;S - Packaging and hh goods'!$E$15*'R&amp;S - Packaging and hh goods'!$R$19*('Yearly LC Propylene'!N$3-'Yearly LC Propylene'!$D$3)/10)</f>
        <v>3475.8703465970107</v>
      </c>
      <c r="O18" s="196">
        <f>O14*'R&amp;S - Packaging and hh goods'!$B$9*('R&amp;S - Packaging and hh goods'!$E$15*'R&amp;S - Packaging and hh goods'!$R$19*('Yearly LC Propylene'!O$3-'Yearly LC Propylene'!$D$3)/10)</f>
        <v>3823.4573812567119</v>
      </c>
      <c r="P18" s="196">
        <f>P14*'R&amp;S - Packaging and hh goods'!$B$9*('R&amp;S - Packaging and hh goods'!$E$15*'R&amp;S - Packaging and hh goods'!$R$19*('Yearly LC Propylene'!P$3-'Yearly LC Propylene'!$D$3)/10)</f>
        <v>4171.0444159164135</v>
      </c>
      <c r="Q18" s="196">
        <f>Q14*'R&amp;S - Packaging and hh goods'!$B$9*('R&amp;S - Packaging and hh goods'!$E$15*'R&amp;S - Packaging and hh goods'!$R$19*('Yearly LC Propylene'!Q$3-'Yearly LC Propylene'!$D$3)/10)</f>
        <v>4518.6314505761147</v>
      </c>
      <c r="R18" s="196">
        <f>R14*'R&amp;S - Packaging and hh goods'!$B$9*('R&amp;S - Packaging and hh goods'!$E$15*'R&amp;S - Packaging and hh goods'!$R$19*('Yearly LC Propylene'!R$3-'Yearly LC Propylene'!$D$3)/10)</f>
        <v>4866.218485235815</v>
      </c>
      <c r="S18" s="196">
        <f>S14*'R&amp;S - Packaging and hh goods'!$B$9*('R&amp;S - Packaging and hh goods'!$E$15*'R&amp;S - Packaging and hh goods'!$R$19*('Yearly LC Propylene'!S$3-'Yearly LC Propylene'!$D$3)/10)</f>
        <v>5213.8055198955162</v>
      </c>
      <c r="T18" s="196">
        <f>T14*'R&amp;S - Packaging and hh goods'!$B$9*('R&amp;S - Packaging and hh goods'!$E$15*'R&amp;S - Packaging and hh goods'!$R$19*('Yearly LC Propylene'!T$3-'Yearly LC Propylene'!$D$3)/10)</f>
        <v>5561.3925545552174</v>
      </c>
      <c r="U18" s="196">
        <f>U14*'R&amp;S - Packaging and hh goods'!$B$9*('R&amp;S - Packaging and hh goods'!$E$15*'R&amp;S - Packaging and hh goods'!$R$19*('Yearly LC Propylene'!U$3-'Yearly LC Propylene'!$D$3)/10)</f>
        <v>5908.9795892149186</v>
      </c>
      <c r="V18" s="196">
        <f>V14*'R&amp;S - Packaging and hh goods'!$B$9*('R&amp;S - Packaging and hh goods'!$E$15*'R&amp;S - Packaging and hh goods'!$R$19*('Yearly LC Propylene'!V$3-'Yearly LC Propylene'!$D$3)/10)</f>
        <v>6256.5666238746189</v>
      </c>
      <c r="W18" s="196">
        <f>W14*'R&amp;S - Packaging and hh goods'!$B$9*('R&amp;S - Packaging and hh goods'!$E$15*'R&amp;S - Packaging and hh goods'!$R$19*('Yearly LC Propylene'!W$3-'Yearly LC Propylene'!$D$3)/10)</f>
        <v>6604.153658534321</v>
      </c>
      <c r="X18" s="196">
        <f>X14*'R&amp;S - Packaging and hh goods'!$B$9*('R&amp;S - Packaging and hh goods'!$E$15*'R&amp;S - Packaging and hh goods'!$R$19*('Yearly LC Propylene'!X$3-'Yearly LC Propylene'!$D$3)/10)</f>
        <v>6951.7406931940213</v>
      </c>
      <c r="Y18" s="196">
        <f>Y14*'R&amp;S - Packaging and hh goods'!$B$9*('R&amp;S - Packaging and hh goods'!$E$15*('R&amp;S - Packaging and hh goods'!$R$20+('R&amp;S - Packaging and hh goods'!$R$21-'R&amp;S - Packaging and hh goods'!$R$20)*('Yearly LC Propylene'!Y$3-'Yearly LC Propylene'!$X$3)/10))</f>
        <v>8749.6046655717873</v>
      </c>
      <c r="Z18" s="196">
        <f>Z14*'R&amp;S - Packaging and hh goods'!$B$9*('R&amp;S - Packaging and hh goods'!$E$15*('R&amp;S - Packaging and hh goods'!$R$20+('R&amp;S - Packaging and hh goods'!$R$21-'R&amp;S - Packaging and hh goods'!$R$20)*('Yearly LC Propylene'!Z$3-'Yearly LC Propylene'!$X$3)/10))</f>
        <v>9109.1774600473382</v>
      </c>
      <c r="AA18" s="196">
        <f>AA14*'R&amp;S - Packaging and hh goods'!$B$9*('R&amp;S - Packaging and hh goods'!$E$15*('R&amp;S - Packaging and hh goods'!$R$20+('R&amp;S - Packaging and hh goods'!$R$21-'R&amp;S - Packaging and hh goods'!$R$20)*('Yearly LC Propylene'!AA$3-'Yearly LC Propylene'!$X$3)/10))</f>
        <v>9468.7502545228908</v>
      </c>
      <c r="AB18" s="196">
        <f>AB14*'R&amp;S - Packaging and hh goods'!$B$9*('R&amp;S - Packaging and hh goods'!$E$15*('R&amp;S - Packaging and hh goods'!$R$20+('R&amp;S - Packaging and hh goods'!$R$21-'R&amp;S - Packaging and hh goods'!$R$20)*('Yearly LC Propylene'!AB$3-'Yearly LC Propylene'!$X$3)/10))</f>
        <v>9828.3230489984435</v>
      </c>
      <c r="AC18" s="196">
        <f>AC14*'R&amp;S - Packaging and hh goods'!$B$9*('R&amp;S - Packaging and hh goods'!$E$15*('R&amp;S - Packaging and hh goods'!$R$20+('R&amp;S - Packaging and hh goods'!$R$21-'R&amp;S - Packaging and hh goods'!$R$20)*('Yearly LC Propylene'!AC$3-'Yearly LC Propylene'!$X$3)/10))</f>
        <v>10187.895843473998</v>
      </c>
      <c r="AD18" s="196">
        <f>AD14*'R&amp;S - Packaging and hh goods'!$B$9*('R&amp;S - Packaging and hh goods'!$E$15*('R&amp;S - Packaging and hh goods'!$R$20+('R&amp;S - Packaging and hh goods'!$R$21-'R&amp;S - Packaging and hh goods'!$R$20)*('Yearly LC Propylene'!AD$3-'Yearly LC Propylene'!$X$3)/10))</f>
        <v>10547.468637949551</v>
      </c>
      <c r="AE18" s="196">
        <f>AE14*'R&amp;S - Packaging and hh goods'!$B$9*('R&amp;S - Packaging and hh goods'!$E$15*('R&amp;S - Packaging and hh goods'!$R$20+('R&amp;S - Packaging and hh goods'!$R$21-'R&amp;S - Packaging and hh goods'!$R$20)*('Yearly LC Propylene'!AE$3-'Yearly LC Propylene'!$X$3)/10))</f>
        <v>10907.041432425103</v>
      </c>
      <c r="AF18" s="196">
        <f>AF14*'R&amp;S - Packaging and hh goods'!$B$9*('R&amp;S - Packaging and hh goods'!$E$15*('R&amp;S - Packaging and hh goods'!$R$20+('R&amp;S - Packaging and hh goods'!$R$21-'R&amp;S - Packaging and hh goods'!$R$20)*('Yearly LC Propylene'!AF$3-'Yearly LC Propylene'!$X$3)/10))</f>
        <v>11266.614226900656</v>
      </c>
      <c r="AG18" s="196">
        <f>AG14*'R&amp;S - Packaging and hh goods'!$B$9*('R&amp;S - Packaging and hh goods'!$E$15*('R&amp;S - Packaging and hh goods'!$R$20+('R&amp;S - Packaging and hh goods'!$R$21-'R&amp;S - Packaging and hh goods'!$R$20)*('Yearly LC Propylene'!AG$3-'Yearly LC Propylene'!$X$3)/10))</f>
        <v>11626.187021376209</v>
      </c>
      <c r="AH18" s="196">
        <f>AH14*'R&amp;S - Packaging and hh goods'!$B$9*('R&amp;S - Packaging and hh goods'!$E$15*('R&amp;S - Packaging and hh goods'!$R$20+('R&amp;S - Packaging and hh goods'!$R$21-'R&amp;S - Packaging and hh goods'!$R$20)*('Yearly LC Propylene'!AH$3-'Yearly LC Propylene'!$X$3)/10))</f>
        <v>11985.759815851763</v>
      </c>
    </row>
    <row r="19" spans="1:34" outlineLevel="1">
      <c r="B19" s="58" t="s">
        <v>180</v>
      </c>
      <c r="C19" s="51" t="s">
        <v>166</v>
      </c>
      <c r="D19" s="196">
        <v>0</v>
      </c>
      <c r="E19" s="196">
        <f>E14*'R&amp;S - Packaging and hh goods'!$B$10*('R&amp;S - Packaging and hh goods'!$E$15*'R&amp;S - Packaging and hh goods'!$S$19*('Yearly LC Propylene'!E$3-'Yearly LC Propylene'!$D$3)/10)</f>
        <v>304.13865532723844</v>
      </c>
      <c r="F19" s="196">
        <f>F14*'R&amp;S - Packaging and hh goods'!$B$10*('R&amp;S - Packaging and hh goods'!$E$15*'R&amp;S - Packaging and hh goods'!$S$19*('Yearly LC Propylene'!F$3-'Yearly LC Propylene'!$D$3)/10)</f>
        <v>608.27731065447688</v>
      </c>
      <c r="G19" s="196">
        <f>G14*'R&amp;S - Packaging and hh goods'!$B$10*('R&amp;S - Packaging and hh goods'!$E$15*'R&amp;S - Packaging and hh goods'!$S$19*('Yearly LC Propylene'!G$3-'Yearly LC Propylene'!$D$3)/10)</f>
        <v>912.41596598171543</v>
      </c>
      <c r="H19" s="196">
        <f>H14*'R&amp;S - Packaging and hh goods'!$B$10*('R&amp;S - Packaging and hh goods'!$E$15*'R&amp;S - Packaging and hh goods'!$S$19*('Yearly LC Propylene'!H$3-'Yearly LC Propylene'!$D$3)/10)</f>
        <v>1216.5546213089538</v>
      </c>
      <c r="I19" s="196">
        <f>I14*'R&amp;S - Packaging and hh goods'!$B$10*('R&amp;S - Packaging and hh goods'!$E$15*'R&amp;S - Packaging and hh goods'!$S$19*('Yearly LC Propylene'!I$3-'Yearly LC Propylene'!$D$3)/10)</f>
        <v>1520.6932766361924</v>
      </c>
      <c r="J19" s="196">
        <f>J14*'R&amp;S - Packaging and hh goods'!$B$10*('R&amp;S - Packaging and hh goods'!$E$15*'R&amp;S - Packaging and hh goods'!$S$19*('Yearly LC Propylene'!J$3-'Yearly LC Propylene'!$D$3)/10)</f>
        <v>1824.8319319634309</v>
      </c>
      <c r="K19" s="196">
        <f>K14*'R&amp;S - Packaging and hh goods'!$B$10*('R&amp;S - Packaging and hh goods'!$E$15*'R&amp;S - Packaging and hh goods'!$S$19*('Yearly LC Propylene'!K$3-'Yearly LC Propylene'!$D$3)/10)</f>
        <v>2128.9705872906693</v>
      </c>
      <c r="L19" s="196">
        <f>L14*'R&amp;S - Packaging and hh goods'!$B$10*('R&amp;S - Packaging and hh goods'!$E$15*'R&amp;S - Packaging and hh goods'!$S$19*('Yearly LC Propylene'!L$3-'Yearly LC Propylene'!$D$3)/10)</f>
        <v>2433.1092426179075</v>
      </c>
      <c r="M19" s="196">
        <f>M14*'R&amp;S - Packaging and hh goods'!$B$10*('R&amp;S - Packaging and hh goods'!$E$15*'R&amp;S - Packaging and hh goods'!$S$19*('Yearly LC Propylene'!M$3-'Yearly LC Propylene'!$D$3)/10)</f>
        <v>2737.2478979451457</v>
      </c>
      <c r="N19" s="196">
        <f>N14*'R&amp;S - Packaging and hh goods'!$B$10*('R&amp;S - Packaging and hh goods'!$E$15*'R&amp;S - Packaging and hh goods'!$S$19*('Yearly LC Propylene'!N$3-'Yearly LC Propylene'!$D$3)/10)</f>
        <v>3041.3865532723848</v>
      </c>
      <c r="O19" s="196">
        <f>O14*'R&amp;S - Packaging and hh goods'!$B$10*('R&amp;S - Packaging and hh goods'!$E$15*'R&amp;S - Packaging and hh goods'!$S$19*('Yearly LC Propylene'!O$3-'Yearly LC Propylene'!$D$3)/10)</f>
        <v>3345.5252085996231</v>
      </c>
      <c r="P19" s="196">
        <f>P14*'R&amp;S - Packaging and hh goods'!$B$10*('R&amp;S - Packaging and hh goods'!$E$15*('R&amp;S - Packaging and hh goods'!$S$19+('R&amp;S - Packaging and hh goods'!$S$20-'R&amp;S - Packaging and hh goods'!$S$19)*('Yearly LC Propylene'!P$3-'Yearly LC Propylene'!$O$3)/10))</f>
        <v>3439.9130671494554</v>
      </c>
      <c r="Q19" s="196">
        <f>Q14*'R&amp;S - Packaging and hh goods'!$B$10*('R&amp;S - Packaging and hh goods'!$E$15*('R&amp;S - Packaging and hh goods'!$S$19+('R&amp;S - Packaging and hh goods'!$S$20-'R&amp;S - Packaging and hh goods'!$S$19)*('Yearly LC Propylene'!Q$3-'Yearly LC Propylene'!$O$3)/10))</f>
        <v>3838.4395810265269</v>
      </c>
      <c r="R19" s="196">
        <f>R14*'R&amp;S - Packaging and hh goods'!$B$10*('R&amp;S - Packaging and hh goods'!$E$15*('R&amp;S - Packaging and hh goods'!$S$19+('R&amp;S - Packaging and hh goods'!$S$20-'R&amp;S - Packaging and hh goods'!$S$19)*('Yearly LC Propylene'!R$3-'Yearly LC Propylene'!$O$3)/10))</f>
        <v>4236.9660949035988</v>
      </c>
      <c r="S19" s="196">
        <f>S14*'R&amp;S - Packaging and hh goods'!$B$10*('R&amp;S - Packaging and hh goods'!$E$15*('R&amp;S - Packaging and hh goods'!$S$19+('R&amp;S - Packaging and hh goods'!$S$20-'R&amp;S - Packaging and hh goods'!$S$19)*('Yearly LC Propylene'!S$3-'Yearly LC Propylene'!$O$3)/10))</f>
        <v>4635.4926087806698</v>
      </c>
      <c r="T19" s="196">
        <f>T14*'R&amp;S - Packaging and hh goods'!$B$10*('R&amp;S - Packaging and hh goods'!$E$15*('R&amp;S - Packaging and hh goods'!$S$19+('R&amp;S - Packaging and hh goods'!$S$20-'R&amp;S - Packaging and hh goods'!$S$19)*('Yearly LC Propylene'!T$3-'Yearly LC Propylene'!$O$3)/10))</f>
        <v>5034.0191226577408</v>
      </c>
      <c r="U19" s="196">
        <f>U14*'R&amp;S - Packaging and hh goods'!$B$10*('R&amp;S - Packaging and hh goods'!$E$15*('R&amp;S - Packaging and hh goods'!$S$19+('R&amp;S - Packaging and hh goods'!$S$20-'R&amp;S - Packaging and hh goods'!$S$19)*('Yearly LC Propylene'!U$3-'Yearly LC Propylene'!$O$3)/10))</f>
        <v>5432.5456365348118</v>
      </c>
      <c r="V19" s="196">
        <f>V14*'R&amp;S - Packaging and hh goods'!$B$10*('R&amp;S - Packaging and hh goods'!$E$15*('R&amp;S - Packaging and hh goods'!$S$19+('R&amp;S - Packaging and hh goods'!$S$20-'R&amp;S - Packaging and hh goods'!$S$19)*('Yearly LC Propylene'!V$3-'Yearly LC Propylene'!$O$3)/10))</f>
        <v>5831.0721504118828</v>
      </c>
      <c r="W19" s="196">
        <f>W14*'R&amp;S - Packaging and hh goods'!$B$10*('R&amp;S - Packaging and hh goods'!$E$15*('R&amp;S - Packaging and hh goods'!$S$19+('R&amp;S - Packaging and hh goods'!$S$20-'R&amp;S - Packaging and hh goods'!$S$19)*('Yearly LC Propylene'!W$3-'Yearly LC Propylene'!$O$3)/10))</f>
        <v>6229.5986642889548</v>
      </c>
      <c r="X19" s="196">
        <f>X14*'R&amp;S - Packaging and hh goods'!$B$10*('R&amp;S - Packaging and hh goods'!$E$15*('R&amp;S - Packaging and hh goods'!$S$19+('R&amp;S - Packaging and hh goods'!$S$20-'R&amp;S - Packaging and hh goods'!$S$19)*('Yearly LC Propylene'!X$3-'Yearly LC Propylene'!$O$3)/10))</f>
        <v>6628.1251781660249</v>
      </c>
      <c r="Y19" s="196">
        <f>Y14*'R&amp;S - Packaging and hh goods'!$B$10*('R&amp;S - Packaging and hh goods'!$E$15*('R&amp;S - Packaging and hh goods'!$S$20+('R&amp;S - Packaging and hh goods'!$S$21-'R&amp;S - Packaging and hh goods'!$S$20)*('Yearly LC Propylene'!Y$3-'Yearly LC Propylene'!$X$3)/10))</f>
        <v>7372.740506725816</v>
      </c>
      <c r="Z19" s="196">
        <f>Z14*'R&amp;S - Packaging and hh goods'!$B$10*('R&amp;S - Packaging and hh goods'!$E$15*('R&amp;S - Packaging and hh goods'!$S$20+('R&amp;S - Packaging and hh goods'!$S$21-'R&amp;S - Packaging and hh goods'!$S$20)*('Yearly LC Propylene'!Z$3-'Yearly LC Propylene'!$X$3)/10))</f>
        <v>7718.8293214085352</v>
      </c>
      <c r="AA19" s="196">
        <f>AA14*'R&amp;S - Packaging and hh goods'!$B$10*('R&amp;S - Packaging and hh goods'!$E$15*('R&amp;S - Packaging and hh goods'!$S$20+('R&amp;S - Packaging and hh goods'!$S$21-'R&amp;S - Packaging and hh goods'!$S$20)*('Yearly LC Propylene'!AA$3-'Yearly LC Propylene'!$X$3)/10))</f>
        <v>8064.9181360912553</v>
      </c>
      <c r="AB19" s="196">
        <f>AB14*'R&amp;S - Packaging and hh goods'!$B$10*('R&amp;S - Packaging and hh goods'!$E$15*('R&amp;S - Packaging and hh goods'!$S$20+('R&amp;S - Packaging and hh goods'!$S$21-'R&amp;S - Packaging and hh goods'!$S$20)*('Yearly LC Propylene'!AB$3-'Yearly LC Propylene'!$X$3)/10))</f>
        <v>8411.0069507739754</v>
      </c>
      <c r="AC19" s="196">
        <f>AC14*'R&amp;S - Packaging and hh goods'!$B$10*('R&amp;S - Packaging and hh goods'!$E$15*('R&amp;S - Packaging and hh goods'!$S$20+('R&amp;S - Packaging and hh goods'!$S$21-'R&amp;S - Packaging and hh goods'!$S$20)*('Yearly LC Propylene'!AC$3-'Yearly LC Propylene'!$X$3)/10))</f>
        <v>8757.0957654566937</v>
      </c>
      <c r="AD19" s="196">
        <f>AD14*'R&amp;S - Packaging and hh goods'!$B$10*('R&amp;S - Packaging and hh goods'!$E$15*('R&amp;S - Packaging and hh goods'!$S$20+('R&amp;S - Packaging and hh goods'!$S$21-'R&amp;S - Packaging and hh goods'!$S$20)*('Yearly LC Propylene'!AD$3-'Yearly LC Propylene'!$X$3)/10))</f>
        <v>9103.1845801394138</v>
      </c>
      <c r="AE19" s="196">
        <f>AE14*'R&amp;S - Packaging and hh goods'!$B$10*('R&amp;S - Packaging and hh goods'!$E$15*('R&amp;S - Packaging and hh goods'!$S$20+('R&amp;S - Packaging and hh goods'!$S$21-'R&amp;S - Packaging and hh goods'!$S$20)*('Yearly LC Propylene'!AE$3-'Yearly LC Propylene'!$X$3)/10))</f>
        <v>9449.2733948221339</v>
      </c>
      <c r="AF19" s="196">
        <f>AF14*'R&amp;S - Packaging and hh goods'!$B$10*('R&amp;S - Packaging and hh goods'!$E$15*('R&amp;S - Packaging and hh goods'!$S$20+('R&amp;S - Packaging and hh goods'!$S$21-'R&amp;S - Packaging and hh goods'!$S$20)*('Yearly LC Propylene'!AF$3-'Yearly LC Propylene'!$X$3)/10))</f>
        <v>9795.3622095048522</v>
      </c>
      <c r="AG19" s="196">
        <f>AG14*'R&amp;S - Packaging and hh goods'!$B$10*('R&amp;S - Packaging and hh goods'!$E$15*('R&amp;S - Packaging and hh goods'!$S$20+('R&amp;S - Packaging and hh goods'!$S$21-'R&amp;S - Packaging and hh goods'!$S$20)*('Yearly LC Propylene'!AG$3-'Yearly LC Propylene'!$X$3)/10))</f>
        <v>10141.451024187572</v>
      </c>
      <c r="AH19" s="196">
        <f>AH14*'R&amp;S - Packaging and hh goods'!$B$10*('R&amp;S - Packaging and hh goods'!$E$15*('R&amp;S - Packaging and hh goods'!$S$20+('R&amp;S - Packaging and hh goods'!$S$21-'R&amp;S - Packaging and hh goods'!$S$20)*('Yearly LC Propylene'!AH$3-'Yearly LC Propylene'!$X$3)/10))</f>
        <v>10487.539838870292</v>
      </c>
    </row>
    <row r="20" spans="1:34" outlineLevel="1">
      <c r="B20" s="1" t="s">
        <v>167</v>
      </c>
      <c r="C20" s="51" t="s">
        <v>166</v>
      </c>
      <c r="D20" s="101">
        <f>SUM(D18:D19)</f>
        <v>0</v>
      </c>
      <c r="E20" s="101">
        <f t="shared" ref="E20:AH20" si="5">SUM(E18:E19)</f>
        <v>651.72568998693953</v>
      </c>
      <c r="F20" s="101">
        <f t="shared" si="5"/>
        <v>1303.4513799738791</v>
      </c>
      <c r="G20" s="101">
        <f t="shared" si="5"/>
        <v>1955.1770699608187</v>
      </c>
      <c r="H20" s="101">
        <f t="shared" si="5"/>
        <v>2606.9027599477581</v>
      </c>
      <c r="I20" s="101">
        <f t="shared" si="5"/>
        <v>3258.6284499346975</v>
      </c>
      <c r="J20" s="101">
        <f t="shared" si="5"/>
        <v>3910.3541399216374</v>
      </c>
      <c r="K20" s="101">
        <f t="shared" si="5"/>
        <v>4562.0798299085764</v>
      </c>
      <c r="L20" s="101">
        <f t="shared" si="5"/>
        <v>5213.8055198955162</v>
      </c>
      <c r="M20" s="101">
        <f t="shared" si="5"/>
        <v>5865.5312098824552</v>
      </c>
      <c r="N20" s="101">
        <f t="shared" si="5"/>
        <v>6517.2568998693951</v>
      </c>
      <c r="O20" s="101">
        <f t="shared" si="5"/>
        <v>7168.9825898563349</v>
      </c>
      <c r="P20" s="101">
        <f t="shared" si="5"/>
        <v>7610.9574830658694</v>
      </c>
      <c r="Q20" s="101">
        <f t="shared" si="5"/>
        <v>8357.0710316026416</v>
      </c>
      <c r="R20" s="101">
        <f t="shared" si="5"/>
        <v>9103.1845801394138</v>
      </c>
      <c r="S20" s="101">
        <f t="shared" si="5"/>
        <v>9849.298128676186</v>
      </c>
      <c r="T20" s="101">
        <f t="shared" si="5"/>
        <v>10595.411677212958</v>
      </c>
      <c r="U20" s="101">
        <f t="shared" si="5"/>
        <v>11341.52522574973</v>
      </c>
      <c r="V20" s="101">
        <f t="shared" si="5"/>
        <v>12087.638774286501</v>
      </c>
      <c r="W20" s="101">
        <f t="shared" si="5"/>
        <v>12833.752322823275</v>
      </c>
      <c r="X20" s="101">
        <f t="shared" si="5"/>
        <v>13579.865871360045</v>
      </c>
      <c r="Y20" s="101">
        <f t="shared" si="5"/>
        <v>16122.345172297602</v>
      </c>
      <c r="Z20" s="101">
        <f t="shared" si="5"/>
        <v>16828.006781455872</v>
      </c>
      <c r="AA20" s="101">
        <f t="shared" si="5"/>
        <v>17533.668390614148</v>
      </c>
      <c r="AB20" s="101">
        <f t="shared" si="5"/>
        <v>18239.329999772417</v>
      </c>
      <c r="AC20" s="101">
        <f t="shared" si="5"/>
        <v>18944.991608930693</v>
      </c>
      <c r="AD20" s="101">
        <f t="shared" si="5"/>
        <v>19650.653218088963</v>
      </c>
      <c r="AE20" s="101">
        <f t="shared" si="5"/>
        <v>20356.314827247239</v>
      </c>
      <c r="AF20" s="101">
        <f t="shared" si="5"/>
        <v>21061.976436405508</v>
      </c>
      <c r="AG20" s="101">
        <f t="shared" si="5"/>
        <v>21767.638045563781</v>
      </c>
      <c r="AH20" s="101">
        <f t="shared" si="5"/>
        <v>22473.299654722054</v>
      </c>
    </row>
    <row r="21" spans="1:34" s="1" customFormat="1">
      <c r="B21" s="1" t="s">
        <v>195</v>
      </c>
      <c r="C21" s="61" t="s">
        <v>166</v>
      </c>
      <c r="D21" s="633">
        <f>D14-D17-D20</f>
        <v>435529.06307600881</v>
      </c>
      <c r="E21" s="633">
        <f t="shared" ref="E21:AH21" si="6">E14-E17-E20</f>
        <v>433771.66410888144</v>
      </c>
      <c r="F21" s="633">
        <f t="shared" si="6"/>
        <v>432014.26514175406</v>
      </c>
      <c r="G21" s="633">
        <f t="shared" si="6"/>
        <v>430256.86617462669</v>
      </c>
      <c r="H21" s="633">
        <f t="shared" si="6"/>
        <v>428499.46720749931</v>
      </c>
      <c r="I21" s="633">
        <f t="shared" si="6"/>
        <v>426742.06824037194</v>
      </c>
      <c r="J21" s="633">
        <f t="shared" si="6"/>
        <v>424984.66927324457</v>
      </c>
      <c r="K21" s="633">
        <f t="shared" si="6"/>
        <v>423227.27030611725</v>
      </c>
      <c r="L21" s="633">
        <f t="shared" si="6"/>
        <v>421469.87133898982</v>
      </c>
      <c r="M21" s="633">
        <f t="shared" si="6"/>
        <v>419712.47237186244</v>
      </c>
      <c r="N21" s="633">
        <f t="shared" si="6"/>
        <v>417955.07340473507</v>
      </c>
      <c r="O21" s="633">
        <f t="shared" si="6"/>
        <v>415116.14689172426</v>
      </c>
      <c r="P21" s="633">
        <f t="shared" si="6"/>
        <v>412486.9711754907</v>
      </c>
      <c r="Q21" s="633">
        <f t="shared" si="6"/>
        <v>409553.65680393006</v>
      </c>
      <c r="R21" s="633">
        <f t="shared" si="6"/>
        <v>406620.34243236936</v>
      </c>
      <c r="S21" s="633">
        <f t="shared" si="6"/>
        <v>403687.0280608086</v>
      </c>
      <c r="T21" s="633">
        <f t="shared" si="6"/>
        <v>400753.7136892479</v>
      </c>
      <c r="U21" s="633">
        <f t="shared" si="6"/>
        <v>397820.39931768726</v>
      </c>
      <c r="V21" s="633">
        <f t="shared" si="6"/>
        <v>394887.08494612656</v>
      </c>
      <c r="W21" s="633">
        <f t="shared" si="6"/>
        <v>391953.7705745658</v>
      </c>
      <c r="X21" s="633">
        <f t="shared" si="6"/>
        <v>389020.4562030051</v>
      </c>
      <c r="Y21" s="633">
        <f t="shared" si="6"/>
        <v>384304.52573156491</v>
      </c>
      <c r="Z21" s="633">
        <f t="shared" si="6"/>
        <v>381425.41295190406</v>
      </c>
      <c r="AA21" s="633">
        <f t="shared" si="6"/>
        <v>378546.30017224315</v>
      </c>
      <c r="AB21" s="633">
        <f t="shared" si="6"/>
        <v>375667.18739258224</v>
      </c>
      <c r="AC21" s="633">
        <f t="shared" si="6"/>
        <v>372788.07461292134</v>
      </c>
      <c r="AD21" s="633">
        <f t="shared" si="6"/>
        <v>369908.96183326043</v>
      </c>
      <c r="AE21" s="633">
        <f t="shared" si="6"/>
        <v>367029.84905359958</v>
      </c>
      <c r="AF21" s="633">
        <f t="shared" si="6"/>
        <v>364150.73627393867</v>
      </c>
      <c r="AG21" s="633">
        <f t="shared" si="6"/>
        <v>361271.62349427777</v>
      </c>
      <c r="AH21" s="633">
        <f t="shared" si="6"/>
        <v>358392.51071461692</v>
      </c>
    </row>
    <row r="22" spans="1:34" s="62" customFormat="1">
      <c r="A22" s="55" t="s">
        <v>190</v>
      </c>
      <c r="B22" s="55" t="s">
        <v>174</v>
      </c>
      <c r="C22" s="56" t="s">
        <v>166</v>
      </c>
      <c r="D22" s="630">
        <f>'R&amp;S - Buildings'!I4</f>
        <v>137707.45987773585</v>
      </c>
      <c r="E22" s="630">
        <f>D22*(1+'R&amp;S - Buildings'!$B$5)</f>
        <v>137707.45987773585</v>
      </c>
      <c r="F22" s="630">
        <f>E22*(1+'R&amp;S - Buildings'!$B$5)</f>
        <v>137707.45987773585</v>
      </c>
      <c r="G22" s="630">
        <f>F22*(1+'R&amp;S - Buildings'!$B$5)</f>
        <v>137707.45987773585</v>
      </c>
      <c r="H22" s="630">
        <f>G22*(1+'R&amp;S - Buildings'!$B$5)</f>
        <v>137707.45987773585</v>
      </c>
      <c r="I22" s="630">
        <f>H22*(1+'R&amp;S - Buildings'!$B$5)</f>
        <v>137707.45987773585</v>
      </c>
      <c r="J22" s="630">
        <f>I22*(1+'R&amp;S - Buildings'!$B$5)</f>
        <v>137707.45987773585</v>
      </c>
      <c r="K22" s="630">
        <f>J22*(1+'R&amp;S - Buildings'!$B$5)</f>
        <v>137707.45987773585</v>
      </c>
      <c r="L22" s="630">
        <f>K22*(1+'R&amp;S - Buildings'!$B$5)</f>
        <v>137707.45987773585</v>
      </c>
      <c r="M22" s="630">
        <f>L22*(1+'R&amp;S - Buildings'!$B$5)</f>
        <v>137707.45987773585</v>
      </c>
      <c r="N22" s="630">
        <f>M22*(1+'R&amp;S - Buildings'!$B$5)</f>
        <v>137707.45987773585</v>
      </c>
      <c r="O22" s="630">
        <f>N22*(1+'R&amp;S - Buildings'!$B$5)</f>
        <v>137707.45987773585</v>
      </c>
      <c r="P22" s="630">
        <f>O22*(1+'R&amp;S - Buildings'!$B$5)</f>
        <v>137707.45987773585</v>
      </c>
      <c r="Q22" s="630">
        <f>P22*(1+'R&amp;S - Buildings'!$B$5)</f>
        <v>137707.45987773585</v>
      </c>
      <c r="R22" s="630">
        <f>Q22*(1+'R&amp;S - Buildings'!$B$5)</f>
        <v>137707.45987773585</v>
      </c>
      <c r="S22" s="630">
        <f>R22*(1+'R&amp;S - Buildings'!$B$5)</f>
        <v>137707.45987773585</v>
      </c>
      <c r="T22" s="630">
        <f>S22*(1+'R&amp;S - Buildings'!$B$5)</f>
        <v>137707.45987773585</v>
      </c>
      <c r="U22" s="630">
        <f>T22*(1+'R&amp;S - Buildings'!$B$5)</f>
        <v>137707.45987773585</v>
      </c>
      <c r="V22" s="630">
        <f>U22*(1+'R&amp;S - Buildings'!$B$5)</f>
        <v>137707.45987773585</v>
      </c>
      <c r="W22" s="630">
        <f>V22*(1+'R&amp;S - Buildings'!$B$5)</f>
        <v>137707.45987773585</v>
      </c>
      <c r="X22" s="630">
        <f>W22*(1+'R&amp;S - Buildings'!$B$5)</f>
        <v>137707.45987773585</v>
      </c>
      <c r="Y22" s="630">
        <f>X22*(1+'R&amp;S - Buildings'!$B$5)</f>
        <v>137707.45987773585</v>
      </c>
      <c r="Z22" s="630">
        <f>Y22*(1+'R&amp;S - Buildings'!$B$5)</f>
        <v>137707.45987773585</v>
      </c>
      <c r="AA22" s="630">
        <f>Z22*(1+'R&amp;S - Buildings'!$B$5)</f>
        <v>137707.45987773585</v>
      </c>
      <c r="AB22" s="630">
        <f>AA22*(1+'R&amp;S - Buildings'!$B$5)</f>
        <v>137707.45987773585</v>
      </c>
      <c r="AC22" s="630">
        <f>AB22*(1+'R&amp;S - Buildings'!$B$5)</f>
        <v>137707.45987773585</v>
      </c>
      <c r="AD22" s="630">
        <f>AC22*(1+'R&amp;S - Buildings'!$B$5)</f>
        <v>137707.45987773585</v>
      </c>
      <c r="AE22" s="630">
        <f>AD22*(1+'R&amp;S - Buildings'!$B$5)</f>
        <v>137707.45987773585</v>
      </c>
      <c r="AF22" s="630">
        <f>AE22*(1+'R&amp;S - Buildings'!$B$5)</f>
        <v>137707.45987773585</v>
      </c>
      <c r="AG22" s="630">
        <f>AF22*(1+'R&amp;S - Buildings'!$B$5)</f>
        <v>137707.45987773585</v>
      </c>
      <c r="AH22" s="630">
        <f>AG22*(1+'R&amp;S - Buildings'!$B$5)</f>
        <v>137707.45987773585</v>
      </c>
    </row>
    <row r="23" spans="1:34" outlineLevel="1">
      <c r="B23" s="1" t="s">
        <v>164</v>
      </c>
      <c r="C23" s="51" t="s">
        <v>166</v>
      </c>
      <c r="D23" s="196">
        <v>0</v>
      </c>
      <c r="E23" s="196">
        <f>E22*'R&amp;S - Buildings'!$B$7*'R&amp;S - Buildings'!$B$12*'R&amp;S - Buildings'!$B$15*('Yearly LC Propylene'!E$3-'Yearly LC Propylene'!$D$3)/10</f>
        <v>999.75615871236243</v>
      </c>
      <c r="F23" s="196">
        <f>F22*'R&amp;S - Buildings'!$B$7*'R&amp;S - Buildings'!$B$12*'R&amp;S - Buildings'!$B$15*('Yearly LC Propylene'!F$3-'Yearly LC Propylene'!$D$3)/10</f>
        <v>1999.5123174247249</v>
      </c>
      <c r="G23" s="196">
        <f>G22*'R&amp;S - Buildings'!$B$7*'R&amp;S - Buildings'!$B$12*'R&amp;S - Buildings'!$B$15*('Yearly LC Propylene'!G$3-'Yearly LC Propylene'!$D$3)/10</f>
        <v>2999.2684761370874</v>
      </c>
      <c r="H23" s="196">
        <f>H22*'R&amp;S - Buildings'!$B$7*'R&amp;S - Buildings'!$B$12*'R&amp;S - Buildings'!$B$15*('Yearly LC Propylene'!H$3-'Yearly LC Propylene'!$D$3)/10</f>
        <v>3999.0246348494497</v>
      </c>
      <c r="I23" s="196">
        <f>I22*'R&amp;S - Buildings'!$B$7*'R&amp;S - Buildings'!$B$12*'R&amp;S - Buildings'!$B$15*('Yearly LC Propylene'!I$3-'Yearly LC Propylene'!$D$3)/10</f>
        <v>4998.7807935618121</v>
      </c>
      <c r="J23" s="196">
        <f>J22*'R&amp;S - Buildings'!$B$7*'R&amp;S - Buildings'!$B$12*'R&amp;S - Buildings'!$B$15*('Yearly LC Propylene'!J$3-'Yearly LC Propylene'!$D$3)/10</f>
        <v>5998.5369522741748</v>
      </c>
      <c r="K23" s="196">
        <f>K22*'R&amp;S - Buildings'!$B$7*'R&amp;S - Buildings'!$B$12*'R&amp;S - Buildings'!$B$15*('Yearly LC Propylene'!K$3-'Yearly LC Propylene'!$D$3)/10</f>
        <v>6998.2931109865367</v>
      </c>
      <c r="L23" s="196">
        <f>L22*'R&amp;S - Buildings'!$B$7*'R&amp;S - Buildings'!$B$12*'R&amp;S - Buildings'!$B$15*('Yearly LC Propylene'!L$3-'Yearly LC Propylene'!$D$3)/10</f>
        <v>7998.0492696988995</v>
      </c>
      <c r="M23" s="196">
        <f>M22*'R&amp;S - Buildings'!$B$7*'R&amp;S - Buildings'!$B$12*'R&amp;S - Buildings'!$B$15*('Yearly LC Propylene'!M$3-'Yearly LC Propylene'!$D$3)/10</f>
        <v>8997.8054284112623</v>
      </c>
      <c r="N23" s="196">
        <f>N22*'R&amp;S - Buildings'!$B$7*'R&amp;S - Buildings'!$B$12*'R&amp;S - Buildings'!$B$15*('Yearly LC Propylene'!N$3-'Yearly LC Propylene'!$D$3)/10</f>
        <v>9997.5615871236241</v>
      </c>
      <c r="O23" s="196">
        <f>O22*'R&amp;S - Buildings'!$B$7*'R&amp;S - Buildings'!$B$12*('R&amp;S - Buildings'!$B$15+('R&amp;S - Buildings'!$B$16-'R&amp;S - Buildings'!$B$15)*('Yearly LC Propylene'!O$3-'Yearly LC Propylene'!$N$3)/10)</f>
        <v>10997.317745835986</v>
      </c>
      <c r="P23" s="196">
        <f>P22*'R&amp;S - Buildings'!$B$7*'R&amp;S - Buildings'!$B$12*('R&amp;S - Buildings'!$B$15+('R&amp;S - Buildings'!$B$16-'R&amp;S - Buildings'!$B$15)*('Yearly LC Propylene'!P$3-'Yearly LC Propylene'!$N$3)/10)</f>
        <v>11997.073904548348</v>
      </c>
      <c r="Q23" s="196">
        <f>Q22*'R&amp;S - Buildings'!$B$7*'R&amp;S - Buildings'!$B$12*('R&amp;S - Buildings'!$B$15+('R&amp;S - Buildings'!$B$16-'R&amp;S - Buildings'!$B$15)*('Yearly LC Propylene'!Q$3-'Yearly LC Propylene'!$N$3)/10)</f>
        <v>12996.830063260712</v>
      </c>
      <c r="R23" s="196">
        <f>R22*'R&amp;S - Buildings'!$B$7*'R&amp;S - Buildings'!$B$12*('R&amp;S - Buildings'!$B$15+('R&amp;S - Buildings'!$B$16-'R&amp;S - Buildings'!$B$15)*('Yearly LC Propylene'!R$3-'Yearly LC Propylene'!$N$3)/10)</f>
        <v>13996.586221973073</v>
      </c>
      <c r="S23" s="196">
        <f>S22*'R&amp;S - Buildings'!$B$7*'R&amp;S - Buildings'!$B$12*('R&amp;S - Buildings'!$B$15+('R&amp;S - Buildings'!$B$16-'R&amp;S - Buildings'!$B$15)*('Yearly LC Propylene'!S$3-'Yearly LC Propylene'!$N$3)/10)</f>
        <v>14996.342380685435</v>
      </c>
      <c r="T23" s="196">
        <f>T22*'R&amp;S - Buildings'!$B$7*'R&amp;S - Buildings'!$B$12*('R&amp;S - Buildings'!$B$15+('R&amp;S - Buildings'!$B$16-'R&amp;S - Buildings'!$B$15)*('Yearly LC Propylene'!T$3-'Yearly LC Propylene'!$N$3)/10)</f>
        <v>15996.098539397799</v>
      </c>
      <c r="U23" s="196">
        <f>U22*'R&amp;S - Buildings'!$B$7*'R&amp;S - Buildings'!$B$12*('R&amp;S - Buildings'!$B$15+('R&amp;S - Buildings'!$B$16-'R&amp;S - Buildings'!$B$15)*('Yearly LC Propylene'!U$3-'Yearly LC Propylene'!$N$3)/10)</f>
        <v>16995.854698110161</v>
      </c>
      <c r="V23" s="196">
        <f>V22*'R&amp;S - Buildings'!$B$7*'R&amp;S - Buildings'!$B$12*('R&amp;S - Buildings'!$B$15+('R&amp;S - Buildings'!$B$16-'R&amp;S - Buildings'!$B$15)*('Yearly LC Propylene'!V$3-'Yearly LC Propylene'!$N$3)/10)</f>
        <v>17995.610856822525</v>
      </c>
      <c r="W23" s="196">
        <f>W22*'R&amp;S - Buildings'!$B$7*'R&amp;S - Buildings'!$B$12*('R&amp;S - Buildings'!$B$15+('R&amp;S - Buildings'!$B$16-'R&amp;S - Buildings'!$B$15)*('Yearly LC Propylene'!W$3-'Yearly LC Propylene'!$N$3)/10)</f>
        <v>18995.367015534885</v>
      </c>
      <c r="X23" s="196">
        <f>X22*'R&amp;S - Buildings'!$B$7*'R&amp;S - Buildings'!$B$12*('R&amp;S - Buildings'!$B$15+('R&amp;S - Buildings'!$B$16-'R&amp;S - Buildings'!$B$15)*('Yearly LC Propylene'!X$3-'Yearly LC Propylene'!$N$3)/10)</f>
        <v>19995.123174247248</v>
      </c>
      <c r="Y23" s="196">
        <f>Y22*'R&amp;S - Buildings'!$B$7*'R&amp;S - Buildings'!$B$12*('R&amp;S - Buildings'!$B$16+('R&amp;S - Buildings'!$B$17-'R&amp;S - Buildings'!$B$16)*('Yearly LC Propylene'!Y$3-'Yearly LC Propylene'!$X$3)/10)</f>
        <v>21025.174974132711</v>
      </c>
      <c r="Z23" s="196">
        <f>Z22*'R&amp;S - Buildings'!$B$7*'R&amp;S - Buildings'!$B$12*('R&amp;S - Buildings'!$B$16+('R&amp;S - Buildings'!$B$17-'R&amp;S - Buildings'!$B$16)*('Yearly LC Propylene'!Z$3-'Yearly LC Propylene'!$X$3)/10)</f>
        <v>22055.226774018174</v>
      </c>
      <c r="AA23" s="196">
        <f>AA22*'R&amp;S - Buildings'!$B$7*'R&amp;S - Buildings'!$B$12*('R&amp;S - Buildings'!$B$16+('R&amp;S - Buildings'!$B$17-'R&amp;S - Buildings'!$B$16)*('Yearly LC Propylene'!AA$3-'Yearly LC Propylene'!$X$3)/10)</f>
        <v>23085.278573903641</v>
      </c>
      <c r="AB23" s="196">
        <f>AB22*'R&amp;S - Buildings'!$B$7*'R&amp;S - Buildings'!$B$12*('R&amp;S - Buildings'!$B$16+('R&amp;S - Buildings'!$B$17-'R&amp;S - Buildings'!$B$16)*('Yearly LC Propylene'!AB$3-'Yearly LC Propylene'!$X$3)/10)</f>
        <v>24115.330373789104</v>
      </c>
      <c r="AC23" s="196">
        <f>AC22*'R&amp;S - Buildings'!$B$7*'R&amp;S - Buildings'!$B$12*('R&amp;S - Buildings'!$B$16+('R&amp;S - Buildings'!$B$17-'R&amp;S - Buildings'!$B$16)*('Yearly LC Propylene'!AC$3-'Yearly LC Propylene'!$X$3)/10)</f>
        <v>25145.38217367457</v>
      </c>
      <c r="AD23" s="196">
        <f>AD22*'R&amp;S - Buildings'!$B$7*'R&amp;S - Buildings'!$B$12*('R&amp;S - Buildings'!$B$16+('R&amp;S - Buildings'!$B$17-'R&amp;S - Buildings'!$B$16)*('Yearly LC Propylene'!AD$3-'Yearly LC Propylene'!$X$3)/10)</f>
        <v>26175.433973560033</v>
      </c>
      <c r="AE23" s="196">
        <f>AE22*'R&amp;S - Buildings'!$B$7*'R&amp;S - Buildings'!$B$12*('R&amp;S - Buildings'!$B$16+('R&amp;S - Buildings'!$B$17-'R&amp;S - Buildings'!$B$16)*('Yearly LC Propylene'!AE$3-'Yearly LC Propylene'!$X$3)/10)</f>
        <v>27205.485773445496</v>
      </c>
      <c r="AF23" s="196">
        <f>AF22*'R&amp;S - Buildings'!$B$7*'R&amp;S - Buildings'!$B$12*('R&amp;S - Buildings'!$B$16+('R&amp;S - Buildings'!$B$17-'R&amp;S - Buildings'!$B$16)*('Yearly LC Propylene'!AF$3-'Yearly LC Propylene'!$X$3)/10)</f>
        <v>28235.537573330959</v>
      </c>
      <c r="AG23" s="196">
        <f>AG22*'R&amp;S - Buildings'!$B$7*'R&amp;S - Buildings'!$B$12*('R&amp;S - Buildings'!$B$16+('R&amp;S - Buildings'!$B$17-'R&amp;S - Buildings'!$B$16)*('Yearly LC Propylene'!AG$3-'Yearly LC Propylene'!$X$3)/10)</f>
        <v>29265.589373216422</v>
      </c>
      <c r="AH23" s="196">
        <f>AH22*'R&amp;S - Buildings'!$B$7*'R&amp;S - Buildings'!$B$12*('R&amp;S - Buildings'!$B$16+('R&amp;S - Buildings'!$B$17-'R&amp;S - Buildings'!$B$16)*('Yearly LC Propylene'!AH$3-'Yearly LC Propylene'!$X$3)/10)</f>
        <v>30295.641173101889</v>
      </c>
    </row>
    <row r="24" spans="1:34" outlineLevel="1">
      <c r="B24" s="1" t="s">
        <v>167</v>
      </c>
      <c r="C24" s="51" t="s">
        <v>166</v>
      </c>
      <c r="D24" s="196">
        <v>0</v>
      </c>
      <c r="E24" s="196">
        <f>E22*'R&amp;S - Buildings'!$B$8*'R&amp;S - Buildings'!$C$12*'R&amp;S - Buildings'!$B$15*('Yearly LC Propylene'!E$3-'Yearly LC Propylene'!$D$3)/10</f>
        <v>0</v>
      </c>
      <c r="F24" s="196">
        <f>F22*'R&amp;S - Buildings'!$B$8*'R&amp;S - Buildings'!$C$12*'R&amp;S - Buildings'!$B$15*('Yearly LC Propylene'!F$3-'Yearly LC Propylene'!$D$3)/10</f>
        <v>0</v>
      </c>
      <c r="G24" s="196">
        <f>G22*'R&amp;S - Buildings'!$B$8*'R&amp;S - Buildings'!$C$12*'R&amp;S - Buildings'!$B$15*('Yearly LC Propylene'!G$3-'Yearly LC Propylene'!$D$3)/10</f>
        <v>0</v>
      </c>
      <c r="H24" s="196">
        <f>H22*'R&amp;S - Buildings'!$B$8*'R&amp;S - Buildings'!$C$12*'R&amp;S - Buildings'!$B$15*('Yearly LC Propylene'!H$3-'Yearly LC Propylene'!$D$3)/10</f>
        <v>0</v>
      </c>
      <c r="I24" s="196">
        <f>I22*'R&amp;S - Buildings'!$B$8*'R&amp;S - Buildings'!$C$12*'R&amp;S - Buildings'!$B$15*('Yearly LC Propylene'!I$3-'Yearly LC Propylene'!$D$3)/10</f>
        <v>0</v>
      </c>
      <c r="J24" s="196">
        <f>J22*'R&amp;S - Buildings'!$B$8*'R&amp;S - Buildings'!$C$12*'R&amp;S - Buildings'!$B$15*('Yearly LC Propylene'!J$3-'Yearly LC Propylene'!$D$3)/10</f>
        <v>0</v>
      </c>
      <c r="K24" s="196">
        <f>K22*'R&amp;S - Buildings'!$B$8*'R&amp;S - Buildings'!$C$12*'R&amp;S - Buildings'!$B$15*('Yearly LC Propylene'!K$3-'Yearly LC Propylene'!$D$3)/10</f>
        <v>0</v>
      </c>
      <c r="L24" s="196">
        <f>L22*'R&amp;S - Buildings'!$B$8*'R&amp;S - Buildings'!$C$12*'R&amp;S - Buildings'!$B$15*('Yearly LC Propylene'!L$3-'Yearly LC Propylene'!$D$3)/10</f>
        <v>0</v>
      </c>
      <c r="M24" s="196">
        <f>M22*'R&amp;S - Buildings'!$B$8*'R&amp;S - Buildings'!$C$12*'R&amp;S - Buildings'!$B$15*('Yearly LC Propylene'!M$3-'Yearly LC Propylene'!$D$3)/10</f>
        <v>0</v>
      </c>
      <c r="N24" s="196">
        <f>N22*'R&amp;S - Buildings'!$B$8*'R&amp;S - Buildings'!$C$12*'R&amp;S - Buildings'!$B$15*('Yearly LC Propylene'!N$3-'Yearly LC Propylene'!$D$3)/10</f>
        <v>0</v>
      </c>
      <c r="O24" s="196">
        <f>O22*'R&amp;S - Buildings'!$B$8*'R&amp;S - Buildings'!$C$12*('R&amp;S - Buildings'!$B$15+('R&amp;S - Buildings'!$B$16-'R&amp;S - Buildings'!$B$15)*('Yearly LC Propylene'!O$3-'Yearly LC Propylene'!$N$3)/10)</f>
        <v>0</v>
      </c>
      <c r="P24" s="196">
        <f>P22*'R&amp;S - Buildings'!$B$8*'R&amp;S - Buildings'!$C$12*('R&amp;S - Buildings'!$B$15+('R&amp;S - Buildings'!$B$16-'R&amp;S - Buildings'!$B$15)*('Yearly LC Propylene'!P$3-'Yearly LC Propylene'!$N$3)/10)</f>
        <v>0</v>
      </c>
      <c r="Q24" s="196">
        <f>Q22*'R&amp;S - Buildings'!$B$8*'R&amp;S - Buildings'!$C$12*('R&amp;S - Buildings'!$B$15+('R&amp;S - Buildings'!$B$16-'R&amp;S - Buildings'!$B$15)*('Yearly LC Propylene'!Q$3-'Yearly LC Propylene'!$N$3)/10)</f>
        <v>0</v>
      </c>
      <c r="R24" s="196">
        <f>R22*'R&amp;S - Buildings'!$B$8*'R&amp;S - Buildings'!$C$12*('R&amp;S - Buildings'!$B$15+('R&amp;S - Buildings'!$B$16-'R&amp;S - Buildings'!$B$15)*('Yearly LC Propylene'!R$3-'Yearly LC Propylene'!$N$3)/10)</f>
        <v>0</v>
      </c>
      <c r="S24" s="196">
        <f>S22*'R&amp;S - Buildings'!$B$8*'R&amp;S - Buildings'!$C$12*('R&amp;S - Buildings'!$B$15+('R&amp;S - Buildings'!$B$16-'R&amp;S - Buildings'!$B$15)*('Yearly LC Propylene'!S$3-'Yearly LC Propylene'!$N$3)/10)</f>
        <v>0</v>
      </c>
      <c r="T24" s="196">
        <f>T22*'R&amp;S - Buildings'!$B$8*'R&amp;S - Buildings'!$C$12*('R&amp;S - Buildings'!$B$15+('R&amp;S - Buildings'!$B$16-'R&amp;S - Buildings'!$B$15)*('Yearly LC Propylene'!T$3-'Yearly LC Propylene'!$N$3)/10)</f>
        <v>0</v>
      </c>
      <c r="U24" s="196">
        <f>U22*'R&amp;S - Buildings'!$B$8*'R&amp;S - Buildings'!$C$12*('R&amp;S - Buildings'!$B$15+('R&amp;S - Buildings'!$B$16-'R&amp;S - Buildings'!$B$15)*('Yearly LC Propylene'!U$3-'Yearly LC Propylene'!$N$3)/10)</f>
        <v>0</v>
      </c>
      <c r="V24" s="196">
        <f>V22*'R&amp;S - Buildings'!$B$8*'R&amp;S - Buildings'!$C$12*('R&amp;S - Buildings'!$B$15+('R&amp;S - Buildings'!$B$16-'R&amp;S - Buildings'!$B$15)*('Yearly LC Propylene'!V$3-'Yearly LC Propylene'!$N$3)/10)</f>
        <v>0</v>
      </c>
      <c r="W24" s="196">
        <f>W22*'R&amp;S - Buildings'!$B$8*'R&amp;S - Buildings'!$C$12*('R&amp;S - Buildings'!$B$15+('R&amp;S - Buildings'!$B$16-'R&amp;S - Buildings'!$B$15)*('Yearly LC Propylene'!W$3-'Yearly LC Propylene'!$N$3)/10)</f>
        <v>0</v>
      </c>
      <c r="X24" s="196">
        <f>X22*'R&amp;S - Buildings'!$B$8*'R&amp;S - Buildings'!$C$12*('R&amp;S - Buildings'!$B$15+('R&amp;S - Buildings'!$B$16-'R&amp;S - Buildings'!$B$15)*('Yearly LC Propylene'!X$3-'Yearly LC Propylene'!$N$3)/10)</f>
        <v>0</v>
      </c>
      <c r="Y24" s="196">
        <f>Y22*'R&amp;S - Buildings'!$B$8*'R&amp;S - Buildings'!$C$12*('R&amp;S - Buildings'!$B$16+('R&amp;S - Buildings'!$B$17-'R&amp;S - Buildings'!$B$16)*('Yearly LC Propylene'!Y$3-'Yearly LC Propylene'!$X$3)/10)</f>
        <v>0</v>
      </c>
      <c r="Z24" s="196">
        <f>Z22*'R&amp;S - Buildings'!$B$8*'R&amp;S - Buildings'!$C$12*('R&amp;S - Buildings'!$B$16+('R&amp;S - Buildings'!$B$17-'R&amp;S - Buildings'!$B$16)*('Yearly LC Propylene'!Z$3-'Yearly LC Propylene'!$X$3)/10)</f>
        <v>0</v>
      </c>
      <c r="AA24" s="196">
        <f>AA22*'R&amp;S - Buildings'!$B$8*'R&amp;S - Buildings'!$C$12*('R&amp;S - Buildings'!$B$16+('R&amp;S - Buildings'!$B$17-'R&amp;S - Buildings'!$B$16)*('Yearly LC Propylene'!AA$3-'Yearly LC Propylene'!$X$3)/10)</f>
        <v>0</v>
      </c>
      <c r="AB24" s="196">
        <f>AB22*'R&amp;S - Buildings'!$B$8*'R&amp;S - Buildings'!$C$12*('R&amp;S - Buildings'!$B$16+('R&amp;S - Buildings'!$B$17-'R&amp;S - Buildings'!$B$16)*('Yearly LC Propylene'!AB$3-'Yearly LC Propylene'!$X$3)/10)</f>
        <v>0</v>
      </c>
      <c r="AC24" s="196">
        <f>AC22*'R&amp;S - Buildings'!$B$8*'R&amp;S - Buildings'!$C$12*('R&amp;S - Buildings'!$B$16+('R&amp;S - Buildings'!$B$17-'R&amp;S - Buildings'!$B$16)*('Yearly LC Propylene'!AC$3-'Yearly LC Propylene'!$X$3)/10)</f>
        <v>0</v>
      </c>
      <c r="AD24" s="196">
        <f>AD22*'R&amp;S - Buildings'!$B$8*'R&amp;S - Buildings'!$C$12*('R&amp;S - Buildings'!$B$16+('R&amp;S - Buildings'!$B$17-'R&amp;S - Buildings'!$B$16)*('Yearly LC Propylene'!AD$3-'Yearly LC Propylene'!$X$3)/10)</f>
        <v>0</v>
      </c>
      <c r="AE24" s="196">
        <f>AE22*'R&amp;S - Buildings'!$B$8*'R&amp;S - Buildings'!$C$12*('R&amp;S - Buildings'!$B$16+('R&amp;S - Buildings'!$B$17-'R&amp;S - Buildings'!$B$16)*('Yearly LC Propylene'!AE$3-'Yearly LC Propylene'!$X$3)/10)</f>
        <v>0</v>
      </c>
      <c r="AF24" s="196">
        <f>AF22*'R&amp;S - Buildings'!$B$8*'R&amp;S - Buildings'!$C$12*('R&amp;S - Buildings'!$B$16+('R&amp;S - Buildings'!$B$17-'R&amp;S - Buildings'!$B$16)*('Yearly LC Propylene'!AF$3-'Yearly LC Propylene'!$X$3)/10)</f>
        <v>0</v>
      </c>
      <c r="AG24" s="196">
        <f>AG22*'R&amp;S - Buildings'!$B$8*'R&amp;S - Buildings'!$C$12*('R&amp;S - Buildings'!$B$16+('R&amp;S - Buildings'!$B$17-'R&amp;S - Buildings'!$B$16)*('Yearly LC Propylene'!AG$3-'Yearly LC Propylene'!$X$3)/10)</f>
        <v>0</v>
      </c>
      <c r="AH24" s="196">
        <f>AH22*'R&amp;S - Buildings'!$B$8*'R&amp;S - Buildings'!$C$12*('R&amp;S - Buildings'!$B$16+('R&amp;S - Buildings'!$B$17-'R&amp;S - Buildings'!$B$16)*('Yearly LC Propylene'!AH$3-'Yearly LC Propylene'!$X$3)/10)</f>
        <v>0</v>
      </c>
    </row>
    <row r="25" spans="1:34" s="63" customFormat="1">
      <c r="A25" s="59"/>
      <c r="B25" s="59" t="s">
        <v>195</v>
      </c>
      <c r="C25" s="60" t="s">
        <v>166</v>
      </c>
      <c r="D25" s="636">
        <f>D22-D23-D24</f>
        <v>137707.45987773585</v>
      </c>
      <c r="E25" s="636">
        <f t="shared" ref="E25:AH25" si="7">E22-E23-E24</f>
        <v>136707.7037190235</v>
      </c>
      <c r="F25" s="636">
        <f t="shared" si="7"/>
        <v>135707.94756031112</v>
      </c>
      <c r="G25" s="636">
        <f t="shared" si="7"/>
        <v>134708.19140159877</v>
      </c>
      <c r="H25" s="636">
        <f t="shared" si="7"/>
        <v>133708.43524288639</v>
      </c>
      <c r="I25" s="636">
        <f t="shared" si="7"/>
        <v>132708.67908417404</v>
      </c>
      <c r="J25" s="636">
        <f t="shared" si="7"/>
        <v>131708.92292546167</v>
      </c>
      <c r="K25" s="636">
        <f t="shared" si="7"/>
        <v>130709.16676674932</v>
      </c>
      <c r="L25" s="636">
        <f t="shared" si="7"/>
        <v>129709.41060803695</v>
      </c>
      <c r="M25" s="636">
        <f t="shared" si="7"/>
        <v>128709.65444932459</v>
      </c>
      <c r="N25" s="636">
        <f t="shared" si="7"/>
        <v>127709.89829061223</v>
      </c>
      <c r="O25" s="636">
        <f t="shared" si="7"/>
        <v>126710.14213189986</v>
      </c>
      <c r="P25" s="636">
        <f t="shared" si="7"/>
        <v>125710.3859731875</v>
      </c>
      <c r="Q25" s="636">
        <f t="shared" si="7"/>
        <v>124710.62981447513</v>
      </c>
      <c r="R25" s="636">
        <f t="shared" si="7"/>
        <v>123710.87365576277</v>
      </c>
      <c r="S25" s="636">
        <f t="shared" si="7"/>
        <v>122711.11749705041</v>
      </c>
      <c r="T25" s="636">
        <f t="shared" si="7"/>
        <v>121711.36133833804</v>
      </c>
      <c r="U25" s="636">
        <f t="shared" si="7"/>
        <v>120711.60517962568</v>
      </c>
      <c r="V25" s="636">
        <f t="shared" si="7"/>
        <v>119711.84902091333</v>
      </c>
      <c r="W25" s="636">
        <f t="shared" si="7"/>
        <v>118712.09286220097</v>
      </c>
      <c r="X25" s="636">
        <f t="shared" si="7"/>
        <v>117712.3367034886</v>
      </c>
      <c r="Y25" s="636">
        <f t="shared" si="7"/>
        <v>116682.28490360314</v>
      </c>
      <c r="Z25" s="636">
        <f t="shared" si="7"/>
        <v>115652.23310371768</v>
      </c>
      <c r="AA25" s="636">
        <f t="shared" si="7"/>
        <v>114622.18130383221</v>
      </c>
      <c r="AB25" s="636">
        <f t="shared" si="7"/>
        <v>113592.12950394675</v>
      </c>
      <c r="AC25" s="636">
        <f t="shared" si="7"/>
        <v>112562.07770406127</v>
      </c>
      <c r="AD25" s="636">
        <f t="shared" si="7"/>
        <v>111532.02590417581</v>
      </c>
      <c r="AE25" s="636">
        <f t="shared" si="7"/>
        <v>110501.97410429035</v>
      </c>
      <c r="AF25" s="636">
        <f t="shared" si="7"/>
        <v>109471.92230440488</v>
      </c>
      <c r="AG25" s="636">
        <f t="shared" si="7"/>
        <v>108441.87050451942</v>
      </c>
      <c r="AH25" s="636">
        <f t="shared" si="7"/>
        <v>107411.81870463396</v>
      </c>
    </row>
    <row r="26" spans="1:34">
      <c r="A26" s="1" t="s">
        <v>191</v>
      </c>
      <c r="B26" s="55" t="s">
        <v>174</v>
      </c>
      <c r="C26" s="56" t="s">
        <v>166</v>
      </c>
      <c r="D26" s="630">
        <v>0</v>
      </c>
      <c r="E26" s="630">
        <v>0</v>
      </c>
      <c r="F26" s="630">
        <v>0</v>
      </c>
      <c r="G26" s="630">
        <v>0</v>
      </c>
      <c r="H26" s="630">
        <v>0</v>
      </c>
      <c r="I26" s="630">
        <v>0</v>
      </c>
      <c r="J26" s="630">
        <v>0</v>
      </c>
      <c r="K26" s="630">
        <v>0</v>
      </c>
      <c r="L26" s="630">
        <v>0</v>
      </c>
      <c r="M26" s="630">
        <v>0</v>
      </c>
      <c r="N26" s="630">
        <v>0</v>
      </c>
      <c r="O26" s="630">
        <v>0</v>
      </c>
      <c r="P26" s="630">
        <v>0</v>
      </c>
      <c r="Q26" s="630">
        <v>0</v>
      </c>
      <c r="R26" s="630">
        <v>0</v>
      </c>
      <c r="S26" s="630">
        <v>0</v>
      </c>
      <c r="T26" s="630">
        <v>0</v>
      </c>
      <c r="U26" s="630">
        <v>0</v>
      </c>
      <c r="V26" s="630">
        <v>0</v>
      </c>
      <c r="W26" s="630">
        <v>0</v>
      </c>
      <c r="X26" s="630">
        <v>0</v>
      </c>
      <c r="Y26" s="630">
        <v>0</v>
      </c>
      <c r="Z26" s="630">
        <v>0</v>
      </c>
      <c r="AA26" s="630">
        <v>0</v>
      </c>
      <c r="AB26" s="630">
        <v>0</v>
      </c>
      <c r="AC26" s="630">
        <v>0</v>
      </c>
      <c r="AD26" s="630">
        <v>0</v>
      </c>
      <c r="AE26" s="630">
        <v>0</v>
      </c>
      <c r="AF26" s="630">
        <v>0</v>
      </c>
      <c r="AG26" s="630">
        <v>0</v>
      </c>
      <c r="AH26" s="630">
        <v>0</v>
      </c>
    </row>
    <row r="27" spans="1:34" outlineLevel="1">
      <c r="B27" s="58" t="s">
        <v>196</v>
      </c>
      <c r="C27" s="51" t="s">
        <v>166</v>
      </c>
      <c r="D27" s="196">
        <v>0</v>
      </c>
      <c r="E27" s="196">
        <v>0</v>
      </c>
      <c r="F27" s="196">
        <v>0</v>
      </c>
      <c r="G27" s="196">
        <v>0</v>
      </c>
      <c r="H27" s="196">
        <v>0</v>
      </c>
      <c r="I27" s="196">
        <v>0</v>
      </c>
      <c r="J27" s="196">
        <v>0</v>
      </c>
      <c r="K27" s="196">
        <v>0</v>
      </c>
      <c r="L27" s="196">
        <v>0</v>
      </c>
      <c r="M27" s="196">
        <v>0</v>
      </c>
      <c r="N27" s="196">
        <v>0</v>
      </c>
      <c r="O27" s="196">
        <v>0</v>
      </c>
      <c r="P27" s="196">
        <v>0</v>
      </c>
      <c r="Q27" s="196">
        <v>0</v>
      </c>
      <c r="R27" s="196">
        <v>0</v>
      </c>
      <c r="S27" s="196">
        <v>0</v>
      </c>
      <c r="T27" s="196">
        <v>0</v>
      </c>
      <c r="U27" s="196">
        <v>0</v>
      </c>
      <c r="V27" s="196">
        <v>0</v>
      </c>
      <c r="W27" s="196">
        <v>0</v>
      </c>
      <c r="X27" s="196">
        <v>0</v>
      </c>
      <c r="Y27" s="196">
        <v>0</v>
      </c>
      <c r="Z27" s="196">
        <v>0</v>
      </c>
      <c r="AA27" s="196">
        <v>0</v>
      </c>
      <c r="AB27" s="196">
        <v>0</v>
      </c>
      <c r="AC27" s="196">
        <v>0</v>
      </c>
      <c r="AD27" s="196">
        <v>0</v>
      </c>
      <c r="AE27" s="196">
        <v>0</v>
      </c>
      <c r="AF27" s="196">
        <v>0</v>
      </c>
      <c r="AG27" s="196">
        <v>0</v>
      </c>
      <c r="AH27" s="196">
        <v>0</v>
      </c>
    </row>
    <row r="28" spans="1:34" outlineLevel="1">
      <c r="B28" s="58" t="s">
        <v>200</v>
      </c>
      <c r="C28" s="51" t="s">
        <v>166</v>
      </c>
      <c r="D28" s="196">
        <v>0</v>
      </c>
      <c r="E28" s="196">
        <v>0</v>
      </c>
      <c r="F28" s="196">
        <v>0</v>
      </c>
      <c r="G28" s="196">
        <v>0</v>
      </c>
      <c r="H28" s="196">
        <v>0</v>
      </c>
      <c r="I28" s="196">
        <v>0</v>
      </c>
      <c r="J28" s="196">
        <v>0</v>
      </c>
      <c r="K28" s="196">
        <v>0</v>
      </c>
      <c r="L28" s="196">
        <v>0</v>
      </c>
      <c r="M28" s="196">
        <v>0</v>
      </c>
      <c r="N28" s="196">
        <v>0</v>
      </c>
      <c r="O28" s="196">
        <v>0</v>
      </c>
      <c r="P28" s="196">
        <v>0</v>
      </c>
      <c r="Q28" s="196">
        <v>0</v>
      </c>
      <c r="R28" s="196">
        <v>0</v>
      </c>
      <c r="S28" s="196">
        <v>0</v>
      </c>
      <c r="T28" s="196">
        <v>0</v>
      </c>
      <c r="U28" s="196">
        <v>0</v>
      </c>
      <c r="V28" s="196">
        <v>0</v>
      </c>
      <c r="W28" s="196">
        <v>0</v>
      </c>
      <c r="X28" s="196">
        <v>0</v>
      </c>
      <c r="Y28" s="196">
        <v>0</v>
      </c>
      <c r="Z28" s="196">
        <v>0</v>
      </c>
      <c r="AA28" s="196">
        <v>0</v>
      </c>
      <c r="AB28" s="196">
        <v>0</v>
      </c>
      <c r="AC28" s="196">
        <v>0</v>
      </c>
      <c r="AD28" s="196">
        <v>0</v>
      </c>
      <c r="AE28" s="196">
        <v>0</v>
      </c>
      <c r="AF28" s="196">
        <v>0</v>
      </c>
      <c r="AG28" s="196">
        <v>0</v>
      </c>
      <c r="AH28" s="196">
        <v>0</v>
      </c>
    </row>
    <row r="29" spans="1:34" outlineLevel="1">
      <c r="B29" s="1" t="s">
        <v>164</v>
      </c>
      <c r="C29" s="51" t="s">
        <v>166</v>
      </c>
      <c r="D29" s="196">
        <v>0</v>
      </c>
      <c r="E29" s="196">
        <v>0</v>
      </c>
      <c r="F29" s="196">
        <v>0</v>
      </c>
      <c r="G29" s="196">
        <v>0</v>
      </c>
      <c r="H29" s="196">
        <v>0</v>
      </c>
      <c r="I29" s="196">
        <v>0</v>
      </c>
      <c r="J29" s="196">
        <v>0</v>
      </c>
      <c r="K29" s="196">
        <v>0</v>
      </c>
      <c r="L29" s="196">
        <v>0</v>
      </c>
      <c r="M29" s="196">
        <v>0</v>
      </c>
      <c r="N29" s="196">
        <v>0</v>
      </c>
      <c r="O29" s="196">
        <v>0</v>
      </c>
      <c r="P29" s="196">
        <v>0</v>
      </c>
      <c r="Q29" s="196">
        <v>0</v>
      </c>
      <c r="R29" s="196">
        <v>0</v>
      </c>
      <c r="S29" s="196">
        <v>0</v>
      </c>
      <c r="T29" s="196">
        <v>0</v>
      </c>
      <c r="U29" s="196">
        <v>0</v>
      </c>
      <c r="V29" s="196">
        <v>0</v>
      </c>
      <c r="W29" s="196">
        <v>0</v>
      </c>
      <c r="X29" s="196">
        <v>0</v>
      </c>
      <c r="Y29" s="196">
        <v>0</v>
      </c>
      <c r="Z29" s="196">
        <v>0</v>
      </c>
      <c r="AA29" s="196">
        <v>0</v>
      </c>
      <c r="AB29" s="196">
        <v>0</v>
      </c>
      <c r="AC29" s="196">
        <v>0</v>
      </c>
      <c r="AD29" s="196">
        <v>0</v>
      </c>
      <c r="AE29" s="196">
        <v>0</v>
      </c>
      <c r="AF29" s="196">
        <v>0</v>
      </c>
      <c r="AG29" s="196">
        <v>0</v>
      </c>
      <c r="AH29" s="196">
        <v>0</v>
      </c>
    </row>
    <row r="30" spans="1:34" outlineLevel="1">
      <c r="B30" s="1" t="s">
        <v>167</v>
      </c>
      <c r="C30" s="51" t="s">
        <v>166</v>
      </c>
      <c r="D30" s="196">
        <v>0</v>
      </c>
      <c r="E30" s="196">
        <v>0</v>
      </c>
      <c r="F30" s="196">
        <v>0</v>
      </c>
      <c r="G30" s="196">
        <v>0</v>
      </c>
      <c r="H30" s="196">
        <v>0</v>
      </c>
      <c r="I30" s="196">
        <v>0</v>
      </c>
      <c r="J30" s="196">
        <v>0</v>
      </c>
      <c r="K30" s="196">
        <v>0</v>
      </c>
      <c r="L30" s="196">
        <v>0</v>
      </c>
      <c r="M30" s="196">
        <v>0</v>
      </c>
      <c r="N30" s="196">
        <v>0</v>
      </c>
      <c r="O30" s="196">
        <v>0</v>
      </c>
      <c r="P30" s="196">
        <v>0</v>
      </c>
      <c r="Q30" s="196">
        <v>0</v>
      </c>
      <c r="R30" s="196">
        <v>0</v>
      </c>
      <c r="S30" s="196">
        <v>0</v>
      </c>
      <c r="T30" s="196">
        <v>0</v>
      </c>
      <c r="U30" s="196">
        <v>0</v>
      </c>
      <c r="V30" s="196">
        <v>0</v>
      </c>
      <c r="W30" s="196">
        <v>0</v>
      </c>
      <c r="X30" s="196">
        <v>0</v>
      </c>
      <c r="Y30" s="196">
        <v>0</v>
      </c>
      <c r="Z30" s="196">
        <v>0</v>
      </c>
      <c r="AA30" s="196">
        <v>0</v>
      </c>
      <c r="AB30" s="196">
        <v>0</v>
      </c>
      <c r="AC30" s="196">
        <v>0</v>
      </c>
      <c r="AD30" s="196">
        <v>0</v>
      </c>
      <c r="AE30" s="196">
        <v>0</v>
      </c>
      <c r="AF30" s="196">
        <v>0</v>
      </c>
      <c r="AG30" s="196">
        <v>0</v>
      </c>
      <c r="AH30" s="196">
        <v>0</v>
      </c>
    </row>
    <row r="31" spans="1:34">
      <c r="B31" s="1" t="s">
        <v>195</v>
      </c>
      <c r="C31" s="61" t="s">
        <v>166</v>
      </c>
      <c r="D31" s="633">
        <f>D26-D29-D30</f>
        <v>0</v>
      </c>
      <c r="E31" s="633">
        <f t="shared" ref="E31:AH31" si="8">E26-E29-E30</f>
        <v>0</v>
      </c>
      <c r="F31" s="633">
        <f t="shared" si="8"/>
        <v>0</v>
      </c>
      <c r="G31" s="633">
        <f t="shared" si="8"/>
        <v>0</v>
      </c>
      <c r="H31" s="633">
        <f t="shared" si="8"/>
        <v>0</v>
      </c>
      <c r="I31" s="633">
        <f t="shared" si="8"/>
        <v>0</v>
      </c>
      <c r="J31" s="633">
        <f t="shared" si="8"/>
        <v>0</v>
      </c>
      <c r="K31" s="633">
        <f t="shared" si="8"/>
        <v>0</v>
      </c>
      <c r="L31" s="633">
        <f t="shared" si="8"/>
        <v>0</v>
      </c>
      <c r="M31" s="633">
        <f t="shared" si="8"/>
        <v>0</v>
      </c>
      <c r="N31" s="633">
        <f t="shared" si="8"/>
        <v>0</v>
      </c>
      <c r="O31" s="633">
        <f t="shared" si="8"/>
        <v>0</v>
      </c>
      <c r="P31" s="633">
        <f t="shared" si="8"/>
        <v>0</v>
      </c>
      <c r="Q31" s="633">
        <f t="shared" si="8"/>
        <v>0</v>
      </c>
      <c r="R31" s="633">
        <f t="shared" si="8"/>
        <v>0</v>
      </c>
      <c r="S31" s="633">
        <f t="shared" si="8"/>
        <v>0</v>
      </c>
      <c r="T31" s="633">
        <f t="shared" si="8"/>
        <v>0</v>
      </c>
      <c r="U31" s="633">
        <f t="shared" si="8"/>
        <v>0</v>
      </c>
      <c r="V31" s="633">
        <f t="shared" si="8"/>
        <v>0</v>
      </c>
      <c r="W31" s="633">
        <f t="shared" si="8"/>
        <v>0</v>
      </c>
      <c r="X31" s="633">
        <f t="shared" si="8"/>
        <v>0</v>
      </c>
      <c r="Y31" s="633">
        <f t="shared" si="8"/>
        <v>0</v>
      </c>
      <c r="Z31" s="633">
        <f t="shared" si="8"/>
        <v>0</v>
      </c>
      <c r="AA31" s="633">
        <f t="shared" si="8"/>
        <v>0</v>
      </c>
      <c r="AB31" s="633">
        <f t="shared" si="8"/>
        <v>0</v>
      </c>
      <c r="AC31" s="633">
        <f t="shared" si="8"/>
        <v>0</v>
      </c>
      <c r="AD31" s="633">
        <f t="shared" si="8"/>
        <v>0</v>
      </c>
      <c r="AE31" s="633">
        <f t="shared" si="8"/>
        <v>0</v>
      </c>
      <c r="AF31" s="633">
        <f t="shared" si="8"/>
        <v>0</v>
      </c>
      <c r="AG31" s="633">
        <f t="shared" si="8"/>
        <v>0</v>
      </c>
      <c r="AH31" s="633">
        <f t="shared" si="8"/>
        <v>0</v>
      </c>
    </row>
    <row r="32" spans="1:34" s="62" customFormat="1">
      <c r="A32" s="55" t="s">
        <v>303</v>
      </c>
      <c r="B32" s="55" t="s">
        <v>174</v>
      </c>
      <c r="C32" s="56" t="s">
        <v>166</v>
      </c>
      <c r="D32" s="630">
        <f>D4-D6-D14-D22-D26</f>
        <v>368256.49460398941</v>
      </c>
      <c r="E32" s="630">
        <f t="shared" ref="E32:AH32" si="9">E4-E6-E14-E22-E26</f>
        <v>365095.32195247093</v>
      </c>
      <c r="F32" s="630">
        <f t="shared" si="9"/>
        <v>361880.40936587658</v>
      </c>
      <c r="G32" s="630">
        <f t="shared" si="9"/>
        <v>358610.84326531016</v>
      </c>
      <c r="H32" s="630">
        <f t="shared" si="9"/>
        <v>355285.69454103406</v>
      </c>
      <c r="I32" s="630">
        <f t="shared" si="9"/>
        <v>351904.01828844531</v>
      </c>
      <c r="J32" s="630">
        <f t="shared" si="9"/>
        <v>348464.85353956255</v>
      </c>
      <c r="K32" s="630">
        <f t="shared" si="9"/>
        <v>344967.22298994882</v>
      </c>
      <c r="L32" s="630">
        <f t="shared" si="9"/>
        <v>341410.13272099162</v>
      </c>
      <c r="M32" s="630">
        <f t="shared" si="9"/>
        <v>337792.57191746216</v>
      </c>
      <c r="N32" s="630">
        <f>N4-N6-N14-N22-N26</f>
        <v>334113.51258027263</v>
      </c>
      <c r="O32" s="630">
        <f t="shared" si="9"/>
        <v>330371.9092343509</v>
      </c>
      <c r="P32" s="630">
        <f t="shared" si="9"/>
        <v>326566.69863154856</v>
      </c>
      <c r="Q32" s="630">
        <f t="shared" si="9"/>
        <v>322696.79944849864</v>
      </c>
      <c r="R32" s="630">
        <f t="shared" si="9"/>
        <v>318761.11197933671</v>
      </c>
      <c r="S32" s="630">
        <f t="shared" si="9"/>
        <v>314758.51782319916</v>
      </c>
      <c r="T32" s="630">
        <f t="shared" si="9"/>
        <v>310687.87956640718</v>
      </c>
      <c r="U32" s="630">
        <f t="shared" si="9"/>
        <v>306548.04045924975</v>
      </c>
      <c r="V32" s="630">
        <f t="shared" si="9"/>
        <v>302337.82408727065</v>
      </c>
      <c r="W32" s="630">
        <f t="shared" si="9"/>
        <v>298056.03403696802</v>
      </c>
      <c r="X32" s="630">
        <f t="shared" si="9"/>
        <v>293701.45355581015</v>
      </c>
      <c r="Y32" s="630">
        <f t="shared" si="9"/>
        <v>289272.84520647256</v>
      </c>
      <c r="Z32" s="630">
        <f t="shared" si="9"/>
        <v>284768.95051519631</v>
      </c>
      <c r="AA32" s="630">
        <f t="shared" si="9"/>
        <v>280188.4896141683</v>
      </c>
      <c r="AB32" s="630">
        <f t="shared" si="9"/>
        <v>275530.16087782278</v>
      </c>
      <c r="AC32" s="630">
        <f t="shared" si="9"/>
        <v>270792.64055295952</v>
      </c>
      <c r="AD32" s="630">
        <f t="shared" si="9"/>
        <v>265974.5823825734</v>
      </c>
      <c r="AE32" s="630">
        <f t="shared" si="9"/>
        <v>261074.61722329081</v>
      </c>
      <c r="AF32" s="630">
        <f t="shared" si="9"/>
        <v>256091.3526563005</v>
      </c>
      <c r="AG32" s="630">
        <f t="shared" si="9"/>
        <v>251023.37259167127</v>
      </c>
      <c r="AH32" s="630">
        <f t="shared" si="9"/>
        <v>245869.23686594339</v>
      </c>
    </row>
    <row r="33" spans="1:34" outlineLevel="1">
      <c r="B33" s="1" t="s">
        <v>164</v>
      </c>
      <c r="C33" s="51" t="s">
        <v>166</v>
      </c>
      <c r="D33" s="196">
        <v>0</v>
      </c>
      <c r="E33" s="196">
        <f>E32*'R&amp;S - Others'!$B$7*'R&amp;S - Others'!$B$12*'R&amp;S - Others'!$B$15*('Yearly HC Propylene'!E$3-'Yearly HC Propylene'!$D$3)/10</f>
        <v>903.61092183236565</v>
      </c>
      <c r="F33" s="196">
        <f>F32*'R&amp;S - Others'!$B$7*'R&amp;S - Others'!$B$12*'R&amp;S - Others'!$B$15*('Yearly HC Propylene'!F$3-'Yearly HC Propylene'!$D$3)/10</f>
        <v>1791.3080263610889</v>
      </c>
      <c r="G33" s="196">
        <f>G32*'R&amp;S - Others'!$B$7*'R&amp;S - Others'!$B$12*'R&amp;S - Others'!$B$15*('Yearly HC Propylene'!G$3-'Yearly HC Propylene'!$D$3)/10</f>
        <v>2662.685511244928</v>
      </c>
      <c r="H33" s="196">
        <f>H32*'R&amp;S - Others'!$B$7*'R&amp;S - Others'!$B$12*'R&amp;S - Others'!$B$15*('Yearly HC Propylene'!H$3-'Yearly HC Propylene'!$D$3)/10</f>
        <v>3517.3283759562373</v>
      </c>
      <c r="I33" s="196">
        <f>I32*'R&amp;S - Others'!$B$7*'R&amp;S - Others'!$B$12*'R&amp;S - Others'!$B$15*('Yearly HC Propylene'!I$3-'Yearly HC Propylene'!$D$3)/10</f>
        <v>4354.812226319511</v>
      </c>
      <c r="J33" s="196">
        <f>J32*'R&amp;S - Others'!$B$7*'R&amp;S - Others'!$B$12*'R&amp;S - Others'!$B$15*('Yearly HC Propylene'!J$3-'Yearly HC Propylene'!$D$3)/10</f>
        <v>5174.7030750625036</v>
      </c>
      <c r="K33" s="196">
        <f>K32*'R&amp;S - Others'!$B$7*'R&amp;S - Others'!$B$12*'R&amp;S - Others'!$B$15*('Yearly HC Propylene'!K$3-'Yearly HC Propylene'!$D$3)/10</f>
        <v>5976.5571383008628</v>
      </c>
      <c r="L33" s="196">
        <f>L32*'R&amp;S - Others'!$B$7*'R&amp;S - Others'!$B$12*'R&amp;S - Others'!$B$15*('Yearly HC Propylene'!L$3-'Yearly HC Propylene'!$D$3)/10</f>
        <v>6759.9206278756346</v>
      </c>
      <c r="M33" s="196">
        <f>M32*'R&amp;S - Others'!$B$7*'R&amp;S - Others'!$B$12*'R&amp;S - Others'!$B$15*('Yearly HC Propylene'!M$3-'Yearly HC Propylene'!$D$3)/10</f>
        <v>7524.3295394614688</v>
      </c>
      <c r="N33" s="196">
        <f>N32*'R&amp;S - Others'!$B$7*'R&amp;S - Others'!$B$12*'R&amp;S - Others'!$B$15*('Yearly HC Propylene'!N$3-'Yearly HC Propylene'!$D$3)/10</f>
        <v>8269.3094363617474</v>
      </c>
      <c r="O33" s="196">
        <f>O32*'R&amp;S - Others'!$B$7*'R&amp;S - Others'!$B$12*('R&amp;S - Others'!$B$15+('R&amp;S - Others'!$B$16-'R&amp;S - Others'!$B$15)*('Yearly HC Propylene'!O$3-'Yearly HC Propylene'!$N$3)/10)</f>
        <v>8994.3752289052027</v>
      </c>
      <c r="P33" s="196">
        <f>P32*'R&amp;S - Others'!$B$7*'R&amp;S - Others'!$B$12*('R&amp;S - Others'!$B$15+('R&amp;S - Others'!$B$16-'R&amp;S - Others'!$B$15)*('Yearly HC Propylene'!P$3-'Yearly HC Propylene'!$N$3)/10)</f>
        <v>9699.030949356993</v>
      </c>
      <c r="Q33" s="196">
        <f>Q32*'R&amp;S - Others'!$B$7*'R&amp;S - Others'!$B$12*('R&amp;S - Others'!$B$15+('R&amp;S - Others'!$B$16-'R&amp;S - Others'!$B$15)*('Yearly HC Propylene'!Q$3-'Yearly HC Propylene'!$N$3)/10)</f>
        <v>10382.769522255445</v>
      </c>
      <c r="R33" s="196">
        <f>R32*'R&amp;S - Others'!$B$7*'R&amp;S - Others'!$B$12*('R&amp;S - Others'!$B$15+('R&amp;S - Others'!$B$16-'R&amp;S - Others'!$B$15)*('Yearly HC Propylene'!R$3-'Yearly HC Propylene'!$N$3)/10)</f>
        <v>11045.072530084017</v>
      </c>
      <c r="S33" s="196">
        <f>S32*'R&amp;S - Others'!$B$7*'R&amp;S - Others'!$B$12*('R&amp;S - Others'!$B$15+('R&amp;S - Others'!$B$16-'R&amp;S - Others'!$B$15)*('Yearly HC Propylene'!S$3-'Yearly HC Propylene'!$N$3)/10)</f>
        <v>11685.409974186268</v>
      </c>
      <c r="T33" s="196">
        <f>T32*'R&amp;S - Others'!$B$7*'R&amp;S - Others'!$B$12*('R&amp;S - Others'!$B$15+('R&amp;S - Others'!$B$16-'R&amp;S - Others'!$B$15)*('Yearly HC Propylene'!T$3-'Yearly HC Propylene'!$N$3)/10)</f>
        <v>12303.240030829724</v>
      </c>
      <c r="U33" s="196">
        <f>U32*'R&amp;S - Others'!$B$7*'R&amp;S - Others'!$B$12*('R&amp;S - Others'!$B$15+('R&amp;S - Others'!$B$16-'R&amp;S - Others'!$B$15)*('Yearly HC Propylene'!U$3-'Yearly HC Propylene'!$N$3)/10)</f>
        <v>12898.008802322935</v>
      </c>
      <c r="V33" s="196">
        <f>V32*'R&amp;S - Others'!$B$7*'R&amp;S - Others'!$B$12*('R&amp;S - Others'!$B$15+('R&amp;S - Others'!$B$16-'R&amp;S - Others'!$B$15)*('Yearly HC Propylene'!V$3-'Yearly HC Propylene'!$N$3)/10)</f>
        <v>13469.150063087909</v>
      </c>
      <c r="W33" s="196">
        <f>W32*'R&amp;S - Others'!$B$7*'R&amp;S - Others'!$B$12*('R&amp;S - Others'!$B$15+('R&amp;S - Others'!$B$16-'R&amp;S - Others'!$B$15)*('Yearly HC Propylene'!W$3-'Yearly HC Propylene'!$N$3)/10)</f>
        <v>14016.08500058842</v>
      </c>
      <c r="X33" s="196">
        <f>X32*'R&amp;S - Others'!$B$7*'R&amp;S - Others'!$B$12*('R&amp;S - Others'!$B$15+('R&amp;S - Others'!$B$16-'R&amp;S - Others'!$B$15)*('Yearly HC Propylene'!X$3-'Yearly HC Propylene'!$N$3)/10)</f>
        <v>14538.221951012603</v>
      </c>
      <c r="Y33" s="196">
        <f>Y32*'R&amp;S - Others'!$B$7*'R&amp;S - Others'!$B$12*('R&amp;S - Others'!$B$16+('R&amp;S - Others'!$B$17-'R&amp;S - Others'!$B$16)*('Yearly HC Propylene'!Y$3-'Yearly HC Propylene'!$X$3)/10)</f>
        <v>15056.651592996897</v>
      </c>
      <c r="Z33" s="196">
        <f>Z32*'R&amp;S - Others'!$B$7*'R&amp;S - Others'!$B$12*('R&amp;S - Others'!$B$16+('R&amp;S - Others'!$B$17-'R&amp;S - Others'!$B$16)*('Yearly HC Propylene'!Z$3-'Yearly HC Propylene'!$X$3)/10)</f>
        <v>15548.384698129717</v>
      </c>
      <c r="AA33" s="196">
        <f>AA32*'R&amp;S - Others'!$B$7*'R&amp;S - Others'!$B$12*('R&amp;S - Others'!$B$16+('R&amp;S - Others'!$B$17-'R&amp;S - Others'!$B$16)*('Yearly HC Propylene'!AA$3-'Yearly HC Propylene'!$X$3)/10)</f>
        <v>16012.77218144972</v>
      </c>
      <c r="AB33" s="196">
        <f>AB32*'R&amp;S - Others'!$B$7*'R&amp;S - Others'!$B$12*('R&amp;S - Others'!$B$16+('R&amp;S - Others'!$B$17-'R&amp;S - Others'!$B$16)*('Yearly HC Propylene'!AB$3-'Yearly HC Propylene'!$X$3)/10)</f>
        <v>16449.150604406022</v>
      </c>
      <c r="AC33" s="196">
        <f>AC32*'R&amp;S - Others'!$B$7*'R&amp;S - Others'!$B$12*('R&amp;S - Others'!$B$16+('R&amp;S - Others'!$B$17-'R&amp;S - Others'!$B$16)*('Yearly HC Propylene'!AC$3-'Yearly HC Propylene'!$X$3)/10)</f>
        <v>16856.841874421731</v>
      </c>
      <c r="AD33" s="196">
        <f>AD32*'R&amp;S - Others'!$B$7*'R&amp;S - Others'!$B$12*('R&amp;S - Others'!$B$16+('R&amp;S - Others'!$B$17-'R&amp;S - Others'!$B$16)*('Yearly HC Propylene'!AD$3-'Yearly HC Propylene'!$X$3)/10)</f>
        <v>17235.152938390758</v>
      </c>
      <c r="AE33" s="196">
        <f>AE32*'R&amp;S - Others'!$B$7*'R&amp;S - Others'!$B$12*('R&amp;S - Others'!$B$16+('R&amp;S - Others'!$B$17-'R&amp;S - Others'!$B$16)*('Yearly HC Propylene'!AE$3-'Yearly HC Propylene'!$X$3)/10)</f>
        <v>17583.375469988634</v>
      </c>
      <c r="AF33" s="196">
        <f>AF32*'R&amp;S - Others'!$B$7*'R&amp;S - Others'!$B$12*('R&amp;S - Others'!$B$16+('R&amp;S - Others'!$B$17-'R&amp;S - Others'!$B$16)*('Yearly HC Propylene'!AF$3-'Yearly HC Propylene'!$X$3)/10)</f>
        <v>17900.785550675402</v>
      </c>
      <c r="AG33" s="196">
        <f>AG32*'R&amp;S - Others'!$B$7*'R&amp;S - Others'!$B$12*('R&amp;S - Others'!$B$16+('R&amp;S - Others'!$B$17-'R&amp;S - Others'!$B$16)*('Yearly HC Propylene'!AG$3-'Yearly HC Propylene'!$X$3)/10)</f>
        <v>18186.643344266584</v>
      </c>
      <c r="AH33" s="196">
        <f>AH32*'R&amp;S - Others'!$B$7*'R&amp;S - Others'!$B$12*('R&amp;S - Others'!$B$16+('R&amp;S - Others'!$B$17-'R&amp;S - Others'!$B$16)*('Yearly HC Propylene'!AH$3-'Yearly HC Propylene'!$X$3)/10)</f>
        <v>18440.192764945754</v>
      </c>
    </row>
    <row r="34" spans="1:34" outlineLevel="1">
      <c r="B34" s="1" t="s">
        <v>167</v>
      </c>
      <c r="C34" s="51" t="s">
        <v>166</v>
      </c>
      <c r="D34" s="196">
        <v>0</v>
      </c>
      <c r="E34" s="196">
        <f>E32*'R&amp;S - Others'!$B$8*'R&amp;S - Others'!$B$12*'R&amp;S - Others'!$C$15*('Yearly HC Propylene'!E$3-'Yearly HC Propylene'!$D$3)/10</f>
        <v>301.20364061078851</v>
      </c>
      <c r="F34" s="196">
        <f>F32*'R&amp;S - Others'!$B$8*'R&amp;S - Others'!$B$12*'R&amp;S - Others'!$C$15*('Yearly HC Propylene'!F$3-'Yearly HC Propylene'!$D$3)/10</f>
        <v>597.10267545369641</v>
      </c>
      <c r="G34" s="196">
        <f>G32*'R&amp;S - Others'!$B$8*'R&amp;S - Others'!$B$12*'R&amp;S - Others'!$C$15*('Yearly HC Propylene'!G$3-'Yearly HC Propylene'!$D$3)/10</f>
        <v>887.56183708164281</v>
      </c>
      <c r="H34" s="196">
        <f>H32*'R&amp;S - Others'!$B$8*'R&amp;S - Others'!$B$12*'R&amp;S - Others'!$C$15*('Yearly HC Propylene'!H$3-'Yearly HC Propylene'!$D$3)/10</f>
        <v>1172.4427919854127</v>
      </c>
      <c r="I34" s="196">
        <f>I32*'R&amp;S - Others'!$B$8*'R&amp;S - Others'!$B$12*'R&amp;S - Others'!$C$15*('Yearly HC Propylene'!I$3-'Yearly HC Propylene'!$D$3)/10</f>
        <v>1451.6040754398368</v>
      </c>
      <c r="J34" s="196">
        <f>J32*'R&amp;S - Others'!$B$8*'R&amp;S - Others'!$B$12*'R&amp;S - Others'!$C$15*('Yearly HC Propylene'!J$3-'Yearly HC Propylene'!$D$3)/10</f>
        <v>1724.9010250208346</v>
      </c>
      <c r="K34" s="196">
        <f>K32*'R&amp;S - Others'!$B$8*'R&amp;S - Others'!$B$12*'R&amp;S - Others'!$C$15*('Yearly HC Propylene'!K$3-'Yearly HC Propylene'!$D$3)/10</f>
        <v>1992.1857127669548</v>
      </c>
      <c r="L34" s="196">
        <f>L32*'R&amp;S - Others'!$B$8*'R&amp;S - Others'!$B$12*'R&amp;S - Others'!$C$15*('Yearly HC Propylene'!L$3-'Yearly HC Propylene'!$D$3)/10</f>
        <v>2253.3068759585449</v>
      </c>
      <c r="M34" s="196">
        <f>M32*'R&amp;S - Others'!$B$8*'R&amp;S - Others'!$B$12*'R&amp;S - Others'!$C$15*('Yearly HC Propylene'!M$3-'Yearly HC Propylene'!$D$3)/10</f>
        <v>2508.1098464871566</v>
      </c>
      <c r="N34" s="196">
        <f>N32*'R&amp;S - Others'!$B$8*'R&amp;S - Others'!$B$12*'R&amp;S - Others'!$C$15*('Yearly HC Propylene'!N$3-'Yearly HC Propylene'!$D$3)/10</f>
        <v>2756.4364787872496</v>
      </c>
      <c r="O34" s="196">
        <f>O32*'R&amp;S - Others'!$B$8*'R&amp;S - Others'!$B$12*('R&amp;S - Others'!$C$15+('R&amp;S - Others'!$C$16-'R&amp;S - Others'!$C$15)*('Yearly HC Propylene'!O$3-'Yearly HC Propylene'!$N$3)/10)</f>
        <v>2998.1250763017342</v>
      </c>
      <c r="P34" s="196">
        <f>P32*'R&amp;S - Others'!$B$8*'R&amp;S - Others'!$B$12*('R&amp;S - Others'!$C$15+('R&amp;S - Others'!$C$16-'R&amp;S - Others'!$C$15)*('Yearly HC Propylene'!P$3-'Yearly HC Propylene'!$N$3)/10)</f>
        <v>3233.0103164523312</v>
      </c>
      <c r="Q34" s="196">
        <f>Q32*'R&amp;S - Others'!$B$8*'R&amp;S - Others'!$B$12*('R&amp;S - Others'!$C$15+('R&amp;S - Others'!$C$16-'R&amp;S - Others'!$C$15)*('Yearly HC Propylene'!Q$3-'Yearly HC Propylene'!$N$3)/10)</f>
        <v>3460.9231740851483</v>
      </c>
      <c r="R34" s="196">
        <f>R32*'R&amp;S - Others'!$B$8*'R&amp;S - Others'!$B$12*('R&amp;S - Others'!$C$15+('R&amp;S - Others'!$C$16-'R&amp;S - Others'!$C$15)*('Yearly HC Propylene'!R$3-'Yearly HC Propylene'!$N$3)/10)</f>
        <v>3681.6908433613394</v>
      </c>
      <c r="S34" s="196">
        <f>S32*'R&amp;S - Others'!$B$8*'R&amp;S - Others'!$B$12*('R&amp;S - Others'!$C$15+('R&amp;S - Others'!$C$16-'R&amp;S - Others'!$C$15)*('Yearly HC Propylene'!S$3-'Yearly HC Propylene'!$N$3)/10)</f>
        <v>3895.1366580620897</v>
      </c>
      <c r="T34" s="196">
        <f>T32*'R&amp;S - Others'!$B$8*'R&amp;S - Others'!$B$12*('R&amp;S - Others'!$C$15+('R&amp;S - Others'!$C$16-'R&amp;S - Others'!$C$15)*('Yearly HC Propylene'!T$3-'Yearly HC Propylene'!$N$3)/10)</f>
        <v>4101.0800102765752</v>
      </c>
      <c r="U34" s="196">
        <f>U32*'R&amp;S - Others'!$B$8*'R&amp;S - Others'!$B$12*('R&amp;S - Others'!$C$15+('R&amp;S - Others'!$C$16-'R&amp;S - Others'!$C$15)*('Yearly HC Propylene'!U$3-'Yearly HC Propylene'!$N$3)/10)</f>
        <v>4299.3362674409782</v>
      </c>
      <c r="V34" s="196">
        <f>V32*'R&amp;S - Others'!$B$8*'R&amp;S - Others'!$B$12*('R&amp;S - Others'!$C$15+('R&amp;S - Others'!$C$16-'R&amp;S - Others'!$C$15)*('Yearly HC Propylene'!V$3-'Yearly HC Propylene'!$N$3)/10)</f>
        <v>4489.71668769597</v>
      </c>
      <c r="W34" s="196">
        <f>W32*'R&amp;S - Others'!$B$8*'R&amp;S - Others'!$B$12*('R&amp;S - Others'!$C$15+('R&amp;S - Others'!$C$16-'R&amp;S - Others'!$C$15)*('Yearly HC Propylene'!W$3-'Yearly HC Propylene'!$N$3)/10)</f>
        <v>4672.0283335294744</v>
      </c>
      <c r="X34" s="196">
        <f>X32*'R&amp;S - Others'!$B$8*'R&amp;S - Others'!$B$12*('R&amp;S - Others'!$C$15+('R&amp;S - Others'!$C$16-'R&amp;S - Others'!$C$15)*('Yearly HC Propylene'!X$3-'Yearly HC Propylene'!$N$3)/10)</f>
        <v>4846.0739836708681</v>
      </c>
      <c r="Y34" s="196">
        <f>Y32*'R&amp;S - Others'!$B$8*'R&amp;S - Others'!$B$12*('R&amp;S - Others'!$C$16+('R&amp;S - Others'!$C$17-'R&amp;S - Others'!$C$16)*('Yearly HC Propylene'!Y$3-'Yearly HC Propylene'!$X$3)/10)</f>
        <v>5018.8838643322997</v>
      </c>
      <c r="Z34" s="196">
        <f>Z32*'R&amp;S - Others'!$B$8*'R&amp;S - Others'!$B$12*('R&amp;S - Others'!$C$16+('R&amp;S - Others'!$C$17-'R&amp;S - Others'!$C$16)*('Yearly HC Propylene'!Z$3-'Yearly HC Propylene'!$X$3)/10)</f>
        <v>5182.7948993765731</v>
      </c>
      <c r="AA34" s="196">
        <f>AA32*'R&amp;S - Others'!$B$8*'R&amp;S - Others'!$B$12*('R&amp;S - Others'!$C$16+('R&amp;S - Others'!$C$17-'R&amp;S - Others'!$C$16)*('Yearly HC Propylene'!AA$3-'Yearly HC Propylene'!$X$3)/10)</f>
        <v>5337.5907271499063</v>
      </c>
      <c r="AB34" s="196">
        <f>AB32*'R&amp;S - Others'!$B$8*'R&amp;S - Others'!$B$12*('R&amp;S - Others'!$C$16+('R&amp;S - Others'!$C$17-'R&amp;S - Others'!$C$16)*('Yearly HC Propylene'!AB$3-'Yearly HC Propylene'!$X$3)/10)</f>
        <v>5483.0502014686735</v>
      </c>
      <c r="AC34" s="196">
        <f>AC32*'R&amp;S - Others'!$B$8*'R&amp;S - Others'!$B$12*('R&amp;S - Others'!$C$16+('R&amp;S - Others'!$C$17-'R&amp;S - Others'!$C$16)*('Yearly HC Propylene'!AC$3-'Yearly HC Propylene'!$X$3)/10)</f>
        <v>5618.9472914739108</v>
      </c>
      <c r="AD34" s="196">
        <f>AD32*'R&amp;S - Others'!$B$8*'R&amp;S - Others'!$B$12*('R&amp;S - Others'!$C$16+('R&amp;S - Others'!$C$17-'R&amp;S - Others'!$C$16)*('Yearly HC Propylene'!AD$3-'Yearly HC Propylene'!$X$3)/10)</f>
        <v>5745.0509794635864</v>
      </c>
      <c r="AE34" s="196">
        <f>AE32*'R&amp;S - Others'!$B$8*'R&amp;S - Others'!$B$12*('R&amp;S - Others'!$C$16+('R&amp;S - Others'!$C$17-'R&amp;S - Others'!$C$16)*('Yearly HC Propylene'!AE$3-'Yearly HC Propylene'!$X$3)/10)</f>
        <v>5861.1251566628798</v>
      </c>
      <c r="AF34" s="196">
        <f>AF32*'R&amp;S - Others'!$B$8*'R&amp;S - Others'!$B$12*('R&amp;S - Others'!$C$16+('R&amp;S - Others'!$C$17-'R&amp;S - Others'!$C$16)*('Yearly HC Propylene'!AF$3-'Yearly HC Propylene'!$X$3)/10)</f>
        <v>5966.9285168918013</v>
      </c>
      <c r="AG34" s="196">
        <f>AG32*'R&amp;S - Others'!$B$8*'R&amp;S - Others'!$B$12*('R&amp;S - Others'!$C$16+('R&amp;S - Others'!$C$17-'R&amp;S - Others'!$C$16)*('Yearly HC Propylene'!AG$3-'Yearly HC Propylene'!$X$3)/10)</f>
        <v>6062.214448088861</v>
      </c>
      <c r="AH34" s="196">
        <f>AH32*'R&amp;S - Others'!$B$8*'R&amp;S - Others'!$B$12*('R&amp;S - Others'!$C$16+('R&amp;S - Others'!$C$17-'R&amp;S - Others'!$C$16)*('Yearly HC Propylene'!AH$3-'Yearly HC Propylene'!$X$3)/10)</f>
        <v>6146.7309216485846</v>
      </c>
    </row>
    <row r="35" spans="1:34" s="169" customFormat="1">
      <c r="A35" s="167"/>
      <c r="B35" s="167" t="s">
        <v>195</v>
      </c>
      <c r="C35" s="168" t="s">
        <v>166</v>
      </c>
      <c r="D35" s="627">
        <f>D32-D33-D34</f>
        <v>368256.49460398941</v>
      </c>
      <c r="E35" s="627">
        <f t="shared" ref="E35:AH35" si="10">E32-E33-E34</f>
        <v>363890.50739002775</v>
      </c>
      <c r="F35" s="627">
        <f t="shared" si="10"/>
        <v>359491.99866406177</v>
      </c>
      <c r="G35" s="627">
        <f t="shared" si="10"/>
        <v>355060.59591698361</v>
      </c>
      <c r="H35" s="627">
        <f t="shared" si="10"/>
        <v>350595.92337309243</v>
      </c>
      <c r="I35" s="627">
        <f t="shared" si="10"/>
        <v>346097.60198668594</v>
      </c>
      <c r="J35" s="627">
        <f t="shared" si="10"/>
        <v>341565.24943947926</v>
      </c>
      <c r="K35" s="627">
        <f t="shared" si="10"/>
        <v>336998.48013888102</v>
      </c>
      <c r="L35" s="627">
        <f t="shared" si="10"/>
        <v>332396.90521715739</v>
      </c>
      <c r="M35" s="627">
        <f t="shared" si="10"/>
        <v>327760.13253151352</v>
      </c>
      <c r="N35" s="627">
        <f t="shared" si="10"/>
        <v>323087.76666512358</v>
      </c>
      <c r="O35" s="627">
        <f t="shared" si="10"/>
        <v>318379.40892914397</v>
      </c>
      <c r="P35" s="627">
        <f t="shared" si="10"/>
        <v>313634.65736573929</v>
      </c>
      <c r="Q35" s="627">
        <f t="shared" si="10"/>
        <v>308853.10675215803</v>
      </c>
      <c r="R35" s="627">
        <f t="shared" si="10"/>
        <v>304034.3486058914</v>
      </c>
      <c r="S35" s="627">
        <f t="shared" si="10"/>
        <v>299177.97119095078</v>
      </c>
      <c r="T35" s="627">
        <f t="shared" si="10"/>
        <v>294283.55952530087</v>
      </c>
      <c r="U35" s="627">
        <f t="shared" si="10"/>
        <v>289350.6953894858</v>
      </c>
      <c r="V35" s="627">
        <f t="shared" si="10"/>
        <v>284378.95733648672</v>
      </c>
      <c r="W35" s="627">
        <f t="shared" si="10"/>
        <v>279367.9207028501</v>
      </c>
      <c r="X35" s="627">
        <f t="shared" si="10"/>
        <v>274317.15762112668</v>
      </c>
      <c r="Y35" s="627">
        <f t="shared" si="10"/>
        <v>269197.30974914337</v>
      </c>
      <c r="Z35" s="627">
        <f t="shared" si="10"/>
        <v>264037.77091769001</v>
      </c>
      <c r="AA35" s="627">
        <f t="shared" si="10"/>
        <v>258838.12670556869</v>
      </c>
      <c r="AB35" s="627">
        <f t="shared" si="10"/>
        <v>253597.96007194809</v>
      </c>
      <c r="AC35" s="627">
        <f t="shared" si="10"/>
        <v>248316.85138706389</v>
      </c>
      <c r="AD35" s="627">
        <f t="shared" si="10"/>
        <v>242994.37846471905</v>
      </c>
      <c r="AE35" s="627">
        <f t="shared" si="10"/>
        <v>237630.11659663927</v>
      </c>
      <c r="AF35" s="627">
        <f t="shared" si="10"/>
        <v>232223.63858873327</v>
      </c>
      <c r="AG35" s="627">
        <f t="shared" si="10"/>
        <v>226774.51479931583</v>
      </c>
      <c r="AH35" s="627">
        <f t="shared" si="10"/>
        <v>221282.31317934903</v>
      </c>
    </row>
    <row r="36" spans="1:34" s="62" customFormat="1" outlineLevel="1">
      <c r="B36" s="55" t="s">
        <v>193</v>
      </c>
      <c r="C36" s="56" t="s">
        <v>166</v>
      </c>
      <c r="D36" s="630">
        <v>0</v>
      </c>
      <c r="E36" s="630">
        <v>0</v>
      </c>
      <c r="F36" s="630">
        <v>0</v>
      </c>
      <c r="G36" s="630">
        <v>0</v>
      </c>
      <c r="H36" s="630">
        <v>0</v>
      </c>
      <c r="I36" s="630">
        <v>0</v>
      </c>
      <c r="J36" s="630">
        <v>0</v>
      </c>
      <c r="K36" s="630">
        <v>0</v>
      </c>
      <c r="L36" s="630">
        <v>0</v>
      </c>
      <c r="M36" s="630">
        <v>0</v>
      </c>
      <c r="N36" s="630">
        <v>0</v>
      </c>
      <c r="O36" s="630">
        <v>0</v>
      </c>
      <c r="P36" s="630">
        <v>0</v>
      </c>
      <c r="Q36" s="630">
        <v>0</v>
      </c>
      <c r="R36" s="630">
        <v>0</v>
      </c>
      <c r="S36" s="630">
        <v>0</v>
      </c>
      <c r="T36" s="630">
        <v>0</v>
      </c>
      <c r="U36" s="630">
        <v>0</v>
      </c>
      <c r="V36" s="630">
        <v>0</v>
      </c>
      <c r="W36" s="630">
        <v>0</v>
      </c>
      <c r="X36" s="630">
        <v>0</v>
      </c>
      <c r="Y36" s="630">
        <v>0</v>
      </c>
      <c r="Z36" s="630">
        <v>0</v>
      </c>
      <c r="AA36" s="630">
        <v>0</v>
      </c>
      <c r="AB36" s="630">
        <v>0</v>
      </c>
      <c r="AC36" s="630">
        <v>0</v>
      </c>
      <c r="AD36" s="630">
        <v>0</v>
      </c>
      <c r="AE36" s="630">
        <v>0</v>
      </c>
      <c r="AF36" s="630">
        <v>0</v>
      </c>
      <c r="AG36" s="630">
        <v>0</v>
      </c>
      <c r="AH36" s="630">
        <v>0</v>
      </c>
    </row>
    <row r="37" spans="1:34" outlineLevel="1">
      <c r="B37" s="1" t="s">
        <v>194</v>
      </c>
      <c r="C37" s="51" t="s">
        <v>166</v>
      </c>
      <c r="D37" s="196">
        <v>0</v>
      </c>
      <c r="E37" s="196">
        <v>0</v>
      </c>
      <c r="F37" s="196">
        <v>0</v>
      </c>
      <c r="G37" s="196">
        <v>0</v>
      </c>
      <c r="H37" s="196">
        <v>0</v>
      </c>
      <c r="I37" s="196">
        <v>0</v>
      </c>
      <c r="J37" s="196">
        <v>0</v>
      </c>
      <c r="K37" s="196">
        <v>0</v>
      </c>
      <c r="L37" s="196">
        <v>0</v>
      </c>
      <c r="M37" s="196">
        <v>0</v>
      </c>
      <c r="N37" s="196">
        <v>0</v>
      </c>
      <c r="O37" s="196">
        <v>0</v>
      </c>
      <c r="P37" s="196">
        <v>0</v>
      </c>
      <c r="Q37" s="196">
        <v>0</v>
      </c>
      <c r="R37" s="196">
        <v>0</v>
      </c>
      <c r="S37" s="196">
        <v>0</v>
      </c>
      <c r="T37" s="196">
        <v>0</v>
      </c>
      <c r="U37" s="196">
        <v>0</v>
      </c>
      <c r="V37" s="196">
        <v>0</v>
      </c>
      <c r="W37" s="196">
        <v>0</v>
      </c>
      <c r="X37" s="196">
        <v>0</v>
      </c>
      <c r="Y37" s="196">
        <v>0</v>
      </c>
      <c r="Z37" s="196">
        <v>0</v>
      </c>
      <c r="AA37" s="196">
        <v>0</v>
      </c>
      <c r="AB37" s="196">
        <v>0</v>
      </c>
      <c r="AC37" s="196">
        <v>0</v>
      </c>
      <c r="AD37" s="196">
        <v>0</v>
      </c>
      <c r="AE37" s="196">
        <v>0</v>
      </c>
      <c r="AF37" s="196">
        <v>0</v>
      </c>
      <c r="AG37" s="196">
        <v>0</v>
      </c>
      <c r="AH37" s="196">
        <v>0</v>
      </c>
    </row>
    <row r="38" spans="1:34" s="63" customFormat="1">
      <c r="A38" s="59" t="s">
        <v>192</v>
      </c>
      <c r="B38" s="59" t="s">
        <v>225</v>
      </c>
      <c r="C38" s="60" t="s">
        <v>166</v>
      </c>
      <c r="D38" s="636">
        <f>D36+D37</f>
        <v>0</v>
      </c>
      <c r="E38" s="636">
        <f t="shared" ref="E38:AH38" si="11">E36+E37</f>
        <v>0</v>
      </c>
      <c r="F38" s="636">
        <f t="shared" si="11"/>
        <v>0</v>
      </c>
      <c r="G38" s="636">
        <f t="shared" si="11"/>
        <v>0</v>
      </c>
      <c r="H38" s="636">
        <f t="shared" si="11"/>
        <v>0</v>
      </c>
      <c r="I38" s="636">
        <f t="shared" si="11"/>
        <v>0</v>
      </c>
      <c r="J38" s="636">
        <f t="shared" si="11"/>
        <v>0</v>
      </c>
      <c r="K38" s="636">
        <f t="shared" si="11"/>
        <v>0</v>
      </c>
      <c r="L38" s="636">
        <f t="shared" si="11"/>
        <v>0</v>
      </c>
      <c r="M38" s="636">
        <f t="shared" si="11"/>
        <v>0</v>
      </c>
      <c r="N38" s="636">
        <f t="shared" si="11"/>
        <v>0</v>
      </c>
      <c r="O38" s="636">
        <f t="shared" si="11"/>
        <v>0</v>
      </c>
      <c r="P38" s="636">
        <f t="shared" si="11"/>
        <v>0</v>
      </c>
      <c r="Q38" s="636">
        <f t="shared" si="11"/>
        <v>0</v>
      </c>
      <c r="R38" s="636">
        <f t="shared" si="11"/>
        <v>0</v>
      </c>
      <c r="S38" s="636">
        <f t="shared" si="11"/>
        <v>0</v>
      </c>
      <c r="T38" s="636">
        <f t="shared" si="11"/>
        <v>0</v>
      </c>
      <c r="U38" s="636">
        <f t="shared" si="11"/>
        <v>0</v>
      </c>
      <c r="V38" s="636">
        <f t="shared" si="11"/>
        <v>0</v>
      </c>
      <c r="W38" s="636">
        <f t="shared" si="11"/>
        <v>0</v>
      </c>
      <c r="X38" s="636">
        <f t="shared" si="11"/>
        <v>0</v>
      </c>
      <c r="Y38" s="636">
        <f t="shared" si="11"/>
        <v>0</v>
      </c>
      <c r="Z38" s="636">
        <f t="shared" si="11"/>
        <v>0</v>
      </c>
      <c r="AA38" s="636">
        <f t="shared" si="11"/>
        <v>0</v>
      </c>
      <c r="AB38" s="636">
        <f t="shared" si="11"/>
        <v>0</v>
      </c>
      <c r="AC38" s="636">
        <f t="shared" si="11"/>
        <v>0</v>
      </c>
      <c r="AD38" s="636">
        <f t="shared" si="11"/>
        <v>0</v>
      </c>
      <c r="AE38" s="636">
        <f t="shared" si="11"/>
        <v>0</v>
      </c>
      <c r="AF38" s="636">
        <f t="shared" si="11"/>
        <v>0</v>
      </c>
      <c r="AG38" s="636">
        <f t="shared" si="11"/>
        <v>0</v>
      </c>
      <c r="AH38" s="636">
        <f t="shared" si="11"/>
        <v>0</v>
      </c>
    </row>
    <row r="39" spans="1:34">
      <c r="A39" s="1" t="s">
        <v>78</v>
      </c>
      <c r="B39" s="1" t="s">
        <v>164</v>
      </c>
      <c r="C39" s="51" t="s">
        <v>166</v>
      </c>
      <c r="D39" s="633">
        <f>D11+D17+D23+D29+D33</f>
        <v>0</v>
      </c>
      <c r="E39" s="633">
        <f t="shared" ref="E39:AH39" si="12">E11+E17+E23+E29+E33</f>
        <v>3519.8267601496436</v>
      </c>
      <c r="F39" s="633">
        <f t="shared" si="12"/>
        <v>7041.4765949891416</v>
      </c>
      <c r="G39" s="633">
        <f t="shared" si="12"/>
        <v>10565.003398627339</v>
      </c>
      <c r="H39" s="633">
        <f t="shared" si="12"/>
        <v>14090.462408548941</v>
      </c>
      <c r="I39" s="633">
        <f t="shared" si="12"/>
        <v>17617.910235769676</v>
      </c>
      <c r="J39" s="633">
        <f t="shared" si="12"/>
        <v>21147.404895619402</v>
      </c>
      <c r="K39" s="633">
        <f t="shared" si="12"/>
        <v>24679.005839165577</v>
      </c>
      <c r="L39" s="633">
        <f t="shared" si="12"/>
        <v>28212.77398528955</v>
      </c>
      <c r="M39" s="633">
        <f t="shared" si="12"/>
        <v>31748.771753428511</v>
      </c>
      <c r="N39" s="633">
        <f t="shared" si="12"/>
        <v>35287.063096996018</v>
      </c>
      <c r="O39" s="633">
        <f t="shared" si="12"/>
        <v>41135.805251722617</v>
      </c>
      <c r="P39" s="633">
        <f t="shared" si="12"/>
        <v>47035.569025974735</v>
      </c>
      <c r="Q39" s="633">
        <f t="shared" si="12"/>
        <v>52987.753887279134</v>
      </c>
      <c r="R39" s="633">
        <f t="shared" si="12"/>
        <v>58993.791305812818</v>
      </c>
      <c r="S39" s="633">
        <f t="shared" si="12"/>
        <v>65055.14539883133</v>
      </c>
      <c r="T39" s="633">
        <f t="shared" si="12"/>
        <v>71173.313586666351</v>
      </c>
      <c r="U39" s="633">
        <f t="shared" si="12"/>
        <v>77349.827260474223</v>
      </c>
      <c r="V39" s="633">
        <f t="shared" si="12"/>
        <v>83586.252461918863</v>
      </c>
      <c r="W39" s="633">
        <f t="shared" si="12"/>
        <v>89884.190574974811</v>
      </c>
      <c r="X39" s="633">
        <f t="shared" si="12"/>
        <v>96245.279030038771</v>
      </c>
      <c r="Y39" s="633">
        <f t="shared" si="12"/>
        <v>104874.0522461037</v>
      </c>
      <c r="Z39" s="633">
        <f t="shared" si="12"/>
        <v>113640.25716458124</v>
      </c>
      <c r="AA39" s="633">
        <f t="shared" si="12"/>
        <v>122546.98970415353</v>
      </c>
      <c r="AB39" s="633">
        <f t="shared" si="12"/>
        <v>131597.39551702459</v>
      </c>
      <c r="AC39" s="633">
        <f t="shared" si="12"/>
        <v>140794.67036819499</v>
      </c>
      <c r="AD39" s="633">
        <f t="shared" si="12"/>
        <v>150142.06050365177</v>
      </c>
      <c r="AE39" s="633">
        <f t="shared" si="12"/>
        <v>159642.86300678109</v>
      </c>
      <c r="AF39" s="633">
        <f t="shared" si="12"/>
        <v>169300.42614228674</v>
      </c>
      <c r="AG39" s="633">
        <f t="shared" si="12"/>
        <v>179118.14968687066</v>
      </c>
      <c r="AH39" s="633">
        <f t="shared" si="12"/>
        <v>189099.48524590905</v>
      </c>
    </row>
    <row r="40" spans="1:34">
      <c r="B40" s="1" t="s">
        <v>167</v>
      </c>
      <c r="C40" s="51" t="s">
        <v>166</v>
      </c>
      <c r="D40" s="633">
        <f>D12+D24+D30+D20+D34</f>
        <v>0</v>
      </c>
      <c r="E40" s="633">
        <f t="shared" ref="E40:AH40" si="13">E12+E24+E30+E20+E34</f>
        <v>952.92933059772804</v>
      </c>
      <c r="F40" s="633">
        <f t="shared" si="13"/>
        <v>1900.5540554275753</v>
      </c>
      <c r="G40" s="633">
        <f t="shared" si="13"/>
        <v>2842.7389070424615</v>
      </c>
      <c r="H40" s="633">
        <f t="shared" si="13"/>
        <v>3779.345551933171</v>
      </c>
      <c r="I40" s="633">
        <f t="shared" si="13"/>
        <v>4710.2325253745348</v>
      </c>
      <c r="J40" s="633">
        <f t="shared" si="13"/>
        <v>5635.2551649424722</v>
      </c>
      <c r="K40" s="633">
        <f t="shared" si="13"/>
        <v>6554.2655426755309</v>
      </c>
      <c r="L40" s="633">
        <f t="shared" si="13"/>
        <v>7467.1123958540611</v>
      </c>
      <c r="M40" s="633">
        <f t="shared" si="13"/>
        <v>8373.6410563696118</v>
      </c>
      <c r="N40" s="633">
        <f t="shared" si="13"/>
        <v>9273.6933786566442</v>
      </c>
      <c r="O40" s="633">
        <f t="shared" si="13"/>
        <v>10167.10766615807</v>
      </c>
      <c r="P40" s="633">
        <f t="shared" si="13"/>
        <v>10843.967799518201</v>
      </c>
      <c r="Q40" s="633">
        <f t="shared" si="13"/>
        <v>11817.99420568779</v>
      </c>
      <c r="R40" s="633">
        <f t="shared" si="13"/>
        <v>12784.875423500753</v>
      </c>
      <c r="S40" s="633">
        <f t="shared" si="13"/>
        <v>13744.434786738275</v>
      </c>
      <c r="T40" s="633">
        <f t="shared" si="13"/>
        <v>14696.491687489533</v>
      </c>
      <c r="U40" s="633">
        <f t="shared" si="13"/>
        <v>15640.861493190709</v>
      </c>
      <c r="V40" s="633">
        <f t="shared" si="13"/>
        <v>16577.355461982472</v>
      </c>
      <c r="W40" s="633">
        <f t="shared" si="13"/>
        <v>17505.780656352748</v>
      </c>
      <c r="X40" s="633">
        <f t="shared" si="13"/>
        <v>18425.939855030912</v>
      </c>
      <c r="Y40" s="633">
        <f t="shared" si="13"/>
        <v>21141.229036629902</v>
      </c>
      <c r="Z40" s="633">
        <f t="shared" si="13"/>
        <v>22010.801680832446</v>
      </c>
      <c r="AA40" s="633">
        <f t="shared" si="13"/>
        <v>22871.259117764053</v>
      </c>
      <c r="AB40" s="633">
        <f t="shared" si="13"/>
        <v>23722.380201241089</v>
      </c>
      <c r="AC40" s="633">
        <f t="shared" si="13"/>
        <v>24563.938900404602</v>
      </c>
      <c r="AD40" s="633">
        <f t="shared" si="13"/>
        <v>25395.70419755255</v>
      </c>
      <c r="AE40" s="633">
        <f t="shared" si="13"/>
        <v>26217.439983910117</v>
      </c>
      <c r="AF40" s="633">
        <f t="shared" si="13"/>
        <v>27028.904953297308</v>
      </c>
      <c r="AG40" s="633">
        <f t="shared" si="13"/>
        <v>27829.852493652641</v>
      </c>
      <c r="AH40" s="633">
        <f t="shared" si="13"/>
        <v>28620.030576370638</v>
      </c>
    </row>
    <row r="41" spans="1:34">
      <c r="B41" s="1" t="s">
        <v>244</v>
      </c>
      <c r="C41" s="51" t="s">
        <v>166</v>
      </c>
      <c r="D41" s="633">
        <f>D38+D7</f>
        <v>0</v>
      </c>
      <c r="E41" s="633">
        <f t="shared" ref="E41:AH41" si="14">E38+E7</f>
        <v>189.11250509378507</v>
      </c>
      <c r="F41" s="633">
        <f t="shared" si="14"/>
        <v>384.6548353607588</v>
      </c>
      <c r="G41" s="633">
        <f t="shared" si="14"/>
        <v>586.7909513428375</v>
      </c>
      <c r="H41" s="633">
        <f t="shared" si="14"/>
        <v>795.68853002088758</v>
      </c>
      <c r="I41" s="633">
        <f t="shared" si="14"/>
        <v>1011.5190437890532</v>
      </c>
      <c r="J41" s="633">
        <f t="shared" si="14"/>
        <v>1234.4578410401602</v>
      </c>
      <c r="K41" s="633">
        <f t="shared" si="14"/>
        <v>1464.6842283941501</v>
      </c>
      <c r="L41" s="633">
        <f t="shared" si="14"/>
        <v>1702.3815546021149</v>
      </c>
      <c r="M41" s="633">
        <f t="shared" si="14"/>
        <v>1947.7372961591448</v>
      </c>
      <c r="N41" s="633">
        <f t="shared" si="14"/>
        <v>2200.9431446598333</v>
      </c>
      <c r="O41" s="633">
        <f t="shared" si="14"/>
        <v>3133.7028493666703</v>
      </c>
      <c r="P41" s="633">
        <f t="shared" si="14"/>
        <v>4097.5403114647315</v>
      </c>
      <c r="Q41" s="633">
        <f t="shared" si="14"/>
        <v>5093.2426071506634</v>
      </c>
      <c r="R41" s="633">
        <f t="shared" si="14"/>
        <v>6121.6145917398999</v>
      </c>
      <c r="S41" s="633">
        <f t="shared" si="14"/>
        <v>7183.4792766917053</v>
      </c>
      <c r="T41" s="633">
        <f t="shared" si="14"/>
        <v>8279.6782143148594</v>
      </c>
      <c r="U41" s="633">
        <f t="shared" si="14"/>
        <v>9411.0718903062352</v>
      </c>
      <c r="V41" s="633">
        <f t="shared" si="14"/>
        <v>10578.540124277382</v>
      </c>
      <c r="W41" s="633">
        <f t="shared" si="14"/>
        <v>11782.982478427244</v>
      </c>
      <c r="X41" s="633">
        <f t="shared" si="14"/>
        <v>13025.318674522292</v>
      </c>
      <c r="Y41" s="633">
        <f t="shared" si="14"/>
        <v>14571.424001188087</v>
      </c>
      <c r="Z41" s="633">
        <f t="shared" si="14"/>
        <v>16166.33259186358</v>
      </c>
      <c r="AA41" s="633">
        <f t="shared" si="14"/>
        <v>17811.2569330857</v>
      </c>
      <c r="AB41" s="633">
        <f t="shared" si="14"/>
        <v>19507.436631790319</v>
      </c>
      <c r="AC41" s="633">
        <f t="shared" si="14"/>
        <v>21256.138986997237</v>
      </c>
      <c r="AD41" s="633">
        <f t="shared" si="14"/>
        <v>23058.659573094603</v>
      </c>
      <c r="AE41" s="633">
        <f t="shared" si="14"/>
        <v>24916.322834952029</v>
      </c>
      <c r="AF41" s="633">
        <f t="shared" si="14"/>
        <v>26830.48269509599</v>
      </c>
      <c r="AG41" s="633">
        <f t="shared" si="14"/>
        <v>28802.523173185538</v>
      </c>
      <c r="AH41" s="633">
        <f t="shared" si="14"/>
        <v>30833.859018031253</v>
      </c>
    </row>
    <row r="42" spans="1:34" s="64" customFormat="1">
      <c r="A42" s="64" t="s">
        <v>247</v>
      </c>
      <c r="C42" s="65" t="s">
        <v>166</v>
      </c>
      <c r="D42" s="648">
        <f>D4+D41-D39-D40</f>
        <v>1127444.3500000006</v>
      </c>
      <c r="E42" s="648">
        <f t="shared" ref="E42:AG42" si="15">E4+E41-E39-E40</f>
        <v>1123160.706414347</v>
      </c>
      <c r="F42" s="648">
        <f t="shared" si="15"/>
        <v>1118886.9741849445</v>
      </c>
      <c r="G42" s="648">
        <f t="shared" si="15"/>
        <v>1114623.3986456736</v>
      </c>
      <c r="H42" s="648">
        <f t="shared" si="15"/>
        <v>1110370.2305695394</v>
      </c>
      <c r="I42" s="648">
        <f t="shared" si="15"/>
        <v>1106127.7262826455</v>
      </c>
      <c r="J42" s="648">
        <f t="shared" si="15"/>
        <v>1101896.1477804787</v>
      </c>
      <c r="K42" s="648">
        <f t="shared" si="15"/>
        <v>1097675.7628465537</v>
      </c>
      <c r="L42" s="648">
        <f t="shared" si="15"/>
        <v>1093466.8451734593</v>
      </c>
      <c r="M42" s="648">
        <f t="shared" si="15"/>
        <v>1089269.6744863617</v>
      </c>
      <c r="N42" s="648">
        <f t="shared" si="15"/>
        <v>1085084.5366690077</v>
      </c>
      <c r="O42" s="648">
        <f t="shared" si="15"/>
        <v>1079275.1399314865</v>
      </c>
      <c r="P42" s="648">
        <f t="shared" si="15"/>
        <v>1073662.3534859724</v>
      </c>
      <c r="Q42" s="648">
        <f t="shared" si="15"/>
        <v>1067731.8445141842</v>
      </c>
      <c r="R42" s="648">
        <f t="shared" si="15"/>
        <v>1061787.2978624268</v>
      </c>
      <c r="S42" s="648">
        <f t="shared" si="15"/>
        <v>1055828.2490911228</v>
      </c>
      <c r="T42" s="648">
        <f t="shared" si="15"/>
        <v>1049854.2229401597</v>
      </c>
      <c r="U42" s="648">
        <f t="shared" si="15"/>
        <v>1043864.7331366418</v>
      </c>
      <c r="V42" s="648">
        <f t="shared" si="15"/>
        <v>1037859.2822003766</v>
      </c>
      <c r="W42" s="648">
        <f t="shared" si="15"/>
        <v>1031837.3612471003</v>
      </c>
      <c r="X42" s="648">
        <f t="shared" si="15"/>
        <v>1025798.4497894531</v>
      </c>
      <c r="Y42" s="648">
        <f t="shared" si="15"/>
        <v>1016000.4927184549</v>
      </c>
      <c r="Z42" s="648">
        <f t="shared" si="15"/>
        <v>1007959.6237464505</v>
      </c>
      <c r="AA42" s="648">
        <f t="shared" si="15"/>
        <v>999837.35811116861</v>
      </c>
      <c r="AB42" s="648">
        <f t="shared" si="15"/>
        <v>991632.01091352524</v>
      </c>
      <c r="AC42" s="648">
        <f t="shared" si="15"/>
        <v>983341.87971839821</v>
      </c>
      <c r="AD42" s="648">
        <f t="shared" si="15"/>
        <v>974965.24487189099</v>
      </c>
      <c r="AE42" s="648">
        <f t="shared" si="15"/>
        <v>966500.36984426144</v>
      </c>
      <c r="AF42" s="648">
        <f t="shared" si="15"/>
        <v>957945.50159951241</v>
      </c>
      <c r="AG42" s="648">
        <f t="shared" si="15"/>
        <v>949298.87099266285</v>
      </c>
      <c r="AH42" s="648">
        <f>AH4+AH41-AH39-AH40</f>
        <v>940558.6931957521</v>
      </c>
    </row>
    <row r="43" spans="1:34" s="62" customFormat="1">
      <c r="A43" s="55" t="s">
        <v>400</v>
      </c>
      <c r="B43" s="55" t="s">
        <v>195</v>
      </c>
      <c r="C43" s="95" t="s">
        <v>166</v>
      </c>
      <c r="D43" s="631">
        <f t="shared" ref="D43" si="16">D21</f>
        <v>435529.06307600881</v>
      </c>
      <c r="E43" s="631">
        <f t="shared" ref="E43:AH43" si="17">E21</f>
        <v>433771.66410888144</v>
      </c>
      <c r="F43" s="631">
        <f t="shared" si="17"/>
        <v>432014.26514175406</v>
      </c>
      <c r="G43" s="631">
        <f t="shared" si="17"/>
        <v>430256.86617462669</v>
      </c>
      <c r="H43" s="631">
        <f t="shared" si="17"/>
        <v>428499.46720749931</v>
      </c>
      <c r="I43" s="631">
        <f t="shared" si="17"/>
        <v>426742.06824037194</v>
      </c>
      <c r="J43" s="631">
        <f t="shared" si="17"/>
        <v>424984.66927324457</v>
      </c>
      <c r="K43" s="631">
        <f t="shared" si="17"/>
        <v>423227.27030611725</v>
      </c>
      <c r="L43" s="631">
        <f t="shared" si="17"/>
        <v>421469.87133898982</v>
      </c>
      <c r="M43" s="631">
        <f t="shared" si="17"/>
        <v>419712.47237186244</v>
      </c>
      <c r="N43" s="631">
        <f t="shared" si="17"/>
        <v>417955.07340473507</v>
      </c>
      <c r="O43" s="631">
        <f t="shared" si="17"/>
        <v>415116.14689172426</v>
      </c>
      <c r="P43" s="631">
        <f t="shared" si="17"/>
        <v>412486.9711754907</v>
      </c>
      <c r="Q43" s="631">
        <f t="shared" si="17"/>
        <v>409553.65680393006</v>
      </c>
      <c r="R43" s="631">
        <f t="shared" si="17"/>
        <v>406620.34243236936</v>
      </c>
      <c r="S43" s="631">
        <f t="shared" si="17"/>
        <v>403687.0280608086</v>
      </c>
      <c r="T43" s="631">
        <f t="shared" si="17"/>
        <v>400753.7136892479</v>
      </c>
      <c r="U43" s="631">
        <f t="shared" si="17"/>
        <v>397820.39931768726</v>
      </c>
      <c r="V43" s="631">
        <f t="shared" si="17"/>
        <v>394887.08494612656</v>
      </c>
      <c r="W43" s="631">
        <f t="shared" si="17"/>
        <v>391953.7705745658</v>
      </c>
      <c r="X43" s="631">
        <f t="shared" si="17"/>
        <v>389020.4562030051</v>
      </c>
      <c r="Y43" s="631">
        <f t="shared" si="17"/>
        <v>384304.52573156491</v>
      </c>
      <c r="Z43" s="631">
        <f t="shared" si="17"/>
        <v>381425.41295190406</v>
      </c>
      <c r="AA43" s="631">
        <f t="shared" si="17"/>
        <v>378546.30017224315</v>
      </c>
      <c r="AB43" s="631">
        <f t="shared" si="17"/>
        <v>375667.18739258224</v>
      </c>
      <c r="AC43" s="631">
        <f t="shared" si="17"/>
        <v>372788.07461292134</v>
      </c>
      <c r="AD43" s="631">
        <f t="shared" si="17"/>
        <v>369908.96183326043</v>
      </c>
      <c r="AE43" s="631">
        <f t="shared" si="17"/>
        <v>367029.84905359958</v>
      </c>
      <c r="AF43" s="631">
        <f t="shared" si="17"/>
        <v>364150.73627393867</v>
      </c>
      <c r="AG43" s="631">
        <f t="shared" si="17"/>
        <v>361271.62349427777</v>
      </c>
      <c r="AH43" s="631">
        <f t="shared" si="17"/>
        <v>358392.51071461692</v>
      </c>
    </row>
    <row r="44" spans="1:34" outlineLevel="1">
      <c r="A44"/>
      <c r="B44" t="s">
        <v>262</v>
      </c>
      <c r="C44" s="51" t="s">
        <v>166</v>
      </c>
      <c r="D44" s="196">
        <f>0</f>
        <v>0</v>
      </c>
      <c r="E44" s="196">
        <f>'Propylene Recycling LC'!D56*'Propylene Recycling LC'!D42-'Propylene Recycling LC'!$C$56*'Propylene Recycling LC'!$C$42</f>
        <v>1153.053646510305</v>
      </c>
      <c r="F44" s="196">
        <f>'Propylene Recycling LC'!E56*'Propylene Recycling LC'!E42-'Propylene Recycling LC'!$C$56*'Propylene Recycling LC'!$C$42</f>
        <v>2335.4569822892518</v>
      </c>
      <c r="G44" s="196">
        <f>'Propylene Recycling LC'!F56*'Propylene Recycling LC'!F42-'Propylene Recycling LC'!$C$56*'Propylene Recycling LC'!$C$42</f>
        <v>3546.5735452319514</v>
      </c>
      <c r="H44" s="196">
        <f>'Propylene Recycling LC'!G56*'Propylene Recycling LC'!G42-'Propylene Recycling LC'!$C$56*'Propylene Recycling LC'!$C$42</f>
        <v>4785.7668732335205</v>
      </c>
      <c r="I44" s="196">
        <f>'Propylene Recycling LC'!H56*'Propylene Recycling LC'!H42-'Propylene Recycling LC'!$C$56*'Propylene Recycling LC'!$C$42</f>
        <v>6052.4005041890687</v>
      </c>
      <c r="J44" s="196">
        <f>'Propylene Recycling LC'!I56*'Propylene Recycling LC'!I42-'Propylene Recycling LC'!$C$56*'Propylene Recycling LC'!$C$42</f>
        <v>7345.8379759937143</v>
      </c>
      <c r="K44" s="196">
        <f>'Propylene Recycling LC'!J56*'Propylene Recycling LC'!J42-'Propylene Recycling LC'!$C$56*'Propylene Recycling LC'!$C$42</f>
        <v>8665.4428265425686</v>
      </c>
      <c r="L44" s="196">
        <f>'Propylene Recycling LC'!K56*'Propylene Recycling LC'!K42-'Propylene Recycling LC'!$C$56*'Propylene Recycling LC'!$C$42</f>
        <v>10010.57859373075</v>
      </c>
      <c r="M44" s="196">
        <f>'Propylene Recycling LC'!L56*'Propylene Recycling LC'!L42-'Propylene Recycling LC'!$C$56*'Propylene Recycling LC'!$C$42</f>
        <v>11380.60881545337</v>
      </c>
      <c r="N44" s="196">
        <f>'Propylene Recycling LC'!M56*'Propylene Recycling LC'!M42-'Propylene Recycling LC'!$C$56*'Propylene Recycling LC'!$C$42</f>
        <v>12774.897029605536</v>
      </c>
      <c r="O44" s="196">
        <f>'Propylene Recycling LC'!N56*'Propylene Recycling LC'!N42-'Propylene Recycling LC'!$C$56*'Propylene Recycling LC'!$C$42</f>
        <v>15060.694301364021</v>
      </c>
      <c r="P44" s="196">
        <f>'Propylene Recycling LC'!O56*'Propylene Recycling LC'!O42-'Propylene Recycling LC'!$C$56*'Propylene Recycling LC'!$C$42</f>
        <v>17395.647333455359</v>
      </c>
      <c r="Q44" s="196">
        <f>'Propylene Recycling LC'!P56*'Propylene Recycling LC'!P42-'Propylene Recycling LC'!$C$56*'Propylene Recycling LC'!$C$42</f>
        <v>19733.756406035842</v>
      </c>
      <c r="R44" s="196">
        <f>'Propylene Recycling LC'!Q56*'Propylene Recycling LC'!Q42-'Propylene Recycling LC'!$C$56*'Propylene Recycling LC'!$C$42</f>
        <v>22097.301464024393</v>
      </c>
      <c r="S44" s="196">
        <f>'Propylene Recycling LC'!R56*'Propylene Recycling LC'!R42-'Propylene Recycling LC'!$C$56*'Propylene Recycling LC'!$C$42</f>
        <v>24484.231750894185</v>
      </c>
      <c r="T44" s="196">
        <f>'Propylene Recycling LC'!S56*'Propylene Recycling LC'!S42-'Propylene Recycling LC'!$C$56*'Propylene Recycling LC'!$C$42</f>
        <v>26892.49651011837</v>
      </c>
      <c r="U44" s="196">
        <f>'Propylene Recycling LC'!T56*'Propylene Recycling LC'!T42-'Propylene Recycling LC'!$C$56*'Propylene Recycling LC'!$C$42</f>
        <v>29320.044985170163</v>
      </c>
      <c r="V44" s="196">
        <f>'Propylene Recycling LC'!U56*'Propylene Recycling LC'!U42-'Propylene Recycling LC'!$C$56*'Propylene Recycling LC'!$C$42</f>
        <v>31764.82641952268</v>
      </c>
      <c r="W44" s="196">
        <f>'Propylene Recycling LC'!V56*'Propylene Recycling LC'!V42-'Propylene Recycling LC'!$C$56*'Propylene Recycling LC'!$C$42</f>
        <v>34224.790056649101</v>
      </c>
      <c r="X44" s="196">
        <f>'Propylene Recycling LC'!W56*'Propylene Recycling LC'!W42-'Propylene Recycling LC'!$C$56*'Propylene Recycling LC'!$C$42</f>
        <v>36697.885140022598</v>
      </c>
      <c r="Y44" s="196">
        <f>'Propylene Recycling LC'!X56*'Propylene Recycling LC'!X42-'Propylene Recycling LC'!$C$56*'Propylene Recycling LC'!$C$42</f>
        <v>40569.393880440381</v>
      </c>
      <c r="Z44" s="196">
        <f>'Propylene Recycling LC'!Y56*'Propylene Recycling LC'!Y42-'Propylene Recycling LC'!$C$56*'Propylene Recycling LC'!$C$42</f>
        <v>44752.389096714709</v>
      </c>
      <c r="AA44" s="196">
        <f>'Propylene Recycling LC'!Z56*'Propylene Recycling LC'!Z42-'Propylene Recycling LC'!$C$56*'Propylene Recycling LC'!$C$42</f>
        <v>48960.895721286579</v>
      </c>
      <c r="AB44" s="196">
        <f>'Propylene Recycling LC'!AA56*'Propylene Recycling LC'!AA42-'Propylene Recycling LC'!$C$56*'Propylene Recycling LC'!$C$42</f>
        <v>53191.343103628671</v>
      </c>
      <c r="AC44" s="196">
        <f>'Propylene Recycling LC'!AB56*'Propylene Recycling LC'!AB42-'Propylene Recycling LC'!$C$56*'Propylene Recycling LC'!$C$42</f>
        <v>57440.160593213666</v>
      </c>
      <c r="AD44" s="196">
        <f>'Propylene Recycling LC'!AC56*'Propylene Recycling LC'!AC42-'Propylene Recycling LC'!$C$56*'Propylene Recycling LC'!$C$42</f>
        <v>61703.777539514245</v>
      </c>
      <c r="AE44" s="196">
        <f>'Propylene Recycling LC'!AD56*'Propylene Recycling LC'!AD42-'Propylene Recycling LC'!$C$56*'Propylene Recycling LC'!$C$42</f>
        <v>65978.623292003103</v>
      </c>
      <c r="AF44" s="196">
        <f>'Propylene Recycling LC'!AE56*'Propylene Recycling LC'!AE42-'Propylene Recycling LC'!$C$56*'Propylene Recycling LC'!$C$42</f>
        <v>70261.127200152929</v>
      </c>
      <c r="AG44" s="196">
        <f>'Propylene Recycling LC'!AF56*'Propylene Recycling LC'!AF42-'Propylene Recycling LC'!$C$56*'Propylene Recycling LC'!$C$42</f>
        <v>74547.718613436387</v>
      </c>
      <c r="AH44" s="196">
        <f>'Propylene Recycling LC'!AG56*'Propylene Recycling LC'!AG42-'Propylene Recycling LC'!$C$56*'Propylene Recycling LC'!$C$42</f>
        <v>78834.826881326371</v>
      </c>
    </row>
    <row r="45" spans="1:34" outlineLevel="1">
      <c r="A45"/>
      <c r="B45" s="169" t="s">
        <v>265</v>
      </c>
      <c r="C45" s="51" t="s">
        <v>166</v>
      </c>
      <c r="D45" s="196">
        <f>0</f>
        <v>0</v>
      </c>
      <c r="E45" s="196">
        <f>'Propylene Recycling LC'!D74*'Propylene Recycling LC'!D43-'Propylene Recycling LC'!$C$74*'Propylene Recycling LC'!$C$43</f>
        <v>117.85987879922567</v>
      </c>
      <c r="F45" s="196">
        <f>'Propylene Recycling LC'!E74*'Propylene Recycling LC'!E43-'Propylene Recycling LC'!$C$74*'Propylene Recycling LC'!$C$43</f>
        <v>232.68894121799116</v>
      </c>
      <c r="G45" s="196">
        <f>'Propylene Recycling LC'!F74*'Propylene Recycling LC'!F43-'Propylene Recycling LC'!$C$74*'Propylene Recycling LC'!$C$43</f>
        <v>344.50471453297297</v>
      </c>
      <c r="H45" s="196">
        <f>'Propylene Recycling LC'!G74*'Propylene Recycling LC'!G43-'Propylene Recycling LC'!$C$74*'Propylene Recycling LC'!$C$43</f>
        <v>453.32472602084641</v>
      </c>
      <c r="I45" s="196">
        <f>'Propylene Recycling LC'!H74*'Propylene Recycling LC'!H43-'Propylene Recycling LC'!$C$74*'Propylene Recycling LC'!$C$43</f>
        <v>559.16650295828777</v>
      </c>
      <c r="J45" s="196">
        <f>'Propylene Recycling LC'!I74*'Propylene Recycling LC'!I43-'Propylene Recycling LC'!$C$74*'Propylene Recycling LC'!$C$43</f>
        <v>662.04757262197222</v>
      </c>
      <c r="K45" s="196">
        <f>'Propylene Recycling LC'!J74*'Propylene Recycling LC'!J43-'Propylene Recycling LC'!$C$74*'Propylene Recycling LC'!$C$43</f>
        <v>761.98546228857663</v>
      </c>
      <c r="L45" s="196">
        <f>'Propylene Recycling LC'!K74*'Propylene Recycling LC'!K43-'Propylene Recycling LC'!$C$74*'Propylene Recycling LC'!$C$43</f>
        <v>858.99769923477652</v>
      </c>
      <c r="M45" s="196">
        <f>'Propylene Recycling LC'!L74*'Propylene Recycling LC'!L43-'Propylene Recycling LC'!$C$74*'Propylene Recycling LC'!$C$43</f>
        <v>953.10181073724766</v>
      </c>
      <c r="N45" s="196">
        <f>'Propylene Recycling LC'!M74*'Propylene Recycling LC'!M43-'Propylene Recycling LC'!$C$74*'Propylene Recycling LC'!$C$43</f>
        <v>1044.3153240726651</v>
      </c>
      <c r="O45" s="196">
        <f>'Propylene Recycling LC'!N74*'Propylene Recycling LC'!N43-'Propylene Recycling LC'!$C$74*'Propylene Recycling LC'!$C$43</f>
        <v>1231.1280946858237</v>
      </c>
      <c r="P45" s="196">
        <f>'Propylene Recycling LC'!O74*'Propylene Recycling LC'!O43-'Propylene Recycling LC'!$C$74*'Propylene Recycling LC'!$C$43</f>
        <v>1412.4244936783134</v>
      </c>
      <c r="Q45" s="196">
        <f>'Propylene Recycling LC'!P74*'Propylene Recycling LC'!P43-'Propylene Recycling LC'!$C$74*'Propylene Recycling LC'!$C$43</f>
        <v>1581.2185230497673</v>
      </c>
      <c r="R45" s="196">
        <f>'Propylene Recycling LC'!Q74*'Propylene Recycling LC'!Q43-'Propylene Recycling LC'!$C$74*'Propylene Recycling LC'!$C$43</f>
        <v>1743.3861208644828</v>
      </c>
      <c r="S45" s="196">
        <f>'Propylene Recycling LC'!R74*'Propylene Recycling LC'!R43-'Propylene Recycling LC'!$C$74*'Propylene Recycling LC'!$C$43</f>
        <v>1899.0124161932183</v>
      </c>
      <c r="T45" s="196">
        <f>'Propylene Recycling LC'!S74*'Propylene Recycling LC'!S43-'Propylene Recycling LC'!$C$74*'Propylene Recycling LC'!$C$43</f>
        <v>2048.1823835624746</v>
      </c>
      <c r="U45" s="196">
        <f>'Propylene Recycling LC'!T74*'Propylene Recycling LC'!T43-'Propylene Recycling LC'!$C$74*'Propylene Recycling LC'!$C$43</f>
        <v>2190.9808359477511</v>
      </c>
      <c r="V45" s="196">
        <f>'Propylene Recycling LC'!U74*'Propylene Recycling LC'!U43-'Propylene Recycling LC'!$C$74*'Propylene Recycling LC'!$C$43</f>
        <v>2327.4924178223705</v>
      </c>
      <c r="W45" s="196">
        <f>'Propylene Recycling LC'!V74*'Propylene Recycling LC'!V43-'Propylene Recycling LC'!$C$74*'Propylene Recycling LC'!$C$43</f>
        <v>2457.8015982618699</v>
      </c>
      <c r="X45" s="196">
        <f>'Propylene Recycling LC'!W74*'Propylene Recycling LC'!W43-'Propylene Recycling LC'!$C$74*'Propylene Recycling LC'!$C$43</f>
        <v>2581.9926641039706</v>
      </c>
      <c r="Y45" s="196">
        <f>'Propylene Recycling LC'!X74*'Propylene Recycling LC'!X43-'Propylene Recycling LC'!$C$74*'Propylene Recycling LC'!$C$43</f>
        <v>2834.5785169311971</v>
      </c>
      <c r="Z45" s="196">
        <f>'Propylene Recycling LC'!Y74*'Propylene Recycling LC'!Y43-'Propylene Recycling LC'!$C$74*'Propylene Recycling LC'!$C$43</f>
        <v>3076.2445922263128</v>
      </c>
      <c r="AA45" s="196">
        <f>'Propylene Recycling LC'!Z74*'Propylene Recycling LC'!Z43-'Propylene Recycling LC'!$C$74*'Propylene Recycling LC'!$C$43</f>
        <v>3276.0755089973086</v>
      </c>
      <c r="AB45" s="196">
        <f>'Propylene Recycling LC'!AA74*'Propylene Recycling LC'!AA43-'Propylene Recycling LC'!$C$74*'Propylene Recycling LC'!$C$43</f>
        <v>3461.3344012384941</v>
      </c>
      <c r="AC45" s="196">
        <f>'Propylene Recycling LC'!AB74*'Propylene Recycling LC'!AB43-'Propylene Recycling LC'!$C$74*'Propylene Recycling LC'!$C$43</f>
        <v>3632.3790097645992</v>
      </c>
      <c r="AD45" s="196">
        <f>'Propylene Recycling LC'!AC74*'Propylene Recycling LC'!AC43-'Propylene Recycling LC'!$C$74*'Propylene Recycling LC'!$C$43</f>
        <v>3789.5676379430192</v>
      </c>
      <c r="AE45" s="196">
        <f>'Propylene Recycling LC'!AD74*'Propylene Recycling LC'!AD43-'Propylene Recycling LC'!$C$74*'Propylene Recycling LC'!$C$43</f>
        <v>3933.258965608718</v>
      </c>
      <c r="AF45" s="196">
        <f>'Propylene Recycling LC'!AE74*'Propylene Recycling LC'!AE43-'Propylene Recycling LC'!$C$74*'Propylene Recycling LC'!$C$43</f>
        <v>4063.8118651949057</v>
      </c>
      <c r="AG45" s="196">
        <f>'Propylene Recycling LC'!AF74*'Propylene Recycling LC'!AF43-'Propylene Recycling LC'!$C$74*'Propylene Recycling LC'!$C$43</f>
        <v>4181.5852200794598</v>
      </c>
      <c r="AH45" s="196">
        <f>'Propylene Recycling LC'!AG74*'Propylene Recycling LC'!AG43-'Propylene Recycling LC'!$C$74*'Propylene Recycling LC'!$C$43</f>
        <v>639.70382984529192</v>
      </c>
    </row>
    <row r="46" spans="1:34" s="63" customFormat="1">
      <c r="A46" s="59"/>
      <c r="B46" s="59" t="s">
        <v>263</v>
      </c>
      <c r="C46" s="60" t="s">
        <v>166</v>
      </c>
      <c r="D46" s="636">
        <f>D43-D44-D45</f>
        <v>435529.06307600881</v>
      </c>
      <c r="E46" s="636">
        <f t="shared" ref="E46:AH46" si="18">E43-E44-E45</f>
        <v>432500.75058357191</v>
      </c>
      <c r="F46" s="636">
        <f t="shared" si="18"/>
        <v>429446.11921824678</v>
      </c>
      <c r="G46" s="636">
        <f t="shared" si="18"/>
        <v>426365.78791486175</v>
      </c>
      <c r="H46" s="636">
        <f t="shared" si="18"/>
        <v>423260.37560824491</v>
      </c>
      <c r="I46" s="636">
        <f t="shared" si="18"/>
        <v>420130.50123322458</v>
      </c>
      <c r="J46" s="636">
        <f t="shared" si="18"/>
        <v>416976.78372462891</v>
      </c>
      <c r="K46" s="636">
        <f t="shared" si="18"/>
        <v>413799.84201728605</v>
      </c>
      <c r="L46" s="636">
        <f t="shared" si="18"/>
        <v>410600.29504602432</v>
      </c>
      <c r="M46" s="636">
        <f t="shared" si="18"/>
        <v>407378.76174567186</v>
      </c>
      <c r="N46" s="636">
        <f t="shared" si="18"/>
        <v>404135.86105105688</v>
      </c>
      <c r="O46" s="636">
        <f t="shared" si="18"/>
        <v>398824.3244956744</v>
      </c>
      <c r="P46" s="636">
        <f t="shared" si="18"/>
        <v>393678.89934835705</v>
      </c>
      <c r="Q46" s="636">
        <f t="shared" si="18"/>
        <v>388238.68187484442</v>
      </c>
      <c r="R46" s="636">
        <f t="shared" si="18"/>
        <v>382779.65484748047</v>
      </c>
      <c r="S46" s="636">
        <f t="shared" si="18"/>
        <v>377303.78389372124</v>
      </c>
      <c r="T46" s="636">
        <f t="shared" si="18"/>
        <v>371813.03479556704</v>
      </c>
      <c r="U46" s="636">
        <f t="shared" si="18"/>
        <v>366309.37349656934</v>
      </c>
      <c r="V46" s="636">
        <f t="shared" si="18"/>
        <v>360794.76610878151</v>
      </c>
      <c r="W46" s="636">
        <f t="shared" si="18"/>
        <v>355271.17891965486</v>
      </c>
      <c r="X46" s="636">
        <f t="shared" si="18"/>
        <v>349740.57839887851</v>
      </c>
      <c r="Y46" s="636">
        <f t="shared" si="18"/>
        <v>340900.5533341933</v>
      </c>
      <c r="Z46" s="636">
        <f t="shared" si="18"/>
        <v>333596.77926296304</v>
      </c>
      <c r="AA46" s="636">
        <f t="shared" si="18"/>
        <v>326309.32894195925</v>
      </c>
      <c r="AB46" s="636">
        <f t="shared" si="18"/>
        <v>319014.5098877151</v>
      </c>
      <c r="AC46" s="636">
        <f t="shared" si="18"/>
        <v>311715.53500994307</v>
      </c>
      <c r="AD46" s="636">
        <f t="shared" si="18"/>
        <v>304415.61665580317</v>
      </c>
      <c r="AE46" s="636">
        <f t="shared" si="18"/>
        <v>297117.96679598774</v>
      </c>
      <c r="AF46" s="636">
        <f t="shared" si="18"/>
        <v>289825.79720859078</v>
      </c>
      <c r="AG46" s="636">
        <f t="shared" si="18"/>
        <v>282542.31966076192</v>
      </c>
      <c r="AH46" s="636">
        <f t="shared" si="18"/>
        <v>278917.98000344523</v>
      </c>
    </row>
    <row r="47" spans="1:34" s="62" customFormat="1">
      <c r="A47" s="55" t="s">
        <v>258</v>
      </c>
      <c r="B47" s="55" t="s">
        <v>195</v>
      </c>
      <c r="C47" s="95" t="s">
        <v>166</v>
      </c>
      <c r="D47" s="631">
        <f>D13</f>
        <v>185951.33244226652</v>
      </c>
      <c r="E47" s="631">
        <f t="shared" ref="E47:AH47" si="19">E13</f>
        <v>188790.83119641434</v>
      </c>
      <c r="F47" s="631">
        <f t="shared" si="19"/>
        <v>191672.76281881766</v>
      </c>
      <c r="G47" s="631">
        <f t="shared" si="19"/>
        <v>194597.74515246463</v>
      </c>
      <c r="H47" s="631">
        <f t="shared" si="19"/>
        <v>197566.40474606119</v>
      </c>
      <c r="I47" s="631">
        <f t="shared" si="19"/>
        <v>200579.37697141344</v>
      </c>
      <c r="J47" s="631">
        <f t="shared" si="19"/>
        <v>203637.30614229338</v>
      </c>
      <c r="K47" s="631">
        <f t="shared" si="19"/>
        <v>206740.84563480612</v>
      </c>
      <c r="L47" s="631">
        <f t="shared" si="19"/>
        <v>209890.65800927486</v>
      </c>
      <c r="M47" s="631">
        <f t="shared" si="19"/>
        <v>213087.41513366107</v>
      </c>
      <c r="N47" s="631">
        <f t="shared" si="19"/>
        <v>216331.79830853679</v>
      </c>
      <c r="O47" s="631">
        <f t="shared" si="19"/>
        <v>219069.44197871847</v>
      </c>
      <c r="P47" s="631">
        <f t="shared" si="19"/>
        <v>221830.33897155485</v>
      </c>
      <c r="Q47" s="631">
        <f t="shared" si="19"/>
        <v>224614.45114362118</v>
      </c>
      <c r="R47" s="631">
        <f t="shared" si="19"/>
        <v>227421.73316840341</v>
      </c>
      <c r="S47" s="631">
        <f t="shared" si="19"/>
        <v>230252.13234231286</v>
      </c>
      <c r="T47" s="631">
        <f t="shared" si="19"/>
        <v>233105.5883872727</v>
      </c>
      <c r="U47" s="631">
        <f t="shared" si="19"/>
        <v>235982.03324984311</v>
      </c>
      <c r="V47" s="631">
        <f t="shared" si="19"/>
        <v>238881.39089684997</v>
      </c>
      <c r="W47" s="631">
        <f t="shared" si="19"/>
        <v>241803.5771074834</v>
      </c>
      <c r="X47" s="631">
        <f t="shared" si="19"/>
        <v>244748.49926183285</v>
      </c>
      <c r="Y47" s="631">
        <f t="shared" si="19"/>
        <v>245816.37233414361</v>
      </c>
      <c r="Z47" s="631">
        <f t="shared" si="19"/>
        <v>246844.20677313881</v>
      </c>
      <c r="AA47" s="631">
        <f t="shared" si="19"/>
        <v>247830.74992952473</v>
      </c>
      <c r="AB47" s="631">
        <f t="shared" si="19"/>
        <v>248774.73394504812</v>
      </c>
      <c r="AC47" s="631">
        <f t="shared" si="19"/>
        <v>249674.87601435179</v>
      </c>
      <c r="AD47" s="631">
        <f t="shared" si="19"/>
        <v>250529.87866973551</v>
      </c>
      <c r="AE47" s="631">
        <f t="shared" si="19"/>
        <v>251338.43008973208</v>
      </c>
      <c r="AF47" s="631">
        <f t="shared" si="19"/>
        <v>252099.20443243562</v>
      </c>
      <c r="AG47" s="631">
        <f t="shared" si="19"/>
        <v>252810.86219454973</v>
      </c>
      <c r="AH47" s="631">
        <f t="shared" si="19"/>
        <v>253472.05059715227</v>
      </c>
    </row>
    <row r="48" spans="1:34" outlineLevel="1">
      <c r="A48"/>
      <c r="B48" t="s">
        <v>262</v>
      </c>
      <c r="C48" s="51" t="s">
        <v>166</v>
      </c>
      <c r="D48" s="196">
        <f>0</f>
        <v>0</v>
      </c>
      <c r="E48" s="196">
        <f>'Propylene Recycling LC'!D71*'Propylene Recycling LC'!D43-'Propylene Recycling LC'!$C$71*'Propylene Recycling LC'!$C$43</f>
        <v>98.060220095894692</v>
      </c>
      <c r="F48" s="196">
        <f>'Propylene Recycling LC'!E71*'Propylene Recycling LC'!E43-'Propylene Recycling LC'!$C$71*'Propylene Recycling LC'!$C$43</f>
        <v>198.90637582910006</v>
      </c>
      <c r="G48" s="196">
        <f>'Propylene Recycling LC'!F71*'Propylene Recycling LC'!F43-'Propylene Recycling LC'!$C$71*'Propylene Recycling LC'!$C$43</f>
        <v>302.39240656065078</v>
      </c>
      <c r="H48" s="196">
        <f>'Propylene Recycling LC'!G71*'Propylene Recycling LC'!G43-'Propylene Recycling LC'!$C$71*'Propylene Recycling LC'!$C$43</f>
        <v>408.37225165158077</v>
      </c>
      <c r="I48" s="196">
        <f>'Propylene Recycling LC'!H71*'Propylene Recycling LC'!H43-'Propylene Recycling LC'!$C$71*'Propylene Recycling LC'!$C$43</f>
        <v>516.6998504629247</v>
      </c>
      <c r="J48" s="196">
        <f>'Propylene Recycling LC'!I71*'Propylene Recycling LC'!I43-'Propylene Recycling LC'!$C$71*'Propylene Recycling LC'!$C$43</f>
        <v>627.22914235571625</v>
      </c>
      <c r="K48" s="196">
        <f>'Propylene Recycling LC'!J71*'Propylene Recycling LC'!J43-'Propylene Recycling LC'!$C$71*'Propylene Recycling LC'!$C$43</f>
        <v>739.81406669099022</v>
      </c>
      <c r="L48" s="196">
        <f>'Propylene Recycling LC'!K71*'Propylene Recycling LC'!K43-'Propylene Recycling LC'!$C$71*'Propylene Recycling LC'!$C$43</f>
        <v>854.30856282978095</v>
      </c>
      <c r="M48" s="196">
        <f>'Propylene Recycling LC'!L71*'Propylene Recycling LC'!L43-'Propylene Recycling LC'!$C$71*'Propylene Recycling LC'!$C$43</f>
        <v>970.56657013312213</v>
      </c>
      <c r="N48" s="196">
        <f>'Propylene Recycling LC'!M71*'Propylene Recycling LC'!M43-'Propylene Recycling LC'!$C$71*'Propylene Recycling LC'!$C$43</f>
        <v>1088.4420279620485</v>
      </c>
      <c r="O48" s="196">
        <f>'Propylene Recycling LC'!N71*'Propylene Recycling LC'!N43-'Propylene Recycling LC'!$C$71*'Propylene Recycling LC'!$C$43</f>
        <v>1302.86707983223</v>
      </c>
      <c r="P48" s="196">
        <f>'Propylene Recycling LC'!O71*'Propylene Recycling LC'!O43-'Propylene Recycling LC'!$C$71*'Propylene Recycling LC'!$C$43</f>
        <v>1520.426803972844</v>
      </c>
      <c r="Q48" s="196">
        <f>'Propylene Recycling LC'!P71*'Propylene Recycling LC'!P43-'Propylene Recycling LC'!$C$71*'Propylene Recycling LC'!$C$43</f>
        <v>1733.7481534001186</v>
      </c>
      <c r="R48" s="196">
        <f>'Propylene Recycling LC'!Q71*'Propylene Recycling LC'!Q43-'Propylene Recycling LC'!$C$71*'Propylene Recycling LC'!$C$43</f>
        <v>1948.1115748945076</v>
      </c>
      <c r="S48" s="196">
        <f>'Propylene Recycling LC'!R71*'Propylene Recycling LC'!R43-'Propylene Recycling LC'!$C$71*'Propylene Recycling LC'!$C$43</f>
        <v>2163.2101955128528</v>
      </c>
      <c r="T48" s="196">
        <f>'Propylene Recycling LC'!S71*'Propylene Recycling LC'!S43-'Propylene Recycling LC'!$C$71*'Propylene Recycling LC'!$C$43</f>
        <v>2378.7409159974673</v>
      </c>
      <c r="U48" s="196">
        <f>'Propylene Recycling LC'!T71*'Propylene Recycling LC'!T43-'Propylene Recycling LC'!$C$71*'Propylene Recycling LC'!$C$43</f>
        <v>2594.4044335440176</v>
      </c>
      <c r="V48" s="196">
        <f>'Propylene Recycling LC'!U71*'Propylene Recycling LC'!U43-'Propylene Recycling LC'!$C$71*'Propylene Recycling LC'!$C$43</f>
        <v>2809.9052641063204</v>
      </c>
      <c r="W48" s="196">
        <f>'Propylene Recycling LC'!V71*'Propylene Recycling LC'!V43-'Propylene Recycling LC'!$C$71*'Propylene Recycling LC'!$C$43</f>
        <v>3024.9517642380697</v>
      </c>
      <c r="X48" s="196">
        <f>'Propylene Recycling LC'!W71*'Propylene Recycling LC'!W43-'Propylene Recycling LC'!$C$71*'Propylene Recycling LC'!$C$43</f>
        <v>3239.2561524714706</v>
      </c>
      <c r="Y48" s="196">
        <f>'Propylene Recycling LC'!X71*'Propylene Recycling LC'!X43-'Propylene Recycling LC'!$C$71*'Propylene Recycling LC'!$C$43</f>
        <v>3613.3008240461181</v>
      </c>
      <c r="Z48" s="196">
        <f>'Propylene Recycling LC'!Y71*'Propylene Recycling LC'!Y43-'Propylene Recycling LC'!$C$71*'Propylene Recycling LC'!$C$43</f>
        <v>3986.3419641585697</v>
      </c>
      <c r="AA48" s="196">
        <f>'Propylene Recycling LC'!Z71*'Propylene Recycling LC'!Z43-'Propylene Recycling LC'!$C$71*'Propylene Recycling LC'!$C$43</f>
        <v>4319.2528894726684</v>
      </c>
      <c r="AB48" s="196">
        <f>'Propylene Recycling LC'!AA71*'Propylene Recycling LC'!AA43-'Propylene Recycling LC'!$C$71*'Propylene Recycling LC'!$C$43</f>
        <v>4643.6724593326817</v>
      </c>
      <c r="AC48" s="196">
        <f>'Propylene Recycling LC'!AB71*'Propylene Recycling LC'!AB43-'Propylene Recycling LC'!$C$71*'Propylene Recycling LC'!$C$43</f>
        <v>4959.0872519479008</v>
      </c>
      <c r="AD48" s="196">
        <f>'Propylene Recycling LC'!AC71*'Propylene Recycling LC'!AC43-'Propylene Recycling LC'!$C$71*'Propylene Recycling LC'!$C$43</f>
        <v>5265.0093487735767</v>
      </c>
      <c r="AE48" s="196">
        <f>'Propylene Recycling LC'!AD71*'Propylene Recycling LC'!AD43-'Propylene Recycling LC'!$C$71*'Propylene Recycling LC'!$C$43</f>
        <v>5560.9764648625942</v>
      </c>
      <c r="AF48" s="196">
        <f>'Propylene Recycling LC'!AE71*'Propylene Recycling LC'!AE43-'Propylene Recycling LC'!$C$71*'Propylene Recycling LC'!$C$43</f>
        <v>5846.5520607524859</v>
      </c>
      <c r="AG48" s="196">
        <f>'Propylene Recycling LC'!AF71*'Propylene Recycling LC'!AF43-'Propylene Recycling LC'!$C$71*'Propylene Recycling LC'!$C$43</f>
        <v>6121.3254358878221</v>
      </c>
      <c r="AH48" s="196">
        <f>'Propylene Recycling LC'!AG71*'Propylene Recycling LC'!AG43-'Propylene Recycling LC'!$C$71*'Propylene Recycling LC'!$C$43</f>
        <v>36778.527764426319</v>
      </c>
    </row>
    <row r="49" spans="1:34" s="63" customFormat="1">
      <c r="A49" s="59"/>
      <c r="B49" s="59" t="s">
        <v>263</v>
      </c>
      <c r="C49" s="60" t="s">
        <v>166</v>
      </c>
      <c r="D49" s="636">
        <f>D47-D48</f>
        <v>185951.33244226652</v>
      </c>
      <c r="E49" s="636">
        <f t="shared" ref="E49:AH49" si="20">E47-E48</f>
        <v>188692.77097631845</v>
      </c>
      <c r="F49" s="636">
        <f t="shared" si="20"/>
        <v>191473.85644298856</v>
      </c>
      <c r="G49" s="636">
        <f t="shared" si="20"/>
        <v>194295.35274590398</v>
      </c>
      <c r="H49" s="636">
        <f t="shared" si="20"/>
        <v>197158.03249440962</v>
      </c>
      <c r="I49" s="636">
        <f t="shared" si="20"/>
        <v>200062.67712095051</v>
      </c>
      <c r="J49" s="636">
        <f t="shared" si="20"/>
        <v>203010.07699993768</v>
      </c>
      <c r="K49" s="636">
        <f t="shared" si="20"/>
        <v>206001.03156811511</v>
      </c>
      <c r="L49" s="636">
        <f t="shared" si="20"/>
        <v>209036.34944644509</v>
      </c>
      <c r="M49" s="636">
        <f t="shared" si="20"/>
        <v>212116.84856352795</v>
      </c>
      <c r="N49" s="636">
        <f t="shared" si="20"/>
        <v>215243.35628057475</v>
      </c>
      <c r="O49" s="636">
        <f t="shared" si="20"/>
        <v>217766.57489888623</v>
      </c>
      <c r="P49" s="636">
        <f t="shared" si="20"/>
        <v>220309.91216758202</v>
      </c>
      <c r="Q49" s="636">
        <f t="shared" si="20"/>
        <v>222880.70299022106</v>
      </c>
      <c r="R49" s="636">
        <f t="shared" si="20"/>
        <v>225473.6215935089</v>
      </c>
      <c r="S49" s="636">
        <f t="shared" si="20"/>
        <v>228088.9221468</v>
      </c>
      <c r="T49" s="636">
        <f t="shared" si="20"/>
        <v>230726.84747127522</v>
      </c>
      <c r="U49" s="636">
        <f t="shared" si="20"/>
        <v>233387.62881629908</v>
      </c>
      <c r="V49" s="636">
        <f t="shared" si="20"/>
        <v>236071.48563274366</v>
      </c>
      <c r="W49" s="636">
        <f t="shared" si="20"/>
        <v>238778.62534324534</v>
      </c>
      <c r="X49" s="636">
        <f t="shared" si="20"/>
        <v>241509.24310936138</v>
      </c>
      <c r="Y49" s="636">
        <f t="shared" si="20"/>
        <v>242203.07151009751</v>
      </c>
      <c r="Z49" s="636">
        <f t="shared" si="20"/>
        <v>242857.86480898023</v>
      </c>
      <c r="AA49" s="636">
        <f t="shared" si="20"/>
        <v>243511.49704005205</v>
      </c>
      <c r="AB49" s="636">
        <f t="shared" si="20"/>
        <v>244131.06148571544</v>
      </c>
      <c r="AC49" s="636">
        <f t="shared" si="20"/>
        <v>244715.78876240388</v>
      </c>
      <c r="AD49" s="636">
        <f t="shared" si="20"/>
        <v>245264.86932096194</v>
      </c>
      <c r="AE49" s="636">
        <f t="shared" si="20"/>
        <v>245777.45362486949</v>
      </c>
      <c r="AF49" s="636">
        <f t="shared" si="20"/>
        <v>246252.65237168313</v>
      </c>
      <c r="AG49" s="636">
        <f t="shared" si="20"/>
        <v>246689.53675866191</v>
      </c>
      <c r="AH49" s="636">
        <f t="shared" si="20"/>
        <v>216693.52283272595</v>
      </c>
    </row>
    <row r="50" spans="1:34" s="62" customFormat="1">
      <c r="A50" s="55" t="s">
        <v>532</v>
      </c>
      <c r="B50" s="55" t="s">
        <v>195</v>
      </c>
      <c r="C50" s="95" t="s">
        <v>166</v>
      </c>
      <c r="D50" s="631">
        <f>D31</f>
        <v>0</v>
      </c>
      <c r="E50" s="631">
        <f t="shared" ref="E50:AH50" si="21">E31</f>
        <v>0</v>
      </c>
      <c r="F50" s="631">
        <f t="shared" si="21"/>
        <v>0</v>
      </c>
      <c r="G50" s="631">
        <f t="shared" si="21"/>
        <v>0</v>
      </c>
      <c r="H50" s="631">
        <f t="shared" si="21"/>
        <v>0</v>
      </c>
      <c r="I50" s="631">
        <f t="shared" si="21"/>
        <v>0</v>
      </c>
      <c r="J50" s="631">
        <f t="shared" si="21"/>
        <v>0</v>
      </c>
      <c r="K50" s="631">
        <f t="shared" si="21"/>
        <v>0</v>
      </c>
      <c r="L50" s="631">
        <f t="shared" si="21"/>
        <v>0</v>
      </c>
      <c r="M50" s="631">
        <f t="shared" si="21"/>
        <v>0</v>
      </c>
      <c r="N50" s="631">
        <f t="shared" si="21"/>
        <v>0</v>
      </c>
      <c r="O50" s="631">
        <f t="shared" si="21"/>
        <v>0</v>
      </c>
      <c r="P50" s="631">
        <f t="shared" si="21"/>
        <v>0</v>
      </c>
      <c r="Q50" s="631">
        <f t="shared" si="21"/>
        <v>0</v>
      </c>
      <c r="R50" s="631">
        <f t="shared" si="21"/>
        <v>0</v>
      </c>
      <c r="S50" s="631">
        <f t="shared" si="21"/>
        <v>0</v>
      </c>
      <c r="T50" s="631">
        <f t="shared" si="21"/>
        <v>0</v>
      </c>
      <c r="U50" s="631">
        <f t="shared" si="21"/>
        <v>0</v>
      </c>
      <c r="V50" s="631">
        <f t="shared" si="21"/>
        <v>0</v>
      </c>
      <c r="W50" s="631">
        <f t="shared" si="21"/>
        <v>0</v>
      </c>
      <c r="X50" s="631">
        <f t="shared" si="21"/>
        <v>0</v>
      </c>
      <c r="Y50" s="631">
        <f t="shared" si="21"/>
        <v>0</v>
      </c>
      <c r="Z50" s="631">
        <f t="shared" si="21"/>
        <v>0</v>
      </c>
      <c r="AA50" s="631">
        <f t="shared" si="21"/>
        <v>0</v>
      </c>
      <c r="AB50" s="631">
        <f t="shared" si="21"/>
        <v>0</v>
      </c>
      <c r="AC50" s="631">
        <f t="shared" si="21"/>
        <v>0</v>
      </c>
      <c r="AD50" s="631">
        <f t="shared" si="21"/>
        <v>0</v>
      </c>
      <c r="AE50" s="631">
        <f t="shared" si="21"/>
        <v>0</v>
      </c>
      <c r="AF50" s="631">
        <f t="shared" si="21"/>
        <v>0</v>
      </c>
      <c r="AG50" s="631">
        <f t="shared" si="21"/>
        <v>0</v>
      </c>
      <c r="AH50" s="631">
        <f t="shared" si="21"/>
        <v>0</v>
      </c>
    </row>
    <row r="51" spans="1:34" outlineLevel="1">
      <c r="A51"/>
      <c r="B51" t="s">
        <v>262</v>
      </c>
      <c r="C51" s="51" t="s">
        <v>166</v>
      </c>
      <c r="D51" s="196">
        <f>0</f>
        <v>0</v>
      </c>
      <c r="E51" s="196">
        <f>0</f>
        <v>0</v>
      </c>
      <c r="F51" s="196">
        <f>0</f>
        <v>0</v>
      </c>
      <c r="G51" s="196">
        <f>0</f>
        <v>0</v>
      </c>
      <c r="H51" s="196">
        <f>0</f>
        <v>0</v>
      </c>
      <c r="I51" s="196">
        <f>0</f>
        <v>0</v>
      </c>
      <c r="J51" s="196">
        <f>0</f>
        <v>0</v>
      </c>
      <c r="K51" s="196">
        <f>0</f>
        <v>0</v>
      </c>
      <c r="L51" s="196">
        <f>0</f>
        <v>0</v>
      </c>
      <c r="M51" s="196">
        <f>0</f>
        <v>0</v>
      </c>
      <c r="N51" s="196">
        <f>0</f>
        <v>0</v>
      </c>
      <c r="O51" s="196">
        <f>0</f>
        <v>0</v>
      </c>
      <c r="P51" s="196">
        <f>0</f>
        <v>0</v>
      </c>
      <c r="Q51" s="196">
        <f>0</f>
        <v>0</v>
      </c>
      <c r="R51" s="196">
        <f>0</f>
        <v>0</v>
      </c>
      <c r="S51" s="196">
        <f>0</f>
        <v>0</v>
      </c>
      <c r="T51" s="196">
        <f>0</f>
        <v>0</v>
      </c>
      <c r="U51" s="196">
        <f>0</f>
        <v>0</v>
      </c>
      <c r="V51" s="196">
        <f>0</f>
        <v>0</v>
      </c>
      <c r="W51" s="196">
        <f>0</f>
        <v>0</v>
      </c>
      <c r="X51" s="196">
        <f>0</f>
        <v>0</v>
      </c>
      <c r="Y51" s="196">
        <f>0</f>
        <v>0</v>
      </c>
      <c r="Z51" s="196">
        <f>0</f>
        <v>0</v>
      </c>
      <c r="AA51" s="196">
        <f>0</f>
        <v>0</v>
      </c>
      <c r="AB51" s="196">
        <f>0</f>
        <v>0</v>
      </c>
      <c r="AC51" s="196">
        <f>0</f>
        <v>0</v>
      </c>
      <c r="AD51" s="196">
        <f>0</f>
        <v>0</v>
      </c>
      <c r="AE51" s="196">
        <f>0</f>
        <v>0</v>
      </c>
      <c r="AF51" s="196">
        <f>0</f>
        <v>0</v>
      </c>
      <c r="AG51" s="196">
        <f>0</f>
        <v>0</v>
      </c>
      <c r="AH51" s="196">
        <f>0</f>
        <v>0</v>
      </c>
    </row>
    <row r="52" spans="1:34" outlineLevel="1">
      <c r="A52"/>
      <c r="B52" t="s">
        <v>264</v>
      </c>
      <c r="C52" s="51" t="s">
        <v>166</v>
      </c>
      <c r="D52" s="196">
        <v>0</v>
      </c>
      <c r="E52" s="196">
        <v>0</v>
      </c>
      <c r="F52" s="196">
        <v>0</v>
      </c>
      <c r="G52" s="196">
        <v>0</v>
      </c>
      <c r="H52" s="196">
        <v>0</v>
      </c>
      <c r="I52" s="196">
        <v>0</v>
      </c>
      <c r="J52" s="196">
        <v>0</v>
      </c>
      <c r="K52" s="196">
        <v>0</v>
      </c>
      <c r="L52" s="196">
        <v>0</v>
      </c>
      <c r="M52" s="196">
        <v>0</v>
      </c>
      <c r="N52" s="196">
        <v>0</v>
      </c>
      <c r="O52" s="196">
        <v>0</v>
      </c>
      <c r="P52" s="196">
        <v>0</v>
      </c>
      <c r="Q52" s="196">
        <v>0</v>
      </c>
      <c r="R52" s="196">
        <v>0</v>
      </c>
      <c r="S52" s="196">
        <v>0</v>
      </c>
      <c r="T52" s="196">
        <v>0</v>
      </c>
      <c r="U52" s="196">
        <v>0</v>
      </c>
      <c r="V52" s="196">
        <v>0</v>
      </c>
      <c r="W52" s="196">
        <v>0</v>
      </c>
      <c r="X52" s="196">
        <v>0</v>
      </c>
      <c r="Y52" s="196">
        <v>0</v>
      </c>
      <c r="Z52" s="196">
        <v>0</v>
      </c>
      <c r="AA52" s="196">
        <v>0</v>
      </c>
      <c r="AB52" s="196">
        <v>0</v>
      </c>
      <c r="AC52" s="196">
        <v>0</v>
      </c>
      <c r="AD52" s="196">
        <v>0</v>
      </c>
      <c r="AE52" s="196">
        <v>0</v>
      </c>
      <c r="AF52" s="196">
        <v>0</v>
      </c>
      <c r="AG52" s="196">
        <v>0</v>
      </c>
      <c r="AH52" s="196">
        <v>0</v>
      </c>
    </row>
    <row r="53" spans="1:34" s="63" customFormat="1">
      <c r="A53" s="59"/>
      <c r="B53" s="59" t="s">
        <v>263</v>
      </c>
      <c r="C53" s="60" t="s">
        <v>166</v>
      </c>
      <c r="D53" s="636">
        <f>D50-D51-D52</f>
        <v>0</v>
      </c>
      <c r="E53" s="636">
        <f t="shared" ref="E53:AH53" si="22">E50-E51-E52</f>
        <v>0</v>
      </c>
      <c r="F53" s="636">
        <f t="shared" si="22"/>
        <v>0</v>
      </c>
      <c r="G53" s="636">
        <f t="shared" si="22"/>
        <v>0</v>
      </c>
      <c r="H53" s="636">
        <f t="shared" si="22"/>
        <v>0</v>
      </c>
      <c r="I53" s="636">
        <f t="shared" si="22"/>
        <v>0</v>
      </c>
      <c r="J53" s="636">
        <f t="shared" si="22"/>
        <v>0</v>
      </c>
      <c r="K53" s="636">
        <f t="shared" si="22"/>
        <v>0</v>
      </c>
      <c r="L53" s="636">
        <f t="shared" si="22"/>
        <v>0</v>
      </c>
      <c r="M53" s="636">
        <f t="shared" si="22"/>
        <v>0</v>
      </c>
      <c r="N53" s="636">
        <f t="shared" si="22"/>
        <v>0</v>
      </c>
      <c r="O53" s="636">
        <f t="shared" si="22"/>
        <v>0</v>
      </c>
      <c r="P53" s="636">
        <f t="shared" si="22"/>
        <v>0</v>
      </c>
      <c r="Q53" s="636">
        <f t="shared" si="22"/>
        <v>0</v>
      </c>
      <c r="R53" s="636">
        <f t="shared" si="22"/>
        <v>0</v>
      </c>
      <c r="S53" s="636">
        <f t="shared" si="22"/>
        <v>0</v>
      </c>
      <c r="T53" s="636">
        <f t="shared" si="22"/>
        <v>0</v>
      </c>
      <c r="U53" s="636">
        <f t="shared" si="22"/>
        <v>0</v>
      </c>
      <c r="V53" s="636">
        <f t="shared" si="22"/>
        <v>0</v>
      </c>
      <c r="W53" s="636">
        <f t="shared" si="22"/>
        <v>0</v>
      </c>
      <c r="X53" s="636">
        <f t="shared" si="22"/>
        <v>0</v>
      </c>
      <c r="Y53" s="636">
        <f t="shared" si="22"/>
        <v>0</v>
      </c>
      <c r="Z53" s="636">
        <f t="shared" si="22"/>
        <v>0</v>
      </c>
      <c r="AA53" s="636">
        <f t="shared" si="22"/>
        <v>0</v>
      </c>
      <c r="AB53" s="636">
        <f t="shared" si="22"/>
        <v>0</v>
      </c>
      <c r="AC53" s="636">
        <f t="shared" si="22"/>
        <v>0</v>
      </c>
      <c r="AD53" s="636">
        <f t="shared" si="22"/>
        <v>0</v>
      </c>
      <c r="AE53" s="636">
        <f t="shared" si="22"/>
        <v>0</v>
      </c>
      <c r="AF53" s="636">
        <f t="shared" si="22"/>
        <v>0</v>
      </c>
      <c r="AG53" s="636">
        <f t="shared" si="22"/>
        <v>0</v>
      </c>
      <c r="AH53" s="636">
        <f t="shared" si="22"/>
        <v>0</v>
      </c>
    </row>
    <row r="54" spans="1:34" s="62" customFormat="1">
      <c r="A54" s="55" t="s">
        <v>259</v>
      </c>
      <c r="B54" s="55" t="s">
        <v>195</v>
      </c>
      <c r="C54" s="95" t="s">
        <v>166</v>
      </c>
      <c r="D54" s="631">
        <f>D25</f>
        <v>137707.45987773585</v>
      </c>
      <c r="E54" s="631">
        <f t="shared" ref="E54:AH54" si="23">E25</f>
        <v>136707.7037190235</v>
      </c>
      <c r="F54" s="631">
        <f t="shared" si="23"/>
        <v>135707.94756031112</v>
      </c>
      <c r="G54" s="631">
        <f t="shared" si="23"/>
        <v>134708.19140159877</v>
      </c>
      <c r="H54" s="631">
        <f t="shared" si="23"/>
        <v>133708.43524288639</v>
      </c>
      <c r="I54" s="631">
        <f t="shared" si="23"/>
        <v>132708.67908417404</v>
      </c>
      <c r="J54" s="631">
        <f t="shared" si="23"/>
        <v>131708.92292546167</v>
      </c>
      <c r="K54" s="631">
        <f t="shared" si="23"/>
        <v>130709.16676674932</v>
      </c>
      <c r="L54" s="631">
        <f t="shared" si="23"/>
        <v>129709.41060803695</v>
      </c>
      <c r="M54" s="631">
        <f t="shared" si="23"/>
        <v>128709.65444932459</v>
      </c>
      <c r="N54" s="631">
        <f t="shared" si="23"/>
        <v>127709.89829061223</v>
      </c>
      <c r="O54" s="631">
        <f t="shared" si="23"/>
        <v>126710.14213189986</v>
      </c>
      <c r="P54" s="631">
        <f t="shared" si="23"/>
        <v>125710.3859731875</v>
      </c>
      <c r="Q54" s="631">
        <f t="shared" si="23"/>
        <v>124710.62981447513</v>
      </c>
      <c r="R54" s="631">
        <f t="shared" si="23"/>
        <v>123710.87365576277</v>
      </c>
      <c r="S54" s="631">
        <f t="shared" si="23"/>
        <v>122711.11749705041</v>
      </c>
      <c r="T54" s="631">
        <f t="shared" si="23"/>
        <v>121711.36133833804</v>
      </c>
      <c r="U54" s="631">
        <f t="shared" si="23"/>
        <v>120711.60517962568</v>
      </c>
      <c r="V54" s="631">
        <f t="shared" si="23"/>
        <v>119711.84902091333</v>
      </c>
      <c r="W54" s="631">
        <f t="shared" si="23"/>
        <v>118712.09286220097</v>
      </c>
      <c r="X54" s="631">
        <f t="shared" si="23"/>
        <v>117712.3367034886</v>
      </c>
      <c r="Y54" s="631">
        <f t="shared" si="23"/>
        <v>116682.28490360314</v>
      </c>
      <c r="Z54" s="631">
        <f t="shared" si="23"/>
        <v>115652.23310371768</v>
      </c>
      <c r="AA54" s="631">
        <f t="shared" si="23"/>
        <v>114622.18130383221</v>
      </c>
      <c r="AB54" s="631">
        <f t="shared" si="23"/>
        <v>113592.12950394675</v>
      </c>
      <c r="AC54" s="631">
        <f t="shared" si="23"/>
        <v>112562.07770406127</v>
      </c>
      <c r="AD54" s="631">
        <f t="shared" si="23"/>
        <v>111532.02590417581</v>
      </c>
      <c r="AE54" s="631">
        <f t="shared" si="23"/>
        <v>110501.97410429035</v>
      </c>
      <c r="AF54" s="631">
        <f t="shared" si="23"/>
        <v>109471.92230440488</v>
      </c>
      <c r="AG54" s="631">
        <f t="shared" si="23"/>
        <v>108441.87050451942</v>
      </c>
      <c r="AH54" s="631">
        <f t="shared" si="23"/>
        <v>107411.81870463396</v>
      </c>
    </row>
    <row r="55" spans="1:34" outlineLevel="1">
      <c r="A55"/>
      <c r="B55" t="s">
        <v>262</v>
      </c>
      <c r="C55" s="51" t="s">
        <v>166</v>
      </c>
      <c r="D55" s="196">
        <f>0</f>
        <v>0</v>
      </c>
      <c r="E55" s="196">
        <f>'Propylene Recycling LC'!D82*'Propylene Recycling LC'!D44-'Propylene Recycling LC'!$C$82*'Propylene Recycling LC'!$C$44</f>
        <v>107.95537673507235</v>
      </c>
      <c r="F55" s="196">
        <f>'Propylene Recycling LC'!E82*'Propylene Recycling LC'!E44-'Propylene Recycling LC'!$C$82*'Propylene Recycling LC'!$C$44</f>
        <v>216.04167844781759</v>
      </c>
      <c r="G55" s="196">
        <f>'Propylene Recycling LC'!F82*'Propylene Recycling LC'!F44-'Propylene Recycling LC'!$C$82*'Propylene Recycling LC'!$C$44</f>
        <v>324.25890513823595</v>
      </c>
      <c r="H55" s="196">
        <f>'Propylene Recycling LC'!G82*'Propylene Recycling LC'!G44-'Propylene Recycling LC'!$C$82*'Propylene Recycling LC'!$C$44</f>
        <v>432.60705680632714</v>
      </c>
      <c r="I55" s="196">
        <f>'Propylene Recycling LC'!H82*'Propylene Recycling LC'!H44-'Propylene Recycling LC'!$C$82*'Propylene Recycling LC'!$C$44</f>
        <v>541.08613345209119</v>
      </c>
      <c r="J55" s="196">
        <f>'Propylene Recycling LC'!I82*'Propylene Recycling LC'!I44-'Propylene Recycling LC'!$C$82*'Propylene Recycling LC'!$C$44</f>
        <v>649.69613507552833</v>
      </c>
      <c r="K55" s="196">
        <f>'Propylene Recycling LC'!J82*'Propylene Recycling LC'!J44-'Propylene Recycling LC'!$C$82*'Propylene Recycling LC'!$C$44</f>
        <v>758.43706167663845</v>
      </c>
      <c r="L55" s="196">
        <f>'Propylene Recycling LC'!K82*'Propylene Recycling LC'!K44-'Propylene Recycling LC'!$C$82*'Propylene Recycling LC'!$C$44</f>
        <v>867.30891325542132</v>
      </c>
      <c r="M55" s="196">
        <f>'Propylene Recycling LC'!L82*'Propylene Recycling LC'!L44-'Propylene Recycling LC'!$C$82*'Propylene Recycling LC'!$C$44</f>
        <v>976.31168981187727</v>
      </c>
      <c r="N55" s="196">
        <f>'Propylene Recycling LC'!M82*'Propylene Recycling LC'!M44-'Propylene Recycling LC'!$C$82*'Propylene Recycling LC'!$C$44</f>
        <v>1085.4453913460061</v>
      </c>
      <c r="O55" s="196">
        <f>'Propylene Recycling LC'!N82*'Propylene Recycling LC'!N44-'Propylene Recycling LC'!$C$82*'Propylene Recycling LC'!$C$44</f>
        <v>1293.0145838009942</v>
      </c>
      <c r="P55" s="196">
        <f>'Propylene Recycling LC'!O82*'Propylene Recycling LC'!O44-'Propylene Recycling LC'!$C$82*'Propylene Recycling LC'!$C$44</f>
        <v>1500.8333519946716</v>
      </c>
      <c r="Q55" s="196">
        <f>'Propylene Recycling LC'!P82*'Propylene Recycling LC'!P44-'Propylene Recycling LC'!$C$82*'Propylene Recycling LC'!$C$44</f>
        <v>1708.901695927038</v>
      </c>
      <c r="R55" s="196">
        <f>'Propylene Recycling LC'!Q82*'Propylene Recycling LC'!Q44-'Propylene Recycling LC'!$C$82*'Propylene Recycling LC'!$C$44</f>
        <v>1917.2196155980932</v>
      </c>
      <c r="S55" s="196">
        <f>'Propylene Recycling LC'!R82*'Propylene Recycling LC'!R44-'Propylene Recycling LC'!$C$82*'Propylene Recycling LC'!$C$44</f>
        <v>2125.7871110078377</v>
      </c>
      <c r="T55" s="196">
        <f>'Propylene Recycling LC'!S82*'Propylene Recycling LC'!S44-'Propylene Recycling LC'!$C$82*'Propylene Recycling LC'!$C$44</f>
        <v>2334.6041821562712</v>
      </c>
      <c r="U55" s="196">
        <f>'Propylene Recycling LC'!T82*'Propylene Recycling LC'!T44-'Propylene Recycling LC'!$C$82*'Propylene Recycling LC'!$C$44</f>
        <v>2543.670829043394</v>
      </c>
      <c r="V55" s="196">
        <f>'Propylene Recycling LC'!U82*'Propylene Recycling LC'!U44-'Propylene Recycling LC'!$C$82*'Propylene Recycling LC'!$C$44</f>
        <v>2752.9870516692054</v>
      </c>
      <c r="W55" s="196">
        <f>'Propylene Recycling LC'!V82*'Propylene Recycling LC'!V44-'Propylene Recycling LC'!$C$82*'Propylene Recycling LC'!$C$44</f>
        <v>2962.5528500337064</v>
      </c>
      <c r="X55" s="196">
        <f>'Propylene Recycling LC'!W82*'Propylene Recycling LC'!W44-'Propylene Recycling LC'!$C$82*'Propylene Recycling LC'!$C$44</f>
        <v>3172.3682241368956</v>
      </c>
      <c r="Y55" s="196">
        <f>'Propylene Recycling LC'!X82*'Propylene Recycling LC'!X44-'Propylene Recycling LC'!$C$82*'Propylene Recycling LC'!$C$44</f>
        <v>3543.0611911255673</v>
      </c>
      <c r="Z55" s="196">
        <f>'Propylene Recycling LC'!Y82*'Propylene Recycling LC'!Y44-'Propylene Recycling LC'!$C$82*'Propylene Recycling LC'!$C$44</f>
        <v>3914.1964442334342</v>
      </c>
      <c r="AA55" s="196">
        <f>'Propylene Recycling LC'!Z82*'Propylene Recycling LC'!Z44-'Propylene Recycling LC'!$C$82*'Propylene Recycling LC'!$C$44</f>
        <v>4285.7739834604972</v>
      </c>
      <c r="AB55" s="196">
        <f>'Propylene Recycling LC'!AA82*'Propylene Recycling LC'!AA44-'Propylene Recycling LC'!$C$82*'Propylene Recycling LC'!$C$44</f>
        <v>4657.7938088067567</v>
      </c>
      <c r="AC55" s="196">
        <f>'Propylene Recycling LC'!AB82*'Propylene Recycling LC'!AB44-'Propylene Recycling LC'!$C$82*'Propylene Recycling LC'!$C$44</f>
        <v>5030.2559202722114</v>
      </c>
      <c r="AD55" s="196">
        <f>'Propylene Recycling LC'!AC82*'Propylene Recycling LC'!AC44-'Propylene Recycling LC'!$C$82*'Propylene Recycling LC'!$C$44</f>
        <v>5403.1603178568603</v>
      </c>
      <c r="AE55" s="196">
        <f>'Propylene Recycling LC'!AD82*'Propylene Recycling LC'!AD44-'Propylene Recycling LC'!$C$82*'Propylene Recycling LC'!$C$44</f>
        <v>5776.5070015607062</v>
      </c>
      <c r="AF55" s="196">
        <f>'Propylene Recycling LC'!AE82*'Propylene Recycling LC'!AE44-'Propylene Recycling LC'!$C$82*'Propylene Recycling LC'!$C$44</f>
        <v>6150.295971383749</v>
      </c>
      <c r="AG55" s="196">
        <f>'Propylene Recycling LC'!AF82*'Propylene Recycling LC'!AF44-'Propylene Recycling LC'!$C$82*'Propylene Recycling LC'!$C$44</f>
        <v>6524.527227325987</v>
      </c>
      <c r="AH55" s="196">
        <f>'Propylene Recycling LC'!AG82*'Propylene Recycling LC'!AG44-'Propylene Recycling LC'!$C$82*'Propylene Recycling LC'!$C$44</f>
        <v>6899.2007693874311</v>
      </c>
    </row>
    <row r="56" spans="1:34" outlineLevel="1">
      <c r="A56"/>
      <c r="B56" t="s">
        <v>264</v>
      </c>
      <c r="C56" s="51" t="s">
        <v>166</v>
      </c>
      <c r="D56" s="196">
        <f>0</f>
        <v>0</v>
      </c>
      <c r="E56" s="196">
        <f>'Propylene Recycling LC'!D60*'Propylene Recycling LC'!D42-'Propylene Recycling LC'!$C$60*'Propylene Recycling LC'!$C$42</f>
        <v>1142.5709165100998</v>
      </c>
      <c r="F56" s="196">
        <f>'Propylene Recycling LC'!E60*'Propylene Recycling LC'!E42-'Propylene Recycling LC'!$C$60*'Propylene Recycling LC'!$C$42</f>
        <v>2306.8873785570031</v>
      </c>
      <c r="G56" s="196">
        <f>'Propylene Recycling LC'!F60*'Propylene Recycling LC'!F42-'Propylene Recycling LC'!$C$60*'Propylene Recycling LC'!$C$42</f>
        <v>3492.4243049041688</v>
      </c>
      <c r="H56" s="196">
        <f>'Propylene Recycling LC'!G60*'Propylene Recycling LC'!G42-'Propylene Recycling LC'!$C$60*'Propylene Recycling LC'!$C$42</f>
        <v>4698.6566143150667</v>
      </c>
      <c r="I56" s="196">
        <f>'Propylene Recycling LC'!H60*'Propylene Recycling LC'!H42-'Propylene Recycling LC'!$C$60*'Propylene Recycling LC'!$C$42</f>
        <v>5925.0592255531556</v>
      </c>
      <c r="J56" s="196">
        <f>'Propylene Recycling LC'!I60*'Propylene Recycling LC'!I42-'Propylene Recycling LC'!$C$60*'Propylene Recycling LC'!$C$42</f>
        <v>7171.107057381927</v>
      </c>
      <c r="K56" s="196">
        <f>'Propylene Recycling LC'!J60*'Propylene Recycling LC'!J42-'Propylene Recycling LC'!$C$60*'Propylene Recycling LC'!$C$42</f>
        <v>8436.2750285648399</v>
      </c>
      <c r="L56" s="196">
        <f>'Propylene Recycling LC'!K60*'Propylene Recycling LC'!K42-'Propylene Recycling LC'!$C$60*'Propylene Recycling LC'!$C$42</f>
        <v>9720.038057865364</v>
      </c>
      <c r="M56" s="196">
        <f>'Propylene Recycling LC'!L60*'Propylene Recycling LC'!L42-'Propylene Recycling LC'!$C$60*'Propylene Recycling LC'!$C$42</f>
        <v>11021.871064046962</v>
      </c>
      <c r="N56" s="196">
        <f>'Propylene Recycling LC'!M60*'Propylene Recycling LC'!M42-'Propylene Recycling LC'!$C$60*'Propylene Recycling LC'!$C$42</f>
        <v>12341.248965873106</v>
      </c>
      <c r="O56" s="196">
        <f>'Propylene Recycling LC'!N60*'Propylene Recycling LC'!N42-'Propylene Recycling LC'!$C$60*'Propylene Recycling LC'!$C$42</f>
        <v>14698.586001425145</v>
      </c>
      <c r="P56" s="196">
        <f>'Propylene Recycling LC'!O60*'Propylene Recycling LC'!O42-'Propylene Recycling LC'!$C$60*'Propylene Recycling LC'!$C$42</f>
        <v>17107.097016084423</v>
      </c>
      <c r="Q56" s="196">
        <f>'Propylene Recycling LC'!P60*'Propylene Recycling LC'!P42-'Propylene Recycling LC'!$C$60*'Propylene Recycling LC'!$C$42</f>
        <v>19509.338135738537</v>
      </c>
      <c r="R56" s="196">
        <f>'Propylene Recycling LC'!Q60*'Propylene Recycling LC'!Q42-'Propylene Recycling LC'!$C$60*'Propylene Recycling LC'!$C$42</f>
        <v>21934.280539084226</v>
      </c>
      <c r="S56" s="196">
        <f>'Propylene Recycling LC'!R60*'Propylene Recycling LC'!R42-'Propylene Recycling LC'!$C$60*'Propylene Recycling LC'!$C$42</f>
        <v>24379.880193386569</v>
      </c>
      <c r="T56" s="196">
        <f>'Propylene Recycling LC'!S60*'Propylene Recycling LC'!S42-'Propylene Recycling LC'!$C$60*'Propylene Recycling LC'!$C$42</f>
        <v>26844.093065910587</v>
      </c>
      <c r="U56" s="196">
        <f>'Propylene Recycling LC'!T60*'Propylene Recycling LC'!T42-'Propylene Recycling LC'!$C$60*'Propylene Recycling LC'!$C$42</f>
        <v>29324.875123921396</v>
      </c>
      <c r="V56" s="196">
        <f>'Propylene Recycling LC'!U60*'Propylene Recycling LC'!U42-'Propylene Recycling LC'!$C$60*'Propylene Recycling LC'!$C$42</f>
        <v>31820.182334683996</v>
      </c>
      <c r="W56" s="196">
        <f>'Propylene Recycling LC'!V60*'Propylene Recycling LC'!V42-'Propylene Recycling LC'!$C$60*'Propylene Recycling LC'!$C$42</f>
        <v>34327.970665463472</v>
      </c>
      <c r="X56" s="196">
        <f>'Propylene Recycling LC'!W60*'Propylene Recycling LC'!W42-'Propylene Recycling LC'!$C$60*'Propylene Recycling LC'!$C$42</f>
        <v>36846.196083524876</v>
      </c>
      <c r="Y56" s="196">
        <f>'Propylene Recycling LC'!X60*'Propylene Recycling LC'!X42-'Propylene Recycling LC'!$C$60*'Propylene Recycling LC'!$C$42</f>
        <v>40322.240005138141</v>
      </c>
      <c r="Z56" s="196">
        <f>'Propylene Recycling LC'!Y60*'Propylene Recycling LC'!Y42-'Propylene Recycling LC'!$C$60*'Propylene Recycling LC'!$C$42</f>
        <v>44149.403847947215</v>
      </c>
      <c r="AA56" s="196">
        <f>'Propylene Recycling LC'!Z60*'Propylene Recycling LC'!Z42-'Propylene Recycling LC'!$C$60*'Propylene Recycling LC'!$C$42</f>
        <v>47995.284082761777</v>
      </c>
      <c r="AB56" s="196">
        <f>'Propylene Recycling LC'!AA60*'Propylene Recycling LC'!AA42-'Propylene Recycling LC'!$C$60*'Propylene Recycling LC'!$C$42</f>
        <v>51856.680043674089</v>
      </c>
      <c r="AC56" s="196">
        <f>'Propylene Recycling LC'!AB60*'Propylene Recycling LC'!AB42-'Propylene Recycling LC'!$C$60*'Propylene Recycling LC'!$C$42</f>
        <v>55730.391064776501</v>
      </c>
      <c r="AD56" s="196">
        <f>'Propylene Recycling LC'!AC60*'Propylene Recycling LC'!AC42-'Propylene Recycling LC'!$C$60*'Propylene Recycling LC'!$C$42</f>
        <v>59613.216480161311</v>
      </c>
      <c r="AE56" s="196">
        <f>'Propylene Recycling LC'!AD60*'Propylene Recycling LC'!AD42-'Propylene Recycling LC'!$C$60*'Propylene Recycling LC'!$C$42</f>
        <v>63501.955623920832</v>
      </c>
      <c r="AF56" s="196">
        <f>'Propylene Recycling LC'!AE60*'Propylene Recycling LC'!AE42-'Propylene Recycling LC'!$C$60*'Propylene Recycling LC'!$C$42</f>
        <v>67393.407830147364</v>
      </c>
      <c r="AG56" s="196">
        <f>'Propylene Recycling LC'!AF60*'Propylene Recycling LC'!AF42-'Propylene Recycling LC'!$C$60*'Propylene Recycling LC'!$C$42</f>
        <v>71284.372432933262</v>
      </c>
      <c r="AH56" s="196">
        <f>'Propylene Recycling LC'!AG60*'Propylene Recycling LC'!AG42-'Propylene Recycling LC'!$C$60*'Propylene Recycling LC'!$C$42</f>
        <v>75171.648766371</v>
      </c>
    </row>
    <row r="57" spans="1:34" outlineLevel="1">
      <c r="A57"/>
      <c r="B57" t="s">
        <v>266</v>
      </c>
      <c r="C57" s="51" t="s">
        <v>166</v>
      </c>
      <c r="D57" s="196">
        <v>0</v>
      </c>
      <c r="E57" s="196">
        <v>0</v>
      </c>
      <c r="F57" s="196">
        <v>0</v>
      </c>
      <c r="G57" s="196">
        <v>0</v>
      </c>
      <c r="H57" s="196">
        <v>0</v>
      </c>
      <c r="I57" s="196">
        <v>0</v>
      </c>
      <c r="J57" s="196">
        <v>0</v>
      </c>
      <c r="K57" s="196">
        <v>0</v>
      </c>
      <c r="L57" s="196">
        <v>0</v>
      </c>
      <c r="M57" s="196">
        <v>0</v>
      </c>
      <c r="N57" s="196">
        <v>0</v>
      </c>
      <c r="O57" s="196">
        <v>0</v>
      </c>
      <c r="P57" s="196">
        <v>0</v>
      </c>
      <c r="Q57" s="196">
        <v>0</v>
      </c>
      <c r="R57" s="196">
        <v>0</v>
      </c>
      <c r="S57" s="196">
        <v>0</v>
      </c>
      <c r="T57" s="196">
        <v>0</v>
      </c>
      <c r="U57" s="196">
        <v>0</v>
      </c>
      <c r="V57" s="196">
        <v>0</v>
      </c>
      <c r="W57" s="196">
        <v>0</v>
      </c>
      <c r="X57" s="196">
        <v>0</v>
      </c>
      <c r="Y57" s="196">
        <v>0</v>
      </c>
      <c r="Z57" s="196">
        <v>0</v>
      </c>
      <c r="AA57" s="196">
        <v>0</v>
      </c>
      <c r="AB57" s="196">
        <v>0</v>
      </c>
      <c r="AC57" s="196">
        <v>0</v>
      </c>
      <c r="AD57" s="196">
        <v>0</v>
      </c>
      <c r="AE57" s="196">
        <v>0</v>
      </c>
      <c r="AF57" s="196">
        <v>0</v>
      </c>
      <c r="AG57" s="196">
        <v>0</v>
      </c>
      <c r="AH57" s="196">
        <v>0</v>
      </c>
    </row>
    <row r="58" spans="1:34" outlineLevel="1">
      <c r="A58" s="169"/>
      <c r="B58" s="169" t="s">
        <v>265</v>
      </c>
      <c r="C58" s="165" t="s">
        <v>166</v>
      </c>
      <c r="D58" s="613">
        <f>0</f>
        <v>0</v>
      </c>
      <c r="E58" s="613">
        <f>'Propylene Recycling LC'!D73*'Propylene Recycling LC'!D43-'Propylene Recycling LC'!$C$73*'Propylene Recycling LC'!$C$43</f>
        <v>510.72614146331125</v>
      </c>
      <c r="F58" s="613">
        <f>'Propylene Recycling LC'!E73*'Propylene Recycling LC'!E43-'Propylene Recycling LC'!$C$73*'Propylene Recycling LC'!$C$43</f>
        <v>1008.3187452779625</v>
      </c>
      <c r="G58" s="613">
        <f>'Propylene Recycling LC'!F73*'Propylene Recycling LC'!F43-'Propylene Recycling LC'!$C$73*'Propylene Recycling LC'!$C$43</f>
        <v>1492.8537629762163</v>
      </c>
      <c r="H58" s="613">
        <f>'Propylene Recycling LC'!G73*'Propylene Recycling LC'!G43-'Propylene Recycling LC'!$C$73*'Propylene Recycling LC'!$C$43</f>
        <v>1964.4071460903347</v>
      </c>
      <c r="I58" s="613">
        <f>'Propylene Recycling LC'!H73*'Propylene Recycling LC'!H43-'Propylene Recycling LC'!$C$73*'Propylene Recycling LC'!$C$43</f>
        <v>2423.0548461525805</v>
      </c>
      <c r="J58" s="613">
        <f>'Propylene Recycling LC'!I73*'Propylene Recycling LC'!I43-'Propylene Recycling LC'!$C$73*'Propylene Recycling LC'!$C$43</f>
        <v>2868.8728146952135</v>
      </c>
      <c r="K58" s="613">
        <f>'Propylene Recycling LC'!J73*'Propylene Recycling LC'!J43-'Propylene Recycling LC'!$C$73*'Propylene Recycling LC'!$C$43</f>
        <v>3301.9370032505003</v>
      </c>
      <c r="L58" s="613">
        <f>'Propylene Recycling LC'!K73*'Propylene Recycling LC'!K43-'Propylene Recycling LC'!$C$73*'Propylene Recycling LC'!$C$43</f>
        <v>3722.3233633506998</v>
      </c>
      <c r="M58" s="613">
        <f>'Propylene Recycling LC'!L73*'Propylene Recycling LC'!L43-'Propylene Recycling LC'!$C$73*'Propylene Recycling LC'!$C$43</f>
        <v>4130.1078465280725</v>
      </c>
      <c r="N58" s="613">
        <f>'Propylene Recycling LC'!M73*'Propylene Recycling LC'!M43-'Propylene Recycling LC'!$C$73*'Propylene Recycling LC'!$C$43</f>
        <v>4525.3664043148829</v>
      </c>
      <c r="O58" s="613">
        <f>'Propylene Recycling LC'!N73*'Propylene Recycling LC'!N43-'Propylene Recycling LC'!$C$73*'Propylene Recycling LC'!$C$43</f>
        <v>5334.8884103052378</v>
      </c>
      <c r="P58" s="613">
        <f>'Propylene Recycling LC'!O73*'Propylene Recycling LC'!O43-'Propylene Recycling LC'!$C$73*'Propylene Recycling LC'!$C$43</f>
        <v>6120.506139272693</v>
      </c>
      <c r="Q58" s="613">
        <f>'Propylene Recycling LC'!P73*'Propylene Recycling LC'!P43-'Propylene Recycling LC'!$C$73*'Propylene Recycling LC'!$C$43</f>
        <v>6851.9469332156605</v>
      </c>
      <c r="R58" s="613">
        <f>'Propylene Recycling LC'!Q73*'Propylene Recycling LC'!Q43-'Propylene Recycling LC'!$C$73*'Propylene Recycling LC'!$C$43</f>
        <v>7554.673190412761</v>
      </c>
      <c r="S58" s="613">
        <f>'Propylene Recycling LC'!R73*'Propylene Recycling LC'!R43-'Propylene Recycling LC'!$C$73*'Propylene Recycling LC'!$C$43</f>
        <v>8229.0538035039463</v>
      </c>
      <c r="T58" s="613">
        <f>'Propylene Recycling LC'!S73*'Propylene Recycling LC'!S43-'Propylene Recycling LC'!$C$73*'Propylene Recycling LC'!$C$43</f>
        <v>8875.456995437391</v>
      </c>
      <c r="U58" s="613">
        <f>'Propylene Recycling LC'!T73*'Propylene Recycling LC'!T43-'Propylene Recycling LC'!$C$73*'Propylene Recycling LC'!$C$43</f>
        <v>9494.2502891069234</v>
      </c>
      <c r="V58" s="613">
        <f>'Propylene Recycling LC'!U73*'Propylene Recycling LC'!U43-'Propylene Recycling LC'!$C$73*'Propylene Recycling LC'!$C$43</f>
        <v>10085.800477230276</v>
      </c>
      <c r="W58" s="613">
        <f>'Propylene Recycling LC'!V73*'Propylene Recycling LC'!V43-'Propylene Recycling LC'!$C$73*'Propylene Recycling LC'!$C$43</f>
        <v>10650.473592468104</v>
      </c>
      <c r="X58" s="613">
        <f>'Propylene Recycling LC'!W73*'Propylene Recycling LC'!W43-'Propylene Recycling LC'!$C$73*'Propylene Recycling LC'!$C$43</f>
        <v>11188.634877783876</v>
      </c>
      <c r="Y58" s="613">
        <f>'Propylene Recycling LC'!X73*'Propylene Recycling LC'!X43-'Propylene Recycling LC'!$C$73*'Propylene Recycling LC'!$C$43</f>
        <v>12283.173573368524</v>
      </c>
      <c r="Z58" s="613">
        <f>'Propylene Recycling LC'!Y73*'Propylene Recycling LC'!Y43-'Propylene Recycling LC'!$C$73*'Propylene Recycling LC'!$C$43</f>
        <v>13330.393232980687</v>
      </c>
      <c r="AA58" s="613">
        <f>'Propylene Recycling LC'!Z73*'Propylene Recycling LC'!Z43-'Propylene Recycling LC'!$C$73*'Propylene Recycling LC'!$C$43</f>
        <v>14196.327205655009</v>
      </c>
      <c r="AB58" s="613">
        <f>'Propylene Recycling LC'!AA73*'Propylene Recycling LC'!AA43-'Propylene Recycling LC'!$C$73*'Propylene Recycling LC'!$C$43</f>
        <v>14999.115738700139</v>
      </c>
      <c r="AC58" s="613">
        <f>'Propylene Recycling LC'!AB73*'Propylene Recycling LC'!AB43-'Propylene Recycling LC'!$C$73*'Propylene Recycling LC'!$C$43</f>
        <v>15740.309042313265</v>
      </c>
      <c r="AD58" s="613">
        <f>'Propylene Recycling LC'!AC73*'Propylene Recycling LC'!AC43-'Propylene Recycling LC'!$C$73*'Propylene Recycling LC'!$C$43</f>
        <v>16421.459764419749</v>
      </c>
      <c r="AE58" s="613">
        <f>'Propylene Recycling LC'!AD73*'Propylene Recycling LC'!AD43-'Propylene Recycling LC'!$C$73*'Propylene Recycling LC'!$C$43</f>
        <v>17044.122184304448</v>
      </c>
      <c r="AF58" s="613">
        <f>'Propylene Recycling LC'!AE73*'Propylene Recycling LC'!AE43-'Propylene Recycling LC'!$C$73*'Propylene Recycling LC'!$C$43</f>
        <v>17609.851415844598</v>
      </c>
      <c r="AG58" s="613">
        <f>'Propylene Recycling LC'!AF73*'Propylene Recycling LC'!AF43-'Propylene Recycling LC'!$C$73*'Propylene Recycling LC'!$C$43</f>
        <v>18120.202620344324</v>
      </c>
      <c r="AH58" s="613">
        <f>'Propylene Recycling LC'!AG73*'Propylene Recycling LC'!AG43-'Propylene Recycling LC'!$C$73*'Propylene Recycling LC'!$C$43</f>
        <v>2772.0499293295989</v>
      </c>
    </row>
    <row r="59" spans="1:34" s="63" customFormat="1">
      <c r="A59" s="224"/>
      <c r="B59" s="224" t="s">
        <v>263</v>
      </c>
      <c r="C59" s="225" t="s">
        <v>166</v>
      </c>
      <c r="D59" s="620">
        <f>D54-D55-D56-D57-D58</f>
        <v>137707.45987773585</v>
      </c>
      <c r="E59" s="620">
        <f t="shared" ref="E59:AH59" si="24">E54-E55-E56-E57-E58</f>
        <v>134946.451284315</v>
      </c>
      <c r="F59" s="620">
        <f t="shared" si="24"/>
        <v>132176.69975802832</v>
      </c>
      <c r="G59" s="620">
        <f t="shared" si="24"/>
        <v>129398.65442858015</v>
      </c>
      <c r="H59" s="620">
        <f t="shared" si="24"/>
        <v>126612.76442567466</v>
      </c>
      <c r="I59" s="620">
        <f t="shared" si="24"/>
        <v>123819.47887901621</v>
      </c>
      <c r="J59" s="620">
        <f t="shared" si="24"/>
        <v>121019.24691830899</v>
      </c>
      <c r="K59" s="620">
        <f t="shared" si="24"/>
        <v>118212.51767325735</v>
      </c>
      <c r="L59" s="620">
        <f t="shared" si="24"/>
        <v>115399.74027356546</v>
      </c>
      <c r="M59" s="620">
        <f t="shared" si="24"/>
        <v>112581.36384893768</v>
      </c>
      <c r="N59" s="620">
        <f t="shared" si="24"/>
        <v>109757.83752907823</v>
      </c>
      <c r="O59" s="620">
        <f t="shared" si="24"/>
        <v>105383.65313636848</v>
      </c>
      <c r="P59" s="620">
        <f t="shared" si="24"/>
        <v>100981.94946583571</v>
      </c>
      <c r="Q59" s="620">
        <f t="shared" si="24"/>
        <v>96640.443049593901</v>
      </c>
      <c r="R59" s="620">
        <f t="shared" si="24"/>
        <v>92304.700310667686</v>
      </c>
      <c r="S59" s="620">
        <f t="shared" si="24"/>
        <v>87976.39638915204</v>
      </c>
      <c r="T59" s="620">
        <f t="shared" si="24"/>
        <v>83657.207094833808</v>
      </c>
      <c r="U59" s="620">
        <f t="shared" si="24"/>
        <v>79348.808937553986</v>
      </c>
      <c r="V59" s="620">
        <f t="shared" si="24"/>
        <v>75052.879157329851</v>
      </c>
      <c r="W59" s="620">
        <f t="shared" si="24"/>
        <v>70771.095754235692</v>
      </c>
      <c r="X59" s="620">
        <f t="shared" si="24"/>
        <v>66505.13751804296</v>
      </c>
      <c r="Y59" s="620">
        <f t="shared" si="24"/>
        <v>60533.81013397091</v>
      </c>
      <c r="Z59" s="620">
        <f t="shared" si="24"/>
        <v>54258.239578556357</v>
      </c>
      <c r="AA59" s="620">
        <f t="shared" si="24"/>
        <v>48144.796031954931</v>
      </c>
      <c r="AB59" s="620">
        <f t="shared" si="24"/>
        <v>42078.539912765766</v>
      </c>
      <c r="AC59" s="620">
        <f t="shared" si="24"/>
        <v>36061.121676699287</v>
      </c>
      <c r="AD59" s="620">
        <f t="shared" si="24"/>
        <v>30094.189341737889</v>
      </c>
      <c r="AE59" s="620">
        <f t="shared" si="24"/>
        <v>24179.389294504363</v>
      </c>
      <c r="AF59" s="620">
        <f t="shared" si="24"/>
        <v>18318.367087029175</v>
      </c>
      <c r="AG59" s="620">
        <f t="shared" si="24"/>
        <v>12512.768223915846</v>
      </c>
      <c r="AH59" s="620">
        <f t="shared" si="24"/>
        <v>22568.919239545929</v>
      </c>
    </row>
    <row r="60" spans="1:34">
      <c r="A60" s="167" t="s">
        <v>304</v>
      </c>
      <c r="B60" s="226" t="s">
        <v>195</v>
      </c>
      <c r="C60" s="227" t="s">
        <v>166</v>
      </c>
      <c r="D60" s="627">
        <f>D35+D38</f>
        <v>368256.49460398941</v>
      </c>
      <c r="E60" s="627">
        <f t="shared" ref="E60:AH60" si="25">E35+E38</f>
        <v>363890.50739002775</v>
      </c>
      <c r="F60" s="627">
        <f t="shared" si="25"/>
        <v>359491.99866406177</v>
      </c>
      <c r="G60" s="627">
        <f t="shared" si="25"/>
        <v>355060.59591698361</v>
      </c>
      <c r="H60" s="627">
        <f t="shared" si="25"/>
        <v>350595.92337309243</v>
      </c>
      <c r="I60" s="627">
        <f t="shared" si="25"/>
        <v>346097.60198668594</v>
      </c>
      <c r="J60" s="627">
        <f t="shared" si="25"/>
        <v>341565.24943947926</v>
      </c>
      <c r="K60" s="627">
        <f t="shared" si="25"/>
        <v>336998.48013888102</v>
      </c>
      <c r="L60" s="627">
        <f t="shared" si="25"/>
        <v>332396.90521715739</v>
      </c>
      <c r="M60" s="627">
        <f t="shared" si="25"/>
        <v>327760.13253151352</v>
      </c>
      <c r="N60" s="627">
        <f t="shared" si="25"/>
        <v>323087.76666512358</v>
      </c>
      <c r="O60" s="627">
        <f t="shared" si="25"/>
        <v>318379.40892914397</v>
      </c>
      <c r="P60" s="627">
        <f t="shared" si="25"/>
        <v>313634.65736573929</v>
      </c>
      <c r="Q60" s="627">
        <f t="shared" si="25"/>
        <v>308853.10675215803</v>
      </c>
      <c r="R60" s="627">
        <f t="shared" si="25"/>
        <v>304034.3486058914</v>
      </c>
      <c r="S60" s="627">
        <f t="shared" si="25"/>
        <v>299177.97119095078</v>
      </c>
      <c r="T60" s="627">
        <f t="shared" si="25"/>
        <v>294283.55952530087</v>
      </c>
      <c r="U60" s="627">
        <f t="shared" si="25"/>
        <v>289350.6953894858</v>
      </c>
      <c r="V60" s="627">
        <f t="shared" si="25"/>
        <v>284378.95733648672</v>
      </c>
      <c r="W60" s="627">
        <f t="shared" si="25"/>
        <v>279367.9207028501</v>
      </c>
      <c r="X60" s="627">
        <f t="shared" si="25"/>
        <v>274317.15762112668</v>
      </c>
      <c r="Y60" s="627">
        <f t="shared" si="25"/>
        <v>269197.30974914337</v>
      </c>
      <c r="Z60" s="627">
        <f t="shared" si="25"/>
        <v>264037.77091769001</v>
      </c>
      <c r="AA60" s="627">
        <f t="shared" si="25"/>
        <v>258838.12670556869</v>
      </c>
      <c r="AB60" s="627">
        <f t="shared" si="25"/>
        <v>253597.96007194809</v>
      </c>
      <c r="AC60" s="627">
        <f t="shared" si="25"/>
        <v>248316.85138706389</v>
      </c>
      <c r="AD60" s="627">
        <f t="shared" si="25"/>
        <v>242994.37846471905</v>
      </c>
      <c r="AE60" s="627">
        <f t="shared" si="25"/>
        <v>237630.11659663927</v>
      </c>
      <c r="AF60" s="627">
        <f t="shared" si="25"/>
        <v>232223.63858873327</v>
      </c>
      <c r="AG60" s="627">
        <f t="shared" si="25"/>
        <v>226774.51479931583</v>
      </c>
      <c r="AH60" s="627">
        <f t="shared" si="25"/>
        <v>221282.31317934903</v>
      </c>
    </row>
    <row r="61" spans="1:34">
      <c r="A61" s="167"/>
      <c r="B61" s="169" t="s">
        <v>262</v>
      </c>
      <c r="C61" s="165" t="s">
        <v>166</v>
      </c>
      <c r="D61" s="613">
        <f>0</f>
        <v>0</v>
      </c>
      <c r="E61" s="613">
        <f>'Propylene Recycling LC'!D85*'Propylene Recycling LC'!D46-'Propylene Recycling LC'!$C$85*'Propylene Recycling LC'!$C$46</f>
        <v>1130.5492505344846</v>
      </c>
      <c r="F61" s="613">
        <f>'Propylene Recycling LC'!E85*'Propylene Recycling LC'!E46-'Propylene Recycling LC'!$C$85*'Propylene Recycling LC'!$C$46</f>
        <v>2261.0985010689692</v>
      </c>
      <c r="G61" s="613">
        <f>'Propylene Recycling LC'!F85*'Propylene Recycling LC'!F46-'Propylene Recycling LC'!$C$85*'Propylene Recycling LC'!$C$46</f>
        <v>3391.6477516034538</v>
      </c>
      <c r="H61" s="613">
        <f>'Propylene Recycling LC'!G85*'Propylene Recycling LC'!G46-'Propylene Recycling LC'!$C$85*'Propylene Recycling LC'!$C$46</f>
        <v>4522.1970021379384</v>
      </c>
      <c r="I61" s="613">
        <f>'Propylene Recycling LC'!H85*'Propylene Recycling LC'!H46-'Propylene Recycling LC'!$C$85*'Propylene Recycling LC'!$C$46</f>
        <v>5652.746252672423</v>
      </c>
      <c r="J61" s="613">
        <f>'Propylene Recycling LC'!I85*'Propylene Recycling LC'!I46-'Propylene Recycling LC'!$C$85*'Propylene Recycling LC'!$C$46</f>
        <v>6582.2192692024728</v>
      </c>
      <c r="K61" s="613">
        <f>'Propylene Recycling LC'!J85*'Propylene Recycling LC'!J46-'Propylene Recycling LC'!$C$85*'Propylene Recycling LC'!$C$46</f>
        <v>7496.769035625468</v>
      </c>
      <c r="L61" s="613">
        <f>'Propylene Recycling LC'!K85*'Propylene Recycling LC'!K46-'Propylene Recycling LC'!$C$85*'Propylene Recycling LC'!$C$46</f>
        <v>8396.3955519414048</v>
      </c>
      <c r="M61" s="613">
        <f>'Propylene Recycling LC'!L85*'Propylene Recycling LC'!L46-'Propylene Recycling LC'!$C$85*'Propylene Recycling LC'!$C$46</f>
        <v>9281.0988181502835</v>
      </c>
      <c r="N61" s="613">
        <f>'Propylene Recycling LC'!M85*'Propylene Recycling LC'!M46-'Propylene Recycling LC'!$C$85*'Propylene Recycling LC'!$C$46</f>
        <v>10150.878834252115</v>
      </c>
      <c r="O61" s="613">
        <f>'Propylene Recycling LC'!N85*'Propylene Recycling LC'!N46-'Propylene Recycling LC'!$C$85*'Propylene Recycling LC'!$C$46</f>
        <v>11989.723272315205</v>
      </c>
      <c r="P61" s="613">
        <f>'Propylene Recycling LC'!O85*'Propylene Recycling LC'!O46-'Propylene Recycling LC'!$C$85*'Propylene Recycling LC'!$C$46</f>
        <v>13800.120264861733</v>
      </c>
      <c r="Q61" s="613">
        <f>'Propylene Recycling LC'!P85*'Propylene Recycling LC'!P46-'Propylene Recycling LC'!$C$85*'Propylene Recycling LC'!$C$46</f>
        <v>15582.06981189167</v>
      </c>
      <c r="R61" s="613">
        <f>'Propylene Recycling LC'!Q85*'Propylene Recycling LC'!Q46-'Propylene Recycling LC'!$C$85*'Propylene Recycling LC'!$C$46</f>
        <v>17335.571913405045</v>
      </c>
      <c r="S61" s="613">
        <f>'Propylene Recycling LC'!R85*'Propylene Recycling LC'!R46-'Propylene Recycling LC'!$C$85*'Propylene Recycling LC'!$C$46</f>
        <v>19060.626569401844</v>
      </c>
      <c r="T61" s="613">
        <f>'Propylene Recycling LC'!S85*'Propylene Recycling LC'!S46-'Propylene Recycling LC'!$C$85*'Propylene Recycling LC'!$C$46</f>
        <v>20757.233779882059</v>
      </c>
      <c r="U61" s="613">
        <f>'Propylene Recycling LC'!T85*'Propylene Recycling LC'!T46-'Propylene Recycling LC'!$C$85*'Propylene Recycling LC'!$C$46</f>
        <v>22425.393544845712</v>
      </c>
      <c r="V61" s="613">
        <f>'Propylene Recycling LC'!U85*'Propylene Recycling LC'!U46-'Propylene Recycling LC'!$C$85*'Propylene Recycling LC'!$C$46</f>
        <v>24065.105864292789</v>
      </c>
      <c r="W61" s="613">
        <f>'Propylene Recycling LC'!V85*'Propylene Recycling LC'!V46-'Propylene Recycling LC'!$C$85*'Propylene Recycling LC'!$C$46</f>
        <v>25676.37073822329</v>
      </c>
      <c r="X61" s="613">
        <f>'Propylene Recycling LC'!W85*'Propylene Recycling LC'!W46-'Propylene Recycling LC'!$C$85*'Propylene Recycling LC'!$C$46</f>
        <v>27259.188166637214</v>
      </c>
      <c r="Y61" s="613">
        <f>'Propylene Recycling LC'!X85*'Propylene Recycling LC'!X46-'Propylene Recycling LC'!$C$85*'Propylene Recycling LC'!$C$46</f>
        <v>30301.904056200699</v>
      </c>
      <c r="Z61" s="613">
        <f>'Propylene Recycling LC'!Y85*'Propylene Recycling LC'!Y46-'Propylene Recycling LC'!$C$85*'Propylene Recycling LC'!$C$46</f>
        <v>33294.206751177859</v>
      </c>
      <c r="AA61" s="613">
        <f>'Propylene Recycling LC'!Z85*'Propylene Recycling LC'!Z46-'Propylene Recycling LC'!$C$85*'Propylene Recycling LC'!$C$46</f>
        <v>36236.096251568699</v>
      </c>
      <c r="AB61" s="613">
        <f>'Propylene Recycling LC'!AA85*'Propylene Recycling LC'!AA46-'Propylene Recycling LC'!$C$85*'Propylene Recycling LC'!$C$46</f>
        <v>39127.572557373183</v>
      </c>
      <c r="AC61" s="613">
        <f>'Propylene Recycling LC'!AB85*'Propylene Recycling LC'!AB46-'Propylene Recycling LC'!$C$85*'Propylene Recycling LC'!$C$46</f>
        <v>41968.635668591334</v>
      </c>
      <c r="AD61" s="613">
        <f>'Propylene Recycling LC'!AC85*'Propylene Recycling LC'!AC46-'Propylene Recycling LC'!$C$85*'Propylene Recycling LC'!$C$46</f>
        <v>44743.394689903158</v>
      </c>
      <c r="AE61" s="613">
        <f>'Propylene Recycling LC'!AD85*'Propylene Recycling LC'!AD46-'Propylene Recycling LC'!$C$85*'Propylene Recycling LC'!$C$46</f>
        <v>47466.212844065405</v>
      </c>
      <c r="AF61" s="613">
        <f>'Propylene Recycling LC'!AE85*'Propylene Recycling LC'!AE46-'Propylene Recycling LC'!$C$85*'Propylene Recycling LC'!$C$46</f>
        <v>50137.090131078119</v>
      </c>
      <c r="AG61" s="613">
        <f>'Propylene Recycling LC'!AF85*'Propylene Recycling LC'!AF46-'Propylene Recycling LC'!$C$85*'Propylene Recycling LC'!$C$46</f>
        <v>52756.026550941257</v>
      </c>
      <c r="AH61" s="613">
        <f>'Propylene Recycling LC'!AG85*'Propylene Recycling LC'!AG46-'Propylene Recycling LC'!$C$85*'Propylene Recycling LC'!$C$46</f>
        <v>55323.022103654846</v>
      </c>
    </row>
    <row r="62" spans="1:34" outlineLevel="1">
      <c r="A62"/>
      <c r="B62" t="s">
        <v>264</v>
      </c>
      <c r="C62" s="51" t="s">
        <v>166</v>
      </c>
      <c r="D62" s="196">
        <f>0</f>
        <v>0</v>
      </c>
      <c r="E62" s="196">
        <f>'Propylene Recycling LC'!D59*'Propylene Recycling LC'!D42-'Propylene Recycling LC'!$C$59*'Propylene Recycling LC'!$C$42</f>
        <v>285.64272912752494</v>
      </c>
      <c r="F62" s="196">
        <f>'Propylene Recycling LC'!E59*'Propylene Recycling LC'!E42-'Propylene Recycling LC'!$C$59*'Propylene Recycling LC'!$C$42</f>
        <v>576.72184463925078</v>
      </c>
      <c r="G62" s="196">
        <f>'Propylene Recycling LC'!F59*'Propylene Recycling LC'!F42-'Propylene Recycling LC'!$C$59*'Propylene Recycling LC'!$C$42</f>
        <v>873.10607622604221</v>
      </c>
      <c r="H62" s="196">
        <f>'Propylene Recycling LC'!G59*'Propylene Recycling LC'!G42-'Propylene Recycling LC'!$C$59*'Propylene Recycling LC'!$C$42</f>
        <v>1174.6641535787667</v>
      </c>
      <c r="I62" s="196">
        <f>'Propylene Recycling LC'!H59*'Propylene Recycling LC'!H42-'Propylene Recycling LC'!$C$59*'Propylene Recycling LC'!$C$42</f>
        <v>1481.2648063882889</v>
      </c>
      <c r="J62" s="196">
        <f>'Propylene Recycling LC'!I59*'Propylene Recycling LC'!I42-'Propylene Recycling LC'!$C$59*'Propylene Recycling LC'!$C$42</f>
        <v>1792.7767643454818</v>
      </c>
      <c r="K62" s="196">
        <f>'Propylene Recycling LC'!J59*'Propylene Recycling LC'!J42-'Propylene Recycling LC'!$C$59*'Propylene Recycling LC'!$C$42</f>
        <v>2109.06875714121</v>
      </c>
      <c r="L62" s="196">
        <f>'Propylene Recycling LC'!K59*'Propylene Recycling LC'!K42-'Propylene Recycling LC'!$C$59*'Propylene Recycling LC'!$C$42</f>
        <v>2430.009514466341</v>
      </c>
      <c r="M62" s="196">
        <f>'Propylene Recycling LC'!L59*'Propylene Recycling LC'!L42-'Propylene Recycling LC'!$C$59*'Propylene Recycling LC'!$C$42</f>
        <v>2755.4677660117404</v>
      </c>
      <c r="N62" s="196">
        <f>'Propylene Recycling LC'!M59*'Propylene Recycling LC'!M42-'Propylene Recycling LC'!$C$59*'Propylene Recycling LC'!$C$42</f>
        <v>3085.3122414682766</v>
      </c>
      <c r="O62" s="196">
        <f>'Propylene Recycling LC'!N59*'Propylene Recycling LC'!N42-'Propylene Recycling LC'!$C$59*'Propylene Recycling LC'!$C$42</f>
        <v>3674.6465003562862</v>
      </c>
      <c r="P62" s="196">
        <f>'Propylene Recycling LC'!O59*'Propylene Recycling LC'!O42-'Propylene Recycling LC'!$C$59*'Propylene Recycling LC'!$C$42</f>
        <v>4276.7742540211057</v>
      </c>
      <c r="Q62" s="196">
        <f>'Propylene Recycling LC'!P59*'Propylene Recycling LC'!P42-'Propylene Recycling LC'!$C$59*'Propylene Recycling LC'!$C$42</f>
        <v>4877.3345339346342</v>
      </c>
      <c r="R62" s="196">
        <f>'Propylene Recycling LC'!Q59*'Propylene Recycling LC'!Q42-'Propylene Recycling LC'!$C$59*'Propylene Recycling LC'!$C$42</f>
        <v>5483.5701347710565</v>
      </c>
      <c r="S62" s="196">
        <f>'Propylene Recycling LC'!R59*'Propylene Recycling LC'!R42-'Propylene Recycling LC'!$C$59*'Propylene Recycling LC'!$C$42</f>
        <v>6094.9700483466422</v>
      </c>
      <c r="T62" s="196">
        <f>'Propylene Recycling LC'!S59*'Propylene Recycling LC'!S42-'Propylene Recycling LC'!$C$59*'Propylene Recycling LC'!$C$42</f>
        <v>6711.0232664776468</v>
      </c>
      <c r="U62" s="196">
        <f>'Propylene Recycling LC'!T59*'Propylene Recycling LC'!T42-'Propylene Recycling LC'!$C$59*'Propylene Recycling LC'!$C$42</f>
        <v>7331.218780980349</v>
      </c>
      <c r="V62" s="196">
        <f>'Propylene Recycling LC'!U59*'Propylene Recycling LC'!U42-'Propylene Recycling LC'!$C$59*'Propylene Recycling LC'!$C$42</f>
        <v>7955.0455836709989</v>
      </c>
      <c r="W62" s="196">
        <f>'Propylene Recycling LC'!V59*'Propylene Recycling LC'!V42-'Propylene Recycling LC'!$C$59*'Propylene Recycling LC'!$C$42</f>
        <v>8581.992666365868</v>
      </c>
      <c r="X62" s="196">
        <f>'Propylene Recycling LC'!W59*'Propylene Recycling LC'!W42-'Propylene Recycling LC'!$C$59*'Propylene Recycling LC'!$C$42</f>
        <v>9211.5490208812189</v>
      </c>
      <c r="Y62" s="196">
        <f>'Propylene Recycling LC'!X59*'Propylene Recycling LC'!X42-'Propylene Recycling LC'!$C$59*'Propylene Recycling LC'!$C$42</f>
        <v>10080.560001284535</v>
      </c>
      <c r="Z62" s="196">
        <f>'Propylene Recycling LC'!Y59*'Propylene Recycling LC'!Y42-'Propylene Recycling LC'!$C$59*'Propylene Recycling LC'!$C$42</f>
        <v>11037.350961986804</v>
      </c>
      <c r="AA62" s="196">
        <f>'Propylene Recycling LC'!Z59*'Propylene Recycling LC'!Z42-'Propylene Recycling LC'!$C$59*'Propylene Recycling LC'!$C$42</f>
        <v>11998.821020690444</v>
      </c>
      <c r="AB62" s="196">
        <f>'Propylene Recycling LC'!AA59*'Propylene Recycling LC'!AA42-'Propylene Recycling LC'!$C$59*'Propylene Recycling LC'!$C$42</f>
        <v>12964.170010918522</v>
      </c>
      <c r="AC62" s="196">
        <f>'Propylene Recycling LC'!AB59*'Propylene Recycling LC'!AB42-'Propylene Recycling LC'!$C$59*'Propylene Recycling LC'!$C$42</f>
        <v>13932.597766194125</v>
      </c>
      <c r="AD62" s="196">
        <f>'Propylene Recycling LC'!AC59*'Propylene Recycling LC'!AC42-'Propylene Recycling LC'!$C$59*'Propylene Recycling LC'!$C$42</f>
        <v>14903.304120040328</v>
      </c>
      <c r="AE62" s="196">
        <f>'Propylene Recycling LC'!AD59*'Propylene Recycling LC'!AD42-'Propylene Recycling LC'!$C$59*'Propylene Recycling LC'!$C$42</f>
        <v>15875.488905980208</v>
      </c>
      <c r="AF62" s="196">
        <f>'Propylene Recycling LC'!AE59*'Propylene Recycling LC'!AE42-'Propylene Recycling LC'!$C$59*'Propylene Recycling LC'!$C$42</f>
        <v>16848.351957536841</v>
      </c>
      <c r="AG62" s="196">
        <f>'Propylene Recycling LC'!AF59*'Propylene Recycling LC'!AF42-'Propylene Recycling LC'!$C$59*'Propylene Recycling LC'!$C$42</f>
        <v>17821.093108233315</v>
      </c>
      <c r="AH62" s="196">
        <f>'Propylene Recycling LC'!AG59*'Propylene Recycling LC'!AG42-'Propylene Recycling LC'!$C$59*'Propylene Recycling LC'!$C$42</f>
        <v>18792.91219159275</v>
      </c>
    </row>
    <row r="63" spans="1:34" outlineLevel="1">
      <c r="A63"/>
      <c r="B63" t="s">
        <v>266</v>
      </c>
      <c r="C63" s="51" t="s">
        <v>166</v>
      </c>
      <c r="D63" s="196">
        <v>0</v>
      </c>
      <c r="E63" s="196">
        <v>0</v>
      </c>
      <c r="F63" s="196">
        <v>0</v>
      </c>
      <c r="G63" s="196">
        <v>0</v>
      </c>
      <c r="H63" s="196">
        <v>0</v>
      </c>
      <c r="I63" s="196">
        <v>0</v>
      </c>
      <c r="J63" s="196">
        <v>0</v>
      </c>
      <c r="K63" s="196">
        <v>0</v>
      </c>
      <c r="L63" s="196">
        <v>0</v>
      </c>
      <c r="M63" s="196">
        <v>0</v>
      </c>
      <c r="N63" s="196">
        <v>0</v>
      </c>
      <c r="O63" s="196">
        <v>0</v>
      </c>
      <c r="P63" s="196">
        <v>0</v>
      </c>
      <c r="Q63" s="196">
        <v>0</v>
      </c>
      <c r="R63" s="196">
        <v>0</v>
      </c>
      <c r="S63" s="196">
        <v>0</v>
      </c>
      <c r="T63" s="196">
        <v>0</v>
      </c>
      <c r="U63" s="196">
        <v>0</v>
      </c>
      <c r="V63" s="196">
        <v>0</v>
      </c>
      <c r="W63" s="196">
        <v>0</v>
      </c>
      <c r="X63" s="196">
        <v>0</v>
      </c>
      <c r="Y63" s="196">
        <v>0</v>
      </c>
      <c r="Z63" s="196">
        <v>0</v>
      </c>
      <c r="AA63" s="196">
        <v>0</v>
      </c>
      <c r="AB63" s="196">
        <v>0</v>
      </c>
      <c r="AC63" s="196">
        <v>0</v>
      </c>
      <c r="AD63" s="196">
        <v>0</v>
      </c>
      <c r="AE63" s="196">
        <v>0</v>
      </c>
      <c r="AF63" s="196">
        <v>0</v>
      </c>
      <c r="AG63" s="196">
        <v>0</v>
      </c>
      <c r="AH63" s="196">
        <v>0</v>
      </c>
    </row>
    <row r="64" spans="1:34" outlineLevel="1">
      <c r="A64" s="169"/>
      <c r="B64" s="169" t="s">
        <v>265</v>
      </c>
      <c r="C64" s="165" t="s">
        <v>166</v>
      </c>
      <c r="D64" s="613">
        <f>0</f>
        <v>0</v>
      </c>
      <c r="E64" s="613">
        <f>'Propylene Recycling LC'!D75*'Propylene Recycling LC'!D43-'Propylene Recycling LC'!$C$75*'Propylene Recycling LC'!$C$43</f>
        <v>353.57963639767695</v>
      </c>
      <c r="F64" s="613">
        <f>'Propylene Recycling LC'!E75*'Propylene Recycling LC'!E43-'Propylene Recycling LC'!$C$75*'Propylene Recycling LC'!$C$43</f>
        <v>698.06682365397387</v>
      </c>
      <c r="G64" s="613">
        <f>'Propylene Recycling LC'!F75*'Propylene Recycling LC'!F43-'Propylene Recycling LC'!$C$75*'Propylene Recycling LC'!$C$43</f>
        <v>1033.5141435989192</v>
      </c>
      <c r="H64" s="613">
        <f>'Propylene Recycling LC'!G75*'Propylene Recycling LC'!G43-'Propylene Recycling LC'!$C$75*'Propylene Recycling LC'!$C$43</f>
        <v>1359.9741780625393</v>
      </c>
      <c r="I64" s="613">
        <f>'Propylene Recycling LC'!H75*'Propylene Recycling LC'!H43-'Propylene Recycling LC'!$C$75*'Propylene Recycling LC'!$C$43</f>
        <v>1677.4995088748631</v>
      </c>
      <c r="J64" s="613">
        <f>'Propylene Recycling LC'!I75*'Propylene Recycling LC'!I43-'Propylene Recycling LC'!$C$75*'Propylene Recycling LC'!$C$43</f>
        <v>1986.1427178659167</v>
      </c>
      <c r="K64" s="613">
        <f>'Propylene Recycling LC'!J75*'Propylene Recycling LC'!J43-'Propylene Recycling LC'!$C$75*'Propylene Recycling LC'!$C$43</f>
        <v>2285.9563868657306</v>
      </c>
      <c r="L64" s="613">
        <f>'Propylene Recycling LC'!K75*'Propylene Recycling LC'!K43-'Propylene Recycling LC'!$C$75*'Propylene Recycling LC'!$C$43</f>
        <v>2576.9930977043296</v>
      </c>
      <c r="M64" s="613">
        <f>'Propylene Recycling LC'!L75*'Propylene Recycling LC'!L43-'Propylene Recycling LC'!$C$75*'Propylene Recycling LC'!$C$43</f>
        <v>2859.3054322117423</v>
      </c>
      <c r="N64" s="613">
        <f>'Propylene Recycling LC'!M75*'Propylene Recycling LC'!M43-'Propylene Recycling LC'!$C$75*'Propylene Recycling LC'!$C$43</f>
        <v>3132.9459722179954</v>
      </c>
      <c r="O64" s="613">
        <f>'Propylene Recycling LC'!N75*'Propylene Recycling LC'!N43-'Propylene Recycling LC'!$C$75*'Propylene Recycling LC'!$C$43</f>
        <v>3693.3842840574707</v>
      </c>
      <c r="P64" s="613">
        <f>'Propylene Recycling LC'!O75*'Propylene Recycling LC'!O43-'Propylene Recycling LC'!$C$75*'Propylene Recycling LC'!$C$43</f>
        <v>4237.2734810349411</v>
      </c>
      <c r="Q64" s="613">
        <f>'Propylene Recycling LC'!P75*'Propylene Recycling LC'!P43-'Propylene Recycling LC'!$C$75*'Propylene Recycling LC'!$C$43</f>
        <v>4743.6555691493022</v>
      </c>
      <c r="R64" s="613">
        <f>'Propylene Recycling LC'!Q75*'Propylene Recycling LC'!Q43-'Propylene Recycling LC'!$C$75*'Propylene Recycling LC'!$C$43</f>
        <v>5230.1583625934481</v>
      </c>
      <c r="S64" s="613">
        <f>'Propylene Recycling LC'!R75*'Propylene Recycling LC'!R43-'Propylene Recycling LC'!$C$75*'Propylene Recycling LC'!$C$43</f>
        <v>5697.0372485796561</v>
      </c>
      <c r="T64" s="613">
        <f>'Propylene Recycling LC'!S75*'Propylene Recycling LC'!S43-'Propylene Recycling LC'!$C$75*'Propylene Recycling LC'!$C$43</f>
        <v>6144.5471506874237</v>
      </c>
      <c r="U64" s="613">
        <f>'Propylene Recycling LC'!T75*'Propylene Recycling LC'!T43-'Propylene Recycling LC'!$C$75*'Propylene Recycling LC'!$C$43</f>
        <v>6572.9425078432541</v>
      </c>
      <c r="V64" s="613">
        <f>'Propylene Recycling LC'!U75*'Propylene Recycling LC'!U43-'Propylene Recycling LC'!$C$75*'Propylene Recycling LC'!$C$43</f>
        <v>6982.477253467112</v>
      </c>
      <c r="W64" s="613">
        <f>'Propylene Recycling LC'!V75*'Propylene Recycling LC'!V43-'Propylene Recycling LC'!$C$75*'Propylene Recycling LC'!$C$43</f>
        <v>7373.4047947856106</v>
      </c>
      <c r="X64" s="613">
        <f>'Propylene Recycling LC'!W75*'Propylene Recycling LC'!W43-'Propylene Recycling LC'!$C$75*'Propylene Recycling LC'!$C$43</f>
        <v>7745.9779923119131</v>
      </c>
      <c r="Y64" s="613">
        <f>'Propylene Recycling LC'!X75*'Propylene Recycling LC'!X43-'Propylene Recycling LC'!$C$75*'Propylene Recycling LC'!$C$43</f>
        <v>8503.7355507935918</v>
      </c>
      <c r="Z64" s="613">
        <f>'Propylene Recycling LC'!Y75*'Propylene Recycling LC'!Y43-'Propylene Recycling LC'!$C$75*'Propylene Recycling LC'!$C$43</f>
        <v>9228.7337766789387</v>
      </c>
      <c r="AA64" s="613">
        <f>'Propylene Recycling LC'!Z75*'Propylene Recycling LC'!Z43-'Propylene Recycling LC'!$C$75*'Propylene Recycling LC'!$C$43</f>
        <v>9828.226526991928</v>
      </c>
      <c r="AB64" s="613">
        <f>'Propylene Recycling LC'!AA75*'Propylene Recycling LC'!AA43-'Propylene Recycling LC'!$C$75*'Propylene Recycling LC'!$C$43</f>
        <v>10384.003203715482</v>
      </c>
      <c r="AC64" s="613">
        <f>'Propylene Recycling LC'!AB75*'Propylene Recycling LC'!AB43-'Propylene Recycling LC'!$C$75*'Propylene Recycling LC'!$C$43</f>
        <v>10897.137029293801</v>
      </c>
      <c r="AD64" s="613">
        <f>'Propylene Recycling LC'!AC75*'Propylene Recycling LC'!AC43-'Propylene Recycling LC'!$C$75*'Propylene Recycling LC'!$C$43</f>
        <v>11368.702913829058</v>
      </c>
      <c r="AE64" s="613">
        <f>'Propylene Recycling LC'!AD75*'Propylene Recycling LC'!AD43-'Propylene Recycling LC'!$C$75*'Propylene Recycling LC'!$C$43</f>
        <v>11799.776896826153</v>
      </c>
      <c r="AF64" s="613">
        <f>'Propylene Recycling LC'!AE75*'Propylene Recycling LC'!AE43-'Propylene Recycling LC'!$C$75*'Propylene Recycling LC'!$C$43</f>
        <v>12191.435595584715</v>
      </c>
      <c r="AG64" s="613">
        <f>'Propylene Recycling LC'!AF75*'Propylene Recycling LC'!AF43-'Propylene Recycling LC'!$C$75*'Propylene Recycling LC'!$C$43</f>
        <v>12544.755660238377</v>
      </c>
      <c r="AH64" s="613">
        <f>'Propylene Recycling LC'!AG75*'Propylene Recycling LC'!AG43-'Propylene Recycling LC'!$C$75*'Propylene Recycling LC'!$C$43</f>
        <v>1919.1114895358762</v>
      </c>
    </row>
    <row r="65" spans="1:46">
      <c r="A65" s="167"/>
      <c r="B65" s="224" t="s">
        <v>263</v>
      </c>
      <c r="C65" s="168" t="s">
        <v>166</v>
      </c>
      <c r="D65" s="620">
        <f>D60-D61-D62-D63-D64</f>
        <v>368256.49460398941</v>
      </c>
      <c r="E65" s="620">
        <f t="shared" ref="E65:AH65" si="26">E60-E61-E62-E63-E64</f>
        <v>362120.73577396804</v>
      </c>
      <c r="F65" s="620">
        <f t="shared" si="26"/>
        <v>355956.11149469961</v>
      </c>
      <c r="G65" s="620">
        <f t="shared" si="26"/>
        <v>349762.32794555521</v>
      </c>
      <c r="H65" s="620">
        <f t="shared" si="26"/>
        <v>343539.08803931321</v>
      </c>
      <c r="I65" s="620">
        <f t="shared" si="26"/>
        <v>337286.09141875041</v>
      </c>
      <c r="J65" s="620">
        <f t="shared" si="26"/>
        <v>331204.11068806535</v>
      </c>
      <c r="K65" s="620">
        <f t="shared" si="26"/>
        <v>325106.68595924863</v>
      </c>
      <c r="L65" s="620">
        <f t="shared" si="26"/>
        <v>318993.50705304532</v>
      </c>
      <c r="M65" s="620">
        <f t="shared" si="26"/>
        <v>312864.26051513979</v>
      </c>
      <c r="N65" s="620">
        <f t="shared" si="26"/>
        <v>306718.62961718516</v>
      </c>
      <c r="O65" s="620">
        <f t="shared" si="26"/>
        <v>299021.65487241501</v>
      </c>
      <c r="P65" s="620">
        <f t="shared" si="26"/>
        <v>291320.48936582147</v>
      </c>
      <c r="Q65" s="620">
        <f t="shared" si="26"/>
        <v>283650.04683718242</v>
      </c>
      <c r="R65" s="620">
        <f t="shared" si="26"/>
        <v>275985.04819512187</v>
      </c>
      <c r="S65" s="620">
        <f t="shared" si="26"/>
        <v>268325.33732462267</v>
      </c>
      <c r="T65" s="620">
        <f t="shared" si="26"/>
        <v>260670.75532825373</v>
      </c>
      <c r="U65" s="620">
        <f t="shared" si="26"/>
        <v>253021.1405558165</v>
      </c>
      <c r="V65" s="620">
        <f t="shared" si="26"/>
        <v>245376.32863505583</v>
      </c>
      <c r="W65" s="620">
        <f t="shared" si="26"/>
        <v>237736.15250347534</v>
      </c>
      <c r="X65" s="620">
        <f t="shared" si="26"/>
        <v>230100.44244129636</v>
      </c>
      <c r="Y65" s="620">
        <f t="shared" si="26"/>
        <v>220311.11014086456</v>
      </c>
      <c r="Z65" s="620">
        <f t="shared" si="26"/>
        <v>210477.47942784641</v>
      </c>
      <c r="AA65" s="620">
        <f t="shared" si="26"/>
        <v>200774.98290631763</v>
      </c>
      <c r="AB65" s="620">
        <f t="shared" si="26"/>
        <v>191122.21429994091</v>
      </c>
      <c r="AC65" s="620">
        <f t="shared" si="26"/>
        <v>181518.48092298463</v>
      </c>
      <c r="AD65" s="620">
        <f t="shared" si="26"/>
        <v>171978.9767409465</v>
      </c>
      <c r="AE65" s="620">
        <f t="shared" si="26"/>
        <v>162488.63794976752</v>
      </c>
      <c r="AF65" s="620">
        <f t="shared" si="26"/>
        <v>153046.76090453358</v>
      </c>
      <c r="AG65" s="620">
        <f t="shared" si="26"/>
        <v>143652.63947990286</v>
      </c>
      <c r="AH65" s="620">
        <f t="shared" si="26"/>
        <v>145247.2673945656</v>
      </c>
    </row>
    <row r="66" spans="1:46" s="62" customFormat="1">
      <c r="A66" s="55" t="s">
        <v>78</v>
      </c>
      <c r="B66" s="55" t="s">
        <v>260</v>
      </c>
      <c r="C66" s="95" t="s">
        <v>166</v>
      </c>
      <c r="D66" s="631">
        <f>D45+D52+D56+D57+D58+D62+D63+D64</f>
        <v>0</v>
      </c>
      <c r="E66" s="631">
        <f t="shared" ref="E66:AH66" si="27">E45+E52+E56+E57+E58+E62+E63+E64</f>
        <v>2410.3793022978389</v>
      </c>
      <c r="F66" s="631">
        <f t="shared" si="27"/>
        <v>4822.6837333461817</v>
      </c>
      <c r="G66" s="631">
        <f t="shared" si="27"/>
        <v>7236.4030022383195</v>
      </c>
      <c r="H66" s="631">
        <f t="shared" si="27"/>
        <v>9651.0268180675539</v>
      </c>
      <c r="I66" s="631">
        <f t="shared" si="27"/>
        <v>12066.044889927174</v>
      </c>
      <c r="J66" s="631">
        <f t="shared" si="27"/>
        <v>14480.946926910512</v>
      </c>
      <c r="K66" s="631">
        <f t="shared" si="27"/>
        <v>16895.222638110856</v>
      </c>
      <c r="L66" s="631">
        <f t="shared" si="27"/>
        <v>19308.361732621514</v>
      </c>
      <c r="M66" s="631">
        <f t="shared" si="27"/>
        <v>21719.853919535766</v>
      </c>
      <c r="N66" s="631">
        <f t="shared" si="27"/>
        <v>24129.188907946926</v>
      </c>
      <c r="O66" s="631">
        <f t="shared" si="27"/>
        <v>28632.633290829966</v>
      </c>
      <c r="P66" s="631">
        <f t="shared" si="27"/>
        <v>33154.075384091477</v>
      </c>
      <c r="Q66" s="631">
        <f t="shared" si="27"/>
        <v>37563.493695087906</v>
      </c>
      <c r="R66" s="631">
        <f t="shared" si="27"/>
        <v>41946.068347725974</v>
      </c>
      <c r="S66" s="631">
        <f t="shared" si="27"/>
        <v>46299.953710010028</v>
      </c>
      <c r="T66" s="631">
        <f t="shared" si="27"/>
        <v>50623.302862075521</v>
      </c>
      <c r="U66" s="631">
        <f t="shared" si="27"/>
        <v>54914.267537799671</v>
      </c>
      <c r="V66" s="631">
        <f t="shared" si="27"/>
        <v>59170.998066874752</v>
      </c>
      <c r="W66" s="631">
        <f t="shared" si="27"/>
        <v>63391.643317344926</v>
      </c>
      <c r="X66" s="631">
        <f t="shared" si="27"/>
        <v>67574.350638605858</v>
      </c>
      <c r="Y66" s="631">
        <f t="shared" si="27"/>
        <v>74024.287647515986</v>
      </c>
      <c r="Z66" s="631">
        <f t="shared" si="27"/>
        <v>80822.126411819962</v>
      </c>
      <c r="AA66" s="631">
        <f t="shared" si="27"/>
        <v>87294.734345096469</v>
      </c>
      <c r="AB66" s="631">
        <f t="shared" si="27"/>
        <v>93665.303398246731</v>
      </c>
      <c r="AC66" s="631">
        <f t="shared" si="27"/>
        <v>99932.813912342303</v>
      </c>
      <c r="AD66" s="631">
        <f t="shared" si="27"/>
        <v>106096.25091639346</v>
      </c>
      <c r="AE66" s="631">
        <f t="shared" si="27"/>
        <v>112154.60257664036</v>
      </c>
      <c r="AF66" s="631">
        <f t="shared" si="27"/>
        <v>118106.85866430843</v>
      </c>
      <c r="AG66" s="631">
        <f t="shared" si="27"/>
        <v>123952.00904182874</v>
      </c>
      <c r="AH66" s="631">
        <f t="shared" si="27"/>
        <v>99295.426206674529</v>
      </c>
    </row>
    <row r="67" spans="1:46" s="63" customFormat="1">
      <c r="B67" s="59" t="s">
        <v>261</v>
      </c>
      <c r="C67" s="60" t="s">
        <v>166</v>
      </c>
      <c r="D67" s="646">
        <f>D44+D48+D51+D55+D61</f>
        <v>0</v>
      </c>
      <c r="E67" s="646">
        <f t="shared" ref="E67:AH67" si="28">E44+E48+E51+E55+E61</f>
        <v>2489.6184938757569</v>
      </c>
      <c r="F67" s="646">
        <f t="shared" si="28"/>
        <v>5011.5035376351389</v>
      </c>
      <c r="G67" s="646">
        <f t="shared" si="28"/>
        <v>7564.8726085342914</v>
      </c>
      <c r="H67" s="646">
        <f t="shared" si="28"/>
        <v>10148.943183829368</v>
      </c>
      <c r="I67" s="646">
        <f t="shared" si="28"/>
        <v>12762.932740776509</v>
      </c>
      <c r="J67" s="646">
        <f t="shared" si="28"/>
        <v>15204.982522627432</v>
      </c>
      <c r="K67" s="646">
        <f t="shared" si="28"/>
        <v>17660.462990535663</v>
      </c>
      <c r="L67" s="646">
        <f t="shared" si="28"/>
        <v>20128.591621757358</v>
      </c>
      <c r="M67" s="646">
        <f t="shared" si="28"/>
        <v>22608.585893548654</v>
      </c>
      <c r="N67" s="646">
        <f t="shared" si="28"/>
        <v>25099.663283165704</v>
      </c>
      <c r="O67" s="646">
        <f t="shared" si="28"/>
        <v>29646.299237312451</v>
      </c>
      <c r="P67" s="646">
        <f t="shared" si="28"/>
        <v>34217.027754284609</v>
      </c>
      <c r="Q67" s="646">
        <f t="shared" si="28"/>
        <v>38758.476067254669</v>
      </c>
      <c r="R67" s="646">
        <f t="shared" si="28"/>
        <v>43298.204567922039</v>
      </c>
      <c r="S67" s="646">
        <f t="shared" si="28"/>
        <v>47833.855626816716</v>
      </c>
      <c r="T67" s="646">
        <f t="shared" si="28"/>
        <v>52363.075388154168</v>
      </c>
      <c r="U67" s="646">
        <f t="shared" si="28"/>
        <v>56883.513792603291</v>
      </c>
      <c r="V67" s="646">
        <f t="shared" si="28"/>
        <v>61392.824599590989</v>
      </c>
      <c r="W67" s="646">
        <f t="shared" si="28"/>
        <v>65888.66540914416</v>
      </c>
      <c r="X67" s="646">
        <f t="shared" si="28"/>
        <v>70368.697683268168</v>
      </c>
      <c r="Y67" s="646">
        <f t="shared" si="28"/>
        <v>78027.659951812762</v>
      </c>
      <c r="Z67" s="646">
        <f t="shared" si="28"/>
        <v>85947.134256284568</v>
      </c>
      <c r="AA67" s="646">
        <f t="shared" si="28"/>
        <v>93802.018845788436</v>
      </c>
      <c r="AB67" s="646">
        <f t="shared" si="28"/>
        <v>101620.38192914129</v>
      </c>
      <c r="AC67" s="646">
        <f t="shared" si="28"/>
        <v>109398.13943402511</v>
      </c>
      <c r="AD67" s="646">
        <f t="shared" si="28"/>
        <v>117115.34189604784</v>
      </c>
      <c r="AE67" s="646">
        <f t="shared" si="28"/>
        <v>124782.31960249181</v>
      </c>
      <c r="AF67" s="646">
        <f t="shared" si="28"/>
        <v>132395.06536336726</v>
      </c>
      <c r="AG67" s="646">
        <f t="shared" si="28"/>
        <v>139949.59782759147</v>
      </c>
      <c r="AH67" s="646">
        <f t="shared" si="28"/>
        <v>177835.57751879498</v>
      </c>
    </row>
    <row r="68" spans="1:46" s="99" customFormat="1">
      <c r="A68" s="97" t="s">
        <v>630</v>
      </c>
      <c r="B68" s="97"/>
      <c r="C68" s="98" t="s">
        <v>166</v>
      </c>
      <c r="D68" s="642">
        <f t="shared" ref="D68:AH68" si="29">D46+D49+D53+IF(D59&lt;0,0,D59)+D65</f>
        <v>1127444.3500000006</v>
      </c>
      <c r="E68" s="642">
        <f t="shared" si="29"/>
        <v>1118260.7086181734</v>
      </c>
      <c r="F68" s="642">
        <f t="shared" si="29"/>
        <v>1109052.7869139635</v>
      </c>
      <c r="G68" s="642">
        <f t="shared" si="29"/>
        <v>1099822.123034901</v>
      </c>
      <c r="H68" s="642">
        <f t="shared" si="29"/>
        <v>1090570.2605676423</v>
      </c>
      <c r="I68" s="642">
        <f t="shared" si="29"/>
        <v>1081298.7486519418</v>
      </c>
      <c r="J68" s="642">
        <f t="shared" si="29"/>
        <v>1072210.2183309409</v>
      </c>
      <c r="K68" s="642">
        <f t="shared" si="29"/>
        <v>1063120.0772179072</v>
      </c>
      <c r="L68" s="642">
        <f t="shared" si="29"/>
        <v>1054029.8918190801</v>
      </c>
      <c r="M68" s="642">
        <f t="shared" si="29"/>
        <v>1044941.2346732772</v>
      </c>
      <c r="N68" s="642">
        <f t="shared" si="29"/>
        <v>1035855.684477895</v>
      </c>
      <c r="O68" s="642">
        <f t="shared" si="29"/>
        <v>1020996.2074033441</v>
      </c>
      <c r="P68" s="642">
        <f t="shared" si="29"/>
        <v>1006291.2503475962</v>
      </c>
      <c r="Q68" s="642">
        <f t="shared" si="29"/>
        <v>991409.87475184188</v>
      </c>
      <c r="R68" s="642">
        <f t="shared" si="29"/>
        <v>976543.02494677878</v>
      </c>
      <c r="S68" s="642">
        <f t="shared" si="29"/>
        <v>961694.43975429598</v>
      </c>
      <c r="T68" s="642">
        <f t="shared" si="29"/>
        <v>946867.84468992986</v>
      </c>
      <c r="U68" s="642">
        <f t="shared" si="29"/>
        <v>932066.95180623885</v>
      </c>
      <c r="V68" s="642">
        <f t="shared" si="29"/>
        <v>917295.45953391073</v>
      </c>
      <c r="W68" s="642">
        <f t="shared" si="29"/>
        <v>902557.05252061132</v>
      </c>
      <c r="X68" s="642">
        <f t="shared" si="29"/>
        <v>887855.40146757918</v>
      </c>
      <c r="Y68" s="642">
        <f t="shared" si="29"/>
        <v>863948.54511912633</v>
      </c>
      <c r="Z68" s="642">
        <f t="shared" si="29"/>
        <v>841190.36307834601</v>
      </c>
      <c r="AA68" s="642">
        <f t="shared" si="29"/>
        <v>818740.60492028389</v>
      </c>
      <c r="AB68" s="642">
        <f t="shared" si="29"/>
        <v>796346.32558613713</v>
      </c>
      <c r="AC68" s="642">
        <f t="shared" si="29"/>
        <v>774010.92637203087</v>
      </c>
      <c r="AD68" s="642">
        <f t="shared" si="29"/>
        <v>751753.65205944958</v>
      </c>
      <c r="AE68" s="642">
        <f t="shared" si="29"/>
        <v>729563.44766512909</v>
      </c>
      <c r="AF68" s="642">
        <f t="shared" si="29"/>
        <v>707443.57757183665</v>
      </c>
      <c r="AG68" s="642">
        <f t="shared" si="29"/>
        <v>685397.26412324258</v>
      </c>
      <c r="AH68" s="642">
        <f t="shared" si="29"/>
        <v>663427.68947028276</v>
      </c>
      <c r="AJ68" s="99" t="s">
        <v>550</v>
      </c>
    </row>
    <row r="69" spans="1:46">
      <c r="A69" s="1" t="s">
        <v>843</v>
      </c>
      <c r="C69" s="56" t="s">
        <v>166</v>
      </c>
      <c r="D69" s="649">
        <f>'Propylene Recycling LC'!C187</f>
        <v>0</v>
      </c>
      <c r="E69" s="649">
        <f>'Propylene Recycling LC'!D187</f>
        <v>0</v>
      </c>
      <c r="F69" s="649">
        <f>'Propylene Recycling LC'!E187</f>
        <v>0</v>
      </c>
      <c r="G69" s="649">
        <f>'Propylene Recycling LC'!F187</f>
        <v>0</v>
      </c>
      <c r="H69" s="649">
        <f>'Propylene Recycling LC'!G187</f>
        <v>0</v>
      </c>
      <c r="I69" s="649">
        <f>'Propylene Recycling LC'!H187</f>
        <v>0</v>
      </c>
      <c r="J69" s="649">
        <f>'Propylene Recycling LC'!I187</f>
        <v>0</v>
      </c>
      <c r="K69" s="649">
        <f>'Propylene Recycling LC'!J187</f>
        <v>0</v>
      </c>
      <c r="L69" s="649">
        <f>'Propylene Recycling LC'!K187</f>
        <v>0</v>
      </c>
      <c r="M69" s="649">
        <f>'Propylene Recycling LC'!L187</f>
        <v>0</v>
      </c>
      <c r="N69" s="649">
        <f>'Propylene Recycling LC'!M187</f>
        <v>0</v>
      </c>
      <c r="O69" s="649">
        <f>'Propylene Recycling LC'!N187</f>
        <v>0</v>
      </c>
      <c r="P69" s="649">
        <f>'Propylene Recycling LC'!O187</f>
        <v>0</v>
      </c>
      <c r="Q69" s="649">
        <f>'Propylene Recycling LC'!P187</f>
        <v>0</v>
      </c>
      <c r="R69" s="649">
        <f>'Propylene Recycling LC'!Q187</f>
        <v>0</v>
      </c>
      <c r="S69" s="649">
        <f>'Propylene Recycling LC'!R187</f>
        <v>0</v>
      </c>
      <c r="T69" s="649">
        <f>'Propylene Recycling LC'!S187</f>
        <v>0</v>
      </c>
      <c r="U69" s="649">
        <f>'Propylene Recycling LC'!T187</f>
        <v>0</v>
      </c>
      <c r="V69" s="649">
        <f>'Propylene Recycling LC'!U187</f>
        <v>0</v>
      </c>
      <c r="W69" s="649">
        <f>'Propylene Recycling LC'!V187</f>
        <v>0</v>
      </c>
      <c r="X69" s="649">
        <f>'Propylene Recycling LC'!W187</f>
        <v>0</v>
      </c>
      <c r="Y69" s="649">
        <f>'Propylene Recycling LC'!X187</f>
        <v>0</v>
      </c>
      <c r="Z69" s="649">
        <f>'Propylene Recycling LC'!Y187</f>
        <v>0</v>
      </c>
      <c r="AA69" s="649">
        <f>'Propylene Recycling LC'!Z187</f>
        <v>0</v>
      </c>
      <c r="AB69" s="649">
        <f>'Propylene Recycling LC'!AA187</f>
        <v>0</v>
      </c>
      <c r="AC69" s="649">
        <f>'Propylene Recycling LC'!AB187</f>
        <v>0</v>
      </c>
      <c r="AD69" s="649">
        <f>'Propylene Recycling LC'!AC187</f>
        <v>0</v>
      </c>
      <c r="AE69" s="649">
        <f>'Propylene Recycling LC'!AD187</f>
        <v>0</v>
      </c>
      <c r="AF69" s="649">
        <f>'Propylene Recycling LC'!AE187</f>
        <v>0</v>
      </c>
      <c r="AG69" s="649">
        <f>'Propylene Recycling LC'!AF187</f>
        <v>0</v>
      </c>
      <c r="AH69" s="649">
        <f>'Propylene Recycling LC'!AG187</f>
        <v>0</v>
      </c>
    </row>
    <row r="70" spans="1:46">
      <c r="A70" s="1" t="s">
        <v>844</v>
      </c>
      <c r="C70" s="262" t="s">
        <v>166</v>
      </c>
      <c r="D70" s="649">
        <f>'Propylene Recycling LC'!C189</f>
        <v>0.42744374130401225</v>
      </c>
      <c r="E70" s="649">
        <f>'Propylene Recycling LC'!D189</f>
        <v>0.86372673741384209</v>
      </c>
      <c r="F70" s="649">
        <f>'Propylene Recycling LC'!E189</f>
        <v>1.7403306799322453</v>
      </c>
      <c r="G70" s="649">
        <f>'Propylene Recycling LC'!F189</f>
        <v>3.4943324190930545</v>
      </c>
      <c r="H70" s="649">
        <f>'Propylene Recycling LC'!G189</f>
        <v>6.9850373049184427</v>
      </c>
      <c r="I70" s="649">
        <f>'Propylene Recycling LC'!H189</f>
        <v>13.882636210689363</v>
      </c>
      <c r="J70" s="649">
        <f>'Propylene Recycling LC'!I189</f>
        <v>27.355039474690003</v>
      </c>
      <c r="K70" s="649">
        <f>'Propylene Recycling LC'!J189</f>
        <v>53.358579057396874</v>
      </c>
      <c r="L70" s="649">
        <f>'Propylene Recycling LC'!K189</f>
        <v>102.6843976271289</v>
      </c>
      <c r="M70" s="649">
        <f>'Propylene Recycling LC'!L189</f>
        <v>194.09766448247697</v>
      </c>
      <c r="N70" s="649">
        <f>'Propylene Recycling LC'!M189</f>
        <v>359.92212957421737</v>
      </c>
      <c r="O70" s="649">
        <f>'Propylene Recycling LC'!N189</f>
        <v>629.59915789140678</v>
      </c>
      <c r="P70" s="649">
        <f>'Propylene Recycling LC'!O189</f>
        <v>1065.3554625120926</v>
      </c>
      <c r="Q70" s="649">
        <f>'Propylene Recycling LC'!P189</f>
        <v>1722.3152037600405</v>
      </c>
      <c r="R70" s="649">
        <f>'Propylene Recycling LC'!Q189</f>
        <v>2643.0574001714144</v>
      </c>
      <c r="S70" s="649">
        <f>'Propylene Recycling LC'!R189</f>
        <v>3833.4063404931139</v>
      </c>
      <c r="T70" s="649">
        <f>'Propylene Recycling LC'!S189</f>
        <v>5242.7656812407813</v>
      </c>
      <c r="U70" s="649">
        <f>'Propylene Recycling LC'!T189</f>
        <v>6775.2831508876779</v>
      </c>
      <c r="V70" s="649">
        <f>'Propylene Recycling LC'!U189</f>
        <v>8313.6476598692807</v>
      </c>
      <c r="W70" s="649">
        <f>'Propylene Recycling LC'!V189</f>
        <v>9753.8250782403975</v>
      </c>
      <c r="X70" s="649">
        <f>'Propylene Recycling LC'!W189</f>
        <v>11028.54954155053</v>
      </c>
      <c r="Y70" s="649">
        <f>'Propylene Recycling LC'!X189</f>
        <v>11739.195263718699</v>
      </c>
      <c r="Z70" s="649">
        <f>'Propylene Recycling LC'!Y189</f>
        <v>12224.186457775548</v>
      </c>
      <c r="AA70" s="649">
        <f>'Propylene Recycling LC'!Z189</f>
        <v>12532.987481088461</v>
      </c>
      <c r="AB70" s="649">
        <f>'Propylene Recycling LC'!AA189</f>
        <v>12719.254456877679</v>
      </c>
      <c r="AC70" s="649">
        <f>'Propylene Recycling LC'!AB189</f>
        <v>12851.871027988209</v>
      </c>
      <c r="AD70" s="649">
        <f>'Propylene Recycling LC'!AC189</f>
        <v>13001.219352742184</v>
      </c>
      <c r="AE70" s="649">
        <f>'Propylene Recycling LC'!AD189</f>
        <v>13232.871719141764</v>
      </c>
      <c r="AF70" s="649">
        <f>'Propylene Recycling LC'!AE189</f>
        <v>13592.839146466767</v>
      </c>
      <c r="AG70" s="649">
        <f>'Propylene Recycling LC'!AF189</f>
        <v>14089.213626229288</v>
      </c>
      <c r="AH70" s="649">
        <f>'Propylene Recycling LC'!AG189</f>
        <v>14677.706166881431</v>
      </c>
    </row>
    <row r="71" spans="1:46" s="99" customFormat="1">
      <c r="A71" s="97" t="s">
        <v>1197</v>
      </c>
      <c r="B71" s="97"/>
      <c r="C71" s="98" t="s">
        <v>166</v>
      </c>
      <c r="D71" s="642">
        <f>D68-D69-D70</f>
        <v>1127443.9225562592</v>
      </c>
      <c r="E71" s="642">
        <f t="shared" ref="E71:AH71" si="30">E68-E69-E70</f>
        <v>1118259.8448914359</v>
      </c>
      <c r="F71" s="642">
        <f t="shared" si="30"/>
        <v>1109051.0465832835</v>
      </c>
      <c r="G71" s="642">
        <f t="shared" si="30"/>
        <v>1099818.628702482</v>
      </c>
      <c r="H71" s="642">
        <f t="shared" si="30"/>
        <v>1090563.2755303374</v>
      </c>
      <c r="I71" s="642">
        <f t="shared" si="30"/>
        <v>1081284.8660157311</v>
      </c>
      <c r="J71" s="642">
        <f t="shared" si="30"/>
        <v>1072182.8632914661</v>
      </c>
      <c r="K71" s="642">
        <f t="shared" si="30"/>
        <v>1063066.7186388497</v>
      </c>
      <c r="L71" s="642">
        <f t="shared" si="30"/>
        <v>1053927.207421453</v>
      </c>
      <c r="M71" s="642">
        <f t="shared" si="30"/>
        <v>1044747.1370087948</v>
      </c>
      <c r="N71" s="642">
        <f t="shared" si="30"/>
        <v>1035495.7623483208</v>
      </c>
      <c r="O71" s="642">
        <f t="shared" si="30"/>
        <v>1020366.6082454527</v>
      </c>
      <c r="P71" s="642">
        <f t="shared" si="30"/>
        <v>1005225.8948850841</v>
      </c>
      <c r="Q71" s="642">
        <f t="shared" si="30"/>
        <v>989687.55954808183</v>
      </c>
      <c r="R71" s="642">
        <f t="shared" si="30"/>
        <v>973899.96754660737</v>
      </c>
      <c r="S71" s="642">
        <f t="shared" si="30"/>
        <v>957861.03341380286</v>
      </c>
      <c r="T71" s="642">
        <f t="shared" si="30"/>
        <v>941625.07900868903</v>
      </c>
      <c r="U71" s="642">
        <f t="shared" si="30"/>
        <v>925291.66865535115</v>
      </c>
      <c r="V71" s="642">
        <f t="shared" si="30"/>
        <v>908981.81187404145</v>
      </c>
      <c r="W71" s="642">
        <f t="shared" si="30"/>
        <v>892803.22744237096</v>
      </c>
      <c r="X71" s="642">
        <f t="shared" si="30"/>
        <v>876826.85192602861</v>
      </c>
      <c r="Y71" s="642">
        <f t="shared" si="30"/>
        <v>852209.34985540761</v>
      </c>
      <c r="Z71" s="642">
        <f t="shared" si="30"/>
        <v>828966.17662057048</v>
      </c>
      <c r="AA71" s="642">
        <f t="shared" si="30"/>
        <v>806207.6174391954</v>
      </c>
      <c r="AB71" s="642">
        <f t="shared" si="30"/>
        <v>783627.07112925942</v>
      </c>
      <c r="AC71" s="642">
        <f t="shared" si="30"/>
        <v>761159.0553440426</v>
      </c>
      <c r="AD71" s="642">
        <f t="shared" si="30"/>
        <v>738752.43270670739</v>
      </c>
      <c r="AE71" s="642">
        <f t="shared" si="30"/>
        <v>716330.57594598737</v>
      </c>
      <c r="AF71" s="642">
        <f t="shared" si="30"/>
        <v>693850.73842536984</v>
      </c>
      <c r="AG71" s="642">
        <f t="shared" si="30"/>
        <v>671308.05049701326</v>
      </c>
      <c r="AH71" s="642">
        <f t="shared" si="30"/>
        <v>648749.98330340127</v>
      </c>
    </row>
    <row r="72" spans="1:46" s="401" customFormat="1">
      <c r="A72" s="400" t="s">
        <v>723</v>
      </c>
      <c r="C72" s="404" t="s">
        <v>166</v>
      </c>
      <c r="D72" s="644">
        <f>'Propylene Recycling LC'!C196</f>
        <v>210781.05824646022</v>
      </c>
      <c r="E72" s="644">
        <f>'Propylene Recycling LC'!D196</f>
        <v>213481.59216205616</v>
      </c>
      <c r="F72" s="644">
        <f>'Propylene Recycling LC'!E196</f>
        <v>216157.93115466222</v>
      </c>
      <c r="G72" s="644">
        <f>'Propylene Recycling LC'!F196</f>
        <v>218810.36699650952</v>
      </c>
      <c r="H72" s="644">
        <f>'Propylene Recycling LC'!G196</f>
        <v>221438.77167006431</v>
      </c>
      <c r="I72" s="644">
        <f>'Propylene Recycling LC'!H196</f>
        <v>224042.20871100537</v>
      </c>
      <c r="J72" s="644">
        <f>'Propylene Recycling LC'!I196</f>
        <v>226389.97545727805</v>
      </c>
      <c r="K72" s="644">
        <f>'Propylene Recycling LC'!J196</f>
        <v>228697.99359351766</v>
      </c>
      <c r="L72" s="644">
        <f>'Propylene Recycling LC'!K196</f>
        <v>230956.04939818656</v>
      </c>
      <c r="M72" s="644">
        <f>'Propylene Recycling LC'!L196</f>
        <v>233145.95914575778</v>
      </c>
      <c r="N72" s="644">
        <f>'Propylene Recycling LC'!M196</f>
        <v>235235.9845526935</v>
      </c>
      <c r="O72" s="644">
        <f>'Propylene Recycling LC'!N196</f>
        <v>232595.65253884107</v>
      </c>
      <c r="P72" s="644">
        <f>'Propylene Recycling LC'!O196</f>
        <v>229799.00158487313</v>
      </c>
      <c r="Q72" s="644">
        <f>'Propylene Recycling LC'!P196</f>
        <v>226690.53483970487</v>
      </c>
      <c r="R72" s="644">
        <f>'Propylene Recycling LC'!Q196</f>
        <v>223301.13970326935</v>
      </c>
      <c r="S72" s="644">
        <f>'Propylene Recycling LC'!R196</f>
        <v>219628.32579230049</v>
      </c>
      <c r="T72" s="644">
        <f>'Propylene Recycling LC'!S196</f>
        <v>215726.02670543719</v>
      </c>
      <c r="U72" s="644">
        <f>'Propylene Recycling LC'!T196</f>
        <v>211693.43535556321</v>
      </c>
      <c r="V72" s="644">
        <f>'Propylene Recycling LC'!U196</f>
        <v>207651.20689632505</v>
      </c>
      <c r="W72" s="644">
        <f>'Propylene Recycling LC'!V196</f>
        <v>203706.72298099223</v>
      </c>
      <c r="X72" s="644">
        <f>'Propylene Recycling LC'!W196</f>
        <v>199930.60049309221</v>
      </c>
      <c r="Y72" s="644">
        <f>'Propylene Recycling LC'!X196</f>
        <v>190283.17497644387</v>
      </c>
      <c r="Z72" s="644">
        <f>'Propylene Recycling LC'!Y196</f>
        <v>181148.67125994363</v>
      </c>
      <c r="AA72" s="644">
        <f>'Propylene Recycling LC'!Z196</f>
        <v>172419.30361611009</v>
      </c>
      <c r="AB72" s="644">
        <f>'Propylene Recycling LC'!AA196</f>
        <v>163892.45348811551</v>
      </c>
      <c r="AC72" s="644">
        <f>'Propylene Recycling LC'!AB196</f>
        <v>155503.45281816644</v>
      </c>
      <c r="AD72" s="644">
        <f>'Propylene Recycling LC'!AC196</f>
        <v>147182.00828189144</v>
      </c>
      <c r="AE72" s="644">
        <f>'Propylene Recycling LC'!AD196</f>
        <v>138871.6185888449</v>
      </c>
      <c r="AF72" s="644">
        <f>'Propylene Recycling LC'!AE196</f>
        <v>130530.41781432751</v>
      </c>
      <c r="AG72" s="644">
        <f>'Propylene Recycling LC'!AF196</f>
        <v>122154.4399080399</v>
      </c>
      <c r="AH72" s="644">
        <f>'Propylene Recycling LC'!AG196</f>
        <v>113792.08209037775</v>
      </c>
      <c r="AI72" s="405"/>
    </row>
    <row r="73" spans="1:46" s="403" customFormat="1">
      <c r="A73" s="402" t="s">
        <v>724</v>
      </c>
      <c r="C73" s="406" t="s">
        <v>166</v>
      </c>
      <c r="D73" s="645">
        <f>'Propylene Recycling LC'!C197</f>
        <v>936405.55537640862</v>
      </c>
      <c r="E73" s="645">
        <f>'Propylene Recycling LC'!D197</f>
        <v>934256.40940154658</v>
      </c>
      <c r="F73" s="645">
        <f>'Propylene Recycling LC'!E197</f>
        <v>932053.37825348182</v>
      </c>
      <c r="G73" s="645">
        <f>'Propylene Recycling LC'!F197</f>
        <v>929797.31766901514</v>
      </c>
      <c r="H73" s="645">
        <f>'Propylene Recycling LC'!G197</f>
        <v>927488.66115644644</v>
      </c>
      <c r="I73" s="645">
        <f>'Propylene Recycling LC'!H197</f>
        <v>925127.03133855329</v>
      </c>
      <c r="J73" s="645">
        <f>'Propylene Recycling LC'!I197</f>
        <v>921561.14133362891</v>
      </c>
      <c r="K73" s="645">
        <f>'Propylene Recycling LC'!J197</f>
        <v>917938.15813979483</v>
      </c>
      <c r="L73" s="645">
        <f>'Propylene Recycling LC'!K197</f>
        <v>914248.58342803316</v>
      </c>
      <c r="M73" s="645">
        <f>'Propylene Recycling LC'!L197</f>
        <v>910474.94484269572</v>
      </c>
      <c r="N73" s="645">
        <f>'Propylene Recycling LC'!M197</f>
        <v>906586.21144748246</v>
      </c>
      <c r="O73" s="645">
        <f>'Propylene Recycling LC'!N197</f>
        <v>897102.92197889974</v>
      </c>
      <c r="P73" s="645">
        <f>'Propylene Recycling LC'!O197</f>
        <v>887622.92611631122</v>
      </c>
      <c r="Q73" s="645">
        <f>'Propylene Recycling LC'!P197</f>
        <v>877483.74689077178</v>
      </c>
      <c r="R73" s="645">
        <f>'Propylene Recycling LC'!Q197</f>
        <v>867063.02616252459</v>
      </c>
      <c r="S73" s="645">
        <f>'Propylene Recycling LC'!R197</f>
        <v>856359.14139689982</v>
      </c>
      <c r="T73" s="645">
        <f>'Propylene Recycling LC'!S197</f>
        <v>845426.88822388905</v>
      </c>
      <c r="U73" s="645">
        <f>'Propylene Recycling LC'!T197</f>
        <v>834366.31576957891</v>
      </c>
      <c r="V73" s="645">
        <f>'Propylene Recycling LC'!U197</f>
        <v>823298.92958176672</v>
      </c>
      <c r="W73" s="645">
        <f>'Propylene Recycling LC'!V197</f>
        <v>812332.95588792651</v>
      </c>
      <c r="X73" s="645">
        <f>'Propylene Recycling LC'!W197</f>
        <v>801539.85032495379</v>
      </c>
      <c r="Y73" s="645">
        <f>'Propylene Recycling LC'!X197</f>
        <v>783562.68084139808</v>
      </c>
      <c r="Z73" s="645">
        <f>'Propylene Recycling LC'!Y197</f>
        <v>767471.18500541162</v>
      </c>
      <c r="AA73" s="645">
        <f>'Propylene Recycling LC'!Z197</f>
        <v>751646.40495233017</v>
      </c>
      <c r="AB73" s="645">
        <f>'Propylene Recycling LC'!AA197</f>
        <v>736031.69087721431</v>
      </c>
      <c r="AC73" s="645">
        <f>'Propylene Recycling LC'!AB197</f>
        <v>720563.25920402561</v>
      </c>
      <c r="AD73" s="645">
        <f>'Propylene Recycling LC'!AC197</f>
        <v>705146.97607482097</v>
      </c>
      <c r="AE73" s="645">
        <f>'Propylene Recycling LC'!AD197</f>
        <v>689752.28260006185</v>
      </c>
      <c r="AF73" s="645">
        <f>'Propylene Recycling LC'!AE197</f>
        <v>674338.18348546478</v>
      </c>
      <c r="AG73" s="645">
        <f>'Propylene Recycling LC'!AF197</f>
        <v>658901.57719129173</v>
      </c>
      <c r="AH73" s="645">
        <f>'Propylene Recycling LC'!AG197</f>
        <v>643491.71930799936</v>
      </c>
      <c r="AI73" s="407"/>
    </row>
    <row r="74" spans="1:46" hidden="1">
      <c r="A74" t="s">
        <v>536</v>
      </c>
      <c r="B74"/>
      <c r="C74" s="51"/>
      <c r="D74" s="41">
        <f t="shared" ref="D74:AH74" si="31">D4-D6-D14-D22-D26-D32</f>
        <v>0</v>
      </c>
      <c r="E74" s="41">
        <f t="shared" si="31"/>
        <v>0</v>
      </c>
      <c r="F74" s="41">
        <f t="shared" si="31"/>
        <v>0</v>
      </c>
      <c r="G74" s="41">
        <f t="shared" si="31"/>
        <v>0</v>
      </c>
      <c r="H74" s="41">
        <f t="shared" si="31"/>
        <v>0</v>
      </c>
      <c r="I74" s="41">
        <f t="shared" si="31"/>
        <v>0</v>
      </c>
      <c r="J74" s="41">
        <f t="shared" si="31"/>
        <v>0</v>
      </c>
      <c r="K74" s="41">
        <f t="shared" si="31"/>
        <v>0</v>
      </c>
      <c r="L74" s="41">
        <f t="shared" si="31"/>
        <v>0</v>
      </c>
      <c r="M74" s="41">
        <f t="shared" si="31"/>
        <v>0</v>
      </c>
      <c r="N74" s="41">
        <f t="shared" si="31"/>
        <v>0</v>
      </c>
      <c r="O74" s="41">
        <f t="shared" si="31"/>
        <v>0</v>
      </c>
      <c r="P74" s="41">
        <f t="shared" si="31"/>
        <v>0</v>
      </c>
      <c r="Q74" s="41">
        <f t="shared" si="31"/>
        <v>0</v>
      </c>
      <c r="R74" s="41">
        <f t="shared" si="31"/>
        <v>0</v>
      </c>
      <c r="S74" s="41">
        <f t="shared" si="31"/>
        <v>0</v>
      </c>
      <c r="T74" s="41">
        <f t="shared" si="31"/>
        <v>0</v>
      </c>
      <c r="U74" s="41">
        <f t="shared" si="31"/>
        <v>0</v>
      </c>
      <c r="V74" s="41">
        <f t="shared" si="31"/>
        <v>0</v>
      </c>
      <c r="W74" s="41">
        <f t="shared" si="31"/>
        <v>0</v>
      </c>
      <c r="X74" s="41">
        <f t="shared" si="31"/>
        <v>0</v>
      </c>
      <c r="Y74" s="41">
        <f t="shared" si="31"/>
        <v>0</v>
      </c>
      <c r="Z74" s="41">
        <f t="shared" si="31"/>
        <v>0</v>
      </c>
      <c r="AA74" s="41">
        <f t="shared" si="31"/>
        <v>0</v>
      </c>
      <c r="AB74" s="41">
        <f t="shared" si="31"/>
        <v>0</v>
      </c>
      <c r="AC74" s="41">
        <f t="shared" si="31"/>
        <v>0</v>
      </c>
      <c r="AD74" s="41">
        <f t="shared" si="31"/>
        <v>0</v>
      </c>
      <c r="AE74" s="41">
        <f t="shared" si="31"/>
        <v>0</v>
      </c>
      <c r="AF74" s="41">
        <f t="shared" si="31"/>
        <v>0</v>
      </c>
      <c r="AG74" s="41">
        <f t="shared" si="31"/>
        <v>0</v>
      </c>
      <c r="AH74" s="41">
        <f t="shared" si="31"/>
        <v>0</v>
      </c>
    </row>
    <row r="75" spans="1:46" hidden="1">
      <c r="A75" t="s">
        <v>537</v>
      </c>
      <c r="B75"/>
      <c r="C75" s="51"/>
      <c r="D75" s="41">
        <f t="shared" ref="D75:AH75" si="32">D42-D13-D21-D25-D31-D35-D38</f>
        <v>0</v>
      </c>
      <c r="E75" s="41">
        <f t="shared" si="32"/>
        <v>5.8207660913467407E-11</v>
      </c>
      <c r="F75" s="41">
        <f t="shared" si="32"/>
        <v>-5.8207660913467407E-11</v>
      </c>
      <c r="G75" s="41">
        <f t="shared" si="32"/>
        <v>-5.8207660913467407E-11</v>
      </c>
      <c r="H75" s="41">
        <f t="shared" si="32"/>
        <v>0</v>
      </c>
      <c r="I75" s="41">
        <f t="shared" si="32"/>
        <v>1.7462298274040222E-10</v>
      </c>
      <c r="J75" s="41">
        <f t="shared" si="32"/>
        <v>-1.7462298274040222E-10</v>
      </c>
      <c r="K75" s="41">
        <f t="shared" si="32"/>
        <v>0</v>
      </c>
      <c r="L75" s="41">
        <f t="shared" si="32"/>
        <v>2.3283064365386963E-10</v>
      </c>
      <c r="M75" s="41">
        <f t="shared" si="32"/>
        <v>0</v>
      </c>
      <c r="N75" s="41">
        <f t="shared" si="32"/>
        <v>1.1641532182693481E-10</v>
      </c>
      <c r="O75" s="41">
        <f t="shared" si="32"/>
        <v>-1.7462298274040222E-10</v>
      </c>
      <c r="P75" s="41">
        <f t="shared" si="32"/>
        <v>0</v>
      </c>
      <c r="Q75" s="41">
        <f t="shared" si="32"/>
        <v>-2.9103830456733704E-10</v>
      </c>
      <c r="R75" s="41">
        <f t="shared" si="32"/>
        <v>-5.8207660913467407E-11</v>
      </c>
      <c r="S75" s="41">
        <f t="shared" si="32"/>
        <v>1.7462298274040222E-10</v>
      </c>
      <c r="T75" s="41">
        <f t="shared" si="32"/>
        <v>2.3283064365386963E-10</v>
      </c>
      <c r="U75" s="41">
        <f t="shared" si="32"/>
        <v>-1.1641532182693481E-10</v>
      </c>
      <c r="V75" s="41">
        <f t="shared" si="32"/>
        <v>5.8207660913467407E-11</v>
      </c>
      <c r="W75" s="41">
        <f t="shared" si="32"/>
        <v>0</v>
      </c>
      <c r="X75" s="41">
        <f t="shared" si="32"/>
        <v>-1.1641532182693481E-10</v>
      </c>
      <c r="Y75" s="41">
        <f t="shared" si="32"/>
        <v>-1.1641532182693481E-10</v>
      </c>
      <c r="Z75" s="41">
        <f t="shared" si="32"/>
        <v>-5.8207660913467407E-11</v>
      </c>
      <c r="AA75" s="41">
        <f t="shared" si="32"/>
        <v>-1.7462298274040222E-10</v>
      </c>
      <c r="AB75" s="41">
        <f t="shared" si="32"/>
        <v>-2.9103830456733704E-11</v>
      </c>
      <c r="AC75" s="41">
        <f t="shared" si="32"/>
        <v>-1.4551915228366852E-10</v>
      </c>
      <c r="AD75" s="41">
        <f t="shared" si="32"/>
        <v>1.7462298274040222E-10</v>
      </c>
      <c r="AE75" s="41">
        <f t="shared" si="32"/>
        <v>1.7462298274040222E-10</v>
      </c>
      <c r="AF75" s="41">
        <f t="shared" si="32"/>
        <v>-1.1641532182693481E-10</v>
      </c>
      <c r="AG75" s="41">
        <f t="shared" si="32"/>
        <v>5.8207660913467407E-11</v>
      </c>
      <c r="AH75" s="41">
        <f t="shared" si="32"/>
        <v>-2.9103830456733704E-11</v>
      </c>
    </row>
    <row r="76" spans="1:46" hidden="1">
      <c r="A76" t="s">
        <v>538</v>
      </c>
      <c r="B76"/>
      <c r="C76" s="51"/>
      <c r="D76" s="229">
        <f t="shared" ref="D76:AH76" si="33">D42-D43-D47-D50-D54-D60</f>
        <v>0</v>
      </c>
      <c r="E76" s="229">
        <f t="shared" si="33"/>
        <v>0</v>
      </c>
      <c r="F76" s="229">
        <f t="shared" si="33"/>
        <v>0</v>
      </c>
      <c r="G76" s="229">
        <f t="shared" si="33"/>
        <v>0</v>
      </c>
      <c r="H76" s="229">
        <f t="shared" si="33"/>
        <v>0</v>
      </c>
      <c r="I76" s="229">
        <f t="shared" si="33"/>
        <v>0</v>
      </c>
      <c r="J76" s="229">
        <f t="shared" si="33"/>
        <v>0</v>
      </c>
      <c r="K76" s="229">
        <f t="shared" si="33"/>
        <v>0</v>
      </c>
      <c r="L76" s="229">
        <f t="shared" si="33"/>
        <v>0</v>
      </c>
      <c r="M76" s="229">
        <f t="shared" si="33"/>
        <v>0</v>
      </c>
      <c r="N76" s="229">
        <f t="shared" si="33"/>
        <v>0</v>
      </c>
      <c r="O76" s="229">
        <f t="shared" si="33"/>
        <v>0</v>
      </c>
      <c r="P76" s="229">
        <f t="shared" si="33"/>
        <v>0</v>
      </c>
      <c r="Q76" s="229">
        <f t="shared" si="33"/>
        <v>0</v>
      </c>
      <c r="R76" s="229">
        <f t="shared" si="33"/>
        <v>0</v>
      </c>
      <c r="S76" s="229">
        <f t="shared" si="33"/>
        <v>0</v>
      </c>
      <c r="T76" s="229">
        <f t="shared" si="33"/>
        <v>0</v>
      </c>
      <c r="U76" s="229">
        <f t="shared" si="33"/>
        <v>0</v>
      </c>
      <c r="V76" s="229">
        <f t="shared" si="33"/>
        <v>0</v>
      </c>
      <c r="W76" s="229">
        <f t="shared" si="33"/>
        <v>0</v>
      </c>
      <c r="X76" s="229">
        <f t="shared" si="33"/>
        <v>0</v>
      </c>
      <c r="Y76" s="229">
        <f t="shared" si="33"/>
        <v>0</v>
      </c>
      <c r="Z76" s="229">
        <f t="shared" si="33"/>
        <v>0</v>
      </c>
      <c r="AA76" s="229">
        <f t="shared" si="33"/>
        <v>0</v>
      </c>
      <c r="AB76" s="229">
        <f t="shared" si="33"/>
        <v>0</v>
      </c>
      <c r="AC76" s="229">
        <f t="shared" si="33"/>
        <v>0</v>
      </c>
      <c r="AD76" s="229">
        <f t="shared" si="33"/>
        <v>2.3283064365386963E-10</v>
      </c>
      <c r="AE76" s="229">
        <f t="shared" si="33"/>
        <v>2.3283064365386963E-10</v>
      </c>
      <c r="AF76" s="229">
        <f t="shared" si="33"/>
        <v>0</v>
      </c>
      <c r="AG76" s="229">
        <f t="shared" si="33"/>
        <v>0</v>
      </c>
      <c r="AH76" s="229">
        <f t="shared" si="33"/>
        <v>0</v>
      </c>
    </row>
    <row r="77" spans="1:46" hidden="1">
      <c r="A77" t="s">
        <v>539</v>
      </c>
      <c r="B77"/>
      <c r="C77" s="51"/>
      <c r="D77" s="229" t="e">
        <f>D46+D49+D53+D59+D65-#REF!</f>
        <v>#REF!</v>
      </c>
      <c r="E77" s="229" t="e">
        <f>E46+E49+E53+E59+E65-#REF!</f>
        <v>#REF!</v>
      </c>
      <c r="F77" s="229" t="e">
        <f>F46+F49+F53+F59+F65-#REF!</f>
        <v>#REF!</v>
      </c>
      <c r="G77" s="229" t="e">
        <f>G46+G49+G53+G59+G65-#REF!</f>
        <v>#REF!</v>
      </c>
      <c r="H77" s="229" t="e">
        <f>H46+H49+H53+H59+H65-#REF!</f>
        <v>#REF!</v>
      </c>
      <c r="I77" s="229" t="e">
        <f>I46+I49+I53+I59+I65-#REF!</f>
        <v>#REF!</v>
      </c>
      <c r="J77" s="229" t="e">
        <f>J46+J49+J53+J59+J65-#REF!</f>
        <v>#REF!</v>
      </c>
      <c r="K77" s="229" t="e">
        <f>K46+K49+K53+K59+K65-#REF!</f>
        <v>#REF!</v>
      </c>
      <c r="L77" s="229" t="e">
        <f>L46+L49+L53+L59+L65-#REF!</f>
        <v>#REF!</v>
      </c>
      <c r="M77" s="229" t="e">
        <f>M46+M49+M53+M59+M65-#REF!</f>
        <v>#REF!</v>
      </c>
      <c r="N77" s="229" t="e">
        <f>N46+N49+N53+N59+N65-#REF!</f>
        <v>#REF!</v>
      </c>
      <c r="O77" s="229" t="e">
        <f>O46+O49+O53+O59+O65-#REF!</f>
        <v>#REF!</v>
      </c>
      <c r="P77" s="229" t="e">
        <f>P46+P49+P53+P59+P65-#REF!</f>
        <v>#REF!</v>
      </c>
      <c r="Q77" s="229" t="e">
        <f>Q46+Q49+Q53+Q59+Q65-#REF!</f>
        <v>#REF!</v>
      </c>
      <c r="R77" s="229" t="e">
        <f>R46+R49+R53+R59+R65-#REF!</f>
        <v>#REF!</v>
      </c>
      <c r="S77" s="229" t="e">
        <f>S46+S49+S53+S59+S65-#REF!</f>
        <v>#REF!</v>
      </c>
      <c r="T77" s="229" t="e">
        <f>T46+T49+T53+T59+T65-#REF!</f>
        <v>#REF!</v>
      </c>
      <c r="U77" s="229" t="e">
        <f>U46+U49+U53+U59+U65-#REF!</f>
        <v>#REF!</v>
      </c>
      <c r="V77" s="229" t="e">
        <f>V46+V49+V53+V59+V65-#REF!</f>
        <v>#REF!</v>
      </c>
      <c r="W77" s="229" t="e">
        <f>W46+W49+W53+W59+W65-#REF!</f>
        <v>#REF!</v>
      </c>
      <c r="X77" s="229" t="e">
        <f>X46+X49+X53+X59+X65-#REF!</f>
        <v>#REF!</v>
      </c>
      <c r="Y77" s="229" t="e">
        <f>Y46+Y49+Y53+Y59+Y65-#REF!</f>
        <v>#REF!</v>
      </c>
      <c r="Z77" s="229" t="e">
        <f>Z46+Z49+Z53+Z59+Z65-#REF!</f>
        <v>#REF!</v>
      </c>
      <c r="AA77" s="229" t="e">
        <f>AA46+AA49+AA53+AA59+AA65-#REF!</f>
        <v>#REF!</v>
      </c>
      <c r="AB77" s="229" t="e">
        <f>AB46+AB49+AB53+AB59+AB65-#REF!</f>
        <v>#REF!</v>
      </c>
      <c r="AC77" s="229" t="e">
        <f>AC46+AC49+AC53+AC59+AC65-#REF!</f>
        <v>#REF!</v>
      </c>
      <c r="AD77" s="229" t="e">
        <f>AD46+AD49+AD53+AD59+AD65-#REF!</f>
        <v>#REF!</v>
      </c>
      <c r="AE77" s="229" t="e">
        <f>AE46+AE49+AE53+AE59+AE65-#REF!</f>
        <v>#REF!</v>
      </c>
      <c r="AF77" s="229" t="e">
        <f>AF46+AF49+AF53+AF59+AF65-#REF!</f>
        <v>#REF!</v>
      </c>
      <c r="AG77" s="229" t="e">
        <f>AG46+AG49+AG53+AG59+AG65-#REF!</f>
        <v>#REF!</v>
      </c>
      <c r="AH77" s="229" t="e">
        <f>AH46+AH49+AH53+AH59+AH65-#REF!</f>
        <v>#REF!</v>
      </c>
    </row>
    <row r="78" spans="1:46" ht="15.5" thickBot="1">
      <c r="C78" s="61"/>
      <c r="D78" s="228"/>
      <c r="E78" s="228"/>
      <c r="F78" s="228"/>
      <c r="G78" s="228"/>
      <c r="H78" s="228"/>
      <c r="I78" s="228"/>
      <c r="J78" s="228"/>
      <c r="K78" s="228"/>
      <c r="L78" s="228"/>
      <c r="M78" s="228"/>
      <c r="N78" s="228"/>
      <c r="O78" s="228"/>
      <c r="P78" s="228"/>
      <c r="Q78" s="228"/>
      <c r="R78" s="228"/>
      <c r="S78" s="228"/>
      <c r="T78" s="228"/>
      <c r="U78" s="228"/>
      <c r="V78" s="228"/>
      <c r="W78" s="228"/>
      <c r="X78" s="228"/>
      <c r="Y78" s="228"/>
      <c r="Z78" s="228"/>
      <c r="AA78" s="228"/>
      <c r="AB78" s="228"/>
      <c r="AC78" s="228"/>
      <c r="AD78" s="228"/>
      <c r="AE78" s="228"/>
      <c r="AF78" s="228"/>
      <c r="AG78" s="228"/>
      <c r="AH78" s="228"/>
    </row>
    <row r="79" spans="1:46" ht="54" customHeight="1" thickBot="1">
      <c r="A79" s="235" t="s">
        <v>98</v>
      </c>
      <c r="B79" s="173">
        <v>2020</v>
      </c>
      <c r="C79" s="174" t="s">
        <v>386</v>
      </c>
      <c r="D79" s="174" t="s">
        <v>386</v>
      </c>
      <c r="E79" s="174" t="s">
        <v>387</v>
      </c>
      <c r="F79" s="174" t="s">
        <v>388</v>
      </c>
      <c r="G79" s="174" t="s">
        <v>389</v>
      </c>
      <c r="H79" s="174" t="s">
        <v>390</v>
      </c>
      <c r="I79" s="174" t="s">
        <v>391</v>
      </c>
      <c r="J79" s="174" t="s">
        <v>392</v>
      </c>
      <c r="K79" s="174" t="s">
        <v>393</v>
      </c>
      <c r="L79" s="174" t="s">
        <v>394</v>
      </c>
      <c r="M79" s="174" t="s">
        <v>395</v>
      </c>
      <c r="N79" s="174" t="s">
        <v>540</v>
      </c>
      <c r="O79" s="174" t="s">
        <v>541</v>
      </c>
      <c r="P79" s="174" t="s">
        <v>542</v>
      </c>
      <c r="Q79" s="174" t="s">
        <v>543</v>
      </c>
      <c r="R79" s="174" t="s">
        <v>544</v>
      </c>
      <c r="S79" s="174" t="s">
        <v>545</v>
      </c>
      <c r="T79" s="174" t="s">
        <v>546</v>
      </c>
      <c r="U79" s="174" t="s">
        <v>547</v>
      </c>
      <c r="V79" s="174" t="s">
        <v>548</v>
      </c>
      <c r="W79" s="174" t="s">
        <v>549</v>
      </c>
      <c r="X79" s="174" t="s">
        <v>540</v>
      </c>
      <c r="AJ79" s="131" t="s">
        <v>601</v>
      </c>
      <c r="AK79" s="132" t="s">
        <v>128</v>
      </c>
      <c r="AL79" s="132" t="s">
        <v>305</v>
      </c>
      <c r="AM79" s="132" t="s">
        <v>306</v>
      </c>
      <c r="AN79" s="132" t="s">
        <v>582</v>
      </c>
      <c r="AO79" s="132" t="s">
        <v>583</v>
      </c>
      <c r="AP79" s="132" t="s">
        <v>584</v>
      </c>
      <c r="AQ79" s="132" t="s">
        <v>638</v>
      </c>
      <c r="AR79" s="132" t="s">
        <v>585</v>
      </c>
      <c r="AS79" s="132"/>
      <c r="AT79" s="132"/>
    </row>
    <row r="80" spans="1:46">
      <c r="A80" t="s">
        <v>17</v>
      </c>
      <c r="B80" s="171">
        <f>'Demand - Propylene'!J50</f>
        <v>0.2419533720775105</v>
      </c>
      <c r="C80" s="172">
        <f>D80/$D$88</f>
        <v>0.23866167079314662</v>
      </c>
      <c r="D80" s="234">
        <f>AH21*B80/(B80+B84)</f>
        <v>224475.30919711679</v>
      </c>
      <c r="N80" s="181">
        <f>X80/$X$88</f>
        <v>0.2633252895001521</v>
      </c>
      <c r="X80" s="41">
        <f>AH46*B80/(B80+B84)</f>
        <v>174697.28839217921</v>
      </c>
      <c r="AJ80" s="27" t="s">
        <v>78</v>
      </c>
      <c r="AK80" s="133">
        <f>D4</f>
        <v>1127444.3500000006</v>
      </c>
      <c r="AM80" s="133">
        <f>AH4</f>
        <v>1127444.3500000006</v>
      </c>
      <c r="AN80" s="133"/>
      <c r="AO80" s="133"/>
      <c r="AP80" s="133"/>
      <c r="AR80" s="133">
        <f>AH42</f>
        <v>940558.6931957521</v>
      </c>
      <c r="AS80" s="130"/>
      <c r="AT80" s="133"/>
    </row>
    <row r="81" spans="1:45">
      <c r="A81" t="s">
        <v>19</v>
      </c>
      <c r="B81" s="171">
        <f>'Demand - Propylene'!J51</f>
        <v>0.12214124792743497</v>
      </c>
      <c r="C81" s="172">
        <f t="shared" ref="C81:C87" si="34">D81/$D$88</f>
        <v>0.11420001694915924</v>
      </c>
      <c r="D81" s="234">
        <f>AH25</f>
        <v>107411.81870463396</v>
      </c>
      <c r="N81" s="181">
        <f t="shared" ref="N81:N87" si="35">X81/$X$88</f>
        <v>3.4018657342394315E-2</v>
      </c>
      <c r="X81" s="41">
        <f>IF(AH59&lt;0,0,AH59)</f>
        <v>22568.919239545929</v>
      </c>
      <c r="AJ81" s="27" t="s">
        <v>164</v>
      </c>
      <c r="AN81" s="41">
        <f>-AH17</f>
        <v>-54663.252706669868</v>
      </c>
      <c r="AO81" s="40">
        <f>-AH23</f>
        <v>-30295.641173101889</v>
      </c>
      <c r="AP81" s="41">
        <f>-AH11</f>
        <v>-85700.398601191526</v>
      </c>
      <c r="AQ81" s="40">
        <f>-AH33</f>
        <v>-18440.192764945754</v>
      </c>
    </row>
    <row r="82" spans="1:45">
      <c r="A82" t="s">
        <v>333</v>
      </c>
      <c r="B82" s="171">
        <f>'Demand - Propylene'!J52</f>
        <v>0.16493171697766407</v>
      </c>
      <c r="C82" s="172">
        <f t="shared" si="34"/>
        <v>0.26949094451078437</v>
      </c>
      <c r="D82" s="234">
        <f>AH13</f>
        <v>253472.05059715227</v>
      </c>
      <c r="N82" s="181">
        <f t="shared" si="35"/>
        <v>0.32662719128552808</v>
      </c>
      <c r="X82" s="41">
        <f>AH49</f>
        <v>216693.52283272595</v>
      </c>
      <c r="AJ82" s="27" t="s">
        <v>167</v>
      </c>
      <c r="AN82" s="41">
        <f>-AH20</f>
        <v>-22473.299654722054</v>
      </c>
      <c r="AO82" s="40">
        <f>-AH24</f>
        <v>0</v>
      </c>
      <c r="AP82">
        <f>-AH12</f>
        <v>0</v>
      </c>
      <c r="AQ82" s="40">
        <f>-AH34</f>
        <v>-6146.7309216485846</v>
      </c>
    </row>
    <row r="83" spans="1:45">
      <c r="A83" t="s">
        <v>23</v>
      </c>
      <c r="B83" s="171">
        <f>'Demand - Propylene'!J53</f>
        <v>6.8070880670308739E-2</v>
      </c>
      <c r="C83" s="172">
        <f t="shared" si="34"/>
        <v>4.9030561854656513E-2</v>
      </c>
      <c r="D83" s="234">
        <f>AH35*B83/(B83+B85)</f>
        <v>46116.121184669224</v>
      </c>
      <c r="N83" s="181">
        <f t="shared" si="35"/>
        <v>4.5626845698465049E-2</v>
      </c>
      <c r="X83" s="41">
        <f>AH65*C83/(C83+C85+C87)</f>
        <v>30270.112819549777</v>
      </c>
      <c r="AJ83" s="27" t="s">
        <v>578</v>
      </c>
      <c r="AL83" s="133">
        <f>AH4-D4</f>
        <v>0</v>
      </c>
      <c r="AS83" s="41"/>
    </row>
    <row r="84" spans="1:45">
      <c r="A84" t="s">
        <v>26</v>
      </c>
      <c r="B84" s="171">
        <f>'Demand - Propylene'!J54</f>
        <v>0.14434424259057366</v>
      </c>
      <c r="C84" s="172">
        <f t="shared" si="34"/>
        <v>0.14238048352143487</v>
      </c>
      <c r="D84" s="234">
        <f>AH21*B84/(B80+B84)</f>
        <v>133917.2015175001</v>
      </c>
      <c r="N84" s="181">
        <f t="shared" si="35"/>
        <v>0.15709427457645245</v>
      </c>
      <c r="X84" s="41">
        <f>AH46*B84/(B80+B84)</f>
        <v>104220.69161126603</v>
      </c>
    </row>
    <row r="85" spans="1:45">
      <c r="A85" t="s">
        <v>27</v>
      </c>
      <c r="B85" s="171">
        <f>'Demand - Propylene'!J55</f>
        <v>0.258558539756508</v>
      </c>
      <c r="C85" s="172">
        <f t="shared" si="34"/>
        <v>0.18623632237081844</v>
      </c>
      <c r="D85" s="234">
        <f>AH35*B85/(B83+B85)</f>
        <v>175166.1919946798</v>
      </c>
      <c r="N85" s="181">
        <f t="shared" si="35"/>
        <v>0.17330774159700799</v>
      </c>
      <c r="X85" s="41">
        <f>AH65*C85/(C83+C85+C87)</f>
        <v>114977.15457501581</v>
      </c>
      <c r="AJ85" s="135"/>
      <c r="AK85" s="132"/>
      <c r="AL85" s="132"/>
      <c r="AM85" s="132"/>
      <c r="AN85" s="132"/>
      <c r="AO85" s="132"/>
      <c r="AP85" s="132"/>
    </row>
    <row r="86" spans="1:45">
      <c r="A86" s="124" t="s">
        <v>365</v>
      </c>
      <c r="B86" s="171">
        <f>'Demand - Propylene'!J56</f>
        <v>0</v>
      </c>
      <c r="C86" s="172">
        <f t="shared" si="34"/>
        <v>0</v>
      </c>
      <c r="D86" s="234">
        <f>AH31</f>
        <v>0</v>
      </c>
      <c r="N86" s="181">
        <f t="shared" si="35"/>
        <v>0</v>
      </c>
      <c r="X86" s="41">
        <f>AH53</f>
        <v>0</v>
      </c>
      <c r="AK86" s="134"/>
      <c r="AL86" s="136"/>
      <c r="AM86" s="134"/>
      <c r="AN86" s="136"/>
      <c r="AO86" s="136"/>
      <c r="AP86" s="134"/>
    </row>
    <row r="87" spans="1:45" ht="15.5" thickBot="1">
      <c r="A87" t="s">
        <v>254</v>
      </c>
      <c r="B87" s="171"/>
      <c r="C87" s="172">
        <f t="shared" si="34"/>
        <v>0</v>
      </c>
      <c r="D87" s="234">
        <f>AH38</f>
        <v>0</v>
      </c>
      <c r="N87" s="181">
        <f t="shared" si="35"/>
        <v>0</v>
      </c>
      <c r="X87" s="41">
        <f>AH65*C87/(C83+C85+C87)</f>
        <v>0</v>
      </c>
    </row>
    <row r="88" spans="1:45" ht="15.5" thickBot="1">
      <c r="A88" s="173" t="s">
        <v>78</v>
      </c>
      <c r="B88" s="232">
        <f>SUM(B80:B86)</f>
        <v>1</v>
      </c>
      <c r="C88" s="231">
        <f>SUM(C80:C87)</f>
        <v>1</v>
      </c>
      <c r="D88" s="175">
        <f>SUM(D80:D87)</f>
        <v>940558.6931957521</v>
      </c>
      <c r="E88" s="176"/>
      <c r="F88" s="176"/>
      <c r="G88" s="176"/>
      <c r="H88" s="176"/>
      <c r="I88" s="176"/>
      <c r="J88" s="176"/>
      <c r="K88" s="176"/>
      <c r="L88" s="176"/>
      <c r="M88" s="176"/>
      <c r="N88" s="233">
        <f>SUM(N80:N87)</f>
        <v>1</v>
      </c>
      <c r="X88" s="41">
        <f>SUM(X80:X87)</f>
        <v>663427.68947028276</v>
      </c>
    </row>
    <row r="89" spans="1:45" ht="15.5" thickBot="1">
      <c r="AJ89" s="135"/>
      <c r="AK89" s="129"/>
      <c r="AL89" s="129"/>
      <c r="AM89" s="129"/>
      <c r="AN89" s="129"/>
      <c r="AO89" s="129"/>
      <c r="AP89" s="129"/>
      <c r="AQ89" s="129"/>
    </row>
    <row r="90" spans="1:45" ht="59.75" thickBot="1">
      <c r="A90" s="235" t="s">
        <v>628</v>
      </c>
      <c r="B90" s="173">
        <v>2020</v>
      </c>
      <c r="C90" s="174" t="s">
        <v>386</v>
      </c>
      <c r="D90" s="174" t="s">
        <v>540</v>
      </c>
      <c r="E90" s="174" t="s">
        <v>387</v>
      </c>
      <c r="F90" s="174" t="s">
        <v>388</v>
      </c>
      <c r="G90" s="174" t="s">
        <v>389</v>
      </c>
      <c r="H90" s="174" t="s">
        <v>390</v>
      </c>
      <c r="I90" s="174" t="s">
        <v>391</v>
      </c>
      <c r="J90" s="174" t="s">
        <v>392</v>
      </c>
      <c r="K90" s="174" t="s">
        <v>393</v>
      </c>
      <c r="L90" s="174" t="s">
        <v>394</v>
      </c>
      <c r="M90" s="174" t="s">
        <v>395</v>
      </c>
      <c r="O90" s="174" t="s">
        <v>541</v>
      </c>
      <c r="P90" s="174" t="s">
        <v>542</v>
      </c>
      <c r="Q90" s="174" t="s">
        <v>543</v>
      </c>
      <c r="R90" s="174" t="s">
        <v>544</v>
      </c>
      <c r="S90" s="174" t="s">
        <v>545</v>
      </c>
      <c r="T90" s="174" t="s">
        <v>546</v>
      </c>
      <c r="U90" s="174" t="s">
        <v>547</v>
      </c>
      <c r="V90" s="174" t="s">
        <v>548</v>
      </c>
      <c r="W90" s="174" t="s">
        <v>549</v>
      </c>
      <c r="X90" s="174"/>
      <c r="AK90" s="134"/>
      <c r="AL90" s="136"/>
      <c r="AM90" s="136"/>
      <c r="AN90" s="136"/>
      <c r="AO90" s="136"/>
      <c r="AP90" s="134"/>
      <c r="AQ90" s="136"/>
    </row>
    <row r="91" spans="1:45">
      <c r="A91" t="s">
        <v>555</v>
      </c>
      <c r="B91" s="171">
        <f>B80+B84</f>
        <v>0.38629761466808415</v>
      </c>
      <c r="C91" s="172">
        <f t="shared" ref="C91" si="36">C80+C84</f>
        <v>0.38104215431458149</v>
      </c>
      <c r="D91" s="181">
        <f>N80+N84</f>
        <v>0.42041956407660452</v>
      </c>
      <c r="X91" s="41"/>
    </row>
    <row r="92" spans="1:45">
      <c r="A92" t="s">
        <v>333</v>
      </c>
      <c r="B92" s="171">
        <f>B82</f>
        <v>0.16493171697766407</v>
      </c>
      <c r="C92" s="172">
        <f>C82</f>
        <v>0.26949094451078437</v>
      </c>
      <c r="D92" s="181">
        <f>N82</f>
        <v>0.32662719128552808</v>
      </c>
      <c r="X92" s="41"/>
      <c r="AJ92" s="135"/>
      <c r="AK92" s="129"/>
      <c r="AL92" s="129"/>
      <c r="AM92" s="129"/>
      <c r="AN92" s="129"/>
      <c r="AO92" s="129"/>
      <c r="AP92" s="132"/>
    </row>
    <row r="93" spans="1:45">
      <c r="A93" t="s">
        <v>19</v>
      </c>
      <c r="B93" s="171">
        <f>B81</f>
        <v>0.12214124792743497</v>
      </c>
      <c r="C93" s="172">
        <f>C81</f>
        <v>0.11420001694915924</v>
      </c>
      <c r="D93" s="181">
        <f>N81</f>
        <v>3.4018657342394315E-2</v>
      </c>
      <c r="X93" s="41"/>
      <c r="AK93" s="134"/>
      <c r="AL93" s="136"/>
      <c r="AM93" s="134"/>
      <c r="AN93" s="136"/>
      <c r="AO93" s="136"/>
      <c r="AP93" s="134"/>
    </row>
    <row r="94" spans="1:45">
      <c r="A94" t="s">
        <v>23</v>
      </c>
      <c r="B94" s="171">
        <f>B83</f>
        <v>6.8070880670308739E-2</v>
      </c>
      <c r="C94" s="172">
        <f>C83</f>
        <v>4.9030561854656513E-2</v>
      </c>
      <c r="D94" s="181">
        <f>N83</f>
        <v>4.5626845698465049E-2</v>
      </c>
      <c r="X94" s="41"/>
    </row>
    <row r="95" spans="1:45">
      <c r="A95" t="s">
        <v>27</v>
      </c>
      <c r="B95" s="171">
        <f>B85+B86+B87</f>
        <v>0.258558539756508</v>
      </c>
      <c r="C95" s="171">
        <f>C85+C86+C87</f>
        <v>0.18623632237081844</v>
      </c>
      <c r="D95" s="171">
        <f>N85+N86+N87</f>
        <v>0.17330774159700799</v>
      </c>
      <c r="X95" s="41"/>
      <c r="AJ95" s="135"/>
      <c r="AK95" s="129"/>
      <c r="AL95" s="129"/>
      <c r="AM95" s="129"/>
      <c r="AN95" s="129"/>
      <c r="AO95" s="129"/>
      <c r="AP95" s="129"/>
    </row>
    <row r="96" spans="1:45" ht="15.5" thickBot="1">
      <c r="A96" t="s">
        <v>254</v>
      </c>
      <c r="B96" s="171">
        <f>B87</f>
        <v>0</v>
      </c>
      <c r="C96" s="172">
        <f>C87</f>
        <v>0</v>
      </c>
      <c r="D96" s="181">
        <f>N87</f>
        <v>0</v>
      </c>
      <c r="X96" s="41"/>
      <c r="AK96" s="134"/>
      <c r="AL96" s="136"/>
      <c r="AM96" s="136"/>
      <c r="AN96" s="136"/>
      <c r="AO96" s="136"/>
      <c r="AP96" s="134"/>
    </row>
    <row r="97" spans="1:47" ht="15.5" thickBot="1">
      <c r="A97" s="173" t="s">
        <v>78</v>
      </c>
      <c r="B97" s="236">
        <f>SUM(B91:B96)</f>
        <v>0.99999999999999989</v>
      </c>
      <c r="C97" s="237">
        <f>SUM(C91:C96)</f>
        <v>1</v>
      </c>
      <c r="D97" s="238">
        <f>SUM(D91:D96)</f>
        <v>1</v>
      </c>
      <c r="X97" s="41"/>
    </row>
    <row r="98" spans="1:47" ht="15.5" thickBot="1">
      <c r="E98" s="176"/>
      <c r="F98" s="176"/>
      <c r="G98" s="176"/>
      <c r="H98" s="176"/>
      <c r="I98" s="176"/>
      <c r="J98" s="176"/>
      <c r="K98" s="176"/>
      <c r="L98" s="176"/>
      <c r="M98" s="176"/>
      <c r="X98" s="41"/>
    </row>
    <row r="99" spans="1:47" ht="15.5" thickBot="1"/>
    <row r="100" spans="1:47" ht="45" thickBot="1">
      <c r="A100" s="235" t="s">
        <v>629</v>
      </c>
      <c r="B100" s="239">
        <v>2020</v>
      </c>
      <c r="C100" s="174" t="s">
        <v>557</v>
      </c>
      <c r="D100" s="174" t="s">
        <v>386</v>
      </c>
      <c r="E100" s="176"/>
      <c r="F100" s="176"/>
      <c r="G100" s="176"/>
      <c r="H100" s="176"/>
      <c r="I100" s="176"/>
      <c r="J100" s="176"/>
      <c r="K100" s="176"/>
      <c r="L100" s="176"/>
      <c r="M100" s="176"/>
      <c r="N100" s="240" t="s">
        <v>540</v>
      </c>
    </row>
    <row r="101" spans="1:47">
      <c r="A101" t="s">
        <v>254</v>
      </c>
      <c r="B101" s="171">
        <f>B96</f>
        <v>0</v>
      </c>
      <c r="C101" s="171">
        <f>0</f>
        <v>0</v>
      </c>
      <c r="D101" s="172">
        <f>C96</f>
        <v>0</v>
      </c>
      <c r="N101" s="181">
        <f>D96</f>
        <v>0</v>
      </c>
    </row>
    <row r="102" spans="1:47">
      <c r="A102" t="s">
        <v>27</v>
      </c>
      <c r="B102" s="171">
        <f>B95</f>
        <v>0.258558539756508</v>
      </c>
      <c r="C102" s="171">
        <f>'Demand - Propylene'!N55</f>
        <v>0.25855853975650805</v>
      </c>
      <c r="D102" s="172">
        <f>C95</f>
        <v>0.18623632237081844</v>
      </c>
      <c r="N102" s="181">
        <f>D95</f>
        <v>0.17330774159700799</v>
      </c>
      <c r="AJ102" s="131"/>
      <c r="AK102" s="132"/>
      <c r="AL102" s="132"/>
      <c r="AM102" s="132"/>
      <c r="AN102" s="132"/>
      <c r="AO102" s="132"/>
      <c r="AP102" s="132"/>
      <c r="AQ102" s="132"/>
      <c r="AR102" s="132"/>
      <c r="AS102" s="132"/>
      <c r="AT102" s="132"/>
      <c r="AU102" s="132"/>
    </row>
    <row r="103" spans="1:47">
      <c r="A103" t="s">
        <v>23</v>
      </c>
      <c r="B103" s="171">
        <f>B94</f>
        <v>6.8070880670308739E-2</v>
      </c>
      <c r="C103" s="171">
        <f>'Demand - Propylene'!N53</f>
        <v>6.8070880670308753E-2</v>
      </c>
      <c r="D103" s="172">
        <f>C94</f>
        <v>4.9030561854656513E-2</v>
      </c>
      <c r="N103" s="181">
        <f>D94</f>
        <v>4.5626845698465049E-2</v>
      </c>
      <c r="AK103" s="133"/>
      <c r="AL103" s="133"/>
      <c r="AM103" s="133"/>
      <c r="AN103" s="133"/>
      <c r="AO103" s="133"/>
      <c r="AP103" s="133"/>
      <c r="AQ103" s="133"/>
      <c r="AR103" s="133"/>
      <c r="AS103" s="133"/>
      <c r="AT103" s="130"/>
      <c r="AU103" s="130"/>
    </row>
    <row r="104" spans="1:47">
      <c r="A104" t="s">
        <v>19</v>
      </c>
      <c r="B104" s="171">
        <f>B93</f>
        <v>0.12214124792743497</v>
      </c>
      <c r="C104" s="171">
        <f>'Demand - Propylene'!N51</f>
        <v>0.12214124792743498</v>
      </c>
      <c r="D104" s="172">
        <f>C93</f>
        <v>0.11420001694915924</v>
      </c>
      <c r="N104" s="181">
        <f>D93</f>
        <v>3.4018657342394315E-2</v>
      </c>
      <c r="AJ104" s="130"/>
    </row>
    <row r="105" spans="1:47" ht="103.25">
      <c r="A105" t="s">
        <v>333</v>
      </c>
      <c r="B105" s="171">
        <f>B92</f>
        <v>0.16493171697766407</v>
      </c>
      <c r="C105" s="171">
        <f>'Demand - Propylene'!N52</f>
        <v>0.16493171697766407</v>
      </c>
      <c r="D105" s="172">
        <f>C92</f>
        <v>0.26949094451078437</v>
      </c>
      <c r="N105" s="181">
        <f>D92</f>
        <v>0.32662719128552808</v>
      </c>
      <c r="AJ105" s="131" t="s">
        <v>602</v>
      </c>
      <c r="AK105" s="132" t="s">
        <v>128</v>
      </c>
      <c r="AL105" s="132" t="s">
        <v>305</v>
      </c>
      <c r="AM105" s="132" t="s">
        <v>306</v>
      </c>
      <c r="AN105" s="132" t="s">
        <v>643</v>
      </c>
      <c r="AO105" s="247" t="s">
        <v>585</v>
      </c>
      <c r="AP105" s="132" t="s">
        <v>639</v>
      </c>
      <c r="AQ105" s="132" t="s">
        <v>640</v>
      </c>
      <c r="AR105" s="132" t="s">
        <v>641</v>
      </c>
      <c r="AS105" s="132" t="s">
        <v>642</v>
      </c>
      <c r="AT105" s="132" t="s">
        <v>607</v>
      </c>
    </row>
    <row r="106" spans="1:47" ht="15.5" thickBot="1">
      <c r="A106" t="s">
        <v>555</v>
      </c>
      <c r="B106" s="171">
        <f>B91</f>
        <v>0.38629761466808415</v>
      </c>
      <c r="C106" s="171">
        <f>'Demand - Propylene'!N50+'Demand - Propylene'!N54</f>
        <v>0.38629761466808421</v>
      </c>
      <c r="D106" s="172">
        <f>C91</f>
        <v>0.38104215431458149</v>
      </c>
      <c r="N106" s="181">
        <f>D91</f>
        <v>0.42041956407660452</v>
      </c>
      <c r="AK106" s="133">
        <f>D4</f>
        <v>1127444.3500000006</v>
      </c>
      <c r="AL106" s="133">
        <f>AH4-D4</f>
        <v>0</v>
      </c>
      <c r="AM106" s="133">
        <f>AH4</f>
        <v>1127444.3500000006</v>
      </c>
      <c r="AN106" s="133">
        <f>AH41-AH40-AH39</f>
        <v>-186885.65680424843</v>
      </c>
      <c r="AO106" s="133">
        <f>SUM(AM106:AN106)</f>
        <v>940558.6931957521</v>
      </c>
      <c r="AP106" s="133">
        <f>AH46-AH43</f>
        <v>-79474.530711171683</v>
      </c>
      <c r="AQ106" s="133">
        <f>IF(AH59-AH54&lt;-AH54,-AH54,AH59-AH54)</f>
        <v>-84842.899465088034</v>
      </c>
      <c r="AR106" s="133">
        <f>AH49-AH47</f>
        <v>-36778.527764426311</v>
      </c>
      <c r="AS106" s="41">
        <f>AH65-AH60</f>
        <v>-76035.045784783433</v>
      </c>
      <c r="AT106" s="130" t="s">
        <v>307</v>
      </c>
    </row>
    <row r="107" spans="1:47" ht="15.5" thickBot="1">
      <c r="A107" s="173" t="s">
        <v>78</v>
      </c>
      <c r="B107" s="236">
        <f>SUM(B101:B106)</f>
        <v>1</v>
      </c>
      <c r="C107" s="236">
        <f>SUM(C101:C106)</f>
        <v>1</v>
      </c>
      <c r="D107" s="237">
        <f>SUM(D101:D106)</f>
        <v>1</v>
      </c>
      <c r="N107" s="238">
        <f>SUM(N101:N106)</f>
        <v>1</v>
      </c>
      <c r="AK107" s="134"/>
      <c r="AL107" s="136"/>
      <c r="AM107" s="134"/>
      <c r="AN107" s="136"/>
      <c r="AO107" s="136"/>
      <c r="AP107" s="134"/>
    </row>
    <row r="109" spans="1:47" ht="15.5" thickBot="1"/>
    <row r="110" spans="1:47" ht="45" thickBot="1">
      <c r="A110" s="235" t="s">
        <v>629</v>
      </c>
      <c r="B110" s="239">
        <v>2020</v>
      </c>
      <c r="C110" s="174" t="s">
        <v>557</v>
      </c>
      <c r="D110" s="174" t="s">
        <v>386</v>
      </c>
      <c r="E110" s="176"/>
      <c r="F110" s="176"/>
      <c r="G110" s="176"/>
      <c r="H110" s="176"/>
      <c r="I110" s="176"/>
      <c r="J110" s="176"/>
      <c r="K110" s="176"/>
      <c r="L110" s="176"/>
      <c r="M110" s="176"/>
      <c r="N110" s="240" t="s">
        <v>540</v>
      </c>
      <c r="AJ110" s="135"/>
      <c r="AK110" s="129"/>
      <c r="AL110" s="129"/>
      <c r="AM110" s="129"/>
      <c r="AN110" s="129"/>
      <c r="AO110" s="129"/>
      <c r="AP110" s="129"/>
      <c r="AQ110" s="129"/>
    </row>
    <row r="111" spans="1:47">
      <c r="A111" t="s">
        <v>254</v>
      </c>
      <c r="B111" s="245">
        <f>$D$4*B101</f>
        <v>0</v>
      </c>
      <c r="C111" s="245">
        <f>$AH$4*C101</f>
        <v>0</v>
      </c>
      <c r="D111" s="172"/>
      <c r="N111" s="181"/>
      <c r="AK111" s="134"/>
      <c r="AL111" s="136"/>
      <c r="AM111" s="136"/>
      <c r="AN111" s="136"/>
      <c r="AO111" s="136"/>
      <c r="AP111" s="134"/>
      <c r="AQ111" s="136"/>
    </row>
    <row r="112" spans="1:47">
      <c r="A112" t="s">
        <v>27</v>
      </c>
      <c r="B112" s="245">
        <f t="shared" ref="B112:B113" si="37">$D$4*B102</f>
        <v>291510.36479272548</v>
      </c>
      <c r="C112" s="245">
        <f t="shared" ref="C112:C113" si="38">$AH$4*C102</f>
        <v>291510.36479272554</v>
      </c>
      <c r="D112" s="172"/>
      <c r="N112" s="181"/>
    </row>
    <row r="113" spans="1:42">
      <c r="A113" t="s">
        <v>23</v>
      </c>
      <c r="B113" s="245">
        <f t="shared" si="37"/>
        <v>76746.129811263832</v>
      </c>
      <c r="C113" s="245">
        <f t="shared" si="38"/>
        <v>76746.129811263861</v>
      </c>
      <c r="D113" s="172"/>
      <c r="N113" s="181"/>
      <c r="AJ113" s="135"/>
      <c r="AK113" s="129"/>
      <c r="AL113" s="129"/>
      <c r="AM113" s="129"/>
      <c r="AN113" s="129"/>
      <c r="AO113" s="129"/>
      <c r="AP113" s="132"/>
    </row>
    <row r="114" spans="1:42">
      <c r="A114" s="124"/>
      <c r="B114" s="245"/>
      <c r="C114" s="245"/>
      <c r="D114" s="172"/>
      <c r="N114" s="181"/>
      <c r="AK114" s="134"/>
      <c r="AL114" s="136"/>
      <c r="AM114" s="134"/>
      <c r="AN114" s="136"/>
      <c r="AO114" s="136"/>
      <c r="AP114" s="134"/>
    </row>
    <row r="115" spans="1:42">
      <c r="A115" t="s">
        <v>333</v>
      </c>
      <c r="B115" s="245">
        <f>$D$4*B105</f>
        <v>185951.33244226652</v>
      </c>
      <c r="C115" s="245">
        <f>$AH$4*C105</f>
        <v>185951.33244226652</v>
      </c>
      <c r="D115" s="172"/>
      <c r="N115" s="181"/>
    </row>
    <row r="116" spans="1:42">
      <c r="A116" t="s">
        <v>19</v>
      </c>
      <c r="B116" s="245">
        <f>$D$4*B104</f>
        <v>137707.45987773585</v>
      </c>
      <c r="C116" s="245">
        <f>$AH$4*C104</f>
        <v>137707.45987773585</v>
      </c>
      <c r="D116" s="172"/>
      <c r="N116" s="181"/>
      <c r="AJ116" s="135"/>
      <c r="AK116" s="129"/>
      <c r="AL116" s="129"/>
      <c r="AM116" s="129"/>
      <c r="AN116" s="129"/>
      <c r="AO116" s="129"/>
      <c r="AP116" s="129"/>
    </row>
    <row r="117" spans="1:42" ht="15.5" thickBot="1">
      <c r="A117" t="s">
        <v>555</v>
      </c>
      <c r="B117" s="245">
        <f>$D$4*B106</f>
        <v>435529.06307600881</v>
      </c>
      <c r="C117" s="245">
        <f>$AH$4*C106</f>
        <v>435529.06307600887</v>
      </c>
      <c r="D117" s="172"/>
      <c r="N117" s="181"/>
      <c r="AK117" s="134"/>
      <c r="AL117" s="136"/>
      <c r="AM117" s="136"/>
      <c r="AN117" s="136"/>
      <c r="AO117" s="136"/>
      <c r="AP117" s="134"/>
    </row>
    <row r="118" spans="1:42" ht="15.5" thickBot="1">
      <c r="A118" s="173" t="s">
        <v>78</v>
      </c>
      <c r="B118" s="248">
        <f>SUM(B111:B117)</f>
        <v>1127444.3500000006</v>
      </c>
      <c r="C118" s="248">
        <f>SUM(C111:C117)</f>
        <v>1127444.3500000006</v>
      </c>
      <c r="D118" s="237"/>
      <c r="N118" s="238"/>
    </row>
    <row r="120" spans="1:42">
      <c r="A120" s="1" t="s">
        <v>619</v>
      </c>
      <c r="D120" s="1">
        <v>2020</v>
      </c>
      <c r="E120" s="1">
        <f>D120+1</f>
        <v>2021</v>
      </c>
      <c r="F120" s="1">
        <f t="shared" ref="F120:Q120" si="39">E120+1</f>
        <v>2022</v>
      </c>
      <c r="G120" s="1">
        <f t="shared" si="39"/>
        <v>2023</v>
      </c>
      <c r="H120" s="1">
        <f t="shared" si="39"/>
        <v>2024</v>
      </c>
      <c r="I120" s="1">
        <f t="shared" si="39"/>
        <v>2025</v>
      </c>
      <c r="J120" s="1">
        <f t="shared" si="39"/>
        <v>2026</v>
      </c>
      <c r="K120" s="1">
        <f t="shared" si="39"/>
        <v>2027</v>
      </c>
      <c r="L120" s="1">
        <f t="shared" si="39"/>
        <v>2028</v>
      </c>
      <c r="M120" s="1">
        <f t="shared" si="39"/>
        <v>2029</v>
      </c>
      <c r="N120" s="1">
        <f t="shared" si="39"/>
        <v>2030</v>
      </c>
      <c r="O120" s="1">
        <f t="shared" si="39"/>
        <v>2031</v>
      </c>
      <c r="P120" s="1">
        <f t="shared" si="39"/>
        <v>2032</v>
      </c>
      <c r="Q120" s="1">
        <f t="shared" si="39"/>
        <v>2033</v>
      </c>
      <c r="R120" s="1">
        <f>Q120+1</f>
        <v>2034</v>
      </c>
      <c r="S120" s="1">
        <f t="shared" ref="S120:AB120" si="40">R120+1</f>
        <v>2035</v>
      </c>
      <c r="T120" s="1">
        <f t="shared" si="40"/>
        <v>2036</v>
      </c>
      <c r="U120" s="1">
        <f t="shared" si="40"/>
        <v>2037</v>
      </c>
      <c r="V120" s="1">
        <f t="shared" si="40"/>
        <v>2038</v>
      </c>
      <c r="W120" s="1">
        <f t="shared" si="40"/>
        <v>2039</v>
      </c>
      <c r="X120" s="1">
        <f t="shared" si="40"/>
        <v>2040</v>
      </c>
      <c r="Y120" s="1">
        <f t="shared" si="40"/>
        <v>2041</v>
      </c>
      <c r="Z120" s="1">
        <f t="shared" si="40"/>
        <v>2042</v>
      </c>
      <c r="AA120" s="1">
        <f t="shared" si="40"/>
        <v>2043</v>
      </c>
      <c r="AB120" s="1">
        <f t="shared" si="40"/>
        <v>2044</v>
      </c>
      <c r="AC120" s="1">
        <f>AB120+1</f>
        <v>2045</v>
      </c>
      <c r="AD120" s="1">
        <f t="shared" ref="AD120:AF120" si="41">AC120+1</f>
        <v>2046</v>
      </c>
      <c r="AE120" s="1">
        <f t="shared" si="41"/>
        <v>2047</v>
      </c>
      <c r="AF120" s="1">
        <f t="shared" si="41"/>
        <v>2048</v>
      </c>
      <c r="AG120" s="1">
        <f>AF120+1</f>
        <v>2049</v>
      </c>
      <c r="AH120" s="1">
        <f t="shared" ref="AH120" si="42">AG120+1</f>
        <v>2050</v>
      </c>
      <c r="AK120" s="134"/>
      <c r="AL120" s="136"/>
      <c r="AM120" s="136"/>
      <c r="AN120" s="136"/>
      <c r="AO120" s="136"/>
      <c r="AP120" s="134"/>
    </row>
    <row r="121" spans="1:42">
      <c r="C121" t="s">
        <v>164</v>
      </c>
      <c r="D121" s="41">
        <f t="shared" ref="D121:AH121" si="43">D39</f>
        <v>0</v>
      </c>
      <c r="E121" s="41">
        <f t="shared" si="43"/>
        <v>3519.8267601496436</v>
      </c>
      <c r="F121" s="41">
        <f t="shared" si="43"/>
        <v>7041.4765949891416</v>
      </c>
      <c r="G121" s="41">
        <f t="shared" si="43"/>
        <v>10565.003398627339</v>
      </c>
      <c r="H121" s="41">
        <f t="shared" si="43"/>
        <v>14090.462408548941</v>
      </c>
      <c r="I121" s="41">
        <f t="shared" si="43"/>
        <v>17617.910235769676</v>
      </c>
      <c r="J121" s="41">
        <f t="shared" si="43"/>
        <v>21147.404895619402</v>
      </c>
      <c r="K121" s="41">
        <f t="shared" si="43"/>
        <v>24679.005839165577</v>
      </c>
      <c r="L121" s="41">
        <f t="shared" si="43"/>
        <v>28212.77398528955</v>
      </c>
      <c r="M121" s="41">
        <f t="shared" si="43"/>
        <v>31748.771753428511</v>
      </c>
      <c r="N121" s="41">
        <f t="shared" si="43"/>
        <v>35287.063096996018</v>
      </c>
      <c r="O121" s="41">
        <f t="shared" si="43"/>
        <v>41135.805251722617</v>
      </c>
      <c r="P121" s="41">
        <f t="shared" si="43"/>
        <v>47035.569025974735</v>
      </c>
      <c r="Q121" s="41">
        <f t="shared" si="43"/>
        <v>52987.753887279134</v>
      </c>
      <c r="R121" s="41">
        <f t="shared" si="43"/>
        <v>58993.791305812818</v>
      </c>
      <c r="S121" s="41">
        <f t="shared" si="43"/>
        <v>65055.14539883133</v>
      </c>
      <c r="T121" s="41">
        <f t="shared" si="43"/>
        <v>71173.313586666351</v>
      </c>
      <c r="U121" s="41">
        <f t="shared" si="43"/>
        <v>77349.827260474223</v>
      </c>
      <c r="V121" s="41">
        <f t="shared" si="43"/>
        <v>83586.252461918863</v>
      </c>
      <c r="W121" s="41">
        <f t="shared" si="43"/>
        <v>89884.190574974811</v>
      </c>
      <c r="X121" s="41">
        <f t="shared" si="43"/>
        <v>96245.279030038771</v>
      </c>
      <c r="Y121" s="41">
        <f t="shared" si="43"/>
        <v>104874.0522461037</v>
      </c>
      <c r="Z121" s="41">
        <f t="shared" si="43"/>
        <v>113640.25716458124</v>
      </c>
      <c r="AA121" s="41">
        <f t="shared" si="43"/>
        <v>122546.98970415353</v>
      </c>
      <c r="AB121" s="41">
        <f t="shared" si="43"/>
        <v>131597.39551702459</v>
      </c>
      <c r="AC121" s="41">
        <f t="shared" si="43"/>
        <v>140794.67036819499</v>
      </c>
      <c r="AD121" s="41">
        <f t="shared" si="43"/>
        <v>150142.06050365177</v>
      </c>
      <c r="AE121" s="41">
        <f t="shared" si="43"/>
        <v>159642.86300678109</v>
      </c>
      <c r="AF121" s="41">
        <f t="shared" si="43"/>
        <v>169300.42614228674</v>
      </c>
      <c r="AG121" s="41">
        <f t="shared" si="43"/>
        <v>179118.14968687066</v>
      </c>
      <c r="AH121" s="41">
        <f t="shared" si="43"/>
        <v>189099.48524590905</v>
      </c>
    </row>
    <row r="122" spans="1:42">
      <c r="C122" t="s">
        <v>167</v>
      </c>
      <c r="D122" s="41">
        <f t="shared" ref="D122:AH122" si="44">D40</f>
        <v>0</v>
      </c>
      <c r="E122" s="41">
        <f t="shared" si="44"/>
        <v>952.92933059772804</v>
      </c>
      <c r="F122" s="41">
        <f t="shared" si="44"/>
        <v>1900.5540554275753</v>
      </c>
      <c r="G122" s="41">
        <f t="shared" si="44"/>
        <v>2842.7389070424615</v>
      </c>
      <c r="H122" s="41">
        <f t="shared" si="44"/>
        <v>3779.345551933171</v>
      </c>
      <c r="I122" s="41">
        <f t="shared" si="44"/>
        <v>4710.2325253745348</v>
      </c>
      <c r="J122" s="41">
        <f t="shared" si="44"/>
        <v>5635.2551649424722</v>
      </c>
      <c r="K122" s="41">
        <f t="shared" si="44"/>
        <v>6554.2655426755309</v>
      </c>
      <c r="L122" s="41">
        <f t="shared" si="44"/>
        <v>7467.1123958540611</v>
      </c>
      <c r="M122" s="41">
        <f t="shared" si="44"/>
        <v>8373.6410563696118</v>
      </c>
      <c r="N122" s="41">
        <f t="shared" si="44"/>
        <v>9273.6933786566442</v>
      </c>
      <c r="O122" s="41">
        <f t="shared" si="44"/>
        <v>10167.10766615807</v>
      </c>
      <c r="P122" s="41">
        <f t="shared" si="44"/>
        <v>10843.967799518201</v>
      </c>
      <c r="Q122" s="41">
        <f t="shared" si="44"/>
        <v>11817.99420568779</v>
      </c>
      <c r="R122" s="41">
        <f t="shared" si="44"/>
        <v>12784.875423500753</v>
      </c>
      <c r="S122" s="41">
        <f t="shared" si="44"/>
        <v>13744.434786738275</v>
      </c>
      <c r="T122" s="41">
        <f t="shared" si="44"/>
        <v>14696.491687489533</v>
      </c>
      <c r="U122" s="41">
        <f t="shared" si="44"/>
        <v>15640.861493190709</v>
      </c>
      <c r="V122" s="41">
        <f t="shared" si="44"/>
        <v>16577.355461982472</v>
      </c>
      <c r="W122" s="41">
        <f t="shared" si="44"/>
        <v>17505.780656352748</v>
      </c>
      <c r="X122" s="41">
        <f t="shared" si="44"/>
        <v>18425.939855030912</v>
      </c>
      <c r="Y122" s="41">
        <f t="shared" si="44"/>
        <v>21141.229036629902</v>
      </c>
      <c r="Z122" s="41">
        <f t="shared" si="44"/>
        <v>22010.801680832446</v>
      </c>
      <c r="AA122" s="41">
        <f t="shared" si="44"/>
        <v>22871.259117764053</v>
      </c>
      <c r="AB122" s="41">
        <f t="shared" si="44"/>
        <v>23722.380201241089</v>
      </c>
      <c r="AC122" s="41">
        <f t="shared" si="44"/>
        <v>24563.938900404602</v>
      </c>
      <c r="AD122" s="41">
        <f t="shared" si="44"/>
        <v>25395.70419755255</v>
      </c>
      <c r="AE122" s="41">
        <f t="shared" si="44"/>
        <v>26217.439983910117</v>
      </c>
      <c r="AF122" s="41">
        <f t="shared" si="44"/>
        <v>27028.904953297308</v>
      </c>
      <c r="AG122" s="41">
        <f t="shared" si="44"/>
        <v>27829.852493652641</v>
      </c>
      <c r="AH122" s="41">
        <f t="shared" si="44"/>
        <v>28620.030576370638</v>
      </c>
    </row>
    <row r="123" spans="1:42">
      <c r="C123" t="s">
        <v>555</v>
      </c>
      <c r="D123" s="41">
        <f t="shared" ref="D123:AH123" si="45">D21</f>
        <v>435529.06307600881</v>
      </c>
      <c r="E123" s="41">
        <f t="shared" si="45"/>
        <v>433771.66410888144</v>
      </c>
      <c r="F123" s="41">
        <f t="shared" si="45"/>
        <v>432014.26514175406</v>
      </c>
      <c r="G123" s="41">
        <f t="shared" si="45"/>
        <v>430256.86617462669</v>
      </c>
      <c r="H123" s="41">
        <f t="shared" si="45"/>
        <v>428499.46720749931</v>
      </c>
      <c r="I123" s="41">
        <f t="shared" si="45"/>
        <v>426742.06824037194</v>
      </c>
      <c r="J123" s="41">
        <f t="shared" si="45"/>
        <v>424984.66927324457</v>
      </c>
      <c r="K123" s="41">
        <f t="shared" si="45"/>
        <v>423227.27030611725</v>
      </c>
      <c r="L123" s="41">
        <f t="shared" si="45"/>
        <v>421469.87133898982</v>
      </c>
      <c r="M123" s="41">
        <f t="shared" si="45"/>
        <v>419712.47237186244</v>
      </c>
      <c r="N123" s="41">
        <f t="shared" si="45"/>
        <v>417955.07340473507</v>
      </c>
      <c r="O123" s="41">
        <f t="shared" si="45"/>
        <v>415116.14689172426</v>
      </c>
      <c r="P123" s="41">
        <f t="shared" si="45"/>
        <v>412486.9711754907</v>
      </c>
      <c r="Q123" s="41">
        <f t="shared" si="45"/>
        <v>409553.65680393006</v>
      </c>
      <c r="R123" s="41">
        <f t="shared" si="45"/>
        <v>406620.34243236936</v>
      </c>
      <c r="S123" s="41">
        <f t="shared" si="45"/>
        <v>403687.0280608086</v>
      </c>
      <c r="T123" s="41">
        <f t="shared" si="45"/>
        <v>400753.7136892479</v>
      </c>
      <c r="U123" s="41">
        <f t="shared" si="45"/>
        <v>397820.39931768726</v>
      </c>
      <c r="V123" s="41">
        <f t="shared" si="45"/>
        <v>394887.08494612656</v>
      </c>
      <c r="W123" s="41">
        <f t="shared" si="45"/>
        <v>391953.7705745658</v>
      </c>
      <c r="X123" s="41">
        <f t="shared" si="45"/>
        <v>389020.4562030051</v>
      </c>
      <c r="Y123" s="41">
        <f t="shared" si="45"/>
        <v>384304.52573156491</v>
      </c>
      <c r="Z123" s="41">
        <f t="shared" si="45"/>
        <v>381425.41295190406</v>
      </c>
      <c r="AA123" s="41">
        <f t="shared" si="45"/>
        <v>378546.30017224315</v>
      </c>
      <c r="AB123" s="41">
        <f t="shared" si="45"/>
        <v>375667.18739258224</v>
      </c>
      <c r="AC123" s="41">
        <f t="shared" si="45"/>
        <v>372788.07461292134</v>
      </c>
      <c r="AD123" s="41">
        <f t="shared" si="45"/>
        <v>369908.96183326043</v>
      </c>
      <c r="AE123" s="41">
        <f t="shared" si="45"/>
        <v>367029.84905359958</v>
      </c>
      <c r="AF123" s="41">
        <f t="shared" si="45"/>
        <v>364150.73627393867</v>
      </c>
      <c r="AG123" s="41">
        <f t="shared" si="45"/>
        <v>361271.62349427777</v>
      </c>
      <c r="AH123" s="41">
        <f t="shared" si="45"/>
        <v>358392.51071461692</v>
      </c>
    </row>
    <row r="124" spans="1:42">
      <c r="C124" t="s">
        <v>19</v>
      </c>
      <c r="D124" s="41">
        <f t="shared" ref="D124:AH124" si="46">D25</f>
        <v>137707.45987773585</v>
      </c>
      <c r="E124" s="41">
        <f t="shared" si="46"/>
        <v>136707.7037190235</v>
      </c>
      <c r="F124" s="41">
        <f t="shared" si="46"/>
        <v>135707.94756031112</v>
      </c>
      <c r="G124" s="41">
        <f t="shared" si="46"/>
        <v>134708.19140159877</v>
      </c>
      <c r="H124" s="41">
        <f t="shared" si="46"/>
        <v>133708.43524288639</v>
      </c>
      <c r="I124" s="41">
        <f t="shared" si="46"/>
        <v>132708.67908417404</v>
      </c>
      <c r="J124" s="41">
        <f t="shared" si="46"/>
        <v>131708.92292546167</v>
      </c>
      <c r="K124" s="41">
        <f t="shared" si="46"/>
        <v>130709.16676674932</v>
      </c>
      <c r="L124" s="41">
        <f t="shared" si="46"/>
        <v>129709.41060803695</v>
      </c>
      <c r="M124" s="41">
        <f t="shared" si="46"/>
        <v>128709.65444932459</v>
      </c>
      <c r="N124" s="41">
        <f t="shared" si="46"/>
        <v>127709.89829061223</v>
      </c>
      <c r="O124" s="41">
        <f t="shared" si="46"/>
        <v>126710.14213189986</v>
      </c>
      <c r="P124" s="41">
        <f t="shared" si="46"/>
        <v>125710.3859731875</v>
      </c>
      <c r="Q124" s="41">
        <f t="shared" si="46"/>
        <v>124710.62981447513</v>
      </c>
      <c r="R124" s="41">
        <f t="shared" si="46"/>
        <v>123710.87365576277</v>
      </c>
      <c r="S124" s="41">
        <f t="shared" si="46"/>
        <v>122711.11749705041</v>
      </c>
      <c r="T124" s="41">
        <f t="shared" si="46"/>
        <v>121711.36133833804</v>
      </c>
      <c r="U124" s="41">
        <f t="shared" si="46"/>
        <v>120711.60517962568</v>
      </c>
      <c r="V124" s="41">
        <f t="shared" si="46"/>
        <v>119711.84902091333</v>
      </c>
      <c r="W124" s="41">
        <f t="shared" si="46"/>
        <v>118712.09286220097</v>
      </c>
      <c r="X124" s="41">
        <f t="shared" si="46"/>
        <v>117712.3367034886</v>
      </c>
      <c r="Y124" s="41">
        <f t="shared" si="46"/>
        <v>116682.28490360314</v>
      </c>
      <c r="Z124" s="41">
        <f t="shared" si="46"/>
        <v>115652.23310371768</v>
      </c>
      <c r="AA124" s="41">
        <f t="shared" si="46"/>
        <v>114622.18130383221</v>
      </c>
      <c r="AB124" s="41">
        <f t="shared" si="46"/>
        <v>113592.12950394675</v>
      </c>
      <c r="AC124" s="41">
        <f t="shared" si="46"/>
        <v>112562.07770406127</v>
      </c>
      <c r="AD124" s="41">
        <f t="shared" si="46"/>
        <v>111532.02590417581</v>
      </c>
      <c r="AE124" s="41">
        <f t="shared" si="46"/>
        <v>110501.97410429035</v>
      </c>
      <c r="AF124" s="41">
        <f t="shared" si="46"/>
        <v>109471.92230440488</v>
      </c>
      <c r="AG124" s="41">
        <f t="shared" si="46"/>
        <v>108441.87050451942</v>
      </c>
      <c r="AH124" s="41">
        <f t="shared" si="46"/>
        <v>107411.81870463396</v>
      </c>
    </row>
    <row r="125" spans="1:42">
      <c r="C125" t="s">
        <v>333</v>
      </c>
      <c r="D125" s="41">
        <f t="shared" ref="D125:AH125" si="47">D13</f>
        <v>185951.33244226652</v>
      </c>
      <c r="E125" s="41">
        <f t="shared" si="47"/>
        <v>188790.83119641434</v>
      </c>
      <c r="F125" s="41">
        <f t="shared" si="47"/>
        <v>191672.76281881766</v>
      </c>
      <c r="G125" s="41">
        <f t="shared" si="47"/>
        <v>194597.74515246463</v>
      </c>
      <c r="H125" s="41">
        <f t="shared" si="47"/>
        <v>197566.40474606119</v>
      </c>
      <c r="I125" s="41">
        <f t="shared" si="47"/>
        <v>200579.37697141344</v>
      </c>
      <c r="J125" s="41">
        <f t="shared" si="47"/>
        <v>203637.30614229338</v>
      </c>
      <c r="K125" s="41">
        <f t="shared" si="47"/>
        <v>206740.84563480612</v>
      </c>
      <c r="L125" s="41">
        <f t="shared" si="47"/>
        <v>209890.65800927486</v>
      </c>
      <c r="M125" s="41">
        <f t="shared" si="47"/>
        <v>213087.41513366107</v>
      </c>
      <c r="N125" s="41">
        <f t="shared" si="47"/>
        <v>216331.79830853679</v>
      </c>
      <c r="O125" s="41">
        <f t="shared" si="47"/>
        <v>219069.44197871847</v>
      </c>
      <c r="P125" s="41">
        <f t="shared" si="47"/>
        <v>221830.33897155485</v>
      </c>
      <c r="Q125" s="41">
        <f t="shared" si="47"/>
        <v>224614.45114362118</v>
      </c>
      <c r="R125" s="41">
        <f t="shared" si="47"/>
        <v>227421.73316840341</v>
      </c>
      <c r="S125" s="41">
        <f t="shared" si="47"/>
        <v>230252.13234231286</v>
      </c>
      <c r="T125" s="41">
        <f t="shared" si="47"/>
        <v>233105.5883872727</v>
      </c>
      <c r="U125" s="41">
        <f t="shared" si="47"/>
        <v>235982.03324984311</v>
      </c>
      <c r="V125" s="41">
        <f t="shared" si="47"/>
        <v>238881.39089684997</v>
      </c>
      <c r="W125" s="41">
        <f t="shared" si="47"/>
        <v>241803.5771074834</v>
      </c>
      <c r="X125" s="41">
        <f t="shared" si="47"/>
        <v>244748.49926183285</v>
      </c>
      <c r="Y125" s="41">
        <f t="shared" si="47"/>
        <v>245816.37233414361</v>
      </c>
      <c r="Z125" s="41">
        <f t="shared" si="47"/>
        <v>246844.20677313881</v>
      </c>
      <c r="AA125" s="41">
        <f t="shared" si="47"/>
        <v>247830.74992952473</v>
      </c>
      <c r="AB125" s="41">
        <f t="shared" si="47"/>
        <v>248774.73394504812</v>
      </c>
      <c r="AC125" s="41">
        <f t="shared" si="47"/>
        <v>249674.87601435179</v>
      </c>
      <c r="AD125" s="41">
        <f t="shared" si="47"/>
        <v>250529.87866973551</v>
      </c>
      <c r="AE125" s="41">
        <f t="shared" si="47"/>
        <v>251338.43008973208</v>
      </c>
      <c r="AF125" s="41">
        <f t="shared" si="47"/>
        <v>252099.20443243562</v>
      </c>
      <c r="AG125" s="41">
        <f t="shared" si="47"/>
        <v>252810.86219454973</v>
      </c>
      <c r="AH125" s="41">
        <f t="shared" si="47"/>
        <v>253472.05059715227</v>
      </c>
    </row>
    <row r="126" spans="1:42">
      <c r="C126" s="124" t="s">
        <v>365</v>
      </c>
      <c r="D126" s="41">
        <f t="shared" ref="D126:AH126" si="48">D31</f>
        <v>0</v>
      </c>
      <c r="E126" s="41">
        <f t="shared" si="48"/>
        <v>0</v>
      </c>
      <c r="F126" s="41">
        <f t="shared" si="48"/>
        <v>0</v>
      </c>
      <c r="G126" s="41">
        <f t="shared" si="48"/>
        <v>0</v>
      </c>
      <c r="H126" s="41">
        <f t="shared" si="48"/>
        <v>0</v>
      </c>
      <c r="I126" s="41">
        <f t="shared" si="48"/>
        <v>0</v>
      </c>
      <c r="J126" s="41">
        <f t="shared" si="48"/>
        <v>0</v>
      </c>
      <c r="K126" s="41">
        <f t="shared" si="48"/>
        <v>0</v>
      </c>
      <c r="L126" s="41">
        <f t="shared" si="48"/>
        <v>0</v>
      </c>
      <c r="M126" s="41">
        <f t="shared" si="48"/>
        <v>0</v>
      </c>
      <c r="N126" s="41">
        <f t="shared" si="48"/>
        <v>0</v>
      </c>
      <c r="O126" s="41">
        <f t="shared" si="48"/>
        <v>0</v>
      </c>
      <c r="P126" s="41">
        <f t="shared" si="48"/>
        <v>0</v>
      </c>
      <c r="Q126" s="41">
        <f t="shared" si="48"/>
        <v>0</v>
      </c>
      <c r="R126" s="41">
        <f t="shared" si="48"/>
        <v>0</v>
      </c>
      <c r="S126" s="41">
        <f t="shared" si="48"/>
        <v>0</v>
      </c>
      <c r="T126" s="41">
        <f t="shared" si="48"/>
        <v>0</v>
      </c>
      <c r="U126" s="41">
        <f t="shared" si="48"/>
        <v>0</v>
      </c>
      <c r="V126" s="41">
        <f t="shared" si="48"/>
        <v>0</v>
      </c>
      <c r="W126" s="41">
        <f t="shared" si="48"/>
        <v>0</v>
      </c>
      <c r="X126" s="41">
        <f t="shared" si="48"/>
        <v>0</v>
      </c>
      <c r="Y126" s="41">
        <f t="shared" si="48"/>
        <v>0</v>
      </c>
      <c r="Z126" s="41">
        <f t="shared" si="48"/>
        <v>0</v>
      </c>
      <c r="AA126" s="41">
        <f t="shared" si="48"/>
        <v>0</v>
      </c>
      <c r="AB126" s="41">
        <f t="shared" si="48"/>
        <v>0</v>
      </c>
      <c r="AC126" s="41">
        <f t="shared" si="48"/>
        <v>0</v>
      </c>
      <c r="AD126" s="41">
        <f t="shared" si="48"/>
        <v>0</v>
      </c>
      <c r="AE126" s="41">
        <f t="shared" si="48"/>
        <v>0</v>
      </c>
      <c r="AF126" s="41">
        <f t="shared" si="48"/>
        <v>0</v>
      </c>
      <c r="AG126" s="41">
        <f t="shared" si="48"/>
        <v>0</v>
      </c>
      <c r="AH126" s="41">
        <f t="shared" si="48"/>
        <v>0</v>
      </c>
    </row>
    <row r="127" spans="1:42">
      <c r="C127" t="s">
        <v>254</v>
      </c>
      <c r="D127" s="41">
        <f t="shared" ref="D127:AH127" si="49">D38</f>
        <v>0</v>
      </c>
      <c r="E127" s="41">
        <f t="shared" si="49"/>
        <v>0</v>
      </c>
      <c r="F127" s="41">
        <f t="shared" si="49"/>
        <v>0</v>
      </c>
      <c r="G127" s="41">
        <f t="shared" si="49"/>
        <v>0</v>
      </c>
      <c r="H127" s="41">
        <f t="shared" si="49"/>
        <v>0</v>
      </c>
      <c r="I127" s="41">
        <f t="shared" si="49"/>
        <v>0</v>
      </c>
      <c r="J127" s="41">
        <f t="shared" si="49"/>
        <v>0</v>
      </c>
      <c r="K127" s="41">
        <f t="shared" si="49"/>
        <v>0</v>
      </c>
      <c r="L127" s="41">
        <f t="shared" si="49"/>
        <v>0</v>
      </c>
      <c r="M127" s="41">
        <f t="shared" si="49"/>
        <v>0</v>
      </c>
      <c r="N127" s="41">
        <f t="shared" si="49"/>
        <v>0</v>
      </c>
      <c r="O127" s="41">
        <f t="shared" si="49"/>
        <v>0</v>
      </c>
      <c r="P127" s="41">
        <f t="shared" si="49"/>
        <v>0</v>
      </c>
      <c r="Q127" s="41">
        <f t="shared" si="49"/>
        <v>0</v>
      </c>
      <c r="R127" s="41">
        <f t="shared" si="49"/>
        <v>0</v>
      </c>
      <c r="S127" s="41">
        <f t="shared" si="49"/>
        <v>0</v>
      </c>
      <c r="T127" s="41">
        <f t="shared" si="49"/>
        <v>0</v>
      </c>
      <c r="U127" s="41">
        <f t="shared" si="49"/>
        <v>0</v>
      </c>
      <c r="V127" s="41">
        <f t="shared" si="49"/>
        <v>0</v>
      </c>
      <c r="W127" s="41">
        <f t="shared" si="49"/>
        <v>0</v>
      </c>
      <c r="X127" s="41">
        <f t="shared" si="49"/>
        <v>0</v>
      </c>
      <c r="Y127" s="41">
        <f t="shared" si="49"/>
        <v>0</v>
      </c>
      <c r="Z127" s="41">
        <f t="shared" si="49"/>
        <v>0</v>
      </c>
      <c r="AA127" s="41">
        <f t="shared" si="49"/>
        <v>0</v>
      </c>
      <c r="AB127" s="41">
        <f t="shared" si="49"/>
        <v>0</v>
      </c>
      <c r="AC127" s="41">
        <f t="shared" si="49"/>
        <v>0</v>
      </c>
      <c r="AD127" s="41">
        <f t="shared" si="49"/>
        <v>0</v>
      </c>
      <c r="AE127" s="41">
        <f t="shared" si="49"/>
        <v>0</v>
      </c>
      <c r="AF127" s="41">
        <f t="shared" si="49"/>
        <v>0</v>
      </c>
      <c r="AG127" s="41">
        <f t="shared" si="49"/>
        <v>0</v>
      </c>
      <c r="AH127" s="41">
        <f t="shared" si="49"/>
        <v>0</v>
      </c>
    </row>
    <row r="128" spans="1:42">
      <c r="C128" t="s">
        <v>27</v>
      </c>
      <c r="D128" s="41">
        <f t="shared" ref="D128:AH128" si="50">D35</f>
        <v>368256.49460398941</v>
      </c>
      <c r="E128" s="41">
        <f t="shared" si="50"/>
        <v>363890.50739002775</v>
      </c>
      <c r="F128" s="41">
        <f t="shared" si="50"/>
        <v>359491.99866406177</v>
      </c>
      <c r="G128" s="41">
        <f t="shared" si="50"/>
        <v>355060.59591698361</v>
      </c>
      <c r="H128" s="41">
        <f t="shared" si="50"/>
        <v>350595.92337309243</v>
      </c>
      <c r="I128" s="41">
        <f t="shared" si="50"/>
        <v>346097.60198668594</v>
      </c>
      <c r="J128" s="41">
        <f t="shared" si="50"/>
        <v>341565.24943947926</v>
      </c>
      <c r="K128" s="41">
        <f t="shared" si="50"/>
        <v>336998.48013888102</v>
      </c>
      <c r="L128" s="41">
        <f t="shared" si="50"/>
        <v>332396.90521715739</v>
      </c>
      <c r="M128" s="41">
        <f t="shared" si="50"/>
        <v>327760.13253151352</v>
      </c>
      <c r="N128" s="41">
        <f t="shared" si="50"/>
        <v>323087.76666512358</v>
      </c>
      <c r="O128" s="41">
        <f t="shared" si="50"/>
        <v>318379.40892914397</v>
      </c>
      <c r="P128" s="41">
        <f t="shared" si="50"/>
        <v>313634.65736573929</v>
      </c>
      <c r="Q128" s="41">
        <f t="shared" si="50"/>
        <v>308853.10675215803</v>
      </c>
      <c r="R128" s="41">
        <f t="shared" si="50"/>
        <v>304034.3486058914</v>
      </c>
      <c r="S128" s="41">
        <f t="shared" si="50"/>
        <v>299177.97119095078</v>
      </c>
      <c r="T128" s="41">
        <f t="shared" si="50"/>
        <v>294283.55952530087</v>
      </c>
      <c r="U128" s="41">
        <f t="shared" si="50"/>
        <v>289350.6953894858</v>
      </c>
      <c r="V128" s="41">
        <f t="shared" si="50"/>
        <v>284378.95733648672</v>
      </c>
      <c r="W128" s="41">
        <f t="shared" si="50"/>
        <v>279367.9207028501</v>
      </c>
      <c r="X128" s="41">
        <f t="shared" si="50"/>
        <v>274317.15762112668</v>
      </c>
      <c r="Y128" s="41">
        <f t="shared" si="50"/>
        <v>269197.30974914337</v>
      </c>
      <c r="Z128" s="41">
        <f t="shared" si="50"/>
        <v>264037.77091769001</v>
      </c>
      <c r="AA128" s="41">
        <f t="shared" si="50"/>
        <v>258838.12670556869</v>
      </c>
      <c r="AB128" s="41">
        <f t="shared" si="50"/>
        <v>253597.96007194809</v>
      </c>
      <c r="AC128" s="41">
        <f t="shared" si="50"/>
        <v>248316.85138706389</v>
      </c>
      <c r="AD128" s="41">
        <f t="shared" si="50"/>
        <v>242994.37846471905</v>
      </c>
      <c r="AE128" s="41">
        <f t="shared" si="50"/>
        <v>237630.11659663927</v>
      </c>
      <c r="AF128" s="41">
        <f t="shared" si="50"/>
        <v>232223.63858873327</v>
      </c>
      <c r="AG128" s="41">
        <f t="shared" si="50"/>
        <v>226774.51479931583</v>
      </c>
      <c r="AH128" s="41">
        <f t="shared" si="50"/>
        <v>221282.31317934903</v>
      </c>
    </row>
    <row r="129" spans="1:36">
      <c r="C129" t="s">
        <v>43</v>
      </c>
      <c r="D129" s="41">
        <f>SUM(D121:D128)</f>
        <v>1127444.3500000006</v>
      </c>
      <c r="E129" s="41">
        <f t="shared" ref="E129:AH129" si="51">SUM(E121:E128)</f>
        <v>1127633.4625050942</v>
      </c>
      <c r="F129" s="41">
        <f t="shared" si="51"/>
        <v>1127829.0048353611</v>
      </c>
      <c r="G129" s="41">
        <f t="shared" si="51"/>
        <v>1128031.1409513436</v>
      </c>
      <c r="H129" s="41">
        <f t="shared" si="51"/>
        <v>1128240.0385300214</v>
      </c>
      <c r="I129" s="41">
        <f t="shared" si="51"/>
        <v>1128455.8690437896</v>
      </c>
      <c r="J129" s="41">
        <f t="shared" si="51"/>
        <v>1128678.8078410407</v>
      </c>
      <c r="K129" s="41">
        <f t="shared" si="51"/>
        <v>1128909.0342283947</v>
      </c>
      <c r="L129" s="41">
        <f t="shared" si="51"/>
        <v>1129146.7315546025</v>
      </c>
      <c r="M129" s="41">
        <f t="shared" si="51"/>
        <v>1129392.0872961597</v>
      </c>
      <c r="N129" s="41">
        <f t="shared" si="51"/>
        <v>1129645.2931446603</v>
      </c>
      <c r="O129" s="41">
        <f t="shared" si="51"/>
        <v>1130578.0528493673</v>
      </c>
      <c r="P129" s="41">
        <f t="shared" si="51"/>
        <v>1131541.8903114654</v>
      </c>
      <c r="Q129" s="41">
        <f t="shared" si="51"/>
        <v>1132537.5926071513</v>
      </c>
      <c r="R129" s="41">
        <f t="shared" si="51"/>
        <v>1133565.9645917404</v>
      </c>
      <c r="S129" s="41">
        <f t="shared" si="51"/>
        <v>1134627.8292766921</v>
      </c>
      <c r="T129" s="41">
        <f t="shared" si="51"/>
        <v>1135724.0282143154</v>
      </c>
      <c r="U129" s="41">
        <f t="shared" si="51"/>
        <v>1136855.4218903068</v>
      </c>
      <c r="V129" s="41">
        <f t="shared" si="51"/>
        <v>1138022.8901242779</v>
      </c>
      <c r="W129" s="41">
        <f t="shared" si="51"/>
        <v>1139227.3324784278</v>
      </c>
      <c r="X129" s="41">
        <f t="shared" si="51"/>
        <v>1140469.6686745228</v>
      </c>
      <c r="Y129" s="41">
        <f t="shared" si="51"/>
        <v>1142015.7740011886</v>
      </c>
      <c r="Z129" s="41">
        <f t="shared" si="51"/>
        <v>1143610.6825918644</v>
      </c>
      <c r="AA129" s="41">
        <f t="shared" si="51"/>
        <v>1145255.6069330864</v>
      </c>
      <c r="AB129" s="41">
        <f t="shared" si="51"/>
        <v>1146951.7866317909</v>
      </c>
      <c r="AC129" s="41">
        <f t="shared" si="51"/>
        <v>1148700.4889869981</v>
      </c>
      <c r="AD129" s="41">
        <f t="shared" si="51"/>
        <v>1150503.009573095</v>
      </c>
      <c r="AE129" s="41">
        <f t="shared" si="51"/>
        <v>1152360.6728349524</v>
      </c>
      <c r="AF129" s="41">
        <f t="shared" si="51"/>
        <v>1154274.8326950965</v>
      </c>
      <c r="AG129" s="41">
        <f t="shared" si="51"/>
        <v>1156246.8731731861</v>
      </c>
      <c r="AH129" s="41">
        <f t="shared" si="51"/>
        <v>1158278.2090180318</v>
      </c>
    </row>
    <row r="131" spans="1:36">
      <c r="A131" s="1" t="s">
        <v>620</v>
      </c>
      <c r="C131" t="s">
        <v>164</v>
      </c>
      <c r="D131" s="41">
        <f>D121</f>
        <v>0</v>
      </c>
      <c r="E131" s="41">
        <f t="shared" ref="E131:AH132" si="52">E121</f>
        <v>3519.8267601496436</v>
      </c>
      <c r="F131" s="41">
        <f t="shared" si="52"/>
        <v>7041.4765949891416</v>
      </c>
      <c r="G131" s="41">
        <f t="shared" si="52"/>
        <v>10565.003398627339</v>
      </c>
      <c r="H131" s="41">
        <f t="shared" si="52"/>
        <v>14090.462408548941</v>
      </c>
      <c r="I131" s="41">
        <f t="shared" si="52"/>
        <v>17617.910235769676</v>
      </c>
      <c r="J131" s="41">
        <f t="shared" si="52"/>
        <v>21147.404895619402</v>
      </c>
      <c r="K131" s="41">
        <f t="shared" si="52"/>
        <v>24679.005839165577</v>
      </c>
      <c r="L131" s="41">
        <f t="shared" si="52"/>
        <v>28212.77398528955</v>
      </c>
      <c r="M131" s="41">
        <f t="shared" si="52"/>
        <v>31748.771753428511</v>
      </c>
      <c r="N131" s="41">
        <f t="shared" si="52"/>
        <v>35287.063096996018</v>
      </c>
      <c r="O131" s="41">
        <f t="shared" si="52"/>
        <v>41135.805251722617</v>
      </c>
      <c r="P131" s="41">
        <f t="shared" si="52"/>
        <v>47035.569025974735</v>
      </c>
      <c r="Q131" s="41">
        <f t="shared" si="52"/>
        <v>52987.753887279134</v>
      </c>
      <c r="R131" s="41">
        <f t="shared" si="52"/>
        <v>58993.791305812818</v>
      </c>
      <c r="S131" s="41">
        <f t="shared" si="52"/>
        <v>65055.14539883133</v>
      </c>
      <c r="T131" s="41">
        <f t="shared" si="52"/>
        <v>71173.313586666351</v>
      </c>
      <c r="U131" s="41">
        <f t="shared" si="52"/>
        <v>77349.827260474223</v>
      </c>
      <c r="V131" s="41">
        <f t="shared" si="52"/>
        <v>83586.252461918863</v>
      </c>
      <c r="W131" s="41">
        <f t="shared" si="52"/>
        <v>89884.190574974811</v>
      </c>
      <c r="X131" s="41">
        <f t="shared" si="52"/>
        <v>96245.279030038771</v>
      </c>
      <c r="Y131" s="41">
        <f t="shared" si="52"/>
        <v>104874.0522461037</v>
      </c>
      <c r="Z131" s="41">
        <f t="shared" si="52"/>
        <v>113640.25716458124</v>
      </c>
      <c r="AA131" s="41">
        <f t="shared" si="52"/>
        <v>122546.98970415353</v>
      </c>
      <c r="AB131" s="41">
        <f t="shared" si="52"/>
        <v>131597.39551702459</v>
      </c>
      <c r="AC131" s="41">
        <f t="shared" si="52"/>
        <v>140794.67036819499</v>
      </c>
      <c r="AD131" s="41">
        <f t="shared" si="52"/>
        <v>150142.06050365177</v>
      </c>
      <c r="AE131" s="41">
        <f t="shared" si="52"/>
        <v>159642.86300678109</v>
      </c>
      <c r="AF131" s="41">
        <f t="shared" si="52"/>
        <v>169300.42614228674</v>
      </c>
      <c r="AG131" s="41">
        <f t="shared" si="52"/>
        <v>179118.14968687066</v>
      </c>
      <c r="AH131" s="41">
        <f t="shared" si="52"/>
        <v>189099.48524590905</v>
      </c>
    </row>
    <row r="132" spans="1:36">
      <c r="C132" t="s">
        <v>167</v>
      </c>
      <c r="D132" s="41">
        <f>D122</f>
        <v>0</v>
      </c>
      <c r="E132" s="41">
        <f t="shared" si="52"/>
        <v>952.92933059772804</v>
      </c>
      <c r="F132" s="41">
        <f t="shared" si="52"/>
        <v>1900.5540554275753</v>
      </c>
      <c r="G132" s="41">
        <f t="shared" si="52"/>
        <v>2842.7389070424615</v>
      </c>
      <c r="H132" s="41">
        <f t="shared" si="52"/>
        <v>3779.345551933171</v>
      </c>
      <c r="I132" s="41">
        <f t="shared" si="52"/>
        <v>4710.2325253745348</v>
      </c>
      <c r="J132" s="41">
        <f t="shared" si="52"/>
        <v>5635.2551649424722</v>
      </c>
      <c r="K132" s="41">
        <f t="shared" si="52"/>
        <v>6554.2655426755309</v>
      </c>
      <c r="L132" s="41">
        <f t="shared" si="52"/>
        <v>7467.1123958540611</v>
      </c>
      <c r="M132" s="41">
        <f t="shared" si="52"/>
        <v>8373.6410563696118</v>
      </c>
      <c r="N132" s="41">
        <f t="shared" si="52"/>
        <v>9273.6933786566442</v>
      </c>
      <c r="O132" s="41">
        <f t="shared" si="52"/>
        <v>10167.10766615807</v>
      </c>
      <c r="P132" s="41">
        <f t="shared" si="52"/>
        <v>10843.967799518201</v>
      </c>
      <c r="Q132" s="41">
        <f t="shared" si="52"/>
        <v>11817.99420568779</v>
      </c>
      <c r="R132" s="41">
        <f t="shared" si="52"/>
        <v>12784.875423500753</v>
      </c>
      <c r="S132" s="41">
        <f t="shared" si="52"/>
        <v>13744.434786738275</v>
      </c>
      <c r="T132" s="41">
        <f t="shared" si="52"/>
        <v>14696.491687489533</v>
      </c>
      <c r="U132" s="41">
        <f t="shared" si="52"/>
        <v>15640.861493190709</v>
      </c>
      <c r="V132" s="41">
        <f t="shared" si="52"/>
        <v>16577.355461982472</v>
      </c>
      <c r="W132" s="41">
        <f t="shared" si="52"/>
        <v>17505.780656352748</v>
      </c>
      <c r="X132" s="41">
        <f t="shared" si="52"/>
        <v>18425.939855030912</v>
      </c>
      <c r="Y132" s="41">
        <f t="shared" si="52"/>
        <v>21141.229036629902</v>
      </c>
      <c r="Z132" s="41">
        <f t="shared" si="52"/>
        <v>22010.801680832446</v>
      </c>
      <c r="AA132" s="41">
        <f t="shared" si="52"/>
        <v>22871.259117764053</v>
      </c>
      <c r="AB132" s="41">
        <f t="shared" si="52"/>
        <v>23722.380201241089</v>
      </c>
      <c r="AC132" s="41">
        <f t="shared" si="52"/>
        <v>24563.938900404602</v>
      </c>
      <c r="AD132" s="41">
        <f t="shared" si="52"/>
        <v>25395.70419755255</v>
      </c>
      <c r="AE132" s="41">
        <f t="shared" si="52"/>
        <v>26217.439983910117</v>
      </c>
      <c r="AF132" s="41">
        <f t="shared" si="52"/>
        <v>27028.904953297308</v>
      </c>
      <c r="AG132" s="41">
        <f t="shared" si="52"/>
        <v>27829.852493652641</v>
      </c>
      <c r="AH132" s="41">
        <f t="shared" si="52"/>
        <v>28620.030576370638</v>
      </c>
    </row>
    <row r="133" spans="1:36">
      <c r="C133" t="s">
        <v>621</v>
      </c>
      <c r="D133" s="41" cm="1">
        <f t="array" ref="D133">-(D46-D43+D49-D47+D53-D50+_xlfn.IFS(D59&lt;0, -D54, D59-D54&lt;=0,D59-D54, else, D54)+D65-D60)</f>
        <v>0</v>
      </c>
      <c r="E133" s="41" cm="1">
        <f t="array" ref="E133">-(E46-E43+E49-E47+E53-E50+_xlfn.IFS(E59&lt;0, -E54, E59-E54&lt;=0,E59-E54, else, E54)+E65-E60)</f>
        <v>4899.9977961736149</v>
      </c>
      <c r="F133" s="41" cm="1">
        <f t="array" ref="F133">-(F46-F43+F49-F47+F53-F50+_xlfn.IFS(F59&lt;0, -F54, F59-F54&lt;=0,F59-F54, else, F54)+F65-F60)</f>
        <v>9834.1872709813761</v>
      </c>
      <c r="G133" s="41" cm="1">
        <f t="array" ref="G133">-(G46-G43+G49-G47+G53-G50+_xlfn.IFS(G59&lt;0, -G54, G59-G54&lt;=0,G59-G54, else, G54)+G65-G60)</f>
        <v>14801.275610772602</v>
      </c>
      <c r="H133" s="41" cm="1">
        <f t="array" ref="H133">-(H46-H43+H49-H47+H53-H50+_xlfn.IFS(H59&lt;0, -H54, H59-H54&lt;=0,H59-H54, else, H54)+H65-H60)</f>
        <v>19799.97000189696</v>
      </c>
      <c r="I133" s="41" cm="1">
        <f t="array" ref="I133">-(I46-I43+I49-I47+I53-I50+_xlfn.IFS(I59&lt;0, -I54, I59-I54&lt;=0,I59-I54, else, I54)+I65-I60)</f>
        <v>24828.977630703652</v>
      </c>
      <c r="J133" s="41" cm="1">
        <f t="array" ref="J133">-(J46-J43+J49-J47+J53-J50+_xlfn.IFS(J59&lt;0, -J54, J59-J54&lt;=0,J59-J54, else, J54)+J65-J60)</f>
        <v>29685.929449537944</v>
      </c>
      <c r="K133" s="41" cm="1">
        <f t="array" ref="K133">-(K46-K43+K49-K47+K53-K50+_xlfn.IFS(K59&lt;0, -K54, K59-K54&lt;=0,K59-K54, else, K54)+K65-K60)</f>
        <v>34555.685628646577</v>
      </c>
      <c r="L133" s="41" cm="1">
        <f t="array" ref="L133">-(L46-L43+L49-L47+L53-L50+_xlfn.IFS(L59&lt;0, -L54, L59-L54&lt;=0,L59-L54, else, L54)+L65-L60)</f>
        <v>39436.953354378813</v>
      </c>
      <c r="M133" s="41" cm="1">
        <f t="array" ref="M133">-(M46-M43+M49-M47+M53-M50+_xlfn.IFS(M59&lt;0, -M54, M59-M54&lt;=0,M59-M54, else, M54)+M65-M60)</f>
        <v>44328.439813084377</v>
      </c>
      <c r="N133" s="41" cm="1">
        <f t="array" ref="N133">-(N46-N43+N49-N47+N53-N50+_xlfn.IFS(N59&lt;0, -N54, N59-N54&lt;=0,N59-N54, else, N54)+N65-N60)</f>
        <v>49228.852191112645</v>
      </c>
      <c r="O133" s="41" cm="1">
        <f t="array" ref="O133">-(O46-O43+O49-O47+O53-O50+_xlfn.IFS(O59&lt;0, -O54, O59-O54&lt;=0,O59-O54, else, O54)+O65-O60)</f>
        <v>58278.932528142468</v>
      </c>
      <c r="P133" s="41" cm="1">
        <f t="array" ref="P133">-(P46-P43+P49-P47+P53-P50+_xlfn.IFS(P59&lt;0, -P54, P59-P54&lt;=0,P59-P54, else, P54)+P65-P60)</f>
        <v>67371.103138376086</v>
      </c>
      <c r="Q133" s="41" cm="1">
        <f t="array" ref="Q133">-(Q46-Q43+Q49-Q47+Q53-Q50+_xlfn.IFS(Q59&lt;0, -Q54, Q59-Q54&lt;=0,Q59-Q54, else, Q54)+Q65-Q60)</f>
        <v>76321.969762342575</v>
      </c>
      <c r="R133" s="41" cm="1">
        <f t="array" ref="R133">-(R46-R43+R49-R47+R53-R50+_xlfn.IFS(R59&lt;0, -R54, R59-R54&lt;=0,R59-R54, else, R54)+R65-R60)</f>
        <v>85244.272915648005</v>
      </c>
      <c r="S133" s="41" cm="1">
        <f t="array" ref="S133">-(S46-S43+S49-S47+S53-S50+_xlfn.IFS(S59&lt;0, -S54, S59-S54&lt;=0,S59-S54, else, S54)+S65-S60)</f>
        <v>94133.8093368267</v>
      </c>
      <c r="T133" s="41" cm="1">
        <f t="array" ref="T133">-(T46-T43+T49-T47+T53-T50+_xlfn.IFS(T59&lt;0, -T54, T59-T54&lt;=0,T59-T54, else, T54)+T65-T60)</f>
        <v>102986.3782502297</v>
      </c>
      <c r="U133" s="41" cm="1">
        <f t="array" ref="U133">-(U46-U43+U49-U47+U53-U50+_xlfn.IFS(U59&lt;0, -U54, U59-U54&lt;=0,U59-U54, else, U54)+U65-U60)</f>
        <v>111797.78133040294</v>
      </c>
      <c r="V133" s="41" cm="1">
        <f t="array" ref="V133">-(V46-V43+V49-V47+V53-V50+_xlfn.IFS(V59&lt;0, -V54, V59-V54&lt;=0,V59-V54, else, V54)+V65-V60)</f>
        <v>120563.82266646574</v>
      </c>
      <c r="W133" s="41" cm="1">
        <f t="array" ref="W133">-(W46-W43+W49-W47+W53-W50+_xlfn.IFS(W59&lt;0, -W54, W59-W54&lt;=0,W59-W54, else, W54)+W65-W60)</f>
        <v>129280.30872648902</v>
      </c>
      <c r="X133" s="41" cm="1">
        <f t="array" ref="X133">-(X46-X43+X49-X47+X53-X50+_xlfn.IFS(X59&lt;0, -X54, X59-X54&lt;=0,X59-X54, else, X54)+X65-X60)</f>
        <v>137943.04832187403</v>
      </c>
      <c r="Y133" s="41" cm="1">
        <f t="array" ref="Y133">-(Y46-Y43+Y49-Y47+Y53-Y50+_xlfn.IFS(Y59&lt;0, -Y54, Y59-Y54&lt;=0,Y59-Y54, else, Y54)+Y65-Y60)</f>
        <v>152051.94759932876</v>
      </c>
      <c r="Z133" s="41" cm="1">
        <f t="array" ref="Z133">-(Z46-Z43+Z49-Z47+Z53-Z50+_xlfn.IFS(Z59&lt;0, -Z54, Z59-Z54&lt;=0,Z59-Z54, else, Z54)+Z65-Z60)</f>
        <v>166769.26066810451</v>
      </c>
      <c r="AA133" s="41" cm="1">
        <f t="array" ref="AA133">-(AA46-AA43+AA49-AA47+AA53-AA50+_xlfn.IFS(AA59&lt;0, -AA54, AA59-AA54&lt;=0,AA59-AA54, else, AA54)+AA65-AA60)</f>
        <v>181096.75319088492</v>
      </c>
      <c r="AB133" s="41" cm="1">
        <f t="array" ref="AB133">-(AB46-AB43+AB49-AB47+AB53-AB50+_xlfn.IFS(AB59&lt;0, -AB54, AB59-AB54&lt;=0,AB59-AB54, else, AB54)+AB65-AB60)</f>
        <v>195285.685327388</v>
      </c>
      <c r="AC133" s="41" cm="1">
        <f t="array" ref="AC133">-(AC46-AC43+AC49-AC47+AC53-AC50+_xlfn.IFS(AC59&lt;0, -AC54, AC59-AC54&lt;=0,AC59-AC54, else, AC54)+AC65-AC60)</f>
        <v>209330.9533463674</v>
      </c>
      <c r="AD133" s="41" cm="1">
        <f t="array" ref="AD133">-(AD46-AD43+AD49-AD47+AD53-AD50+_xlfn.IFS(AD59&lt;0, -AD54, AD59-AD54&lt;=0,AD59-AD54, else, AD54)+AD65-AD60)</f>
        <v>223211.59281244132</v>
      </c>
      <c r="AE133" s="41" cm="1">
        <f t="array" ref="AE133">-(AE46-AE43+AE49-AE47+AE53-AE50+_xlfn.IFS(AE59&lt;0, -AE54, AE59-AE54&lt;=0,AE59-AE54, else, AE54)+AE65-AE60)</f>
        <v>236936.92217913218</v>
      </c>
      <c r="AF133" s="41" cm="1">
        <f t="array" ref="AF133">-(AF46-AF43+AF49-AF47+AF53-AF50+_xlfn.IFS(AF59&lt;0, -AF54, AF59-AF54&lt;=0,AF59-AF54, else, AF54)+AF65-AF60)</f>
        <v>250501.92402767579</v>
      </c>
      <c r="AG133" s="41" cm="1">
        <f t="array" ref="AG133">-(AG46-AG43+AG49-AG47+AG53-AG50+_xlfn.IFS(AG59&lt;0, -AG54, AG59-AG54&lt;=0,AG59-AG54, else, AG54)+AG65-AG60)</f>
        <v>263901.60686942021</v>
      </c>
      <c r="AH133" s="41" cm="1">
        <f t="array" ref="AH133">-(AH46-AH43+AH49-AH47+AH53-AH50+_xlfn.IFS(AH59&lt;0, -AH54, AH59-AH54&lt;=0,AH59-AH54, else, AH54)+AH65-AH60)</f>
        <v>277131.00372546946</v>
      </c>
      <c r="AI133" s="41"/>
    </row>
    <row r="134" spans="1:36">
      <c r="C134" t="s">
        <v>555</v>
      </c>
      <c r="D134" s="41">
        <f t="shared" ref="D134:AH134" si="53">D46</f>
        <v>435529.06307600881</v>
      </c>
      <c r="E134" s="41">
        <f t="shared" si="53"/>
        <v>432500.75058357191</v>
      </c>
      <c r="F134" s="41">
        <f t="shared" si="53"/>
        <v>429446.11921824678</v>
      </c>
      <c r="G134" s="41">
        <f t="shared" si="53"/>
        <v>426365.78791486175</v>
      </c>
      <c r="H134" s="41">
        <f t="shared" si="53"/>
        <v>423260.37560824491</v>
      </c>
      <c r="I134" s="41">
        <f t="shared" si="53"/>
        <v>420130.50123322458</v>
      </c>
      <c r="J134" s="41">
        <f t="shared" si="53"/>
        <v>416976.78372462891</v>
      </c>
      <c r="K134" s="41">
        <f t="shared" si="53"/>
        <v>413799.84201728605</v>
      </c>
      <c r="L134" s="41">
        <f t="shared" si="53"/>
        <v>410600.29504602432</v>
      </c>
      <c r="M134" s="41">
        <f t="shared" si="53"/>
        <v>407378.76174567186</v>
      </c>
      <c r="N134" s="41">
        <f t="shared" si="53"/>
        <v>404135.86105105688</v>
      </c>
      <c r="O134" s="41">
        <f t="shared" si="53"/>
        <v>398824.3244956744</v>
      </c>
      <c r="P134" s="41">
        <f t="shared" si="53"/>
        <v>393678.89934835705</v>
      </c>
      <c r="Q134" s="41">
        <f t="shared" si="53"/>
        <v>388238.68187484442</v>
      </c>
      <c r="R134" s="41">
        <f t="shared" si="53"/>
        <v>382779.65484748047</v>
      </c>
      <c r="S134" s="41">
        <f t="shared" si="53"/>
        <v>377303.78389372124</v>
      </c>
      <c r="T134" s="41">
        <f t="shared" si="53"/>
        <v>371813.03479556704</v>
      </c>
      <c r="U134" s="41">
        <f t="shared" si="53"/>
        <v>366309.37349656934</v>
      </c>
      <c r="V134" s="41">
        <f t="shared" si="53"/>
        <v>360794.76610878151</v>
      </c>
      <c r="W134" s="41">
        <f t="shared" si="53"/>
        <v>355271.17891965486</v>
      </c>
      <c r="X134" s="41">
        <f t="shared" si="53"/>
        <v>349740.57839887851</v>
      </c>
      <c r="Y134" s="41">
        <f t="shared" si="53"/>
        <v>340900.5533341933</v>
      </c>
      <c r="Z134" s="41">
        <f t="shared" si="53"/>
        <v>333596.77926296304</v>
      </c>
      <c r="AA134" s="41">
        <f t="shared" si="53"/>
        <v>326309.32894195925</v>
      </c>
      <c r="AB134" s="41">
        <f t="shared" si="53"/>
        <v>319014.5098877151</v>
      </c>
      <c r="AC134" s="41">
        <f t="shared" si="53"/>
        <v>311715.53500994307</v>
      </c>
      <c r="AD134" s="41">
        <f t="shared" si="53"/>
        <v>304415.61665580317</v>
      </c>
      <c r="AE134" s="41">
        <f t="shared" si="53"/>
        <v>297117.96679598774</v>
      </c>
      <c r="AF134" s="41">
        <f t="shared" si="53"/>
        <v>289825.79720859078</v>
      </c>
      <c r="AG134" s="41">
        <f t="shared" si="53"/>
        <v>282542.31966076192</v>
      </c>
      <c r="AH134" s="41">
        <f t="shared" si="53"/>
        <v>278917.98000344523</v>
      </c>
    </row>
    <row r="135" spans="1:36">
      <c r="C135" t="s">
        <v>19</v>
      </c>
      <c r="D135" s="41">
        <f t="shared" ref="D135:AH135" si="54">IF(D59&lt;0,0,D59)</f>
        <v>137707.45987773585</v>
      </c>
      <c r="E135" s="41">
        <f t="shared" si="54"/>
        <v>134946.451284315</v>
      </c>
      <c r="F135" s="41">
        <f t="shared" si="54"/>
        <v>132176.69975802832</v>
      </c>
      <c r="G135" s="41">
        <f t="shared" si="54"/>
        <v>129398.65442858015</v>
      </c>
      <c r="H135" s="41">
        <f t="shared" si="54"/>
        <v>126612.76442567466</v>
      </c>
      <c r="I135" s="41">
        <f t="shared" si="54"/>
        <v>123819.47887901621</v>
      </c>
      <c r="J135" s="41">
        <f t="shared" si="54"/>
        <v>121019.24691830899</v>
      </c>
      <c r="K135" s="41">
        <f t="shared" si="54"/>
        <v>118212.51767325735</v>
      </c>
      <c r="L135" s="41">
        <f t="shared" si="54"/>
        <v>115399.74027356546</v>
      </c>
      <c r="M135" s="41">
        <f t="shared" si="54"/>
        <v>112581.36384893768</v>
      </c>
      <c r="N135" s="41">
        <f t="shared" si="54"/>
        <v>109757.83752907823</v>
      </c>
      <c r="O135" s="41">
        <f t="shared" si="54"/>
        <v>105383.65313636848</v>
      </c>
      <c r="P135" s="41">
        <f t="shared" si="54"/>
        <v>100981.94946583571</v>
      </c>
      <c r="Q135" s="41">
        <f t="shared" si="54"/>
        <v>96640.443049593901</v>
      </c>
      <c r="R135" s="41">
        <f t="shared" si="54"/>
        <v>92304.700310667686</v>
      </c>
      <c r="S135" s="41">
        <f t="shared" si="54"/>
        <v>87976.39638915204</v>
      </c>
      <c r="T135" s="41">
        <f t="shared" si="54"/>
        <v>83657.207094833808</v>
      </c>
      <c r="U135" s="41">
        <f t="shared" si="54"/>
        <v>79348.808937553986</v>
      </c>
      <c r="V135" s="41">
        <f t="shared" si="54"/>
        <v>75052.879157329851</v>
      </c>
      <c r="W135" s="41">
        <f t="shared" si="54"/>
        <v>70771.095754235692</v>
      </c>
      <c r="X135" s="41">
        <f t="shared" si="54"/>
        <v>66505.13751804296</v>
      </c>
      <c r="Y135" s="41">
        <f t="shared" si="54"/>
        <v>60533.81013397091</v>
      </c>
      <c r="Z135" s="41">
        <f t="shared" si="54"/>
        <v>54258.239578556357</v>
      </c>
      <c r="AA135" s="41">
        <f t="shared" si="54"/>
        <v>48144.796031954931</v>
      </c>
      <c r="AB135" s="41">
        <f t="shared" si="54"/>
        <v>42078.539912765766</v>
      </c>
      <c r="AC135" s="41">
        <f t="shared" si="54"/>
        <v>36061.121676699287</v>
      </c>
      <c r="AD135" s="41">
        <f t="shared" si="54"/>
        <v>30094.189341737889</v>
      </c>
      <c r="AE135" s="41">
        <f t="shared" si="54"/>
        <v>24179.389294504363</v>
      </c>
      <c r="AF135" s="41">
        <f t="shared" si="54"/>
        <v>18318.367087029175</v>
      </c>
      <c r="AG135" s="41">
        <f t="shared" si="54"/>
        <v>12512.768223915846</v>
      </c>
      <c r="AH135" s="41">
        <f t="shared" si="54"/>
        <v>22568.919239545929</v>
      </c>
    </row>
    <row r="136" spans="1:36">
      <c r="C136" t="s">
        <v>333</v>
      </c>
      <c r="D136" s="41">
        <f t="shared" ref="D136:AH136" si="55">D49</f>
        <v>185951.33244226652</v>
      </c>
      <c r="E136" s="41">
        <f t="shared" si="55"/>
        <v>188692.77097631845</v>
      </c>
      <c r="F136" s="41">
        <f t="shared" si="55"/>
        <v>191473.85644298856</v>
      </c>
      <c r="G136" s="41">
        <f t="shared" si="55"/>
        <v>194295.35274590398</v>
      </c>
      <c r="H136" s="41">
        <f t="shared" si="55"/>
        <v>197158.03249440962</v>
      </c>
      <c r="I136" s="41">
        <f t="shared" si="55"/>
        <v>200062.67712095051</v>
      </c>
      <c r="J136" s="41">
        <f t="shared" si="55"/>
        <v>203010.07699993768</v>
      </c>
      <c r="K136" s="41">
        <f t="shared" si="55"/>
        <v>206001.03156811511</v>
      </c>
      <c r="L136" s="41">
        <f t="shared" si="55"/>
        <v>209036.34944644509</v>
      </c>
      <c r="M136" s="41">
        <f t="shared" si="55"/>
        <v>212116.84856352795</v>
      </c>
      <c r="N136" s="41">
        <f t="shared" si="55"/>
        <v>215243.35628057475</v>
      </c>
      <c r="O136" s="41">
        <f t="shared" si="55"/>
        <v>217766.57489888623</v>
      </c>
      <c r="P136" s="41">
        <f t="shared" si="55"/>
        <v>220309.91216758202</v>
      </c>
      <c r="Q136" s="41">
        <f t="shared" si="55"/>
        <v>222880.70299022106</v>
      </c>
      <c r="R136" s="41">
        <f t="shared" si="55"/>
        <v>225473.6215935089</v>
      </c>
      <c r="S136" s="41">
        <f t="shared" si="55"/>
        <v>228088.9221468</v>
      </c>
      <c r="T136" s="41">
        <f t="shared" si="55"/>
        <v>230726.84747127522</v>
      </c>
      <c r="U136" s="41">
        <f t="shared" si="55"/>
        <v>233387.62881629908</v>
      </c>
      <c r="V136" s="41">
        <f t="shared" si="55"/>
        <v>236071.48563274366</v>
      </c>
      <c r="W136" s="41">
        <f t="shared" si="55"/>
        <v>238778.62534324534</v>
      </c>
      <c r="X136" s="41">
        <f t="shared" si="55"/>
        <v>241509.24310936138</v>
      </c>
      <c r="Y136" s="41">
        <f t="shared" si="55"/>
        <v>242203.07151009751</v>
      </c>
      <c r="Z136" s="41">
        <f t="shared" si="55"/>
        <v>242857.86480898023</v>
      </c>
      <c r="AA136" s="41">
        <f t="shared" si="55"/>
        <v>243511.49704005205</v>
      </c>
      <c r="AB136" s="41">
        <f t="shared" si="55"/>
        <v>244131.06148571544</v>
      </c>
      <c r="AC136" s="41">
        <f t="shared" si="55"/>
        <v>244715.78876240388</v>
      </c>
      <c r="AD136" s="41">
        <f t="shared" si="55"/>
        <v>245264.86932096194</v>
      </c>
      <c r="AE136" s="41">
        <f t="shared" si="55"/>
        <v>245777.45362486949</v>
      </c>
      <c r="AF136" s="41">
        <f t="shared" si="55"/>
        <v>246252.65237168313</v>
      </c>
      <c r="AG136" s="41">
        <f t="shared" si="55"/>
        <v>246689.53675866191</v>
      </c>
      <c r="AH136" s="41">
        <f t="shared" si="55"/>
        <v>216693.52283272595</v>
      </c>
    </row>
    <row r="137" spans="1:36">
      <c r="C137" s="124" t="s">
        <v>365</v>
      </c>
      <c r="D137" s="41">
        <f t="shared" ref="D137:AH137" si="56">D53</f>
        <v>0</v>
      </c>
      <c r="E137" s="41">
        <f t="shared" si="56"/>
        <v>0</v>
      </c>
      <c r="F137" s="41">
        <f t="shared" si="56"/>
        <v>0</v>
      </c>
      <c r="G137" s="41">
        <f t="shared" si="56"/>
        <v>0</v>
      </c>
      <c r="H137" s="41">
        <f t="shared" si="56"/>
        <v>0</v>
      </c>
      <c r="I137" s="41">
        <f t="shared" si="56"/>
        <v>0</v>
      </c>
      <c r="J137" s="41">
        <f t="shared" si="56"/>
        <v>0</v>
      </c>
      <c r="K137" s="41">
        <f t="shared" si="56"/>
        <v>0</v>
      </c>
      <c r="L137" s="41">
        <f t="shared" si="56"/>
        <v>0</v>
      </c>
      <c r="M137" s="41">
        <f t="shared" si="56"/>
        <v>0</v>
      </c>
      <c r="N137" s="41">
        <f t="shared" si="56"/>
        <v>0</v>
      </c>
      <c r="O137" s="41">
        <f t="shared" si="56"/>
        <v>0</v>
      </c>
      <c r="P137" s="41">
        <f t="shared" si="56"/>
        <v>0</v>
      </c>
      <c r="Q137" s="41">
        <f t="shared" si="56"/>
        <v>0</v>
      </c>
      <c r="R137" s="41">
        <f t="shared" si="56"/>
        <v>0</v>
      </c>
      <c r="S137" s="41">
        <f t="shared" si="56"/>
        <v>0</v>
      </c>
      <c r="T137" s="41">
        <f t="shared" si="56"/>
        <v>0</v>
      </c>
      <c r="U137" s="41">
        <f t="shared" si="56"/>
        <v>0</v>
      </c>
      <c r="V137" s="41">
        <f t="shared" si="56"/>
        <v>0</v>
      </c>
      <c r="W137" s="41">
        <f t="shared" si="56"/>
        <v>0</v>
      </c>
      <c r="X137" s="41">
        <f t="shared" si="56"/>
        <v>0</v>
      </c>
      <c r="Y137" s="41">
        <f t="shared" si="56"/>
        <v>0</v>
      </c>
      <c r="Z137" s="41">
        <f t="shared" si="56"/>
        <v>0</v>
      </c>
      <c r="AA137" s="41">
        <f t="shared" si="56"/>
        <v>0</v>
      </c>
      <c r="AB137" s="41">
        <f t="shared" si="56"/>
        <v>0</v>
      </c>
      <c r="AC137" s="41">
        <f t="shared" si="56"/>
        <v>0</v>
      </c>
      <c r="AD137" s="41">
        <f t="shared" si="56"/>
        <v>0</v>
      </c>
      <c r="AE137" s="41">
        <f t="shared" si="56"/>
        <v>0</v>
      </c>
      <c r="AF137" s="41">
        <f t="shared" si="56"/>
        <v>0</v>
      </c>
      <c r="AG137" s="41">
        <f t="shared" si="56"/>
        <v>0</v>
      </c>
      <c r="AH137" s="41">
        <f t="shared" si="56"/>
        <v>0</v>
      </c>
    </row>
    <row r="138" spans="1:36">
      <c r="C138" t="s">
        <v>254</v>
      </c>
      <c r="D138" s="41">
        <f>D127</f>
        <v>0</v>
      </c>
      <c r="E138" s="41">
        <f t="shared" ref="E138:AH138" si="57">E127</f>
        <v>0</v>
      </c>
      <c r="F138" s="41">
        <f t="shared" si="57"/>
        <v>0</v>
      </c>
      <c r="G138" s="41">
        <f t="shared" si="57"/>
        <v>0</v>
      </c>
      <c r="H138" s="41">
        <f t="shared" si="57"/>
        <v>0</v>
      </c>
      <c r="I138" s="41">
        <f t="shared" si="57"/>
        <v>0</v>
      </c>
      <c r="J138" s="41">
        <f t="shared" si="57"/>
        <v>0</v>
      </c>
      <c r="K138" s="41">
        <f t="shared" si="57"/>
        <v>0</v>
      </c>
      <c r="L138" s="41">
        <f t="shared" si="57"/>
        <v>0</v>
      </c>
      <c r="M138" s="41">
        <f t="shared" si="57"/>
        <v>0</v>
      </c>
      <c r="N138" s="41">
        <f t="shared" si="57"/>
        <v>0</v>
      </c>
      <c r="O138" s="41">
        <f t="shared" si="57"/>
        <v>0</v>
      </c>
      <c r="P138" s="41">
        <f t="shared" si="57"/>
        <v>0</v>
      </c>
      <c r="Q138" s="41">
        <f t="shared" si="57"/>
        <v>0</v>
      </c>
      <c r="R138" s="41">
        <f t="shared" si="57"/>
        <v>0</v>
      </c>
      <c r="S138" s="41">
        <f t="shared" si="57"/>
        <v>0</v>
      </c>
      <c r="T138" s="41">
        <f t="shared" si="57"/>
        <v>0</v>
      </c>
      <c r="U138" s="41">
        <f t="shared" si="57"/>
        <v>0</v>
      </c>
      <c r="V138" s="41">
        <f t="shared" si="57"/>
        <v>0</v>
      </c>
      <c r="W138" s="41">
        <f t="shared" si="57"/>
        <v>0</v>
      </c>
      <c r="X138" s="41">
        <f t="shared" si="57"/>
        <v>0</v>
      </c>
      <c r="Y138" s="41">
        <f t="shared" si="57"/>
        <v>0</v>
      </c>
      <c r="Z138" s="41">
        <f t="shared" si="57"/>
        <v>0</v>
      </c>
      <c r="AA138" s="41">
        <f t="shared" si="57"/>
        <v>0</v>
      </c>
      <c r="AB138" s="41">
        <f t="shared" si="57"/>
        <v>0</v>
      </c>
      <c r="AC138" s="41">
        <f t="shared" si="57"/>
        <v>0</v>
      </c>
      <c r="AD138" s="41">
        <f t="shared" si="57"/>
        <v>0</v>
      </c>
      <c r="AE138" s="41">
        <f t="shared" si="57"/>
        <v>0</v>
      </c>
      <c r="AF138" s="41">
        <f t="shared" si="57"/>
        <v>0</v>
      </c>
      <c r="AG138" s="41">
        <f t="shared" si="57"/>
        <v>0</v>
      </c>
      <c r="AH138" s="41">
        <f t="shared" si="57"/>
        <v>0</v>
      </c>
    </row>
    <row r="139" spans="1:36">
      <c r="C139" t="s">
        <v>27</v>
      </c>
      <c r="D139" s="41">
        <f t="shared" ref="D139:AH139" si="58">D65-D138</f>
        <v>368256.49460398941</v>
      </c>
      <c r="E139" s="41">
        <f t="shared" si="58"/>
        <v>362120.73577396804</v>
      </c>
      <c r="F139" s="41">
        <f t="shared" si="58"/>
        <v>355956.11149469961</v>
      </c>
      <c r="G139" s="41">
        <f t="shared" si="58"/>
        <v>349762.32794555521</v>
      </c>
      <c r="H139" s="41">
        <f t="shared" si="58"/>
        <v>343539.08803931321</v>
      </c>
      <c r="I139" s="41">
        <f t="shared" si="58"/>
        <v>337286.09141875041</v>
      </c>
      <c r="J139" s="41">
        <f t="shared" si="58"/>
        <v>331204.11068806535</v>
      </c>
      <c r="K139" s="41">
        <f t="shared" si="58"/>
        <v>325106.68595924863</v>
      </c>
      <c r="L139" s="41">
        <f t="shared" si="58"/>
        <v>318993.50705304532</v>
      </c>
      <c r="M139" s="41">
        <f t="shared" si="58"/>
        <v>312864.26051513979</v>
      </c>
      <c r="N139" s="41">
        <f t="shared" si="58"/>
        <v>306718.62961718516</v>
      </c>
      <c r="O139" s="41">
        <f t="shared" si="58"/>
        <v>299021.65487241501</v>
      </c>
      <c r="P139" s="41">
        <f t="shared" si="58"/>
        <v>291320.48936582147</v>
      </c>
      <c r="Q139" s="41">
        <f t="shared" si="58"/>
        <v>283650.04683718242</v>
      </c>
      <c r="R139" s="41">
        <f t="shared" si="58"/>
        <v>275985.04819512187</v>
      </c>
      <c r="S139" s="41">
        <f t="shared" si="58"/>
        <v>268325.33732462267</v>
      </c>
      <c r="T139" s="41">
        <f t="shared" si="58"/>
        <v>260670.75532825373</v>
      </c>
      <c r="U139" s="41">
        <f t="shared" si="58"/>
        <v>253021.1405558165</v>
      </c>
      <c r="V139" s="41">
        <f t="shared" si="58"/>
        <v>245376.32863505583</v>
      </c>
      <c r="W139" s="41">
        <f t="shared" si="58"/>
        <v>237736.15250347534</v>
      </c>
      <c r="X139" s="41">
        <f t="shared" si="58"/>
        <v>230100.44244129636</v>
      </c>
      <c r="Y139" s="41">
        <f t="shared" si="58"/>
        <v>220311.11014086456</v>
      </c>
      <c r="Z139" s="41">
        <f t="shared" si="58"/>
        <v>210477.47942784641</v>
      </c>
      <c r="AA139" s="41">
        <f t="shared" si="58"/>
        <v>200774.98290631763</v>
      </c>
      <c r="AB139" s="41">
        <f t="shared" si="58"/>
        <v>191122.21429994091</v>
      </c>
      <c r="AC139" s="41">
        <f t="shared" si="58"/>
        <v>181518.48092298463</v>
      </c>
      <c r="AD139" s="41">
        <f t="shared" si="58"/>
        <v>171978.9767409465</v>
      </c>
      <c r="AE139" s="41">
        <f t="shared" si="58"/>
        <v>162488.63794976752</v>
      </c>
      <c r="AF139" s="41">
        <f t="shared" si="58"/>
        <v>153046.76090453358</v>
      </c>
      <c r="AG139" s="41">
        <f t="shared" si="58"/>
        <v>143652.63947990286</v>
      </c>
      <c r="AH139" s="41">
        <f t="shared" si="58"/>
        <v>145247.2673945656</v>
      </c>
    </row>
    <row r="140" spans="1:36">
      <c r="D140" s="41">
        <f>SUM(D134:D139)</f>
        <v>1127444.3500000006</v>
      </c>
      <c r="E140" s="41">
        <f t="shared" ref="E140:AG140" si="59">SUM(E134:E139)</f>
        <v>1118260.7086181734</v>
      </c>
      <c r="F140" s="41">
        <f t="shared" si="59"/>
        <v>1109052.7869139635</v>
      </c>
      <c r="G140" s="41">
        <f t="shared" si="59"/>
        <v>1099822.123034901</v>
      </c>
      <c r="H140" s="41">
        <f t="shared" si="59"/>
        <v>1090570.2605676423</v>
      </c>
      <c r="I140" s="41">
        <f t="shared" si="59"/>
        <v>1081298.7486519418</v>
      </c>
      <c r="J140" s="41">
        <f t="shared" si="59"/>
        <v>1072210.2183309409</v>
      </c>
      <c r="K140" s="41">
        <f t="shared" si="59"/>
        <v>1063120.0772179072</v>
      </c>
      <c r="L140" s="41">
        <f t="shared" si="59"/>
        <v>1054029.8918190803</v>
      </c>
      <c r="M140" s="41">
        <f t="shared" si="59"/>
        <v>1044941.2346732772</v>
      </c>
      <c r="N140" s="41">
        <f t="shared" si="59"/>
        <v>1035855.684477895</v>
      </c>
      <c r="O140" s="41">
        <f t="shared" si="59"/>
        <v>1020996.2074033441</v>
      </c>
      <c r="P140" s="41">
        <f t="shared" si="59"/>
        <v>1006291.2503475962</v>
      </c>
      <c r="Q140" s="41">
        <f t="shared" si="59"/>
        <v>991409.87475184188</v>
      </c>
      <c r="R140" s="41">
        <f t="shared" si="59"/>
        <v>976543.02494677901</v>
      </c>
      <c r="S140" s="41">
        <f t="shared" si="59"/>
        <v>961694.43975429598</v>
      </c>
      <c r="T140" s="41">
        <f t="shared" si="59"/>
        <v>946867.84468992986</v>
      </c>
      <c r="U140" s="41">
        <f t="shared" si="59"/>
        <v>932066.95180623885</v>
      </c>
      <c r="V140" s="41">
        <f t="shared" si="59"/>
        <v>917295.45953391085</v>
      </c>
      <c r="W140" s="41">
        <f t="shared" si="59"/>
        <v>902557.05252061121</v>
      </c>
      <c r="X140" s="41">
        <f t="shared" si="59"/>
        <v>887855.40146757918</v>
      </c>
      <c r="Y140" s="41">
        <f t="shared" si="59"/>
        <v>863948.54511912633</v>
      </c>
      <c r="Z140" s="41">
        <f t="shared" si="59"/>
        <v>841190.36307834601</v>
      </c>
      <c r="AA140" s="41">
        <f t="shared" si="59"/>
        <v>818740.60492028389</v>
      </c>
      <c r="AB140" s="41">
        <f t="shared" si="59"/>
        <v>796346.32558613736</v>
      </c>
      <c r="AC140" s="41">
        <f t="shared" si="59"/>
        <v>774010.92637203087</v>
      </c>
      <c r="AD140" s="41">
        <f t="shared" si="59"/>
        <v>751753.65205944958</v>
      </c>
      <c r="AE140" s="41">
        <f t="shared" si="59"/>
        <v>729563.44766512909</v>
      </c>
      <c r="AF140" s="41">
        <f t="shared" si="59"/>
        <v>707443.57757183665</v>
      </c>
      <c r="AG140" s="41">
        <f t="shared" si="59"/>
        <v>685397.26412324258</v>
      </c>
      <c r="AH140" s="41">
        <f>SUM(AH134:AH139)</f>
        <v>663427.68947028276</v>
      </c>
    </row>
    <row r="141" spans="1:36">
      <c r="C141" t="s">
        <v>43</v>
      </c>
      <c r="D141" s="41">
        <f>SUM(D131:D139)</f>
        <v>1127444.3500000006</v>
      </c>
      <c r="E141" s="41">
        <f t="shared" ref="E141:AH141" si="60">SUM(E131:E139)</f>
        <v>1127633.4625050945</v>
      </c>
      <c r="F141" s="41">
        <f t="shared" si="60"/>
        <v>1127829.0048353616</v>
      </c>
      <c r="G141" s="41">
        <f t="shared" si="60"/>
        <v>1128031.1409513436</v>
      </c>
      <c r="H141" s="41">
        <f t="shared" si="60"/>
        <v>1128240.0385300214</v>
      </c>
      <c r="I141" s="41">
        <f t="shared" si="60"/>
        <v>1128455.8690437896</v>
      </c>
      <c r="J141" s="41">
        <f t="shared" si="60"/>
        <v>1128678.8078410407</v>
      </c>
      <c r="K141" s="41">
        <f t="shared" si="60"/>
        <v>1128909.0342283947</v>
      </c>
      <c r="L141" s="41">
        <f t="shared" si="60"/>
        <v>1129146.7315546027</v>
      </c>
      <c r="M141" s="41">
        <f t="shared" si="60"/>
        <v>1129392.0872961597</v>
      </c>
      <c r="N141" s="41">
        <f t="shared" si="60"/>
        <v>1129645.2931446603</v>
      </c>
      <c r="O141" s="41">
        <f t="shared" si="60"/>
        <v>1130578.0528493673</v>
      </c>
      <c r="P141" s="41">
        <f t="shared" si="60"/>
        <v>1131541.8903114654</v>
      </c>
      <c r="Q141" s="41">
        <f t="shared" si="60"/>
        <v>1132537.5926071513</v>
      </c>
      <c r="R141" s="41">
        <f t="shared" si="60"/>
        <v>1133565.9645917404</v>
      </c>
      <c r="S141" s="41">
        <f t="shared" si="60"/>
        <v>1134627.8292766921</v>
      </c>
      <c r="T141" s="41">
        <f t="shared" si="60"/>
        <v>1135724.0282143154</v>
      </c>
      <c r="U141" s="41">
        <f t="shared" si="60"/>
        <v>1136855.4218903068</v>
      </c>
      <c r="V141" s="41">
        <f t="shared" si="60"/>
        <v>1138022.8901242779</v>
      </c>
      <c r="W141" s="41">
        <f t="shared" si="60"/>
        <v>1139227.332478428</v>
      </c>
      <c r="X141" s="41">
        <f t="shared" si="60"/>
        <v>1140469.668674523</v>
      </c>
      <c r="Y141" s="41">
        <f t="shared" si="60"/>
        <v>1142015.7740011886</v>
      </c>
      <c r="Z141" s="41">
        <f t="shared" si="60"/>
        <v>1143610.6825918644</v>
      </c>
      <c r="AA141" s="41">
        <f t="shared" si="60"/>
        <v>1145255.6069330864</v>
      </c>
      <c r="AB141" s="41">
        <f t="shared" si="60"/>
        <v>1146951.7866317909</v>
      </c>
      <c r="AC141" s="41">
        <f t="shared" si="60"/>
        <v>1148700.4889869979</v>
      </c>
      <c r="AD141" s="41">
        <f t="shared" si="60"/>
        <v>1150503.0095730952</v>
      </c>
      <c r="AE141" s="41">
        <f t="shared" si="60"/>
        <v>1152360.6728349526</v>
      </c>
      <c r="AF141" s="41">
        <f t="shared" si="60"/>
        <v>1154274.8326950965</v>
      </c>
      <c r="AG141" s="41">
        <f t="shared" si="60"/>
        <v>1156246.8731731859</v>
      </c>
      <c r="AH141" s="41">
        <f t="shared" si="60"/>
        <v>1158278.2090180318</v>
      </c>
    </row>
    <row r="142" spans="1:36">
      <c r="C142" t="s">
        <v>636</v>
      </c>
      <c r="D142" s="41">
        <f>D129-D141</f>
        <v>0</v>
      </c>
      <c r="E142" s="41">
        <f t="shared" ref="E142:AH142" si="61">E129-E141</f>
        <v>0</v>
      </c>
      <c r="F142" s="41">
        <f t="shared" si="61"/>
        <v>0</v>
      </c>
      <c r="G142" s="41">
        <f t="shared" si="61"/>
        <v>0</v>
      </c>
      <c r="H142" s="41">
        <f t="shared" si="61"/>
        <v>0</v>
      </c>
      <c r="I142" s="41">
        <f t="shared" si="61"/>
        <v>0</v>
      </c>
      <c r="J142" s="41">
        <f t="shared" si="61"/>
        <v>0</v>
      </c>
      <c r="K142" s="41">
        <f t="shared" si="61"/>
        <v>0</v>
      </c>
      <c r="L142" s="41">
        <f t="shared" si="61"/>
        <v>0</v>
      </c>
      <c r="M142" s="41">
        <f t="shared" si="61"/>
        <v>0</v>
      </c>
      <c r="N142" s="41">
        <f t="shared" si="61"/>
        <v>0</v>
      </c>
      <c r="O142" s="41">
        <f t="shared" si="61"/>
        <v>0</v>
      </c>
      <c r="P142" s="41">
        <f t="shared" si="61"/>
        <v>0</v>
      </c>
      <c r="Q142" s="41">
        <f t="shared" si="61"/>
        <v>0</v>
      </c>
      <c r="R142" s="41">
        <f t="shared" si="61"/>
        <v>0</v>
      </c>
      <c r="S142" s="41">
        <f t="shared" si="61"/>
        <v>0</v>
      </c>
      <c r="T142" s="41">
        <f t="shared" si="61"/>
        <v>0</v>
      </c>
      <c r="U142" s="41">
        <f t="shared" si="61"/>
        <v>0</v>
      </c>
      <c r="V142" s="41">
        <f t="shared" si="61"/>
        <v>0</v>
      </c>
      <c r="W142" s="41">
        <f t="shared" si="61"/>
        <v>0</v>
      </c>
      <c r="X142" s="41">
        <f t="shared" si="61"/>
        <v>0</v>
      </c>
      <c r="Y142" s="41">
        <f t="shared" si="61"/>
        <v>0</v>
      </c>
      <c r="Z142" s="41">
        <f t="shared" si="61"/>
        <v>0</v>
      </c>
      <c r="AA142" s="41">
        <f t="shared" si="61"/>
        <v>0</v>
      </c>
      <c r="AB142" s="41">
        <f t="shared" si="61"/>
        <v>0</v>
      </c>
      <c r="AC142" s="41">
        <f t="shared" si="61"/>
        <v>0</v>
      </c>
      <c r="AD142" s="41">
        <f t="shared" si="61"/>
        <v>0</v>
      </c>
      <c r="AE142" s="41">
        <f t="shared" si="61"/>
        <v>0</v>
      </c>
      <c r="AF142" s="41">
        <f t="shared" si="61"/>
        <v>0</v>
      </c>
      <c r="AG142" s="41">
        <f t="shared" si="61"/>
        <v>0</v>
      </c>
      <c r="AH142" s="41">
        <f t="shared" si="61"/>
        <v>0</v>
      </c>
      <c r="AJ142" s="195" t="s">
        <v>637</v>
      </c>
    </row>
    <row r="144" spans="1:36">
      <c r="D144">
        <v>0</v>
      </c>
      <c r="E144">
        <v>0.36374414573886427</v>
      </c>
      <c r="F144">
        <v>0.74151790492138414</v>
      </c>
      <c r="G144">
        <v>1.1337277966830479</v>
      </c>
      <c r="H144">
        <v>1.5407908303183575</v>
      </c>
      <c r="I144">
        <v>1.9631347595641815</v>
      </c>
      <c r="J144">
        <v>2.3979206697350532</v>
      </c>
      <c r="K144">
        <v>2.8476389804102342</v>
      </c>
      <c r="L144">
        <v>3.3126845408501504</v>
      </c>
      <c r="M144">
        <v>3.7934615397725517</v>
      </c>
      <c r="N144">
        <v>4.2903837129386559</v>
      </c>
      <c r="O144">
        <v>5.0434072845473219</v>
      </c>
      <c r="P144">
        <v>5.8154669998934612</v>
      </c>
      <c r="Q144">
        <v>6.6069593222199616</v>
      </c>
      <c r="R144">
        <v>7.4182884357579999</v>
      </c>
      <c r="S144">
        <v>8.2498663896520625</v>
      </c>
      <c r="T144">
        <v>9.0999013312522941</v>
      </c>
      <c r="U144">
        <v>9.9707150978471333</v>
      </c>
      <c r="V144">
        <v>10.86273625420009</v>
      </c>
      <c r="W144">
        <v>11.776401693131401</v>
      </c>
      <c r="X144">
        <v>12.712156790686837</v>
      </c>
      <c r="Y144">
        <v>13.867283990110685</v>
      </c>
      <c r="Z144">
        <v>15.051615464480728</v>
      </c>
      <c r="AA144">
        <v>16.265737743976718</v>
      </c>
      <c r="AB144">
        <v>17.510247279071049</v>
      </c>
      <c r="AC144">
        <v>18.785750569547474</v>
      </c>
      <c r="AD144">
        <v>20.089541971675903</v>
      </c>
      <c r="AE144">
        <v>21.425252909257033</v>
      </c>
      <c r="AF144">
        <v>22.793513685761937</v>
      </c>
      <c r="AG144">
        <v>24.194965063167281</v>
      </c>
      <c r="AH144">
        <v>25.630258392220995</v>
      </c>
    </row>
    <row r="145" spans="4:34">
      <c r="D145">
        <v>0</v>
      </c>
      <c r="E145">
        <v>0.18454975918628228</v>
      </c>
      <c r="F145">
        <v>0.37577228898919007</v>
      </c>
      <c r="G145">
        <v>0.57385073480945803</v>
      </c>
      <c r="H145">
        <v>0.7789727581607051</v>
      </c>
      <c r="I145">
        <v>0.9913306420517497</v>
      </c>
      <c r="J145">
        <v>1.2100288410565403</v>
      </c>
      <c r="K145">
        <v>1.4359493369793801</v>
      </c>
      <c r="L145">
        <v>1.6692766925158633</v>
      </c>
      <c r="M145">
        <v>1.91019971012768</v>
      </c>
      <c r="N145">
        <v>2.1589115239562222</v>
      </c>
      <c r="O145">
        <v>2.4046604809824492</v>
      </c>
      <c r="P145">
        <v>2.6429549531497485</v>
      </c>
      <c r="Q145">
        <v>2.9206552292545314</v>
      </c>
      <c r="R145">
        <v>3.2050331365347615</v>
      </c>
      <c r="S145">
        <v>3.4962234919214223</v>
      </c>
      <c r="T145">
        <v>3.7936264070986718</v>
      </c>
      <c r="U145">
        <v>4.0980131520904344</v>
      </c>
      <c r="V145">
        <v>4.4095238341615044</v>
      </c>
      <c r="W145">
        <v>4.7283012644492937</v>
      </c>
      <c r="X145">
        <v>5.0544910095095759</v>
      </c>
      <c r="Y145">
        <v>5.7680407033405769</v>
      </c>
      <c r="Z145">
        <v>6.1234923916780293</v>
      </c>
      <c r="AA145">
        <v>6.4870242404483323</v>
      </c>
      <c r="AB145">
        <v>6.858797005162188</v>
      </c>
      <c r="AC145">
        <v>7.2389745421465737</v>
      </c>
      <c r="AD145">
        <v>7.6266164269271508</v>
      </c>
      <c r="AE145">
        <v>8.0228943748261692</v>
      </c>
      <c r="AF145">
        <v>8.4279795295510329</v>
      </c>
      <c r="AG145">
        <v>8.8420463416749868</v>
      </c>
      <c r="AH145">
        <v>9.2652726319569787</v>
      </c>
    </row>
    <row r="146" spans="4:34">
      <c r="D146">
        <v>0</v>
      </c>
      <c r="E146">
        <v>0.39470029650526328</v>
      </c>
      <c r="F146">
        <v>0.80418754469548048</v>
      </c>
      <c r="G146">
        <v>1.2286883029451303</v>
      </c>
      <c r="H146">
        <v>1.6684298876832244</v>
      </c>
      <c r="I146">
        <v>2.1236403081696338</v>
      </c>
      <c r="J146">
        <v>2.5805030408336052</v>
      </c>
      <c r="K146">
        <v>3.0519446933123575</v>
      </c>
      <c r="L146">
        <v>3.5381525359869315</v>
      </c>
      <c r="M146">
        <v>4.0393132774175768</v>
      </c>
      <c r="N146">
        <v>4.5556129669908003</v>
      </c>
      <c r="O146">
        <v>5.4177423721489788</v>
      </c>
      <c r="P146">
        <v>6.3071469547421657</v>
      </c>
      <c r="Q146">
        <v>7.2130149872974414</v>
      </c>
      <c r="R146">
        <v>8.1427833941377727</v>
      </c>
      <c r="S146">
        <v>9.0963180048014465</v>
      </c>
      <c r="T146">
        <v>10.073463867560086</v>
      </c>
      <c r="U146">
        <v>11.074044514100532</v>
      </c>
      <c r="V146">
        <v>12.097861205402936</v>
      </c>
      <c r="W146">
        <v>13.144692158406244</v>
      </c>
      <c r="X146">
        <v>14.214291753043881</v>
      </c>
      <c r="Y146">
        <v>15.741993193645214</v>
      </c>
      <c r="Z146">
        <v>17.394162925464911</v>
      </c>
      <c r="AA146">
        <v>19.059950529648937</v>
      </c>
      <c r="AB146">
        <v>20.759138768060765</v>
      </c>
      <c r="AC146">
        <v>22.49127248394511</v>
      </c>
      <c r="AD146">
        <v>24.254431158947408</v>
      </c>
      <c r="AE146">
        <v>26.049341348157448</v>
      </c>
      <c r="AF146">
        <v>27.875427435783426</v>
      </c>
      <c r="AG146">
        <v>29.732072691288174</v>
      </c>
      <c r="AH146">
        <v>31.352234872901157</v>
      </c>
    </row>
    <row r="147" spans="4:34">
      <c r="D147">
        <v>46.844581662413418</v>
      </c>
      <c r="E147">
        <v>47.234035096965279</v>
      </c>
      <c r="F147">
        <v>47.621987624565769</v>
      </c>
      <c r="G147">
        <v>48.008351499019518</v>
      </c>
      <c r="H147">
        <v>48.393037784813579</v>
      </c>
      <c r="I147">
        <v>48.775956357278133</v>
      </c>
      <c r="J147">
        <v>49.157015903205668</v>
      </c>
      <c r="K147">
        <v>49.536123921943776</v>
      </c>
      <c r="L147">
        <v>49.913186726977663</v>
      </c>
      <c r="M147">
        <v>50.288109448018446</v>
      </c>
      <c r="N147">
        <v>50.660796033613771</v>
      </c>
      <c r="O147">
        <v>50.808275762911556</v>
      </c>
      <c r="P147">
        <v>50.958143380913342</v>
      </c>
      <c r="Q147">
        <v>51.066263697813241</v>
      </c>
      <c r="R147">
        <v>51.163612275553533</v>
      </c>
      <c r="S147">
        <v>51.250087328616139</v>
      </c>
      <c r="T147">
        <v>51.325591573650918</v>
      </c>
      <c r="U147">
        <v>51.39003246461882</v>
      </c>
      <c r="V147">
        <v>51.443322434927921</v>
      </c>
      <c r="W147">
        <v>51.485379146728192</v>
      </c>
      <c r="X147">
        <v>51.51612574753419</v>
      </c>
      <c r="Y147">
        <v>51.053307874542298</v>
      </c>
      <c r="Z147">
        <v>50.902012081386907</v>
      </c>
      <c r="AA147">
        <v>50.732446015889487</v>
      </c>
      <c r="AB147">
        <v>50.543510433848525</v>
      </c>
      <c r="AC147">
        <v>50.335127318721405</v>
      </c>
      <c r="AD147">
        <v>50.107232022321469</v>
      </c>
      <c r="AE147">
        <v>49.859773916217442</v>
      </c>
      <c r="AF147">
        <v>49.592717061693463</v>
      </c>
      <c r="AG147">
        <v>49.306040898628197</v>
      </c>
      <c r="AH147">
        <v>48.999740953655724</v>
      </c>
    </row>
    <row r="148" spans="4:34">
      <c r="D148">
        <v>12.379169704702877</v>
      </c>
      <c r="E148">
        <v>12.229688607790319</v>
      </c>
      <c r="F148">
        <v>12.073203852741992</v>
      </c>
      <c r="G148">
        <v>11.9095324904427</v>
      </c>
      <c r="H148">
        <v>11.738487480196984</v>
      </c>
      <c r="I148">
        <v>11.559877604328227</v>
      </c>
      <c r="J148">
        <v>11.373507381062117</v>
      </c>
      <c r="K148">
        <v>11.17917697566085</v>
      </c>
      <c r="L148">
        <v>10.976682109773805</v>
      </c>
      <c r="M148">
        <v>10.765813968969722</v>
      </c>
      <c r="N148">
        <v>10.546359108414764</v>
      </c>
      <c r="O148">
        <v>10.201141924836172</v>
      </c>
      <c r="P148">
        <v>9.8437610259996404</v>
      </c>
      <c r="Q148">
        <v>9.4785436883963943</v>
      </c>
      <c r="R148">
        <v>9.102193244642061</v>
      </c>
      <c r="S148">
        <v>8.7145710665043872</v>
      </c>
      <c r="T148">
        <v>8.3155404146487371</v>
      </c>
      <c r="U148">
        <v>7.9049666127805152</v>
      </c>
      <c r="V148">
        <v>7.4827172280967797</v>
      </c>
      <c r="W148">
        <v>7.0486622582150416</v>
      </c>
      <c r="X148">
        <v>6.6026743247509501</v>
      </c>
      <c r="Y148">
        <v>6.0208657433183745</v>
      </c>
      <c r="Z148">
        <v>5.3824566726409255</v>
      </c>
      <c r="AA148">
        <v>4.732973177227966</v>
      </c>
      <c r="AB148">
        <v>4.0677883230557601</v>
      </c>
      <c r="AC148">
        <v>3.386652796639241</v>
      </c>
      <c r="AD148">
        <v>2.6893255772722613</v>
      </c>
      <c r="AE148">
        <v>1.9755747700398398</v>
      </c>
      <c r="AF148">
        <v>1.2451784658184974</v>
      </c>
      <c r="AG148">
        <v>0.49792562862786538</v>
      </c>
      <c r="AH148">
        <v>0</v>
      </c>
    </row>
    <row r="149" spans="4:34">
      <c r="D149">
        <v>17.63451512942034</v>
      </c>
      <c r="E149">
        <v>17.89028599241496</v>
      </c>
      <c r="F149">
        <v>18.146825145035919</v>
      </c>
      <c r="G149">
        <v>18.404191763691742</v>
      </c>
      <c r="H149">
        <v>18.662448591004782</v>
      </c>
      <c r="I149">
        <v>18.921662055674837</v>
      </c>
      <c r="J149">
        <v>19.181902395405185</v>
      </c>
      <c r="K149">
        <v>19.443243782957936</v>
      </c>
      <c r="L149">
        <v>19.705764455406722</v>
      </c>
      <c r="M149">
        <v>19.969546846656328</v>
      </c>
      <c r="N149">
        <v>20.234677723299971</v>
      </c>
      <c r="O149">
        <v>20.422891339553036</v>
      </c>
      <c r="P149">
        <v>20.606654039661528</v>
      </c>
      <c r="Q149">
        <v>20.787845370156841</v>
      </c>
      <c r="R149">
        <v>20.965324520099937</v>
      </c>
      <c r="S149">
        <v>21.1392273856579</v>
      </c>
      <c r="T149">
        <v>21.309696839707755</v>
      </c>
      <c r="U149">
        <v>21.476882853691386</v>
      </c>
      <c r="V149">
        <v>21.640942619719013</v>
      </c>
      <c r="W149">
        <v>21.802040672874696</v>
      </c>
      <c r="X149">
        <v>21.96034901367549</v>
      </c>
      <c r="Y149">
        <v>21.882565345049137</v>
      </c>
      <c r="Z149">
        <v>21.792737087538534</v>
      </c>
      <c r="AA149">
        <v>21.70612947160733</v>
      </c>
      <c r="AB149">
        <v>21.611397950763791</v>
      </c>
      <c r="AC149">
        <v>21.509000959134386</v>
      </c>
      <c r="AD149">
        <v>21.399401132942486</v>
      </c>
      <c r="AE149">
        <v>21.283064577532688</v>
      </c>
      <c r="AF149">
        <v>21.160460110738285</v>
      </c>
      <c r="AG149">
        <v>21.032058482701768</v>
      </c>
      <c r="AH149">
        <v>20.898331572293753</v>
      </c>
    </row>
    <row r="150" spans="4:34"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</row>
    <row r="151" spans="4:34"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</row>
    <row r="152" spans="4:34">
      <c r="D152">
        <v>35.064810426540291</v>
      </c>
      <c r="E152">
        <v>35.862029374428673</v>
      </c>
      <c r="F152">
        <v>36.676060412127832</v>
      </c>
      <c r="G152">
        <v>37.50718546517475</v>
      </c>
      <c r="H152">
        <v>38.355690024441522</v>
      </c>
      <c r="I152">
        <v>39.221863166657556</v>
      </c>
      <c r="J152">
        <v>39.903694237214204</v>
      </c>
      <c r="K152">
        <v>40.598426787520197</v>
      </c>
      <c r="L152">
        <v>41.306254839560559</v>
      </c>
      <c r="M152">
        <v>42.027374358428013</v>
      </c>
      <c r="N152">
        <v>42.761983249529528</v>
      </c>
      <c r="O152">
        <v>42.226537244957811</v>
      </c>
      <c r="P152">
        <v>41.680569073676516</v>
      </c>
      <c r="Q152">
        <v>41.125738197102393</v>
      </c>
      <c r="R152">
        <v>40.560572323765214</v>
      </c>
      <c r="S152">
        <v>39.9849446564603</v>
      </c>
      <c r="T152">
        <v>39.345820722413634</v>
      </c>
      <c r="U152">
        <v>38.695410699811092</v>
      </c>
      <c r="V152">
        <v>38.033583815911534</v>
      </c>
      <c r="W152">
        <v>37.360208988306731</v>
      </c>
      <c r="X152">
        <v>36.675154885083579</v>
      </c>
      <c r="Y152">
        <v>35.777146799344536</v>
      </c>
      <c r="Z152">
        <v>34.855561251616628</v>
      </c>
      <c r="AA152">
        <v>33.923685401072362</v>
      </c>
      <c r="AB152">
        <v>32.978253667455199</v>
      </c>
      <c r="AC152">
        <v>32.019026753984754</v>
      </c>
      <c r="AD152">
        <v>31.000354283176481</v>
      </c>
      <c r="AE152">
        <v>29.96716973855489</v>
      </c>
      <c r="AF152">
        <v>28.919243466794175</v>
      </c>
      <c r="AG152">
        <v>27.856348464209521</v>
      </c>
      <c r="AH152">
        <v>26.778260835688471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783FA-49FC-45A3-B017-5CB67B8CC7CD}">
  <sheetPr>
    <tabColor theme="7"/>
  </sheetPr>
  <dimension ref="A1:N47"/>
  <sheetViews>
    <sheetView topLeftCell="A27" zoomScale="70" zoomScaleNormal="70" workbookViewId="0">
      <selection activeCell="N29" sqref="N29"/>
    </sheetView>
  </sheetViews>
  <sheetFormatPr defaultRowHeight="14.75"/>
  <cols>
    <col min="1" max="1" width="24.7265625" customWidth="1"/>
    <col min="2" max="9" width="14.86328125" customWidth="1"/>
    <col min="10" max="10" width="14.31640625" customWidth="1"/>
    <col min="11" max="11" width="12.953125" customWidth="1"/>
  </cols>
  <sheetData>
    <row r="1" spans="1:13">
      <c r="A1" s="572"/>
      <c r="B1" s="693" t="s">
        <v>1565</v>
      </c>
      <c r="C1" s="693"/>
      <c r="D1" s="693"/>
      <c r="E1" s="693"/>
      <c r="F1" s="693"/>
      <c r="I1" s="321"/>
      <c r="J1" s="180"/>
      <c r="K1" s="573"/>
      <c r="L1" s="574"/>
    </row>
    <row r="2" spans="1:13">
      <c r="A2" s="575"/>
      <c r="B2" s="576" t="s">
        <v>1547</v>
      </c>
      <c r="C2" s="576" t="s">
        <v>1548</v>
      </c>
      <c r="D2" s="682" t="s">
        <v>88</v>
      </c>
      <c r="E2" s="682" t="s">
        <v>797</v>
      </c>
      <c r="F2" s="682" t="s">
        <v>1301</v>
      </c>
      <c r="G2" s="576" t="s">
        <v>799</v>
      </c>
      <c r="H2" s="577" t="s">
        <v>1549</v>
      </c>
      <c r="I2" s="63" t="s">
        <v>1550</v>
      </c>
    </row>
    <row r="3" spans="1:13">
      <c r="A3" s="578" t="s">
        <v>1551</v>
      </c>
      <c r="B3" s="579">
        <f>B26</f>
        <v>6489214.5290000001</v>
      </c>
      <c r="C3" s="579">
        <f>D26</f>
        <v>5550917</v>
      </c>
      <c r="D3" s="580">
        <f>F26</f>
        <v>4056139.0488347197</v>
      </c>
      <c r="E3" s="80">
        <f>H26</f>
        <v>1246789.0998929425</v>
      </c>
      <c r="F3" s="80">
        <f>J26</f>
        <v>7066156.8512723381</v>
      </c>
      <c r="G3" s="580">
        <f>L26</f>
        <v>942532</v>
      </c>
      <c r="H3" s="581">
        <f t="shared" ref="H3:H10" si="0">SUM(B3:G3)</f>
        <v>25351748.528999999</v>
      </c>
      <c r="I3" s="582">
        <v>128033</v>
      </c>
    </row>
    <row r="4" spans="1:13">
      <c r="A4">
        <v>2020</v>
      </c>
      <c r="B4" s="580">
        <f>B16+C16</f>
        <v>6390430.3137464328</v>
      </c>
      <c r="C4" s="580">
        <f>D16+E16</f>
        <v>5470589.4757582033</v>
      </c>
      <c r="D4" s="580">
        <f>F16+G16</f>
        <v>4010715.1224009967</v>
      </c>
      <c r="E4" s="80">
        <f>H16+I16</f>
        <v>1267882.4633371138</v>
      </c>
      <c r="F4" s="80">
        <f>J16+K16</f>
        <v>6987024.3104208233</v>
      </c>
      <c r="G4" s="580">
        <f t="shared" ref="G4:G10" si="1">L16+M16</f>
        <v>926875.6710359829</v>
      </c>
      <c r="H4" s="581">
        <f t="shared" si="0"/>
        <v>25053517.356699552</v>
      </c>
      <c r="I4" s="582">
        <v>125708</v>
      </c>
    </row>
    <row r="5" spans="1:13">
      <c r="A5">
        <v>2025</v>
      </c>
      <c r="B5" s="580">
        <f>B17+C17</f>
        <v>6255828.8539944747</v>
      </c>
      <c r="C5" s="580">
        <f t="shared" ref="C5:C10" si="2">D17+E17</f>
        <v>5361136.7459526062</v>
      </c>
      <c r="D5" s="580">
        <f t="shared" ref="D5:D10" si="3">F17+G17</f>
        <v>3948821.3594151763</v>
      </c>
      <c r="E5" s="80">
        <f t="shared" ref="E5:E10" si="4">H17+I17</f>
        <v>1246789.0998929425</v>
      </c>
      <c r="F5" s="80">
        <f t="shared" ref="F5:F10" si="5">J17+K17</f>
        <v>6879199.8418541122</v>
      </c>
      <c r="G5" s="580">
        <f t="shared" si="1"/>
        <v>905542.66021533508</v>
      </c>
      <c r="H5" s="581">
        <f t="shared" si="0"/>
        <v>24597318.561324652</v>
      </c>
      <c r="I5" s="582">
        <v>122540</v>
      </c>
    </row>
    <row r="6" spans="1:13">
      <c r="A6">
        <v>2030</v>
      </c>
      <c r="B6" s="580">
        <f t="shared" ref="B6:B10" si="6">B18+C18</f>
        <v>6110945.3382892432</v>
      </c>
      <c r="C6" s="580">
        <f t="shared" si="2"/>
        <v>5243323.0437313039</v>
      </c>
      <c r="D6" s="580">
        <f t="shared" si="3"/>
        <v>3882199.6006457163</v>
      </c>
      <c r="E6" s="80">
        <f t="shared" si="4"/>
        <v>1218047.6911225615</v>
      </c>
      <c r="F6" s="80">
        <f t="shared" si="5"/>
        <v>6763138.7819385566</v>
      </c>
      <c r="G6" s="580">
        <f t="shared" si="1"/>
        <v>882580.04440144333</v>
      </c>
      <c r="H6" s="581">
        <f t="shared" si="0"/>
        <v>24100234.500128828</v>
      </c>
      <c r="I6" s="582">
        <v>119130</v>
      </c>
    </row>
    <row r="7" spans="1:13">
      <c r="A7">
        <v>2035</v>
      </c>
      <c r="B7" s="580">
        <f t="shared" si="6"/>
        <v>5944817.9053251781</v>
      </c>
      <c r="C7" s="580">
        <f t="shared" si="2"/>
        <v>5108234.6051139161</v>
      </c>
      <c r="D7" s="580">
        <f t="shared" si="3"/>
        <v>3805809.2555464236</v>
      </c>
      <c r="E7" s="80">
        <f t="shared" si="4"/>
        <v>1187110.7580711099</v>
      </c>
      <c r="F7" s="80">
        <f t="shared" si="5"/>
        <v>6630059.9713022448</v>
      </c>
      <c r="G7" s="580">
        <f t="shared" si="1"/>
        <v>856250.47612217162</v>
      </c>
      <c r="H7" s="581">
        <f t="shared" si="0"/>
        <v>23532282.971481044</v>
      </c>
      <c r="I7" s="582">
        <v>115220</v>
      </c>
    </row>
    <row r="8" spans="1:13">
      <c r="A8">
        <v>2040</v>
      </c>
      <c r="B8" s="580">
        <f t="shared" si="6"/>
        <v>5762120.2168992255</v>
      </c>
      <c r="C8" s="580">
        <f t="shared" si="2"/>
        <v>4959671.8721075822</v>
      </c>
      <c r="D8" s="580">
        <f t="shared" si="3"/>
        <v>3721799.4131098608</v>
      </c>
      <c r="E8" s="80">
        <f t="shared" si="4"/>
        <v>1151637.6178273633</v>
      </c>
      <c r="F8" s="80">
        <f t="shared" si="5"/>
        <v>6483707.3151037432</v>
      </c>
      <c r="G8" s="580">
        <f t="shared" si="1"/>
        <v>827294.6849199034</v>
      </c>
      <c r="H8" s="581">
        <f t="shared" si="0"/>
        <v>22906231.11996768</v>
      </c>
      <c r="I8" s="582">
        <v>110920</v>
      </c>
    </row>
    <row r="9" spans="1:13">
      <c r="A9">
        <v>2045</v>
      </c>
      <c r="B9" s="580">
        <f t="shared" si="6"/>
        <v>5570924.9615697404</v>
      </c>
      <c r="C9" s="580">
        <f t="shared" si="2"/>
        <v>4804199.2445428129</v>
      </c>
      <c r="D9" s="580">
        <f t="shared" si="3"/>
        <v>3633882.1361413654</v>
      </c>
      <c r="E9" s="80">
        <f t="shared" si="4"/>
        <v>1112626.2359736266</v>
      </c>
      <c r="F9" s="80">
        <f t="shared" si="5"/>
        <v>6330547.5586169399</v>
      </c>
      <c r="G9" s="580">
        <f t="shared" si="1"/>
        <v>796992.11273148342</v>
      </c>
      <c r="H9" s="581">
        <f t="shared" si="0"/>
        <v>22249172.249575969</v>
      </c>
      <c r="I9" s="582">
        <v>106420</v>
      </c>
    </row>
    <row r="10" spans="1:13">
      <c r="A10">
        <v>2050</v>
      </c>
      <c r="B10" s="580">
        <f t="shared" si="6"/>
        <v>5379729.7062402554</v>
      </c>
      <c r="C10" s="580">
        <f t="shared" si="2"/>
        <v>4648726.6169780446</v>
      </c>
      <c r="D10" s="580">
        <f t="shared" si="3"/>
        <v>3545964.8591728699</v>
      </c>
      <c r="E10" s="80">
        <f t="shared" si="4"/>
        <v>1071800.3712429719</v>
      </c>
      <c r="F10" s="80">
        <f t="shared" si="5"/>
        <v>6177387.8021301348</v>
      </c>
      <c r="G10" s="580">
        <f t="shared" si="1"/>
        <v>766689.54054306319</v>
      </c>
      <c r="H10" s="581">
        <f t="shared" si="0"/>
        <v>21590298.896307342</v>
      </c>
      <c r="I10" s="582">
        <v>101920</v>
      </c>
    </row>
    <row r="12" spans="1:13">
      <c r="B12" s="693" t="s">
        <v>3</v>
      </c>
      <c r="C12" s="693"/>
      <c r="D12" s="693" t="s">
        <v>4</v>
      </c>
      <c r="E12" s="693"/>
      <c r="F12" s="693" t="s">
        <v>88</v>
      </c>
      <c r="G12" s="693"/>
      <c r="H12" s="693" t="s">
        <v>797</v>
      </c>
      <c r="I12" s="693"/>
      <c r="J12" s="693" t="s">
        <v>1301</v>
      </c>
      <c r="K12" s="693"/>
      <c r="L12" s="693" t="s">
        <v>799</v>
      </c>
      <c r="M12" s="693"/>
    </row>
    <row r="13" spans="1:13" ht="41" customHeight="1">
      <c r="B13" s="26" t="s">
        <v>1552</v>
      </c>
      <c r="C13" s="26" t="s">
        <v>1553</v>
      </c>
      <c r="D13" s="26" t="s">
        <v>1552</v>
      </c>
      <c r="E13" s="26" t="s">
        <v>1553</v>
      </c>
      <c r="F13" s="26" t="s">
        <v>1552</v>
      </c>
      <c r="G13" s="26" t="s">
        <v>1553</v>
      </c>
      <c r="H13" s="26" t="s">
        <v>1552</v>
      </c>
      <c r="I13" s="26" t="s">
        <v>1553</v>
      </c>
      <c r="J13" s="26" t="s">
        <v>1552</v>
      </c>
      <c r="K13" s="26" t="s">
        <v>1553</v>
      </c>
      <c r="L13" s="26" t="s">
        <v>1552</v>
      </c>
      <c r="M13" s="26" t="s">
        <v>1553</v>
      </c>
    </row>
    <row r="14" spans="1:13">
      <c r="B14" s="2">
        <f>1-C14</f>
        <v>0.83829019559911044</v>
      </c>
      <c r="C14" s="2">
        <f>B32/B26</f>
        <v>0.1617098044008895</v>
      </c>
      <c r="D14" s="2">
        <f>1-E14</f>
        <v>0.79689043269787663</v>
      </c>
      <c r="E14" s="2">
        <f>D32/D26</f>
        <v>0.20310956730212334</v>
      </c>
      <c r="F14" s="2">
        <f>1-G14</f>
        <v>0.61669553164199287</v>
      </c>
      <c r="G14" s="2">
        <f>F32/F26</f>
        <v>0.38330446835800713</v>
      </c>
      <c r="H14" s="2">
        <f t="shared" ref="H14" si="7">1-I14</f>
        <v>0.91472973861895401</v>
      </c>
      <c r="I14" s="2">
        <f>L32/L26</f>
        <v>8.5270261381046028E-2</v>
      </c>
      <c r="J14" s="2">
        <f t="shared" ref="J14" si="8">1-K14</f>
        <v>0.61669553164199298</v>
      </c>
      <c r="K14" s="2">
        <f t="shared" ref="K14" si="9">J32/J26</f>
        <v>0.38330446835800702</v>
      </c>
      <c r="L14" s="2">
        <f>1-M14</f>
        <v>0.91472973861895401</v>
      </c>
      <c r="M14" s="2">
        <f>L32/L26</f>
        <v>8.5270261381046028E-2</v>
      </c>
    </row>
    <row r="15" spans="1:13">
      <c r="A15">
        <v>2019</v>
      </c>
      <c r="B15" s="101">
        <f>B3*B$14</f>
        <v>5439844.9167999998</v>
      </c>
      <c r="C15" s="101">
        <f t="shared" ref="C15" si="10">B3*C$14</f>
        <v>1049369.6122000003</v>
      </c>
      <c r="D15" s="101">
        <f>C3*D$14</f>
        <v>4423472.6499999994</v>
      </c>
      <c r="E15" s="101">
        <f t="shared" ref="E15" si="11">C3*E$14</f>
        <v>1127444.3500000006</v>
      </c>
      <c r="F15" s="101">
        <f>D3*F$14</f>
        <v>2501402.8271349748</v>
      </c>
      <c r="G15" s="101">
        <f>D3*G$14</f>
        <v>1554736.2216997449</v>
      </c>
      <c r="H15" s="101">
        <f>E3*H$14</f>
        <v>1140475.0674580322</v>
      </c>
      <c r="I15" s="101">
        <f>E3*I$14</f>
        <v>106314.03243491032</v>
      </c>
      <c r="J15" s="101">
        <f>F3*J$14</f>
        <v>4357667.3560611056</v>
      </c>
      <c r="K15" s="101">
        <f>F3*K$14</f>
        <v>2708489.4952112325</v>
      </c>
      <c r="L15" s="101">
        <f>G3*L$14</f>
        <v>862162.04999999993</v>
      </c>
      <c r="M15" s="101">
        <f>G3*M$14</f>
        <v>80369.95000000007</v>
      </c>
    </row>
    <row r="16" spans="1:13">
      <c r="A16">
        <v>2020</v>
      </c>
      <c r="B16" s="101">
        <f t="shared" ref="B16:B22" si="12">I4*B$15/$I$3</f>
        <v>5341060.7015464325</v>
      </c>
      <c r="C16" s="101">
        <f>C15</f>
        <v>1049369.6122000003</v>
      </c>
      <c r="D16" s="101">
        <f t="shared" ref="D16:D22" si="13">I4*D$15/$I$3</f>
        <v>4343145.1257582027</v>
      </c>
      <c r="E16" s="101">
        <f>E15</f>
        <v>1127444.3500000006</v>
      </c>
      <c r="F16" s="101">
        <f>I4*F$15/$I$3</f>
        <v>2455978.9007012518</v>
      </c>
      <c r="G16" s="101">
        <f>G15</f>
        <v>1554736.2216997449</v>
      </c>
      <c r="H16" s="101">
        <f>I3*H$15/$I$4</f>
        <v>1161568.4309022035</v>
      </c>
      <c r="I16" s="101">
        <f t="shared" ref="I16" si="14">I15</f>
        <v>106314.03243491032</v>
      </c>
      <c r="J16" s="101">
        <f>I4*J$15/$I$3</f>
        <v>4278534.8152095908</v>
      </c>
      <c r="K16" s="101">
        <f>K15</f>
        <v>2708489.4952112325</v>
      </c>
      <c r="L16" s="101">
        <f t="shared" ref="L16:L22" si="15">I4*L$15/$I$3</f>
        <v>846505.72103598283</v>
      </c>
      <c r="M16" s="101">
        <f>M15</f>
        <v>80369.95000000007</v>
      </c>
    </row>
    <row r="17" spans="1:14">
      <c r="A17">
        <v>2025</v>
      </c>
      <c r="B17" s="101">
        <f t="shared" si="12"/>
        <v>5206459.2417944744</v>
      </c>
      <c r="C17" s="101">
        <f t="shared" ref="C17:C22" si="16">C16</f>
        <v>1049369.6122000003</v>
      </c>
      <c r="D17" s="101">
        <f t="shared" si="13"/>
        <v>4233692.3959526056</v>
      </c>
      <c r="E17" s="101">
        <f t="shared" ref="E17:E22" si="17">E16</f>
        <v>1127444.3500000006</v>
      </c>
      <c r="F17" s="101">
        <f t="shared" ref="F17:F22" si="18">I5*F$15/$I$3</f>
        <v>2394085.1377154314</v>
      </c>
      <c r="G17" s="101">
        <f t="shared" ref="G17:K22" si="19">G16</f>
        <v>1554736.2216997449</v>
      </c>
      <c r="H17" s="101">
        <f t="shared" ref="H17:H22" si="20">I4*H$15/$I$4</f>
        <v>1140475.0674580322</v>
      </c>
      <c r="I17" s="101">
        <f t="shared" si="19"/>
        <v>106314.03243491032</v>
      </c>
      <c r="J17" s="101">
        <f t="shared" ref="J17:J22" si="21">I5*J$15/$I$3</f>
        <v>4170710.3466428802</v>
      </c>
      <c r="K17" s="101">
        <f t="shared" si="19"/>
        <v>2708489.4952112325</v>
      </c>
      <c r="L17" s="101">
        <f t="shared" si="15"/>
        <v>825172.71021533501</v>
      </c>
      <c r="M17" s="101">
        <f t="shared" ref="M17:M22" si="22">M16</f>
        <v>80369.95000000007</v>
      </c>
    </row>
    <row r="18" spans="1:14">
      <c r="A18">
        <v>2030</v>
      </c>
      <c r="B18" s="101">
        <f t="shared" si="12"/>
        <v>5061575.7260892428</v>
      </c>
      <c r="C18" s="101">
        <f t="shared" si="16"/>
        <v>1049369.6122000003</v>
      </c>
      <c r="D18" s="101">
        <f t="shared" si="13"/>
        <v>4115878.6937313033</v>
      </c>
      <c r="E18" s="101">
        <f t="shared" si="17"/>
        <v>1127444.3500000006</v>
      </c>
      <c r="F18" s="101">
        <f t="shared" si="18"/>
        <v>2327463.3789459714</v>
      </c>
      <c r="G18" s="101">
        <f t="shared" si="19"/>
        <v>1554736.2216997449</v>
      </c>
      <c r="H18" s="101">
        <f t="shared" si="20"/>
        <v>1111733.6586876512</v>
      </c>
      <c r="I18" s="101">
        <f t="shared" si="19"/>
        <v>106314.03243491032</v>
      </c>
      <c r="J18" s="101">
        <f t="shared" si="21"/>
        <v>4054649.2867273241</v>
      </c>
      <c r="K18" s="101">
        <f t="shared" si="19"/>
        <v>2708489.4952112325</v>
      </c>
      <c r="L18" s="101">
        <f t="shared" si="15"/>
        <v>802210.09440144326</v>
      </c>
      <c r="M18" s="101">
        <f t="shared" si="22"/>
        <v>80369.95000000007</v>
      </c>
    </row>
    <row r="19" spans="1:14">
      <c r="A19">
        <v>2035</v>
      </c>
      <c r="B19" s="101">
        <f t="shared" si="12"/>
        <v>4895448.2931251777</v>
      </c>
      <c r="C19" s="101">
        <f t="shared" si="16"/>
        <v>1049369.6122000003</v>
      </c>
      <c r="D19" s="101">
        <f t="shared" si="13"/>
        <v>3980790.2551139155</v>
      </c>
      <c r="E19" s="101">
        <f t="shared" si="17"/>
        <v>1127444.3500000006</v>
      </c>
      <c r="F19" s="101">
        <f t="shared" si="18"/>
        <v>2251073.0338466787</v>
      </c>
      <c r="G19" s="101">
        <f t="shared" si="19"/>
        <v>1554736.2216997449</v>
      </c>
      <c r="H19" s="101">
        <f t="shared" si="20"/>
        <v>1080796.7256361996</v>
      </c>
      <c r="I19" s="101">
        <f t="shared" si="19"/>
        <v>106314.03243491032</v>
      </c>
      <c r="J19" s="101">
        <f t="shared" si="21"/>
        <v>3921570.4760910124</v>
      </c>
      <c r="K19" s="101">
        <f t="shared" si="19"/>
        <v>2708489.4952112325</v>
      </c>
      <c r="L19" s="101">
        <f t="shared" si="15"/>
        <v>775880.52612217155</v>
      </c>
      <c r="M19" s="101">
        <f t="shared" si="22"/>
        <v>80369.95000000007</v>
      </c>
    </row>
    <row r="20" spans="1:14">
      <c r="A20">
        <v>2040</v>
      </c>
      <c r="B20" s="101">
        <f t="shared" si="12"/>
        <v>4712750.6046992252</v>
      </c>
      <c r="C20" s="101">
        <f t="shared" si="16"/>
        <v>1049369.6122000003</v>
      </c>
      <c r="D20" s="101">
        <f t="shared" si="13"/>
        <v>3832227.5221075811</v>
      </c>
      <c r="E20" s="101">
        <f t="shared" si="17"/>
        <v>1127444.3500000006</v>
      </c>
      <c r="F20" s="101">
        <f t="shared" si="18"/>
        <v>2167063.1914101159</v>
      </c>
      <c r="G20" s="101">
        <f t="shared" si="19"/>
        <v>1554736.2216997449</v>
      </c>
      <c r="H20" s="101">
        <f t="shared" si="20"/>
        <v>1045323.5853924529</v>
      </c>
      <c r="I20" s="101">
        <f t="shared" si="19"/>
        <v>106314.03243491032</v>
      </c>
      <c r="J20" s="101">
        <f t="shared" si="21"/>
        <v>3775217.8198925108</v>
      </c>
      <c r="K20" s="101">
        <f t="shared" si="19"/>
        <v>2708489.4952112325</v>
      </c>
      <c r="L20" s="101">
        <f t="shared" si="15"/>
        <v>746924.73491990333</v>
      </c>
      <c r="M20" s="101">
        <f t="shared" si="22"/>
        <v>80369.95000000007</v>
      </c>
    </row>
    <row r="21" spans="1:14">
      <c r="A21">
        <v>2045</v>
      </c>
      <c r="B21" s="101">
        <f t="shared" si="12"/>
        <v>4521555.3493697401</v>
      </c>
      <c r="C21" s="101">
        <f t="shared" si="16"/>
        <v>1049369.6122000003</v>
      </c>
      <c r="D21" s="101">
        <f t="shared" si="13"/>
        <v>3676754.8945428128</v>
      </c>
      <c r="E21" s="101">
        <f t="shared" si="17"/>
        <v>1127444.3500000006</v>
      </c>
      <c r="F21" s="101">
        <f t="shared" si="18"/>
        <v>2079145.9144416207</v>
      </c>
      <c r="G21" s="101">
        <f t="shared" si="19"/>
        <v>1554736.2216997449</v>
      </c>
      <c r="H21" s="101">
        <f t="shared" si="20"/>
        <v>1006312.2035387162</v>
      </c>
      <c r="I21" s="101">
        <f t="shared" si="19"/>
        <v>106314.03243491032</v>
      </c>
      <c r="J21" s="101">
        <f t="shared" si="21"/>
        <v>3622058.063405707</v>
      </c>
      <c r="K21" s="101">
        <f t="shared" si="19"/>
        <v>2708489.4952112325</v>
      </c>
      <c r="L21" s="101">
        <f t="shared" si="15"/>
        <v>716622.16273148335</v>
      </c>
      <c r="M21" s="101">
        <f t="shared" si="22"/>
        <v>80369.95000000007</v>
      </c>
    </row>
    <row r="22" spans="1:14">
      <c r="A22">
        <v>2050</v>
      </c>
      <c r="B22" s="101">
        <f t="shared" si="12"/>
        <v>4330360.0940402551</v>
      </c>
      <c r="C22" s="101">
        <f t="shared" si="16"/>
        <v>1049369.6122000003</v>
      </c>
      <c r="D22" s="101">
        <f t="shared" si="13"/>
        <v>3521282.2669780441</v>
      </c>
      <c r="E22" s="101">
        <f t="shared" si="17"/>
        <v>1127444.3500000006</v>
      </c>
      <c r="F22" s="101">
        <f t="shared" si="18"/>
        <v>1991228.637473125</v>
      </c>
      <c r="G22" s="101">
        <f t="shared" si="19"/>
        <v>1554736.2216997449</v>
      </c>
      <c r="H22" s="101">
        <f t="shared" si="20"/>
        <v>965486.33880806144</v>
      </c>
      <c r="I22" s="101">
        <f t="shared" si="19"/>
        <v>106314.03243491032</v>
      </c>
      <c r="J22" s="101">
        <f t="shared" si="21"/>
        <v>3468898.3069189028</v>
      </c>
      <c r="K22" s="101">
        <f t="shared" si="19"/>
        <v>2708489.4952112325</v>
      </c>
      <c r="L22" s="101">
        <f t="shared" si="15"/>
        <v>686319.59054306312</v>
      </c>
      <c r="M22" s="101">
        <f t="shared" si="22"/>
        <v>80369.95000000007</v>
      </c>
    </row>
    <row r="23" spans="1:14">
      <c r="B23" s="6"/>
      <c r="C23" s="2">
        <f>C22/SUM(B22:C22)</f>
        <v>0.195059913694693</v>
      </c>
      <c r="E23" s="2">
        <f>E22/SUM(D22:E22)</f>
        <v>0.2425275656955943</v>
      </c>
      <c r="G23" s="2">
        <f>G22/SUM(F22:G22)</f>
        <v>0.43845223611787343</v>
      </c>
      <c r="I23" s="2">
        <f t="shared" ref="I23" si="23">I22/SUM(H22:I22)</f>
        <v>9.9192009339964526E-2</v>
      </c>
      <c r="K23" s="2">
        <f t="shared" ref="K23" si="24">K22/SUM(J22:K22)</f>
        <v>0.43845223611787332</v>
      </c>
      <c r="M23" s="2">
        <f>M22/SUM(L22:M22)</f>
        <v>0.10482724199298747</v>
      </c>
    </row>
    <row r="24" spans="1:14">
      <c r="A24" t="s">
        <v>1554</v>
      </c>
      <c r="B24" s="583">
        <v>6417851</v>
      </c>
      <c r="C24" s="38"/>
      <c r="D24" s="583">
        <v>5503736</v>
      </c>
      <c r="E24" s="38"/>
      <c r="F24" s="583">
        <v>3982000</v>
      </c>
      <c r="G24" s="38"/>
      <c r="H24" s="583">
        <v>1224000</v>
      </c>
      <c r="J24" s="583">
        <v>6937000</v>
      </c>
      <c r="L24" s="583">
        <v>887621</v>
      </c>
    </row>
    <row r="25" spans="1:14">
      <c r="A25" t="s">
        <v>1555</v>
      </c>
      <c r="B25" s="584">
        <v>71363.528999999995</v>
      </c>
      <c r="D25" s="584">
        <v>47181</v>
      </c>
      <c r="F25" s="584">
        <f>226085*(F24/SUM($F$24:$J$24))</f>
        <v>74139.048834719593</v>
      </c>
      <c r="H25" s="584">
        <f>226085*(H24/SUM($F$24:$J$24))</f>
        <v>22789.099892942435</v>
      </c>
      <c r="J25" s="584">
        <f>226085*(J24/SUM($F$24:$J$24))</f>
        <v>129156.85127233798</v>
      </c>
      <c r="L25" s="584">
        <v>54911</v>
      </c>
    </row>
    <row r="26" spans="1:14">
      <c r="A26" t="s">
        <v>1556</v>
      </c>
      <c r="B26" s="585">
        <f>SUM(B24:B25)</f>
        <v>6489214.5290000001</v>
      </c>
      <c r="D26" s="585">
        <f>SUM(D24:D25)</f>
        <v>5550917</v>
      </c>
      <c r="F26" s="585">
        <f>SUM(F24:F25)</f>
        <v>4056139.0488347197</v>
      </c>
      <c r="H26" s="585">
        <f>SUM(H24:H25)</f>
        <v>1246789.0998929425</v>
      </c>
      <c r="J26" s="585">
        <f>SUM(J24:J25)</f>
        <v>7066156.8512723381</v>
      </c>
      <c r="L26" s="585">
        <f>SUM(L24:L25)</f>
        <v>942532</v>
      </c>
    </row>
    <row r="27" spans="1:14">
      <c r="A27" t="s">
        <v>793</v>
      </c>
      <c r="B27" s="586">
        <v>763061.98499999999</v>
      </c>
      <c r="D27" s="586">
        <v>894630</v>
      </c>
      <c r="F27" s="586">
        <f>4339654*F24/SUM($F$24:$J$24)</f>
        <v>1423083.4413242198</v>
      </c>
      <c r="H27" s="586">
        <f>4339654*H24/SUM($F$24:$J$24)</f>
        <v>437431.97694144776</v>
      </c>
      <c r="J27" s="586">
        <f>4339654*J24/SUM($F$24:$J$24)</f>
        <v>2479138.5817343327</v>
      </c>
      <c r="L27" s="586">
        <v>34993</v>
      </c>
    </row>
    <row r="28" spans="1:14" ht="15.5" thickBot="1">
      <c r="A28" s="254" t="s">
        <v>1568</v>
      </c>
      <c r="B28" s="587">
        <f>B24+B25-B27</f>
        <v>5726152.5439999998</v>
      </c>
      <c r="D28" s="587">
        <f>D24+D25-D27</f>
        <v>4656287</v>
      </c>
      <c r="F28" s="587">
        <f>F24+F25-F27</f>
        <v>2633055.6075104997</v>
      </c>
      <c r="H28" s="587">
        <f>H24+H25-H27</f>
        <v>809357.12295149476</v>
      </c>
      <c r="J28" s="587">
        <f>J24+J25-J27</f>
        <v>4587018.2695380058</v>
      </c>
      <c r="L28" s="587">
        <f>L24+L25-L27</f>
        <v>907539</v>
      </c>
    </row>
    <row r="29" spans="1:14">
      <c r="A29" t="s">
        <v>1557</v>
      </c>
      <c r="B29" s="588">
        <v>0.05</v>
      </c>
      <c r="D29" s="588">
        <v>0.05</v>
      </c>
      <c r="F29" s="588">
        <v>0.05</v>
      </c>
      <c r="H29" s="588">
        <v>0.05</v>
      </c>
      <c r="J29" s="588">
        <v>0.05</v>
      </c>
      <c r="L29" s="588">
        <v>0.05</v>
      </c>
      <c r="N29" s="195"/>
    </row>
    <row r="30" spans="1:14">
      <c r="A30" t="s">
        <v>1558</v>
      </c>
      <c r="B30" s="111">
        <f>B28*B29</f>
        <v>286307.62719999999</v>
      </c>
      <c r="D30" s="111">
        <f>D28*D29</f>
        <v>232814.35</v>
      </c>
      <c r="F30" s="111">
        <f>F28*F29</f>
        <v>131652.78037552498</v>
      </c>
      <c r="H30" s="111">
        <f>H28*H29</f>
        <v>40467.856147574741</v>
      </c>
      <c r="J30" s="111">
        <f>J28*J29</f>
        <v>229350.91347690031</v>
      </c>
      <c r="L30" s="111">
        <f>L28*L29</f>
        <v>45376.950000000004</v>
      </c>
    </row>
    <row r="31" spans="1:14">
      <c r="A31" t="s">
        <v>1559</v>
      </c>
      <c r="B31" s="101">
        <f>B28*(1-B29)</f>
        <v>5439844.9167999998</v>
      </c>
      <c r="D31" s="101">
        <f>D28*(1-D29)</f>
        <v>4423472.6499999994</v>
      </c>
      <c r="F31" s="101">
        <f>F28*(1-F29)</f>
        <v>2501402.8271349748</v>
      </c>
      <c r="H31" s="101">
        <f>H28*(1-H29)</f>
        <v>768889.26680392004</v>
      </c>
      <c r="J31" s="101">
        <f>J28*(1-J29)</f>
        <v>4357667.3560611056</v>
      </c>
      <c r="L31" s="101">
        <f>L28*(1-L29)</f>
        <v>862162.04999999993</v>
      </c>
    </row>
    <row r="32" spans="1:14" ht="15.5" thickBot="1">
      <c r="A32" s="254" t="s">
        <v>1560</v>
      </c>
      <c r="B32" s="589">
        <f>B26-B31</f>
        <v>1049369.6122000003</v>
      </c>
      <c r="D32" s="589">
        <f>D26-D31</f>
        <v>1127444.3500000006</v>
      </c>
      <c r="F32" s="589">
        <f>F26-F31</f>
        <v>1554736.2216997449</v>
      </c>
      <c r="H32" s="589">
        <f>H26-H31</f>
        <v>477899.83308902243</v>
      </c>
      <c r="J32" s="589">
        <f>J26-J31</f>
        <v>2708489.4952112325</v>
      </c>
      <c r="L32" s="589">
        <f>L26-L31</f>
        <v>80369.95000000007</v>
      </c>
    </row>
    <row r="34" spans="1:8">
      <c r="A34" s="71">
        <v>1.4999999999999999E-2</v>
      </c>
      <c r="B34" t="s">
        <v>1561</v>
      </c>
    </row>
    <row r="35" spans="1:8">
      <c r="H35" s="195" t="s">
        <v>1612</v>
      </c>
    </row>
    <row r="36" spans="1:8">
      <c r="B36" s="2"/>
      <c r="C36" s="2"/>
      <c r="D36" s="2"/>
      <c r="E36" s="2"/>
      <c r="F36" s="2"/>
      <c r="G36" s="2"/>
      <c r="H36" s="2" t="s">
        <v>1613</v>
      </c>
    </row>
    <row r="38" spans="1:8">
      <c r="A38" s="572" t="s">
        <v>1600</v>
      </c>
      <c r="B38" s="572" t="s">
        <v>1601</v>
      </c>
      <c r="C38" s="705" t="s">
        <v>1602</v>
      </c>
      <c r="D38" s="572"/>
      <c r="E38" s="572"/>
      <c r="F38" s="572"/>
    </row>
    <row r="39" spans="1:8">
      <c r="A39" s="572"/>
      <c r="B39" s="572"/>
      <c r="C39" s="706" t="s">
        <v>1603</v>
      </c>
      <c r="D39" s="572"/>
      <c r="E39" s="572"/>
      <c r="F39" s="572"/>
    </row>
    <row r="40" spans="1:8">
      <c r="A40" s="572"/>
      <c r="B40" s="572"/>
      <c r="C40" s="707" t="s">
        <v>1604</v>
      </c>
      <c r="D40" s="572"/>
      <c r="E40" s="572"/>
      <c r="F40" s="572"/>
    </row>
    <row r="41" spans="1:8">
      <c r="A41" s="572"/>
      <c r="B41" s="572"/>
      <c r="C41" s="707" t="s">
        <v>1605</v>
      </c>
      <c r="D41" s="572"/>
      <c r="E41" s="572"/>
      <c r="F41" s="572"/>
    </row>
    <row r="42" spans="1:8">
      <c r="A42" s="572"/>
      <c r="B42" s="572"/>
      <c r="C42" s="708"/>
      <c r="D42" s="572"/>
      <c r="E42" s="572"/>
      <c r="F42" s="572"/>
    </row>
    <row r="43" spans="1:8">
      <c r="A43" s="572"/>
      <c r="B43" s="572" t="s">
        <v>1606</v>
      </c>
      <c r="C43" s="706" t="s">
        <v>1607</v>
      </c>
      <c r="D43" s="572"/>
      <c r="E43" s="572"/>
      <c r="F43" s="572"/>
    </row>
    <row r="44" spans="1:8">
      <c r="A44" s="572"/>
      <c r="B44" s="572"/>
      <c r="C44" s="706" t="s">
        <v>1608</v>
      </c>
      <c r="D44" s="572"/>
      <c r="E44" s="572"/>
      <c r="F44" s="572"/>
    </row>
    <row r="45" spans="1:8">
      <c r="A45" s="572"/>
      <c r="B45" s="572"/>
      <c r="C45" s="706" t="s">
        <v>1609</v>
      </c>
      <c r="D45" s="572"/>
      <c r="E45" s="572"/>
      <c r="F45" s="572"/>
    </row>
    <row r="46" spans="1:8">
      <c r="A46" s="572"/>
      <c r="B46" s="572"/>
      <c r="C46" s="706" t="s">
        <v>1610</v>
      </c>
      <c r="D46" s="572"/>
      <c r="E46" s="572"/>
      <c r="F46" s="572"/>
    </row>
    <row r="47" spans="1:8">
      <c r="A47" s="572"/>
      <c r="B47" s="572"/>
      <c r="C47" s="706" t="s">
        <v>1611</v>
      </c>
      <c r="D47" s="572"/>
      <c r="E47" s="572"/>
      <c r="F47" s="572"/>
    </row>
  </sheetData>
  <mergeCells count="7">
    <mergeCell ref="B12:C12"/>
    <mergeCell ref="D12:E12"/>
    <mergeCell ref="F12:G12"/>
    <mergeCell ref="L12:M12"/>
    <mergeCell ref="B1:F1"/>
    <mergeCell ref="H12:I12"/>
    <mergeCell ref="J12:K12"/>
  </mergeCells>
  <hyperlinks>
    <hyperlink ref="C38" r:id="rId1" xr:uid="{8197795B-E578-4EC1-9CD5-144D21A3EE4D}"/>
    <hyperlink ref="C39" r:id="rId2" xr:uid="{3E05E814-F77D-44F2-8037-2865406448F3}"/>
    <hyperlink ref="C43" r:id="rId3" xr:uid="{97D4747E-E276-41EB-857F-6AC53675FF55}"/>
    <hyperlink ref="C44" r:id="rId4" xr:uid="{1158A52D-26F0-4A6A-8322-6ED143309138}"/>
    <hyperlink ref="C45" r:id="rId5" xr:uid="{42EA59AC-A281-4984-A395-68109F84532C}"/>
    <hyperlink ref="C46" r:id="rId6" xr:uid="{61523BD1-0783-43F9-B2F4-620FAA48AAED}"/>
    <hyperlink ref="C47" r:id="rId7" xr:uid="{0E3073F2-CDF8-431D-90B1-9D7492E66BAA}"/>
  </hyperlinks>
  <pageMargins left="0.7" right="0.7" top="0.75" bottom="0.75" header="0.3" footer="0.3"/>
  <pageSetup orientation="portrait" r:id="rId8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E67D9-A440-424C-963C-DD26768A7BCB}">
  <sheetPr>
    <tabColor theme="7"/>
  </sheetPr>
  <dimension ref="A1:AT28"/>
  <sheetViews>
    <sheetView zoomScale="80" zoomScaleNormal="80" workbookViewId="0">
      <selection activeCell="N7" sqref="N7"/>
    </sheetView>
  </sheetViews>
  <sheetFormatPr defaultRowHeight="14.75"/>
  <cols>
    <col min="1" max="1" width="15.36328125" customWidth="1"/>
    <col min="3" max="10" width="12.36328125" bestFit="1" customWidth="1"/>
    <col min="12" max="12" width="12.08984375" customWidth="1"/>
    <col min="14" max="44" width="13.40625" style="101" bestFit="1" customWidth="1"/>
  </cols>
  <sheetData>
    <row r="1" spans="1:46" s="63" customFormat="1">
      <c r="A1" s="59"/>
      <c r="M1" s="59" t="s">
        <v>329</v>
      </c>
      <c r="N1" s="599"/>
      <c r="O1" s="599"/>
      <c r="P1" s="599"/>
      <c r="Q1" s="599"/>
      <c r="R1" s="599"/>
      <c r="S1" s="599"/>
      <c r="T1" s="599"/>
      <c r="U1" s="599"/>
      <c r="V1" s="599"/>
      <c r="W1" s="599"/>
      <c r="X1" s="599"/>
      <c r="Y1" s="599"/>
      <c r="Z1" s="599"/>
      <c r="AA1" s="599"/>
      <c r="AB1" s="599"/>
      <c r="AC1" s="599"/>
      <c r="AD1" s="599"/>
      <c r="AE1" s="599"/>
      <c r="AF1" s="599"/>
      <c r="AG1" s="599"/>
      <c r="AH1" s="599"/>
      <c r="AI1" s="599"/>
      <c r="AJ1" s="599"/>
      <c r="AK1" s="599"/>
      <c r="AL1" s="599"/>
      <c r="AM1" s="599"/>
      <c r="AN1" s="599"/>
      <c r="AO1" s="599"/>
      <c r="AP1" s="599"/>
      <c r="AQ1" s="599"/>
      <c r="AR1" s="599"/>
    </row>
    <row r="2" spans="1:46">
      <c r="B2" s="1"/>
      <c r="C2" s="1">
        <v>2019</v>
      </c>
      <c r="D2" s="1">
        <v>2020</v>
      </c>
      <c r="E2" s="1">
        <v>2025</v>
      </c>
      <c r="F2" s="1">
        <v>2030</v>
      </c>
      <c r="G2" s="1">
        <v>2035</v>
      </c>
      <c r="H2" s="1">
        <v>2040</v>
      </c>
      <c r="I2" s="1">
        <v>2045</v>
      </c>
      <c r="J2" s="1">
        <v>2050</v>
      </c>
      <c r="N2" s="101">
        <v>2020</v>
      </c>
      <c r="O2" s="101">
        <f>N2+1</f>
        <v>2021</v>
      </c>
      <c r="P2" s="101">
        <f t="shared" ref="P2:AR2" si="0">O2+1</f>
        <v>2022</v>
      </c>
      <c r="Q2" s="101">
        <f t="shared" si="0"/>
        <v>2023</v>
      </c>
      <c r="R2" s="101">
        <f t="shared" si="0"/>
        <v>2024</v>
      </c>
      <c r="S2" s="101">
        <f t="shared" si="0"/>
        <v>2025</v>
      </c>
      <c r="T2" s="101">
        <f t="shared" si="0"/>
        <v>2026</v>
      </c>
      <c r="U2" s="101">
        <f t="shared" si="0"/>
        <v>2027</v>
      </c>
      <c r="V2" s="101">
        <f t="shared" si="0"/>
        <v>2028</v>
      </c>
      <c r="W2" s="101">
        <f t="shared" si="0"/>
        <v>2029</v>
      </c>
      <c r="X2" s="101">
        <f t="shared" si="0"/>
        <v>2030</v>
      </c>
      <c r="Y2" s="101">
        <f t="shared" si="0"/>
        <v>2031</v>
      </c>
      <c r="Z2" s="101">
        <f t="shared" si="0"/>
        <v>2032</v>
      </c>
      <c r="AA2" s="101">
        <f t="shared" si="0"/>
        <v>2033</v>
      </c>
      <c r="AB2" s="101">
        <f>AA2+1</f>
        <v>2034</v>
      </c>
      <c r="AC2" s="101">
        <f t="shared" si="0"/>
        <v>2035</v>
      </c>
      <c r="AD2" s="101">
        <f t="shared" si="0"/>
        <v>2036</v>
      </c>
      <c r="AE2" s="101">
        <f t="shared" si="0"/>
        <v>2037</v>
      </c>
      <c r="AF2" s="101">
        <f t="shared" si="0"/>
        <v>2038</v>
      </c>
      <c r="AG2" s="101">
        <f t="shared" si="0"/>
        <v>2039</v>
      </c>
      <c r="AH2" s="101">
        <f t="shared" si="0"/>
        <v>2040</v>
      </c>
      <c r="AI2" s="101">
        <f t="shared" si="0"/>
        <v>2041</v>
      </c>
      <c r="AJ2" s="101">
        <f t="shared" si="0"/>
        <v>2042</v>
      </c>
      <c r="AK2" s="101">
        <f t="shared" si="0"/>
        <v>2043</v>
      </c>
      <c r="AL2" s="101">
        <f t="shared" si="0"/>
        <v>2044</v>
      </c>
      <c r="AM2" s="101">
        <f>AL2+1</f>
        <v>2045</v>
      </c>
      <c r="AN2" s="101">
        <f t="shared" si="0"/>
        <v>2046</v>
      </c>
      <c r="AO2" s="101">
        <f t="shared" si="0"/>
        <v>2047</v>
      </c>
      <c r="AP2" s="101">
        <f t="shared" si="0"/>
        <v>2048</v>
      </c>
      <c r="AQ2" s="101">
        <f>AP2+1</f>
        <v>2049</v>
      </c>
      <c r="AR2" s="101">
        <f t="shared" si="0"/>
        <v>2050</v>
      </c>
      <c r="AT2" t="s">
        <v>67</v>
      </c>
    </row>
    <row r="3" spans="1:46">
      <c r="A3" s="1" t="s">
        <v>1299</v>
      </c>
      <c r="B3" s="48"/>
      <c r="C3" s="598">
        <f>SUM(C7:C9)</f>
        <v>4369539.7493458875</v>
      </c>
      <c r="D3" s="598">
        <f t="shared" ref="D3:J3" si="1">SUM(D7:D9)</f>
        <v>4369539.7493458875</v>
      </c>
      <c r="E3" s="598">
        <f t="shared" si="1"/>
        <v>4369539.7493458875</v>
      </c>
      <c r="F3" s="598">
        <f t="shared" si="1"/>
        <v>4369539.7493458875</v>
      </c>
      <c r="G3" s="598">
        <f t="shared" si="1"/>
        <v>4369539.7493458875</v>
      </c>
      <c r="H3" s="598">
        <f t="shared" si="1"/>
        <v>4369539.7493458875</v>
      </c>
      <c r="I3" s="598">
        <f t="shared" si="1"/>
        <v>4369539.7493458875</v>
      </c>
      <c r="J3" s="598">
        <f t="shared" si="1"/>
        <v>4369539.7493458875</v>
      </c>
      <c r="L3" t="s">
        <v>163</v>
      </c>
      <c r="M3" s="49" t="s">
        <v>1299</v>
      </c>
      <c r="N3" s="590">
        <f>C3*($E3/$C3)^(1/8)*($E3/$C3)^(1/8)*($E3/$C3)^(1/8)</f>
        <v>4369539.7493458875</v>
      </c>
      <c r="O3" s="590">
        <f>N3*($E3/$C3)^(1/8)</f>
        <v>4369539.7493458875</v>
      </c>
      <c r="P3" s="590">
        <f>O3*($E3/$C3)^(1/8)</f>
        <v>4369539.7493458875</v>
      </c>
      <c r="Q3" s="590">
        <f t="shared" ref="Q3:R3" si="2">P3*($E3/$C3)^(1/8)</f>
        <v>4369539.7493458875</v>
      </c>
      <c r="R3" s="590">
        <f t="shared" si="2"/>
        <v>4369539.7493458875</v>
      </c>
      <c r="S3" s="590">
        <f>E3</f>
        <v>4369539.7493458875</v>
      </c>
      <c r="T3" s="590">
        <f>S3*($X3/$S3)^(1/5)</f>
        <v>4369539.7493458875</v>
      </c>
      <c r="U3" s="590">
        <f t="shared" ref="U3:V3" si="3">T3*($X3/$S3)^(1/5)</f>
        <v>4369539.7493458875</v>
      </c>
      <c r="V3" s="590">
        <f t="shared" si="3"/>
        <v>4369539.7493458875</v>
      </c>
      <c r="W3" s="590">
        <f>V3*($X3/$S3)^(1/5)</f>
        <v>4369539.7493458875</v>
      </c>
      <c r="X3" s="590">
        <f>F3</f>
        <v>4369539.7493458875</v>
      </c>
      <c r="Y3" s="590">
        <f>X3*($AC3/$X3)^(1/5)</f>
        <v>4369539.7493458875</v>
      </c>
      <c r="Z3" s="590">
        <f t="shared" ref="Z3:AB3" si="4">Y3*($AC3/$X3)^(1/5)</f>
        <v>4369539.7493458875</v>
      </c>
      <c r="AA3" s="590">
        <f t="shared" si="4"/>
        <v>4369539.7493458875</v>
      </c>
      <c r="AB3" s="590">
        <f t="shared" si="4"/>
        <v>4369539.7493458875</v>
      </c>
      <c r="AC3" s="590">
        <f>G3</f>
        <v>4369539.7493458875</v>
      </c>
      <c r="AD3" s="590">
        <f>AC3*($AH3/$AC3)^(1/5)</f>
        <v>4369539.7493458875</v>
      </c>
      <c r="AE3" s="590">
        <f t="shared" ref="AE3:AG3" si="5">AD3*($AH3/$AC3)^(1/5)</f>
        <v>4369539.7493458875</v>
      </c>
      <c r="AF3" s="590">
        <f t="shared" si="5"/>
        <v>4369539.7493458875</v>
      </c>
      <c r="AG3" s="590">
        <f t="shared" si="5"/>
        <v>4369539.7493458875</v>
      </c>
      <c r="AH3" s="590">
        <f>H3</f>
        <v>4369539.7493458875</v>
      </c>
      <c r="AI3" s="590">
        <f>AH3*($AM3/$AH3)^(1/5)</f>
        <v>4369539.7493458875</v>
      </c>
      <c r="AJ3" s="590">
        <f t="shared" ref="AJ3:AL3" si="6">AI3*($AM3/$AH3)^(1/5)</f>
        <v>4369539.7493458875</v>
      </c>
      <c r="AK3" s="590">
        <f t="shared" si="6"/>
        <v>4369539.7493458875</v>
      </c>
      <c r="AL3" s="590">
        <f t="shared" si="6"/>
        <v>4369539.7493458875</v>
      </c>
      <c r="AM3" s="590">
        <f>I3</f>
        <v>4369539.7493458875</v>
      </c>
      <c r="AN3" s="590">
        <f>AM3*($AR3/$AM3)^(1/5)</f>
        <v>4369539.7493458875</v>
      </c>
      <c r="AO3" s="590">
        <f t="shared" ref="AO3:AQ3" si="7">AN3*($AR3/$AM3)^(1/5)</f>
        <v>4369539.7493458875</v>
      </c>
      <c r="AP3" s="590">
        <f t="shared" si="7"/>
        <v>4369539.7493458875</v>
      </c>
      <c r="AQ3" s="590">
        <f t="shared" si="7"/>
        <v>4369539.7493458875</v>
      </c>
      <c r="AR3" s="590">
        <f>J3</f>
        <v>4369539.7493458875</v>
      </c>
      <c r="AT3" s="22">
        <f>(AR3/N3)^(1/30)-1</f>
        <v>0</v>
      </c>
    </row>
    <row r="4" spans="1:46">
      <c r="A4" s="1"/>
      <c r="B4" s="48"/>
      <c r="C4" s="48"/>
      <c r="D4" s="104">
        <f>(D3/C3)-1</f>
        <v>0</v>
      </c>
      <c r="E4" s="104">
        <f>(E3/C3)^(1/6)-1</f>
        <v>0</v>
      </c>
      <c r="F4" s="104">
        <f>(F3/E3)^(1/5)-1</f>
        <v>0</v>
      </c>
      <c r="G4" s="104">
        <f>(G3/F3)^(1/5)-1</f>
        <v>0</v>
      </c>
      <c r="H4" s="104">
        <f>(H3/G3)^(1/5)-1</f>
        <v>0</v>
      </c>
      <c r="I4" s="104">
        <f>(I3/H3)^(1/5)-1</f>
        <v>0</v>
      </c>
      <c r="J4" s="104">
        <f>(J3/I3)^(1/5)-1</f>
        <v>0</v>
      </c>
      <c r="M4" s="49"/>
      <c r="N4" s="590"/>
      <c r="O4" s="590"/>
      <c r="P4" s="590"/>
      <c r="Q4" s="590"/>
      <c r="R4" s="590"/>
      <c r="S4" s="590"/>
      <c r="T4" s="590"/>
      <c r="U4" s="590"/>
      <c r="V4" s="590"/>
      <c r="W4" s="590"/>
      <c r="X4" s="590"/>
      <c r="Y4" s="590"/>
      <c r="Z4" s="590"/>
      <c r="AA4" s="590"/>
      <c r="AB4" s="590"/>
      <c r="AC4" s="590"/>
      <c r="AD4" s="590"/>
      <c r="AE4" s="590"/>
      <c r="AF4" s="590"/>
      <c r="AG4" s="590"/>
      <c r="AH4" s="590"/>
      <c r="AI4" s="590"/>
      <c r="AJ4" s="590"/>
      <c r="AK4" s="590"/>
      <c r="AL4" s="590"/>
      <c r="AM4" s="590"/>
      <c r="AN4" s="590"/>
      <c r="AO4" s="590"/>
      <c r="AP4" s="590"/>
      <c r="AQ4" s="590"/>
      <c r="AR4" s="590"/>
      <c r="AT4" s="22"/>
    </row>
    <row r="5" spans="1:46">
      <c r="A5" s="147"/>
    </row>
    <row r="6" spans="1:46">
      <c r="B6" s="1"/>
      <c r="C6" s="1">
        <v>2019</v>
      </c>
      <c r="D6" s="1">
        <v>2020</v>
      </c>
      <c r="E6" s="1">
        <v>2025</v>
      </c>
      <c r="F6" s="1">
        <v>2030</v>
      </c>
      <c r="G6" s="1">
        <v>2035</v>
      </c>
      <c r="H6" s="1">
        <v>2040</v>
      </c>
      <c r="I6" s="1">
        <v>2045</v>
      </c>
      <c r="J6" s="1">
        <v>2050</v>
      </c>
      <c r="M6" s="1" t="s">
        <v>1305</v>
      </c>
    </row>
    <row r="7" spans="1:46">
      <c r="A7" s="1" t="s">
        <v>88</v>
      </c>
      <c r="B7" s="40"/>
      <c r="C7" s="101">
        <f>'Yearly Demand Japan'!G15</f>
        <v>1554736.2216997449</v>
      </c>
      <c r="D7" s="101">
        <f>'Yearly Demand Japan'!G16</f>
        <v>1554736.2216997449</v>
      </c>
      <c r="E7" s="101">
        <f>'Yearly Demand Japan'!G17</f>
        <v>1554736.2216997449</v>
      </c>
      <c r="F7" s="101">
        <f>'Yearly Demand Japan'!G18</f>
        <v>1554736.2216997449</v>
      </c>
      <c r="G7" s="101">
        <f>'Yearly Demand Japan'!G19</f>
        <v>1554736.2216997449</v>
      </c>
      <c r="H7" s="101">
        <f>'Yearly Demand Japan'!G20</f>
        <v>1554736.2216997449</v>
      </c>
      <c r="I7" s="101">
        <f>'Yearly Demand Japan'!G21</f>
        <v>1554736.2216997449</v>
      </c>
      <c r="J7" s="101">
        <f>'Yearly Demand Japan'!G22</f>
        <v>1554736.2216997449</v>
      </c>
      <c r="M7" s="1" t="s">
        <v>88</v>
      </c>
      <c r="N7" s="101">
        <f>N$3*$I16</f>
        <v>1554736.2216997449</v>
      </c>
      <c r="O7" s="101">
        <f t="shared" ref="O7:AR8" si="8">O$3*$I16</f>
        <v>1554736.2216997449</v>
      </c>
      <c r="P7" s="101">
        <f t="shared" si="8"/>
        <v>1554736.2216997449</v>
      </c>
      <c r="Q7" s="101">
        <f t="shared" si="8"/>
        <v>1554736.2216997449</v>
      </c>
      <c r="R7" s="101">
        <f t="shared" si="8"/>
        <v>1554736.2216997449</v>
      </c>
      <c r="S7" s="101">
        <f t="shared" si="8"/>
        <v>1554736.2216997449</v>
      </c>
      <c r="T7" s="101">
        <f t="shared" si="8"/>
        <v>1554736.2216997449</v>
      </c>
      <c r="U7" s="101">
        <f t="shared" si="8"/>
        <v>1554736.2216997449</v>
      </c>
      <c r="V7" s="101">
        <f t="shared" si="8"/>
        <v>1554736.2216997449</v>
      </c>
      <c r="W7" s="101">
        <f t="shared" si="8"/>
        <v>1554736.2216997449</v>
      </c>
      <c r="X7" s="101">
        <f t="shared" si="8"/>
        <v>1554736.2216997449</v>
      </c>
      <c r="Y7" s="101">
        <f t="shared" si="8"/>
        <v>1554736.2216997449</v>
      </c>
      <c r="Z7" s="101">
        <f t="shared" si="8"/>
        <v>1554736.2216997449</v>
      </c>
      <c r="AA7" s="101">
        <f t="shared" si="8"/>
        <v>1554736.2216997449</v>
      </c>
      <c r="AB7" s="101">
        <f t="shared" si="8"/>
        <v>1554736.2216997449</v>
      </c>
      <c r="AC7" s="101">
        <f t="shared" si="8"/>
        <v>1554736.2216997449</v>
      </c>
      <c r="AD7" s="101">
        <f t="shared" si="8"/>
        <v>1554736.2216997449</v>
      </c>
      <c r="AE7" s="101">
        <f t="shared" si="8"/>
        <v>1554736.2216997449</v>
      </c>
      <c r="AF7" s="101">
        <f t="shared" si="8"/>
        <v>1554736.2216997449</v>
      </c>
      <c r="AG7" s="101">
        <f t="shared" si="8"/>
        <v>1554736.2216997449</v>
      </c>
      <c r="AH7" s="101">
        <f t="shared" si="8"/>
        <v>1554736.2216997449</v>
      </c>
      <c r="AI7" s="101">
        <f t="shared" si="8"/>
        <v>1554736.2216997449</v>
      </c>
      <c r="AJ7" s="101">
        <f t="shared" si="8"/>
        <v>1554736.2216997449</v>
      </c>
      <c r="AK7" s="101">
        <f t="shared" si="8"/>
        <v>1554736.2216997449</v>
      </c>
      <c r="AL7" s="101">
        <f t="shared" si="8"/>
        <v>1554736.2216997449</v>
      </c>
      <c r="AM7" s="101">
        <f t="shared" si="8"/>
        <v>1554736.2216997449</v>
      </c>
      <c r="AN7" s="101">
        <f t="shared" si="8"/>
        <v>1554736.2216997449</v>
      </c>
      <c r="AO7" s="101">
        <f t="shared" si="8"/>
        <v>1554736.2216997449</v>
      </c>
      <c r="AP7" s="101">
        <f t="shared" si="8"/>
        <v>1554736.2216997449</v>
      </c>
      <c r="AQ7" s="101">
        <f t="shared" si="8"/>
        <v>1554736.2216997449</v>
      </c>
      <c r="AR7" s="101">
        <f t="shared" si="8"/>
        <v>1554736.2216997449</v>
      </c>
    </row>
    <row r="8" spans="1:46">
      <c r="A8" s="1" t="s">
        <v>797</v>
      </c>
      <c r="B8" s="40"/>
      <c r="C8" s="101">
        <f>'Yearly Demand Japan'!I15</f>
        <v>106314.03243491032</v>
      </c>
      <c r="D8" s="101">
        <f>'Yearly Demand Japan'!I16</f>
        <v>106314.03243491032</v>
      </c>
      <c r="E8" s="101">
        <f>'Yearly Demand Japan'!I17</f>
        <v>106314.03243491032</v>
      </c>
      <c r="F8" s="101">
        <f>'Yearly Demand Japan'!I18</f>
        <v>106314.03243491032</v>
      </c>
      <c r="G8" s="101">
        <f>'Yearly Demand Japan'!I19</f>
        <v>106314.03243491032</v>
      </c>
      <c r="H8" s="101">
        <f>'Yearly Demand Japan'!I20</f>
        <v>106314.03243491032</v>
      </c>
      <c r="I8" s="101">
        <f>'Yearly Demand Japan'!I21</f>
        <v>106314.03243491032</v>
      </c>
      <c r="J8" s="101">
        <f>'Yearly Demand Japan'!I22</f>
        <v>106314.03243491032</v>
      </c>
      <c r="M8" s="1" t="s">
        <v>797</v>
      </c>
      <c r="N8" s="101">
        <f>N$3*$I17</f>
        <v>106314.03243491032</v>
      </c>
      <c r="O8" s="101">
        <f t="shared" si="8"/>
        <v>106314.03243491032</v>
      </c>
      <c r="P8" s="101">
        <f t="shared" si="8"/>
        <v>106314.03243491032</v>
      </c>
      <c r="Q8" s="101">
        <f t="shared" si="8"/>
        <v>106314.03243491032</v>
      </c>
      <c r="R8" s="101">
        <f t="shared" si="8"/>
        <v>106314.03243491032</v>
      </c>
      <c r="S8" s="101">
        <f t="shared" si="8"/>
        <v>106314.03243491032</v>
      </c>
      <c r="T8" s="101">
        <f t="shared" si="8"/>
        <v>106314.03243491032</v>
      </c>
      <c r="U8" s="101">
        <f t="shared" si="8"/>
        <v>106314.03243491032</v>
      </c>
      <c r="V8" s="101">
        <f t="shared" si="8"/>
        <v>106314.03243491032</v>
      </c>
      <c r="W8" s="101">
        <f t="shared" si="8"/>
        <v>106314.03243491032</v>
      </c>
      <c r="X8" s="101">
        <f t="shared" si="8"/>
        <v>106314.03243491032</v>
      </c>
      <c r="Y8" s="101">
        <f t="shared" si="8"/>
        <v>106314.03243491032</v>
      </c>
      <c r="Z8" s="101">
        <f t="shared" si="8"/>
        <v>106314.03243491032</v>
      </c>
      <c r="AA8" s="101">
        <f t="shared" si="8"/>
        <v>106314.03243491032</v>
      </c>
      <c r="AB8" s="101">
        <f t="shared" si="8"/>
        <v>106314.03243491032</v>
      </c>
      <c r="AC8" s="101">
        <f t="shared" si="8"/>
        <v>106314.03243491032</v>
      </c>
      <c r="AD8" s="101">
        <f t="shared" si="8"/>
        <v>106314.03243491032</v>
      </c>
      <c r="AE8" s="101">
        <f t="shared" si="8"/>
        <v>106314.03243491032</v>
      </c>
      <c r="AF8" s="101">
        <f t="shared" si="8"/>
        <v>106314.03243491032</v>
      </c>
      <c r="AG8" s="101">
        <f t="shared" si="8"/>
        <v>106314.03243491032</v>
      </c>
      <c r="AH8" s="101">
        <f t="shared" si="8"/>
        <v>106314.03243491032</v>
      </c>
      <c r="AI8" s="101">
        <f t="shared" si="8"/>
        <v>106314.03243491032</v>
      </c>
      <c r="AJ8" s="101">
        <f t="shared" si="8"/>
        <v>106314.03243491032</v>
      </c>
      <c r="AK8" s="101">
        <f t="shared" si="8"/>
        <v>106314.03243491032</v>
      </c>
      <c r="AL8" s="101">
        <f t="shared" si="8"/>
        <v>106314.03243491032</v>
      </c>
      <c r="AM8" s="101">
        <f t="shared" si="8"/>
        <v>106314.03243491032</v>
      </c>
      <c r="AN8" s="101">
        <f t="shared" si="8"/>
        <v>106314.03243491032</v>
      </c>
      <c r="AO8" s="101">
        <f t="shared" si="8"/>
        <v>106314.03243491032</v>
      </c>
      <c r="AP8" s="101">
        <f t="shared" si="8"/>
        <v>106314.03243491032</v>
      </c>
      <c r="AQ8" s="101">
        <f t="shared" si="8"/>
        <v>106314.03243491032</v>
      </c>
      <c r="AR8" s="101">
        <f t="shared" si="8"/>
        <v>106314.03243491032</v>
      </c>
    </row>
    <row r="9" spans="1:46">
      <c r="A9" s="1" t="s">
        <v>798</v>
      </c>
      <c r="B9" s="40"/>
      <c r="C9" s="101">
        <f>'Yearly Demand Japan'!K15</f>
        <v>2708489.4952112325</v>
      </c>
      <c r="D9" s="101">
        <f>'Yearly Demand Japan'!K16</f>
        <v>2708489.4952112325</v>
      </c>
      <c r="E9" s="101">
        <f>'Yearly Demand Japan'!K17</f>
        <v>2708489.4952112325</v>
      </c>
      <c r="F9" s="101">
        <f>'Yearly Demand Japan'!K18</f>
        <v>2708489.4952112325</v>
      </c>
      <c r="G9" s="101">
        <f>'Yearly Demand Japan'!K19</f>
        <v>2708489.4952112325</v>
      </c>
      <c r="H9" s="101">
        <f>'Yearly Demand Japan'!K20</f>
        <v>2708489.4952112325</v>
      </c>
      <c r="I9" s="101">
        <f>'Yearly Demand Japan'!K21</f>
        <v>2708489.4952112325</v>
      </c>
      <c r="J9" s="101">
        <f>'Yearly Demand Japan'!K22</f>
        <v>2708489.4952112325</v>
      </c>
      <c r="M9" s="1" t="s">
        <v>798</v>
      </c>
      <c r="N9" s="101">
        <f>SUM(N10:N12)</f>
        <v>2708489.4952112325</v>
      </c>
      <c r="O9" s="101">
        <f t="shared" ref="O9:AR9" si="9">SUM(O10:O12)</f>
        <v>2708489.4952112325</v>
      </c>
      <c r="P9" s="101">
        <f t="shared" si="9"/>
        <v>2708489.4952112325</v>
      </c>
      <c r="Q9" s="101">
        <f t="shared" si="9"/>
        <v>2708489.4952112325</v>
      </c>
      <c r="R9" s="101">
        <f t="shared" si="9"/>
        <v>2708489.4952112325</v>
      </c>
      <c r="S9" s="101">
        <f t="shared" si="9"/>
        <v>2708489.4952112325</v>
      </c>
      <c r="T9" s="101">
        <f t="shared" si="9"/>
        <v>2708489.4952112325</v>
      </c>
      <c r="U9" s="101">
        <f t="shared" si="9"/>
        <v>2708489.4952112325</v>
      </c>
      <c r="V9" s="101">
        <f t="shared" si="9"/>
        <v>2708489.4952112325</v>
      </c>
      <c r="W9" s="101">
        <f t="shared" si="9"/>
        <v>2708489.4952112325</v>
      </c>
      <c r="X9" s="101">
        <f t="shared" si="9"/>
        <v>2708489.4952112325</v>
      </c>
      <c r="Y9" s="101">
        <f t="shared" si="9"/>
        <v>2708489.4952112325</v>
      </c>
      <c r="Z9" s="101">
        <f t="shared" si="9"/>
        <v>2708489.4952112325</v>
      </c>
      <c r="AA9" s="101">
        <f t="shared" si="9"/>
        <v>2708489.4952112325</v>
      </c>
      <c r="AB9" s="101">
        <f t="shared" si="9"/>
        <v>2708489.4952112325</v>
      </c>
      <c r="AC9" s="101">
        <f t="shared" si="9"/>
        <v>2708489.4952112325</v>
      </c>
      <c r="AD9" s="101">
        <f t="shared" si="9"/>
        <v>2708489.4952112325</v>
      </c>
      <c r="AE9" s="101">
        <f t="shared" si="9"/>
        <v>2708489.4952112325</v>
      </c>
      <c r="AF9" s="101">
        <f t="shared" si="9"/>
        <v>2708489.4952112325</v>
      </c>
      <c r="AG9" s="101">
        <f t="shared" si="9"/>
        <v>2708489.4952112325</v>
      </c>
      <c r="AH9" s="101">
        <f t="shared" si="9"/>
        <v>2708489.4952112325</v>
      </c>
      <c r="AI9" s="101">
        <f t="shared" si="9"/>
        <v>2708489.4952112325</v>
      </c>
      <c r="AJ9" s="101">
        <f t="shared" si="9"/>
        <v>2708489.4952112325</v>
      </c>
      <c r="AK9" s="101">
        <f t="shared" si="9"/>
        <v>2708489.4952112325</v>
      </c>
      <c r="AL9" s="101">
        <f t="shared" si="9"/>
        <v>2708489.4952112325</v>
      </c>
      <c r="AM9" s="101">
        <f t="shared" si="9"/>
        <v>2708489.4952112325</v>
      </c>
      <c r="AN9" s="101">
        <f t="shared" si="9"/>
        <v>2708489.4952112325</v>
      </c>
      <c r="AO9" s="101">
        <f t="shared" si="9"/>
        <v>2708489.4952112325</v>
      </c>
      <c r="AP9" s="101">
        <f t="shared" si="9"/>
        <v>2708489.4952112325</v>
      </c>
      <c r="AQ9" s="101">
        <f t="shared" si="9"/>
        <v>2708489.4952112325</v>
      </c>
      <c r="AR9" s="101">
        <f t="shared" si="9"/>
        <v>2708489.4952112325</v>
      </c>
    </row>
    <row r="10" spans="1:46">
      <c r="A10" s="1" t="s">
        <v>1198</v>
      </c>
      <c r="B10" s="40"/>
      <c r="C10" s="101">
        <f>C$9*($C18/SUM($C$18:$C$20))</f>
        <v>2435036.2288677907</v>
      </c>
      <c r="D10" s="101">
        <f t="shared" ref="D10:J10" si="10">D$9*($C18/SUM($C$18:$C$20))</f>
        <v>2435036.2288677907</v>
      </c>
      <c r="E10" s="101">
        <f t="shared" si="10"/>
        <v>2435036.2288677907</v>
      </c>
      <c r="F10" s="101">
        <f t="shared" si="10"/>
        <v>2435036.2288677907</v>
      </c>
      <c r="G10" s="101">
        <f t="shared" si="10"/>
        <v>2435036.2288677907</v>
      </c>
      <c r="H10" s="101">
        <f t="shared" si="10"/>
        <v>2435036.2288677907</v>
      </c>
      <c r="I10" s="101">
        <f t="shared" si="10"/>
        <v>2435036.2288677907</v>
      </c>
      <c r="J10" s="101">
        <f t="shared" si="10"/>
        <v>2435036.2288677907</v>
      </c>
      <c r="M10" s="1" t="s">
        <v>1198</v>
      </c>
      <c r="N10" s="101">
        <f>N$3*$I19</f>
        <v>2435036.2288677907</v>
      </c>
      <c r="O10" s="101">
        <f t="shared" ref="O10:AR12" si="11">O$3*$I19</f>
        <v>2435036.2288677907</v>
      </c>
      <c r="P10" s="101">
        <f t="shared" si="11"/>
        <v>2435036.2288677907</v>
      </c>
      <c r="Q10" s="101">
        <f t="shared" si="11"/>
        <v>2435036.2288677907</v>
      </c>
      <c r="R10" s="101">
        <f t="shared" si="11"/>
        <v>2435036.2288677907</v>
      </c>
      <c r="S10" s="101">
        <f t="shared" si="11"/>
        <v>2435036.2288677907</v>
      </c>
      <c r="T10" s="101">
        <f t="shared" si="11"/>
        <v>2435036.2288677907</v>
      </c>
      <c r="U10" s="101">
        <f t="shared" si="11"/>
        <v>2435036.2288677907</v>
      </c>
      <c r="V10" s="101">
        <f t="shared" si="11"/>
        <v>2435036.2288677907</v>
      </c>
      <c r="W10" s="101">
        <f t="shared" si="11"/>
        <v>2435036.2288677907</v>
      </c>
      <c r="X10" s="101">
        <f t="shared" si="11"/>
        <v>2435036.2288677907</v>
      </c>
      <c r="Y10" s="101">
        <f t="shared" si="11"/>
        <v>2435036.2288677907</v>
      </c>
      <c r="Z10" s="101">
        <f t="shared" si="11"/>
        <v>2435036.2288677907</v>
      </c>
      <c r="AA10" s="101">
        <f t="shared" si="11"/>
        <v>2435036.2288677907</v>
      </c>
      <c r="AB10" s="101">
        <f t="shared" si="11"/>
        <v>2435036.2288677907</v>
      </c>
      <c r="AC10" s="101">
        <f t="shared" si="11"/>
        <v>2435036.2288677907</v>
      </c>
      <c r="AD10" s="101">
        <f t="shared" si="11"/>
        <v>2435036.2288677907</v>
      </c>
      <c r="AE10" s="101">
        <f t="shared" si="11"/>
        <v>2435036.2288677907</v>
      </c>
      <c r="AF10" s="101">
        <f t="shared" si="11"/>
        <v>2435036.2288677907</v>
      </c>
      <c r="AG10" s="101">
        <f t="shared" si="11"/>
        <v>2435036.2288677907</v>
      </c>
      <c r="AH10" s="101">
        <f t="shared" si="11"/>
        <v>2435036.2288677907</v>
      </c>
      <c r="AI10" s="101">
        <f t="shared" si="11"/>
        <v>2435036.2288677907</v>
      </c>
      <c r="AJ10" s="101">
        <f t="shared" si="11"/>
        <v>2435036.2288677907</v>
      </c>
      <c r="AK10" s="101">
        <f t="shared" si="11"/>
        <v>2435036.2288677907</v>
      </c>
      <c r="AL10" s="101">
        <f t="shared" si="11"/>
        <v>2435036.2288677907</v>
      </c>
      <c r="AM10" s="101">
        <f t="shared" si="11"/>
        <v>2435036.2288677907</v>
      </c>
      <c r="AN10" s="101">
        <f t="shared" si="11"/>
        <v>2435036.2288677907</v>
      </c>
      <c r="AO10" s="101">
        <f t="shared" si="11"/>
        <v>2435036.2288677907</v>
      </c>
      <c r="AP10" s="101">
        <f t="shared" si="11"/>
        <v>2435036.2288677907</v>
      </c>
      <c r="AQ10" s="101">
        <f t="shared" si="11"/>
        <v>2435036.2288677907</v>
      </c>
      <c r="AR10" s="101">
        <f t="shared" si="11"/>
        <v>2435036.2288677907</v>
      </c>
    </row>
    <row r="11" spans="1:46">
      <c r="A11" s="1" t="s">
        <v>1199</v>
      </c>
      <c r="B11" s="40"/>
      <c r="C11" s="101">
        <f>C$9*($C19/SUM($C$18:$C$20))</f>
        <v>234388.51400866435</v>
      </c>
      <c r="D11" s="101">
        <f t="shared" ref="D11:J11" si="12">D$9*($C19/SUM($C$18:$C$20))</f>
        <v>234388.51400866435</v>
      </c>
      <c r="E11" s="101">
        <f t="shared" si="12"/>
        <v>234388.51400866435</v>
      </c>
      <c r="F11" s="101">
        <f t="shared" si="12"/>
        <v>234388.51400866435</v>
      </c>
      <c r="G11" s="101">
        <f t="shared" si="12"/>
        <v>234388.51400866435</v>
      </c>
      <c r="H11" s="101">
        <f t="shared" si="12"/>
        <v>234388.51400866435</v>
      </c>
      <c r="I11" s="101">
        <f t="shared" si="12"/>
        <v>234388.51400866435</v>
      </c>
      <c r="J11" s="101">
        <f t="shared" si="12"/>
        <v>234388.51400866435</v>
      </c>
      <c r="M11" s="1" t="s">
        <v>1199</v>
      </c>
      <c r="N11" s="101">
        <f>N$3*$I20</f>
        <v>234388.51400866432</v>
      </c>
      <c r="O11" s="101">
        <f t="shared" si="11"/>
        <v>234388.51400866432</v>
      </c>
      <c r="P11" s="101">
        <f t="shared" si="11"/>
        <v>234388.51400866432</v>
      </c>
      <c r="Q11" s="101">
        <f t="shared" si="11"/>
        <v>234388.51400866432</v>
      </c>
      <c r="R11" s="101">
        <f t="shared" si="11"/>
        <v>234388.51400866432</v>
      </c>
      <c r="S11" s="101">
        <f t="shared" si="11"/>
        <v>234388.51400866432</v>
      </c>
      <c r="T11" s="101">
        <f t="shared" si="11"/>
        <v>234388.51400866432</v>
      </c>
      <c r="U11" s="101">
        <f t="shared" si="11"/>
        <v>234388.51400866432</v>
      </c>
      <c r="V11" s="101">
        <f t="shared" si="11"/>
        <v>234388.51400866432</v>
      </c>
      <c r="W11" s="101">
        <f t="shared" si="11"/>
        <v>234388.51400866432</v>
      </c>
      <c r="X11" s="101">
        <f t="shared" si="11"/>
        <v>234388.51400866432</v>
      </c>
      <c r="Y11" s="101">
        <f t="shared" si="11"/>
        <v>234388.51400866432</v>
      </c>
      <c r="Z11" s="101">
        <f t="shared" si="11"/>
        <v>234388.51400866432</v>
      </c>
      <c r="AA11" s="101">
        <f t="shared" si="11"/>
        <v>234388.51400866432</v>
      </c>
      <c r="AB11" s="101">
        <f t="shared" si="11"/>
        <v>234388.51400866432</v>
      </c>
      <c r="AC11" s="101">
        <f t="shared" si="11"/>
        <v>234388.51400866432</v>
      </c>
      <c r="AD11" s="101">
        <f t="shared" si="11"/>
        <v>234388.51400866432</v>
      </c>
      <c r="AE11" s="101">
        <f t="shared" si="11"/>
        <v>234388.51400866432</v>
      </c>
      <c r="AF11" s="101">
        <f t="shared" si="11"/>
        <v>234388.51400866432</v>
      </c>
      <c r="AG11" s="101">
        <f t="shared" si="11"/>
        <v>234388.51400866432</v>
      </c>
      <c r="AH11" s="101">
        <f t="shared" si="11"/>
        <v>234388.51400866432</v>
      </c>
      <c r="AI11" s="101">
        <f t="shared" si="11"/>
        <v>234388.51400866432</v>
      </c>
      <c r="AJ11" s="101">
        <f t="shared" si="11"/>
        <v>234388.51400866432</v>
      </c>
      <c r="AK11" s="101">
        <f t="shared" si="11"/>
        <v>234388.51400866432</v>
      </c>
      <c r="AL11" s="101">
        <f t="shared" si="11"/>
        <v>234388.51400866432</v>
      </c>
      <c r="AM11" s="101">
        <f t="shared" si="11"/>
        <v>234388.51400866432</v>
      </c>
      <c r="AN11" s="101">
        <f t="shared" si="11"/>
        <v>234388.51400866432</v>
      </c>
      <c r="AO11" s="101">
        <f t="shared" si="11"/>
        <v>234388.51400866432</v>
      </c>
      <c r="AP11" s="101">
        <f t="shared" si="11"/>
        <v>234388.51400866432</v>
      </c>
      <c r="AQ11" s="101">
        <f t="shared" si="11"/>
        <v>234388.51400866432</v>
      </c>
      <c r="AR11" s="101">
        <f t="shared" si="11"/>
        <v>234388.51400866432</v>
      </c>
    </row>
    <row r="12" spans="1:46">
      <c r="A12" s="1" t="s">
        <v>1200</v>
      </c>
      <c r="B12" s="40"/>
      <c r="C12" s="101">
        <f>C$9*($C20/SUM($C$18:$C$20))</f>
        <v>39064.752334777382</v>
      </c>
      <c r="D12" s="101">
        <f t="shared" ref="D12:J12" si="13">D$9*($C20/SUM($C$18:$C$20))</f>
        <v>39064.752334777382</v>
      </c>
      <c r="E12" s="101">
        <f t="shared" si="13"/>
        <v>39064.752334777382</v>
      </c>
      <c r="F12" s="101">
        <f t="shared" si="13"/>
        <v>39064.752334777382</v>
      </c>
      <c r="G12" s="101">
        <f t="shared" si="13"/>
        <v>39064.752334777382</v>
      </c>
      <c r="H12" s="101">
        <f t="shared" si="13"/>
        <v>39064.752334777382</v>
      </c>
      <c r="I12" s="101">
        <f t="shared" si="13"/>
        <v>39064.752334777382</v>
      </c>
      <c r="J12" s="101">
        <f t="shared" si="13"/>
        <v>39064.752334777382</v>
      </c>
      <c r="M12" s="1" t="s">
        <v>1200</v>
      </c>
      <c r="N12" s="101">
        <f>N$3*$I21</f>
        <v>39064.752334777389</v>
      </c>
      <c r="O12" s="101">
        <f t="shared" si="11"/>
        <v>39064.752334777389</v>
      </c>
      <c r="P12" s="101">
        <f t="shared" si="11"/>
        <v>39064.752334777389</v>
      </c>
      <c r="Q12" s="101">
        <f t="shared" si="11"/>
        <v>39064.752334777389</v>
      </c>
      <c r="R12" s="101">
        <f t="shared" si="11"/>
        <v>39064.752334777389</v>
      </c>
      <c r="S12" s="101">
        <f t="shared" si="11"/>
        <v>39064.752334777389</v>
      </c>
      <c r="T12" s="101">
        <f t="shared" si="11"/>
        <v>39064.752334777389</v>
      </c>
      <c r="U12" s="101">
        <f t="shared" si="11"/>
        <v>39064.752334777389</v>
      </c>
      <c r="V12" s="101">
        <f t="shared" si="11"/>
        <v>39064.752334777389</v>
      </c>
      <c r="W12" s="101">
        <f t="shared" si="11"/>
        <v>39064.752334777389</v>
      </c>
      <c r="X12" s="101">
        <f t="shared" si="11"/>
        <v>39064.752334777389</v>
      </c>
      <c r="Y12" s="101">
        <f t="shared" si="11"/>
        <v>39064.752334777389</v>
      </c>
      <c r="Z12" s="101">
        <f t="shared" si="11"/>
        <v>39064.752334777389</v>
      </c>
      <c r="AA12" s="101">
        <f t="shared" si="11"/>
        <v>39064.752334777389</v>
      </c>
      <c r="AB12" s="101">
        <f t="shared" si="11"/>
        <v>39064.752334777389</v>
      </c>
      <c r="AC12" s="101">
        <f t="shared" si="11"/>
        <v>39064.752334777389</v>
      </c>
      <c r="AD12" s="101">
        <f t="shared" si="11"/>
        <v>39064.752334777389</v>
      </c>
      <c r="AE12" s="101">
        <f t="shared" si="11"/>
        <v>39064.752334777389</v>
      </c>
      <c r="AF12" s="101">
        <f t="shared" si="11"/>
        <v>39064.752334777389</v>
      </c>
      <c r="AG12" s="101">
        <f t="shared" si="11"/>
        <v>39064.752334777389</v>
      </c>
      <c r="AH12" s="101">
        <f t="shared" si="11"/>
        <v>39064.752334777389</v>
      </c>
      <c r="AI12" s="101">
        <f t="shared" si="11"/>
        <v>39064.752334777389</v>
      </c>
      <c r="AJ12" s="101">
        <f t="shared" si="11"/>
        <v>39064.752334777389</v>
      </c>
      <c r="AK12" s="101">
        <f t="shared" si="11"/>
        <v>39064.752334777389</v>
      </c>
      <c r="AL12" s="101">
        <f t="shared" si="11"/>
        <v>39064.752334777389</v>
      </c>
      <c r="AM12" s="101">
        <f t="shared" si="11"/>
        <v>39064.752334777389</v>
      </c>
      <c r="AN12" s="101">
        <f t="shared" si="11"/>
        <v>39064.752334777389</v>
      </c>
      <c r="AO12" s="101">
        <f t="shared" si="11"/>
        <v>39064.752334777389</v>
      </c>
      <c r="AP12" s="101">
        <f t="shared" si="11"/>
        <v>39064.752334777389</v>
      </c>
      <c r="AQ12" s="101">
        <f t="shared" si="11"/>
        <v>39064.752334777389</v>
      </c>
      <c r="AR12" s="101">
        <f t="shared" si="11"/>
        <v>39064.752334777389</v>
      </c>
    </row>
    <row r="13" spans="1:46">
      <c r="M13" s="1" t="s">
        <v>78</v>
      </c>
      <c r="N13" s="101">
        <f>SUM(N7:N9)</f>
        <v>4369539.7493458875</v>
      </c>
      <c r="O13" s="101">
        <f t="shared" ref="O13:AR13" si="14">SUM(O7:O9)</f>
        <v>4369539.7493458875</v>
      </c>
      <c r="P13" s="101">
        <f t="shared" si="14"/>
        <v>4369539.7493458875</v>
      </c>
      <c r="Q13" s="101">
        <f t="shared" si="14"/>
        <v>4369539.7493458875</v>
      </c>
      <c r="R13" s="101">
        <f t="shared" si="14"/>
        <v>4369539.7493458875</v>
      </c>
      <c r="S13" s="101">
        <f t="shared" si="14"/>
        <v>4369539.7493458875</v>
      </c>
      <c r="T13" s="101">
        <f t="shared" si="14"/>
        <v>4369539.7493458875</v>
      </c>
      <c r="U13" s="101">
        <f t="shared" si="14"/>
        <v>4369539.7493458875</v>
      </c>
      <c r="V13" s="101">
        <f t="shared" si="14"/>
        <v>4369539.7493458875</v>
      </c>
      <c r="W13" s="101">
        <f t="shared" si="14"/>
        <v>4369539.7493458875</v>
      </c>
      <c r="X13" s="101">
        <f t="shared" si="14"/>
        <v>4369539.7493458875</v>
      </c>
      <c r="Y13" s="101">
        <f t="shared" si="14"/>
        <v>4369539.7493458875</v>
      </c>
      <c r="Z13" s="101">
        <f t="shared" si="14"/>
        <v>4369539.7493458875</v>
      </c>
      <c r="AA13" s="101">
        <f t="shared" si="14"/>
        <v>4369539.7493458875</v>
      </c>
      <c r="AB13" s="101">
        <f t="shared" si="14"/>
        <v>4369539.7493458875</v>
      </c>
      <c r="AC13" s="101">
        <f t="shared" si="14"/>
        <v>4369539.7493458875</v>
      </c>
      <c r="AD13" s="101">
        <f t="shared" si="14"/>
        <v>4369539.7493458875</v>
      </c>
      <c r="AE13" s="101">
        <f t="shared" si="14"/>
        <v>4369539.7493458875</v>
      </c>
      <c r="AF13" s="101">
        <f t="shared" si="14"/>
        <v>4369539.7493458875</v>
      </c>
      <c r="AG13" s="101">
        <f t="shared" si="14"/>
        <v>4369539.7493458875</v>
      </c>
      <c r="AH13" s="101">
        <f t="shared" si="14"/>
        <v>4369539.7493458875</v>
      </c>
      <c r="AI13" s="101">
        <f t="shared" si="14"/>
        <v>4369539.7493458875</v>
      </c>
      <c r="AJ13" s="101">
        <f t="shared" si="14"/>
        <v>4369539.7493458875</v>
      </c>
      <c r="AK13" s="101">
        <f t="shared" si="14"/>
        <v>4369539.7493458875</v>
      </c>
      <c r="AL13" s="101">
        <f t="shared" si="14"/>
        <v>4369539.7493458875</v>
      </c>
      <c r="AM13" s="101">
        <f t="shared" si="14"/>
        <v>4369539.7493458875</v>
      </c>
      <c r="AN13" s="101">
        <f t="shared" si="14"/>
        <v>4369539.7493458875</v>
      </c>
      <c r="AO13" s="101">
        <f t="shared" si="14"/>
        <v>4369539.7493458875</v>
      </c>
      <c r="AP13" s="101">
        <f t="shared" si="14"/>
        <v>4369539.7493458875</v>
      </c>
      <c r="AQ13" s="101">
        <f t="shared" si="14"/>
        <v>4369539.7493458875</v>
      </c>
      <c r="AR13" s="101">
        <f t="shared" si="14"/>
        <v>4369539.7493458875</v>
      </c>
    </row>
    <row r="14" spans="1:46">
      <c r="A14" t="s">
        <v>1201</v>
      </c>
    </row>
    <row r="15" spans="1:46">
      <c r="A15" s="1" t="s">
        <v>1302</v>
      </c>
      <c r="E15" s="1" t="s">
        <v>1303</v>
      </c>
      <c r="I15" s="687" t="s">
        <v>1569</v>
      </c>
      <c r="J15" s="687"/>
      <c r="M15" s="1" t="s">
        <v>1304</v>
      </c>
    </row>
    <row r="16" spans="1:46">
      <c r="A16" t="s">
        <v>88</v>
      </c>
      <c r="B16" s="48">
        <v>42.9</v>
      </c>
      <c r="C16" s="2">
        <f>B16/$B$21</f>
        <v>0.44640998959417277</v>
      </c>
      <c r="E16" t="s">
        <v>88</v>
      </c>
      <c r="F16" s="48">
        <f>B16-7.1</f>
        <v>35.799999999999997</v>
      </c>
      <c r="G16" s="2">
        <f>F16/$F$21</f>
        <v>0.36125126135216951</v>
      </c>
      <c r="H16" s="694" t="s">
        <v>1572</v>
      </c>
      <c r="I16" s="2">
        <f>C7/SUM(C7:C9)</f>
        <v>0.3558123534480917</v>
      </c>
      <c r="J16" s="2">
        <f>I16-(J17-I17)/2</f>
        <v>0.35009794957136492</v>
      </c>
      <c r="M16" s="1" t="s">
        <v>88</v>
      </c>
      <c r="N16" s="101">
        <f>N$3*$J16</f>
        <v>1529766.906816571</v>
      </c>
      <c r="O16" s="101">
        <f>O$3*$J16</f>
        <v>1529766.906816571</v>
      </c>
      <c r="P16" s="101">
        <f t="shared" ref="P16:AR17" si="15">P$3*$J16</f>
        <v>1529766.906816571</v>
      </c>
      <c r="Q16" s="101">
        <f t="shared" si="15"/>
        <v>1529766.906816571</v>
      </c>
      <c r="R16" s="101">
        <f t="shared" si="15"/>
        <v>1529766.906816571</v>
      </c>
      <c r="S16" s="101">
        <f t="shared" si="15"/>
        <v>1529766.906816571</v>
      </c>
      <c r="T16" s="101">
        <f t="shared" si="15"/>
        <v>1529766.906816571</v>
      </c>
      <c r="U16" s="101">
        <f t="shared" si="15"/>
        <v>1529766.906816571</v>
      </c>
      <c r="V16" s="101">
        <f t="shared" si="15"/>
        <v>1529766.906816571</v>
      </c>
      <c r="W16" s="101">
        <f t="shared" si="15"/>
        <v>1529766.906816571</v>
      </c>
      <c r="X16" s="101">
        <f t="shared" si="15"/>
        <v>1529766.906816571</v>
      </c>
      <c r="Y16" s="101">
        <f t="shared" si="15"/>
        <v>1529766.906816571</v>
      </c>
      <c r="Z16" s="101">
        <f t="shared" si="15"/>
        <v>1529766.906816571</v>
      </c>
      <c r="AA16" s="101">
        <f t="shared" si="15"/>
        <v>1529766.906816571</v>
      </c>
      <c r="AB16" s="101">
        <f t="shared" si="15"/>
        <v>1529766.906816571</v>
      </c>
      <c r="AC16" s="101">
        <f t="shared" si="15"/>
        <v>1529766.906816571</v>
      </c>
      <c r="AD16" s="101">
        <f t="shared" si="15"/>
        <v>1529766.906816571</v>
      </c>
      <c r="AE16" s="101">
        <f t="shared" si="15"/>
        <v>1529766.906816571</v>
      </c>
      <c r="AF16" s="101">
        <f t="shared" si="15"/>
        <v>1529766.906816571</v>
      </c>
      <c r="AG16" s="101">
        <f t="shared" si="15"/>
        <v>1529766.906816571</v>
      </c>
      <c r="AH16" s="101">
        <f t="shared" si="15"/>
        <v>1529766.906816571</v>
      </c>
      <c r="AI16" s="101">
        <f t="shared" si="15"/>
        <v>1529766.906816571</v>
      </c>
      <c r="AJ16" s="101">
        <f t="shared" si="15"/>
        <v>1529766.906816571</v>
      </c>
      <c r="AK16" s="101">
        <f t="shared" si="15"/>
        <v>1529766.906816571</v>
      </c>
      <c r="AL16" s="101">
        <f t="shared" si="15"/>
        <v>1529766.906816571</v>
      </c>
      <c r="AM16" s="101">
        <f t="shared" si="15"/>
        <v>1529766.906816571</v>
      </c>
      <c r="AN16" s="101">
        <f t="shared" si="15"/>
        <v>1529766.906816571</v>
      </c>
      <c r="AO16" s="101">
        <f t="shared" si="15"/>
        <v>1529766.906816571</v>
      </c>
      <c r="AP16" s="101">
        <f t="shared" si="15"/>
        <v>1529766.906816571</v>
      </c>
      <c r="AQ16" s="101">
        <f t="shared" si="15"/>
        <v>1529766.906816571</v>
      </c>
      <c r="AR16" s="101">
        <f t="shared" si="15"/>
        <v>1529766.906816571</v>
      </c>
    </row>
    <row r="17" spans="1:44">
      <c r="A17" t="s">
        <v>797</v>
      </c>
      <c r="B17" s="48">
        <v>11.6</v>
      </c>
      <c r="C17" s="2">
        <f>B17/$B$21</f>
        <v>0.12070759625390219</v>
      </c>
      <c r="E17" t="s">
        <v>797</v>
      </c>
      <c r="F17" s="48">
        <f>B17+11.6</f>
        <v>23.2</v>
      </c>
      <c r="G17" s="2">
        <f t="shared" ref="G17:G20" si="16">F17/$F$21</f>
        <v>0.23410696266397579</v>
      </c>
      <c r="H17" s="694"/>
      <c r="I17" s="2">
        <f>C8/SUM(C7:C9)</f>
        <v>2.4330716398866803E-2</v>
      </c>
      <c r="J17" s="2">
        <f>I17*(1+(G17/C17-1)/2)</f>
        <v>3.5759524152320379E-2</v>
      </c>
      <c r="M17" s="1" t="s">
        <v>797</v>
      </c>
      <c r="N17" s="101">
        <f>N$3*$J17</f>
        <v>156252.66220125821</v>
      </c>
      <c r="O17" s="101">
        <f>O$3*$J17</f>
        <v>156252.66220125821</v>
      </c>
      <c r="P17" s="101">
        <f t="shared" si="15"/>
        <v>156252.66220125821</v>
      </c>
      <c r="Q17" s="101">
        <f t="shared" si="15"/>
        <v>156252.66220125821</v>
      </c>
      <c r="R17" s="101">
        <f t="shared" si="15"/>
        <v>156252.66220125821</v>
      </c>
      <c r="S17" s="101">
        <f t="shared" si="15"/>
        <v>156252.66220125821</v>
      </c>
      <c r="T17" s="101">
        <f t="shared" si="15"/>
        <v>156252.66220125821</v>
      </c>
      <c r="U17" s="101">
        <f t="shared" si="15"/>
        <v>156252.66220125821</v>
      </c>
      <c r="V17" s="101">
        <f t="shared" si="15"/>
        <v>156252.66220125821</v>
      </c>
      <c r="W17" s="101">
        <f t="shared" si="15"/>
        <v>156252.66220125821</v>
      </c>
      <c r="X17" s="101">
        <f t="shared" si="15"/>
        <v>156252.66220125821</v>
      </c>
      <c r="Y17" s="101">
        <f t="shared" si="15"/>
        <v>156252.66220125821</v>
      </c>
      <c r="Z17" s="101">
        <f t="shared" si="15"/>
        <v>156252.66220125821</v>
      </c>
      <c r="AA17" s="101">
        <f t="shared" si="15"/>
        <v>156252.66220125821</v>
      </c>
      <c r="AB17" s="101">
        <f t="shared" si="15"/>
        <v>156252.66220125821</v>
      </c>
      <c r="AC17" s="101">
        <f t="shared" si="15"/>
        <v>156252.66220125821</v>
      </c>
      <c r="AD17" s="101">
        <f t="shared" si="15"/>
        <v>156252.66220125821</v>
      </c>
      <c r="AE17" s="101">
        <f t="shared" si="15"/>
        <v>156252.66220125821</v>
      </c>
      <c r="AF17" s="101">
        <f t="shared" si="15"/>
        <v>156252.66220125821</v>
      </c>
      <c r="AG17" s="101">
        <f t="shared" si="15"/>
        <v>156252.66220125821</v>
      </c>
      <c r="AH17" s="101">
        <f t="shared" si="15"/>
        <v>156252.66220125821</v>
      </c>
      <c r="AI17" s="101">
        <f t="shared" si="15"/>
        <v>156252.66220125821</v>
      </c>
      <c r="AJ17" s="101">
        <f t="shared" si="15"/>
        <v>156252.66220125821</v>
      </c>
      <c r="AK17" s="101">
        <f t="shared" si="15"/>
        <v>156252.66220125821</v>
      </c>
      <c r="AL17" s="101">
        <f t="shared" si="15"/>
        <v>156252.66220125821</v>
      </c>
      <c r="AM17" s="101">
        <f t="shared" si="15"/>
        <v>156252.66220125821</v>
      </c>
      <c r="AN17" s="101">
        <f t="shared" si="15"/>
        <v>156252.66220125821</v>
      </c>
      <c r="AO17" s="101">
        <f t="shared" si="15"/>
        <v>156252.66220125821</v>
      </c>
      <c r="AP17" s="101">
        <f t="shared" si="15"/>
        <v>156252.66220125821</v>
      </c>
      <c r="AQ17" s="101">
        <f t="shared" si="15"/>
        <v>156252.66220125821</v>
      </c>
      <c r="AR17" s="101">
        <f t="shared" si="15"/>
        <v>156252.66220125821</v>
      </c>
    </row>
    <row r="18" spans="1:44">
      <c r="A18" t="s">
        <v>1198</v>
      </c>
      <c r="B18" s="48">
        <v>37.4</v>
      </c>
      <c r="C18" s="2">
        <f>B18/$B$21</f>
        <v>0.3891779396462019</v>
      </c>
      <c r="E18" t="s">
        <v>1198</v>
      </c>
      <c r="F18" s="48">
        <f>B18-0.9</f>
        <v>36.5</v>
      </c>
      <c r="G18" s="2">
        <f t="shared" si="16"/>
        <v>0.36831483350151362</v>
      </c>
      <c r="H18" s="694"/>
      <c r="I18" s="2">
        <f>C9/SUM(C7:C9)</f>
        <v>0.61985693015304155</v>
      </c>
      <c r="J18" s="2">
        <f>I18-(J17-I17)/2</f>
        <v>0.61414252627631472</v>
      </c>
      <c r="M18" s="1" t="s">
        <v>798</v>
      </c>
      <c r="N18" s="101">
        <f>SUM(N19:N21)</f>
        <v>2683520.1803280581</v>
      </c>
      <c r="O18" s="101">
        <f>SUM(O19:O21)</f>
        <v>2683520.1803280581</v>
      </c>
      <c r="P18" s="101">
        <f t="shared" ref="P18:AR18" si="17">SUM(P19:P21)</f>
        <v>2683520.1803280581</v>
      </c>
      <c r="Q18" s="101">
        <f t="shared" si="17"/>
        <v>2683520.1803280581</v>
      </c>
      <c r="R18" s="101">
        <f t="shared" si="17"/>
        <v>2683520.1803280581</v>
      </c>
      <c r="S18" s="101">
        <f t="shared" si="17"/>
        <v>2683520.1803280581</v>
      </c>
      <c r="T18" s="101">
        <f t="shared" si="17"/>
        <v>2683520.1803280581</v>
      </c>
      <c r="U18" s="101">
        <f t="shared" si="17"/>
        <v>2683520.1803280581</v>
      </c>
      <c r="V18" s="101">
        <f t="shared" si="17"/>
        <v>2683520.1803280581</v>
      </c>
      <c r="W18" s="101">
        <f t="shared" si="17"/>
        <v>2683520.1803280581</v>
      </c>
      <c r="X18" s="101">
        <f t="shared" si="17"/>
        <v>2683520.1803280581</v>
      </c>
      <c r="Y18" s="101">
        <f t="shared" si="17"/>
        <v>2683520.1803280581</v>
      </c>
      <c r="Z18" s="101">
        <f t="shared" si="17"/>
        <v>2683520.1803280581</v>
      </c>
      <c r="AA18" s="101">
        <f t="shared" si="17"/>
        <v>2683520.1803280581</v>
      </c>
      <c r="AB18" s="101">
        <f t="shared" si="17"/>
        <v>2683520.1803280581</v>
      </c>
      <c r="AC18" s="101">
        <f t="shared" si="17"/>
        <v>2683520.1803280581</v>
      </c>
      <c r="AD18" s="101">
        <f t="shared" si="17"/>
        <v>2683520.1803280581</v>
      </c>
      <c r="AE18" s="101">
        <f t="shared" si="17"/>
        <v>2683520.1803280581</v>
      </c>
      <c r="AF18" s="101">
        <f t="shared" si="17"/>
        <v>2683520.1803280581</v>
      </c>
      <c r="AG18" s="101">
        <f t="shared" si="17"/>
        <v>2683520.1803280581</v>
      </c>
      <c r="AH18" s="101">
        <f t="shared" si="17"/>
        <v>2683520.1803280581</v>
      </c>
      <c r="AI18" s="101">
        <f t="shared" si="17"/>
        <v>2683520.1803280581</v>
      </c>
      <c r="AJ18" s="101">
        <f t="shared" si="17"/>
        <v>2683520.1803280581</v>
      </c>
      <c r="AK18" s="101">
        <f t="shared" si="17"/>
        <v>2683520.1803280581</v>
      </c>
      <c r="AL18" s="101">
        <f t="shared" si="17"/>
        <v>2683520.1803280581</v>
      </c>
      <c r="AM18" s="101">
        <f t="shared" si="17"/>
        <v>2683520.1803280581</v>
      </c>
      <c r="AN18" s="101">
        <f t="shared" si="17"/>
        <v>2683520.1803280581</v>
      </c>
      <c r="AO18" s="101">
        <f t="shared" si="17"/>
        <v>2683520.1803280581</v>
      </c>
      <c r="AP18" s="101">
        <f t="shared" si="17"/>
        <v>2683520.1803280581</v>
      </c>
      <c r="AQ18" s="101">
        <f t="shared" si="17"/>
        <v>2683520.1803280581</v>
      </c>
      <c r="AR18" s="101">
        <f t="shared" si="17"/>
        <v>2683520.1803280581</v>
      </c>
    </row>
    <row r="19" spans="1:44">
      <c r="A19" t="s">
        <v>1199</v>
      </c>
      <c r="B19" s="48">
        <v>3.6</v>
      </c>
      <c r="C19" s="2">
        <f>B19/$B$21</f>
        <v>3.7460978147762752E-2</v>
      </c>
      <c r="E19" t="s">
        <v>1199</v>
      </c>
      <c r="F19" s="48">
        <f>B19-0.8</f>
        <v>2.8</v>
      </c>
      <c r="G19" s="2">
        <f t="shared" si="16"/>
        <v>2.8254288597376387E-2</v>
      </c>
      <c r="H19" s="694"/>
      <c r="I19" s="6">
        <f>$I$18*C18/SUM($C$18:$C$20)</f>
        <v>0.55727522085874404</v>
      </c>
      <c r="J19" s="6">
        <f>$J$18*G18/SUM($G$18:$G$20)</f>
        <v>0.55900753638617173</v>
      </c>
      <c r="M19" s="1" t="s">
        <v>1198</v>
      </c>
      <c r="N19" s="101">
        <f>N$3*$J19</f>
        <v>2442605.6504232949</v>
      </c>
      <c r="O19" s="101">
        <f t="shared" ref="O19:AR21" si="18">O$3*$J19</f>
        <v>2442605.6504232949</v>
      </c>
      <c r="P19" s="101">
        <f t="shared" si="18"/>
        <v>2442605.6504232949</v>
      </c>
      <c r="Q19" s="101">
        <f t="shared" si="18"/>
        <v>2442605.6504232949</v>
      </c>
      <c r="R19" s="101">
        <f t="shared" si="18"/>
        <v>2442605.6504232949</v>
      </c>
      <c r="S19" s="101">
        <f t="shared" si="18"/>
        <v>2442605.6504232949</v>
      </c>
      <c r="T19" s="101">
        <f t="shared" si="18"/>
        <v>2442605.6504232949</v>
      </c>
      <c r="U19" s="101">
        <f t="shared" si="18"/>
        <v>2442605.6504232949</v>
      </c>
      <c r="V19" s="101">
        <f t="shared" si="18"/>
        <v>2442605.6504232949</v>
      </c>
      <c r="W19" s="101">
        <f t="shared" si="18"/>
        <v>2442605.6504232949</v>
      </c>
      <c r="X19" s="101">
        <f t="shared" si="18"/>
        <v>2442605.6504232949</v>
      </c>
      <c r="Y19" s="101">
        <f t="shared" si="18"/>
        <v>2442605.6504232949</v>
      </c>
      <c r="Z19" s="101">
        <f t="shared" si="18"/>
        <v>2442605.6504232949</v>
      </c>
      <c r="AA19" s="101">
        <f t="shared" si="18"/>
        <v>2442605.6504232949</v>
      </c>
      <c r="AB19" s="101">
        <f t="shared" si="18"/>
        <v>2442605.6504232949</v>
      </c>
      <c r="AC19" s="101">
        <f t="shared" si="18"/>
        <v>2442605.6504232949</v>
      </c>
      <c r="AD19" s="101">
        <f t="shared" si="18"/>
        <v>2442605.6504232949</v>
      </c>
      <c r="AE19" s="101">
        <f t="shared" si="18"/>
        <v>2442605.6504232949</v>
      </c>
      <c r="AF19" s="101">
        <f t="shared" si="18"/>
        <v>2442605.6504232949</v>
      </c>
      <c r="AG19" s="101">
        <f t="shared" si="18"/>
        <v>2442605.6504232949</v>
      </c>
      <c r="AH19" s="101">
        <f t="shared" si="18"/>
        <v>2442605.6504232949</v>
      </c>
      <c r="AI19" s="101">
        <f t="shared" si="18"/>
        <v>2442605.6504232949</v>
      </c>
      <c r="AJ19" s="101">
        <f t="shared" si="18"/>
        <v>2442605.6504232949</v>
      </c>
      <c r="AK19" s="101">
        <f t="shared" si="18"/>
        <v>2442605.6504232949</v>
      </c>
      <c r="AL19" s="101">
        <f t="shared" si="18"/>
        <v>2442605.6504232949</v>
      </c>
      <c r="AM19" s="101">
        <f t="shared" si="18"/>
        <v>2442605.6504232949</v>
      </c>
      <c r="AN19" s="101">
        <f t="shared" si="18"/>
        <v>2442605.6504232949</v>
      </c>
      <c r="AO19" s="101">
        <f t="shared" si="18"/>
        <v>2442605.6504232949</v>
      </c>
      <c r="AP19" s="101">
        <f t="shared" si="18"/>
        <v>2442605.6504232949</v>
      </c>
      <c r="AQ19" s="101">
        <f t="shared" si="18"/>
        <v>2442605.6504232949</v>
      </c>
      <c r="AR19" s="101">
        <f t="shared" si="18"/>
        <v>2442605.6504232949</v>
      </c>
    </row>
    <row r="20" spans="1:44">
      <c r="A20" t="s">
        <v>1200</v>
      </c>
      <c r="B20" s="48">
        <v>0.6</v>
      </c>
      <c r="C20" s="22">
        <f>B20/$B$21</f>
        <v>6.2434963579604576E-3</v>
      </c>
      <c r="E20" t="s">
        <v>1200</v>
      </c>
      <c r="F20" s="48">
        <v>0.8</v>
      </c>
      <c r="G20" s="2">
        <f t="shared" si="16"/>
        <v>8.0726538849646822E-3</v>
      </c>
      <c r="H20" s="694"/>
      <c r="I20" s="6">
        <f t="shared" ref="I20:I21" si="19">$I$18*C19/SUM($C$18:$C$20)</f>
        <v>5.3641465109397823E-2</v>
      </c>
      <c r="J20" s="6">
        <f t="shared" ref="J20:J21" si="20">$J$18*G19/SUM($G$18:$G$20)</f>
        <v>4.2882769914555641E-2</v>
      </c>
      <c r="M20" s="1" t="s">
        <v>1199</v>
      </c>
      <c r="N20" s="101">
        <f>N$3*$J20</f>
        <v>187377.96770370481</v>
      </c>
      <c r="O20" s="101">
        <f t="shared" si="18"/>
        <v>187377.96770370481</v>
      </c>
      <c r="P20" s="101">
        <f t="shared" si="18"/>
        <v>187377.96770370481</v>
      </c>
      <c r="Q20" s="101">
        <f t="shared" si="18"/>
        <v>187377.96770370481</v>
      </c>
      <c r="R20" s="101">
        <f t="shared" si="18"/>
        <v>187377.96770370481</v>
      </c>
      <c r="S20" s="101">
        <f t="shared" si="18"/>
        <v>187377.96770370481</v>
      </c>
      <c r="T20" s="101">
        <f t="shared" si="18"/>
        <v>187377.96770370481</v>
      </c>
      <c r="U20" s="101">
        <f t="shared" si="18"/>
        <v>187377.96770370481</v>
      </c>
      <c r="V20" s="101">
        <f t="shared" si="18"/>
        <v>187377.96770370481</v>
      </c>
      <c r="W20" s="101">
        <f t="shared" si="18"/>
        <v>187377.96770370481</v>
      </c>
      <c r="X20" s="101">
        <f t="shared" si="18"/>
        <v>187377.96770370481</v>
      </c>
      <c r="Y20" s="101">
        <f t="shared" si="18"/>
        <v>187377.96770370481</v>
      </c>
      <c r="Z20" s="101">
        <f t="shared" si="18"/>
        <v>187377.96770370481</v>
      </c>
      <c r="AA20" s="101">
        <f t="shared" si="18"/>
        <v>187377.96770370481</v>
      </c>
      <c r="AB20" s="101">
        <f t="shared" si="18"/>
        <v>187377.96770370481</v>
      </c>
      <c r="AC20" s="101">
        <f t="shared" si="18"/>
        <v>187377.96770370481</v>
      </c>
      <c r="AD20" s="101">
        <f t="shared" si="18"/>
        <v>187377.96770370481</v>
      </c>
      <c r="AE20" s="101">
        <f t="shared" si="18"/>
        <v>187377.96770370481</v>
      </c>
      <c r="AF20" s="101">
        <f t="shared" si="18"/>
        <v>187377.96770370481</v>
      </c>
      <c r="AG20" s="101">
        <f t="shared" si="18"/>
        <v>187377.96770370481</v>
      </c>
      <c r="AH20" s="101">
        <f t="shared" si="18"/>
        <v>187377.96770370481</v>
      </c>
      <c r="AI20" s="101">
        <f t="shared" si="18"/>
        <v>187377.96770370481</v>
      </c>
      <c r="AJ20" s="101">
        <f t="shared" si="18"/>
        <v>187377.96770370481</v>
      </c>
      <c r="AK20" s="101">
        <f t="shared" si="18"/>
        <v>187377.96770370481</v>
      </c>
      <c r="AL20" s="101">
        <f t="shared" si="18"/>
        <v>187377.96770370481</v>
      </c>
      <c r="AM20" s="101">
        <f t="shared" si="18"/>
        <v>187377.96770370481</v>
      </c>
      <c r="AN20" s="101">
        <f t="shared" si="18"/>
        <v>187377.96770370481</v>
      </c>
      <c r="AO20" s="101">
        <f t="shared" si="18"/>
        <v>187377.96770370481</v>
      </c>
      <c r="AP20" s="101">
        <f t="shared" si="18"/>
        <v>187377.96770370481</v>
      </c>
      <c r="AQ20" s="101">
        <f t="shared" si="18"/>
        <v>187377.96770370481</v>
      </c>
      <c r="AR20" s="101">
        <f t="shared" si="18"/>
        <v>187377.96770370481</v>
      </c>
    </row>
    <row r="21" spans="1:44">
      <c r="B21">
        <f>SUM(B16:B20)</f>
        <v>96.1</v>
      </c>
      <c r="C21" s="6">
        <f>SUM(C16:C20)</f>
        <v>1</v>
      </c>
      <c r="F21">
        <f>SUM(F16:F20)</f>
        <v>99.1</v>
      </c>
      <c r="G21" s="6">
        <f>SUM(G16:G20)</f>
        <v>1</v>
      </c>
      <c r="H21" s="694"/>
      <c r="I21" s="6">
        <f t="shared" si="19"/>
        <v>8.9402441848996372E-3</v>
      </c>
      <c r="J21" s="6">
        <f t="shared" si="20"/>
        <v>1.2252219975587326E-2</v>
      </c>
      <c r="M21" s="1" t="s">
        <v>1200</v>
      </c>
      <c r="N21" s="101">
        <f>N$3*$J21</f>
        <v>53536.562201058521</v>
      </c>
      <c r="O21" s="101">
        <f t="shared" si="18"/>
        <v>53536.562201058521</v>
      </c>
      <c r="P21" s="101">
        <f t="shared" si="18"/>
        <v>53536.562201058521</v>
      </c>
      <c r="Q21" s="101">
        <f t="shared" si="18"/>
        <v>53536.562201058521</v>
      </c>
      <c r="R21" s="101">
        <f t="shared" si="18"/>
        <v>53536.562201058521</v>
      </c>
      <c r="S21" s="101">
        <f t="shared" si="18"/>
        <v>53536.562201058521</v>
      </c>
      <c r="T21" s="101">
        <f t="shared" si="18"/>
        <v>53536.562201058521</v>
      </c>
      <c r="U21" s="101">
        <f t="shared" si="18"/>
        <v>53536.562201058521</v>
      </c>
      <c r="V21" s="101">
        <f t="shared" si="18"/>
        <v>53536.562201058521</v>
      </c>
      <c r="W21" s="101">
        <f t="shared" si="18"/>
        <v>53536.562201058521</v>
      </c>
      <c r="X21" s="101">
        <f t="shared" si="18"/>
        <v>53536.562201058521</v>
      </c>
      <c r="Y21" s="101">
        <f t="shared" si="18"/>
        <v>53536.562201058521</v>
      </c>
      <c r="Z21" s="101">
        <f t="shared" si="18"/>
        <v>53536.562201058521</v>
      </c>
      <c r="AA21" s="101">
        <f t="shared" si="18"/>
        <v>53536.562201058521</v>
      </c>
      <c r="AB21" s="101">
        <f t="shared" si="18"/>
        <v>53536.562201058521</v>
      </c>
      <c r="AC21" s="101">
        <f t="shared" si="18"/>
        <v>53536.562201058521</v>
      </c>
      <c r="AD21" s="101">
        <f t="shared" si="18"/>
        <v>53536.562201058521</v>
      </c>
      <c r="AE21" s="101">
        <f t="shared" si="18"/>
        <v>53536.562201058521</v>
      </c>
      <c r="AF21" s="101">
        <f t="shared" si="18"/>
        <v>53536.562201058521</v>
      </c>
      <c r="AG21" s="101">
        <f t="shared" si="18"/>
        <v>53536.562201058521</v>
      </c>
      <c r="AH21" s="101">
        <f t="shared" si="18"/>
        <v>53536.562201058521</v>
      </c>
      <c r="AI21" s="101">
        <f t="shared" si="18"/>
        <v>53536.562201058521</v>
      </c>
      <c r="AJ21" s="101">
        <f t="shared" si="18"/>
        <v>53536.562201058521</v>
      </c>
      <c r="AK21" s="101">
        <f t="shared" si="18"/>
        <v>53536.562201058521</v>
      </c>
      <c r="AL21" s="101">
        <f t="shared" si="18"/>
        <v>53536.562201058521</v>
      </c>
      <c r="AM21" s="101">
        <f t="shared" si="18"/>
        <v>53536.562201058521</v>
      </c>
      <c r="AN21" s="101">
        <f t="shared" si="18"/>
        <v>53536.562201058521</v>
      </c>
      <c r="AO21" s="101">
        <f t="shared" si="18"/>
        <v>53536.562201058521</v>
      </c>
      <c r="AP21" s="101">
        <f t="shared" si="18"/>
        <v>53536.562201058521</v>
      </c>
      <c r="AQ21" s="101">
        <f t="shared" si="18"/>
        <v>53536.562201058521</v>
      </c>
      <c r="AR21" s="101">
        <f t="shared" si="18"/>
        <v>53536.562201058521</v>
      </c>
    </row>
    <row r="22" spans="1:44">
      <c r="A22" t="s">
        <v>1307</v>
      </c>
      <c r="B22" t="s">
        <v>1306</v>
      </c>
      <c r="I22" t="s">
        <v>1570</v>
      </c>
      <c r="J22" t="s">
        <v>1571</v>
      </c>
      <c r="M22" s="1" t="s">
        <v>78</v>
      </c>
      <c r="N22" s="101">
        <f>SUM(N16:N18)</f>
        <v>4369539.7493458875</v>
      </c>
      <c r="O22" s="101">
        <f t="shared" ref="O22:AR22" si="21">SUM(O16:O18)</f>
        <v>4369539.7493458875</v>
      </c>
      <c r="P22" s="101">
        <f t="shared" si="21"/>
        <v>4369539.7493458875</v>
      </c>
      <c r="Q22" s="101">
        <f t="shared" si="21"/>
        <v>4369539.7493458875</v>
      </c>
      <c r="R22" s="101">
        <f t="shared" si="21"/>
        <v>4369539.7493458875</v>
      </c>
      <c r="S22" s="101">
        <f t="shared" si="21"/>
        <v>4369539.7493458875</v>
      </c>
      <c r="T22" s="101">
        <f t="shared" si="21"/>
        <v>4369539.7493458875</v>
      </c>
      <c r="U22" s="101">
        <f t="shared" si="21"/>
        <v>4369539.7493458875</v>
      </c>
      <c r="V22" s="101">
        <f t="shared" si="21"/>
        <v>4369539.7493458875</v>
      </c>
      <c r="W22" s="101">
        <f t="shared" si="21"/>
        <v>4369539.7493458875</v>
      </c>
      <c r="X22" s="101">
        <f t="shared" si="21"/>
        <v>4369539.7493458875</v>
      </c>
      <c r="Y22" s="101">
        <f t="shared" si="21"/>
        <v>4369539.7493458875</v>
      </c>
      <c r="Z22" s="101">
        <f t="shared" si="21"/>
        <v>4369539.7493458875</v>
      </c>
      <c r="AA22" s="101">
        <f t="shared" si="21"/>
        <v>4369539.7493458875</v>
      </c>
      <c r="AB22" s="101">
        <f t="shared" si="21"/>
        <v>4369539.7493458875</v>
      </c>
      <c r="AC22" s="101">
        <f t="shared" si="21"/>
        <v>4369539.7493458875</v>
      </c>
      <c r="AD22" s="101">
        <f t="shared" si="21"/>
        <v>4369539.7493458875</v>
      </c>
      <c r="AE22" s="101">
        <f t="shared" si="21"/>
        <v>4369539.7493458875</v>
      </c>
      <c r="AF22" s="101">
        <f t="shared" si="21"/>
        <v>4369539.7493458875</v>
      </c>
      <c r="AG22" s="101">
        <f t="shared" si="21"/>
        <v>4369539.7493458875</v>
      </c>
      <c r="AH22" s="101">
        <f t="shared" si="21"/>
        <v>4369539.7493458875</v>
      </c>
      <c r="AI22" s="101">
        <f t="shared" si="21"/>
        <v>4369539.7493458875</v>
      </c>
      <c r="AJ22" s="101">
        <f t="shared" si="21"/>
        <v>4369539.7493458875</v>
      </c>
      <c r="AK22" s="101">
        <f t="shared" si="21"/>
        <v>4369539.7493458875</v>
      </c>
      <c r="AL22" s="101">
        <f t="shared" si="21"/>
        <v>4369539.7493458875</v>
      </c>
      <c r="AM22" s="101">
        <f t="shared" si="21"/>
        <v>4369539.7493458875</v>
      </c>
      <c r="AN22" s="101">
        <f t="shared" si="21"/>
        <v>4369539.7493458875</v>
      </c>
      <c r="AO22" s="101">
        <f t="shared" si="21"/>
        <v>4369539.7493458875</v>
      </c>
      <c r="AP22" s="101">
        <f t="shared" si="21"/>
        <v>4369539.7493458875</v>
      </c>
      <c r="AQ22" s="101">
        <f t="shared" si="21"/>
        <v>4369539.7493458875</v>
      </c>
      <c r="AR22" s="101">
        <f t="shared" si="21"/>
        <v>4369539.7493458875</v>
      </c>
    </row>
    <row r="23" spans="1:44">
      <c r="B23" s="48" t="s">
        <v>1308</v>
      </c>
    </row>
    <row r="24" spans="1:44">
      <c r="B24" s="48"/>
    </row>
    <row r="25" spans="1:44">
      <c r="A25" t="s">
        <v>1321</v>
      </c>
      <c r="B25" s="48"/>
    </row>
    <row r="26" spans="1:44">
      <c r="A26" t="s">
        <v>797</v>
      </c>
      <c r="B26" s="48">
        <f>F17-B17</f>
        <v>11.6</v>
      </c>
      <c r="C26" t="s">
        <v>154</v>
      </c>
      <c r="D26" t="s">
        <v>1322</v>
      </c>
    </row>
    <row r="27" spans="1:44">
      <c r="A27" t="s">
        <v>88</v>
      </c>
      <c r="B27" s="48">
        <f>B16-F16</f>
        <v>7.1000000000000014</v>
      </c>
      <c r="D27" t="s">
        <v>1323</v>
      </c>
    </row>
    <row r="28" spans="1:44">
      <c r="A28" t="s">
        <v>798</v>
      </c>
      <c r="B28">
        <f>B26-B27</f>
        <v>4.4999999999999982</v>
      </c>
    </row>
  </sheetData>
  <mergeCells count="2">
    <mergeCell ref="I15:J15"/>
    <mergeCell ref="H16:H21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7"/>
  </sheetPr>
  <dimension ref="A1:AP47"/>
  <sheetViews>
    <sheetView workbookViewId="0">
      <selection activeCell="I19" sqref="I19"/>
    </sheetView>
  </sheetViews>
  <sheetFormatPr defaultRowHeight="14.75" outlineLevelCol="1"/>
  <cols>
    <col min="1" max="1" width="19.08984375" bestFit="1" customWidth="1"/>
    <col min="2" max="9" width="11.08984375" customWidth="1"/>
    <col min="10" max="10" width="5" customWidth="1"/>
    <col min="11" max="11" width="17.54296875" customWidth="1"/>
    <col min="12" max="12" width="13.40625" bestFit="1" customWidth="1"/>
    <col min="13" max="21" width="8.81640625" hidden="1" customWidth="1" outlineLevel="1"/>
    <col min="22" max="22" width="13.40625" bestFit="1" customWidth="1" collapsed="1"/>
    <col min="23" max="31" width="8.81640625" hidden="1" customWidth="1" outlineLevel="1"/>
    <col min="32" max="32" width="13.40625" bestFit="1" customWidth="1" collapsed="1"/>
    <col min="33" max="41" width="8.81640625" hidden="1" customWidth="1" outlineLevel="1"/>
    <col min="42" max="42" width="13.40625" bestFit="1" customWidth="1" collapsed="1"/>
  </cols>
  <sheetData>
    <row r="1" spans="1:42" s="63" customFormat="1">
      <c r="A1" s="59"/>
      <c r="K1" s="59" t="s">
        <v>329</v>
      </c>
    </row>
    <row r="2" spans="1:42">
      <c r="B2" s="1">
        <v>2019</v>
      </c>
      <c r="C2" s="1">
        <v>2020</v>
      </c>
      <c r="D2" s="1">
        <v>2025</v>
      </c>
      <c r="E2" s="1">
        <v>2030</v>
      </c>
      <c r="F2" s="1">
        <v>2035</v>
      </c>
      <c r="G2" s="1">
        <v>2040</v>
      </c>
      <c r="H2" s="1">
        <v>2045</v>
      </c>
      <c r="I2" s="1">
        <v>2050</v>
      </c>
      <c r="L2">
        <v>2020</v>
      </c>
      <c r="M2">
        <f>L2+1</f>
        <v>2021</v>
      </c>
      <c r="N2">
        <f t="shared" ref="N2:AP2" si="0">M2+1</f>
        <v>2022</v>
      </c>
      <c r="O2">
        <f t="shared" si="0"/>
        <v>2023</v>
      </c>
      <c r="P2">
        <f t="shared" si="0"/>
        <v>2024</v>
      </c>
      <c r="Q2">
        <f t="shared" si="0"/>
        <v>2025</v>
      </c>
      <c r="R2">
        <f t="shared" si="0"/>
        <v>2026</v>
      </c>
      <c r="S2">
        <f t="shared" si="0"/>
        <v>2027</v>
      </c>
      <c r="T2">
        <f t="shared" si="0"/>
        <v>2028</v>
      </c>
      <c r="U2">
        <f t="shared" si="0"/>
        <v>2029</v>
      </c>
      <c r="V2">
        <f t="shared" si="0"/>
        <v>2030</v>
      </c>
      <c r="W2">
        <f t="shared" si="0"/>
        <v>2031</v>
      </c>
      <c r="X2">
        <f t="shared" si="0"/>
        <v>2032</v>
      </c>
      <c r="Y2">
        <f t="shared" si="0"/>
        <v>2033</v>
      </c>
      <c r="Z2">
        <f>Y2+1</f>
        <v>2034</v>
      </c>
      <c r="AA2">
        <f t="shared" si="0"/>
        <v>2035</v>
      </c>
      <c r="AB2">
        <f t="shared" si="0"/>
        <v>2036</v>
      </c>
      <c r="AC2">
        <f t="shared" si="0"/>
        <v>2037</v>
      </c>
      <c r="AD2">
        <f t="shared" si="0"/>
        <v>2038</v>
      </c>
      <c r="AE2">
        <f t="shared" si="0"/>
        <v>2039</v>
      </c>
      <c r="AF2">
        <f t="shared" si="0"/>
        <v>2040</v>
      </c>
      <c r="AG2">
        <f t="shared" si="0"/>
        <v>2041</v>
      </c>
      <c r="AH2">
        <f t="shared" si="0"/>
        <v>2042</v>
      </c>
      <c r="AI2">
        <f t="shared" si="0"/>
        <v>2043</v>
      </c>
      <c r="AJ2">
        <f t="shared" si="0"/>
        <v>2044</v>
      </c>
      <c r="AK2">
        <f>AJ2+1</f>
        <v>2045</v>
      </c>
      <c r="AL2">
        <f t="shared" si="0"/>
        <v>2046</v>
      </c>
      <c r="AM2">
        <f t="shared" si="0"/>
        <v>2047</v>
      </c>
      <c r="AN2">
        <f t="shared" si="0"/>
        <v>2048</v>
      </c>
      <c r="AO2">
        <f>AN2+1</f>
        <v>2049</v>
      </c>
      <c r="AP2">
        <f t="shared" si="0"/>
        <v>2050</v>
      </c>
    </row>
    <row r="3" spans="1:42">
      <c r="A3" s="1" t="s">
        <v>3</v>
      </c>
      <c r="B3" s="122">
        <f>'Yearly Demand Japan'!C15</f>
        <v>1049369.6122000003</v>
      </c>
      <c r="C3" s="122">
        <f>'Yearly Demand Japan'!C16</f>
        <v>1049369.6122000003</v>
      </c>
      <c r="D3" s="122">
        <f>'Yearly Demand Japan'!C17</f>
        <v>1049369.6122000003</v>
      </c>
      <c r="E3" s="122">
        <f>'Yearly Demand Japan'!C18</f>
        <v>1049369.6122000003</v>
      </c>
      <c r="F3" s="122">
        <f>'Yearly Demand Japan'!C19</f>
        <v>1049369.6122000003</v>
      </c>
      <c r="G3" s="122">
        <f>'Yearly Demand Japan'!C20</f>
        <v>1049369.6122000003</v>
      </c>
      <c r="H3" s="122">
        <f>'Yearly Demand Japan'!C21</f>
        <v>1049369.6122000003</v>
      </c>
      <c r="I3" s="122">
        <f>'Yearly Demand Japan'!C22</f>
        <v>1049369.6122000003</v>
      </c>
      <c r="K3" s="49" t="s">
        <v>3</v>
      </c>
      <c r="L3" s="590">
        <f>C3</f>
        <v>1049369.6122000003</v>
      </c>
      <c r="M3" s="590">
        <f>L3*($Q3/$L3)^(1/5)</f>
        <v>1049369.6122000003</v>
      </c>
      <c r="N3" s="590">
        <f t="shared" ref="N3:P3" si="1">M3*($Q3/$L3)^(1/5)</f>
        <v>1049369.6122000003</v>
      </c>
      <c r="O3" s="590">
        <f t="shared" si="1"/>
        <v>1049369.6122000003</v>
      </c>
      <c r="P3" s="590">
        <f t="shared" si="1"/>
        <v>1049369.6122000003</v>
      </c>
      <c r="Q3" s="590">
        <f>D3</f>
        <v>1049369.6122000003</v>
      </c>
      <c r="R3" s="590">
        <f>Q3*($V3/$Q3)^(1/5)</f>
        <v>1049369.6122000003</v>
      </c>
      <c r="S3" s="590">
        <f t="shared" ref="S3:T3" si="2">R3*($V3/$Q3)^(1/5)</f>
        <v>1049369.6122000003</v>
      </c>
      <c r="T3" s="590">
        <f t="shared" si="2"/>
        <v>1049369.6122000003</v>
      </c>
      <c r="U3" s="590">
        <f>T3*($V3/$Q3)^(1/5)</f>
        <v>1049369.6122000003</v>
      </c>
      <c r="V3" s="590">
        <f>E3</f>
        <v>1049369.6122000003</v>
      </c>
      <c r="W3" s="590">
        <f>V3*($AA3/$V3)^(1/5)</f>
        <v>1049369.6122000003</v>
      </c>
      <c r="X3" s="590">
        <f t="shared" ref="X3:Z3" si="3">W3*($AA3/$V3)^(1/5)</f>
        <v>1049369.6122000003</v>
      </c>
      <c r="Y3" s="590">
        <f t="shared" si="3"/>
        <v>1049369.6122000003</v>
      </c>
      <c r="Z3" s="590">
        <f t="shared" si="3"/>
        <v>1049369.6122000003</v>
      </c>
      <c r="AA3" s="590">
        <f>F3</f>
        <v>1049369.6122000003</v>
      </c>
      <c r="AB3" s="590">
        <f>AA3*($AF3/$AA3)^(1/5)</f>
        <v>1049369.6122000003</v>
      </c>
      <c r="AC3" s="590">
        <f t="shared" ref="AC3:AE3" si="4">AB3*($AF3/$AA3)^(1/5)</f>
        <v>1049369.6122000003</v>
      </c>
      <c r="AD3" s="590">
        <f t="shared" si="4"/>
        <v>1049369.6122000003</v>
      </c>
      <c r="AE3" s="590">
        <f t="shared" si="4"/>
        <v>1049369.6122000003</v>
      </c>
      <c r="AF3" s="590">
        <f>G3</f>
        <v>1049369.6122000003</v>
      </c>
      <c r="AG3" s="590">
        <f>AF3*($AK3/$AF3)^(1/5)</f>
        <v>1049369.6122000003</v>
      </c>
      <c r="AH3" s="590">
        <f t="shared" ref="AH3:AJ3" si="5">AG3*($AK3/$AF3)^(1/5)</f>
        <v>1049369.6122000003</v>
      </c>
      <c r="AI3" s="590">
        <f t="shared" si="5"/>
        <v>1049369.6122000003</v>
      </c>
      <c r="AJ3" s="590">
        <f t="shared" si="5"/>
        <v>1049369.6122000003</v>
      </c>
      <c r="AK3" s="590">
        <f>H3</f>
        <v>1049369.6122000003</v>
      </c>
      <c r="AL3" s="590">
        <f>AK3*($AP3/$AK3)^(1/5)</f>
        <v>1049369.6122000003</v>
      </c>
      <c r="AM3" s="590">
        <f t="shared" ref="AM3:AO3" si="6">AL3*($AP3/$AK3)^(1/5)</f>
        <v>1049369.6122000003</v>
      </c>
      <c r="AN3" s="590">
        <f t="shared" si="6"/>
        <v>1049369.6122000003</v>
      </c>
      <c r="AO3" s="590">
        <f t="shared" si="6"/>
        <v>1049369.6122000003</v>
      </c>
      <c r="AP3" s="590">
        <f>I3</f>
        <v>1049369.6122000003</v>
      </c>
    </row>
    <row r="4" spans="1:42">
      <c r="A4" s="1" t="s">
        <v>4</v>
      </c>
      <c r="B4" s="122">
        <f>'Yearly Demand Japan'!E15</f>
        <v>1127444.3500000006</v>
      </c>
      <c r="C4" s="122">
        <f>'Yearly Demand Japan'!E16</f>
        <v>1127444.3500000006</v>
      </c>
      <c r="D4" s="122">
        <f>'Yearly Demand Japan'!E17</f>
        <v>1127444.3500000006</v>
      </c>
      <c r="E4" s="122">
        <f>'Yearly Demand Japan'!E18</f>
        <v>1127444.3500000006</v>
      </c>
      <c r="F4" s="122">
        <f>'Yearly Demand Japan'!E19</f>
        <v>1127444.3500000006</v>
      </c>
      <c r="G4" s="122">
        <f>'Yearly Demand Japan'!E20</f>
        <v>1127444.3500000006</v>
      </c>
      <c r="H4" s="122">
        <f>'Yearly Demand Japan'!E21</f>
        <v>1127444.3500000006</v>
      </c>
      <c r="I4" s="122">
        <f>'Yearly Demand Japan'!E22</f>
        <v>1127444.3500000006</v>
      </c>
      <c r="K4" s="49" t="s">
        <v>4</v>
      </c>
      <c r="L4" s="590">
        <f>C4</f>
        <v>1127444.3500000006</v>
      </c>
      <c r="M4" s="590">
        <f t="shared" ref="M4:P4" si="7">L4*($Q4/$L4)^(1/5)</f>
        <v>1127444.3500000006</v>
      </c>
      <c r="N4" s="590">
        <f t="shared" si="7"/>
        <v>1127444.3500000006</v>
      </c>
      <c r="O4" s="590">
        <f t="shared" si="7"/>
        <v>1127444.3500000006</v>
      </c>
      <c r="P4" s="590">
        <f t="shared" si="7"/>
        <v>1127444.3500000006</v>
      </c>
      <c r="Q4" s="590">
        <f>D4</f>
        <v>1127444.3500000006</v>
      </c>
      <c r="R4" s="590">
        <f t="shared" ref="R4:U4" si="8">Q4*($V4/$Q4)^(1/5)</f>
        <v>1127444.3500000006</v>
      </c>
      <c r="S4" s="590">
        <f t="shared" si="8"/>
        <v>1127444.3500000006</v>
      </c>
      <c r="T4" s="590">
        <f t="shared" si="8"/>
        <v>1127444.3500000006</v>
      </c>
      <c r="U4" s="590">
        <f t="shared" si="8"/>
        <v>1127444.3500000006</v>
      </c>
      <c r="V4" s="590">
        <f>E4</f>
        <v>1127444.3500000006</v>
      </c>
      <c r="W4" s="590">
        <f t="shared" ref="W4:Z4" si="9">V4*($AA4/$V4)^(1/5)</f>
        <v>1127444.3500000006</v>
      </c>
      <c r="X4" s="590">
        <f t="shared" si="9"/>
        <v>1127444.3500000006</v>
      </c>
      <c r="Y4" s="590">
        <f t="shared" si="9"/>
        <v>1127444.3500000006</v>
      </c>
      <c r="Z4" s="590">
        <f t="shared" si="9"/>
        <v>1127444.3500000006</v>
      </c>
      <c r="AA4" s="590">
        <f>F4</f>
        <v>1127444.3500000006</v>
      </c>
      <c r="AB4" s="590">
        <f t="shared" ref="AB4:AE4" si="10">AA4*($AF4/$AA4)^(1/5)</f>
        <v>1127444.3500000006</v>
      </c>
      <c r="AC4" s="590">
        <f t="shared" si="10"/>
        <v>1127444.3500000006</v>
      </c>
      <c r="AD4" s="590">
        <f t="shared" si="10"/>
        <v>1127444.3500000006</v>
      </c>
      <c r="AE4" s="590">
        <f t="shared" si="10"/>
        <v>1127444.3500000006</v>
      </c>
      <c r="AF4" s="590">
        <f>G4</f>
        <v>1127444.3500000006</v>
      </c>
      <c r="AG4" s="590">
        <f t="shared" ref="AG4:AJ4" si="11">AF4*($AK4/$AF4)^(1/5)</f>
        <v>1127444.3500000006</v>
      </c>
      <c r="AH4" s="590">
        <f t="shared" si="11"/>
        <v>1127444.3500000006</v>
      </c>
      <c r="AI4" s="590">
        <f t="shared" si="11"/>
        <v>1127444.3500000006</v>
      </c>
      <c r="AJ4" s="590">
        <f t="shared" si="11"/>
        <v>1127444.3500000006</v>
      </c>
      <c r="AK4" s="590">
        <f>H4</f>
        <v>1127444.3500000006</v>
      </c>
      <c r="AL4" s="590">
        <f t="shared" ref="AL4:AO4" si="12">AK4*($AP4/$AK4)^(1/5)</f>
        <v>1127444.3500000006</v>
      </c>
      <c r="AM4" s="590">
        <f t="shared" si="12"/>
        <v>1127444.3500000006</v>
      </c>
      <c r="AN4" s="590">
        <f t="shared" si="12"/>
        <v>1127444.3500000006</v>
      </c>
      <c r="AO4" s="590">
        <f t="shared" si="12"/>
        <v>1127444.3500000006</v>
      </c>
      <c r="AP4" s="590">
        <f>I4</f>
        <v>1127444.3500000006</v>
      </c>
    </row>
    <row r="5" spans="1:42">
      <c r="A5" s="147"/>
    </row>
    <row r="12" spans="1:42">
      <c r="J12" s="27"/>
    </row>
    <row r="13" spans="1:42">
      <c r="J13" s="27"/>
    </row>
    <row r="38" spans="1:8">
      <c r="C38" s="24"/>
      <c r="D38" s="24"/>
      <c r="E38" s="24"/>
      <c r="F38" s="24"/>
      <c r="G38" s="24"/>
      <c r="H38" s="24"/>
    </row>
    <row r="39" spans="1:8">
      <c r="C39" s="24"/>
      <c r="D39" s="24"/>
      <c r="E39" s="24"/>
      <c r="F39" s="24"/>
      <c r="G39" s="24"/>
      <c r="H39" s="24"/>
    </row>
    <row r="40" spans="1:8">
      <c r="C40" s="24"/>
      <c r="D40" s="24"/>
      <c r="E40" s="24"/>
      <c r="F40" s="24"/>
      <c r="G40" s="24"/>
      <c r="H40" s="24"/>
    </row>
    <row r="41" spans="1:8">
      <c r="H41" s="24"/>
    </row>
    <row r="44" spans="1:8">
      <c r="A44" s="1"/>
    </row>
    <row r="45" spans="1:8">
      <c r="C45" s="6"/>
      <c r="D45" s="6"/>
      <c r="E45" s="6"/>
      <c r="F45" s="6"/>
      <c r="G45" s="6"/>
      <c r="H45" s="6"/>
    </row>
    <row r="46" spans="1:8">
      <c r="C46" s="6"/>
      <c r="D46" s="6"/>
      <c r="E46" s="6"/>
      <c r="F46" s="6"/>
      <c r="G46" s="6"/>
      <c r="H46" s="6"/>
    </row>
    <row r="47" spans="1:8">
      <c r="C47" s="6"/>
      <c r="D47" s="6"/>
      <c r="E47" s="6"/>
      <c r="F47" s="6"/>
      <c r="G47" s="6"/>
      <c r="H47" s="6"/>
    </row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284EF-2F60-4F94-B5D4-569AAF4CF4F0}">
  <sheetPr>
    <tabColor theme="7"/>
  </sheetPr>
  <dimension ref="A1:Y43"/>
  <sheetViews>
    <sheetView zoomScale="85" zoomScaleNormal="85" workbookViewId="0">
      <selection activeCell="G20" sqref="G20"/>
    </sheetView>
  </sheetViews>
  <sheetFormatPr defaultRowHeight="14.75"/>
  <cols>
    <col min="1" max="1" width="71.7265625" bestFit="1" customWidth="1"/>
    <col min="3" max="8" width="9.36328125" bestFit="1" customWidth="1"/>
    <col min="22" max="22" width="51" customWidth="1"/>
  </cols>
  <sheetData>
    <row r="1" spans="1:25">
      <c r="A1" s="1" t="s">
        <v>1093</v>
      </c>
      <c r="B1" s="1">
        <v>2015</v>
      </c>
      <c r="C1" s="51">
        <v>2016</v>
      </c>
      <c r="D1" s="51">
        <v>2017</v>
      </c>
      <c r="E1" s="51">
        <v>2018</v>
      </c>
      <c r="F1" s="51">
        <v>2019</v>
      </c>
      <c r="G1" s="51">
        <v>2020</v>
      </c>
      <c r="H1" s="51">
        <v>2021</v>
      </c>
      <c r="I1" s="1">
        <v>2025</v>
      </c>
      <c r="J1" s="1">
        <v>2030</v>
      </c>
      <c r="K1" s="1">
        <v>2035</v>
      </c>
      <c r="L1" s="1">
        <v>2040</v>
      </c>
      <c r="M1" s="1">
        <v>2045</v>
      </c>
      <c r="N1" s="1">
        <v>2050</v>
      </c>
      <c r="O1" t="s">
        <v>67</v>
      </c>
      <c r="P1" t="s">
        <v>1094</v>
      </c>
      <c r="W1" t="s">
        <v>1095</v>
      </c>
      <c r="X1" t="s">
        <v>1096</v>
      </c>
      <c r="Y1" t="s">
        <v>1097</v>
      </c>
    </row>
    <row r="2" spans="1:25">
      <c r="A2" t="s">
        <v>1098</v>
      </c>
      <c r="B2" s="94">
        <f>ROUND(Y2,0)</f>
        <v>83</v>
      </c>
      <c r="D2">
        <f>ROUND(Y3,0)</f>
        <v>97</v>
      </c>
      <c r="I2" s="94">
        <f>ROUND(Y6,0)</f>
        <v>139</v>
      </c>
      <c r="J2" s="94">
        <f>ROUND(Y10,0)</f>
        <v>149</v>
      </c>
      <c r="K2" s="94">
        <f>ROUND(Y14,0)</f>
        <v>159</v>
      </c>
      <c r="L2" s="94">
        <f>ROUND(Y18,0)</f>
        <v>168</v>
      </c>
      <c r="M2" s="94">
        <f>ROUND(Y22,0)</f>
        <v>175</v>
      </c>
      <c r="N2" s="94">
        <f>ROUND(Y26,0)</f>
        <v>182</v>
      </c>
      <c r="P2" t="s">
        <v>1099</v>
      </c>
      <c r="W2" t="s">
        <v>1100</v>
      </c>
      <c r="X2" s="24">
        <v>2014.73076923076</v>
      </c>
      <c r="Y2">
        <v>83</v>
      </c>
    </row>
    <row r="3" spans="1:25">
      <c r="A3" t="s">
        <v>1101</v>
      </c>
      <c r="B3" s="94">
        <f>B2</f>
        <v>83</v>
      </c>
      <c r="C3" s="94">
        <f>AVERAGE(B2,D2)</f>
        <v>90</v>
      </c>
      <c r="D3" s="94">
        <f t="shared" ref="D3:N3" si="0">D2</f>
        <v>97</v>
      </c>
      <c r="E3" s="94">
        <f>$D$3+($I$3-$D$3)/($I$1-$D$1)*(E1-$D$1)</f>
        <v>102.25</v>
      </c>
      <c r="F3" s="94">
        <f t="shared" ref="F3:G3" si="1">$D$3+($I$3-$D$3)/($I$1-$D$1)*(F1-$D$1)</f>
        <v>107.5</v>
      </c>
      <c r="G3" s="453">
        <f t="shared" si="1"/>
        <v>112.75</v>
      </c>
      <c r="H3" s="94">
        <f>$D$3+($I$3-$D$3)/($I$1-$D$1)*(H1-$D$1)</f>
        <v>118</v>
      </c>
      <c r="I3" s="94">
        <f t="shared" si="0"/>
        <v>139</v>
      </c>
      <c r="J3" s="94">
        <f t="shared" si="0"/>
        <v>149</v>
      </c>
      <c r="K3" s="94">
        <f t="shared" si="0"/>
        <v>159</v>
      </c>
      <c r="L3" s="94">
        <f t="shared" si="0"/>
        <v>168</v>
      </c>
      <c r="M3" s="94">
        <f t="shared" si="0"/>
        <v>175</v>
      </c>
      <c r="N3" s="94">
        <f t="shared" si="0"/>
        <v>182</v>
      </c>
      <c r="W3" t="s">
        <v>1100</v>
      </c>
      <c r="X3" s="24">
        <v>2017</v>
      </c>
      <c r="Y3">
        <v>97</v>
      </c>
    </row>
    <row r="4" spans="1:25">
      <c r="A4" t="s">
        <v>1102</v>
      </c>
      <c r="B4" s="94">
        <f t="shared" ref="B4:N4" si="2">B3-B26</f>
        <v>73.857142857142861</v>
      </c>
      <c r="C4" s="94">
        <f t="shared" si="2"/>
        <v>77.5</v>
      </c>
      <c r="D4" s="94">
        <f t="shared" si="2"/>
        <v>81</v>
      </c>
      <c r="E4" s="94">
        <f t="shared" si="2"/>
        <v>85.019230769230774</v>
      </c>
      <c r="F4" s="94">
        <f t="shared" si="2"/>
        <v>89.038461538461547</v>
      </c>
      <c r="G4" s="453">
        <f t="shared" si="2"/>
        <v>93.057692307692307</v>
      </c>
      <c r="H4" s="94">
        <f t="shared" si="2"/>
        <v>97.07692307692308</v>
      </c>
      <c r="I4" s="94">
        <f t="shared" si="2"/>
        <v>113.15384615384616</v>
      </c>
      <c r="J4" s="94">
        <f t="shared" si="2"/>
        <v>117</v>
      </c>
      <c r="K4" s="94">
        <f t="shared" si="2"/>
        <v>125.28571428571428</v>
      </c>
      <c r="L4" s="94">
        <f t="shared" si="2"/>
        <v>132.57142857142856</v>
      </c>
      <c r="M4" s="94">
        <f t="shared" si="2"/>
        <v>137.85714285714286</v>
      </c>
      <c r="N4" s="94">
        <f t="shared" si="2"/>
        <v>143.14285714285714</v>
      </c>
      <c r="W4" t="s">
        <v>1103</v>
      </c>
      <c r="X4" s="24">
        <v>2024.8717948717899</v>
      </c>
      <c r="Y4">
        <v>133.02420929324401</v>
      </c>
    </row>
    <row r="5" spans="1:25">
      <c r="A5" t="s">
        <v>1104</v>
      </c>
      <c r="B5" s="94"/>
      <c r="C5" s="454">
        <f>C10</f>
        <v>85.349372504330432</v>
      </c>
      <c r="D5" s="454">
        <f t="shared" ref="D5:H5" si="3">D10</f>
        <v>89.170166986911156</v>
      </c>
      <c r="E5" s="454">
        <f t="shared" si="3"/>
        <v>91.694884520601377</v>
      </c>
      <c r="F5" s="454">
        <f t="shared" si="3"/>
        <v>98.300010854092974</v>
      </c>
      <c r="G5" s="455">
        <f t="shared" si="3"/>
        <v>102.16223893794903</v>
      </c>
      <c r="H5" s="454">
        <f t="shared" si="3"/>
        <v>110.2134580727167</v>
      </c>
      <c r="I5" s="94"/>
      <c r="J5" s="94"/>
      <c r="K5" s="94"/>
      <c r="L5" s="94"/>
      <c r="M5" s="94"/>
      <c r="N5" s="94"/>
      <c r="P5" t="s">
        <v>1105</v>
      </c>
      <c r="W5" t="s">
        <v>1106</v>
      </c>
      <c r="X5" s="24">
        <v>2024.8717948717899</v>
      </c>
      <c r="Y5">
        <v>139.369386958219</v>
      </c>
    </row>
    <row r="6" spans="1:25">
      <c r="A6" t="s">
        <v>1107</v>
      </c>
      <c r="B6" s="94"/>
      <c r="C6" s="454">
        <f t="shared" ref="C6:H6" si="4">C5-C20</f>
        <v>65.806977994972783</v>
      </c>
      <c r="D6" s="454">
        <f t="shared" si="4"/>
        <v>68.474672477550314</v>
      </c>
      <c r="E6" s="454">
        <f t="shared" si="4"/>
        <v>70.826490011303733</v>
      </c>
      <c r="F6" s="454">
        <f t="shared" si="4"/>
        <v>73.728578844735338</v>
      </c>
      <c r="G6" s="455">
        <f t="shared" si="4"/>
        <v>70.960266702016895</v>
      </c>
      <c r="H6" s="454">
        <f t="shared" si="4"/>
        <v>75.147463563359068</v>
      </c>
      <c r="I6" s="94"/>
      <c r="J6" s="94"/>
      <c r="K6" s="94"/>
      <c r="L6" s="94"/>
      <c r="M6" s="94"/>
      <c r="N6" s="94"/>
      <c r="W6" t="s">
        <v>1108</v>
      </c>
      <c r="X6" s="24">
        <v>2024.8717948717899</v>
      </c>
      <c r="Y6">
        <v>138.743455497382</v>
      </c>
    </row>
    <row r="7" spans="1:25">
      <c r="A7" s="1" t="s">
        <v>1109</v>
      </c>
      <c r="B7" s="94"/>
      <c r="C7" s="454">
        <f t="shared" ref="C7:F7" si="5">C5</f>
        <v>85.349372504330432</v>
      </c>
      <c r="D7" s="454">
        <f t="shared" si="5"/>
        <v>89.170166986911156</v>
      </c>
      <c r="E7" s="454">
        <f t="shared" si="5"/>
        <v>91.694884520601377</v>
      </c>
      <c r="F7" s="454">
        <f t="shared" si="5"/>
        <v>98.300010854092974</v>
      </c>
      <c r="G7" s="454">
        <f>G5</f>
        <v>102.16223893794903</v>
      </c>
      <c r="H7" s="456">
        <f>$G$7+($J$7-$G$7)/($J$1-$G$1)*(H1-$G$1)</f>
        <v>106.84601504415413</v>
      </c>
      <c r="I7" s="456">
        <f>$G$7+($J$7-$G$7)/($J$1-$G$1)*(I1-$G$1)</f>
        <v>125.58111946897452</v>
      </c>
      <c r="J7" s="94">
        <f>J3</f>
        <v>149</v>
      </c>
      <c r="K7" s="94">
        <f t="shared" ref="K7:N7" si="6">K3</f>
        <v>159</v>
      </c>
      <c r="L7" s="94">
        <f t="shared" si="6"/>
        <v>168</v>
      </c>
      <c r="M7" s="94">
        <f t="shared" si="6"/>
        <v>175</v>
      </c>
      <c r="N7" s="94">
        <f t="shared" si="6"/>
        <v>182</v>
      </c>
      <c r="P7" t="s">
        <v>1110</v>
      </c>
      <c r="W7" t="s">
        <v>1111</v>
      </c>
      <c r="X7" s="24">
        <v>2024.8717948717899</v>
      </c>
      <c r="Y7">
        <v>145.08004685669599</v>
      </c>
    </row>
    <row r="8" spans="1:25">
      <c r="A8" s="1" t="s">
        <v>1112</v>
      </c>
      <c r="B8" s="94"/>
      <c r="C8" s="454">
        <f>C20</f>
        <v>19.542394509357642</v>
      </c>
      <c r="D8" s="454">
        <f t="shared" ref="D8:F8" si="7">D20</f>
        <v>20.695494509360842</v>
      </c>
      <c r="E8" s="454">
        <f t="shared" si="7"/>
        <v>20.868394509297641</v>
      </c>
      <c r="F8" s="454">
        <f t="shared" si="7"/>
        <v>24.57143200935764</v>
      </c>
      <c r="G8" s="454">
        <f>G20</f>
        <v>31.201972235932139</v>
      </c>
      <c r="H8" s="456">
        <f>$G$8+($N$8-$G$8)/($N$1-$G$1)*(H1-$G$1)</f>
        <v>31.457144589972497</v>
      </c>
      <c r="I8" s="456">
        <f>$G$8+($N$8-$G$8)/($N$1-$G$1)*(I1-$G$1)</f>
        <v>32.477834006133925</v>
      </c>
      <c r="J8" s="456">
        <f t="shared" ref="J8:M8" si="8">$H$8+($N$8-$H$8)/($N$1-$H$1)*(J1-$H$1)</f>
        <v>33.753695776335711</v>
      </c>
      <c r="K8" s="456">
        <f t="shared" si="8"/>
        <v>35.029557546537497</v>
      </c>
      <c r="L8" s="456">
        <f>$H$8+($N$8-$H$8)/($N$1-$H$1)*(L1-$H$1)</f>
        <v>36.305419316739282</v>
      </c>
      <c r="M8" s="456">
        <f t="shared" si="8"/>
        <v>37.581281086941068</v>
      </c>
      <c r="N8" s="94">
        <f>N26</f>
        <v>38.857142857142854</v>
      </c>
      <c r="P8" t="s">
        <v>1113</v>
      </c>
      <c r="W8" t="s">
        <v>1103</v>
      </c>
      <c r="X8" s="24">
        <v>2029.9871794871699</v>
      </c>
      <c r="Y8">
        <v>141.814720812182</v>
      </c>
    </row>
    <row r="9" spans="1:25" ht="15.5" thickBot="1">
      <c r="A9" s="1" t="s">
        <v>1114</v>
      </c>
      <c r="B9" s="94"/>
      <c r="C9" s="454">
        <f>C7-C8</f>
        <v>65.806977994972783</v>
      </c>
      <c r="D9" s="454">
        <f t="shared" ref="D9:N9" si="9">D7-D8</f>
        <v>68.474672477550314</v>
      </c>
      <c r="E9" s="454">
        <f t="shared" si="9"/>
        <v>70.826490011303733</v>
      </c>
      <c r="F9" s="454">
        <f t="shared" si="9"/>
        <v>73.728578844735338</v>
      </c>
      <c r="G9" s="454">
        <f t="shared" si="9"/>
        <v>70.960266702016895</v>
      </c>
      <c r="H9" s="454">
        <f t="shared" si="9"/>
        <v>75.388870454181628</v>
      </c>
      <c r="I9" s="454">
        <f t="shared" si="9"/>
        <v>93.103285462840603</v>
      </c>
      <c r="J9" s="454">
        <f t="shared" si="9"/>
        <v>115.24630422366428</v>
      </c>
      <c r="K9" s="454">
        <f t="shared" si="9"/>
        <v>123.97044245346251</v>
      </c>
      <c r="L9" s="454">
        <f t="shared" si="9"/>
        <v>131.69458068326071</v>
      </c>
      <c r="M9" s="454">
        <f t="shared" si="9"/>
        <v>137.41871891305894</v>
      </c>
      <c r="N9" s="454">
        <f t="shared" si="9"/>
        <v>143.14285714285714</v>
      </c>
      <c r="W9" t="s">
        <v>1106</v>
      </c>
      <c r="X9" s="24">
        <v>2029.8974358974299</v>
      </c>
      <c r="Y9">
        <v>156.41025641025601</v>
      </c>
    </row>
    <row r="10" spans="1:25" s="461" customFormat="1" ht="15.5" thickBot="1">
      <c r="A10" s="173" t="s">
        <v>1115</v>
      </c>
      <c r="B10" s="457">
        <f>ROUND(Y2,0)</f>
        <v>83</v>
      </c>
      <c r="C10" s="458">
        <v>85.349372504330432</v>
      </c>
      <c r="D10" s="458">
        <v>89.170166986911156</v>
      </c>
      <c r="E10" s="458">
        <v>91.694884520601377</v>
      </c>
      <c r="F10" s="458">
        <v>98.300010854092974</v>
      </c>
      <c r="G10" s="459">
        <v>102.16223893794903</v>
      </c>
      <c r="H10" s="458">
        <v>110.2134580727167</v>
      </c>
      <c r="I10" s="457">
        <f>ROUND(Y6,0)</f>
        <v>139</v>
      </c>
      <c r="J10" s="457">
        <f>ROUND(Y10,0)</f>
        <v>149</v>
      </c>
      <c r="K10" s="457">
        <f>ROUND(Y14,0)</f>
        <v>159</v>
      </c>
      <c r="L10" s="457">
        <f>ROUND(Y18,0)</f>
        <v>168</v>
      </c>
      <c r="M10" s="457">
        <f>ROUND(Y22,0)</f>
        <v>175</v>
      </c>
      <c r="N10" s="457">
        <f>ROUND(Y26,0)</f>
        <v>182</v>
      </c>
      <c r="O10" s="460">
        <f>(N10/F10)^(1/30)-1</f>
        <v>2.0744998778869261E-2</v>
      </c>
      <c r="P10" s="461" t="s">
        <v>1116</v>
      </c>
      <c r="R10" s="462" t="s">
        <v>68</v>
      </c>
      <c r="W10" s="461" t="s">
        <v>1108</v>
      </c>
      <c r="X10" s="463">
        <v>2029.8974358974299</v>
      </c>
      <c r="Y10" s="461">
        <v>149</v>
      </c>
    </row>
    <row r="11" spans="1:25">
      <c r="A11" t="s">
        <v>67</v>
      </c>
      <c r="C11" s="115">
        <f>(C10/B10)^(1/1)-1</f>
        <v>2.8305692823258122E-2</v>
      </c>
      <c r="D11" s="115">
        <f t="shared" ref="D11:H11" si="10">(D10/C10)^(1/1)-1</f>
        <v>4.4766521070636722E-2</v>
      </c>
      <c r="E11" s="115">
        <f t="shared" si="10"/>
        <v>2.831347769104009E-2</v>
      </c>
      <c r="F11" s="115">
        <f t="shared" si="10"/>
        <v>7.2033749407335756E-2</v>
      </c>
      <c r="G11" s="115">
        <f t="shared" si="10"/>
        <v>3.9290210146454285E-2</v>
      </c>
      <c r="H11" s="115">
        <f t="shared" si="10"/>
        <v>7.8808170400981536E-2</v>
      </c>
      <c r="I11" s="115">
        <f>(I10/H10)^(1/4)-1</f>
        <v>5.9729545643170345E-2</v>
      </c>
      <c r="J11" s="115">
        <f>(J10/I10)^(1/5)-1</f>
        <v>1.3991451401512478E-2</v>
      </c>
      <c r="K11" s="115">
        <f>(K10/J10)^(1/5)-1</f>
        <v>1.307633646634998E-2</v>
      </c>
      <c r="L11" s="115">
        <f>(L10/K10)^(1/5)-1</f>
        <v>1.1072810189348026E-2</v>
      </c>
      <c r="M11" s="115">
        <f>(M10/L10)^(1/5)-1</f>
        <v>8.197818497166498E-3</v>
      </c>
      <c r="N11" s="115">
        <f>(N10/M10)^(1/5)-1</f>
        <v>7.8749885178921453E-3</v>
      </c>
      <c r="W11" t="s">
        <v>1111</v>
      </c>
      <c r="X11" s="24">
        <v>2029.8974358974299</v>
      </c>
      <c r="Y11">
        <v>164.65898737472301</v>
      </c>
    </row>
    <row r="12" spans="1:25">
      <c r="C12" s="51"/>
      <c r="W12" t="s">
        <v>1103</v>
      </c>
      <c r="X12" s="24">
        <v>2034.9230769230701</v>
      </c>
      <c r="Y12">
        <v>149.33945073538899</v>
      </c>
    </row>
    <row r="13" spans="1:25">
      <c r="A13" t="s">
        <v>1117</v>
      </c>
      <c r="C13" s="464">
        <f t="shared" ref="C13:H13" si="11">C4-C6</f>
        <v>11.693022005027217</v>
      </c>
      <c r="D13" s="464">
        <f t="shared" si="11"/>
        <v>12.525327522449686</v>
      </c>
      <c r="E13" s="464">
        <f t="shared" si="11"/>
        <v>14.192740757927041</v>
      </c>
      <c r="F13" s="464">
        <f t="shared" si="11"/>
        <v>15.309882693726209</v>
      </c>
      <c r="G13" s="464">
        <f t="shared" si="11"/>
        <v>22.097425605675411</v>
      </c>
      <c r="H13" s="464">
        <f t="shared" si="11"/>
        <v>21.929459513564012</v>
      </c>
      <c r="W13" t="s">
        <v>1106</v>
      </c>
      <c r="X13" s="24">
        <v>2034.8333333333301</v>
      </c>
      <c r="Y13">
        <v>172.81823506442799</v>
      </c>
    </row>
    <row r="14" spans="1:25">
      <c r="A14" t="s">
        <v>1118</v>
      </c>
      <c r="C14" s="464">
        <f t="shared" ref="C14:H14" si="12">C3-C5</f>
        <v>4.6506274956695677</v>
      </c>
      <c r="D14" s="464">
        <f t="shared" si="12"/>
        <v>7.8298330130888445</v>
      </c>
      <c r="E14" s="464">
        <f t="shared" si="12"/>
        <v>10.555115479398623</v>
      </c>
      <c r="F14" s="464">
        <f t="shared" si="12"/>
        <v>9.1999891459070255</v>
      </c>
      <c r="G14" s="464">
        <f t="shared" si="12"/>
        <v>10.587761062050973</v>
      </c>
      <c r="H14" s="464">
        <f t="shared" si="12"/>
        <v>7.7865419272832952</v>
      </c>
      <c r="W14" t="s">
        <v>1108</v>
      </c>
      <c r="X14" s="24">
        <v>2034.8333333333301</v>
      </c>
      <c r="Y14">
        <v>159.03141361256499</v>
      </c>
    </row>
    <row r="15" spans="1:25">
      <c r="W15" t="s">
        <v>1111</v>
      </c>
      <c r="X15" s="24">
        <v>2034.8333333333301</v>
      </c>
      <c r="Y15">
        <v>183.60503709488401</v>
      </c>
    </row>
    <row r="16" spans="1:25">
      <c r="W16" t="s">
        <v>1103</v>
      </c>
      <c r="X16" s="24">
        <v>2039.9487179487101</v>
      </c>
      <c r="Y16">
        <v>155.59351815696999</v>
      </c>
    </row>
    <row r="17" spans="1:25">
      <c r="A17" s="465" t="s">
        <v>1119</v>
      </c>
      <c r="W17" t="s">
        <v>1106</v>
      </c>
      <c r="X17" s="24">
        <v>2039.9487179487101</v>
      </c>
      <c r="Y17">
        <v>186.05037094884801</v>
      </c>
    </row>
    <row r="18" spans="1:25">
      <c r="A18" t="s">
        <v>1096</v>
      </c>
      <c r="B18">
        <v>2015</v>
      </c>
      <c r="D18" t="s">
        <v>1120</v>
      </c>
      <c r="J18">
        <v>2030</v>
      </c>
      <c r="N18">
        <v>2050</v>
      </c>
      <c r="P18" t="s">
        <v>1121</v>
      </c>
      <c r="W18" t="s">
        <v>1108</v>
      </c>
      <c r="X18" s="24">
        <v>2039.9487179487101</v>
      </c>
      <c r="Y18">
        <v>168.193717277486</v>
      </c>
    </row>
    <row r="19" spans="1:25">
      <c r="A19" t="s">
        <v>1122</v>
      </c>
      <c r="B19">
        <v>4</v>
      </c>
      <c r="D19">
        <v>7</v>
      </c>
      <c r="J19">
        <v>14</v>
      </c>
      <c r="N19">
        <v>17</v>
      </c>
      <c r="W19" t="s">
        <v>1111</v>
      </c>
      <c r="X19" s="24">
        <v>2039.9487179487101</v>
      </c>
      <c r="Y19">
        <v>199.37524404529401</v>
      </c>
    </row>
    <row r="20" spans="1:25">
      <c r="A20" t="s">
        <v>1123</v>
      </c>
      <c r="C20" s="24">
        <v>19.542394509357642</v>
      </c>
      <c r="D20" s="24">
        <v>20.695494509360842</v>
      </c>
      <c r="E20" s="24">
        <v>20.868394509297641</v>
      </c>
      <c r="F20" s="24">
        <v>24.57143200935764</v>
      </c>
      <c r="G20" s="466">
        <v>31.201972235932139</v>
      </c>
      <c r="H20" s="466">
        <v>35.065994509357637</v>
      </c>
      <c r="W20" t="s">
        <v>1103</v>
      </c>
      <c r="X20" s="24">
        <v>2044.97435897435</v>
      </c>
      <c r="Y20">
        <v>160.578550045555</v>
      </c>
    </row>
    <row r="21" spans="1:25">
      <c r="W21" t="s">
        <v>1106</v>
      </c>
      <c r="X21" s="24">
        <v>2044.88461538461</v>
      </c>
      <c r="Y21">
        <v>197.38220747104</v>
      </c>
    </row>
    <row r="22" spans="1:25">
      <c r="A22" t="s">
        <v>1124</v>
      </c>
      <c r="B22" s="40">
        <f>32/28*2</f>
        <v>2.2857142857142856</v>
      </c>
      <c r="C22" t="s">
        <v>1125</v>
      </c>
      <c r="W22" t="s">
        <v>1108</v>
      </c>
      <c r="X22" s="24">
        <v>2044.88461538461</v>
      </c>
      <c r="Y22">
        <v>174.73821989528699</v>
      </c>
    </row>
    <row r="23" spans="1:25">
      <c r="D23" s="467" t="s">
        <v>1126</v>
      </c>
      <c r="W23" t="s">
        <v>1111</v>
      </c>
      <c r="X23" s="24">
        <v>2044.79487179487</v>
      </c>
      <c r="Y23">
        <v>213.881296368606</v>
      </c>
    </row>
    <row r="24" spans="1:25">
      <c r="W24" t="s">
        <v>1103</v>
      </c>
      <c r="X24" s="24">
        <v>2050</v>
      </c>
      <c r="Y24">
        <v>164.929064167642</v>
      </c>
    </row>
    <row r="25" spans="1:25">
      <c r="A25" t="s">
        <v>1127</v>
      </c>
      <c r="B25" s="24">
        <f>B19*$B$22</f>
        <v>9.1428571428571423</v>
      </c>
      <c r="D25">
        <f>D19*$B$22</f>
        <v>16</v>
      </c>
      <c r="J25">
        <f>J19*$B$22</f>
        <v>32</v>
      </c>
      <c r="N25" s="41">
        <f>N19*$B$22</f>
        <v>38.857142857142854</v>
      </c>
      <c r="W25" t="s">
        <v>1106</v>
      </c>
      <c r="X25" s="24">
        <v>2049.91025641025</v>
      </c>
      <c r="Y25">
        <v>207.44338149160399</v>
      </c>
    </row>
    <row r="26" spans="1:25">
      <c r="A26" t="s">
        <v>1128</v>
      </c>
      <c r="B26" s="41">
        <v>9.1428571428571423</v>
      </c>
      <c r="C26" s="41">
        <v>12.5</v>
      </c>
      <c r="D26" s="41">
        <v>16</v>
      </c>
      <c r="E26" s="41">
        <f>$D$26+($J$26-$D$26)/($J$1-$D$1)*(E1-$D$1)</f>
        <v>17.23076923076923</v>
      </c>
      <c r="F26" s="41">
        <f>$D$26+($J$26-$D$26)/($J$1-$D$1)*(F1-$D$1)</f>
        <v>18.46153846153846</v>
      </c>
      <c r="G26" s="468">
        <f>$D$26+($J$26-$D$26)/($J$1-$D$1)*(G1-$D$1)</f>
        <v>19.692307692307693</v>
      </c>
      <c r="H26" s="468">
        <f>$D$26+($J$26-$D$26)/($J$1-$D$1)*(H1-$D$1)</f>
        <v>20.923076923076923</v>
      </c>
      <c r="I26" s="41">
        <f>$D$26+($J$26-$D$26)/($J$1-$D$1)*(I1-$D$1)</f>
        <v>25.846153846153847</v>
      </c>
      <c r="J26" s="41">
        <v>32</v>
      </c>
      <c r="K26" s="41">
        <f>$J$26+($N$26-$J$26)/($N$1-$J$1)*(K1-$J$1)</f>
        <v>33.714285714285715</v>
      </c>
      <c r="L26" s="41">
        <f>$J$26+($N$26-$J$26)/($N$1-$J$1)*(L1-$J$1)</f>
        <v>35.428571428571431</v>
      </c>
      <c r="M26" s="41">
        <f>$J$26+($N$26-$J$26)/($N$1-$J$1)*(M1-$J$1)</f>
        <v>37.142857142857139</v>
      </c>
      <c r="N26" s="41">
        <v>38.857142857142854</v>
      </c>
      <c r="W26" t="s">
        <v>1108</v>
      </c>
      <c r="X26" s="24">
        <v>2049.91025641025</v>
      </c>
      <c r="Y26">
        <v>182</v>
      </c>
    </row>
    <row r="27" spans="1:25">
      <c r="W27" t="s">
        <v>1111</v>
      </c>
      <c r="X27" s="24">
        <v>2049.91025641025</v>
      </c>
      <c r="Y27">
        <v>227.11343225302599</v>
      </c>
    </row>
    <row r="29" spans="1:25">
      <c r="A29" t="s">
        <v>1129</v>
      </c>
      <c r="C29">
        <v>28.15392954245571</v>
      </c>
      <c r="D29">
        <v>28.809391392212255</v>
      </c>
      <c r="E29">
        <v>29.10675657666393</v>
      </c>
      <c r="F29">
        <v>30.933930623907173</v>
      </c>
      <c r="G29">
        <v>29.547626031397471</v>
      </c>
      <c r="H29">
        <v>31.231182733455956</v>
      </c>
      <c r="I29" s="469"/>
      <c r="J29" s="469"/>
      <c r="K29" s="469"/>
      <c r="L29" s="469"/>
      <c r="M29" s="469"/>
      <c r="N29" s="469"/>
    </row>
    <row r="30" spans="1:25">
      <c r="B30" s="469"/>
      <c r="C30" s="469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</row>
    <row r="31" spans="1:25">
      <c r="A31" s="470"/>
      <c r="B31" s="470"/>
      <c r="C31" s="470"/>
      <c r="D31" s="470"/>
      <c r="E31" s="470"/>
      <c r="F31" s="470"/>
    </row>
    <row r="33" spans="2:14" ht="13.5" customHeight="1">
      <c r="C33" s="41"/>
      <c r="D33" s="41"/>
      <c r="E33" s="41"/>
      <c r="F33" s="41"/>
      <c r="G33" s="41"/>
      <c r="H33" s="41"/>
    </row>
    <row r="34" spans="2:14">
      <c r="D34" s="2"/>
      <c r="E34" s="2"/>
      <c r="F34" s="2"/>
      <c r="G34" s="2"/>
      <c r="H34" s="2"/>
    </row>
    <row r="35" spans="2:14">
      <c r="B35" s="22"/>
    </row>
    <row r="39" spans="2:14">
      <c r="B39" s="350"/>
    </row>
    <row r="43" spans="2:14">
      <c r="C43" s="41"/>
      <c r="D43" s="41"/>
      <c r="E43" s="41"/>
      <c r="F43" s="41"/>
      <c r="G43" s="24"/>
      <c r="H43" s="24"/>
      <c r="I43" s="24"/>
      <c r="J43" s="24"/>
      <c r="K43" s="24"/>
      <c r="L43" s="24"/>
      <c r="M43" s="24"/>
      <c r="N43" s="24"/>
    </row>
  </sheetData>
  <conditionalFormatting sqref="D23 C22">
    <cfRule type="containsBlanks" dxfId="0" priority="1">
      <formula>LEN(TRIM(C22))=0</formula>
    </cfRule>
  </conditionalFormatting>
  <hyperlinks>
    <hyperlink ref="R10" r:id="rId1" xr:uid="{BE754843-1989-4B13-8C05-1C415DBC5FCB}"/>
    <hyperlink ref="D23" r:id="rId2" xr:uid="{67559CAC-ABE7-4938-8F86-3AAE85828358}"/>
  </hyperlinks>
  <pageMargins left="0.7" right="0.7" top="0.75" bottom="0.75" header="0.3" footer="0.3"/>
  <pageSetup paperSize="9" orientation="portrait" r:id="rId3"/>
  <drawing r:id="rId4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/>
  </sheetPr>
  <dimension ref="A3:W63"/>
  <sheetViews>
    <sheetView topLeftCell="A22" workbookViewId="0">
      <selection activeCell="B51" sqref="B51"/>
    </sheetView>
  </sheetViews>
  <sheetFormatPr defaultRowHeight="14.75"/>
  <cols>
    <col min="1" max="1" width="23.36328125" bestFit="1" customWidth="1"/>
    <col min="2" max="2" width="25.81640625" bestFit="1" customWidth="1"/>
    <col min="3" max="3" width="44.08984375" bestFit="1" customWidth="1"/>
    <col min="4" max="4" width="24.08984375" customWidth="1"/>
    <col min="5" max="5" width="13.81640625" bestFit="1" customWidth="1"/>
    <col min="9" max="9" width="11.36328125" customWidth="1"/>
    <col min="10" max="10" width="20.81640625" customWidth="1"/>
    <col min="14" max="14" width="23.36328125" bestFit="1" customWidth="1"/>
    <col min="15" max="21" width="24.36328125" customWidth="1"/>
    <col min="22" max="22" width="22" customWidth="1"/>
    <col min="23" max="23" width="10.08984375" bestFit="1" customWidth="1"/>
  </cols>
  <sheetData>
    <row r="3" spans="1:23">
      <c r="B3" s="1" t="s">
        <v>81</v>
      </c>
      <c r="C3" t="s">
        <v>82</v>
      </c>
      <c r="D3" s="1" t="s">
        <v>6</v>
      </c>
      <c r="O3" s="10" t="s">
        <v>3</v>
      </c>
      <c r="P3" s="10" t="s">
        <v>3</v>
      </c>
      <c r="Q3" s="9" t="s">
        <v>4</v>
      </c>
      <c r="R3" s="10" t="s">
        <v>3</v>
      </c>
      <c r="S3" s="10" t="s">
        <v>3</v>
      </c>
      <c r="T3" s="10" t="s">
        <v>3</v>
      </c>
      <c r="U3" s="10" t="s">
        <v>3</v>
      </c>
      <c r="V3" s="9" t="s">
        <v>4</v>
      </c>
      <c r="W3" s="9" t="s">
        <v>4</v>
      </c>
    </row>
    <row r="4" spans="1:23">
      <c r="A4" t="s">
        <v>10</v>
      </c>
      <c r="B4" s="2">
        <v>0.67</v>
      </c>
      <c r="D4" t="s">
        <v>83</v>
      </c>
      <c r="O4" t="s">
        <v>8</v>
      </c>
      <c r="P4" t="s">
        <v>9</v>
      </c>
      <c r="Q4" t="s">
        <v>10</v>
      </c>
      <c r="R4" t="s">
        <v>11</v>
      </c>
      <c r="S4" t="s">
        <v>12</v>
      </c>
      <c r="T4" t="s">
        <v>13</v>
      </c>
      <c r="U4" t="s">
        <v>14</v>
      </c>
      <c r="V4" t="s">
        <v>15</v>
      </c>
      <c r="W4" t="s">
        <v>84</v>
      </c>
    </row>
    <row r="5" spans="1:23">
      <c r="A5" t="s">
        <v>85</v>
      </c>
      <c r="B5" s="2">
        <v>0.05</v>
      </c>
      <c r="D5" t="s">
        <v>86</v>
      </c>
      <c r="N5" t="s">
        <v>17</v>
      </c>
      <c r="O5">
        <v>8</v>
      </c>
      <c r="P5">
        <v>6</v>
      </c>
      <c r="Q5">
        <v>7</v>
      </c>
      <c r="R5">
        <v>3.5</v>
      </c>
      <c r="S5">
        <v>2</v>
      </c>
      <c r="T5">
        <v>3</v>
      </c>
      <c r="U5">
        <v>6.5</v>
      </c>
      <c r="V5">
        <v>0.1</v>
      </c>
      <c r="W5" s="2">
        <f>V5/SUM($V$5:$V$11)</f>
        <v>2.9411764705882353E-2</v>
      </c>
    </row>
    <row r="6" spans="1:23">
      <c r="A6" t="s">
        <v>87</v>
      </c>
      <c r="B6" s="2">
        <v>0.06</v>
      </c>
      <c r="N6" t="s">
        <v>19</v>
      </c>
      <c r="O6">
        <v>1.5</v>
      </c>
      <c r="P6">
        <v>3.5</v>
      </c>
      <c r="Q6">
        <v>2.5</v>
      </c>
      <c r="R6">
        <v>1</v>
      </c>
      <c r="S6">
        <v>3.5</v>
      </c>
      <c r="T6">
        <v>6.5</v>
      </c>
      <c r="U6">
        <v>0</v>
      </c>
      <c r="V6">
        <v>0.1</v>
      </c>
      <c r="W6" s="2">
        <f t="shared" ref="W6:W11" si="0">V6/SUM($V$5:$V$11)</f>
        <v>2.9411764705882353E-2</v>
      </c>
    </row>
    <row r="7" spans="1:23">
      <c r="A7" t="s">
        <v>354</v>
      </c>
      <c r="B7" s="2">
        <v>0.04</v>
      </c>
      <c r="C7" t="s">
        <v>89</v>
      </c>
      <c r="N7" t="s">
        <v>21</v>
      </c>
      <c r="O7">
        <v>0.75</v>
      </c>
      <c r="P7">
        <v>1</v>
      </c>
      <c r="Q7">
        <v>3.5</v>
      </c>
      <c r="R7">
        <v>0.5</v>
      </c>
      <c r="S7">
        <v>0</v>
      </c>
      <c r="T7">
        <v>0.75</v>
      </c>
      <c r="U7">
        <v>0</v>
      </c>
      <c r="V7">
        <v>1</v>
      </c>
      <c r="W7" s="2">
        <f t="shared" si="0"/>
        <v>0.29411764705882348</v>
      </c>
    </row>
    <row r="8" spans="1:23">
      <c r="A8" t="s">
        <v>90</v>
      </c>
      <c r="B8" s="2">
        <v>7.0000000000000007E-2</v>
      </c>
      <c r="C8" t="s">
        <v>91</v>
      </c>
      <c r="D8" s="3" t="s">
        <v>92</v>
      </c>
      <c r="E8" t="s">
        <v>93</v>
      </c>
      <c r="N8" t="s">
        <v>41</v>
      </c>
      <c r="O8">
        <v>1</v>
      </c>
      <c r="P8">
        <v>0.5</v>
      </c>
      <c r="Q8">
        <v>1.5</v>
      </c>
      <c r="R8">
        <v>0.5</v>
      </c>
      <c r="S8">
        <v>0</v>
      </c>
      <c r="T8">
        <v>0.25</v>
      </c>
      <c r="U8">
        <v>0</v>
      </c>
      <c r="V8">
        <v>1</v>
      </c>
      <c r="W8" s="2">
        <f t="shared" si="0"/>
        <v>0.29411764705882348</v>
      </c>
    </row>
    <row r="9" spans="1:23">
      <c r="A9" t="s">
        <v>94</v>
      </c>
      <c r="B9" s="2">
        <v>0.03</v>
      </c>
      <c r="C9" t="s">
        <v>95</v>
      </c>
      <c r="N9" t="s">
        <v>1</v>
      </c>
      <c r="O9">
        <v>1.5</v>
      </c>
      <c r="P9">
        <v>0</v>
      </c>
      <c r="Q9">
        <v>1.75</v>
      </c>
      <c r="R9">
        <v>0</v>
      </c>
      <c r="S9">
        <v>0</v>
      </c>
      <c r="T9">
        <v>0.5</v>
      </c>
      <c r="U9">
        <v>0</v>
      </c>
      <c r="V9">
        <v>0</v>
      </c>
      <c r="W9" s="2">
        <f t="shared" si="0"/>
        <v>0</v>
      </c>
    </row>
    <row r="10" spans="1:23">
      <c r="A10" t="s">
        <v>24</v>
      </c>
      <c r="B10" s="2">
        <v>0.08</v>
      </c>
      <c r="N10" t="s">
        <v>26</v>
      </c>
      <c r="O10">
        <v>0.25</v>
      </c>
      <c r="P10">
        <v>1</v>
      </c>
      <c r="Q10">
        <v>2</v>
      </c>
      <c r="R10">
        <v>1</v>
      </c>
      <c r="S10">
        <v>0</v>
      </c>
      <c r="T10">
        <v>1</v>
      </c>
      <c r="U10">
        <v>0</v>
      </c>
      <c r="V10">
        <v>0.2</v>
      </c>
      <c r="W10" s="2">
        <f t="shared" si="0"/>
        <v>5.8823529411764705E-2</v>
      </c>
    </row>
    <row r="11" spans="1:23">
      <c r="N11" t="s">
        <v>27</v>
      </c>
      <c r="O11">
        <v>3.5</v>
      </c>
      <c r="P11">
        <v>2</v>
      </c>
      <c r="Q11">
        <v>3.5</v>
      </c>
      <c r="R11">
        <v>1.5</v>
      </c>
      <c r="S11">
        <v>0</v>
      </c>
      <c r="T11">
        <v>1.5</v>
      </c>
      <c r="U11">
        <v>0</v>
      </c>
      <c r="V11">
        <v>1</v>
      </c>
      <c r="W11" s="2">
        <f t="shared" si="0"/>
        <v>0.29411764705882348</v>
      </c>
    </row>
    <row r="13" spans="1:23">
      <c r="N13" s="1" t="s">
        <v>48</v>
      </c>
      <c r="O13" t="s">
        <v>10</v>
      </c>
      <c r="P13" t="s">
        <v>85</v>
      </c>
      <c r="Q13" t="s">
        <v>87</v>
      </c>
      <c r="R13" t="s">
        <v>88</v>
      </c>
      <c r="S13" t="s">
        <v>90</v>
      </c>
      <c r="T13" t="s">
        <v>94</v>
      </c>
      <c r="U13" t="s">
        <v>24</v>
      </c>
    </row>
    <row r="14" spans="1:23">
      <c r="N14" s="4" t="s">
        <v>17</v>
      </c>
      <c r="O14" s="2">
        <f>Q5/SUM($Q$5:$Q$11)</f>
        <v>0.32183908045977011</v>
      </c>
      <c r="P14" s="6">
        <v>0</v>
      </c>
      <c r="Q14" s="2">
        <f>$B$35*W5</f>
        <v>1.0294117647058823E-2</v>
      </c>
      <c r="R14" s="2">
        <v>0.5</v>
      </c>
      <c r="S14" s="2">
        <v>0</v>
      </c>
      <c r="T14" s="2">
        <v>0</v>
      </c>
      <c r="U14" s="2">
        <v>0</v>
      </c>
    </row>
    <row r="15" spans="1:23">
      <c r="N15" s="4" t="s">
        <v>19</v>
      </c>
      <c r="O15" s="2">
        <f t="shared" ref="O15:O19" si="1">Q6/SUM($Q$5:$Q$11)</f>
        <v>0.11494252873563218</v>
      </c>
      <c r="P15" s="6">
        <v>0</v>
      </c>
      <c r="Q15" s="2">
        <f t="shared" ref="Q15:Q19" si="2">$B$35*W6</f>
        <v>1.0294117647058823E-2</v>
      </c>
      <c r="R15" s="2">
        <v>0</v>
      </c>
      <c r="S15" s="2">
        <v>0</v>
      </c>
      <c r="T15" s="2">
        <v>0</v>
      </c>
      <c r="U15" s="2">
        <v>0</v>
      </c>
    </row>
    <row r="16" spans="1:23">
      <c r="B16" s="1" t="s">
        <v>96</v>
      </c>
      <c r="N16" s="4" t="s">
        <v>21</v>
      </c>
      <c r="O16" s="2">
        <f t="shared" si="1"/>
        <v>0.16091954022988506</v>
      </c>
      <c r="P16" s="6">
        <v>0</v>
      </c>
      <c r="Q16" s="2">
        <f t="shared" si="2"/>
        <v>0.10294117647058822</v>
      </c>
      <c r="R16" s="2">
        <v>0</v>
      </c>
      <c r="S16" s="2">
        <v>0</v>
      </c>
      <c r="T16" s="2">
        <v>0</v>
      </c>
      <c r="U16" s="2">
        <v>0</v>
      </c>
    </row>
    <row r="17" spans="1:22">
      <c r="A17" t="str">
        <f>N5</f>
        <v>Packaging</v>
      </c>
      <c r="B17" s="2">
        <f>Q5/SUM($Q$5:$Q$11)</f>
        <v>0.32183908045977011</v>
      </c>
      <c r="D17" t="s">
        <v>97</v>
      </c>
      <c r="N17" s="4" t="s">
        <v>41</v>
      </c>
      <c r="O17" s="2">
        <f t="shared" si="1"/>
        <v>6.8965517241379309E-2</v>
      </c>
      <c r="P17" s="6">
        <v>0</v>
      </c>
      <c r="Q17" s="2">
        <f t="shared" si="2"/>
        <v>0.10294117647058822</v>
      </c>
      <c r="R17" s="2">
        <v>0</v>
      </c>
      <c r="S17" s="2">
        <v>0</v>
      </c>
      <c r="T17" s="2">
        <v>0</v>
      </c>
      <c r="U17" s="2">
        <v>0</v>
      </c>
    </row>
    <row r="18" spans="1:22">
      <c r="A18" t="str">
        <f t="shared" ref="A18:A23" si="3">N6</f>
        <v>Building &amp; Construction</v>
      </c>
      <c r="B18" s="2">
        <f t="shared" ref="B18:B23" si="4">Q6/SUM($Q$5:$Q$11)</f>
        <v>0.11494252873563218</v>
      </c>
      <c r="N18" s="4" t="s">
        <v>1</v>
      </c>
      <c r="O18" s="2">
        <f>Q9/SUM($Q$5:$Q$11)</f>
        <v>8.0459770114942528E-2</v>
      </c>
      <c r="P18" s="6">
        <v>1</v>
      </c>
      <c r="Q18" s="2">
        <f t="shared" si="2"/>
        <v>0</v>
      </c>
      <c r="R18" s="2">
        <v>0</v>
      </c>
      <c r="S18" s="2">
        <v>0</v>
      </c>
      <c r="T18" s="2">
        <v>0</v>
      </c>
      <c r="U18" s="2">
        <v>0</v>
      </c>
    </row>
    <row r="19" spans="1:22">
      <c r="A19" t="str">
        <f t="shared" si="3"/>
        <v>Automotive</v>
      </c>
      <c r="B19" s="2">
        <f t="shared" si="4"/>
        <v>0.16091954022988506</v>
      </c>
      <c r="N19" s="4" t="s">
        <v>26</v>
      </c>
      <c r="O19" s="2">
        <f t="shared" si="1"/>
        <v>9.1954022988505746E-2</v>
      </c>
      <c r="P19" s="6">
        <v>0</v>
      </c>
      <c r="Q19" s="2">
        <f t="shared" si="2"/>
        <v>2.0588235294117647E-2</v>
      </c>
      <c r="R19" s="2">
        <v>0</v>
      </c>
      <c r="S19" s="2">
        <v>1</v>
      </c>
      <c r="T19" s="2">
        <v>1</v>
      </c>
      <c r="U19" s="2">
        <v>0</v>
      </c>
    </row>
    <row r="20" spans="1:22">
      <c r="A20" t="str">
        <f t="shared" si="3"/>
        <v>Electricl &amp; Electronics</v>
      </c>
      <c r="B20" s="2">
        <f t="shared" si="4"/>
        <v>6.8965517241379309E-2</v>
      </c>
      <c r="N20" s="4" t="s">
        <v>53</v>
      </c>
      <c r="O20" s="6">
        <v>0</v>
      </c>
      <c r="P20" s="6">
        <v>0</v>
      </c>
      <c r="Q20" s="6">
        <f>B34</f>
        <v>0.3</v>
      </c>
      <c r="R20" s="2">
        <v>0</v>
      </c>
      <c r="S20" s="2">
        <v>0</v>
      </c>
      <c r="T20" s="2">
        <v>0</v>
      </c>
      <c r="U20" s="2">
        <v>0</v>
      </c>
    </row>
    <row r="21" spans="1:22">
      <c r="A21" t="str">
        <f t="shared" si="3"/>
        <v>Agriculture</v>
      </c>
      <c r="B21" s="2">
        <f t="shared" si="4"/>
        <v>8.0459770114942528E-2</v>
      </c>
      <c r="N21" s="4" t="s">
        <v>27</v>
      </c>
      <c r="O21" s="2">
        <f>Q11/SUM($Q$5:$Q$11)</f>
        <v>0.16091954022988506</v>
      </c>
      <c r="P21" s="6">
        <v>0</v>
      </c>
      <c r="Q21" s="2">
        <f>($B$35*W11)+B36+B37</f>
        <v>0.45294117647058824</v>
      </c>
      <c r="R21" s="2">
        <v>0.5</v>
      </c>
      <c r="S21" s="2">
        <v>0</v>
      </c>
      <c r="T21" s="2">
        <v>0</v>
      </c>
      <c r="U21" s="2">
        <v>1</v>
      </c>
    </row>
    <row r="22" spans="1:22">
      <c r="A22" t="str">
        <f t="shared" si="3"/>
        <v>Household, leisure &amp; sports</v>
      </c>
      <c r="B22" s="2">
        <f t="shared" si="4"/>
        <v>9.1954022988505746E-2</v>
      </c>
    </row>
    <row r="23" spans="1:22">
      <c r="A23" t="str">
        <f t="shared" si="3"/>
        <v>Others</v>
      </c>
      <c r="B23" s="2">
        <f t="shared" si="4"/>
        <v>0.16091954022988506</v>
      </c>
    </row>
    <row r="24" spans="1:22">
      <c r="B24" s="2"/>
      <c r="N24" s="4" t="s">
        <v>98</v>
      </c>
      <c r="O24" t="str">
        <f>O13</f>
        <v>Polypropylene</v>
      </c>
      <c r="P24" t="str">
        <f t="shared" ref="P24:U24" si="5">P13</f>
        <v>Propenic Acid</v>
      </c>
      <c r="Q24" t="str">
        <f t="shared" si="5"/>
        <v>Propenonitrile</v>
      </c>
      <c r="R24" t="str">
        <f t="shared" si="5"/>
        <v>Benzene</v>
      </c>
      <c r="S24" t="str">
        <f t="shared" si="5"/>
        <v>Epoxypropane</v>
      </c>
      <c r="T24" t="str">
        <f t="shared" si="5"/>
        <v>Butanol</v>
      </c>
      <c r="U24" t="str">
        <f t="shared" si="5"/>
        <v>Other</v>
      </c>
      <c r="V24" s="1" t="s">
        <v>43</v>
      </c>
    </row>
    <row r="25" spans="1:22">
      <c r="N25" t="str">
        <f>N14</f>
        <v>Packaging</v>
      </c>
      <c r="O25" s="2">
        <f>O14*$B$4</f>
        <v>0.21563218390804598</v>
      </c>
      <c r="P25" s="6">
        <f>P14*$B$5</f>
        <v>0</v>
      </c>
      <c r="Q25" s="6">
        <f>Q14*$B$6</f>
        <v>6.1764705882352941E-4</v>
      </c>
      <c r="R25" s="6">
        <f>$B$7*R14</f>
        <v>0.02</v>
      </c>
      <c r="S25" s="6">
        <f>S14*$B$8</f>
        <v>0</v>
      </c>
      <c r="T25" s="6">
        <f>T14*$B$9</f>
        <v>0</v>
      </c>
      <c r="U25" s="6">
        <f>U14*$B$10</f>
        <v>0</v>
      </c>
      <c r="V25" s="6">
        <f>SUM(O25:U25)</f>
        <v>0.2362498309668695</v>
      </c>
    </row>
    <row r="26" spans="1:22">
      <c r="B26" s="1" t="s">
        <v>99</v>
      </c>
      <c r="N26" t="str">
        <f t="shared" ref="N26:N31" si="6">N15</f>
        <v>Building &amp; Construction</v>
      </c>
      <c r="O26" s="2">
        <f t="shared" ref="O26:O32" si="7">O15*$B$4</f>
        <v>7.7011494252873569E-2</v>
      </c>
      <c r="P26" s="6">
        <f t="shared" ref="P26:P32" si="8">P15*$B$5</f>
        <v>0</v>
      </c>
      <c r="Q26" s="6">
        <f t="shared" ref="Q26:Q32" si="9">Q15*$B$6</f>
        <v>6.1764705882352941E-4</v>
      </c>
      <c r="R26" s="6">
        <f t="shared" ref="R26:R32" si="10">$B$7*R15</f>
        <v>0</v>
      </c>
      <c r="S26" s="6">
        <f t="shared" ref="S26:S32" si="11">S15*$B$8</f>
        <v>0</v>
      </c>
      <c r="T26" s="6">
        <f t="shared" ref="T26:T32" si="12">T15*$B$9</f>
        <v>0</v>
      </c>
      <c r="U26" s="6">
        <f t="shared" ref="U26:U32" si="13">U15*$B$10</f>
        <v>0</v>
      </c>
      <c r="V26" s="6">
        <f t="shared" ref="V26:V32" si="14">SUM(O26:U26)</f>
        <v>7.7629141311697097E-2</v>
      </c>
    </row>
    <row r="27" spans="1:22">
      <c r="A27" t="s">
        <v>100</v>
      </c>
      <c r="B27" s="6">
        <v>0.5</v>
      </c>
      <c r="D27" t="s">
        <v>101</v>
      </c>
      <c r="N27" t="str">
        <f t="shared" si="6"/>
        <v>Automotive</v>
      </c>
      <c r="O27" s="2">
        <f t="shared" si="7"/>
        <v>0.10781609195402299</v>
      </c>
      <c r="P27" s="6">
        <f t="shared" si="8"/>
        <v>0</v>
      </c>
      <c r="Q27" s="6">
        <f t="shared" si="9"/>
        <v>6.1764705882352928E-3</v>
      </c>
      <c r="R27" s="6">
        <f t="shared" si="10"/>
        <v>0</v>
      </c>
      <c r="S27" s="6">
        <f t="shared" si="11"/>
        <v>0</v>
      </c>
      <c r="T27" s="6">
        <f t="shared" si="12"/>
        <v>0</v>
      </c>
      <c r="U27" s="6">
        <f t="shared" si="13"/>
        <v>0</v>
      </c>
      <c r="V27" s="6">
        <f t="shared" si="14"/>
        <v>0.11399256254225829</v>
      </c>
    </row>
    <row r="28" spans="1:22">
      <c r="A28" t="s">
        <v>102</v>
      </c>
      <c r="B28" s="6">
        <v>0.35</v>
      </c>
      <c r="N28" t="str">
        <f t="shared" si="6"/>
        <v>Electricl &amp; Electronics</v>
      </c>
      <c r="O28" s="2">
        <f t="shared" si="7"/>
        <v>4.6206896551724143E-2</v>
      </c>
      <c r="P28" s="6">
        <f t="shared" si="8"/>
        <v>0</v>
      </c>
      <c r="Q28" s="6">
        <f t="shared" si="9"/>
        <v>6.1764705882352928E-3</v>
      </c>
      <c r="R28" s="6">
        <f t="shared" si="10"/>
        <v>0</v>
      </c>
      <c r="S28" s="6">
        <f t="shared" si="11"/>
        <v>0</v>
      </c>
      <c r="T28" s="6">
        <f t="shared" si="12"/>
        <v>0</v>
      </c>
      <c r="U28" s="6">
        <f t="shared" si="13"/>
        <v>0</v>
      </c>
      <c r="V28" s="6">
        <f t="shared" si="14"/>
        <v>5.2383367139959433E-2</v>
      </c>
    </row>
    <row r="29" spans="1:22">
      <c r="A29" t="s">
        <v>103</v>
      </c>
      <c r="B29" s="6">
        <v>0.1</v>
      </c>
      <c r="N29" t="str">
        <f t="shared" si="6"/>
        <v>Agriculture</v>
      </c>
      <c r="O29" s="2">
        <f t="shared" si="7"/>
        <v>5.3908045977011494E-2</v>
      </c>
      <c r="P29" s="6">
        <f t="shared" si="8"/>
        <v>0.05</v>
      </c>
      <c r="Q29" s="6">
        <f t="shared" si="9"/>
        <v>0</v>
      </c>
      <c r="R29" s="6">
        <f t="shared" si="10"/>
        <v>0</v>
      </c>
      <c r="S29" s="6">
        <f t="shared" si="11"/>
        <v>0</v>
      </c>
      <c r="T29" s="6">
        <f t="shared" si="12"/>
        <v>0</v>
      </c>
      <c r="U29" s="6">
        <f t="shared" si="13"/>
        <v>0</v>
      </c>
      <c r="V29" s="6">
        <f t="shared" si="14"/>
        <v>0.1039080459770115</v>
      </c>
    </row>
    <row r="30" spans="1:22">
      <c r="A30" t="s">
        <v>24</v>
      </c>
      <c r="B30" s="6">
        <v>0.05</v>
      </c>
      <c r="N30" t="str">
        <f t="shared" si="6"/>
        <v>Household, leisure &amp; sports</v>
      </c>
      <c r="O30" s="2">
        <f t="shared" si="7"/>
        <v>6.1609195402298852E-2</v>
      </c>
      <c r="P30" s="6">
        <f t="shared" si="8"/>
        <v>0</v>
      </c>
      <c r="Q30" s="6">
        <f t="shared" si="9"/>
        <v>1.2352941176470588E-3</v>
      </c>
      <c r="R30" s="6">
        <f t="shared" si="10"/>
        <v>0</v>
      </c>
      <c r="S30" s="6">
        <f t="shared" si="11"/>
        <v>7.0000000000000007E-2</v>
      </c>
      <c r="T30" s="6">
        <f t="shared" si="12"/>
        <v>0.03</v>
      </c>
      <c r="U30" s="6">
        <f t="shared" si="13"/>
        <v>0</v>
      </c>
      <c r="V30" s="6">
        <f t="shared" si="14"/>
        <v>0.16284448951994593</v>
      </c>
    </row>
    <row r="31" spans="1:22">
      <c r="N31" t="str">
        <f t="shared" si="6"/>
        <v>Textiles</v>
      </c>
      <c r="O31" s="2">
        <f t="shared" si="7"/>
        <v>0</v>
      </c>
      <c r="P31" s="6">
        <f t="shared" si="8"/>
        <v>0</v>
      </c>
      <c r="Q31" s="6">
        <f t="shared" si="9"/>
        <v>1.7999999999999999E-2</v>
      </c>
      <c r="R31" s="6">
        <f t="shared" si="10"/>
        <v>0</v>
      </c>
      <c r="S31" s="6">
        <f t="shared" si="11"/>
        <v>0</v>
      </c>
      <c r="T31" s="6">
        <f t="shared" si="12"/>
        <v>0</v>
      </c>
      <c r="U31" s="6">
        <f t="shared" si="13"/>
        <v>0</v>
      </c>
      <c r="V31" s="6">
        <f t="shared" si="14"/>
        <v>1.7999999999999999E-2</v>
      </c>
    </row>
    <row r="32" spans="1:22">
      <c r="N32" t="str">
        <f>N21</f>
        <v>Others</v>
      </c>
      <c r="O32" s="2">
        <f t="shared" si="7"/>
        <v>0.10781609195402299</v>
      </c>
      <c r="P32" s="6">
        <f t="shared" si="8"/>
        <v>0</v>
      </c>
      <c r="Q32" s="6">
        <f t="shared" si="9"/>
        <v>2.7176470588235292E-2</v>
      </c>
      <c r="R32" s="6">
        <f t="shared" si="10"/>
        <v>0.02</v>
      </c>
      <c r="S32" s="6">
        <f t="shared" si="11"/>
        <v>0</v>
      </c>
      <c r="T32" s="6">
        <f t="shared" si="12"/>
        <v>0</v>
      </c>
      <c r="U32" s="6">
        <f t="shared" si="13"/>
        <v>0.08</v>
      </c>
      <c r="V32" s="6">
        <f t="shared" si="14"/>
        <v>0.23499256254225825</v>
      </c>
    </row>
    <row r="33" spans="1:12">
      <c r="B33" s="1" t="s">
        <v>104</v>
      </c>
      <c r="C33" t="s">
        <v>82</v>
      </c>
      <c r="D33" t="s">
        <v>105</v>
      </c>
    </row>
    <row r="34" spans="1:12">
      <c r="A34" t="s">
        <v>106</v>
      </c>
      <c r="B34" s="6">
        <v>0.3</v>
      </c>
      <c r="C34" t="s">
        <v>107</v>
      </c>
    </row>
    <row r="35" spans="1:12">
      <c r="A35" t="s">
        <v>108</v>
      </c>
      <c r="B35" s="6">
        <v>0.35</v>
      </c>
      <c r="C35" t="s">
        <v>109</v>
      </c>
    </row>
    <row r="36" spans="1:12">
      <c r="A36" t="s">
        <v>110</v>
      </c>
      <c r="B36" s="6">
        <v>0.15</v>
      </c>
      <c r="C36" t="s">
        <v>111</v>
      </c>
    </row>
    <row r="37" spans="1:12">
      <c r="A37" t="s">
        <v>24</v>
      </c>
      <c r="B37" s="6">
        <v>0.2</v>
      </c>
    </row>
    <row r="41" spans="1:12">
      <c r="L41" s="4"/>
    </row>
    <row r="43" spans="1:12">
      <c r="A43" s="11"/>
      <c r="B43" s="12" t="s">
        <v>112</v>
      </c>
      <c r="C43" s="34" t="s">
        <v>79</v>
      </c>
      <c r="D43" s="34" t="s">
        <v>67</v>
      </c>
      <c r="E43" s="34" t="s">
        <v>80</v>
      </c>
      <c r="H43" s="34" t="s">
        <v>79</v>
      </c>
      <c r="I43" s="34" t="s">
        <v>67</v>
      </c>
      <c r="J43" s="34" t="s">
        <v>80</v>
      </c>
    </row>
    <row r="44" spans="1:12">
      <c r="A44" s="15" t="str">
        <f>N25</f>
        <v>Packaging</v>
      </c>
      <c r="B44" s="14">
        <f>V25</f>
        <v>0.2362498309668695</v>
      </c>
      <c r="C44" s="35">
        <f>B44*$C$52</f>
        <v>266358.5371120522</v>
      </c>
      <c r="D44" s="37">
        <f>'Demand - Ethylene'!L63</f>
        <v>0</v>
      </c>
      <c r="E44" s="35">
        <f>C44*(1+D44)^30</f>
        <v>266358.5371120522</v>
      </c>
      <c r="F44" s="2">
        <f>E44/$E$52</f>
        <v>0.23624983096686952</v>
      </c>
      <c r="H44" s="35">
        <f>C44</f>
        <v>266358.5371120522</v>
      </c>
      <c r="I44" s="37">
        <v>2.6700000000000002E-2</v>
      </c>
      <c r="J44" s="35">
        <f>H44*(1+I44)^30</f>
        <v>587183.01106105186</v>
      </c>
    </row>
    <row r="45" spans="1:12">
      <c r="A45" s="15" t="str">
        <f t="shared" ref="A45:A51" si="15">N26</f>
        <v>Building &amp; Construction</v>
      </c>
      <c r="B45" s="14">
        <f t="shared" ref="B45:B51" si="16">V26</f>
        <v>7.7629141311697097E-2</v>
      </c>
      <c r="C45" s="35">
        <f t="shared" ref="C45:C51" si="17">B45*$C$52</f>
        <v>87522.536767224519</v>
      </c>
      <c r="D45" s="37">
        <f>'Demand - Ethylene'!L64</f>
        <v>0</v>
      </c>
      <c r="E45" s="35">
        <f t="shared" ref="E45:E46" si="18">C45*(1+D45)^30</f>
        <v>87522.536767224519</v>
      </c>
      <c r="F45" s="2">
        <f t="shared" ref="F45:F51" si="19">E45/$E$52</f>
        <v>7.7629141311697097E-2</v>
      </c>
      <c r="H45" s="35">
        <f t="shared" ref="H45:H51" si="20">C45</f>
        <v>87522.536767224519</v>
      </c>
      <c r="I45" s="37">
        <f>D45</f>
        <v>0</v>
      </c>
      <c r="J45" s="35">
        <f t="shared" ref="J45:J51" si="21">H45*(1+I45)^30</f>
        <v>87522.536767224519</v>
      </c>
    </row>
    <row r="46" spans="1:12">
      <c r="A46" s="15" t="str">
        <f t="shared" si="15"/>
        <v>Automotive</v>
      </c>
      <c r="B46" s="14">
        <f>V27</f>
        <v>0.11399256254225829</v>
      </c>
      <c r="C46" s="35">
        <f t="shared" si="17"/>
        <v>128520.2705802908</v>
      </c>
      <c r="D46" s="37">
        <f>'Demand - Ethylene'!L65</f>
        <v>0</v>
      </c>
      <c r="E46" s="35">
        <f t="shared" si="18"/>
        <v>128520.2705802908</v>
      </c>
      <c r="F46" s="2">
        <f t="shared" si="19"/>
        <v>0.11399256254225829</v>
      </c>
      <c r="H46" s="35">
        <f t="shared" si="20"/>
        <v>128520.2705802908</v>
      </c>
      <c r="I46" s="37">
        <v>3.5000000000000003E-2</v>
      </c>
      <c r="J46" s="35">
        <f t="shared" si="21"/>
        <v>360729.88639143849</v>
      </c>
    </row>
    <row r="47" spans="1:12">
      <c r="A47" s="15" t="str">
        <f t="shared" si="15"/>
        <v>Electricl &amp; Electronics</v>
      </c>
      <c r="B47" s="14">
        <f t="shared" si="16"/>
        <v>5.2383367139959433E-2</v>
      </c>
      <c r="C47" s="35">
        <f t="shared" si="17"/>
        <v>59059.331315922951</v>
      </c>
      <c r="D47" s="37">
        <f>(E47/C47)^(1/30)-1</f>
        <v>0</v>
      </c>
      <c r="E47" s="35">
        <f>($E$52-$E$44-$E$45-$E$46-$E$49)*(C47/SUM($C$47:$C$48,$C$50:$C$51))</f>
        <v>59059.331315922944</v>
      </c>
      <c r="F47" s="2">
        <f t="shared" si="19"/>
        <v>5.2383367139959426E-2</v>
      </c>
      <c r="H47" s="35">
        <f t="shared" si="20"/>
        <v>59059.331315922951</v>
      </c>
      <c r="I47" s="37">
        <f>$D$52</f>
        <v>0</v>
      </c>
      <c r="J47" s="35">
        <f t="shared" si="21"/>
        <v>59059.331315922951</v>
      </c>
    </row>
    <row r="48" spans="1:12">
      <c r="A48" s="15" t="str">
        <f t="shared" si="15"/>
        <v>Agriculture</v>
      </c>
      <c r="B48" s="14">
        <f t="shared" si="16"/>
        <v>0.1039080459770115</v>
      </c>
      <c r="C48" s="35">
        <f t="shared" si="17"/>
        <v>117150.53935632191</v>
      </c>
      <c r="D48" s="37">
        <f>(E48/C48)^(1/30)-1</f>
        <v>0</v>
      </c>
      <c r="E48" s="35">
        <f>($E$52-$E$44-$E$45-$E$46-$E$49)*(C48/SUM($C$47:$C$48,$C$50:$C$51))</f>
        <v>117150.5393563219</v>
      </c>
      <c r="F48" s="2">
        <f t="shared" si="19"/>
        <v>0.10390804597701149</v>
      </c>
      <c r="H48" s="35">
        <f t="shared" si="20"/>
        <v>117150.53935632191</v>
      </c>
      <c r="I48" s="37">
        <f t="shared" ref="I48:I51" si="22">$D$52</f>
        <v>0</v>
      </c>
      <c r="J48" s="35">
        <f t="shared" si="21"/>
        <v>117150.53935632191</v>
      </c>
    </row>
    <row r="49" spans="1:16">
      <c r="A49" s="15" t="str">
        <f t="shared" si="15"/>
        <v>Household, leisure &amp; sports</v>
      </c>
      <c r="B49" s="14">
        <f t="shared" si="16"/>
        <v>0.16284448951994593</v>
      </c>
      <c r="C49" s="35">
        <f t="shared" si="17"/>
        <v>183598.09963789734</v>
      </c>
      <c r="D49" s="37">
        <f>D44</f>
        <v>0</v>
      </c>
      <c r="E49" s="35">
        <f t="shared" ref="E49" si="23">C49*(1+D49)^30</f>
        <v>183598.09963789734</v>
      </c>
      <c r="F49" s="2">
        <f t="shared" si="19"/>
        <v>0.16284448951994593</v>
      </c>
      <c r="H49" s="35">
        <f t="shared" si="20"/>
        <v>183598.09963789734</v>
      </c>
      <c r="I49" s="37">
        <f t="shared" si="22"/>
        <v>0</v>
      </c>
      <c r="J49" s="35">
        <f t="shared" si="21"/>
        <v>183598.09963789734</v>
      </c>
    </row>
    <row r="50" spans="1:16">
      <c r="A50" s="15" t="str">
        <f t="shared" si="15"/>
        <v>Textiles</v>
      </c>
      <c r="B50" s="14">
        <f>V31</f>
        <v>1.7999999999999999E-2</v>
      </c>
      <c r="C50" s="35">
        <f t="shared" si="17"/>
        <v>20293.99830000001</v>
      </c>
      <c r="D50" s="37">
        <f t="shared" ref="D50:D51" si="24">(E50/C50)^(1/30)-1</f>
        <v>0</v>
      </c>
      <c r="E50" s="35">
        <f>($E$52-$E$44-$E$45-$E$46-$E$49)*(C50/SUM($C$47:$C$48,$C$50:$C$51))</f>
        <v>20293.99830000001</v>
      </c>
      <c r="F50" s="2">
        <f t="shared" si="19"/>
        <v>1.7999999999999999E-2</v>
      </c>
      <c r="H50" s="35">
        <f t="shared" si="20"/>
        <v>20293.99830000001</v>
      </c>
      <c r="I50" s="37">
        <f t="shared" si="22"/>
        <v>0</v>
      </c>
      <c r="J50" s="35">
        <f t="shared" si="21"/>
        <v>20293.99830000001</v>
      </c>
    </row>
    <row r="51" spans="1:16">
      <c r="A51" s="18" t="str">
        <f t="shared" si="15"/>
        <v>Others</v>
      </c>
      <c r="B51" s="17">
        <f t="shared" si="16"/>
        <v>0.23499256254225825</v>
      </c>
      <c r="C51" s="35">
        <f t="shared" si="17"/>
        <v>264941.03693029081</v>
      </c>
      <c r="D51" s="37">
        <f t="shared" si="24"/>
        <v>0</v>
      </c>
      <c r="E51" s="35">
        <f>($E$52-$E$44-$E$45-$E$46-$E$49)*(C51/SUM($C$47:$C$48,$C$50:$C$51))</f>
        <v>264941.03693029081</v>
      </c>
      <c r="F51" s="2">
        <f t="shared" si="19"/>
        <v>0.23499256254225823</v>
      </c>
      <c r="H51" s="35">
        <f t="shared" si="20"/>
        <v>264941.03693029081</v>
      </c>
      <c r="I51" s="37">
        <f t="shared" si="22"/>
        <v>0</v>
      </c>
      <c r="J51" s="35">
        <f t="shared" si="21"/>
        <v>264941.03693029081</v>
      </c>
    </row>
    <row r="52" spans="1:16">
      <c r="C52" s="36">
        <f>'Yearly Demand - Eth-Prop'!C4</f>
        <v>1127444.3500000006</v>
      </c>
      <c r="D52" s="39">
        <f>(E52/C52)^(1/30)-1</f>
        <v>0</v>
      </c>
      <c r="E52" s="36">
        <f>'Yearly Demand - Eth-Prop'!I4</f>
        <v>1127444.3500000006</v>
      </c>
      <c r="H52" s="36">
        <f>SUM(H44:H51)</f>
        <v>1127444.3500000006</v>
      </c>
      <c r="I52" s="39">
        <f>(J52/H52)^(1/30)-1</f>
        <v>1.3393064397255072E-2</v>
      </c>
      <c r="J52" s="36">
        <f>SUM(J44:J51)</f>
        <v>1680478.4397601478</v>
      </c>
    </row>
    <row r="54" spans="1:16" s="19" customFormat="1" ht="33.65" customHeight="1">
      <c r="A54" s="19" t="s">
        <v>57</v>
      </c>
    </row>
    <row r="57" spans="1:16">
      <c r="B57" s="1" t="s">
        <v>113</v>
      </c>
      <c r="C57" s="1" t="s">
        <v>58</v>
      </c>
      <c r="D57" s="1" t="s">
        <v>59</v>
      </c>
      <c r="E57" s="1" t="s">
        <v>60</v>
      </c>
      <c r="F57" s="1" t="s">
        <v>2</v>
      </c>
      <c r="G57" s="1"/>
      <c r="H57" s="1"/>
    </row>
    <row r="58" spans="1:16">
      <c r="A58" t="s">
        <v>61</v>
      </c>
      <c r="B58" s="6">
        <f>D58*C58</f>
        <v>-7.0874949290060843E-2</v>
      </c>
      <c r="C58" s="6">
        <f>B44</f>
        <v>0.2362498309668695</v>
      </c>
      <c r="D58" s="6">
        <v>-0.3</v>
      </c>
      <c r="E58" t="s">
        <v>62</v>
      </c>
    </row>
    <row r="59" spans="1:16">
      <c r="A59" t="s">
        <v>63</v>
      </c>
      <c r="B59" s="6">
        <f t="shared" ref="B59:B63" si="25">D59*C59</f>
        <v>-4.0162471264367818E-2</v>
      </c>
      <c r="C59" s="6">
        <f>B44</f>
        <v>0.2362498309668695</v>
      </c>
      <c r="D59" s="6">
        <v>-0.17</v>
      </c>
      <c r="E59" t="s">
        <v>62</v>
      </c>
    </row>
    <row r="60" spans="1:16">
      <c r="A60" t="s">
        <v>114</v>
      </c>
      <c r="B60" s="6">
        <f t="shared" si="25"/>
        <v>0</v>
      </c>
      <c r="C60" s="6">
        <f>B46</f>
        <v>0.11399256254225829</v>
      </c>
      <c r="D60" s="6">
        <v>0</v>
      </c>
      <c r="E60" t="s">
        <v>115</v>
      </c>
      <c r="F60" t="s">
        <v>116</v>
      </c>
      <c r="P60" s="1" t="s">
        <v>117</v>
      </c>
    </row>
    <row r="61" spans="1:16">
      <c r="A61" t="s">
        <v>118</v>
      </c>
      <c r="B61" s="6">
        <f t="shared" si="25"/>
        <v>-6.1456859805391423E-2</v>
      </c>
      <c r="C61" s="6">
        <f>B46</f>
        <v>0.11399256254225829</v>
      </c>
      <c r="D61" s="6">
        <f>-P63</f>
        <v>-0.53913043478260869</v>
      </c>
      <c r="E61" t="s">
        <v>119</v>
      </c>
      <c r="O61" t="s">
        <v>120</v>
      </c>
      <c r="P61" s="20">
        <v>0.33333333333333326</v>
      </c>
    </row>
    <row r="62" spans="1:16">
      <c r="A62" t="s">
        <v>53</v>
      </c>
      <c r="B62" s="6">
        <f t="shared" si="25"/>
        <v>-1.6199999999999999E-2</v>
      </c>
      <c r="C62" s="6">
        <f>B50</f>
        <v>1.7999999999999999E-2</v>
      </c>
      <c r="D62" s="6">
        <v>-0.9</v>
      </c>
      <c r="E62" t="s">
        <v>65</v>
      </c>
      <c r="F62" t="s">
        <v>66</v>
      </c>
      <c r="O62" t="s">
        <v>121</v>
      </c>
      <c r="P62" s="21">
        <f>P63-P61</f>
        <v>0.20579710144927543</v>
      </c>
    </row>
    <row r="63" spans="1:16">
      <c r="A63" t="s">
        <v>122</v>
      </c>
      <c r="B63" s="6" t="e">
        <f t="shared" si="25"/>
        <v>#VALUE!</v>
      </c>
      <c r="C63" s="6">
        <f>B45</f>
        <v>7.7629141311697097E-2</v>
      </c>
      <c r="D63" t="s">
        <v>64</v>
      </c>
      <c r="O63" t="s">
        <v>123</v>
      </c>
      <c r="P63" s="20">
        <v>0.53913043478260869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66"/>
  <sheetViews>
    <sheetView workbookViewId="0">
      <selection activeCell="E8" sqref="E8"/>
    </sheetView>
  </sheetViews>
  <sheetFormatPr defaultRowHeight="14.75"/>
  <cols>
    <col min="1" max="1" width="23.36328125" bestFit="1" customWidth="1"/>
    <col min="2" max="2" width="24.08984375" bestFit="1" customWidth="1"/>
    <col min="3" max="3" width="29.81640625" customWidth="1"/>
    <col min="4" max="4" width="20.08984375" bestFit="1" customWidth="1"/>
    <col min="5" max="5" width="41.08984375" bestFit="1" customWidth="1"/>
    <col min="14" max="14" width="26.36328125" bestFit="1" customWidth="1"/>
    <col min="15" max="20" width="18" customWidth="1"/>
    <col min="21" max="21" width="23.81640625" bestFit="1" customWidth="1"/>
    <col min="22" max="22" width="20.81640625" customWidth="1"/>
  </cols>
  <sheetData>
    <row r="1" spans="1:22">
      <c r="O1" s="10" t="s">
        <v>3</v>
      </c>
      <c r="P1" s="10" t="s">
        <v>3</v>
      </c>
      <c r="Q1" s="9" t="s">
        <v>4</v>
      </c>
      <c r="R1" s="10" t="s">
        <v>3</v>
      </c>
      <c r="S1" s="10" t="s">
        <v>3</v>
      </c>
      <c r="T1" s="10" t="s">
        <v>3</v>
      </c>
      <c r="U1" s="10" t="s">
        <v>3</v>
      </c>
      <c r="V1" s="9" t="s">
        <v>4</v>
      </c>
    </row>
    <row r="2" spans="1:22">
      <c r="B2" s="1" t="s">
        <v>5</v>
      </c>
      <c r="E2" s="1" t="s">
        <v>6</v>
      </c>
      <c r="N2" s="1" t="s">
        <v>7</v>
      </c>
      <c r="O2" t="s">
        <v>8</v>
      </c>
      <c r="P2" t="s">
        <v>9</v>
      </c>
      <c r="Q2" t="s">
        <v>10</v>
      </c>
      <c r="R2" t="s">
        <v>11</v>
      </c>
      <c r="S2" t="s">
        <v>12</v>
      </c>
      <c r="T2" t="s">
        <v>13</v>
      </c>
      <c r="U2" t="s">
        <v>14</v>
      </c>
      <c r="V2" t="s">
        <v>15</v>
      </c>
    </row>
    <row r="3" spans="1:22">
      <c r="A3" t="s">
        <v>16</v>
      </c>
      <c r="B3" s="2">
        <v>0.6</v>
      </c>
      <c r="N3" t="s">
        <v>17</v>
      </c>
      <c r="O3">
        <v>8</v>
      </c>
      <c r="P3">
        <v>6</v>
      </c>
      <c r="Q3">
        <v>7</v>
      </c>
      <c r="R3">
        <v>3.5</v>
      </c>
      <c r="S3">
        <v>2</v>
      </c>
      <c r="T3">
        <v>3</v>
      </c>
      <c r="U3">
        <v>6.5</v>
      </c>
      <c r="V3">
        <v>0.1</v>
      </c>
    </row>
    <row r="4" spans="1:22">
      <c r="A4" t="s">
        <v>18</v>
      </c>
      <c r="B4" s="2">
        <v>0.17499999999999999</v>
      </c>
      <c r="N4" t="s">
        <v>19</v>
      </c>
      <c r="O4">
        <v>1.5</v>
      </c>
      <c r="P4">
        <v>3.5</v>
      </c>
      <c r="Q4">
        <v>2.5</v>
      </c>
      <c r="R4">
        <v>1</v>
      </c>
      <c r="S4">
        <v>3.5</v>
      </c>
      <c r="T4">
        <v>6.5</v>
      </c>
      <c r="U4">
        <v>0</v>
      </c>
      <c r="V4">
        <v>0.1</v>
      </c>
    </row>
    <row r="5" spans="1:22">
      <c r="A5" t="s">
        <v>20</v>
      </c>
      <c r="B5" s="2">
        <v>0.125</v>
      </c>
      <c r="N5" t="s">
        <v>21</v>
      </c>
      <c r="O5">
        <v>0.75</v>
      </c>
      <c r="P5">
        <v>1</v>
      </c>
      <c r="Q5">
        <v>3.5</v>
      </c>
      <c r="R5">
        <v>0.5</v>
      </c>
      <c r="S5">
        <v>0</v>
      </c>
      <c r="T5">
        <v>0.75</v>
      </c>
      <c r="U5">
        <v>0</v>
      </c>
      <c r="V5">
        <v>1</v>
      </c>
    </row>
    <row r="6" spans="1:22">
      <c r="A6" t="s">
        <v>22</v>
      </c>
      <c r="B6" s="2">
        <v>7.0000000000000007E-2</v>
      </c>
      <c r="N6" t="s">
        <v>23</v>
      </c>
      <c r="O6">
        <v>1</v>
      </c>
      <c r="P6">
        <v>0.5</v>
      </c>
      <c r="Q6">
        <v>1.5</v>
      </c>
      <c r="R6">
        <v>0.5</v>
      </c>
      <c r="S6">
        <v>0</v>
      </c>
      <c r="T6">
        <v>0.25</v>
      </c>
      <c r="U6">
        <v>0</v>
      </c>
      <c r="V6">
        <v>1</v>
      </c>
    </row>
    <row r="7" spans="1:22">
      <c r="A7" t="s">
        <v>24</v>
      </c>
      <c r="B7" s="2">
        <v>0.03</v>
      </c>
      <c r="N7" t="s">
        <v>1</v>
      </c>
      <c r="O7">
        <v>1.5</v>
      </c>
      <c r="P7">
        <v>0</v>
      </c>
      <c r="Q7">
        <v>1.75</v>
      </c>
      <c r="R7">
        <v>0</v>
      </c>
      <c r="S7">
        <v>0</v>
      </c>
      <c r="T7">
        <v>0.5</v>
      </c>
      <c r="U7">
        <v>0</v>
      </c>
      <c r="V7">
        <v>0</v>
      </c>
    </row>
    <row r="8" spans="1:22">
      <c r="A8" s="3"/>
      <c r="B8" s="2"/>
      <c r="E8" t="s">
        <v>25</v>
      </c>
      <c r="N8" t="s">
        <v>26</v>
      </c>
      <c r="O8">
        <v>0.25</v>
      </c>
      <c r="P8">
        <v>1</v>
      </c>
      <c r="Q8">
        <v>2</v>
      </c>
      <c r="R8">
        <v>1</v>
      </c>
      <c r="S8">
        <v>0</v>
      </c>
      <c r="T8">
        <v>1</v>
      </c>
      <c r="U8">
        <v>0</v>
      </c>
      <c r="V8">
        <v>0.2</v>
      </c>
    </row>
    <row r="9" spans="1:22">
      <c r="B9" s="2"/>
      <c r="N9" t="s">
        <v>27</v>
      </c>
      <c r="O9">
        <v>3.5</v>
      </c>
      <c r="P9">
        <v>2</v>
      </c>
      <c r="Q9">
        <v>3.5</v>
      </c>
      <c r="R9">
        <v>1.5</v>
      </c>
      <c r="S9">
        <v>0</v>
      </c>
      <c r="T9">
        <v>1.5</v>
      </c>
      <c r="U9">
        <v>0</v>
      </c>
      <c r="V9">
        <v>1</v>
      </c>
    </row>
    <row r="10" spans="1:22">
      <c r="A10" s="1" t="s">
        <v>28</v>
      </c>
    </row>
    <row r="11" spans="1:22">
      <c r="B11" t="s">
        <v>29</v>
      </c>
      <c r="C11" t="s">
        <v>30</v>
      </c>
      <c r="D11" t="s">
        <v>9</v>
      </c>
    </row>
    <row r="12" spans="1:22">
      <c r="A12" t="s">
        <v>0</v>
      </c>
      <c r="B12">
        <v>18.7</v>
      </c>
      <c r="C12">
        <v>24.1</v>
      </c>
      <c r="D12">
        <v>37.5</v>
      </c>
      <c r="E12" t="s">
        <v>31</v>
      </c>
      <c r="N12" s="1" t="s">
        <v>32</v>
      </c>
      <c r="O12" t="s">
        <v>8</v>
      </c>
      <c r="P12" t="s">
        <v>9</v>
      </c>
      <c r="Q12" t="s">
        <v>33</v>
      </c>
      <c r="R12" t="s">
        <v>34</v>
      </c>
      <c r="S12" t="s">
        <v>35</v>
      </c>
    </row>
    <row r="13" spans="1:22">
      <c r="A13" t="s">
        <v>36</v>
      </c>
      <c r="B13">
        <v>3.2</v>
      </c>
      <c r="C13">
        <v>6.3</v>
      </c>
      <c r="D13">
        <v>7.9</v>
      </c>
      <c r="E13" t="s">
        <v>37</v>
      </c>
      <c r="N13" t="s">
        <v>17</v>
      </c>
      <c r="O13">
        <f>O3</f>
        <v>8</v>
      </c>
      <c r="P13">
        <f>P3</f>
        <v>6</v>
      </c>
      <c r="Q13">
        <f>SUM(R3:S3)</f>
        <v>5.5</v>
      </c>
      <c r="R13">
        <f>T3</f>
        <v>3</v>
      </c>
      <c r="S13">
        <f>U3</f>
        <v>6.5</v>
      </c>
    </row>
    <row r="14" spans="1:22">
      <c r="A14" t="s">
        <v>38</v>
      </c>
      <c r="B14">
        <v>8.27</v>
      </c>
      <c r="D14">
        <v>5.8</v>
      </c>
      <c r="E14" t="s">
        <v>39</v>
      </c>
      <c r="N14" t="s">
        <v>19</v>
      </c>
      <c r="O14">
        <f t="shared" ref="O14:P14" si="0">O4</f>
        <v>1.5</v>
      </c>
      <c r="P14">
        <f t="shared" si="0"/>
        <v>3.5</v>
      </c>
      <c r="Q14">
        <f t="shared" ref="Q14:Q19" si="1">SUM(R4:S4)</f>
        <v>4.5</v>
      </c>
      <c r="R14">
        <f t="shared" ref="R14:S14" si="2">T4</f>
        <v>6.5</v>
      </c>
      <c r="S14">
        <f t="shared" si="2"/>
        <v>0</v>
      </c>
    </row>
    <row r="15" spans="1:22">
      <c r="N15" t="s">
        <v>21</v>
      </c>
      <c r="O15">
        <f t="shared" ref="O15:P15" si="3">O5</f>
        <v>0.75</v>
      </c>
      <c r="P15">
        <f t="shared" si="3"/>
        <v>1</v>
      </c>
      <c r="Q15">
        <f t="shared" si="1"/>
        <v>0.5</v>
      </c>
      <c r="R15">
        <f t="shared" ref="R15:S15" si="4">T5</f>
        <v>0.75</v>
      </c>
      <c r="S15">
        <f t="shared" si="4"/>
        <v>0</v>
      </c>
    </row>
    <row r="16" spans="1:22">
      <c r="B16" s="1" t="s">
        <v>32</v>
      </c>
      <c r="C16" s="1" t="s">
        <v>40</v>
      </c>
      <c r="N16" t="s">
        <v>41</v>
      </c>
      <c r="O16">
        <f t="shared" ref="O16:P16" si="5">O6</f>
        <v>1</v>
      </c>
      <c r="P16">
        <f t="shared" si="5"/>
        <v>0.5</v>
      </c>
      <c r="Q16">
        <f t="shared" si="1"/>
        <v>0.5</v>
      </c>
      <c r="R16">
        <f t="shared" ref="R16:S16" si="6">T6</f>
        <v>0.25</v>
      </c>
      <c r="S16">
        <f t="shared" si="6"/>
        <v>0</v>
      </c>
    </row>
    <row r="17" spans="1:21">
      <c r="A17" t="s">
        <v>42</v>
      </c>
      <c r="B17">
        <f>SUM(B12:C12)</f>
        <v>42.8</v>
      </c>
      <c r="C17" s="2">
        <f>B17/SUM(B17:B18)</f>
        <v>0.53300124533001247</v>
      </c>
      <c r="N17" t="s">
        <v>1</v>
      </c>
      <c r="O17">
        <f t="shared" ref="O17:P17" si="7">O7</f>
        <v>1.5</v>
      </c>
      <c r="P17">
        <f t="shared" si="7"/>
        <v>0</v>
      </c>
      <c r="Q17">
        <f t="shared" si="1"/>
        <v>0</v>
      </c>
      <c r="R17">
        <f t="shared" ref="R17:S17" si="8">T7</f>
        <v>0.5</v>
      </c>
      <c r="S17">
        <f t="shared" si="8"/>
        <v>0</v>
      </c>
    </row>
    <row r="18" spans="1:21">
      <c r="A18" t="s">
        <v>9</v>
      </c>
      <c r="B18">
        <f>D12</f>
        <v>37.5</v>
      </c>
      <c r="C18" s="2">
        <f>1-C17</f>
        <v>0.46699875466998753</v>
      </c>
      <c r="N18" t="s">
        <v>26</v>
      </c>
      <c r="O18">
        <f t="shared" ref="O18:P18" si="9">O8</f>
        <v>0.25</v>
      </c>
      <c r="P18">
        <f t="shared" si="9"/>
        <v>1</v>
      </c>
      <c r="Q18">
        <f t="shared" si="1"/>
        <v>1</v>
      </c>
      <c r="R18">
        <f t="shared" ref="R18:S18" si="10">T8</f>
        <v>1</v>
      </c>
      <c r="S18">
        <f t="shared" si="10"/>
        <v>0</v>
      </c>
    </row>
    <row r="19" spans="1:21">
      <c r="N19" t="s">
        <v>27</v>
      </c>
      <c r="O19">
        <f t="shared" ref="O19:P19" si="11">O9</f>
        <v>3.5</v>
      </c>
      <c r="P19">
        <f t="shared" si="11"/>
        <v>2</v>
      </c>
      <c r="Q19">
        <f t="shared" si="1"/>
        <v>1.5</v>
      </c>
      <c r="R19">
        <f t="shared" ref="R19:S19" si="12">T9</f>
        <v>1.5</v>
      </c>
      <c r="S19">
        <f t="shared" si="12"/>
        <v>0</v>
      </c>
    </row>
    <row r="20" spans="1:21">
      <c r="N20" t="s">
        <v>43</v>
      </c>
      <c r="O20" s="1">
        <f>SUM(O13:O19)</f>
        <v>16.5</v>
      </c>
      <c r="P20" s="1">
        <f t="shared" ref="P20:S20" si="13">SUM(P13:P19)</f>
        <v>14</v>
      </c>
      <c r="Q20" s="1">
        <f t="shared" si="13"/>
        <v>13.5</v>
      </c>
      <c r="R20" s="1">
        <f t="shared" si="13"/>
        <v>13.5</v>
      </c>
      <c r="S20" s="1">
        <f t="shared" si="13"/>
        <v>6.5</v>
      </c>
    </row>
    <row r="22" spans="1:21">
      <c r="B22" s="1" t="s">
        <v>44</v>
      </c>
    </row>
    <row r="23" spans="1:21">
      <c r="A23" t="s">
        <v>45</v>
      </c>
      <c r="B23" s="2">
        <v>0.86</v>
      </c>
      <c r="C23" t="s">
        <v>46</v>
      </c>
      <c r="E23" t="s">
        <v>47</v>
      </c>
      <c r="N23" s="1" t="s">
        <v>48</v>
      </c>
      <c r="O23" t="s">
        <v>8</v>
      </c>
      <c r="P23" t="s">
        <v>9</v>
      </c>
      <c r="Q23" t="s">
        <v>33</v>
      </c>
      <c r="R23" t="s">
        <v>34</v>
      </c>
      <c r="S23" t="s">
        <v>45</v>
      </c>
      <c r="T23" t="s">
        <v>35</v>
      </c>
      <c r="U23" t="s">
        <v>24</v>
      </c>
    </row>
    <row r="24" spans="1:21">
      <c r="A24" t="s">
        <v>49</v>
      </c>
      <c r="B24" s="2">
        <v>0.08</v>
      </c>
      <c r="N24" t="s">
        <v>17</v>
      </c>
      <c r="O24" s="2">
        <f>O13/O$20</f>
        <v>0.48484848484848486</v>
      </c>
      <c r="P24" s="2">
        <f t="shared" ref="P24:R24" si="14">P13/P$20</f>
        <v>0.42857142857142855</v>
      </c>
      <c r="Q24" s="2">
        <f>Q13/Q$20</f>
        <v>0.40740740740740738</v>
      </c>
      <c r="R24" s="2">
        <f t="shared" si="14"/>
        <v>0.22222222222222221</v>
      </c>
      <c r="S24" s="6">
        <v>0</v>
      </c>
      <c r="T24" s="2">
        <f t="shared" ref="T24:T29" si="15">S13/S$20</f>
        <v>1</v>
      </c>
      <c r="U24" s="2">
        <v>0</v>
      </c>
    </row>
    <row r="25" spans="1:21">
      <c r="A25" t="s">
        <v>27</v>
      </c>
      <c r="B25" s="2">
        <v>0.06</v>
      </c>
      <c r="E25" t="s">
        <v>50</v>
      </c>
      <c r="N25" t="s">
        <v>19</v>
      </c>
      <c r="O25" s="2">
        <f t="shared" ref="O25:R29" si="16">O14/O$20</f>
        <v>9.0909090909090912E-2</v>
      </c>
      <c r="P25" s="2">
        <f t="shared" si="16"/>
        <v>0.25</v>
      </c>
      <c r="Q25" s="2">
        <f t="shared" si="16"/>
        <v>0.33333333333333331</v>
      </c>
      <c r="R25" s="2">
        <f t="shared" si="16"/>
        <v>0.48148148148148145</v>
      </c>
      <c r="S25" s="6">
        <v>0</v>
      </c>
      <c r="T25" s="2">
        <f t="shared" si="15"/>
        <v>0</v>
      </c>
      <c r="U25" s="2">
        <v>0</v>
      </c>
    </row>
    <row r="26" spans="1:21">
      <c r="A26" s="4"/>
      <c r="N26" t="s">
        <v>21</v>
      </c>
      <c r="O26" s="2">
        <f t="shared" si="16"/>
        <v>4.5454545454545456E-2</v>
      </c>
      <c r="P26" s="2">
        <f t="shared" si="16"/>
        <v>7.1428571428571425E-2</v>
      </c>
      <c r="Q26" s="2">
        <f t="shared" si="16"/>
        <v>3.7037037037037035E-2</v>
      </c>
      <c r="R26" s="2">
        <f t="shared" si="16"/>
        <v>5.5555555555555552E-2</v>
      </c>
      <c r="S26" s="6">
        <v>0</v>
      </c>
      <c r="T26" s="2">
        <f t="shared" si="15"/>
        <v>0</v>
      </c>
      <c r="U26" s="2">
        <v>0</v>
      </c>
    </row>
    <row r="27" spans="1:21">
      <c r="B27" s="1" t="s">
        <v>51</v>
      </c>
      <c r="N27" t="s">
        <v>23</v>
      </c>
      <c r="O27" s="2">
        <f t="shared" si="16"/>
        <v>6.0606060606060608E-2</v>
      </c>
      <c r="P27" s="2">
        <f t="shared" si="16"/>
        <v>3.5714285714285712E-2</v>
      </c>
      <c r="Q27" s="2">
        <f t="shared" si="16"/>
        <v>3.7037037037037035E-2</v>
      </c>
      <c r="R27" s="2">
        <f t="shared" si="16"/>
        <v>1.8518518518518517E-2</v>
      </c>
      <c r="S27" s="6">
        <v>0</v>
      </c>
      <c r="T27" s="2">
        <f t="shared" si="15"/>
        <v>0</v>
      </c>
      <c r="U27" s="2">
        <v>0</v>
      </c>
    </row>
    <row r="28" spans="1:21">
      <c r="A28" t="s">
        <v>34</v>
      </c>
      <c r="B28" s="2">
        <v>0.96</v>
      </c>
      <c r="N28" t="s">
        <v>1</v>
      </c>
      <c r="O28" s="2">
        <f t="shared" si="16"/>
        <v>9.0909090909090912E-2</v>
      </c>
      <c r="P28" s="2">
        <f t="shared" si="16"/>
        <v>0</v>
      </c>
      <c r="Q28" s="2">
        <f t="shared" si="16"/>
        <v>0</v>
      </c>
      <c r="R28" s="2">
        <f t="shared" si="16"/>
        <v>3.7037037037037035E-2</v>
      </c>
      <c r="S28" s="6">
        <v>0</v>
      </c>
      <c r="T28" s="2">
        <f t="shared" si="15"/>
        <v>0</v>
      </c>
      <c r="U28" s="2">
        <v>0</v>
      </c>
    </row>
    <row r="29" spans="1:21">
      <c r="A29" t="s">
        <v>27</v>
      </c>
      <c r="B29" s="2">
        <v>0.04</v>
      </c>
      <c r="E29" s="5" t="s">
        <v>52</v>
      </c>
      <c r="N29" t="s">
        <v>26</v>
      </c>
      <c r="O29" s="2">
        <f t="shared" si="16"/>
        <v>1.5151515151515152E-2</v>
      </c>
      <c r="P29" s="2">
        <f t="shared" si="16"/>
        <v>7.1428571428571425E-2</v>
      </c>
      <c r="Q29" s="2">
        <f t="shared" si="16"/>
        <v>7.407407407407407E-2</v>
      </c>
      <c r="R29" s="2">
        <f t="shared" si="16"/>
        <v>7.407407407407407E-2</v>
      </c>
      <c r="S29" s="6">
        <v>0</v>
      </c>
      <c r="T29" s="2">
        <f t="shared" si="15"/>
        <v>0</v>
      </c>
      <c r="U29" s="2">
        <v>0</v>
      </c>
    </row>
    <row r="30" spans="1:21">
      <c r="N30" t="s">
        <v>53</v>
      </c>
      <c r="O30" s="2">
        <v>0</v>
      </c>
      <c r="P30" s="2">
        <v>0</v>
      </c>
      <c r="Q30" s="2">
        <v>0</v>
      </c>
      <c r="R30" s="2">
        <v>0</v>
      </c>
      <c r="S30" s="6">
        <v>1</v>
      </c>
      <c r="T30" s="6">
        <v>0</v>
      </c>
      <c r="U30" s="2">
        <v>0</v>
      </c>
    </row>
    <row r="31" spans="1:21">
      <c r="N31" t="s">
        <v>27</v>
      </c>
      <c r="O31" s="2">
        <f>O19/O$20</f>
        <v>0.21212121212121213</v>
      </c>
      <c r="P31" s="2">
        <f>P19/P$20</f>
        <v>0.14285714285714285</v>
      </c>
      <c r="Q31" s="2">
        <f>Q19/Q$20</f>
        <v>0.1111111111111111</v>
      </c>
      <c r="R31" s="2">
        <f>R19/R$20</f>
        <v>0.1111111111111111</v>
      </c>
      <c r="S31" s="6">
        <v>0</v>
      </c>
      <c r="T31" s="2">
        <f>S19/S$20</f>
        <v>0</v>
      </c>
      <c r="U31" s="6">
        <v>1</v>
      </c>
    </row>
    <row r="33" spans="1:22">
      <c r="N33" s="1" t="s">
        <v>54</v>
      </c>
      <c r="O33" t="s">
        <v>8</v>
      </c>
      <c r="P33" t="s">
        <v>9</v>
      </c>
      <c r="Q33" t="s">
        <v>33</v>
      </c>
      <c r="R33" t="s">
        <v>34</v>
      </c>
      <c r="S33" t="s">
        <v>45</v>
      </c>
      <c r="T33" t="s">
        <v>35</v>
      </c>
      <c r="U33" t="s">
        <v>24</v>
      </c>
      <c r="V33" s="1" t="s">
        <v>43</v>
      </c>
    </row>
    <row r="34" spans="1:22">
      <c r="B34" s="1" t="s">
        <v>55</v>
      </c>
      <c r="N34" t="s">
        <v>17</v>
      </c>
      <c r="O34" s="2">
        <f>O24*$B$35</f>
        <v>0.15505490773236727</v>
      </c>
      <c r="P34" s="2">
        <f>$B$36*P24</f>
        <v>0.12008539405799677</v>
      </c>
      <c r="Q34" s="2">
        <f>$B$37*Q24</f>
        <v>2.8518518518518519E-2</v>
      </c>
      <c r="R34" s="2">
        <f>$B$38*R24</f>
        <v>2.6666666666666665E-2</v>
      </c>
      <c r="S34" s="6">
        <f>S24*$B$39</f>
        <v>0</v>
      </c>
      <c r="T34" s="2">
        <f>$B$40*T24</f>
        <v>5.117E-2</v>
      </c>
      <c r="U34" s="6">
        <v>0</v>
      </c>
      <c r="V34" s="8">
        <f>SUM(O34:U34)</f>
        <v>0.38149548697554919</v>
      </c>
    </row>
    <row r="35" spans="1:22">
      <c r="A35" t="s">
        <v>8</v>
      </c>
      <c r="B35" s="2">
        <f>C17*$B$3</f>
        <v>0.3198007471980075</v>
      </c>
      <c r="N35" t="s">
        <v>19</v>
      </c>
      <c r="O35" s="2">
        <f t="shared" ref="O35:O41" si="17">O25*$B$35</f>
        <v>2.9072795199818865E-2</v>
      </c>
      <c r="P35" s="2">
        <f t="shared" ref="P35:P41" si="18">$B$36*P25</f>
        <v>7.0049813200498121E-2</v>
      </c>
      <c r="Q35" s="2">
        <f t="shared" ref="Q35:Q41" si="19">$B$37*Q25</f>
        <v>2.3333333333333334E-2</v>
      </c>
      <c r="R35" s="2">
        <f t="shared" ref="R35:R41" si="20">$B$38*R25</f>
        <v>5.7777777777777775E-2</v>
      </c>
      <c r="S35" s="6">
        <f t="shared" ref="S35:S41" si="21">S25*$B$39</f>
        <v>0</v>
      </c>
      <c r="T35" s="2">
        <f t="shared" ref="T35:T41" si="22">$B$40*T25</f>
        <v>0</v>
      </c>
      <c r="U35" s="6">
        <v>0</v>
      </c>
      <c r="V35" s="8">
        <f t="shared" ref="V35:V41" si="23">SUM(O35:U35)</f>
        <v>0.18023371951142808</v>
      </c>
    </row>
    <row r="36" spans="1:22">
      <c r="A36" t="s">
        <v>9</v>
      </c>
      <c r="B36" s="2">
        <f>C18*$B$3</f>
        <v>0.28019925280199248</v>
      </c>
      <c r="N36" t="s">
        <v>21</v>
      </c>
      <c r="O36" s="2">
        <f t="shared" si="17"/>
        <v>1.4536397599909432E-2</v>
      </c>
      <c r="P36" s="2">
        <f t="shared" si="18"/>
        <v>2.0014232342999462E-2</v>
      </c>
      <c r="Q36" s="2">
        <f t="shared" si="19"/>
        <v>2.5925925925925925E-3</v>
      </c>
      <c r="R36" s="2">
        <f t="shared" si="20"/>
        <v>6.6666666666666662E-3</v>
      </c>
      <c r="S36" s="6">
        <f t="shared" si="21"/>
        <v>0</v>
      </c>
      <c r="T36" s="2">
        <f t="shared" si="22"/>
        <v>0</v>
      </c>
      <c r="U36" s="6">
        <v>0</v>
      </c>
      <c r="V36" s="8">
        <f t="shared" si="23"/>
        <v>4.3809889202168155E-2</v>
      </c>
    </row>
    <row r="37" spans="1:22">
      <c r="A37" t="s">
        <v>33</v>
      </c>
      <c r="B37" s="6">
        <f>B6</f>
        <v>7.0000000000000007E-2</v>
      </c>
      <c r="N37" t="s">
        <v>23</v>
      </c>
      <c r="O37" s="2">
        <f t="shared" si="17"/>
        <v>1.9381863466545909E-2</v>
      </c>
      <c r="P37" s="2">
        <f t="shared" si="18"/>
        <v>1.0007116171499731E-2</v>
      </c>
      <c r="Q37" s="2">
        <f t="shared" si="19"/>
        <v>2.5925925925925925E-3</v>
      </c>
      <c r="R37" s="2">
        <f t="shared" si="20"/>
        <v>2.2222222222222222E-3</v>
      </c>
      <c r="S37" s="6">
        <f t="shared" si="21"/>
        <v>0</v>
      </c>
      <c r="T37" s="2">
        <f t="shared" si="22"/>
        <v>0</v>
      </c>
      <c r="U37" s="6">
        <v>0</v>
      </c>
      <c r="V37" s="8">
        <f t="shared" si="23"/>
        <v>3.4203794452860453E-2</v>
      </c>
    </row>
    <row r="38" spans="1:22">
      <c r="A38" t="s">
        <v>13</v>
      </c>
      <c r="B38" s="6">
        <f>B28*B5</f>
        <v>0.12</v>
      </c>
      <c r="N38" t="s">
        <v>1</v>
      </c>
      <c r="O38" s="2">
        <f t="shared" si="17"/>
        <v>2.9072795199818865E-2</v>
      </c>
      <c r="P38" s="2">
        <f t="shared" si="18"/>
        <v>0</v>
      </c>
      <c r="Q38" s="2">
        <f t="shared" si="19"/>
        <v>0</v>
      </c>
      <c r="R38" s="2">
        <f t="shared" si="20"/>
        <v>4.4444444444444444E-3</v>
      </c>
      <c r="S38" s="6">
        <f t="shared" si="21"/>
        <v>0</v>
      </c>
      <c r="T38" s="2">
        <f t="shared" si="22"/>
        <v>0</v>
      </c>
      <c r="U38" s="6">
        <v>0</v>
      </c>
      <c r="V38" s="8">
        <f t="shared" si="23"/>
        <v>3.3517239644263307E-2</v>
      </c>
    </row>
    <row r="39" spans="1:22">
      <c r="A39" t="s">
        <v>45</v>
      </c>
      <c r="B39" s="6">
        <f>($B$23*$B$4)*0.66</f>
        <v>9.9330000000000002E-2</v>
      </c>
      <c r="N39" t="s">
        <v>26</v>
      </c>
      <c r="O39" s="2">
        <f t="shared" si="17"/>
        <v>4.8454658666364772E-3</v>
      </c>
      <c r="P39" s="2">
        <f t="shared" si="18"/>
        <v>2.0014232342999462E-2</v>
      </c>
      <c r="Q39" s="2">
        <f t="shared" si="19"/>
        <v>5.185185185185185E-3</v>
      </c>
      <c r="R39" s="2">
        <f t="shared" si="20"/>
        <v>8.8888888888888889E-3</v>
      </c>
      <c r="S39" s="6">
        <f t="shared" si="21"/>
        <v>0</v>
      </c>
      <c r="T39" s="2">
        <f t="shared" si="22"/>
        <v>0</v>
      </c>
      <c r="U39" s="6">
        <v>0</v>
      </c>
      <c r="V39" s="8">
        <f t="shared" si="23"/>
        <v>3.8933772283710012E-2</v>
      </c>
    </row>
    <row r="40" spans="1:22">
      <c r="A40" t="s">
        <v>35</v>
      </c>
      <c r="B40" s="6">
        <f>($B$23*$B$4)*0.34</f>
        <v>5.117E-2</v>
      </c>
      <c r="N40" t="s">
        <v>53</v>
      </c>
      <c r="O40" s="2">
        <f t="shared" si="17"/>
        <v>0</v>
      </c>
      <c r="P40" s="2">
        <f t="shared" si="18"/>
        <v>0</v>
      </c>
      <c r="Q40" s="2">
        <f t="shared" si="19"/>
        <v>0</v>
      </c>
      <c r="R40" s="2">
        <f t="shared" si="20"/>
        <v>0</v>
      </c>
      <c r="S40" s="6">
        <f t="shared" si="21"/>
        <v>9.9330000000000002E-2</v>
      </c>
      <c r="T40" s="2">
        <f t="shared" si="22"/>
        <v>0</v>
      </c>
      <c r="U40" s="6">
        <v>0</v>
      </c>
      <c r="V40" s="8">
        <f t="shared" si="23"/>
        <v>9.9330000000000002E-2</v>
      </c>
    </row>
    <row r="41" spans="1:22">
      <c r="A41" t="s">
        <v>24</v>
      </c>
      <c r="B41" s="6">
        <v>0.06</v>
      </c>
      <c r="N41" t="s">
        <v>27</v>
      </c>
      <c r="O41" s="2">
        <f t="shared" si="17"/>
        <v>6.7836522132910679E-2</v>
      </c>
      <c r="P41" s="2">
        <f t="shared" si="18"/>
        <v>4.0028464685998924E-2</v>
      </c>
      <c r="Q41" s="2">
        <f t="shared" si="19"/>
        <v>7.7777777777777784E-3</v>
      </c>
      <c r="R41" s="2">
        <f t="shared" si="20"/>
        <v>1.3333333333333332E-2</v>
      </c>
      <c r="S41" s="6">
        <f t="shared" si="21"/>
        <v>0</v>
      </c>
      <c r="T41" s="2">
        <f t="shared" si="22"/>
        <v>0</v>
      </c>
      <c r="U41" s="6">
        <v>0.06</v>
      </c>
      <c r="V41" s="8">
        <f t="shared" si="23"/>
        <v>0.18897609793002071</v>
      </c>
    </row>
    <row r="42" spans="1:22">
      <c r="O42" s="6"/>
      <c r="P42" s="6"/>
      <c r="Q42" s="6"/>
      <c r="R42" s="6"/>
      <c r="S42" s="6"/>
      <c r="T42" s="6"/>
      <c r="U42" s="6"/>
      <c r="V42" s="6">
        <f>SUM(V34:V41)</f>
        <v>1.0004999999999999</v>
      </c>
    </row>
    <row r="43" spans="1:22" ht="15.5" thickBot="1"/>
    <row r="44" spans="1:22">
      <c r="A44" s="11"/>
      <c r="B44" s="12" t="s">
        <v>56</v>
      </c>
    </row>
    <row r="45" spans="1:22">
      <c r="A45" s="13" t="str">
        <f>N34</f>
        <v>Packaging</v>
      </c>
      <c r="B45" s="14">
        <f>V34</f>
        <v>0.38149548697554919</v>
      </c>
    </row>
    <row r="46" spans="1:22">
      <c r="A46" s="13" t="str">
        <f t="shared" ref="A46:A51" si="24">N35</f>
        <v>Building &amp; Construction</v>
      </c>
      <c r="B46" s="14">
        <f t="shared" ref="B46:B51" si="25">V35</f>
        <v>0.18023371951142808</v>
      </c>
    </row>
    <row r="47" spans="1:22">
      <c r="A47" s="13" t="str">
        <f t="shared" si="24"/>
        <v>Automotive</v>
      </c>
      <c r="B47" s="14">
        <f t="shared" si="25"/>
        <v>4.3809889202168155E-2</v>
      </c>
    </row>
    <row r="48" spans="1:22">
      <c r="A48" s="13" t="str">
        <f t="shared" si="24"/>
        <v>Electrical &amp; Electronics</v>
      </c>
      <c r="B48" s="14">
        <f t="shared" si="25"/>
        <v>3.4203794452860453E-2</v>
      </c>
    </row>
    <row r="49" spans="1:6">
      <c r="A49" s="13" t="str">
        <f t="shared" si="24"/>
        <v>Agriculture</v>
      </c>
      <c r="B49" s="14">
        <f t="shared" si="25"/>
        <v>3.3517239644263307E-2</v>
      </c>
    </row>
    <row r="50" spans="1:6">
      <c r="A50" s="13" t="str">
        <f t="shared" si="24"/>
        <v>Household, leisure &amp; sports</v>
      </c>
      <c r="B50" s="14">
        <f t="shared" si="25"/>
        <v>3.8933772283710012E-2</v>
      </c>
    </row>
    <row r="51" spans="1:6">
      <c r="A51" s="13" t="str">
        <f t="shared" si="24"/>
        <v>Textiles</v>
      </c>
      <c r="B51" s="14">
        <f t="shared" si="25"/>
        <v>9.9330000000000002E-2</v>
      </c>
    </row>
    <row r="52" spans="1:6">
      <c r="A52" s="15" t="s">
        <v>1</v>
      </c>
      <c r="B52" s="14">
        <v>0</v>
      </c>
    </row>
    <row r="53" spans="1:6" ht="15.5" thickBot="1">
      <c r="A53" s="16" t="str">
        <f>N41</f>
        <v>Others</v>
      </c>
      <c r="B53" s="17">
        <f>V41</f>
        <v>0.18897609793002071</v>
      </c>
    </row>
    <row r="54" spans="1:6">
      <c r="B54" s="6"/>
    </row>
    <row r="56" spans="1:6" s="19" customFormat="1" ht="33.65" customHeight="1">
      <c r="A56" s="19" t="s">
        <v>57</v>
      </c>
    </row>
    <row r="62" spans="1:6">
      <c r="C62" s="1" t="s">
        <v>58</v>
      </c>
      <c r="D62" s="1" t="s">
        <v>59</v>
      </c>
      <c r="E62" s="1" t="s">
        <v>60</v>
      </c>
      <c r="F62" s="1" t="s">
        <v>2</v>
      </c>
    </row>
    <row r="63" spans="1:6">
      <c r="A63" t="s">
        <v>61</v>
      </c>
      <c r="C63" s="6">
        <f>B45</f>
        <v>0.38149548697554919</v>
      </c>
      <c r="D63" s="6">
        <v>-0.3</v>
      </c>
      <c r="E63" t="s">
        <v>62</v>
      </c>
    </row>
    <row r="64" spans="1:6">
      <c r="A64" t="s">
        <v>63</v>
      </c>
      <c r="C64" s="6">
        <f>B45</f>
        <v>0.38149548697554919</v>
      </c>
      <c r="D64" s="6">
        <v>-0.17</v>
      </c>
      <c r="E64" t="s">
        <v>62</v>
      </c>
    </row>
    <row r="65" spans="1:6">
      <c r="A65" t="str">
        <f>A46</f>
        <v>Building &amp; Construction</v>
      </c>
      <c r="C65" s="6">
        <f>B46</f>
        <v>0.18023371951142808</v>
      </c>
      <c r="D65" t="s">
        <v>64</v>
      </c>
      <c r="E65" t="s">
        <v>64</v>
      </c>
    </row>
    <row r="66" spans="1:6">
      <c r="A66" t="s">
        <v>53</v>
      </c>
      <c r="C66" s="6">
        <f>B51</f>
        <v>9.9330000000000002E-2</v>
      </c>
      <c r="D66" s="6">
        <v>-0.9</v>
      </c>
      <c r="E66" t="s">
        <v>65</v>
      </c>
      <c r="F66" t="s">
        <v>66</v>
      </c>
    </row>
  </sheetData>
  <hyperlinks>
    <hyperlink ref="E29" r:id="rId1" xr:uid="{00000000-0004-0000-0100-000000000000}"/>
  </hyperlinks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380DA-3A0D-498F-8FDD-E2257FC1F5C2}">
  <sheetPr>
    <tabColor theme="7"/>
  </sheetPr>
  <dimension ref="A1:AU22"/>
  <sheetViews>
    <sheetView topLeftCell="D1" workbookViewId="0">
      <selection activeCell="C5" sqref="C5:I5"/>
    </sheetView>
  </sheetViews>
  <sheetFormatPr defaultRowHeight="14.75"/>
  <cols>
    <col min="1" max="1" width="15" customWidth="1"/>
    <col min="3" max="3" width="18.7265625" customWidth="1"/>
    <col min="4" max="4" width="10.36328125" bestFit="1" customWidth="1"/>
    <col min="5" max="5" width="17.08984375" customWidth="1"/>
    <col min="6" max="6" width="15.81640625" customWidth="1"/>
    <col min="7" max="7" width="17.08984375" customWidth="1"/>
    <col min="8" max="8" width="17.36328125" customWidth="1"/>
    <col min="9" max="9" width="10.36328125" bestFit="1" customWidth="1"/>
    <col min="14" max="14" width="12" customWidth="1"/>
    <col min="15" max="18" width="10.90625" bestFit="1" customWidth="1"/>
    <col min="19" max="19" width="15.54296875" customWidth="1"/>
    <col min="20" max="45" width="10.90625" bestFit="1" customWidth="1"/>
  </cols>
  <sheetData>
    <row r="1" spans="1:47" s="76" customFormat="1" ht="15.5" thickBot="1">
      <c r="C1" s="76">
        <v>2020</v>
      </c>
      <c r="D1" s="76">
        <v>2025</v>
      </c>
      <c r="E1" s="76">
        <v>2030</v>
      </c>
      <c r="F1" s="76">
        <v>2035</v>
      </c>
      <c r="G1" s="76">
        <v>2040</v>
      </c>
      <c r="H1" s="76">
        <v>2045</v>
      </c>
      <c r="I1" s="76">
        <v>2050</v>
      </c>
      <c r="M1" s="63"/>
      <c r="N1" s="59" t="s">
        <v>329</v>
      </c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  <c r="AB1" s="63"/>
      <c r="AC1" s="63"/>
      <c r="AD1" s="63"/>
      <c r="AE1" s="63"/>
      <c r="AF1" s="63"/>
      <c r="AG1" s="63"/>
      <c r="AH1" s="63"/>
      <c r="AI1" s="63"/>
      <c r="AJ1" s="63"/>
      <c r="AK1" s="63"/>
      <c r="AL1" s="63"/>
      <c r="AM1" s="63"/>
      <c r="AN1" s="63"/>
      <c r="AO1" s="63"/>
      <c r="AP1" s="63"/>
      <c r="AQ1" s="63"/>
      <c r="AR1" s="63"/>
      <c r="AS1" s="63"/>
      <c r="AT1" s="63"/>
      <c r="AU1" s="63"/>
    </row>
    <row r="2" spans="1:47">
      <c r="A2" t="s">
        <v>1448</v>
      </c>
      <c r="C2" s="22">
        <f>'Demand - Ethylene'!D3</f>
        <v>0</v>
      </c>
      <c r="D2" s="22">
        <f>'Demand - Ethylene'!E3</f>
        <v>0</v>
      </c>
      <c r="E2" s="22">
        <f>'Demand - Ethylene'!F3</f>
        <v>0</v>
      </c>
      <c r="F2" s="22">
        <f>'Demand - Ethylene'!G3</f>
        <v>0</v>
      </c>
      <c r="G2" s="22">
        <f>'Demand - Ethylene'!H3</f>
        <v>0</v>
      </c>
      <c r="H2" s="22">
        <f>'Demand - Ethylene'!I3</f>
        <v>0</v>
      </c>
      <c r="I2" s="22">
        <f>'Demand - Ethylene'!J3</f>
        <v>0</v>
      </c>
      <c r="O2">
        <v>2020</v>
      </c>
      <c r="P2">
        <f t="shared" ref="P2:AS2" si="0">O2+1</f>
        <v>2021</v>
      </c>
      <c r="Q2">
        <f t="shared" si="0"/>
        <v>2022</v>
      </c>
      <c r="R2">
        <f t="shared" si="0"/>
        <v>2023</v>
      </c>
      <c r="S2">
        <f t="shared" si="0"/>
        <v>2024</v>
      </c>
      <c r="T2">
        <f t="shared" si="0"/>
        <v>2025</v>
      </c>
      <c r="U2">
        <f t="shared" si="0"/>
        <v>2026</v>
      </c>
      <c r="V2">
        <f t="shared" si="0"/>
        <v>2027</v>
      </c>
      <c r="W2">
        <f t="shared" si="0"/>
        <v>2028</v>
      </c>
      <c r="X2">
        <f t="shared" si="0"/>
        <v>2029</v>
      </c>
      <c r="Y2">
        <f t="shared" si="0"/>
        <v>2030</v>
      </c>
      <c r="Z2">
        <f t="shared" si="0"/>
        <v>2031</v>
      </c>
      <c r="AA2">
        <f t="shared" si="0"/>
        <v>2032</v>
      </c>
      <c r="AB2">
        <f t="shared" si="0"/>
        <v>2033</v>
      </c>
      <c r="AC2">
        <f t="shared" si="0"/>
        <v>2034</v>
      </c>
      <c r="AD2">
        <f t="shared" si="0"/>
        <v>2035</v>
      </c>
      <c r="AE2">
        <f t="shared" si="0"/>
        <v>2036</v>
      </c>
      <c r="AF2">
        <f t="shared" si="0"/>
        <v>2037</v>
      </c>
      <c r="AG2">
        <f t="shared" si="0"/>
        <v>2038</v>
      </c>
      <c r="AH2">
        <f t="shared" si="0"/>
        <v>2039</v>
      </c>
      <c r="AI2">
        <f t="shared" si="0"/>
        <v>2040</v>
      </c>
      <c r="AJ2">
        <f t="shared" si="0"/>
        <v>2041</v>
      </c>
      <c r="AK2">
        <f t="shared" si="0"/>
        <v>2042</v>
      </c>
      <c r="AL2">
        <f t="shared" si="0"/>
        <v>2043</v>
      </c>
      <c r="AM2">
        <f t="shared" si="0"/>
        <v>2044</v>
      </c>
      <c r="AN2">
        <f t="shared" si="0"/>
        <v>2045</v>
      </c>
      <c r="AO2">
        <f t="shared" si="0"/>
        <v>2046</v>
      </c>
      <c r="AP2">
        <f t="shared" si="0"/>
        <v>2047</v>
      </c>
      <c r="AQ2">
        <f t="shared" si="0"/>
        <v>2048</v>
      </c>
      <c r="AR2">
        <f t="shared" si="0"/>
        <v>2049</v>
      </c>
      <c r="AS2">
        <f t="shared" si="0"/>
        <v>2050</v>
      </c>
      <c r="AU2" t="s">
        <v>67</v>
      </c>
    </row>
    <row r="3" spans="1:47">
      <c r="A3" t="s">
        <v>1449</v>
      </c>
      <c r="C3" s="22">
        <f>'Yearly Demand - BTX'!D4</f>
        <v>0</v>
      </c>
      <c r="D3" s="22">
        <f>'Yearly Demand - BTX'!E4</f>
        <v>0</v>
      </c>
      <c r="E3" s="22">
        <f>'Yearly Demand - BTX'!F4</f>
        <v>0</v>
      </c>
      <c r="F3" s="22">
        <f>'Yearly Demand - BTX'!G4</f>
        <v>0</v>
      </c>
      <c r="G3" s="22">
        <f>'Yearly Demand - BTX'!H4</f>
        <v>0</v>
      </c>
      <c r="H3" s="22">
        <f>'Yearly Demand - BTX'!I4</f>
        <v>0</v>
      </c>
      <c r="I3" s="22">
        <f>'Yearly Demand - BTX'!J4</f>
        <v>0</v>
      </c>
      <c r="N3" s="49" t="s">
        <v>1447</v>
      </c>
      <c r="O3" s="93">
        <f>C4</f>
        <v>80369.95000000007</v>
      </c>
      <c r="P3" s="93">
        <f>O3*($D$4/$C$4)^(1/5)</f>
        <v>80369.95000000007</v>
      </c>
      <c r="Q3" s="93">
        <f>P3*($D$4/$C$4)^(1/5)</f>
        <v>80369.95000000007</v>
      </c>
      <c r="R3" s="93">
        <f>Q3*($D$4/$C$4)^(1/5)</f>
        <v>80369.95000000007</v>
      </c>
      <c r="S3" s="93">
        <f>R3*($D$4/$C$4)^(1/5)</f>
        <v>80369.95000000007</v>
      </c>
      <c r="T3" s="93">
        <f>S3*($D$4/$C$4)^(1/5)</f>
        <v>80369.95000000007</v>
      </c>
      <c r="U3" s="93">
        <f>T3*($E$4/$D$4)^(1/5)</f>
        <v>80369.95000000007</v>
      </c>
      <c r="V3" s="93">
        <f>U3*($E$4/$D$4)^(1/5)</f>
        <v>80369.95000000007</v>
      </c>
      <c r="W3" s="93">
        <f>V3*($E$4/$D$4)^(1/5)</f>
        <v>80369.95000000007</v>
      </c>
      <c r="X3" s="93">
        <f>W3*($E$4/$D$4)^(1/5)</f>
        <v>80369.95000000007</v>
      </c>
      <c r="Y3" s="93">
        <f>X3*($E$4/$D$4)^(1/5)</f>
        <v>80369.95000000007</v>
      </c>
      <c r="Z3" s="93">
        <f>Y3*($F$4/$E$4)^(1/5)</f>
        <v>80369.95000000007</v>
      </c>
      <c r="AA3" s="93">
        <f>Z3*($F$4/$E$4)^(1/5)</f>
        <v>80369.95000000007</v>
      </c>
      <c r="AB3" s="93">
        <f>AA3*($F$4/$E$4)^(1/5)</f>
        <v>80369.95000000007</v>
      </c>
      <c r="AC3" s="93">
        <f>AB3*($F$4/$E$4)^(1/5)</f>
        <v>80369.95000000007</v>
      </c>
      <c r="AD3" s="93">
        <f>AC3*($F$4/$E$4)^(1/5)</f>
        <v>80369.95000000007</v>
      </c>
      <c r="AE3" s="93">
        <f>AD3*($G$4/$F$4)^(1/5)</f>
        <v>80369.95000000007</v>
      </c>
      <c r="AF3" s="93">
        <f>AE3*($G$4/$F$4)^(1/5)</f>
        <v>80369.95000000007</v>
      </c>
      <c r="AG3" s="93">
        <f>AF3*($G$4/$F$4)^(1/5)</f>
        <v>80369.95000000007</v>
      </c>
      <c r="AH3" s="93">
        <f>AG3*($G$4/$F$4)^(1/5)</f>
        <v>80369.95000000007</v>
      </c>
      <c r="AI3" s="93">
        <f>AH3*($G$4/$F$4)^(1/5)</f>
        <v>80369.95000000007</v>
      </c>
      <c r="AJ3" s="93">
        <f>AI3*($H$4/$G$4)^(1/5)</f>
        <v>80369.95000000007</v>
      </c>
      <c r="AK3" s="93">
        <f>AJ3*($H$4/$G$4)^(1/5)</f>
        <v>80369.95000000007</v>
      </c>
      <c r="AL3" s="93">
        <f>AK3*($H$4/$G$4)^(1/5)</f>
        <v>80369.95000000007</v>
      </c>
      <c r="AM3" s="93">
        <f>AL3*($H$4/$G$4)^(1/5)</f>
        <v>80369.95000000007</v>
      </c>
      <c r="AN3" s="93">
        <f>AM3*($H$4/$G$4)^(1/5)</f>
        <v>80369.95000000007</v>
      </c>
      <c r="AO3" s="93">
        <f>AN3*($I$4/$H$4)^(1/5)</f>
        <v>80369.95000000007</v>
      </c>
      <c r="AP3" s="93">
        <f>AO3*($I$4/$H$4)^(1/5)</f>
        <v>80369.95000000007</v>
      </c>
      <c r="AQ3" s="93">
        <f>AP3*($I$4/$H$4)^(1/5)</f>
        <v>80369.95000000007</v>
      </c>
      <c r="AR3" s="93">
        <f>AQ3*($I$4/$H$4)^(1/5)</f>
        <v>80369.95000000007</v>
      </c>
      <c r="AS3" s="93">
        <f>AR3*($I$4/$H$4)^(1/5)</f>
        <v>80369.95000000007</v>
      </c>
      <c r="AU3" s="22">
        <f>(AS3/O3)^(1/30)-1</f>
        <v>0</v>
      </c>
    </row>
    <row r="4" spans="1:47" s="55" customFormat="1">
      <c r="A4" s="55" t="s">
        <v>1447</v>
      </c>
      <c r="B4" s="96"/>
      <c r="C4" s="96">
        <f t="shared" ref="C4:I4" si="1">SUM(C5:C8)</f>
        <v>80369.95000000007</v>
      </c>
      <c r="D4" s="96">
        <f t="shared" si="1"/>
        <v>80369.95000000007</v>
      </c>
      <c r="E4" s="96">
        <f t="shared" si="1"/>
        <v>80369.95000000007</v>
      </c>
      <c r="F4" s="96">
        <f t="shared" si="1"/>
        <v>80369.95000000007</v>
      </c>
      <c r="G4" s="96">
        <f t="shared" si="1"/>
        <v>80369.95000000007</v>
      </c>
      <c r="H4" s="96">
        <f t="shared" si="1"/>
        <v>80369.95000000007</v>
      </c>
      <c r="I4" s="96">
        <f t="shared" si="1"/>
        <v>80369.95000000007</v>
      </c>
      <c r="M4"/>
      <c r="N4" s="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41"/>
      <c r="AC4" s="41"/>
      <c r="AD4" s="41"/>
      <c r="AE4" s="41"/>
      <c r="AF4" s="41"/>
      <c r="AG4" s="41"/>
      <c r="AH4" s="41"/>
      <c r="AI4" s="41"/>
      <c r="AJ4" s="41"/>
      <c r="AK4" s="41"/>
      <c r="AL4" s="41"/>
      <c r="AM4" s="41"/>
      <c r="AN4" s="41"/>
      <c r="AO4" s="41"/>
      <c r="AP4" s="41"/>
      <c r="AQ4" s="41"/>
      <c r="AR4" s="41"/>
      <c r="AS4" s="41"/>
      <c r="AT4"/>
      <c r="AU4" s="192"/>
    </row>
    <row r="5" spans="1:47">
      <c r="A5" t="s">
        <v>799</v>
      </c>
      <c r="B5" s="553"/>
      <c r="C5" s="196">
        <f>'Yearly Demand Japan'!M16</f>
        <v>80369.95000000007</v>
      </c>
      <c r="D5" s="196">
        <f>'Yearly Demand Japan'!M17</f>
        <v>80369.95000000007</v>
      </c>
      <c r="E5" s="196">
        <f>'Yearly Demand Japan'!M18</f>
        <v>80369.95000000007</v>
      </c>
      <c r="F5" s="196">
        <f>'Yearly Demand Japan'!M19</f>
        <v>80369.95000000007</v>
      </c>
      <c r="G5" s="196">
        <f>'Yearly Demand Japan'!M20</f>
        <v>80369.95000000007</v>
      </c>
      <c r="H5" s="196">
        <f>'Yearly Demand Japan'!M21</f>
        <v>80369.95000000007</v>
      </c>
      <c r="I5" s="196">
        <f>'Yearly Demand Japan'!M22</f>
        <v>80369.95000000007</v>
      </c>
      <c r="J5" s="1"/>
      <c r="K5" s="555"/>
      <c r="M5" s="1" t="s">
        <v>93</v>
      </c>
      <c r="N5" s="465" t="s">
        <v>799</v>
      </c>
      <c r="O5" s="596">
        <f>$C5/$C$4*O$3</f>
        <v>80369.95000000007</v>
      </c>
      <c r="P5" s="597">
        <f>O5*($D5/$C5)^(1/5)</f>
        <v>80369.95000000007</v>
      </c>
      <c r="Q5" s="597">
        <f t="shared" ref="Q5:T5" si="2">P5*($D5/$C5)^(1/5)</f>
        <v>80369.95000000007</v>
      </c>
      <c r="R5" s="597">
        <f t="shared" si="2"/>
        <v>80369.95000000007</v>
      </c>
      <c r="S5" s="597">
        <f t="shared" si="2"/>
        <v>80369.95000000007</v>
      </c>
      <c r="T5" s="597">
        <f t="shared" si="2"/>
        <v>80369.95000000007</v>
      </c>
      <c r="U5" s="597">
        <f>T5*($E5/$D5)^(1/5)</f>
        <v>80369.95000000007</v>
      </c>
      <c r="V5" s="597">
        <f t="shared" ref="V5:Y5" si="3">U5*($E5/$D5)^(1/5)</f>
        <v>80369.95000000007</v>
      </c>
      <c r="W5" s="597">
        <f t="shared" si="3"/>
        <v>80369.95000000007</v>
      </c>
      <c r="X5" s="597">
        <f t="shared" si="3"/>
        <v>80369.95000000007</v>
      </c>
      <c r="Y5" s="597">
        <f t="shared" si="3"/>
        <v>80369.95000000007</v>
      </c>
      <c r="Z5" s="597">
        <f>Y5*($F5/$E5)^(1/5)</f>
        <v>80369.95000000007</v>
      </c>
      <c r="AA5" s="597">
        <f t="shared" ref="AA5:AD5" si="4">Z5*($F5/$E5)^(1/5)</f>
        <v>80369.95000000007</v>
      </c>
      <c r="AB5" s="597">
        <f t="shared" si="4"/>
        <v>80369.95000000007</v>
      </c>
      <c r="AC5" s="597">
        <f t="shared" si="4"/>
        <v>80369.95000000007</v>
      </c>
      <c r="AD5" s="597">
        <f t="shared" si="4"/>
        <v>80369.95000000007</v>
      </c>
      <c r="AE5" s="597">
        <f>AD5*($G5/$F5)^(1/5)</f>
        <v>80369.95000000007</v>
      </c>
      <c r="AF5" s="597">
        <f t="shared" ref="AF5:AI5" si="5">AE5*($G5/$F5)^(1/5)</f>
        <v>80369.95000000007</v>
      </c>
      <c r="AG5" s="597">
        <f t="shared" si="5"/>
        <v>80369.95000000007</v>
      </c>
      <c r="AH5" s="597">
        <f t="shared" si="5"/>
        <v>80369.95000000007</v>
      </c>
      <c r="AI5" s="597">
        <f t="shared" si="5"/>
        <v>80369.95000000007</v>
      </c>
      <c r="AJ5" s="597">
        <f>AI5*($H5/$G5)^(1/5)</f>
        <v>80369.95000000007</v>
      </c>
      <c r="AK5" s="597">
        <f t="shared" ref="AK5:AN5" si="6">AJ5*($H5/$G5)^(1/5)</f>
        <v>80369.95000000007</v>
      </c>
      <c r="AL5" s="597">
        <f t="shared" si="6"/>
        <v>80369.95000000007</v>
      </c>
      <c r="AM5" s="597">
        <f t="shared" si="6"/>
        <v>80369.95000000007</v>
      </c>
      <c r="AN5" s="597">
        <f t="shared" si="6"/>
        <v>80369.95000000007</v>
      </c>
      <c r="AO5" s="597">
        <f>AN5*($I5/$H5)^(1/5)</f>
        <v>80369.95000000007</v>
      </c>
      <c r="AP5" s="597">
        <f t="shared" ref="AP5:AS5" si="7">AO5*($I5/$H5)^(1/5)</f>
        <v>80369.95000000007</v>
      </c>
      <c r="AQ5" s="597">
        <f t="shared" si="7"/>
        <v>80369.95000000007</v>
      </c>
      <c r="AR5" s="597">
        <f t="shared" si="7"/>
        <v>80369.95000000007</v>
      </c>
      <c r="AS5" s="597">
        <f t="shared" si="7"/>
        <v>80369.95000000007</v>
      </c>
    </row>
    <row r="6" spans="1:47">
      <c r="A6" t="s">
        <v>1444</v>
      </c>
      <c r="B6" s="553"/>
      <c r="C6" s="41"/>
      <c r="D6" s="41"/>
      <c r="E6" s="41"/>
      <c r="F6" s="41"/>
      <c r="G6" s="41"/>
      <c r="H6" s="41"/>
      <c r="I6" s="41"/>
      <c r="J6" s="41"/>
      <c r="K6" s="555"/>
      <c r="M6" t="s">
        <v>93</v>
      </c>
      <c r="N6" t="s">
        <v>1444</v>
      </c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  <c r="AJ6" s="41"/>
      <c r="AK6" s="41"/>
      <c r="AL6" s="41"/>
      <c r="AM6" s="41"/>
      <c r="AN6" s="41"/>
      <c r="AO6" s="41"/>
      <c r="AP6" s="41"/>
      <c r="AQ6" s="41"/>
      <c r="AR6" s="41"/>
      <c r="AS6" s="41"/>
    </row>
    <row r="7" spans="1:47">
      <c r="A7" t="s">
        <v>1445</v>
      </c>
      <c r="B7" s="553"/>
      <c r="C7" s="41"/>
      <c r="D7" s="41"/>
      <c r="E7" s="41"/>
      <c r="F7" s="41"/>
      <c r="G7" s="41"/>
      <c r="H7" s="41"/>
      <c r="I7" s="41"/>
      <c r="J7" s="41"/>
      <c r="K7" s="5"/>
      <c r="M7" t="s">
        <v>93</v>
      </c>
      <c r="N7" t="s">
        <v>1445</v>
      </c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  <c r="AJ7" s="41"/>
      <c r="AK7" s="41"/>
      <c r="AL7" s="41"/>
      <c r="AM7" s="41"/>
      <c r="AN7" s="41"/>
      <c r="AO7" s="41"/>
      <c r="AP7" s="41"/>
      <c r="AQ7" s="41"/>
      <c r="AR7" s="41"/>
      <c r="AS7" s="41"/>
    </row>
    <row r="8" spans="1:47" s="63" customFormat="1">
      <c r="A8" s="63" t="s">
        <v>1446</v>
      </c>
      <c r="B8" s="554"/>
      <c r="C8" s="41"/>
      <c r="D8" s="41"/>
      <c r="E8" s="41"/>
      <c r="F8" s="41"/>
      <c r="G8" s="41"/>
      <c r="H8" s="41"/>
      <c r="I8" s="41"/>
      <c r="J8" s="263"/>
      <c r="K8" s="556"/>
      <c r="M8" s="63" t="s">
        <v>93</v>
      </c>
      <c r="N8" s="63" t="s">
        <v>1446</v>
      </c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</row>
    <row r="9" spans="1:47">
      <c r="D9" s="71"/>
      <c r="E9" s="41"/>
      <c r="I9" s="71"/>
      <c r="J9" s="41"/>
      <c r="M9" s="51"/>
      <c r="T9" s="201"/>
    </row>
    <row r="10" spans="1:47">
      <c r="D10" s="71"/>
      <c r="E10" s="41"/>
      <c r="I10" s="71"/>
      <c r="J10" s="41"/>
      <c r="T10" s="157"/>
    </row>
    <row r="11" spans="1:47">
      <c r="B11" s="52"/>
      <c r="C11" s="6"/>
      <c r="D11" s="71"/>
      <c r="I11" s="551"/>
      <c r="J11" s="41"/>
      <c r="T11" s="359"/>
    </row>
    <row r="12" spans="1:47">
      <c r="B12" s="52"/>
      <c r="C12" s="6"/>
      <c r="D12" s="71"/>
      <c r="I12" s="359"/>
      <c r="J12" s="41"/>
    </row>
    <row r="13" spans="1:47">
      <c r="B13" s="52"/>
      <c r="C13" s="6"/>
      <c r="D13" s="71"/>
      <c r="I13" s="71"/>
      <c r="J13" s="41"/>
    </row>
    <row r="14" spans="1:47">
      <c r="B14" s="52"/>
      <c r="C14" s="6"/>
      <c r="D14" s="71"/>
      <c r="I14" s="71"/>
      <c r="J14" s="41"/>
    </row>
    <row r="15" spans="1:47">
      <c r="D15" s="551"/>
      <c r="E15" s="41"/>
      <c r="I15" s="71"/>
      <c r="J15" s="41"/>
      <c r="M15" s="6"/>
      <c r="N15" s="157"/>
    </row>
    <row r="16" spans="1:47">
      <c r="D16" s="359"/>
      <c r="E16" s="40"/>
      <c r="I16" s="359"/>
      <c r="J16" s="40"/>
      <c r="M16" s="359"/>
      <c r="N16" s="22"/>
    </row>
    <row r="17" spans="2:14">
      <c r="B17" s="2"/>
      <c r="M17" s="552"/>
      <c r="N17" s="22"/>
    </row>
    <row r="18" spans="2:14">
      <c r="B18" s="2"/>
      <c r="M18" s="6"/>
    </row>
    <row r="19" spans="2:14">
      <c r="B19" s="1"/>
      <c r="D19" s="1"/>
      <c r="E19" s="1"/>
      <c r="G19" s="1"/>
      <c r="I19" s="1"/>
      <c r="J19" s="1"/>
    </row>
    <row r="20" spans="2:14">
      <c r="C20" s="6"/>
      <c r="D20" s="41"/>
      <c r="E20" s="2"/>
      <c r="H20" s="6"/>
      <c r="I20" s="41"/>
      <c r="J20" s="2"/>
    </row>
    <row r="21" spans="2:14">
      <c r="C21" s="6"/>
      <c r="D21" s="41"/>
      <c r="E21" s="2"/>
      <c r="H21" s="6"/>
      <c r="I21" s="41"/>
      <c r="J21" s="2"/>
    </row>
    <row r="22" spans="2:14">
      <c r="C22" s="6"/>
      <c r="D22" s="41"/>
      <c r="H22" s="6"/>
      <c r="I22" s="41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B7477-C9C1-45A5-AAEF-E4D962423FDD}">
  <sheetPr>
    <tabColor theme="7"/>
  </sheetPr>
  <dimension ref="A1:Y94"/>
  <sheetViews>
    <sheetView zoomScale="50" zoomScaleNormal="50" workbookViewId="0">
      <selection activeCell="S1" sqref="S1"/>
    </sheetView>
  </sheetViews>
  <sheetFormatPr defaultRowHeight="14.75"/>
  <cols>
    <col min="2" max="2" width="30.08984375" customWidth="1"/>
    <col min="3" max="3" width="10.26953125" customWidth="1"/>
    <col min="4" max="4" width="12.36328125" bestFit="1" customWidth="1"/>
    <col min="5" max="5" width="11.54296875" customWidth="1"/>
    <col min="6" max="6" width="12.36328125" bestFit="1" customWidth="1"/>
    <col min="7" max="7" width="14.36328125" customWidth="1"/>
    <col min="8" max="9" width="12.36328125" bestFit="1" customWidth="1"/>
    <col min="10" max="10" width="21.08984375" customWidth="1"/>
    <col min="11" max="11" width="17.58984375" bestFit="1" customWidth="1"/>
    <col min="12" max="12" width="15.08984375" customWidth="1"/>
    <col min="13" max="13" width="16.81640625" customWidth="1"/>
    <col min="14" max="14" width="12.36328125" bestFit="1" customWidth="1"/>
    <col min="19" max="19" width="10.90625" bestFit="1" customWidth="1"/>
    <col min="24" max="24" width="10.86328125" bestFit="1" customWidth="1"/>
  </cols>
  <sheetData>
    <row r="1" spans="2:25">
      <c r="C1" s="1"/>
      <c r="D1" s="1">
        <v>2019</v>
      </c>
      <c r="E1" s="1">
        <v>2020</v>
      </c>
      <c r="F1" s="1">
        <v>2025</v>
      </c>
      <c r="G1" s="1">
        <v>2030</v>
      </c>
      <c r="H1" s="1">
        <v>2035</v>
      </c>
      <c r="I1" s="1">
        <v>2040</v>
      </c>
      <c r="J1" s="1">
        <v>2045</v>
      </c>
      <c r="K1" s="1">
        <v>2050</v>
      </c>
      <c r="L1" t="s">
        <v>67</v>
      </c>
    </row>
    <row r="2" spans="2:25">
      <c r="B2" t="s">
        <v>3</v>
      </c>
      <c r="C2" s="94"/>
      <c r="D2" s="122">
        <f>'Yearly Demand - Eth-Prop'!B3</f>
        <v>1049369.6122000003</v>
      </c>
      <c r="E2" s="122">
        <f>'Yearly Demand - Eth-Prop'!C3</f>
        <v>1049369.6122000003</v>
      </c>
      <c r="F2" s="122">
        <f>'Yearly Demand - Eth-Prop'!D3</f>
        <v>1049369.6122000003</v>
      </c>
      <c r="G2" s="122">
        <f>'Yearly Demand - Eth-Prop'!E3</f>
        <v>1049369.6122000003</v>
      </c>
      <c r="H2" s="122">
        <f>'Yearly Demand - Eth-Prop'!F3</f>
        <v>1049369.6122000003</v>
      </c>
      <c r="I2" s="122">
        <f>'Yearly Demand - Eth-Prop'!G3</f>
        <v>1049369.6122000003</v>
      </c>
      <c r="J2" s="122">
        <f>'Yearly Demand - Eth-Prop'!H3</f>
        <v>1049369.6122000003</v>
      </c>
      <c r="K2" s="122">
        <f>'Yearly Demand - Eth-Prop'!I3</f>
        <v>1049369.6122000003</v>
      </c>
      <c r="L2" s="359">
        <f>(K2/E2)^(1/30)-1</f>
        <v>0</v>
      </c>
      <c r="S2" s="5"/>
    </row>
    <row r="3" spans="2:25">
      <c r="B3" t="s">
        <v>67</v>
      </c>
      <c r="D3" s="22">
        <f>(E2/D2)-1</f>
        <v>0</v>
      </c>
      <c r="E3" s="22">
        <f>(F2/D2)^(1/6)-1</f>
        <v>0</v>
      </c>
      <c r="F3" s="22">
        <f>(F2/E2)^(1/5)-1</f>
        <v>0</v>
      </c>
      <c r="G3" s="22">
        <f t="shared" ref="G3:K3" si="0">(G2/F2)^(1/5)-1</f>
        <v>0</v>
      </c>
      <c r="H3" s="22">
        <f t="shared" si="0"/>
        <v>0</v>
      </c>
      <c r="I3" s="22">
        <f t="shared" si="0"/>
        <v>0</v>
      </c>
      <c r="J3" s="22">
        <f t="shared" si="0"/>
        <v>0</v>
      </c>
      <c r="K3" s="22">
        <f t="shared" si="0"/>
        <v>0</v>
      </c>
    </row>
    <row r="5" spans="2:25">
      <c r="B5" s="1" t="s">
        <v>69</v>
      </c>
      <c r="C5" s="1"/>
      <c r="D5" s="1" t="s">
        <v>551</v>
      </c>
      <c r="E5" s="1"/>
      <c r="G5" s="1"/>
      <c r="H5" s="1"/>
      <c r="I5" s="1"/>
      <c r="J5" s="1"/>
      <c r="K5" s="1"/>
    </row>
    <row r="6" spans="2:25">
      <c r="B6" t="s">
        <v>16</v>
      </c>
      <c r="C6" s="602">
        <v>0.43646686122197292</v>
      </c>
      <c r="D6" s="101">
        <f>C6*$E$2</f>
        <v>458015.06089865312</v>
      </c>
    </row>
    <row r="7" spans="2:25">
      <c r="B7" t="s">
        <v>18</v>
      </c>
      <c r="C7" s="602">
        <v>0.20229394725365077</v>
      </c>
      <c r="D7" s="101">
        <f t="shared" ref="D7:D11" si="1">C7*$E$2</f>
        <v>212281.12097997082</v>
      </c>
      <c r="F7" t="s">
        <v>1562</v>
      </c>
    </row>
    <row r="8" spans="2:25">
      <c r="B8" t="s">
        <v>20</v>
      </c>
      <c r="C8" s="602">
        <v>0.17339481193170064</v>
      </c>
      <c r="D8" s="101">
        <f t="shared" si="1"/>
        <v>181955.2465542607</v>
      </c>
      <c r="F8" t="s">
        <v>1562</v>
      </c>
    </row>
    <row r="9" spans="2:25">
      <c r="B9" t="s">
        <v>558</v>
      </c>
      <c r="C9" s="602">
        <v>8.6697405965850322E-2</v>
      </c>
      <c r="D9" s="101">
        <f t="shared" si="1"/>
        <v>90977.623277130348</v>
      </c>
      <c r="F9" t="s">
        <v>1562</v>
      </c>
    </row>
    <row r="10" spans="2:25">
      <c r="B10" t="s">
        <v>24</v>
      </c>
      <c r="C10" s="602">
        <v>0.10114697362682538</v>
      </c>
      <c r="D10" s="101">
        <f t="shared" si="1"/>
        <v>106140.56048998541</v>
      </c>
      <c r="F10" t="s">
        <v>1562</v>
      </c>
    </row>
    <row r="11" spans="2:25">
      <c r="C11" s="6">
        <f>SUM(C6:C10)</f>
        <v>1</v>
      </c>
      <c r="D11" s="101">
        <f t="shared" si="1"/>
        <v>1049369.6122000003</v>
      </c>
    </row>
    <row r="13" spans="2:25">
      <c r="B13" s="1" t="s">
        <v>70</v>
      </c>
      <c r="D13" s="1" t="s">
        <v>551</v>
      </c>
      <c r="E13" s="1" t="s">
        <v>553</v>
      </c>
      <c r="G13" s="1" t="s">
        <v>71</v>
      </c>
      <c r="I13" s="1" t="s">
        <v>551</v>
      </c>
      <c r="J13" s="1" t="s">
        <v>553</v>
      </c>
      <c r="L13" s="1" t="s">
        <v>72</v>
      </c>
      <c r="N13" s="1" t="s">
        <v>551</v>
      </c>
      <c r="O13" s="1" t="s">
        <v>553</v>
      </c>
      <c r="Q13" s="1" t="s">
        <v>570</v>
      </c>
      <c r="S13" s="1" t="s">
        <v>551</v>
      </c>
      <c r="T13" s="1" t="s">
        <v>553</v>
      </c>
      <c r="V13" s="1" t="s">
        <v>24</v>
      </c>
      <c r="X13" s="1" t="s">
        <v>551</v>
      </c>
      <c r="Y13" s="1" t="s">
        <v>553</v>
      </c>
    </row>
    <row r="14" spans="2:25">
      <c r="B14" t="s">
        <v>9</v>
      </c>
      <c r="C14" s="588">
        <v>0.36285537552397995</v>
      </c>
      <c r="D14" s="122">
        <f>C14*D16</f>
        <v>166193.22691801933</v>
      </c>
      <c r="E14" s="2">
        <f>D14/$D$11</f>
        <v>0.15837434683247184</v>
      </c>
      <c r="G14" t="s">
        <v>559</v>
      </c>
      <c r="H14" s="588">
        <v>0.35275933424729666</v>
      </c>
      <c r="I14" s="101">
        <f>H14*$D$7</f>
        <v>74884.146910164345</v>
      </c>
      <c r="J14" s="2">
        <f t="shared" ref="J14:J20" si="2">I14/$D$11</f>
        <v>7.1361078155455587E-2</v>
      </c>
      <c r="K14" s="2">
        <f>(I14-K69)/(I21-K69)</f>
        <v>0.33471505812741392</v>
      </c>
      <c r="L14" t="s">
        <v>34</v>
      </c>
      <c r="M14" s="588">
        <v>0.45582733579190249</v>
      </c>
      <c r="N14" s="122">
        <f>M14*N16</f>
        <v>82940.175270187392</v>
      </c>
      <c r="O14" s="2">
        <f>N14/$D$11</f>
        <v>7.9038095162965089E-2</v>
      </c>
      <c r="Q14" t="s">
        <v>552</v>
      </c>
      <c r="R14" s="588">
        <v>0.95369571593461744</v>
      </c>
      <c r="S14" s="122">
        <f>R14*S16</f>
        <v>86764.969565312742</v>
      </c>
      <c r="T14" s="2">
        <f>S14/$D$11</f>
        <v>8.2682944652275797E-2</v>
      </c>
      <c r="V14" t="s">
        <v>24</v>
      </c>
      <c r="W14" s="52">
        <v>1</v>
      </c>
      <c r="X14" s="101">
        <f>W14*$D$10</f>
        <v>106140.56048998541</v>
      </c>
      <c r="Y14" s="2">
        <f>X14/$D$11</f>
        <v>0.10114697362682538</v>
      </c>
    </row>
    <row r="15" spans="2:25">
      <c r="B15" t="s">
        <v>29</v>
      </c>
      <c r="C15" s="588">
        <v>0.63714462447602005</v>
      </c>
      <c r="D15" s="122">
        <f>C15*D16</f>
        <v>291821.83398063382</v>
      </c>
      <c r="E15" s="2">
        <f>D15/$D$11</f>
        <v>0.27809251438950111</v>
      </c>
      <c r="G15" t="s">
        <v>560</v>
      </c>
      <c r="H15" s="588">
        <v>0.2549735955995498</v>
      </c>
      <c r="I15" s="101">
        <f t="shared" ref="I15:I20" si="3">H15*$D$7</f>
        <v>54126.080694166187</v>
      </c>
      <c r="J15" s="2">
        <f t="shared" si="2"/>
        <v>5.157961509928901E-2</v>
      </c>
      <c r="L15" t="s">
        <v>27</v>
      </c>
      <c r="M15" s="588">
        <v>0.54417266420809751</v>
      </c>
      <c r="N15" s="101">
        <f>N16-N14</f>
        <v>99015.071284073303</v>
      </c>
      <c r="O15" s="2">
        <f>N15/$D$11</f>
        <v>9.4356716768735555E-2</v>
      </c>
      <c r="Q15" t="s">
        <v>24</v>
      </c>
      <c r="R15" s="588">
        <v>4.630428406538261E-2</v>
      </c>
      <c r="S15" s="122">
        <f>S16-S14</f>
        <v>4212.6537118176057</v>
      </c>
      <c r="T15" s="2">
        <f>S15/$D$11</f>
        <v>4.014461313574527E-3</v>
      </c>
      <c r="W15" s="6">
        <f>SUM(W14)</f>
        <v>1</v>
      </c>
      <c r="X15" s="101">
        <f>W15*$D$10</f>
        <v>106140.56048998541</v>
      </c>
      <c r="Y15" s="2"/>
    </row>
    <row r="16" spans="2:25">
      <c r="C16" s="6">
        <f>SUM(C14:C15)</f>
        <v>1</v>
      </c>
      <c r="D16" s="101">
        <f>C16*$D$6</f>
        <v>458015.06089865312</v>
      </c>
      <c r="G16" t="s">
        <v>561</v>
      </c>
      <c r="H16" s="588">
        <v>0.11768012104594605</v>
      </c>
      <c r="I16" s="101">
        <f t="shared" si="3"/>
        <v>24981.268012692082</v>
      </c>
      <c r="J16" s="2">
        <f t="shared" si="2"/>
        <v>2.3805976199671845E-2</v>
      </c>
      <c r="M16" s="6">
        <f>SUM(M14:M15)</f>
        <v>1</v>
      </c>
      <c r="N16" s="101">
        <f>D8</f>
        <v>181955.2465542607</v>
      </c>
      <c r="O16" s="2"/>
      <c r="R16" s="6">
        <f>SUM(R14:R15)</f>
        <v>1</v>
      </c>
      <c r="S16" s="101">
        <f>D9</f>
        <v>90977.623277130348</v>
      </c>
      <c r="X16" s="41"/>
    </row>
    <row r="17" spans="1:20">
      <c r="C17" s="6"/>
      <c r="D17" s="41"/>
      <c r="G17" t="s">
        <v>572</v>
      </c>
      <c r="H17" s="588">
        <v>5.8840060522973026E-2</v>
      </c>
      <c r="I17" s="101">
        <f t="shared" si="3"/>
        <v>12490.634006346041</v>
      </c>
      <c r="J17" s="2">
        <f t="shared" si="2"/>
        <v>1.1902988099835922E-2</v>
      </c>
      <c r="N17" s="41"/>
      <c r="O17" s="2"/>
      <c r="S17" s="101"/>
    </row>
    <row r="18" spans="1:20">
      <c r="C18" s="6"/>
      <c r="D18" s="41"/>
      <c r="G18" t="s">
        <v>562</v>
      </c>
      <c r="H18" s="588">
        <v>3.9226707015315353E-2</v>
      </c>
      <c r="I18" s="101">
        <f t="shared" si="3"/>
        <v>8327.089337564028</v>
      </c>
      <c r="J18" s="2">
        <f t="shared" si="2"/>
        <v>7.9353253998906154E-3</v>
      </c>
      <c r="N18" s="41"/>
      <c r="O18" s="2"/>
      <c r="Q18" s="1" t="s">
        <v>73</v>
      </c>
      <c r="S18" s="591" t="s">
        <v>551</v>
      </c>
      <c r="T18" s="1" t="s">
        <v>553</v>
      </c>
    </row>
    <row r="19" spans="1:20">
      <c r="C19" s="6"/>
      <c r="D19" s="41"/>
      <c r="G19" t="s">
        <v>563</v>
      </c>
      <c r="H19" s="588">
        <v>5.8840060522973026E-2</v>
      </c>
      <c r="I19" s="101">
        <f>H19*$D$7</f>
        <v>12490.634006346041</v>
      </c>
      <c r="J19" s="2">
        <f t="shared" si="2"/>
        <v>1.1902988099835922E-2</v>
      </c>
      <c r="N19" s="41"/>
      <c r="O19" s="2"/>
      <c r="Q19" t="s">
        <v>33</v>
      </c>
      <c r="R19" s="588">
        <v>0.59</v>
      </c>
      <c r="S19" s="122">
        <f>R19*S21</f>
        <v>51191.332043534516</v>
      </c>
      <c r="T19" s="2">
        <f>S19/$D$11</f>
        <v>4.8782937344842715E-2</v>
      </c>
    </row>
    <row r="20" spans="1:20">
      <c r="C20" s="6"/>
      <c r="D20" s="41"/>
      <c r="G20" t="s">
        <v>27</v>
      </c>
      <c r="H20" s="588">
        <v>0.11768012104594605</v>
      </c>
      <c r="I20" s="101">
        <f t="shared" si="3"/>
        <v>24981.268012692082</v>
      </c>
      <c r="J20" s="2">
        <f t="shared" si="2"/>
        <v>2.3805976199671845E-2</v>
      </c>
      <c r="N20" s="41"/>
      <c r="O20" s="2"/>
      <c r="Q20" t="s">
        <v>24</v>
      </c>
      <c r="R20" s="588">
        <f>1-R19</f>
        <v>0.41000000000000003</v>
      </c>
      <c r="S20" s="122">
        <f>R20*S21</f>
        <v>35573.637521778226</v>
      </c>
      <c r="T20" s="2">
        <f>S20/$D$11</f>
        <v>3.3900007307433075E-2</v>
      </c>
    </row>
    <row r="21" spans="1:20">
      <c r="C21" s="6"/>
      <c r="D21" s="41"/>
      <c r="H21" s="6">
        <f>SUM(H14:H20)</f>
        <v>1</v>
      </c>
      <c r="I21" s="101">
        <f>D7</f>
        <v>212281.12097997082</v>
      </c>
      <c r="M21" s="41"/>
      <c r="R21" s="6">
        <f>SUM(R19:R20)</f>
        <v>1</v>
      </c>
      <c r="S21" s="101">
        <f>S14</f>
        <v>86764.969565312742</v>
      </c>
    </row>
    <row r="22" spans="1:20">
      <c r="C22" s="6"/>
      <c r="D22" s="41"/>
      <c r="H22" s="6"/>
      <c r="I22" s="101"/>
      <c r="M22" s="41"/>
      <c r="N22" s="2">
        <f>R14*R19</f>
        <v>0.56268047240142427</v>
      </c>
      <c r="S22" s="101"/>
    </row>
    <row r="23" spans="1:20">
      <c r="C23" s="6"/>
      <c r="D23" s="41"/>
      <c r="G23" s="1" t="s">
        <v>565</v>
      </c>
      <c r="I23" s="591" t="s">
        <v>551</v>
      </c>
      <c r="J23" s="1" t="s">
        <v>553</v>
      </c>
      <c r="M23" s="41"/>
    </row>
    <row r="24" spans="1:20">
      <c r="C24" s="6"/>
      <c r="D24" s="41"/>
      <c r="G24" t="s">
        <v>77</v>
      </c>
      <c r="H24" s="679">
        <v>0.15377412053164682</v>
      </c>
      <c r="I24" s="101">
        <f>H24*$I$14</f>
        <v>11515.24383287316</v>
      </c>
      <c r="J24" s="2">
        <f>I24/E2</f>
        <v>1.0973487033545297E-2</v>
      </c>
      <c r="K24" s="38">
        <f>H24*H14</f>
        <v>5.4245256383207284E-2</v>
      </c>
      <c r="L24" s="2">
        <f>(I24+I25-K69)/(I27-K69)</f>
        <v>0.67501268036997797</v>
      </c>
      <c r="M24" s="41"/>
    </row>
    <row r="25" spans="1:20">
      <c r="C25" s="6"/>
      <c r="D25" s="41"/>
      <c r="G25" t="s">
        <v>35</v>
      </c>
      <c r="H25" s="679">
        <v>0.54622587946835321</v>
      </c>
      <c r="I25" s="101">
        <f t="shared" ref="I25:I27" si="4">H25*$I$14</f>
        <v>40903.659004241883</v>
      </c>
      <c r="J25" s="2">
        <f>I25/E2</f>
        <v>3.897926767527362E-2</v>
      </c>
      <c r="K25" s="38">
        <f>H25*H14</f>
        <v>0.1926862775899004</v>
      </c>
      <c r="M25" s="41"/>
    </row>
    <row r="26" spans="1:20">
      <c r="C26" s="6"/>
      <c r="D26" s="41"/>
      <c r="G26" t="s">
        <v>24</v>
      </c>
      <c r="H26" s="679">
        <v>0.3</v>
      </c>
      <c r="I26" s="101">
        <f t="shared" si="4"/>
        <v>22465.244073049304</v>
      </c>
      <c r="J26" s="2">
        <f>I26/E2</f>
        <v>2.1408323446636675E-2</v>
      </c>
      <c r="K26" s="38">
        <f>H26*H14</f>
        <v>0.10582780027418899</v>
      </c>
      <c r="M26" s="41"/>
    </row>
    <row r="27" spans="1:20">
      <c r="C27" s="6"/>
      <c r="D27" s="41"/>
      <c r="H27" s="6">
        <f>SUM(H24:H26)</f>
        <v>1</v>
      </c>
      <c r="I27" s="101">
        <f t="shared" si="4"/>
        <v>74884.146910164345</v>
      </c>
      <c r="M27" s="41"/>
    </row>
    <row r="28" spans="1:20">
      <c r="D28" s="41"/>
      <c r="G28" s="259" t="s">
        <v>681</v>
      </c>
      <c r="H28" s="259"/>
      <c r="I28" s="259"/>
      <c r="J28" s="259"/>
      <c r="K28" s="259"/>
      <c r="L28" s="259"/>
      <c r="M28" s="259"/>
    </row>
    <row r="29" spans="1:20">
      <c r="A29" s="1" t="s">
        <v>60</v>
      </c>
      <c r="B29" t="s">
        <v>576</v>
      </c>
      <c r="G29" t="s">
        <v>644</v>
      </c>
      <c r="L29" s="5" t="s">
        <v>52</v>
      </c>
      <c r="Q29" t="s">
        <v>571</v>
      </c>
    </row>
    <row r="30" spans="1:20">
      <c r="G30" t="s">
        <v>564</v>
      </c>
      <c r="Q30" t="s">
        <v>569</v>
      </c>
    </row>
    <row r="31" spans="1:20">
      <c r="G31" t="s">
        <v>635</v>
      </c>
    </row>
    <row r="33" spans="2:11">
      <c r="B33" s="1" t="s">
        <v>75</v>
      </c>
      <c r="C33" s="1"/>
      <c r="E33" s="1" t="s">
        <v>76</v>
      </c>
      <c r="H33" s="1"/>
    </row>
    <row r="34" spans="2:11">
      <c r="B34" t="s">
        <v>9</v>
      </c>
      <c r="C34" s="2">
        <f>C6*C14</f>
        <v>0.15837434683247184</v>
      </c>
      <c r="E34" s="149">
        <v>1</v>
      </c>
      <c r="F34" s="51" t="s">
        <v>341</v>
      </c>
    </row>
    <row r="35" spans="2:11">
      <c r="B35" t="s">
        <v>29</v>
      </c>
      <c r="C35" s="2">
        <f>C15*C6</f>
        <v>0.27809251438950111</v>
      </c>
      <c r="E35" s="149">
        <v>1</v>
      </c>
      <c r="F35" s="51" t="s">
        <v>341</v>
      </c>
    </row>
    <row r="36" spans="2:11">
      <c r="B36" t="s">
        <v>35</v>
      </c>
      <c r="C36" s="2">
        <f>H25*C7*H14</f>
        <v>3.897926767527362E-2</v>
      </c>
      <c r="E36" s="149">
        <f>28/192.2</f>
        <v>0.14568158168574402</v>
      </c>
      <c r="F36" s="51" t="s">
        <v>574</v>
      </c>
    </row>
    <row r="37" spans="2:11">
      <c r="B37" t="s">
        <v>77</v>
      </c>
      <c r="C37" s="2">
        <f>H14*C7*H24</f>
        <v>1.0973487033545297E-2</v>
      </c>
      <c r="E37" s="242">
        <f>E36</f>
        <v>0.14568158168574402</v>
      </c>
      <c r="F37" s="51"/>
      <c r="K37" s="51"/>
    </row>
    <row r="38" spans="2:11">
      <c r="B38" t="s">
        <v>34</v>
      </c>
      <c r="C38" s="2">
        <f>M14*C8</f>
        <v>7.9038095162965089E-2</v>
      </c>
      <c r="E38" s="149">
        <f>28/62.5</f>
        <v>0.44800000000000001</v>
      </c>
      <c r="F38" s="51" t="s">
        <v>573</v>
      </c>
    </row>
    <row r="39" spans="2:11">
      <c r="B39" t="s">
        <v>74</v>
      </c>
      <c r="C39" s="2">
        <f>R14*C9</f>
        <v>8.2682944652275797E-2</v>
      </c>
      <c r="E39" s="149">
        <f>28/104.2</f>
        <v>0.2687140115163148</v>
      </c>
      <c r="F39" s="51" t="s">
        <v>575</v>
      </c>
    </row>
    <row r="40" spans="2:11">
      <c r="B40" t="s">
        <v>1132</v>
      </c>
      <c r="C40" s="2">
        <f>J18+J19+T20</f>
        <v>5.3738320807159609E-2</v>
      </c>
      <c r="E40" s="149"/>
      <c r="F40" s="51"/>
    </row>
    <row r="41" spans="2:11">
      <c r="B41" t="s">
        <v>24</v>
      </c>
      <c r="C41" s="6">
        <f>1-SUM(C34:C40)</f>
        <v>0.29812102344680769</v>
      </c>
      <c r="E41" s="52">
        <v>0.1</v>
      </c>
      <c r="F41" s="51" t="s">
        <v>342</v>
      </c>
    </row>
    <row r="42" spans="2:11">
      <c r="C42" s="6">
        <f>SUM(C34:C41)</f>
        <v>1</v>
      </c>
    </row>
    <row r="43" spans="2:11">
      <c r="B43" s="1"/>
    </row>
    <row r="44" spans="2:11">
      <c r="B44" s="59" t="s">
        <v>340</v>
      </c>
      <c r="C44" s="59" t="s">
        <v>141</v>
      </c>
      <c r="D44" s="59"/>
      <c r="E44" s="59" t="s">
        <v>33</v>
      </c>
      <c r="F44" s="59" t="s">
        <v>34</v>
      </c>
      <c r="G44" s="59" t="s">
        <v>35</v>
      </c>
      <c r="H44" s="59" t="s">
        <v>27</v>
      </c>
    </row>
    <row r="45" spans="2:11">
      <c r="B45" t="s">
        <v>17</v>
      </c>
      <c r="C45" s="148">
        <f>'Production - Industry shares'!B18</f>
        <v>0.22800000000000004</v>
      </c>
      <c r="D45" s="148"/>
      <c r="E45" s="148">
        <f>'Production - Industry shares'!E18</f>
        <v>2.3E-2</v>
      </c>
      <c r="F45" s="148">
        <f>'Production - Industry shares'!F18</f>
        <v>8.9999999999999993E-3</v>
      </c>
      <c r="G45" s="148">
        <f>'Production - Industry shares'!G18</f>
        <v>0.10100000000000001</v>
      </c>
      <c r="H45" s="22">
        <f>SUM('Production - Industry shares'!H18:I18)</f>
        <v>3.0000000000000001E-3</v>
      </c>
    </row>
    <row r="46" spans="2:11">
      <c r="B46" t="s">
        <v>19</v>
      </c>
      <c r="C46" s="148">
        <f>'Production - Industry shares'!B19</f>
        <v>4.3999999999999997E-2</v>
      </c>
      <c r="D46" s="148"/>
      <c r="E46" s="148">
        <f>'Production - Industry shares'!E19</f>
        <v>2.1999999999999999E-2</v>
      </c>
      <c r="F46" s="148">
        <f>'Production - Industry shares'!F19</f>
        <v>8.1000000000000003E-2</v>
      </c>
      <c r="G46" s="148">
        <f>'Production - Industry shares'!G19</f>
        <v>0</v>
      </c>
      <c r="H46" s="22">
        <f>SUM('Production - Industry shares'!H19:I19)</f>
        <v>2.9000000000000001E-2</v>
      </c>
    </row>
    <row r="47" spans="2:11">
      <c r="B47" t="s">
        <v>21</v>
      </c>
      <c r="C47" s="148">
        <f>'Production - Industry shares'!B20</f>
        <v>8.9999999999999993E-3</v>
      </c>
      <c r="D47" s="148"/>
      <c r="E47" s="148">
        <f>'Production - Industry shares'!E20</f>
        <v>0</v>
      </c>
      <c r="F47" s="148">
        <f>'Production - Industry shares'!F20</f>
        <v>3.0000000000000001E-3</v>
      </c>
      <c r="G47" s="148">
        <f>'Production - Industry shares'!G20</f>
        <v>0</v>
      </c>
      <c r="H47" s="22">
        <f>SUM('Production - Industry shares'!H20:I20)</f>
        <v>0.03</v>
      </c>
    </row>
    <row r="48" spans="2:11">
      <c r="B48" t="s">
        <v>41</v>
      </c>
      <c r="C48" s="148">
        <f>'Production - Industry shares'!B21</f>
        <v>7.0000000000000001E-3</v>
      </c>
      <c r="D48" s="148"/>
      <c r="E48" s="148">
        <f>'Production - Industry shares'!E21</f>
        <v>6.0000000000000001E-3</v>
      </c>
      <c r="F48" s="148">
        <f>'Production - Industry shares'!F21</f>
        <v>4.0000000000000001E-3</v>
      </c>
      <c r="G48" s="148">
        <f>'Production - Industry shares'!G21</f>
        <v>0</v>
      </c>
      <c r="H48" s="22">
        <f>SUM('Production - Industry shares'!H21:I21)</f>
        <v>1.4E-2</v>
      </c>
    </row>
    <row r="49" spans="2:21">
      <c r="B49" t="s">
        <v>26</v>
      </c>
      <c r="C49" s="148">
        <f>'Production - Industry shares'!B22</f>
        <v>4.5999999999999999E-2</v>
      </c>
      <c r="D49" s="148"/>
      <c r="E49" s="148">
        <f>'Production - Industry shares'!E22</f>
        <v>1.7999999999999999E-2</v>
      </c>
      <c r="F49" s="148">
        <f>'Production - Industry shares'!F22</f>
        <v>6.0000000000000001E-3</v>
      </c>
      <c r="G49" s="148">
        <f>'Production - Industry shares'!G22</f>
        <v>0</v>
      </c>
      <c r="H49" s="22">
        <f>SUM('Production - Industry shares'!H22:I22)</f>
        <v>1.2E-2</v>
      </c>
    </row>
    <row r="50" spans="2:21">
      <c r="B50" t="s">
        <v>27</v>
      </c>
      <c r="C50" s="148">
        <f>'Production - Industry shares'!B23</f>
        <v>2.8999999999999998E-2</v>
      </c>
      <c r="D50" s="148"/>
      <c r="E50" s="148">
        <f>'Production - Industry shares'!E23</f>
        <v>7.0000000000000001E-3</v>
      </c>
      <c r="F50" s="148">
        <f>'Production - Industry shares'!F23</f>
        <v>1.4E-2</v>
      </c>
      <c r="G50" s="148">
        <f>'Production - Industry shares'!G23</f>
        <v>0</v>
      </c>
      <c r="H50" s="22">
        <f>SUM('Production - Industry shares'!H23:I23)</f>
        <v>4.3999999999999997E-2</v>
      </c>
    </row>
    <row r="51" spans="2:21">
      <c r="B51" t="s">
        <v>43</v>
      </c>
      <c r="C51" s="148">
        <f>'Production - Industry shares'!B24</f>
        <v>0.36299999999999999</v>
      </c>
      <c r="D51" s="148"/>
      <c r="E51" s="148">
        <f>'Production - Industry shares'!E24</f>
        <v>7.5999999999999998E-2</v>
      </c>
      <c r="F51" s="148">
        <f>'Production - Industry shares'!F24</f>
        <v>0.11700000000000001</v>
      </c>
      <c r="G51" s="148">
        <f>'Production - Industry shares'!G24</f>
        <v>0.10100000000000001</v>
      </c>
      <c r="H51" s="22">
        <f>SUM('Production - Industry shares'!H24:I24)</f>
        <v>0.13200000000000001</v>
      </c>
      <c r="I51" s="38"/>
    </row>
    <row r="53" spans="2:21">
      <c r="B53" s="28" t="s">
        <v>48</v>
      </c>
      <c r="C53" s="28" t="s">
        <v>141</v>
      </c>
      <c r="D53" s="28"/>
      <c r="E53" s="28" t="s">
        <v>33</v>
      </c>
      <c r="F53" s="28" t="s">
        <v>34</v>
      </c>
      <c r="G53" s="28" t="s">
        <v>35</v>
      </c>
      <c r="H53" s="59" t="s">
        <v>27</v>
      </c>
    </row>
    <row r="54" spans="2:21">
      <c r="B54" t="s">
        <v>17</v>
      </c>
      <c r="C54" s="2">
        <f>C45/C$51</f>
        <v>0.62809917355371914</v>
      </c>
      <c r="D54" s="2"/>
      <c r="E54" s="2">
        <f t="shared" ref="C54:H59" si="5">E45/E$51</f>
        <v>0.30263157894736842</v>
      </c>
      <c r="F54" s="2">
        <f>F45/F$51</f>
        <v>7.6923076923076913E-2</v>
      </c>
      <c r="G54" s="2">
        <f t="shared" si="5"/>
        <v>1</v>
      </c>
      <c r="H54" s="2">
        <f>H45/H$51</f>
        <v>2.2727272727272728E-2</v>
      </c>
    </row>
    <row r="55" spans="2:21">
      <c r="B55" t="s">
        <v>19</v>
      </c>
      <c r="C55" s="2">
        <f t="shared" si="5"/>
        <v>0.12121212121212122</v>
      </c>
      <c r="D55" s="2"/>
      <c r="E55" s="2">
        <f t="shared" si="5"/>
        <v>0.28947368421052633</v>
      </c>
      <c r="F55" s="2">
        <f t="shared" si="5"/>
        <v>0.69230769230769229</v>
      </c>
      <c r="G55" s="2">
        <f t="shared" si="5"/>
        <v>0</v>
      </c>
      <c r="H55" s="2">
        <f t="shared" si="5"/>
        <v>0.2196969696969697</v>
      </c>
    </row>
    <row r="56" spans="2:21">
      <c r="B56" t="s">
        <v>21</v>
      </c>
      <c r="C56" s="2">
        <f t="shared" si="5"/>
        <v>2.4793388429752063E-2</v>
      </c>
      <c r="D56" s="2"/>
      <c r="E56" s="2">
        <f t="shared" si="5"/>
        <v>0</v>
      </c>
      <c r="F56" s="2">
        <f t="shared" si="5"/>
        <v>2.564102564102564E-2</v>
      </c>
      <c r="G56" s="2">
        <f t="shared" si="5"/>
        <v>0</v>
      </c>
      <c r="H56" s="2">
        <f t="shared" si="5"/>
        <v>0.22727272727272727</v>
      </c>
    </row>
    <row r="57" spans="2:21">
      <c r="B57" t="s">
        <v>23</v>
      </c>
      <c r="C57" s="2">
        <f t="shared" si="5"/>
        <v>1.928374655647383E-2</v>
      </c>
      <c r="D57" s="2"/>
      <c r="E57" s="2">
        <f t="shared" si="5"/>
        <v>7.8947368421052641E-2</v>
      </c>
      <c r="F57" s="2">
        <f t="shared" si="5"/>
        <v>3.4188034188034185E-2</v>
      </c>
      <c r="G57" s="2">
        <f t="shared" si="5"/>
        <v>0</v>
      </c>
      <c r="H57" s="2">
        <f t="shared" si="5"/>
        <v>0.10606060606060606</v>
      </c>
    </row>
    <row r="58" spans="2:21">
      <c r="B58" t="s">
        <v>26</v>
      </c>
      <c r="C58" s="2">
        <f t="shared" si="5"/>
        <v>0.12672176308539945</v>
      </c>
      <c r="D58" s="2"/>
      <c r="E58" s="2">
        <f t="shared" si="5"/>
        <v>0.23684210526315788</v>
      </c>
      <c r="F58" s="2">
        <f t="shared" si="5"/>
        <v>5.128205128205128E-2</v>
      </c>
      <c r="G58" s="2">
        <f t="shared" si="5"/>
        <v>0</v>
      </c>
      <c r="H58" s="2">
        <f t="shared" si="5"/>
        <v>9.0909090909090912E-2</v>
      </c>
    </row>
    <row r="59" spans="2:21">
      <c r="B59" t="s">
        <v>27</v>
      </c>
      <c r="C59" s="2">
        <f t="shared" si="5"/>
        <v>7.9889807162534437E-2</v>
      </c>
      <c r="D59" s="2"/>
      <c r="E59" s="2">
        <f t="shared" si="5"/>
        <v>9.2105263157894746E-2</v>
      </c>
      <c r="F59" s="2">
        <f t="shared" si="5"/>
        <v>0.11965811965811965</v>
      </c>
      <c r="G59" s="2">
        <f t="shared" si="5"/>
        <v>0</v>
      </c>
      <c r="H59" s="2">
        <f t="shared" si="5"/>
        <v>0.33333333333333331</v>
      </c>
    </row>
    <row r="60" spans="2:21">
      <c r="B60" t="s">
        <v>78</v>
      </c>
      <c r="C60" s="2">
        <f t="shared" ref="C60:H60" si="6">SUM(C54:C59)</f>
        <v>1.0000000000000002</v>
      </c>
      <c r="D60" s="2"/>
      <c r="E60" s="2">
        <f t="shared" si="6"/>
        <v>1</v>
      </c>
      <c r="F60" s="2">
        <f t="shared" si="6"/>
        <v>1</v>
      </c>
      <c r="G60" s="2">
        <f t="shared" si="6"/>
        <v>1</v>
      </c>
      <c r="H60" s="2">
        <f t="shared" si="6"/>
        <v>1</v>
      </c>
      <c r="K60" s="6"/>
    </row>
    <row r="61" spans="2:21" ht="15.5" thickBot="1"/>
    <row r="62" spans="2:21">
      <c r="B62" s="28" t="s">
        <v>54</v>
      </c>
      <c r="C62" s="28" t="s">
        <v>141</v>
      </c>
      <c r="D62" s="28"/>
      <c r="E62" s="28" t="s">
        <v>33</v>
      </c>
      <c r="F62" s="28" t="s">
        <v>34</v>
      </c>
      <c r="G62" s="28" t="s">
        <v>35</v>
      </c>
      <c r="H62" s="28" t="s">
        <v>77</v>
      </c>
      <c r="I62" s="28" t="s">
        <v>27</v>
      </c>
      <c r="J62" s="31" t="s">
        <v>78</v>
      </c>
      <c r="K62" s="34" t="s">
        <v>79</v>
      </c>
      <c r="L62" s="34" t="s">
        <v>67</v>
      </c>
      <c r="M62" s="87" t="s">
        <v>80</v>
      </c>
      <c r="N62" s="90" t="s">
        <v>78</v>
      </c>
      <c r="P62" s="151" t="s">
        <v>343</v>
      </c>
      <c r="U62" s="1" t="s">
        <v>380</v>
      </c>
    </row>
    <row r="63" spans="2:21">
      <c r="B63" t="s">
        <v>17</v>
      </c>
      <c r="C63" s="2">
        <f>C54*$C$35</f>
        <v>0.17466967845952139</v>
      </c>
      <c r="D63" s="2"/>
      <c r="E63" s="2">
        <f t="shared" ref="E63:E68" si="7">E54*$C$39</f>
        <v>2.5022470092136095E-2</v>
      </c>
      <c r="F63" s="2">
        <f t="shared" ref="F63:F68" si="8">F54*$C$38</f>
        <v>6.079853474074237E-3</v>
      </c>
      <c r="G63" s="2">
        <f>G54*$C$36</f>
        <v>3.897926767527362E-2</v>
      </c>
      <c r="H63" s="201">
        <v>0</v>
      </c>
      <c r="I63" s="2">
        <f>H54*SUM($C$40:$C$41)</f>
        <v>7.9968032784992569E-3</v>
      </c>
      <c r="J63" s="32">
        <f>SUM(C63:I63)</f>
        <v>0.25274807297950463</v>
      </c>
      <c r="K63" s="35">
        <f>J63*$E$2</f>
        <v>265226.14732680016</v>
      </c>
      <c r="L63" s="543">
        <f>$L$2</f>
        <v>0</v>
      </c>
      <c r="M63" s="88">
        <f>K63*(1+L63)^30</f>
        <v>265226.14732680016</v>
      </c>
      <c r="N63" s="91">
        <f>M63/M$70</f>
        <v>0.30030937392208301</v>
      </c>
      <c r="P63" s="51" t="s">
        <v>344</v>
      </c>
    </row>
    <row r="64" spans="2:21">
      <c r="B64" t="s">
        <v>19</v>
      </c>
      <c r="C64" s="2">
        <f t="shared" ref="C64:C68" si="9">C55*$C$35</f>
        <v>3.3708183562363769E-2</v>
      </c>
      <c r="D64" s="2"/>
      <c r="E64" s="2">
        <f t="shared" si="7"/>
        <v>2.3934536609869311E-2</v>
      </c>
      <c r="F64" s="2">
        <f t="shared" si="8"/>
        <v>5.4718681266668137E-2</v>
      </c>
      <c r="G64" s="2">
        <f t="shared" ref="G64:G68" si="10">G55*$C$36</f>
        <v>0</v>
      </c>
      <c r="H64" s="265">
        <f>$C$37*0.25</f>
        <v>2.7433717583863243E-3</v>
      </c>
      <c r="I64" s="2">
        <f>H55*SUM($C$40:$C$41)</f>
        <v>7.7302431692159487E-2</v>
      </c>
      <c r="J64" s="32">
        <f>SUM(C64:I64)</f>
        <v>0.19240720488944701</v>
      </c>
      <c r="K64" s="35">
        <f t="shared" ref="K64:K68" si="11">J64*$E$2</f>
        <v>201906.27397932502</v>
      </c>
      <c r="L64" s="543">
        <f>$L$2</f>
        <v>0</v>
      </c>
      <c r="M64" s="88">
        <f>K64*(1+L64)^30</f>
        <v>201906.27397932502</v>
      </c>
      <c r="N64" s="91">
        <f t="shared" ref="N64:N69" si="12">M64/M$70</f>
        <v>0.22861375976992437</v>
      </c>
      <c r="P64" s="51" t="s">
        <v>345</v>
      </c>
      <c r="U64" s="165" t="s">
        <v>381</v>
      </c>
    </row>
    <row r="65" spans="2:21">
      <c r="B65" t="s">
        <v>21</v>
      </c>
      <c r="C65" s="2">
        <f t="shared" si="9"/>
        <v>6.8948557286653157E-3</v>
      </c>
      <c r="D65" s="2"/>
      <c r="E65" s="2">
        <f t="shared" si="7"/>
        <v>0</v>
      </c>
      <c r="F65" s="2">
        <f t="shared" si="8"/>
        <v>2.0266178246914125E-3</v>
      </c>
      <c r="G65" s="2">
        <f t="shared" si="10"/>
        <v>0</v>
      </c>
      <c r="H65" s="265">
        <f>0</f>
        <v>0</v>
      </c>
      <c r="I65" s="2">
        <f t="shared" ref="I65:I68" si="13">H56*SUM($C$40:$C$41)</f>
        <v>7.9968032784992565E-2</v>
      </c>
      <c r="J65" s="32">
        <f t="shared" ref="J65:J68" si="14">SUM(C65:I65)</f>
        <v>8.88895063383493E-2</v>
      </c>
      <c r="K65" s="35">
        <f>J65*$E$2</f>
        <v>93277.946794923075</v>
      </c>
      <c r="L65" s="543">
        <f>$L$2</f>
        <v>0</v>
      </c>
      <c r="M65" s="88">
        <f>K65*(1+L65)^30</f>
        <v>93277.946794923075</v>
      </c>
      <c r="N65" s="91">
        <f t="shared" si="12"/>
        <v>0.10561644123347028</v>
      </c>
      <c r="P65" s="51" t="s">
        <v>345</v>
      </c>
    </row>
    <row r="66" spans="2:21">
      <c r="B66" t="s">
        <v>23</v>
      </c>
      <c r="C66" s="2">
        <f t="shared" si="9"/>
        <v>5.3626655667396907E-3</v>
      </c>
      <c r="D66" s="2"/>
      <c r="E66" s="2">
        <f t="shared" si="7"/>
        <v>6.5276008936007218E-3</v>
      </c>
      <c r="F66" s="2">
        <f t="shared" si="8"/>
        <v>2.7021570995885498E-3</v>
      </c>
      <c r="G66" s="2">
        <f t="shared" si="10"/>
        <v>0</v>
      </c>
      <c r="H66" s="265">
        <v>0</v>
      </c>
      <c r="I66" s="2">
        <f t="shared" si="13"/>
        <v>3.7318415299663198E-2</v>
      </c>
      <c r="J66" s="32">
        <f t="shared" si="14"/>
        <v>5.1910838859592162E-2</v>
      </c>
      <c r="K66" s="35">
        <f t="shared" si="11"/>
        <v>54473.656843066936</v>
      </c>
      <c r="L66" s="543">
        <f>(M66/K66)^(1/30)-1</f>
        <v>0</v>
      </c>
      <c r="M66" s="88">
        <f>($M$70-$M$63-$M$64-$M$65-$M$69-$M$67)*(J66/SUM($J$66:$J$66,J68))</f>
        <v>54473.656843066943</v>
      </c>
      <c r="N66" s="91">
        <f t="shared" si="12"/>
        <v>6.1679249752216316E-2</v>
      </c>
      <c r="P66" s="51" t="s">
        <v>346</v>
      </c>
    </row>
    <row r="67" spans="2:21">
      <c r="B67" t="s">
        <v>26</v>
      </c>
      <c r="C67" s="2">
        <f t="shared" si="9"/>
        <v>3.5240373724289398E-2</v>
      </c>
      <c r="D67" s="2"/>
      <c r="E67" s="2">
        <f t="shared" si="7"/>
        <v>1.9582802680802161E-2</v>
      </c>
      <c r="F67" s="2">
        <f t="shared" si="8"/>
        <v>4.0532356493828249E-3</v>
      </c>
      <c r="G67" s="2">
        <f>G58*$C$36</f>
        <v>0</v>
      </c>
      <c r="H67" s="265">
        <v>0</v>
      </c>
      <c r="I67" s="2">
        <f t="shared" si="13"/>
        <v>3.1987213113997028E-2</v>
      </c>
      <c r="J67" s="32">
        <f>SUM(C67:I67)</f>
        <v>9.0863625168471407E-2</v>
      </c>
      <c r="K67" s="35">
        <f t="shared" si="11"/>
        <v>95349.527106125024</v>
      </c>
      <c r="L67" s="543">
        <f>L63</f>
        <v>0</v>
      </c>
      <c r="M67" s="88">
        <f>K67*(1+L67)^30</f>
        <v>95349.527106125024</v>
      </c>
      <c r="N67" s="91">
        <f t="shared" si="12"/>
        <v>0.10796204325105653</v>
      </c>
      <c r="P67" s="51" t="s">
        <v>344</v>
      </c>
      <c r="U67" s="165"/>
    </row>
    <row r="68" spans="2:21">
      <c r="B68" t="s">
        <v>27</v>
      </c>
      <c r="C68" s="2">
        <f t="shared" si="9"/>
        <v>2.2216757347921577E-2</v>
      </c>
      <c r="D68" s="2"/>
      <c r="E68" s="2">
        <f t="shared" si="7"/>
        <v>7.6155343758675083E-3</v>
      </c>
      <c r="F68" s="2">
        <f t="shared" si="8"/>
        <v>9.4575498485599246E-3</v>
      </c>
      <c r="G68" s="2">
        <f t="shared" si="10"/>
        <v>0</v>
      </c>
      <c r="H68" s="265">
        <f>$C$37*0.25</f>
        <v>2.7433717583863243E-3</v>
      </c>
      <c r="I68" s="2">
        <f t="shared" si="13"/>
        <v>0.11728644808465577</v>
      </c>
      <c r="J68" s="32">
        <f t="shared" si="14"/>
        <v>0.15931966141539111</v>
      </c>
      <c r="K68" s="35">
        <f t="shared" si="11"/>
        <v>167185.21131530433</v>
      </c>
      <c r="L68" s="543">
        <f t="shared" ref="L68" si="15">(M68/K68)^(1/30)-1</f>
        <v>0</v>
      </c>
      <c r="M68" s="88">
        <f>($M$70-$M$63-$M$64-$M$65-$M$69-$M$67)*(J68/SUM($J$66:$J$66,J68))</f>
        <v>167185.21131530436</v>
      </c>
      <c r="N68" s="91">
        <f t="shared" si="12"/>
        <v>0.18929991120847886</v>
      </c>
      <c r="P68" s="51" t="s">
        <v>346</v>
      </c>
      <c r="U68" s="165" t="s">
        <v>382</v>
      </c>
    </row>
    <row r="69" spans="2:21">
      <c r="B69" t="s">
        <v>365</v>
      </c>
      <c r="C69" s="6">
        <v>0</v>
      </c>
      <c r="D69" s="6"/>
      <c r="E69" s="6">
        <v>0</v>
      </c>
      <c r="F69" s="6">
        <v>0</v>
      </c>
      <c r="G69" s="6">
        <v>0</v>
      </c>
      <c r="H69" s="265">
        <f>$C$37*0.5</f>
        <v>5.4867435167726486E-3</v>
      </c>
      <c r="I69" s="22">
        <v>0</v>
      </c>
      <c r="J69" s="32">
        <f>SUM(C69:I69)</f>
        <v>5.4867435167726486E-3</v>
      </c>
      <c r="K69" s="35">
        <f>J69*$E$2</f>
        <v>5757.6219164365802</v>
      </c>
      <c r="L69" s="543">
        <f>$L$2</f>
        <v>0</v>
      </c>
      <c r="M69" s="88">
        <f>K69*(1+L69)^30</f>
        <v>5757.6219164365802</v>
      </c>
      <c r="N69" s="91">
        <f t="shared" si="12"/>
        <v>6.5192208627705582E-3</v>
      </c>
      <c r="P69" s="51" t="s">
        <v>347</v>
      </c>
      <c r="U69" s="165" t="s">
        <v>649</v>
      </c>
    </row>
    <row r="70" spans="2:21" ht="15.5" thickBot="1">
      <c r="B70" s="29" t="s">
        <v>78</v>
      </c>
      <c r="C70" s="30">
        <f t="shared" ref="C70:I70" si="16">SUM(C63:C69)</f>
        <v>0.27809251438950117</v>
      </c>
      <c r="D70" s="30"/>
      <c r="E70" s="30">
        <f t="shared" si="16"/>
        <v>8.2682944652275797E-2</v>
      </c>
      <c r="F70" s="30">
        <f t="shared" si="16"/>
        <v>7.9038095162965089E-2</v>
      </c>
      <c r="G70" s="266">
        <f t="shared" si="16"/>
        <v>3.897926767527362E-2</v>
      </c>
      <c r="H70" s="266">
        <f t="shared" si="16"/>
        <v>1.0973487033545297E-2</v>
      </c>
      <c r="I70" s="30">
        <f t="shared" si="16"/>
        <v>0.35185934425396731</v>
      </c>
      <c r="J70" s="558">
        <f>SUM(C70:I70)</f>
        <v>0.84162565316752835</v>
      </c>
      <c r="K70" s="36">
        <f>SUM(K63:K69)</f>
        <v>883176.3852819812</v>
      </c>
      <c r="L70" s="39">
        <f>L2</f>
        <v>0</v>
      </c>
      <c r="M70" s="89">
        <f>K70*(1+L70)^30</f>
        <v>883176.3852819812</v>
      </c>
      <c r="N70" s="92">
        <f>SUM(N63:N69)</f>
        <v>0.99999999999999989</v>
      </c>
    </row>
    <row r="71" spans="2:21" ht="15.5" thickTop="1"/>
    <row r="72" spans="2:21">
      <c r="B72" s="28" t="s">
        <v>54</v>
      </c>
      <c r="C72" s="28" t="s">
        <v>141</v>
      </c>
      <c r="D72" s="28" t="s">
        <v>35</v>
      </c>
      <c r="E72" s="28" t="s">
        <v>34</v>
      </c>
      <c r="F72" s="28" t="s">
        <v>27</v>
      </c>
      <c r="G72" s="1" t="s">
        <v>78</v>
      </c>
      <c r="H72" s="1"/>
      <c r="I72" s="1"/>
      <c r="J72" s="1"/>
      <c r="K72" s="151"/>
      <c r="L72" s="151"/>
      <c r="M72" s="151"/>
      <c r="N72" s="1"/>
      <c r="P72" s="151"/>
      <c r="U72" s="1"/>
    </row>
    <row r="73" spans="2:21">
      <c r="B73" t="s">
        <v>692</v>
      </c>
      <c r="C73" s="2">
        <f>(C63+D63+C67+D67)/(SUM($C$63:$I$63,C67:I67))</f>
        <v>0.61089320682386439</v>
      </c>
      <c r="D73" s="2">
        <f>(G63+H63+G67+H67)/(SUM($C$63:$I$63,C67:I67))</f>
        <v>0.11343987380338616</v>
      </c>
      <c r="E73" s="2">
        <f>(F63+F67)/(SUM($C63:$I63,C67:I67))</f>
        <v>2.9489942216965083E-2</v>
      </c>
      <c r="F73" s="2">
        <f>1-C73-D73-E73</f>
        <v>0.24617697715578438</v>
      </c>
      <c r="G73" s="158">
        <f>SUM(C73:F73)</f>
        <v>1</v>
      </c>
      <c r="H73" s="275"/>
      <c r="I73" s="278">
        <f>D73*(K63+K67)</f>
        <v>40903.659004241883</v>
      </c>
      <c r="J73" s="8"/>
      <c r="K73" s="152"/>
      <c r="L73" s="273"/>
      <c r="M73" s="152"/>
      <c r="N73" s="8"/>
      <c r="P73" s="51"/>
    </row>
    <row r="74" spans="2:21">
      <c r="B74" t="s">
        <v>19</v>
      </c>
      <c r="C74" s="2">
        <f>(C64+D64)/(SUM($C$64:$I$64))</f>
        <v>0.1751918987739142</v>
      </c>
      <c r="D74" s="2">
        <f>(G64+H64)/(SUM($C$64:$I$64))</f>
        <v>1.4258155041348924E-2</v>
      </c>
      <c r="E74" s="2">
        <f t="shared" ref="E74:E75" si="17">(F64)/(SUM($C64:$I64))</f>
        <v>0.28438998060445969</v>
      </c>
      <c r="F74" s="2">
        <f t="shared" ref="F74:F77" si="18">1-C74-D74-E74</f>
        <v>0.52615996558027711</v>
      </c>
      <c r="G74" s="158">
        <f t="shared" ref="G74:G77" si="19">SUM(C74:F74)</f>
        <v>0.99999999999999989</v>
      </c>
      <c r="H74" s="265"/>
      <c r="I74" s="278">
        <f>D74*(K64)</f>
        <v>2878.8109582182901</v>
      </c>
      <c r="J74" s="8"/>
      <c r="K74" s="152"/>
      <c r="L74" s="273"/>
      <c r="M74" s="152"/>
      <c r="N74" s="8"/>
      <c r="P74" s="51"/>
      <c r="U74" s="165"/>
    </row>
    <row r="75" spans="2:21">
      <c r="B75" t="s">
        <v>21</v>
      </c>
      <c r="C75" s="2">
        <f>(C65+D65)/(SUM($C$65:$I$65))</f>
        <v>7.756658814619484E-2</v>
      </c>
      <c r="D75" s="2">
        <f>(G65+H65)/(SUM($C$65:$I$65))</f>
        <v>0</v>
      </c>
      <c r="E75" s="2">
        <f t="shared" si="17"/>
        <v>2.279929215690869E-2</v>
      </c>
      <c r="F75" s="2">
        <f t="shared" si="18"/>
        <v>0.89963411969689644</v>
      </c>
      <c r="G75" s="158">
        <f t="shared" si="19"/>
        <v>1</v>
      </c>
      <c r="H75" s="265"/>
      <c r="I75" s="278">
        <f>D75*K65</f>
        <v>0</v>
      </c>
      <c r="J75" s="8"/>
      <c r="K75" s="152"/>
      <c r="L75" s="273"/>
      <c r="M75" s="152"/>
      <c r="N75" s="8"/>
      <c r="P75" s="51"/>
    </row>
    <row r="76" spans="2:21">
      <c r="B76" t="s">
        <v>27</v>
      </c>
      <c r="C76" s="2">
        <f>(C68+D68+C66+D66)/(SUM($C$68:$I$68,C66:I66))</f>
        <v>0.13056553328595033</v>
      </c>
      <c r="D76" s="2">
        <f>(G68+H68+G66+H66)/(SUM($C$68:$I$68,C66:I66))</f>
        <v>1.2987574023708502E-2</v>
      </c>
      <c r="E76" s="2">
        <f>(F68+F66)/(SUM($C68:$I68,C66:I66))</f>
        <v>5.7566056664727736E-2</v>
      </c>
      <c r="F76" s="2">
        <f t="shared" si="18"/>
        <v>0.79888083602561344</v>
      </c>
      <c r="G76" s="158">
        <f t="shared" si="19"/>
        <v>1</v>
      </c>
      <c r="H76" s="265"/>
      <c r="I76" s="278">
        <f>D76*(K66+K68)</f>
        <v>2878.8109582182906</v>
      </c>
      <c r="J76" s="8"/>
      <c r="K76" s="152"/>
      <c r="L76" s="153"/>
      <c r="M76" s="152"/>
      <c r="N76" s="8"/>
      <c r="P76" s="51"/>
      <c r="U76" s="165"/>
    </row>
    <row r="77" spans="2:21">
      <c r="B77" t="s">
        <v>365</v>
      </c>
      <c r="C77" s="2">
        <f>(C69+D69)/(SUM($C$69:$I$69))</f>
        <v>0</v>
      </c>
      <c r="D77" s="2">
        <f>(G69+H69)/(SUM($C$69:$I$69))</f>
        <v>1</v>
      </c>
      <c r="E77" s="2">
        <f>(F69)/(SUM($C69:$I69))</f>
        <v>0</v>
      </c>
      <c r="F77" s="2">
        <f t="shared" si="18"/>
        <v>0</v>
      </c>
      <c r="G77" s="158">
        <f t="shared" si="19"/>
        <v>1</v>
      </c>
      <c r="H77" s="265"/>
      <c r="I77" s="278">
        <f>K69</f>
        <v>5757.6219164365802</v>
      </c>
      <c r="J77" s="8"/>
      <c r="K77" s="152"/>
      <c r="L77" s="273"/>
      <c r="M77" s="152"/>
      <c r="N77" s="8"/>
      <c r="P77" s="51"/>
      <c r="U77" s="165"/>
    </row>
    <row r="78" spans="2:21" ht="15.5" thickBot="1">
      <c r="B78" s="29"/>
      <c r="C78" s="30"/>
      <c r="D78" s="30"/>
      <c r="E78" s="30"/>
      <c r="F78" s="30"/>
      <c r="G78" s="256"/>
      <c r="H78" s="276"/>
      <c r="I78" s="256"/>
      <c r="J78" s="274"/>
      <c r="K78" s="154"/>
      <c r="L78" s="155"/>
      <c r="M78" s="154"/>
      <c r="N78" s="8"/>
    </row>
    <row r="79" spans="2:21" ht="15.5" thickTop="1"/>
    <row r="80" spans="2:21">
      <c r="C80" s="2"/>
      <c r="D80" s="2"/>
      <c r="E80" s="2"/>
      <c r="F80" s="2"/>
      <c r="G80" s="2"/>
      <c r="H80" s="2"/>
      <c r="I80" s="2"/>
      <c r="J80" s="51"/>
      <c r="K80" s="170"/>
      <c r="L80" s="170"/>
      <c r="M80" s="170"/>
    </row>
    <row r="81" spans="3:13">
      <c r="K81" s="151"/>
      <c r="L81" s="151"/>
      <c r="M81" s="151"/>
    </row>
    <row r="82" spans="3:13">
      <c r="K82" s="152"/>
      <c r="L82" s="153"/>
      <c r="M82" s="152"/>
    </row>
    <row r="83" spans="3:13">
      <c r="C83" s="241"/>
      <c r="F83" s="2"/>
      <c r="G83" s="2"/>
      <c r="K83" s="152"/>
      <c r="L83" s="153"/>
      <c r="M83" s="152"/>
    </row>
    <row r="84" spans="3:13">
      <c r="C84" s="241"/>
      <c r="F84" s="2"/>
      <c r="G84" s="2"/>
      <c r="I84" s="5"/>
      <c r="K84" s="152"/>
      <c r="L84" s="153"/>
      <c r="M84" s="152"/>
    </row>
    <row r="85" spans="3:13">
      <c r="C85" s="260"/>
      <c r="F85" s="2"/>
      <c r="G85" s="2"/>
      <c r="K85" s="152"/>
      <c r="L85" s="153"/>
      <c r="M85" s="152"/>
    </row>
    <row r="86" spans="3:13">
      <c r="C86" s="241"/>
      <c r="F86" s="2"/>
      <c r="G86" s="2"/>
      <c r="K86" s="152"/>
      <c r="L86" s="153"/>
      <c r="M86" s="152"/>
    </row>
    <row r="87" spans="3:13">
      <c r="C87" s="241"/>
      <c r="F87" s="2"/>
      <c r="G87" s="2"/>
      <c r="K87" s="152"/>
      <c r="L87" s="153"/>
      <c r="M87" s="152"/>
    </row>
    <row r="88" spans="3:13">
      <c r="K88" s="152"/>
      <c r="L88" s="153"/>
      <c r="M88" s="152"/>
    </row>
    <row r="89" spans="3:13">
      <c r="K89" s="154"/>
      <c r="L89" s="155"/>
      <c r="M89" s="154"/>
    </row>
    <row r="90" spans="3:13">
      <c r="C90" s="230"/>
    </row>
    <row r="94" spans="3:13">
      <c r="C94" s="230"/>
      <c r="L94" s="38"/>
    </row>
  </sheetData>
  <phoneticPr fontId="20" type="noConversion"/>
  <hyperlinks>
    <hyperlink ref="L29" r:id="rId1" xr:uid="{8F405E86-291B-4261-9EE2-F4F54386E59B}"/>
  </hyperlinks>
  <pageMargins left="0.7" right="0.7" top="0.75" bottom="0.75" header="0.3" footer="0.3"/>
  <pageSetup paperSize="9"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70A7B-1512-43DA-907B-B420A4FC34E8}">
  <sheetPr>
    <tabColor theme="7"/>
  </sheetPr>
  <dimension ref="A1:AI73"/>
  <sheetViews>
    <sheetView zoomScale="60" zoomScaleNormal="60" workbookViewId="0">
      <selection activeCell="M12" sqref="M12"/>
    </sheetView>
  </sheetViews>
  <sheetFormatPr defaultRowHeight="14.75"/>
  <cols>
    <col min="2" max="2" width="18" customWidth="1"/>
    <col min="3" max="3" width="10.26953125" customWidth="1"/>
    <col min="4" max="4" width="12.453125" bestFit="1" customWidth="1"/>
    <col min="5" max="5" width="10.54296875" customWidth="1"/>
    <col min="6" max="9" width="12.453125" bestFit="1" customWidth="1"/>
    <col min="10" max="10" width="21.08984375" customWidth="1"/>
    <col min="11" max="11" width="12.1328125" customWidth="1"/>
    <col min="12" max="12" width="15.08984375" customWidth="1"/>
    <col min="13" max="13" width="16.81640625" customWidth="1"/>
    <col min="22" max="22" width="17.08984375" customWidth="1"/>
  </cols>
  <sheetData>
    <row r="1" spans="2:35">
      <c r="C1" s="1"/>
      <c r="D1" s="1">
        <v>2019</v>
      </c>
      <c r="E1" s="1">
        <v>2020</v>
      </c>
      <c r="F1" s="1">
        <v>2025</v>
      </c>
      <c r="G1" s="1">
        <v>2030</v>
      </c>
      <c r="H1" s="1">
        <v>2035</v>
      </c>
      <c r="I1" s="1">
        <v>2040</v>
      </c>
      <c r="J1" s="1">
        <v>2045</v>
      </c>
      <c r="K1" s="1">
        <v>2050</v>
      </c>
      <c r="L1" s="1" t="s">
        <v>67</v>
      </c>
      <c r="M1" s="1"/>
    </row>
    <row r="2" spans="2:35">
      <c r="B2" t="s">
        <v>139</v>
      </c>
      <c r="C2" s="94"/>
      <c r="D2" s="122">
        <f>'Yearly Demand - Eth-Prop'!B4</f>
        <v>1127444.3500000006</v>
      </c>
      <c r="E2" s="122">
        <f>'Yearly Demand - Eth-Prop'!C4</f>
        <v>1127444.3500000006</v>
      </c>
      <c r="F2" s="122">
        <f>'Yearly Demand - Eth-Prop'!D4</f>
        <v>1127444.3500000006</v>
      </c>
      <c r="G2" s="122">
        <f>'Yearly Demand - Eth-Prop'!E4</f>
        <v>1127444.3500000006</v>
      </c>
      <c r="H2" s="122">
        <f>'Yearly Demand - Eth-Prop'!F4</f>
        <v>1127444.3500000006</v>
      </c>
      <c r="I2" s="122">
        <f>'Yearly Demand - Eth-Prop'!G4</f>
        <v>1127444.3500000006</v>
      </c>
      <c r="J2" s="122">
        <f>'Yearly Demand - Eth-Prop'!H4</f>
        <v>1127444.3500000006</v>
      </c>
      <c r="K2" s="122">
        <f>'Yearly Demand - Eth-Prop'!I4</f>
        <v>1127444.3500000006</v>
      </c>
      <c r="L2" s="38">
        <f>(K2/E2)^(1/30)-1</f>
        <v>0</v>
      </c>
      <c r="M2" s="51"/>
      <c r="S2" s="5"/>
    </row>
    <row r="3" spans="2:35">
      <c r="B3" t="s">
        <v>67</v>
      </c>
      <c r="D3" s="22">
        <f>(E2/D2)-1</f>
        <v>0</v>
      </c>
      <c r="E3" s="22">
        <f>(F2/D2)^(1/6)-1</f>
        <v>0</v>
      </c>
      <c r="F3" s="22">
        <f>(F2/E2)^(1/5)-1</f>
        <v>0</v>
      </c>
      <c r="G3" s="22">
        <f t="shared" ref="G3:K3" si="0">(G2/F2)^(1/5)-1</f>
        <v>0</v>
      </c>
      <c r="H3" s="22">
        <f t="shared" si="0"/>
        <v>0</v>
      </c>
      <c r="I3" s="22">
        <f t="shared" si="0"/>
        <v>0</v>
      </c>
      <c r="J3" s="22">
        <f t="shared" si="0"/>
        <v>0</v>
      </c>
      <c r="K3" s="22">
        <f t="shared" si="0"/>
        <v>0</v>
      </c>
    </row>
    <row r="5" spans="2:35">
      <c r="B5" s="1" t="s">
        <v>348</v>
      </c>
      <c r="C5" s="1"/>
      <c r="D5" s="1" t="s">
        <v>551</v>
      </c>
      <c r="E5" s="1"/>
      <c r="F5" s="51"/>
      <c r="G5" s="1"/>
      <c r="H5" s="1"/>
      <c r="I5" s="1"/>
      <c r="J5" s="1"/>
      <c r="K5" s="1"/>
    </row>
    <row r="6" spans="2:35">
      <c r="B6" t="s">
        <v>10</v>
      </c>
      <c r="C6" s="602">
        <v>0.59914486498899266</v>
      </c>
      <c r="D6" s="101">
        <f>C6*$D$13</f>
        <v>675502.49286335288</v>
      </c>
    </row>
    <row r="7" spans="2:35">
      <c r="B7" t="s">
        <v>85</v>
      </c>
      <c r="C7" s="602">
        <v>6.073562651681929E-2</v>
      </c>
      <c r="D7" s="101">
        <f t="shared" ref="D7:D12" si="1">C7*$D$13</f>
        <v>68476.038960098129</v>
      </c>
    </row>
    <row r="8" spans="2:35">
      <c r="B8" t="s">
        <v>87</v>
      </c>
      <c r="C8" s="602">
        <v>7.2882751820183139E-2</v>
      </c>
      <c r="D8" s="101">
        <f t="shared" si="1"/>
        <v>82171.246752117731</v>
      </c>
    </row>
    <row r="9" spans="2:35">
      <c r="B9" t="s">
        <v>354</v>
      </c>
      <c r="C9" s="602">
        <v>4.8588501213455433E-2</v>
      </c>
      <c r="D9" s="101">
        <f t="shared" si="1"/>
        <v>54780.831168078497</v>
      </c>
    </row>
    <row r="10" spans="2:35">
      <c r="B10" t="s">
        <v>360</v>
      </c>
      <c r="C10" s="602">
        <v>8.5029877123547024E-2</v>
      </c>
      <c r="D10" s="101">
        <f t="shared" si="1"/>
        <v>95866.454544137392</v>
      </c>
    </row>
    <row r="11" spans="2:35">
      <c r="B11" t="s">
        <v>94</v>
      </c>
      <c r="C11" s="602">
        <v>3.644137591009157E-2</v>
      </c>
      <c r="D11" s="101">
        <f t="shared" si="1"/>
        <v>41085.623376058866</v>
      </c>
    </row>
    <row r="12" spans="2:35">
      <c r="B12" t="s">
        <v>24</v>
      </c>
      <c r="C12" s="602">
        <v>9.7177002426910866E-2</v>
      </c>
      <c r="D12" s="101">
        <f t="shared" si="1"/>
        <v>109561.66233615699</v>
      </c>
    </row>
    <row r="13" spans="2:35">
      <c r="C13" s="6">
        <f>SUM(C6:C12)</f>
        <v>1</v>
      </c>
      <c r="D13" s="101">
        <f>D2</f>
        <v>1127444.3500000006</v>
      </c>
    </row>
    <row r="15" spans="2:35">
      <c r="B15" s="1" t="s">
        <v>349</v>
      </c>
      <c r="D15" s="1" t="s">
        <v>551</v>
      </c>
      <c r="E15" s="1" t="s">
        <v>553</v>
      </c>
      <c r="G15" s="1" t="s">
        <v>355</v>
      </c>
      <c r="I15" s="1" t="s">
        <v>551</v>
      </c>
      <c r="J15" s="1" t="s">
        <v>553</v>
      </c>
      <c r="L15" s="1" t="s">
        <v>87</v>
      </c>
      <c r="N15" s="1" t="s">
        <v>551</v>
      </c>
      <c r="O15" s="1" t="s">
        <v>553</v>
      </c>
      <c r="Q15" s="1" t="s">
        <v>356</v>
      </c>
      <c r="S15" s="1" t="s">
        <v>551</v>
      </c>
      <c r="T15" s="1" t="s">
        <v>553</v>
      </c>
      <c r="V15" s="1" t="s">
        <v>360</v>
      </c>
      <c r="X15" s="1" t="s">
        <v>551</v>
      </c>
      <c r="Y15" s="1" t="s">
        <v>553</v>
      </c>
      <c r="AA15" s="1" t="s">
        <v>94</v>
      </c>
      <c r="AC15" s="1" t="s">
        <v>551</v>
      </c>
      <c r="AD15" s="1" t="s">
        <v>553</v>
      </c>
      <c r="AF15" s="1" t="s">
        <v>24</v>
      </c>
      <c r="AH15" s="1" t="s">
        <v>551</v>
      </c>
      <c r="AI15" s="1" t="s">
        <v>553</v>
      </c>
    </row>
    <row r="16" spans="2:35">
      <c r="B16" t="s">
        <v>363</v>
      </c>
      <c r="C16" s="588">
        <v>0.9226961111849169</v>
      </c>
      <c r="D16" s="122">
        <f>C16*D18</f>
        <v>623283.52326073276</v>
      </c>
      <c r="E16" s="2">
        <f>D16/$E$2</f>
        <v>0.55282863696175555</v>
      </c>
      <c r="G16" t="s">
        <v>100</v>
      </c>
      <c r="H16" s="52">
        <v>0.5</v>
      </c>
      <c r="I16" s="246">
        <f>H16*$D$7</f>
        <v>34238.019480049064</v>
      </c>
      <c r="J16" s="2">
        <f>I16/$E$2</f>
        <v>3.0367813258409648E-2</v>
      </c>
      <c r="L16" t="s">
        <v>106</v>
      </c>
      <c r="M16" s="52">
        <v>0.3</v>
      </c>
      <c r="N16" s="246">
        <f>M16*$D$8</f>
        <v>24651.374025635319</v>
      </c>
      <c r="O16" s="2">
        <f>N16/$E$2</f>
        <v>2.1864825546054942E-2</v>
      </c>
      <c r="Q16" t="s">
        <v>357</v>
      </c>
      <c r="R16" s="52">
        <v>0.98</v>
      </c>
      <c r="S16" s="246">
        <f>R16*$D$9</f>
        <v>53685.214544716924</v>
      </c>
      <c r="T16" s="2">
        <f>S16/$E$2</f>
        <v>4.7616731189186322E-2</v>
      </c>
      <c r="V16" t="s">
        <v>695</v>
      </c>
      <c r="W16" s="52">
        <v>0.68</v>
      </c>
      <c r="X16" s="246">
        <f>W16*$D$10</f>
        <v>65189.189090013431</v>
      </c>
      <c r="Y16" s="2">
        <f>X16/$E$2</f>
        <v>5.7820316444011984E-2</v>
      </c>
      <c r="AA16" t="s">
        <v>24</v>
      </c>
      <c r="AB16" s="52">
        <v>1</v>
      </c>
      <c r="AC16" s="246">
        <f>D11*AB16</f>
        <v>41085.623376058866</v>
      </c>
      <c r="AD16" s="2">
        <f>AC16/$E$2</f>
        <v>3.644137591009157E-2</v>
      </c>
      <c r="AF16" t="s">
        <v>24</v>
      </c>
      <c r="AG16" s="52">
        <v>1</v>
      </c>
      <c r="AH16" s="246">
        <f>AG16*D12</f>
        <v>109561.66233615699</v>
      </c>
      <c r="AI16" s="2">
        <f>AH16/$E$2</f>
        <v>9.7177002426910866E-2</v>
      </c>
    </row>
    <row r="17" spans="1:35">
      <c r="B17" t="s">
        <v>364</v>
      </c>
      <c r="C17" s="588">
        <v>7.7303888815083058E-2</v>
      </c>
      <c r="D17" s="122">
        <f>C17*D18</f>
        <v>52218.969602620069</v>
      </c>
      <c r="E17" s="2">
        <f>D17/$E$2</f>
        <v>4.631622802723704E-2</v>
      </c>
      <c r="G17" t="s">
        <v>102</v>
      </c>
      <c r="H17" s="52">
        <v>0.35</v>
      </c>
      <c r="I17" s="246">
        <f t="shared" ref="I17:I19" si="2">H17*$D$7</f>
        <v>23966.613636034344</v>
      </c>
      <c r="J17" s="2">
        <f>I17/$E$2</f>
        <v>2.1257469280886752E-2</v>
      </c>
      <c r="L17" t="s">
        <v>108</v>
      </c>
      <c r="M17" s="52">
        <v>0.35</v>
      </c>
      <c r="N17" s="246">
        <f t="shared" ref="N17:N19" si="3">M17*$D$8</f>
        <v>28759.936363241202</v>
      </c>
      <c r="O17" s="2">
        <f>N17/$E$2</f>
        <v>2.5508963137064095E-2</v>
      </c>
      <c r="Q17" t="s">
        <v>27</v>
      </c>
      <c r="R17" s="52">
        <v>0.02</v>
      </c>
      <c r="S17" s="246">
        <f>R17*$D$9</f>
        <v>1095.61662336157</v>
      </c>
      <c r="T17" s="2">
        <f>S17/$E$2</f>
        <v>9.717700242691087E-4</v>
      </c>
      <c r="V17" t="s">
        <v>361</v>
      </c>
      <c r="W17" s="52">
        <v>0.22</v>
      </c>
      <c r="X17" s="246">
        <f t="shared" ref="X17:X19" si="4">W17*$D$10</f>
        <v>21090.619999710227</v>
      </c>
      <c r="Y17" s="2">
        <f>X17/$E$2</f>
        <v>1.8706572967180347E-2</v>
      </c>
      <c r="AB17" s="6">
        <f>SUM(AB16)</f>
        <v>1</v>
      </c>
      <c r="AC17" s="246"/>
      <c r="AD17" s="2"/>
      <c r="AG17" s="6">
        <f>SUM(AG16)</f>
        <v>1</v>
      </c>
      <c r="AH17" s="246"/>
      <c r="AI17" s="2"/>
    </row>
    <row r="18" spans="1:35">
      <c r="C18" s="6">
        <f>SUM(C16:C17)</f>
        <v>1</v>
      </c>
      <c r="D18" s="101">
        <f>D6</f>
        <v>675502.49286335288</v>
      </c>
      <c r="G18" t="s">
        <v>103</v>
      </c>
      <c r="H18" s="52">
        <v>0.1</v>
      </c>
      <c r="I18" s="246">
        <f t="shared" si="2"/>
        <v>6847.6038960098131</v>
      </c>
      <c r="J18" s="2">
        <f t="shared" ref="J18:J19" si="5">I18/$E$2</f>
        <v>6.07356265168193E-3</v>
      </c>
      <c r="L18" t="s">
        <v>110</v>
      </c>
      <c r="M18" s="52">
        <v>0.15</v>
      </c>
      <c r="N18" s="246">
        <f t="shared" si="3"/>
        <v>12325.68701281766</v>
      </c>
      <c r="O18" s="2">
        <f t="shared" ref="O18:O19" si="6">N18/$E$2</f>
        <v>1.0932412773027471E-2</v>
      </c>
      <c r="R18" s="6">
        <f>SUM(R16:R17)</f>
        <v>1</v>
      </c>
      <c r="S18" s="246">
        <f>SUM(S16:S17)</f>
        <v>54780.831168078497</v>
      </c>
      <c r="T18" s="2"/>
      <c r="V18" t="s">
        <v>362</v>
      </c>
      <c r="W18" s="52">
        <v>0.04</v>
      </c>
      <c r="X18" s="246">
        <f t="shared" si="4"/>
        <v>3834.6581817654956</v>
      </c>
      <c r="Y18" s="2">
        <f t="shared" ref="Y18:Y19" si="7">X18/$E$2</f>
        <v>3.4011950849418809E-3</v>
      </c>
      <c r="AC18" s="246"/>
      <c r="AD18" s="2"/>
      <c r="AH18" s="246"/>
      <c r="AI18" s="2"/>
    </row>
    <row r="19" spans="1:35">
      <c r="C19" s="6"/>
      <c r="G19" t="s">
        <v>24</v>
      </c>
      <c r="H19" s="52">
        <v>0.05</v>
      </c>
      <c r="I19" s="246">
        <f t="shared" si="2"/>
        <v>3423.8019480049065</v>
      </c>
      <c r="J19" s="2">
        <f t="shared" si="5"/>
        <v>3.036781325840965E-3</v>
      </c>
      <c r="L19" t="s">
        <v>24</v>
      </c>
      <c r="M19" s="52">
        <v>0.2</v>
      </c>
      <c r="N19" s="246">
        <f t="shared" si="3"/>
        <v>16434.249350423546</v>
      </c>
      <c r="O19" s="2">
        <f t="shared" si="6"/>
        <v>1.4576550364036626E-2</v>
      </c>
      <c r="S19" s="246"/>
      <c r="T19" s="2"/>
      <c r="V19" t="s">
        <v>24</v>
      </c>
      <c r="W19" s="52">
        <v>0.06</v>
      </c>
      <c r="X19" s="246">
        <f t="shared" si="4"/>
        <v>5751.9872726482436</v>
      </c>
      <c r="Y19" s="2">
        <f t="shared" si="7"/>
        <v>5.1017926274128213E-3</v>
      </c>
      <c r="AC19" s="246"/>
      <c r="AD19" s="2"/>
      <c r="AH19" s="246"/>
      <c r="AI19" s="2"/>
    </row>
    <row r="20" spans="1:35">
      <c r="C20" s="6"/>
      <c r="H20" s="6">
        <f>SUM(H16:H19)</f>
        <v>1</v>
      </c>
      <c r="I20" s="246">
        <f>SUM(I16:I19)</f>
        <v>68476.038960098129</v>
      </c>
      <c r="M20" s="6">
        <f>SUM(M16:M19)</f>
        <v>1</v>
      </c>
      <c r="N20" s="246">
        <f>SUM(N16:N19)</f>
        <v>82171.246752117731</v>
      </c>
      <c r="W20" s="6">
        <f>SUM(W16:W19)</f>
        <v>1</v>
      </c>
      <c r="X20" s="246">
        <f>SUM(X16:X19)</f>
        <v>95866.454544137392</v>
      </c>
      <c r="AC20" s="246"/>
      <c r="AH20" s="246"/>
    </row>
    <row r="22" spans="1:35" s="51" customFormat="1">
      <c r="A22" s="1" t="s">
        <v>60</v>
      </c>
      <c r="B22" s="147"/>
      <c r="G22" s="147" t="s">
        <v>101</v>
      </c>
      <c r="L22" s="147" t="s">
        <v>105</v>
      </c>
      <c r="Q22" s="147" t="s">
        <v>358</v>
      </c>
      <c r="R22" s="147"/>
      <c r="V22" s="5" t="s">
        <v>359</v>
      </c>
    </row>
    <row r="24" spans="1:35">
      <c r="B24" s="1" t="s">
        <v>350</v>
      </c>
      <c r="C24" s="1"/>
      <c r="E24" s="1" t="s">
        <v>351</v>
      </c>
      <c r="H24" s="1"/>
    </row>
    <row r="25" spans="1:35">
      <c r="B25" t="s">
        <v>363</v>
      </c>
      <c r="C25" s="2">
        <f>C16*C6</f>
        <v>0.55282863696175555</v>
      </c>
      <c r="E25" s="149">
        <v>1</v>
      </c>
      <c r="F25" s="51" t="s">
        <v>352</v>
      </c>
    </row>
    <row r="26" spans="1:35">
      <c r="B26" t="s">
        <v>364</v>
      </c>
      <c r="C26" s="2">
        <f>C17*C6</f>
        <v>4.631622802723704E-2</v>
      </c>
      <c r="E26" s="149">
        <v>1</v>
      </c>
      <c r="F26" s="51" t="s">
        <v>352</v>
      </c>
      <c r="K26" s="51" t="s">
        <v>366</v>
      </c>
    </row>
    <row r="27" spans="1:35">
      <c r="B27" t="s">
        <v>1132</v>
      </c>
      <c r="C27" s="2">
        <f>O16+O17+Y16+Y17</f>
        <v>0.12390067809431135</v>
      </c>
      <c r="E27" s="149"/>
      <c r="F27" s="51"/>
      <c r="K27" s="51"/>
    </row>
    <row r="28" spans="1:35">
      <c r="B28" t="s">
        <v>24</v>
      </c>
      <c r="C28" s="2">
        <f>1-SUM(C25:C27)</f>
        <v>0.27695445691669607</v>
      </c>
      <c r="E28" s="149">
        <v>0.1</v>
      </c>
      <c r="F28" s="51" t="s">
        <v>342</v>
      </c>
    </row>
    <row r="29" spans="1:35">
      <c r="C29" s="6">
        <f>SUM(C25:C28)</f>
        <v>1</v>
      </c>
      <c r="E29" s="149"/>
      <c r="F29" s="51"/>
    </row>
    <row r="30" spans="1:35">
      <c r="B30" s="1"/>
    </row>
    <row r="31" spans="1:35">
      <c r="B31" s="59" t="s">
        <v>340</v>
      </c>
      <c r="C31" s="59" t="s">
        <v>140</v>
      </c>
      <c r="D31" s="59" t="s">
        <v>27</v>
      </c>
      <c r="E31" s="1"/>
      <c r="F31" s="1"/>
      <c r="G31" s="1"/>
      <c r="H31" s="1"/>
    </row>
    <row r="32" spans="1:35">
      <c r="B32" t="s">
        <v>17</v>
      </c>
      <c r="C32" s="148">
        <f>'Production - Industry shares'!D18</f>
        <v>8.2000000000000003E-2</v>
      </c>
      <c r="D32" s="148">
        <f>SUM('Production - Industry shares'!H18:I18)</f>
        <v>3.0000000000000001E-3</v>
      </c>
      <c r="E32" s="156"/>
      <c r="F32" s="156"/>
      <c r="G32" s="156"/>
      <c r="H32" s="157"/>
    </row>
    <row r="33" spans="2:11">
      <c r="B33" t="s">
        <v>19</v>
      </c>
      <c r="C33" s="148">
        <f>'Production - Industry shares'!D19</f>
        <v>1.2E-2</v>
      </c>
      <c r="D33" s="148">
        <f>SUM('Production - Industry shares'!H19:I19)</f>
        <v>2.9000000000000001E-2</v>
      </c>
      <c r="E33" s="156"/>
      <c r="F33" s="156"/>
      <c r="G33" s="156"/>
      <c r="H33" s="157"/>
    </row>
    <row r="34" spans="2:11">
      <c r="B34" t="s">
        <v>21</v>
      </c>
      <c r="C34" s="148">
        <f>'Production - Industry shares'!D20</f>
        <v>2.5999999999999999E-2</v>
      </c>
      <c r="D34" s="148">
        <f>SUM('Production - Industry shares'!H20:I20)</f>
        <v>0.03</v>
      </c>
      <c r="E34" s="156"/>
      <c r="F34" s="156"/>
      <c r="G34" s="156"/>
      <c r="H34" s="157"/>
    </row>
    <row r="35" spans="2:11">
      <c r="B35" t="s">
        <v>41</v>
      </c>
      <c r="C35" s="148">
        <f>'Production - Industry shares'!D21</f>
        <v>8.9999999999999993E-3</v>
      </c>
      <c r="D35" s="148">
        <f>SUM('Production - Industry shares'!H21:I21)</f>
        <v>1.4E-2</v>
      </c>
      <c r="E35" s="156"/>
      <c r="F35" s="156"/>
      <c r="G35" s="156"/>
      <c r="H35" s="711"/>
    </row>
    <row r="36" spans="2:11">
      <c r="B36" t="s">
        <v>26</v>
      </c>
      <c r="C36" s="148">
        <f>'Production - Industry shares'!D22</f>
        <v>3.7999999999999999E-2</v>
      </c>
      <c r="D36" s="148">
        <f>SUM('Production - Industry shares'!H22:I22)</f>
        <v>1.2E-2</v>
      </c>
      <c r="E36" s="156"/>
      <c r="F36" s="156"/>
      <c r="G36" s="156"/>
      <c r="H36" s="711"/>
    </row>
    <row r="37" spans="2:11">
      <c r="B37" t="s">
        <v>27</v>
      </c>
      <c r="C37" s="148">
        <f>'Production - Industry shares'!D23</f>
        <v>4.4000000000000004E-2</v>
      </c>
      <c r="D37" s="148">
        <f>SUM('Production - Industry shares'!H23:I23)</f>
        <v>4.3999999999999997E-2</v>
      </c>
      <c r="E37" s="156"/>
      <c r="F37" s="156"/>
      <c r="G37" s="156"/>
      <c r="H37" s="711"/>
    </row>
    <row r="38" spans="2:11">
      <c r="B38" t="s">
        <v>43</v>
      </c>
      <c r="C38" s="148">
        <f>'Production - Industry shares'!D24</f>
        <v>0.21100000000000002</v>
      </c>
      <c r="D38" s="148">
        <f>SUM('Production - Industry shares'!H24:I24)</f>
        <v>0.13200000000000001</v>
      </c>
      <c r="E38" s="156"/>
      <c r="F38" s="712"/>
      <c r="G38" s="709"/>
      <c r="H38" s="711"/>
    </row>
    <row r="39" spans="2:11">
      <c r="F39" s="709"/>
      <c r="G39" s="709"/>
      <c r="H39" s="709"/>
    </row>
    <row r="40" spans="2:11">
      <c r="B40" s="28" t="s">
        <v>48</v>
      </c>
      <c r="C40" s="59" t="s">
        <v>140</v>
      </c>
      <c r="D40" s="59" t="s">
        <v>27</v>
      </c>
      <c r="E40" s="1"/>
      <c r="F40" s="710"/>
      <c r="G40" s="710"/>
      <c r="H40" s="710"/>
    </row>
    <row r="41" spans="2:11">
      <c r="B41" t="s">
        <v>17</v>
      </c>
      <c r="C41" s="2">
        <f>C32/C$38</f>
        <v>0.38862559241706157</v>
      </c>
      <c r="D41" s="2">
        <f t="shared" ref="C41:D46" si="8">D32/D$38</f>
        <v>2.2727272727272728E-2</v>
      </c>
      <c r="E41" s="158"/>
      <c r="F41" s="472"/>
      <c r="G41" s="472"/>
      <c r="H41" s="472"/>
    </row>
    <row r="42" spans="2:11">
      <c r="B42" t="s">
        <v>19</v>
      </c>
      <c r="C42" s="2">
        <f t="shared" si="8"/>
        <v>5.6872037914691941E-2</v>
      </c>
      <c r="D42" s="2">
        <f t="shared" si="8"/>
        <v>0.2196969696969697</v>
      </c>
      <c r="E42" s="158"/>
      <c r="F42" s="472"/>
      <c r="G42" s="472"/>
      <c r="H42" s="472"/>
    </row>
    <row r="43" spans="2:11">
      <c r="B43" t="s">
        <v>21</v>
      </c>
      <c r="C43" s="2">
        <f t="shared" si="8"/>
        <v>0.12322274881516586</v>
      </c>
      <c r="D43" s="2">
        <f t="shared" si="8"/>
        <v>0.22727272727272727</v>
      </c>
      <c r="E43" s="158"/>
      <c r="F43" s="158"/>
      <c r="G43" s="158"/>
      <c r="H43" s="158"/>
    </row>
    <row r="44" spans="2:11">
      <c r="B44" t="s">
        <v>23</v>
      </c>
      <c r="C44" s="2">
        <f t="shared" si="8"/>
        <v>4.2654028436018947E-2</v>
      </c>
      <c r="D44" s="2">
        <f t="shared" si="8"/>
        <v>0.10606060606060606</v>
      </c>
      <c r="E44" s="158"/>
      <c r="F44" s="158"/>
      <c r="G44" s="158"/>
      <c r="H44" s="158"/>
    </row>
    <row r="45" spans="2:11">
      <c r="B45" t="s">
        <v>26</v>
      </c>
      <c r="C45" s="2">
        <f t="shared" si="8"/>
        <v>0.18009478672985779</v>
      </c>
      <c r="D45" s="2">
        <f t="shared" si="8"/>
        <v>9.0909090909090912E-2</v>
      </c>
      <c r="E45" s="158"/>
      <c r="F45" s="158"/>
      <c r="G45" s="158"/>
      <c r="H45" s="158"/>
    </row>
    <row r="46" spans="2:11">
      <c r="B46" t="s">
        <v>27</v>
      </c>
      <c r="C46" s="2">
        <f t="shared" si="8"/>
        <v>0.20853080568720378</v>
      </c>
      <c r="D46" s="2">
        <f t="shared" si="8"/>
        <v>0.33333333333333331</v>
      </c>
      <c r="E46" s="158"/>
      <c r="F46" s="158"/>
      <c r="G46" s="158"/>
      <c r="H46" s="158"/>
    </row>
    <row r="47" spans="2:11">
      <c r="B47" t="s">
        <v>78</v>
      </c>
      <c r="C47" s="2">
        <f>SUM(C41:C46)</f>
        <v>0.99999999999999978</v>
      </c>
      <c r="D47" s="2">
        <f>SUM(D41:D46)</f>
        <v>1</v>
      </c>
      <c r="E47" s="158"/>
      <c r="F47" s="158"/>
      <c r="G47" s="158"/>
      <c r="H47" s="158"/>
      <c r="K47" s="6"/>
    </row>
    <row r="48" spans="2:11" ht="15.5" thickBot="1"/>
    <row r="49" spans="2:16">
      <c r="B49" s="28" t="s">
        <v>353</v>
      </c>
      <c r="C49" s="59" t="s">
        <v>140</v>
      </c>
      <c r="D49" s="59" t="s">
        <v>27</v>
      </c>
      <c r="E49" s="28"/>
      <c r="F49" s="28"/>
      <c r="G49" s="28"/>
      <c r="H49" s="28"/>
      <c r="I49" s="28"/>
      <c r="J49" s="31" t="s">
        <v>78</v>
      </c>
      <c r="K49" s="34" t="s">
        <v>79</v>
      </c>
      <c r="L49" s="34" t="s">
        <v>67</v>
      </c>
      <c r="M49" s="87" t="s">
        <v>80</v>
      </c>
      <c r="N49" s="90" t="s">
        <v>78</v>
      </c>
      <c r="P49" s="151" t="s">
        <v>343</v>
      </c>
    </row>
    <row r="50" spans="2:16">
      <c r="B50" t="s">
        <v>17</v>
      </c>
      <c r="C50" s="2">
        <f>C41*($C$25+$C$26)</f>
        <v>0.23284302809998761</v>
      </c>
      <c r="D50" s="2">
        <f>D41*SUM($C$27:$C$28)</f>
        <v>9.1103439775228976E-3</v>
      </c>
      <c r="E50" s="2"/>
      <c r="F50" s="2"/>
      <c r="G50" s="2"/>
      <c r="H50" s="2"/>
      <c r="I50" s="2"/>
      <c r="J50" s="32">
        <f>SUM(C50:D50)</f>
        <v>0.2419533720775105</v>
      </c>
      <c r="K50" s="592">
        <f>J50*$E$2</f>
        <v>272788.96231223713</v>
      </c>
      <c r="L50" s="543">
        <f>$L$2</f>
        <v>0</v>
      </c>
      <c r="M50" s="594">
        <f>K50*(1+L50)^30</f>
        <v>272788.96231223713</v>
      </c>
      <c r="N50" s="91">
        <f t="shared" ref="N50:N56" si="9">M50/M$57</f>
        <v>0.24195337207751053</v>
      </c>
      <c r="P50" s="51" t="s">
        <v>344</v>
      </c>
    </row>
    <row r="51" spans="2:16">
      <c r="B51" t="s">
        <v>19</v>
      </c>
      <c r="C51" s="2">
        <f t="shared" ref="C51:C54" si="10">C42*($C$25+$C$26)</f>
        <v>3.4074589478046965E-2</v>
      </c>
      <c r="D51" s="2">
        <f t="shared" ref="D51:D55" si="11">D42*SUM($C$27:$C$28)</f>
        <v>8.8066658449388005E-2</v>
      </c>
      <c r="E51" s="2"/>
      <c r="F51" s="2"/>
      <c r="G51" s="2"/>
      <c r="H51" s="2"/>
      <c r="I51" s="2"/>
      <c r="J51" s="32">
        <f t="shared" ref="J51:J56" si="12">SUM(C51:D51)</f>
        <v>0.12214124792743497</v>
      </c>
      <c r="K51" s="592">
        <f t="shared" ref="K51:K56" si="13">J51*$E$2</f>
        <v>137707.45987773585</v>
      </c>
      <c r="L51" s="543">
        <f t="shared" ref="L51:L52" si="14">$L$2</f>
        <v>0</v>
      </c>
      <c r="M51" s="594">
        <f>K51*(1+L51)^30</f>
        <v>137707.45987773585</v>
      </c>
      <c r="N51" s="91">
        <f t="shared" si="9"/>
        <v>0.12214124792743498</v>
      </c>
      <c r="P51" s="51" t="s">
        <v>345</v>
      </c>
    </row>
    <row r="52" spans="2:16">
      <c r="B52" t="s">
        <v>21</v>
      </c>
      <c r="C52" s="2">
        <f t="shared" si="10"/>
        <v>7.3828277202435094E-2</v>
      </c>
      <c r="D52" s="2">
        <f t="shared" si="11"/>
        <v>9.1103439775228959E-2</v>
      </c>
      <c r="E52" s="2"/>
      <c r="F52" s="2"/>
      <c r="G52" s="2"/>
      <c r="H52" s="2"/>
      <c r="I52" s="2"/>
      <c r="J52" s="32">
        <f t="shared" si="12"/>
        <v>0.16493171697766407</v>
      </c>
      <c r="K52" s="592">
        <f t="shared" si="13"/>
        <v>185951.33244226652</v>
      </c>
      <c r="L52" s="543">
        <f t="shared" si="14"/>
        <v>0</v>
      </c>
      <c r="M52" s="594">
        <f>K52*(1+L52)^30</f>
        <v>185951.33244226652</v>
      </c>
      <c r="N52" s="91">
        <f t="shared" si="9"/>
        <v>0.16493171697766407</v>
      </c>
      <c r="P52" s="51" t="s">
        <v>345</v>
      </c>
    </row>
    <row r="53" spans="2:16">
      <c r="B53" t="s">
        <v>23</v>
      </c>
      <c r="C53" s="2">
        <f t="shared" si="10"/>
        <v>2.5555942108535221E-2</v>
      </c>
      <c r="D53" s="2">
        <f t="shared" si="11"/>
        <v>4.2514938561773519E-2</v>
      </c>
      <c r="E53" s="2"/>
      <c r="F53" s="2"/>
      <c r="G53" s="2"/>
      <c r="H53" s="2"/>
      <c r="I53" s="2"/>
      <c r="J53" s="32">
        <f t="shared" si="12"/>
        <v>6.8070880670308739E-2</v>
      </c>
      <c r="K53" s="592">
        <f t="shared" si="13"/>
        <v>76746.129811263832</v>
      </c>
      <c r="L53" s="543">
        <f>(M53/K53)^(1/30)-1</f>
        <v>0</v>
      </c>
      <c r="M53" s="594">
        <f>($M$57-$M$50-$M$51-$M$52-$M$56-$M$54)*(J53/SUM($J$53:$J$53,J55))</f>
        <v>76746.129811263861</v>
      </c>
      <c r="N53" s="91">
        <f t="shared" si="9"/>
        <v>6.8070880670308753E-2</v>
      </c>
      <c r="P53" s="51" t="s">
        <v>346</v>
      </c>
    </row>
    <row r="54" spans="2:16">
      <c r="B54" t="s">
        <v>26</v>
      </c>
      <c r="C54" s="2">
        <f t="shared" si="10"/>
        <v>0.10790286668048206</v>
      </c>
      <c r="D54" s="2">
        <f t="shared" si="11"/>
        <v>3.644137591009159E-2</v>
      </c>
      <c r="E54" s="2"/>
      <c r="F54" s="2"/>
      <c r="G54" s="2"/>
      <c r="H54" s="2"/>
      <c r="I54" s="2"/>
      <c r="J54" s="32">
        <f t="shared" si="12"/>
        <v>0.14434424259057366</v>
      </c>
      <c r="K54" s="592">
        <f t="shared" si="13"/>
        <v>162740.10076377171</v>
      </c>
      <c r="L54" s="543">
        <f>L50</f>
        <v>0</v>
      </c>
      <c r="M54" s="594">
        <f>K54*(1+L54)^30</f>
        <v>162740.10076377171</v>
      </c>
      <c r="N54" s="91">
        <f t="shared" si="9"/>
        <v>0.14434424259057366</v>
      </c>
      <c r="P54" s="51" t="s">
        <v>344</v>
      </c>
    </row>
    <row r="55" spans="2:16">
      <c r="B55" t="s">
        <v>27</v>
      </c>
      <c r="C55" s="2">
        <f>C46*($C$25+$C$26)</f>
        <v>0.12494016141950555</v>
      </c>
      <c r="D55" s="2">
        <f t="shared" si="11"/>
        <v>0.13361837833700246</v>
      </c>
      <c r="E55" s="2"/>
      <c r="F55" s="2"/>
      <c r="G55" s="2"/>
      <c r="H55" s="2"/>
      <c r="I55" s="2"/>
      <c r="J55" s="32">
        <f t="shared" si="12"/>
        <v>0.258558539756508</v>
      </c>
      <c r="K55" s="592">
        <f t="shared" si="13"/>
        <v>291510.36479272548</v>
      </c>
      <c r="L55" s="543">
        <f t="shared" ref="L55" si="15">(M55/K55)^(1/30)-1</f>
        <v>0</v>
      </c>
      <c r="M55" s="594">
        <f>($M$57-$M$50-$M$51-$M$52-$M$56-$M$54)*(J55/SUM($J$53:$J$53,J55))</f>
        <v>291510.36479272554</v>
      </c>
      <c r="N55" s="91">
        <f t="shared" si="9"/>
        <v>0.25855853975650805</v>
      </c>
      <c r="P55" s="51" t="s">
        <v>346</v>
      </c>
    </row>
    <row r="56" spans="2:16">
      <c r="B56" t="s">
        <v>365</v>
      </c>
      <c r="C56" s="2">
        <v>0</v>
      </c>
      <c r="D56" s="2">
        <v>0</v>
      </c>
      <c r="E56" s="6"/>
      <c r="F56" s="6"/>
      <c r="G56" s="6"/>
      <c r="H56" s="6"/>
      <c r="I56" s="2"/>
      <c r="J56" s="32">
        <f t="shared" si="12"/>
        <v>0</v>
      </c>
      <c r="K56" s="592">
        <f t="shared" si="13"/>
        <v>0</v>
      </c>
      <c r="L56" s="543">
        <f t="shared" ref="L56" si="16">$L$2</f>
        <v>0</v>
      </c>
      <c r="M56" s="594">
        <f>K56*(1+L56)^30</f>
        <v>0</v>
      </c>
      <c r="N56" s="91">
        <f t="shared" si="9"/>
        <v>0</v>
      </c>
      <c r="P56" s="51" t="s">
        <v>347</v>
      </c>
    </row>
    <row r="57" spans="2:16" ht="15.5" thickBot="1">
      <c r="B57" s="29" t="s">
        <v>78</v>
      </c>
      <c r="C57" s="30">
        <f>SUM(C50:C56)</f>
        <v>0.59914486498899255</v>
      </c>
      <c r="D57" s="30">
        <f>SUM(D50:D56)</f>
        <v>0.40085513501100745</v>
      </c>
      <c r="E57" s="30"/>
      <c r="F57" s="30"/>
      <c r="G57" s="30"/>
      <c r="H57" s="30"/>
      <c r="I57" s="30"/>
      <c r="J57" s="33">
        <f>SUM(C57:I57)</f>
        <v>1</v>
      </c>
      <c r="K57" s="593">
        <f>SUM(K50:K56)</f>
        <v>1127444.3500000006</v>
      </c>
      <c r="L57" s="39">
        <f>L2</f>
        <v>0</v>
      </c>
      <c r="M57" s="595">
        <f>K57*(1+L57)^30</f>
        <v>1127444.3500000006</v>
      </c>
      <c r="N57" s="92">
        <f>SUM(N50:N56)</f>
        <v>1</v>
      </c>
    </row>
    <row r="58" spans="2:16" ht="15.5" thickTop="1">
      <c r="M58" s="101"/>
    </row>
    <row r="59" spans="2:16">
      <c r="J59" s="51" t="s">
        <v>232</v>
      </c>
      <c r="K59" s="170">
        <f>'R&amp;S - Buildings'!I4+'R&amp;S - Transportation'!C4+'R&amp;S - Packaging and hh goods'!I4+'R&amp;S - Apparel'!D4+'R&amp;S - Others'!E4</f>
        <v>1127444.3500000006</v>
      </c>
      <c r="L59" s="170"/>
      <c r="M59" s="170">
        <f>'R&amp;S - Buildings'!I6+'R&amp;S - Transportation'!C7+'R&amp;S - Packaging and hh goods'!I6+'R&amp;S - Apparel'!D6+'R&amp;S - Others'!E6</f>
        <v>1249831.6077380464</v>
      </c>
    </row>
    <row r="60" spans="2:16">
      <c r="K60" s="151"/>
      <c r="L60" s="151"/>
      <c r="M60" s="151"/>
    </row>
    <row r="61" spans="2:16">
      <c r="K61" s="152"/>
      <c r="L61" s="153"/>
      <c r="M61" s="152"/>
    </row>
    <row r="62" spans="2:16">
      <c r="K62" s="152"/>
      <c r="L62" s="153"/>
      <c r="M62" s="152"/>
    </row>
    <row r="63" spans="2:16">
      <c r="K63" s="152"/>
      <c r="L63" s="153"/>
      <c r="M63" s="152"/>
    </row>
    <row r="64" spans="2:16">
      <c r="K64" s="152"/>
      <c r="L64" s="153"/>
      <c r="M64" s="152"/>
    </row>
    <row r="65" spans="11:13">
      <c r="K65" s="152"/>
      <c r="L65" s="153"/>
      <c r="M65" s="152"/>
    </row>
    <row r="66" spans="11:13">
      <c r="K66" s="152"/>
      <c r="L66" s="153"/>
      <c r="M66" s="152"/>
    </row>
    <row r="67" spans="11:13">
      <c r="K67" s="152"/>
      <c r="L67" s="153"/>
      <c r="M67" s="152"/>
    </row>
    <row r="68" spans="11:13">
      <c r="K68" s="154"/>
      <c r="L68" s="155"/>
      <c r="M68" s="154"/>
    </row>
    <row r="73" spans="11:13">
      <c r="L73" s="38"/>
    </row>
  </sheetData>
  <hyperlinks>
    <hyperlink ref="G22" r:id="rId1" xr:uid="{8A0E6C9C-BD8B-4E1D-9382-6242FDAAC5C9}"/>
    <hyperlink ref="L22" r:id="rId2" xr:uid="{AFF80CA9-A23A-43E4-8470-AEE9C0296772}"/>
    <hyperlink ref="Q22" r:id="rId3" xr:uid="{882EA3C3-5C7F-4F3E-B9A4-E920EBFF7A20}"/>
    <hyperlink ref="V22" r:id="rId4" xr:uid="{DBC48CA8-D7CA-4C16-8BC5-864DB31995A2}"/>
  </hyperlinks>
  <pageMargins left="0.7" right="0.7" top="0.75" bottom="0.75" header="0.3" footer="0.3"/>
  <pageSetup paperSize="9" orientation="portrait" r:id="rId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990FA-51AE-48D3-A3D7-51AC38CDE649}">
  <sheetPr>
    <tabColor theme="7"/>
  </sheetPr>
  <dimension ref="A1:Y79"/>
  <sheetViews>
    <sheetView topLeftCell="C1" zoomScale="70" zoomScaleNormal="70" workbookViewId="0">
      <selection activeCell="E15" sqref="E15"/>
    </sheetView>
  </sheetViews>
  <sheetFormatPr defaultRowHeight="14.75"/>
  <cols>
    <col min="1" max="1" width="31.36328125" customWidth="1"/>
    <col min="2" max="2" width="21.26953125" bestFit="1" customWidth="1"/>
    <col min="3" max="3" width="23.54296875" bestFit="1" customWidth="1"/>
    <col min="4" max="5" width="21.08984375" bestFit="1" customWidth="1"/>
    <col min="6" max="7" width="14.54296875" customWidth="1"/>
    <col min="11" max="11" width="31.36328125" customWidth="1"/>
    <col min="12" max="12" width="20.08984375" customWidth="1"/>
    <col min="13" max="13" width="15.08984375" customWidth="1"/>
    <col min="15" max="15" width="13.08984375" customWidth="1"/>
    <col min="16" max="18" width="22.36328125" customWidth="1"/>
  </cols>
  <sheetData>
    <row r="1" spans="1:14">
      <c r="B1" t="s">
        <v>1130</v>
      </c>
      <c r="C1" t="s">
        <v>40</v>
      </c>
    </row>
    <row r="2" spans="1:14">
      <c r="B2" s="41"/>
      <c r="C2" s="2"/>
      <c r="K2" t="str" cm="1">
        <f t="array" ref="K2:N6">'Sankey Methanol_detailed'!P21:S25</f>
        <v>Corrected</v>
      </c>
      <c r="L2" t="str">
        <v>Fuel</v>
      </c>
      <c r="M2">
        <v>28.587862624213781</v>
      </c>
      <c r="N2" s="6">
        <v>0.27471012342412782</v>
      </c>
    </row>
    <row r="3" spans="1:14">
      <c r="A3" t="s">
        <v>29</v>
      </c>
      <c r="B3" s="41">
        <f>'Sankey Methanol_detailed'!H33</f>
        <v>4.1946453033429387</v>
      </c>
      <c r="C3" s="2">
        <f>B3/$B$13</f>
        <v>4.1058666557715798E-2</v>
      </c>
      <c r="K3">
        <v>0</v>
      </c>
      <c r="L3" t="str">
        <v>Major Polymers</v>
      </c>
      <c r="M3" s="41">
        <v>28.851572700948026</v>
      </c>
      <c r="N3" s="6">
        <v>0.27724419981452192</v>
      </c>
    </row>
    <row r="4" spans="1:14">
      <c r="A4" t="s">
        <v>9</v>
      </c>
      <c r="B4" s="41">
        <f>'Sankey Methanol_detailed'!H32</f>
        <v>3.4186359222244951</v>
      </c>
      <c r="C4" s="2">
        <f t="shared" ref="C4:C8" si="0">B4/$B$13</f>
        <v>3.3462813244538377E-2</v>
      </c>
      <c r="K4">
        <v>0</v>
      </c>
      <c r="L4" t="str">
        <v>Minor Polymers</v>
      </c>
      <c r="M4">
        <v>22.580763290736638</v>
      </c>
      <c r="N4" s="6">
        <v>0.21698594092708512</v>
      </c>
    </row>
    <row r="5" spans="1:14">
      <c r="A5" t="s">
        <v>140</v>
      </c>
      <c r="B5" s="41">
        <f>'Sankey Methanol_detailed'!H45</f>
        <v>12.543192838844705</v>
      </c>
      <c r="C5" s="2">
        <f t="shared" si="0"/>
        <v>0.12277719213322204</v>
      </c>
      <c r="K5">
        <v>0</v>
      </c>
      <c r="L5" t="str">
        <v>Other</v>
      </c>
      <c r="M5" s="41">
        <v>24.045360628442481</v>
      </c>
      <c r="N5" s="6">
        <v>0.23105973583426512</v>
      </c>
    </row>
    <row r="6" spans="1:14">
      <c r="A6" t="s">
        <v>34</v>
      </c>
      <c r="B6" s="41">
        <f>'Sankey Methanol_detailed'!H41</f>
        <v>1.4377868806317511</v>
      </c>
      <c r="C6" s="2">
        <f t="shared" si="0"/>
        <v>1.4073564710196195E-2</v>
      </c>
      <c r="K6">
        <v>0</v>
      </c>
      <c r="L6" t="str">
        <v>Total</v>
      </c>
      <c r="M6">
        <v>104.06555924434093</v>
      </c>
      <c r="N6" s="6">
        <v>0</v>
      </c>
    </row>
    <row r="7" spans="1:14">
      <c r="A7" t="s">
        <v>35</v>
      </c>
      <c r="B7" s="41">
        <f>'Sankey Methanol_detailed'!H96</f>
        <v>0.92975435151539232</v>
      </c>
      <c r="C7" s="2">
        <f t="shared" si="0"/>
        <v>9.1007632681200691E-3</v>
      </c>
    </row>
    <row r="8" spans="1:14">
      <c r="A8" t="s">
        <v>77</v>
      </c>
      <c r="B8" s="40">
        <f>'Sankey Methanol_detailed'!H95</f>
        <v>1.6735578327277063</v>
      </c>
      <c r="C8" s="22">
        <f t="shared" si="0"/>
        <v>1.6381373882616124E-2</v>
      </c>
      <c r="L8" t="s">
        <v>911</v>
      </c>
      <c r="M8" s="41">
        <f>SUMIF('Sankey Methanol_detailed'!D:D,'Demand - Methanol'!L8,'Sankey Methanol_detailed'!H:H)</f>
        <v>28.587862624213781</v>
      </c>
    </row>
    <row r="9" spans="1:14">
      <c r="A9" t="s">
        <v>74</v>
      </c>
      <c r="B9" s="41">
        <f>'Sankey Methanol_detailed'!H43</f>
        <v>0.34843866435310095</v>
      </c>
      <c r="C9" s="2">
        <f>B9/$B$13</f>
        <v>3.4106404477366094E-3</v>
      </c>
      <c r="L9" t="s">
        <v>908</v>
      </c>
      <c r="M9" s="41">
        <f>SUMIF('Sankey Methanol_detailed'!D:D,'Demand - Methanol'!L9,'Sankey Methanol_detailed'!H:H)</f>
        <v>31.201972235932104</v>
      </c>
    </row>
    <row r="10" spans="1:14">
      <c r="A10" t="s">
        <v>1131</v>
      </c>
      <c r="B10" s="41">
        <f>SUM('Sankey Methanol_detailed'!H39,'Sankey Methanol_detailed'!H62,'Sankey Methanol_detailed'!H83)</f>
        <v>2.0734404578882701</v>
      </c>
      <c r="C10" s="2">
        <f>B10/$B$13</f>
        <v>2.0295565949250874E-2</v>
      </c>
      <c r="L10" t="s">
        <v>1001</v>
      </c>
      <c r="M10" s="41">
        <f>SUMIF('Sankey Methanol_detailed'!D:D,'Demand - Methanol'!L10,'Sankey Methanol_detailed'!H:H)</f>
        <v>22.580763290736638</v>
      </c>
    </row>
    <row r="11" spans="1:14">
      <c r="A11" t="s">
        <v>1132</v>
      </c>
      <c r="B11" s="41">
        <f>M4</f>
        <v>22.580763290736638</v>
      </c>
      <c r="C11" s="2">
        <f>B11/$B$13</f>
        <v>0.22102846928062794</v>
      </c>
      <c r="L11" t="s">
        <v>24</v>
      </c>
      <c r="M11" s="41">
        <f>M6-SUM(M8:M10)</f>
        <v>21.694961093458403</v>
      </c>
    </row>
    <row r="12" spans="1:14">
      <c r="A12" t="s">
        <v>1133</v>
      </c>
      <c r="B12" s="41">
        <f>SUM(B3:B11)</f>
        <v>49.200215542264999</v>
      </c>
      <c r="L12" t="s">
        <v>78</v>
      </c>
      <c r="M12" s="41">
        <f>SUM(M8:M11)</f>
        <v>104.06555924434093</v>
      </c>
    </row>
    <row r="13" spans="1:14">
      <c r="A13" t="s">
        <v>1134</v>
      </c>
      <c r="B13" s="484">
        <f>'Yearly Demand - Methanol'!G10</f>
        <v>102.16223893794903</v>
      </c>
    </row>
    <row r="14" spans="1:14">
      <c r="A14" t="s">
        <v>636</v>
      </c>
      <c r="B14" s="484">
        <f>B12+M5+M2</f>
        <v>101.83343879492126</v>
      </c>
    </row>
    <row r="16" spans="1:14">
      <c r="A16" s="1" t="s">
        <v>332</v>
      </c>
      <c r="B16" t="s">
        <v>293</v>
      </c>
      <c r="C16" t="s">
        <v>9</v>
      </c>
      <c r="D16" t="s">
        <v>140</v>
      </c>
      <c r="E16" t="s">
        <v>74</v>
      </c>
      <c r="F16" t="s">
        <v>34</v>
      </c>
      <c r="G16" t="s">
        <v>35</v>
      </c>
      <c r="H16" t="s">
        <v>160</v>
      </c>
      <c r="I16" t="s">
        <v>24</v>
      </c>
      <c r="J16" t="s">
        <v>78</v>
      </c>
    </row>
    <row r="17" spans="1:15">
      <c r="A17" t="s">
        <v>17</v>
      </c>
      <c r="B17" s="38">
        <v>0.13500000000000001</v>
      </c>
      <c r="C17" s="38">
        <v>9.2999999999999999E-2</v>
      </c>
      <c r="D17" s="38">
        <v>8.2000000000000003E-2</v>
      </c>
      <c r="E17" s="38">
        <v>2.3E-2</v>
      </c>
      <c r="F17" s="38">
        <v>8.9999999999999993E-3</v>
      </c>
      <c r="G17" s="38">
        <v>0.10100000000000001</v>
      </c>
      <c r="H17" s="38">
        <v>2E-3</v>
      </c>
      <c r="I17" s="38">
        <v>1E-3</v>
      </c>
      <c r="J17" s="38">
        <f>SUM(B17:I17)</f>
        <v>0.44600000000000006</v>
      </c>
    </row>
    <row r="18" spans="1:15">
      <c r="A18" t="s">
        <v>19</v>
      </c>
      <c r="B18" s="38">
        <v>1.0999999999999999E-2</v>
      </c>
      <c r="C18" s="38">
        <v>3.3000000000000002E-2</v>
      </c>
      <c r="D18" s="38">
        <v>1.2E-2</v>
      </c>
      <c r="E18" s="38">
        <v>2.1999999999999999E-2</v>
      </c>
      <c r="F18" s="38">
        <v>8.1000000000000003E-2</v>
      </c>
      <c r="G18" s="38">
        <v>0</v>
      </c>
      <c r="H18" s="38">
        <v>2.4E-2</v>
      </c>
      <c r="I18" s="38">
        <v>5.0000000000000001E-3</v>
      </c>
      <c r="J18" s="38">
        <f t="shared" ref="J18:J22" si="1">SUM(B18:I18)</f>
        <v>0.18799999999999997</v>
      </c>
    </row>
    <row r="19" spans="1:15">
      <c r="A19" t="s">
        <v>333</v>
      </c>
      <c r="B19" s="38">
        <v>1E-3</v>
      </c>
      <c r="C19" s="38">
        <v>8.0000000000000002E-3</v>
      </c>
      <c r="D19" s="38">
        <v>2.5999999999999999E-2</v>
      </c>
      <c r="E19" s="38">
        <v>0</v>
      </c>
      <c r="F19" s="38">
        <v>3.0000000000000001E-3</v>
      </c>
      <c r="G19" s="38">
        <v>0</v>
      </c>
      <c r="H19" s="38">
        <v>1.6E-2</v>
      </c>
      <c r="I19" s="38">
        <v>1.4E-2</v>
      </c>
      <c r="J19" s="38">
        <f t="shared" si="1"/>
        <v>6.8000000000000005E-2</v>
      </c>
    </row>
    <row r="20" spans="1:15">
      <c r="A20" t="s">
        <v>23</v>
      </c>
      <c r="B20" s="38">
        <v>5.0000000000000001E-3</v>
      </c>
      <c r="C20" s="38">
        <v>2E-3</v>
      </c>
      <c r="D20" s="38">
        <v>8.9999999999999993E-3</v>
      </c>
      <c r="E20" s="38">
        <v>6.0000000000000001E-3</v>
      </c>
      <c r="F20" s="38">
        <v>4.0000000000000001E-3</v>
      </c>
      <c r="G20" s="38">
        <v>0</v>
      </c>
      <c r="H20" s="38">
        <v>4.0000000000000001E-3</v>
      </c>
      <c r="I20" s="38">
        <v>0.01</v>
      </c>
      <c r="J20" s="38">
        <f t="shared" si="1"/>
        <v>0.04</v>
      </c>
    </row>
    <row r="21" spans="1:15">
      <c r="A21" t="s">
        <v>339</v>
      </c>
      <c r="B21" s="38">
        <v>2.9000000000000001E-2</v>
      </c>
      <c r="C21" s="38">
        <v>1.7000000000000001E-2</v>
      </c>
      <c r="D21" s="38">
        <v>3.7999999999999999E-2</v>
      </c>
      <c r="E21" s="38">
        <v>1.7999999999999999E-2</v>
      </c>
      <c r="F21" s="38">
        <v>6.0000000000000001E-3</v>
      </c>
      <c r="G21" s="38">
        <v>0</v>
      </c>
      <c r="H21" s="38">
        <v>0.01</v>
      </c>
      <c r="I21" s="38">
        <v>2E-3</v>
      </c>
      <c r="J21" s="38">
        <f t="shared" si="1"/>
        <v>0.12</v>
      </c>
    </row>
    <row r="22" spans="1:15">
      <c r="A22" t="s">
        <v>27</v>
      </c>
      <c r="B22" s="38">
        <v>1.9000000000000003E-2</v>
      </c>
      <c r="C22" s="38">
        <v>9.9999999999999985E-3</v>
      </c>
      <c r="D22" s="38">
        <v>4.4000000000000004E-2</v>
      </c>
      <c r="E22" s="38">
        <v>7.0000000000000001E-3</v>
      </c>
      <c r="F22" s="38">
        <v>1.4E-2</v>
      </c>
      <c r="G22" s="38">
        <v>0</v>
      </c>
      <c r="H22" s="38">
        <v>2.8000000000000001E-2</v>
      </c>
      <c r="I22" s="38">
        <v>1.6E-2</v>
      </c>
      <c r="J22" s="38">
        <f t="shared" si="1"/>
        <v>0.13800000000000001</v>
      </c>
    </row>
    <row r="23" spans="1:15">
      <c r="A23" t="s">
        <v>43</v>
      </c>
      <c r="B23" s="38">
        <f>SUM(B17:B22)</f>
        <v>0.2</v>
      </c>
      <c r="C23" s="38">
        <f t="shared" ref="C23:I23" si="2">SUM(C17:C22)</f>
        <v>0.16300000000000003</v>
      </c>
      <c r="D23" s="38">
        <f t="shared" si="2"/>
        <v>0.21100000000000002</v>
      </c>
      <c r="E23" s="38">
        <f t="shared" si="2"/>
        <v>7.5999999999999998E-2</v>
      </c>
      <c r="F23" s="38">
        <f t="shared" si="2"/>
        <v>0.11700000000000001</v>
      </c>
      <c r="G23" s="38">
        <f t="shared" si="2"/>
        <v>0.10100000000000001</v>
      </c>
      <c r="H23" s="38">
        <f t="shared" si="2"/>
        <v>8.4000000000000005E-2</v>
      </c>
      <c r="I23" s="38">
        <f t="shared" si="2"/>
        <v>4.8000000000000001E-2</v>
      </c>
      <c r="J23" s="38">
        <f>SUM(B23:I23)</f>
        <v>1</v>
      </c>
    </row>
    <row r="25" spans="1:15">
      <c r="O25" s="6"/>
    </row>
    <row r="26" spans="1:15">
      <c r="A26" s="1" t="s">
        <v>48</v>
      </c>
      <c r="B26" t="s">
        <v>293</v>
      </c>
      <c r="C26" t="s">
        <v>9</v>
      </c>
      <c r="D26" t="s">
        <v>140</v>
      </c>
      <c r="E26" t="s">
        <v>74</v>
      </c>
      <c r="F26" t="s">
        <v>34</v>
      </c>
      <c r="G26" t="s">
        <v>35</v>
      </c>
      <c r="H26" t="s">
        <v>160</v>
      </c>
      <c r="I26" t="s">
        <v>24</v>
      </c>
      <c r="O26" s="6"/>
    </row>
    <row r="27" spans="1:15">
      <c r="A27" t="s">
        <v>17</v>
      </c>
      <c r="B27" s="6">
        <f>B17/B$23</f>
        <v>0.67500000000000004</v>
      </c>
      <c r="C27" s="6">
        <f t="shared" ref="B27:I33" si="3">C17/C$23</f>
        <v>0.57055214723926373</v>
      </c>
      <c r="D27" s="6">
        <f t="shared" si="3"/>
        <v>0.38862559241706157</v>
      </c>
      <c r="E27" s="6">
        <f t="shared" si="3"/>
        <v>0.30263157894736842</v>
      </c>
      <c r="F27" s="6">
        <f t="shared" si="3"/>
        <v>7.6923076923076913E-2</v>
      </c>
      <c r="G27" s="6">
        <f t="shared" si="3"/>
        <v>1</v>
      </c>
      <c r="H27" s="6">
        <f t="shared" si="3"/>
        <v>2.3809523809523808E-2</v>
      </c>
      <c r="I27" s="6">
        <f t="shared" si="3"/>
        <v>2.0833333333333332E-2</v>
      </c>
      <c r="O27" s="6"/>
    </row>
    <row r="28" spans="1:15">
      <c r="A28" t="s">
        <v>19</v>
      </c>
      <c r="B28" s="6">
        <f t="shared" si="3"/>
        <v>5.4999999999999993E-2</v>
      </c>
      <c r="C28" s="6">
        <f>C18/C$23</f>
        <v>0.20245398773006132</v>
      </c>
      <c r="D28" s="6">
        <f t="shared" si="3"/>
        <v>5.6872037914691941E-2</v>
      </c>
      <c r="E28" s="6">
        <f t="shared" si="3"/>
        <v>0.28947368421052633</v>
      </c>
      <c r="F28" s="6">
        <f t="shared" si="3"/>
        <v>0.69230769230769229</v>
      </c>
      <c r="G28" s="6">
        <f t="shared" si="3"/>
        <v>0</v>
      </c>
      <c r="H28" s="6">
        <f t="shared" si="3"/>
        <v>0.2857142857142857</v>
      </c>
      <c r="I28" s="6">
        <f t="shared" si="3"/>
        <v>0.10416666666666667</v>
      </c>
      <c r="O28" s="6"/>
    </row>
    <row r="29" spans="1:15">
      <c r="A29" t="s">
        <v>21</v>
      </c>
      <c r="B29" s="6">
        <f>B19/B$23</f>
        <v>5.0000000000000001E-3</v>
      </c>
      <c r="C29" s="6">
        <f t="shared" si="3"/>
        <v>4.9079754601226988E-2</v>
      </c>
      <c r="D29" s="6">
        <f t="shared" si="3"/>
        <v>0.12322274881516586</v>
      </c>
      <c r="E29" s="6">
        <f t="shared" si="3"/>
        <v>0</v>
      </c>
      <c r="F29" s="6">
        <f t="shared" si="3"/>
        <v>2.564102564102564E-2</v>
      </c>
      <c r="G29" s="6">
        <f t="shared" si="3"/>
        <v>0</v>
      </c>
      <c r="H29" s="6">
        <f t="shared" si="3"/>
        <v>0.19047619047619047</v>
      </c>
      <c r="I29" s="6">
        <f t="shared" si="3"/>
        <v>0.29166666666666669</v>
      </c>
      <c r="O29" s="6"/>
    </row>
    <row r="30" spans="1:15">
      <c r="A30" t="s">
        <v>23</v>
      </c>
      <c r="B30" s="6">
        <f t="shared" si="3"/>
        <v>2.4999999999999998E-2</v>
      </c>
      <c r="C30" s="6">
        <f t="shared" si="3"/>
        <v>1.2269938650306747E-2</v>
      </c>
      <c r="D30" s="6">
        <f t="shared" si="3"/>
        <v>4.2654028436018947E-2</v>
      </c>
      <c r="E30" s="6">
        <f t="shared" si="3"/>
        <v>7.8947368421052641E-2</v>
      </c>
      <c r="F30" s="6">
        <f t="shared" si="3"/>
        <v>3.4188034188034185E-2</v>
      </c>
      <c r="G30" s="6">
        <f t="shared" si="3"/>
        <v>0</v>
      </c>
      <c r="H30" s="6">
        <f t="shared" si="3"/>
        <v>4.7619047619047616E-2</v>
      </c>
      <c r="I30" s="6">
        <f t="shared" si="3"/>
        <v>0.20833333333333334</v>
      </c>
      <c r="O30" s="6"/>
    </row>
    <row r="31" spans="1:15">
      <c r="A31" t="s">
        <v>26</v>
      </c>
      <c r="B31" s="6">
        <f t="shared" si="3"/>
        <v>0.14499999999999999</v>
      </c>
      <c r="C31" s="6">
        <f t="shared" si="3"/>
        <v>0.10429447852760734</v>
      </c>
      <c r="D31" s="6">
        <f t="shared" si="3"/>
        <v>0.18009478672985779</v>
      </c>
      <c r="E31" s="6">
        <f t="shared" si="3"/>
        <v>0.23684210526315788</v>
      </c>
      <c r="F31" s="6">
        <f t="shared" si="3"/>
        <v>5.128205128205128E-2</v>
      </c>
      <c r="G31" s="6">
        <f t="shared" si="3"/>
        <v>0</v>
      </c>
      <c r="H31" s="6">
        <f t="shared" si="3"/>
        <v>0.11904761904761904</v>
      </c>
      <c r="I31" s="6">
        <f t="shared" si="3"/>
        <v>4.1666666666666664E-2</v>
      </c>
      <c r="O31" s="6"/>
    </row>
    <row r="32" spans="1:15">
      <c r="A32" t="s">
        <v>27</v>
      </c>
      <c r="B32" s="6">
        <f t="shared" si="3"/>
        <v>9.5000000000000015E-2</v>
      </c>
      <c r="C32" s="6">
        <f t="shared" si="3"/>
        <v>6.1349693251533721E-2</v>
      </c>
      <c r="D32" s="6">
        <f t="shared" si="3"/>
        <v>0.20853080568720378</v>
      </c>
      <c r="E32" s="6">
        <f t="shared" si="3"/>
        <v>9.2105263157894746E-2</v>
      </c>
      <c r="F32" s="6">
        <f t="shared" si="3"/>
        <v>0.11965811965811965</v>
      </c>
      <c r="G32" s="6">
        <f t="shared" si="3"/>
        <v>0</v>
      </c>
      <c r="H32" s="6">
        <f t="shared" si="3"/>
        <v>0.33333333333333331</v>
      </c>
      <c r="I32" s="6">
        <f t="shared" si="3"/>
        <v>0.33333333333333331</v>
      </c>
    </row>
    <row r="33" spans="1:25">
      <c r="A33" t="s">
        <v>78</v>
      </c>
      <c r="B33" s="6">
        <f t="shared" si="3"/>
        <v>1</v>
      </c>
      <c r="C33" s="6">
        <f t="shared" si="3"/>
        <v>1</v>
      </c>
      <c r="D33" s="6">
        <f t="shared" si="3"/>
        <v>1</v>
      </c>
      <c r="E33" s="6">
        <f t="shared" si="3"/>
        <v>1</v>
      </c>
      <c r="F33" s="6">
        <f t="shared" si="3"/>
        <v>1</v>
      </c>
      <c r="G33" s="6">
        <f t="shared" si="3"/>
        <v>1</v>
      </c>
      <c r="H33" s="6">
        <f t="shared" si="3"/>
        <v>1</v>
      </c>
      <c r="I33" s="6">
        <f t="shared" si="3"/>
        <v>1</v>
      </c>
    </row>
    <row r="35" spans="1:25" ht="15.5" thickBot="1"/>
    <row r="36" spans="1:25">
      <c r="A36" s="1" t="s">
        <v>1135</v>
      </c>
      <c r="B36" t="s">
        <v>293</v>
      </c>
      <c r="C36" t="s">
        <v>9</v>
      </c>
      <c r="D36" t="s">
        <v>140</v>
      </c>
      <c r="E36" t="s">
        <v>74</v>
      </c>
      <c r="F36" t="s">
        <v>34</v>
      </c>
      <c r="G36" t="s">
        <v>35</v>
      </c>
      <c r="H36" t="s">
        <v>77</v>
      </c>
      <c r="I36" t="s">
        <v>160</v>
      </c>
      <c r="J36" t="s">
        <v>27</v>
      </c>
      <c r="K36" s="1" t="s">
        <v>78</v>
      </c>
      <c r="L36" s="31" t="s">
        <v>1136</v>
      </c>
      <c r="M36" s="34" t="s">
        <v>79</v>
      </c>
      <c r="N36" s="34" t="s">
        <v>67</v>
      </c>
      <c r="O36" s="87" t="s">
        <v>80</v>
      </c>
      <c r="P36" s="90" t="s">
        <v>78</v>
      </c>
      <c r="Q36" s="87"/>
      <c r="R36" s="90"/>
      <c r="T36" s="151" t="s">
        <v>343</v>
      </c>
      <c r="Y36" s="1" t="s">
        <v>380</v>
      </c>
    </row>
    <row r="37" spans="1:25">
      <c r="A37" t="s">
        <v>17</v>
      </c>
      <c r="B37" s="2">
        <f>C$3*B27</f>
        <v>2.7714599926458167E-2</v>
      </c>
      <c r="C37" s="2">
        <f>C$4*C27</f>
        <v>1.9092279949337845E-2</v>
      </c>
      <c r="D37" s="2">
        <f>C$5*D27</f>
        <v>4.7714359028076803E-2</v>
      </c>
      <c r="E37" s="2">
        <f>C$9*E27</f>
        <v>1.0321675039202897E-3</v>
      </c>
      <c r="F37" s="2">
        <f>C$6*F27</f>
        <v>1.0825819007843226E-3</v>
      </c>
      <c r="G37" s="2">
        <f>C$7*G27</f>
        <v>9.1007632681200691E-3</v>
      </c>
      <c r="H37" s="201">
        <v>0</v>
      </c>
      <c r="I37" s="22">
        <f>C$10*H27</f>
        <v>4.8322776069644933E-4</v>
      </c>
      <c r="J37" s="158">
        <f>C$11*I27</f>
        <v>4.6047597766797482E-3</v>
      </c>
      <c r="K37" s="112">
        <f t="shared" ref="K37:K43" si="4">SUM(B37:J37)</f>
        <v>0.1108247391140737</v>
      </c>
      <c r="L37" s="483">
        <f>SUM(B37:J37)</f>
        <v>0.1108247391140737</v>
      </c>
      <c r="M37" s="478">
        <f t="shared" ref="M37:M44" si="5">L37*$B$13</f>
        <v>11.322103477607863</v>
      </c>
      <c r="N37" s="150">
        <v>1.4E-2</v>
      </c>
      <c r="O37" s="486">
        <f>M37*(1+N37)^30</f>
        <v>17.18168567439232</v>
      </c>
      <c r="P37" s="91">
        <f>O37/$O$46</f>
        <v>9.4404866342814947E-2</v>
      </c>
      <c r="Q37" s="486"/>
      <c r="R37" s="91"/>
      <c r="T37" s="51" t="s">
        <v>344</v>
      </c>
    </row>
    <row r="38" spans="1:25">
      <c r="A38" t="s">
        <v>19</v>
      </c>
      <c r="B38" s="2">
        <f t="shared" ref="B38:B41" si="6">C$3*B28</f>
        <v>2.2582266606743684E-3</v>
      </c>
      <c r="C38" s="2">
        <f t="shared" ref="C38:C41" si="7">C$4*C28</f>
        <v>6.7746799820231057E-3</v>
      </c>
      <c r="D38" s="2">
        <f t="shared" ref="D38:D41" si="8">C$5*D28</f>
        <v>6.9825891260600209E-3</v>
      </c>
      <c r="E38" s="2">
        <f t="shared" ref="E38:E41" si="9">C$9*E28</f>
        <v>9.8729065592375546E-4</v>
      </c>
      <c r="F38" s="2">
        <f t="shared" ref="F38:F41" si="10">C$6*F28</f>
        <v>9.7432371070589035E-3</v>
      </c>
      <c r="G38" s="2">
        <f t="shared" ref="G38:G41" si="11">C$7*G28</f>
        <v>0</v>
      </c>
      <c r="H38" s="265">
        <f>$C$8*0.25</f>
        <v>4.0953434706540309E-3</v>
      </c>
      <c r="I38" s="22">
        <f t="shared" ref="I38:I41" si="12">C$10*H28</f>
        <v>5.7987331283573919E-3</v>
      </c>
      <c r="J38" s="158">
        <f t="shared" ref="J38:J41" si="13">C$11*I28</f>
        <v>2.3023798883398745E-2</v>
      </c>
      <c r="K38" s="112">
        <f t="shared" si="4"/>
        <v>5.9663899014150326E-2</v>
      </c>
      <c r="L38" s="483">
        <f t="shared" ref="L38:L43" si="14">SUM(B38:J38)</f>
        <v>5.9663899014150326E-2</v>
      </c>
      <c r="M38" s="478">
        <f t="shared" si="5"/>
        <v>6.0953975070532866</v>
      </c>
      <c r="N38" s="150">
        <v>1.7000000000000001E-2</v>
      </c>
      <c r="O38" s="88">
        <f>M38*(1+N38)^30</f>
        <v>10.107194442916541</v>
      </c>
      <c r="P38" s="91">
        <f t="shared" ref="P38:P45" si="15">O38/$O$46</f>
        <v>5.5534035400640336E-2</v>
      </c>
      <c r="Q38" s="88"/>
      <c r="R38" s="91"/>
      <c r="T38" s="51" t="s">
        <v>345</v>
      </c>
      <c r="Y38" s="165" t="s">
        <v>381</v>
      </c>
    </row>
    <row r="39" spans="1:25">
      <c r="A39" t="s">
        <v>1137</v>
      </c>
      <c r="B39" s="2">
        <f t="shared" si="6"/>
        <v>2.05293332788579E-4</v>
      </c>
      <c r="C39" s="2">
        <f t="shared" si="7"/>
        <v>1.6423466623086318E-3</v>
      </c>
      <c r="D39" s="2">
        <f t="shared" si="8"/>
        <v>1.5128943106463377E-2</v>
      </c>
      <c r="E39" s="2">
        <f t="shared" si="9"/>
        <v>0</v>
      </c>
      <c r="F39" s="2">
        <f t="shared" si="10"/>
        <v>3.6086063359477421E-4</v>
      </c>
      <c r="G39" s="2">
        <f t="shared" si="11"/>
        <v>0</v>
      </c>
      <c r="H39" s="265">
        <f>0</f>
        <v>0</v>
      </c>
      <c r="I39" s="22">
        <f t="shared" si="12"/>
        <v>3.8658220855715946E-3</v>
      </c>
      <c r="J39" s="158">
        <f t="shared" si="13"/>
        <v>6.4466636873516489E-2</v>
      </c>
      <c r="K39" s="112">
        <f t="shared" si="4"/>
        <v>8.5669902694243447E-2</v>
      </c>
      <c r="L39" s="483">
        <f t="shared" si="14"/>
        <v>8.5669902694243447E-2</v>
      </c>
      <c r="M39" s="478">
        <f t="shared" si="5"/>
        <v>8.7522290688401423</v>
      </c>
      <c r="N39" s="150">
        <v>1.7000000000000001E-2</v>
      </c>
      <c r="O39" s="88">
        <f>M39*(1+N39)^30</f>
        <v>14.512668108249164</v>
      </c>
      <c r="P39" s="91">
        <f t="shared" si="15"/>
        <v>7.9739934660709694E-2</v>
      </c>
      <c r="Q39" s="88"/>
      <c r="R39" s="91"/>
      <c r="T39" s="51" t="s">
        <v>345</v>
      </c>
    </row>
    <row r="40" spans="1:25">
      <c r="A40" t="s">
        <v>23</v>
      </c>
      <c r="B40" s="2">
        <f t="shared" si="6"/>
        <v>1.0264666639428948E-3</v>
      </c>
      <c r="C40" s="2">
        <f t="shared" si="7"/>
        <v>4.1058666557715795E-4</v>
      </c>
      <c r="D40" s="2">
        <f t="shared" si="8"/>
        <v>5.2369418445450148E-3</v>
      </c>
      <c r="E40" s="2">
        <f t="shared" si="9"/>
        <v>2.6926108797920603E-4</v>
      </c>
      <c r="F40" s="2">
        <f t="shared" si="10"/>
        <v>4.8114751145969894E-4</v>
      </c>
      <c r="G40" s="2">
        <f t="shared" si="11"/>
        <v>0</v>
      </c>
      <c r="H40" s="265">
        <v>0</v>
      </c>
      <c r="I40" s="22">
        <f t="shared" si="12"/>
        <v>9.6645552139289865E-4</v>
      </c>
      <c r="J40" s="158">
        <f t="shared" si="13"/>
        <v>4.6047597766797489E-2</v>
      </c>
      <c r="K40" s="112">
        <f t="shared" si="4"/>
        <v>5.4438457061694361E-2</v>
      </c>
      <c r="L40" s="483">
        <f t="shared" si="14"/>
        <v>5.4438457061694361E-2</v>
      </c>
      <c r="M40" s="478">
        <f t="shared" si="5"/>
        <v>5.5615546577500981</v>
      </c>
      <c r="N40" s="37">
        <f>(O40/M40)^(1/30)-1</f>
        <v>1.7305491798247807E-2</v>
      </c>
      <c r="O40" s="88">
        <f>($O$46-$O$37-$O$38-$O$39-$O$41-$O$42-$O$44-$O$45)*(L40/SUM(L40,L43))</f>
        <v>9.3054607024316347</v>
      </c>
      <c r="P40" s="91">
        <f t="shared" si="15"/>
        <v>5.1128904958415572E-2</v>
      </c>
      <c r="Q40" s="88"/>
      <c r="R40" s="91"/>
      <c r="T40" s="51" t="s">
        <v>346</v>
      </c>
    </row>
    <row r="41" spans="1:25">
      <c r="A41" t="s">
        <v>26</v>
      </c>
      <c r="B41" s="2">
        <f t="shared" si="6"/>
        <v>5.9535066508687902E-3</v>
      </c>
      <c r="C41" s="2">
        <f t="shared" si="7"/>
        <v>3.4899866574058425E-3</v>
      </c>
      <c r="D41" s="2">
        <f t="shared" si="8"/>
        <v>2.2111532232523396E-2</v>
      </c>
      <c r="E41" s="2">
        <f t="shared" si="9"/>
        <v>8.0778326393761803E-4</v>
      </c>
      <c r="F41" s="2">
        <f t="shared" si="10"/>
        <v>7.2172126718954841E-4</v>
      </c>
      <c r="G41" s="2">
        <f t="shared" si="11"/>
        <v>0</v>
      </c>
      <c r="H41" s="265">
        <v>0</v>
      </c>
      <c r="I41" s="22">
        <f t="shared" si="12"/>
        <v>2.4161388034822468E-3</v>
      </c>
      <c r="J41" s="158">
        <f t="shared" si="13"/>
        <v>9.2095195533594965E-3</v>
      </c>
      <c r="K41" s="112">
        <f t="shared" si="4"/>
        <v>4.4710188428766943E-2</v>
      </c>
      <c r="L41" s="483">
        <f t="shared" si="14"/>
        <v>4.4710188428766943E-2</v>
      </c>
      <c r="M41" s="478">
        <f t="shared" si="5"/>
        <v>4.567692953220412</v>
      </c>
      <c r="N41" s="37">
        <v>1.4E-2</v>
      </c>
      <c r="O41" s="486">
        <f>M41*(1+N41)^30</f>
        <v>6.9316328661528281</v>
      </c>
      <c r="P41" s="91">
        <f t="shared" si="15"/>
        <v>3.8085894868971584E-2</v>
      </c>
      <c r="Q41" s="486"/>
      <c r="R41" s="91"/>
      <c r="T41" s="51" t="s">
        <v>344</v>
      </c>
      <c r="Y41" s="165"/>
    </row>
    <row r="42" spans="1:25">
      <c r="A42" t="s">
        <v>365</v>
      </c>
      <c r="B42" s="53">
        <v>0</v>
      </c>
      <c r="C42" s="53">
        <v>0</v>
      </c>
      <c r="D42" s="53">
        <v>0</v>
      </c>
      <c r="E42" s="53">
        <v>0</v>
      </c>
      <c r="F42" s="53">
        <v>0</v>
      </c>
      <c r="G42" s="53">
        <v>0</v>
      </c>
      <c r="H42" s="265">
        <f>$C$8*0.5</f>
        <v>8.1906869413080619E-3</v>
      </c>
      <c r="I42" s="53">
        <v>0</v>
      </c>
      <c r="J42" s="53">
        <v>0</v>
      </c>
      <c r="K42" s="112">
        <f t="shared" si="4"/>
        <v>8.1906869413080619E-3</v>
      </c>
      <c r="L42" s="483">
        <f t="shared" si="14"/>
        <v>8.1906869413080619E-3</v>
      </c>
      <c r="M42" s="478">
        <f t="shared" si="5"/>
        <v>0.83677891636385304</v>
      </c>
      <c r="N42" s="150">
        <v>2.1000000000000001E-2</v>
      </c>
      <c r="O42" s="88">
        <f>M42*(1+N42)^30</f>
        <v>1.5609284335428819</v>
      </c>
      <c r="P42" s="91">
        <f t="shared" si="15"/>
        <v>8.5765298546312194E-3</v>
      </c>
      <c r="Q42" s="88"/>
      <c r="R42" s="91"/>
      <c r="T42" s="51" t="s">
        <v>346</v>
      </c>
      <c r="Y42" s="165" t="s">
        <v>382</v>
      </c>
    </row>
    <row r="43" spans="1:25">
      <c r="A43" t="s">
        <v>1138</v>
      </c>
      <c r="B43" s="2">
        <f>C$3*B32</f>
        <v>3.9005733229830015E-3</v>
      </c>
      <c r="C43" s="2">
        <f>C$4*C32</f>
        <v>2.0529333278857891E-3</v>
      </c>
      <c r="D43" s="2">
        <f>C$5*D32</f>
        <v>2.560282679555341E-2</v>
      </c>
      <c r="E43" s="2">
        <f>C$9*E32</f>
        <v>3.1413793597574036E-4</v>
      </c>
      <c r="F43" s="2">
        <f>C$6*F32</f>
        <v>1.6840162901089464E-3</v>
      </c>
      <c r="G43" s="2">
        <f>C$7*G32</f>
        <v>0</v>
      </c>
      <c r="H43" s="265">
        <f>$C$8*0.25</f>
        <v>4.0953434706540309E-3</v>
      </c>
      <c r="I43" s="22">
        <f>C$10*H32</f>
        <v>6.765188649750291E-3</v>
      </c>
      <c r="J43" s="158">
        <f>C$11*I32</f>
        <v>7.3676156426875972E-2</v>
      </c>
      <c r="K43" s="112">
        <f t="shared" si="4"/>
        <v>0.11809117621978718</v>
      </c>
      <c r="L43" s="483">
        <f t="shared" si="14"/>
        <v>0.11809117621978718</v>
      </c>
      <c r="M43" s="478">
        <f t="shared" si="5"/>
        <v>12.064458961429342</v>
      </c>
      <c r="N43" s="37">
        <f>(O43/M43)^(1/30)-1</f>
        <v>1.7305491798247807E-2</v>
      </c>
      <c r="O43" s="88">
        <f>($O$46-$O$37-$O$38-$O$39-$O$41-$O$42-$O$44-$O$45)*(L43/SUM(L40,L43))</f>
        <v>20.185965196842343</v>
      </c>
      <c r="P43" s="91">
        <f t="shared" si="15"/>
        <v>0.11091189668594693</v>
      </c>
      <c r="Q43" s="88"/>
      <c r="R43" s="91"/>
      <c r="T43" s="51" t="s">
        <v>347</v>
      </c>
      <c r="Y43" s="165" t="s">
        <v>649</v>
      </c>
    </row>
    <row r="44" spans="1:25">
      <c r="A44" t="s">
        <v>1139</v>
      </c>
      <c r="B44" s="2"/>
      <c r="C44" s="2"/>
      <c r="D44" s="2"/>
      <c r="E44" s="2"/>
      <c r="F44" s="2"/>
      <c r="G44" s="2"/>
      <c r="I44" s="2"/>
      <c r="J44" s="158"/>
      <c r="K44" s="112"/>
      <c r="L44" s="483">
        <f>N2</f>
        <v>0.27471012342412782</v>
      </c>
      <c r="M44" s="478">
        <f t="shared" si="5"/>
        <v>28.065001267929215</v>
      </c>
      <c r="N44" s="471">
        <v>2.3E-2</v>
      </c>
      <c r="O44" s="486">
        <f t="shared" ref="O44:O45" si="16">M44*(1+N44)^30</f>
        <v>55.518033874995439</v>
      </c>
      <c r="P44" s="91">
        <f t="shared" si="15"/>
        <v>0.30504414217030462</v>
      </c>
      <c r="Q44" s="486"/>
      <c r="R44" s="91"/>
    </row>
    <row r="45" spans="1:25">
      <c r="A45" t="s">
        <v>1140</v>
      </c>
      <c r="B45" s="2"/>
      <c r="C45" s="2"/>
      <c r="D45" s="2"/>
      <c r="E45" s="2"/>
      <c r="F45" s="2"/>
      <c r="G45" s="2"/>
      <c r="I45" s="2"/>
      <c r="J45" s="158"/>
      <c r="K45" s="112"/>
      <c r="L45" s="483">
        <f>N5</f>
        <v>0.23105973583426512</v>
      </c>
      <c r="M45" s="478">
        <f>L45*$B$13</f>
        <v>23.605579941239576</v>
      </c>
      <c r="N45" s="471">
        <v>2.3E-2</v>
      </c>
      <c r="O45" s="88">
        <f t="shared" si="16"/>
        <v>46.696430700476853</v>
      </c>
      <c r="P45" s="91">
        <f t="shared" si="15"/>
        <v>0.25657379505756511</v>
      </c>
      <c r="Q45" s="88"/>
      <c r="R45" s="91"/>
    </row>
    <row r="46" spans="1:25" ht="15.5" thickBot="1">
      <c r="A46" s="29" t="s">
        <v>78</v>
      </c>
      <c r="B46" s="266">
        <f t="shared" ref="B46:G46" si="17">SUM(B37:B43)</f>
        <v>4.1058666557715798E-2</v>
      </c>
      <c r="C46" s="266">
        <f t="shared" si="17"/>
        <v>3.346281324453837E-2</v>
      </c>
      <c r="D46" s="266">
        <f t="shared" si="17"/>
        <v>0.12277719213322201</v>
      </c>
      <c r="E46" s="266">
        <f t="shared" si="17"/>
        <v>3.4106404477366099E-3</v>
      </c>
      <c r="F46" s="266">
        <f t="shared" si="17"/>
        <v>1.4073564710196194E-2</v>
      </c>
      <c r="G46" s="266">
        <f t="shared" si="17"/>
        <v>9.1007632681200691E-3</v>
      </c>
      <c r="H46" s="266">
        <f>SUM(H37:H43)</f>
        <v>1.6381373882616124E-2</v>
      </c>
      <c r="I46" s="266">
        <f>SUM(I37:I43)</f>
        <v>2.0295565949250874E-2</v>
      </c>
      <c r="J46" s="266">
        <f>SUM(J37:J43)</f>
        <v>0.22102846928062794</v>
      </c>
      <c r="L46" s="479">
        <f>SUM(L37:L45)</f>
        <v>0.98735890873241694</v>
      </c>
      <c r="M46" s="480">
        <f>SUM(M37:M45)</f>
        <v>100.8707967514338</v>
      </c>
      <c r="N46" s="39">
        <f>(O46/M46)^(1/30)-1</f>
        <v>1.9866980626634057E-2</v>
      </c>
      <c r="O46" s="481">
        <f>'Yearly Demand - Methanol'!N2</f>
        <v>182</v>
      </c>
      <c r="P46" s="482">
        <f>SUM(P37:P45)</f>
        <v>1</v>
      </c>
      <c r="Q46" s="481"/>
      <c r="R46" s="482"/>
    </row>
    <row r="47" spans="1:25" ht="15.5" thickTop="1">
      <c r="N47" s="259" t="s">
        <v>1172</v>
      </c>
    </row>
    <row r="48" spans="1:25">
      <c r="O48" s="41">
        <f>SUM(O37:O45)</f>
        <v>182</v>
      </c>
    </row>
    <row r="49" spans="1:15">
      <c r="B49" s="472"/>
      <c r="C49" s="472"/>
      <c r="D49" s="472"/>
      <c r="E49" s="472"/>
      <c r="F49" s="472"/>
      <c r="G49" s="472"/>
      <c r="H49" s="472"/>
      <c r="I49" s="472"/>
      <c r="J49" s="8"/>
      <c r="K49" s="8"/>
      <c r="L49" s="152"/>
      <c r="M49" s="273"/>
      <c r="N49" s="152"/>
      <c r="O49" s="8"/>
    </row>
    <row r="50" spans="1:15">
      <c r="B50" s="472"/>
      <c r="C50" s="472"/>
      <c r="D50" s="472"/>
      <c r="E50" s="472"/>
      <c r="F50" s="472"/>
      <c r="G50" s="472"/>
      <c r="H50" s="472"/>
      <c r="I50" s="472"/>
      <c r="J50" s="8"/>
      <c r="K50" s="8"/>
      <c r="L50" s="152"/>
      <c r="M50" s="273"/>
      <c r="N50" s="152"/>
      <c r="O50" s="8"/>
    </row>
    <row r="51" spans="1:15">
      <c r="B51" s="472"/>
      <c r="C51" s="472"/>
      <c r="D51" s="472"/>
      <c r="E51" s="472"/>
      <c r="F51" s="472"/>
      <c r="G51" s="472"/>
      <c r="H51" s="472"/>
      <c r="I51" s="472"/>
      <c r="J51" s="8"/>
      <c r="K51" s="8"/>
      <c r="L51" s="152"/>
      <c r="M51" s="273"/>
      <c r="N51" s="152"/>
      <c r="O51" s="8"/>
    </row>
    <row r="52" spans="1:15">
      <c r="B52" s="472"/>
      <c r="C52" s="472"/>
      <c r="D52" s="472"/>
      <c r="E52" s="472"/>
      <c r="F52" s="472"/>
      <c r="G52" s="472"/>
      <c r="H52" s="472"/>
      <c r="I52" s="472"/>
      <c r="J52" s="8"/>
      <c r="K52" s="8"/>
      <c r="L52" s="152"/>
      <c r="M52" s="153"/>
      <c r="N52" s="152"/>
      <c r="O52" s="8"/>
    </row>
    <row r="53" spans="1:15">
      <c r="B53" s="472"/>
      <c r="C53" s="472"/>
      <c r="D53" s="472"/>
      <c r="E53" s="472"/>
      <c r="F53" s="472"/>
      <c r="G53" s="472"/>
      <c r="H53" s="472"/>
      <c r="I53" s="472"/>
      <c r="J53" s="8"/>
      <c r="K53" s="8"/>
      <c r="L53" s="152"/>
      <c r="M53" s="153"/>
      <c r="N53" s="152"/>
      <c r="O53" s="8"/>
    </row>
    <row r="54" spans="1:15">
      <c r="B54" s="472"/>
      <c r="C54" s="472"/>
      <c r="D54" s="472"/>
      <c r="E54" s="472"/>
      <c r="F54" s="472"/>
      <c r="G54" s="472"/>
      <c r="H54" s="472"/>
      <c r="I54" s="472"/>
      <c r="J54" s="8"/>
      <c r="K54" s="8"/>
      <c r="L54" s="152"/>
      <c r="M54" s="153"/>
      <c r="N54" s="152"/>
      <c r="O54" s="8"/>
    </row>
    <row r="55" spans="1:15">
      <c r="B55" s="472"/>
      <c r="C55" s="472"/>
      <c r="D55" s="472"/>
      <c r="E55" s="472"/>
      <c r="F55" s="472"/>
      <c r="G55" s="472"/>
      <c r="H55" s="472"/>
      <c r="I55" s="472"/>
      <c r="J55" s="8"/>
      <c r="K55" s="8"/>
      <c r="L55" s="152"/>
      <c r="M55" s="153"/>
      <c r="N55" s="152"/>
      <c r="O55" s="8"/>
    </row>
    <row r="56" spans="1:15">
      <c r="B56" s="472"/>
      <c r="C56" s="472"/>
      <c r="D56" s="472"/>
      <c r="E56" s="472"/>
      <c r="F56" s="472"/>
      <c r="G56" s="472"/>
      <c r="H56" s="472"/>
      <c r="I56" s="472"/>
      <c r="J56" s="8"/>
      <c r="K56" s="8"/>
      <c r="L56" s="152"/>
      <c r="M56" s="153"/>
      <c r="N56" s="152"/>
      <c r="O56" s="8"/>
    </row>
    <row r="57" spans="1:15">
      <c r="A57" s="1"/>
      <c r="B57" s="473"/>
      <c r="C57" s="473"/>
      <c r="D57" s="473"/>
      <c r="E57" s="473"/>
      <c r="F57" s="473"/>
      <c r="G57" s="473"/>
      <c r="H57" s="473"/>
      <c r="I57" s="473"/>
      <c r="K57" s="8"/>
      <c r="L57" s="154"/>
      <c r="M57" s="155"/>
      <c r="N57" s="154"/>
      <c r="O57" s="8"/>
    </row>
    <row r="62" spans="1:15">
      <c r="A62" s="27"/>
      <c r="B62" s="474" t="s">
        <v>911</v>
      </c>
      <c r="C62" s="474" t="s">
        <v>1141</v>
      </c>
      <c r="D62" s="474" t="s">
        <v>1142</v>
      </c>
      <c r="E62" s="474" t="s">
        <v>1143</v>
      </c>
      <c r="F62" s="474" t="s">
        <v>1144</v>
      </c>
    </row>
    <row r="63" spans="1:15">
      <c r="A63" s="474" t="s">
        <v>1145</v>
      </c>
      <c r="B63" s="130"/>
      <c r="C63" s="475">
        <v>0.53</v>
      </c>
      <c r="D63" s="475">
        <v>0.2</v>
      </c>
      <c r="E63" s="475">
        <v>0.14000000000000001</v>
      </c>
      <c r="F63" s="475">
        <v>0.13</v>
      </c>
    </row>
    <row r="64" spans="1:15">
      <c r="B64" s="359">
        <f>($K$39-$J$39)/$K$39</f>
        <v>0.24749959033339375</v>
      </c>
      <c r="C64" s="6">
        <f>C63*$J$39/$K$39</f>
        <v>0.39882521712330132</v>
      </c>
      <c r="D64" s="6">
        <f t="shared" ref="D64:F64" si="18">D63*$J$39/$K$39</f>
        <v>0.15050008193332126</v>
      </c>
      <c r="E64" s="6">
        <f t="shared" si="18"/>
        <v>0.10535005735332489</v>
      </c>
      <c r="F64" s="6">
        <f t="shared" si="18"/>
        <v>9.7825053256658814E-2</v>
      </c>
      <c r="G64" s="359">
        <f>SUM(B64:F64)</f>
        <v>1</v>
      </c>
    </row>
    <row r="67" spans="1:3">
      <c r="A67" t="s">
        <v>1146</v>
      </c>
    </row>
    <row r="70" spans="1:3">
      <c r="A70" t="s">
        <v>1147</v>
      </c>
    </row>
    <row r="71" spans="1:3">
      <c r="A71" s="695">
        <v>2016</v>
      </c>
      <c r="B71" t="s">
        <v>1148</v>
      </c>
      <c r="C71" s="41">
        <v>3.9640449438202201</v>
      </c>
    </row>
    <row r="72" spans="1:3">
      <c r="A72" s="695"/>
      <c r="B72" t="s">
        <v>1149</v>
      </c>
      <c r="C72" s="41">
        <v>7.8337078651685301</v>
      </c>
    </row>
    <row r="73" spans="1:3">
      <c r="A73" s="695"/>
      <c r="B73" t="s">
        <v>1150</v>
      </c>
      <c r="C73" s="41">
        <v>3.5393258426966199</v>
      </c>
    </row>
    <row r="74" spans="1:3">
      <c r="C74" s="41">
        <f>SUM(C71:C73)</f>
        <v>15.337078651685371</v>
      </c>
    </row>
    <row r="75" spans="1:3">
      <c r="A75" s="695">
        <v>2040</v>
      </c>
      <c r="B75" t="s">
        <v>1148</v>
      </c>
      <c r="C75" s="41">
        <v>4.4988764044943803</v>
      </c>
    </row>
    <row r="76" spans="1:3">
      <c r="A76" s="695"/>
      <c r="B76" t="s">
        <v>1149</v>
      </c>
      <c r="C76" s="41">
        <v>5.3011235955056097</v>
      </c>
    </row>
    <row r="77" spans="1:3">
      <c r="A77" s="695"/>
      <c r="B77" t="s">
        <v>1150</v>
      </c>
      <c r="C77" s="41">
        <v>12.835955056179699</v>
      </c>
    </row>
    <row r="78" spans="1:3">
      <c r="C78" s="41">
        <f>SUM(C75:C77)</f>
        <v>22.635955056179689</v>
      </c>
    </row>
    <row r="79" spans="1:3">
      <c r="A79" t="s">
        <v>67</v>
      </c>
      <c r="B79" s="23">
        <f>(C78/C74)^(1/(A75-A71))-1</f>
        <v>1.6351675426470091E-2</v>
      </c>
    </row>
  </sheetData>
  <mergeCells count="2">
    <mergeCell ref="A71:A73"/>
    <mergeCell ref="A75:A7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E8DEC-4FD9-4EA9-9B2B-C2565C9D4613}">
  <sheetPr>
    <tabColor theme="7"/>
  </sheetPr>
  <dimension ref="B2:AA33"/>
  <sheetViews>
    <sheetView zoomScale="80" zoomScaleNormal="80" workbookViewId="0">
      <selection activeCell="C18" sqref="C18"/>
    </sheetView>
  </sheetViews>
  <sheetFormatPr defaultRowHeight="14.75"/>
  <cols>
    <col min="2" max="2" width="26.54296875" customWidth="1"/>
    <col min="3" max="3" width="22.453125" customWidth="1"/>
    <col min="5" max="5" width="17.08984375" customWidth="1"/>
    <col min="6" max="6" width="15.81640625" customWidth="1"/>
    <col min="7" max="7" width="8.7265625" customWidth="1"/>
    <col min="8" max="8" width="17.36328125" customWidth="1"/>
    <col min="14" max="14" width="12" customWidth="1"/>
    <col min="19" max="19" width="15.54296875" customWidth="1"/>
  </cols>
  <sheetData>
    <row r="2" spans="2:27">
      <c r="B2" s="1" t="s">
        <v>1415</v>
      </c>
      <c r="C2" s="1"/>
      <c r="D2" s="1"/>
      <c r="E2" s="1" t="s">
        <v>1206</v>
      </c>
      <c r="G2" s="1" t="s">
        <v>1416</v>
      </c>
      <c r="H2" s="1"/>
      <c r="I2" s="1"/>
      <c r="J2" s="1" t="s">
        <v>1206</v>
      </c>
      <c r="M2" s="1" t="s">
        <v>1417</v>
      </c>
      <c r="N2" s="1"/>
      <c r="O2" s="1"/>
      <c r="P2" s="1" t="s">
        <v>1206</v>
      </c>
      <c r="S2" s="1" t="s">
        <v>1433</v>
      </c>
      <c r="T2" s="1"/>
      <c r="U2" s="1"/>
      <c r="V2" s="1" t="s">
        <v>1206</v>
      </c>
      <c r="X2" s="1" t="s">
        <v>1418</v>
      </c>
      <c r="Y2" s="1"/>
      <c r="Z2" s="1"/>
      <c r="AA2" s="1" t="s">
        <v>1206</v>
      </c>
    </row>
    <row r="3" spans="2:27">
      <c r="C3" t="s">
        <v>1420</v>
      </c>
      <c r="D3" s="71">
        <v>0.28599999999999998</v>
      </c>
      <c r="E3" s="41">
        <f t="shared" ref="E3:E12" si="0">D3*$E$13</f>
        <v>22985.805700000019</v>
      </c>
      <c r="H3" t="s">
        <v>1435</v>
      </c>
      <c r="I3" s="52">
        <v>0.73</v>
      </c>
      <c r="J3" s="41">
        <f t="shared" ref="J3:J8" si="1">I3*$J$9</f>
        <v>0</v>
      </c>
      <c r="N3" t="s">
        <v>1441</v>
      </c>
      <c r="O3" s="52">
        <v>0.7</v>
      </c>
      <c r="P3">
        <f>O3*$P$5</f>
        <v>0</v>
      </c>
      <c r="S3" t="s">
        <v>1454</v>
      </c>
      <c r="T3" s="71">
        <v>0.33800000000000002</v>
      </c>
      <c r="U3">
        <f>T3*$U$8</f>
        <v>0</v>
      </c>
      <c r="X3" t="s">
        <v>1439</v>
      </c>
    </row>
    <row r="4" spans="2:27">
      <c r="C4" t="s">
        <v>1422</v>
      </c>
      <c r="D4" s="71">
        <v>0.26500000000000001</v>
      </c>
      <c r="E4" s="41">
        <f t="shared" si="0"/>
        <v>21298.036750000021</v>
      </c>
      <c r="H4" t="s">
        <v>1429</v>
      </c>
      <c r="I4" s="71">
        <f>70.9%*0.27</f>
        <v>0.19143000000000004</v>
      </c>
      <c r="J4" s="41">
        <f t="shared" si="1"/>
        <v>0</v>
      </c>
      <c r="N4" t="s">
        <v>27</v>
      </c>
      <c r="O4" s="6">
        <f>1-O3</f>
        <v>0.30000000000000004</v>
      </c>
      <c r="P4">
        <f>O4*$P$5</f>
        <v>0</v>
      </c>
      <c r="S4" t="s">
        <v>1436</v>
      </c>
      <c r="T4" s="201">
        <f>66.7%-33.8%</f>
        <v>0.32900000000000007</v>
      </c>
      <c r="U4">
        <f>T4*$U$8</f>
        <v>0</v>
      </c>
    </row>
    <row r="5" spans="2:27">
      <c r="C5" t="s">
        <v>1421</v>
      </c>
      <c r="D5" s="71">
        <v>0.14899999999999999</v>
      </c>
      <c r="E5" s="41">
        <f t="shared" si="0"/>
        <v>11975.122550000009</v>
      </c>
      <c r="H5" t="s">
        <v>1430</v>
      </c>
      <c r="I5" s="71">
        <f>(78.3%-70.9%)*0.27</f>
        <v>1.997999999999996E-2</v>
      </c>
      <c r="J5" s="41">
        <f t="shared" si="1"/>
        <v>0</v>
      </c>
      <c r="N5" t="s">
        <v>78</v>
      </c>
      <c r="O5" s="6">
        <f>SUM(O3:O4)</f>
        <v>1</v>
      </c>
      <c r="P5" s="40">
        <f>'Yearly Demand - C4'!C7</f>
        <v>0</v>
      </c>
      <c r="S5" t="s">
        <v>1437</v>
      </c>
      <c r="T5" s="201">
        <f>79.9%-66.7%</f>
        <v>0.13200000000000001</v>
      </c>
      <c r="U5">
        <f>T5*$U$8</f>
        <v>0</v>
      </c>
    </row>
    <row r="6" spans="2:27">
      <c r="C6" t="s">
        <v>1423</v>
      </c>
      <c r="D6" s="71">
        <v>0.107</v>
      </c>
      <c r="E6" s="41">
        <f t="shared" si="0"/>
        <v>8599.584650000008</v>
      </c>
      <c r="H6" t="s">
        <v>1431</v>
      </c>
      <c r="I6" s="71">
        <f>(87.3%-78.3%)*0.27</f>
        <v>2.4300000000000023E-2</v>
      </c>
      <c r="J6" s="41">
        <f t="shared" si="1"/>
        <v>0</v>
      </c>
      <c r="M6" t="s">
        <v>1442</v>
      </c>
      <c r="S6" t="s">
        <v>1438</v>
      </c>
      <c r="T6" s="201">
        <f>95.3%-79.9%</f>
        <v>0.15399999999999991</v>
      </c>
      <c r="U6">
        <f>T6*$U$8</f>
        <v>0</v>
      </c>
    </row>
    <row r="7" spans="2:27">
      <c r="C7" t="s">
        <v>1424</v>
      </c>
      <c r="D7" s="71">
        <v>6.2E-2</v>
      </c>
      <c r="E7" s="41">
        <f t="shared" si="0"/>
        <v>4982.9369000000042</v>
      </c>
      <c r="H7" t="s">
        <v>1432</v>
      </c>
      <c r="I7" s="71">
        <f>(94.2%-87.3%)*0.27</f>
        <v>1.8630000000000018E-2</v>
      </c>
      <c r="J7" s="41">
        <f t="shared" si="1"/>
        <v>0</v>
      </c>
      <c r="M7" s="51" t="s">
        <v>1443</v>
      </c>
      <c r="S7" t="s">
        <v>27</v>
      </c>
      <c r="T7" s="22">
        <f>1-SUM(T3:T6)</f>
        <v>4.7000000000000042E-2</v>
      </c>
      <c r="U7">
        <f>T7*$U$8</f>
        <v>0</v>
      </c>
    </row>
    <row r="8" spans="2:27">
      <c r="C8" t="s">
        <v>1425</v>
      </c>
      <c r="D8" s="71">
        <v>5.3999999999999999E-2</v>
      </c>
      <c r="E8" s="41">
        <f t="shared" si="0"/>
        <v>4339.9773000000041</v>
      </c>
      <c r="H8" t="s">
        <v>27</v>
      </c>
      <c r="I8" s="551">
        <f>1-SUM(I3:I7)</f>
        <v>1.5660000000000007E-2</v>
      </c>
      <c r="J8" s="41">
        <f t="shared" si="1"/>
        <v>0</v>
      </c>
      <c r="M8" t="s">
        <v>1201</v>
      </c>
      <c r="N8" t="s">
        <v>93</v>
      </c>
      <c r="S8" t="s">
        <v>78</v>
      </c>
      <c r="T8" s="359">
        <f>+SUM(T3:T7)</f>
        <v>1</v>
      </c>
      <c r="U8" s="557">
        <f>'Yearly Demand - C4'!C8</f>
        <v>0</v>
      </c>
    </row>
    <row r="9" spans="2:27">
      <c r="C9" t="s">
        <v>1426</v>
      </c>
      <c r="D9" s="71">
        <v>2.1999999999999999E-2</v>
      </c>
      <c r="E9" s="41">
        <f t="shared" si="0"/>
        <v>1768.1389000000015</v>
      </c>
      <c r="H9" t="s">
        <v>78</v>
      </c>
      <c r="I9" s="359">
        <f>+SUM(I3:I8)</f>
        <v>1</v>
      </c>
      <c r="J9" s="41">
        <f>'Yearly Demand - C4'!C6</f>
        <v>0</v>
      </c>
      <c r="S9" t="s">
        <v>1434</v>
      </c>
      <c r="U9" t="s">
        <v>93</v>
      </c>
    </row>
    <row r="10" spans="2:27">
      <c r="C10" t="s">
        <v>1427</v>
      </c>
      <c r="D10" s="71">
        <v>0.02</v>
      </c>
      <c r="E10" s="41">
        <f t="shared" si="0"/>
        <v>1607.3990000000015</v>
      </c>
      <c r="G10" t="s">
        <v>1440</v>
      </c>
      <c r="I10" s="71"/>
      <c r="J10" s="41" t="s">
        <v>93</v>
      </c>
    </row>
    <row r="11" spans="2:27">
      <c r="C11" t="s">
        <v>1428</v>
      </c>
      <c r="D11" s="71">
        <v>2.1000000000000001E-2</v>
      </c>
      <c r="E11" s="41">
        <f t="shared" si="0"/>
        <v>1687.7689500000015</v>
      </c>
      <c r="G11" t="s">
        <v>1201</v>
      </c>
      <c r="H11" t="s">
        <v>93</v>
      </c>
      <c r="I11" s="71"/>
      <c r="J11" s="41"/>
    </row>
    <row r="12" spans="2:27">
      <c r="C12" t="s">
        <v>27</v>
      </c>
      <c r="D12" s="551">
        <f>1-SUM(D3:D11)</f>
        <v>1.3999999999999901E-2</v>
      </c>
      <c r="E12" s="41">
        <f t="shared" si="0"/>
        <v>1125.179299999993</v>
      </c>
      <c r="I12" s="71"/>
      <c r="J12" s="41"/>
    </row>
    <row r="13" spans="2:27">
      <c r="C13" t="s">
        <v>78</v>
      </c>
      <c r="D13" s="359">
        <f>SUM(D3:D12)</f>
        <v>1</v>
      </c>
      <c r="E13" s="40">
        <f>'Yearly Demand - C4'!C5</f>
        <v>80369.95000000007</v>
      </c>
      <c r="I13" s="359"/>
      <c r="J13" s="40"/>
    </row>
    <row r="14" spans="2:27">
      <c r="B14" t="s">
        <v>1419</v>
      </c>
    </row>
    <row r="15" spans="2:27">
      <c r="E15" t="s">
        <v>1455</v>
      </c>
    </row>
    <row r="16" spans="2:27">
      <c r="B16" s="1"/>
      <c r="D16" s="1"/>
      <c r="E16" s="1"/>
      <c r="J16" s="1"/>
    </row>
    <row r="17" spans="2:19">
      <c r="C17" s="8" t="s">
        <v>1450</v>
      </c>
      <c r="D17" s="41"/>
      <c r="F17" t="s">
        <v>1524</v>
      </c>
      <c r="I17" t="s">
        <v>333</v>
      </c>
      <c r="J17" t="s">
        <v>679</v>
      </c>
      <c r="K17" s="6"/>
    </row>
    <row r="18" spans="2:19">
      <c r="B18" t="s">
        <v>1451</v>
      </c>
      <c r="C18" s="246">
        <f>E3+E6+E8+J6+U4+E4</f>
        <v>57223.40440000005</v>
      </c>
      <c r="D18" s="2">
        <f>C18/$C$23</f>
        <v>0.71199999999999997</v>
      </c>
      <c r="F18" s="41">
        <f>E3+E4+E6+E8</f>
        <v>57223.40440000005</v>
      </c>
      <c r="G18" s="2">
        <f>F18/$F$23</f>
        <v>0.71200000000000019</v>
      </c>
      <c r="I18" s="41" t="s">
        <v>1453</v>
      </c>
      <c r="K18" s="6"/>
    </row>
    <row r="19" spans="2:19">
      <c r="B19" t="s">
        <v>141</v>
      </c>
      <c r="C19" s="246">
        <f>J4</f>
        <v>0</v>
      </c>
      <c r="D19" s="2">
        <f t="shared" ref="D19:D22" si="2">C19/$C$23</f>
        <v>0</v>
      </c>
      <c r="F19">
        <f>0</f>
        <v>0</v>
      </c>
      <c r="G19" s="2">
        <f t="shared" ref="G19:G22" si="3">F19/$F$23</f>
        <v>0</v>
      </c>
      <c r="H19" s="6"/>
      <c r="I19" s="41"/>
    </row>
    <row r="20" spans="2:19">
      <c r="B20" t="s">
        <v>1452</v>
      </c>
      <c r="C20" s="246">
        <f>E5+E7</f>
        <v>16958.059450000015</v>
      </c>
      <c r="D20" s="2">
        <f t="shared" si="2"/>
        <v>0.21099999999999999</v>
      </c>
      <c r="F20" s="41">
        <f>E5+E7</f>
        <v>16958.059450000015</v>
      </c>
      <c r="G20" s="2">
        <f t="shared" si="3"/>
        <v>0.21100000000000005</v>
      </c>
      <c r="H20" s="6"/>
      <c r="I20" s="41"/>
    </row>
    <row r="21" spans="2:19">
      <c r="B21" t="s">
        <v>1435</v>
      </c>
      <c r="C21" s="337">
        <f>J3+P3+U3</f>
        <v>0</v>
      </c>
      <c r="D21" s="2">
        <f t="shared" si="2"/>
        <v>0</v>
      </c>
      <c r="F21">
        <f>0</f>
        <v>0</v>
      </c>
      <c r="G21" s="2">
        <f t="shared" si="3"/>
        <v>0</v>
      </c>
    </row>
    <row r="22" spans="2:19">
      <c r="B22" t="s">
        <v>27</v>
      </c>
      <c r="C22" s="337">
        <f>'Yearly Demand - C4'!C4-'Demand - C4'!C18-'Demand - C4'!C19-'Demand - C4'!C21-C20</f>
        <v>6188.4861500000043</v>
      </c>
      <c r="D22" s="2">
        <f t="shared" si="2"/>
        <v>7.6999999999999985E-2</v>
      </c>
      <c r="F22" s="41">
        <f>SUM(E9:E12)</f>
        <v>6188.486149999997</v>
      </c>
      <c r="G22" s="2">
        <f t="shared" si="3"/>
        <v>7.6999999999999916E-2</v>
      </c>
    </row>
    <row r="23" spans="2:19">
      <c r="B23" t="s">
        <v>78</v>
      </c>
      <c r="C23" s="337">
        <f>SUM(C18:C22)</f>
        <v>80369.95000000007</v>
      </c>
      <c r="F23" s="41">
        <f>SUM(F18:F22)</f>
        <v>80369.950000000055</v>
      </c>
    </row>
    <row r="24" spans="2:19">
      <c r="I24" s="687" t="s">
        <v>1522</v>
      </c>
      <c r="J24" s="687"/>
      <c r="K24" s="687"/>
      <c r="L24" s="687"/>
      <c r="M24" s="687"/>
      <c r="O24" s="687" t="s">
        <v>1523</v>
      </c>
      <c r="P24" s="687"/>
      <c r="Q24" s="687"/>
      <c r="R24" s="687"/>
      <c r="S24" s="687"/>
    </row>
    <row r="25" spans="2:19">
      <c r="C25" t="s">
        <v>1456</v>
      </c>
      <c r="D25" t="s">
        <v>141</v>
      </c>
      <c r="E25" t="s">
        <v>949</v>
      </c>
      <c r="F25" t="s">
        <v>1435</v>
      </c>
      <c r="G25" t="s">
        <v>27</v>
      </c>
      <c r="I25" s="687">
        <v>2020</v>
      </c>
      <c r="J25" s="687"/>
      <c r="K25" t="s">
        <v>67</v>
      </c>
      <c r="L25">
        <v>2050</v>
      </c>
      <c r="O25" s="687">
        <v>2020</v>
      </c>
      <c r="P25" s="687"/>
      <c r="Q25" t="s">
        <v>67</v>
      </c>
      <c r="R25">
        <v>2050</v>
      </c>
    </row>
    <row r="26" spans="2:19">
      <c r="B26" s="2" t="str">
        <f>'Production - Industry shares'!A46</f>
        <v>Packaging &amp; consumer goods</v>
      </c>
      <c r="C26" s="52">
        <v>0</v>
      </c>
      <c r="D26" s="6">
        <f>'Demand - Ethylene'!J63+'Demand - Ethylene'!J67</f>
        <v>0.34361169814797604</v>
      </c>
      <c r="E26" s="22">
        <f>'Production - Industry shares'!I7/'Production - Industry shares'!I13</f>
        <v>1.7857142857142856E-2</v>
      </c>
      <c r="F26" s="2">
        <v>0</v>
      </c>
      <c r="G26" s="2">
        <v>0</v>
      </c>
      <c r="I26" s="230">
        <f>C26*$C$18+D26*$C$19+E26*$C$20+F26*$C$21+G26*$C$22</f>
        <v>302.82249017857168</v>
      </c>
      <c r="J26" s="2">
        <f>I26/$I$31</f>
        <v>3.7678571428571427E-3</v>
      </c>
      <c r="K26" s="22">
        <f>'Yearly Demand - C4'!$AU$3</f>
        <v>0</v>
      </c>
      <c r="L26" s="230">
        <f>I26*(1+K26)^30</f>
        <v>302.82249017857168</v>
      </c>
      <c r="M26" s="2">
        <f>L26/$L$31</f>
        <v>3.7678571428571427E-3</v>
      </c>
      <c r="O26" s="230">
        <f>C26*$F$18+D26*$F$19+E26*$F$20+F26*$F$21+G26*$F$22</f>
        <v>302.82249017857168</v>
      </c>
      <c r="P26" s="2">
        <f>O26/$O$31</f>
        <v>3.7678571428571427E-3</v>
      </c>
      <c r="Q26" s="22">
        <f>'Yearly Demand - C4'!$AU$3</f>
        <v>0</v>
      </c>
      <c r="R26" s="230">
        <f>O26*(1+Q26)^30</f>
        <v>302.82249017857168</v>
      </c>
      <c r="S26" s="2">
        <f>R26/$R$31</f>
        <v>3.7678571428571427E-3</v>
      </c>
    </row>
    <row r="27" spans="2:19">
      <c r="B27" s="2" t="str">
        <f>'Production - Industry shares'!A47</f>
        <v>Building &amp; Construction</v>
      </c>
      <c r="C27" s="52">
        <v>0.15</v>
      </c>
      <c r="D27" s="22">
        <f>'Demand - Ethylene'!J64</f>
        <v>0.19240720488944701</v>
      </c>
      <c r="E27" s="22">
        <f>'Production - Industry shares'!I8/'Production - Industry shares'!I13</f>
        <v>8.9285714285714288E-2</v>
      </c>
      <c r="F27" s="2">
        <v>0</v>
      </c>
      <c r="G27" s="2">
        <v>0</v>
      </c>
      <c r="I27" s="230">
        <f>C27*$C$18+D27*$C$19+E27*$C$20+F27*$C$21+G27*$C$22</f>
        <v>10097.623110892866</v>
      </c>
      <c r="J27" s="2">
        <f t="shared" ref="J27:J31" si="4">I27/$I$31</f>
        <v>0.1256392857142857</v>
      </c>
      <c r="K27" s="22">
        <f>'Yearly Demand - C4'!$AU$3</f>
        <v>0</v>
      </c>
      <c r="L27" s="230">
        <f t="shared" ref="L27:L30" si="5">I27*(1+K27)^30</f>
        <v>10097.623110892866</v>
      </c>
      <c r="M27" s="2">
        <f t="shared" ref="M27:M31" si="6">L27/$L$31</f>
        <v>0.1256392857142857</v>
      </c>
      <c r="O27" s="230">
        <f t="shared" ref="O27:O30" si="7">C27*$F$18+D27*$F$19+E27*$F$20+F27*$F$21+G27*$F$22</f>
        <v>10097.623110892866</v>
      </c>
      <c r="P27" s="2">
        <f t="shared" ref="P27:P30" si="8">O27/$O$31</f>
        <v>0.1256392857142857</v>
      </c>
      <c r="Q27" s="22">
        <f>'Yearly Demand - C4'!$AU$3</f>
        <v>0</v>
      </c>
      <c r="R27" s="230">
        <f t="shared" ref="R27:R30" si="9">O27*(1+Q27)^30</f>
        <v>10097.623110892866</v>
      </c>
      <c r="S27" s="2">
        <f t="shared" ref="S27:S30" si="10">R27/$R$31</f>
        <v>0.1256392857142857</v>
      </c>
    </row>
    <row r="28" spans="2:19">
      <c r="B28" s="2" t="str">
        <f>'Production - Industry shares'!A48</f>
        <v>Transportation</v>
      </c>
      <c r="C28" s="52">
        <v>0.65</v>
      </c>
      <c r="D28" s="22">
        <f>'Demand - Ethylene'!J65</f>
        <v>8.88895063383493E-2</v>
      </c>
      <c r="E28" s="22">
        <f>'Production - Industry shares'!I6/'Production - Industry shares'!I13</f>
        <v>0.39285714285714285</v>
      </c>
      <c r="F28" s="2">
        <v>1</v>
      </c>
      <c r="G28" s="2">
        <v>0</v>
      </c>
      <c r="I28" s="230">
        <f t="shared" ref="I28:I30" si="11">C28*$C$18+D28*$C$19+E28*$C$20+F28*$C$21+G28*$C$22</f>
        <v>43857.307643928616</v>
      </c>
      <c r="J28" s="2">
        <f t="shared" si="4"/>
        <v>0.5456928571428572</v>
      </c>
      <c r="K28" s="22">
        <f>'Yearly Demand - C4'!$AU$3</f>
        <v>0</v>
      </c>
      <c r="L28" s="230">
        <f t="shared" si="5"/>
        <v>43857.307643928616</v>
      </c>
      <c r="M28" s="2">
        <f t="shared" si="6"/>
        <v>0.5456928571428572</v>
      </c>
      <c r="O28" s="230">
        <f t="shared" si="7"/>
        <v>43857.307643928616</v>
      </c>
      <c r="P28" s="2">
        <f t="shared" si="8"/>
        <v>0.5456928571428572</v>
      </c>
      <c r="Q28" s="22">
        <f>'Yearly Demand - C4'!$AU$3</f>
        <v>0</v>
      </c>
      <c r="R28" s="230">
        <f t="shared" si="9"/>
        <v>43857.307643928616</v>
      </c>
      <c r="S28" s="2">
        <f t="shared" si="10"/>
        <v>0.5456928571428572</v>
      </c>
    </row>
    <row r="29" spans="2:19">
      <c r="B29" s="2" t="str">
        <f>'Production - Industry shares'!A49</f>
        <v>Apparel</v>
      </c>
      <c r="C29" s="265">
        <v>1.4999999999999999E-2</v>
      </c>
      <c r="D29" s="22">
        <f>'Demand - Ethylene'!J69</f>
        <v>5.4867435167726486E-3</v>
      </c>
      <c r="E29" s="22">
        <v>0</v>
      </c>
      <c r="F29" s="2">
        <v>0</v>
      </c>
      <c r="G29" s="2">
        <v>0</v>
      </c>
      <c r="I29" s="230">
        <f t="shared" si="11"/>
        <v>858.35106600000074</v>
      </c>
      <c r="J29" s="2">
        <f t="shared" si="4"/>
        <v>1.068E-2</v>
      </c>
      <c r="K29" s="22">
        <f>'Yearly Demand - C4'!$AU$3</f>
        <v>0</v>
      </c>
      <c r="L29" s="230">
        <f t="shared" si="5"/>
        <v>858.35106600000074</v>
      </c>
      <c r="M29" s="2">
        <f t="shared" si="6"/>
        <v>1.068E-2</v>
      </c>
      <c r="O29" s="230">
        <f t="shared" si="7"/>
        <v>858.35106600000074</v>
      </c>
      <c r="P29" s="2">
        <f t="shared" si="8"/>
        <v>1.068E-2</v>
      </c>
      <c r="Q29" s="22">
        <f>'Yearly Demand - C4'!$AU$3</f>
        <v>0</v>
      </c>
      <c r="R29" s="230">
        <f t="shared" si="9"/>
        <v>858.35106600000074</v>
      </c>
      <c r="S29" s="2">
        <f t="shared" si="10"/>
        <v>1.068E-2</v>
      </c>
    </row>
    <row r="30" spans="2:19">
      <c r="B30" s="2" t="str">
        <f>'Production - Industry shares'!A50</f>
        <v>Others</v>
      </c>
      <c r="C30" s="6">
        <f>1-SUM(C26:C29)</f>
        <v>0.18499999999999994</v>
      </c>
      <c r="D30" s="6">
        <f>1-SUM(D26:D29)</f>
        <v>0.36960484710745489</v>
      </c>
      <c r="E30" s="22">
        <f t="shared" ref="E30:G30" si="12">1-SUM(E26:E29)</f>
        <v>0.5</v>
      </c>
      <c r="F30" s="6">
        <f t="shared" si="12"/>
        <v>0</v>
      </c>
      <c r="G30" s="6">
        <f t="shared" si="12"/>
        <v>1</v>
      </c>
      <c r="I30" s="230">
        <f t="shared" si="11"/>
        <v>25253.845689000016</v>
      </c>
      <c r="J30" s="2">
        <f t="shared" si="4"/>
        <v>0.31421999999999994</v>
      </c>
      <c r="K30" s="22">
        <f>'Yearly Demand - C4'!$AU$3</f>
        <v>0</v>
      </c>
      <c r="L30" s="230">
        <f t="shared" si="5"/>
        <v>25253.845689000016</v>
      </c>
      <c r="M30" s="2">
        <f t="shared" si="6"/>
        <v>0.31421999999999994</v>
      </c>
      <c r="O30" s="230">
        <f t="shared" si="7"/>
        <v>25253.845689000009</v>
      </c>
      <c r="P30" s="2">
        <f t="shared" si="8"/>
        <v>0.31421999999999983</v>
      </c>
      <c r="Q30" s="22">
        <f>'Yearly Demand - C4'!$AU$3</f>
        <v>0</v>
      </c>
      <c r="R30" s="230">
        <f t="shared" si="9"/>
        <v>25253.845689000009</v>
      </c>
      <c r="S30" s="2">
        <f t="shared" si="10"/>
        <v>0.31421999999999983</v>
      </c>
    </row>
    <row r="31" spans="2:19">
      <c r="B31" s="2" t="str">
        <f>'Production - Industry shares'!A51</f>
        <v>Total</v>
      </c>
      <c r="C31" s="6">
        <f>SUM(C26:C30)</f>
        <v>1</v>
      </c>
      <c r="I31" s="230">
        <f>SUM(I26:I30)</f>
        <v>80369.95000000007</v>
      </c>
      <c r="J31" s="2">
        <f t="shared" si="4"/>
        <v>1</v>
      </c>
      <c r="L31" s="230">
        <f>SUM(L26:L30)</f>
        <v>80369.95000000007</v>
      </c>
      <c r="M31" s="2">
        <f t="shared" si="6"/>
        <v>1</v>
      </c>
      <c r="O31" s="230">
        <f>SUM(O26:O30)</f>
        <v>80369.95000000007</v>
      </c>
      <c r="P31" s="2">
        <f>SUM(P26:P30)</f>
        <v>0.99999999999999989</v>
      </c>
      <c r="R31" s="230">
        <f>SUM(R26:R30)</f>
        <v>80369.95000000007</v>
      </c>
      <c r="S31" s="2">
        <f t="shared" ref="S31" si="13">R31/$L$31</f>
        <v>1</v>
      </c>
    </row>
    <row r="32" spans="2:19">
      <c r="C32" t="s">
        <v>1457</v>
      </c>
      <c r="D32" t="s">
        <v>93</v>
      </c>
    </row>
    <row r="33" spans="3:3">
      <c r="C33" t="s">
        <v>1528</v>
      </c>
    </row>
  </sheetData>
  <mergeCells count="4">
    <mergeCell ref="I25:J25"/>
    <mergeCell ref="O25:P25"/>
    <mergeCell ref="I24:M24"/>
    <mergeCell ref="O24:S24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B7327-8DBE-430C-B99C-2058948C8F0D}">
  <sheetPr>
    <tabColor theme="7"/>
  </sheetPr>
  <dimension ref="A2:AI98"/>
  <sheetViews>
    <sheetView topLeftCell="C41" workbookViewId="0">
      <selection activeCell="C47" sqref="C47"/>
    </sheetView>
  </sheetViews>
  <sheetFormatPr defaultRowHeight="14.75"/>
  <cols>
    <col min="2" max="2" width="26.81640625" customWidth="1"/>
    <col min="3" max="3" width="16.08984375" customWidth="1"/>
    <col min="4" max="4" width="20.26953125" customWidth="1"/>
    <col min="5" max="5" width="11.7265625" customWidth="1"/>
    <col min="6" max="6" width="11.36328125" customWidth="1"/>
    <col min="7" max="7" width="11.08984375" customWidth="1"/>
    <col min="10" max="10" width="23.36328125" customWidth="1"/>
    <col min="11" max="11" width="13.08984375" customWidth="1"/>
    <col min="12" max="12" width="11.81640625" customWidth="1"/>
    <col min="13" max="13" width="12.36328125" bestFit="1" customWidth="1"/>
    <col min="17" max="17" width="18.81640625" customWidth="1"/>
    <col min="18" max="18" width="23.36328125" customWidth="1"/>
    <col min="20" max="20" width="11.5" customWidth="1"/>
    <col min="24" max="24" width="18.81640625" customWidth="1"/>
    <col min="25" max="25" width="23.36328125" customWidth="1"/>
    <col min="27" max="27" width="7.26953125" customWidth="1"/>
    <col min="30" max="30" width="18.81640625" customWidth="1"/>
    <col min="31" max="31" width="23.36328125" customWidth="1"/>
    <col min="33" max="33" width="9.5" customWidth="1"/>
  </cols>
  <sheetData>
    <row r="2" spans="2:34">
      <c r="B2" s="1" t="s">
        <v>1202</v>
      </c>
      <c r="C2" s="1"/>
      <c r="D2" s="1"/>
      <c r="E2" s="1" t="s">
        <v>1206</v>
      </c>
      <c r="I2" s="1" t="s">
        <v>1216</v>
      </c>
      <c r="M2" s="1" t="s">
        <v>1206</v>
      </c>
      <c r="Q2" s="1" t="s">
        <v>1222</v>
      </c>
      <c r="T2" s="1" t="s">
        <v>1206</v>
      </c>
      <c r="X2" s="1" t="s">
        <v>1230</v>
      </c>
      <c r="AA2" s="1" t="s">
        <v>1206</v>
      </c>
      <c r="AD2" s="1" t="s">
        <v>1244</v>
      </c>
      <c r="AG2" s="1" t="s">
        <v>1206</v>
      </c>
    </row>
    <row r="3" spans="2:34">
      <c r="C3" t="s">
        <v>1204</v>
      </c>
      <c r="D3" s="680">
        <v>0.39244927969976234</v>
      </c>
      <c r="E3" s="101">
        <f>D3*$E$8</f>
        <v>610155.11032919493</v>
      </c>
      <c r="G3" t="s">
        <v>1209</v>
      </c>
      <c r="H3" t="s">
        <v>93</v>
      </c>
      <c r="J3" t="s">
        <v>1220</v>
      </c>
      <c r="K3" s="52">
        <v>0.28000000000000003</v>
      </c>
      <c r="L3" s="6"/>
      <c r="M3" s="101">
        <f>K3*$M$8</f>
        <v>43750.7454163523</v>
      </c>
      <c r="P3" t="s">
        <v>93</v>
      </c>
      <c r="R3" t="s">
        <v>1040</v>
      </c>
      <c r="S3" s="52">
        <v>0.98</v>
      </c>
      <c r="T3" s="41">
        <f>S3*$T$5</f>
        <v>2386335.504290435</v>
      </c>
      <c r="Y3" t="s">
        <v>1241</v>
      </c>
      <c r="Z3" s="265">
        <v>0.437</v>
      </c>
      <c r="AA3" s="41">
        <f>Z3*$AA$7</f>
        <v>102427.78062178631</v>
      </c>
      <c r="AE3" t="s">
        <v>1231</v>
      </c>
      <c r="AF3" s="359">
        <v>0.245</v>
      </c>
      <c r="AG3" s="41">
        <f>AF3*$AG$7</f>
        <v>9570.8643220204594</v>
      </c>
    </row>
    <row r="4" spans="2:34">
      <c r="C4" t="s">
        <v>354</v>
      </c>
      <c r="D4" s="680">
        <v>0.11646014842230006</v>
      </c>
      <c r="E4" s="101">
        <f t="shared" ref="E4:E7" si="0">D4*$E$8</f>
        <v>181064.8111366783</v>
      </c>
      <c r="G4" t="s">
        <v>1212</v>
      </c>
      <c r="H4" t="s">
        <v>93</v>
      </c>
      <c r="J4" t="s">
        <v>1219</v>
      </c>
      <c r="K4" s="71">
        <v>0.22</v>
      </c>
      <c r="L4" s="6"/>
      <c r="M4" s="101">
        <f t="shared" ref="M4:M7" si="1">K4*$M$8</f>
        <v>34375.585684276804</v>
      </c>
      <c r="P4" t="s">
        <v>93</v>
      </c>
      <c r="R4" t="s">
        <v>27</v>
      </c>
      <c r="S4" s="71">
        <v>0.02</v>
      </c>
      <c r="T4" s="41">
        <f>S4*$T$5</f>
        <v>48700.724577355817</v>
      </c>
      <c r="Y4" t="s">
        <v>1234</v>
      </c>
      <c r="Z4" s="265">
        <v>0.25</v>
      </c>
      <c r="AA4" s="41">
        <f t="shared" ref="AA4:AA6" si="2">Z4*$AA$7</f>
        <v>58597.128502166081</v>
      </c>
      <c r="AE4" t="s">
        <v>1232</v>
      </c>
      <c r="AF4" s="359">
        <v>0.23300000000000001</v>
      </c>
      <c r="AG4" s="41">
        <f t="shared" ref="AG4:AG6" si="3">AF4*$AG$7</f>
        <v>9102.0872940031331</v>
      </c>
    </row>
    <row r="5" spans="2:34">
      <c r="C5" t="s">
        <v>1205</v>
      </c>
      <c r="D5" s="680">
        <v>0.1</v>
      </c>
      <c r="E5" s="101">
        <f t="shared" si="0"/>
        <v>155473.62216997449</v>
      </c>
      <c r="J5" t="s">
        <v>1218</v>
      </c>
      <c r="K5" s="52">
        <f>18%+17.9%</f>
        <v>0.35899999999999999</v>
      </c>
      <c r="L5" s="6"/>
      <c r="M5" s="101">
        <f t="shared" si="1"/>
        <v>56094.705730251691</v>
      </c>
      <c r="R5" t="s">
        <v>78</v>
      </c>
      <c r="S5" s="52">
        <f>SUM(S3:S4)</f>
        <v>1</v>
      </c>
      <c r="T5" s="216">
        <f>'Yearly Demand - BTX'!N10</f>
        <v>2435036.2288677907</v>
      </c>
      <c r="Y5" t="s">
        <v>1235</v>
      </c>
      <c r="Z5" s="265">
        <v>0.187</v>
      </c>
      <c r="AA5" s="41">
        <f t="shared" si="2"/>
        <v>43830.65211962023</v>
      </c>
      <c r="AE5" t="s">
        <v>103</v>
      </c>
      <c r="AF5" s="359">
        <v>0.216</v>
      </c>
      <c r="AG5" s="41">
        <f t="shared" si="3"/>
        <v>8437.9865043119153</v>
      </c>
    </row>
    <row r="6" spans="2:34">
      <c r="C6" t="s">
        <v>930</v>
      </c>
      <c r="D6" s="680">
        <v>4.6965344899449583E-2</v>
      </c>
      <c r="E6" s="101">
        <f t="shared" si="0"/>
        <v>73018.722879795634</v>
      </c>
      <c r="G6" t="s">
        <v>1271</v>
      </c>
      <c r="H6" t="s">
        <v>1249</v>
      </c>
      <c r="J6" t="s">
        <v>1217</v>
      </c>
      <c r="K6" s="243">
        <f>M6/M8</f>
        <v>0.37583651820343994</v>
      </c>
      <c r="L6" s="6"/>
      <c r="M6" s="101">
        <f>L14</f>
        <v>58725.456521739128</v>
      </c>
      <c r="Q6" t="s">
        <v>60</v>
      </c>
      <c r="R6" t="s">
        <v>1215</v>
      </c>
      <c r="S6" s="52"/>
      <c r="T6" s="6" t="s">
        <v>93</v>
      </c>
      <c r="U6" s="41"/>
      <c r="Y6" t="s">
        <v>27</v>
      </c>
      <c r="Z6" s="265">
        <v>0.126</v>
      </c>
      <c r="AA6" s="41">
        <f t="shared" si="2"/>
        <v>29532.952765091704</v>
      </c>
      <c r="AB6" s="41"/>
      <c r="AE6" t="s">
        <v>1233</v>
      </c>
      <c r="AF6" s="359">
        <v>0.183</v>
      </c>
      <c r="AG6" s="41">
        <f t="shared" si="3"/>
        <v>7148.849677264262</v>
      </c>
      <c r="AH6" s="41"/>
    </row>
    <row r="7" spans="2:34">
      <c r="C7" t="s">
        <v>27</v>
      </c>
      <c r="D7" s="680">
        <v>0.34412522697848802</v>
      </c>
      <c r="E7" s="101">
        <f t="shared" si="0"/>
        <v>535023.95518410159</v>
      </c>
      <c r="J7" t="s">
        <v>27</v>
      </c>
      <c r="K7" s="52">
        <f>1-K3-K4-K5-K6</f>
        <v>-0.23483651820343993</v>
      </c>
      <c r="L7" s="6"/>
      <c r="M7" s="101">
        <f t="shared" si="1"/>
        <v>-36693.831151361723</v>
      </c>
      <c r="S7" s="52"/>
      <c r="T7" s="6"/>
      <c r="U7" s="41"/>
      <c r="Y7" t="s">
        <v>78</v>
      </c>
      <c r="Z7" s="38">
        <f>SUM(Z3:Z6)</f>
        <v>1</v>
      </c>
      <c r="AA7" s="246">
        <f>'Yearly Demand - BTX'!N11</f>
        <v>234388.51400866432</v>
      </c>
      <c r="AB7" s="41"/>
      <c r="AE7" t="s">
        <v>27</v>
      </c>
      <c r="AF7" s="359">
        <f>1-AF3-AF4-AF5-AF6</f>
        <v>0.12300000000000005</v>
      </c>
      <c r="AG7" s="246">
        <f>'Yearly Demand - BTX'!N12</f>
        <v>39064.752334777389</v>
      </c>
      <c r="AH7" s="41"/>
    </row>
    <row r="8" spans="2:34">
      <c r="C8" t="s">
        <v>78</v>
      </c>
      <c r="D8" s="680">
        <v>1</v>
      </c>
      <c r="E8" s="101">
        <f>'Yearly Demand - BTX'!N7</f>
        <v>1554736.2216997449</v>
      </c>
      <c r="J8" t="s">
        <v>78</v>
      </c>
      <c r="K8" s="6">
        <f>SUM(K3:K7)</f>
        <v>1</v>
      </c>
      <c r="L8" s="6">
        <f>SUM(L3:L7)</f>
        <v>0</v>
      </c>
      <c r="M8" s="101">
        <f>'Yearly Demand - BTX'!N17</f>
        <v>156252.66220125821</v>
      </c>
      <c r="Q8" s="1" t="s">
        <v>1040</v>
      </c>
      <c r="T8" s="1" t="s">
        <v>551</v>
      </c>
      <c r="U8" s="1" t="s">
        <v>553</v>
      </c>
      <c r="X8" t="s">
        <v>60</v>
      </c>
      <c r="Y8" s="5" t="s">
        <v>1236</v>
      </c>
      <c r="AA8" t="s">
        <v>93</v>
      </c>
      <c r="AD8" t="s">
        <v>60</v>
      </c>
      <c r="AE8" s="5" t="s">
        <v>1250</v>
      </c>
      <c r="AG8" t="s">
        <v>93</v>
      </c>
    </row>
    <row r="9" spans="2:34">
      <c r="B9" t="s">
        <v>1203</v>
      </c>
      <c r="I9" t="s">
        <v>60</v>
      </c>
      <c r="J9" s="5" t="s">
        <v>1214</v>
      </c>
      <c r="N9" t="s">
        <v>93</v>
      </c>
      <c r="Q9" s="127"/>
      <c r="R9" t="s">
        <v>35</v>
      </c>
      <c r="S9" s="22">
        <v>0.8</v>
      </c>
      <c r="T9" s="41">
        <f>S9*T3</f>
        <v>1909068.403432348</v>
      </c>
      <c r="U9" s="2">
        <f t="shared" ref="U9:U12" si="4">T9/$T$5</f>
        <v>0.78400000000000003</v>
      </c>
      <c r="V9" s="195" t="s">
        <v>1229</v>
      </c>
      <c r="W9" t="s">
        <v>93</v>
      </c>
    </row>
    <row r="10" spans="2:34">
      <c r="R10" t="s">
        <v>983</v>
      </c>
      <c r="S10" s="2">
        <f>T10/T13</f>
        <v>2.7522147117655613E-6</v>
      </c>
      <c r="T10" s="41">
        <f>('Production - Industry shares'!Z132/'Production - Industry shares'!Z145)*R18</f>
        <v>6.5677076821166249</v>
      </c>
      <c r="U10" s="2">
        <f t="shared" si="4"/>
        <v>2.6971704175302502E-6</v>
      </c>
      <c r="X10" s="1" t="s">
        <v>1240</v>
      </c>
      <c r="AA10" s="1" t="s">
        <v>551</v>
      </c>
      <c r="AB10" s="1" t="s">
        <v>553</v>
      </c>
    </row>
    <row r="11" spans="2:34">
      <c r="B11" s="1" t="s">
        <v>570</v>
      </c>
      <c r="D11" s="1" t="s">
        <v>551</v>
      </c>
      <c r="E11" s="1" t="s">
        <v>553</v>
      </c>
      <c r="I11" s="1" t="s">
        <v>1217</v>
      </c>
      <c r="L11" s="1" t="s">
        <v>551</v>
      </c>
      <c r="M11" s="1" t="s">
        <v>553</v>
      </c>
      <c r="R11" t="s">
        <v>1279</v>
      </c>
      <c r="S11" s="6">
        <f>T11/T13</f>
        <v>9.999862389264412E-2</v>
      </c>
      <c r="T11" s="41">
        <f>(T13-T10-T9)/2</f>
        <v>238630.26657520246</v>
      </c>
      <c r="U11" s="2">
        <f t="shared" si="4"/>
        <v>9.7998651414791249E-2</v>
      </c>
      <c r="V11" t="s">
        <v>1320</v>
      </c>
      <c r="X11" s="127"/>
      <c r="Y11" t="s">
        <v>1245</v>
      </c>
      <c r="Z11" s="265">
        <v>0.14599999999999999</v>
      </c>
      <c r="AA11" s="246">
        <f>Z11*$AA$3</f>
        <v>14954.4559707808</v>
      </c>
      <c r="AB11" s="2">
        <f>AA11/$AA$7</f>
        <v>6.3801999999999998E-2</v>
      </c>
      <c r="AD11" s="1" t="s">
        <v>1240</v>
      </c>
      <c r="AG11" s="1" t="s">
        <v>551</v>
      </c>
      <c r="AH11" s="1" t="s">
        <v>553</v>
      </c>
    </row>
    <row r="12" spans="2:34">
      <c r="B12" t="s">
        <v>552</v>
      </c>
      <c r="C12" s="6">
        <f>'Demand - Ethylene'!R14</f>
        <v>0.95369571593461744</v>
      </c>
      <c r="D12" s="101">
        <f>C12*$E$3</f>
        <v>581902.31477656704</v>
      </c>
      <c r="E12" s="2">
        <f>D12/$E$8</f>
        <v>0.37427719677128979</v>
      </c>
      <c r="I12" s="127"/>
      <c r="J12" t="s">
        <v>160</v>
      </c>
      <c r="K12" s="201">
        <v>0.92</v>
      </c>
      <c r="L12" s="101">
        <f>174282*0.31</f>
        <v>54027.42</v>
      </c>
      <c r="M12" s="2">
        <f>L12/$M$8</f>
        <v>0.34576959674716473</v>
      </c>
      <c r="O12" t="s">
        <v>1564</v>
      </c>
      <c r="R12" t="s">
        <v>1278</v>
      </c>
      <c r="S12" s="38">
        <f>1-S10-S9-S11</f>
        <v>9.9998623892644037E-2</v>
      </c>
      <c r="T12" s="246">
        <f>(T13-T10-T9)/2</f>
        <v>238630.26657520246</v>
      </c>
      <c r="U12" s="2">
        <f t="shared" si="4"/>
        <v>9.7998651414791249E-2</v>
      </c>
      <c r="Y12" t="s">
        <v>1242</v>
      </c>
      <c r="Z12" s="265">
        <f>18%+17.9%</f>
        <v>0.35899999999999999</v>
      </c>
      <c r="AA12" s="246">
        <f t="shared" ref="AA12:AA15" si="5">Z12*$AA$3</f>
        <v>36771.573243221283</v>
      </c>
      <c r="AB12" s="2">
        <f t="shared" ref="AB12:AB15" si="6">AA12/$AA$7</f>
        <v>0.15688299999999999</v>
      </c>
      <c r="AD12" s="127"/>
      <c r="AE12" t="s">
        <v>1237</v>
      </c>
      <c r="AF12" s="265">
        <v>0.35199999999999998</v>
      </c>
      <c r="AG12" s="246">
        <f>AF12*$AA$3</f>
        <v>36054.578778868781</v>
      </c>
      <c r="AH12" s="2">
        <f>AG12/$AA$7</f>
        <v>0.15382399999999999</v>
      </c>
    </row>
    <row r="13" spans="2:34">
      <c r="B13" t="s">
        <v>24</v>
      </c>
      <c r="C13" s="6">
        <f>'Demand - Ethylene'!R15</f>
        <v>4.630428406538261E-2</v>
      </c>
      <c r="D13" s="101">
        <f>C13*$E$3</f>
        <v>28252.795552627907</v>
      </c>
      <c r="E13" s="2">
        <f>D13/$E$8</f>
        <v>1.817208292847259E-2</v>
      </c>
      <c r="J13" s="127" t="s">
        <v>27</v>
      </c>
      <c r="K13" s="201">
        <v>0.08</v>
      </c>
      <c r="L13" s="101">
        <f>K13*L12/K12</f>
        <v>4698.03652173913</v>
      </c>
      <c r="M13" s="2">
        <f>L13/$M$8</f>
        <v>3.0066921456275191E-2</v>
      </c>
      <c r="R13" t="s">
        <v>78</v>
      </c>
      <c r="S13" s="104">
        <f>SUM(S9:S12)</f>
        <v>1</v>
      </c>
      <c r="T13" s="41">
        <f>T3</f>
        <v>2386335.504290435</v>
      </c>
      <c r="Y13" t="s">
        <v>1246</v>
      </c>
      <c r="Z13" s="265">
        <f>14%</f>
        <v>0.14000000000000001</v>
      </c>
      <c r="AA13" s="246">
        <f t="shared" si="5"/>
        <v>14339.889287050084</v>
      </c>
      <c r="AB13" s="2">
        <f t="shared" si="6"/>
        <v>6.1180000000000005E-2</v>
      </c>
      <c r="AE13" t="s">
        <v>1242</v>
      </c>
      <c r="AF13" s="265">
        <v>0.221</v>
      </c>
      <c r="AG13" s="246">
        <f t="shared" ref="AG13:AG18" si="7">AF13*$AA$3</f>
        <v>22636.539517414774</v>
      </c>
      <c r="AH13" s="2">
        <f t="shared" ref="AH13:AH17" si="8">AG13/$AA$7</f>
        <v>9.6576999999999996E-2</v>
      </c>
    </row>
    <row r="14" spans="2:34">
      <c r="C14" s="6">
        <f>SUM(C12:C13)</f>
        <v>1</v>
      </c>
      <c r="D14" s="101">
        <f>C14*$E$3</f>
        <v>610155.11032919493</v>
      </c>
      <c r="J14" t="s">
        <v>78</v>
      </c>
      <c r="K14" s="104">
        <f>SUM(K12:K13)</f>
        <v>1</v>
      </c>
      <c r="L14" s="101">
        <f>SUM(L12:L13)</f>
        <v>58725.456521739128</v>
      </c>
      <c r="Q14" t="s">
        <v>1280</v>
      </c>
      <c r="S14" t="s">
        <v>93</v>
      </c>
      <c r="Y14" t="s">
        <v>1247</v>
      </c>
      <c r="Z14" s="265">
        <v>0.106</v>
      </c>
      <c r="AA14" s="246">
        <f t="shared" si="5"/>
        <v>10857.34474590935</v>
      </c>
      <c r="AB14" s="2">
        <f t="shared" si="6"/>
        <v>4.6322000000000002E-2</v>
      </c>
      <c r="AE14" t="s">
        <v>1243</v>
      </c>
      <c r="AF14" s="265">
        <v>0.18</v>
      </c>
      <c r="AG14" s="246">
        <f t="shared" si="7"/>
        <v>18437.000511921535</v>
      </c>
      <c r="AH14" s="2">
        <f t="shared" si="8"/>
        <v>7.8659999999999994E-2</v>
      </c>
    </row>
    <row r="15" spans="2:34">
      <c r="I15" t="s">
        <v>60</v>
      </c>
      <c r="J15" t="s">
        <v>1221</v>
      </c>
      <c r="K15" s="201"/>
      <c r="L15" s="41"/>
      <c r="Q15" t="s">
        <v>1213</v>
      </c>
      <c r="T15" s="53"/>
      <c r="Y15" t="s">
        <v>27</v>
      </c>
      <c r="Z15" s="265">
        <f>1-Z11-Z12-Z13-Z14</f>
        <v>0.249</v>
      </c>
      <c r="AA15" s="246">
        <f t="shared" si="5"/>
        <v>25504.517374824791</v>
      </c>
      <c r="AB15" s="2">
        <f t="shared" si="6"/>
        <v>0.10881299999999999</v>
      </c>
      <c r="AE15" t="s">
        <v>1238</v>
      </c>
      <c r="AF15" s="265">
        <v>0.11899999999999999</v>
      </c>
      <c r="AG15" s="246">
        <f t="shared" si="7"/>
        <v>12188.905893992571</v>
      </c>
      <c r="AH15" s="2">
        <f t="shared" si="8"/>
        <v>5.2003000000000001E-2</v>
      </c>
    </row>
    <row r="16" spans="2:34">
      <c r="B16" s="1" t="s">
        <v>73</v>
      </c>
      <c r="D16" s="1" t="s">
        <v>551</v>
      </c>
      <c r="E16" s="1" t="s">
        <v>553</v>
      </c>
      <c r="K16" s="201"/>
      <c r="L16" s="41"/>
      <c r="Q16" t="s">
        <v>1223</v>
      </c>
      <c r="R16" s="53">
        <f>(12*2+4)/R20-R17</f>
        <v>0.1458316615995828</v>
      </c>
      <c r="T16" s="53"/>
      <c r="Y16" s="121" t="s">
        <v>78</v>
      </c>
      <c r="Z16" s="38">
        <f>SUM(Z11:Z15)</f>
        <v>1</v>
      </c>
      <c r="AA16" s="216">
        <f>Z16*$AA$3</f>
        <v>102427.78062178631</v>
      </c>
      <c r="AB16" s="2"/>
      <c r="AE16" t="s">
        <v>1239</v>
      </c>
      <c r="AF16" s="265">
        <v>7.9000000000000001E-2</v>
      </c>
      <c r="AG16" s="246">
        <f t="shared" si="7"/>
        <v>8091.7946691211182</v>
      </c>
      <c r="AH16" s="2">
        <f t="shared" si="8"/>
        <v>3.4522999999999998E-2</v>
      </c>
    </row>
    <row r="17" spans="2:35">
      <c r="B17" t="s">
        <v>74</v>
      </c>
      <c r="C17" s="6">
        <f>'Demand - Ethylene'!R19</f>
        <v>0.59</v>
      </c>
      <c r="D17" s="101">
        <f>C17*$D$12</f>
        <v>343322.36571817455</v>
      </c>
      <c r="E17" s="2">
        <f>D17/$E$8</f>
        <v>0.22082354609506097</v>
      </c>
      <c r="K17" s="38"/>
      <c r="L17" s="41"/>
      <c r="M17" s="495"/>
      <c r="N17" s="127"/>
      <c r="O17" s="127"/>
      <c r="Q17" t="s">
        <v>1224</v>
      </c>
      <c r="R17" s="53">
        <f>'Production - Industry shares'!Z147</f>
        <v>1.6717337505350475E-6</v>
      </c>
      <c r="T17" s="41"/>
      <c r="U17" s="495"/>
      <c r="V17" s="127"/>
      <c r="W17" s="127"/>
      <c r="X17" t="s">
        <v>60</v>
      </c>
      <c r="Y17" t="s">
        <v>1251</v>
      </c>
      <c r="AC17" t="s">
        <v>93</v>
      </c>
      <c r="AE17" t="s">
        <v>27</v>
      </c>
      <c r="AF17" s="265">
        <f>1-AF12-AF13-AF14-AF15-AF16</f>
        <v>4.9000000000000057E-2</v>
      </c>
      <c r="AG17" s="246">
        <f t="shared" si="7"/>
        <v>5018.9612504675351</v>
      </c>
      <c r="AH17" s="2">
        <f t="shared" si="8"/>
        <v>2.1413000000000026E-2</v>
      </c>
    </row>
    <row r="18" spans="2:35">
      <c r="B18" t="s">
        <v>24</v>
      </c>
      <c r="C18" s="6">
        <f>'Demand - Ethylene'!R20</f>
        <v>0.41000000000000003</v>
      </c>
      <c r="D18" s="101">
        <f>C18*$D$12</f>
        <v>238579.94905839249</v>
      </c>
      <c r="E18" s="2">
        <f>D18/$E$8</f>
        <v>0.15345365067622882</v>
      </c>
      <c r="L18" s="6"/>
      <c r="M18" s="195"/>
      <c r="Q18" t="s">
        <v>1225</v>
      </c>
      <c r="R18" s="53">
        <f>(12*8+4+6)/192</f>
        <v>0.55208333333333337</v>
      </c>
      <c r="S18" s="38"/>
      <c r="T18" s="6"/>
      <c r="U18" s="195"/>
      <c r="Y18" s="53"/>
      <c r="AA18" s="53"/>
      <c r="AE18" s="121" t="s">
        <v>78</v>
      </c>
      <c r="AF18" s="38">
        <f>SUM(AF12:AF17)</f>
        <v>0.99999999999999989</v>
      </c>
      <c r="AG18" s="216">
        <f t="shared" si="7"/>
        <v>102427.7806217863</v>
      </c>
    </row>
    <row r="19" spans="2:35">
      <c r="C19" s="6">
        <f>SUM(C17:C18)</f>
        <v>1</v>
      </c>
      <c r="D19" s="101">
        <f>D12</f>
        <v>581902.31477656704</v>
      </c>
      <c r="L19" s="6"/>
      <c r="Q19" t="s">
        <v>1226</v>
      </c>
      <c r="R19" s="52">
        <f>64/R20</f>
        <v>0.33333333333333331</v>
      </c>
      <c r="S19" s="195" t="s">
        <v>1228</v>
      </c>
      <c r="T19" s="6"/>
      <c r="Y19" s="53"/>
      <c r="Z19" s="38"/>
      <c r="AA19" s="41"/>
      <c r="AB19" s="495"/>
      <c r="AC19" s="127"/>
      <c r="AD19" t="s">
        <v>60</v>
      </c>
      <c r="AE19" s="5" t="s">
        <v>1248</v>
      </c>
      <c r="AF19" s="38"/>
      <c r="AG19" s="41"/>
      <c r="AH19" s="495"/>
      <c r="AI19" t="s">
        <v>1249</v>
      </c>
    </row>
    <row r="20" spans="2:35">
      <c r="G20" t="s">
        <v>74</v>
      </c>
      <c r="H20" s="41">
        <f>D17+9*0.14</f>
        <v>343323.62571817456</v>
      </c>
      <c r="I20" s="2">
        <f>H20/$H$25</f>
        <v>2959.6864286049531</v>
      </c>
      <c r="L20" s="5"/>
      <c r="Q20" t="s">
        <v>1227</v>
      </c>
      <c r="R20">
        <f>12*10+8+16*4</f>
        <v>192</v>
      </c>
      <c r="T20" s="5"/>
      <c r="Y20" s="52"/>
      <c r="Z20" s="195"/>
      <c r="AA20" s="6"/>
      <c r="AB20" s="195"/>
      <c r="AE20" s="52"/>
      <c r="AF20" s="195"/>
      <c r="AG20" s="6"/>
      <c r="AH20" s="195"/>
    </row>
    <row r="21" spans="2:35">
      <c r="B21" s="167" t="s">
        <v>930</v>
      </c>
      <c r="G21" t="s">
        <v>35</v>
      </c>
      <c r="H21" s="230">
        <f>AA11+T9+T10+9*0.36</f>
        <v>1924032.6671108108</v>
      </c>
      <c r="I21" s="2">
        <f t="shared" ref="I21:I24" si="9">H21/$H$25</f>
        <v>16586.488509575956</v>
      </c>
      <c r="R21" s="6">
        <f>SUM(R16:R19)</f>
        <v>1.03125</v>
      </c>
      <c r="AA21" s="6"/>
      <c r="AG21" s="6"/>
    </row>
    <row r="22" spans="2:35">
      <c r="B22" t="s">
        <v>1252</v>
      </c>
      <c r="C22" s="52">
        <v>0.82</v>
      </c>
      <c r="D22" s="241">
        <f>C22*$D$24</f>
        <v>59875.352761432419</v>
      </c>
      <c r="E22" s="2">
        <f>D22/$E$8</f>
        <v>3.8511582817548656E-2</v>
      </c>
      <c r="G22" t="s">
        <v>160</v>
      </c>
      <c r="H22" s="41">
        <f>D28+L12+9*0.07</f>
        <v>110909.6351233608</v>
      </c>
      <c r="I22" s="2">
        <f t="shared" si="9"/>
        <v>956.11754416690349</v>
      </c>
      <c r="AA22" s="5"/>
      <c r="AG22" s="5"/>
    </row>
    <row r="23" spans="2:35">
      <c r="B23" t="s">
        <v>27</v>
      </c>
      <c r="C23" s="52">
        <v>0.18</v>
      </c>
      <c r="D23" s="241">
        <f>D22*C23/C22</f>
        <v>13143.370118363215</v>
      </c>
      <c r="E23" s="2">
        <f>D23/$E$8</f>
        <v>8.4537620819009254E-3</v>
      </c>
      <c r="F23" s="2"/>
      <c r="G23" t="s">
        <v>911</v>
      </c>
      <c r="H23" s="41">
        <f>M3+9*0.07</f>
        <v>43751.375416352297</v>
      </c>
      <c r="I23" s="2">
        <f t="shared" si="9"/>
        <v>377.16702945131289</v>
      </c>
    </row>
    <row r="24" spans="2:35">
      <c r="B24" t="s">
        <v>78</v>
      </c>
      <c r="C24" s="6">
        <f>SUM(C22:C23)</f>
        <v>1</v>
      </c>
      <c r="D24" s="241">
        <f>E6</f>
        <v>73018.722879795634</v>
      </c>
      <c r="G24" t="s">
        <v>27</v>
      </c>
      <c r="H24" s="230">
        <f>116-H20-H21-H22-H23</f>
        <v>-2421901.3033686988</v>
      </c>
      <c r="I24" s="2">
        <f t="shared" si="9"/>
        <v>-20878.459511799127</v>
      </c>
    </row>
    <row r="25" spans="2:35">
      <c r="B25" t="s">
        <v>60</v>
      </c>
      <c r="C25" t="s">
        <v>1253</v>
      </c>
      <c r="E25" t="s">
        <v>93</v>
      </c>
      <c r="G25" t="s">
        <v>78</v>
      </c>
      <c r="H25">
        <v>116</v>
      </c>
    </row>
    <row r="27" spans="2:35" s="1" customFormat="1">
      <c r="B27" s="1" t="s">
        <v>1252</v>
      </c>
    </row>
    <row r="28" spans="2:35">
      <c r="B28" t="s">
        <v>160</v>
      </c>
      <c r="C28" s="6">
        <f>'Sankey Methanol_detailed'!G83</f>
        <v>0.95</v>
      </c>
      <c r="D28" s="681">
        <f>D30*C28</f>
        <v>56881.585123360797</v>
      </c>
      <c r="E28" s="2">
        <f>D28/$E$8</f>
        <v>3.6586003676671225E-2</v>
      </c>
      <c r="G28" t="s">
        <v>1563</v>
      </c>
    </row>
    <row r="29" spans="2:35">
      <c r="B29" t="s">
        <v>27</v>
      </c>
      <c r="C29" s="6">
        <f>1-C28</f>
        <v>5.0000000000000044E-2</v>
      </c>
      <c r="D29" s="681">
        <f>D30*C29</f>
        <v>2993.7676380716234</v>
      </c>
      <c r="E29" s="2">
        <f>D29/$E$8</f>
        <v>1.9255791408774345E-3</v>
      </c>
    </row>
    <row r="30" spans="2:35">
      <c r="B30" t="s">
        <v>78</v>
      </c>
      <c r="C30" s="6">
        <f>SUM(C28:C29)</f>
        <v>1</v>
      </c>
      <c r="D30" s="600">
        <f>D22</f>
        <v>59875.352761432419</v>
      </c>
    </row>
    <row r="32" spans="2:35">
      <c r="B32" t="s">
        <v>1213</v>
      </c>
      <c r="J32" t="s">
        <v>1264</v>
      </c>
      <c r="K32" s="2">
        <f>(6*12+6)/(6*12+5+14+16*2)</f>
        <v>0.63414634146341464</v>
      </c>
    </row>
    <row r="33" spans="1:11">
      <c r="B33" t="s">
        <v>1207</v>
      </c>
      <c r="C33" s="53">
        <f>(12*2+4)/(12*8+10)</f>
        <v>0.26415094339622641</v>
      </c>
      <c r="D33" t="s">
        <v>1208</v>
      </c>
      <c r="E33" s="53">
        <f>(12*6+6)/(12*8+10)</f>
        <v>0.73584905660377353</v>
      </c>
      <c r="F33" s="6"/>
      <c r="J33" t="s">
        <v>1265</v>
      </c>
      <c r="K33" s="2">
        <f>(6*12+5+14+16*2)/(12*6+5+14+2)</f>
        <v>1.3225806451612903</v>
      </c>
    </row>
    <row r="34" spans="1:11">
      <c r="B34" t="s">
        <v>1210</v>
      </c>
      <c r="C34" s="53">
        <f>(12*3+7)/(12*9+13)</f>
        <v>0.35537190082644626</v>
      </c>
      <c r="D34" t="s">
        <v>1211</v>
      </c>
      <c r="E34" s="53">
        <f>(12*6+6)/(12*9+13)</f>
        <v>0.64462809917355368</v>
      </c>
      <c r="J34" t="s">
        <v>1263</v>
      </c>
      <c r="K34" s="2">
        <f>(12*6+5+14+2)*2/(C40)</f>
        <v>0.74399999999999999</v>
      </c>
    </row>
    <row r="35" spans="1:11">
      <c r="K35" s="2">
        <f>K32*K34*K33</f>
        <v>0.62399999999999989</v>
      </c>
    </row>
    <row r="36" spans="1:11">
      <c r="B36" t="s">
        <v>1255</v>
      </c>
      <c r="F36" t="s">
        <v>1256</v>
      </c>
    </row>
    <row r="37" spans="1:11">
      <c r="B37" t="s">
        <v>1260</v>
      </c>
      <c r="C37" s="48">
        <f>(6*12+4)*2</f>
        <v>152</v>
      </c>
      <c r="D37" s="22">
        <f>C37/$C$40</f>
        <v>0.60799999999999998</v>
      </c>
      <c r="F37" t="s">
        <v>1268</v>
      </c>
      <c r="G37">
        <f>12*6+12+3+3</f>
        <v>90</v>
      </c>
      <c r="H37" s="2">
        <f>G37/$G$39</f>
        <v>0.51724137931034486</v>
      </c>
    </row>
    <row r="38" spans="1:11">
      <c r="B38" t="s">
        <v>1261</v>
      </c>
      <c r="C38" s="48">
        <f>12+2</f>
        <v>14</v>
      </c>
      <c r="D38" s="2">
        <f t="shared" ref="D38:D39" si="10">C38/$C$40</f>
        <v>5.6000000000000001E-2</v>
      </c>
      <c r="F38" t="s">
        <v>1269</v>
      </c>
      <c r="G38">
        <f>(14+12+16)*2</f>
        <v>84</v>
      </c>
      <c r="H38" s="2">
        <f>G38/$G$39</f>
        <v>0.48275862068965519</v>
      </c>
    </row>
    <row r="39" spans="1:11">
      <c r="B39" t="s">
        <v>1262</v>
      </c>
      <c r="C39" s="48">
        <f>(14+12+16)*2</f>
        <v>84</v>
      </c>
      <c r="D39" s="2">
        <f t="shared" si="10"/>
        <v>0.33600000000000002</v>
      </c>
      <c r="G39">
        <f>SUM(G37:G38)</f>
        <v>174</v>
      </c>
    </row>
    <row r="40" spans="1:11">
      <c r="C40">
        <f>SUM(C37:C39)</f>
        <v>250</v>
      </c>
    </row>
    <row r="43" spans="1:11" s="180" customFormat="1">
      <c r="A43" s="321"/>
      <c r="B43" s="178" t="s">
        <v>1275</v>
      </c>
    </row>
    <row r="45" spans="1:11">
      <c r="B45" t="s">
        <v>1257</v>
      </c>
    </row>
    <row r="46" spans="1:11">
      <c r="B46" t="s">
        <v>1258</v>
      </c>
      <c r="C46" s="246">
        <f>'Demand - Propylene'!X16</f>
        <v>65189.189090013431</v>
      </c>
      <c r="F46" t="s">
        <v>1266</v>
      </c>
      <c r="G46">
        <f>D22/K35</f>
        <v>95954.090963834024</v>
      </c>
    </row>
    <row r="47" spans="1:11">
      <c r="B47" t="s">
        <v>1259</v>
      </c>
      <c r="C47" s="246">
        <f>'Demand - Ethylene'!I19</f>
        <v>12490.634006346041</v>
      </c>
      <c r="F47" t="s">
        <v>1267</v>
      </c>
      <c r="G47">
        <f>M6/H37</f>
        <v>113535.88260869564</v>
      </c>
    </row>
    <row r="48" spans="1:11">
      <c r="C48" s="246">
        <f>SUM(C46:C47)/0.9</f>
        <v>86310.914551510519</v>
      </c>
      <c r="D48" t="s">
        <v>1272</v>
      </c>
      <c r="E48" t="s">
        <v>93</v>
      </c>
      <c r="G48">
        <f>SUM(G46:G47)/0.9</f>
        <v>232766.63730281073</v>
      </c>
      <c r="H48" t="s">
        <v>1273</v>
      </c>
      <c r="I48" t="s">
        <v>93</v>
      </c>
    </row>
    <row r="50" spans="1:7">
      <c r="B50" t="s">
        <v>1270</v>
      </c>
      <c r="D50">
        <v>22.5</v>
      </c>
      <c r="E50" t="s">
        <v>127</v>
      </c>
      <c r="F50" s="497" t="s">
        <v>1254</v>
      </c>
      <c r="G50" s="498">
        <f>D28/D51</f>
        <v>0.17826884026404582</v>
      </c>
    </row>
    <row r="51" spans="1:7">
      <c r="B51" t="s">
        <v>1274</v>
      </c>
      <c r="D51" s="41">
        <f>C48+G48</f>
        <v>319077.55185432127</v>
      </c>
      <c r="E51" t="s">
        <v>127</v>
      </c>
      <c r="F51" s="497" t="s">
        <v>1282</v>
      </c>
      <c r="G51" s="498">
        <f>L12/D51</f>
        <v>0.16932378879685925</v>
      </c>
    </row>
    <row r="53" spans="1:7" s="178" customFormat="1">
      <c r="A53" s="177"/>
      <c r="B53" s="178" t="s">
        <v>1276</v>
      </c>
    </row>
    <row r="55" spans="1:7">
      <c r="C55" s="1" t="s">
        <v>88</v>
      </c>
      <c r="D55" s="1" t="s">
        <v>1277</v>
      </c>
      <c r="E55" s="1" t="s">
        <v>1198</v>
      </c>
      <c r="F55" s="1" t="s">
        <v>1199</v>
      </c>
      <c r="G55" s="1" t="s">
        <v>1200</v>
      </c>
    </row>
    <row r="56" spans="1:7">
      <c r="B56" t="s">
        <v>35</v>
      </c>
      <c r="C56" s="2">
        <f>0%</f>
        <v>0</v>
      </c>
      <c r="D56" s="2">
        <f>0</f>
        <v>0</v>
      </c>
      <c r="E56" s="2">
        <f>U9+U10</f>
        <v>0.7840026971704176</v>
      </c>
      <c r="F56" s="2">
        <v>0</v>
      </c>
      <c r="G56" s="2">
        <v>0</v>
      </c>
    </row>
    <row r="57" spans="1:7">
      <c r="B57" t="s">
        <v>160</v>
      </c>
      <c r="C57" s="2">
        <f>E28</f>
        <v>3.6586003676671225E-2</v>
      </c>
      <c r="D57" s="2">
        <f>M12</f>
        <v>0.34576959674716473</v>
      </c>
      <c r="E57" s="2">
        <f>0</f>
        <v>0</v>
      </c>
      <c r="F57" s="2">
        <v>0</v>
      </c>
      <c r="G57" s="2">
        <v>0</v>
      </c>
    </row>
    <row r="58" spans="1:7">
      <c r="B58" t="s">
        <v>74</v>
      </c>
      <c r="C58" s="2">
        <f>E17</f>
        <v>0.22082354609506097</v>
      </c>
      <c r="D58" s="2">
        <f>0</f>
        <v>0</v>
      </c>
      <c r="E58" s="2">
        <f>0</f>
        <v>0</v>
      </c>
      <c r="F58" s="2">
        <v>0</v>
      </c>
      <c r="G58" s="2">
        <v>0</v>
      </c>
    </row>
    <row r="59" spans="1:7">
      <c r="B59" t="s">
        <v>1001</v>
      </c>
      <c r="C59" s="2">
        <f>E18</f>
        <v>0.15345365067622882</v>
      </c>
      <c r="D59" s="2">
        <f>0</f>
        <v>0</v>
      </c>
      <c r="E59" s="2">
        <f>U11</f>
        <v>9.7998651414791249E-2</v>
      </c>
      <c r="F59" s="2">
        <f>AB11+AB12+AB13+AB14</f>
        <v>0.32818700000000001</v>
      </c>
      <c r="G59" s="2">
        <f>AH12+AH13+AH14+AH15</f>
        <v>0.38106400000000001</v>
      </c>
    </row>
    <row r="60" spans="1:7">
      <c r="B60" t="s">
        <v>911</v>
      </c>
      <c r="C60" s="2">
        <v>0</v>
      </c>
      <c r="D60" s="2">
        <f>L3</f>
        <v>0</v>
      </c>
      <c r="E60" s="2">
        <v>0</v>
      </c>
      <c r="F60" s="2">
        <v>0</v>
      </c>
      <c r="G60" s="2">
        <v>0</v>
      </c>
    </row>
    <row r="61" spans="1:7">
      <c r="B61" t="s">
        <v>1020</v>
      </c>
      <c r="C61" s="2">
        <f>0</f>
        <v>0</v>
      </c>
      <c r="D61" s="2">
        <f>K4</f>
        <v>0.22</v>
      </c>
      <c r="E61" s="2">
        <f>0</f>
        <v>0</v>
      </c>
      <c r="F61" s="2">
        <f>Z5</f>
        <v>0.187</v>
      </c>
      <c r="G61" s="2">
        <f>0</f>
        <v>0</v>
      </c>
    </row>
    <row r="62" spans="1:7">
      <c r="B62" t="s">
        <v>27</v>
      </c>
      <c r="C62" s="2">
        <f>1-C56-C57-C58-C59-C60-C61</f>
        <v>0.58913679955203901</v>
      </c>
      <c r="D62" s="2">
        <f t="shared" ref="D62:G62" si="11">1-D56-D57-D58-D59-D60-D61</f>
        <v>0.43423040325283524</v>
      </c>
      <c r="E62" s="2">
        <f t="shared" si="11"/>
        <v>0.11799865141479116</v>
      </c>
      <c r="F62" s="2">
        <f t="shared" si="11"/>
        <v>0.48481299999999999</v>
      </c>
      <c r="G62" s="2">
        <f t="shared" si="11"/>
        <v>0.61893599999999993</v>
      </c>
    </row>
    <row r="63" spans="1:7">
      <c r="B63" s="1" t="s">
        <v>78</v>
      </c>
      <c r="C63" s="118">
        <f>SUM(C56:C62)</f>
        <v>1</v>
      </c>
      <c r="D63" s="118">
        <f t="shared" ref="D63:G63" si="12">SUM(D56:D62)</f>
        <v>1</v>
      </c>
      <c r="E63" s="118">
        <f t="shared" si="12"/>
        <v>1</v>
      </c>
      <c r="F63" s="118">
        <f t="shared" si="12"/>
        <v>1</v>
      </c>
      <c r="G63" s="118">
        <f t="shared" si="12"/>
        <v>1</v>
      </c>
    </row>
    <row r="65" spans="2:21">
      <c r="B65" t="s">
        <v>1283</v>
      </c>
      <c r="C65" s="2">
        <f>C59*E8/('Production - Industry shares'!$I$13*'Production - Industry shares'!$L$14)</f>
        <v>0.40325754049234003</v>
      </c>
      <c r="D65" s="2">
        <f>D59*M8/('Production - Industry shares'!$I$13*'Production - Industry shares'!$L$14)</f>
        <v>0</v>
      </c>
      <c r="E65" s="2">
        <f>E59*T5/('Production - Industry shares'!$I$13*'Production - Industry shares'!$L$14)</f>
        <v>0.40334258920725741</v>
      </c>
      <c r="F65" s="2">
        <f>F59*AA7/('Production - Industry shares'!$I$13*'Production - Industry shares'!$L$14)</f>
        <v>0.13001883044254653</v>
      </c>
      <c r="G65" s="2">
        <f>G59*AG7/('Production - Industry shares'!$I$13*'Production - Industry shares'!$L$14)</f>
        <v>2.5161211750088897E-2</v>
      </c>
    </row>
    <row r="66" spans="2:21">
      <c r="E66" s="696">
        <f>(E65*T5+F65*AA7+G65*AG7)/SUM(AG7,AA7,T5)</f>
        <v>0.37423503252390977</v>
      </c>
      <c r="F66" s="696"/>
      <c r="G66" s="696"/>
    </row>
    <row r="68" spans="2:21" ht="15.5" thickBot="1"/>
    <row r="69" spans="2:21">
      <c r="B69" s="28" t="s">
        <v>1329</v>
      </c>
      <c r="C69" s="28" t="s">
        <v>74</v>
      </c>
      <c r="D69" s="28" t="s">
        <v>35</v>
      </c>
      <c r="E69" s="28" t="s">
        <v>77</v>
      </c>
      <c r="F69" s="28" t="s">
        <v>160</v>
      </c>
      <c r="G69" s="28" t="s">
        <v>27</v>
      </c>
      <c r="H69" s="28"/>
      <c r="I69" s="28"/>
      <c r="J69" s="31" t="s">
        <v>78</v>
      </c>
      <c r="K69" s="34" t="s">
        <v>79</v>
      </c>
      <c r="L69" s="34" t="s">
        <v>67</v>
      </c>
      <c r="M69" s="87" t="s">
        <v>80</v>
      </c>
      <c r="N69" s="90" t="s">
        <v>78</v>
      </c>
      <c r="P69" s="151" t="s">
        <v>343</v>
      </c>
      <c r="U69" s="1" t="s">
        <v>380</v>
      </c>
    </row>
    <row r="70" spans="2:21">
      <c r="B70" t="s">
        <v>17</v>
      </c>
      <c r="C70" s="2">
        <f>'Production - Industry shares'!E97/'Production - Industry shares'!E$104*('Production - Industry shares'!$E$104/'Production - Industry shares'!$K$104)</f>
        <v>0.19532093802884157</v>
      </c>
      <c r="D70" s="2">
        <v>0</v>
      </c>
      <c r="E70" s="2">
        <v>0</v>
      </c>
      <c r="F70" s="2">
        <f>'Production - Industry shares'!I97/'Production - Industry shares'!I$104*('Production - Industry shares'!$I$104/'Production - Industry shares'!$K$104)</f>
        <v>7.5357249461831177E-3</v>
      </c>
      <c r="G70" s="2">
        <f>'Production - Industry shares'!J97/'Production - Industry shares'!J$104*('Production - Industry shares'!$J$104/'Production - Industry shares'!$K$104)</f>
        <v>1.2184666978602445E-3</v>
      </c>
      <c r="H70" s="201"/>
      <c r="I70" s="2"/>
      <c r="J70" s="32">
        <f>SUM(C70:I70)</f>
        <v>0.20407512967288494</v>
      </c>
      <c r="K70" s="478">
        <f>'Yearly Demand - BTX'!$N$16*'Demand - BTX'!J70</f>
        <v>312187.37987787981</v>
      </c>
      <c r="L70" s="543">
        <f>$L$77</f>
        <v>0</v>
      </c>
      <c r="M70" s="88">
        <f>K70*(1+L70)^30</f>
        <v>312187.37987787981</v>
      </c>
      <c r="N70" s="91">
        <f>M70/M$77</f>
        <v>0.20407512967288496</v>
      </c>
      <c r="P70" s="51" t="s">
        <v>1331</v>
      </c>
    </row>
    <row r="71" spans="2:21">
      <c r="B71" t="s">
        <v>19</v>
      </c>
      <c r="C71" s="2">
        <f>'Production - Industry shares'!E98/'Production - Industry shares'!E$104*('Production - Industry shares'!$E$104/'Production - Industry shares'!$K$104)</f>
        <v>0.18682872333193537</v>
      </c>
      <c r="D71" s="2">
        <v>0</v>
      </c>
      <c r="E71" s="2">
        <v>0</v>
      </c>
      <c r="F71" s="2">
        <f>'Production - Industry shares'!I98/'Production - Industry shares'!I$104*('Production - Industry shares'!$I$104/'Production - Industry shares'!$K$104)</f>
        <v>9.0428699354197409E-2</v>
      </c>
      <c r="G71" s="2">
        <f>'Production - Industry shares'!J98/'Production - Industry shares'!J$104*('Production - Industry shares'!$J$104/'Production - Industry shares'!$K$104)</f>
        <v>6.0923334893012221E-3</v>
      </c>
      <c r="H71" s="265"/>
      <c r="I71" s="2"/>
      <c r="J71" s="32">
        <f>SUM(C71:I71)</f>
        <v>0.28334975617543401</v>
      </c>
      <c r="K71" s="478">
        <f>'Yearly Demand - BTX'!$N$16*'Demand - BTX'!J71</f>
        <v>433459.08005172329</v>
      </c>
      <c r="L71" s="543">
        <f t="shared" ref="L71:L76" si="13">$L$77</f>
        <v>0</v>
      </c>
      <c r="M71" s="88">
        <f t="shared" ref="M71:M76" si="14">K71*(1+L71)^30</f>
        <v>433459.08005172329</v>
      </c>
      <c r="N71" s="91">
        <f t="shared" ref="N71:N76" si="15">M71/M$77</f>
        <v>0.28334975617543406</v>
      </c>
      <c r="P71" s="51" t="s">
        <v>1332</v>
      </c>
      <c r="U71" s="165" t="s">
        <v>381</v>
      </c>
    </row>
    <row r="72" spans="2:21">
      <c r="B72" t="s">
        <v>21</v>
      </c>
      <c r="C72" s="2">
        <f>'Production - Industry shares'!E99/'Production - Industry shares'!E$104*('Production - Industry shares'!$E$104/'Production - Industry shares'!$K$104)</f>
        <v>0</v>
      </c>
      <c r="D72" s="2">
        <v>0</v>
      </c>
      <c r="E72" s="2">
        <v>0</v>
      </c>
      <c r="F72" s="2">
        <f>'Production - Industry shares'!I99/'Production - Industry shares'!I$104*('Production - Industry shares'!$I$104/'Production - Industry shares'!$K$104)</f>
        <v>3.0142899784732471E-2</v>
      </c>
      <c r="G72" s="2">
        <f>'Production - Industry shares'!J99/'Production - Industry shares'!J$104*('Production - Industry shares'!$J$104/'Production - Industry shares'!$K$104)</f>
        <v>2.6806267352925382E-2</v>
      </c>
      <c r="H72" s="265"/>
      <c r="I72" s="2"/>
      <c r="J72" s="32">
        <f t="shared" ref="J72:J76" si="16">SUM(C72:I72)</f>
        <v>5.6949167137657852E-2</v>
      </c>
      <c r="K72" s="478">
        <f>'Yearly Demand - BTX'!$N$16*'Demand - BTX'!J72</f>
        <v>87118.951257954774</v>
      </c>
      <c r="L72" s="543">
        <f t="shared" si="13"/>
        <v>0</v>
      </c>
      <c r="M72" s="88">
        <f t="shared" si="14"/>
        <v>87118.951257954774</v>
      </c>
      <c r="N72" s="91">
        <f t="shared" si="15"/>
        <v>5.6949167137657866E-2</v>
      </c>
      <c r="P72" s="51" t="s">
        <v>1332</v>
      </c>
    </row>
    <row r="73" spans="2:21">
      <c r="B73" t="s">
        <v>23</v>
      </c>
      <c r="C73" s="2">
        <f>'Production - Industry shares'!E100/'Production - Industry shares'!E$104*('Production - Industry shares'!$E$104/'Production - Industry shares'!$K$104)</f>
        <v>5.0953288181436934E-2</v>
      </c>
      <c r="D73" s="2">
        <v>0</v>
      </c>
      <c r="E73" s="2">
        <v>0</v>
      </c>
      <c r="F73" s="2">
        <f>'Production - Industry shares'!I100/'Production - Industry shares'!I$104*('Production - Industry shares'!$I$104/'Production - Industry shares'!$K$104)</f>
        <v>1.5071449892366235E-2</v>
      </c>
      <c r="G73" s="2">
        <f>'Production - Industry shares'!J100/'Production - Industry shares'!J$104*('Production - Industry shares'!$J$104/'Production - Industry shares'!$K$104)</f>
        <v>1.2184666978602444E-2</v>
      </c>
      <c r="H73" s="265"/>
      <c r="I73" s="2"/>
      <c r="J73" s="32">
        <f t="shared" si="16"/>
        <v>7.8209405052405617E-2</v>
      </c>
      <c r="K73" s="478">
        <f>'Yearly Demand - BTX'!$N$16*'Demand - BTX'!J73</f>
        <v>119642.15965098284</v>
      </c>
      <c r="L73" s="543">
        <f t="shared" si="13"/>
        <v>0</v>
      </c>
      <c r="M73" s="88">
        <f t="shared" si="14"/>
        <v>119642.15965098284</v>
      </c>
      <c r="N73" s="91">
        <f t="shared" si="15"/>
        <v>7.8209405052405631E-2</v>
      </c>
      <c r="P73" s="51" t="s">
        <v>346</v>
      </c>
    </row>
    <row r="74" spans="2:21">
      <c r="B74" t="s">
        <v>26</v>
      </c>
      <c r="C74" s="2">
        <f>'Production - Industry shares'!E101/'Production - Industry shares'!E$104*('Production - Industry shares'!$E$104/'Production - Industry shares'!$K$104)</f>
        <v>0.15285986454431078</v>
      </c>
      <c r="D74" s="2">
        <v>0</v>
      </c>
      <c r="E74" s="2">
        <v>0</v>
      </c>
      <c r="F74" s="2">
        <f>'Production - Industry shares'!I101/'Production - Industry shares'!I$104*('Production - Industry shares'!$I$104/'Production - Industry shares'!$K$104)</f>
        <v>3.7678624730915586E-2</v>
      </c>
      <c r="G74" s="2">
        <f>'Production - Industry shares'!J101/'Production - Industry shares'!J$104*('Production - Industry shares'!$J$104/'Production - Industry shares'!$K$104)</f>
        <v>2.436933395720489E-3</v>
      </c>
      <c r="H74" s="265"/>
      <c r="I74" s="2"/>
      <c r="J74" s="32">
        <f>SUM(C74:I74)</f>
        <v>0.19297542267094686</v>
      </c>
      <c r="K74" s="478">
        <f>'Yearly Demand - BTX'!$N$16*'Demand - BTX'!J74</f>
        <v>295207.41543095477</v>
      </c>
      <c r="L74" s="543">
        <f t="shared" si="13"/>
        <v>0</v>
      </c>
      <c r="M74" s="88">
        <f t="shared" si="14"/>
        <v>295207.41543095477</v>
      </c>
      <c r="N74" s="91">
        <f t="shared" si="15"/>
        <v>0.19297542267094689</v>
      </c>
      <c r="P74" s="51" t="s">
        <v>1331</v>
      </c>
      <c r="U74" s="165"/>
    </row>
    <row r="75" spans="2:21">
      <c r="B75" t="s">
        <v>365</v>
      </c>
      <c r="C75" s="2">
        <f>'Production - Industry shares'!E102/'Production - Industry shares'!E$104*('Production - Industry shares'!$E$104/'Production - Industry shares'!$K$104)</f>
        <v>0</v>
      </c>
      <c r="D75" s="2">
        <v>0</v>
      </c>
      <c r="E75" s="6">
        <f>'Production - Industry shares'!L102/'Production - Industry shares'!L104</f>
        <v>0</v>
      </c>
      <c r="F75" s="2">
        <f>'Production - Industry shares'!I102/'Production - Industry shares'!I$104*('Production - Industry shares'!$I$104/'Production - Industry shares'!$K$104)</f>
        <v>0</v>
      </c>
      <c r="G75" s="2">
        <f>'Production - Industry shares'!J102/'Production - Industry shares'!J$104*('Production - Industry shares'!$J$104/'Production - Industry shares'!$K$104)</f>
        <v>0</v>
      </c>
      <c r="H75" s="265"/>
      <c r="I75" s="22"/>
      <c r="J75" s="32">
        <f>SUM(C75:I75)</f>
        <v>0</v>
      </c>
      <c r="K75" s="478">
        <f>'Yearly Demand - BTX'!$N$16*'Demand - BTX'!J75</f>
        <v>0</v>
      </c>
      <c r="L75" s="543">
        <f t="shared" si="13"/>
        <v>0</v>
      </c>
      <c r="M75" s="88">
        <f t="shared" si="14"/>
        <v>0</v>
      </c>
      <c r="N75" s="91">
        <f t="shared" si="15"/>
        <v>0</v>
      </c>
      <c r="P75" s="51" t="s">
        <v>1333</v>
      </c>
      <c r="U75" s="165" t="s">
        <v>649</v>
      </c>
    </row>
    <row r="76" spans="2:21">
      <c r="B76" t="s">
        <v>27</v>
      </c>
      <c r="C76" s="2">
        <f>'Production - Industry shares'!E103/'Production - Industry shares'!E$104*('Production - Industry shares'!$E$104/'Production - Industry shares'!$K$104)</f>
        <v>5.9445502878343083E-2</v>
      </c>
      <c r="D76" s="2">
        <v>0</v>
      </c>
      <c r="E76" s="2">
        <v>0</v>
      </c>
      <c r="F76" s="2">
        <f>'Production - Industry shares'!I103/'Production - Industry shares'!I$104*('Production - Industry shares'!$I$104/'Production - Industry shares'!$K$104)</f>
        <v>0.10550014924656365</v>
      </c>
      <c r="G76" s="2">
        <f>'Production - Industry shares'!J103/'Production - Industry shares'!J$104*('Production - Industry shares'!$J$104/'Production - Industry shares'!$K$104)</f>
        <v>1.9495467165763912E-2</v>
      </c>
      <c r="H76" s="265"/>
      <c r="I76" s="2"/>
      <c r="J76" s="32">
        <f t="shared" si="16"/>
        <v>0.18444111929067064</v>
      </c>
      <c r="K76" s="478">
        <f>'Yearly Demand - BTX'!$N$16*'Demand - BTX'!J76</f>
        <v>282151.9205470754</v>
      </c>
      <c r="L76" s="543">
        <f t="shared" si="13"/>
        <v>0</v>
      </c>
      <c r="M76" s="88">
        <f t="shared" si="14"/>
        <v>282151.9205470754</v>
      </c>
      <c r="N76" s="91">
        <f t="shared" si="15"/>
        <v>0.18444111929067067</v>
      </c>
      <c r="P76" s="51" t="s">
        <v>346</v>
      </c>
      <c r="U76" s="165" t="s">
        <v>382</v>
      </c>
    </row>
    <row r="77" spans="2:21" ht="15.5" thickBot="1">
      <c r="B77" s="29" t="s">
        <v>78</v>
      </c>
      <c r="C77" s="30">
        <f>SUM(C70:C76)</f>
        <v>0.64540831696486767</v>
      </c>
      <c r="D77" s="30">
        <f>SUM(D70:D76)</f>
        <v>0</v>
      </c>
      <c r="E77" s="30">
        <f t="shared" ref="E77:G77" si="17">SUM(E70:E76)</f>
        <v>0</v>
      </c>
      <c r="F77" s="30">
        <f t="shared" si="17"/>
        <v>0.28635754795495844</v>
      </c>
      <c r="G77" s="30">
        <f t="shared" si="17"/>
        <v>6.8234135080173702E-2</v>
      </c>
      <c r="H77" s="266"/>
      <c r="I77" s="30"/>
      <c r="J77" s="264">
        <f>SUM(C77:I77)</f>
        <v>0.99999999999999989</v>
      </c>
      <c r="K77" s="36">
        <f>SUM(K70:K76)</f>
        <v>1529766.9068165708</v>
      </c>
      <c r="L77" s="39">
        <f>'Yearly Demand - BTX'!AT3</f>
        <v>0</v>
      </c>
      <c r="M77" s="89">
        <f>K77*(1+L77)^30</f>
        <v>1529766.9068165708</v>
      </c>
      <c r="N77" s="92">
        <f>SUM(N70:N76)</f>
        <v>1</v>
      </c>
    </row>
    <row r="78" spans="2:21" ht="16.25" thickTop="1" thickBot="1">
      <c r="M78" s="464">
        <f>SUM(M70:M76)</f>
        <v>1529766.9068165708</v>
      </c>
    </row>
    <row r="79" spans="2:21">
      <c r="B79" s="28" t="s">
        <v>1330</v>
      </c>
      <c r="C79" s="28" t="s">
        <v>74</v>
      </c>
      <c r="D79" s="28" t="s">
        <v>35</v>
      </c>
      <c r="E79" s="28" t="s">
        <v>77</v>
      </c>
      <c r="F79" s="28" t="s">
        <v>160</v>
      </c>
      <c r="G79" s="28" t="s">
        <v>27</v>
      </c>
      <c r="H79" s="28"/>
      <c r="I79" s="28"/>
      <c r="J79" s="31" t="s">
        <v>78</v>
      </c>
      <c r="K79" s="34" t="s">
        <v>79</v>
      </c>
      <c r="L79" s="34" t="s">
        <v>67</v>
      </c>
      <c r="M79" s="87" t="s">
        <v>80</v>
      </c>
      <c r="N79" s="90" t="s">
        <v>78</v>
      </c>
      <c r="P79" s="151" t="s">
        <v>343</v>
      </c>
      <c r="U79" s="1" t="s">
        <v>380</v>
      </c>
    </row>
    <row r="80" spans="2:21">
      <c r="B80" t="s">
        <v>17</v>
      </c>
      <c r="C80" s="2">
        <f>'Production - Industry shares'!E111/'Production - Industry shares'!E$118*('Production - Industry shares'!$E$118/('Production - Industry shares'!$K$118))</f>
        <v>2.9487835939901685E-2</v>
      </c>
      <c r="D80" s="2">
        <f>'Production - Industry shares'!G111/'Production - Industry shares'!G$118*('Production - Industry shares'!$G$118/('Production - Industry shares'!$K$118))</f>
        <v>0.1724624374972937</v>
      </c>
      <c r="E80" s="2">
        <v>0</v>
      </c>
      <c r="F80" s="2">
        <f>'Production - Industry shares'!I111/'Production - Industry shares'!I$118*('Production - Industry shares'!I$118/('Production - Industry shares'!$K$118))</f>
        <v>1.6784006597200696E-2</v>
      </c>
      <c r="G80" s="2">
        <f>'Production - Industry shares'!J111/'Production - Industry shares'!J$118*('Production - Industry shares'!J$118/('Production - Industry shares'!$K$118))</f>
        <v>1.6483436647331605E-3</v>
      </c>
      <c r="H80" s="201"/>
      <c r="I80" s="2"/>
      <c r="J80" s="32">
        <f>K80/$K$87</f>
        <v>0.14903342463145675</v>
      </c>
      <c r="K80" s="478">
        <f>'Production - Industry shares'!L111</f>
        <v>16766.545936057693</v>
      </c>
      <c r="L80" s="543">
        <f>$L$77</f>
        <v>0</v>
      </c>
      <c r="M80" s="547">
        <f>K80*(1+L80)^30</f>
        <v>16766.545936057693</v>
      </c>
      <c r="N80" s="91">
        <f>M80/M$87</f>
        <v>0.14903342463145675</v>
      </c>
      <c r="P80" s="51" t="s">
        <v>344</v>
      </c>
    </row>
    <row r="81" spans="2:21">
      <c r="B81" t="s">
        <v>19</v>
      </c>
      <c r="C81" s="2">
        <f>'Production - Industry shares'!E112/'Production - Industry shares'!E$118*('Production - Industry shares'!$E$118/('Production - Industry shares'!$K$118))</f>
        <v>2.8205756116427699E-2</v>
      </c>
      <c r="D81" s="2">
        <f>'Production - Industry shares'!G112/'Production - Industry shares'!G$118*('Production - Industry shares'!$G$118/('Production - Industry shares'!$K$118))</f>
        <v>0</v>
      </c>
      <c r="E81" s="2">
        <v>0</v>
      </c>
      <c r="F81" s="2">
        <f>'Production - Industry shares'!I112/'Production - Industry shares'!I$118*('Production - Industry shares'!I$118/('Production - Industry shares'!$K$118))</f>
        <v>0.20140807916640835</v>
      </c>
      <c r="G81" s="2">
        <f>'Production - Industry shares'!J112/'Production - Industry shares'!J$118*('Production - Industry shares'!J$118/('Production - Industry shares'!$K$118))</f>
        <v>8.2417183236658011E-3</v>
      </c>
      <c r="H81" s="265"/>
      <c r="I81" s="2"/>
      <c r="J81" s="32">
        <f t="shared" ref="J81:J86" si="18">K81/$K$87</f>
        <v>0.16084946774198913</v>
      </c>
      <c r="K81" s="478">
        <f>'Production - Industry shares'!L112</f>
        <v>18095.873434805668</v>
      </c>
      <c r="L81" s="543">
        <f t="shared" ref="L81:L86" si="19">$L$77</f>
        <v>0</v>
      </c>
      <c r="M81" s="547">
        <f t="shared" ref="M81:M86" si="20">K81*(1+L81)^30</f>
        <v>18095.873434805668</v>
      </c>
      <c r="N81" s="91">
        <f t="shared" ref="N81:N86" si="21">M81/M$87</f>
        <v>0.16084946774198913</v>
      </c>
      <c r="P81" s="51" t="s">
        <v>345</v>
      </c>
      <c r="U81" s="165" t="s">
        <v>381</v>
      </c>
    </row>
    <row r="82" spans="2:21">
      <c r="B82" t="s">
        <v>21</v>
      </c>
      <c r="C82" s="2">
        <f>'Production - Industry shares'!E113/'Production - Industry shares'!E$118*('Production - Industry shares'!$E$118/('Production - Industry shares'!$K$118))</f>
        <v>0</v>
      </c>
      <c r="D82" s="2">
        <f>'Production - Industry shares'!G113/'Production - Industry shares'!G$118*('Production - Industry shares'!$G$118/('Production - Industry shares'!$K$118))</f>
        <v>0</v>
      </c>
      <c r="E82" s="2">
        <v>0</v>
      </c>
      <c r="F82" s="2">
        <f>'Production - Industry shares'!I113/'Production - Industry shares'!I$118*('Production - Industry shares'!I$118/('Production - Industry shares'!$K$118))</f>
        <v>6.7136026388802783E-2</v>
      </c>
      <c r="G82" s="2">
        <f>'Production - Industry shares'!J113/'Production - Industry shares'!J$118*('Production - Industry shares'!J$118/('Production - Industry shares'!$K$118))</f>
        <v>3.6263560624129526E-2</v>
      </c>
      <c r="H82" s="265"/>
      <c r="I82" s="2"/>
      <c r="J82" s="32">
        <f t="shared" si="18"/>
        <v>6.9923818399828266E-2</v>
      </c>
      <c r="K82" s="478">
        <f>'Production - Industry shares'!L113</f>
        <v>7866.5635989003522</v>
      </c>
      <c r="L82" s="543">
        <f t="shared" si="19"/>
        <v>0</v>
      </c>
      <c r="M82" s="547">
        <f t="shared" si="20"/>
        <v>7866.5635989003522</v>
      </c>
      <c r="N82" s="91">
        <f t="shared" si="21"/>
        <v>6.9923818399828266E-2</v>
      </c>
      <c r="P82" s="51" t="s">
        <v>345</v>
      </c>
    </row>
    <row r="83" spans="2:21">
      <c r="B83" t="s">
        <v>23</v>
      </c>
      <c r="C83" s="2">
        <f>'Production - Industry shares'!E114/'Production - Industry shares'!E$118*('Production - Industry shares'!$E$118/('Production - Industry shares'!$K$118))</f>
        <v>7.6924789408439184E-3</v>
      </c>
      <c r="D83" s="2">
        <f>'Production - Industry shares'!G114/'Production - Industry shares'!G$118*('Production - Industry shares'!$G$118/('Production - Industry shares'!$K$118))</f>
        <v>0</v>
      </c>
      <c r="E83" s="2">
        <v>0</v>
      </c>
      <c r="F83" s="2">
        <f>'Production - Industry shares'!I114/'Production - Industry shares'!I$118*('Production - Industry shares'!I$118/('Production - Industry shares'!$K$118))</f>
        <v>3.3568013194401392E-2</v>
      </c>
      <c r="G83" s="2">
        <f>'Production - Industry shares'!J114/'Production - Industry shares'!J$118*('Production - Industry shares'!J$118/('Production - Industry shares'!$K$118))</f>
        <v>1.6483436647331602E-2</v>
      </c>
      <c r="H83" s="265"/>
      <c r="I83" s="2"/>
      <c r="J83" s="32">
        <f t="shared" si="18"/>
        <v>3.9049246776783821E-2</v>
      </c>
      <c r="K83" s="478">
        <f>'Production - Industry shares'!L114</f>
        <v>4393.1151113949882</v>
      </c>
      <c r="L83" s="543">
        <f t="shared" si="19"/>
        <v>0</v>
      </c>
      <c r="M83" s="547">
        <f t="shared" si="20"/>
        <v>4393.1151113949882</v>
      </c>
      <c r="N83" s="91">
        <f t="shared" si="21"/>
        <v>3.9049246776783821E-2</v>
      </c>
      <c r="P83" s="51" t="s">
        <v>346</v>
      </c>
    </row>
    <row r="84" spans="2:21">
      <c r="B84" t="s">
        <v>26</v>
      </c>
      <c r="C84" s="2">
        <f>'Production - Industry shares'!E115/'Production - Industry shares'!E$118*('Production - Industry shares'!$E$118/('Production - Industry shares'!$K$118))</f>
        <v>2.3077436822531751E-2</v>
      </c>
      <c r="D84" s="2">
        <f>'Production - Industry shares'!G115/'Production - Industry shares'!G$118*('Production - Industry shares'!$G$118/('Production - Industry shares'!$K$118))</f>
        <v>0</v>
      </c>
      <c r="E84" s="2">
        <v>0</v>
      </c>
      <c r="F84" s="2">
        <f>'Production - Industry shares'!I115/'Production - Industry shares'!I$118*('Production - Industry shares'!I$118/('Production - Industry shares'!$K$118))</f>
        <v>8.3920032986003479E-2</v>
      </c>
      <c r="G84" s="2">
        <f>'Production - Industry shares'!J115/'Production - Industry shares'!J$118*('Production - Industry shares'!J$118/('Production - Industry shares'!$K$118))</f>
        <v>3.2966873294663209E-3</v>
      </c>
      <c r="H84" s="265"/>
      <c r="I84" s="2"/>
      <c r="J84" s="32">
        <f t="shared" si="18"/>
        <v>7.4586261290532724E-2</v>
      </c>
      <c r="K84" s="478">
        <f>'Production - Industry shares'!L115</f>
        <v>8391.0973610047604</v>
      </c>
      <c r="L84" s="543">
        <f t="shared" si="19"/>
        <v>0</v>
      </c>
      <c r="M84" s="547">
        <f t="shared" si="20"/>
        <v>8391.0973610047604</v>
      </c>
      <c r="N84" s="91">
        <f t="shared" si="21"/>
        <v>7.4586261290532724E-2</v>
      </c>
      <c r="P84" s="51" t="s">
        <v>344</v>
      </c>
      <c r="U84" s="165"/>
    </row>
    <row r="85" spans="2:21">
      <c r="B85" t="s">
        <v>365</v>
      </c>
      <c r="C85" s="2">
        <f>'Production - Industry shares'!E116/'Production - Industry shares'!E$118*('Production - Industry shares'!$E$118/('Production - Industry shares'!$K$118))</f>
        <v>0</v>
      </c>
      <c r="D85" s="2">
        <f>'Production - Industry shares'!G116/'Production - Industry shares'!G$118*('Production - Industry shares'!$G$118/('Production - Industry shares'!$K$118))</f>
        <v>0</v>
      </c>
      <c r="E85" s="38">
        <f>'Production - Industry shares'!L116/'Production - Industry shares'!L118</f>
        <v>2.6202121260317405E-2</v>
      </c>
      <c r="F85" s="2">
        <f>'Production - Industry shares'!I116/'Production - Industry shares'!I$118*('Production - Industry shares'!I$118/('Production - Industry shares'!$K$118))</f>
        <v>0</v>
      </c>
      <c r="G85" s="2">
        <f>'Production - Industry shares'!J116/'Production - Industry shares'!J$118*('Production - Industry shares'!J$118/('Production - Industry shares'!$K$118))</f>
        <v>0</v>
      </c>
      <c r="H85" s="265"/>
      <c r="I85" s="22"/>
      <c r="J85" s="32">
        <f t="shared" si="18"/>
        <v>1.8195917541887086E-2</v>
      </c>
      <c r="K85" s="478">
        <f>'Production - Industry shares'!L116</f>
        <v>2047.0756011223905</v>
      </c>
      <c r="L85" s="543">
        <f t="shared" si="19"/>
        <v>0</v>
      </c>
      <c r="M85" s="547">
        <f t="shared" si="20"/>
        <v>2047.0756011223905</v>
      </c>
      <c r="N85" s="91">
        <f t="shared" si="21"/>
        <v>1.8195917541887086E-2</v>
      </c>
      <c r="P85" s="51" t="s">
        <v>347</v>
      </c>
      <c r="U85" s="165" t="s">
        <v>649</v>
      </c>
    </row>
    <row r="86" spans="2:21">
      <c r="B86" t="s">
        <v>27</v>
      </c>
      <c r="C86" s="2">
        <f>'Production - Industry shares'!E117/'Production - Industry shares'!E$118*('Production - Industry shares'!$E$118/('Production - Industry shares'!$K$118))</f>
        <v>8.9745587643179046E-3</v>
      </c>
      <c r="D86" s="2">
        <f>'Production - Industry shares'!G117/'Production - Industry shares'!G$118*('Production - Industry shares'!$G$118/('Production - Industry shares'!$K$118))</f>
        <v>0</v>
      </c>
      <c r="E86" s="2">
        <v>0</v>
      </c>
      <c r="F86" s="2">
        <f>'Production - Industry shares'!I117/'Production - Industry shares'!I$118*('Production - Industry shares'!I$118/('Production - Industry shares'!$K$118))</f>
        <v>0.23497609236080974</v>
      </c>
      <c r="G86" s="2">
        <f>'Production - Industry shares'!J117/'Production - Industry shares'!J$118*('Production - Industry shares'!J$118/('Production - Industry shares'!$K$118))</f>
        <v>2.6373498635730568E-2</v>
      </c>
      <c r="H86" s="265"/>
      <c r="I86" s="2"/>
      <c r="J86" s="32">
        <f t="shared" si="18"/>
        <v>0.48836186361752221</v>
      </c>
      <c r="K86" s="478">
        <f>'Production - Industry shares'!L117+'Demand - BTX'!M4</f>
        <v>54941.64574162005</v>
      </c>
      <c r="L86" s="543">
        <f t="shared" si="19"/>
        <v>0</v>
      </c>
      <c r="M86" s="547">
        <f t="shared" si="20"/>
        <v>54941.64574162005</v>
      </c>
      <c r="N86" s="91">
        <f t="shared" si="21"/>
        <v>0.48836186361752221</v>
      </c>
      <c r="P86" s="51" t="s">
        <v>346</v>
      </c>
      <c r="U86" s="165" t="s">
        <v>382</v>
      </c>
    </row>
    <row r="87" spans="2:21" ht="15.5" thickBot="1">
      <c r="B87" s="29" t="s">
        <v>78</v>
      </c>
      <c r="C87" s="30">
        <f>SUM(C80:C86)</f>
        <v>9.7438066584022959E-2</v>
      </c>
      <c r="D87" s="30">
        <f>SUM(D80:D86)</f>
        <v>0.1724624374972937</v>
      </c>
      <c r="E87" s="266">
        <f t="shared" ref="E87" si="22">SUM(E80:E86)</f>
        <v>2.6202121260317405E-2</v>
      </c>
      <c r="F87" s="30">
        <f t="shared" ref="F87" si="23">SUM(F80:F86)</f>
        <v>0.63779225069362644</v>
      </c>
      <c r="G87" s="30">
        <f t="shared" ref="G87" si="24">SUM(G80:G86)</f>
        <v>9.2307245225056983E-2</v>
      </c>
      <c r="H87" s="266"/>
      <c r="I87" s="30"/>
      <c r="J87" s="264">
        <f>SUM(J80:J86)</f>
        <v>1</v>
      </c>
      <c r="K87" s="542">
        <f>SUM(K80:K86)</f>
        <v>112501.9167849059</v>
      </c>
      <c r="L87" s="39">
        <f>L77</f>
        <v>0</v>
      </c>
      <c r="M87" s="548">
        <f>K87*(1+L87)^30</f>
        <v>112501.9167849059</v>
      </c>
      <c r="N87" s="92">
        <f>SUM(N80:N86)</f>
        <v>1</v>
      </c>
    </row>
    <row r="88" spans="2:21" ht="16.25" thickTop="1" thickBot="1">
      <c r="M88" s="464">
        <f>SUM(M80:M86)</f>
        <v>112501.9167849059</v>
      </c>
    </row>
    <row r="89" spans="2:21">
      <c r="B89" s="28" t="s">
        <v>1334</v>
      </c>
      <c r="C89" s="28" t="s">
        <v>74</v>
      </c>
      <c r="D89" s="28" t="s">
        <v>35</v>
      </c>
      <c r="E89" s="28" t="s">
        <v>77</v>
      </c>
      <c r="F89" s="28" t="s">
        <v>160</v>
      </c>
      <c r="G89" s="28" t="s">
        <v>27</v>
      </c>
      <c r="H89" s="28"/>
      <c r="I89" s="28"/>
      <c r="J89" s="31" t="s">
        <v>78</v>
      </c>
      <c r="K89" s="34" t="s">
        <v>79</v>
      </c>
      <c r="L89" s="34" t="s">
        <v>67</v>
      </c>
      <c r="M89" s="87" t="s">
        <v>80</v>
      </c>
      <c r="N89" s="90" t="s">
        <v>78</v>
      </c>
      <c r="P89" s="151" t="s">
        <v>343</v>
      </c>
      <c r="U89" s="1" t="s">
        <v>380</v>
      </c>
    </row>
    <row r="90" spans="2:21">
      <c r="B90" t="s">
        <v>17</v>
      </c>
      <c r="C90" s="22">
        <v>0</v>
      </c>
      <c r="D90" s="22">
        <f>'Production - Industry shares'!G125/'Production - Industry shares'!G$132*('Production - Industry shares'!G$132/'Production - Industry shares'!$K$132)</f>
        <v>0.94749576427812343</v>
      </c>
      <c r="E90" s="22">
        <v>0</v>
      </c>
      <c r="F90" s="22">
        <v>0</v>
      </c>
      <c r="G90" s="22">
        <f>'Production - Industry shares'!J125/'Production - Industry shares'!J$132*('Production - Industry shares'!J$132/'Production - Industry shares'!$K$132)</f>
        <v>9.3757563789065236E-4</v>
      </c>
      <c r="H90" s="201"/>
      <c r="I90" s="2"/>
      <c r="J90" s="32">
        <f>K90/$K$97</f>
        <v>0.94144522504903883</v>
      </c>
      <c r="K90" s="478">
        <f>'Production - Industry shares'!L125</f>
        <v>2526387.2600925858</v>
      </c>
      <c r="L90" s="543">
        <f>$L$77</f>
        <v>0</v>
      </c>
      <c r="M90" s="88">
        <f>K90*(1+L90)^30</f>
        <v>2526387.2600925858</v>
      </c>
      <c r="N90" s="91">
        <f>M90/M$97</f>
        <v>0.94144522504903883</v>
      </c>
      <c r="P90" s="51" t="s">
        <v>344</v>
      </c>
    </row>
    <row r="91" spans="2:21">
      <c r="B91" t="s">
        <v>19</v>
      </c>
      <c r="C91" s="22">
        <v>0</v>
      </c>
      <c r="D91" s="22">
        <f>'Production - Industry shares'!G126/'Production - Industry shares'!G$132*('Production - Industry shares'!G$132/'Production - Industry shares'!$K$132)</f>
        <v>0</v>
      </c>
      <c r="E91" s="22">
        <v>0</v>
      </c>
      <c r="F91" s="22">
        <v>0</v>
      </c>
      <c r="G91" s="22">
        <f>'Production - Industry shares'!J126/'Production - Industry shares'!J$132*('Production - Industry shares'!J$132/'Production - Industry shares'!$K$132)</f>
        <v>4.6878781894532616E-3</v>
      </c>
      <c r="H91" s="265"/>
      <c r="I91" s="2"/>
      <c r="J91" s="32">
        <f t="shared" ref="J91:J96" si="25">K91/$K$97</f>
        <v>4.6533376161819878E-3</v>
      </c>
      <c r="K91" s="478">
        <f>'Production - Industry shares'!L126</f>
        <v>12487.325398904024</v>
      </c>
      <c r="L91" s="543">
        <f t="shared" ref="L91:L96" si="26">$L$77</f>
        <v>0</v>
      </c>
      <c r="M91" s="88">
        <f t="shared" ref="M91:M96" si="27">K91*(1+L91)^30</f>
        <v>12487.325398904024</v>
      </c>
      <c r="N91" s="91">
        <f t="shared" ref="N91:N96" si="28">M91/M$97</f>
        <v>4.6533376161819878E-3</v>
      </c>
      <c r="P91" s="51" t="s">
        <v>345</v>
      </c>
      <c r="U91" s="165" t="s">
        <v>381</v>
      </c>
    </row>
    <row r="92" spans="2:21">
      <c r="B92" t="s">
        <v>21</v>
      </c>
      <c r="C92" s="22">
        <v>0</v>
      </c>
      <c r="D92" s="22">
        <f>'Production - Industry shares'!G127/'Production - Industry shares'!G$132*('Production - Industry shares'!G$132/'Production - Industry shares'!$K$132)</f>
        <v>0</v>
      </c>
      <c r="E92" s="22">
        <v>0</v>
      </c>
      <c r="F92" s="22">
        <v>0</v>
      </c>
      <c r="G92" s="22">
        <f>'Production - Industry shares'!J127/'Production - Industry shares'!J$132*('Production - Industry shares'!J$132/'Production - Industry shares'!$K$132)</f>
        <v>2.0626664033594352E-2</v>
      </c>
      <c r="H92" s="265"/>
      <c r="I92" s="2"/>
      <c r="J92" s="32">
        <f t="shared" si="25"/>
        <v>2.0474685511200748E-2</v>
      </c>
      <c r="K92" s="478">
        <f>'Production - Industry shares'!L127</f>
        <v>54944.231755177709</v>
      </c>
      <c r="L92" s="543">
        <f t="shared" si="26"/>
        <v>0</v>
      </c>
      <c r="M92" s="88">
        <f t="shared" si="27"/>
        <v>54944.231755177709</v>
      </c>
      <c r="N92" s="91">
        <f t="shared" si="28"/>
        <v>2.0474685511200748E-2</v>
      </c>
      <c r="P92" s="51" t="s">
        <v>345</v>
      </c>
    </row>
    <row r="93" spans="2:21">
      <c r="B93" t="s">
        <v>23</v>
      </c>
      <c r="C93" s="22">
        <v>0</v>
      </c>
      <c r="D93" s="22">
        <f>'Production - Industry shares'!G128/'Production - Industry shares'!G$132*('Production - Industry shares'!G$132/'Production - Industry shares'!$K$132)</f>
        <v>0</v>
      </c>
      <c r="E93" s="22">
        <v>0</v>
      </c>
      <c r="F93" s="22">
        <v>0</v>
      </c>
      <c r="G93" s="22">
        <f>'Production - Industry shares'!J128/'Production - Industry shares'!J$132*('Production - Industry shares'!J$132/'Production - Industry shares'!$K$132)</f>
        <v>9.3757563789065232E-3</v>
      </c>
      <c r="H93" s="265"/>
      <c r="I93" s="2"/>
      <c r="J93" s="32">
        <f t="shared" si="25"/>
        <v>9.3066752323639756E-3</v>
      </c>
      <c r="K93" s="478">
        <f>'Production - Industry shares'!L128</f>
        <v>24974.650797808048</v>
      </c>
      <c r="L93" s="543">
        <f t="shared" si="26"/>
        <v>0</v>
      </c>
      <c r="M93" s="88">
        <f t="shared" si="27"/>
        <v>24974.650797808048</v>
      </c>
      <c r="N93" s="91">
        <f t="shared" si="28"/>
        <v>9.3066752323639756E-3</v>
      </c>
      <c r="P93" s="51" t="s">
        <v>346</v>
      </c>
    </row>
    <row r="94" spans="2:21">
      <c r="B94" t="s">
        <v>26</v>
      </c>
      <c r="C94" s="22">
        <v>0</v>
      </c>
      <c r="D94" s="22">
        <f>'Production - Industry shares'!G129/'Production - Industry shares'!G$132*('Production - Industry shares'!G$132/'Production - Industry shares'!$K$132)</f>
        <v>0</v>
      </c>
      <c r="E94" s="22">
        <v>0</v>
      </c>
      <c r="F94" s="22">
        <v>0</v>
      </c>
      <c r="G94" s="22">
        <f>'Production - Industry shares'!J129/'Production - Industry shares'!J$132*('Production - Industry shares'!J$132/'Production - Industry shares'!$K$132)</f>
        <v>1.8751512757813047E-3</v>
      </c>
      <c r="H94" s="265"/>
      <c r="I94" s="2"/>
      <c r="J94" s="32">
        <f t="shared" si="25"/>
        <v>1.8613350464727952E-3</v>
      </c>
      <c r="K94" s="478">
        <f>'Production - Industry shares'!L129</f>
        <v>4994.9301595616098</v>
      </c>
      <c r="L94" s="543">
        <f t="shared" si="26"/>
        <v>0</v>
      </c>
      <c r="M94" s="88">
        <f t="shared" si="27"/>
        <v>4994.9301595616098</v>
      </c>
      <c r="N94" s="91">
        <f t="shared" si="28"/>
        <v>1.8613350464727952E-3</v>
      </c>
      <c r="P94" s="51" t="s">
        <v>344</v>
      </c>
      <c r="U94" s="165"/>
    </row>
    <row r="95" spans="2:21">
      <c r="B95" t="s">
        <v>365</v>
      </c>
      <c r="C95" s="22">
        <v>0</v>
      </c>
      <c r="D95" s="22">
        <f>'Production - Industry shares'!G130/'Production - Industry shares'!G$132*('Production - Industry shares'!G$132/'Production - Industry shares'!$K$132)</f>
        <v>0</v>
      </c>
      <c r="E95" s="38">
        <f>'Production - Industry shares'!L130/'Production - Industry shares'!L132</f>
        <v>7.3680611729594215E-3</v>
      </c>
      <c r="F95" s="22">
        <v>0</v>
      </c>
      <c r="G95" s="22">
        <f>'Production - Industry shares'!J130/'Production - Industry shares'!J$132*('Production - Industry shares'!J$132/'Production - Industry shares'!$K$132)</f>
        <v>0</v>
      </c>
      <c r="H95" s="265"/>
      <c r="I95" s="22"/>
      <c r="J95" s="32">
        <f t="shared" si="25"/>
        <v>7.3680611729594215E-3</v>
      </c>
      <c r="K95" s="478">
        <f>'Production - Industry shares'!L130</f>
        <v>19772.34084752823</v>
      </c>
      <c r="L95" s="543">
        <f t="shared" si="26"/>
        <v>0</v>
      </c>
      <c r="M95" s="88">
        <f t="shared" si="27"/>
        <v>19772.34084752823</v>
      </c>
      <c r="N95" s="91">
        <f t="shared" si="28"/>
        <v>7.3680611729594215E-3</v>
      </c>
      <c r="P95" s="51" t="s">
        <v>347</v>
      </c>
      <c r="U95" s="165" t="s">
        <v>649</v>
      </c>
    </row>
    <row r="96" spans="2:21">
      <c r="B96" t="s">
        <v>27</v>
      </c>
      <c r="C96" s="22">
        <v>0</v>
      </c>
      <c r="D96" s="22">
        <f>'Production - Industry shares'!G131/'Production - Industry shares'!G$132*('Production - Industry shares'!G$132/'Production - Industry shares'!$K$132)</f>
        <v>0</v>
      </c>
      <c r="E96" s="22">
        <v>0</v>
      </c>
      <c r="F96" s="22">
        <v>0</v>
      </c>
      <c r="G96" s="22">
        <f>'Production - Industry shares'!J131/'Production - Industry shares'!J$132*('Production - Industry shares'!J$132/'Production - Industry shares'!$K$132)</f>
        <v>1.5001210206250438E-2</v>
      </c>
      <c r="H96" s="265"/>
      <c r="I96" s="2"/>
      <c r="J96" s="32">
        <f t="shared" si="25"/>
        <v>1.4890680371782362E-2</v>
      </c>
      <c r="K96" s="478">
        <f>'Production - Industry shares'!L131</f>
        <v>39959.441276492878</v>
      </c>
      <c r="L96" s="543">
        <f t="shared" si="26"/>
        <v>0</v>
      </c>
      <c r="M96" s="88">
        <f t="shared" si="27"/>
        <v>39959.441276492878</v>
      </c>
      <c r="N96" s="91">
        <f t="shared" si="28"/>
        <v>1.4890680371782362E-2</v>
      </c>
      <c r="P96" s="51" t="s">
        <v>346</v>
      </c>
      <c r="U96" s="165" t="s">
        <v>382</v>
      </c>
    </row>
    <row r="97" spans="2:14" ht="15.5" thickBot="1">
      <c r="B97" s="29" t="s">
        <v>78</v>
      </c>
      <c r="C97" s="30">
        <f>SUM(C90:C96)</f>
        <v>0</v>
      </c>
      <c r="D97" s="30">
        <f>SUM(D90:D96)</f>
        <v>0.94749576427812343</v>
      </c>
      <c r="E97" s="30">
        <f t="shared" ref="E97" si="29">SUM(E90:E96)</f>
        <v>7.3680611729594215E-3</v>
      </c>
      <c r="F97" s="30">
        <f t="shared" ref="F97" si="30">SUM(F90:F96)</f>
        <v>0</v>
      </c>
      <c r="G97" s="30">
        <f t="shared" ref="G97" si="31">SUM(G90:G96)</f>
        <v>5.2504235721876527E-2</v>
      </c>
      <c r="H97" s="266"/>
      <c r="I97" s="30"/>
      <c r="J97" s="264">
        <f>SUM(J90:J96)</f>
        <v>1.0000000000000002</v>
      </c>
      <c r="K97" s="36">
        <f>SUM(K90:K96)</f>
        <v>2683520.1803280581</v>
      </c>
      <c r="L97" s="39">
        <f>L87</f>
        <v>0</v>
      </c>
      <c r="M97" s="89">
        <f>K97*(1+L97)^30</f>
        <v>2683520.1803280581</v>
      </c>
      <c r="N97" s="92">
        <f>SUM(N90:N96)</f>
        <v>1.0000000000000002</v>
      </c>
    </row>
    <row r="98" spans="2:14" ht="15.5" thickTop="1">
      <c r="M98" s="464">
        <f>SUM(M90:M96)</f>
        <v>2683520.1803280581</v>
      </c>
    </row>
  </sheetData>
  <mergeCells count="1">
    <mergeCell ref="E66:G66"/>
  </mergeCells>
  <hyperlinks>
    <hyperlink ref="J9" r:id="rId1" xr:uid="{CBCDCC69-452C-40CE-BD9B-0DA6301E2176}"/>
    <hyperlink ref="Y8" r:id="rId2" xr:uid="{00EF798B-B99A-4200-8179-98A19038ADD6}"/>
    <hyperlink ref="AE19" r:id="rId3" xr:uid="{1A68FD0F-27DE-481A-82FF-DAF52A5C74FE}"/>
    <hyperlink ref="AE8" r:id="rId4" xr:uid="{5D481BE0-9919-4789-BF7A-F94B4E049D4A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0FCB3-34B6-424D-89E5-5906F124870A}">
  <sheetPr>
    <tabColor theme="7"/>
  </sheetPr>
  <dimension ref="A1:AI50"/>
  <sheetViews>
    <sheetView workbookViewId="0">
      <selection activeCell="D28" sqref="D28"/>
    </sheetView>
  </sheetViews>
  <sheetFormatPr defaultRowHeight="14.75"/>
  <cols>
    <col min="2" max="2" width="34.81640625" customWidth="1"/>
    <col min="4" max="4" width="20" bestFit="1" customWidth="1"/>
    <col min="5" max="5" width="14" customWidth="1"/>
    <col min="6" max="6" width="13.54296875" bestFit="1" customWidth="1"/>
    <col min="7" max="7" width="20" bestFit="1" customWidth="1"/>
    <col min="8" max="22" width="11.36328125" customWidth="1"/>
    <col min="23" max="25" width="11.08984375" bestFit="1" customWidth="1"/>
    <col min="26" max="30" width="12" bestFit="1" customWidth="1"/>
    <col min="31" max="34" width="12.08984375" bestFit="1" customWidth="1"/>
  </cols>
  <sheetData>
    <row r="1" spans="1:11">
      <c r="A1" s="1" t="s">
        <v>367</v>
      </c>
    </row>
    <row r="3" spans="1:11">
      <c r="A3" t="s">
        <v>201</v>
      </c>
      <c r="B3" s="5" t="s">
        <v>226</v>
      </c>
    </row>
    <row r="4" spans="1:11" ht="15.5" thickBot="1"/>
    <row r="5" spans="1:11" ht="15.5" thickBot="1">
      <c r="F5" s="68" t="s">
        <v>203</v>
      </c>
    </row>
    <row r="6" spans="1:11" ht="15.5" thickBot="1">
      <c r="B6" s="1" t="s">
        <v>227</v>
      </c>
      <c r="C6" s="51" t="s">
        <v>205</v>
      </c>
      <c r="D6" s="48">
        <v>2.1499999999999999E-4</v>
      </c>
      <c r="E6" s="48">
        <v>2.2000000000000001E-4</v>
      </c>
      <c r="F6" s="68">
        <f>AVERAGE(D6:E6)</f>
        <v>2.175E-4</v>
      </c>
    </row>
    <row r="7" spans="1:11">
      <c r="B7" t="s">
        <v>206</v>
      </c>
      <c r="C7" s="51" t="s">
        <v>207</v>
      </c>
      <c r="D7" s="48">
        <f>18/1000</f>
        <v>1.7999999999999999E-2</v>
      </c>
      <c r="E7" s="48">
        <f>22/1000</f>
        <v>2.1999999999999999E-2</v>
      </c>
      <c r="F7" s="69">
        <f>AVERAGE(D7/D6,E7/E6)</f>
        <v>91.860465116279059</v>
      </c>
      <c r="G7" s="70">
        <f>F7</f>
        <v>91.860465116279059</v>
      </c>
      <c r="K7" s="51" t="s">
        <v>60</v>
      </c>
    </row>
    <row r="8" spans="1:11">
      <c r="B8" t="s">
        <v>228</v>
      </c>
      <c r="C8" s="51" t="s">
        <v>126</v>
      </c>
      <c r="D8" s="71">
        <v>5.0999999999999997E-2</v>
      </c>
      <c r="E8" s="53">
        <v>6.5500000000000003E-2</v>
      </c>
      <c r="F8" s="72">
        <f>AVERAGE(D8,E8)</f>
        <v>5.8249999999999996E-2</v>
      </c>
      <c r="G8" s="73">
        <f>F8*$G$7</f>
        <v>5.3508720930232547</v>
      </c>
      <c r="J8" s="6">
        <f>F8/(F9+F8)</f>
        <v>0.66762177650429799</v>
      </c>
      <c r="K8" s="51" t="s">
        <v>209</v>
      </c>
    </row>
    <row r="9" spans="1:11">
      <c r="B9" t="s">
        <v>229</v>
      </c>
      <c r="C9" s="51" t="s">
        <v>126</v>
      </c>
      <c r="D9" s="52">
        <v>1.4999999999999999E-2</v>
      </c>
      <c r="E9" s="52">
        <v>4.2999999999999997E-2</v>
      </c>
      <c r="F9" s="72">
        <f>AVERAGE(D9,E9)</f>
        <v>2.8999999999999998E-2</v>
      </c>
      <c r="G9" s="73">
        <f t="shared" ref="G9:G11" si="0">F9*$G$7</f>
        <v>2.6639534883720923</v>
      </c>
      <c r="J9" s="6">
        <f>F9/(F8+F9)</f>
        <v>0.33237822349570201</v>
      </c>
      <c r="K9" s="147" t="s">
        <v>211</v>
      </c>
    </row>
    <row r="10" spans="1:11">
      <c r="B10" t="s">
        <v>230</v>
      </c>
      <c r="C10" s="51" t="s">
        <v>126</v>
      </c>
      <c r="D10" s="52">
        <v>0.1</v>
      </c>
      <c r="E10" s="52">
        <v>0.2</v>
      </c>
      <c r="F10" s="72">
        <f t="shared" ref="F10:F11" si="1">AVERAGE(D10,E10)</f>
        <v>0.15000000000000002</v>
      </c>
      <c r="G10" s="73">
        <f t="shared" si="0"/>
        <v>13.779069767441861</v>
      </c>
    </row>
    <row r="11" spans="1:11" ht="15.5" thickBot="1">
      <c r="B11" t="s">
        <v>231</v>
      </c>
      <c r="C11" s="51" t="s">
        <v>126</v>
      </c>
      <c r="D11" s="52">
        <f>1-SUM(D8:D10)</f>
        <v>0.83399999999999996</v>
      </c>
      <c r="E11" s="52">
        <f>1-SUM(E8:E10)</f>
        <v>0.6915</v>
      </c>
      <c r="F11" s="74">
        <f t="shared" si="1"/>
        <v>0.76275000000000004</v>
      </c>
      <c r="G11" s="75">
        <f t="shared" si="0"/>
        <v>70.066569767441862</v>
      </c>
      <c r="J11" t="s">
        <v>232</v>
      </c>
    </row>
    <row r="13" spans="1:11">
      <c r="A13" t="s">
        <v>214</v>
      </c>
    </row>
    <row r="14" spans="1:11">
      <c r="D14" s="1"/>
      <c r="E14" s="1"/>
      <c r="F14" s="1"/>
    </row>
    <row r="15" spans="1:11" ht="15.5" thickBot="1">
      <c r="B15" s="76"/>
      <c r="C15" s="77"/>
      <c r="D15" s="76">
        <v>2020</v>
      </c>
      <c r="E15" s="76">
        <v>2050</v>
      </c>
      <c r="F15" s="78" t="s">
        <v>233</v>
      </c>
      <c r="G15" s="76" t="s">
        <v>67</v>
      </c>
      <c r="I15" s="51" t="s">
        <v>60</v>
      </c>
    </row>
    <row r="16" spans="1:11">
      <c r="B16" t="s">
        <v>234</v>
      </c>
      <c r="C16" s="51" t="s">
        <v>205</v>
      </c>
      <c r="D16" s="79">
        <v>700000</v>
      </c>
      <c r="E16" s="79">
        <f>AVERAGE(27000000,35000000)</f>
        <v>31000000</v>
      </c>
      <c r="F16" s="80">
        <f>6000000/5</f>
        <v>1200000</v>
      </c>
      <c r="G16" s="22">
        <f>(E16/D16)^(1/30)-1</f>
        <v>0.13468536942304721</v>
      </c>
      <c r="I16" s="51"/>
    </row>
    <row r="17" spans="2:34">
      <c r="B17" t="s">
        <v>217</v>
      </c>
      <c r="C17" s="51" t="s">
        <v>207</v>
      </c>
      <c r="D17" s="80">
        <f>D16*F7</f>
        <v>64302325.581395343</v>
      </c>
      <c r="E17" s="80">
        <f>E16*F7</f>
        <v>2847674418.604651</v>
      </c>
      <c r="F17" s="80">
        <f>F16*F7</f>
        <v>110232558.13953488</v>
      </c>
    </row>
    <row r="18" spans="2:34">
      <c r="B18" t="s">
        <v>235</v>
      </c>
      <c r="C18" s="51" t="s">
        <v>207</v>
      </c>
      <c r="D18" s="80">
        <f>(D17+F9)*$F$8</f>
        <v>3745610.4668055284</v>
      </c>
      <c r="E18" s="80">
        <f>(E17+F9)*$F$8</f>
        <v>165877034.88541016</v>
      </c>
      <c r="F18" s="80">
        <f>(F17+F9)*$F$8</f>
        <v>6421046.5133171557</v>
      </c>
    </row>
    <row r="19" spans="2:34" ht="15.5" thickBot="1">
      <c r="B19" s="81" t="s">
        <v>577</v>
      </c>
      <c r="C19" s="82" t="s">
        <v>207</v>
      </c>
      <c r="D19" s="83">
        <f>D17*$F$8*$D$22+D17*$F$9*$D$23</f>
        <v>4091106.8604651159</v>
      </c>
      <c r="E19" s="83">
        <f>E17*$F$8*$D$22+E17*$F$9*$D$23</f>
        <v>181177589.53488371</v>
      </c>
      <c r="F19" s="83">
        <f>F17*$F$8*$D$22+F17*$F$9*$D$23</f>
        <v>7013326.0465116268</v>
      </c>
      <c r="G19" s="80">
        <f>E19-D19</f>
        <v>177086482.6744186</v>
      </c>
    </row>
    <row r="21" spans="2:34" ht="15.5" thickBot="1">
      <c r="B21" s="76" t="s">
        <v>219</v>
      </c>
      <c r="C21" s="76"/>
      <c r="D21" s="76"/>
      <c r="E21" t="s">
        <v>60</v>
      </c>
      <c r="J21" s="63" t="s">
        <v>141</v>
      </c>
      <c r="K21" s="63" t="s">
        <v>693</v>
      </c>
      <c r="L21" s="63" t="s">
        <v>694</v>
      </c>
      <c r="M21" s="63" t="s">
        <v>27</v>
      </c>
    </row>
    <row r="22" spans="2:34">
      <c r="B22" t="s">
        <v>236</v>
      </c>
      <c r="C22" t="s">
        <v>126</v>
      </c>
      <c r="D22" s="53">
        <v>0.8</v>
      </c>
      <c r="E22" s="147" t="s">
        <v>369</v>
      </c>
      <c r="J22" s="52">
        <v>0.7</v>
      </c>
      <c r="K22" s="52">
        <v>0.3</v>
      </c>
      <c r="L22" s="52">
        <v>0</v>
      </c>
      <c r="M22" s="52">
        <v>0</v>
      </c>
    </row>
    <row r="23" spans="2:34">
      <c r="B23" t="s">
        <v>237</v>
      </c>
      <c r="C23" s="51" t="s">
        <v>126</v>
      </c>
      <c r="D23" s="53">
        <v>0.58699999999999997</v>
      </c>
      <c r="E23" s="51" t="s">
        <v>370</v>
      </c>
      <c r="J23" s="52">
        <v>0</v>
      </c>
      <c r="K23" s="52">
        <v>0</v>
      </c>
      <c r="L23" s="52">
        <v>0</v>
      </c>
      <c r="M23" s="52">
        <v>1</v>
      </c>
    </row>
    <row r="24" spans="2:34">
      <c r="B24" t="s">
        <v>880</v>
      </c>
      <c r="C24" s="51" t="s">
        <v>126</v>
      </c>
      <c r="D24" s="53">
        <f>G44*(1-D22)</f>
        <v>5.6139613120269126E-2</v>
      </c>
      <c r="E24" s="51"/>
      <c r="J24" s="52"/>
      <c r="K24" s="52"/>
      <c r="L24" s="52"/>
      <c r="M24" s="52"/>
    </row>
    <row r="25" spans="2:34">
      <c r="D25" s="2">
        <f>(F8*D22+F9*D23)/(F8+F9)</f>
        <v>0.72920343839541546</v>
      </c>
      <c r="J25" s="2">
        <f>($F$8*J22+$F$9*J23)/($F$8+$F$9)</f>
        <v>0.46733524355300854</v>
      </c>
      <c r="K25" s="2">
        <f>($F$8*K22+$F$9*K23)/($F$8+$F$9)</f>
        <v>0.20028653295128937</v>
      </c>
      <c r="L25" s="2">
        <f>($F$8*L22+$F$9*L23)/($F$8+$F$9)</f>
        <v>0</v>
      </c>
      <c r="M25" s="2">
        <f>($F$8*M22+$F$9*M23)/($F$8+$F$9)</f>
        <v>0.33237822349570201</v>
      </c>
      <c r="N25" s="6">
        <f>SUM(J25:M25)</f>
        <v>0.99999999999999989</v>
      </c>
    </row>
    <row r="26" spans="2:34">
      <c r="D26" s="2"/>
      <c r="J26" s="2"/>
      <c r="K26" s="2"/>
      <c r="L26" s="2"/>
      <c r="M26" s="2"/>
      <c r="N26" s="6"/>
    </row>
    <row r="27" spans="2:34">
      <c r="B27" t="s">
        <v>1566</v>
      </c>
      <c r="C27" t="s">
        <v>126</v>
      </c>
      <c r="D27" s="2">
        <f>'Yearly Demand Japan'!H3/436000000/2</f>
        <v>2.907310611123853E-2</v>
      </c>
      <c r="E27" t="s">
        <v>1567</v>
      </c>
      <c r="J27" s="2"/>
      <c r="K27" s="2"/>
      <c r="L27" s="2"/>
      <c r="M27" s="2"/>
      <c r="N27" s="6"/>
    </row>
    <row r="28" spans="2:34">
      <c r="D28" s="2"/>
    </row>
    <row r="29" spans="2:34" ht="15.5" thickBot="1">
      <c r="B29" s="76"/>
      <c r="C29" s="77"/>
      <c r="D29" s="76">
        <v>2020</v>
      </c>
      <c r="E29" s="76">
        <f>D29+1</f>
        <v>2021</v>
      </c>
      <c r="F29" s="76">
        <f t="shared" ref="F29:AH29" si="2">E29+1</f>
        <v>2022</v>
      </c>
      <c r="G29" s="76">
        <f t="shared" si="2"/>
        <v>2023</v>
      </c>
      <c r="H29" s="76">
        <f t="shared" si="2"/>
        <v>2024</v>
      </c>
      <c r="I29" s="76">
        <f t="shared" si="2"/>
        <v>2025</v>
      </c>
      <c r="J29" s="76">
        <f t="shared" si="2"/>
        <v>2026</v>
      </c>
      <c r="K29" s="76">
        <f t="shared" si="2"/>
        <v>2027</v>
      </c>
      <c r="L29" s="76">
        <f t="shared" si="2"/>
        <v>2028</v>
      </c>
      <c r="M29" s="76">
        <f t="shared" si="2"/>
        <v>2029</v>
      </c>
      <c r="N29" s="76">
        <f t="shared" si="2"/>
        <v>2030</v>
      </c>
      <c r="O29" s="76">
        <f t="shared" si="2"/>
        <v>2031</v>
      </c>
      <c r="P29" s="76">
        <f t="shared" si="2"/>
        <v>2032</v>
      </c>
      <c r="Q29" s="76">
        <f t="shared" si="2"/>
        <v>2033</v>
      </c>
      <c r="R29" s="76">
        <f t="shared" si="2"/>
        <v>2034</v>
      </c>
      <c r="S29" s="76">
        <f t="shared" si="2"/>
        <v>2035</v>
      </c>
      <c r="T29" s="76">
        <f t="shared" si="2"/>
        <v>2036</v>
      </c>
      <c r="U29" s="76">
        <f t="shared" si="2"/>
        <v>2037</v>
      </c>
      <c r="V29" s="76">
        <f t="shared" si="2"/>
        <v>2038</v>
      </c>
      <c r="W29" s="76">
        <f t="shared" si="2"/>
        <v>2039</v>
      </c>
      <c r="X29" s="76">
        <f t="shared" si="2"/>
        <v>2040</v>
      </c>
      <c r="Y29" s="76">
        <f t="shared" si="2"/>
        <v>2041</v>
      </c>
      <c r="Z29" s="76">
        <f t="shared" si="2"/>
        <v>2042</v>
      </c>
      <c r="AA29" s="76">
        <f t="shared" si="2"/>
        <v>2043</v>
      </c>
      <c r="AB29" s="76">
        <f t="shared" si="2"/>
        <v>2044</v>
      </c>
      <c r="AC29" s="76">
        <f t="shared" si="2"/>
        <v>2045</v>
      </c>
      <c r="AD29" s="76">
        <f t="shared" si="2"/>
        <v>2046</v>
      </c>
      <c r="AE29" s="76">
        <f t="shared" si="2"/>
        <v>2047</v>
      </c>
      <c r="AF29" s="76">
        <f t="shared" si="2"/>
        <v>2048</v>
      </c>
      <c r="AG29" s="76">
        <f t="shared" si="2"/>
        <v>2049</v>
      </c>
      <c r="AH29" s="76">
        <f t="shared" si="2"/>
        <v>2050</v>
      </c>
    </row>
    <row r="30" spans="2:34">
      <c r="B30" t="s">
        <v>242</v>
      </c>
      <c r="C30" s="51" t="s">
        <v>205</v>
      </c>
      <c r="D30" s="80">
        <f>D16</f>
        <v>700000</v>
      </c>
      <c r="E30" s="80">
        <f t="shared" ref="E30:AH30" si="3">D30*(1+$G$16)</f>
        <v>794279.75859613309</v>
      </c>
      <c r="F30" s="80">
        <f t="shared" si="3"/>
        <v>901257.62130790204</v>
      </c>
      <c r="G30" s="80">
        <f t="shared" si="3"/>
        <v>1022643.8369790936</v>
      </c>
      <c r="H30" s="80">
        <f t="shared" si="3"/>
        <v>1160378.9999508252</v>
      </c>
      <c r="I30" s="80">
        <f t="shared" si="3"/>
        <v>1316665.0742299482</v>
      </c>
      <c r="J30" s="80">
        <f t="shared" si="3"/>
        <v>1494000.5961590328</v>
      </c>
      <c r="K30" s="80">
        <f t="shared" si="3"/>
        <v>1695220.6183709649</v>
      </c>
      <c r="L30" s="80">
        <f t="shared" si="3"/>
        <v>1923542.0336098247</v>
      </c>
      <c r="M30" s="80">
        <f t="shared" si="3"/>
        <v>2182615.0030073235</v>
      </c>
      <c r="N30" s="80">
        <f t="shared" si="3"/>
        <v>2476581.31099565</v>
      </c>
      <c r="O30" s="80">
        <f t="shared" si="3"/>
        <v>2810140.5797733138</v>
      </c>
      <c r="P30" s="80">
        <f t="shared" si="3"/>
        <v>3188625.4018907784</v>
      </c>
      <c r="Q30" s="80">
        <f t="shared" si="3"/>
        <v>3618086.5920961504</v>
      </c>
      <c r="R30" s="80">
        <f t="shared" si="3"/>
        <v>4105389.9213571944</v>
      </c>
      <c r="S30" s="80">
        <f t="shared" si="3"/>
        <v>4658325.879540843</v>
      </c>
      <c r="T30" s="80">
        <f t="shared" si="3"/>
        <v>5285734.2215197431</v>
      </c>
      <c r="U30" s="80">
        <f t="shared" si="3"/>
        <v>5997645.2878171727</v>
      </c>
      <c r="V30" s="80">
        <f t="shared" si="3"/>
        <v>6805440.3590752268</v>
      </c>
      <c r="W30" s="80">
        <f t="shared" si="3"/>
        <v>7722033.6079237889</v>
      </c>
      <c r="X30" s="80">
        <f t="shared" si="3"/>
        <v>8762078.5571041908</v>
      </c>
      <c r="Y30" s="80">
        <f t="shared" si="3"/>
        <v>9942202.3444815297</v>
      </c>
      <c r="Z30" s="80">
        <f t="shared" si="3"/>
        <v>11281271.540126711</v>
      </c>
      <c r="AA30" s="80">
        <f t="shared" si="3"/>
        <v>12800693.765070386</v>
      </c>
      <c r="AB30" s="80">
        <f t="shared" si="3"/>
        <v>14524759.933690188</v>
      </c>
      <c r="AC30" s="80">
        <f t="shared" si="3"/>
        <v>16481032.591140326</v>
      </c>
      <c r="AD30" s="80">
        <f t="shared" si="3"/>
        <v>18700786.554151341</v>
      </c>
      <c r="AE30" s="80">
        <f t="shared" si="3"/>
        <v>21219508.899698768</v>
      </c>
      <c r="AF30" s="80">
        <f t="shared" si="3"/>
        <v>24077466.294830333</v>
      </c>
      <c r="AG30" s="80">
        <f t="shared" si="3"/>
        <v>27320348.737520523</v>
      </c>
      <c r="AH30" s="80">
        <f t="shared" si="3"/>
        <v>30999999.999999955</v>
      </c>
    </row>
    <row r="31" spans="2:34">
      <c r="B31" t="s">
        <v>243</v>
      </c>
      <c r="C31" s="51" t="s">
        <v>205</v>
      </c>
      <c r="D31">
        <f>0</f>
        <v>0</v>
      </c>
      <c r="E31" s="80">
        <f>E30-D30</f>
        <v>94279.758596133091</v>
      </c>
      <c r="F31" s="80">
        <f t="shared" ref="F31:AH31" si="4">F30-E30</f>
        <v>106977.86271176895</v>
      </c>
      <c r="G31" s="80">
        <f t="shared" si="4"/>
        <v>121386.21567119157</v>
      </c>
      <c r="H31" s="80">
        <f t="shared" si="4"/>
        <v>137735.16297173162</v>
      </c>
      <c r="I31" s="80">
        <f t="shared" si="4"/>
        <v>156286.07427912299</v>
      </c>
      <c r="J31" s="80">
        <f t="shared" si="4"/>
        <v>177335.52192908456</v>
      </c>
      <c r="K31" s="80">
        <f t="shared" si="4"/>
        <v>201220.02221193211</v>
      </c>
      <c r="L31" s="80">
        <f t="shared" si="4"/>
        <v>228321.41523885983</v>
      </c>
      <c r="M31" s="80">
        <f t="shared" si="4"/>
        <v>259072.96939749876</v>
      </c>
      <c r="N31" s="80">
        <f t="shared" si="4"/>
        <v>293966.30798832653</v>
      </c>
      <c r="O31" s="80">
        <f t="shared" si="4"/>
        <v>333559.26877766382</v>
      </c>
      <c r="P31" s="80">
        <f t="shared" si="4"/>
        <v>378484.82211746462</v>
      </c>
      <c r="Q31" s="80">
        <f t="shared" si="4"/>
        <v>429461.19020537194</v>
      </c>
      <c r="R31" s="80">
        <f t="shared" si="4"/>
        <v>487303.32926104404</v>
      </c>
      <c r="S31" s="80">
        <f t="shared" si="4"/>
        <v>552935.95818364853</v>
      </c>
      <c r="T31" s="80">
        <f t="shared" si="4"/>
        <v>627408.34197890013</v>
      </c>
      <c r="U31" s="80">
        <f t="shared" si="4"/>
        <v>711911.06629742961</v>
      </c>
      <c r="V31" s="80">
        <f t="shared" si="4"/>
        <v>807795.07125805411</v>
      </c>
      <c r="W31" s="80">
        <f t="shared" si="4"/>
        <v>916593.24884856213</v>
      </c>
      <c r="X31" s="80">
        <f t="shared" si="4"/>
        <v>1040044.9491804019</v>
      </c>
      <c r="Y31" s="80">
        <f t="shared" si="4"/>
        <v>1180123.7873773389</v>
      </c>
      <c r="Z31" s="80">
        <f t="shared" si="4"/>
        <v>1339069.1956451815</v>
      </c>
      <c r="AA31" s="80">
        <f t="shared" si="4"/>
        <v>1519422.2249436751</v>
      </c>
      <c r="AB31" s="80">
        <f t="shared" si="4"/>
        <v>1724066.1686198022</v>
      </c>
      <c r="AC31" s="80">
        <f t="shared" si="4"/>
        <v>1956272.6574501377</v>
      </c>
      <c r="AD31" s="80">
        <f t="shared" si="4"/>
        <v>2219753.9630110152</v>
      </c>
      <c r="AE31" s="80">
        <f t="shared" si="4"/>
        <v>2518722.3455474265</v>
      </c>
      <c r="AF31" s="80">
        <f t="shared" si="4"/>
        <v>2857957.3951315656</v>
      </c>
      <c r="AG31" s="80">
        <f t="shared" si="4"/>
        <v>3242882.4426901899</v>
      </c>
      <c r="AH31" s="80">
        <f t="shared" si="4"/>
        <v>3679651.2624794319</v>
      </c>
    </row>
    <row r="32" spans="2:34">
      <c r="B32" t="s">
        <v>241</v>
      </c>
      <c r="C32" s="51" t="s">
        <v>207</v>
      </c>
      <c r="D32">
        <v>0</v>
      </c>
      <c r="E32" s="80">
        <f>E31*$F$7</f>
        <v>8660582.4756912943</v>
      </c>
      <c r="F32" s="80">
        <f t="shared" ref="F32:AH32" si="5">F31*$F$7</f>
        <v>9827036.2258485425</v>
      </c>
      <c r="G32" s="80">
        <f t="shared" si="5"/>
        <v>11150594.23026062</v>
      </c>
      <c r="H32" s="80">
        <f t="shared" si="5"/>
        <v>12652416.133449765</v>
      </c>
      <c r="I32" s="80">
        <f t="shared" si="5"/>
        <v>14356511.474477574</v>
      </c>
      <c r="J32" s="80">
        <f t="shared" si="5"/>
        <v>16290123.526043812</v>
      </c>
      <c r="K32" s="80">
        <f t="shared" si="5"/>
        <v>18484164.831096087</v>
      </c>
      <c r="L32" s="80">
        <f t="shared" si="5"/>
        <v>20973711.399848748</v>
      </c>
      <c r="M32" s="80">
        <f t="shared" si="5"/>
        <v>23798563.467909768</v>
      </c>
      <c r="N32" s="80">
        <f t="shared" si="5"/>
        <v>27003881.780323014</v>
      </c>
      <c r="O32" s="80">
        <f t="shared" si="5"/>
        <v>30640909.573762137</v>
      </c>
      <c r="P32" s="80">
        <f t="shared" si="5"/>
        <v>34767791.79916244</v>
      </c>
      <c r="Q32" s="80">
        <f t="shared" si="5"/>
        <v>39450504.681656256</v>
      </c>
      <c r="R32" s="80">
        <f t="shared" si="5"/>
        <v>44763910.478630781</v>
      </c>
      <c r="S32" s="80">
        <f t="shared" si="5"/>
        <v>50792954.298265383</v>
      </c>
      <c r="T32" s="80">
        <f t="shared" si="5"/>
        <v>57634022.11201524</v>
      </c>
      <c r="U32" s="80">
        <f t="shared" si="5"/>
        <v>65396481.671508059</v>
      </c>
      <c r="V32" s="80">
        <f t="shared" si="5"/>
        <v>74204430.964402631</v>
      </c>
      <c r="W32" s="80">
        <f t="shared" si="5"/>
        <v>84198682.161670238</v>
      </c>
      <c r="X32" s="80">
        <f t="shared" si="5"/>
        <v>95539012.773548529</v>
      </c>
      <c r="Y32" s="80">
        <f t="shared" si="5"/>
        <v>108406720.00326715</v>
      </c>
      <c r="Z32" s="80">
        <f t="shared" si="5"/>
        <v>123007519.13484804</v>
      </c>
      <c r="AA32" s="80">
        <f t="shared" si="5"/>
        <v>139574832.29133758</v>
      </c>
      <c r="AB32" s="80">
        <f t="shared" si="5"/>
        <v>158373520.14065623</v>
      </c>
      <c r="AC32" s="80">
        <f t="shared" si="5"/>
        <v>179704116.20762891</v>
      </c>
      <c r="AD32" s="80">
        <f t="shared" si="5"/>
        <v>203907631.48589554</v>
      </c>
      <c r="AE32" s="80">
        <f t="shared" si="5"/>
        <v>231371006.16075194</v>
      </c>
      <c r="AF32" s="80">
        <f t="shared" si="5"/>
        <v>262533295.59929496</v>
      </c>
      <c r="AG32" s="80">
        <f t="shared" si="5"/>
        <v>297892689.50293601</v>
      </c>
      <c r="AH32" s="80">
        <f t="shared" si="5"/>
        <v>338014476.43706405</v>
      </c>
    </row>
    <row r="33" spans="2:35">
      <c r="B33" t="s">
        <v>240</v>
      </c>
      <c r="C33" s="51" t="s">
        <v>207</v>
      </c>
      <c r="D33">
        <v>0</v>
      </c>
      <c r="E33" s="80">
        <f>E32*($F$8+$F$9)</f>
        <v>755635.82100406534</v>
      </c>
      <c r="F33" s="80">
        <f t="shared" ref="F33:AH33" si="6">F32*($F$8+$F$9)</f>
        <v>857408.91070528526</v>
      </c>
      <c r="G33" s="80">
        <f t="shared" si="6"/>
        <v>972889.34659023897</v>
      </c>
      <c r="H33" s="80">
        <f t="shared" si="6"/>
        <v>1103923.307643492</v>
      </c>
      <c r="I33" s="80">
        <f t="shared" si="6"/>
        <v>1252605.6261481682</v>
      </c>
      <c r="J33" s="80">
        <f t="shared" si="6"/>
        <v>1421313.2776473225</v>
      </c>
      <c r="K33" s="80">
        <f t="shared" si="6"/>
        <v>1612743.3815131334</v>
      </c>
      <c r="L33" s="80">
        <f t="shared" si="6"/>
        <v>1829956.3196368031</v>
      </c>
      <c r="M33" s="80">
        <f t="shared" si="6"/>
        <v>2076424.6625751271</v>
      </c>
      <c r="N33" s="80">
        <f t="shared" si="6"/>
        <v>2356088.6853331826</v>
      </c>
      <c r="O33" s="80">
        <f t="shared" si="6"/>
        <v>2673419.3603107464</v>
      </c>
      <c r="P33" s="80">
        <f t="shared" si="6"/>
        <v>3033489.8344769226</v>
      </c>
      <c r="Q33" s="80">
        <f t="shared" si="6"/>
        <v>3442056.5334745082</v>
      </c>
      <c r="R33" s="80">
        <f t="shared" si="6"/>
        <v>3905651.1892605354</v>
      </c>
      <c r="S33" s="80">
        <f t="shared" si="6"/>
        <v>4431685.2625236539</v>
      </c>
      <c r="T33" s="80">
        <f t="shared" si="6"/>
        <v>5028568.4292733297</v>
      </c>
      <c r="U33" s="80">
        <f t="shared" si="6"/>
        <v>5705843.0258390773</v>
      </c>
      <c r="V33" s="80">
        <f t="shared" si="6"/>
        <v>6474336.6016441295</v>
      </c>
      <c r="W33" s="80">
        <f t="shared" si="6"/>
        <v>7346335.0186057277</v>
      </c>
      <c r="X33" s="80">
        <f t="shared" si="6"/>
        <v>8335778.8644921081</v>
      </c>
      <c r="Y33" s="80">
        <f t="shared" si="6"/>
        <v>9458486.3202850576</v>
      </c>
      <c r="Z33" s="80">
        <f t="shared" si="6"/>
        <v>10732406.044515491</v>
      </c>
      <c r="AA33" s="80">
        <f t="shared" si="6"/>
        <v>12177904.117419204</v>
      </c>
      <c r="AB33" s="80">
        <f t="shared" si="6"/>
        <v>13818089.632272255</v>
      </c>
      <c r="AC33" s="80">
        <f t="shared" si="6"/>
        <v>15679184.13911562</v>
      </c>
      <c r="AD33" s="80">
        <f t="shared" si="6"/>
        <v>17790940.847144384</v>
      </c>
      <c r="AE33" s="80">
        <f t="shared" si="6"/>
        <v>20187120.287525605</v>
      </c>
      <c r="AF33" s="80">
        <f t="shared" si="6"/>
        <v>22906030.041038483</v>
      </c>
      <c r="AG33" s="80">
        <f t="shared" si="6"/>
        <v>25991137.159131166</v>
      </c>
      <c r="AH33" s="80">
        <f t="shared" si="6"/>
        <v>29491763.069133837</v>
      </c>
    </row>
    <row r="34" spans="2:35" ht="15.5" thickBot="1">
      <c r="B34" s="84" t="s">
        <v>224</v>
      </c>
      <c r="C34" s="85" t="s">
        <v>207</v>
      </c>
      <c r="D34" s="86">
        <v>0</v>
      </c>
      <c r="E34" s="86">
        <f>(E32*$F$8*$D$22+E32*$F$9*$D$23)*$D$27</f>
        <v>16019.637288703534</v>
      </c>
      <c r="F34" s="86">
        <f t="shared" ref="F34:AH34" si="7">(F32*$F$8*$D$22+F32*$F$9*$D$23)*$D$27</f>
        <v>18177.248054955788</v>
      </c>
      <c r="G34" s="86">
        <f t="shared" si="7"/>
        <v>20625.457424331875</v>
      </c>
      <c r="H34" s="86">
        <f t="shared" si="7"/>
        <v>23403.404777047337</v>
      </c>
      <c r="I34" s="86">
        <f t="shared" si="7"/>
        <v>26555.500995201066</v>
      </c>
      <c r="J34" s="86">
        <f t="shared" si="7"/>
        <v>30132.138456953839</v>
      </c>
      <c r="K34" s="86">
        <f t="shared" si="7"/>
        <v>34190.496656535062</v>
      </c>
      <c r="L34" s="86">
        <f t="shared" si="7"/>
        <v>38795.456329477922</v>
      </c>
      <c r="M34" s="86">
        <f t="shared" si="7"/>
        <v>44020.636697149377</v>
      </c>
      <c r="N34" s="86">
        <f t="shared" si="7"/>
        <v>49949.57241294266</v>
      </c>
      <c r="O34" s="86">
        <f t="shared" si="7"/>
        <v>56677.049025903136</v>
      </c>
      <c r="P34" s="86">
        <f t="shared" si="7"/>
        <v>64310.618311764993</v>
      </c>
      <c r="Q34" s="86">
        <f t="shared" si="7"/>
        <v>72972.317696909711</v>
      </c>
      <c r="R34" s="86">
        <f t="shared" si="7"/>
        <v>82800.62126357395</v>
      </c>
      <c r="S34" s="86">
        <f t="shared" si="7"/>
        <v>93952.653526916241</v>
      </c>
      <c r="T34" s="86">
        <f t="shared" si="7"/>
        <v>106606.70137546456</v>
      </c>
      <c r="U34" s="86">
        <f t="shared" si="7"/>
        <v>120965.06433319145</v>
      </c>
      <c r="V34" s="86">
        <f t="shared" si="7"/>
        <v>137257.28871018993</v>
      </c>
      <c r="W34" s="86">
        <f t="shared" si="7"/>
        <v>155743.83734612778</v>
      </c>
      <c r="X34" s="86">
        <f t="shared" si="7"/>
        <v>176720.25361445398</v>
      </c>
      <c r="Y34" s="86">
        <f t="shared" si="7"/>
        <v>200521.88625705134</v>
      </c>
      <c r="Z34" s="86">
        <f t="shared" si="7"/>
        <v>227529.25058498859</v>
      </c>
      <c r="AA34" s="86">
        <f t="shared" si="7"/>
        <v>258174.11175457685</v>
      </c>
      <c r="AB34" s="86">
        <f t="shared" si="7"/>
        <v>292946.38737170905</v>
      </c>
      <c r="AC34" s="86">
        <f t="shared" si="7"/>
        <v>332401.97977601469</v>
      </c>
      <c r="AD34" s="86">
        <f t="shared" si="7"/>
        <v>377171.66321909946</v>
      </c>
      <c r="AE34" s="86">
        <f t="shared" si="7"/>
        <v>427971.16801566898</v>
      </c>
      <c r="AF34" s="86">
        <f t="shared" si="7"/>
        <v>485612.62288227235</v>
      </c>
      <c r="AG34" s="86">
        <f t="shared" si="7"/>
        <v>551017.5383916659</v>
      </c>
      <c r="AH34" s="86">
        <f t="shared" si="7"/>
        <v>625231.53910852561</v>
      </c>
      <c r="AI34" s="80"/>
    </row>
    <row r="35" spans="2:35" ht="15.5" thickBot="1">
      <c r="B35" s="84" t="s">
        <v>893</v>
      </c>
      <c r="C35" s="85" t="s">
        <v>207</v>
      </c>
      <c r="D35" s="86">
        <v>0</v>
      </c>
      <c r="E35" s="86">
        <f>E33*$F$8*$D$24*$D$27</f>
        <v>71.840494990896303</v>
      </c>
      <c r="F35" s="86">
        <f t="shared" ref="F35:AH35" si="8">F33*$F$8*$D$24*$D$27</f>
        <v>81.516358598279723</v>
      </c>
      <c r="G35" s="86">
        <f t="shared" si="8"/>
        <v>92.495419470110605</v>
      </c>
      <c r="H35" s="86">
        <f t="shared" si="8"/>
        <v>104.95319921138214</v>
      </c>
      <c r="I35" s="86">
        <f t="shared" si="8"/>
        <v>119.08885961929785</v>
      </c>
      <c r="J35" s="86">
        <f t="shared" si="8"/>
        <v>135.12838667129247</v>
      </c>
      <c r="K35" s="86">
        <f t="shared" si="8"/>
        <v>153.32820334965578</v>
      </c>
      <c r="L35" s="86">
        <f t="shared" si="8"/>
        <v>173.97926906077618</v>
      </c>
      <c r="M35" s="86">
        <f t="shared" si="8"/>
        <v>197.41173118617868</v>
      </c>
      <c r="N35" s="86">
        <f t="shared" si="8"/>
        <v>224.00020312943226</v>
      </c>
      <c r="O35" s="86">
        <f t="shared" si="8"/>
        <v>254.16975323875769</v>
      </c>
      <c r="P35" s="86">
        <f t="shared" si="8"/>
        <v>288.40270034988424</v>
      </c>
      <c r="Q35" s="86">
        <f t="shared" si="8"/>
        <v>327.24632458911304</v>
      </c>
      <c r="R35" s="86">
        <f t="shared" si="8"/>
        <v>371.32161670873217</v>
      </c>
      <c r="S35" s="86">
        <f t="shared" si="8"/>
        <v>421.33320582991087</v>
      </c>
      <c r="T35" s="86">
        <f t="shared" si="8"/>
        <v>478.08062430730956</v>
      </c>
      <c r="U35" s="86">
        <f t="shared" si="8"/>
        <v>542.4710898061403</v>
      </c>
      <c r="V35" s="86">
        <f t="shared" si="8"/>
        <v>615.53400893800313</v>
      </c>
      <c r="W35" s="86">
        <f t="shared" si="8"/>
        <v>698.43743432426766</v>
      </c>
      <c r="X35" s="86">
        <f t="shared" si="8"/>
        <v>792.50673818511677</v>
      </c>
      <c r="Y35" s="86">
        <f t="shared" si="8"/>
        <v>899.24580098783349</v>
      </c>
      <c r="Z35" s="86">
        <f t="shared" si="8"/>
        <v>1020.3610538960039</v>
      </c>
      <c r="AA35" s="86">
        <f t="shared" si="8"/>
        <v>1157.788759384877</v>
      </c>
      <c r="AB35" s="86">
        <f t="shared" si="8"/>
        <v>1313.7259661564806</v>
      </c>
      <c r="AC35" s="86">
        <f t="shared" si="8"/>
        <v>1490.6656332289156</v>
      </c>
      <c r="AD35" s="86">
        <f t="shared" si="8"/>
        <v>1691.436484726592</v>
      </c>
      <c r="AE35" s="86">
        <f t="shared" si="8"/>
        <v>1919.2482325276135</v>
      </c>
      <c r="AF35" s="86">
        <f t="shared" si="8"/>
        <v>2177.7428897401255</v>
      </c>
      <c r="AG35" s="86">
        <f t="shared" si="8"/>
        <v>2471.0529953531886</v>
      </c>
      <c r="AH35" s="86">
        <f t="shared" si="8"/>
        <v>2803.8676808962596</v>
      </c>
      <c r="AI35" s="80"/>
    </row>
    <row r="40" spans="2:35">
      <c r="B40" t="s">
        <v>3</v>
      </c>
      <c r="C40">
        <v>28.053999999999998</v>
      </c>
      <c r="F40" t="s">
        <v>881</v>
      </c>
      <c r="G40" s="40">
        <f>(1/C43)*C42</f>
        <v>0.53353760074602008</v>
      </c>
    </row>
    <row r="41" spans="2:35">
      <c r="B41" t="s">
        <v>882</v>
      </c>
      <c r="C41">
        <v>86.09</v>
      </c>
      <c r="F41" t="s">
        <v>883</v>
      </c>
      <c r="G41" s="40">
        <f>(1/(2*C41))*2*C43</f>
        <v>0.69754907654779874</v>
      </c>
    </row>
    <row r="42" spans="2:35">
      <c r="B42" t="s">
        <v>796</v>
      </c>
      <c r="C42">
        <v>32.04</v>
      </c>
      <c r="F42" t="s">
        <v>884</v>
      </c>
      <c r="G42" s="40">
        <f>(1/SUM(C40+C41))*C41</f>
        <v>0.75422273619287927</v>
      </c>
      <c r="I42" s="40"/>
    </row>
    <row r="43" spans="2:35">
      <c r="B43" t="s">
        <v>885</v>
      </c>
      <c r="C43">
        <v>60.052</v>
      </c>
      <c r="F43" t="s">
        <v>886</v>
      </c>
      <c r="G43" s="40">
        <f>(1/SUM(C41+C40))*C40</f>
        <v>0.24577726380712084</v>
      </c>
    </row>
    <row r="44" spans="2:35">
      <c r="B44" t="s">
        <v>887</v>
      </c>
      <c r="C44" s="40">
        <v>32</v>
      </c>
      <c r="F44" t="s">
        <v>888</v>
      </c>
      <c r="G44" s="415">
        <f>G40*G41*G42</f>
        <v>0.28069806560134569</v>
      </c>
    </row>
    <row r="45" spans="2:35">
      <c r="F45" t="s">
        <v>889</v>
      </c>
      <c r="G45" s="40">
        <f>(1/(2*C41))*2*C40</f>
        <v>0.32586827738413282</v>
      </c>
    </row>
    <row r="46" spans="2:35">
      <c r="F46" t="s">
        <v>886</v>
      </c>
      <c r="G46" s="415">
        <f>G45*G42+G43</f>
        <v>0.49155452761424168</v>
      </c>
    </row>
    <row r="47" spans="2:35">
      <c r="F47" t="s">
        <v>890</v>
      </c>
      <c r="G47" s="40">
        <f>(1/(2*C41))*2*C44</f>
        <v>0.3717040306655825</v>
      </c>
    </row>
    <row r="48" spans="2:35">
      <c r="F48" t="s">
        <v>891</v>
      </c>
      <c r="G48" s="415">
        <f>G47*G42</f>
        <v>0.28034763106251753</v>
      </c>
    </row>
    <row r="50" spans="6:7">
      <c r="F50" t="s">
        <v>892</v>
      </c>
      <c r="G50" s="40">
        <f>G44+G46+G48</f>
        <v>1.052600224278105</v>
      </c>
    </row>
  </sheetData>
  <hyperlinks>
    <hyperlink ref="B3" r:id="rId1" display="https://eitrawmaterials.eu/wp-content/uploads/2020/04/rms_for_wind_and_solar_published_v2.pdf" xr:uid="{0AB76E17-5D60-4C47-B7AA-50194FFB45D8}"/>
    <hyperlink ref="E22" r:id="rId2" xr:uid="{209C01D1-C69A-4298-8BA8-BB6120DEF96D}"/>
    <hyperlink ref="K9" r:id="rId3" xr:uid="{1C461105-1563-4C6E-A52B-F15D7A1D4237}"/>
  </hyperlinks>
  <pageMargins left="0.7" right="0.7" top="0.75" bottom="0.75" header="0.3" footer="0.3"/>
  <drawing r:id="rId4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C1F3F-FDAB-4303-8BE3-3F5AFFA86721}">
  <sheetPr>
    <tabColor theme="7"/>
  </sheetPr>
  <dimension ref="A1:AI42"/>
  <sheetViews>
    <sheetView workbookViewId="0">
      <selection activeCell="D33" sqref="D33"/>
    </sheetView>
  </sheetViews>
  <sheetFormatPr defaultRowHeight="14.75"/>
  <cols>
    <col min="2" max="2" width="34.36328125" customWidth="1"/>
    <col min="3" max="3" width="11.54296875" customWidth="1"/>
    <col min="4" max="4" width="14.81640625" customWidth="1"/>
    <col min="5" max="5" width="15.08984375" customWidth="1"/>
    <col min="6" max="6" width="13.54296875" customWidth="1"/>
    <col min="7" max="26" width="11.54296875" customWidth="1"/>
    <col min="27" max="34" width="12.36328125" customWidth="1"/>
  </cols>
  <sheetData>
    <row r="1" spans="1:11">
      <c r="A1" s="1" t="s">
        <v>371</v>
      </c>
    </row>
    <row r="3" spans="1:11">
      <c r="A3" t="s">
        <v>201</v>
      </c>
      <c r="B3" s="5" t="s">
        <v>202</v>
      </c>
    </row>
    <row r="4" spans="1:11" ht="15.5" thickBot="1"/>
    <row r="5" spans="1:11" ht="15.5" thickBot="1">
      <c r="F5" s="68" t="s">
        <v>203</v>
      </c>
    </row>
    <row r="6" spans="1:11" ht="15.5" thickBot="1">
      <c r="B6" s="1" t="s">
        <v>204</v>
      </c>
      <c r="C6" s="51" t="s">
        <v>205</v>
      </c>
      <c r="D6" s="48">
        <v>2</v>
      </c>
      <c r="E6" s="48">
        <v>3.45</v>
      </c>
      <c r="F6" s="68">
        <v>1</v>
      </c>
    </row>
    <row r="7" spans="1:11">
      <c r="B7" t="s">
        <v>206</v>
      </c>
      <c r="C7" s="51" t="s">
        <v>207</v>
      </c>
      <c r="D7" s="48">
        <v>236</v>
      </c>
      <c r="E7" s="48">
        <v>601</v>
      </c>
      <c r="F7" s="69">
        <f>AVERAGE(D7/D6,E7/E6)</f>
        <v>146.10144927536231</v>
      </c>
      <c r="G7" s="70">
        <f>F7</f>
        <v>146.10144927536231</v>
      </c>
      <c r="K7" s="51" t="s">
        <v>60</v>
      </c>
    </row>
    <row r="8" spans="1:11">
      <c r="B8" t="s">
        <v>208</v>
      </c>
      <c r="C8" s="51" t="s">
        <v>126</v>
      </c>
      <c r="D8" s="71">
        <v>0.03</v>
      </c>
      <c r="E8" s="53">
        <v>0.04</v>
      </c>
      <c r="F8" s="72">
        <f>AVERAGE(D8,E8)</f>
        <v>3.5000000000000003E-2</v>
      </c>
      <c r="G8" s="73">
        <f>F8*$G$7</f>
        <v>5.1135507246376815</v>
      </c>
      <c r="J8" s="6">
        <f>F8/(F9+F8)</f>
        <v>0.35000000000000003</v>
      </c>
      <c r="K8" s="51" t="s">
        <v>209</v>
      </c>
    </row>
    <row r="9" spans="1:11">
      <c r="B9" t="s">
        <v>210</v>
      </c>
      <c r="C9" s="51" t="s">
        <v>126</v>
      </c>
      <c r="D9" s="52">
        <v>0.09</v>
      </c>
      <c r="E9" s="52">
        <v>0.04</v>
      </c>
      <c r="F9" s="72">
        <f>AVERAGE(D9,E9)</f>
        <v>6.5000000000000002E-2</v>
      </c>
      <c r="G9" s="73">
        <f t="shared" ref="G9:G11" si="0">F9*$G$7</f>
        <v>9.4965942028985513</v>
      </c>
      <c r="J9" s="6">
        <f>F9/(F8+F9)</f>
        <v>0.65</v>
      </c>
      <c r="K9" s="51" t="s">
        <v>211</v>
      </c>
    </row>
    <row r="10" spans="1:11">
      <c r="B10" t="s">
        <v>212</v>
      </c>
      <c r="C10" s="51" t="s">
        <v>126</v>
      </c>
      <c r="D10" s="52">
        <f>0.84+0.01</f>
        <v>0.85</v>
      </c>
      <c r="E10" s="52">
        <f>0.89+0.01</f>
        <v>0.9</v>
      </c>
      <c r="F10" s="72">
        <f t="shared" ref="F10:F11" si="1">AVERAGE(D10,E10)</f>
        <v>0.875</v>
      </c>
      <c r="G10" s="73">
        <f t="shared" si="0"/>
        <v>127.83876811594203</v>
      </c>
    </row>
    <row r="11" spans="1:11" ht="15.5" thickBot="1">
      <c r="B11" t="s">
        <v>213</v>
      </c>
      <c r="C11" s="51" t="s">
        <v>126</v>
      </c>
      <c r="D11" s="52">
        <f>1-D10-D9-D8</f>
        <v>3.0000000000000027E-2</v>
      </c>
      <c r="E11" s="52">
        <f>1-E10-E9-E8</f>
        <v>1.9999999999999976E-2</v>
      </c>
      <c r="F11" s="74">
        <f t="shared" si="1"/>
        <v>2.5000000000000001E-2</v>
      </c>
      <c r="G11" s="75">
        <f t="shared" si="0"/>
        <v>3.6525362318840582</v>
      </c>
    </row>
    <row r="13" spans="1:11">
      <c r="A13" t="s">
        <v>214</v>
      </c>
    </row>
    <row r="14" spans="1:11">
      <c r="D14" s="1"/>
      <c r="E14" s="1"/>
      <c r="F14" s="1"/>
    </row>
    <row r="15" spans="1:11" ht="15.5" thickBot="1">
      <c r="B15" s="76"/>
      <c r="C15" s="77"/>
      <c r="D15" s="76">
        <v>2020</v>
      </c>
      <c r="E15" s="76">
        <v>2050</v>
      </c>
      <c r="F15" s="78" t="s">
        <v>215</v>
      </c>
      <c r="G15" s="76" t="s">
        <v>67</v>
      </c>
      <c r="I15" s="159" t="s">
        <v>60</v>
      </c>
    </row>
    <row r="16" spans="1:11">
      <c r="B16" t="s">
        <v>216</v>
      </c>
      <c r="C16" s="51" t="s">
        <v>205</v>
      </c>
      <c r="D16" s="586">
        <v>9200</v>
      </c>
      <c r="E16" s="586">
        <v>41700</v>
      </c>
      <c r="F16" s="80">
        <f>E16-D16</f>
        <v>32500</v>
      </c>
      <c r="G16" s="22">
        <f>(E16/D16)^(1/30)-1</f>
        <v>5.1667067176386583E-2</v>
      </c>
      <c r="I16" s="51" t="s">
        <v>368</v>
      </c>
    </row>
    <row r="17" spans="2:14">
      <c r="B17" t="s">
        <v>238</v>
      </c>
      <c r="C17" s="51" t="s">
        <v>207</v>
      </c>
      <c r="D17" s="80">
        <f>D16*F7</f>
        <v>1344133.3333333333</v>
      </c>
      <c r="E17" s="80">
        <f>E16*F7</f>
        <v>6092430.4347826084</v>
      </c>
      <c r="F17" s="80">
        <f>F16*F7</f>
        <v>4748297.1014492754</v>
      </c>
    </row>
    <row r="18" spans="2:14">
      <c r="B18" t="s">
        <v>218</v>
      </c>
      <c r="C18" s="51" t="s">
        <v>207</v>
      </c>
      <c r="D18" s="80">
        <f>D17*$F$8</f>
        <v>47044.666666666672</v>
      </c>
      <c r="E18" s="80">
        <f t="shared" ref="E18:F18" si="2">E17*$F$8</f>
        <v>213235.06521739133</v>
      </c>
      <c r="F18" s="80">
        <f t="shared" si="2"/>
        <v>166190.39855072467</v>
      </c>
    </row>
    <row r="19" spans="2:14" ht="15.5" thickBot="1">
      <c r="B19" s="81" t="s">
        <v>577</v>
      </c>
      <c r="C19" s="82" t="s">
        <v>207</v>
      </c>
      <c r="D19" s="83">
        <f>D18*$D$22</f>
        <v>14113.400000000001</v>
      </c>
      <c r="E19" s="83">
        <f>E18*$D$22</f>
        <v>63970.519565217393</v>
      </c>
      <c r="F19" s="83">
        <f>F18*$D$22</f>
        <v>49857.119565217399</v>
      </c>
      <c r="G19" s="80">
        <f>E19-D19</f>
        <v>49857.119565217392</v>
      </c>
    </row>
    <row r="21" spans="2:14" ht="15.5" thickBot="1">
      <c r="B21" s="76" t="s">
        <v>219</v>
      </c>
      <c r="C21" s="76"/>
      <c r="D21" s="76"/>
      <c r="I21" s="63" t="s">
        <v>141</v>
      </c>
      <c r="J21" s="63" t="s">
        <v>693</v>
      </c>
      <c r="K21" s="63" t="s">
        <v>694</v>
      </c>
      <c r="L21" s="63" t="s">
        <v>27</v>
      </c>
    </row>
    <row r="22" spans="2:14">
      <c r="B22" t="s">
        <v>220</v>
      </c>
      <c r="C22" t="s">
        <v>126</v>
      </c>
      <c r="D22" s="53">
        <v>0.3</v>
      </c>
      <c r="I22" s="52">
        <v>0</v>
      </c>
      <c r="J22" s="52">
        <v>0.5</v>
      </c>
      <c r="K22" s="52">
        <v>0.3</v>
      </c>
      <c r="L22" s="52">
        <v>0.2</v>
      </c>
    </row>
    <row r="23" spans="2:14">
      <c r="B23" t="s">
        <v>894</v>
      </c>
      <c r="C23" t="s">
        <v>126</v>
      </c>
      <c r="D23" s="53">
        <f>0.35*AVERAGE('Production - Industry shares'!Z114,'Production - Industry shares'!Z119,'Production - Industry shares'!Z122)</f>
        <v>0.15312844828414252</v>
      </c>
      <c r="E23" t="s">
        <v>895</v>
      </c>
      <c r="I23" s="52"/>
      <c r="J23" s="52"/>
      <c r="K23" s="52"/>
      <c r="L23" s="52"/>
    </row>
    <row r="24" spans="2:14">
      <c r="B24" t="s">
        <v>1309</v>
      </c>
      <c r="C24" t="s">
        <v>126</v>
      </c>
      <c r="D24" s="53">
        <f>0.5*0.25</f>
        <v>0.125</v>
      </c>
      <c r="E24" t="s">
        <v>1314</v>
      </c>
      <c r="I24" s="52"/>
      <c r="J24" s="52"/>
      <c r="K24" s="52"/>
      <c r="L24" s="52"/>
    </row>
    <row r="25" spans="2:14">
      <c r="B25" t="s">
        <v>1310</v>
      </c>
      <c r="C25" t="s">
        <v>126</v>
      </c>
      <c r="D25" s="53">
        <v>0</v>
      </c>
      <c r="E25" t="s">
        <v>1313</v>
      </c>
      <c r="I25" s="52"/>
      <c r="J25" s="52"/>
      <c r="K25" s="52"/>
      <c r="L25" s="52"/>
    </row>
    <row r="26" spans="2:14">
      <c r="B26" t="s">
        <v>1311</v>
      </c>
      <c r="C26" t="s">
        <v>126</v>
      </c>
      <c r="D26" s="53">
        <f>0.52*0.25</f>
        <v>0.13</v>
      </c>
      <c r="E26" t="s">
        <v>1315</v>
      </c>
      <c r="I26" s="52"/>
      <c r="J26" s="52"/>
      <c r="K26" s="52"/>
      <c r="L26" s="52"/>
    </row>
    <row r="27" spans="2:14">
      <c r="B27" t="s">
        <v>1312</v>
      </c>
      <c r="C27" t="s">
        <v>126</v>
      </c>
      <c r="D27" s="53">
        <v>0</v>
      </c>
      <c r="E27" t="s">
        <v>1313</v>
      </c>
      <c r="I27" s="52"/>
      <c r="J27" s="52"/>
      <c r="K27" s="52"/>
      <c r="L27" s="52"/>
    </row>
    <row r="28" spans="2:14">
      <c r="B28" t="s">
        <v>221</v>
      </c>
      <c r="C28" s="51"/>
      <c r="D28" s="80"/>
    </row>
    <row r="29" spans="2:14">
      <c r="B29" t="s">
        <v>222</v>
      </c>
    </row>
    <row r="30" spans="2:14">
      <c r="B30" t="s">
        <v>223</v>
      </c>
    </row>
    <row r="32" spans="2:14">
      <c r="B32" t="s">
        <v>1566</v>
      </c>
      <c r="C32" t="s">
        <v>126</v>
      </c>
      <c r="D32" s="2">
        <f>'Yearly Demand Japan'!H7/436000000/2</f>
        <v>2.698656304068927E-2</v>
      </c>
      <c r="E32" t="s">
        <v>1567</v>
      </c>
      <c r="J32" s="2"/>
      <c r="K32" s="2"/>
      <c r="L32" s="2"/>
      <c r="M32" s="2"/>
      <c r="N32" s="6"/>
    </row>
    <row r="34" spans="2:35" ht="15.5" thickBot="1">
      <c r="B34" s="76"/>
      <c r="C34" s="77"/>
      <c r="D34" s="76">
        <v>2020</v>
      </c>
      <c r="E34" s="76">
        <f>D34+1</f>
        <v>2021</v>
      </c>
      <c r="F34" s="76">
        <f t="shared" ref="F34:AH34" si="3">E34+1</f>
        <v>2022</v>
      </c>
      <c r="G34" s="76">
        <f t="shared" si="3"/>
        <v>2023</v>
      </c>
      <c r="H34" s="76">
        <f t="shared" si="3"/>
        <v>2024</v>
      </c>
      <c r="I34" s="76">
        <f t="shared" si="3"/>
        <v>2025</v>
      </c>
      <c r="J34" s="76">
        <f t="shared" si="3"/>
        <v>2026</v>
      </c>
      <c r="K34" s="76">
        <f t="shared" si="3"/>
        <v>2027</v>
      </c>
      <c r="L34" s="76">
        <f t="shared" si="3"/>
        <v>2028</v>
      </c>
      <c r="M34" s="76">
        <f t="shared" si="3"/>
        <v>2029</v>
      </c>
      <c r="N34" s="76">
        <f t="shared" si="3"/>
        <v>2030</v>
      </c>
      <c r="O34" s="76">
        <f t="shared" si="3"/>
        <v>2031</v>
      </c>
      <c r="P34" s="76">
        <f t="shared" si="3"/>
        <v>2032</v>
      </c>
      <c r="Q34" s="76">
        <f t="shared" si="3"/>
        <v>2033</v>
      </c>
      <c r="R34" s="76">
        <f t="shared" si="3"/>
        <v>2034</v>
      </c>
      <c r="S34" s="76">
        <f t="shared" si="3"/>
        <v>2035</v>
      </c>
      <c r="T34" s="76">
        <f t="shared" si="3"/>
        <v>2036</v>
      </c>
      <c r="U34" s="76">
        <f t="shared" si="3"/>
        <v>2037</v>
      </c>
      <c r="V34" s="76">
        <f t="shared" si="3"/>
        <v>2038</v>
      </c>
      <c r="W34" s="76">
        <f t="shared" si="3"/>
        <v>2039</v>
      </c>
      <c r="X34" s="76">
        <f t="shared" si="3"/>
        <v>2040</v>
      </c>
      <c r="Y34" s="76">
        <f t="shared" si="3"/>
        <v>2041</v>
      </c>
      <c r="Z34" s="76">
        <f t="shared" si="3"/>
        <v>2042</v>
      </c>
      <c r="AA34" s="76">
        <f t="shared" si="3"/>
        <v>2043</v>
      </c>
      <c r="AB34" s="76">
        <f t="shared" si="3"/>
        <v>2044</v>
      </c>
      <c r="AC34" s="76">
        <f t="shared" si="3"/>
        <v>2045</v>
      </c>
      <c r="AD34" s="76">
        <f t="shared" si="3"/>
        <v>2046</v>
      </c>
      <c r="AE34" s="76">
        <f t="shared" si="3"/>
        <v>2047</v>
      </c>
      <c r="AF34" s="76">
        <f t="shared" si="3"/>
        <v>2048</v>
      </c>
      <c r="AG34" s="76">
        <f t="shared" si="3"/>
        <v>2049</v>
      </c>
      <c r="AH34" s="76">
        <f t="shared" si="3"/>
        <v>2050</v>
      </c>
    </row>
    <row r="35" spans="2:35">
      <c r="B35" t="s">
        <v>216</v>
      </c>
      <c r="C35" s="51" t="s">
        <v>205</v>
      </c>
      <c r="D35" s="80">
        <f>D16</f>
        <v>9200</v>
      </c>
      <c r="E35" s="80">
        <f t="shared" ref="E35:AH35" si="4">D35*(1+$G$16)</f>
        <v>9675.3370180227557</v>
      </c>
      <c r="F35" s="80">
        <f t="shared" si="4"/>
        <v>10175.233305687118</v>
      </c>
      <c r="G35" s="80">
        <f t="shared" si="4"/>
        <v>10700.957768427459</v>
      </c>
      <c r="H35" s="80">
        <f t="shared" si="4"/>
        <v>11253.844872300477</v>
      </c>
      <c r="I35" s="80">
        <f t="shared" si="4"/>
        <v>11835.29803131026</v>
      </c>
      <c r="J35" s="80">
        <f t="shared" si="4"/>
        <v>12446.793169746523</v>
      </c>
      <c r="K35" s="80">
        <f t="shared" si="4"/>
        <v>13089.882468578406</v>
      </c>
      <c r="L35" s="80">
        <f t="shared" si="4"/>
        <v>13766.198305413451</v>
      </c>
      <c r="M35" s="80">
        <f t="shared" si="4"/>
        <v>14477.457398022707</v>
      </c>
      <c r="N35" s="80">
        <f t="shared" si="4"/>
        <v>15225.465161949622</v>
      </c>
      <c r="O35" s="80">
        <f t="shared" si="4"/>
        <v>16012.120293263806</v>
      </c>
      <c r="P35" s="80">
        <f t="shared" si="4"/>
        <v>16839.419588092249</v>
      </c>
      <c r="Q35" s="80">
        <f t="shared" si="4"/>
        <v>17709.46301116157</v>
      </c>
      <c r="R35" s="80">
        <f t="shared" si="4"/>
        <v>18624.459026216988</v>
      </c>
      <c r="S35" s="80">
        <f t="shared" si="4"/>
        <v>19586.730201848401</v>
      </c>
      <c r="T35" s="80">
        <f t="shared" si="4"/>
        <v>20598.719106953064</v>
      </c>
      <c r="U35" s="80">
        <f t="shared" si="4"/>
        <v>21662.994510799526</v>
      </c>
      <c r="V35" s="80">
        <f t="shared" si="4"/>
        <v>22782.257903430698</v>
      </c>
      <c r="W35" s="80">
        <f t="shared" si="4"/>
        <v>23959.350352957015</v>
      </c>
      <c r="X35" s="80">
        <f t="shared" si="4"/>
        <v>25197.259717145826</v>
      </c>
      <c r="Y35" s="80">
        <f t="shared" si="4"/>
        <v>26499.128227612458</v>
      </c>
      <c r="Z35" s="80">
        <f t="shared" si="4"/>
        <v>27868.260465864194</v>
      </c>
      <c r="AA35" s="80">
        <f t="shared" si="4"/>
        <v>29308.131751443038</v>
      </c>
      <c r="AB35" s="80">
        <f t="shared" si="4"/>
        <v>30822.396963459232</v>
      </c>
      <c r="AC35" s="80">
        <f t="shared" si="4"/>
        <v>32414.899817907535</v>
      </c>
      <c r="AD35" s="80">
        <f t="shared" si="4"/>
        <v>34089.682624315203</v>
      </c>
      <c r="AE35" s="80">
        <f t="shared" si="4"/>
        <v>35850.996546487397</v>
      </c>
      <c r="AF35" s="80">
        <f t="shared" si="4"/>
        <v>37703.312393395165</v>
      </c>
      <c r="AG35" s="80">
        <f t="shared" si="4"/>
        <v>39651.331967596998</v>
      </c>
      <c r="AH35" s="80">
        <f t="shared" si="4"/>
        <v>41700.000000000036</v>
      </c>
    </row>
    <row r="36" spans="2:35">
      <c r="B36" t="s">
        <v>239</v>
      </c>
      <c r="C36" s="51" t="s">
        <v>205</v>
      </c>
      <c r="D36">
        <f>0</f>
        <v>0</v>
      </c>
      <c r="E36" s="80">
        <f>E35-D35</f>
        <v>475.33701802275573</v>
      </c>
      <c r="F36" s="80">
        <f t="shared" ref="F36:AH36" si="5">F35-E35</f>
        <v>499.89628766436181</v>
      </c>
      <c r="G36" s="80">
        <f t="shared" si="5"/>
        <v>525.72446274034155</v>
      </c>
      <c r="H36" s="80">
        <f t="shared" si="5"/>
        <v>552.88710387301762</v>
      </c>
      <c r="I36" s="80">
        <f t="shared" si="5"/>
        <v>581.45315900978312</v>
      </c>
      <c r="J36" s="80">
        <f t="shared" si="5"/>
        <v>611.49513843626301</v>
      </c>
      <c r="K36" s="80">
        <f t="shared" si="5"/>
        <v>643.08929883188284</v>
      </c>
      <c r="L36" s="80">
        <f t="shared" si="5"/>
        <v>676.31583683504505</v>
      </c>
      <c r="M36" s="80">
        <f t="shared" si="5"/>
        <v>711.25909260925619</v>
      </c>
      <c r="N36" s="80">
        <f t="shared" si="5"/>
        <v>748.00776392691478</v>
      </c>
      <c r="O36" s="80">
        <f t="shared" si="5"/>
        <v>786.65513131418447</v>
      </c>
      <c r="P36" s="80">
        <f t="shared" si="5"/>
        <v>827.29929482844273</v>
      </c>
      <c r="Q36" s="80">
        <f t="shared" si="5"/>
        <v>870.04342306932085</v>
      </c>
      <c r="R36" s="80">
        <f t="shared" si="5"/>
        <v>914.99601505541796</v>
      </c>
      <c r="S36" s="80">
        <f t="shared" si="5"/>
        <v>962.27117563141292</v>
      </c>
      <c r="T36" s="80">
        <f t="shared" si="5"/>
        <v>1011.988905104663</v>
      </c>
      <c r="U36" s="80">
        <f t="shared" si="5"/>
        <v>1064.2754038464627</v>
      </c>
      <c r="V36" s="80">
        <f t="shared" si="5"/>
        <v>1119.2633926311719</v>
      </c>
      <c r="W36" s="80">
        <f t="shared" si="5"/>
        <v>1177.0924495263171</v>
      </c>
      <c r="X36" s="80">
        <f t="shared" si="5"/>
        <v>1237.9093641888103</v>
      </c>
      <c r="Y36" s="80">
        <f t="shared" si="5"/>
        <v>1301.8685104666329</v>
      </c>
      <c r="Z36" s="80">
        <f t="shared" si="5"/>
        <v>1369.1322382517355</v>
      </c>
      <c r="AA36" s="80">
        <f t="shared" si="5"/>
        <v>1439.8712855788435</v>
      </c>
      <c r="AB36" s="80">
        <f t="shared" si="5"/>
        <v>1514.2652120161947</v>
      </c>
      <c r="AC36" s="80">
        <f t="shared" si="5"/>
        <v>1592.502854448303</v>
      </c>
      <c r="AD36" s="80">
        <f t="shared" si="5"/>
        <v>1674.7828064076675</v>
      </c>
      <c r="AE36" s="80">
        <f t="shared" si="5"/>
        <v>1761.313922172194</v>
      </c>
      <c r="AF36" s="80">
        <f t="shared" si="5"/>
        <v>1852.315846907768</v>
      </c>
      <c r="AG36" s="80">
        <f t="shared" si="5"/>
        <v>1948.0195742018332</v>
      </c>
      <c r="AH36" s="80">
        <f t="shared" si="5"/>
        <v>2048.6680324030385</v>
      </c>
    </row>
    <row r="37" spans="2:35">
      <c r="B37" t="s">
        <v>241</v>
      </c>
      <c r="C37" s="51" t="s">
        <v>207</v>
      </c>
      <c r="D37">
        <v>0</v>
      </c>
      <c r="E37" s="80">
        <f>E36*$F$7</f>
        <v>69447.427227353633</v>
      </c>
      <c r="F37" s="80">
        <f t="shared" ref="F37:AH37" si="6">F36*$F$7</f>
        <v>73035.572115136689</v>
      </c>
      <c r="G37" s="80">
        <f t="shared" si="6"/>
        <v>76809.105925875119</v>
      </c>
      <c r="H37" s="80">
        <f t="shared" si="6"/>
        <v>80777.607161505657</v>
      </c>
      <c r="I37" s="80">
        <f t="shared" si="6"/>
        <v>84951.14921706701</v>
      </c>
      <c r="J37" s="80">
        <f t="shared" si="6"/>
        <v>89340.32595037634</v>
      </c>
      <c r="K37" s="80">
        <f t="shared" si="6"/>
        <v>93956.278572814641</v>
      </c>
      <c r="L37" s="80">
        <f t="shared" si="6"/>
        <v>98810.723929479544</v>
      </c>
      <c r="M37" s="80">
        <f t="shared" si="6"/>
        <v>103915.98424049147</v>
      </c>
      <c r="N37" s="80">
        <f t="shared" si="6"/>
        <v>109285.01837894533</v>
      </c>
      <c r="O37" s="80">
        <f t="shared" si="6"/>
        <v>114931.4547649028</v>
      </c>
      <c r="P37" s="80">
        <f t="shared" si="6"/>
        <v>120869.62595892073</v>
      </c>
      <c r="Q37" s="80">
        <f t="shared" si="6"/>
        <v>127114.60504292497</v>
      </c>
      <c r="R37" s="80">
        <f t="shared" si="6"/>
        <v>133682.24388077779</v>
      </c>
      <c r="S37" s="80">
        <f t="shared" si="6"/>
        <v>140589.21335565613</v>
      </c>
      <c r="T37" s="80">
        <f t="shared" si="6"/>
        <v>147853.04568637838</v>
      </c>
      <c r="U37" s="80">
        <f t="shared" si="6"/>
        <v>155492.17893008972</v>
      </c>
      <c r="V37" s="80">
        <f t="shared" si="6"/>
        <v>163526.00378427308</v>
      </c>
      <c r="W37" s="80">
        <f t="shared" si="6"/>
        <v>171974.91280688118</v>
      </c>
      <c r="X37" s="80">
        <f t="shared" si="6"/>
        <v>180860.35217952749</v>
      </c>
      <c r="Y37" s="80">
        <f t="shared" si="6"/>
        <v>190204.87614513226</v>
      </c>
      <c r="Z37" s="80">
        <f t="shared" si="6"/>
        <v>200032.2042581992</v>
      </c>
      <c r="AA37" s="80">
        <f t="shared" si="6"/>
        <v>210367.28159304813</v>
      </c>
      <c r="AB37" s="80">
        <f t="shared" si="6"/>
        <v>221236.34206282982</v>
      </c>
      <c r="AC37" s="80">
        <f t="shared" si="6"/>
        <v>232666.97501004842</v>
      </c>
      <c r="AD37" s="80">
        <f t="shared" si="6"/>
        <v>244688.19523761878</v>
      </c>
      <c r="AE37" s="80">
        <f t="shared" si="6"/>
        <v>257330.51665823025</v>
      </c>
      <c r="AF37" s="80">
        <f t="shared" si="6"/>
        <v>270626.02974894503</v>
      </c>
      <c r="AG37" s="80">
        <f t="shared" si="6"/>
        <v>284608.483007662</v>
      </c>
      <c r="AH37" s="80">
        <f t="shared" si="6"/>
        <v>299313.36861818883</v>
      </c>
    </row>
    <row r="38" spans="2:35">
      <c r="B38" t="s">
        <v>240</v>
      </c>
      <c r="C38" s="51" t="s">
        <v>207</v>
      </c>
      <c r="D38">
        <v>0</v>
      </c>
      <c r="E38" s="80">
        <f>E37*$F$8</f>
        <v>2430.6599529573773</v>
      </c>
      <c r="F38" s="80">
        <f t="shared" ref="F38:AH38" si="7">F37*$F$8</f>
        <v>2556.2450240297844</v>
      </c>
      <c r="G38" s="80">
        <f t="shared" si="7"/>
        <v>2688.3187074056295</v>
      </c>
      <c r="H38" s="80">
        <f t="shared" si="7"/>
        <v>2827.2162506526984</v>
      </c>
      <c r="I38" s="80">
        <f t="shared" si="7"/>
        <v>2973.2902225973457</v>
      </c>
      <c r="J38" s="80">
        <f t="shared" si="7"/>
        <v>3126.9114082631722</v>
      </c>
      <c r="K38" s="80">
        <f t="shared" si="7"/>
        <v>3288.4697500485127</v>
      </c>
      <c r="L38" s="80">
        <f t="shared" si="7"/>
        <v>3458.3753375317842</v>
      </c>
      <c r="M38" s="80">
        <f t="shared" si="7"/>
        <v>3637.0594484172016</v>
      </c>
      <c r="N38" s="80">
        <f t="shared" si="7"/>
        <v>3824.975643263087</v>
      </c>
      <c r="O38" s="80">
        <f t="shared" si="7"/>
        <v>4022.6009167715983</v>
      </c>
      <c r="P38" s="80">
        <f t="shared" si="7"/>
        <v>4230.4369085622257</v>
      </c>
      <c r="Q38" s="80">
        <f t="shared" si="7"/>
        <v>4449.0111765023748</v>
      </c>
      <c r="R38" s="80">
        <f t="shared" si="7"/>
        <v>4678.8785358272235</v>
      </c>
      <c r="S38" s="80">
        <f t="shared" si="7"/>
        <v>4920.6224674479654</v>
      </c>
      <c r="T38" s="80">
        <f t="shared" si="7"/>
        <v>5174.8565990232437</v>
      </c>
      <c r="U38" s="80">
        <f t="shared" si="7"/>
        <v>5442.2262625531412</v>
      </c>
      <c r="V38" s="80">
        <f t="shared" si="7"/>
        <v>5723.4101324495587</v>
      </c>
      <c r="W38" s="80">
        <f t="shared" si="7"/>
        <v>6019.1219482408424</v>
      </c>
      <c r="X38" s="80">
        <f t="shared" si="7"/>
        <v>6330.1123262834626</v>
      </c>
      <c r="Y38" s="80">
        <f t="shared" si="7"/>
        <v>6657.1706650796295</v>
      </c>
      <c r="Z38" s="80">
        <f t="shared" si="7"/>
        <v>7001.1271490369727</v>
      </c>
      <c r="AA38" s="80">
        <f t="shared" si="7"/>
        <v>7362.8548557566855</v>
      </c>
      <c r="AB38" s="80">
        <f t="shared" si="7"/>
        <v>7743.2719721990443</v>
      </c>
      <c r="AC38" s="80">
        <f t="shared" si="7"/>
        <v>8143.3441253516958</v>
      </c>
      <c r="AD38" s="80">
        <f t="shared" si="7"/>
        <v>8564.0868333166582</v>
      </c>
      <c r="AE38" s="80">
        <f t="shared" si="7"/>
        <v>9006.5680830380588</v>
      </c>
      <c r="AF38" s="80">
        <f t="shared" si="7"/>
        <v>9471.9110412130776</v>
      </c>
      <c r="AG38" s="80">
        <f t="shared" si="7"/>
        <v>9961.296905268171</v>
      </c>
      <c r="AH38" s="80">
        <f t="shared" si="7"/>
        <v>10475.96790163661</v>
      </c>
    </row>
    <row r="39" spans="2:35" ht="15.5" thickBot="1">
      <c r="B39" s="84" t="s">
        <v>224</v>
      </c>
      <c r="C39" s="85" t="s">
        <v>207</v>
      </c>
      <c r="D39" s="86">
        <v>0</v>
      </c>
      <c r="E39" s="86">
        <f>E38*$D$22*$D$32</f>
        <v>19.678547415288921</v>
      </c>
      <c r="F39" s="86">
        <f t="shared" ref="F39:AH39" si="8">F38*$D$22*$D$32</f>
        <v>20.695280246528409</v>
      </c>
      <c r="G39" s="86">
        <f t="shared" si="8"/>
        <v>21.764544681259892</v>
      </c>
      <c r="H39" s="86">
        <f t="shared" si="8"/>
        <v>22.889054873370061</v>
      </c>
      <c r="I39" s="86">
        <f t="shared" si="8"/>
        <v>24.071665209116489</v>
      </c>
      <c r="J39" s="86">
        <f t="shared" si="8"/>
        <v>25.315377552523369</v>
      </c>
      <c r="K39" s="86">
        <f t="shared" si="8"/>
        <v>26.623348865125159</v>
      </c>
      <c r="L39" s="86">
        <f t="shared" si="8"/>
        <v>27.998899219399956</v>
      </c>
      <c r="M39" s="86">
        <f t="shared" si="8"/>
        <v>29.445520226233601</v>
      </c>
      <c r="N39" s="86">
        <f t="shared" si="8"/>
        <v>30.966883897806085</v>
      </c>
      <c r="O39" s="86">
        <f t="shared" si="8"/>
        <v>32.566851968397359</v>
      </c>
      <c r="P39" s="86">
        <f t="shared" si="8"/>
        <v>34.249485696771934</v>
      </c>
      <c r="Q39" s="86">
        <f t="shared" si="8"/>
        <v>36.019056175023735</v>
      </c>
      <c r="R39" s="86">
        <f t="shared" si="8"/>
        <v>37.880055170048777</v>
      </c>
      <c r="S39" s="86">
        <f t="shared" si="8"/>
        <v>39.837206525164952</v>
      </c>
      <c r="T39" s="86">
        <f t="shared" si="8"/>
        <v>41.895478150820288</v>
      </c>
      <c r="U39" s="86">
        <f t="shared" si="8"/>
        <v>44.060094634825525</v>
      </c>
      <c r="V39" s="86">
        <f t="shared" si="8"/>
        <v>46.336550504120922</v>
      </c>
      <c r="W39" s="86">
        <f t="shared" si="8"/>
        <v>48.730624171739372</v>
      </c>
      <c r="X39" s="86">
        <f t="shared" si="8"/>
        <v>51.248392604367858</v>
      </c>
      <c r="Y39" s="86">
        <f t="shared" si="8"/>
        <v>53.896246747739617</v>
      </c>
      <c r="Z39" s="86">
        <f t="shared" si="8"/>
        <v>56.680907749010224</v>
      </c>
      <c r="AA39" s="86">
        <f t="shared" si="8"/>
        <v>59.609444017296866</v>
      </c>
      <c r="AB39" s="86">
        <f t="shared" si="8"/>
        <v>62.689289165685544</v>
      </c>
      <c r="AC39" s="86">
        <f t="shared" si="8"/>
        <v>65.928260880249042</v>
      </c>
      <c r="AD39" s="86">
        <f t="shared" si="8"/>
        <v>69.334580763971076</v>
      </c>
      <c r="AE39" s="86">
        <f t="shared" si="8"/>
        <v>72.916895205949942</v>
      </c>
      <c r="AF39" s="86">
        <f t="shared" si="8"/>
        <v>76.68429732884924</v>
      </c>
      <c r="AG39" s="86">
        <f t="shared" si="8"/>
        <v>80.646350070312735</v>
      </c>
      <c r="AH39" s="86">
        <f t="shared" si="8"/>
        <v>84.813110456926097</v>
      </c>
      <c r="AI39" s="80"/>
    </row>
    <row r="40" spans="2:35" ht="15.5" thickBot="1">
      <c r="B40" s="84" t="s">
        <v>893</v>
      </c>
      <c r="C40" s="85" t="s">
        <v>207</v>
      </c>
      <c r="D40" s="86">
        <v>0</v>
      </c>
      <c r="E40" s="86">
        <f>E38*$D$23*$D$32</f>
        <v>10.044484767297053</v>
      </c>
      <c r="F40" s="86">
        <f t="shared" ref="F40:AH40" si="9">F38*$D$23*$D$32</f>
        <v>10.563453836521207</v>
      </c>
      <c r="G40" s="86">
        <f t="shared" si="9"/>
        <v>11.109236515507382</v>
      </c>
      <c r="H40" s="86">
        <f t="shared" si="9"/>
        <v>11.683218184832491</v>
      </c>
      <c r="I40" s="86">
        <f t="shared" si="9"/>
        <v>12.286855803624624</v>
      </c>
      <c r="J40" s="86">
        <f t="shared" si="9"/>
        <v>12.921681607817055</v>
      </c>
      <c r="K40" s="86">
        <f t="shared" si="9"/>
        <v>13.589306999480009</v>
      </c>
      <c r="L40" s="86">
        <f t="shared" si="9"/>
        <v>14.291426637102683</v>
      </c>
      <c r="M40" s="86">
        <f t="shared" si="9"/>
        <v>15.029822737208285</v>
      </c>
      <c r="N40" s="86">
        <f t="shared" si="9"/>
        <v>15.806369598220817</v>
      </c>
      <c r="O40" s="86">
        <f t="shared" si="9"/>
        <v>16.623038358066864</v>
      </c>
      <c r="P40" s="86">
        <f t="shared" si="9"/>
        <v>17.481901997588736</v>
      </c>
      <c r="Q40" s="86">
        <f t="shared" si="9"/>
        <v>18.385140602469157</v>
      </c>
      <c r="R40" s="86">
        <f t="shared" si="9"/>
        <v>19.335046897024267</v>
      </c>
      <c r="S40" s="86">
        <f t="shared" si="9"/>
        <v>20.334032063911419</v>
      </c>
      <c r="T40" s="86">
        <f t="shared" si="9"/>
        <v>21.384631864524358</v>
      </c>
      <c r="U40" s="86">
        <f t="shared" si="9"/>
        <v>22.489513075611018</v>
      </c>
      <c r="V40" s="86">
        <f t="shared" si="9"/>
        <v>23.651480258452796</v>
      </c>
      <c r="W40" s="86">
        <f t="shared" si="9"/>
        <v>24.873482877787257</v>
      </c>
      <c r="X40" s="86">
        <f t="shared" si="9"/>
        <v>26.158622788544587</v>
      </c>
      <c r="Y40" s="86">
        <f t="shared" si="9"/>
        <v>27.510162109402103</v>
      </c>
      <c r="Z40" s="86">
        <f t="shared" si="9"/>
        <v>28.931531503141883</v>
      </c>
      <c r="AA40" s="86">
        <f t="shared" si="9"/>
        <v>30.426338884830439</v>
      </c>
      <c r="AB40" s="86">
        <f t="shared" si="9"/>
        <v>31.998378579924452</v>
      </c>
      <c r="AC40" s="86">
        <f t="shared" si="9"/>
        <v>33.651640955548913</v>
      </c>
      <c r="AD40" s="86">
        <f t="shared" si="9"/>
        <v>35.390322549394831</v>
      </c>
      <c r="AE40" s="86">
        <f t="shared" si="9"/>
        <v>37.218836721948485</v>
      </c>
      <c r="AF40" s="86">
        <f t="shared" si="9"/>
        <v>39.141824859088331</v>
      </c>
      <c r="AG40" s="86">
        <f t="shared" si="9"/>
        <v>41.164168153489115</v>
      </c>
      <c r="AH40" s="86">
        <f t="shared" si="9"/>
        <v>43.290999994735586</v>
      </c>
      <c r="AI40" s="80"/>
    </row>
    <row r="41" spans="2:35" ht="15.5" thickBot="1">
      <c r="B41" s="84" t="s">
        <v>1316</v>
      </c>
      <c r="C41" s="85" t="s">
        <v>207</v>
      </c>
      <c r="D41" s="86">
        <v>0</v>
      </c>
      <c r="E41" s="86">
        <f>E38*$D$24*$D$32</f>
        <v>8.1993947563703848</v>
      </c>
      <c r="F41" s="86">
        <f t="shared" ref="F41:AH41" si="10">F38*$D$24*$D$32</f>
        <v>8.6230334360535039</v>
      </c>
      <c r="G41" s="86">
        <f t="shared" si="10"/>
        <v>9.0685602838582895</v>
      </c>
      <c r="H41" s="86">
        <f t="shared" si="10"/>
        <v>9.5371061972375255</v>
      </c>
      <c r="I41" s="86">
        <f t="shared" si="10"/>
        <v>10.029860503798538</v>
      </c>
      <c r="J41" s="86">
        <f t="shared" si="10"/>
        <v>10.548073980218071</v>
      </c>
      <c r="K41" s="86">
        <f t="shared" si="10"/>
        <v>11.093062027135485</v>
      </c>
      <c r="L41" s="86">
        <f t="shared" si="10"/>
        <v>11.666208008083316</v>
      </c>
      <c r="M41" s="86">
        <f t="shared" si="10"/>
        <v>12.268966760930669</v>
      </c>
      <c r="N41" s="86">
        <f t="shared" si="10"/>
        <v>12.902868290752536</v>
      </c>
      <c r="O41" s="86">
        <f t="shared" si="10"/>
        <v>13.569521653498899</v>
      </c>
      <c r="P41" s="86">
        <f t="shared" si="10"/>
        <v>14.270619040321641</v>
      </c>
      <c r="Q41" s="86">
        <f t="shared" si="10"/>
        <v>15.007940072926559</v>
      </c>
      <c r="R41" s="86">
        <f t="shared" si="10"/>
        <v>15.78335632085366</v>
      </c>
      <c r="S41" s="86">
        <f t="shared" si="10"/>
        <v>16.598836052152063</v>
      </c>
      <c r="T41" s="86">
        <f t="shared" si="10"/>
        <v>17.456449229508454</v>
      </c>
      <c r="U41" s="86">
        <f t="shared" si="10"/>
        <v>18.358372764510637</v>
      </c>
      <c r="V41" s="86">
        <f t="shared" si="10"/>
        <v>19.306896043383716</v>
      </c>
      <c r="W41" s="86">
        <f t="shared" si="10"/>
        <v>20.304426738224738</v>
      </c>
      <c r="X41" s="86">
        <f t="shared" si="10"/>
        <v>21.353496918486609</v>
      </c>
      <c r="Y41" s="86">
        <f t="shared" si="10"/>
        <v>22.456769478224842</v>
      </c>
      <c r="Z41" s="86">
        <f t="shared" si="10"/>
        <v>23.617044895420925</v>
      </c>
      <c r="AA41" s="86">
        <f t="shared" si="10"/>
        <v>24.837268340540362</v>
      </c>
      <c r="AB41" s="86">
        <f t="shared" si="10"/>
        <v>26.120537152368978</v>
      </c>
      <c r="AC41" s="86">
        <f t="shared" si="10"/>
        <v>27.470108700103768</v>
      </c>
      <c r="AD41" s="86">
        <f t="shared" si="10"/>
        <v>28.889408651654616</v>
      </c>
      <c r="AE41" s="86">
        <f t="shared" si="10"/>
        <v>30.382039669145811</v>
      </c>
      <c r="AF41" s="86">
        <f t="shared" si="10"/>
        <v>31.951790553687182</v>
      </c>
      <c r="AG41" s="86">
        <f t="shared" si="10"/>
        <v>33.602645862630304</v>
      </c>
      <c r="AH41" s="86">
        <f t="shared" si="10"/>
        <v>35.338796023719205</v>
      </c>
      <c r="AI41" s="80"/>
    </row>
    <row r="42" spans="2:35" ht="15.5" thickBot="1">
      <c r="B42" s="84" t="s">
        <v>1317</v>
      </c>
      <c r="C42" s="85" t="s">
        <v>207</v>
      </c>
      <c r="D42" s="86">
        <v>0</v>
      </c>
      <c r="E42" s="86">
        <f>E38*$D$26*$D$32</f>
        <v>8.5273705466251997</v>
      </c>
      <c r="F42" s="86">
        <f t="shared" ref="F42:AH42" si="11">F38*$D$26*$D$32</f>
        <v>8.9679547734956451</v>
      </c>
      <c r="G42" s="86">
        <f t="shared" si="11"/>
        <v>9.4313026952126204</v>
      </c>
      <c r="H42" s="86">
        <f t="shared" si="11"/>
        <v>9.9185904451270268</v>
      </c>
      <c r="I42" s="86">
        <f t="shared" si="11"/>
        <v>10.43105492395048</v>
      </c>
      <c r="J42" s="86">
        <f t="shared" si="11"/>
        <v>10.969996939426792</v>
      </c>
      <c r="K42" s="86">
        <f t="shared" si="11"/>
        <v>11.536784508220903</v>
      </c>
      <c r="L42" s="86">
        <f t="shared" si="11"/>
        <v>12.13285632840665</v>
      </c>
      <c r="M42" s="86">
        <f t="shared" si="11"/>
        <v>12.759725431367897</v>
      </c>
      <c r="N42" s="86">
        <f t="shared" si="11"/>
        <v>13.418983022382637</v>
      </c>
      <c r="O42" s="86">
        <f t="shared" si="11"/>
        <v>14.112302519638854</v>
      </c>
      <c r="P42" s="86">
        <f t="shared" si="11"/>
        <v>14.841443801934508</v>
      </c>
      <c r="Q42" s="86">
        <f t="shared" si="11"/>
        <v>15.608257675843623</v>
      </c>
      <c r="R42" s="86">
        <f t="shared" si="11"/>
        <v>16.414690573687807</v>
      </c>
      <c r="S42" s="86">
        <f t="shared" si="11"/>
        <v>17.262789494238145</v>
      </c>
      <c r="T42" s="86">
        <f t="shared" si="11"/>
        <v>18.154707198688794</v>
      </c>
      <c r="U42" s="86">
        <f t="shared" si="11"/>
        <v>19.092707675091063</v>
      </c>
      <c r="V42" s="86">
        <f t="shared" si="11"/>
        <v>20.079171885119067</v>
      </c>
      <c r="W42" s="86">
        <f t="shared" si="11"/>
        <v>21.11660380775373</v>
      </c>
      <c r="X42" s="86">
        <f t="shared" si="11"/>
        <v>22.207636795226072</v>
      </c>
      <c r="Y42" s="86">
        <f t="shared" si="11"/>
        <v>23.355040257353835</v>
      </c>
      <c r="Z42" s="86">
        <f t="shared" si="11"/>
        <v>24.561726691237762</v>
      </c>
      <c r="AA42" s="86">
        <f t="shared" si="11"/>
        <v>25.830759074161978</v>
      </c>
      <c r="AB42" s="86">
        <f t="shared" si="11"/>
        <v>27.16535863846374</v>
      </c>
      <c r="AC42" s="86">
        <f t="shared" si="11"/>
        <v>28.568913048107923</v>
      </c>
      <c r="AD42" s="86">
        <f t="shared" si="11"/>
        <v>30.0449849977208</v>
      </c>
      <c r="AE42" s="86">
        <f t="shared" si="11"/>
        <v>31.597321255911645</v>
      </c>
      <c r="AF42" s="86">
        <f t="shared" si="11"/>
        <v>33.229862175834668</v>
      </c>
      <c r="AG42" s="86">
        <f t="shared" si="11"/>
        <v>34.946751697135518</v>
      </c>
      <c r="AH42" s="86">
        <f t="shared" si="11"/>
        <v>36.752347864667975</v>
      </c>
      <c r="AI42" s="80"/>
    </row>
  </sheetData>
  <hyperlinks>
    <hyperlink ref="B3" r:id="rId1" xr:uid="{AC02FA5A-22FD-465A-A96E-71D33097C009}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A3592-90DB-4242-91D5-B47527EABA93}">
  <sheetPr>
    <tabColor rgb="FFFFC000"/>
  </sheetPr>
  <dimension ref="A1:AH148"/>
  <sheetViews>
    <sheetView topLeftCell="G116" zoomScale="70" zoomScaleNormal="70" workbookViewId="0">
      <selection activeCell="G16" sqref="G16"/>
    </sheetView>
  </sheetViews>
  <sheetFormatPr defaultRowHeight="14.75"/>
  <cols>
    <col min="1" max="1" width="44.08984375" customWidth="1"/>
    <col min="2" max="2" width="10.1796875" customWidth="1"/>
    <col min="5" max="5" width="20" bestFit="1" customWidth="1"/>
    <col min="7" max="7" width="18.36328125" customWidth="1"/>
    <col min="8" max="8" width="11.36328125" customWidth="1"/>
    <col min="11" max="11" width="20.54296875" customWidth="1"/>
    <col min="12" max="12" width="13.86328125" bestFit="1" customWidth="1"/>
    <col min="13" max="13" width="20" bestFit="1" customWidth="1"/>
    <col min="25" max="25" width="30.36328125" customWidth="1"/>
    <col min="26" max="26" width="10.36328125" customWidth="1"/>
    <col min="29" max="29" width="26" customWidth="1"/>
  </cols>
  <sheetData>
    <row r="1" spans="1:15" s="76" customFormat="1" ht="15.5" thickBot="1">
      <c r="A1" s="76" t="s">
        <v>328</v>
      </c>
    </row>
    <row r="2" spans="1:15">
      <c r="A2" s="51" t="s">
        <v>372</v>
      </c>
    </row>
    <row r="3" spans="1:15">
      <c r="A3" s="147" t="s">
        <v>330</v>
      </c>
    </row>
    <row r="5" spans="1:15">
      <c r="A5" s="138" t="s">
        <v>332</v>
      </c>
      <c r="B5" s="139" t="s">
        <v>141</v>
      </c>
      <c r="C5" s="140"/>
      <c r="D5" s="141" t="s">
        <v>140</v>
      </c>
      <c r="E5" s="140" t="s">
        <v>74</v>
      </c>
      <c r="F5" s="140" t="s">
        <v>34</v>
      </c>
      <c r="G5" s="140" t="s">
        <v>35</v>
      </c>
      <c r="H5" s="142" t="s">
        <v>160</v>
      </c>
      <c r="I5" s="140" t="s">
        <v>24</v>
      </c>
      <c r="J5" s="140" t="s">
        <v>78</v>
      </c>
    </row>
    <row r="6" spans="1:15">
      <c r="A6" s="143" t="s">
        <v>333</v>
      </c>
      <c r="B6" s="601">
        <v>8.9999999999999993E-3</v>
      </c>
      <c r="C6" s="601"/>
      <c r="D6" s="672">
        <v>2.5999999999999999E-2</v>
      </c>
      <c r="E6" s="601">
        <v>0</v>
      </c>
      <c r="F6" s="601">
        <v>3.0000000000000001E-3</v>
      </c>
      <c r="G6" s="601">
        <v>0</v>
      </c>
      <c r="H6" s="673">
        <f>1.6%-0.8%</f>
        <v>8.0000000000000002E-3</v>
      </c>
      <c r="I6" s="674">
        <f>1.4%+0.8%</f>
        <v>2.1999999999999999E-2</v>
      </c>
      <c r="J6" s="144">
        <f>SUM(B6:I6)</f>
        <v>6.8000000000000005E-2</v>
      </c>
      <c r="M6" s="251" t="s">
        <v>1515</v>
      </c>
    </row>
    <row r="7" spans="1:15">
      <c r="A7" s="143" t="s">
        <v>17</v>
      </c>
      <c r="B7" s="601">
        <f>13.5%+9.3%</f>
        <v>0.22800000000000004</v>
      </c>
      <c r="C7" s="601"/>
      <c r="D7" s="672">
        <v>8.2000000000000003E-2</v>
      </c>
      <c r="E7" s="601">
        <v>2.3E-2</v>
      </c>
      <c r="F7" s="601">
        <v>8.9999999999999993E-3</v>
      </c>
      <c r="G7" s="601">
        <v>0.10100000000000001</v>
      </c>
      <c r="H7" s="672">
        <v>2E-3</v>
      </c>
      <c r="I7" s="601">
        <v>1E-3</v>
      </c>
      <c r="J7" s="144">
        <f t="shared" ref="J7:J12" si="0">SUM(B7:I7)</f>
        <v>0.44600000000000006</v>
      </c>
      <c r="M7" s="252"/>
    </row>
    <row r="8" spans="1:15" ht="29.5">
      <c r="A8" s="145" t="s">
        <v>334</v>
      </c>
      <c r="B8" s="601">
        <v>4.3999999999999997E-2</v>
      </c>
      <c r="C8" s="601"/>
      <c r="D8" s="672">
        <v>1.2E-2</v>
      </c>
      <c r="E8" s="601">
        <v>2.1999999999999999E-2</v>
      </c>
      <c r="F8" s="601">
        <v>8.1000000000000003E-2</v>
      </c>
      <c r="G8" s="601">
        <v>0</v>
      </c>
      <c r="H8" s="672">
        <v>2.4E-2</v>
      </c>
      <c r="I8" s="601">
        <v>5.0000000000000001E-3</v>
      </c>
      <c r="J8" s="144">
        <f t="shared" si="0"/>
        <v>0.18799999999999997</v>
      </c>
    </row>
    <row r="9" spans="1:15" ht="29.5">
      <c r="A9" s="145" t="s">
        <v>335</v>
      </c>
      <c r="B9" s="601">
        <v>7.0000000000000001E-3</v>
      </c>
      <c r="C9" s="601"/>
      <c r="D9" s="672">
        <v>8.9999999999999993E-3</v>
      </c>
      <c r="E9" s="601">
        <v>6.0000000000000001E-3</v>
      </c>
      <c r="F9" s="601">
        <v>4.0000000000000001E-3</v>
      </c>
      <c r="G9" s="601">
        <v>0</v>
      </c>
      <c r="H9" s="672">
        <v>4.0000000000000001E-3</v>
      </c>
      <c r="I9" s="601">
        <v>0.01</v>
      </c>
      <c r="J9" s="144">
        <f t="shared" si="0"/>
        <v>0.04</v>
      </c>
    </row>
    <row r="10" spans="1:15" ht="29.5">
      <c r="A10" s="145" t="s">
        <v>336</v>
      </c>
      <c r="B10" s="601">
        <v>4.5999999999999999E-2</v>
      </c>
      <c r="C10" s="601"/>
      <c r="D10" s="672">
        <v>3.7999999999999999E-2</v>
      </c>
      <c r="E10" s="601">
        <v>1.7999999999999999E-2</v>
      </c>
      <c r="F10" s="601">
        <v>6.0000000000000001E-3</v>
      </c>
      <c r="G10" s="601">
        <v>0</v>
      </c>
      <c r="H10" s="672">
        <v>0.01</v>
      </c>
      <c r="I10" s="601">
        <v>2E-3</v>
      </c>
      <c r="J10" s="144">
        <f t="shared" si="0"/>
        <v>0.12</v>
      </c>
      <c r="L10" s="1" t="s">
        <v>1284</v>
      </c>
      <c r="O10">
        <f>'Demand - C4'!C18/(I13*L14)</f>
        <v>9.6721327202961102E-2</v>
      </c>
    </row>
    <row r="11" spans="1:15" ht="29.5">
      <c r="A11" s="145" t="s">
        <v>337</v>
      </c>
      <c r="B11" s="601">
        <v>3.0000000000000001E-3</v>
      </c>
      <c r="C11" s="601"/>
      <c r="D11" s="672">
        <v>2E-3</v>
      </c>
      <c r="E11" s="601">
        <v>0</v>
      </c>
      <c r="F11" s="601">
        <v>0</v>
      </c>
      <c r="G11" s="601">
        <v>0</v>
      </c>
      <c r="H11" s="672">
        <v>3.0000000000000001E-3</v>
      </c>
      <c r="I11" s="601">
        <v>0</v>
      </c>
      <c r="J11" s="144">
        <f t="shared" si="0"/>
        <v>8.0000000000000002E-3</v>
      </c>
    </row>
    <row r="12" spans="1:15">
      <c r="A12" s="143" t="s">
        <v>24</v>
      </c>
      <c r="B12" s="601">
        <v>2.5999999999999999E-2</v>
      </c>
      <c r="C12" s="601"/>
      <c r="D12" s="672">
        <v>4.2000000000000003E-2</v>
      </c>
      <c r="E12" s="601">
        <v>7.0000000000000001E-3</v>
      </c>
      <c r="F12" s="601">
        <v>1.4E-2</v>
      </c>
      <c r="G12" s="601">
        <v>0</v>
      </c>
      <c r="H12" s="672">
        <v>2.5000000000000001E-2</v>
      </c>
      <c r="I12" s="601">
        <v>1.6E-2</v>
      </c>
      <c r="J12" s="144">
        <f t="shared" si="0"/>
        <v>0.13</v>
      </c>
    </row>
    <row r="13" spans="1:15">
      <c r="A13" s="143" t="s">
        <v>78</v>
      </c>
      <c r="B13" s="675">
        <f>SUM(B6:B12)</f>
        <v>0.36300000000000004</v>
      </c>
      <c r="C13" s="675"/>
      <c r="D13" s="675">
        <f t="shared" ref="D13:I13" si="1">SUM(D6:D12)</f>
        <v>0.21100000000000002</v>
      </c>
      <c r="E13" s="675">
        <f t="shared" si="1"/>
        <v>7.5999999999999998E-2</v>
      </c>
      <c r="F13" s="675">
        <f t="shared" si="1"/>
        <v>0.11700000000000001</v>
      </c>
      <c r="G13" s="675">
        <f t="shared" si="1"/>
        <v>0.10100000000000001</v>
      </c>
      <c r="H13" s="675">
        <f t="shared" si="1"/>
        <v>7.6000000000000012E-2</v>
      </c>
      <c r="I13" s="675">
        <f t="shared" si="1"/>
        <v>5.6000000000000001E-2</v>
      </c>
      <c r="J13" s="144">
        <f>SUM(J6:J12)</f>
        <v>1</v>
      </c>
      <c r="K13" s="38">
        <f>SUM(B13:I13)</f>
        <v>1</v>
      </c>
      <c r="L13" s="48"/>
      <c r="M13" t="s">
        <v>566</v>
      </c>
      <c r="N13" t="s">
        <v>568</v>
      </c>
    </row>
    <row r="14" spans="1:15">
      <c r="A14" s="137" t="s">
        <v>331</v>
      </c>
      <c r="B14" s="38"/>
      <c r="C14" s="38"/>
      <c r="D14" s="38"/>
      <c r="E14" s="38"/>
      <c r="F14" s="38"/>
      <c r="G14" s="38"/>
      <c r="H14" s="38"/>
      <c r="I14" s="38"/>
      <c r="L14" s="591">
        <v>10564852</v>
      </c>
      <c r="M14" s="1" t="s">
        <v>768</v>
      </c>
      <c r="N14" s="1" t="s">
        <v>567</v>
      </c>
    </row>
    <row r="15" spans="1:15">
      <c r="A15" s="146"/>
      <c r="L15" s="101">
        <f>L14</f>
        <v>10564852</v>
      </c>
      <c r="N15" t="s">
        <v>765</v>
      </c>
    </row>
    <row r="16" spans="1:15">
      <c r="A16" s="51" t="s">
        <v>338</v>
      </c>
      <c r="L16" s="101">
        <f>P22</f>
        <v>131274.34234112798</v>
      </c>
      <c r="M16" s="51"/>
      <c r="N16" t="s">
        <v>766</v>
      </c>
    </row>
    <row r="17" spans="1:34">
      <c r="A17" s="138" t="s">
        <v>332</v>
      </c>
      <c r="B17" s="139" t="s">
        <v>141</v>
      </c>
      <c r="C17" s="140"/>
      <c r="D17" s="141" t="s">
        <v>140</v>
      </c>
      <c r="E17" s="140" t="s">
        <v>74</v>
      </c>
      <c r="F17" s="140" t="s">
        <v>34</v>
      </c>
      <c r="G17" s="140" t="s">
        <v>35</v>
      </c>
      <c r="H17" s="142" t="s">
        <v>160</v>
      </c>
      <c r="I17" s="140" t="s">
        <v>24</v>
      </c>
      <c r="J17" s="140" t="s">
        <v>78</v>
      </c>
      <c r="L17" s="79">
        <f>L14+L16</f>
        <v>10696126.342341129</v>
      </c>
      <c r="M17" t="s">
        <v>768</v>
      </c>
      <c r="O17" s="269"/>
      <c r="P17" s="270"/>
      <c r="Q17" s="269"/>
      <c r="R17" s="269"/>
      <c r="S17" s="269"/>
      <c r="T17" s="271"/>
      <c r="U17" s="269"/>
      <c r="V17" s="269"/>
      <c r="X17" s="269"/>
      <c r="Y17" s="269"/>
      <c r="Z17" s="269"/>
      <c r="AA17" s="269"/>
      <c r="AB17" s="269"/>
      <c r="AD17" s="269"/>
      <c r="AE17" s="269"/>
      <c r="AF17" s="269"/>
      <c r="AG17" s="269"/>
      <c r="AH17" s="269"/>
    </row>
    <row r="18" spans="1:34">
      <c r="A18" t="s">
        <v>17</v>
      </c>
      <c r="B18" s="38">
        <f>B7</f>
        <v>0.22800000000000004</v>
      </c>
      <c r="C18" s="38">
        <f t="shared" ref="C18:J18" si="2">C7</f>
        <v>0</v>
      </c>
      <c r="D18" s="38">
        <f t="shared" si="2"/>
        <v>8.2000000000000003E-2</v>
      </c>
      <c r="E18" s="38">
        <f t="shared" si="2"/>
        <v>2.3E-2</v>
      </c>
      <c r="F18" s="38">
        <f t="shared" si="2"/>
        <v>8.9999999999999993E-3</v>
      </c>
      <c r="G18" s="38">
        <f t="shared" si="2"/>
        <v>0.10100000000000001</v>
      </c>
      <c r="H18" s="38">
        <f t="shared" si="2"/>
        <v>2E-3</v>
      </c>
      <c r="I18" s="38">
        <f t="shared" si="2"/>
        <v>1E-3</v>
      </c>
      <c r="J18" s="38">
        <f t="shared" si="2"/>
        <v>0.44600000000000006</v>
      </c>
      <c r="N18" s="38"/>
      <c r="O18" s="38"/>
      <c r="P18" s="38"/>
      <c r="Q18" s="38"/>
      <c r="R18" s="38"/>
      <c r="S18" s="38"/>
      <c r="T18" s="38"/>
      <c r="U18" s="38"/>
      <c r="V18" s="38"/>
      <c r="X18" s="272"/>
      <c r="Y18" s="272"/>
      <c r="Z18" s="272"/>
      <c r="AA18" s="272"/>
      <c r="AB18" s="272"/>
      <c r="AD18" s="272"/>
      <c r="AE18" s="272"/>
      <c r="AF18" s="272"/>
      <c r="AG18" s="272"/>
      <c r="AH18" s="272"/>
    </row>
    <row r="19" spans="1:34">
      <c r="A19" t="s">
        <v>19</v>
      </c>
      <c r="B19" s="38">
        <f>B8</f>
        <v>4.3999999999999997E-2</v>
      </c>
      <c r="C19" s="38">
        <f t="shared" ref="C19:J19" si="3">C8</f>
        <v>0</v>
      </c>
      <c r="D19" s="38">
        <f t="shared" si="3"/>
        <v>1.2E-2</v>
      </c>
      <c r="E19" s="38">
        <f t="shared" si="3"/>
        <v>2.1999999999999999E-2</v>
      </c>
      <c r="F19" s="38">
        <f t="shared" si="3"/>
        <v>8.1000000000000003E-2</v>
      </c>
      <c r="G19" s="38">
        <f t="shared" si="3"/>
        <v>0</v>
      </c>
      <c r="H19" s="38">
        <f t="shared" si="3"/>
        <v>2.4E-2</v>
      </c>
      <c r="I19" s="38">
        <f t="shared" si="3"/>
        <v>5.0000000000000001E-3</v>
      </c>
      <c r="J19" s="38">
        <f t="shared" si="3"/>
        <v>0.18799999999999997</v>
      </c>
      <c r="N19" s="38"/>
      <c r="O19" s="38"/>
      <c r="P19" s="38"/>
      <c r="Q19" s="38"/>
      <c r="R19" s="38"/>
      <c r="S19" s="38"/>
      <c r="T19" s="38"/>
      <c r="U19" s="38"/>
      <c r="V19" s="38"/>
      <c r="X19" s="272"/>
      <c r="Y19" s="272"/>
      <c r="Z19" s="272"/>
      <c r="AA19" s="272"/>
      <c r="AB19" s="272"/>
      <c r="AD19" s="272"/>
      <c r="AE19" s="272"/>
      <c r="AF19" s="272"/>
      <c r="AG19" s="272"/>
      <c r="AH19" s="272"/>
    </row>
    <row r="20" spans="1:34">
      <c r="A20" t="s">
        <v>333</v>
      </c>
      <c r="B20" s="38">
        <f>B6</f>
        <v>8.9999999999999993E-3</v>
      </c>
      <c r="C20" s="38">
        <f t="shared" ref="C20:J20" si="4">C6</f>
        <v>0</v>
      </c>
      <c r="D20" s="38">
        <f t="shared" si="4"/>
        <v>2.5999999999999999E-2</v>
      </c>
      <c r="E20" s="38">
        <f t="shared" si="4"/>
        <v>0</v>
      </c>
      <c r="F20" s="38">
        <f t="shared" si="4"/>
        <v>3.0000000000000001E-3</v>
      </c>
      <c r="G20" s="38">
        <f t="shared" si="4"/>
        <v>0</v>
      </c>
      <c r="H20" s="38">
        <f t="shared" si="4"/>
        <v>8.0000000000000002E-3</v>
      </c>
      <c r="I20" s="38">
        <f t="shared" si="4"/>
        <v>2.1999999999999999E-2</v>
      </c>
      <c r="J20" s="38">
        <f t="shared" si="4"/>
        <v>6.8000000000000005E-2</v>
      </c>
      <c r="M20" t="s">
        <v>767</v>
      </c>
      <c r="N20" s="38"/>
      <c r="O20" s="38"/>
      <c r="P20" s="38"/>
      <c r="Q20" s="38"/>
      <c r="R20" s="38"/>
      <c r="S20" s="38"/>
      <c r="T20" s="38"/>
      <c r="U20" s="38"/>
      <c r="V20" s="38"/>
      <c r="X20" s="272"/>
      <c r="Y20" s="272"/>
      <c r="Z20" s="272"/>
      <c r="AA20" s="272"/>
      <c r="AB20" s="272"/>
      <c r="AD20" s="272"/>
      <c r="AE20" s="272"/>
      <c r="AF20" s="272"/>
      <c r="AG20" s="272"/>
      <c r="AH20" s="272"/>
    </row>
    <row r="21" spans="1:34">
      <c r="A21" t="s">
        <v>23</v>
      </c>
      <c r="B21" s="38">
        <f>B9</f>
        <v>7.0000000000000001E-3</v>
      </c>
      <c r="C21" s="38">
        <f t="shared" ref="C21:J21" si="5">C9</f>
        <v>0</v>
      </c>
      <c r="D21" s="38">
        <f t="shared" si="5"/>
        <v>8.9999999999999993E-3</v>
      </c>
      <c r="E21" s="38">
        <f t="shared" si="5"/>
        <v>6.0000000000000001E-3</v>
      </c>
      <c r="F21" s="38">
        <f t="shared" si="5"/>
        <v>4.0000000000000001E-3</v>
      </c>
      <c r="G21" s="38">
        <f t="shared" si="5"/>
        <v>0</v>
      </c>
      <c r="H21" s="38">
        <f t="shared" si="5"/>
        <v>4.0000000000000001E-3</v>
      </c>
      <c r="I21" s="38">
        <f t="shared" si="5"/>
        <v>0.01</v>
      </c>
      <c r="J21" s="38">
        <f t="shared" si="5"/>
        <v>0.04</v>
      </c>
      <c r="M21" t="s">
        <v>35</v>
      </c>
      <c r="N21" s="38" t="s">
        <v>27</v>
      </c>
      <c r="O21" s="38" t="s">
        <v>140</v>
      </c>
      <c r="P21" s="38"/>
      <c r="Q21" s="38"/>
      <c r="R21" s="38"/>
      <c r="S21" s="38"/>
      <c r="T21" s="38"/>
      <c r="U21" s="38"/>
      <c r="V21" s="38"/>
      <c r="X21" s="272"/>
      <c r="Y21" s="272"/>
      <c r="Z21" s="272"/>
      <c r="AA21" s="272"/>
      <c r="AB21" s="272"/>
      <c r="AD21" s="272"/>
      <c r="AE21" s="272"/>
      <c r="AF21" s="272"/>
      <c r="AG21" s="272"/>
      <c r="AH21" s="272"/>
    </row>
    <row r="22" spans="1:34">
      <c r="A22" t="s">
        <v>339</v>
      </c>
      <c r="B22" s="38">
        <f>B10</f>
        <v>4.5999999999999999E-2</v>
      </c>
      <c r="C22" s="38">
        <f t="shared" ref="C22:J22" si="6">C10</f>
        <v>0</v>
      </c>
      <c r="D22" s="38">
        <f t="shared" si="6"/>
        <v>3.7999999999999999E-2</v>
      </c>
      <c r="E22" s="38">
        <f t="shared" si="6"/>
        <v>1.7999999999999999E-2</v>
      </c>
      <c r="F22" s="38">
        <f t="shared" si="6"/>
        <v>6.0000000000000001E-3</v>
      </c>
      <c r="G22" s="38">
        <f t="shared" si="6"/>
        <v>0</v>
      </c>
      <c r="H22" s="38">
        <f t="shared" si="6"/>
        <v>0.01</v>
      </c>
      <c r="I22" s="38">
        <f t="shared" si="6"/>
        <v>2E-3</v>
      </c>
      <c r="J22" s="38">
        <f t="shared" si="6"/>
        <v>0.12</v>
      </c>
      <c r="M22" s="40">
        <f>'Demand - Ethylene'!I24/'Demand - Ethylene'!E36</f>
        <v>79043.923738507903</v>
      </c>
      <c r="N22" s="336">
        <f>10.7%*107</f>
        <v>11.449</v>
      </c>
      <c r="O22" s="40">
        <f>'Demand - Propylene'!D17</f>
        <v>52218.969602620069</v>
      </c>
      <c r="P22" s="278">
        <f>SUM(M22:O22)</f>
        <v>131274.34234112798</v>
      </c>
      <c r="Q22" s="38"/>
      <c r="R22" s="38"/>
      <c r="S22" s="38"/>
      <c r="T22" s="38"/>
      <c r="U22" s="38"/>
      <c r="V22" s="38"/>
      <c r="X22" s="272"/>
      <c r="Y22" s="272"/>
      <c r="Z22" s="272"/>
      <c r="AA22" s="272"/>
      <c r="AB22" s="272"/>
      <c r="AD22" s="272"/>
      <c r="AE22" s="272"/>
      <c r="AF22" s="272"/>
      <c r="AG22" s="272"/>
      <c r="AH22" s="272"/>
    </row>
    <row r="23" spans="1:34">
      <c r="A23" t="s">
        <v>27</v>
      </c>
      <c r="B23" s="38">
        <f>B12+B11</f>
        <v>2.8999999999999998E-2</v>
      </c>
      <c r="C23" s="38">
        <f t="shared" ref="C23:J23" si="7">C12+C11</f>
        <v>0</v>
      </c>
      <c r="D23" s="38">
        <f t="shared" si="7"/>
        <v>4.4000000000000004E-2</v>
      </c>
      <c r="E23" s="38">
        <f t="shared" si="7"/>
        <v>7.0000000000000001E-3</v>
      </c>
      <c r="F23" s="38">
        <f t="shared" si="7"/>
        <v>1.4E-2</v>
      </c>
      <c r="G23" s="38">
        <f t="shared" si="7"/>
        <v>0</v>
      </c>
      <c r="H23" s="38">
        <f t="shared" si="7"/>
        <v>2.8000000000000001E-2</v>
      </c>
      <c r="I23" s="38">
        <f t="shared" si="7"/>
        <v>1.6E-2</v>
      </c>
      <c r="J23" s="38">
        <f t="shared" si="7"/>
        <v>0.13800000000000001</v>
      </c>
      <c r="M23" t="s">
        <v>770</v>
      </c>
      <c r="N23" s="38" t="s">
        <v>772</v>
      </c>
      <c r="O23" s="38" t="s">
        <v>771</v>
      </c>
      <c r="P23" s="38"/>
      <c r="Q23" s="38"/>
      <c r="R23" s="38"/>
      <c r="S23" s="38"/>
      <c r="T23" s="38"/>
      <c r="U23" s="38"/>
      <c r="V23" s="38"/>
      <c r="X23" s="272"/>
      <c r="Y23" s="272"/>
      <c r="Z23" s="272"/>
      <c r="AA23" s="272"/>
      <c r="AB23" s="272"/>
      <c r="AD23" s="272"/>
      <c r="AE23" s="272"/>
      <c r="AF23" s="272"/>
      <c r="AG23" s="272"/>
      <c r="AH23" s="272"/>
    </row>
    <row r="24" spans="1:34">
      <c r="A24" t="s">
        <v>43</v>
      </c>
      <c r="B24" s="38">
        <f t="shared" ref="B24:J24" si="8">SUM(B18:B23)</f>
        <v>0.36299999999999999</v>
      </c>
      <c r="C24" s="38">
        <f t="shared" si="8"/>
        <v>0</v>
      </c>
      <c r="D24" s="38">
        <f t="shared" si="8"/>
        <v>0.21100000000000002</v>
      </c>
      <c r="E24" s="38">
        <f t="shared" si="8"/>
        <v>7.5999999999999998E-2</v>
      </c>
      <c r="F24" s="38">
        <f t="shared" si="8"/>
        <v>0.11700000000000001</v>
      </c>
      <c r="G24" s="38">
        <f t="shared" si="8"/>
        <v>0.10100000000000001</v>
      </c>
      <c r="H24" s="38">
        <f t="shared" si="8"/>
        <v>7.6000000000000012E-2</v>
      </c>
      <c r="I24" s="38">
        <f t="shared" si="8"/>
        <v>5.6000000000000001E-2</v>
      </c>
      <c r="J24" s="38">
        <f t="shared" si="8"/>
        <v>1</v>
      </c>
      <c r="M24" s="230">
        <f>M22/$P$22</f>
        <v>0.6021277450631235</v>
      </c>
      <c r="N24" s="230">
        <f t="shared" ref="N24:O24" si="9">N22/$P$22</f>
        <v>8.721430095036212E-5</v>
      </c>
      <c r="O24" s="230">
        <f t="shared" si="9"/>
        <v>0.39778504063592612</v>
      </c>
      <c r="P24" s="38"/>
      <c r="Q24" s="38"/>
      <c r="R24" s="38"/>
      <c r="S24" s="38"/>
      <c r="T24" s="38"/>
      <c r="U24" s="38"/>
      <c r="V24" s="38"/>
      <c r="X24" s="272"/>
      <c r="Y24" s="272"/>
      <c r="Z24" s="272"/>
      <c r="AA24" s="272"/>
      <c r="AB24" s="272"/>
      <c r="AD24" s="272"/>
      <c r="AE24" s="272"/>
      <c r="AF24" s="272"/>
      <c r="AG24" s="272"/>
      <c r="AH24" s="272"/>
    </row>
    <row r="25" spans="1:34">
      <c r="M25" s="40">
        <f>N22/(M22+N22)</f>
        <v>1.4482254150985981E-4</v>
      </c>
    </row>
    <row r="26" spans="1:34">
      <c r="A26" s="51" t="s">
        <v>338</v>
      </c>
      <c r="M26" s="51"/>
    </row>
    <row r="27" spans="1:34">
      <c r="A27" s="138" t="s">
        <v>332</v>
      </c>
      <c r="B27" s="139" t="s">
        <v>141</v>
      </c>
      <c r="C27" s="140" t="s">
        <v>140</v>
      </c>
      <c r="D27" s="141" t="s">
        <v>74</v>
      </c>
      <c r="E27" s="140" t="s">
        <v>34</v>
      </c>
      <c r="F27" s="140" t="s">
        <v>35</v>
      </c>
      <c r="G27" s="140" t="s">
        <v>160</v>
      </c>
      <c r="H27" s="142" t="s">
        <v>27</v>
      </c>
      <c r="I27" s="140" t="s">
        <v>78</v>
      </c>
      <c r="J27" s="140"/>
      <c r="M27" s="267"/>
      <c r="N27" s="268"/>
      <c r="O27" s="269"/>
      <c r="P27" s="270"/>
      <c r="Q27" s="269"/>
      <c r="R27" s="269"/>
      <c r="S27" s="269"/>
      <c r="T27" s="271"/>
      <c r="U27" s="269"/>
      <c r="V27" s="269"/>
      <c r="X27" s="269"/>
      <c r="Y27" s="269"/>
      <c r="Z27" s="269"/>
      <c r="AA27" s="269"/>
      <c r="AB27" s="269"/>
      <c r="AD27" s="269"/>
      <c r="AE27" s="269"/>
      <c r="AF27" s="269"/>
      <c r="AG27" s="269"/>
      <c r="AH27" s="269"/>
    </row>
    <row r="28" spans="1:34">
      <c r="A28" t="s">
        <v>764</v>
      </c>
      <c r="B28" s="38">
        <f>B18+C18+B22+C22</f>
        <v>0.27400000000000002</v>
      </c>
      <c r="C28" s="38">
        <f>D18+D22</f>
        <v>0.12</v>
      </c>
      <c r="D28" s="38">
        <f t="shared" ref="D28:H28" si="10">E18+E22</f>
        <v>4.0999999999999995E-2</v>
      </c>
      <c r="E28" s="38">
        <f t="shared" si="10"/>
        <v>1.4999999999999999E-2</v>
      </c>
      <c r="F28" s="38">
        <f t="shared" si="10"/>
        <v>0.10100000000000001</v>
      </c>
      <c r="G28" s="38">
        <f t="shared" si="10"/>
        <v>1.2E-2</v>
      </c>
      <c r="H28" s="38">
        <f t="shared" si="10"/>
        <v>3.0000000000000001E-3</v>
      </c>
      <c r="I28" s="38">
        <f>SUM(B28:H28)</f>
        <v>0.56600000000000006</v>
      </c>
      <c r="J28" s="38"/>
      <c r="M28" s="230">
        <f>M22/$P$22</f>
        <v>0.6021277450631235</v>
      </c>
      <c r="N28" s="230">
        <f t="shared" ref="N28:O28" si="11">N22/$P$22</f>
        <v>8.721430095036212E-5</v>
      </c>
      <c r="O28" s="230">
        <f t="shared" si="11"/>
        <v>0.39778504063592612</v>
      </c>
      <c r="P28" s="38"/>
      <c r="Q28" s="38"/>
      <c r="R28" s="38"/>
      <c r="S28" s="38"/>
      <c r="T28" s="38"/>
      <c r="U28" s="38"/>
      <c r="V28" s="38"/>
      <c r="X28" s="272"/>
      <c r="Y28" s="272"/>
      <c r="Z28" s="272"/>
      <c r="AA28" s="272"/>
      <c r="AB28" s="272"/>
      <c r="AD28" s="272"/>
      <c r="AE28" s="272"/>
      <c r="AF28" s="272"/>
      <c r="AG28" s="272"/>
      <c r="AH28" s="272"/>
    </row>
    <row r="29" spans="1:34">
      <c r="A29" t="s">
        <v>19</v>
      </c>
      <c r="B29" s="38">
        <f>B19+C19</f>
        <v>4.3999999999999997E-2</v>
      </c>
      <c r="C29" s="38">
        <f>D19</f>
        <v>1.2E-2</v>
      </c>
      <c r="D29" s="38">
        <f t="shared" ref="D29:H29" si="12">E19</f>
        <v>2.1999999999999999E-2</v>
      </c>
      <c r="E29" s="38">
        <f t="shared" si="12"/>
        <v>8.1000000000000003E-2</v>
      </c>
      <c r="F29" s="38">
        <f t="shared" si="12"/>
        <v>0</v>
      </c>
      <c r="G29" s="38">
        <f t="shared" si="12"/>
        <v>2.4E-2</v>
      </c>
      <c r="H29" s="38">
        <f t="shared" si="12"/>
        <v>5.0000000000000001E-3</v>
      </c>
      <c r="I29" s="38">
        <f t="shared" ref="I29:I30" si="13">SUM(B29:H29)</f>
        <v>0.18799999999999997</v>
      </c>
      <c r="J29" s="38"/>
      <c r="N29" s="38"/>
      <c r="O29" s="38"/>
      <c r="P29" s="38"/>
      <c r="Q29" s="38"/>
      <c r="R29" s="38"/>
      <c r="S29" s="38"/>
      <c r="T29" s="38"/>
      <c r="U29" s="38"/>
      <c r="V29" s="38"/>
      <c r="X29" s="272"/>
      <c r="Y29" s="272"/>
      <c r="Z29" s="272"/>
      <c r="AA29" s="272"/>
      <c r="AB29" s="272"/>
      <c r="AD29" s="272"/>
      <c r="AE29" s="272"/>
      <c r="AF29" s="272"/>
      <c r="AG29" s="272"/>
      <c r="AH29" s="272"/>
    </row>
    <row r="30" spans="1:34">
      <c r="A30" t="s">
        <v>333</v>
      </c>
      <c r="B30" s="38">
        <f>B20+C20</f>
        <v>8.9999999999999993E-3</v>
      </c>
      <c r="C30" s="38">
        <f>D20</f>
        <v>2.5999999999999999E-2</v>
      </c>
      <c r="D30" s="38">
        <f t="shared" ref="D30:G30" si="14">E20</f>
        <v>0</v>
      </c>
      <c r="E30" s="38">
        <f t="shared" si="14"/>
        <v>3.0000000000000001E-3</v>
      </c>
      <c r="F30" s="38">
        <f t="shared" si="14"/>
        <v>0</v>
      </c>
      <c r="G30" s="38">
        <f t="shared" si="14"/>
        <v>8.0000000000000002E-3</v>
      </c>
      <c r="H30" s="38">
        <f>I20</f>
        <v>2.1999999999999999E-2</v>
      </c>
      <c r="I30" s="38">
        <f t="shared" si="13"/>
        <v>6.8000000000000005E-2</v>
      </c>
      <c r="J30" s="38"/>
      <c r="N30" s="38"/>
      <c r="O30" s="38"/>
      <c r="P30" s="38"/>
      <c r="Q30" s="38"/>
      <c r="R30" s="38"/>
      <c r="S30" s="38"/>
      <c r="T30" s="38"/>
      <c r="U30" s="38"/>
      <c r="V30" s="38"/>
      <c r="X30" s="272"/>
      <c r="Y30" s="272"/>
      <c r="Z30" s="272"/>
      <c r="AA30" s="272"/>
      <c r="AB30" s="272"/>
      <c r="AD30" s="272"/>
      <c r="AE30" s="272"/>
      <c r="AF30" s="272"/>
      <c r="AG30" s="272"/>
      <c r="AH30" s="272"/>
    </row>
    <row r="31" spans="1:34">
      <c r="A31" t="s">
        <v>27</v>
      </c>
      <c r="B31" s="38">
        <f>B23+B21+C21+C23</f>
        <v>3.5999999999999997E-2</v>
      </c>
      <c r="C31" s="38">
        <f t="shared" ref="C31:H31" si="15">D21+D23</f>
        <v>5.3000000000000005E-2</v>
      </c>
      <c r="D31" s="38">
        <f t="shared" si="15"/>
        <v>1.3000000000000001E-2</v>
      </c>
      <c r="E31" s="38">
        <f t="shared" si="15"/>
        <v>1.8000000000000002E-2</v>
      </c>
      <c r="F31" s="38">
        <f t="shared" si="15"/>
        <v>0</v>
      </c>
      <c r="G31" s="38">
        <f t="shared" si="15"/>
        <v>3.2000000000000001E-2</v>
      </c>
      <c r="H31" s="38">
        <f t="shared" si="15"/>
        <v>2.6000000000000002E-2</v>
      </c>
      <c r="I31" s="38">
        <f>SUM(B31:H31)</f>
        <v>0.17799999999999999</v>
      </c>
      <c r="J31" s="38"/>
      <c r="N31" s="38"/>
      <c r="O31" s="38"/>
      <c r="P31" s="38"/>
      <c r="Q31" s="38"/>
      <c r="R31" s="38"/>
      <c r="S31" s="38"/>
      <c r="T31" s="38"/>
      <c r="U31" s="38"/>
      <c r="V31" s="38"/>
      <c r="X31" s="272"/>
      <c r="Y31" s="272"/>
      <c r="Z31" s="272"/>
      <c r="AA31" s="272"/>
      <c r="AB31" s="272"/>
      <c r="AD31" s="272"/>
      <c r="AE31" s="272"/>
      <c r="AF31" s="272"/>
      <c r="AG31" s="272"/>
      <c r="AH31" s="272"/>
    </row>
    <row r="32" spans="1:34">
      <c r="A32" t="s">
        <v>78</v>
      </c>
      <c r="B32" s="38">
        <f t="shared" ref="B32:H32" si="16">SUM(B28:B31)</f>
        <v>0.36299999999999999</v>
      </c>
      <c r="C32" s="38">
        <f t="shared" si="16"/>
        <v>0.21100000000000002</v>
      </c>
      <c r="D32" s="38">
        <f t="shared" si="16"/>
        <v>7.5999999999999998E-2</v>
      </c>
      <c r="E32" s="38">
        <f t="shared" si="16"/>
        <v>0.11700000000000001</v>
      </c>
      <c r="F32" s="38">
        <f t="shared" si="16"/>
        <v>0.10100000000000001</v>
      </c>
      <c r="G32" s="38">
        <f t="shared" si="16"/>
        <v>7.6000000000000012E-2</v>
      </c>
      <c r="H32" s="38">
        <f t="shared" si="16"/>
        <v>5.6000000000000001E-2</v>
      </c>
      <c r="I32" s="38">
        <f>SUM(B32:H32)</f>
        <v>1</v>
      </c>
      <c r="J32" s="38"/>
      <c r="N32" s="38"/>
      <c r="O32" s="38"/>
      <c r="P32" s="38"/>
      <c r="Q32" s="38"/>
      <c r="R32" s="38"/>
      <c r="S32" s="38"/>
      <c r="T32" s="38"/>
      <c r="U32" s="38"/>
      <c r="V32" s="38"/>
      <c r="X32" s="272"/>
      <c r="Y32" s="272"/>
      <c r="Z32" s="272"/>
      <c r="AA32" s="272"/>
      <c r="AB32" s="272"/>
      <c r="AD32" s="272"/>
      <c r="AE32" s="272"/>
      <c r="AF32" s="272"/>
      <c r="AG32" s="272"/>
      <c r="AH32" s="272"/>
    </row>
    <row r="33" spans="1:34">
      <c r="J33" s="38"/>
      <c r="N33" s="38"/>
      <c r="O33" s="38"/>
      <c r="P33" s="38"/>
      <c r="Q33" s="38"/>
      <c r="R33" s="38"/>
      <c r="S33" s="38"/>
      <c r="T33" s="38"/>
      <c r="U33" s="38"/>
      <c r="V33" s="38"/>
      <c r="X33" s="272"/>
      <c r="Y33" s="272"/>
      <c r="Z33" s="272"/>
      <c r="AA33" s="272"/>
      <c r="AB33" s="272"/>
      <c r="AD33" s="272"/>
      <c r="AE33" s="272"/>
      <c r="AF33" s="272"/>
      <c r="AG33" s="272"/>
      <c r="AH33" s="272"/>
    </row>
    <row r="34" spans="1:34">
      <c r="A34" s="51" t="s">
        <v>769</v>
      </c>
      <c r="M34" s="51"/>
    </row>
    <row r="35" spans="1:34">
      <c r="A35" s="138" t="s">
        <v>332</v>
      </c>
      <c r="B35" s="139" t="s">
        <v>141</v>
      </c>
      <c r="C35" s="140" t="s">
        <v>140</v>
      </c>
      <c r="D35" s="141" t="s">
        <v>74</v>
      </c>
      <c r="E35" s="140" t="s">
        <v>34</v>
      </c>
      <c r="F35" s="140" t="s">
        <v>35</v>
      </c>
      <c r="G35" s="140" t="s">
        <v>160</v>
      </c>
      <c r="H35" s="142" t="s">
        <v>27</v>
      </c>
      <c r="I35" s="140" t="s">
        <v>78</v>
      </c>
      <c r="J35" s="140"/>
      <c r="M35" s="267"/>
      <c r="N35" s="268"/>
      <c r="O35" s="269"/>
      <c r="P35" s="270"/>
      <c r="Q35" s="269"/>
      <c r="R35" s="269"/>
      <c r="S35" s="269"/>
      <c r="T35" s="271"/>
      <c r="U35" s="269"/>
      <c r="V35" s="269"/>
      <c r="X35" s="269"/>
      <c r="Y35" s="269"/>
      <c r="Z35" s="269"/>
      <c r="AA35" s="269"/>
      <c r="AB35" s="269"/>
      <c r="AD35" s="269"/>
      <c r="AE35" s="269"/>
      <c r="AF35" s="269"/>
      <c r="AG35" s="269"/>
      <c r="AH35" s="269"/>
    </row>
    <row r="36" spans="1:34">
      <c r="A36" t="s">
        <v>764</v>
      </c>
      <c r="B36" s="38">
        <f>B28*$L$15/$L$17</f>
        <v>0.27063717792308761</v>
      </c>
      <c r="C36" s="38">
        <f t="shared" ref="C36:H36" si="17">C28*$L$15/$L$17</f>
        <v>0.11852723120719164</v>
      </c>
      <c r="D36" s="38">
        <f t="shared" si="17"/>
        <v>4.0496803995790476E-2</v>
      </c>
      <c r="E36" s="38">
        <f t="shared" si="17"/>
        <v>1.4815903900898954E-2</v>
      </c>
      <c r="F36" s="38">
        <f t="shared" si="17"/>
        <v>9.9760419599386307E-2</v>
      </c>
      <c r="G36" s="38">
        <f t="shared" si="17"/>
        <v>1.1852723120719165E-2</v>
      </c>
      <c r="H36" s="38">
        <f t="shared" si="17"/>
        <v>2.9631807801797912E-3</v>
      </c>
      <c r="I36" s="38">
        <f>SUM(B36:H36)</f>
        <v>0.55905344052725392</v>
      </c>
      <c r="J36" s="38"/>
      <c r="N36" s="38"/>
      <c r="O36" s="38"/>
      <c r="P36" s="38"/>
      <c r="Q36" s="38"/>
      <c r="R36" s="38"/>
      <c r="S36" s="38"/>
      <c r="T36" s="38"/>
      <c r="U36" s="38"/>
      <c r="V36" s="38"/>
      <c r="X36" s="272"/>
      <c r="Y36" s="272"/>
      <c r="Z36" s="272"/>
      <c r="AA36" s="272"/>
      <c r="AB36" s="272"/>
      <c r="AD36" s="272"/>
      <c r="AE36" s="272"/>
      <c r="AF36" s="272"/>
      <c r="AG36" s="272"/>
      <c r="AH36" s="272"/>
    </row>
    <row r="37" spans="1:34">
      <c r="A37" t="s">
        <v>19</v>
      </c>
      <c r="B37" s="38">
        <f t="shared" ref="B37:H37" si="18">B29*$L$15/$L$17</f>
        <v>4.345998477597026E-2</v>
      </c>
      <c r="C37" s="38">
        <f t="shared" si="18"/>
        <v>1.1852723120719165E-2</v>
      </c>
      <c r="D37" s="38">
        <f t="shared" si="18"/>
        <v>2.172999238798513E-2</v>
      </c>
      <c r="E37" s="38">
        <f t="shared" si="18"/>
        <v>8.0005881064854359E-2</v>
      </c>
      <c r="F37" s="38">
        <f t="shared" si="18"/>
        <v>0</v>
      </c>
      <c r="G37" s="38">
        <f t="shared" si="18"/>
        <v>2.3705446241438329E-2</v>
      </c>
      <c r="H37" s="38">
        <f t="shared" si="18"/>
        <v>4.9386346336329854E-3</v>
      </c>
      <c r="I37" s="38">
        <f t="shared" ref="I37:I39" si="19">SUM(B37:H37)</f>
        <v>0.18569266222460024</v>
      </c>
      <c r="J37" s="38"/>
      <c r="N37" s="38"/>
      <c r="O37" s="38"/>
      <c r="P37" s="38"/>
      <c r="Q37" s="38"/>
      <c r="R37" s="38"/>
      <c r="S37" s="38"/>
      <c r="T37" s="38"/>
      <c r="U37" s="38"/>
      <c r="V37" s="38"/>
      <c r="X37" s="272"/>
      <c r="Y37" s="272"/>
      <c r="Z37" s="272"/>
      <c r="AA37" s="272"/>
      <c r="AB37" s="272"/>
      <c r="AD37" s="272"/>
      <c r="AE37" s="272"/>
      <c r="AF37" s="272"/>
      <c r="AG37" s="272"/>
      <c r="AH37" s="272"/>
    </row>
    <row r="38" spans="1:34">
      <c r="A38" t="s">
        <v>333</v>
      </c>
      <c r="B38" s="38">
        <f t="shared" ref="B38:G38" si="20">B30*$L$15/$L$17</f>
        <v>8.8895423405393713E-3</v>
      </c>
      <c r="C38" s="38">
        <f t="shared" si="20"/>
        <v>2.5680900094891521E-2</v>
      </c>
      <c r="D38" s="38">
        <f t="shared" si="20"/>
        <v>0</v>
      </c>
      <c r="E38" s="38">
        <f t="shared" si="20"/>
        <v>2.9631807801797912E-3</v>
      </c>
      <c r="F38" s="38">
        <f t="shared" si="20"/>
        <v>0</v>
      </c>
      <c r="G38" s="38">
        <f t="shared" si="20"/>
        <v>7.901815413812777E-3</v>
      </c>
      <c r="H38" s="38">
        <f>H30*$L$15/$L$17</f>
        <v>2.172999238798513E-2</v>
      </c>
      <c r="I38" s="38">
        <f t="shared" si="19"/>
        <v>6.7165431017408586E-2</v>
      </c>
      <c r="J38" s="38"/>
      <c r="N38" s="38"/>
      <c r="O38" s="38"/>
      <c r="P38" s="38"/>
      <c r="Q38" s="38"/>
      <c r="R38" s="38"/>
      <c r="S38" s="38"/>
      <c r="T38" s="38"/>
      <c r="U38" s="38"/>
      <c r="V38" s="38"/>
      <c r="X38" s="272"/>
      <c r="Y38" s="272"/>
      <c r="Z38" s="272"/>
      <c r="AA38" s="272"/>
      <c r="AB38" s="272"/>
      <c r="AD38" s="272"/>
      <c r="AE38" s="272"/>
      <c r="AF38" s="272"/>
      <c r="AG38" s="272"/>
      <c r="AH38" s="272"/>
    </row>
    <row r="39" spans="1:34">
      <c r="A39" t="s">
        <v>779</v>
      </c>
      <c r="B39" s="38">
        <v>0</v>
      </c>
      <c r="C39" s="38">
        <f>O22/L17</f>
        <v>4.8820449507882844E-3</v>
      </c>
      <c r="D39" s="38">
        <v>0</v>
      </c>
      <c r="E39" s="38">
        <v>0</v>
      </c>
      <c r="F39" s="38">
        <f>M22/L17</f>
        <v>7.3899579351085955E-3</v>
      </c>
      <c r="G39" s="38">
        <v>0</v>
      </c>
      <c r="H39" s="38">
        <f>N22/L17</f>
        <v>1.0703875060524093E-6</v>
      </c>
      <c r="I39" s="38">
        <f t="shared" si="19"/>
        <v>1.2273073273402933E-2</v>
      </c>
      <c r="J39" s="38"/>
      <c r="N39" s="38"/>
      <c r="O39" s="38"/>
      <c r="P39" s="38"/>
      <c r="Q39" s="38"/>
      <c r="R39" s="38"/>
      <c r="S39" s="38"/>
      <c r="T39" s="38"/>
      <c r="U39" s="38"/>
      <c r="V39" s="38"/>
      <c r="X39" s="272"/>
      <c r="Y39" s="272"/>
      <c r="Z39" s="272"/>
      <c r="AA39" s="272"/>
      <c r="AB39" s="272"/>
      <c r="AD39" s="272"/>
      <c r="AE39" s="272"/>
      <c r="AF39" s="272"/>
      <c r="AG39" s="272"/>
      <c r="AH39" s="272"/>
    </row>
    <row r="40" spans="1:34">
      <c r="A40" t="s">
        <v>27</v>
      </c>
      <c r="B40" s="38">
        <f>B31*$L$15/$L$17</f>
        <v>3.5558169362157485E-2</v>
      </c>
      <c r="C40" s="38">
        <f t="shared" ref="C40:H40" si="21">C31*$L$15/$L$17</f>
        <v>5.2349527116509649E-2</v>
      </c>
      <c r="D40" s="38">
        <f t="shared" si="21"/>
        <v>1.2840450047445761E-2</v>
      </c>
      <c r="E40" s="38">
        <f t="shared" si="21"/>
        <v>1.7779084681078746E-2</v>
      </c>
      <c r="F40" s="38">
        <f t="shared" si="21"/>
        <v>0</v>
      </c>
      <c r="G40" s="38">
        <f t="shared" si="21"/>
        <v>3.1607261655251108E-2</v>
      </c>
      <c r="H40" s="38">
        <f t="shared" si="21"/>
        <v>2.5680900094891521E-2</v>
      </c>
      <c r="I40" s="38">
        <f>SUM(B40:H40)</f>
        <v>0.17581539295733428</v>
      </c>
      <c r="J40" s="38"/>
      <c r="N40" s="38"/>
      <c r="O40" s="38"/>
      <c r="P40" s="38"/>
      <c r="Q40" s="38"/>
      <c r="R40" s="38"/>
      <c r="S40" s="38"/>
      <c r="T40" s="38"/>
      <c r="U40" s="38"/>
      <c r="V40" s="38"/>
      <c r="X40" s="272"/>
      <c r="Y40" s="272"/>
      <c r="Z40" s="272"/>
      <c r="AA40" s="272"/>
      <c r="AB40" s="272"/>
      <c r="AD40" s="272"/>
      <c r="AE40" s="272"/>
      <c r="AF40" s="272"/>
      <c r="AG40" s="272"/>
      <c r="AH40" s="272"/>
    </row>
    <row r="41" spans="1:34">
      <c r="A41" t="s">
        <v>78</v>
      </c>
      <c r="B41" s="38">
        <f t="shared" ref="B41:H41" si="22">SUM(B36:B40)</f>
        <v>0.3585448744017547</v>
      </c>
      <c r="C41" s="38">
        <f t="shared" si="22"/>
        <v>0.21329242649010025</v>
      </c>
      <c r="D41" s="38">
        <f t="shared" si="22"/>
        <v>7.5067246431221368E-2</v>
      </c>
      <c r="E41" s="38">
        <f t="shared" si="22"/>
        <v>0.11556405042701186</v>
      </c>
      <c r="F41" s="38">
        <f t="shared" si="22"/>
        <v>0.1071503775344949</v>
      </c>
      <c r="G41" s="38">
        <f t="shared" si="22"/>
        <v>7.5067246431221368E-2</v>
      </c>
      <c r="H41" s="38">
        <f t="shared" si="22"/>
        <v>5.5313778284195481E-2</v>
      </c>
      <c r="I41" s="38">
        <f>SUM(B41:H41)</f>
        <v>1</v>
      </c>
      <c r="J41" s="38"/>
      <c r="N41" s="38"/>
      <c r="O41" s="38"/>
      <c r="P41" s="38"/>
      <c r="Q41" s="38"/>
      <c r="R41" s="38"/>
      <c r="S41" s="38"/>
      <c r="T41" s="38"/>
      <c r="U41" s="38"/>
      <c r="V41" s="38"/>
      <c r="X41" s="272"/>
      <c r="Y41" s="272"/>
      <c r="Z41" s="272"/>
      <c r="AA41" s="272"/>
      <c r="AB41" s="272"/>
      <c r="AD41" s="272"/>
      <c r="AE41" s="272"/>
      <c r="AF41" s="272"/>
      <c r="AG41" s="272"/>
      <c r="AH41" s="272"/>
    </row>
    <row r="42" spans="1:34">
      <c r="J42" s="38"/>
      <c r="N42" s="38"/>
      <c r="O42" s="38"/>
      <c r="P42" s="38"/>
      <c r="Q42" s="38"/>
      <c r="R42" s="38"/>
      <c r="S42" s="38"/>
      <c r="T42" s="38"/>
      <c r="U42" s="38"/>
      <c r="V42" s="38"/>
      <c r="X42" s="272"/>
      <c r="Y42" s="272"/>
      <c r="Z42" s="272"/>
      <c r="AA42" s="272"/>
      <c r="AB42" s="272"/>
      <c r="AD42" s="272"/>
      <c r="AE42" s="272"/>
      <c r="AF42" s="272"/>
      <c r="AG42" s="272"/>
      <c r="AH42" s="272"/>
    </row>
    <row r="43" spans="1:34">
      <c r="J43" s="38"/>
      <c r="N43" s="38"/>
      <c r="O43" s="38"/>
      <c r="P43" s="38"/>
      <c r="Q43" s="38"/>
      <c r="R43" s="38"/>
      <c r="S43" s="38"/>
      <c r="T43" s="38"/>
      <c r="U43" s="38"/>
      <c r="V43" s="38"/>
      <c r="X43" s="272"/>
      <c r="Y43" s="272"/>
      <c r="Z43" s="272"/>
      <c r="AA43" s="272"/>
      <c r="AB43" s="272"/>
      <c r="AD43" s="272"/>
      <c r="AE43" s="272"/>
      <c r="AF43" s="272"/>
      <c r="AG43" s="272"/>
      <c r="AH43" s="272"/>
    </row>
    <row r="44" spans="1:34">
      <c r="A44" s="51" t="s">
        <v>780</v>
      </c>
      <c r="M44" s="51"/>
    </row>
    <row r="45" spans="1:34">
      <c r="A45" s="138" t="s">
        <v>332</v>
      </c>
      <c r="B45" s="139" t="s">
        <v>141</v>
      </c>
      <c r="C45" s="140" t="s">
        <v>140</v>
      </c>
      <c r="D45" s="141" t="s">
        <v>74</v>
      </c>
      <c r="E45" s="140" t="s">
        <v>34</v>
      </c>
      <c r="F45" s="140" t="s">
        <v>35</v>
      </c>
      <c r="G45" s="140" t="s">
        <v>160</v>
      </c>
      <c r="H45" s="142" t="s">
        <v>27</v>
      </c>
      <c r="I45" s="140" t="s">
        <v>78</v>
      </c>
      <c r="J45" s="140"/>
      <c r="M45" s="267"/>
      <c r="N45" s="268"/>
      <c r="O45" s="269"/>
      <c r="P45" s="270"/>
      <c r="Q45" s="269"/>
      <c r="R45" s="269"/>
      <c r="S45" s="269"/>
      <c r="T45" s="271"/>
      <c r="U45" s="269"/>
      <c r="V45" s="269"/>
      <c r="X45" s="269"/>
      <c r="Y45" s="269"/>
      <c r="Z45" s="269"/>
      <c r="AA45" s="269"/>
      <c r="AB45" s="269"/>
      <c r="AD45" s="269"/>
      <c r="AE45" s="269"/>
      <c r="AF45" s="269"/>
      <c r="AG45" s="269"/>
      <c r="AH45" s="269"/>
    </row>
    <row r="46" spans="1:34">
      <c r="A46" t="s">
        <v>764</v>
      </c>
      <c r="B46" s="38">
        <f>B36</f>
        <v>0.27063717792308761</v>
      </c>
      <c r="C46" s="38">
        <f>C36+0.1*C39</f>
        <v>0.11901543570227047</v>
      </c>
      <c r="D46" s="38">
        <f t="shared" ref="D46:H46" si="23">D36</f>
        <v>4.0496803995790476E-2</v>
      </c>
      <c r="E46" s="38">
        <f t="shared" si="23"/>
        <v>1.4815903900898954E-2</v>
      </c>
      <c r="F46" s="38">
        <f t="shared" si="23"/>
        <v>9.9760419599386307E-2</v>
      </c>
      <c r="G46" s="38">
        <f t="shared" si="23"/>
        <v>1.1852723120719165E-2</v>
      </c>
      <c r="H46" s="38">
        <f t="shared" si="23"/>
        <v>2.9631807801797912E-3</v>
      </c>
      <c r="I46" s="38">
        <f>SUM(B46:H46)</f>
        <v>0.55954164502233272</v>
      </c>
      <c r="J46" s="38"/>
      <c r="N46" s="38"/>
      <c r="O46" s="38"/>
      <c r="P46" s="38"/>
      <c r="Q46" s="38"/>
      <c r="R46" s="38"/>
      <c r="S46" s="38"/>
      <c r="T46" s="38"/>
      <c r="U46" s="38"/>
      <c r="V46" s="38"/>
      <c r="X46" s="272"/>
      <c r="Y46" s="272"/>
      <c r="Z46" s="272"/>
      <c r="AA46" s="272"/>
      <c r="AB46" s="272"/>
      <c r="AD46" s="272"/>
      <c r="AE46" s="272"/>
      <c r="AF46" s="272"/>
      <c r="AG46" s="272"/>
      <c r="AH46" s="272"/>
    </row>
    <row r="47" spans="1:34">
      <c r="A47" t="s">
        <v>19</v>
      </c>
      <c r="B47" s="38">
        <f t="shared" ref="B47:H50" si="24">B37</f>
        <v>4.345998477597026E-2</v>
      </c>
      <c r="C47" s="38">
        <f>C37+0.4*C39</f>
        <v>1.3805541101034479E-2</v>
      </c>
      <c r="D47" s="38">
        <f t="shared" si="24"/>
        <v>2.172999238798513E-2</v>
      </c>
      <c r="E47" s="38">
        <f t="shared" si="24"/>
        <v>8.0005881064854359E-2</v>
      </c>
      <c r="F47" s="38">
        <f t="shared" si="24"/>
        <v>0</v>
      </c>
      <c r="G47" s="38">
        <f t="shared" si="24"/>
        <v>2.3705446241438329E-2</v>
      </c>
      <c r="H47" s="38">
        <f t="shared" si="24"/>
        <v>4.9386346336329854E-3</v>
      </c>
      <c r="I47" s="38">
        <f t="shared" ref="I47:I49" si="25">SUM(B47:H47)</f>
        <v>0.18764548020491553</v>
      </c>
      <c r="J47" s="38"/>
      <c r="N47" s="38"/>
      <c r="O47" s="38"/>
      <c r="P47" s="38"/>
      <c r="Q47" s="38"/>
      <c r="R47" s="38"/>
      <c r="S47" s="38"/>
      <c r="T47" s="38"/>
      <c r="U47" s="38"/>
      <c r="V47" s="38"/>
      <c r="X47" s="272"/>
      <c r="Y47" s="272"/>
      <c r="Z47" s="272"/>
      <c r="AA47" s="272"/>
      <c r="AB47" s="272"/>
      <c r="AD47" s="272"/>
      <c r="AE47" s="272"/>
      <c r="AF47" s="272"/>
      <c r="AG47" s="272"/>
      <c r="AH47" s="272"/>
    </row>
    <row r="48" spans="1:34">
      <c r="A48" t="s">
        <v>333</v>
      </c>
      <c r="B48" s="38">
        <f t="shared" si="24"/>
        <v>8.8895423405393713E-3</v>
      </c>
      <c r="C48" s="38">
        <f>C38+0.4*C39</f>
        <v>2.7633718075206835E-2</v>
      </c>
      <c r="D48" s="38">
        <f t="shared" si="24"/>
        <v>0</v>
      </c>
      <c r="E48" s="38">
        <f t="shared" si="24"/>
        <v>2.9631807801797912E-3</v>
      </c>
      <c r="F48" s="38">
        <f t="shared" si="24"/>
        <v>0</v>
      </c>
      <c r="G48" s="38">
        <f t="shared" si="24"/>
        <v>7.901815413812777E-3</v>
      </c>
      <c r="H48" s="38">
        <f>H38</f>
        <v>2.172999238798513E-2</v>
      </c>
      <c r="I48" s="38">
        <f t="shared" si="25"/>
        <v>6.9118248997723897E-2</v>
      </c>
      <c r="J48" s="38"/>
      <c r="N48" s="38"/>
      <c r="O48" s="38"/>
      <c r="P48" s="38"/>
      <c r="Q48" s="38"/>
      <c r="R48" s="38"/>
      <c r="S48" s="38"/>
      <c r="T48" s="38"/>
      <c r="U48" s="38"/>
      <c r="V48" s="38"/>
      <c r="X48" s="272"/>
      <c r="Y48" s="272"/>
      <c r="Z48" s="272"/>
      <c r="AA48" s="272"/>
      <c r="AB48" s="272"/>
      <c r="AD48" s="272"/>
      <c r="AE48" s="272"/>
      <c r="AF48" s="272"/>
      <c r="AG48" s="272"/>
      <c r="AH48" s="272"/>
    </row>
    <row r="49" spans="1:34">
      <c r="A49" t="s">
        <v>365</v>
      </c>
      <c r="B49" s="38">
        <f t="shared" si="24"/>
        <v>0</v>
      </c>
      <c r="C49" s="38">
        <v>0</v>
      </c>
      <c r="D49" s="38">
        <f t="shared" si="24"/>
        <v>0</v>
      </c>
      <c r="E49" s="38">
        <f t="shared" si="24"/>
        <v>0</v>
      </c>
      <c r="F49" s="38">
        <f t="shared" si="24"/>
        <v>7.3899579351085955E-3</v>
      </c>
      <c r="G49" s="38">
        <f t="shared" si="24"/>
        <v>0</v>
      </c>
      <c r="H49" s="38">
        <f t="shared" si="24"/>
        <v>1.0703875060524093E-6</v>
      </c>
      <c r="I49" s="38">
        <f t="shared" si="25"/>
        <v>7.3910283226146477E-3</v>
      </c>
      <c r="J49" s="38"/>
      <c r="N49" s="38"/>
      <c r="O49" s="38"/>
      <c r="P49" s="38"/>
      <c r="Q49" s="38"/>
      <c r="R49" s="38"/>
      <c r="S49" s="38"/>
      <c r="T49" s="38"/>
      <c r="U49" s="38"/>
      <c r="V49" s="38"/>
      <c r="X49" s="272"/>
      <c r="Y49" s="272"/>
      <c r="Z49" s="272"/>
      <c r="AA49" s="272"/>
      <c r="AB49" s="272"/>
      <c r="AD49" s="272"/>
      <c r="AE49" s="272"/>
      <c r="AF49" s="272"/>
      <c r="AG49" s="272"/>
      <c r="AH49" s="272"/>
    </row>
    <row r="50" spans="1:34">
      <c r="A50" t="s">
        <v>27</v>
      </c>
      <c r="B50" s="38">
        <f t="shared" si="24"/>
        <v>3.5558169362157485E-2</v>
      </c>
      <c r="C50" s="38">
        <f>C40+0.1*C39</f>
        <v>5.283773161158848E-2</v>
      </c>
      <c r="D50" s="38">
        <f t="shared" si="24"/>
        <v>1.2840450047445761E-2</v>
      </c>
      <c r="E50" s="38">
        <f t="shared" si="24"/>
        <v>1.7779084681078746E-2</v>
      </c>
      <c r="F50" s="38">
        <f t="shared" si="24"/>
        <v>0</v>
      </c>
      <c r="G50" s="38">
        <f t="shared" si="24"/>
        <v>3.1607261655251108E-2</v>
      </c>
      <c r="H50" s="38">
        <f t="shared" si="24"/>
        <v>2.5680900094891521E-2</v>
      </c>
      <c r="I50" s="38">
        <f>SUM(B50:H50)</f>
        <v>0.17630359745241311</v>
      </c>
      <c r="J50" s="38"/>
      <c r="M50" t="s">
        <v>781</v>
      </c>
      <c r="N50" s="38"/>
      <c r="O50" s="38"/>
      <c r="P50" s="38"/>
      <c r="Q50" s="38"/>
      <c r="R50" s="38"/>
      <c r="S50" s="38"/>
      <c r="T50" s="38"/>
      <c r="U50" s="38"/>
      <c r="V50" s="38"/>
      <c r="X50" s="272"/>
      <c r="Y50" s="272"/>
      <c r="Z50" s="272"/>
      <c r="AA50" s="272"/>
      <c r="AB50" s="272"/>
      <c r="AD50" s="272"/>
      <c r="AE50" s="272"/>
      <c r="AF50" s="272"/>
      <c r="AG50" s="272"/>
      <c r="AH50" s="272"/>
    </row>
    <row r="51" spans="1:34">
      <c r="A51" t="s">
        <v>78</v>
      </c>
      <c r="B51" s="38">
        <f t="shared" ref="B51:H51" si="26">SUM(B46:B50)</f>
        <v>0.3585448744017547</v>
      </c>
      <c r="C51" s="38">
        <f t="shared" si="26"/>
        <v>0.21329242649010027</v>
      </c>
      <c r="D51" s="38">
        <f t="shared" si="26"/>
        <v>7.5067246431221368E-2</v>
      </c>
      <c r="E51" s="38">
        <f t="shared" si="26"/>
        <v>0.11556405042701186</v>
      </c>
      <c r="F51" s="38">
        <f t="shared" si="26"/>
        <v>0.1071503775344949</v>
      </c>
      <c r="G51" s="38">
        <f t="shared" si="26"/>
        <v>7.5067246431221368E-2</v>
      </c>
      <c r="H51" s="38">
        <f t="shared" si="26"/>
        <v>5.5313778284195481E-2</v>
      </c>
      <c r="I51" s="38">
        <f>SUM(B51:H51)</f>
        <v>1</v>
      </c>
      <c r="J51" s="38"/>
      <c r="N51" s="38"/>
      <c r="O51" s="38"/>
      <c r="P51" s="38"/>
      <c r="Q51" s="38"/>
      <c r="R51" s="38"/>
      <c r="S51" s="38"/>
      <c r="T51" s="38"/>
      <c r="U51" s="38"/>
      <c r="V51" s="38"/>
      <c r="X51" s="272"/>
      <c r="Y51" s="272"/>
      <c r="Z51" s="272"/>
      <c r="AA51" s="272"/>
      <c r="AB51" s="272"/>
      <c r="AD51" s="272"/>
      <c r="AE51" s="272"/>
      <c r="AF51" s="272"/>
      <c r="AG51" s="272"/>
      <c r="AH51" s="272"/>
    </row>
    <row r="52" spans="1:34">
      <c r="B52" s="38"/>
      <c r="C52" s="38"/>
      <c r="D52" s="38"/>
      <c r="E52" s="38"/>
      <c r="F52" s="38"/>
      <c r="G52" s="38"/>
      <c r="H52" s="38"/>
      <c r="I52" s="38"/>
      <c r="J52" s="38"/>
      <c r="N52" s="38"/>
      <c r="O52" s="38"/>
      <c r="P52" s="38"/>
      <c r="Q52" s="38"/>
      <c r="R52" s="38"/>
      <c r="S52" s="38"/>
      <c r="T52" s="38"/>
      <c r="U52" s="38"/>
      <c r="V52" s="38"/>
      <c r="X52" s="272"/>
      <c r="Y52" s="272"/>
      <c r="Z52" s="272"/>
      <c r="AA52" s="272"/>
      <c r="AB52" s="272"/>
      <c r="AD52" s="272"/>
      <c r="AE52" s="272"/>
      <c r="AF52" s="272"/>
      <c r="AG52" s="272"/>
      <c r="AH52" s="272"/>
    </row>
    <row r="53" spans="1:34">
      <c r="B53" s="38"/>
      <c r="C53" s="38"/>
      <c r="D53" s="38"/>
      <c r="E53" s="38"/>
      <c r="F53" s="38"/>
      <c r="G53" s="38"/>
      <c r="H53" s="38"/>
      <c r="I53" s="38"/>
      <c r="J53" s="38"/>
      <c r="N53" s="38"/>
      <c r="O53" s="38"/>
      <c r="P53" s="38"/>
      <c r="Q53" s="38"/>
      <c r="R53" s="38"/>
      <c r="S53" s="38"/>
      <c r="T53" s="38"/>
      <c r="U53" s="38"/>
      <c r="V53" s="38"/>
      <c r="X53" s="272"/>
      <c r="Y53" s="272"/>
      <c r="Z53" s="272"/>
      <c r="AA53" s="272"/>
      <c r="AB53" s="272"/>
      <c r="AD53" s="272"/>
      <c r="AE53" s="272"/>
      <c r="AF53" s="272"/>
      <c r="AG53" s="272"/>
      <c r="AH53" s="272"/>
    </row>
    <row r="54" spans="1:34" ht="15.5" thickBot="1">
      <c r="A54" s="259"/>
      <c r="B54" s="499" t="s">
        <v>141</v>
      </c>
      <c r="C54" s="499"/>
      <c r="D54" s="499" t="s">
        <v>140</v>
      </c>
      <c r="E54" s="499" t="s">
        <v>74</v>
      </c>
      <c r="F54" s="499" t="s">
        <v>34</v>
      </c>
      <c r="G54" s="499" t="s">
        <v>35</v>
      </c>
      <c r="H54" s="499" t="s">
        <v>24</v>
      </c>
      <c r="I54" s="499" t="s">
        <v>78</v>
      </c>
      <c r="K54" s="1" t="s">
        <v>406</v>
      </c>
    </row>
    <row r="55" spans="1:34" ht="15.5" thickTop="1">
      <c r="A55" s="500" t="s">
        <v>404</v>
      </c>
      <c r="B55" s="418">
        <f>'Demand - Ethylene'!E34</f>
        <v>1</v>
      </c>
      <c r="C55" s="418">
        <f>'Demand - Ethylene'!E35</f>
        <v>1</v>
      </c>
      <c r="D55" s="501">
        <v>0</v>
      </c>
      <c r="E55" s="418">
        <f>'Demand - Ethylene'!E39</f>
        <v>0.2687140115163148</v>
      </c>
      <c r="F55" s="418">
        <f>'Demand - Ethylene'!E38</f>
        <v>0.44800000000000001</v>
      </c>
      <c r="G55" s="418">
        <f>'Demand - Ethylene'!E36</f>
        <v>0.14568158168574402</v>
      </c>
      <c r="H55" s="418">
        <f>'Demand - Ethylene'!E41</f>
        <v>0.1</v>
      </c>
      <c r="I55" s="259"/>
      <c r="K55" t="s">
        <v>405</v>
      </c>
    </row>
    <row r="56" spans="1:34">
      <c r="A56" s="259" t="s">
        <v>17</v>
      </c>
      <c r="B56" s="502">
        <f t="shared" ref="B56:G61" si="27">B18*B$55</f>
        <v>0.22800000000000004</v>
      </c>
      <c r="C56" s="502">
        <f t="shared" si="27"/>
        <v>0</v>
      </c>
      <c r="D56" s="502">
        <f t="shared" si="27"/>
        <v>0</v>
      </c>
      <c r="E56" s="502">
        <f t="shared" si="27"/>
        <v>6.1804222648752403E-3</v>
      </c>
      <c r="F56" s="502">
        <f t="shared" si="27"/>
        <v>4.032E-3</v>
      </c>
      <c r="G56" s="502">
        <f t="shared" si="27"/>
        <v>1.4713839750260147E-2</v>
      </c>
      <c r="H56" s="502">
        <f t="shared" ref="H56:H61" si="28">(H18+I18)*H$55</f>
        <v>3.0000000000000003E-4</v>
      </c>
      <c r="I56" s="502">
        <f>SUM(B56:H56)</f>
        <v>0.25322626201513548</v>
      </c>
      <c r="K56" s="38">
        <f t="shared" ref="K56:K61" si="29">I56/J18</f>
        <v>0.56777188792631261</v>
      </c>
    </row>
    <row r="57" spans="1:34">
      <c r="A57" s="259" t="s">
        <v>19</v>
      </c>
      <c r="B57" s="503">
        <f t="shared" si="27"/>
        <v>4.3999999999999997E-2</v>
      </c>
      <c r="C57" s="503">
        <f t="shared" si="27"/>
        <v>0</v>
      </c>
      <c r="D57" s="503">
        <f t="shared" si="27"/>
        <v>0</v>
      </c>
      <c r="E57" s="503">
        <f t="shared" si="27"/>
        <v>5.9117082533589249E-3</v>
      </c>
      <c r="F57" s="503">
        <f t="shared" si="27"/>
        <v>3.6288000000000001E-2</v>
      </c>
      <c r="G57" s="503">
        <f t="shared" si="27"/>
        <v>0</v>
      </c>
      <c r="H57" s="503">
        <f t="shared" si="28"/>
        <v>2.9000000000000002E-3</v>
      </c>
      <c r="I57" s="503">
        <f t="shared" ref="I57:I61" si="30">SUM(B57:H57)</f>
        <v>8.9099708253358931E-2</v>
      </c>
      <c r="K57" s="38">
        <f t="shared" si="29"/>
        <v>0.47393461836893053</v>
      </c>
    </row>
    <row r="58" spans="1:34">
      <c r="A58" s="259" t="s">
        <v>333</v>
      </c>
      <c r="B58" s="503">
        <f t="shared" si="27"/>
        <v>8.9999999999999993E-3</v>
      </c>
      <c r="C58" s="503">
        <f t="shared" si="27"/>
        <v>0</v>
      </c>
      <c r="D58" s="503">
        <f t="shared" si="27"/>
        <v>0</v>
      </c>
      <c r="E58" s="503">
        <f t="shared" si="27"/>
        <v>0</v>
      </c>
      <c r="F58" s="503">
        <f t="shared" si="27"/>
        <v>1.3440000000000001E-3</v>
      </c>
      <c r="G58" s="503">
        <f t="shared" si="27"/>
        <v>0</v>
      </c>
      <c r="H58" s="503">
        <f t="shared" si="28"/>
        <v>3.0000000000000001E-3</v>
      </c>
      <c r="I58" s="503">
        <f t="shared" si="30"/>
        <v>1.3343999999999998E-2</v>
      </c>
      <c r="K58" s="38">
        <f t="shared" si="29"/>
        <v>0.19623529411764701</v>
      </c>
    </row>
    <row r="59" spans="1:34">
      <c r="A59" s="259" t="s">
        <v>23</v>
      </c>
      <c r="B59" s="503">
        <f t="shared" si="27"/>
        <v>7.0000000000000001E-3</v>
      </c>
      <c r="C59" s="503">
        <f t="shared" si="27"/>
        <v>0</v>
      </c>
      <c r="D59" s="503">
        <f t="shared" si="27"/>
        <v>0</v>
      </c>
      <c r="E59" s="503">
        <f t="shared" si="27"/>
        <v>1.6122840690978887E-3</v>
      </c>
      <c r="F59" s="503">
        <f t="shared" si="27"/>
        <v>1.792E-3</v>
      </c>
      <c r="G59" s="503">
        <f t="shared" si="27"/>
        <v>0</v>
      </c>
      <c r="H59" s="503">
        <f t="shared" si="28"/>
        <v>1.4000000000000002E-3</v>
      </c>
      <c r="I59" s="503">
        <f t="shared" si="30"/>
        <v>1.1804284069097889E-2</v>
      </c>
      <c r="K59" s="38">
        <f t="shared" si="29"/>
        <v>0.2951071017274472</v>
      </c>
    </row>
    <row r="60" spans="1:34">
      <c r="A60" s="259" t="s">
        <v>339</v>
      </c>
      <c r="B60" s="503">
        <f t="shared" si="27"/>
        <v>4.5999999999999999E-2</v>
      </c>
      <c r="C60" s="503">
        <f t="shared" si="27"/>
        <v>0</v>
      </c>
      <c r="D60" s="503">
        <f t="shared" si="27"/>
        <v>0</v>
      </c>
      <c r="E60" s="503">
        <f t="shared" si="27"/>
        <v>4.8368522072936657E-3</v>
      </c>
      <c r="F60" s="503">
        <f t="shared" si="27"/>
        <v>2.6880000000000003E-3</v>
      </c>
      <c r="G60" s="503">
        <f t="shared" si="27"/>
        <v>0</v>
      </c>
      <c r="H60" s="503">
        <f t="shared" si="28"/>
        <v>1.2000000000000001E-3</v>
      </c>
      <c r="I60" s="503">
        <f t="shared" si="30"/>
        <v>5.4724852207293666E-2</v>
      </c>
      <c r="K60" s="38">
        <f t="shared" si="29"/>
        <v>0.45604043506078057</v>
      </c>
    </row>
    <row r="61" spans="1:34">
      <c r="A61" s="259" t="s">
        <v>27</v>
      </c>
      <c r="B61" s="503">
        <f t="shared" si="27"/>
        <v>2.8999999999999998E-2</v>
      </c>
      <c r="C61" s="503">
        <f t="shared" si="27"/>
        <v>0</v>
      </c>
      <c r="D61" s="503">
        <f t="shared" si="27"/>
        <v>0</v>
      </c>
      <c r="E61" s="503">
        <f t="shared" si="27"/>
        <v>1.8809980806142037E-3</v>
      </c>
      <c r="F61" s="503">
        <f t="shared" si="27"/>
        <v>6.2720000000000007E-3</v>
      </c>
      <c r="G61" s="503">
        <f t="shared" si="27"/>
        <v>0</v>
      </c>
      <c r="H61" s="503">
        <f t="shared" si="28"/>
        <v>4.4000000000000003E-3</v>
      </c>
      <c r="I61" s="503">
        <f t="shared" si="30"/>
        <v>4.1552998080614204E-2</v>
      </c>
      <c r="K61" s="38">
        <f t="shared" si="29"/>
        <v>0.30110868174358119</v>
      </c>
    </row>
    <row r="62" spans="1:34" ht="15.5" thickBot="1">
      <c r="A62" s="499" t="s">
        <v>78</v>
      </c>
      <c r="B62" s="504">
        <f>SUM(B56:B61)</f>
        <v>0.36299999999999999</v>
      </c>
      <c r="C62" s="504">
        <f t="shared" ref="C62:I62" si="31">SUM(C56:C61)</f>
        <v>0</v>
      </c>
      <c r="D62" s="504">
        <f t="shared" si="31"/>
        <v>0</v>
      </c>
      <c r="E62" s="504">
        <f t="shared" si="31"/>
        <v>2.0422264875239925E-2</v>
      </c>
      <c r="F62" s="504">
        <f t="shared" si="31"/>
        <v>5.2416000000000004E-2</v>
      </c>
      <c r="G62" s="504">
        <f t="shared" si="31"/>
        <v>1.4713839750260147E-2</v>
      </c>
      <c r="H62" s="504">
        <f t="shared" si="31"/>
        <v>1.32E-2</v>
      </c>
      <c r="I62" s="504">
        <f t="shared" si="31"/>
        <v>0.46375210462550021</v>
      </c>
    </row>
    <row r="63" spans="1:34" ht="15.5" thickTop="1"/>
    <row r="64" spans="1:34">
      <c r="J64" t="s">
        <v>408</v>
      </c>
      <c r="K64" s="22">
        <f>(I56+I60)/(J18+J22)</f>
        <v>0.54408324067566982</v>
      </c>
    </row>
    <row r="65" spans="1:31">
      <c r="J65" t="s">
        <v>27</v>
      </c>
      <c r="K65" s="22">
        <f>(I59+I61)/(J23+J21)</f>
        <v>0.29976001207703423</v>
      </c>
    </row>
    <row r="67" spans="1:31" ht="15.5" thickBot="1">
      <c r="A67" s="259"/>
      <c r="B67" s="499" t="s">
        <v>141</v>
      </c>
      <c r="C67" s="499"/>
      <c r="D67" s="499" t="s">
        <v>140</v>
      </c>
      <c r="E67" s="499" t="s">
        <v>74</v>
      </c>
      <c r="F67" s="499" t="s">
        <v>34</v>
      </c>
      <c r="G67" s="499" t="s">
        <v>35</v>
      </c>
      <c r="H67" s="499" t="s">
        <v>24</v>
      </c>
      <c r="I67" s="499" t="s">
        <v>78</v>
      </c>
      <c r="K67" s="1" t="s">
        <v>406</v>
      </c>
    </row>
    <row r="68" spans="1:31" ht="15.5" thickTop="1">
      <c r="A68" s="500" t="s">
        <v>514</v>
      </c>
      <c r="B68" s="501">
        <v>0</v>
      </c>
      <c r="C68" s="501">
        <v>0</v>
      </c>
      <c r="D68" s="501">
        <v>1</v>
      </c>
      <c r="E68" s="501">
        <v>0</v>
      </c>
      <c r="F68" s="501">
        <v>0</v>
      </c>
      <c r="G68" s="501">
        <v>0</v>
      </c>
      <c r="H68" s="418">
        <f>'Demand - Propylene'!E28</f>
        <v>0.1</v>
      </c>
      <c r="I68" s="259"/>
      <c r="K68" t="s">
        <v>405</v>
      </c>
    </row>
    <row r="69" spans="1:31">
      <c r="A69" s="259" t="s">
        <v>17</v>
      </c>
      <c r="B69" s="502">
        <f t="shared" ref="B69:B74" si="32">B18*B$68</f>
        <v>0</v>
      </c>
      <c r="C69" s="502">
        <f t="shared" ref="C69:H69" si="33">C18*C$68</f>
        <v>0</v>
      </c>
      <c r="D69" s="502">
        <f t="shared" si="33"/>
        <v>8.2000000000000003E-2</v>
      </c>
      <c r="E69" s="502">
        <f t="shared" si="33"/>
        <v>0</v>
      </c>
      <c r="F69" s="502">
        <f t="shared" si="33"/>
        <v>0</v>
      </c>
      <c r="G69" s="502">
        <f t="shared" si="33"/>
        <v>0</v>
      </c>
      <c r="H69" s="502">
        <f t="shared" si="33"/>
        <v>2.0000000000000001E-4</v>
      </c>
      <c r="I69" s="502">
        <f>SUM(B69:H69)</f>
        <v>8.2200000000000009E-2</v>
      </c>
      <c r="K69" s="38">
        <f t="shared" ref="K69:K74" si="34">I69/J18</f>
        <v>0.184304932735426</v>
      </c>
    </row>
    <row r="70" spans="1:31">
      <c r="A70" s="259" t="s">
        <v>19</v>
      </c>
      <c r="B70" s="503">
        <f t="shared" si="32"/>
        <v>0</v>
      </c>
      <c r="C70" s="503">
        <f t="shared" ref="C70:H74" si="35">C19*C$68</f>
        <v>0</v>
      </c>
      <c r="D70" s="503">
        <f t="shared" si="35"/>
        <v>1.2E-2</v>
      </c>
      <c r="E70" s="503">
        <f t="shared" si="35"/>
        <v>0</v>
      </c>
      <c r="F70" s="503">
        <f t="shared" si="35"/>
        <v>0</v>
      </c>
      <c r="G70" s="503">
        <f t="shared" si="35"/>
        <v>0</v>
      </c>
      <c r="H70" s="503">
        <f t="shared" si="35"/>
        <v>2.4000000000000002E-3</v>
      </c>
      <c r="I70" s="503">
        <f t="shared" ref="I70:I74" si="36">SUM(B70:H70)</f>
        <v>1.44E-2</v>
      </c>
      <c r="K70" s="38">
        <f t="shared" si="34"/>
        <v>7.6595744680851077E-2</v>
      </c>
    </row>
    <row r="71" spans="1:31">
      <c r="A71" s="259" t="s">
        <v>333</v>
      </c>
      <c r="B71" s="503">
        <f>B20*B$68</f>
        <v>0</v>
      </c>
      <c r="C71" s="503">
        <f t="shared" si="35"/>
        <v>0</v>
      </c>
      <c r="D71" s="503">
        <f t="shared" si="35"/>
        <v>2.5999999999999999E-2</v>
      </c>
      <c r="E71" s="503">
        <f t="shared" si="35"/>
        <v>0</v>
      </c>
      <c r="F71" s="503">
        <f t="shared" si="35"/>
        <v>0</v>
      </c>
      <c r="G71" s="503">
        <f t="shared" si="35"/>
        <v>0</v>
      </c>
      <c r="H71" s="503">
        <f t="shared" si="35"/>
        <v>8.0000000000000004E-4</v>
      </c>
      <c r="I71" s="503">
        <f t="shared" si="36"/>
        <v>2.6799999999999997E-2</v>
      </c>
      <c r="K71" s="38">
        <f t="shared" si="34"/>
        <v>0.39411764705882346</v>
      </c>
    </row>
    <row r="72" spans="1:31">
      <c r="A72" s="259" t="s">
        <v>23</v>
      </c>
      <c r="B72" s="503">
        <f t="shared" si="32"/>
        <v>0</v>
      </c>
      <c r="C72" s="503">
        <f t="shared" si="35"/>
        <v>0</v>
      </c>
      <c r="D72" s="503">
        <f t="shared" si="35"/>
        <v>8.9999999999999993E-3</v>
      </c>
      <c r="E72" s="503">
        <f t="shared" si="35"/>
        <v>0</v>
      </c>
      <c r="F72" s="503">
        <f t="shared" si="35"/>
        <v>0</v>
      </c>
      <c r="G72" s="503">
        <f t="shared" si="35"/>
        <v>0</v>
      </c>
      <c r="H72" s="503">
        <f t="shared" si="35"/>
        <v>4.0000000000000002E-4</v>
      </c>
      <c r="I72" s="503">
        <f t="shared" si="36"/>
        <v>9.3999999999999986E-3</v>
      </c>
      <c r="K72" s="38">
        <f t="shared" si="34"/>
        <v>0.23499999999999996</v>
      </c>
      <c r="Y72" s="1" t="s">
        <v>924</v>
      </c>
      <c r="AC72" s="1" t="s">
        <v>925</v>
      </c>
    </row>
    <row r="73" spans="1:31">
      <c r="A73" s="259" t="s">
        <v>339</v>
      </c>
      <c r="B73" s="503">
        <f t="shared" si="32"/>
        <v>0</v>
      </c>
      <c r="C73" s="503">
        <f t="shared" si="35"/>
        <v>0</v>
      </c>
      <c r="D73" s="503">
        <f t="shared" si="35"/>
        <v>3.7999999999999999E-2</v>
      </c>
      <c r="E73" s="503">
        <f t="shared" si="35"/>
        <v>0</v>
      </c>
      <c r="F73" s="503">
        <f t="shared" si="35"/>
        <v>0</v>
      </c>
      <c r="G73" s="503">
        <f t="shared" si="35"/>
        <v>0</v>
      </c>
      <c r="H73" s="503">
        <f t="shared" si="35"/>
        <v>1E-3</v>
      </c>
      <c r="I73" s="503">
        <f t="shared" si="36"/>
        <v>3.9E-2</v>
      </c>
      <c r="K73" s="38">
        <f t="shared" si="34"/>
        <v>0.32500000000000001</v>
      </c>
      <c r="Y73" t="s">
        <v>926</v>
      </c>
      <c r="Z73">
        <v>30.026</v>
      </c>
      <c r="AC73" t="s">
        <v>927</v>
      </c>
      <c r="AD73">
        <v>25</v>
      </c>
      <c r="AE73" t="s">
        <v>928</v>
      </c>
    </row>
    <row r="74" spans="1:31">
      <c r="A74" s="259" t="s">
        <v>27</v>
      </c>
      <c r="B74" s="503">
        <f t="shared" si="32"/>
        <v>0</v>
      </c>
      <c r="C74" s="503">
        <f t="shared" si="35"/>
        <v>0</v>
      </c>
      <c r="D74" s="503">
        <f t="shared" si="35"/>
        <v>4.4000000000000004E-2</v>
      </c>
      <c r="E74" s="503">
        <f t="shared" si="35"/>
        <v>0</v>
      </c>
      <c r="F74" s="503">
        <f t="shared" si="35"/>
        <v>0</v>
      </c>
      <c r="G74" s="503">
        <f t="shared" si="35"/>
        <v>0</v>
      </c>
      <c r="H74" s="503">
        <f t="shared" si="35"/>
        <v>2.8000000000000004E-3</v>
      </c>
      <c r="I74" s="503">
        <f t="shared" si="36"/>
        <v>4.6800000000000008E-2</v>
      </c>
      <c r="K74" s="38">
        <f t="shared" si="34"/>
        <v>0.33913043478260874</v>
      </c>
      <c r="Y74" t="s">
        <v>796</v>
      </c>
      <c r="Z74">
        <f>32.04</f>
        <v>32.04</v>
      </c>
      <c r="AC74" t="s">
        <v>929</v>
      </c>
      <c r="AD74" s="423">
        <f>(1/(Z76+Z77-Z78))*(Z77)*AD73</f>
        <v>5.2723226420222886</v>
      </c>
    </row>
    <row r="75" spans="1:31" ht="15.5" thickBot="1">
      <c r="A75" s="499" t="s">
        <v>78</v>
      </c>
      <c r="B75" s="504">
        <f>SUM(B69:B74)</f>
        <v>0</v>
      </c>
      <c r="C75" s="504">
        <f t="shared" ref="C75:I75" si="37">SUM(C69:C74)</f>
        <v>0</v>
      </c>
      <c r="D75" s="504">
        <f t="shared" si="37"/>
        <v>0.21100000000000002</v>
      </c>
      <c r="E75" s="504">
        <f t="shared" si="37"/>
        <v>0</v>
      </c>
      <c r="F75" s="504">
        <f t="shared" si="37"/>
        <v>0</v>
      </c>
      <c r="G75" s="504">
        <f t="shared" si="37"/>
        <v>0</v>
      </c>
      <c r="H75" s="504">
        <f t="shared" si="37"/>
        <v>7.6000000000000009E-3</v>
      </c>
      <c r="I75" s="504">
        <f t="shared" si="37"/>
        <v>0.21860000000000002</v>
      </c>
      <c r="Y75" t="s">
        <v>930</v>
      </c>
      <c r="Z75">
        <v>93.129000000000005</v>
      </c>
      <c r="AC75" t="s">
        <v>931</v>
      </c>
      <c r="AD75" s="423">
        <v>4.5781615384615382</v>
      </c>
      <c r="AE75" t="s">
        <v>932</v>
      </c>
    </row>
    <row r="76" spans="1:31" ht="15.5" thickTop="1">
      <c r="Y76" t="s">
        <v>933</v>
      </c>
      <c r="Z76">
        <v>250.25</v>
      </c>
      <c r="AC76" t="s">
        <v>563</v>
      </c>
      <c r="AD76" s="423">
        <v>0.68330769230769228</v>
      </c>
    </row>
    <row r="77" spans="1:31">
      <c r="J77" t="s">
        <v>408</v>
      </c>
      <c r="K77" s="22">
        <f>(I69+I73)/(J18+J22)</f>
        <v>0.21413427561837453</v>
      </c>
      <c r="Y77" t="s">
        <v>934</v>
      </c>
      <c r="Z77">
        <v>62.07</v>
      </c>
    </row>
    <row r="78" spans="1:31">
      <c r="J78" t="s">
        <v>27</v>
      </c>
      <c r="K78" s="22">
        <f>(I72+I74)/(J23+J21)</f>
        <v>0.31573033707865167</v>
      </c>
      <c r="Y78" t="s">
        <v>935</v>
      </c>
      <c r="Z78">
        <v>18</v>
      </c>
      <c r="AC78" s="259" t="s">
        <v>936</v>
      </c>
    </row>
    <row r="79" spans="1:31" ht="15.5" thickBot="1">
      <c r="T79" t="s">
        <v>1055</v>
      </c>
      <c r="Y79" t="s">
        <v>885</v>
      </c>
      <c r="Z79">
        <v>60.052</v>
      </c>
    </row>
    <row r="80" spans="1:31" ht="15.5" thickBot="1">
      <c r="B80" s="187" t="s">
        <v>293</v>
      </c>
      <c r="C80" s="187" t="s">
        <v>9</v>
      </c>
      <c r="D80" s="187" t="s">
        <v>140</v>
      </c>
      <c r="E80" s="187" t="s">
        <v>74</v>
      </c>
      <c r="F80" s="187" t="s">
        <v>34</v>
      </c>
      <c r="G80" s="187" t="s">
        <v>35</v>
      </c>
      <c r="H80" t="s">
        <v>77</v>
      </c>
      <c r="I80" s="142" t="s">
        <v>160</v>
      </c>
      <c r="J80" s="140" t="s">
        <v>24</v>
      </c>
      <c r="K80" s="140" t="s">
        <v>78</v>
      </c>
      <c r="L80" s="417" t="s">
        <v>919</v>
      </c>
      <c r="S80" t="s">
        <v>1192</v>
      </c>
      <c r="T80" s="449">
        <f>SUM(Z124,Z121,Z132,Z116,Z90,Z100,Z106,Z111)</f>
        <v>25.494479693648902</v>
      </c>
      <c r="Y80" t="s">
        <v>937</v>
      </c>
      <c r="Z80" s="4">
        <v>166.13200000000001</v>
      </c>
    </row>
    <row r="81" spans="1:29" ht="15.5" thickTop="1">
      <c r="A81" s="55" t="s">
        <v>920</v>
      </c>
      <c r="B81" s="52">
        <v>0</v>
      </c>
      <c r="C81" s="52">
        <v>0</v>
      </c>
      <c r="D81" s="52">
        <v>0</v>
      </c>
      <c r="E81" s="52">
        <v>0</v>
      </c>
      <c r="F81" s="52">
        <v>0</v>
      </c>
      <c r="G81" s="418">
        <f>Z147</f>
        <v>1.6717337505350475E-6</v>
      </c>
      <c r="H81" s="418">
        <f>G81</f>
        <v>1.6717337505350475E-6</v>
      </c>
      <c r="I81" s="418">
        <f>Z96</f>
        <v>0.10886110356075018</v>
      </c>
      <c r="J81" s="419">
        <f>Z129</f>
        <v>0.5009063728840607</v>
      </c>
      <c r="N81" s="1" t="s">
        <v>921</v>
      </c>
      <c r="S81" t="s">
        <v>1193</v>
      </c>
      <c r="T81">
        <f>'Demand - Methanol'!M45</f>
        <v>23.605579941239576</v>
      </c>
      <c r="Y81" t="s">
        <v>938</v>
      </c>
      <c r="Z81" s="40">
        <v>194.19</v>
      </c>
    </row>
    <row r="82" spans="1:29">
      <c r="A82" t="s">
        <v>17</v>
      </c>
      <c r="B82" s="422">
        <f>B18*B$81</f>
        <v>0</v>
      </c>
      <c r="C82" s="422">
        <f t="shared" ref="C82:G82" si="38">C18*C$81</f>
        <v>0</v>
      </c>
      <c r="D82" s="422">
        <f t="shared" si="38"/>
        <v>0</v>
      </c>
      <c r="E82" s="422">
        <f t="shared" si="38"/>
        <v>0</v>
      </c>
      <c r="F82" s="422">
        <f t="shared" si="38"/>
        <v>0</v>
      </c>
      <c r="G82" s="188">
        <f t="shared" si="38"/>
        <v>1.688451088040398E-7</v>
      </c>
      <c r="H82" s="418"/>
      <c r="I82" s="188">
        <f>H18*I$81</f>
        <v>2.1772220712150037E-4</v>
      </c>
      <c r="J82" s="188">
        <f>I18*J$81</f>
        <v>5.0090637288406072E-4</v>
      </c>
      <c r="K82" s="38">
        <f>SUM(B82:J82)</f>
        <v>7.1879742511436512E-4</v>
      </c>
      <c r="L82" s="40">
        <f>K82/$K$89*($L$89-$L$87)</f>
        <v>0.50449233230281454</v>
      </c>
      <c r="N82" s="38">
        <f>K82/J18</f>
        <v>1.6116534195389351E-3</v>
      </c>
      <c r="S82" t="s">
        <v>911</v>
      </c>
      <c r="T82">
        <f>'Demand - Methanol'!M44</f>
        <v>28.065001267929215</v>
      </c>
      <c r="Y82" t="s">
        <v>882</v>
      </c>
      <c r="Z82" s="40">
        <v>86.09</v>
      </c>
    </row>
    <row r="83" spans="1:29">
      <c r="A83" t="s">
        <v>19</v>
      </c>
      <c r="B83" s="158">
        <f t="shared" ref="B83:G83" si="39">B19*B$81</f>
        <v>0</v>
      </c>
      <c r="C83" s="158">
        <f t="shared" si="39"/>
        <v>0</v>
      </c>
      <c r="D83" s="158">
        <f t="shared" si="39"/>
        <v>0</v>
      </c>
      <c r="E83" s="158">
        <f t="shared" si="39"/>
        <v>0</v>
      </c>
      <c r="F83" s="158">
        <f t="shared" si="39"/>
        <v>0</v>
      </c>
      <c r="G83" s="157">
        <f t="shared" si="39"/>
        <v>0</v>
      </c>
      <c r="H83" s="201"/>
      <c r="I83" s="157">
        <f t="shared" ref="I83:J86" si="40">H19*I$81</f>
        <v>2.6126664854580046E-3</v>
      </c>
      <c r="J83" s="157">
        <f t="shared" si="40"/>
        <v>2.5045318644203035E-3</v>
      </c>
      <c r="K83" s="38">
        <f>SUM(B83:J83)</f>
        <v>5.1171983498783085E-3</v>
      </c>
      <c r="L83" s="40">
        <f t="shared" ref="L83:L86" si="41">K83/$K$89*($L$89-$L$87)</f>
        <v>3.5915366975270882</v>
      </c>
      <c r="N83" s="38">
        <f t="shared" ref="N83:N86" si="42">K83/J19</f>
        <v>2.7219140158927176E-2</v>
      </c>
      <c r="S83" t="s">
        <v>908</v>
      </c>
      <c r="T83">
        <f>'Demand - Methanol'!M9</f>
        <v>31.201972235932104</v>
      </c>
      <c r="Y83" t="s">
        <v>939</v>
      </c>
      <c r="Z83" s="40">
        <v>100.117</v>
      </c>
    </row>
    <row r="84" spans="1:29">
      <c r="A84" t="s">
        <v>333</v>
      </c>
      <c r="B84" s="158">
        <f t="shared" ref="B84:G84" si="43">B20*B$81</f>
        <v>0</v>
      </c>
      <c r="C84" s="158">
        <f t="shared" si="43"/>
        <v>0</v>
      </c>
      <c r="D84" s="158">
        <f t="shared" si="43"/>
        <v>0</v>
      </c>
      <c r="E84" s="158">
        <f t="shared" si="43"/>
        <v>0</v>
      </c>
      <c r="F84" s="158">
        <f t="shared" si="43"/>
        <v>0</v>
      </c>
      <c r="G84" s="157">
        <f t="shared" si="43"/>
        <v>0</v>
      </c>
      <c r="H84" s="265"/>
      <c r="I84" s="157">
        <f t="shared" si="40"/>
        <v>8.7088882848600148E-4</v>
      </c>
      <c r="J84" s="157">
        <f t="shared" si="40"/>
        <v>1.1019940203449334E-2</v>
      </c>
      <c r="K84" s="38">
        <f>SUM(B84:J84)</f>
        <v>1.1890829031935337E-2</v>
      </c>
      <c r="L84" s="40">
        <f t="shared" si="41"/>
        <v>8.3456504736096182</v>
      </c>
      <c r="N84" s="38">
        <f t="shared" si="42"/>
        <v>0.17486513282257846</v>
      </c>
      <c r="T84" s="40">
        <f>SUM(T80:T83)</f>
        <v>108.3670331387498</v>
      </c>
      <c r="Y84" t="s">
        <v>940</v>
      </c>
      <c r="Z84" s="40">
        <v>94.11</v>
      </c>
    </row>
    <row r="85" spans="1:29">
      <c r="A85" t="s">
        <v>23</v>
      </c>
      <c r="B85" s="158">
        <f t="shared" ref="B85:G85" si="44">B21*B$81</f>
        <v>0</v>
      </c>
      <c r="C85" s="158">
        <f t="shared" si="44"/>
        <v>0</v>
      </c>
      <c r="D85" s="158">
        <f t="shared" si="44"/>
        <v>0</v>
      </c>
      <c r="E85" s="158">
        <f t="shared" si="44"/>
        <v>0</v>
      </c>
      <c r="F85" s="158">
        <f t="shared" si="44"/>
        <v>0</v>
      </c>
      <c r="G85" s="157">
        <f t="shared" si="44"/>
        <v>0</v>
      </c>
      <c r="H85" s="265"/>
      <c r="I85" s="157">
        <f t="shared" si="40"/>
        <v>4.3544441424300074E-4</v>
      </c>
      <c r="J85" s="157">
        <f t="shared" si="40"/>
        <v>5.009063728840607E-3</v>
      </c>
      <c r="K85" s="38">
        <f>SUM(B85:J85)</f>
        <v>5.4445081430836081E-3</v>
      </c>
      <c r="L85" s="40">
        <f t="shared" si="41"/>
        <v>3.8212610610129771</v>
      </c>
      <c r="N85" s="38">
        <f t="shared" si="42"/>
        <v>0.13611270357709021</v>
      </c>
      <c r="Y85" t="s">
        <v>941</v>
      </c>
      <c r="Z85" s="40">
        <v>60.055999999999997</v>
      </c>
    </row>
    <row r="86" spans="1:29">
      <c r="A86" t="s">
        <v>339</v>
      </c>
      <c r="B86" s="6">
        <f t="shared" ref="B86:G86" si="45">B22*B$81</f>
        <v>0</v>
      </c>
      <c r="C86" s="6">
        <f t="shared" si="45"/>
        <v>0</v>
      </c>
      <c r="D86" s="6">
        <f t="shared" si="45"/>
        <v>0</v>
      </c>
      <c r="E86" s="6">
        <f t="shared" si="45"/>
        <v>0</v>
      </c>
      <c r="F86" s="6">
        <f t="shared" si="45"/>
        <v>0</v>
      </c>
      <c r="G86" s="38">
        <f t="shared" si="45"/>
        <v>0</v>
      </c>
      <c r="H86" s="265"/>
      <c r="I86" s="157">
        <f t="shared" si="40"/>
        <v>1.0886110356075019E-3</v>
      </c>
      <c r="J86" s="157">
        <f t="shared" si="40"/>
        <v>1.0018127457681214E-3</v>
      </c>
      <c r="K86" s="38">
        <f>SUM(B86:J86)</f>
        <v>2.0904237813756232E-3</v>
      </c>
      <c r="L86" s="40">
        <f t="shared" si="41"/>
        <v>1.4671766093203005</v>
      </c>
      <c r="N86" s="38">
        <f t="shared" si="42"/>
        <v>1.7420198178130192E-2</v>
      </c>
      <c r="S86" t="s">
        <v>999</v>
      </c>
      <c r="T86">
        <f>SUMIF('Sankey Methanol_detailed'!E:E,S86,'Sankey Methanol_detailed'!H:H)</f>
        <v>2.9137164029122613</v>
      </c>
      <c r="Z86" s="40"/>
    </row>
    <row r="87" spans="1:29">
      <c r="A87" t="s">
        <v>365</v>
      </c>
      <c r="B87" s="6">
        <v>0</v>
      </c>
      <c r="C87" s="6">
        <v>0</v>
      </c>
      <c r="D87" s="6">
        <v>0</v>
      </c>
      <c r="E87" s="6">
        <v>0</v>
      </c>
      <c r="F87" s="6">
        <v>0</v>
      </c>
      <c r="G87" s="38">
        <v>0</v>
      </c>
      <c r="H87" s="265"/>
      <c r="I87" s="38">
        <v>0</v>
      </c>
      <c r="J87" s="38">
        <v>0</v>
      </c>
      <c r="K87" s="38"/>
      <c r="L87" s="40">
        <f>(('Sankey Methanol_detailed'!H79+'Sankey Methanol_detailed'!H81)/SUM('Demand - Methanol'!B6:B7))*'Demand - Methanol'!B7*0.5*H81</f>
        <v>5.8554420207598117E-7</v>
      </c>
      <c r="M87" t="s">
        <v>922</v>
      </c>
      <c r="S87" t="s">
        <v>1001</v>
      </c>
      <c r="T87">
        <f>SUMIF('Sankey Methanol_detailed'!E:E,S87,'Sankey Methanol_detailed'!H:H)</f>
        <v>22.580763290736638</v>
      </c>
      <c r="Z87" s="40"/>
    </row>
    <row r="88" spans="1:29">
      <c r="A88" t="s">
        <v>27</v>
      </c>
      <c r="B88" s="158">
        <f>B23*B$81</f>
        <v>0</v>
      </c>
      <c r="C88" s="158">
        <f t="shared" ref="C88:G88" si="46">C23*C$81</f>
        <v>0</v>
      </c>
      <c r="D88" s="158">
        <f t="shared" si="46"/>
        <v>0</v>
      </c>
      <c r="E88" s="158">
        <f t="shared" si="46"/>
        <v>0</v>
      </c>
      <c r="F88" s="158">
        <f t="shared" si="46"/>
        <v>0</v>
      </c>
      <c r="G88" s="157">
        <f t="shared" si="46"/>
        <v>0</v>
      </c>
      <c r="H88" s="265"/>
      <c r="I88" s="157">
        <f>H23*I$81</f>
        <v>3.0481108997010052E-3</v>
      </c>
      <c r="J88" s="157">
        <f>I23*J$81</f>
        <v>8.0145019661449716E-3</v>
      </c>
      <c r="K88" s="38">
        <f>SUM(B88:J88)</f>
        <v>1.1062612865845978E-2</v>
      </c>
      <c r="L88" s="40">
        <f>K88/$K$89*($L$89-$L$87)</f>
        <v>7.764361934331899</v>
      </c>
      <c r="N88" s="38">
        <f>K88/J23</f>
        <v>8.0163861346709983E-2</v>
      </c>
      <c r="S88" t="s">
        <v>911</v>
      </c>
      <c r="T88">
        <f>SUMIF('Sankey Methanol_detailed'!E:E,S88,'Sankey Methanol_detailed'!H:H)</f>
        <v>28.587862624213781</v>
      </c>
      <c r="Z88" s="40"/>
    </row>
    <row r="89" spans="1:29" ht="15.5" thickBot="1">
      <c r="A89" s="187" t="s">
        <v>78</v>
      </c>
      <c r="B89" s="189">
        <f t="shared" ref="B89:G89" si="47">SUM(B82:B88)</f>
        <v>0</v>
      </c>
      <c r="C89" s="189">
        <f t="shared" si="47"/>
        <v>0</v>
      </c>
      <c r="D89" s="189">
        <f t="shared" si="47"/>
        <v>0</v>
      </c>
      <c r="E89" s="189">
        <f t="shared" si="47"/>
        <v>0</v>
      </c>
      <c r="F89" s="189">
        <f t="shared" si="47"/>
        <v>0</v>
      </c>
      <c r="G89" s="189">
        <f t="shared" si="47"/>
        <v>1.688451088040398E-7</v>
      </c>
      <c r="I89" s="189">
        <f>SUM(I82:I88)</f>
        <v>8.2734438706170144E-3</v>
      </c>
      <c r="J89" s="189">
        <f>SUM(J82:J88)</f>
        <v>2.8050756881507398E-2</v>
      </c>
      <c r="K89" s="189">
        <f>SUM(K82:K88)</f>
        <v>3.6324369597233216E-2</v>
      </c>
      <c r="L89" s="420">
        <f>T86+T87</f>
        <v>25.494479693648898</v>
      </c>
      <c r="S89" t="s">
        <v>908</v>
      </c>
      <c r="T89">
        <f>SUMIF('Sankey Methanol_detailed'!E:E,S89,'Sankey Methanol_detailed'!H:H)</f>
        <v>31.201972235932111</v>
      </c>
      <c r="Y89" s="259" t="s">
        <v>142</v>
      </c>
    </row>
    <row r="90" spans="1:29" ht="15.5" thickTop="1">
      <c r="L90" s="40">
        <f>SUM(L82:L88)</f>
        <v>25.494479693648898</v>
      </c>
      <c r="M90" t="s">
        <v>408</v>
      </c>
      <c r="N90" s="22">
        <f>(K82+K86)/(J18+J22)</f>
        <v>4.9632883506890244E-3</v>
      </c>
      <c r="S90" t="s">
        <v>27</v>
      </c>
      <c r="T90">
        <f>SUMIF('Sankey Methanol_detailed'!E:E,S90,'Sankey Methanol_detailed'!H:H)</f>
        <v>16.87792438415423</v>
      </c>
      <c r="Y90" t="s">
        <v>942</v>
      </c>
      <c r="Z90" s="424">
        <v>1.1298928174736835</v>
      </c>
    </row>
    <row r="91" spans="1:29" ht="15.5" thickBot="1">
      <c r="M91" t="s">
        <v>27</v>
      </c>
      <c r="N91" s="22">
        <f>(K85+K88)/(J23+J21)</f>
        <v>9.2736634881626881E-2</v>
      </c>
      <c r="S91" s="254" t="s">
        <v>78</v>
      </c>
      <c r="T91" s="254">
        <f>SUM(T86:T90)</f>
        <v>102.16223893794901</v>
      </c>
    </row>
    <row r="92" spans="1:29" ht="21" customHeight="1">
      <c r="B92" s="8"/>
      <c r="C92" s="152"/>
      <c r="D92" s="273"/>
      <c r="E92" s="152"/>
      <c r="M92" s="3" t="s">
        <v>923</v>
      </c>
      <c r="N92" s="421">
        <f>L87/L89</f>
        <v>2.2967489790421179E-8</v>
      </c>
      <c r="S92" t="s">
        <v>1195</v>
      </c>
      <c r="T92">
        <f>SUMIF('Sankey Methanol_detailed'!F:F,S92,'Sankey Methanol_detailed'!H:H)</f>
        <v>102.16223893794904</v>
      </c>
      <c r="Y92" t="s">
        <v>943</v>
      </c>
      <c r="Z92" s="40">
        <f>(1/(Z73))*(Z74)</f>
        <v>1.0670752014920402</v>
      </c>
      <c r="AC92" s="496" t="s">
        <v>944</v>
      </c>
    </row>
    <row r="93" spans="1:29">
      <c r="Y93" t="s">
        <v>945</v>
      </c>
      <c r="Z93" s="40">
        <f>(1/(Z76))*(Z73)</f>
        <v>0.11998401598401598</v>
      </c>
    </row>
    <row r="94" spans="1:29" ht="15.5" thickBot="1">
      <c r="Y94" t="s">
        <v>946</v>
      </c>
      <c r="Z94">
        <v>1</v>
      </c>
    </row>
    <row r="95" spans="1:29" ht="15.5" thickBot="1">
      <c r="B95" s="187" t="s">
        <v>293</v>
      </c>
      <c r="C95" s="187" t="s">
        <v>9</v>
      </c>
      <c r="D95" s="187" t="s">
        <v>140</v>
      </c>
      <c r="E95" s="187" t="s">
        <v>74</v>
      </c>
      <c r="F95" s="187" t="s">
        <v>34</v>
      </c>
      <c r="G95" s="187" t="s">
        <v>35</v>
      </c>
      <c r="H95" s="1" t="s">
        <v>77</v>
      </c>
      <c r="I95" s="142" t="s">
        <v>160</v>
      </c>
      <c r="J95" s="140" t="s">
        <v>24</v>
      </c>
      <c r="K95" s="140" t="s">
        <v>78</v>
      </c>
      <c r="L95" s="417" t="s">
        <v>1328</v>
      </c>
      <c r="Y95" t="s">
        <v>947</v>
      </c>
      <c r="Z95" s="40">
        <f>(1/(Z76+Z77-Z78))*(Z76*Z94)</f>
        <v>0.85026501766784457</v>
      </c>
    </row>
    <row r="96" spans="1:29" ht="15.5" thickTop="1">
      <c r="A96" s="55" t="s">
        <v>1281</v>
      </c>
      <c r="B96" s="52">
        <v>0</v>
      </c>
      <c r="C96" s="52">
        <v>0</v>
      </c>
      <c r="D96" s="52">
        <v>0</v>
      </c>
      <c r="E96" s="243">
        <f>'Demand - BTX'!E33-E110</f>
        <v>0.69695911359903207</v>
      </c>
      <c r="F96" s="52">
        <v>0</v>
      </c>
      <c r="G96" s="501">
        <v>0</v>
      </c>
      <c r="H96" s="501">
        <v>0</v>
      </c>
      <c r="I96" s="541">
        <f>'Demand - BTX'!D37*'Demand - BTX'!D28/('Demand - BTX'!D28+'Demand - BTX'!L12)-'Demand - BTX'!K5*2/3*'Demand - BTX'!E28*'Demand - BTX'!D37*'Demand - BTX'!L12/('Demand - BTX'!D28+'Demand - BTX'!L12)</f>
        <v>0.30922982792293968</v>
      </c>
      <c r="J96" s="540">
        <v>0.1</v>
      </c>
      <c r="N96" s="1"/>
      <c r="Y96" s="425" t="s">
        <v>948</v>
      </c>
      <c r="Z96" s="426">
        <f>Z92*Z93*Z95</f>
        <v>0.10886110356075018</v>
      </c>
    </row>
    <row r="97" spans="1:29">
      <c r="A97" t="s">
        <v>17</v>
      </c>
      <c r="B97" s="422">
        <f>B46*B$96</f>
        <v>0</v>
      </c>
      <c r="C97" s="422">
        <f t="shared" ref="C97:G97" si="48">C18*C$96</f>
        <v>0</v>
      </c>
      <c r="D97" s="422">
        <f t="shared" si="48"/>
        <v>0</v>
      </c>
      <c r="E97" s="422">
        <f t="shared" si="48"/>
        <v>1.6030059612777738E-2</v>
      </c>
      <c r="F97" s="422">
        <f t="shared" si="48"/>
        <v>0</v>
      </c>
      <c r="G97" s="422">
        <f t="shared" si="48"/>
        <v>0</v>
      </c>
      <c r="H97" s="418"/>
      <c r="I97" s="422">
        <f>H18*I$96</f>
        <v>6.1845965584587936E-4</v>
      </c>
      <c r="J97" s="188">
        <f>I18*J$96</f>
        <v>1E-4</v>
      </c>
      <c r="K97" s="38">
        <f>SUM(B97:J97)</f>
        <v>1.6748519268623616E-2</v>
      </c>
      <c r="L97" s="101">
        <f>K97/$K$104*($L$104-$L$102)</f>
        <v>312187.37987787981</v>
      </c>
      <c r="N97" s="38"/>
    </row>
    <row r="98" spans="1:29">
      <c r="A98" t="s">
        <v>19</v>
      </c>
      <c r="B98" s="158">
        <f t="shared" ref="B98:G101" si="49">B19*B$96</f>
        <v>0</v>
      </c>
      <c r="C98" s="158">
        <f t="shared" si="49"/>
        <v>0</v>
      </c>
      <c r="D98" s="158">
        <f t="shared" si="49"/>
        <v>0</v>
      </c>
      <c r="E98" s="158">
        <f t="shared" si="49"/>
        <v>1.5333100499178704E-2</v>
      </c>
      <c r="F98" s="158">
        <f t="shared" si="49"/>
        <v>0</v>
      </c>
      <c r="G98" s="158">
        <f t="shared" si="49"/>
        <v>0</v>
      </c>
      <c r="H98" s="201"/>
      <c r="I98" s="158">
        <f t="shared" ref="I98:J101" si="50">H19*I$96</f>
        <v>7.4215158701505524E-3</v>
      </c>
      <c r="J98" s="157">
        <f t="shared" si="50"/>
        <v>5.0000000000000001E-4</v>
      </c>
      <c r="K98" s="38">
        <f>SUM(B98:J98)</f>
        <v>2.3254616369329257E-2</v>
      </c>
      <c r="L98" s="101">
        <f>K98/$K$104*($L$104-$L$102)</f>
        <v>433459.08005172334</v>
      </c>
      <c r="N98" s="38"/>
      <c r="Y98" s="259" t="s">
        <v>949</v>
      </c>
      <c r="Z98" s="40"/>
    </row>
    <row r="99" spans="1:29">
      <c r="A99" t="s">
        <v>333</v>
      </c>
      <c r="B99" s="158">
        <f t="shared" si="49"/>
        <v>0</v>
      </c>
      <c r="C99" s="158">
        <f t="shared" si="49"/>
        <v>0</v>
      </c>
      <c r="D99" s="158">
        <f t="shared" si="49"/>
        <v>0</v>
      </c>
      <c r="E99" s="158">
        <f t="shared" si="49"/>
        <v>0</v>
      </c>
      <c r="F99" s="158">
        <f t="shared" si="49"/>
        <v>0</v>
      </c>
      <c r="G99" s="158">
        <f t="shared" si="49"/>
        <v>0</v>
      </c>
      <c r="H99" s="265"/>
      <c r="I99" s="158">
        <f t="shared" si="50"/>
        <v>2.4738386233835175E-3</v>
      </c>
      <c r="J99" s="157">
        <f t="shared" si="50"/>
        <v>2.2000000000000001E-3</v>
      </c>
      <c r="K99" s="38">
        <f>SUM(B99:J99)</f>
        <v>4.673838623383518E-3</v>
      </c>
      <c r="L99" s="101">
        <f>K99/$K$104*($L$104-$L$102)</f>
        <v>87118.951257954774</v>
      </c>
      <c r="N99" s="38"/>
      <c r="Z99" s="40"/>
    </row>
    <row r="100" spans="1:29">
      <c r="A100" t="s">
        <v>23</v>
      </c>
      <c r="B100" s="158">
        <f t="shared" si="49"/>
        <v>0</v>
      </c>
      <c r="C100" s="158">
        <f t="shared" si="49"/>
        <v>0</v>
      </c>
      <c r="D100" s="158">
        <f t="shared" si="49"/>
        <v>0</v>
      </c>
      <c r="E100" s="158">
        <f t="shared" si="49"/>
        <v>4.1817546815941927E-3</v>
      </c>
      <c r="F100" s="158">
        <f t="shared" si="49"/>
        <v>0</v>
      </c>
      <c r="G100" s="158">
        <f t="shared" si="49"/>
        <v>0</v>
      </c>
      <c r="H100" s="265"/>
      <c r="I100" s="158">
        <f t="shared" si="50"/>
        <v>1.2369193116917587E-3</v>
      </c>
      <c r="J100" s="157">
        <f t="shared" si="50"/>
        <v>1E-3</v>
      </c>
      <c r="K100" s="38">
        <f>SUM(B100:J100)</f>
        <v>6.4186739932859515E-3</v>
      </c>
      <c r="L100" s="101">
        <f t="shared" ref="L100:L101" si="51">K100/$K$104*($L$104-$L$102)</f>
        <v>119642.15965098284</v>
      </c>
      <c r="N100" s="38"/>
      <c r="Y100" t="s">
        <v>950</v>
      </c>
      <c r="Z100" s="424">
        <v>1.0645306645833978</v>
      </c>
    </row>
    <row r="101" spans="1:29">
      <c r="A101" t="s">
        <v>339</v>
      </c>
      <c r="B101" s="6">
        <f t="shared" si="49"/>
        <v>0</v>
      </c>
      <c r="C101" s="6">
        <f t="shared" si="49"/>
        <v>0</v>
      </c>
      <c r="D101" s="6">
        <f t="shared" si="49"/>
        <v>0</v>
      </c>
      <c r="E101" s="6">
        <f t="shared" si="49"/>
        <v>1.2545264044782576E-2</v>
      </c>
      <c r="F101" s="6">
        <f t="shared" si="49"/>
        <v>0</v>
      </c>
      <c r="G101" s="6">
        <f t="shared" si="49"/>
        <v>0</v>
      </c>
      <c r="H101" s="265"/>
      <c r="I101" s="6">
        <f t="shared" si="50"/>
        <v>3.0922982792293968E-3</v>
      </c>
      <c r="J101" s="38">
        <f t="shared" si="50"/>
        <v>2.0000000000000001E-4</v>
      </c>
      <c r="K101" s="38">
        <f>SUM(B101:J101)</f>
        <v>1.583756232401197E-2</v>
      </c>
      <c r="L101" s="101">
        <f t="shared" si="51"/>
        <v>295207.41543095472</v>
      </c>
      <c r="N101" s="38"/>
      <c r="Y101" t="s">
        <v>881</v>
      </c>
      <c r="Z101" s="40">
        <f>(1/Z79)*Z74</f>
        <v>0.53353760074602008</v>
      </c>
    </row>
    <row r="102" spans="1:29">
      <c r="A102" t="s">
        <v>365</v>
      </c>
      <c r="B102" s="6">
        <v>0</v>
      </c>
      <c r="C102" s="6">
        <v>0</v>
      </c>
      <c r="D102" s="6">
        <v>0</v>
      </c>
      <c r="E102" s="6">
        <v>0</v>
      </c>
      <c r="F102" s="6">
        <v>0</v>
      </c>
      <c r="G102" s="6">
        <v>0</v>
      </c>
      <c r="H102" s="265"/>
      <c r="I102" s="6">
        <v>0</v>
      </c>
      <c r="J102" s="38">
        <v>0</v>
      </c>
      <c r="K102" s="38">
        <f>0</f>
        <v>0</v>
      </c>
      <c r="L102" s="101">
        <v>0</v>
      </c>
      <c r="M102" t="s">
        <v>1324</v>
      </c>
      <c r="Y102" t="s">
        <v>883</v>
      </c>
      <c r="Z102" s="40">
        <f>(1/(2*Z82))*2*Z79</f>
        <v>0.69754907654779874</v>
      </c>
      <c r="AC102" t="s">
        <v>951</v>
      </c>
    </row>
    <row r="103" spans="1:29">
      <c r="A103" t="s">
        <v>27</v>
      </c>
      <c r="B103" s="6">
        <f t="shared" ref="B103:G103" si="52">B23*B$96</f>
        <v>0</v>
      </c>
      <c r="C103" s="6">
        <f t="shared" si="52"/>
        <v>0</v>
      </c>
      <c r="D103" s="6">
        <f t="shared" si="52"/>
        <v>0</v>
      </c>
      <c r="E103" s="6">
        <f t="shared" si="52"/>
        <v>4.8787137951932244E-3</v>
      </c>
      <c r="F103" s="6">
        <f t="shared" si="52"/>
        <v>0</v>
      </c>
      <c r="G103" s="6">
        <f t="shared" si="52"/>
        <v>0</v>
      </c>
      <c r="H103" s="265"/>
      <c r="I103" s="6">
        <f>H23*I$96</f>
        <v>8.6584351818423111E-3</v>
      </c>
      <c r="J103" s="38">
        <f>I23*J$96</f>
        <v>1.6000000000000001E-3</v>
      </c>
      <c r="K103" s="38">
        <f>SUM(B103:J103)</f>
        <v>1.5137148977035535E-2</v>
      </c>
      <c r="L103" s="101">
        <f>K103/$K$104*($L$104-$L$102)</f>
        <v>282151.9205470754</v>
      </c>
      <c r="N103" s="38"/>
      <c r="Y103" t="s">
        <v>884</v>
      </c>
      <c r="Z103">
        <v>1</v>
      </c>
      <c r="AC103" t="s">
        <v>952</v>
      </c>
    </row>
    <row r="104" spans="1:29" ht="15.5" thickBot="1">
      <c r="A104" s="187" t="s">
        <v>78</v>
      </c>
      <c r="B104" s="189">
        <f t="shared" ref="B104:G104" si="53">SUM(B97:B103)</f>
        <v>0</v>
      </c>
      <c r="C104" s="189">
        <f t="shared" si="53"/>
        <v>0</v>
      </c>
      <c r="D104" s="189">
        <f t="shared" si="53"/>
        <v>0</v>
      </c>
      <c r="E104" s="189">
        <f t="shared" si="53"/>
        <v>5.2968892633526436E-2</v>
      </c>
      <c r="F104" s="189">
        <f t="shared" si="53"/>
        <v>0</v>
      </c>
      <c r="G104" s="189">
        <f t="shared" si="53"/>
        <v>0</v>
      </c>
      <c r="I104" s="189">
        <f>SUM(I97:I103)</f>
        <v>2.3501466922143416E-2</v>
      </c>
      <c r="J104" s="189">
        <f>SUM(J97:J103)</f>
        <v>5.5999999999999999E-3</v>
      </c>
      <c r="K104" s="189">
        <f>SUM(K97:K103)</f>
        <v>8.2070359555669853E-2</v>
      </c>
      <c r="L104" s="203">
        <f>'Yearly Demand - BTX'!N16</f>
        <v>1529766.906816571</v>
      </c>
      <c r="Y104" t="s">
        <v>888</v>
      </c>
      <c r="Z104" s="415">
        <f>Z101*Z102*Z103</f>
        <v>0.37216866070391447</v>
      </c>
    </row>
    <row r="105" spans="1:29" ht="15.5" thickTop="1">
      <c r="E105" s="252"/>
      <c r="L105" s="101">
        <f>SUM(L97:L103)</f>
        <v>1529766.9068165708</v>
      </c>
      <c r="N105" s="22"/>
    </row>
    <row r="106" spans="1:29">
      <c r="N106" s="22"/>
      <c r="Y106" t="s">
        <v>953</v>
      </c>
      <c r="Z106" s="424">
        <v>1.772842341876246</v>
      </c>
    </row>
    <row r="107" spans="1:29">
      <c r="B107" s="8"/>
      <c r="C107" s="152"/>
      <c r="D107" s="273"/>
      <c r="E107" s="152"/>
      <c r="M107" s="3"/>
      <c r="N107" s="421"/>
      <c r="Y107" t="s">
        <v>954</v>
      </c>
      <c r="Z107" s="40">
        <f>(1/Z83)*Z74</f>
        <v>0.32002557008300286</v>
      </c>
      <c r="AC107" t="s">
        <v>955</v>
      </c>
    </row>
    <row r="108" spans="1:29" ht="15.5" thickBot="1">
      <c r="Y108" t="s">
        <v>956</v>
      </c>
      <c r="Z108" s="40">
        <v>1</v>
      </c>
      <c r="AC108" t="s">
        <v>957</v>
      </c>
    </row>
    <row r="109" spans="1:29" ht="15.5" thickBot="1">
      <c r="B109" s="187" t="s">
        <v>293</v>
      </c>
      <c r="C109" s="187" t="s">
        <v>9</v>
      </c>
      <c r="D109" s="187" t="s">
        <v>140</v>
      </c>
      <c r="E109" s="187" t="s">
        <v>74</v>
      </c>
      <c r="F109" s="187" t="s">
        <v>34</v>
      </c>
      <c r="G109" s="187" t="s">
        <v>35</v>
      </c>
      <c r="H109" s="1" t="s">
        <v>77</v>
      </c>
      <c r="I109" s="142" t="s">
        <v>160</v>
      </c>
      <c r="J109" s="140" t="s">
        <v>24</v>
      </c>
      <c r="K109" s="140" t="s">
        <v>78</v>
      </c>
      <c r="L109" s="417" t="s">
        <v>1327</v>
      </c>
      <c r="Y109" t="s">
        <v>958</v>
      </c>
      <c r="Z109" s="415">
        <f>Z107*Z108</f>
        <v>0.32002557008300286</v>
      </c>
    </row>
    <row r="110" spans="1:29" ht="15.5" thickTop="1">
      <c r="A110" s="55" t="s">
        <v>1318</v>
      </c>
      <c r="B110" s="52">
        <v>0</v>
      </c>
      <c r="C110" s="52">
        <v>0</v>
      </c>
      <c r="D110" s="52">
        <v>0</v>
      </c>
      <c r="E110" s="52">
        <f>'Demand - BTX'!K5*2/3*'Demand - BTX'!E17*'Demand - BTX'!E33</f>
        <v>3.8889943004741488E-2</v>
      </c>
      <c r="F110" s="52">
        <v>0</v>
      </c>
      <c r="G110" s="501">
        <f>'Demand - BTX'!K5*1/3*SUM('Demand - BTX'!U9:U10)*'Demand - BTX'!R18</f>
        <v>5.1795900413408112E-2</v>
      </c>
      <c r="H110" s="501">
        <f>'Demand - BTX'!K5*1/3*SUM('Demand - BTX'!U9:U10)*'Demand - BTX'!R18</f>
        <v>5.1795900413408112E-2</v>
      </c>
      <c r="I110" s="541">
        <f>'Demand - BTX'!H37*'Demand - BTX'!L12/('Demand - BTX'!D28+'Demand - BTX'!L12)+'Demand - BTX'!K5*2/3*'Demand - BTX'!E28*'Demand - BTX'!D37*'Demand - BTX'!L12/('Demand - BTX'!D28+'Demand - BTX'!L12)</f>
        <v>0.2545586663191039</v>
      </c>
      <c r="J110" s="540">
        <v>0.05</v>
      </c>
      <c r="N110" s="1"/>
      <c r="Z110" s="40"/>
    </row>
    <row r="111" spans="1:29">
      <c r="A111" t="s">
        <v>17</v>
      </c>
      <c r="B111" s="188">
        <f t="shared" ref="B111:G115" si="54">B18*B$110</f>
        <v>0</v>
      </c>
      <c r="C111" s="188">
        <f t="shared" si="54"/>
        <v>0</v>
      </c>
      <c r="D111" s="188">
        <f t="shared" si="54"/>
        <v>0</v>
      </c>
      <c r="E111" s="188">
        <f t="shared" si="54"/>
        <v>8.9446868910905426E-4</v>
      </c>
      <c r="F111" s="188">
        <f t="shared" si="54"/>
        <v>0</v>
      </c>
      <c r="G111" s="188">
        <f t="shared" si="54"/>
        <v>5.2313859417542196E-3</v>
      </c>
      <c r="H111" s="544"/>
      <c r="I111" s="188">
        <f t="shared" ref="I111:J115" si="55">H18*I$110</f>
        <v>5.0911733263820779E-4</v>
      </c>
      <c r="J111" s="188">
        <f t="shared" si="55"/>
        <v>5.0000000000000002E-5</v>
      </c>
      <c r="K111" s="38">
        <f>SUM(B111:J111)</f>
        <v>6.6849719635014813E-3</v>
      </c>
      <c r="L111" s="101">
        <f>K111/$K$118*($L$118-$L$116)</f>
        <v>16766.545936057693</v>
      </c>
      <c r="M111" s="2">
        <f>L111/$L$118</f>
        <v>0.21460813146929775</v>
      </c>
      <c r="N111" s="38"/>
      <c r="Y111" t="s">
        <v>959</v>
      </c>
      <c r="Z111" s="424">
        <v>3.8059547535955658</v>
      </c>
    </row>
    <row r="112" spans="1:29">
      <c r="A112" t="s">
        <v>19</v>
      </c>
      <c r="B112" s="157">
        <f t="shared" si="54"/>
        <v>0</v>
      </c>
      <c r="C112" s="157">
        <f t="shared" si="54"/>
        <v>0</v>
      </c>
      <c r="D112" s="157">
        <f t="shared" si="54"/>
        <v>0</v>
      </c>
      <c r="E112" s="157">
        <f t="shared" si="54"/>
        <v>8.5557874610431273E-4</v>
      </c>
      <c r="F112" s="157">
        <f t="shared" si="54"/>
        <v>0</v>
      </c>
      <c r="G112" s="157">
        <f t="shared" si="54"/>
        <v>0</v>
      </c>
      <c r="H112" s="201"/>
      <c r="I112" s="157">
        <f t="shared" si="55"/>
        <v>6.1094079916584939E-3</v>
      </c>
      <c r="J112" s="157">
        <f t="shared" si="55"/>
        <v>2.5000000000000001E-4</v>
      </c>
      <c r="K112" s="38">
        <f>SUM(B112:J112)</f>
        <v>7.2149867377628071E-3</v>
      </c>
      <c r="L112" s="101">
        <f>K112/$K$118*($L$118-$L$116)</f>
        <v>18095.873434805668</v>
      </c>
      <c r="M112" s="2">
        <f t="shared" ref="M112:M117" si="56">L112/$L$118</f>
        <v>0.23162323354846437</v>
      </c>
      <c r="N112" s="38"/>
      <c r="Y112" t="s">
        <v>943</v>
      </c>
      <c r="Z112" s="40">
        <f>(1/(Z73))*(Z74)</f>
        <v>1.0670752014920402</v>
      </c>
    </row>
    <row r="113" spans="1:29">
      <c r="A113" t="s">
        <v>333</v>
      </c>
      <c r="B113" s="157">
        <f t="shared" si="54"/>
        <v>0</v>
      </c>
      <c r="C113" s="157">
        <f t="shared" si="54"/>
        <v>0</v>
      </c>
      <c r="D113" s="157">
        <f t="shared" si="54"/>
        <v>0</v>
      </c>
      <c r="E113" s="157">
        <f t="shared" si="54"/>
        <v>0</v>
      </c>
      <c r="F113" s="157">
        <f t="shared" si="54"/>
        <v>0</v>
      </c>
      <c r="G113" s="157">
        <f t="shared" si="54"/>
        <v>0</v>
      </c>
      <c r="H113" s="265"/>
      <c r="I113" s="157">
        <f t="shared" si="55"/>
        <v>2.0364693305528312E-3</v>
      </c>
      <c r="J113" s="157">
        <f t="shared" si="55"/>
        <v>1.1000000000000001E-3</v>
      </c>
      <c r="K113" s="38">
        <f>SUM(B113:J113)</f>
        <v>3.136469330552831E-3</v>
      </c>
      <c r="L113" s="101">
        <f>K113/$K$118*($L$118-$L$116)</f>
        <v>7866.5635989003522</v>
      </c>
      <c r="M113" s="2">
        <f t="shared" si="56"/>
        <v>0.10069029849575271</v>
      </c>
      <c r="N113" s="38"/>
      <c r="Y113" t="s">
        <v>960</v>
      </c>
      <c r="Z113" s="40">
        <f>(1/(2*Z84+2*Z73-Z78))*2*Z73</f>
        <v>0.26078724291272931</v>
      </c>
    </row>
    <row r="114" spans="1:29">
      <c r="A114" t="s">
        <v>23</v>
      </c>
      <c r="B114" s="157">
        <f t="shared" si="54"/>
        <v>0</v>
      </c>
      <c r="C114" s="157">
        <f t="shared" si="54"/>
        <v>0</v>
      </c>
      <c r="D114" s="157">
        <f t="shared" si="54"/>
        <v>0</v>
      </c>
      <c r="E114" s="157">
        <f t="shared" si="54"/>
        <v>2.3333965802844895E-4</v>
      </c>
      <c r="F114" s="157">
        <f t="shared" si="54"/>
        <v>0</v>
      </c>
      <c r="G114" s="157">
        <f t="shared" si="54"/>
        <v>0</v>
      </c>
      <c r="H114" s="265"/>
      <c r="I114" s="157">
        <f t="shared" si="55"/>
        <v>1.0182346652764156E-3</v>
      </c>
      <c r="J114" s="157">
        <f t="shared" si="55"/>
        <v>5.0000000000000001E-4</v>
      </c>
      <c r="K114" s="38">
        <f>SUM(B114:J114)</f>
        <v>1.7515743233048645E-3</v>
      </c>
      <c r="L114" s="101">
        <f>K114/$K$118*($L$118-$L$116)</f>
        <v>4393.1151113949882</v>
      </c>
      <c r="M114" s="2">
        <f t="shared" si="56"/>
        <v>5.6230915358568702E-2</v>
      </c>
      <c r="N114" s="38"/>
      <c r="Y114" t="s">
        <v>961</v>
      </c>
      <c r="Z114" s="415">
        <f>Z112*Z113</f>
        <v>0.27827959977765426</v>
      </c>
    </row>
    <row r="115" spans="1:29">
      <c r="A115" t="s">
        <v>339</v>
      </c>
      <c r="B115" s="38">
        <f t="shared" si="54"/>
        <v>0</v>
      </c>
      <c r="C115" s="38">
        <f t="shared" si="54"/>
        <v>0</v>
      </c>
      <c r="D115" s="38">
        <f t="shared" si="54"/>
        <v>0</v>
      </c>
      <c r="E115" s="38">
        <f t="shared" si="54"/>
        <v>7.0001897408534673E-4</v>
      </c>
      <c r="F115" s="38">
        <f t="shared" si="54"/>
        <v>0</v>
      </c>
      <c r="G115" s="38">
        <f t="shared" si="54"/>
        <v>0</v>
      </c>
      <c r="H115" s="265"/>
      <c r="I115" s="38">
        <f t="shared" si="55"/>
        <v>2.5455866631910388E-3</v>
      </c>
      <c r="J115" s="38">
        <f t="shared" si="55"/>
        <v>1E-4</v>
      </c>
      <c r="K115" s="38">
        <f>SUM(B115:J115)</f>
        <v>3.3456056372763855E-3</v>
      </c>
      <c r="L115" s="101">
        <f>K115/$K$118*($L$118-$L$116)</f>
        <v>8391.0973610047604</v>
      </c>
      <c r="M115" s="2">
        <f t="shared" si="56"/>
        <v>0.10740421625836713</v>
      </c>
      <c r="N115" s="38"/>
      <c r="Z115" s="40"/>
    </row>
    <row r="116" spans="1:29">
      <c r="A116" t="s">
        <v>365</v>
      </c>
      <c r="B116" s="38">
        <v>0</v>
      </c>
      <c r="C116" s="38">
        <v>0</v>
      </c>
      <c r="D116" s="38">
        <v>0</v>
      </c>
      <c r="E116" s="38">
        <v>0</v>
      </c>
      <c r="F116" s="38">
        <v>0</v>
      </c>
      <c r="G116" s="38">
        <v>0</v>
      </c>
      <c r="H116" s="265"/>
      <c r="I116" s="38">
        <v>0</v>
      </c>
      <c r="J116" s="38">
        <v>0</v>
      </c>
      <c r="K116" s="38"/>
      <c r="L116" s="79">
        <f>M22*H110*0.5</f>
        <v>2047.0756011223905</v>
      </c>
      <c r="M116" s="2">
        <f t="shared" si="56"/>
        <v>2.6202121260317405E-2</v>
      </c>
      <c r="N116" t="s">
        <v>1325</v>
      </c>
      <c r="Y116" t="s">
        <v>962</v>
      </c>
      <c r="Z116" s="427">
        <v>9.0391425397894682</v>
      </c>
      <c r="AC116" t="s">
        <v>951</v>
      </c>
    </row>
    <row r="117" spans="1:29">
      <c r="A117" t="s">
        <v>27</v>
      </c>
      <c r="B117" s="157">
        <f t="shared" ref="B117:G117" si="57">B23*B$110</f>
        <v>0</v>
      </c>
      <c r="C117" s="157">
        <f t="shared" si="57"/>
        <v>0</v>
      </c>
      <c r="D117" s="157">
        <f t="shared" si="57"/>
        <v>0</v>
      </c>
      <c r="E117" s="157">
        <f t="shared" si="57"/>
        <v>2.7222960103319042E-4</v>
      </c>
      <c r="F117" s="157">
        <f t="shared" si="57"/>
        <v>0</v>
      </c>
      <c r="G117" s="157">
        <f t="shared" si="57"/>
        <v>0</v>
      </c>
      <c r="H117" s="265"/>
      <c r="I117" s="157">
        <f>H23*I$110</f>
        <v>7.1276426569349093E-3</v>
      </c>
      <c r="J117" s="157">
        <f>I23*J$110</f>
        <v>8.0000000000000004E-4</v>
      </c>
      <c r="K117" s="38">
        <f>SUM(B117:J117)</f>
        <v>8.1998722579681004E-3</v>
      </c>
      <c r="L117" s="101">
        <f>K117/$K$118*($L$118-$L$116)</f>
        <v>20566.060057343246</v>
      </c>
      <c r="M117" s="2">
        <f t="shared" si="56"/>
        <v>0.26324108360923204</v>
      </c>
      <c r="N117" s="38"/>
      <c r="Y117" t="s">
        <v>963</v>
      </c>
      <c r="Z117" s="40">
        <f>1/(((Z85+Z73)+(Z85+2*Z73))/2)*1.5*Z73</f>
        <v>0.42855511679908653</v>
      </c>
      <c r="AC117" t="s">
        <v>952</v>
      </c>
    </row>
    <row r="118" spans="1:29" ht="15.5" thickBot="1">
      <c r="A118" s="187" t="s">
        <v>78</v>
      </c>
      <c r="B118" s="189">
        <f t="shared" ref="B118:G118" si="58">SUM(B111:B117)</f>
        <v>0</v>
      </c>
      <c r="C118" s="189">
        <f t="shared" si="58"/>
        <v>0</v>
      </c>
      <c r="D118" s="189">
        <f t="shared" si="58"/>
        <v>0</v>
      </c>
      <c r="E118" s="189">
        <f t="shared" si="58"/>
        <v>2.955635668360353E-3</v>
      </c>
      <c r="F118" s="189">
        <f t="shared" si="58"/>
        <v>0</v>
      </c>
      <c r="G118" s="189">
        <f t="shared" si="58"/>
        <v>5.2313859417542196E-3</v>
      </c>
      <c r="H118" s="38">
        <f>K116</f>
        <v>0</v>
      </c>
      <c r="I118" s="189">
        <f>SUM(I111:I117)</f>
        <v>1.9346458640251897E-2</v>
      </c>
      <c r="J118" s="189">
        <f>SUM(J111:J117)</f>
        <v>2.8E-3</v>
      </c>
      <c r="K118" s="189">
        <f>SUM(K111:K117)</f>
        <v>3.0333480250366467E-2</v>
      </c>
      <c r="L118" s="203">
        <f>'Demand - BTX'!M5+'Demand - BTX'!M6+'Demand - BTX'!M7</f>
        <v>78126.33110062909</v>
      </c>
      <c r="Y118" t="s">
        <v>964</v>
      </c>
      <c r="Z118" s="40">
        <f>(1/((((Z85+Z73)+(Z85+2*Z73))/2)-Z78))*(((Z85+Z73)+(Z85+2*Z73))/2)</f>
        <v>1.2066708766289684</v>
      </c>
    </row>
    <row r="119" spans="1:29" ht="15.5" thickTop="1">
      <c r="L119" s="101">
        <f>SUM(L111:L117)</f>
        <v>78126.33110062909</v>
      </c>
      <c r="M119" s="23"/>
      <c r="N119" s="22"/>
      <c r="Y119" t="s">
        <v>965</v>
      </c>
      <c r="Z119" s="415">
        <f>Z117*Z118</f>
        <v>0.51712497847178374</v>
      </c>
    </row>
    <row r="120" spans="1:29">
      <c r="N120" s="22"/>
    </row>
    <row r="121" spans="1:29">
      <c r="B121" s="8"/>
      <c r="C121" s="152"/>
      <c r="D121" s="273"/>
      <c r="E121" s="152"/>
      <c r="M121" s="3"/>
      <c r="N121" s="421"/>
      <c r="Y121" t="s">
        <v>966</v>
      </c>
      <c r="Z121" s="427">
        <v>4.9953156140941797</v>
      </c>
      <c r="AC121" t="s">
        <v>955</v>
      </c>
    </row>
    <row r="122" spans="1:29" ht="15.5" thickBot="1">
      <c r="Y122" t="s">
        <v>967</v>
      </c>
      <c r="Z122" s="415">
        <f>Z119</f>
        <v>0.51712497847178374</v>
      </c>
      <c r="AA122" t="s">
        <v>968</v>
      </c>
    </row>
    <row r="123" spans="1:29" ht="15.5" thickBot="1">
      <c r="B123" s="187" t="s">
        <v>293</v>
      </c>
      <c r="C123" s="187" t="s">
        <v>9</v>
      </c>
      <c r="D123" s="187" t="s">
        <v>140</v>
      </c>
      <c r="E123" s="187" t="s">
        <v>74</v>
      </c>
      <c r="F123" s="187" t="s">
        <v>34</v>
      </c>
      <c r="G123" s="187" t="s">
        <v>35</v>
      </c>
      <c r="H123" s="1" t="s">
        <v>77</v>
      </c>
      <c r="I123" s="142" t="s">
        <v>160</v>
      </c>
      <c r="J123" s="140" t="s">
        <v>24</v>
      </c>
      <c r="K123" s="140" t="s">
        <v>78</v>
      </c>
      <c r="L123" s="417" t="s">
        <v>1326</v>
      </c>
      <c r="Z123" s="40"/>
    </row>
    <row r="124" spans="1:29" ht="15.5" thickTop="1">
      <c r="A124" s="55" t="s">
        <v>1319</v>
      </c>
      <c r="B124" s="52">
        <v>0</v>
      </c>
      <c r="C124" s="52">
        <v>0</v>
      </c>
      <c r="D124" s="52">
        <v>0</v>
      </c>
      <c r="E124" s="52">
        <v>0</v>
      </c>
      <c r="F124" s="52">
        <v>0</v>
      </c>
      <c r="G124" s="418">
        <f>'Demand - BTX'!R18-G110</f>
        <v>0.50028743291992528</v>
      </c>
      <c r="H124" s="418">
        <f>'Demand - BTX'!R18-H110</f>
        <v>0.50028743291992528</v>
      </c>
      <c r="I124" s="501">
        <v>0</v>
      </c>
      <c r="J124" s="540">
        <v>0.05</v>
      </c>
      <c r="N124" s="1"/>
      <c r="Y124" t="s">
        <v>969</v>
      </c>
      <c r="Z124" s="427">
        <v>1.9029773767977829</v>
      </c>
    </row>
    <row r="125" spans="1:29">
      <c r="A125" t="s">
        <v>17</v>
      </c>
      <c r="B125" s="422">
        <f t="shared" ref="B125:G129" si="59">B18*B$124</f>
        <v>0</v>
      </c>
      <c r="C125" s="422">
        <f t="shared" si="59"/>
        <v>0</v>
      </c>
      <c r="D125" s="422">
        <f t="shared" si="59"/>
        <v>0</v>
      </c>
      <c r="E125" s="422">
        <f t="shared" si="59"/>
        <v>0</v>
      </c>
      <c r="F125" s="422">
        <f t="shared" si="59"/>
        <v>0</v>
      </c>
      <c r="G125" s="545">
        <f t="shared" si="59"/>
        <v>5.0529030724912459E-2</v>
      </c>
      <c r="H125" s="546"/>
      <c r="I125" s="545">
        <f t="shared" ref="I125:J129" si="60">H18*I$124</f>
        <v>0</v>
      </c>
      <c r="J125" s="545">
        <f t="shared" si="60"/>
        <v>5.0000000000000002E-5</v>
      </c>
      <c r="K125" s="38">
        <f>SUM(B125:J125)</f>
        <v>5.057903072491246E-2</v>
      </c>
      <c r="L125" s="101">
        <f>K125/$K$132*($L$132-$L$130)</f>
        <v>2526387.2600925858</v>
      </c>
      <c r="N125" s="38"/>
      <c r="Y125" t="s">
        <v>943</v>
      </c>
      <c r="Z125" s="40">
        <f>(1/(Z73))*(Z74)</f>
        <v>1.0670752014920402</v>
      </c>
    </row>
    <row r="126" spans="1:29">
      <c r="A126" t="s">
        <v>19</v>
      </c>
      <c r="B126" s="158">
        <f t="shared" si="59"/>
        <v>0</v>
      </c>
      <c r="C126" s="158">
        <f t="shared" si="59"/>
        <v>0</v>
      </c>
      <c r="D126" s="158">
        <f t="shared" si="59"/>
        <v>0</v>
      </c>
      <c r="E126" s="158">
        <f t="shared" si="59"/>
        <v>0</v>
      </c>
      <c r="F126" s="158">
        <f t="shared" si="59"/>
        <v>0</v>
      </c>
      <c r="G126" s="272">
        <f t="shared" si="59"/>
        <v>0</v>
      </c>
      <c r="H126" s="395"/>
      <c r="I126" s="272">
        <f t="shared" si="60"/>
        <v>0</v>
      </c>
      <c r="J126" s="272">
        <f t="shared" si="60"/>
        <v>2.5000000000000001E-4</v>
      </c>
      <c r="K126" s="38">
        <f>SUM(B126:J126)</f>
        <v>2.5000000000000001E-4</v>
      </c>
      <c r="L126" s="101">
        <f t="shared" ref="L126:L129" si="61">K126/$K$132*($L$132-$L$130)</f>
        <v>12487.325398904024</v>
      </c>
      <c r="N126" s="38"/>
      <c r="Y126" t="s">
        <v>970</v>
      </c>
      <c r="Z126">
        <v>1</v>
      </c>
    </row>
    <row r="127" spans="1:29">
      <c r="A127" t="s">
        <v>333</v>
      </c>
      <c r="B127" s="158">
        <f t="shared" si="59"/>
        <v>0</v>
      </c>
      <c r="C127" s="158">
        <f t="shared" si="59"/>
        <v>0</v>
      </c>
      <c r="D127" s="158">
        <f t="shared" si="59"/>
        <v>0</v>
      </c>
      <c r="E127" s="158">
        <f t="shared" si="59"/>
        <v>0</v>
      </c>
      <c r="F127" s="158">
        <f t="shared" si="59"/>
        <v>0</v>
      </c>
      <c r="G127" s="272">
        <f t="shared" si="59"/>
        <v>0</v>
      </c>
      <c r="H127" s="71"/>
      <c r="I127" s="272">
        <f t="shared" si="60"/>
        <v>0</v>
      </c>
      <c r="J127" s="272">
        <f t="shared" si="60"/>
        <v>1.1000000000000001E-3</v>
      </c>
      <c r="K127" s="38">
        <f>SUM(B127:J127)</f>
        <v>1.1000000000000001E-3</v>
      </c>
      <c r="L127" s="101">
        <f t="shared" si="61"/>
        <v>54944.231755177709</v>
      </c>
      <c r="N127" s="38"/>
      <c r="Y127" t="s">
        <v>965</v>
      </c>
      <c r="Z127" s="415">
        <f>Z125*Z126</f>
        <v>1.0670752014920402</v>
      </c>
    </row>
    <row r="128" spans="1:29">
      <c r="A128" t="s">
        <v>23</v>
      </c>
      <c r="B128" s="158">
        <f t="shared" si="59"/>
        <v>0</v>
      </c>
      <c r="C128" s="158">
        <f t="shared" si="59"/>
        <v>0</v>
      </c>
      <c r="D128" s="158">
        <f t="shared" si="59"/>
        <v>0</v>
      </c>
      <c r="E128" s="158">
        <f t="shared" si="59"/>
        <v>0</v>
      </c>
      <c r="F128" s="158">
        <f t="shared" si="59"/>
        <v>0</v>
      </c>
      <c r="G128" s="272">
        <f t="shared" si="59"/>
        <v>0</v>
      </c>
      <c r="H128" s="71"/>
      <c r="I128" s="272">
        <f t="shared" si="60"/>
        <v>0</v>
      </c>
      <c r="J128" s="272">
        <f t="shared" si="60"/>
        <v>5.0000000000000001E-4</v>
      </c>
      <c r="K128" s="38">
        <f>SUM(B128:J128)</f>
        <v>5.0000000000000001E-4</v>
      </c>
      <c r="L128" s="101">
        <f t="shared" si="61"/>
        <v>24974.650797808048</v>
      </c>
      <c r="N128" s="38"/>
      <c r="Z128" s="40"/>
    </row>
    <row r="129" spans="1:29">
      <c r="A129" t="s">
        <v>339</v>
      </c>
      <c r="B129" s="6">
        <f t="shared" si="59"/>
        <v>0</v>
      </c>
      <c r="C129" s="6">
        <f t="shared" si="59"/>
        <v>0</v>
      </c>
      <c r="D129" s="6">
        <f t="shared" si="59"/>
        <v>0</v>
      </c>
      <c r="E129" s="6">
        <f t="shared" si="59"/>
        <v>0</v>
      </c>
      <c r="F129" s="6">
        <f t="shared" si="59"/>
        <v>0</v>
      </c>
      <c r="G129" s="359">
        <f t="shared" si="59"/>
        <v>0</v>
      </c>
      <c r="H129" s="71"/>
      <c r="I129" s="359">
        <f t="shared" si="60"/>
        <v>0</v>
      </c>
      <c r="J129" s="359">
        <f t="shared" si="60"/>
        <v>1E-4</v>
      </c>
      <c r="K129" s="38">
        <f>SUM(B129:J129)</f>
        <v>1E-4</v>
      </c>
      <c r="L129" s="101">
        <f t="shared" si="61"/>
        <v>4994.9301595616098</v>
      </c>
      <c r="N129" s="38"/>
      <c r="Y129" s="425" t="s">
        <v>971</v>
      </c>
      <c r="Z129" s="428">
        <f>(Z100*Z104+Z106*Z109+Z111*Z114+Z116*Z119+Z121*Z122+Z124*Z127)/SUM(Z100,Z106,Z111,Z116,Z121,Z124)</f>
        <v>0.5009063728840607</v>
      </c>
    </row>
    <row r="130" spans="1:29">
      <c r="A130" t="s">
        <v>365</v>
      </c>
      <c r="B130" s="6">
        <v>0</v>
      </c>
      <c r="C130" s="6">
        <v>0</v>
      </c>
      <c r="D130" s="6">
        <v>0</v>
      </c>
      <c r="E130" s="6">
        <v>0</v>
      </c>
      <c r="F130" s="6">
        <v>0</v>
      </c>
      <c r="G130" s="359">
        <v>0</v>
      </c>
      <c r="H130" s="359"/>
      <c r="I130" s="359">
        <v>0</v>
      </c>
      <c r="J130" s="359">
        <v>0</v>
      </c>
      <c r="K130" s="38"/>
      <c r="L130" s="79">
        <f>M22*H124*0.5</f>
        <v>19772.34084752823</v>
      </c>
      <c r="M130" t="s">
        <v>922</v>
      </c>
      <c r="AC130" t="s">
        <v>951</v>
      </c>
    </row>
    <row r="131" spans="1:29">
      <c r="A131" t="s">
        <v>27</v>
      </c>
      <c r="B131" s="158">
        <f t="shared" ref="B131:G131" si="62">B23*B$124</f>
        <v>0</v>
      </c>
      <c r="C131" s="158">
        <f t="shared" si="62"/>
        <v>0</v>
      </c>
      <c r="D131" s="158">
        <f t="shared" si="62"/>
        <v>0</v>
      </c>
      <c r="E131" s="158">
        <f t="shared" si="62"/>
        <v>0</v>
      </c>
      <c r="F131" s="158">
        <f t="shared" si="62"/>
        <v>0</v>
      </c>
      <c r="G131" s="272">
        <f t="shared" si="62"/>
        <v>0</v>
      </c>
      <c r="H131" s="71"/>
      <c r="I131" s="272">
        <f>H23*I$124</f>
        <v>0</v>
      </c>
      <c r="J131" s="272">
        <f>I23*J$124</f>
        <v>8.0000000000000004E-4</v>
      </c>
      <c r="K131" s="38">
        <f>SUM(B131:J131)</f>
        <v>8.0000000000000004E-4</v>
      </c>
      <c r="L131" s="101">
        <f>K131/$K$132*($L$132-$L$130)</f>
        <v>39959.441276492878</v>
      </c>
      <c r="N131" s="38"/>
      <c r="Y131" s="259" t="s">
        <v>35</v>
      </c>
      <c r="AC131" t="s">
        <v>952</v>
      </c>
    </row>
    <row r="132" spans="1:29" ht="15.5" thickBot="1">
      <c r="A132" s="187" t="s">
        <v>78</v>
      </c>
      <c r="B132" s="189">
        <f t="shared" ref="B132:G132" si="63">SUM(B125:B131)</f>
        <v>0</v>
      </c>
      <c r="C132" s="189">
        <f t="shared" si="63"/>
        <v>0</v>
      </c>
      <c r="D132" s="189">
        <f t="shared" si="63"/>
        <v>0</v>
      </c>
      <c r="E132" s="189">
        <f t="shared" si="63"/>
        <v>0</v>
      </c>
      <c r="F132" s="189">
        <f t="shared" si="63"/>
        <v>0</v>
      </c>
      <c r="G132" s="189">
        <f t="shared" si="63"/>
        <v>5.0529030724912459E-2</v>
      </c>
      <c r="I132" s="189">
        <f>SUM(I125:I131)</f>
        <v>0</v>
      </c>
      <c r="J132" s="189">
        <f>SUM(J125:J131)</f>
        <v>2.8E-3</v>
      </c>
      <c r="K132" s="189">
        <f>SUM(K125:K131)</f>
        <v>5.3329030724912463E-2</v>
      </c>
      <c r="L132" s="203">
        <f>'Yearly Demand - BTX'!N18</f>
        <v>2683520.1803280581</v>
      </c>
      <c r="Y132" t="s">
        <v>972</v>
      </c>
      <c r="Z132" s="424">
        <v>1.7838235854385778</v>
      </c>
    </row>
    <row r="133" spans="1:29" ht="15.5" thickTop="1">
      <c r="L133" s="101">
        <f>SUM(L125:L131)</f>
        <v>2683520.1803280581</v>
      </c>
      <c r="N133" s="22"/>
    </row>
    <row r="134" spans="1:29">
      <c r="N134" s="22"/>
      <c r="Y134" t="s">
        <v>973</v>
      </c>
    </row>
    <row r="135" spans="1:29">
      <c r="B135" s="8"/>
      <c r="C135" s="152"/>
      <c r="D135" s="273"/>
      <c r="E135" s="152"/>
      <c r="M135" s="3"/>
      <c r="N135" s="421"/>
      <c r="Y135" t="s">
        <v>974</v>
      </c>
      <c r="Z135" s="414">
        <f>(1/Z79)*Z74</f>
        <v>0.53353760074602008</v>
      </c>
      <c r="AC135" t="s">
        <v>955</v>
      </c>
    </row>
    <row r="136" spans="1:29">
      <c r="Y136" t="s">
        <v>975</v>
      </c>
      <c r="Z136">
        <v>0.05</v>
      </c>
      <c r="AB136" t="s">
        <v>976</v>
      </c>
      <c r="AC136" t="s">
        <v>977</v>
      </c>
    </row>
    <row r="137" spans="1:29">
      <c r="Y137" t="s">
        <v>978</v>
      </c>
      <c r="Z137" s="40">
        <f>1/(Z80+Z77-Z78)*Z80</f>
        <v>0.7903445257419055</v>
      </c>
    </row>
    <row r="138" spans="1:29">
      <c r="Y138" s="425" t="s">
        <v>979</v>
      </c>
      <c r="Z138" s="426">
        <f>Z135*Z136*Z137</f>
        <v>2.1083926101354369E-2</v>
      </c>
    </row>
    <row r="140" spans="1:29">
      <c r="Y140" t="s">
        <v>980</v>
      </c>
    </row>
    <row r="141" spans="1:29">
      <c r="Y141" t="s">
        <v>981</v>
      </c>
      <c r="Z141" s="40">
        <f>(1/Z81)*2*Z74</f>
        <v>0.32998609609145679</v>
      </c>
      <c r="AB141" t="s">
        <v>982</v>
      </c>
    </row>
    <row r="142" spans="1:29">
      <c r="Y142" t="s">
        <v>983</v>
      </c>
      <c r="Z142" s="40">
        <f>1/(Z81+Z77-Z74)*Z81</f>
        <v>0.86606903933636603</v>
      </c>
    </row>
    <row r="143" spans="1:29">
      <c r="Y143" s="425" t="s">
        <v>979</v>
      </c>
      <c r="Z143" s="40">
        <f>Z141*Z142</f>
        <v>0.28579074123628573</v>
      </c>
    </row>
    <row r="145" spans="25:26">
      <c r="Y145" s="425" t="s">
        <v>984</v>
      </c>
      <c r="Z145" s="428">
        <v>0.14994870642753136</v>
      </c>
    </row>
    <row r="147" spans="25:26">
      <c r="Y147" s="64" t="s">
        <v>1190</v>
      </c>
      <c r="Z147" s="489">
        <f>Z132/(G13*L14)</f>
        <v>1.6717337505350475E-6</v>
      </c>
    </row>
    <row r="148" spans="25:26">
      <c r="Z148" s="2">
        <f>Z132/Z145/(G13*L14)</f>
        <v>1.114870404929421E-5</v>
      </c>
    </row>
  </sheetData>
  <hyperlinks>
    <hyperlink ref="A3" r:id="rId1" xr:uid="{2BE56415-4B42-4F40-B9F6-22F9089C1142}"/>
  </hyperlinks>
  <pageMargins left="0.7" right="0.7" top="0.75" bottom="0.75" header="0.3" footer="0.3"/>
  <pageSetup paperSize="9" orientation="portrait" r:id="rId2"/>
  <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DCB81-6641-4927-B20B-B69DEB37C8E8}">
  <sheetPr>
    <tabColor rgb="FFFF0000"/>
  </sheetPr>
  <dimension ref="A1:AM32"/>
  <sheetViews>
    <sheetView topLeftCell="H1" zoomScale="70" zoomScaleNormal="70" workbookViewId="0">
      <selection activeCell="M23" sqref="M23"/>
    </sheetView>
  </sheetViews>
  <sheetFormatPr defaultRowHeight="14.75"/>
  <cols>
    <col min="1" max="1" width="25.08984375" customWidth="1"/>
    <col min="2" max="2" width="12.81640625" bestFit="1" customWidth="1"/>
    <col min="3" max="3" width="14.08984375" bestFit="1" customWidth="1"/>
    <col min="4" max="8" width="14.08984375" customWidth="1"/>
    <col min="9" max="9" width="11.36328125" customWidth="1"/>
    <col min="10" max="13" width="14.08984375" customWidth="1"/>
    <col min="14" max="15" width="11.36328125" customWidth="1"/>
    <col min="19" max="19" width="17.36328125" customWidth="1"/>
    <col min="20" max="20" width="15.7265625" customWidth="1"/>
    <col min="21" max="21" width="17.81640625" customWidth="1"/>
    <col min="22" max="22" width="19.36328125" customWidth="1"/>
    <col min="25" max="25" width="13.54296875" customWidth="1"/>
    <col min="26" max="26" width="17.81640625" customWidth="1"/>
  </cols>
  <sheetData>
    <row r="1" spans="1:27">
      <c r="A1" s="43" t="s">
        <v>124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1"/>
    </row>
    <row r="2" spans="1:27" ht="15.5" thickBot="1">
      <c r="A2" s="42"/>
      <c r="B2" s="42" t="s">
        <v>143</v>
      </c>
      <c r="C2" s="42" t="s">
        <v>144</v>
      </c>
      <c r="D2" s="42" t="s">
        <v>877</v>
      </c>
      <c r="E2" s="42" t="s">
        <v>1335</v>
      </c>
      <c r="F2" s="42" t="s">
        <v>1336</v>
      </c>
      <c r="G2" s="42" t="s">
        <v>1337</v>
      </c>
      <c r="H2" s="42" t="s">
        <v>1459</v>
      </c>
      <c r="I2" s="42" t="s">
        <v>4</v>
      </c>
      <c r="J2" s="42" t="s">
        <v>3</v>
      </c>
      <c r="K2" s="42" t="s">
        <v>796</v>
      </c>
      <c r="L2" s="42" t="s">
        <v>88</v>
      </c>
      <c r="M2" s="42" t="s">
        <v>797</v>
      </c>
      <c r="N2" s="42" t="s">
        <v>798</v>
      </c>
      <c r="O2" s="42" t="s">
        <v>1447</v>
      </c>
      <c r="P2" t="s">
        <v>60</v>
      </c>
      <c r="S2" s="42" t="s">
        <v>689</v>
      </c>
      <c r="T2" s="42" t="s">
        <v>688</v>
      </c>
      <c r="U2" s="42" t="s">
        <v>690</v>
      </c>
      <c r="V2" s="42" t="s">
        <v>691</v>
      </c>
      <c r="Y2" s="42" t="s">
        <v>688</v>
      </c>
      <c r="Z2" s="42" t="s">
        <v>1185</v>
      </c>
    </row>
    <row r="3" spans="1:27">
      <c r="B3" t="s">
        <v>126</v>
      </c>
      <c r="C3" t="s">
        <v>126</v>
      </c>
      <c r="I3" t="s">
        <v>127</v>
      </c>
      <c r="J3" t="s">
        <v>127</v>
      </c>
      <c r="K3" t="s">
        <v>127</v>
      </c>
      <c r="L3" t="s">
        <v>127</v>
      </c>
      <c r="M3" t="s">
        <v>127</v>
      </c>
      <c r="N3" t="s">
        <v>127</v>
      </c>
      <c r="O3" t="s">
        <v>127</v>
      </c>
      <c r="S3" t="s">
        <v>126</v>
      </c>
      <c r="T3" t="s">
        <v>126</v>
      </c>
      <c r="U3" t="s">
        <v>126</v>
      </c>
      <c r="V3" t="s">
        <v>126</v>
      </c>
      <c r="Y3" t="s">
        <v>126</v>
      </c>
      <c r="Z3" t="s">
        <v>126</v>
      </c>
    </row>
    <row r="4" spans="1:27">
      <c r="A4" t="s">
        <v>128</v>
      </c>
      <c r="I4" s="101">
        <f>'Demand - Propylene'!K50+'Demand - Propylene'!K54</f>
        <v>435529.06307600881</v>
      </c>
      <c r="J4" s="101">
        <f>'Demand - Ethylene'!K63+'Demand - Ethylene'!K67</f>
        <v>360575.67443292518</v>
      </c>
      <c r="K4" s="101">
        <f>'Production - Industry shares'!L82+'Production - Industry shares'!L86</f>
        <v>1.971668941623115</v>
      </c>
      <c r="L4" s="101">
        <f>'Demand - BTX'!K70</f>
        <v>312187.37987787981</v>
      </c>
      <c r="M4" s="101">
        <f>'Demand - BTX'!K80</f>
        <v>16766.545936057693</v>
      </c>
      <c r="N4" s="101">
        <f>'Demand - BTX'!K90</f>
        <v>2526387.2600925858</v>
      </c>
      <c r="O4" s="101">
        <f>'Demand - C4'!I26</f>
        <v>302.82249017857168</v>
      </c>
      <c r="P4" s="7"/>
    </row>
    <row r="5" spans="1:27">
      <c r="A5" t="s">
        <v>129</v>
      </c>
      <c r="B5" s="603">
        <f>C5</f>
        <v>0</v>
      </c>
      <c r="C5" s="603">
        <f>'Demand - Ethylene'!L63</f>
        <v>0</v>
      </c>
      <c r="D5" s="605">
        <f>'Demand - Methanol'!N37</f>
        <v>1.4E-2</v>
      </c>
      <c r="E5" s="603">
        <f>'Yearly Demand - BTX'!AT3</f>
        <v>0</v>
      </c>
      <c r="F5" s="603">
        <f>'Yearly Demand - BTX'!AT3</f>
        <v>0</v>
      </c>
      <c r="G5" s="603">
        <f>'Yearly Demand - BTX'!AT3</f>
        <v>0</v>
      </c>
      <c r="H5" s="603">
        <f>'Demand - C4'!K26</f>
        <v>0</v>
      </c>
      <c r="I5" s="101">
        <f>I4*(1+C5)^30-I4</f>
        <v>0</v>
      </c>
      <c r="J5" s="101">
        <f>J4*(1+C5)^30-J4</f>
        <v>0</v>
      </c>
      <c r="K5" s="101">
        <f>K4*(1+D5)^30-K4</f>
        <v>1.0204072283155468</v>
      </c>
      <c r="L5" s="101">
        <f>L4*(1+E5)^30-L4</f>
        <v>0</v>
      </c>
      <c r="M5" s="101">
        <f>M4*(1+E5)^30-M4</f>
        <v>0</v>
      </c>
      <c r="N5" s="101">
        <f>N4*(1+E5)^30-N4</f>
        <v>0</v>
      </c>
      <c r="O5" s="101">
        <f>'Demand - C4'!L26-'Demand - C4'!I26</f>
        <v>0</v>
      </c>
      <c r="P5" s="7" t="s">
        <v>145</v>
      </c>
      <c r="S5" s="44"/>
      <c r="T5" s="44"/>
      <c r="U5" s="44"/>
      <c r="V5" s="44"/>
      <c r="Y5" s="44"/>
      <c r="Z5" s="44"/>
    </row>
    <row r="6" spans="1:27">
      <c r="A6" t="s">
        <v>131</v>
      </c>
      <c r="D6" s="124"/>
      <c r="I6" s="101">
        <f>SUM(I4:I5)</f>
        <v>435529.06307600881</v>
      </c>
      <c r="J6" s="101">
        <f>SUM(J4:J5)</f>
        <v>360575.67443292518</v>
      </c>
      <c r="K6" s="101">
        <f>SUM(K4:K5)</f>
        <v>2.9920761699386618</v>
      </c>
      <c r="L6" s="101">
        <f t="shared" ref="L6:O6" si="0">SUM(L4:L5)</f>
        <v>312187.37987787981</v>
      </c>
      <c r="M6" s="101">
        <f t="shared" si="0"/>
        <v>16766.545936057693</v>
      </c>
      <c r="N6" s="101">
        <f t="shared" si="0"/>
        <v>2526387.2600925858</v>
      </c>
      <c r="O6" s="101">
        <f t="shared" si="0"/>
        <v>302.82249017857168</v>
      </c>
    </row>
    <row r="7" spans="1:27">
      <c r="A7" t="s">
        <v>146</v>
      </c>
      <c r="B7" s="54">
        <v>4.1000000000000002E-2</v>
      </c>
      <c r="C7" s="54">
        <v>0.126</v>
      </c>
      <c r="D7" s="54">
        <v>2.1999999999999999E-2</v>
      </c>
      <c r="E7" s="54">
        <v>0.13100000000000001</v>
      </c>
      <c r="F7" s="54">
        <v>0.112</v>
      </c>
      <c r="G7" s="54">
        <v>8.3000000000000004E-2</v>
      </c>
      <c r="H7" s="54">
        <f>C7</f>
        <v>0.126</v>
      </c>
      <c r="I7" s="604">
        <f>$I$6*B7</f>
        <v>17856.691586116362</v>
      </c>
      <c r="J7" s="604">
        <f>$J$6*C7</f>
        <v>45432.534978548574</v>
      </c>
      <c r="K7" s="604">
        <f>$K$6*D7</f>
        <v>6.5825675738650558E-2</v>
      </c>
      <c r="L7" s="604">
        <f>$L$6*E7</f>
        <v>40896.546764002254</v>
      </c>
      <c r="M7" s="604">
        <f>$M$6*F7</f>
        <v>1877.8531448384617</v>
      </c>
      <c r="N7" s="604">
        <f>$N$6*G7</f>
        <v>209690.14258768465</v>
      </c>
      <c r="O7" s="604">
        <f>$O$6*H7</f>
        <v>38.155633762500031</v>
      </c>
      <c r="P7" s="7" t="s">
        <v>145</v>
      </c>
      <c r="S7" s="54">
        <v>0.107</v>
      </c>
      <c r="T7" s="54">
        <v>4.0000000000000001E-3</v>
      </c>
      <c r="U7" s="54">
        <v>4.0000000000000001E-3</v>
      </c>
      <c r="V7" s="54">
        <v>1.0999999999999999E-2</v>
      </c>
      <c r="W7" s="38">
        <f>SUM(S7:V7)</f>
        <v>0.126</v>
      </c>
      <c r="Y7" s="54">
        <v>0.10199999999999999</v>
      </c>
      <c r="Z7" s="54">
        <v>3.5999999999999997E-2</v>
      </c>
      <c r="AA7" s="38">
        <f>SUM(Y7:Z7)</f>
        <v>0.13799999999999998</v>
      </c>
    </row>
    <row r="8" spans="1:27">
      <c r="A8" t="s">
        <v>147</v>
      </c>
      <c r="B8" s="54">
        <v>0.122</v>
      </c>
      <c r="C8" s="54">
        <v>0.29199999999999998</v>
      </c>
      <c r="D8" s="54">
        <v>3.6999999999999998E-2</v>
      </c>
      <c r="E8" s="54">
        <v>0.151</v>
      </c>
      <c r="F8" s="54">
        <v>0.27100000000000002</v>
      </c>
      <c r="G8" s="54">
        <v>0.38800000000000001</v>
      </c>
      <c r="H8" s="54">
        <f t="shared" ref="H8:H10" si="1">C8</f>
        <v>0.29199999999999998</v>
      </c>
      <c r="I8" s="604">
        <f>$I$6*B8</f>
        <v>53134.545695273075</v>
      </c>
      <c r="J8" s="604">
        <f>$J$6*C8</f>
        <v>105288.09693441415</v>
      </c>
      <c r="K8" s="604">
        <f>$K$6*D8</f>
        <v>0.11070681828773048</v>
      </c>
      <c r="L8" s="604">
        <f t="shared" ref="L8:L10" si="2">$L$6*E8</f>
        <v>47140.294361559849</v>
      </c>
      <c r="M8" s="604">
        <f t="shared" ref="M8:M10" si="3">$M$6*F8</f>
        <v>4543.7339486716355</v>
      </c>
      <c r="N8" s="604">
        <f t="shared" ref="N8:N10" si="4">$N$6*G8</f>
        <v>980238.25691592332</v>
      </c>
      <c r="O8" s="604">
        <f>$O$6*H8</f>
        <v>88.424167132142927</v>
      </c>
      <c r="P8" s="7" t="s">
        <v>145</v>
      </c>
      <c r="S8" s="54">
        <v>0.25600000000000001</v>
      </c>
      <c r="T8" s="54">
        <v>1.4E-2</v>
      </c>
      <c r="U8" s="54">
        <v>7.0000000000000001E-3</v>
      </c>
      <c r="V8" s="54">
        <v>1.6E-2</v>
      </c>
      <c r="W8" s="38">
        <f t="shared" ref="W8:W10" si="5">SUM(S8:V8)</f>
        <v>0.29300000000000004</v>
      </c>
      <c r="Y8" s="54">
        <v>0.20799999999999999</v>
      </c>
      <c r="Z8" s="54">
        <v>2.5000000000000001E-2</v>
      </c>
      <c r="AA8" s="38">
        <f>SUM(Y8:Z8)</f>
        <v>0.23299999999999998</v>
      </c>
    </row>
    <row r="9" spans="1:27">
      <c r="A9" t="s">
        <v>148</v>
      </c>
      <c r="B9" s="54">
        <v>3.2000000000000001E-2</v>
      </c>
      <c r="C9" s="54">
        <v>8.5999999999999993E-2</v>
      </c>
      <c r="D9" s="54">
        <v>1.7999999999999999E-2</v>
      </c>
      <c r="E9" s="54">
        <v>9.9000000000000005E-2</v>
      </c>
      <c r="F9" s="54">
        <v>9.2999999999999999E-2</v>
      </c>
      <c r="G9" s="54">
        <v>7.6999999999999999E-2</v>
      </c>
      <c r="H9" s="54">
        <f t="shared" si="1"/>
        <v>8.5999999999999993E-2</v>
      </c>
      <c r="I9" s="604">
        <f>$I$6*B9</f>
        <v>13936.930018432282</v>
      </c>
      <c r="J9" s="604">
        <f>$J$6*C9</f>
        <v>31009.508001231563</v>
      </c>
      <c r="K9" s="604">
        <f>$K$6*D9</f>
        <v>5.385737105889591E-2</v>
      </c>
      <c r="L9" s="604">
        <f t="shared" si="2"/>
        <v>30906.550607910103</v>
      </c>
      <c r="M9" s="604">
        <f t="shared" si="3"/>
        <v>1559.2887720533654</v>
      </c>
      <c r="N9" s="604">
        <f t="shared" si="4"/>
        <v>194531.8190271291</v>
      </c>
      <c r="O9" s="604">
        <f t="shared" ref="O9:O10" si="6">$O$6*H9</f>
        <v>26.042734155357163</v>
      </c>
      <c r="P9" s="7" t="s">
        <v>145</v>
      </c>
      <c r="S9" s="54">
        <v>6.9000000000000006E-2</v>
      </c>
      <c r="T9" s="54">
        <v>4.0000000000000001E-3</v>
      </c>
      <c r="U9" s="54">
        <v>4.0000000000000001E-3</v>
      </c>
      <c r="V9" s="54">
        <v>0.01</v>
      </c>
      <c r="W9" s="38">
        <f t="shared" si="5"/>
        <v>8.7000000000000008E-2</v>
      </c>
      <c r="Y9" s="54">
        <v>8.6999999999999994E-2</v>
      </c>
      <c r="Z9" s="54">
        <v>2.4E-2</v>
      </c>
      <c r="AA9" s="38">
        <f>SUM(Y9:Z9)</f>
        <v>0.11099999999999999</v>
      </c>
    </row>
    <row r="10" spans="1:27">
      <c r="A10" t="s">
        <v>149</v>
      </c>
      <c r="B10" s="54">
        <v>2.8000000000000001E-2</v>
      </c>
      <c r="C10" s="54">
        <v>0.121</v>
      </c>
      <c r="D10" s="54">
        <v>2.5000000000000001E-2</v>
      </c>
      <c r="E10" s="54">
        <v>4.2999999999999997E-2</v>
      </c>
      <c r="F10" s="54">
        <v>0.104</v>
      </c>
      <c r="G10" s="54">
        <v>0.123</v>
      </c>
      <c r="H10" s="54">
        <f t="shared" si="1"/>
        <v>0.121</v>
      </c>
      <c r="I10" s="604">
        <f>$I$6*B10</f>
        <v>12194.813766128247</v>
      </c>
      <c r="J10" s="604">
        <f>$J$6*C10</f>
        <v>43629.656606383949</v>
      </c>
      <c r="K10" s="604">
        <f>$K$6*D10</f>
        <v>7.4801904248466541E-2</v>
      </c>
      <c r="L10" s="604">
        <f t="shared" si="2"/>
        <v>13424.05733474883</v>
      </c>
      <c r="M10" s="604">
        <f t="shared" si="3"/>
        <v>1743.7207773499999</v>
      </c>
      <c r="N10" s="604">
        <f t="shared" si="4"/>
        <v>310745.63299138803</v>
      </c>
      <c r="O10" s="604">
        <f t="shared" si="6"/>
        <v>36.641521311607171</v>
      </c>
      <c r="P10" s="7" t="s">
        <v>145</v>
      </c>
      <c r="S10" s="54">
        <v>0.10199999999999999</v>
      </c>
      <c r="T10" s="54">
        <v>6.0000000000000001E-3</v>
      </c>
      <c r="U10" s="54">
        <v>5.0000000000000001E-3</v>
      </c>
      <c r="V10" s="54">
        <v>8.0000000000000002E-3</v>
      </c>
      <c r="W10" s="38">
        <f t="shared" si="5"/>
        <v>0.121</v>
      </c>
      <c r="Y10" s="54">
        <v>0.129</v>
      </c>
      <c r="Z10" s="54">
        <v>2.5999999999999999E-2</v>
      </c>
      <c r="AA10" s="38">
        <f>SUM(Y10:Z10)</f>
        <v>0.155</v>
      </c>
    </row>
    <row r="11" spans="1:27">
      <c r="A11" t="s">
        <v>138</v>
      </c>
      <c r="B11" s="45"/>
      <c r="I11" s="101">
        <f>I6-I7-I8-I9-I10</f>
        <v>338406.0820100588</v>
      </c>
      <c r="J11" s="101">
        <f>J6-J7-J8-J9-J10</f>
        <v>135215.87791234694</v>
      </c>
      <c r="K11" s="101">
        <f>K6-K7-K8-K9-K10</f>
        <v>2.6868844006049182</v>
      </c>
      <c r="L11" s="101">
        <f>L6-L7-L8-L9-L10</f>
        <v>179819.93080965881</v>
      </c>
      <c r="M11" s="101">
        <f>M6-M7-M8-M9-M10</f>
        <v>7041.949293144231</v>
      </c>
      <c r="N11" s="101">
        <f t="shared" ref="N11:O11" si="7">N6-N7-N8-N9-N10</f>
        <v>831181.40857046098</v>
      </c>
      <c r="O11" s="101">
        <f t="shared" si="7"/>
        <v>113.5584338169644</v>
      </c>
    </row>
    <row r="13" spans="1:27">
      <c r="B13" t="s">
        <v>183</v>
      </c>
      <c r="C13" t="s">
        <v>184</v>
      </c>
      <c r="D13" t="s">
        <v>185</v>
      </c>
      <c r="E13" t="s">
        <v>186</v>
      </c>
      <c r="F13" t="s">
        <v>1183</v>
      </c>
      <c r="G13" t="s">
        <v>1184</v>
      </c>
      <c r="H13" t="s">
        <v>1338</v>
      </c>
      <c r="I13" t="s">
        <v>1339</v>
      </c>
      <c r="J13" t="s">
        <v>1340</v>
      </c>
      <c r="K13" t="s">
        <v>1341</v>
      </c>
      <c r="L13" t="s">
        <v>1342</v>
      </c>
      <c r="M13" t="s">
        <v>1343</v>
      </c>
      <c r="Q13" t="s">
        <v>378</v>
      </c>
    </row>
    <row r="14" spans="1:27">
      <c r="A14" t="s">
        <v>168</v>
      </c>
      <c r="B14" s="53">
        <f>100%</f>
        <v>1</v>
      </c>
      <c r="C14" s="52">
        <v>1</v>
      </c>
      <c r="D14" s="53">
        <f>100%</f>
        <v>1</v>
      </c>
      <c r="E14" s="52">
        <v>1</v>
      </c>
      <c r="F14" s="53">
        <f>100%</f>
        <v>1</v>
      </c>
      <c r="G14" s="52">
        <v>1</v>
      </c>
      <c r="H14" s="53">
        <f>100%</f>
        <v>1</v>
      </c>
      <c r="I14" s="52">
        <v>1</v>
      </c>
      <c r="J14" s="53">
        <f>100%</f>
        <v>1</v>
      </c>
      <c r="K14" s="52">
        <v>1</v>
      </c>
      <c r="L14" s="53">
        <f>100%</f>
        <v>1</v>
      </c>
      <c r="M14" s="52">
        <v>1</v>
      </c>
      <c r="O14" s="52"/>
      <c r="Q14" t="s">
        <v>182</v>
      </c>
      <c r="W14" t="s">
        <v>187</v>
      </c>
    </row>
    <row r="15" spans="1:27">
      <c r="A15" t="s">
        <v>169</v>
      </c>
      <c r="B15" s="53">
        <v>0.74</v>
      </c>
      <c r="C15" s="52">
        <v>0.87</v>
      </c>
      <c r="D15" s="53">
        <v>0.77</v>
      </c>
      <c r="E15" s="52">
        <v>0.86</v>
      </c>
      <c r="F15" s="53">
        <v>0.72</v>
      </c>
      <c r="G15" s="52">
        <v>0.82</v>
      </c>
      <c r="H15" s="53">
        <v>0.73</v>
      </c>
      <c r="I15" s="52">
        <v>0.8</v>
      </c>
      <c r="J15" s="53">
        <v>0.73</v>
      </c>
      <c r="K15" s="52">
        <v>0.82</v>
      </c>
      <c r="L15" s="53">
        <v>0.73</v>
      </c>
      <c r="M15" s="52">
        <v>0.82</v>
      </c>
      <c r="O15" s="52"/>
      <c r="Q15" t="s">
        <v>181</v>
      </c>
      <c r="W15" t="s">
        <v>187</v>
      </c>
    </row>
    <row r="16" spans="1:27">
      <c r="B16" s="53"/>
    </row>
    <row r="17" spans="1:39">
      <c r="B17" s="687" t="s">
        <v>162</v>
      </c>
      <c r="C17" s="687"/>
      <c r="D17" s="687"/>
      <c r="E17" s="687"/>
      <c r="F17" s="687"/>
      <c r="G17" s="687"/>
      <c r="H17" s="687"/>
      <c r="I17" s="687"/>
      <c r="J17" s="687"/>
      <c r="K17" s="190"/>
      <c r="L17" s="190"/>
      <c r="M17" s="190"/>
      <c r="P17" s="687" t="s">
        <v>4</v>
      </c>
      <c r="Q17" s="687"/>
      <c r="R17" s="687"/>
      <c r="S17" s="687"/>
      <c r="U17" s="687" t="s">
        <v>796</v>
      </c>
      <c r="V17" s="687"/>
      <c r="W17" s="687"/>
      <c r="X17" s="687"/>
      <c r="Z17" s="687" t="s">
        <v>88</v>
      </c>
      <c r="AA17" s="687"/>
      <c r="AB17" s="687"/>
      <c r="AC17" s="687"/>
      <c r="AE17" s="687" t="s">
        <v>797</v>
      </c>
      <c r="AF17" s="687"/>
      <c r="AG17" s="687"/>
      <c r="AH17" s="687"/>
      <c r="AJ17" s="687" t="s">
        <v>1301</v>
      </c>
      <c r="AK17" s="687"/>
      <c r="AL17" s="687"/>
      <c r="AM17" s="687"/>
    </row>
    <row r="18" spans="1:39">
      <c r="B18" t="s">
        <v>178</v>
      </c>
      <c r="C18" t="s">
        <v>147</v>
      </c>
      <c r="D18" t="s">
        <v>179</v>
      </c>
      <c r="E18" t="s">
        <v>180</v>
      </c>
      <c r="P18" t="s">
        <v>178</v>
      </c>
      <c r="Q18" t="s">
        <v>147</v>
      </c>
      <c r="R18" t="s">
        <v>179</v>
      </c>
      <c r="S18" t="s">
        <v>180</v>
      </c>
      <c r="U18" t="s">
        <v>178</v>
      </c>
      <c r="V18" t="s">
        <v>147</v>
      </c>
      <c r="W18" t="s">
        <v>179</v>
      </c>
      <c r="X18" t="s">
        <v>180</v>
      </c>
      <c r="Z18" t="s">
        <v>178</v>
      </c>
      <c r="AA18" t="s">
        <v>147</v>
      </c>
      <c r="AB18" t="s">
        <v>179</v>
      </c>
      <c r="AC18" t="s">
        <v>180</v>
      </c>
      <c r="AE18" t="s">
        <v>178</v>
      </c>
      <c r="AF18" t="s">
        <v>147</v>
      </c>
      <c r="AG18" t="s">
        <v>179</v>
      </c>
      <c r="AH18" t="s">
        <v>180</v>
      </c>
      <c r="AJ18" t="s">
        <v>178</v>
      </c>
      <c r="AK18" t="s">
        <v>147</v>
      </c>
      <c r="AL18" t="s">
        <v>179</v>
      </c>
      <c r="AM18" t="s">
        <v>180</v>
      </c>
    </row>
    <row r="19" spans="1:39">
      <c r="A19" t="s">
        <v>170</v>
      </c>
      <c r="B19" s="52">
        <v>0.08</v>
      </c>
      <c r="C19" s="52">
        <v>0.2</v>
      </c>
      <c r="D19" s="52">
        <v>0.3</v>
      </c>
      <c r="E19" s="52">
        <v>0.32</v>
      </c>
      <c r="F19" s="52"/>
      <c r="G19" s="52"/>
      <c r="H19" s="52"/>
      <c r="K19" s="52"/>
      <c r="L19" s="52"/>
      <c r="M19" s="52"/>
      <c r="P19" s="52">
        <v>0.09</v>
      </c>
      <c r="Q19" s="52">
        <v>0.24</v>
      </c>
      <c r="R19" s="52">
        <v>0.28999999999999998</v>
      </c>
      <c r="S19" s="52">
        <v>0.28999999999999998</v>
      </c>
      <c r="U19" s="52">
        <v>0.06</v>
      </c>
      <c r="V19" s="52">
        <v>0.17</v>
      </c>
      <c r="W19" s="52">
        <v>0.25</v>
      </c>
      <c r="X19" s="52">
        <v>0.24</v>
      </c>
      <c r="Z19" s="52">
        <v>0.06</v>
      </c>
      <c r="AA19" s="52">
        <v>0.22</v>
      </c>
      <c r="AB19" s="52">
        <v>0.26</v>
      </c>
      <c r="AC19" s="52">
        <v>0.22</v>
      </c>
      <c r="AE19" s="52">
        <v>0.06</v>
      </c>
      <c r="AF19" s="52">
        <v>0.19</v>
      </c>
      <c r="AG19" s="52">
        <v>0.25</v>
      </c>
      <c r="AH19" s="52">
        <v>0.23</v>
      </c>
      <c r="AJ19" s="52">
        <v>0.06</v>
      </c>
      <c r="AK19" s="52">
        <v>0.19</v>
      </c>
      <c r="AL19" s="52">
        <v>0.23</v>
      </c>
      <c r="AM19" s="52">
        <v>0.22</v>
      </c>
    </row>
    <row r="20" spans="1:39">
      <c r="A20" t="s">
        <v>171</v>
      </c>
      <c r="B20" s="52">
        <v>0.54</v>
      </c>
      <c r="C20" s="52">
        <v>0.59</v>
      </c>
      <c r="D20" s="52">
        <v>0.68</v>
      </c>
      <c r="E20" s="52">
        <v>0.67</v>
      </c>
      <c r="F20" s="52"/>
      <c r="G20" s="52"/>
      <c r="H20" s="52"/>
      <c r="K20" s="52"/>
      <c r="L20" s="52"/>
      <c r="M20" s="52"/>
      <c r="P20" s="52">
        <v>0.55000000000000004</v>
      </c>
      <c r="Q20" s="52">
        <v>0.62</v>
      </c>
      <c r="R20" s="52">
        <v>0.7</v>
      </c>
      <c r="S20" s="52">
        <v>0.67</v>
      </c>
      <c r="U20" s="52">
        <v>0.53</v>
      </c>
      <c r="V20" s="52">
        <v>0.56999999999999995</v>
      </c>
      <c r="W20" s="52">
        <v>0.64</v>
      </c>
      <c r="X20" s="52">
        <v>0.63</v>
      </c>
      <c r="Z20" s="52">
        <v>0.55000000000000004</v>
      </c>
      <c r="AA20" s="52">
        <v>0.61</v>
      </c>
      <c r="AB20" s="52">
        <v>0.68</v>
      </c>
      <c r="AC20" s="52">
        <v>0.64</v>
      </c>
      <c r="AE20" s="52">
        <v>0.53</v>
      </c>
      <c r="AF20" s="52">
        <v>0.57999999999999996</v>
      </c>
      <c r="AG20" s="52">
        <v>0.66</v>
      </c>
      <c r="AH20" s="52">
        <v>0.62</v>
      </c>
      <c r="AJ20" s="52">
        <v>0.52</v>
      </c>
      <c r="AK20" s="52">
        <v>0.57999999999999996</v>
      </c>
      <c r="AL20" s="52">
        <v>0.64</v>
      </c>
      <c r="AM20" s="52">
        <v>0.62</v>
      </c>
    </row>
    <row r="21" spans="1:39">
      <c r="A21" t="s">
        <v>172</v>
      </c>
      <c r="B21" s="52">
        <v>1</v>
      </c>
      <c r="C21" s="52">
        <v>1</v>
      </c>
      <c r="D21" s="52">
        <v>1</v>
      </c>
      <c r="E21" s="52">
        <v>1</v>
      </c>
      <c r="F21" s="52"/>
      <c r="G21" s="52"/>
      <c r="H21" s="52"/>
      <c r="K21" s="52"/>
      <c r="L21" s="52"/>
      <c r="M21" s="52"/>
      <c r="P21" s="52">
        <v>1</v>
      </c>
      <c r="Q21" s="52">
        <v>1</v>
      </c>
      <c r="R21" s="52">
        <v>1</v>
      </c>
      <c r="S21" s="52">
        <v>1</v>
      </c>
      <c r="U21" s="52">
        <v>1</v>
      </c>
      <c r="V21" s="52">
        <v>1</v>
      </c>
      <c r="W21" s="52">
        <v>1</v>
      </c>
      <c r="X21" s="52">
        <v>1</v>
      </c>
      <c r="Z21" s="52">
        <v>1</v>
      </c>
      <c r="AA21" s="52">
        <v>1</v>
      </c>
      <c r="AB21" s="52">
        <v>1</v>
      </c>
      <c r="AC21" s="52">
        <v>1</v>
      </c>
      <c r="AE21" s="52">
        <v>1</v>
      </c>
      <c r="AF21" s="52">
        <v>1</v>
      </c>
      <c r="AG21" s="52">
        <v>1</v>
      </c>
      <c r="AH21" s="52">
        <v>1</v>
      </c>
      <c r="AJ21" s="52">
        <v>1</v>
      </c>
      <c r="AK21" s="52">
        <v>1</v>
      </c>
      <c r="AL21" s="52">
        <v>1</v>
      </c>
      <c r="AM21" s="52">
        <v>1</v>
      </c>
    </row>
    <row r="22" spans="1:39">
      <c r="A22" s="51" t="s">
        <v>379</v>
      </c>
    </row>
    <row r="26" spans="1:39"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</row>
    <row r="27" spans="1:39"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</row>
    <row r="28" spans="1:39"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</row>
    <row r="30" spans="1:39"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</row>
    <row r="31" spans="1:39"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</row>
    <row r="32" spans="1:39"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</row>
  </sheetData>
  <mergeCells count="6">
    <mergeCell ref="AJ17:AM17"/>
    <mergeCell ref="B17:J17"/>
    <mergeCell ref="P17:S17"/>
    <mergeCell ref="U17:X17"/>
    <mergeCell ref="Z17:AC17"/>
    <mergeCell ref="AE17:AH17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AC110"/>
  <sheetViews>
    <sheetView topLeftCell="I1" zoomScale="40" zoomScaleNormal="40" workbookViewId="0">
      <selection activeCell="P10" sqref="P10:R18"/>
    </sheetView>
  </sheetViews>
  <sheetFormatPr defaultRowHeight="14.75"/>
  <cols>
    <col min="1" max="1" width="29.81640625" customWidth="1"/>
    <col min="2" max="2" width="16.08984375" customWidth="1"/>
    <col min="3" max="8" width="14.81640625" customWidth="1"/>
    <col min="9" max="18" width="22.81640625" customWidth="1"/>
  </cols>
  <sheetData>
    <row r="1" spans="1:18">
      <c r="A1" s="43" t="s">
        <v>124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1"/>
      <c r="M1" s="1"/>
      <c r="N1" s="1"/>
      <c r="O1" s="1"/>
    </row>
    <row r="2" spans="1:18" ht="15.5" thickBot="1">
      <c r="A2" s="42"/>
      <c r="B2" s="42" t="s">
        <v>143</v>
      </c>
      <c r="C2" s="42" t="s">
        <v>144</v>
      </c>
      <c r="D2" s="42" t="s">
        <v>796</v>
      </c>
      <c r="E2" s="42" t="s">
        <v>88</v>
      </c>
      <c r="F2" s="42" t="s">
        <v>797</v>
      </c>
      <c r="G2" s="42" t="s">
        <v>1301</v>
      </c>
      <c r="H2" s="42" t="s">
        <v>1447</v>
      </c>
      <c r="I2" s="42" t="s">
        <v>4</v>
      </c>
      <c r="J2" s="42" t="s">
        <v>3</v>
      </c>
      <c r="K2" s="42" t="s">
        <v>796</v>
      </c>
      <c r="L2" s="42" t="s">
        <v>88</v>
      </c>
      <c r="M2" s="42" t="s">
        <v>797</v>
      </c>
      <c r="N2" s="42" t="s">
        <v>1301</v>
      </c>
      <c r="O2" s="42" t="s">
        <v>1447</v>
      </c>
      <c r="P2" t="s">
        <v>60</v>
      </c>
    </row>
    <row r="3" spans="1:18">
      <c r="B3" t="s">
        <v>126</v>
      </c>
      <c r="C3" t="s">
        <v>126</v>
      </c>
      <c r="D3" t="s">
        <v>126</v>
      </c>
      <c r="I3" t="s">
        <v>127</v>
      </c>
      <c r="J3" t="s">
        <v>127</v>
      </c>
      <c r="K3" t="s">
        <v>127</v>
      </c>
      <c r="L3" t="s">
        <v>127</v>
      </c>
      <c r="M3" t="s">
        <v>127</v>
      </c>
      <c r="N3" t="s">
        <v>127</v>
      </c>
      <c r="O3" t="s">
        <v>127</v>
      </c>
    </row>
    <row r="4" spans="1:18">
      <c r="A4" t="s">
        <v>128</v>
      </c>
      <c r="I4" s="41">
        <f>'Demand - Propylene'!K51</f>
        <v>137707.45987773585</v>
      </c>
      <c r="J4" s="41">
        <f>'Demand - Ethylene'!K64</f>
        <v>201906.27397932502</v>
      </c>
      <c r="K4" s="40">
        <f>'Production - Industry shares'!L83</f>
        <v>3.5915366975270882</v>
      </c>
      <c r="L4" s="40">
        <f>'Production - Industry shares'!L98</f>
        <v>433459.08005172334</v>
      </c>
      <c r="M4" s="40">
        <f>'Production - Industry shares'!L112</f>
        <v>18095.873434805668</v>
      </c>
      <c r="N4" s="40">
        <f>'Production - Industry shares'!L126</f>
        <v>12487.325398904024</v>
      </c>
      <c r="O4" s="40">
        <f>'Demand - C4'!I27</f>
        <v>10097.623110892866</v>
      </c>
      <c r="P4" s="7"/>
    </row>
    <row r="5" spans="1:18">
      <c r="A5" t="s">
        <v>129</v>
      </c>
      <c r="B5" s="487">
        <f>'Demand - Propylene'!L51</f>
        <v>0</v>
      </c>
      <c r="C5" s="487">
        <f>'Demand - Ethylene'!L64</f>
        <v>0</v>
      </c>
      <c r="D5" s="487">
        <f>'Demand - Methanol'!N38</f>
        <v>1.7000000000000001E-2</v>
      </c>
      <c r="E5" s="487">
        <f>'Demand - BTX'!L71</f>
        <v>0</v>
      </c>
      <c r="F5" s="487">
        <f>'Demand - BTX'!L81</f>
        <v>0</v>
      </c>
      <c r="G5" s="487">
        <f>'Demand - BTX'!L91</f>
        <v>0</v>
      </c>
      <c r="H5" s="487">
        <f>'Demand - C4'!K27</f>
        <v>0</v>
      </c>
      <c r="I5" s="41">
        <f>I4*(1+C5)^30-I4</f>
        <v>0</v>
      </c>
      <c r="J5" s="41">
        <f>J4*(1+C5)^30-J4</f>
        <v>0</v>
      </c>
      <c r="K5" s="41">
        <f>K4*(1+D5)^30-K4</f>
        <v>2.3638353202570945</v>
      </c>
      <c r="L5" s="40">
        <f>L4*(1+E5)^30-L4</f>
        <v>0</v>
      </c>
      <c r="M5" s="40">
        <f>M4*(1+F5)^30-M4</f>
        <v>0</v>
      </c>
      <c r="N5" s="40">
        <f>N4*(1+G5)^30-N4</f>
        <v>0</v>
      </c>
      <c r="O5" s="40">
        <f>'Demand - C4'!L27-'Demand - C4'!I27</f>
        <v>0</v>
      </c>
      <c r="P5" s="5" t="s">
        <v>150</v>
      </c>
    </row>
    <row r="6" spans="1:18">
      <c r="A6" t="s">
        <v>131</v>
      </c>
      <c r="I6" s="41">
        <f>SUM(I4:I5)</f>
        <v>137707.45987773585</v>
      </c>
      <c r="J6" s="41">
        <f>SUM(J4:J5)</f>
        <v>201906.27397932502</v>
      </c>
      <c r="K6" s="41">
        <f>SUM(K4:K5)</f>
        <v>5.9553720177841827</v>
      </c>
      <c r="L6" s="40">
        <f t="shared" ref="L6:N6" si="0">SUM(L4:L5)</f>
        <v>433459.08005172334</v>
      </c>
      <c r="M6" s="40">
        <f t="shared" si="0"/>
        <v>18095.873434805668</v>
      </c>
      <c r="N6" s="40">
        <f t="shared" si="0"/>
        <v>12487.325398904024</v>
      </c>
      <c r="O6" s="40">
        <f>'Demand - C4'!L27</f>
        <v>10097.623110892866</v>
      </c>
    </row>
    <row r="7" spans="1:18">
      <c r="A7" t="s">
        <v>151</v>
      </c>
      <c r="B7" s="45">
        <v>0.55000000000000004</v>
      </c>
      <c r="C7" s="45">
        <v>0.55000000000000004</v>
      </c>
      <c r="D7" s="45">
        <v>0.55000000000000004</v>
      </c>
      <c r="E7" s="45">
        <v>0.55000000000000004</v>
      </c>
      <c r="F7" s="45">
        <v>0.55000000000000004</v>
      </c>
      <c r="G7" s="45">
        <v>0.55000000000000004</v>
      </c>
      <c r="H7" s="45">
        <v>0.55000000000000004</v>
      </c>
      <c r="I7" s="46">
        <f>$I$6*B7</f>
        <v>75739.102932754729</v>
      </c>
      <c r="J7" s="46">
        <f>$J$6*C7</f>
        <v>111048.45068862877</v>
      </c>
      <c r="K7" s="414">
        <f>$K$6*D7</f>
        <v>3.2754546097813009</v>
      </c>
      <c r="L7" s="46">
        <f>$L$6*E7</f>
        <v>238402.49402844787</v>
      </c>
      <c r="M7" s="46">
        <f>$M$6*F7</f>
        <v>9952.7303891431184</v>
      </c>
      <c r="N7" s="46">
        <f>$N$6*G7</f>
        <v>6868.0289693972136</v>
      </c>
      <c r="O7" s="46">
        <f>O6*H7</f>
        <v>5553.6927109910766</v>
      </c>
      <c r="P7" s="5" t="s">
        <v>150</v>
      </c>
    </row>
    <row r="8" spans="1:18">
      <c r="A8" t="s">
        <v>152</v>
      </c>
      <c r="B8" s="45">
        <f>Q36</f>
        <v>0</v>
      </c>
      <c r="C8" s="45">
        <f>Q27</f>
        <v>0.19373223635003736</v>
      </c>
      <c r="D8" s="45">
        <f>$P$46</f>
        <v>0.17912863070539423</v>
      </c>
      <c r="E8" s="45">
        <f t="shared" ref="E8:G8" si="1">$P$46</f>
        <v>0.17912863070539423</v>
      </c>
      <c r="F8" s="45">
        <f t="shared" si="1"/>
        <v>0.17912863070539423</v>
      </c>
      <c r="G8" s="45">
        <f t="shared" si="1"/>
        <v>0.17912863070539423</v>
      </c>
      <c r="H8" s="45">
        <v>0</v>
      </c>
      <c r="I8" s="46">
        <f>$I$6*B8</f>
        <v>0</v>
      </c>
      <c r="J8" s="46">
        <f>$J$6*C8</f>
        <v>39115.753991117992</v>
      </c>
      <c r="K8" s="414">
        <f>$K$6*D8</f>
        <v>1.0667776348869014</v>
      </c>
      <c r="L8" s="46">
        <f>$L$6*E8</f>
        <v>77644.931476485057</v>
      </c>
      <c r="M8" s="46">
        <f>$M$6*F8</f>
        <v>3241.4890297948582</v>
      </c>
      <c r="N8" s="46">
        <f>$N$6*G8</f>
        <v>2236.8374998783684</v>
      </c>
      <c r="O8" s="46">
        <f>O6*H8</f>
        <v>0</v>
      </c>
      <c r="P8" s="5" t="s">
        <v>651</v>
      </c>
    </row>
    <row r="9" spans="1:18">
      <c r="A9" t="s">
        <v>138</v>
      </c>
      <c r="B9" s="45"/>
      <c r="I9" s="41">
        <f>I6-I7-I8</f>
        <v>61968.356944981118</v>
      </c>
      <c r="J9" s="41">
        <f>J6-J7-J8</f>
        <v>51742.069299578259</v>
      </c>
      <c r="K9" s="41">
        <f>K6-K7-K8</f>
        <v>1.6131397731159804</v>
      </c>
      <c r="L9" s="41">
        <f>L6-L7-L8</f>
        <v>117411.65454679042</v>
      </c>
      <c r="M9" s="41">
        <f t="shared" ref="M9:N9" si="2">M6-M7-M8</f>
        <v>4901.6540158676908</v>
      </c>
      <c r="N9" s="41">
        <f t="shared" si="2"/>
        <v>3382.4589296284421</v>
      </c>
      <c r="O9" s="41">
        <f>O6-O7-O8</f>
        <v>4543.9303999017893</v>
      </c>
    </row>
    <row r="10" spans="1:18">
      <c r="B10" t="s">
        <v>383</v>
      </c>
      <c r="C10" t="s">
        <v>199</v>
      </c>
    </row>
    <row r="11" spans="1:18">
      <c r="A11" t="s">
        <v>168</v>
      </c>
      <c r="B11" s="53">
        <f>100%</f>
        <v>1</v>
      </c>
      <c r="C11" s="52">
        <v>1</v>
      </c>
      <c r="D11" s="52"/>
      <c r="E11" s="52"/>
      <c r="F11" s="52"/>
      <c r="G11" s="52"/>
      <c r="H11" s="52"/>
      <c r="I11" s="41"/>
      <c r="J11" s="41"/>
    </row>
    <row r="12" spans="1:18">
      <c r="A12" t="s">
        <v>169</v>
      </c>
      <c r="B12" s="53">
        <f>0.22/C7</f>
        <v>0.39999999999999997</v>
      </c>
      <c r="C12" s="52">
        <v>0.5</v>
      </c>
      <c r="D12" s="52"/>
      <c r="E12" s="52"/>
      <c r="F12" s="52"/>
      <c r="G12" s="52"/>
      <c r="H12" s="52"/>
      <c r="I12" s="41"/>
      <c r="J12" s="253" t="s">
        <v>650</v>
      </c>
      <c r="Q12" s="38"/>
      <c r="R12" s="38"/>
    </row>
    <row r="13" spans="1:18">
      <c r="B13" s="53"/>
      <c r="I13" s="41"/>
      <c r="J13" s="41"/>
      <c r="Q13" s="38"/>
      <c r="R13" s="38"/>
    </row>
    <row r="14" spans="1:18">
      <c r="B14" t="s">
        <v>173</v>
      </c>
      <c r="Q14" s="38"/>
      <c r="R14" s="38"/>
    </row>
    <row r="15" spans="1:18">
      <c r="A15" t="s">
        <v>170</v>
      </c>
      <c r="B15" s="52">
        <v>0.33</v>
      </c>
      <c r="C15" s="52"/>
      <c r="D15" s="52"/>
      <c r="E15" s="52"/>
      <c r="F15" s="52"/>
      <c r="G15" s="52"/>
      <c r="H15" s="52"/>
    </row>
    <row r="16" spans="1:18">
      <c r="A16" t="s">
        <v>171</v>
      </c>
      <c r="B16" s="52">
        <v>0.66</v>
      </c>
      <c r="C16" s="52"/>
      <c r="D16" s="52"/>
      <c r="E16" s="52"/>
      <c r="F16" s="52"/>
      <c r="G16" s="52"/>
      <c r="H16" s="52"/>
      <c r="Q16" s="38"/>
      <c r="R16" s="38"/>
    </row>
    <row r="17" spans="1:19">
      <c r="A17" t="s">
        <v>172</v>
      </c>
      <c r="B17" s="52">
        <v>1</v>
      </c>
      <c r="C17" s="52"/>
      <c r="D17" s="52"/>
      <c r="E17" s="52"/>
      <c r="F17" s="52"/>
      <c r="G17" s="52"/>
      <c r="H17" s="52"/>
      <c r="Q17" s="38"/>
      <c r="R17" s="38"/>
    </row>
    <row r="18" spans="1:19" ht="15.5" thickBot="1">
      <c r="B18" s="52"/>
      <c r="C18" s="52"/>
      <c r="D18" s="52"/>
      <c r="E18" s="52"/>
      <c r="F18" s="52"/>
      <c r="G18" s="52"/>
      <c r="H18" s="52"/>
      <c r="Q18" s="38"/>
      <c r="R18" s="38"/>
    </row>
    <row r="19" spans="1:19" s="162" customFormat="1" ht="15.5" thickBot="1">
      <c r="A19" s="160" t="s">
        <v>654</v>
      </c>
      <c r="B19" s="161"/>
      <c r="C19" s="161"/>
      <c r="D19" s="161"/>
      <c r="E19" s="161"/>
      <c r="F19" s="161"/>
      <c r="G19" s="161"/>
      <c r="H19" s="161"/>
    </row>
    <row r="20" spans="1:19">
      <c r="A20" t="s">
        <v>153</v>
      </c>
      <c r="J20" s="257" t="s">
        <v>3</v>
      </c>
      <c r="K20" s="257"/>
      <c r="L20" s="257"/>
      <c r="M20" s="257"/>
      <c r="N20" s="257"/>
      <c r="O20" s="257"/>
      <c r="P20" s="257"/>
      <c r="Q20" s="257"/>
    </row>
    <row r="21" spans="1:19">
      <c r="C21" t="s">
        <v>3</v>
      </c>
      <c r="J21" t="s">
        <v>652</v>
      </c>
      <c r="K21" t="s">
        <v>659</v>
      </c>
      <c r="P21" t="s">
        <v>653</v>
      </c>
      <c r="Q21" t="s">
        <v>658</v>
      </c>
    </row>
    <row r="22" spans="1:19">
      <c r="A22" t="s">
        <v>154</v>
      </c>
      <c r="B22" t="s">
        <v>155</v>
      </c>
      <c r="C22" s="48">
        <v>31.6</v>
      </c>
      <c r="D22" s="48"/>
      <c r="E22" s="48"/>
      <c r="F22" s="48"/>
      <c r="G22" s="48"/>
      <c r="H22" s="48"/>
      <c r="J22" s="121">
        <f>$C$7</f>
        <v>0.55000000000000004</v>
      </c>
      <c r="K22">
        <f>C22*(1-J22)</f>
        <v>14.219999999999999</v>
      </c>
      <c r="P22" s="53">
        <f>50%</f>
        <v>0.5</v>
      </c>
      <c r="Q22">
        <f>P22*K22</f>
        <v>7.1099999999999994</v>
      </c>
      <c r="S22" t="s">
        <v>655</v>
      </c>
    </row>
    <row r="23" spans="1:19">
      <c r="A23" t="s">
        <v>154</v>
      </c>
      <c r="B23" t="s">
        <v>156</v>
      </c>
      <c r="C23" s="48">
        <f>25.7+30</f>
        <v>55.7</v>
      </c>
      <c r="D23" s="48"/>
      <c r="E23" s="48"/>
      <c r="F23" s="48"/>
      <c r="G23" s="48"/>
      <c r="H23" s="48"/>
      <c r="J23" s="121">
        <f t="shared" ref="J23:J26" si="3">$C$7</f>
        <v>0.55000000000000004</v>
      </c>
      <c r="K23">
        <f>C23*(1-J23)</f>
        <v>25.064999999999998</v>
      </c>
      <c r="P23" s="53">
        <v>0</v>
      </c>
      <c r="Q23">
        <f t="shared" ref="Q23:Q26" si="4">P23*K23</f>
        <v>0</v>
      </c>
      <c r="S23" t="s">
        <v>656</v>
      </c>
    </row>
    <row r="24" spans="1:19">
      <c r="A24" t="s">
        <v>154</v>
      </c>
      <c r="B24" t="s">
        <v>157</v>
      </c>
      <c r="C24" s="48">
        <f>8.2+20</f>
        <v>28.2</v>
      </c>
      <c r="D24" s="48"/>
      <c r="E24" s="48"/>
      <c r="F24" s="48"/>
      <c r="G24" s="48"/>
      <c r="H24" s="48"/>
      <c r="J24" s="121">
        <f t="shared" si="3"/>
        <v>0.55000000000000004</v>
      </c>
      <c r="K24">
        <f>C24*(1-J24)</f>
        <v>12.689999999999998</v>
      </c>
      <c r="P24" s="53">
        <v>0.9</v>
      </c>
      <c r="Q24">
        <f t="shared" si="4"/>
        <v>11.420999999999998</v>
      </c>
      <c r="S24" t="s">
        <v>657</v>
      </c>
    </row>
    <row r="25" spans="1:19">
      <c r="A25" t="s">
        <v>154</v>
      </c>
      <c r="B25" t="s">
        <v>158</v>
      </c>
      <c r="C25" s="48">
        <v>8.1999999999999993</v>
      </c>
      <c r="D25" s="48"/>
      <c r="E25" s="48"/>
      <c r="F25" s="48"/>
      <c r="G25" s="48"/>
      <c r="H25" s="48"/>
      <c r="J25" s="121">
        <f t="shared" si="3"/>
        <v>0.55000000000000004</v>
      </c>
      <c r="K25">
        <f>C25*(1-J25)</f>
        <v>3.6899999999999995</v>
      </c>
      <c r="P25" s="53">
        <v>0.9</v>
      </c>
      <c r="Q25">
        <f t="shared" si="4"/>
        <v>3.3209999999999997</v>
      </c>
      <c r="S25" t="s">
        <v>657</v>
      </c>
    </row>
    <row r="26" spans="1:19">
      <c r="A26" t="s">
        <v>154</v>
      </c>
      <c r="B26" t="s">
        <v>159</v>
      </c>
      <c r="C26" s="48">
        <v>10</v>
      </c>
      <c r="D26" s="48"/>
      <c r="E26" s="48"/>
      <c r="F26" s="48"/>
      <c r="G26" s="48"/>
      <c r="H26" s="48"/>
      <c r="J26" s="121">
        <f t="shared" si="3"/>
        <v>0.55000000000000004</v>
      </c>
      <c r="K26">
        <f>C26*(1-J26)</f>
        <v>4.5</v>
      </c>
      <c r="P26" s="53">
        <v>0.9</v>
      </c>
      <c r="Q26">
        <f t="shared" si="4"/>
        <v>4.05</v>
      </c>
      <c r="S26" t="s">
        <v>657</v>
      </c>
    </row>
    <row r="27" spans="1:19" ht="15.5" thickBot="1">
      <c r="C27">
        <f>SUM(C22:C26)</f>
        <v>133.70000000000002</v>
      </c>
      <c r="P27" s="254" t="s">
        <v>78</v>
      </c>
      <c r="Q27" s="255">
        <f>SUM(Q22:Q26)/C27</f>
        <v>0.19373223635003736</v>
      </c>
    </row>
    <row r="28" spans="1:19" ht="15.5" thickBot="1">
      <c r="C28" s="2"/>
      <c r="D28" s="2"/>
      <c r="E28" s="2"/>
      <c r="F28" s="2"/>
      <c r="G28" s="2"/>
      <c r="H28" s="2"/>
      <c r="Q28" s="1"/>
      <c r="R28" s="256"/>
    </row>
    <row r="29" spans="1:19">
      <c r="J29" s="257" t="s">
        <v>4</v>
      </c>
      <c r="K29" s="257"/>
      <c r="L29" s="257"/>
      <c r="M29" s="257"/>
      <c r="N29" s="257"/>
      <c r="O29" s="257"/>
      <c r="P29" s="257"/>
      <c r="Q29" s="257"/>
    </row>
    <row r="30" spans="1:19">
      <c r="C30" t="s">
        <v>4</v>
      </c>
      <c r="J30" t="s">
        <v>652</v>
      </c>
      <c r="K30" t="s">
        <v>659</v>
      </c>
      <c r="P30" t="s">
        <v>653</v>
      </c>
      <c r="Q30" t="s">
        <v>658</v>
      </c>
    </row>
    <row r="31" spans="1:19">
      <c r="B31" t="s">
        <v>155</v>
      </c>
      <c r="C31" s="48">
        <v>0</v>
      </c>
      <c r="D31" s="48"/>
      <c r="E31" s="48"/>
      <c r="F31" s="48"/>
      <c r="G31" s="48"/>
      <c r="H31" s="48"/>
      <c r="J31" s="121">
        <f>$B$7</f>
        <v>0.55000000000000004</v>
      </c>
      <c r="K31">
        <f>C31*(1-J31)</f>
        <v>0</v>
      </c>
      <c r="P31" s="53">
        <f>50%</f>
        <v>0.5</v>
      </c>
      <c r="Q31">
        <f>P31*K31</f>
        <v>0</v>
      </c>
      <c r="S31" t="s">
        <v>655</v>
      </c>
    </row>
    <row r="32" spans="1:19">
      <c r="B32" t="s">
        <v>156</v>
      </c>
      <c r="C32" s="48">
        <v>10.9</v>
      </c>
      <c r="D32" s="48"/>
      <c r="E32" s="48"/>
      <c r="F32" s="48"/>
      <c r="G32" s="48"/>
      <c r="H32" s="48"/>
      <c r="J32" s="121">
        <f t="shared" ref="J32:J35" si="5">$B$7</f>
        <v>0.55000000000000004</v>
      </c>
      <c r="K32">
        <f t="shared" ref="K32:K35" si="6">C32*(1-J32)</f>
        <v>4.9049999999999994</v>
      </c>
      <c r="P32" s="53">
        <v>0</v>
      </c>
      <c r="Q32">
        <f t="shared" ref="Q32:Q35" si="7">P32*K32</f>
        <v>0</v>
      </c>
      <c r="S32" t="s">
        <v>656</v>
      </c>
    </row>
    <row r="33" spans="2:19">
      <c r="B33" t="s">
        <v>157</v>
      </c>
      <c r="C33" s="261">
        <v>0</v>
      </c>
      <c r="D33" s="261"/>
      <c r="E33" s="261"/>
      <c r="F33" s="261"/>
      <c r="G33" s="261"/>
      <c r="H33" s="261"/>
      <c r="J33" s="121">
        <f t="shared" si="5"/>
        <v>0.55000000000000004</v>
      </c>
      <c r="K33">
        <f t="shared" si="6"/>
        <v>0</v>
      </c>
      <c r="P33" s="53">
        <v>0.9</v>
      </c>
      <c r="Q33">
        <f t="shared" si="7"/>
        <v>0</v>
      </c>
      <c r="S33" t="s">
        <v>657</v>
      </c>
    </row>
    <row r="34" spans="2:19">
      <c r="B34" t="s">
        <v>158</v>
      </c>
      <c r="C34" s="48">
        <v>0</v>
      </c>
      <c r="D34" s="48"/>
      <c r="E34" s="48"/>
      <c r="F34" s="48"/>
      <c r="G34" s="48"/>
      <c r="H34" s="48"/>
      <c r="J34" s="121">
        <f t="shared" si="5"/>
        <v>0.55000000000000004</v>
      </c>
      <c r="K34">
        <f t="shared" si="6"/>
        <v>0</v>
      </c>
      <c r="P34" s="53">
        <v>0.9</v>
      </c>
      <c r="Q34">
        <f t="shared" si="7"/>
        <v>0</v>
      </c>
      <c r="S34" t="s">
        <v>657</v>
      </c>
    </row>
    <row r="35" spans="2:19">
      <c r="B35" t="s">
        <v>159</v>
      </c>
      <c r="C35" s="48">
        <v>0</v>
      </c>
      <c r="D35" s="48"/>
      <c r="E35" s="48"/>
      <c r="F35" s="48"/>
      <c r="G35" s="48"/>
      <c r="H35" s="48"/>
      <c r="J35" s="121">
        <f t="shared" si="5"/>
        <v>0.55000000000000004</v>
      </c>
      <c r="K35">
        <f t="shared" si="6"/>
        <v>0</v>
      </c>
      <c r="P35" s="53">
        <v>0.9</v>
      </c>
      <c r="Q35">
        <f t="shared" si="7"/>
        <v>0</v>
      </c>
      <c r="S35" t="s">
        <v>657</v>
      </c>
    </row>
    <row r="36" spans="2:19" ht="15.5" thickBot="1">
      <c r="C36">
        <f>SUM(C31:C35)</f>
        <v>10.9</v>
      </c>
      <c r="P36" s="254" t="s">
        <v>78</v>
      </c>
      <c r="Q36" s="255">
        <f>SUM(Q31:Q35)/C36</f>
        <v>0</v>
      </c>
    </row>
    <row r="37" spans="2:19">
      <c r="C37" s="2"/>
      <c r="K37" s="1"/>
      <c r="L37" s="1"/>
      <c r="M37" s="1"/>
      <c r="N37" s="1"/>
      <c r="O37" s="1"/>
      <c r="P37" s="256"/>
    </row>
    <row r="38" spans="2:19">
      <c r="C38" s="2" t="s">
        <v>860</v>
      </c>
      <c r="I38" t="s">
        <v>860</v>
      </c>
      <c r="K38" t="s">
        <v>653</v>
      </c>
      <c r="P38" t="s">
        <v>658</v>
      </c>
    </row>
    <row r="39" spans="2:19">
      <c r="B39" t="s">
        <v>155</v>
      </c>
      <c r="C39" s="48">
        <v>0</v>
      </c>
      <c r="I39" s="121">
        <f>$B$7</f>
        <v>0.55000000000000004</v>
      </c>
      <c r="J39">
        <f>C39*(1-I39)</f>
        <v>0</v>
      </c>
      <c r="K39" s="256">
        <f>SUM($Q$22:$Q$26,$Q$31:$Q$35)/SUM($K$22:$K$26,$K$31:$K$35)</f>
        <v>0.3980636237897649</v>
      </c>
      <c r="L39" s="256"/>
      <c r="M39" s="256"/>
      <c r="N39" s="256"/>
      <c r="O39" s="256"/>
      <c r="P39">
        <f>K39*J39</f>
        <v>0</v>
      </c>
    </row>
    <row r="40" spans="2:19">
      <c r="B40" t="s">
        <v>156</v>
      </c>
      <c r="C40" s="48">
        <v>0</v>
      </c>
      <c r="I40" s="121">
        <f t="shared" ref="I40:I45" si="8">$B$7</f>
        <v>0.55000000000000004</v>
      </c>
      <c r="J40">
        <f t="shared" ref="J40:J45" si="9">C40*(1-I40)</f>
        <v>0</v>
      </c>
      <c r="K40" s="256">
        <f t="shared" ref="K40:K45" si="10">SUM($Q$22:$Q$26,$Q$31:$Q$35)/SUM($K$22:$K$26,$K$31:$K$35)</f>
        <v>0.3980636237897649</v>
      </c>
      <c r="L40" s="256"/>
      <c r="M40" s="256"/>
      <c r="N40" s="256"/>
      <c r="O40" s="256"/>
      <c r="P40">
        <f t="shared" ref="P40:P45" si="11">K40*J40</f>
        <v>0</v>
      </c>
    </row>
    <row r="41" spans="2:19">
      <c r="B41" t="s">
        <v>157</v>
      </c>
      <c r="C41" s="48">
        <v>21.8</v>
      </c>
      <c r="I41" s="121">
        <f t="shared" si="8"/>
        <v>0.55000000000000004</v>
      </c>
      <c r="J41">
        <f t="shared" si="9"/>
        <v>9.8099999999999987</v>
      </c>
      <c r="K41" s="256">
        <f t="shared" si="10"/>
        <v>0.3980636237897649</v>
      </c>
      <c r="L41" s="256"/>
      <c r="M41" s="256"/>
      <c r="N41" s="256"/>
      <c r="O41" s="256"/>
      <c r="P41">
        <f t="shared" si="11"/>
        <v>3.9050041493775933</v>
      </c>
    </row>
    <row r="42" spans="2:19">
      <c r="B42" t="s">
        <v>158</v>
      </c>
      <c r="C42" s="48">
        <v>0</v>
      </c>
      <c r="I42" s="121">
        <f t="shared" si="8"/>
        <v>0.55000000000000004</v>
      </c>
      <c r="J42">
        <f t="shared" si="9"/>
        <v>0</v>
      </c>
      <c r="K42" s="256">
        <f t="shared" si="10"/>
        <v>0.3980636237897649</v>
      </c>
      <c r="L42" s="256"/>
      <c r="M42" s="256"/>
      <c r="N42" s="256"/>
      <c r="O42" s="256"/>
      <c r="P42">
        <f t="shared" si="11"/>
        <v>0</v>
      </c>
    </row>
    <row r="43" spans="2:19">
      <c r="B43" t="s">
        <v>159</v>
      </c>
      <c r="C43" s="48">
        <v>0</v>
      </c>
      <c r="I43" s="121">
        <f t="shared" si="8"/>
        <v>0.55000000000000004</v>
      </c>
      <c r="J43">
        <f t="shared" si="9"/>
        <v>0</v>
      </c>
      <c r="K43" s="256">
        <f t="shared" si="10"/>
        <v>0.3980636237897649</v>
      </c>
      <c r="L43" s="256"/>
      <c r="M43" s="256"/>
      <c r="N43" s="256"/>
      <c r="O43" s="256"/>
      <c r="P43">
        <f t="shared" si="11"/>
        <v>0</v>
      </c>
    </row>
    <row r="44" spans="2:19">
      <c r="B44" t="s">
        <v>861</v>
      </c>
      <c r="C44" s="48">
        <v>12</v>
      </c>
      <c r="I44" s="121">
        <f t="shared" si="8"/>
        <v>0.55000000000000004</v>
      </c>
      <c r="J44">
        <f t="shared" si="9"/>
        <v>5.3999999999999995</v>
      </c>
      <c r="K44" s="256">
        <f t="shared" si="10"/>
        <v>0.3980636237897649</v>
      </c>
      <c r="L44" s="256"/>
      <c r="M44" s="256"/>
      <c r="N44" s="256"/>
      <c r="O44" s="256"/>
      <c r="P44">
        <f t="shared" si="11"/>
        <v>2.1495435684647304</v>
      </c>
    </row>
    <row r="45" spans="2:19">
      <c r="B45" t="s">
        <v>24</v>
      </c>
      <c r="C45" s="48">
        <v>4.5</v>
      </c>
      <c r="I45" s="121">
        <f t="shared" si="8"/>
        <v>0.55000000000000004</v>
      </c>
      <c r="J45">
        <f t="shared" si="9"/>
        <v>2.0249999999999999</v>
      </c>
      <c r="K45" s="256">
        <f t="shared" si="10"/>
        <v>0.3980636237897649</v>
      </c>
      <c r="L45" s="256"/>
      <c r="M45" s="256"/>
      <c r="N45" s="256"/>
      <c r="O45" s="256"/>
      <c r="P45">
        <f t="shared" si="11"/>
        <v>0.80607883817427384</v>
      </c>
    </row>
    <row r="46" spans="2:19" ht="15.5" thickBot="1">
      <c r="C46">
        <f>SUM(C39:C45)</f>
        <v>38.299999999999997</v>
      </c>
      <c r="K46" s="254" t="s">
        <v>78</v>
      </c>
      <c r="L46" s="254"/>
      <c r="M46" s="254"/>
      <c r="N46" s="254"/>
      <c r="O46" s="254"/>
      <c r="P46" s="255">
        <f>SUM(P39:P45)/C46</f>
        <v>0.17912863070539423</v>
      </c>
    </row>
    <row r="47" spans="2:19">
      <c r="C47" s="158"/>
      <c r="K47" s="1"/>
      <c r="L47" s="1"/>
      <c r="M47" s="1"/>
      <c r="N47" s="1"/>
      <c r="O47" s="1"/>
      <c r="P47" s="256"/>
    </row>
    <row r="48" spans="2:19">
      <c r="C48" s="2"/>
      <c r="D48" s="2"/>
      <c r="E48" s="2"/>
      <c r="F48" s="2"/>
      <c r="G48" s="2"/>
      <c r="H48" s="2"/>
      <c r="P48" s="720"/>
      <c r="Q48" s="256"/>
    </row>
    <row r="49" spans="2:17" s="716" customFormat="1">
      <c r="B49" s="721"/>
      <c r="C49" s="721"/>
      <c r="D49" s="721"/>
      <c r="E49" s="721"/>
      <c r="F49" s="721"/>
      <c r="G49" s="721"/>
      <c r="H49" s="721"/>
    </row>
    <row r="50" spans="2:17" s="713" customFormat="1"/>
    <row r="51" spans="2:17" s="713" customFormat="1"/>
    <row r="52" spans="2:17" s="713" customFormat="1"/>
    <row r="53" spans="2:17" s="713" customFormat="1"/>
    <row r="54" spans="2:17" s="713" customFormat="1">
      <c r="J54" s="714"/>
      <c r="P54" s="714"/>
      <c r="Q54" s="715"/>
    </row>
    <row r="55" spans="2:17" s="713" customFormat="1">
      <c r="J55" s="714"/>
      <c r="P55" s="714"/>
      <c r="Q55" s="715"/>
    </row>
    <row r="56" spans="2:17" s="713" customFormat="1">
      <c r="J56" s="714"/>
      <c r="P56" s="714"/>
      <c r="Q56" s="715"/>
    </row>
    <row r="57" spans="2:17" s="713" customFormat="1">
      <c r="J57" s="714"/>
      <c r="P57" s="714"/>
      <c r="Q57" s="715"/>
    </row>
    <row r="58" spans="2:17" s="713" customFormat="1">
      <c r="J58" s="714"/>
      <c r="P58" s="714"/>
      <c r="Q58" s="715"/>
    </row>
    <row r="59" spans="2:17" s="713" customFormat="1">
      <c r="J59" s="714"/>
      <c r="P59" s="714"/>
      <c r="Q59" s="715"/>
    </row>
    <row r="60" spans="2:17" s="713" customFormat="1">
      <c r="J60" s="714"/>
      <c r="P60" s="714"/>
      <c r="Q60" s="715"/>
    </row>
    <row r="61" spans="2:17" s="713" customFormat="1">
      <c r="J61" s="714"/>
      <c r="P61" s="714"/>
      <c r="Q61" s="715"/>
    </row>
    <row r="62" spans="2:17" s="713" customFormat="1">
      <c r="J62" s="714"/>
      <c r="P62" s="714"/>
      <c r="Q62" s="715"/>
    </row>
    <row r="63" spans="2:17" s="713" customFormat="1"/>
    <row r="64" spans="2:17" s="713" customFormat="1"/>
    <row r="65" spans="2:29" s="713" customFormat="1">
      <c r="I65" s="714"/>
      <c r="J65" s="714"/>
      <c r="K65" s="714"/>
      <c r="L65" s="714"/>
      <c r="M65" s="714"/>
      <c r="N65" s="714"/>
      <c r="O65" s="714"/>
      <c r="P65" s="714"/>
      <c r="Q65" s="714"/>
      <c r="R65" s="714"/>
    </row>
    <row r="66" spans="2:29" s="713" customFormat="1">
      <c r="I66" s="714"/>
      <c r="J66" s="714"/>
      <c r="K66" s="714"/>
      <c r="L66" s="714"/>
      <c r="M66" s="714"/>
      <c r="N66" s="714"/>
      <c r="O66" s="714"/>
      <c r="P66" s="714"/>
      <c r="Q66" s="714"/>
      <c r="R66" s="714"/>
    </row>
    <row r="67" spans="2:29" s="713" customFormat="1">
      <c r="B67" s="716"/>
      <c r="C67" s="716"/>
      <c r="D67" s="716"/>
      <c r="E67" s="716"/>
      <c r="F67" s="716"/>
      <c r="G67" s="716"/>
      <c r="H67" s="716"/>
      <c r="I67" s="716"/>
      <c r="J67" s="717"/>
      <c r="K67" s="717"/>
      <c r="L67" s="717"/>
      <c r="M67" s="717"/>
      <c r="N67" s="717"/>
      <c r="O67" s="717"/>
      <c r="P67" s="717"/>
      <c r="Q67" s="717"/>
      <c r="R67" s="717"/>
    </row>
    <row r="68" spans="2:29" s="713" customFormat="1">
      <c r="B68" s="716"/>
      <c r="C68" s="716"/>
      <c r="D68" s="716"/>
      <c r="E68" s="716"/>
      <c r="F68" s="716"/>
      <c r="G68" s="716"/>
      <c r="H68" s="716"/>
      <c r="I68" s="716"/>
      <c r="J68" s="716"/>
      <c r="K68" s="716"/>
      <c r="L68" s="716"/>
      <c r="M68" s="716"/>
      <c r="N68" s="716"/>
      <c r="O68" s="716"/>
      <c r="P68" s="716"/>
      <c r="Q68" s="716"/>
      <c r="R68" s="716"/>
    </row>
    <row r="69" spans="2:29" s="713" customFormat="1">
      <c r="AC69" s="711"/>
    </row>
    <row r="70" spans="2:29" s="713" customFormat="1">
      <c r="C70" s="716"/>
      <c r="D70" s="716"/>
      <c r="E70" s="716"/>
      <c r="F70" s="716"/>
      <c r="G70" s="716"/>
      <c r="H70" s="716"/>
      <c r="I70" s="716"/>
      <c r="AC70" s="711"/>
    </row>
    <row r="71" spans="2:29" s="713" customFormat="1">
      <c r="C71" s="715"/>
      <c r="D71" s="715"/>
      <c r="E71" s="715"/>
      <c r="F71" s="715"/>
      <c r="G71" s="715"/>
      <c r="H71" s="715"/>
      <c r="I71" s="715"/>
      <c r="Y71" s="716"/>
      <c r="Z71" s="716"/>
      <c r="AA71" s="716"/>
      <c r="AC71" s="711"/>
    </row>
    <row r="72" spans="2:29" s="713" customFormat="1">
      <c r="C72" s="715"/>
      <c r="D72" s="715"/>
      <c r="E72" s="715"/>
      <c r="F72" s="715"/>
      <c r="G72" s="715"/>
      <c r="H72" s="715"/>
      <c r="I72" s="715"/>
    </row>
    <row r="73" spans="2:29" s="713" customFormat="1"/>
    <row r="74" spans="2:29" s="713" customFormat="1"/>
    <row r="75" spans="2:29" s="713" customFormat="1" ht="35.5" customHeight="1">
      <c r="C75" s="718"/>
      <c r="D75" s="718"/>
      <c r="E75" s="718"/>
      <c r="F75" s="718"/>
      <c r="G75" s="718"/>
      <c r="H75" s="718"/>
      <c r="I75" s="718"/>
      <c r="J75" s="718"/>
      <c r="K75" s="718"/>
      <c r="L75" s="718"/>
      <c r="M75" s="718"/>
      <c r="N75" s="718"/>
      <c r="O75" s="718"/>
      <c r="P75" s="718"/>
      <c r="Q75" s="719"/>
      <c r="R75" s="718"/>
    </row>
    <row r="76" spans="2:29" s="713" customFormat="1">
      <c r="C76" s="714"/>
      <c r="D76" s="714"/>
      <c r="E76" s="714"/>
      <c r="F76" s="714"/>
      <c r="G76" s="714"/>
      <c r="H76" s="714"/>
      <c r="I76" s="714"/>
      <c r="J76" s="714"/>
      <c r="K76" s="714"/>
      <c r="L76" s="714"/>
      <c r="M76" s="714"/>
      <c r="N76" s="714"/>
      <c r="O76" s="714"/>
      <c r="P76" s="714"/>
      <c r="Q76" s="714"/>
      <c r="R76" s="714"/>
    </row>
    <row r="77" spans="2:29" s="713" customFormat="1">
      <c r="C77" s="714"/>
      <c r="D77" s="714"/>
      <c r="E77" s="714"/>
      <c r="F77" s="714"/>
      <c r="G77" s="714"/>
      <c r="H77" s="714"/>
      <c r="I77" s="714"/>
      <c r="J77" s="714"/>
      <c r="K77" s="714"/>
      <c r="L77" s="714"/>
      <c r="M77" s="714"/>
      <c r="N77" s="714"/>
      <c r="O77" s="714"/>
      <c r="P77" s="714"/>
      <c r="Q77" s="714"/>
      <c r="R77" s="714"/>
    </row>
    <row r="78" spans="2:29" s="713" customFormat="1"/>
    <row r="79" spans="2:29" s="713" customFormat="1">
      <c r="K79" s="715"/>
      <c r="L79" s="715"/>
      <c r="M79" s="715"/>
      <c r="N79" s="715"/>
      <c r="O79" s="715"/>
      <c r="Q79" s="715"/>
    </row>
    <row r="80" spans="2:29" s="713" customFormat="1">
      <c r="K80" s="715"/>
      <c r="L80" s="715"/>
      <c r="M80" s="715"/>
      <c r="N80" s="715"/>
      <c r="O80" s="715"/>
      <c r="Q80" s="715"/>
    </row>
    <row r="81" s="713" customFormat="1"/>
    <row r="82" s="713" customFormat="1"/>
    <row r="83" s="713" customFormat="1"/>
    <row r="84" s="713" customFormat="1"/>
    <row r="85" s="713" customFormat="1"/>
    <row r="86" s="713" customFormat="1"/>
    <row r="87" s="713" customFormat="1"/>
    <row r="88" s="713" customFormat="1"/>
    <row r="89" s="713" customFormat="1"/>
    <row r="90" s="713" customFormat="1"/>
    <row r="91" s="713" customFormat="1"/>
    <row r="92" s="713" customFormat="1"/>
    <row r="93" s="713" customFormat="1"/>
    <row r="94" s="713" customFormat="1"/>
    <row r="95" s="713" customFormat="1"/>
    <row r="96" s="713" customFormat="1"/>
    <row r="97" spans="2:10" s="713" customFormat="1"/>
    <row r="98" spans="2:10" s="713" customFormat="1">
      <c r="J98" s="715"/>
    </row>
    <row r="99" spans="2:10" s="713" customFormat="1">
      <c r="J99" s="715"/>
    </row>
    <row r="100" spans="2:10" s="713" customFormat="1"/>
    <row r="101" spans="2:10" s="713" customFormat="1"/>
    <row r="102" spans="2:10" s="713" customFormat="1"/>
    <row r="103" spans="2:10" s="713" customFormat="1"/>
    <row r="104" spans="2:10" s="713" customFormat="1"/>
    <row r="105" spans="2:10" s="713" customFormat="1">
      <c r="C105" s="715"/>
      <c r="D105" s="715"/>
      <c r="E105" s="715"/>
      <c r="F105" s="715"/>
      <c r="G105" s="715"/>
      <c r="H105" s="715"/>
    </row>
    <row r="106" spans="2:10" s="713" customFormat="1">
      <c r="C106" s="715"/>
      <c r="D106" s="715"/>
      <c r="E106" s="715"/>
      <c r="F106" s="715"/>
      <c r="G106" s="715"/>
      <c r="H106" s="715"/>
    </row>
    <row r="107" spans="2:10" s="713" customFormat="1">
      <c r="C107" s="715"/>
      <c r="D107" s="715"/>
      <c r="E107" s="715"/>
      <c r="F107" s="715"/>
      <c r="G107" s="715"/>
      <c r="H107" s="715"/>
    </row>
    <row r="108" spans="2:10" s="713" customFormat="1">
      <c r="C108" s="715"/>
      <c r="D108" s="715"/>
      <c r="E108" s="715"/>
      <c r="F108" s="715"/>
      <c r="G108" s="715"/>
      <c r="H108" s="715"/>
    </row>
    <row r="109" spans="2:10">
      <c r="B109" t="s">
        <v>161</v>
      </c>
      <c r="C109" s="6">
        <v>0.05</v>
      </c>
      <c r="D109" s="6"/>
      <c r="E109" s="6"/>
      <c r="F109" s="6"/>
      <c r="G109" s="6"/>
      <c r="H109" s="6"/>
      <c r="J109" t="s">
        <v>34</v>
      </c>
    </row>
    <row r="110" spans="2:10">
      <c r="B110" t="s">
        <v>24</v>
      </c>
      <c r="C110" s="6">
        <v>0.04</v>
      </c>
      <c r="D110" s="6"/>
      <c r="E110" s="6"/>
      <c r="F110" s="6"/>
      <c r="G110" s="6"/>
      <c r="H110" s="6"/>
      <c r="J110" t="s">
        <v>16</v>
      </c>
    </row>
  </sheetData>
  <hyperlinks>
    <hyperlink ref="P7" r:id="rId1" xr:uid="{40E35F30-303D-4A33-90D6-ECA30F8EFEC6}"/>
    <hyperlink ref="P8" r:id="rId2" display="https://cdn.odi.org/media/documents/odi-et-cp-construction-report-sep20-proof04_final2.pdf" xr:uid="{D3B15341-76B3-4383-B1BC-E944AC169992}"/>
    <hyperlink ref="P5" r:id="rId3" xr:uid="{D3020848-3A87-4982-AF72-F2156F7B4B89}"/>
  </hyperlinks>
  <pageMargins left="0.7" right="0.7" top="0.75" bottom="0.75" header="0.3" footer="0.3"/>
  <drawing r:id="rId4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0000"/>
  </sheetPr>
  <dimension ref="A1:AE50"/>
  <sheetViews>
    <sheetView topLeftCell="I1" zoomScale="60" zoomScaleNormal="60" workbookViewId="0">
      <selection activeCell="L27" sqref="L27"/>
    </sheetView>
  </sheetViews>
  <sheetFormatPr defaultRowHeight="14.75"/>
  <cols>
    <col min="1" max="1" width="30.08984375" customWidth="1"/>
    <col min="2" max="2" width="15.08984375" customWidth="1"/>
    <col min="3" max="3" width="11.81640625" customWidth="1"/>
    <col min="4" max="11" width="16.81640625" customWidth="1"/>
    <col min="12" max="12" width="11.81640625" customWidth="1"/>
    <col min="20" max="20" width="27" bestFit="1" customWidth="1"/>
  </cols>
  <sheetData>
    <row r="1" spans="1:31">
      <c r="A1" s="43" t="s">
        <v>124</v>
      </c>
      <c r="B1" s="43"/>
      <c r="C1" s="43"/>
      <c r="D1" s="43"/>
      <c r="E1" s="43"/>
      <c r="W1" s="43"/>
      <c r="X1" s="43"/>
      <c r="Y1" s="43"/>
      <c r="Z1" s="43"/>
      <c r="AA1" s="43"/>
    </row>
    <row r="2" spans="1:31" ht="15.5" thickBot="1">
      <c r="A2" s="42"/>
      <c r="B2" s="42" t="s">
        <v>125</v>
      </c>
      <c r="C2" s="42" t="s">
        <v>4</v>
      </c>
      <c r="D2" s="42" t="s">
        <v>3</v>
      </c>
      <c r="E2" s="42" t="s">
        <v>862</v>
      </c>
      <c r="F2" s="42" t="s">
        <v>863</v>
      </c>
      <c r="G2" s="42" t="s">
        <v>88</v>
      </c>
      <c r="H2" s="42" t="s">
        <v>797</v>
      </c>
      <c r="I2" s="42" t="s">
        <v>1301</v>
      </c>
      <c r="J2" s="42" t="s">
        <v>1447</v>
      </c>
      <c r="K2" s="42" t="s">
        <v>1458</v>
      </c>
      <c r="L2" s="163" t="s">
        <v>60</v>
      </c>
      <c r="W2" s="42"/>
      <c r="X2" s="42" t="s">
        <v>125</v>
      </c>
      <c r="Y2" s="42" t="s">
        <v>796</v>
      </c>
      <c r="Z2" s="42"/>
      <c r="AA2" s="42"/>
      <c r="AB2" s="163" t="s">
        <v>60</v>
      </c>
      <c r="AD2" t="s">
        <v>867</v>
      </c>
      <c r="AE2" s="22">
        <f>(97/66)^(1/35)-1</f>
        <v>1.1062346974396675E-2</v>
      </c>
    </row>
    <row r="3" spans="1:31">
      <c r="B3" t="s">
        <v>126</v>
      </c>
      <c r="C3" t="s">
        <v>127</v>
      </c>
      <c r="D3" t="s">
        <v>127</v>
      </c>
      <c r="E3" t="s">
        <v>127</v>
      </c>
      <c r="X3" t="s">
        <v>126</v>
      </c>
      <c r="Y3" t="s">
        <v>127</v>
      </c>
    </row>
    <row r="4" spans="1:31">
      <c r="A4" t="s">
        <v>128</v>
      </c>
      <c r="C4" s="41">
        <f>'Demand - Propylene'!K52</f>
        <v>185951.33244226652</v>
      </c>
      <c r="D4" s="41">
        <f>'Demand - Ethylene'!K65</f>
        <v>93277.946794923075</v>
      </c>
      <c r="E4" s="41">
        <f>'Production - Industry shares'!L84</f>
        <v>8.3456504736096182</v>
      </c>
      <c r="F4" s="46">
        <f>'Demand - Methanol'!M44</f>
        <v>28.065001267929215</v>
      </c>
      <c r="G4" s="46">
        <f>'Production - Industry shares'!L99</f>
        <v>87118.951257954774</v>
      </c>
      <c r="H4" s="46">
        <f>'Production - Industry shares'!L113</f>
        <v>7866.5635989003522</v>
      </c>
      <c r="I4" s="46">
        <f>'Production - Industry shares'!L127</f>
        <v>54944.231755177709</v>
      </c>
      <c r="J4" s="46">
        <f>'Demand - C4'!I28-'Demand - C4'!C21</f>
        <v>43857.307643928616</v>
      </c>
      <c r="K4" s="46">
        <f>'Demand - C4'!C21</f>
        <v>0</v>
      </c>
      <c r="L4" s="7"/>
      <c r="M4" s="7"/>
      <c r="W4" t="s">
        <v>128</v>
      </c>
      <c r="Y4" s="41">
        <v>0</v>
      </c>
      <c r="Z4" s="41"/>
      <c r="AB4" s="7"/>
      <c r="AC4" s="7"/>
    </row>
    <row r="5" spans="1:31">
      <c r="A5" t="s">
        <v>129</v>
      </c>
      <c r="B5" s="44">
        <v>1.7000000000000001E-2</v>
      </c>
      <c r="C5" s="41">
        <f>C4*(1+B5)^30-C4</f>
        <v>122387.25773804606</v>
      </c>
      <c r="D5" s="41">
        <f>D4*(1+B5)^30-D4</f>
        <v>61392.58033663407</v>
      </c>
      <c r="E5" s="41">
        <f>E4*(1+B5)^30-E4</f>
        <v>5.4928419285321723</v>
      </c>
      <c r="G5" s="41">
        <f>G4*(1+'Demand - BTX'!L72)^30-G4</f>
        <v>0</v>
      </c>
      <c r="H5" s="41">
        <f>H4*(1+'Demand - BTX'!L72)^30-H4</f>
        <v>0</v>
      </c>
      <c r="I5" s="41">
        <f>I4*(1+'Demand - BTX'!L72)^30-I4</f>
        <v>0</v>
      </c>
      <c r="J5" s="41">
        <f>J4*(1+'Demand - C4'!K28)^30-J4</f>
        <v>0</v>
      </c>
      <c r="K5" s="41"/>
      <c r="L5" s="5" t="s">
        <v>130</v>
      </c>
      <c r="W5" t="s">
        <v>129</v>
      </c>
      <c r="X5" s="413">
        <v>0</v>
      </c>
      <c r="Y5" s="41">
        <f>Y4*(1+X5)^30-Y4</f>
        <v>0</v>
      </c>
      <c r="Z5" s="41"/>
      <c r="AB5" s="5" t="s">
        <v>130</v>
      </c>
    </row>
    <row r="6" spans="1:31">
      <c r="A6" t="s">
        <v>865</v>
      </c>
      <c r="B6" s="44">
        <f>'Demand - Methanol'!N44</f>
        <v>2.3E-2</v>
      </c>
      <c r="C6" s="41"/>
      <c r="D6" s="41"/>
      <c r="F6" s="41">
        <f>F4*(1+B6)^30-F4</f>
        <v>27.453032607066223</v>
      </c>
      <c r="G6" s="41"/>
      <c r="H6" s="41"/>
      <c r="I6" s="41"/>
      <c r="J6" s="41"/>
      <c r="K6" s="41">
        <f>K4*(1+'Demand - C4'!K28)^30</f>
        <v>0</v>
      </c>
      <c r="L6" s="5"/>
      <c r="X6" s="413"/>
      <c r="Y6" s="41"/>
      <c r="Z6" s="41"/>
      <c r="AB6" s="5"/>
    </row>
    <row r="7" spans="1:31">
      <c r="A7" t="s">
        <v>131</v>
      </c>
      <c r="C7" s="41">
        <f>SUM(C4:C5)</f>
        <v>308338.59018031257</v>
      </c>
      <c r="D7" s="41">
        <f>SUM(D4:D5)</f>
        <v>154670.52713155714</v>
      </c>
      <c r="E7" s="41">
        <f>SUM(E4:E5)</f>
        <v>13.838492402141791</v>
      </c>
      <c r="F7" s="41">
        <f>SUM(F4:F6)</f>
        <v>55.518033874995439</v>
      </c>
      <c r="G7" s="41">
        <f t="shared" ref="G7:I7" si="0">SUM(G4:G6)</f>
        <v>87118.951257954774</v>
      </c>
      <c r="H7" s="41">
        <f t="shared" si="0"/>
        <v>7866.5635989003522</v>
      </c>
      <c r="I7" s="41">
        <f t="shared" si="0"/>
        <v>54944.231755177709</v>
      </c>
      <c r="J7" s="41">
        <f>SUM(J4:J5)</f>
        <v>43857.307643928616</v>
      </c>
      <c r="K7" s="41">
        <f>SUM(K4:K6)</f>
        <v>0</v>
      </c>
      <c r="W7" t="s">
        <v>131</v>
      </c>
      <c r="Y7" s="41">
        <f>SUM(Y4:Y5)</f>
        <v>0</v>
      </c>
      <c r="Z7" s="41"/>
    </row>
    <row r="8" spans="1:31">
      <c r="A8" t="s">
        <v>868</v>
      </c>
      <c r="B8" s="45">
        <v>0.1</v>
      </c>
      <c r="C8" s="46">
        <f>C7*B8</f>
        <v>30833.85901803126</v>
      </c>
      <c r="D8" s="46">
        <f>D7*B8</f>
        <v>15467.052713155716</v>
      </c>
      <c r="E8" s="46">
        <f>E7*B8</f>
        <v>1.3838492402141791</v>
      </c>
      <c r="G8" s="46">
        <f>G$7*$B8</f>
        <v>8711.8951257954777</v>
      </c>
      <c r="H8" s="46">
        <f t="shared" ref="H8:I8" si="1">H$7*$B8</f>
        <v>786.65635989003522</v>
      </c>
      <c r="I8" s="46">
        <f t="shared" si="1"/>
        <v>5494.4231755177716</v>
      </c>
      <c r="J8" s="46">
        <v>0</v>
      </c>
      <c r="K8" s="46">
        <v>0</v>
      </c>
      <c r="L8" s="7" t="s">
        <v>132</v>
      </c>
      <c r="W8" t="s">
        <v>138</v>
      </c>
      <c r="X8" s="45"/>
      <c r="Y8" s="41">
        <f>Y7-Y24*Y7</f>
        <v>0</v>
      </c>
      <c r="Z8" s="41"/>
      <c r="AB8" s="7"/>
    </row>
    <row r="9" spans="1:31">
      <c r="A9" t="s">
        <v>866</v>
      </c>
      <c r="B9" s="45">
        <v>1</v>
      </c>
      <c r="C9" s="46"/>
      <c r="D9" s="46"/>
      <c r="F9" s="41">
        <f>F7*B9</f>
        <v>55.518033874995439</v>
      </c>
      <c r="G9" s="46"/>
      <c r="H9" s="46"/>
      <c r="I9" s="46"/>
      <c r="J9" s="46"/>
      <c r="K9" s="46">
        <f>B9*K7</f>
        <v>0</v>
      </c>
      <c r="L9" s="7" t="s">
        <v>864</v>
      </c>
      <c r="X9" s="45"/>
      <c r="Y9" s="41"/>
      <c r="Z9" s="41"/>
      <c r="AB9" s="7"/>
    </row>
    <row r="10" spans="1:31">
      <c r="A10" t="s">
        <v>134</v>
      </c>
      <c r="B10" s="45">
        <v>0.33</v>
      </c>
      <c r="C10" s="41">
        <f>(C7+C8)*B10</f>
        <v>111926.90823545348</v>
      </c>
      <c r="D10" s="41">
        <f>(D7+D8)*B10</f>
        <v>56145.401348755244</v>
      </c>
      <c r="E10" s="41">
        <f>(E7+E8)*B10</f>
        <v>5.0233727419774699</v>
      </c>
      <c r="G10" s="46">
        <f>(G$7+G$8)*$B10</f>
        <v>31624.179306637583</v>
      </c>
      <c r="H10" s="46">
        <f t="shared" ref="H10:I12" si="2">(H$7+H$8)*$B10</f>
        <v>2855.562586400828</v>
      </c>
      <c r="I10" s="46">
        <f t="shared" si="2"/>
        <v>19944.756127129509</v>
      </c>
      <c r="J10" s="46">
        <f>B10*$J$7</f>
        <v>14472.911522496444</v>
      </c>
      <c r="K10" s="46"/>
      <c r="L10" s="7" t="s">
        <v>135</v>
      </c>
      <c r="W10" t="s">
        <v>869</v>
      </c>
      <c r="Y10" s="6">
        <v>0.9</v>
      </c>
      <c r="Z10" s="259" t="s">
        <v>870</v>
      </c>
    </row>
    <row r="11" spans="1:31">
      <c r="A11" t="s">
        <v>136</v>
      </c>
      <c r="B11" s="45">
        <v>0.21</v>
      </c>
      <c r="C11" s="41">
        <f>(C7+C8-C10)*B11</f>
        <v>47721.563602206974</v>
      </c>
      <c r="D11" s="41">
        <f>(D7+D8-D10)*B11</f>
        <v>23938.3574841511</v>
      </c>
      <c r="E11" s="41">
        <f>(E7+E8-E10)*B11</f>
        <v>2.1417834690794848</v>
      </c>
      <c r="G11" s="46">
        <f t="shared" ref="G11:G12" si="3">(G$7+G$8)*$B11</f>
        <v>20124.47774058755</v>
      </c>
      <c r="H11" s="46">
        <f t="shared" si="2"/>
        <v>1817.1761913459811</v>
      </c>
      <c r="I11" s="46">
        <f t="shared" si="2"/>
        <v>12692.117535446052</v>
      </c>
      <c r="J11" s="46">
        <f t="shared" ref="J11:J12" si="4">B11*$J$7</f>
        <v>9210.0346052250097</v>
      </c>
      <c r="K11" s="46"/>
      <c r="L11" s="7" t="s">
        <v>135</v>
      </c>
      <c r="W11" t="s">
        <v>871</v>
      </c>
      <c r="Y11" s="6">
        <v>0.1</v>
      </c>
      <c r="Z11" s="259" t="s">
        <v>870</v>
      </c>
    </row>
    <row r="12" spans="1:31">
      <c r="A12" t="s">
        <v>137</v>
      </c>
      <c r="B12" s="52">
        <v>0</v>
      </c>
      <c r="C12" s="47">
        <v>0</v>
      </c>
      <c r="D12" s="47">
        <v>0</v>
      </c>
      <c r="E12" s="47">
        <v>1</v>
      </c>
      <c r="F12" s="7"/>
      <c r="G12" s="46">
        <f t="shared" si="3"/>
        <v>0</v>
      </c>
      <c r="H12" s="46">
        <f t="shared" si="2"/>
        <v>0</v>
      </c>
      <c r="I12" s="46">
        <f t="shared" si="2"/>
        <v>0</v>
      </c>
      <c r="J12" s="46">
        <f t="shared" si="4"/>
        <v>0</v>
      </c>
      <c r="K12" s="46"/>
      <c r="L12" s="5" t="s">
        <v>130</v>
      </c>
      <c r="W12" t="s">
        <v>872</v>
      </c>
      <c r="X12" s="52"/>
      <c r="Y12" s="47">
        <f>Y10*Y24*Y7</f>
        <v>0</v>
      </c>
      <c r="Z12" s="41"/>
      <c r="AB12" s="7"/>
    </row>
    <row r="13" spans="1:31">
      <c r="A13" t="s">
        <v>138</v>
      </c>
      <c r="C13" s="41">
        <f>C7+C8-C10-C11-C12</f>
        <v>179523.97736068341</v>
      </c>
      <c r="D13" s="41">
        <f>D7+D8-D10-D11-D12</f>
        <v>90053.821011806518</v>
      </c>
      <c r="E13" s="41">
        <f>E7+E8-E10-E11-E12</f>
        <v>7.0571854312990148</v>
      </c>
      <c r="F13" s="41">
        <f>F7-F9</f>
        <v>0</v>
      </c>
      <c r="G13" s="41">
        <f>G7+G8-G10-G11-G12</f>
        <v>44082.189336525116</v>
      </c>
      <c r="H13" s="41">
        <f t="shared" ref="H13:I13" si="5">H7+H8-H10-H11-H12</f>
        <v>3980.4811810435776</v>
      </c>
      <c r="I13" s="41">
        <f t="shared" si="5"/>
        <v>27801.781268119921</v>
      </c>
      <c r="J13" s="41">
        <f>J7-SUM(J10:J12)</f>
        <v>20174.361516207162</v>
      </c>
      <c r="K13" s="41">
        <f>K7-SUM(K9:K12)</f>
        <v>0</v>
      </c>
      <c r="W13" t="s">
        <v>873</v>
      </c>
      <c r="X13" s="52"/>
      <c r="Y13" s="47">
        <f>Y11*Y18*Y7</f>
        <v>0</v>
      </c>
      <c r="Z13" s="41"/>
      <c r="AB13" s="7"/>
    </row>
    <row r="14" spans="1:31">
      <c r="W14" t="s">
        <v>874</v>
      </c>
      <c r="Y14" s="41">
        <f>Y7-Y12-Y13</f>
        <v>0</v>
      </c>
      <c r="Z14" s="47"/>
      <c r="AA14" s="7"/>
      <c r="AB14" s="5" t="s">
        <v>130</v>
      </c>
    </row>
    <row r="15" spans="1:31">
      <c r="A15" t="s">
        <v>168</v>
      </c>
      <c r="B15" s="53">
        <f>100%</f>
        <v>1</v>
      </c>
      <c r="C15" s="53">
        <f>100%</f>
        <v>1</v>
      </c>
      <c r="G15" s="53"/>
      <c r="H15" s="53"/>
      <c r="I15" s="53"/>
      <c r="J15" s="53"/>
      <c r="K15" s="53"/>
      <c r="L15" s="51" t="s">
        <v>373</v>
      </c>
      <c r="W15" t="s">
        <v>875</v>
      </c>
      <c r="Y15" s="41">
        <f>-(Y7-Y14)</f>
        <v>0</v>
      </c>
      <c r="Z15" s="47"/>
      <c r="AA15" s="7"/>
      <c r="AB15" s="5"/>
    </row>
    <row r="16" spans="1:31">
      <c r="A16" t="s">
        <v>169</v>
      </c>
      <c r="B16" s="53">
        <v>0.5</v>
      </c>
      <c r="C16" s="53">
        <v>1</v>
      </c>
      <c r="G16" s="53"/>
      <c r="H16" s="53"/>
      <c r="I16" s="53"/>
      <c r="J16" s="53"/>
      <c r="K16" s="53"/>
      <c r="L16" s="51" t="s">
        <v>373</v>
      </c>
      <c r="O16" s="38"/>
      <c r="P16" s="38"/>
      <c r="Z16" s="41"/>
      <c r="AA16" s="7"/>
    </row>
    <row r="17" spans="1:31">
      <c r="B17" s="53"/>
      <c r="O17" s="38"/>
      <c r="P17" s="38"/>
    </row>
    <row r="18" spans="1:31">
      <c r="B18" t="s">
        <v>173</v>
      </c>
      <c r="C18" t="s">
        <v>376</v>
      </c>
      <c r="D18" t="s">
        <v>377</v>
      </c>
      <c r="O18" s="38"/>
      <c r="P18" s="38"/>
      <c r="W18" t="s">
        <v>876</v>
      </c>
      <c r="X18" s="53"/>
      <c r="Y18" s="52">
        <v>1</v>
      </c>
      <c r="Z18" s="259" t="s">
        <v>870</v>
      </c>
    </row>
    <row r="19" spans="1:31">
      <c r="A19" t="s">
        <v>170</v>
      </c>
      <c r="B19" s="52">
        <v>0.1</v>
      </c>
      <c r="C19" s="52">
        <v>0.1</v>
      </c>
      <c r="D19" s="52">
        <v>0.2</v>
      </c>
      <c r="X19" s="53"/>
      <c r="Z19" s="51"/>
      <c r="AE19" s="38"/>
    </row>
    <row r="20" spans="1:31">
      <c r="A20" t="s">
        <v>171</v>
      </c>
      <c r="B20" s="52">
        <v>0.4</v>
      </c>
      <c r="C20" s="52">
        <v>0.5</v>
      </c>
      <c r="D20" s="52">
        <v>0.7</v>
      </c>
      <c r="O20" s="38"/>
      <c r="P20" s="38"/>
      <c r="X20" s="53"/>
      <c r="AE20" s="38"/>
    </row>
    <row r="21" spans="1:31">
      <c r="A21" t="s">
        <v>172</v>
      </c>
      <c r="B21" s="52">
        <v>1</v>
      </c>
      <c r="C21" s="52">
        <v>1</v>
      </c>
      <c r="D21" s="52">
        <v>1</v>
      </c>
      <c r="O21" s="38"/>
      <c r="P21" s="38"/>
      <c r="AE21" s="38"/>
    </row>
    <row r="22" spans="1:31">
      <c r="A22" s="51" t="s">
        <v>201</v>
      </c>
      <c r="B22" s="164" t="s">
        <v>375</v>
      </c>
      <c r="C22" s="51" t="s">
        <v>374</v>
      </c>
      <c r="D22" s="51" t="s">
        <v>374</v>
      </c>
      <c r="O22" s="38"/>
      <c r="P22" s="38"/>
      <c r="X22" s="52"/>
      <c r="Y22" s="52"/>
      <c r="Z22" s="52"/>
    </row>
    <row r="24" spans="1:31" s="716" customFormat="1">
      <c r="B24" s="721"/>
      <c r="C24" s="721"/>
    </row>
    <row r="25" spans="1:31" s="713" customFormat="1"/>
    <row r="26" spans="1:31" s="713" customFormat="1">
      <c r="C26" s="722"/>
      <c r="D26" s="723"/>
      <c r="E26" s="723"/>
    </row>
    <row r="27" spans="1:31" s="713" customFormat="1">
      <c r="B27" s="715"/>
      <c r="C27" s="722"/>
      <c r="D27" s="723"/>
      <c r="E27" s="723"/>
    </row>
    <row r="28" spans="1:31" s="713" customFormat="1">
      <c r="B28" s="715"/>
      <c r="C28" s="722"/>
      <c r="D28" s="723"/>
      <c r="E28" s="723"/>
    </row>
    <row r="29" spans="1:31" s="713" customFormat="1">
      <c r="B29" s="715"/>
      <c r="C29" s="722"/>
      <c r="D29" s="723"/>
      <c r="E29" s="723"/>
    </row>
    <row r="30" spans="1:31" s="713" customFormat="1">
      <c r="B30" s="715"/>
      <c r="C30" s="722"/>
      <c r="D30" s="723"/>
      <c r="E30" s="723"/>
    </row>
    <row r="31" spans="1:31" s="713" customFormat="1">
      <c r="B31" s="715"/>
      <c r="C31" s="722"/>
      <c r="D31" s="723"/>
      <c r="E31" s="723"/>
    </row>
    <row r="32" spans="1:31" s="713" customFormat="1"/>
    <row r="33" spans="1:14" s="713" customFormat="1"/>
    <row r="34" spans="1:14" s="713" customFormat="1">
      <c r="A34" s="724"/>
    </row>
    <row r="35" spans="1:14" s="713" customFormat="1"/>
    <row r="36" spans="1:14" s="713" customFormat="1"/>
    <row r="37" spans="1:14" s="713" customFormat="1">
      <c r="C37" s="715"/>
      <c r="F37" s="715"/>
      <c r="G37" s="715"/>
      <c r="H37" s="715"/>
      <c r="I37" s="715"/>
      <c r="J37" s="715"/>
      <c r="K37" s="715"/>
      <c r="L37" s="715"/>
      <c r="M37" s="715"/>
      <c r="N37" s="715"/>
    </row>
    <row r="38" spans="1:14" s="713" customFormat="1">
      <c r="C38" s="715"/>
    </row>
    <row r="39" spans="1:14" s="713" customFormat="1">
      <c r="C39" s="715"/>
    </row>
    <row r="40" spans="1:14" s="713" customFormat="1">
      <c r="C40" s="715"/>
    </row>
    <row r="41" spans="1:14" s="713" customFormat="1">
      <c r="C41" s="715"/>
    </row>
    <row r="42" spans="1:14" s="713" customFormat="1">
      <c r="B42" s="725"/>
    </row>
    <row r="43" spans="1:14" s="713" customFormat="1"/>
    <row r="44" spans="1:14" s="713" customFormat="1"/>
    <row r="45" spans="1:14" s="713" customFormat="1"/>
    <row r="46" spans="1:14" s="713" customFormat="1">
      <c r="B46" s="715"/>
      <c r="C46" s="726"/>
    </row>
    <row r="47" spans="1:14" s="713" customFormat="1">
      <c r="B47" s="715"/>
      <c r="C47" s="726"/>
    </row>
    <row r="48" spans="1:14" s="713" customFormat="1"/>
    <row r="49" s="713" customFormat="1"/>
    <row r="50" s="713" customFormat="1"/>
  </sheetData>
  <phoneticPr fontId="20" type="noConversion"/>
  <hyperlinks>
    <hyperlink ref="L5" r:id="rId1" xr:uid="{1DAB214B-1E6F-4E68-9A32-7D44F207471D}"/>
    <hyperlink ref="L12" r:id="rId2" xr:uid="{A8F2143D-1F21-4463-8865-588736ADDA79}"/>
    <hyperlink ref="AB5" r:id="rId3" xr:uid="{235B00F2-9E61-4A6E-9D54-D409E42F4CE3}"/>
    <hyperlink ref="AB14" r:id="rId4" xr:uid="{D7A93D59-9E2E-4006-B1B2-5470A8697C00}"/>
  </hyperlinks>
  <pageMargins left="0.7" right="0.7" top="0.75" bottom="0.75" header="0.3" footer="0.3"/>
  <drawing r:id="rId5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8829C-C842-48F4-9D0D-E5E448B6756A}">
  <sheetPr>
    <tabColor rgb="FFFF0000"/>
  </sheetPr>
  <dimension ref="A1:R22"/>
  <sheetViews>
    <sheetView workbookViewId="0">
      <selection activeCell="K13" sqref="K13:N23"/>
    </sheetView>
  </sheetViews>
  <sheetFormatPr defaultRowHeight="14.75"/>
  <cols>
    <col min="1" max="1" width="30.36328125" customWidth="1"/>
    <col min="2" max="2" width="13.08984375" customWidth="1"/>
  </cols>
  <sheetData>
    <row r="1" spans="1:18">
      <c r="A1" s="43" t="s">
        <v>124</v>
      </c>
      <c r="B1" s="43"/>
      <c r="C1" s="43"/>
      <c r="D1" s="43"/>
      <c r="E1" s="43"/>
      <c r="F1" s="43"/>
      <c r="G1" s="1"/>
      <c r="H1" s="1"/>
      <c r="I1" s="1"/>
      <c r="J1" s="1"/>
    </row>
    <row r="2" spans="1:18" ht="15.5" thickBot="1">
      <c r="A2" s="42"/>
      <c r="B2" s="42" t="s">
        <v>143</v>
      </c>
      <c r="C2" s="42" t="s">
        <v>144</v>
      </c>
      <c r="D2" s="42" t="s">
        <v>4</v>
      </c>
      <c r="E2" s="42" t="s">
        <v>3</v>
      </c>
      <c r="F2" s="42" t="s">
        <v>878</v>
      </c>
      <c r="G2" s="42" t="s">
        <v>88</v>
      </c>
      <c r="H2" s="42" t="s">
        <v>797</v>
      </c>
      <c r="I2" s="42" t="s">
        <v>1301</v>
      </c>
      <c r="J2" s="42" t="s">
        <v>1447</v>
      </c>
      <c r="K2" t="s">
        <v>60</v>
      </c>
    </row>
    <row r="3" spans="1:18">
      <c r="B3" t="s">
        <v>126</v>
      </c>
      <c r="C3" t="s">
        <v>126</v>
      </c>
      <c r="D3" t="s">
        <v>127</v>
      </c>
      <c r="E3" t="s">
        <v>127</v>
      </c>
      <c r="F3" t="s">
        <v>127</v>
      </c>
      <c r="G3" t="s">
        <v>127</v>
      </c>
      <c r="H3" t="s">
        <v>127</v>
      </c>
      <c r="I3" t="s">
        <v>127</v>
      </c>
      <c r="J3" t="s">
        <v>127</v>
      </c>
      <c r="K3" t="s">
        <v>457</v>
      </c>
    </row>
    <row r="4" spans="1:18">
      <c r="A4" t="s">
        <v>128</v>
      </c>
      <c r="D4" s="41">
        <v>0</v>
      </c>
      <c r="E4" s="41">
        <f>'Demand - Ethylene'!J69*'Demand - Ethylene'!E2</f>
        <v>5757.6219164365802</v>
      </c>
      <c r="F4" s="40">
        <f>'Production - Industry shares'!L87</f>
        <v>5.8554420207598117E-7</v>
      </c>
      <c r="G4" s="41">
        <v>0</v>
      </c>
      <c r="H4" s="41">
        <f>'Production - Industry shares'!L116</f>
        <v>2047.0756011223905</v>
      </c>
      <c r="I4" s="41">
        <f>'Production - Industry shares'!L130</f>
        <v>19772.34084752823</v>
      </c>
      <c r="J4" s="40">
        <f>'Demand - C4'!I29</f>
        <v>858.35106600000074</v>
      </c>
    </row>
    <row r="5" spans="1:18">
      <c r="A5" t="s">
        <v>129</v>
      </c>
      <c r="B5" s="44"/>
      <c r="C5" s="44">
        <f>'Demand - Ethylene'!L69</f>
        <v>0</v>
      </c>
      <c r="D5" s="41">
        <v>0</v>
      </c>
      <c r="E5" s="41">
        <f>E4*(1+C5)^30-E4</f>
        <v>0</v>
      </c>
      <c r="F5" s="40">
        <f>F4*(1+C5)^30-F4</f>
        <v>0</v>
      </c>
      <c r="G5" s="41">
        <v>0</v>
      </c>
      <c r="H5" s="41">
        <f>H4*(1+'Demand - BTX'!L75)^30-H4</f>
        <v>0</v>
      </c>
      <c r="I5" s="41">
        <f>I4*(1+'Demand - BTX'!L75)^30-I4</f>
        <v>0</v>
      </c>
      <c r="J5" s="40">
        <f>'Demand - C4'!L29-'Demand - C4'!I29</f>
        <v>0</v>
      </c>
      <c r="K5" s="5" t="s">
        <v>456</v>
      </c>
    </row>
    <row r="6" spans="1:18">
      <c r="A6" t="s">
        <v>131</v>
      </c>
      <c r="D6" s="41">
        <v>0</v>
      </c>
      <c r="E6" s="41">
        <f>SUM(E4:E5)</f>
        <v>5757.6219164365802</v>
      </c>
      <c r="F6" s="229">
        <f>SUM(F4:F5)</f>
        <v>5.8554420207598117E-7</v>
      </c>
      <c r="G6" s="41">
        <f t="shared" ref="G6:I6" si="0">SUM(G4:G5)</f>
        <v>0</v>
      </c>
      <c r="H6" s="41">
        <f t="shared" si="0"/>
        <v>2047.0756011223905</v>
      </c>
      <c r="I6" s="41">
        <f t="shared" si="0"/>
        <v>19772.34084752823</v>
      </c>
      <c r="J6" s="40">
        <f>'Demand - C4'!L29</f>
        <v>858.35106600000074</v>
      </c>
    </row>
    <row r="7" spans="1:18">
      <c r="A7" t="s">
        <v>196</v>
      </c>
      <c r="C7" s="52">
        <v>0.25</v>
      </c>
      <c r="D7" s="41">
        <v>0</v>
      </c>
      <c r="E7" s="41">
        <f>E6*C7</f>
        <v>1439.4054791091451</v>
      </c>
      <c r="F7" s="229">
        <f>F6*C7</f>
        <v>1.4638605051899529E-7</v>
      </c>
      <c r="G7" s="41">
        <v>0</v>
      </c>
      <c r="H7" s="41">
        <f>H$6*$C7</f>
        <v>511.76890028059762</v>
      </c>
      <c r="I7" s="41">
        <f>I$6*$C7</f>
        <v>4943.0852118820576</v>
      </c>
      <c r="J7" s="40">
        <f>$J$6*C7</f>
        <v>214.58776650000019</v>
      </c>
      <c r="K7" s="5" t="s">
        <v>456</v>
      </c>
    </row>
    <row r="8" spans="1:18">
      <c r="A8" t="s">
        <v>198</v>
      </c>
      <c r="C8" s="52">
        <v>0.34</v>
      </c>
      <c r="D8" s="41">
        <v>0</v>
      </c>
      <c r="E8" s="41">
        <f>E6*C8</f>
        <v>1957.5914515884374</v>
      </c>
      <c r="F8" s="229">
        <f>F6*C8</f>
        <v>1.9908502870583362E-7</v>
      </c>
      <c r="G8" s="41">
        <v>0</v>
      </c>
      <c r="H8" s="41">
        <f t="shared" ref="H8:I10" si="1">H$6*$C8</f>
        <v>696.00570438161276</v>
      </c>
      <c r="I8" s="41">
        <f t="shared" si="1"/>
        <v>6722.5958881595989</v>
      </c>
      <c r="J8" s="40">
        <f t="shared" ref="J8:J10" si="2">$J$6*C8</f>
        <v>291.83936244000029</v>
      </c>
      <c r="K8" s="5" t="s">
        <v>456</v>
      </c>
    </row>
    <row r="9" spans="1:18">
      <c r="A9" t="s">
        <v>151</v>
      </c>
      <c r="B9" s="45"/>
      <c r="C9" s="45"/>
      <c r="D9" s="41">
        <v>0</v>
      </c>
      <c r="E9" s="46">
        <f>SUM(E7:E8)</f>
        <v>3396.9969306975827</v>
      </c>
      <c r="F9" s="488">
        <f>SUM(F7:F8)</f>
        <v>3.4547107922482894E-7</v>
      </c>
      <c r="G9" s="41">
        <f t="shared" ref="G9:J9" si="3">SUM(G7:G8)</f>
        <v>0</v>
      </c>
      <c r="H9" s="41">
        <f t="shared" si="3"/>
        <v>1207.7746046622103</v>
      </c>
      <c r="I9" s="41">
        <f t="shared" si="3"/>
        <v>11665.681100041656</v>
      </c>
      <c r="J9" s="40">
        <f t="shared" si="3"/>
        <v>506.42712894000044</v>
      </c>
    </row>
    <row r="10" spans="1:18">
      <c r="A10" t="s">
        <v>152</v>
      </c>
      <c r="B10" s="45"/>
      <c r="C10" s="52">
        <v>0.2</v>
      </c>
      <c r="D10" s="41">
        <v>0</v>
      </c>
      <c r="E10" s="46">
        <f>$E$6*C10</f>
        <v>1151.5243832873161</v>
      </c>
      <c r="F10" s="488">
        <f>$F$6*C10</f>
        <v>1.1710884041519624E-7</v>
      </c>
      <c r="G10" s="41">
        <v>0</v>
      </c>
      <c r="H10" s="41">
        <f t="shared" si="1"/>
        <v>409.41512022447813</v>
      </c>
      <c r="I10" s="41">
        <f t="shared" si="1"/>
        <v>3954.4681695056461</v>
      </c>
      <c r="J10" s="40">
        <f t="shared" si="2"/>
        <v>171.67021320000015</v>
      </c>
      <c r="K10" t="s">
        <v>646</v>
      </c>
    </row>
    <row r="11" spans="1:18">
      <c r="A11" t="s">
        <v>138</v>
      </c>
      <c r="B11" s="45"/>
      <c r="D11" s="41">
        <v>0</v>
      </c>
      <c r="E11" s="41">
        <f>E6-E9-E10</f>
        <v>1209.1006024516814</v>
      </c>
      <c r="F11" s="229">
        <f>F6-F9-F10</f>
        <v>1.2296428243595601E-7</v>
      </c>
      <c r="G11" s="41">
        <f t="shared" ref="G11:I11" si="4">G6-G9-G10</f>
        <v>0</v>
      </c>
      <c r="H11" s="41">
        <f>H6-H9-H10</f>
        <v>429.88587623570203</v>
      </c>
      <c r="I11" s="41">
        <f t="shared" si="4"/>
        <v>4152.1915779809278</v>
      </c>
      <c r="J11" s="40">
        <f>J6-J9-J10</f>
        <v>180.25372386000015</v>
      </c>
      <c r="K11" t="s">
        <v>647</v>
      </c>
      <c r="Q11">
        <f>47*1.021^35</f>
        <v>97.274460536518234</v>
      </c>
    </row>
    <row r="12" spans="1:18">
      <c r="Q12">
        <f>(28-6)/Q11</f>
        <v>0.22616419436981491</v>
      </c>
      <c r="R12" s="195" t="s">
        <v>648</v>
      </c>
    </row>
    <row r="13" spans="1:18">
      <c r="A13" t="s">
        <v>168</v>
      </c>
      <c r="B13" s="53">
        <f>100%</f>
        <v>1</v>
      </c>
    </row>
    <row r="14" spans="1:18">
      <c r="A14" t="s">
        <v>169</v>
      </c>
      <c r="B14" s="53">
        <v>0.5</v>
      </c>
    </row>
    <row r="15" spans="1:18">
      <c r="B15" s="53"/>
    </row>
    <row r="16" spans="1:18">
      <c r="B16" t="s">
        <v>197</v>
      </c>
      <c r="C16" t="s">
        <v>198</v>
      </c>
      <c r="D16" t="s">
        <v>199</v>
      </c>
      <c r="L16" s="38"/>
      <c r="M16" s="38"/>
      <c r="N16" s="38"/>
    </row>
    <row r="17" spans="1:14">
      <c r="A17" t="s">
        <v>170</v>
      </c>
      <c r="B17" s="52">
        <v>0.7</v>
      </c>
      <c r="C17" s="52">
        <v>0.2</v>
      </c>
      <c r="D17" s="52">
        <v>0.33</v>
      </c>
      <c r="L17" s="38"/>
      <c r="M17" s="38"/>
      <c r="N17" s="38"/>
    </row>
    <row r="18" spans="1:14">
      <c r="A18" t="s">
        <v>171</v>
      </c>
      <c r="B18" s="52">
        <v>0.9</v>
      </c>
      <c r="C18" s="52">
        <v>0.5</v>
      </c>
      <c r="D18" s="52">
        <v>0.66</v>
      </c>
      <c r="L18" s="38"/>
      <c r="M18" s="38"/>
      <c r="N18" s="38"/>
    </row>
    <row r="19" spans="1:14">
      <c r="A19" t="s">
        <v>172</v>
      </c>
      <c r="B19" s="52">
        <v>1</v>
      </c>
      <c r="C19" s="52">
        <v>1</v>
      </c>
      <c r="D19" s="52">
        <v>1</v>
      </c>
    </row>
    <row r="20" spans="1:14">
      <c r="A20" s="51" t="s">
        <v>60</v>
      </c>
      <c r="B20" s="166" t="s">
        <v>253</v>
      </c>
      <c r="L20" s="38"/>
      <c r="M20" s="38"/>
      <c r="N20" s="38"/>
    </row>
    <row r="21" spans="1:14">
      <c r="L21" s="38"/>
      <c r="M21" s="38"/>
      <c r="N21" s="38"/>
    </row>
    <row r="22" spans="1:14">
      <c r="L22" s="38"/>
      <c r="M22" s="38"/>
      <c r="N22" s="38"/>
    </row>
  </sheetData>
  <hyperlinks>
    <hyperlink ref="K5" r:id="rId1" xr:uid="{417138E4-9296-490A-90BD-0D67BB8AD0AD}"/>
    <hyperlink ref="K7" r:id="rId2" xr:uid="{6A7C2740-3868-4DAA-9274-71A3B2DBB13C}"/>
    <hyperlink ref="K8" r:id="rId3" xr:uid="{DC75B207-FC8E-4A45-A135-7D9DB5DF1E03}"/>
  </hyperlinks>
  <pageMargins left="0.7" right="0.7" top="0.75" bottom="0.75" header="0.3" footer="0.3"/>
  <legacyDrawing r:id="rId4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B7391-1F5F-4469-ABB0-B9AF4AB6D648}">
  <sheetPr>
    <tabColor rgb="FFFF0000"/>
  </sheetPr>
  <dimension ref="A1:N21"/>
  <sheetViews>
    <sheetView topLeftCell="A2" workbookViewId="0">
      <selection activeCell="E13" sqref="E13:I26"/>
    </sheetView>
  </sheetViews>
  <sheetFormatPr defaultRowHeight="14.75"/>
  <cols>
    <col min="1" max="1" width="30.36328125" customWidth="1"/>
    <col min="2" max="2" width="25.36328125" customWidth="1"/>
    <col min="3" max="4" width="12.81640625" customWidth="1"/>
  </cols>
  <sheetData>
    <row r="1" spans="1:14">
      <c r="A1" s="43" t="s">
        <v>124</v>
      </c>
      <c r="B1" s="43"/>
      <c r="C1" s="43"/>
      <c r="D1" s="43"/>
      <c r="E1" s="43"/>
      <c r="F1" s="43"/>
      <c r="G1" s="43"/>
      <c r="H1" s="43"/>
      <c r="I1" s="43"/>
      <c r="J1" s="43"/>
      <c r="K1" s="1"/>
    </row>
    <row r="2" spans="1:14" ht="15.5" thickBot="1">
      <c r="A2" s="42"/>
      <c r="B2" s="42" t="s">
        <v>879</v>
      </c>
      <c r="C2" s="42" t="s">
        <v>144</v>
      </c>
      <c r="D2" s="42" t="s">
        <v>1186</v>
      </c>
      <c r="E2" s="42" t="s">
        <v>4</v>
      </c>
      <c r="F2" s="42" t="s">
        <v>3</v>
      </c>
      <c r="G2" s="42" t="s">
        <v>796</v>
      </c>
      <c r="H2" s="42" t="s">
        <v>88</v>
      </c>
      <c r="I2" s="42" t="s">
        <v>797</v>
      </c>
      <c r="J2" s="42" t="s">
        <v>1301</v>
      </c>
      <c r="K2" s="42" t="s">
        <v>1447</v>
      </c>
      <c r="L2" t="s">
        <v>60</v>
      </c>
    </row>
    <row r="3" spans="1:14">
      <c r="B3" t="s">
        <v>126</v>
      </c>
      <c r="C3" t="s">
        <v>126</v>
      </c>
      <c r="E3" t="s">
        <v>127</v>
      </c>
      <c r="F3" t="s">
        <v>127</v>
      </c>
      <c r="G3" t="s">
        <v>127</v>
      </c>
      <c r="H3" t="s">
        <v>127</v>
      </c>
      <c r="I3" t="s">
        <v>127</v>
      </c>
      <c r="J3" t="s">
        <v>127</v>
      </c>
      <c r="K3" t="s">
        <v>127</v>
      </c>
    </row>
    <row r="4" spans="1:14">
      <c r="A4" t="s">
        <v>128</v>
      </c>
      <c r="E4" s="41">
        <f>'Demand - Propylene'!K53+'Demand - Propylene'!K55</f>
        <v>368256.4946039893</v>
      </c>
      <c r="F4" s="41">
        <f>'Demand - Ethylene'!K66+'Demand - Ethylene'!K68</f>
        <v>221658.86815837128</v>
      </c>
      <c r="G4" s="41">
        <f>'Production - Industry shares'!L88+'Production - Industry shares'!L85</f>
        <v>11.585622995344876</v>
      </c>
      <c r="H4" s="41">
        <f>'Production - Industry shares'!L103</f>
        <v>282151.9205470754</v>
      </c>
      <c r="I4" s="41">
        <f>'Production - Industry shares'!L117</f>
        <v>20566.060057343246</v>
      </c>
      <c r="J4" s="40">
        <f>'Production - Industry shares'!L131</f>
        <v>39959.441276492878</v>
      </c>
      <c r="K4" s="40">
        <f>'Demand - C4'!I30</f>
        <v>25253.845689000016</v>
      </c>
      <c r="L4" s="165"/>
    </row>
    <row r="5" spans="1:14">
      <c r="A5" t="s">
        <v>129</v>
      </c>
      <c r="B5" s="487">
        <f>'Demand - Propylene'!L53</f>
        <v>0</v>
      </c>
      <c r="C5" s="487">
        <f>'Demand - Ethylene'!L66</f>
        <v>0</v>
      </c>
      <c r="D5" s="487">
        <f>'Demand - Methanol'!N41</f>
        <v>1.4E-2</v>
      </c>
      <c r="E5" s="41">
        <f>E4*(1+B5)^30-E4</f>
        <v>0</v>
      </c>
      <c r="F5" s="41">
        <f>F4*(1+C5)^30-F4</f>
        <v>0</v>
      </c>
      <c r="G5" s="41">
        <f>G4*(1+D5)^30-G4</f>
        <v>5.9959627092652763</v>
      </c>
      <c r="H5" s="41">
        <f>H4*(1+'Demand - BTX'!L96)^30-H4</f>
        <v>0</v>
      </c>
      <c r="I5" s="41">
        <f>I4*(1+'Demand - BTX'!L96)^30-I4</f>
        <v>0</v>
      </c>
      <c r="J5" s="41">
        <f>J4*(1+'Demand - BTX'!L96)^30-J4</f>
        <v>0</v>
      </c>
      <c r="K5" s="41">
        <f>'Demand - C4'!L30-'Demand - C4'!I30</f>
        <v>0</v>
      </c>
      <c r="L5" s="67"/>
    </row>
    <row r="6" spans="1:14">
      <c r="A6" t="s">
        <v>131</v>
      </c>
      <c r="E6" s="41">
        <f>SUM(E4:E5)</f>
        <v>368256.4946039893</v>
      </c>
      <c r="F6" s="41">
        <f>SUM(F4:F5)</f>
        <v>221658.86815837128</v>
      </c>
      <c r="G6" s="41">
        <f>SUM(G4:G5)</f>
        <v>17.581585704610152</v>
      </c>
      <c r="H6" s="41">
        <f t="shared" ref="H6:K6" si="0">SUM(H4:H5)</f>
        <v>282151.9205470754</v>
      </c>
      <c r="I6" s="41">
        <f t="shared" si="0"/>
        <v>20566.060057343246</v>
      </c>
      <c r="J6" s="41">
        <f t="shared" si="0"/>
        <v>39959.441276492878</v>
      </c>
      <c r="K6" s="41">
        <f t="shared" si="0"/>
        <v>25253.845689000016</v>
      </c>
    </row>
    <row r="7" spans="1:14">
      <c r="A7" t="s">
        <v>151</v>
      </c>
      <c r="B7" s="52">
        <v>0.15</v>
      </c>
      <c r="C7" s="52">
        <v>0.15</v>
      </c>
      <c r="D7" s="52">
        <v>0.15</v>
      </c>
      <c r="E7" s="46">
        <f>$E$6*B7</f>
        <v>55238.47419059839</v>
      </c>
      <c r="F7" s="46">
        <f>$F$6*C7</f>
        <v>33248.830223755693</v>
      </c>
      <c r="G7" s="46">
        <f>G$6*$B7</f>
        <v>2.6372378556915228</v>
      </c>
      <c r="H7" s="46">
        <f t="shared" ref="H7:J8" si="1">H$6*$B7</f>
        <v>42322.788082061306</v>
      </c>
      <c r="I7" s="46">
        <f t="shared" si="1"/>
        <v>3084.9090086014867</v>
      </c>
      <c r="J7" s="46">
        <f t="shared" si="1"/>
        <v>5993.9161914739316</v>
      </c>
      <c r="K7" s="46">
        <f>$K$6*D7</f>
        <v>3788.0768533500022</v>
      </c>
      <c r="L7" s="51" t="s">
        <v>385</v>
      </c>
    </row>
    <row r="8" spans="1:14">
      <c r="A8" t="s">
        <v>152</v>
      </c>
      <c r="B8" s="52">
        <v>0.05</v>
      </c>
      <c r="C8" s="52">
        <v>0.05</v>
      </c>
      <c r="D8" s="52">
        <v>0.05</v>
      </c>
      <c r="E8" s="46">
        <f>$E$6*B8</f>
        <v>18412.824730199467</v>
      </c>
      <c r="F8" s="46">
        <f>$F$6*C8</f>
        <v>11082.943407918565</v>
      </c>
      <c r="G8" s="46">
        <f>$G$6*D8</f>
        <v>0.8790792852305076</v>
      </c>
      <c r="H8" s="46">
        <f t="shared" si="1"/>
        <v>14107.596027353771</v>
      </c>
      <c r="I8" s="46">
        <f t="shared" si="1"/>
        <v>1028.3030028671624</v>
      </c>
      <c r="J8" s="46">
        <f t="shared" si="1"/>
        <v>1997.972063824644</v>
      </c>
      <c r="K8" s="46">
        <f>$K$6*D8</f>
        <v>1262.6922844500009</v>
      </c>
      <c r="L8" s="51" t="s">
        <v>385</v>
      </c>
    </row>
    <row r="9" spans="1:14">
      <c r="A9" t="s">
        <v>138</v>
      </c>
      <c r="B9" s="45"/>
      <c r="E9" s="41">
        <f>E6-E7-E8</f>
        <v>294605.19568319141</v>
      </c>
      <c r="F9" s="41">
        <f>F6-F7-F8</f>
        <v>177327.09452669701</v>
      </c>
      <c r="G9" s="41">
        <f>G6-G7-G8</f>
        <v>14.065268563688122</v>
      </c>
      <c r="H9" s="41">
        <f t="shared" ref="H9:K9" si="2">H6-H7-H8</f>
        <v>225721.53643766031</v>
      </c>
      <c r="I9" s="41">
        <f t="shared" si="2"/>
        <v>16452.848045874594</v>
      </c>
      <c r="J9" s="41">
        <f t="shared" si="2"/>
        <v>31967.553021194304</v>
      </c>
      <c r="K9" s="41">
        <f t="shared" si="2"/>
        <v>20203.076551200014</v>
      </c>
    </row>
    <row r="11" spans="1:14">
      <c r="A11" t="s">
        <v>168</v>
      </c>
      <c r="B11" s="53">
        <f>100%</f>
        <v>1</v>
      </c>
    </row>
    <row r="12" spans="1:14">
      <c r="A12" t="s">
        <v>169</v>
      </c>
      <c r="B12" s="53">
        <v>0.5</v>
      </c>
    </row>
    <row r="13" spans="1:14">
      <c r="B13" s="53"/>
    </row>
    <row r="14" spans="1:14">
      <c r="B14" t="s">
        <v>383</v>
      </c>
      <c r="C14" t="s">
        <v>199</v>
      </c>
    </row>
    <row r="15" spans="1:14">
      <c r="A15" t="s">
        <v>170</v>
      </c>
      <c r="B15" s="52">
        <v>0.33</v>
      </c>
      <c r="C15" s="52">
        <v>0.33</v>
      </c>
      <c r="D15" s="52"/>
      <c r="F15" s="38"/>
      <c r="G15" s="38"/>
      <c r="N15" s="38"/>
    </row>
    <row r="16" spans="1:14">
      <c r="A16" t="s">
        <v>171</v>
      </c>
      <c r="B16" s="52">
        <v>0.66</v>
      </c>
      <c r="C16" s="52">
        <v>0.66</v>
      </c>
      <c r="D16" s="52"/>
      <c r="F16" s="38"/>
      <c r="G16" s="38"/>
      <c r="N16" s="38"/>
    </row>
    <row r="17" spans="1:14">
      <c r="A17" t="s">
        <v>172</v>
      </c>
      <c r="B17" s="52">
        <v>1</v>
      </c>
      <c r="C17" s="52">
        <v>1</v>
      </c>
      <c r="D17" s="52"/>
      <c r="F17" s="38"/>
      <c r="G17" s="38"/>
      <c r="N17" s="38"/>
    </row>
    <row r="18" spans="1:14">
      <c r="A18" s="51" t="s">
        <v>60</v>
      </c>
      <c r="B18" s="166" t="s">
        <v>384</v>
      </c>
    </row>
    <row r="19" spans="1:14">
      <c r="F19" s="38"/>
      <c r="G19" s="38"/>
      <c r="N19" s="38"/>
    </row>
    <row r="20" spans="1:14">
      <c r="F20" s="38"/>
      <c r="G20" s="38"/>
      <c r="N20" s="38"/>
    </row>
    <row r="21" spans="1:14">
      <c r="F21" s="38"/>
      <c r="G21" s="38"/>
      <c r="N21" s="38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FFB92-9953-4830-B180-5AABF3C7FD31}">
  <sheetPr>
    <tabColor theme="4"/>
  </sheetPr>
  <dimension ref="A1:BL292"/>
  <sheetViews>
    <sheetView zoomScale="70" zoomScaleNormal="70" workbookViewId="0">
      <selection activeCell="AI167" sqref="AI167"/>
    </sheetView>
  </sheetViews>
  <sheetFormatPr defaultRowHeight="14.75" outlineLevelRow="2" outlineLevelCol="1"/>
  <cols>
    <col min="1" max="1" width="64.26953125" customWidth="1"/>
    <col min="2" max="2" width="15.36328125" style="51" bestFit="1" customWidth="1"/>
    <col min="3" max="3" width="12.76953125" style="101" bestFit="1" customWidth="1"/>
    <col min="4" max="12" width="8.81640625" style="101" hidden="1" customWidth="1" outlineLevel="1"/>
    <col min="13" max="13" width="10.36328125" style="101" customWidth="1" collapsed="1"/>
    <col min="14" max="22" width="8.81640625" style="101" hidden="1" customWidth="1" outlineLevel="1"/>
    <col min="23" max="23" width="12.76953125" style="101" bestFit="1" customWidth="1" collapsed="1"/>
    <col min="24" max="32" width="8.81640625" style="101" hidden="1" customWidth="1" outlineLevel="1"/>
    <col min="33" max="33" width="13.86328125" style="101" bestFit="1" customWidth="1" collapsed="1"/>
    <col min="35" max="35" width="52.81640625" bestFit="1" customWidth="1"/>
    <col min="36" max="36" width="30.36328125" style="3" customWidth="1"/>
    <col min="37" max="37" width="13.26953125" customWidth="1"/>
    <col min="38" max="38" width="20.36328125" bestFit="1" customWidth="1"/>
    <col min="41" max="41" width="17.81640625" customWidth="1"/>
    <col min="42" max="42" width="18.08984375" customWidth="1"/>
    <col min="44" max="44" width="10.36328125" customWidth="1"/>
    <col min="47" max="47" width="20.08984375" bestFit="1" customWidth="1"/>
    <col min="55" max="55" width="49" bestFit="1" customWidth="1"/>
    <col min="56" max="56" width="8.81640625" customWidth="1"/>
  </cols>
  <sheetData>
    <row r="1" spans="1:47">
      <c r="C1" s="591">
        <v>2020</v>
      </c>
      <c r="D1" s="591">
        <f>C1+1</f>
        <v>2021</v>
      </c>
      <c r="E1" s="591">
        <f t="shared" ref="E1:L1" si="0">D1+1</f>
        <v>2022</v>
      </c>
      <c r="F1" s="591">
        <f t="shared" si="0"/>
        <v>2023</v>
      </c>
      <c r="G1" s="591">
        <f t="shared" si="0"/>
        <v>2024</v>
      </c>
      <c r="H1" s="591">
        <f t="shared" si="0"/>
        <v>2025</v>
      </c>
      <c r="I1" s="591">
        <f t="shared" si="0"/>
        <v>2026</v>
      </c>
      <c r="J1" s="591">
        <f t="shared" si="0"/>
        <v>2027</v>
      </c>
      <c r="K1" s="591">
        <f t="shared" si="0"/>
        <v>2028</v>
      </c>
      <c r="L1" s="591">
        <f t="shared" si="0"/>
        <v>2029</v>
      </c>
      <c r="M1" s="591">
        <v>2030</v>
      </c>
      <c r="N1" s="591">
        <f>M1+1</f>
        <v>2031</v>
      </c>
      <c r="O1" s="591">
        <f t="shared" ref="O1:V1" si="1">N1+1</f>
        <v>2032</v>
      </c>
      <c r="P1" s="591">
        <f t="shared" si="1"/>
        <v>2033</v>
      </c>
      <c r="Q1" s="591">
        <f t="shared" si="1"/>
        <v>2034</v>
      </c>
      <c r="R1" s="591">
        <f t="shared" si="1"/>
        <v>2035</v>
      </c>
      <c r="S1" s="591">
        <f t="shared" si="1"/>
        <v>2036</v>
      </c>
      <c r="T1" s="591">
        <f t="shared" si="1"/>
        <v>2037</v>
      </c>
      <c r="U1" s="591">
        <f t="shared" si="1"/>
        <v>2038</v>
      </c>
      <c r="V1" s="591">
        <f t="shared" si="1"/>
        <v>2039</v>
      </c>
      <c r="W1" s="591">
        <v>2040</v>
      </c>
      <c r="X1" s="591">
        <f>W1+1</f>
        <v>2041</v>
      </c>
      <c r="Y1" s="591">
        <f t="shared" ref="Y1:AF1" si="2">X1+1</f>
        <v>2042</v>
      </c>
      <c r="Z1" s="591">
        <f t="shared" si="2"/>
        <v>2043</v>
      </c>
      <c r="AA1" s="591">
        <f t="shared" si="2"/>
        <v>2044</v>
      </c>
      <c r="AB1" s="591">
        <f t="shared" si="2"/>
        <v>2045</v>
      </c>
      <c r="AC1" s="591">
        <f t="shared" si="2"/>
        <v>2046</v>
      </c>
      <c r="AD1" s="591">
        <f t="shared" si="2"/>
        <v>2047</v>
      </c>
      <c r="AE1" s="591">
        <f t="shared" si="2"/>
        <v>2048</v>
      </c>
      <c r="AF1" s="591">
        <f t="shared" si="2"/>
        <v>2049</v>
      </c>
      <c r="AG1" s="591">
        <v>2050</v>
      </c>
      <c r="AI1" s="1" t="s">
        <v>67</v>
      </c>
      <c r="AJ1" s="151" t="s">
        <v>60</v>
      </c>
      <c r="AO1" s="1"/>
    </row>
    <row r="2" spans="1:47" ht="15.5" thickBot="1">
      <c r="A2" s="187" t="s">
        <v>267</v>
      </c>
      <c r="B2" s="206" t="s">
        <v>127</v>
      </c>
      <c r="C2" s="186">
        <f>SUM('Yearly Demand - Eth-Prop'!L3,'Yearly Demand - Eth-Prop'!L4,'Yearly Demand - C4'!O3,'Yearly Demand - BTX'!N3)*0.8</f>
        <v>5301378.929236711</v>
      </c>
      <c r="D2" s="186">
        <f>SUM('Yearly Demand - Eth-Prop'!M3,'Yearly Demand - Eth-Prop'!M4,'Yearly Demand - C4'!P3,'Yearly Demand - BTX'!O3)*0.8</f>
        <v>5301378.929236711</v>
      </c>
      <c r="E2" s="186">
        <f>SUM('Yearly Demand - Eth-Prop'!N3,'Yearly Demand - Eth-Prop'!N4,'Yearly Demand - C4'!Q3,'Yearly Demand - BTX'!P3)*0.8</f>
        <v>5301378.929236711</v>
      </c>
      <c r="F2" s="186">
        <f>SUM('Yearly Demand - Eth-Prop'!O3,'Yearly Demand - Eth-Prop'!O4,'Yearly Demand - C4'!R3,'Yearly Demand - BTX'!Q3)*0.8</f>
        <v>5301378.929236711</v>
      </c>
      <c r="G2" s="186">
        <f>SUM('Yearly Demand - Eth-Prop'!P3,'Yearly Demand - Eth-Prop'!P4,'Yearly Demand - C4'!S3,'Yearly Demand - BTX'!R3)*0.8</f>
        <v>5301378.929236711</v>
      </c>
      <c r="H2" s="186">
        <f>SUM('Yearly Demand - Eth-Prop'!Q3,'Yearly Demand - Eth-Prop'!Q4,'Yearly Demand - C4'!T3,'Yearly Demand - BTX'!S3)*0.8</f>
        <v>5301378.929236711</v>
      </c>
      <c r="I2" s="186">
        <f>SUM('Yearly Demand - Eth-Prop'!R3,'Yearly Demand - Eth-Prop'!R4,'Yearly Demand - C4'!U3,'Yearly Demand - BTX'!T3)*0.8</f>
        <v>5301378.929236711</v>
      </c>
      <c r="J2" s="186">
        <f>SUM('Yearly Demand - Eth-Prop'!S3,'Yearly Demand - Eth-Prop'!S4,'Yearly Demand - C4'!V3,'Yearly Demand - BTX'!U3)*0.8</f>
        <v>5301378.929236711</v>
      </c>
      <c r="K2" s="186">
        <f>SUM('Yearly Demand - Eth-Prop'!T3,'Yearly Demand - Eth-Prop'!T4,'Yearly Demand - C4'!W3,'Yearly Demand - BTX'!V3)*0.8</f>
        <v>5301378.929236711</v>
      </c>
      <c r="L2" s="186">
        <f>SUM('Yearly Demand - Eth-Prop'!U3,'Yearly Demand - Eth-Prop'!U4,'Yearly Demand - C4'!X3,'Yearly Demand - BTX'!W3)*0.8</f>
        <v>5301378.929236711</v>
      </c>
      <c r="M2" s="186">
        <f>SUM('Yearly Demand - Eth-Prop'!V3,'Yearly Demand - Eth-Prop'!V4,'Yearly Demand - C4'!Y3,'Yearly Demand - BTX'!X3)*0.8</f>
        <v>5301378.929236711</v>
      </c>
      <c r="N2" s="186">
        <f>SUM('Yearly Demand - Eth-Prop'!W3,'Yearly Demand - Eth-Prop'!W4,'Yearly Demand - C4'!Z3,'Yearly Demand - BTX'!Y3)*0.8</f>
        <v>5301378.929236711</v>
      </c>
      <c r="O2" s="186">
        <f>SUM('Yearly Demand - Eth-Prop'!X3,'Yearly Demand - Eth-Prop'!X4,'Yearly Demand - C4'!AA3,'Yearly Demand - BTX'!Z3)*0.8</f>
        <v>5301378.929236711</v>
      </c>
      <c r="P2" s="186">
        <f>SUM('Yearly Demand - Eth-Prop'!Y3,'Yearly Demand - Eth-Prop'!Y4,'Yearly Demand - C4'!AB3,'Yearly Demand - BTX'!AA3)*0.8</f>
        <v>5301378.929236711</v>
      </c>
      <c r="Q2" s="186">
        <f>SUM('Yearly Demand - Eth-Prop'!Z3,'Yearly Demand - Eth-Prop'!Z4,'Yearly Demand - C4'!AC3,'Yearly Demand - BTX'!AB3)*0.8</f>
        <v>5301378.929236711</v>
      </c>
      <c r="R2" s="186">
        <f>SUM('Yearly Demand - Eth-Prop'!AA3,'Yearly Demand - Eth-Prop'!AA4,'Yearly Demand - C4'!AD3,'Yearly Demand - BTX'!AC3)*0.8</f>
        <v>5301378.929236711</v>
      </c>
      <c r="S2" s="186">
        <f>SUM('Yearly Demand - Eth-Prop'!AB3,'Yearly Demand - Eth-Prop'!AB4,'Yearly Demand - C4'!AE3,'Yearly Demand - BTX'!AD3)*0.8</f>
        <v>5301378.929236711</v>
      </c>
      <c r="T2" s="186">
        <f>SUM('Yearly Demand - Eth-Prop'!AC3,'Yearly Demand - Eth-Prop'!AC4,'Yearly Demand - C4'!AF3,'Yearly Demand - BTX'!AE3)*0.8</f>
        <v>5301378.929236711</v>
      </c>
      <c r="U2" s="186">
        <f>SUM('Yearly Demand - Eth-Prop'!AD3,'Yearly Demand - Eth-Prop'!AD4,'Yearly Demand - C4'!AG3,'Yearly Demand - BTX'!AF3)*0.8</f>
        <v>5301378.929236711</v>
      </c>
      <c r="V2" s="186">
        <f>SUM('Yearly Demand - Eth-Prop'!AE3,'Yearly Demand - Eth-Prop'!AE4,'Yearly Demand - C4'!AH3,'Yearly Demand - BTX'!AG3)*0.8</f>
        <v>5301378.929236711</v>
      </c>
      <c r="W2" s="186">
        <f>SUM('Yearly Demand - Eth-Prop'!AF3,'Yearly Demand - Eth-Prop'!AF4,'Yearly Demand - C4'!AI3,'Yearly Demand - BTX'!AH3)*0.8</f>
        <v>5301378.929236711</v>
      </c>
      <c r="X2" s="186">
        <f>SUM('Yearly Demand - Eth-Prop'!AG3,'Yearly Demand - Eth-Prop'!AG4,'Yearly Demand - C4'!AJ3,'Yearly Demand - BTX'!AI3)*0.8</f>
        <v>5301378.929236711</v>
      </c>
      <c r="Y2" s="186">
        <f>SUM('Yearly Demand - Eth-Prop'!AH3,'Yearly Demand - Eth-Prop'!AH4,'Yearly Demand - C4'!AK3,'Yearly Demand - BTX'!AJ3)*0.8</f>
        <v>5301378.929236711</v>
      </c>
      <c r="Z2" s="186">
        <f>SUM('Yearly Demand - Eth-Prop'!AI3,'Yearly Demand - Eth-Prop'!AI4,'Yearly Demand - C4'!AL3,'Yearly Demand - BTX'!AK3)*0.8</f>
        <v>5301378.929236711</v>
      </c>
      <c r="AA2" s="186">
        <f>SUM('Yearly Demand - Eth-Prop'!AJ3,'Yearly Demand - Eth-Prop'!AJ4,'Yearly Demand - C4'!AM3,'Yearly Demand - BTX'!AL3)*0.8</f>
        <v>5301378.929236711</v>
      </c>
      <c r="AB2" s="186">
        <f>SUM('Yearly Demand - Eth-Prop'!AK3,'Yearly Demand - Eth-Prop'!AK4,'Yearly Demand - C4'!AN3,'Yearly Demand - BTX'!AM3)*0.8</f>
        <v>5301378.929236711</v>
      </c>
      <c r="AC2" s="186">
        <f>SUM('Yearly Demand - Eth-Prop'!AL3,'Yearly Demand - Eth-Prop'!AL4,'Yearly Demand - C4'!AO3,'Yearly Demand - BTX'!AN3)*0.8</f>
        <v>5301378.929236711</v>
      </c>
      <c r="AD2" s="186">
        <f>SUM('Yearly Demand - Eth-Prop'!AM3,'Yearly Demand - Eth-Prop'!AM4,'Yearly Demand - C4'!AP3,'Yearly Demand - BTX'!AO3)*0.8</f>
        <v>5301378.929236711</v>
      </c>
      <c r="AE2" s="186">
        <f>SUM('Yearly Demand - Eth-Prop'!AN3,'Yearly Demand - Eth-Prop'!AN4,'Yearly Demand - C4'!AQ3,'Yearly Demand - BTX'!AP3)*0.8</f>
        <v>5301378.929236711</v>
      </c>
      <c r="AF2" s="186">
        <f>SUM('Yearly Demand - Eth-Prop'!AO3,'Yearly Demand - Eth-Prop'!AO4,'Yearly Demand - C4'!AR3,'Yearly Demand - BTX'!AQ3)*0.8</f>
        <v>5301378.929236711</v>
      </c>
      <c r="AG2" s="186">
        <f>SUM('Yearly Demand - Eth-Prop'!AP3,'Yearly Demand - Eth-Prop'!AP4,'Yearly Demand - C4'!AS3,'Yearly Demand - BTX'!AR3)*0.8</f>
        <v>5301378.929236711</v>
      </c>
      <c r="AH2" s="186"/>
      <c r="AI2" s="622">
        <f>'Ethylene Recycling HC'!AI2</f>
        <v>0</v>
      </c>
      <c r="AJ2" s="199"/>
      <c r="AR2" s="1"/>
      <c r="AU2" s="22"/>
    </row>
    <row r="3" spans="1:47" ht="15.5" outlineLevel="1" thickTop="1">
      <c r="C3" s="105"/>
      <c r="D3" s="105"/>
      <c r="E3" s="105"/>
      <c r="F3" s="105"/>
      <c r="G3" s="105"/>
      <c r="H3" s="105"/>
      <c r="I3" s="105"/>
      <c r="J3" s="105"/>
      <c r="K3" s="105"/>
      <c r="L3" s="105"/>
      <c r="N3" s="105"/>
      <c r="O3" s="105"/>
      <c r="P3" s="105"/>
      <c r="Q3" s="105"/>
      <c r="R3" s="105"/>
      <c r="S3" s="105"/>
      <c r="T3" s="105"/>
      <c r="U3" s="105"/>
      <c r="V3" s="105"/>
      <c r="X3" s="105"/>
      <c r="Y3" s="105"/>
      <c r="Z3" s="105"/>
      <c r="AA3" s="105"/>
      <c r="AB3" s="105"/>
      <c r="AC3" s="105"/>
      <c r="AD3" s="105"/>
      <c r="AE3" s="105"/>
      <c r="AF3" s="105"/>
      <c r="AI3" s="52"/>
      <c r="AJ3" s="200"/>
    </row>
    <row r="4" spans="1:47" outlineLevel="1">
      <c r="A4" t="s">
        <v>401</v>
      </c>
      <c r="B4" s="51" t="s">
        <v>126</v>
      </c>
      <c r="C4" s="122">
        <f>'Waste gen. - Industry shares'!C18+'Waste gen. - Industry shares'!C22</f>
        <v>0.52761781690498222</v>
      </c>
      <c r="D4" s="101">
        <f>C4</f>
        <v>0.52761781690498222</v>
      </c>
      <c r="E4" s="101">
        <f t="shared" ref="E4:T8" si="3">D4</f>
        <v>0.52761781690498222</v>
      </c>
      <c r="F4" s="101">
        <f t="shared" si="3"/>
        <v>0.52761781690498222</v>
      </c>
      <c r="G4" s="101">
        <f t="shared" si="3"/>
        <v>0.52761781690498222</v>
      </c>
      <c r="H4" s="101">
        <f t="shared" si="3"/>
        <v>0.52761781690498222</v>
      </c>
      <c r="I4" s="101">
        <f t="shared" si="3"/>
        <v>0.52761781690498222</v>
      </c>
      <c r="J4" s="101">
        <f t="shared" si="3"/>
        <v>0.52761781690498222</v>
      </c>
      <c r="K4" s="101">
        <f t="shared" si="3"/>
        <v>0.52761781690498222</v>
      </c>
      <c r="L4" s="101">
        <f t="shared" si="3"/>
        <v>0.52761781690498222</v>
      </c>
      <c r="M4" s="101">
        <f t="shared" si="3"/>
        <v>0.52761781690498222</v>
      </c>
      <c r="N4" s="101">
        <f t="shared" si="3"/>
        <v>0.52761781690498222</v>
      </c>
      <c r="O4" s="101">
        <f t="shared" si="3"/>
        <v>0.52761781690498222</v>
      </c>
      <c r="P4" s="101">
        <f t="shared" si="3"/>
        <v>0.52761781690498222</v>
      </c>
      <c r="Q4" s="101">
        <f t="shared" si="3"/>
        <v>0.52761781690498222</v>
      </c>
      <c r="R4" s="101">
        <f t="shared" si="3"/>
        <v>0.52761781690498222</v>
      </c>
      <c r="S4" s="101">
        <f t="shared" si="3"/>
        <v>0.52761781690498222</v>
      </c>
      <c r="T4" s="101">
        <f t="shared" si="3"/>
        <v>0.52761781690498222</v>
      </c>
      <c r="U4" s="101">
        <f t="shared" ref="T4:AG8" si="4">T4</f>
        <v>0.52761781690498222</v>
      </c>
      <c r="V4" s="101">
        <f t="shared" si="4"/>
        <v>0.52761781690498222</v>
      </c>
      <c r="W4" s="101">
        <f t="shared" si="4"/>
        <v>0.52761781690498222</v>
      </c>
      <c r="X4" s="101">
        <f t="shared" si="4"/>
        <v>0.52761781690498222</v>
      </c>
      <c r="Y4" s="101">
        <f t="shared" si="4"/>
        <v>0.52761781690498222</v>
      </c>
      <c r="Z4" s="101">
        <f t="shared" si="4"/>
        <v>0.52761781690498222</v>
      </c>
      <c r="AA4" s="101">
        <f t="shared" si="4"/>
        <v>0.52761781690498222</v>
      </c>
      <c r="AB4" s="101">
        <f t="shared" si="4"/>
        <v>0.52761781690498222</v>
      </c>
      <c r="AC4" s="101">
        <f t="shared" si="4"/>
        <v>0.52761781690498222</v>
      </c>
      <c r="AD4" s="101">
        <f t="shared" si="4"/>
        <v>0.52761781690498222</v>
      </c>
      <c r="AE4" s="101">
        <f t="shared" si="4"/>
        <v>0.52761781690498222</v>
      </c>
      <c r="AF4" s="101">
        <f t="shared" si="4"/>
        <v>0.52761781690498222</v>
      </c>
      <c r="AG4" s="101">
        <f t="shared" si="4"/>
        <v>0.52761781690498222</v>
      </c>
      <c r="AI4" s="51" t="s">
        <v>268</v>
      </c>
      <c r="AJ4" s="198"/>
    </row>
    <row r="5" spans="1:47" outlineLevel="1">
      <c r="A5" t="s">
        <v>286</v>
      </c>
      <c r="B5" s="51" t="s">
        <v>126</v>
      </c>
      <c r="C5" s="122">
        <f>'Waste gen. - Industry shares'!C20</f>
        <v>4.980376521164729E-2</v>
      </c>
      <c r="D5" s="101">
        <f>C5</f>
        <v>4.980376521164729E-2</v>
      </c>
      <c r="E5" s="101">
        <f t="shared" si="3"/>
        <v>4.980376521164729E-2</v>
      </c>
      <c r="F5" s="101">
        <f t="shared" si="3"/>
        <v>4.980376521164729E-2</v>
      </c>
      <c r="G5" s="101">
        <f t="shared" si="3"/>
        <v>4.980376521164729E-2</v>
      </c>
      <c r="H5" s="101">
        <f t="shared" si="3"/>
        <v>4.980376521164729E-2</v>
      </c>
      <c r="I5" s="101">
        <f t="shared" si="3"/>
        <v>4.980376521164729E-2</v>
      </c>
      <c r="J5" s="101">
        <f t="shared" si="3"/>
        <v>4.980376521164729E-2</v>
      </c>
      <c r="K5" s="101">
        <f t="shared" si="3"/>
        <v>4.980376521164729E-2</v>
      </c>
      <c r="L5" s="101">
        <f t="shared" si="3"/>
        <v>4.980376521164729E-2</v>
      </c>
      <c r="M5" s="101">
        <f t="shared" si="3"/>
        <v>4.980376521164729E-2</v>
      </c>
      <c r="N5" s="101">
        <f t="shared" si="3"/>
        <v>4.980376521164729E-2</v>
      </c>
      <c r="O5" s="101">
        <f t="shared" si="3"/>
        <v>4.980376521164729E-2</v>
      </c>
      <c r="P5" s="101">
        <f t="shared" si="3"/>
        <v>4.980376521164729E-2</v>
      </c>
      <c r="Q5" s="101">
        <f t="shared" si="3"/>
        <v>4.980376521164729E-2</v>
      </c>
      <c r="R5" s="101">
        <f t="shared" si="3"/>
        <v>4.980376521164729E-2</v>
      </c>
      <c r="S5" s="101">
        <f t="shared" si="3"/>
        <v>4.980376521164729E-2</v>
      </c>
      <c r="T5" s="101">
        <f t="shared" si="4"/>
        <v>4.980376521164729E-2</v>
      </c>
      <c r="U5" s="101">
        <f t="shared" si="4"/>
        <v>4.980376521164729E-2</v>
      </c>
      <c r="V5" s="101">
        <f t="shared" si="4"/>
        <v>4.980376521164729E-2</v>
      </c>
      <c r="W5" s="101">
        <f t="shared" si="4"/>
        <v>4.980376521164729E-2</v>
      </c>
      <c r="X5" s="101">
        <f t="shared" si="4"/>
        <v>4.980376521164729E-2</v>
      </c>
      <c r="Y5" s="101">
        <f t="shared" si="4"/>
        <v>4.980376521164729E-2</v>
      </c>
      <c r="Z5" s="101">
        <f t="shared" si="4"/>
        <v>4.980376521164729E-2</v>
      </c>
      <c r="AA5" s="101">
        <f t="shared" si="4"/>
        <v>4.980376521164729E-2</v>
      </c>
      <c r="AB5" s="101">
        <f t="shared" si="4"/>
        <v>4.980376521164729E-2</v>
      </c>
      <c r="AC5" s="101">
        <f t="shared" si="4"/>
        <v>4.980376521164729E-2</v>
      </c>
      <c r="AD5" s="101">
        <f t="shared" si="4"/>
        <v>4.980376521164729E-2</v>
      </c>
      <c r="AE5" s="101">
        <f t="shared" si="4"/>
        <v>4.980376521164729E-2</v>
      </c>
      <c r="AF5" s="101">
        <f t="shared" si="4"/>
        <v>4.980376521164729E-2</v>
      </c>
      <c r="AG5" s="101">
        <f>AF5</f>
        <v>4.980376521164729E-2</v>
      </c>
      <c r="AI5" s="51" t="s">
        <v>268</v>
      </c>
      <c r="AJ5" s="198"/>
    </row>
    <row r="6" spans="1:47" outlineLevel="1">
      <c r="A6" t="s">
        <v>287</v>
      </c>
      <c r="B6" s="51" t="s">
        <v>126</v>
      </c>
      <c r="C6" s="122">
        <f>'Waste gen. - Industry shares'!C19</f>
        <v>3.9181884245312638E-2</v>
      </c>
      <c r="D6" s="101">
        <f t="shared" ref="D6:D7" si="5">C6</f>
        <v>3.9181884245312638E-2</v>
      </c>
      <c r="E6" s="101">
        <f t="shared" si="3"/>
        <v>3.9181884245312638E-2</v>
      </c>
      <c r="F6" s="101">
        <f t="shared" si="3"/>
        <v>3.9181884245312638E-2</v>
      </c>
      <c r="G6" s="101">
        <f t="shared" si="3"/>
        <v>3.9181884245312638E-2</v>
      </c>
      <c r="H6" s="101">
        <f t="shared" si="3"/>
        <v>3.9181884245312638E-2</v>
      </c>
      <c r="I6" s="101">
        <f t="shared" si="3"/>
        <v>3.9181884245312638E-2</v>
      </c>
      <c r="J6" s="101">
        <f t="shared" si="3"/>
        <v>3.9181884245312638E-2</v>
      </c>
      <c r="K6" s="101">
        <f t="shared" si="3"/>
        <v>3.9181884245312638E-2</v>
      </c>
      <c r="L6" s="101">
        <f t="shared" si="3"/>
        <v>3.9181884245312638E-2</v>
      </c>
      <c r="M6" s="101">
        <f t="shared" si="3"/>
        <v>3.9181884245312638E-2</v>
      </c>
      <c r="N6" s="101">
        <f t="shared" si="3"/>
        <v>3.9181884245312638E-2</v>
      </c>
      <c r="O6" s="101">
        <f t="shared" si="3"/>
        <v>3.9181884245312638E-2</v>
      </c>
      <c r="P6" s="101">
        <f t="shared" si="3"/>
        <v>3.9181884245312638E-2</v>
      </c>
      <c r="Q6" s="101">
        <f t="shared" si="3"/>
        <v>3.9181884245312638E-2</v>
      </c>
      <c r="R6" s="101">
        <f t="shared" si="3"/>
        <v>3.9181884245312638E-2</v>
      </c>
      <c r="S6" s="101">
        <f t="shared" si="3"/>
        <v>3.9181884245312638E-2</v>
      </c>
      <c r="T6" s="101">
        <f t="shared" si="3"/>
        <v>3.9181884245312638E-2</v>
      </c>
      <c r="U6" s="101">
        <f t="shared" si="4"/>
        <v>3.9181884245312638E-2</v>
      </c>
      <c r="V6" s="101">
        <f t="shared" si="4"/>
        <v>3.9181884245312638E-2</v>
      </c>
      <c r="W6" s="101">
        <f t="shared" si="4"/>
        <v>3.9181884245312638E-2</v>
      </c>
      <c r="X6" s="101">
        <f t="shared" si="4"/>
        <v>3.9181884245312638E-2</v>
      </c>
      <c r="Y6" s="101">
        <f t="shared" si="4"/>
        <v>3.9181884245312638E-2</v>
      </c>
      <c r="Z6" s="101">
        <f t="shared" si="4"/>
        <v>3.9181884245312638E-2</v>
      </c>
      <c r="AA6" s="101">
        <f t="shared" si="4"/>
        <v>3.9181884245312638E-2</v>
      </c>
      <c r="AB6" s="101">
        <f t="shared" si="4"/>
        <v>3.9181884245312638E-2</v>
      </c>
      <c r="AC6" s="101">
        <f t="shared" si="4"/>
        <v>3.9181884245312638E-2</v>
      </c>
      <c r="AD6" s="101">
        <f t="shared" si="4"/>
        <v>3.9181884245312638E-2</v>
      </c>
      <c r="AE6" s="101">
        <f t="shared" si="4"/>
        <v>3.9181884245312638E-2</v>
      </c>
      <c r="AF6" s="101">
        <f t="shared" si="4"/>
        <v>3.9181884245312638E-2</v>
      </c>
      <c r="AG6" s="101">
        <f t="shared" si="4"/>
        <v>3.9181884245312638E-2</v>
      </c>
      <c r="AI6" s="51" t="s">
        <v>268</v>
      </c>
      <c r="AJ6" s="198"/>
      <c r="AR6" s="22"/>
    </row>
    <row r="7" spans="1:47" outlineLevel="1">
      <c r="A7" t="s">
        <v>410</v>
      </c>
      <c r="B7" s="51" t="s">
        <v>126</v>
      </c>
      <c r="C7" s="122">
        <f>'Waste gen. - Industry shares'!C23</f>
        <v>0.1</v>
      </c>
      <c r="D7" s="101">
        <f t="shared" si="5"/>
        <v>0.1</v>
      </c>
      <c r="E7" s="101">
        <f t="shared" si="3"/>
        <v>0.1</v>
      </c>
      <c r="F7" s="101">
        <f t="shared" si="3"/>
        <v>0.1</v>
      </c>
      <c r="G7" s="101">
        <f t="shared" si="3"/>
        <v>0.1</v>
      </c>
      <c r="H7" s="101">
        <f t="shared" si="3"/>
        <v>0.1</v>
      </c>
      <c r="I7" s="101">
        <f t="shared" si="3"/>
        <v>0.1</v>
      </c>
      <c r="J7" s="101">
        <f t="shared" si="3"/>
        <v>0.1</v>
      </c>
      <c r="K7" s="101">
        <f t="shared" si="3"/>
        <v>0.1</v>
      </c>
      <c r="L7" s="101">
        <f t="shared" si="3"/>
        <v>0.1</v>
      </c>
      <c r="M7" s="101">
        <f>L7</f>
        <v>0.1</v>
      </c>
      <c r="N7" s="101">
        <f t="shared" si="3"/>
        <v>0.1</v>
      </c>
      <c r="O7" s="101">
        <f t="shared" si="3"/>
        <v>0.1</v>
      </c>
      <c r="P7" s="101">
        <f t="shared" si="3"/>
        <v>0.1</v>
      </c>
      <c r="Q7" s="101">
        <f t="shared" si="3"/>
        <v>0.1</v>
      </c>
      <c r="R7" s="101">
        <f t="shared" si="3"/>
        <v>0.1</v>
      </c>
      <c r="S7" s="101">
        <f t="shared" si="3"/>
        <v>0.1</v>
      </c>
      <c r="T7" s="101">
        <f t="shared" si="3"/>
        <v>0.1</v>
      </c>
      <c r="U7" s="101">
        <f t="shared" si="4"/>
        <v>0.1</v>
      </c>
      <c r="V7" s="101">
        <f t="shared" si="4"/>
        <v>0.1</v>
      </c>
      <c r="W7" s="101">
        <f t="shared" si="4"/>
        <v>0.1</v>
      </c>
      <c r="X7" s="101">
        <f t="shared" si="4"/>
        <v>0.1</v>
      </c>
      <c r="Y7" s="101">
        <f t="shared" si="4"/>
        <v>0.1</v>
      </c>
      <c r="Z7" s="101">
        <f t="shared" si="4"/>
        <v>0.1</v>
      </c>
      <c r="AA7" s="101">
        <f t="shared" si="4"/>
        <v>0.1</v>
      </c>
      <c r="AB7" s="101">
        <f t="shared" si="4"/>
        <v>0.1</v>
      </c>
      <c r="AC7" s="101">
        <f t="shared" si="4"/>
        <v>0.1</v>
      </c>
      <c r="AD7" s="101">
        <f t="shared" si="4"/>
        <v>0.1</v>
      </c>
      <c r="AE7" s="101">
        <f t="shared" si="4"/>
        <v>0.1</v>
      </c>
      <c r="AF7" s="101">
        <f t="shared" si="4"/>
        <v>0.1</v>
      </c>
      <c r="AG7" s="101">
        <f t="shared" si="4"/>
        <v>0.1</v>
      </c>
      <c r="AI7" s="51" t="s">
        <v>268</v>
      </c>
      <c r="AJ7" s="198"/>
    </row>
    <row r="8" spans="1:47" outlineLevel="1">
      <c r="A8" t="s">
        <v>402</v>
      </c>
      <c r="B8" s="51" t="s">
        <v>126</v>
      </c>
      <c r="C8" s="122">
        <f>'Waste gen. - Industry shares'!C24+'Waste gen. - Industry shares'!C21</f>
        <v>0.28429743453895867</v>
      </c>
      <c r="D8" s="122">
        <f>C8</f>
        <v>0.28429743453895867</v>
      </c>
      <c r="E8" s="122">
        <f t="shared" si="3"/>
        <v>0.28429743453895867</v>
      </c>
      <c r="F8" s="122">
        <f t="shared" si="3"/>
        <v>0.28429743453895867</v>
      </c>
      <c r="G8" s="122">
        <f t="shared" si="3"/>
        <v>0.28429743453895867</v>
      </c>
      <c r="H8" s="122">
        <f t="shared" si="3"/>
        <v>0.28429743453895867</v>
      </c>
      <c r="I8" s="122">
        <f t="shared" si="3"/>
        <v>0.28429743453895867</v>
      </c>
      <c r="J8" s="122">
        <f t="shared" si="3"/>
        <v>0.28429743453895867</v>
      </c>
      <c r="K8" s="122">
        <f t="shared" si="3"/>
        <v>0.28429743453895867</v>
      </c>
      <c r="L8" s="122">
        <f t="shared" si="3"/>
        <v>0.28429743453895867</v>
      </c>
      <c r="M8" s="122">
        <f t="shared" si="3"/>
        <v>0.28429743453895867</v>
      </c>
      <c r="N8" s="122">
        <f t="shared" si="3"/>
        <v>0.28429743453895867</v>
      </c>
      <c r="O8" s="122">
        <f t="shared" si="3"/>
        <v>0.28429743453895867</v>
      </c>
      <c r="P8" s="122">
        <f t="shared" si="3"/>
        <v>0.28429743453895867</v>
      </c>
      <c r="Q8" s="122">
        <f t="shared" si="3"/>
        <v>0.28429743453895867</v>
      </c>
      <c r="R8" s="122">
        <f t="shared" si="3"/>
        <v>0.28429743453895867</v>
      </c>
      <c r="S8" s="122">
        <f t="shared" si="3"/>
        <v>0.28429743453895867</v>
      </c>
      <c r="T8" s="122">
        <f t="shared" si="3"/>
        <v>0.28429743453895867</v>
      </c>
      <c r="U8" s="122">
        <f t="shared" si="4"/>
        <v>0.28429743453895867</v>
      </c>
      <c r="V8" s="122">
        <f t="shared" si="4"/>
        <v>0.28429743453895867</v>
      </c>
      <c r="W8" s="122">
        <f t="shared" si="4"/>
        <v>0.28429743453895867</v>
      </c>
      <c r="X8" s="122">
        <f t="shared" si="4"/>
        <v>0.28429743453895867</v>
      </c>
      <c r="Y8" s="122">
        <f t="shared" si="4"/>
        <v>0.28429743453895867</v>
      </c>
      <c r="Z8" s="122">
        <f t="shared" si="4"/>
        <v>0.28429743453895867</v>
      </c>
      <c r="AA8" s="122">
        <f t="shared" si="4"/>
        <v>0.28429743453895867</v>
      </c>
      <c r="AB8" s="122">
        <f t="shared" si="4"/>
        <v>0.28429743453895867</v>
      </c>
      <c r="AC8" s="122">
        <f t="shared" si="4"/>
        <v>0.28429743453895867</v>
      </c>
      <c r="AD8" s="122">
        <f t="shared" si="4"/>
        <v>0.28429743453895867</v>
      </c>
      <c r="AE8" s="122">
        <f t="shared" si="4"/>
        <v>0.28429743453895867</v>
      </c>
      <c r="AF8" s="122">
        <f t="shared" si="4"/>
        <v>0.28429743453895867</v>
      </c>
      <c r="AG8" s="122">
        <f t="shared" si="4"/>
        <v>0.28429743453895867</v>
      </c>
      <c r="AI8" s="51" t="s">
        <v>268</v>
      </c>
      <c r="AJ8" s="198"/>
    </row>
    <row r="9" spans="1:47" ht="15.5" outlineLevel="1" thickBot="1">
      <c r="A9" s="182" t="s">
        <v>433</v>
      </c>
      <c r="B9" s="183"/>
      <c r="C9" s="186">
        <f t="shared" ref="C9:AG9" si="6">SUM(C4:C8)</f>
        <v>1.0009009009009009</v>
      </c>
      <c r="D9" s="186">
        <f t="shared" si="6"/>
        <v>1.0009009009009009</v>
      </c>
      <c r="E9" s="186">
        <f t="shared" si="6"/>
        <v>1.0009009009009009</v>
      </c>
      <c r="F9" s="186">
        <f t="shared" si="6"/>
        <v>1.0009009009009009</v>
      </c>
      <c r="G9" s="186">
        <f t="shared" si="6"/>
        <v>1.0009009009009009</v>
      </c>
      <c r="H9" s="186">
        <f t="shared" si="6"/>
        <v>1.0009009009009009</v>
      </c>
      <c r="I9" s="186">
        <f t="shared" si="6"/>
        <v>1.0009009009009009</v>
      </c>
      <c r="J9" s="186">
        <f t="shared" si="6"/>
        <v>1.0009009009009009</v>
      </c>
      <c r="K9" s="186">
        <f t="shared" si="6"/>
        <v>1.0009009009009009</v>
      </c>
      <c r="L9" s="186">
        <f t="shared" si="6"/>
        <v>1.0009009009009009</v>
      </c>
      <c r="M9" s="186">
        <f t="shared" si="6"/>
        <v>1.0009009009009009</v>
      </c>
      <c r="N9" s="186">
        <f t="shared" si="6"/>
        <v>1.0009009009009009</v>
      </c>
      <c r="O9" s="186">
        <f t="shared" si="6"/>
        <v>1.0009009009009009</v>
      </c>
      <c r="P9" s="186">
        <f t="shared" si="6"/>
        <v>1.0009009009009009</v>
      </c>
      <c r="Q9" s="186">
        <f t="shared" si="6"/>
        <v>1.0009009009009009</v>
      </c>
      <c r="R9" s="186">
        <f t="shared" si="6"/>
        <v>1.0009009009009009</v>
      </c>
      <c r="S9" s="186">
        <f t="shared" si="6"/>
        <v>1.0009009009009009</v>
      </c>
      <c r="T9" s="186">
        <f t="shared" si="6"/>
        <v>1.0009009009009009</v>
      </c>
      <c r="U9" s="186">
        <f t="shared" si="6"/>
        <v>1.0009009009009009</v>
      </c>
      <c r="V9" s="186">
        <f t="shared" si="6"/>
        <v>1.0009009009009009</v>
      </c>
      <c r="W9" s="186">
        <f t="shared" si="6"/>
        <v>1.0009009009009009</v>
      </c>
      <c r="X9" s="186">
        <f t="shared" si="6"/>
        <v>1.0009009009009009</v>
      </c>
      <c r="Y9" s="186">
        <f t="shared" si="6"/>
        <v>1.0009009009009009</v>
      </c>
      <c r="Z9" s="186">
        <f t="shared" si="6"/>
        <v>1.0009009009009009</v>
      </c>
      <c r="AA9" s="186">
        <f t="shared" si="6"/>
        <v>1.0009009009009009</v>
      </c>
      <c r="AB9" s="186">
        <f t="shared" si="6"/>
        <v>1.0009009009009009</v>
      </c>
      <c r="AC9" s="186">
        <f t="shared" si="6"/>
        <v>1.0009009009009009</v>
      </c>
      <c r="AD9" s="186">
        <f t="shared" si="6"/>
        <v>1.0009009009009009</v>
      </c>
      <c r="AE9" s="186">
        <f t="shared" si="6"/>
        <v>1.0009009009009009</v>
      </c>
      <c r="AF9" s="186">
        <f t="shared" si="6"/>
        <v>1.0009009009009009</v>
      </c>
      <c r="AG9" s="186">
        <f t="shared" si="6"/>
        <v>1.0009009009009009</v>
      </c>
      <c r="AM9" s="24"/>
      <c r="AN9" s="2"/>
      <c r="AO9" s="24"/>
      <c r="AR9" s="2"/>
    </row>
    <row r="10" spans="1:47" ht="15.5" outlineLevel="1" thickTop="1">
      <c r="AM10" s="24"/>
      <c r="AN10" s="2"/>
      <c r="AO10" s="24"/>
      <c r="AR10" s="2"/>
    </row>
    <row r="11" spans="1:47" outlineLevel="1">
      <c r="A11" t="s">
        <v>413</v>
      </c>
      <c r="B11" s="51" t="s">
        <v>296</v>
      </c>
      <c r="C11" s="101">
        <f t="shared" ref="C11:AG15" si="7">C$2*C4</f>
        <v>2797101.9772299458</v>
      </c>
      <c r="D11" s="101">
        <f t="shared" si="7"/>
        <v>2797101.9772299458</v>
      </c>
      <c r="E11" s="101">
        <f t="shared" si="7"/>
        <v>2797101.9772299458</v>
      </c>
      <c r="F11" s="101">
        <f t="shared" si="7"/>
        <v>2797101.9772299458</v>
      </c>
      <c r="G11" s="101">
        <f t="shared" si="7"/>
        <v>2797101.9772299458</v>
      </c>
      <c r="H11" s="101">
        <f t="shared" si="7"/>
        <v>2797101.9772299458</v>
      </c>
      <c r="I11" s="101">
        <f t="shared" si="7"/>
        <v>2797101.9772299458</v>
      </c>
      <c r="J11" s="101">
        <f t="shared" si="7"/>
        <v>2797101.9772299458</v>
      </c>
      <c r="K11" s="101">
        <f t="shared" si="7"/>
        <v>2797101.9772299458</v>
      </c>
      <c r="L11" s="101">
        <f t="shared" si="7"/>
        <v>2797101.9772299458</v>
      </c>
      <c r="M11" s="101">
        <f t="shared" si="7"/>
        <v>2797101.9772299458</v>
      </c>
      <c r="N11" s="101">
        <f t="shared" si="7"/>
        <v>2797101.9772299458</v>
      </c>
      <c r="O11" s="101">
        <f t="shared" si="7"/>
        <v>2797101.9772299458</v>
      </c>
      <c r="P11" s="101">
        <f t="shared" si="7"/>
        <v>2797101.9772299458</v>
      </c>
      <c r="Q11" s="101">
        <f t="shared" si="7"/>
        <v>2797101.9772299458</v>
      </c>
      <c r="R11" s="101">
        <f t="shared" si="7"/>
        <v>2797101.9772299458</v>
      </c>
      <c r="S11" s="101">
        <f t="shared" si="7"/>
        <v>2797101.9772299458</v>
      </c>
      <c r="T11" s="101">
        <f t="shared" si="7"/>
        <v>2797101.9772299458</v>
      </c>
      <c r="U11" s="101">
        <f t="shared" si="7"/>
        <v>2797101.9772299458</v>
      </c>
      <c r="V11" s="101">
        <f t="shared" si="7"/>
        <v>2797101.9772299458</v>
      </c>
      <c r="W11" s="101">
        <f t="shared" si="7"/>
        <v>2797101.9772299458</v>
      </c>
      <c r="X11" s="101">
        <f t="shared" si="7"/>
        <v>2797101.9772299458</v>
      </c>
      <c r="Y11" s="101">
        <f t="shared" si="7"/>
        <v>2797101.9772299458</v>
      </c>
      <c r="Z11" s="101">
        <f t="shared" si="7"/>
        <v>2797101.9772299458</v>
      </c>
      <c r="AA11" s="101">
        <f t="shared" si="7"/>
        <v>2797101.9772299458</v>
      </c>
      <c r="AB11" s="101">
        <f t="shared" si="7"/>
        <v>2797101.9772299458</v>
      </c>
      <c r="AC11" s="101">
        <f t="shared" si="7"/>
        <v>2797101.9772299458</v>
      </c>
      <c r="AD11" s="101">
        <f t="shared" si="7"/>
        <v>2797101.9772299458</v>
      </c>
      <c r="AE11" s="101">
        <f t="shared" si="7"/>
        <v>2797101.9772299458</v>
      </c>
      <c r="AF11" s="101">
        <f t="shared" si="7"/>
        <v>2797101.9772299458</v>
      </c>
      <c r="AG11" s="101">
        <f t="shared" si="7"/>
        <v>2797101.9772299458</v>
      </c>
      <c r="AM11" s="24"/>
      <c r="AN11" s="2"/>
      <c r="AO11" s="24"/>
      <c r="AR11" s="2"/>
    </row>
    <row r="12" spans="1:47" outlineLevel="1">
      <c r="A12" t="s">
        <v>269</v>
      </c>
      <c r="B12" s="51" t="s">
        <v>296</v>
      </c>
      <c r="C12" s="101">
        <f t="shared" si="7"/>
        <v>264028.63148967928</v>
      </c>
      <c r="D12" s="101">
        <f t="shared" si="7"/>
        <v>264028.63148967928</v>
      </c>
      <c r="E12" s="101">
        <f t="shared" si="7"/>
        <v>264028.63148967928</v>
      </c>
      <c r="F12" s="101">
        <f t="shared" si="7"/>
        <v>264028.63148967928</v>
      </c>
      <c r="G12" s="101">
        <f t="shared" si="7"/>
        <v>264028.63148967928</v>
      </c>
      <c r="H12" s="101">
        <f t="shared" si="7"/>
        <v>264028.63148967928</v>
      </c>
      <c r="I12" s="101">
        <f t="shared" si="7"/>
        <v>264028.63148967928</v>
      </c>
      <c r="J12" s="101">
        <f t="shared" si="7"/>
        <v>264028.63148967928</v>
      </c>
      <c r="K12" s="101">
        <f t="shared" si="7"/>
        <v>264028.63148967928</v>
      </c>
      <c r="L12" s="101">
        <f t="shared" si="7"/>
        <v>264028.63148967928</v>
      </c>
      <c r="M12" s="101">
        <f t="shared" si="7"/>
        <v>264028.63148967928</v>
      </c>
      <c r="N12" s="101">
        <f t="shared" si="7"/>
        <v>264028.63148967928</v>
      </c>
      <c r="O12" s="101">
        <f t="shared" si="7"/>
        <v>264028.63148967928</v>
      </c>
      <c r="P12" s="101">
        <f t="shared" si="7"/>
        <v>264028.63148967928</v>
      </c>
      <c r="Q12" s="101">
        <f t="shared" si="7"/>
        <v>264028.63148967928</v>
      </c>
      <c r="R12" s="101">
        <f t="shared" si="7"/>
        <v>264028.63148967928</v>
      </c>
      <c r="S12" s="101">
        <f t="shared" si="7"/>
        <v>264028.63148967928</v>
      </c>
      <c r="T12" s="101">
        <f t="shared" si="7"/>
        <v>264028.63148967928</v>
      </c>
      <c r="U12" s="101">
        <f t="shared" si="7"/>
        <v>264028.63148967928</v>
      </c>
      <c r="V12" s="101">
        <f t="shared" si="7"/>
        <v>264028.63148967928</v>
      </c>
      <c r="W12" s="101">
        <f t="shared" si="7"/>
        <v>264028.63148967928</v>
      </c>
      <c r="X12" s="101">
        <f t="shared" si="7"/>
        <v>264028.63148967928</v>
      </c>
      <c r="Y12" s="101">
        <f t="shared" si="7"/>
        <v>264028.63148967928</v>
      </c>
      <c r="Z12" s="101">
        <f t="shared" si="7"/>
        <v>264028.63148967928</v>
      </c>
      <c r="AA12" s="101">
        <f t="shared" si="7"/>
        <v>264028.63148967928</v>
      </c>
      <c r="AB12" s="101">
        <f t="shared" si="7"/>
        <v>264028.63148967928</v>
      </c>
      <c r="AC12" s="101">
        <f t="shared" si="7"/>
        <v>264028.63148967928</v>
      </c>
      <c r="AD12" s="101">
        <f t="shared" si="7"/>
        <v>264028.63148967928</v>
      </c>
      <c r="AE12" s="101">
        <f t="shared" si="7"/>
        <v>264028.63148967928</v>
      </c>
      <c r="AF12" s="101">
        <f t="shared" si="7"/>
        <v>264028.63148967928</v>
      </c>
      <c r="AG12" s="101">
        <f t="shared" si="7"/>
        <v>264028.63148967928</v>
      </c>
      <c r="AM12" s="24"/>
      <c r="AN12" s="2"/>
      <c r="AO12" s="24"/>
      <c r="AR12" s="2"/>
    </row>
    <row r="13" spans="1:47" outlineLevel="1">
      <c r="A13" t="s">
        <v>270</v>
      </c>
      <c r="B13" s="51" t="s">
        <v>296</v>
      </c>
      <c r="C13" s="101">
        <f t="shared" si="7"/>
        <v>207718.01554589227</v>
      </c>
      <c r="D13" s="101">
        <f t="shared" si="7"/>
        <v>207718.01554589227</v>
      </c>
      <c r="E13" s="101">
        <f t="shared" si="7"/>
        <v>207718.01554589227</v>
      </c>
      <c r="F13" s="101">
        <f t="shared" si="7"/>
        <v>207718.01554589227</v>
      </c>
      <c r="G13" s="101">
        <f t="shared" si="7"/>
        <v>207718.01554589227</v>
      </c>
      <c r="H13" s="101">
        <f t="shared" si="7"/>
        <v>207718.01554589227</v>
      </c>
      <c r="I13" s="101">
        <f t="shared" si="7"/>
        <v>207718.01554589227</v>
      </c>
      <c r="J13" s="101">
        <f t="shared" si="7"/>
        <v>207718.01554589227</v>
      </c>
      <c r="K13" s="101">
        <f t="shared" si="7"/>
        <v>207718.01554589227</v>
      </c>
      <c r="L13" s="101">
        <f t="shared" si="7"/>
        <v>207718.01554589227</v>
      </c>
      <c r="M13" s="101">
        <f t="shared" si="7"/>
        <v>207718.01554589227</v>
      </c>
      <c r="N13" s="101">
        <f t="shared" si="7"/>
        <v>207718.01554589227</v>
      </c>
      <c r="O13" s="101">
        <f t="shared" si="7"/>
        <v>207718.01554589227</v>
      </c>
      <c r="P13" s="101">
        <f t="shared" si="7"/>
        <v>207718.01554589227</v>
      </c>
      <c r="Q13" s="101">
        <f t="shared" si="7"/>
        <v>207718.01554589227</v>
      </c>
      <c r="R13" s="101">
        <f t="shared" si="7"/>
        <v>207718.01554589227</v>
      </c>
      <c r="S13" s="101">
        <f t="shared" si="7"/>
        <v>207718.01554589227</v>
      </c>
      <c r="T13" s="101">
        <f t="shared" si="7"/>
        <v>207718.01554589227</v>
      </c>
      <c r="U13" s="101">
        <f t="shared" si="7"/>
        <v>207718.01554589227</v>
      </c>
      <c r="V13" s="101">
        <f t="shared" si="7"/>
        <v>207718.01554589227</v>
      </c>
      <c r="W13" s="101">
        <f t="shared" si="7"/>
        <v>207718.01554589227</v>
      </c>
      <c r="X13" s="101">
        <f t="shared" si="7"/>
        <v>207718.01554589227</v>
      </c>
      <c r="Y13" s="101">
        <f t="shared" si="7"/>
        <v>207718.01554589227</v>
      </c>
      <c r="Z13" s="101">
        <f t="shared" si="7"/>
        <v>207718.01554589227</v>
      </c>
      <c r="AA13" s="101">
        <f t="shared" si="7"/>
        <v>207718.01554589227</v>
      </c>
      <c r="AB13" s="101">
        <f t="shared" si="7"/>
        <v>207718.01554589227</v>
      </c>
      <c r="AC13" s="101">
        <f t="shared" si="7"/>
        <v>207718.01554589227</v>
      </c>
      <c r="AD13" s="101">
        <f t="shared" si="7"/>
        <v>207718.01554589227</v>
      </c>
      <c r="AE13" s="101">
        <f t="shared" si="7"/>
        <v>207718.01554589227</v>
      </c>
      <c r="AF13" s="101">
        <f t="shared" si="7"/>
        <v>207718.01554589227</v>
      </c>
      <c r="AG13" s="101">
        <f t="shared" si="7"/>
        <v>207718.01554589227</v>
      </c>
      <c r="AM13" s="24"/>
      <c r="AN13" s="2"/>
      <c r="AO13" s="24"/>
      <c r="AR13" s="2"/>
    </row>
    <row r="14" spans="1:47" outlineLevel="1">
      <c r="A14" t="s">
        <v>411</v>
      </c>
      <c r="B14" s="51" t="s">
        <v>296</v>
      </c>
      <c r="C14" s="101">
        <f t="shared" si="7"/>
        <v>530137.89292367117</v>
      </c>
      <c r="D14" s="101">
        <f t="shared" si="7"/>
        <v>530137.89292367117</v>
      </c>
      <c r="E14" s="101">
        <f t="shared" si="7"/>
        <v>530137.89292367117</v>
      </c>
      <c r="F14" s="101">
        <f t="shared" si="7"/>
        <v>530137.89292367117</v>
      </c>
      <c r="G14" s="101">
        <f t="shared" si="7"/>
        <v>530137.89292367117</v>
      </c>
      <c r="H14" s="101">
        <f t="shared" si="7"/>
        <v>530137.89292367117</v>
      </c>
      <c r="I14" s="101">
        <f t="shared" si="7"/>
        <v>530137.89292367117</v>
      </c>
      <c r="J14" s="101">
        <f t="shared" si="7"/>
        <v>530137.89292367117</v>
      </c>
      <c r="K14" s="101">
        <f t="shared" si="7"/>
        <v>530137.89292367117</v>
      </c>
      <c r="L14" s="101">
        <f t="shared" si="7"/>
        <v>530137.89292367117</v>
      </c>
      <c r="M14" s="101">
        <f t="shared" si="7"/>
        <v>530137.89292367117</v>
      </c>
      <c r="N14" s="101">
        <f t="shared" si="7"/>
        <v>530137.89292367117</v>
      </c>
      <c r="O14" s="101">
        <f t="shared" si="7"/>
        <v>530137.89292367117</v>
      </c>
      <c r="P14" s="101">
        <f t="shared" si="7"/>
        <v>530137.89292367117</v>
      </c>
      <c r="Q14" s="101">
        <f t="shared" si="7"/>
        <v>530137.89292367117</v>
      </c>
      <c r="R14" s="101">
        <f t="shared" si="7"/>
        <v>530137.89292367117</v>
      </c>
      <c r="S14" s="101">
        <f t="shared" si="7"/>
        <v>530137.89292367117</v>
      </c>
      <c r="T14" s="101">
        <f t="shared" si="7"/>
        <v>530137.89292367117</v>
      </c>
      <c r="U14" s="101">
        <f t="shared" si="7"/>
        <v>530137.89292367117</v>
      </c>
      <c r="V14" s="101">
        <f t="shared" si="7"/>
        <v>530137.89292367117</v>
      </c>
      <c r="W14" s="101">
        <f t="shared" si="7"/>
        <v>530137.89292367117</v>
      </c>
      <c r="X14" s="101">
        <f t="shared" si="7"/>
        <v>530137.89292367117</v>
      </c>
      <c r="Y14" s="101">
        <f t="shared" si="7"/>
        <v>530137.89292367117</v>
      </c>
      <c r="Z14" s="101">
        <f t="shared" si="7"/>
        <v>530137.89292367117</v>
      </c>
      <c r="AA14" s="101">
        <f t="shared" si="7"/>
        <v>530137.89292367117</v>
      </c>
      <c r="AB14" s="101">
        <f t="shared" si="7"/>
        <v>530137.89292367117</v>
      </c>
      <c r="AC14" s="101">
        <f t="shared" si="7"/>
        <v>530137.89292367117</v>
      </c>
      <c r="AD14" s="101">
        <f t="shared" si="7"/>
        <v>530137.89292367117</v>
      </c>
      <c r="AE14" s="101">
        <f t="shared" si="7"/>
        <v>530137.89292367117</v>
      </c>
      <c r="AF14" s="101">
        <f t="shared" si="7"/>
        <v>530137.89292367117</v>
      </c>
      <c r="AG14" s="101">
        <f t="shared" si="7"/>
        <v>530137.89292367117</v>
      </c>
      <c r="AM14" s="24"/>
      <c r="AN14" s="2"/>
      <c r="AO14" s="24"/>
      <c r="AR14" s="2"/>
    </row>
    <row r="15" spans="1:47" outlineLevel="1">
      <c r="A15" t="s">
        <v>271</v>
      </c>
      <c r="B15" s="51" t="s">
        <v>296</v>
      </c>
      <c r="C15" s="122">
        <f t="shared" si="7"/>
        <v>1507168.4291008885</v>
      </c>
      <c r="D15" s="122">
        <f t="shared" si="7"/>
        <v>1507168.4291008885</v>
      </c>
      <c r="E15" s="122">
        <f t="shared" si="7"/>
        <v>1507168.4291008885</v>
      </c>
      <c r="F15" s="122">
        <f t="shared" si="7"/>
        <v>1507168.4291008885</v>
      </c>
      <c r="G15" s="122">
        <f t="shared" si="7"/>
        <v>1507168.4291008885</v>
      </c>
      <c r="H15" s="122">
        <f t="shared" si="7"/>
        <v>1507168.4291008885</v>
      </c>
      <c r="I15" s="122">
        <f t="shared" si="7"/>
        <v>1507168.4291008885</v>
      </c>
      <c r="J15" s="122">
        <f t="shared" si="7"/>
        <v>1507168.4291008885</v>
      </c>
      <c r="K15" s="122">
        <f t="shared" si="7"/>
        <v>1507168.4291008885</v>
      </c>
      <c r="L15" s="122">
        <f t="shared" si="7"/>
        <v>1507168.4291008885</v>
      </c>
      <c r="M15" s="122">
        <f t="shared" si="7"/>
        <v>1507168.4291008885</v>
      </c>
      <c r="N15" s="122">
        <f t="shared" si="7"/>
        <v>1507168.4291008885</v>
      </c>
      <c r="O15" s="122">
        <f t="shared" si="7"/>
        <v>1507168.4291008885</v>
      </c>
      <c r="P15" s="122">
        <f t="shared" si="7"/>
        <v>1507168.4291008885</v>
      </c>
      <c r="Q15" s="122">
        <f t="shared" si="7"/>
        <v>1507168.4291008885</v>
      </c>
      <c r="R15" s="122">
        <f t="shared" si="7"/>
        <v>1507168.4291008885</v>
      </c>
      <c r="S15" s="122">
        <f t="shared" si="7"/>
        <v>1507168.4291008885</v>
      </c>
      <c r="T15" s="122">
        <f t="shared" si="7"/>
        <v>1507168.4291008885</v>
      </c>
      <c r="U15" s="122">
        <f t="shared" si="7"/>
        <v>1507168.4291008885</v>
      </c>
      <c r="V15" s="122">
        <f t="shared" si="7"/>
        <v>1507168.4291008885</v>
      </c>
      <c r="W15" s="122">
        <f t="shared" si="7"/>
        <v>1507168.4291008885</v>
      </c>
      <c r="X15" s="122">
        <f t="shared" si="7"/>
        <v>1507168.4291008885</v>
      </c>
      <c r="Y15" s="122">
        <f t="shared" si="7"/>
        <v>1507168.4291008885</v>
      </c>
      <c r="Z15" s="122">
        <f t="shared" si="7"/>
        <v>1507168.4291008885</v>
      </c>
      <c r="AA15" s="122">
        <f t="shared" si="7"/>
        <v>1507168.4291008885</v>
      </c>
      <c r="AB15" s="122">
        <f t="shared" si="7"/>
        <v>1507168.4291008885</v>
      </c>
      <c r="AC15" s="122">
        <f t="shared" si="7"/>
        <v>1507168.4291008885</v>
      </c>
      <c r="AD15" s="122">
        <f t="shared" si="7"/>
        <v>1507168.4291008885</v>
      </c>
      <c r="AE15" s="122">
        <f t="shared" si="7"/>
        <v>1507168.4291008885</v>
      </c>
      <c r="AF15" s="122">
        <f t="shared" si="7"/>
        <v>1507168.4291008885</v>
      </c>
      <c r="AG15" s="122">
        <f t="shared" si="7"/>
        <v>1507168.4291008885</v>
      </c>
    </row>
    <row r="16" spans="1:47" ht="15.5" outlineLevel="1" thickBot="1">
      <c r="A16" s="187" t="s">
        <v>432</v>
      </c>
      <c r="B16" s="185"/>
      <c r="C16" s="186">
        <f t="shared" ref="C16:AG16" si="8">SUM(C11:C15)</f>
        <v>5306154.9462900767</v>
      </c>
      <c r="D16" s="186">
        <f t="shared" si="8"/>
        <v>5306154.9462900767</v>
      </c>
      <c r="E16" s="186">
        <f t="shared" si="8"/>
        <v>5306154.9462900767</v>
      </c>
      <c r="F16" s="186">
        <f t="shared" si="8"/>
        <v>5306154.9462900767</v>
      </c>
      <c r="G16" s="186">
        <f t="shared" si="8"/>
        <v>5306154.9462900767</v>
      </c>
      <c r="H16" s="186">
        <f t="shared" si="8"/>
        <v>5306154.9462900767</v>
      </c>
      <c r="I16" s="186">
        <f t="shared" si="8"/>
        <v>5306154.9462900767</v>
      </c>
      <c r="J16" s="186">
        <f t="shared" si="8"/>
        <v>5306154.9462900767</v>
      </c>
      <c r="K16" s="186">
        <f t="shared" si="8"/>
        <v>5306154.9462900767</v>
      </c>
      <c r="L16" s="186">
        <f t="shared" si="8"/>
        <v>5306154.9462900767</v>
      </c>
      <c r="M16" s="186">
        <f t="shared" si="8"/>
        <v>5306154.9462900767</v>
      </c>
      <c r="N16" s="186">
        <f t="shared" si="8"/>
        <v>5306154.9462900767</v>
      </c>
      <c r="O16" s="186">
        <f t="shared" si="8"/>
        <v>5306154.9462900767</v>
      </c>
      <c r="P16" s="186">
        <f t="shared" si="8"/>
        <v>5306154.9462900767</v>
      </c>
      <c r="Q16" s="186">
        <f t="shared" si="8"/>
        <v>5306154.9462900767</v>
      </c>
      <c r="R16" s="186">
        <f t="shared" si="8"/>
        <v>5306154.9462900767</v>
      </c>
      <c r="S16" s="186">
        <f t="shared" si="8"/>
        <v>5306154.9462900767</v>
      </c>
      <c r="T16" s="186">
        <f t="shared" si="8"/>
        <v>5306154.9462900767</v>
      </c>
      <c r="U16" s="186">
        <f t="shared" si="8"/>
        <v>5306154.9462900767</v>
      </c>
      <c r="V16" s="186">
        <f t="shared" si="8"/>
        <v>5306154.9462900767</v>
      </c>
      <c r="W16" s="186">
        <f t="shared" si="8"/>
        <v>5306154.9462900767</v>
      </c>
      <c r="X16" s="186">
        <f t="shared" si="8"/>
        <v>5306154.9462900767</v>
      </c>
      <c r="Y16" s="186">
        <f t="shared" si="8"/>
        <v>5306154.9462900767</v>
      </c>
      <c r="Z16" s="186">
        <f t="shared" si="8"/>
        <v>5306154.9462900767</v>
      </c>
      <c r="AA16" s="186">
        <f t="shared" si="8"/>
        <v>5306154.9462900767</v>
      </c>
      <c r="AB16" s="186">
        <f t="shared" si="8"/>
        <v>5306154.9462900767</v>
      </c>
      <c r="AC16" s="186">
        <f t="shared" si="8"/>
        <v>5306154.9462900767</v>
      </c>
      <c r="AD16" s="186">
        <f t="shared" si="8"/>
        <v>5306154.9462900767</v>
      </c>
      <c r="AE16" s="186">
        <f t="shared" si="8"/>
        <v>5306154.9462900767</v>
      </c>
      <c r="AF16" s="186">
        <f t="shared" si="8"/>
        <v>5306154.9462900767</v>
      </c>
      <c r="AG16" s="186">
        <f t="shared" si="8"/>
        <v>5306154.9462900767</v>
      </c>
    </row>
    <row r="17" spans="1:64" ht="15.5" outlineLevel="1" thickTop="1">
      <c r="AL17" s="108"/>
      <c r="AM17" s="109"/>
      <c r="AN17" s="109"/>
      <c r="AO17" s="109"/>
      <c r="AP17" s="109"/>
      <c r="AQ17" s="109"/>
    </row>
    <row r="18" spans="1:64" outlineLevel="1">
      <c r="A18" t="s">
        <v>414</v>
      </c>
      <c r="B18" s="51" t="s">
        <v>126</v>
      </c>
      <c r="C18" s="122">
        <f>'Ethylene Recycling HC'!C18</f>
        <v>0.54149023225748683</v>
      </c>
      <c r="D18" s="122">
        <f>C18</f>
        <v>0.54149023225748683</v>
      </c>
      <c r="E18" s="122">
        <f t="shared" ref="E18:AF19" si="9">D18</f>
        <v>0.54149023225748683</v>
      </c>
      <c r="F18" s="122">
        <f t="shared" si="9"/>
        <v>0.54149023225748683</v>
      </c>
      <c r="G18" s="122">
        <f t="shared" si="9"/>
        <v>0.54149023225748683</v>
      </c>
      <c r="H18" s="122">
        <f t="shared" si="9"/>
        <v>0.54149023225748683</v>
      </c>
      <c r="I18" s="122">
        <f t="shared" si="9"/>
        <v>0.54149023225748683</v>
      </c>
      <c r="J18" s="122">
        <f t="shared" si="9"/>
        <v>0.54149023225748683</v>
      </c>
      <c r="K18" s="122">
        <f t="shared" si="9"/>
        <v>0.54149023225748683</v>
      </c>
      <c r="L18" s="122">
        <f t="shared" si="9"/>
        <v>0.54149023225748683</v>
      </c>
      <c r="M18" s="122">
        <f t="shared" si="9"/>
        <v>0.54149023225748683</v>
      </c>
      <c r="N18" s="122">
        <f t="shared" si="9"/>
        <v>0.54149023225748683</v>
      </c>
      <c r="O18" s="122">
        <f t="shared" si="9"/>
        <v>0.54149023225748683</v>
      </c>
      <c r="P18" s="122">
        <f t="shared" si="9"/>
        <v>0.54149023225748683</v>
      </c>
      <c r="Q18" s="122">
        <f t="shared" si="9"/>
        <v>0.54149023225748683</v>
      </c>
      <c r="R18" s="122">
        <f t="shared" si="9"/>
        <v>0.54149023225748683</v>
      </c>
      <c r="S18" s="122">
        <f t="shared" si="9"/>
        <v>0.54149023225748683</v>
      </c>
      <c r="T18" s="122">
        <f t="shared" si="9"/>
        <v>0.54149023225748683</v>
      </c>
      <c r="U18" s="122">
        <f t="shared" si="9"/>
        <v>0.54149023225748683</v>
      </c>
      <c r="V18" s="122">
        <f t="shared" si="9"/>
        <v>0.54149023225748683</v>
      </c>
      <c r="W18" s="122">
        <f t="shared" si="9"/>
        <v>0.54149023225748683</v>
      </c>
      <c r="X18" s="122">
        <f t="shared" si="9"/>
        <v>0.54149023225748683</v>
      </c>
      <c r="Y18" s="122">
        <f t="shared" si="9"/>
        <v>0.54149023225748683</v>
      </c>
      <c r="Z18" s="122">
        <f t="shared" si="9"/>
        <v>0.54149023225748683</v>
      </c>
      <c r="AA18" s="122">
        <f t="shared" si="9"/>
        <v>0.54149023225748683</v>
      </c>
      <c r="AB18" s="122">
        <f t="shared" si="9"/>
        <v>0.54149023225748683</v>
      </c>
      <c r="AC18" s="122">
        <f t="shared" si="9"/>
        <v>0.54149023225748683</v>
      </c>
      <c r="AD18" s="122">
        <f t="shared" si="9"/>
        <v>0.54149023225748683</v>
      </c>
      <c r="AE18" s="122">
        <f t="shared" si="9"/>
        <v>0.54149023225748683</v>
      </c>
      <c r="AF18" s="122">
        <f t="shared" si="9"/>
        <v>0.54149023225748683</v>
      </c>
      <c r="AG18" s="122">
        <f>AF18</f>
        <v>0.54149023225748683</v>
      </c>
      <c r="AI18" s="51" t="s">
        <v>268</v>
      </c>
      <c r="AJ18" s="198"/>
      <c r="AM18" s="109"/>
      <c r="AN18" s="109"/>
      <c r="AO18" s="109"/>
      <c r="AP18" s="109"/>
      <c r="AQ18" s="109"/>
    </row>
    <row r="19" spans="1:64" outlineLevel="1">
      <c r="A19" t="s">
        <v>272</v>
      </c>
      <c r="B19" s="51" t="s">
        <v>126</v>
      </c>
      <c r="C19" s="122">
        <f>'Ethylene Recycling HC'!C19</f>
        <v>0.16353925502122318</v>
      </c>
      <c r="D19" s="122">
        <f t="shared" ref="D19:S22" si="10">C19</f>
        <v>0.16353925502122318</v>
      </c>
      <c r="E19" s="122">
        <f t="shared" si="10"/>
        <v>0.16353925502122318</v>
      </c>
      <c r="F19" s="122">
        <f t="shared" si="10"/>
        <v>0.16353925502122318</v>
      </c>
      <c r="G19" s="122">
        <f t="shared" si="10"/>
        <v>0.16353925502122318</v>
      </c>
      <c r="H19" s="122">
        <f t="shared" si="10"/>
        <v>0.16353925502122318</v>
      </c>
      <c r="I19" s="122">
        <f t="shared" si="10"/>
        <v>0.16353925502122318</v>
      </c>
      <c r="J19" s="122">
        <f t="shared" si="10"/>
        <v>0.16353925502122318</v>
      </c>
      <c r="K19" s="122">
        <f t="shared" si="10"/>
        <v>0.16353925502122318</v>
      </c>
      <c r="L19" s="122">
        <f t="shared" si="10"/>
        <v>0.16353925502122318</v>
      </c>
      <c r="M19" s="122">
        <f t="shared" si="10"/>
        <v>0.16353925502122318</v>
      </c>
      <c r="N19" s="122">
        <f t="shared" si="10"/>
        <v>0.16353925502122318</v>
      </c>
      <c r="O19" s="122">
        <f t="shared" si="10"/>
        <v>0.16353925502122318</v>
      </c>
      <c r="P19" s="122">
        <f t="shared" si="10"/>
        <v>0.16353925502122318</v>
      </c>
      <c r="Q19" s="122">
        <f t="shared" si="10"/>
        <v>0.16353925502122318</v>
      </c>
      <c r="R19" s="122">
        <f t="shared" si="10"/>
        <v>0.16353925502122318</v>
      </c>
      <c r="S19" s="122">
        <f t="shared" si="10"/>
        <v>0.16353925502122318</v>
      </c>
      <c r="T19" s="122">
        <f t="shared" si="9"/>
        <v>0.16353925502122318</v>
      </c>
      <c r="U19" s="122">
        <f t="shared" si="9"/>
        <v>0.16353925502122318</v>
      </c>
      <c r="V19" s="122">
        <f t="shared" si="9"/>
        <v>0.16353925502122318</v>
      </c>
      <c r="W19" s="122">
        <f t="shared" si="9"/>
        <v>0.16353925502122318</v>
      </c>
      <c r="X19" s="122">
        <f t="shared" si="9"/>
        <v>0.16353925502122318</v>
      </c>
      <c r="Y19" s="122">
        <f t="shared" si="9"/>
        <v>0.16353925502122318</v>
      </c>
      <c r="Z19" s="122">
        <f t="shared" si="9"/>
        <v>0.16353925502122318</v>
      </c>
      <c r="AA19" s="122">
        <f t="shared" si="9"/>
        <v>0.16353925502122318</v>
      </c>
      <c r="AB19" s="122">
        <f t="shared" si="9"/>
        <v>0.16353925502122318</v>
      </c>
      <c r="AC19" s="122">
        <f t="shared" si="9"/>
        <v>0.16353925502122318</v>
      </c>
      <c r="AD19" s="122">
        <f t="shared" si="9"/>
        <v>0.16353925502122318</v>
      </c>
      <c r="AE19" s="122">
        <f t="shared" si="9"/>
        <v>0.16353925502122318</v>
      </c>
      <c r="AF19" s="122">
        <f t="shared" si="9"/>
        <v>0.16353925502122318</v>
      </c>
      <c r="AG19" s="122">
        <f t="shared" ref="T19:AG22" si="11">AF19</f>
        <v>0.16353925502122318</v>
      </c>
      <c r="AI19" s="51" t="s">
        <v>268</v>
      </c>
      <c r="AJ19" s="198"/>
      <c r="AM19" s="114"/>
      <c r="AN19" s="109"/>
      <c r="AO19" s="110"/>
      <c r="AP19" s="111"/>
      <c r="AQ19" s="110"/>
    </row>
    <row r="20" spans="1:64" outlineLevel="1">
      <c r="A20" t="s">
        <v>273</v>
      </c>
      <c r="B20" s="51" t="s">
        <v>126</v>
      </c>
      <c r="C20" s="122">
        <f>'Ethylene Recycling HC'!C20</f>
        <v>0.45636929963709016</v>
      </c>
      <c r="D20" s="122">
        <f t="shared" si="10"/>
        <v>0.45636929963709016</v>
      </c>
      <c r="E20" s="122">
        <f t="shared" si="10"/>
        <v>0.45636929963709016</v>
      </c>
      <c r="F20" s="122">
        <f t="shared" si="10"/>
        <v>0.45636929963709016</v>
      </c>
      <c r="G20" s="122">
        <f t="shared" si="10"/>
        <v>0.45636929963709016</v>
      </c>
      <c r="H20" s="122">
        <f t="shared" si="10"/>
        <v>0.45636929963709016</v>
      </c>
      <c r="I20" s="122">
        <f t="shared" si="10"/>
        <v>0.45636929963709016</v>
      </c>
      <c r="J20" s="122">
        <f t="shared" si="10"/>
        <v>0.45636929963709016</v>
      </c>
      <c r="K20" s="122">
        <f t="shared" si="10"/>
        <v>0.45636929963709016</v>
      </c>
      <c r="L20" s="122">
        <f t="shared" si="10"/>
        <v>0.45636929963709016</v>
      </c>
      <c r="M20" s="122">
        <f t="shared" si="10"/>
        <v>0.45636929963709016</v>
      </c>
      <c r="N20" s="122">
        <f t="shared" si="10"/>
        <v>0.45636929963709016</v>
      </c>
      <c r="O20" s="122">
        <f t="shared" si="10"/>
        <v>0.45636929963709016</v>
      </c>
      <c r="P20" s="122">
        <f t="shared" si="10"/>
        <v>0.45636929963709016</v>
      </c>
      <c r="Q20" s="122">
        <f t="shared" si="10"/>
        <v>0.45636929963709016</v>
      </c>
      <c r="R20" s="122">
        <f t="shared" si="10"/>
        <v>0.45636929963709016</v>
      </c>
      <c r="S20" s="122">
        <f t="shared" si="10"/>
        <v>0.45636929963709016</v>
      </c>
      <c r="T20" s="122">
        <f t="shared" si="11"/>
        <v>0.45636929963709016</v>
      </c>
      <c r="U20" s="122">
        <f t="shared" si="11"/>
        <v>0.45636929963709016</v>
      </c>
      <c r="V20" s="122">
        <f t="shared" si="11"/>
        <v>0.45636929963709016</v>
      </c>
      <c r="W20" s="122">
        <f t="shared" si="11"/>
        <v>0.45636929963709016</v>
      </c>
      <c r="X20" s="122">
        <f t="shared" si="11"/>
        <v>0.45636929963709016</v>
      </c>
      <c r="Y20" s="122">
        <f t="shared" si="11"/>
        <v>0.45636929963709016</v>
      </c>
      <c r="Z20" s="122">
        <f t="shared" si="11"/>
        <v>0.45636929963709016</v>
      </c>
      <c r="AA20" s="122">
        <f t="shared" si="11"/>
        <v>0.45636929963709016</v>
      </c>
      <c r="AB20" s="122">
        <f t="shared" si="11"/>
        <v>0.45636929963709016</v>
      </c>
      <c r="AC20" s="122">
        <f t="shared" si="11"/>
        <v>0.45636929963709016</v>
      </c>
      <c r="AD20" s="122">
        <f t="shared" si="11"/>
        <v>0.45636929963709016</v>
      </c>
      <c r="AE20" s="122">
        <f t="shared" si="11"/>
        <v>0.45636929963709016</v>
      </c>
      <c r="AF20" s="122">
        <f t="shared" si="11"/>
        <v>0.45636929963709016</v>
      </c>
      <c r="AG20" s="122">
        <f t="shared" si="11"/>
        <v>0.45636929963709016</v>
      </c>
      <c r="AI20" s="51" t="s">
        <v>268</v>
      </c>
      <c r="AJ20" s="198"/>
      <c r="AM20" s="114"/>
      <c r="AN20" s="109"/>
      <c r="AO20" s="110"/>
      <c r="AP20" s="111"/>
      <c r="AQ20" s="110"/>
    </row>
    <row r="21" spans="1:64" outlineLevel="1">
      <c r="A21" t="s">
        <v>409</v>
      </c>
      <c r="B21" s="51" t="s">
        <v>126</v>
      </c>
      <c r="C21" s="122">
        <f>'Ethylene Recycling HC'!C21</f>
        <v>0.16146056485626553</v>
      </c>
      <c r="D21" s="122">
        <f t="shared" si="10"/>
        <v>0.16146056485626553</v>
      </c>
      <c r="E21" s="122">
        <f t="shared" si="10"/>
        <v>0.16146056485626553</v>
      </c>
      <c r="F21" s="122">
        <f t="shared" si="10"/>
        <v>0.16146056485626553</v>
      </c>
      <c r="G21" s="122">
        <f t="shared" si="10"/>
        <v>0.16146056485626553</v>
      </c>
      <c r="H21" s="122">
        <f t="shared" si="10"/>
        <v>0.16146056485626553</v>
      </c>
      <c r="I21" s="122">
        <f t="shared" si="10"/>
        <v>0.16146056485626553</v>
      </c>
      <c r="J21" s="122">
        <f t="shared" si="10"/>
        <v>0.16146056485626553</v>
      </c>
      <c r="K21" s="122">
        <f t="shared" si="10"/>
        <v>0.16146056485626553</v>
      </c>
      <c r="L21" s="122">
        <f t="shared" si="10"/>
        <v>0.16146056485626553</v>
      </c>
      <c r="M21" s="122">
        <f t="shared" si="10"/>
        <v>0.16146056485626553</v>
      </c>
      <c r="N21" s="122">
        <f t="shared" si="10"/>
        <v>0.16146056485626553</v>
      </c>
      <c r="O21" s="122">
        <f t="shared" si="10"/>
        <v>0.16146056485626553</v>
      </c>
      <c r="P21" s="122">
        <f t="shared" si="10"/>
        <v>0.16146056485626553</v>
      </c>
      <c r="Q21" s="122">
        <f t="shared" si="10"/>
        <v>0.16146056485626553</v>
      </c>
      <c r="R21" s="122">
        <f t="shared" si="10"/>
        <v>0.16146056485626553</v>
      </c>
      <c r="S21" s="122">
        <f t="shared" si="10"/>
        <v>0.16146056485626553</v>
      </c>
      <c r="T21" s="122">
        <f t="shared" si="11"/>
        <v>0.16146056485626553</v>
      </c>
      <c r="U21" s="122">
        <f t="shared" si="11"/>
        <v>0.16146056485626553</v>
      </c>
      <c r="V21" s="122">
        <f t="shared" si="11"/>
        <v>0.16146056485626553</v>
      </c>
      <c r="W21" s="122">
        <f t="shared" si="11"/>
        <v>0.16146056485626553</v>
      </c>
      <c r="X21" s="122">
        <f t="shared" si="11"/>
        <v>0.16146056485626553</v>
      </c>
      <c r="Y21" s="122">
        <f t="shared" si="11"/>
        <v>0.16146056485626553</v>
      </c>
      <c r="Z21" s="122">
        <f t="shared" si="11"/>
        <v>0.16146056485626553</v>
      </c>
      <c r="AA21" s="122">
        <f t="shared" si="11"/>
        <v>0.16146056485626553</v>
      </c>
      <c r="AB21" s="122">
        <f t="shared" si="11"/>
        <v>0.16146056485626553</v>
      </c>
      <c r="AC21" s="122">
        <f t="shared" si="11"/>
        <v>0.16146056485626553</v>
      </c>
      <c r="AD21" s="122">
        <f t="shared" si="11"/>
        <v>0.16146056485626553</v>
      </c>
      <c r="AE21" s="122">
        <f t="shared" si="11"/>
        <v>0.16146056485626553</v>
      </c>
      <c r="AF21" s="122">
        <f t="shared" si="11"/>
        <v>0.16146056485626553</v>
      </c>
      <c r="AG21" s="122">
        <f t="shared" si="11"/>
        <v>0.16146056485626553</v>
      </c>
      <c r="AI21" s="51" t="s">
        <v>516</v>
      </c>
      <c r="AJ21" s="198"/>
      <c r="AM21" s="114"/>
      <c r="AN21" s="109"/>
      <c r="AO21" s="110"/>
      <c r="AP21" s="111"/>
      <c r="AQ21" s="110"/>
    </row>
    <row r="22" spans="1:64" outlineLevel="1">
      <c r="A22" t="s">
        <v>295</v>
      </c>
      <c r="B22" s="51" t="s">
        <v>126</v>
      </c>
      <c r="C22" s="122">
        <f>'Ethylene Recycling HC'!C22</f>
        <v>0.2810021965891305</v>
      </c>
      <c r="D22" s="122">
        <f>C22</f>
        <v>0.2810021965891305</v>
      </c>
      <c r="E22" s="122">
        <f t="shared" si="10"/>
        <v>0.2810021965891305</v>
      </c>
      <c r="F22" s="122">
        <f t="shared" si="10"/>
        <v>0.2810021965891305</v>
      </c>
      <c r="G22" s="122">
        <f t="shared" si="10"/>
        <v>0.2810021965891305</v>
      </c>
      <c r="H22" s="122">
        <f t="shared" si="10"/>
        <v>0.2810021965891305</v>
      </c>
      <c r="I22" s="122">
        <f t="shared" si="10"/>
        <v>0.2810021965891305</v>
      </c>
      <c r="J22" s="122">
        <f t="shared" si="10"/>
        <v>0.2810021965891305</v>
      </c>
      <c r="K22" s="122">
        <f t="shared" si="10"/>
        <v>0.2810021965891305</v>
      </c>
      <c r="L22" s="122">
        <f t="shared" si="10"/>
        <v>0.2810021965891305</v>
      </c>
      <c r="M22" s="122">
        <f t="shared" si="10"/>
        <v>0.2810021965891305</v>
      </c>
      <c r="N22" s="122">
        <f t="shared" si="10"/>
        <v>0.2810021965891305</v>
      </c>
      <c r="O22" s="122">
        <f t="shared" si="10"/>
        <v>0.2810021965891305</v>
      </c>
      <c r="P22" s="122">
        <f t="shared" si="10"/>
        <v>0.2810021965891305</v>
      </c>
      <c r="Q22" s="122">
        <f t="shared" si="10"/>
        <v>0.2810021965891305</v>
      </c>
      <c r="R22" s="122">
        <f t="shared" si="10"/>
        <v>0.2810021965891305</v>
      </c>
      <c r="S22" s="122">
        <f t="shared" si="10"/>
        <v>0.2810021965891305</v>
      </c>
      <c r="T22" s="122">
        <f t="shared" si="11"/>
        <v>0.2810021965891305</v>
      </c>
      <c r="U22" s="122">
        <f t="shared" si="11"/>
        <v>0.2810021965891305</v>
      </c>
      <c r="V22" s="122">
        <f t="shared" si="11"/>
        <v>0.2810021965891305</v>
      </c>
      <c r="W22" s="122">
        <f t="shared" si="11"/>
        <v>0.2810021965891305</v>
      </c>
      <c r="X22" s="122">
        <f t="shared" si="11"/>
        <v>0.2810021965891305</v>
      </c>
      <c r="Y22" s="122">
        <f t="shared" si="11"/>
        <v>0.2810021965891305</v>
      </c>
      <c r="Z22" s="122">
        <f t="shared" si="11"/>
        <v>0.2810021965891305</v>
      </c>
      <c r="AA22" s="122">
        <f t="shared" si="11"/>
        <v>0.2810021965891305</v>
      </c>
      <c r="AB22" s="122">
        <f t="shared" si="11"/>
        <v>0.2810021965891305</v>
      </c>
      <c r="AC22" s="122">
        <f t="shared" si="11"/>
        <v>0.2810021965891305</v>
      </c>
      <c r="AD22" s="122">
        <f t="shared" si="11"/>
        <v>0.2810021965891305</v>
      </c>
      <c r="AE22" s="122">
        <f t="shared" si="11"/>
        <v>0.2810021965891305</v>
      </c>
      <c r="AF22" s="122">
        <f t="shared" si="11"/>
        <v>0.2810021965891305</v>
      </c>
      <c r="AG22" s="122">
        <f t="shared" si="11"/>
        <v>0.2810021965891305</v>
      </c>
      <c r="AI22" s="51" t="s">
        <v>268</v>
      </c>
      <c r="AJ22" s="198"/>
      <c r="AM22" s="114"/>
      <c r="AN22" s="109"/>
      <c r="AO22" s="110"/>
      <c r="AP22" s="111"/>
      <c r="AQ22" s="110"/>
    </row>
    <row r="23" spans="1:64" outlineLevel="1">
      <c r="AI23" s="51"/>
      <c r="AM23" s="114"/>
      <c r="AN23" s="109"/>
      <c r="AO23" s="110"/>
      <c r="AP23" s="111"/>
      <c r="AQ23" s="110"/>
      <c r="BD23" s="22"/>
      <c r="BE23" s="22"/>
      <c r="BF23" s="22"/>
      <c r="BG23" s="22"/>
      <c r="BH23" s="22"/>
      <c r="BI23" s="22"/>
      <c r="BJ23" s="22"/>
      <c r="BK23" s="22"/>
      <c r="BL23" s="22"/>
    </row>
    <row r="24" spans="1:64" outlineLevel="1">
      <c r="A24" t="s">
        <v>415</v>
      </c>
      <c r="B24" s="51" t="s">
        <v>297</v>
      </c>
      <c r="C24" s="191">
        <f>C11*C18</f>
        <v>1514603.3992981189</v>
      </c>
      <c r="D24" s="191">
        <f t="shared" ref="D24:AG24" si="12">D11*D18</f>
        <v>1514603.3992981189</v>
      </c>
      <c r="E24" s="191">
        <f t="shared" si="12"/>
        <v>1514603.3992981189</v>
      </c>
      <c r="F24" s="191">
        <f t="shared" si="12"/>
        <v>1514603.3992981189</v>
      </c>
      <c r="G24" s="191">
        <f t="shared" si="12"/>
        <v>1514603.3992981189</v>
      </c>
      <c r="H24" s="191">
        <f t="shared" si="12"/>
        <v>1514603.3992981189</v>
      </c>
      <c r="I24" s="191">
        <f t="shared" si="12"/>
        <v>1514603.3992981189</v>
      </c>
      <c r="J24" s="191">
        <f t="shared" si="12"/>
        <v>1514603.3992981189</v>
      </c>
      <c r="K24" s="191">
        <f t="shared" si="12"/>
        <v>1514603.3992981189</v>
      </c>
      <c r="L24" s="191">
        <f t="shared" si="12"/>
        <v>1514603.3992981189</v>
      </c>
      <c r="M24" s="191">
        <f t="shared" si="12"/>
        <v>1514603.3992981189</v>
      </c>
      <c r="N24" s="191">
        <f t="shared" si="12"/>
        <v>1514603.3992981189</v>
      </c>
      <c r="O24" s="191">
        <f t="shared" si="12"/>
        <v>1514603.3992981189</v>
      </c>
      <c r="P24" s="191">
        <f t="shared" si="12"/>
        <v>1514603.3992981189</v>
      </c>
      <c r="Q24" s="191">
        <f t="shared" si="12"/>
        <v>1514603.3992981189</v>
      </c>
      <c r="R24" s="191">
        <f t="shared" si="12"/>
        <v>1514603.3992981189</v>
      </c>
      <c r="S24" s="191">
        <f t="shared" si="12"/>
        <v>1514603.3992981189</v>
      </c>
      <c r="T24" s="191">
        <f t="shared" si="12"/>
        <v>1514603.3992981189</v>
      </c>
      <c r="U24" s="191">
        <f t="shared" si="12"/>
        <v>1514603.3992981189</v>
      </c>
      <c r="V24" s="191">
        <f t="shared" si="12"/>
        <v>1514603.3992981189</v>
      </c>
      <c r="W24" s="191">
        <f t="shared" si="12"/>
        <v>1514603.3992981189</v>
      </c>
      <c r="X24" s="191">
        <f t="shared" si="12"/>
        <v>1514603.3992981189</v>
      </c>
      <c r="Y24" s="191">
        <f t="shared" si="12"/>
        <v>1514603.3992981189</v>
      </c>
      <c r="Z24" s="191">
        <f t="shared" si="12"/>
        <v>1514603.3992981189</v>
      </c>
      <c r="AA24" s="191">
        <f t="shared" si="12"/>
        <v>1514603.3992981189</v>
      </c>
      <c r="AB24" s="191">
        <f t="shared" si="12"/>
        <v>1514603.3992981189</v>
      </c>
      <c r="AC24" s="191">
        <f t="shared" si="12"/>
        <v>1514603.3992981189</v>
      </c>
      <c r="AD24" s="191">
        <f t="shared" si="12"/>
        <v>1514603.3992981189</v>
      </c>
      <c r="AE24" s="191">
        <f t="shared" si="12"/>
        <v>1514603.3992981189</v>
      </c>
      <c r="AF24" s="191">
        <f t="shared" si="12"/>
        <v>1514603.3992981189</v>
      </c>
      <c r="AG24" s="191">
        <f t="shared" si="12"/>
        <v>1514603.3992981189</v>
      </c>
      <c r="AM24" s="114"/>
      <c r="AN24" s="109"/>
      <c r="AO24" s="109"/>
      <c r="AP24" s="109"/>
      <c r="AQ24" s="109"/>
      <c r="BD24" s="192"/>
      <c r="BE24" s="192"/>
      <c r="BF24" s="192"/>
      <c r="BG24" s="192"/>
      <c r="BH24" s="192"/>
      <c r="BI24" s="192"/>
      <c r="BJ24" s="192"/>
      <c r="BK24" s="192"/>
      <c r="BL24" s="192"/>
    </row>
    <row r="25" spans="1:64" outlineLevel="1">
      <c r="A25" t="s">
        <v>298</v>
      </c>
      <c r="B25" s="51" t="s">
        <v>297</v>
      </c>
      <c r="C25" s="191">
        <f t="shared" ref="C25:AG28" si="13">C12*C19</f>
        <v>43179.045698095215</v>
      </c>
      <c r="D25" s="191">
        <f t="shared" si="13"/>
        <v>43179.045698095215</v>
      </c>
      <c r="E25" s="191">
        <f t="shared" si="13"/>
        <v>43179.045698095215</v>
      </c>
      <c r="F25" s="191">
        <f t="shared" si="13"/>
        <v>43179.045698095215</v>
      </c>
      <c r="G25" s="191">
        <f t="shared" si="13"/>
        <v>43179.045698095215</v>
      </c>
      <c r="H25" s="191">
        <f t="shared" si="13"/>
        <v>43179.045698095215</v>
      </c>
      <c r="I25" s="191">
        <f t="shared" si="13"/>
        <v>43179.045698095215</v>
      </c>
      <c r="J25" s="191">
        <f t="shared" si="13"/>
        <v>43179.045698095215</v>
      </c>
      <c r="K25" s="191">
        <f t="shared" si="13"/>
        <v>43179.045698095215</v>
      </c>
      <c r="L25" s="191">
        <f t="shared" si="13"/>
        <v>43179.045698095215</v>
      </c>
      <c r="M25" s="191">
        <f t="shared" si="13"/>
        <v>43179.045698095215</v>
      </c>
      <c r="N25" s="191">
        <f t="shared" si="13"/>
        <v>43179.045698095215</v>
      </c>
      <c r="O25" s="191">
        <f t="shared" si="13"/>
        <v>43179.045698095215</v>
      </c>
      <c r="P25" s="191">
        <f t="shared" si="13"/>
        <v>43179.045698095215</v>
      </c>
      <c r="Q25" s="191">
        <f t="shared" si="13"/>
        <v>43179.045698095215</v>
      </c>
      <c r="R25" s="191">
        <f t="shared" si="13"/>
        <v>43179.045698095215</v>
      </c>
      <c r="S25" s="191">
        <f t="shared" si="13"/>
        <v>43179.045698095215</v>
      </c>
      <c r="T25" s="191">
        <f t="shared" si="13"/>
        <v>43179.045698095215</v>
      </c>
      <c r="U25" s="191">
        <f t="shared" si="13"/>
        <v>43179.045698095215</v>
      </c>
      <c r="V25" s="191">
        <f t="shared" si="13"/>
        <v>43179.045698095215</v>
      </c>
      <c r="W25" s="191">
        <f t="shared" si="13"/>
        <v>43179.045698095215</v>
      </c>
      <c r="X25" s="191">
        <f t="shared" si="13"/>
        <v>43179.045698095215</v>
      </c>
      <c r="Y25" s="191">
        <f t="shared" si="13"/>
        <v>43179.045698095215</v>
      </c>
      <c r="Z25" s="191">
        <f t="shared" si="13"/>
        <v>43179.045698095215</v>
      </c>
      <c r="AA25" s="191">
        <f t="shared" si="13"/>
        <v>43179.045698095215</v>
      </c>
      <c r="AB25" s="191">
        <f t="shared" si="13"/>
        <v>43179.045698095215</v>
      </c>
      <c r="AC25" s="191">
        <f t="shared" si="13"/>
        <v>43179.045698095215</v>
      </c>
      <c r="AD25" s="191">
        <f t="shared" si="13"/>
        <v>43179.045698095215</v>
      </c>
      <c r="AE25" s="191">
        <f t="shared" si="13"/>
        <v>43179.045698095215</v>
      </c>
      <c r="AF25" s="191">
        <f t="shared" si="13"/>
        <v>43179.045698095215</v>
      </c>
      <c r="AG25" s="191">
        <f t="shared" si="13"/>
        <v>43179.045698095215</v>
      </c>
      <c r="AM25" s="193"/>
      <c r="BD25" s="192"/>
      <c r="BE25" s="192"/>
      <c r="BF25" s="192"/>
      <c r="BG25" s="192"/>
      <c r="BH25" s="192"/>
      <c r="BI25" s="192"/>
      <c r="BJ25" s="192"/>
      <c r="BK25" s="192"/>
      <c r="BL25" s="192"/>
    </row>
    <row r="26" spans="1:64" outlineLevel="1">
      <c r="A26" t="s">
        <v>299</v>
      </c>
      <c r="B26" s="51" t="s">
        <v>297</v>
      </c>
      <c r="C26" s="191">
        <f t="shared" si="13"/>
        <v>94796.125276685067</v>
      </c>
      <c r="D26" s="191">
        <f t="shared" si="13"/>
        <v>94796.125276685067</v>
      </c>
      <c r="E26" s="191">
        <f t="shared" si="13"/>
        <v>94796.125276685067</v>
      </c>
      <c r="F26" s="191">
        <f t="shared" si="13"/>
        <v>94796.125276685067</v>
      </c>
      <c r="G26" s="191">
        <f t="shared" si="13"/>
        <v>94796.125276685067</v>
      </c>
      <c r="H26" s="191">
        <f t="shared" si="13"/>
        <v>94796.125276685067</v>
      </c>
      <c r="I26" s="191">
        <f t="shared" si="13"/>
        <v>94796.125276685067</v>
      </c>
      <c r="J26" s="191">
        <f t="shared" si="13"/>
        <v>94796.125276685067</v>
      </c>
      <c r="K26" s="191">
        <f t="shared" si="13"/>
        <v>94796.125276685067</v>
      </c>
      <c r="L26" s="191">
        <f t="shared" si="13"/>
        <v>94796.125276685067</v>
      </c>
      <c r="M26" s="191">
        <f t="shared" si="13"/>
        <v>94796.125276685067</v>
      </c>
      <c r="N26" s="191">
        <f t="shared" si="13"/>
        <v>94796.125276685067</v>
      </c>
      <c r="O26" s="191">
        <f t="shared" si="13"/>
        <v>94796.125276685067</v>
      </c>
      <c r="P26" s="191">
        <f t="shared" si="13"/>
        <v>94796.125276685067</v>
      </c>
      <c r="Q26" s="191">
        <f t="shared" si="13"/>
        <v>94796.125276685067</v>
      </c>
      <c r="R26" s="191">
        <f t="shared" si="13"/>
        <v>94796.125276685067</v>
      </c>
      <c r="S26" s="191">
        <f t="shared" si="13"/>
        <v>94796.125276685067</v>
      </c>
      <c r="T26" s="191">
        <f t="shared" si="13"/>
        <v>94796.125276685067</v>
      </c>
      <c r="U26" s="191">
        <f t="shared" si="13"/>
        <v>94796.125276685067</v>
      </c>
      <c r="V26" s="191">
        <f t="shared" si="13"/>
        <v>94796.125276685067</v>
      </c>
      <c r="W26" s="191">
        <f t="shared" si="13"/>
        <v>94796.125276685067</v>
      </c>
      <c r="X26" s="191">
        <f t="shared" si="13"/>
        <v>94796.125276685067</v>
      </c>
      <c r="Y26" s="191">
        <f t="shared" si="13"/>
        <v>94796.125276685067</v>
      </c>
      <c r="Z26" s="191">
        <f t="shared" si="13"/>
        <v>94796.125276685067</v>
      </c>
      <c r="AA26" s="191">
        <f t="shared" si="13"/>
        <v>94796.125276685067</v>
      </c>
      <c r="AB26" s="191">
        <f t="shared" si="13"/>
        <v>94796.125276685067</v>
      </c>
      <c r="AC26" s="191">
        <f t="shared" si="13"/>
        <v>94796.125276685067</v>
      </c>
      <c r="AD26" s="191">
        <f t="shared" si="13"/>
        <v>94796.125276685067</v>
      </c>
      <c r="AE26" s="191">
        <f t="shared" si="13"/>
        <v>94796.125276685067</v>
      </c>
      <c r="AF26" s="191">
        <f t="shared" si="13"/>
        <v>94796.125276685067</v>
      </c>
      <c r="AG26" s="191">
        <f t="shared" si="13"/>
        <v>94796.125276685067</v>
      </c>
      <c r="BD26" s="192"/>
      <c r="BE26" s="192"/>
      <c r="BF26" s="192"/>
      <c r="BG26" s="192"/>
      <c r="BH26" s="192"/>
      <c r="BI26" s="192"/>
      <c r="BJ26" s="192"/>
      <c r="BK26" s="192"/>
      <c r="BL26" s="192"/>
    </row>
    <row r="27" spans="1:64" outlineLevel="1">
      <c r="A27" t="s">
        <v>412</v>
      </c>
      <c r="B27" s="51" t="s">
        <v>297</v>
      </c>
      <c r="C27" s="191">
        <f t="shared" si="13"/>
        <v>85596.363643166362</v>
      </c>
      <c r="D27" s="191">
        <f t="shared" si="13"/>
        <v>85596.363643166362</v>
      </c>
      <c r="E27" s="191">
        <f t="shared" si="13"/>
        <v>85596.363643166362</v>
      </c>
      <c r="F27" s="191">
        <f t="shared" si="13"/>
        <v>85596.363643166362</v>
      </c>
      <c r="G27" s="191">
        <f t="shared" si="13"/>
        <v>85596.363643166362</v>
      </c>
      <c r="H27" s="191">
        <f t="shared" si="13"/>
        <v>85596.363643166362</v>
      </c>
      <c r="I27" s="191">
        <f t="shared" si="13"/>
        <v>85596.363643166362</v>
      </c>
      <c r="J27" s="191">
        <f t="shared" si="13"/>
        <v>85596.363643166362</v>
      </c>
      <c r="K27" s="191">
        <f t="shared" si="13"/>
        <v>85596.363643166362</v>
      </c>
      <c r="L27" s="191">
        <f t="shared" si="13"/>
        <v>85596.363643166362</v>
      </c>
      <c r="M27" s="191">
        <f t="shared" si="13"/>
        <v>85596.363643166362</v>
      </c>
      <c r="N27" s="191">
        <f t="shared" si="13"/>
        <v>85596.363643166362</v>
      </c>
      <c r="O27" s="191">
        <f t="shared" si="13"/>
        <v>85596.363643166362</v>
      </c>
      <c r="P27" s="191">
        <f t="shared" si="13"/>
        <v>85596.363643166362</v>
      </c>
      <c r="Q27" s="191">
        <f t="shared" si="13"/>
        <v>85596.363643166362</v>
      </c>
      <c r="R27" s="191">
        <f t="shared" si="13"/>
        <v>85596.363643166362</v>
      </c>
      <c r="S27" s="191">
        <f t="shared" si="13"/>
        <v>85596.363643166362</v>
      </c>
      <c r="T27" s="191">
        <f t="shared" si="13"/>
        <v>85596.363643166362</v>
      </c>
      <c r="U27" s="191">
        <f t="shared" si="13"/>
        <v>85596.363643166362</v>
      </c>
      <c r="V27" s="191">
        <f t="shared" si="13"/>
        <v>85596.363643166362</v>
      </c>
      <c r="W27" s="191">
        <f t="shared" si="13"/>
        <v>85596.363643166362</v>
      </c>
      <c r="X27" s="191">
        <f t="shared" si="13"/>
        <v>85596.363643166362</v>
      </c>
      <c r="Y27" s="191">
        <f t="shared" si="13"/>
        <v>85596.363643166362</v>
      </c>
      <c r="Z27" s="191">
        <f t="shared" si="13"/>
        <v>85596.363643166362</v>
      </c>
      <c r="AA27" s="191">
        <f t="shared" si="13"/>
        <v>85596.363643166362</v>
      </c>
      <c r="AB27" s="191">
        <f t="shared" si="13"/>
        <v>85596.363643166362</v>
      </c>
      <c r="AC27" s="191">
        <f t="shared" si="13"/>
        <v>85596.363643166362</v>
      </c>
      <c r="AD27" s="191">
        <f t="shared" si="13"/>
        <v>85596.363643166362</v>
      </c>
      <c r="AE27" s="191">
        <f t="shared" si="13"/>
        <v>85596.363643166362</v>
      </c>
      <c r="AF27" s="191">
        <f t="shared" si="13"/>
        <v>85596.363643166362</v>
      </c>
      <c r="AG27" s="191">
        <f t="shared" si="13"/>
        <v>85596.363643166362</v>
      </c>
      <c r="BD27" s="192"/>
      <c r="BE27" s="192"/>
      <c r="BF27" s="192"/>
      <c r="BG27" s="192"/>
      <c r="BH27" s="192"/>
      <c r="BI27" s="192"/>
      <c r="BJ27" s="192"/>
      <c r="BK27" s="192"/>
      <c r="BL27" s="192"/>
    </row>
    <row r="28" spans="1:64" outlineLevel="1">
      <c r="A28" s="169" t="s">
        <v>300</v>
      </c>
      <c r="B28" s="165" t="s">
        <v>297</v>
      </c>
      <c r="C28" s="191">
        <f t="shared" si="13"/>
        <v>423517.63920713891</v>
      </c>
      <c r="D28" s="191">
        <f t="shared" si="13"/>
        <v>423517.63920713891</v>
      </c>
      <c r="E28" s="191">
        <f t="shared" si="13"/>
        <v>423517.63920713891</v>
      </c>
      <c r="F28" s="191">
        <f t="shared" si="13"/>
        <v>423517.63920713891</v>
      </c>
      <c r="G28" s="191">
        <f t="shared" si="13"/>
        <v>423517.63920713891</v>
      </c>
      <c r="H28" s="191">
        <f t="shared" si="13"/>
        <v>423517.63920713891</v>
      </c>
      <c r="I28" s="191">
        <f t="shared" si="13"/>
        <v>423517.63920713891</v>
      </c>
      <c r="J28" s="191">
        <f t="shared" si="13"/>
        <v>423517.63920713891</v>
      </c>
      <c r="K28" s="191">
        <f t="shared" si="13"/>
        <v>423517.63920713891</v>
      </c>
      <c r="L28" s="191">
        <f t="shared" si="13"/>
        <v>423517.63920713891</v>
      </c>
      <c r="M28" s="191">
        <f t="shared" si="13"/>
        <v>423517.63920713891</v>
      </c>
      <c r="N28" s="191">
        <f t="shared" si="13"/>
        <v>423517.63920713891</v>
      </c>
      <c r="O28" s="191">
        <f t="shared" si="13"/>
        <v>423517.63920713891</v>
      </c>
      <c r="P28" s="191">
        <f t="shared" si="13"/>
        <v>423517.63920713891</v>
      </c>
      <c r="Q28" s="191">
        <f t="shared" si="13"/>
        <v>423517.63920713891</v>
      </c>
      <c r="R28" s="191">
        <f t="shared" si="13"/>
        <v>423517.63920713891</v>
      </c>
      <c r="S28" s="191">
        <f t="shared" si="13"/>
        <v>423517.63920713891</v>
      </c>
      <c r="T28" s="191">
        <f t="shared" si="13"/>
        <v>423517.63920713891</v>
      </c>
      <c r="U28" s="191">
        <f t="shared" si="13"/>
        <v>423517.63920713891</v>
      </c>
      <c r="V28" s="191">
        <f t="shared" si="13"/>
        <v>423517.63920713891</v>
      </c>
      <c r="W28" s="191">
        <f t="shared" si="13"/>
        <v>423517.63920713891</v>
      </c>
      <c r="X28" s="191">
        <f t="shared" si="13"/>
        <v>423517.63920713891</v>
      </c>
      <c r="Y28" s="191">
        <f t="shared" si="13"/>
        <v>423517.63920713891</v>
      </c>
      <c r="Z28" s="191">
        <f t="shared" si="13"/>
        <v>423517.63920713891</v>
      </c>
      <c r="AA28" s="191">
        <f t="shared" si="13"/>
        <v>423517.63920713891</v>
      </c>
      <c r="AB28" s="191">
        <f t="shared" si="13"/>
        <v>423517.63920713891</v>
      </c>
      <c r="AC28" s="191">
        <f t="shared" si="13"/>
        <v>423517.63920713891</v>
      </c>
      <c r="AD28" s="191">
        <f t="shared" si="13"/>
        <v>423517.63920713891</v>
      </c>
      <c r="AE28" s="191">
        <f t="shared" si="13"/>
        <v>423517.63920713891</v>
      </c>
      <c r="AF28" s="191">
        <f t="shared" si="13"/>
        <v>423517.63920713891</v>
      </c>
      <c r="AG28" s="191">
        <f t="shared" si="13"/>
        <v>423517.63920713891</v>
      </c>
      <c r="AL28" s="102"/>
      <c r="AM28" s="194"/>
      <c r="AN28" s="194"/>
      <c r="AO28" s="194"/>
    </row>
    <row r="29" spans="1:64" s="1" customFormat="1" ht="15.5" thickBot="1">
      <c r="A29" s="187" t="s">
        <v>434</v>
      </c>
      <c r="B29" s="206" t="s">
        <v>297</v>
      </c>
      <c r="C29" s="203">
        <f>SUM(C24:C28)</f>
        <v>2161692.5731232045</v>
      </c>
      <c r="D29" s="203">
        <f t="shared" ref="D29:AG29" si="14">SUM(D24:D28)</f>
        <v>2161692.5731232045</v>
      </c>
      <c r="E29" s="203">
        <f t="shared" si="14"/>
        <v>2161692.5731232045</v>
      </c>
      <c r="F29" s="203">
        <f t="shared" si="14"/>
        <v>2161692.5731232045</v>
      </c>
      <c r="G29" s="203">
        <f t="shared" si="14"/>
        <v>2161692.5731232045</v>
      </c>
      <c r="H29" s="203">
        <f t="shared" si="14"/>
        <v>2161692.5731232045</v>
      </c>
      <c r="I29" s="203">
        <f t="shared" si="14"/>
        <v>2161692.5731232045</v>
      </c>
      <c r="J29" s="203">
        <f t="shared" si="14"/>
        <v>2161692.5731232045</v>
      </c>
      <c r="K29" s="203">
        <f t="shared" si="14"/>
        <v>2161692.5731232045</v>
      </c>
      <c r="L29" s="203">
        <f t="shared" si="14"/>
        <v>2161692.5731232045</v>
      </c>
      <c r="M29" s="203">
        <f t="shared" si="14"/>
        <v>2161692.5731232045</v>
      </c>
      <c r="N29" s="203">
        <f t="shared" si="14"/>
        <v>2161692.5731232045</v>
      </c>
      <c r="O29" s="203">
        <f t="shared" si="14"/>
        <v>2161692.5731232045</v>
      </c>
      <c r="P29" s="203">
        <f t="shared" si="14"/>
        <v>2161692.5731232045</v>
      </c>
      <c r="Q29" s="203">
        <f t="shared" si="14"/>
        <v>2161692.5731232045</v>
      </c>
      <c r="R29" s="203">
        <f t="shared" si="14"/>
        <v>2161692.5731232045</v>
      </c>
      <c r="S29" s="203">
        <f t="shared" si="14"/>
        <v>2161692.5731232045</v>
      </c>
      <c r="T29" s="203">
        <f t="shared" si="14"/>
        <v>2161692.5731232045</v>
      </c>
      <c r="U29" s="203">
        <f t="shared" si="14"/>
        <v>2161692.5731232045</v>
      </c>
      <c r="V29" s="203">
        <f t="shared" si="14"/>
        <v>2161692.5731232045</v>
      </c>
      <c r="W29" s="203">
        <f t="shared" si="14"/>
        <v>2161692.5731232045</v>
      </c>
      <c r="X29" s="203">
        <f t="shared" si="14"/>
        <v>2161692.5731232045</v>
      </c>
      <c r="Y29" s="203">
        <f t="shared" si="14"/>
        <v>2161692.5731232045</v>
      </c>
      <c r="Z29" s="203">
        <f t="shared" si="14"/>
        <v>2161692.5731232045</v>
      </c>
      <c r="AA29" s="203">
        <f t="shared" si="14"/>
        <v>2161692.5731232045</v>
      </c>
      <c r="AB29" s="203">
        <f t="shared" si="14"/>
        <v>2161692.5731232045</v>
      </c>
      <c r="AC29" s="203">
        <f t="shared" si="14"/>
        <v>2161692.5731232045</v>
      </c>
      <c r="AD29" s="203">
        <f t="shared" si="14"/>
        <v>2161692.5731232045</v>
      </c>
      <c r="AE29" s="203">
        <f t="shared" si="14"/>
        <v>2161692.5731232045</v>
      </c>
      <c r="AF29" s="203">
        <f t="shared" si="14"/>
        <v>2161692.5731232045</v>
      </c>
      <c r="AG29" s="203">
        <f t="shared" si="14"/>
        <v>2161692.5731232045</v>
      </c>
      <c r="AJ29" s="151"/>
      <c r="AL29" s="207"/>
      <c r="AM29" s="118"/>
      <c r="AN29" s="118"/>
      <c r="AO29" s="118"/>
    </row>
    <row r="30" spans="1:64" ht="15.5" outlineLevel="1" thickTop="1">
      <c r="AL30" s="102"/>
      <c r="AM30" s="2"/>
      <c r="AN30" s="2"/>
      <c r="AO30" s="2"/>
    </row>
    <row r="31" spans="1:64" outlineLevel="1">
      <c r="A31" t="s">
        <v>518</v>
      </c>
      <c r="B31" s="165" t="s">
        <v>297</v>
      </c>
      <c r="C31" s="101">
        <f>C29</f>
        <v>2161692.5731232045</v>
      </c>
      <c r="D31" s="101">
        <f t="shared" ref="D31:AG31" si="15">D29</f>
        <v>2161692.5731232045</v>
      </c>
      <c r="E31" s="101">
        <f t="shared" si="15"/>
        <v>2161692.5731232045</v>
      </c>
      <c r="F31" s="101">
        <f t="shared" si="15"/>
        <v>2161692.5731232045</v>
      </c>
      <c r="G31" s="101">
        <f t="shared" si="15"/>
        <v>2161692.5731232045</v>
      </c>
      <c r="H31" s="101">
        <f t="shared" si="15"/>
        <v>2161692.5731232045</v>
      </c>
      <c r="I31" s="101">
        <f t="shared" si="15"/>
        <v>2161692.5731232045</v>
      </c>
      <c r="J31" s="101">
        <f t="shared" si="15"/>
        <v>2161692.5731232045</v>
      </c>
      <c r="K31" s="101">
        <f t="shared" si="15"/>
        <v>2161692.5731232045</v>
      </c>
      <c r="L31" s="101">
        <f t="shared" si="15"/>
        <v>2161692.5731232045</v>
      </c>
      <c r="M31" s="101">
        <f t="shared" si="15"/>
        <v>2161692.5731232045</v>
      </c>
      <c r="N31" s="101">
        <f t="shared" si="15"/>
        <v>2161692.5731232045</v>
      </c>
      <c r="O31" s="101">
        <f t="shared" si="15"/>
        <v>2161692.5731232045</v>
      </c>
      <c r="P31" s="101">
        <f t="shared" si="15"/>
        <v>2161692.5731232045</v>
      </c>
      <c r="Q31" s="101">
        <f t="shared" si="15"/>
        <v>2161692.5731232045</v>
      </c>
      <c r="R31" s="101">
        <f t="shared" si="15"/>
        <v>2161692.5731232045</v>
      </c>
      <c r="S31" s="101">
        <f t="shared" si="15"/>
        <v>2161692.5731232045</v>
      </c>
      <c r="T31" s="101">
        <f t="shared" si="15"/>
        <v>2161692.5731232045</v>
      </c>
      <c r="U31" s="101">
        <f t="shared" si="15"/>
        <v>2161692.5731232045</v>
      </c>
      <c r="V31" s="101">
        <f t="shared" si="15"/>
        <v>2161692.5731232045</v>
      </c>
      <c r="W31" s="101">
        <f t="shared" si="15"/>
        <v>2161692.5731232045</v>
      </c>
      <c r="X31" s="101">
        <f t="shared" si="15"/>
        <v>2161692.5731232045</v>
      </c>
      <c r="Y31" s="101">
        <f t="shared" si="15"/>
        <v>2161692.5731232045</v>
      </c>
      <c r="Z31" s="101">
        <f t="shared" si="15"/>
        <v>2161692.5731232045</v>
      </c>
      <c r="AA31" s="101">
        <f t="shared" si="15"/>
        <v>2161692.5731232045</v>
      </c>
      <c r="AB31" s="101">
        <f t="shared" si="15"/>
        <v>2161692.5731232045</v>
      </c>
      <c r="AC31" s="101">
        <f t="shared" si="15"/>
        <v>2161692.5731232045</v>
      </c>
      <c r="AD31" s="101">
        <f t="shared" si="15"/>
        <v>2161692.5731232045</v>
      </c>
      <c r="AE31" s="101">
        <f t="shared" si="15"/>
        <v>2161692.5731232045</v>
      </c>
      <c r="AF31" s="101">
        <f t="shared" si="15"/>
        <v>2161692.5731232045</v>
      </c>
      <c r="AG31" s="101">
        <f t="shared" si="15"/>
        <v>2161692.5731232045</v>
      </c>
      <c r="AL31" s="102"/>
      <c r="AM31" s="2"/>
      <c r="AN31" s="2"/>
      <c r="AO31" s="2"/>
    </row>
    <row r="32" spans="1:64" outlineLevel="1">
      <c r="A32" t="s">
        <v>416</v>
      </c>
      <c r="B32" s="165" t="s">
        <v>297</v>
      </c>
      <c r="C32" s="101">
        <f>'Yearly Demand - Eth-Prop'!L3</f>
        <v>1049369.6122000003</v>
      </c>
      <c r="D32" s="101">
        <f>'Yearly Demand - Eth-Prop'!M3</f>
        <v>1049369.6122000003</v>
      </c>
      <c r="E32" s="101">
        <f>'Yearly Demand - Eth-Prop'!N3</f>
        <v>1049369.6122000003</v>
      </c>
      <c r="F32" s="101">
        <f>'Yearly Demand - Eth-Prop'!O3</f>
        <v>1049369.6122000003</v>
      </c>
      <c r="G32" s="101">
        <f>'Yearly Demand - Eth-Prop'!P3</f>
        <v>1049369.6122000003</v>
      </c>
      <c r="H32" s="101">
        <f>'Yearly Demand - Eth-Prop'!Q3</f>
        <v>1049369.6122000003</v>
      </c>
      <c r="I32" s="101">
        <f>'Yearly Demand - Eth-Prop'!R3</f>
        <v>1049369.6122000003</v>
      </c>
      <c r="J32" s="101">
        <f>'Yearly Demand - Eth-Prop'!S3</f>
        <v>1049369.6122000003</v>
      </c>
      <c r="K32" s="101">
        <f>'Yearly Demand - Eth-Prop'!T3</f>
        <v>1049369.6122000003</v>
      </c>
      <c r="L32" s="101">
        <f>'Yearly Demand - Eth-Prop'!U3</f>
        <v>1049369.6122000003</v>
      </c>
      <c r="M32" s="101">
        <f>'Yearly Demand - Eth-Prop'!V3</f>
        <v>1049369.6122000003</v>
      </c>
      <c r="N32" s="101">
        <f>'Yearly Demand - Eth-Prop'!W3</f>
        <v>1049369.6122000003</v>
      </c>
      <c r="O32" s="101">
        <f>'Yearly Demand - Eth-Prop'!X3</f>
        <v>1049369.6122000003</v>
      </c>
      <c r="P32" s="101">
        <f>'Yearly Demand - Eth-Prop'!Y3</f>
        <v>1049369.6122000003</v>
      </c>
      <c r="Q32" s="101">
        <f>'Yearly Demand - Eth-Prop'!Z3</f>
        <v>1049369.6122000003</v>
      </c>
      <c r="R32" s="101">
        <f>'Yearly Demand - Eth-Prop'!AA3</f>
        <v>1049369.6122000003</v>
      </c>
      <c r="S32" s="101">
        <f>'Yearly Demand - Eth-Prop'!AB3</f>
        <v>1049369.6122000003</v>
      </c>
      <c r="T32" s="101">
        <f>'Yearly Demand - Eth-Prop'!AC3</f>
        <v>1049369.6122000003</v>
      </c>
      <c r="U32" s="101">
        <f>'Yearly Demand - Eth-Prop'!AD3</f>
        <v>1049369.6122000003</v>
      </c>
      <c r="V32" s="101">
        <f>'Yearly Demand - Eth-Prop'!AE3</f>
        <v>1049369.6122000003</v>
      </c>
      <c r="W32" s="101">
        <f>'Yearly Demand - Eth-Prop'!AF3</f>
        <v>1049369.6122000003</v>
      </c>
      <c r="X32" s="101">
        <f>'Yearly Demand - Eth-Prop'!AG3</f>
        <v>1049369.6122000003</v>
      </c>
      <c r="Y32" s="101">
        <f>'Yearly Demand - Eth-Prop'!AH3</f>
        <v>1049369.6122000003</v>
      </c>
      <c r="Z32" s="101">
        <f>'Yearly Demand - Eth-Prop'!AI3</f>
        <v>1049369.6122000003</v>
      </c>
      <c r="AA32" s="101">
        <f>'Yearly Demand - Eth-Prop'!AJ3</f>
        <v>1049369.6122000003</v>
      </c>
      <c r="AB32" s="101">
        <f>'Yearly Demand - Eth-Prop'!AK3</f>
        <v>1049369.6122000003</v>
      </c>
      <c r="AC32" s="101">
        <f>'Yearly Demand - Eth-Prop'!AL3</f>
        <v>1049369.6122000003</v>
      </c>
      <c r="AD32" s="101">
        <f>'Yearly Demand - Eth-Prop'!AM3</f>
        <v>1049369.6122000003</v>
      </c>
      <c r="AE32" s="101">
        <f>'Yearly Demand - Eth-Prop'!AN3</f>
        <v>1049369.6122000003</v>
      </c>
      <c r="AF32" s="101">
        <f>'Yearly Demand - Eth-Prop'!AO3</f>
        <v>1049369.6122000003</v>
      </c>
      <c r="AG32" s="101">
        <f>'Yearly Demand - Eth-Prop'!AP3</f>
        <v>1049369.6122000003</v>
      </c>
      <c r="AL32" s="102"/>
      <c r="AM32" s="2"/>
      <c r="AN32" s="2"/>
      <c r="AO32" s="2"/>
    </row>
    <row r="33" spans="1:64" outlineLevel="1">
      <c r="A33" t="s">
        <v>417</v>
      </c>
      <c r="B33" s="165" t="s">
        <v>297</v>
      </c>
      <c r="C33" s="101">
        <f>C32-C31</f>
        <v>-1112322.9609232042</v>
      </c>
      <c r="D33" s="101">
        <f t="shared" ref="D33:AG33" si="16">D32-D31</f>
        <v>-1112322.9609232042</v>
      </c>
      <c r="E33" s="101">
        <f t="shared" si="16"/>
        <v>-1112322.9609232042</v>
      </c>
      <c r="F33" s="101">
        <f t="shared" si="16"/>
        <v>-1112322.9609232042</v>
      </c>
      <c r="G33" s="101">
        <f t="shared" si="16"/>
        <v>-1112322.9609232042</v>
      </c>
      <c r="H33" s="101">
        <f t="shared" si="16"/>
        <v>-1112322.9609232042</v>
      </c>
      <c r="I33" s="101">
        <f t="shared" si="16"/>
        <v>-1112322.9609232042</v>
      </c>
      <c r="J33" s="101">
        <f t="shared" si="16"/>
        <v>-1112322.9609232042</v>
      </c>
      <c r="K33" s="101">
        <f t="shared" si="16"/>
        <v>-1112322.9609232042</v>
      </c>
      <c r="L33" s="101">
        <f t="shared" si="16"/>
        <v>-1112322.9609232042</v>
      </c>
      <c r="M33" s="101">
        <f t="shared" si="16"/>
        <v>-1112322.9609232042</v>
      </c>
      <c r="N33" s="101">
        <f t="shared" si="16"/>
        <v>-1112322.9609232042</v>
      </c>
      <c r="O33" s="101">
        <f t="shared" si="16"/>
        <v>-1112322.9609232042</v>
      </c>
      <c r="P33" s="101">
        <f t="shared" si="16"/>
        <v>-1112322.9609232042</v>
      </c>
      <c r="Q33" s="101">
        <f t="shared" si="16"/>
        <v>-1112322.9609232042</v>
      </c>
      <c r="R33" s="101">
        <f t="shared" si="16"/>
        <v>-1112322.9609232042</v>
      </c>
      <c r="S33" s="101">
        <f t="shared" si="16"/>
        <v>-1112322.9609232042</v>
      </c>
      <c r="T33" s="101">
        <f t="shared" si="16"/>
        <v>-1112322.9609232042</v>
      </c>
      <c r="U33" s="101">
        <f t="shared" si="16"/>
        <v>-1112322.9609232042</v>
      </c>
      <c r="V33" s="101">
        <f t="shared" si="16"/>
        <v>-1112322.9609232042</v>
      </c>
      <c r="W33" s="101">
        <f t="shared" si="16"/>
        <v>-1112322.9609232042</v>
      </c>
      <c r="X33" s="101">
        <f t="shared" si="16"/>
        <v>-1112322.9609232042</v>
      </c>
      <c r="Y33" s="101">
        <f t="shared" si="16"/>
        <v>-1112322.9609232042</v>
      </c>
      <c r="Z33" s="101">
        <f t="shared" si="16"/>
        <v>-1112322.9609232042</v>
      </c>
      <c r="AA33" s="101">
        <f t="shared" si="16"/>
        <v>-1112322.9609232042</v>
      </c>
      <c r="AB33" s="101">
        <f t="shared" si="16"/>
        <v>-1112322.9609232042</v>
      </c>
      <c r="AC33" s="101">
        <f t="shared" si="16"/>
        <v>-1112322.9609232042</v>
      </c>
      <c r="AD33" s="101">
        <f t="shared" si="16"/>
        <v>-1112322.9609232042</v>
      </c>
      <c r="AE33" s="101">
        <f t="shared" si="16"/>
        <v>-1112322.9609232042</v>
      </c>
      <c r="AF33" s="101">
        <f t="shared" si="16"/>
        <v>-1112322.9609232042</v>
      </c>
      <c r="AG33" s="101">
        <f t="shared" si="16"/>
        <v>-1112322.9609232042</v>
      </c>
      <c r="AL33" s="102"/>
      <c r="AM33" s="2"/>
      <c r="AN33" s="2"/>
      <c r="AO33" s="2"/>
    </row>
    <row r="34" spans="1:64" outlineLevel="1">
      <c r="A34" t="s">
        <v>418</v>
      </c>
      <c r="B34" s="51" t="s">
        <v>126</v>
      </c>
      <c r="C34" s="101">
        <f>C31/C32</f>
        <v>2.0599915873218611</v>
      </c>
      <c r="D34" s="101">
        <f t="shared" ref="D34:AG34" si="17">D31/D32</f>
        <v>2.0599915873218611</v>
      </c>
      <c r="E34" s="101">
        <f t="shared" si="17"/>
        <v>2.0599915873218611</v>
      </c>
      <c r="F34" s="101">
        <f t="shared" si="17"/>
        <v>2.0599915873218611</v>
      </c>
      <c r="G34" s="101">
        <f t="shared" si="17"/>
        <v>2.0599915873218611</v>
      </c>
      <c r="H34" s="101">
        <f t="shared" si="17"/>
        <v>2.0599915873218611</v>
      </c>
      <c r="I34" s="101">
        <f t="shared" si="17"/>
        <v>2.0599915873218611</v>
      </c>
      <c r="J34" s="101">
        <f t="shared" si="17"/>
        <v>2.0599915873218611</v>
      </c>
      <c r="K34" s="101">
        <f t="shared" si="17"/>
        <v>2.0599915873218611</v>
      </c>
      <c r="L34" s="101">
        <f t="shared" si="17"/>
        <v>2.0599915873218611</v>
      </c>
      <c r="M34" s="101">
        <f t="shared" si="17"/>
        <v>2.0599915873218611</v>
      </c>
      <c r="N34" s="101">
        <f t="shared" si="17"/>
        <v>2.0599915873218611</v>
      </c>
      <c r="O34" s="101">
        <f t="shared" si="17"/>
        <v>2.0599915873218611</v>
      </c>
      <c r="P34" s="101">
        <f t="shared" si="17"/>
        <v>2.0599915873218611</v>
      </c>
      <c r="Q34" s="101">
        <f t="shared" si="17"/>
        <v>2.0599915873218611</v>
      </c>
      <c r="R34" s="101">
        <f t="shared" si="17"/>
        <v>2.0599915873218611</v>
      </c>
      <c r="S34" s="101">
        <f t="shared" si="17"/>
        <v>2.0599915873218611</v>
      </c>
      <c r="T34" s="101">
        <f t="shared" si="17"/>
        <v>2.0599915873218611</v>
      </c>
      <c r="U34" s="101">
        <f t="shared" si="17"/>
        <v>2.0599915873218611</v>
      </c>
      <c r="V34" s="101">
        <f t="shared" si="17"/>
        <v>2.0599915873218611</v>
      </c>
      <c r="W34" s="101">
        <f t="shared" si="17"/>
        <v>2.0599915873218611</v>
      </c>
      <c r="X34" s="101">
        <f t="shared" si="17"/>
        <v>2.0599915873218611</v>
      </c>
      <c r="Y34" s="101">
        <f t="shared" si="17"/>
        <v>2.0599915873218611</v>
      </c>
      <c r="Z34" s="101">
        <f t="shared" si="17"/>
        <v>2.0599915873218611</v>
      </c>
      <c r="AA34" s="101">
        <f t="shared" si="17"/>
        <v>2.0599915873218611</v>
      </c>
      <c r="AB34" s="101">
        <f t="shared" si="17"/>
        <v>2.0599915873218611</v>
      </c>
      <c r="AC34" s="101">
        <f t="shared" si="17"/>
        <v>2.0599915873218611</v>
      </c>
      <c r="AD34" s="101">
        <f t="shared" si="17"/>
        <v>2.0599915873218611</v>
      </c>
      <c r="AE34" s="101">
        <f t="shared" si="17"/>
        <v>2.0599915873218611</v>
      </c>
      <c r="AF34" s="101">
        <f t="shared" si="17"/>
        <v>2.0599915873218611</v>
      </c>
      <c r="AG34" s="101">
        <f t="shared" si="17"/>
        <v>2.0599915873218611</v>
      </c>
      <c r="AI34" s="195" t="s">
        <v>419</v>
      </c>
      <c r="AL34" s="102"/>
      <c r="AM34" s="2"/>
      <c r="AN34" s="2"/>
      <c r="AO34" s="2"/>
    </row>
    <row r="35" spans="1:64" outlineLevel="1">
      <c r="AL35" s="102"/>
      <c r="AM35" s="2"/>
      <c r="AN35" s="2"/>
      <c r="AO35" s="2"/>
    </row>
    <row r="36" spans="1:64" outlineLevel="1">
      <c r="A36" t="s">
        <v>278</v>
      </c>
      <c r="B36" s="51" t="s">
        <v>126</v>
      </c>
      <c r="C36" s="101">
        <f>'Yearly LC Ethylene'!D33/'Yearly LC Ethylene'!D26</f>
        <v>1</v>
      </c>
      <c r="D36" s="101">
        <f>'Yearly LC Ethylene'!E33/'Yearly LC Ethylene'!E26</f>
        <v>0.98931924000000004</v>
      </c>
      <c r="E36" s="101">
        <f>'Yearly LC Ethylene'!F33/'Yearly LC Ethylene'!F26</f>
        <v>0.97863847999999998</v>
      </c>
      <c r="F36" s="101">
        <f>'Yearly LC Ethylene'!G33/'Yearly LC Ethylene'!G26</f>
        <v>0.96795771999999991</v>
      </c>
      <c r="G36" s="101">
        <f>'Yearly LC Ethylene'!H33/'Yearly LC Ethylene'!H26</f>
        <v>0.95727696000000007</v>
      </c>
      <c r="H36" s="101">
        <f>'Yearly LC Ethylene'!I33/'Yearly LC Ethylene'!I26</f>
        <v>0.94659620000000011</v>
      </c>
      <c r="I36" s="101">
        <f>'Yearly LC Ethylene'!J33/'Yearly LC Ethylene'!J26</f>
        <v>0.93591544000000004</v>
      </c>
      <c r="J36" s="101">
        <f>'Yearly LC Ethylene'!K33/'Yearly LC Ethylene'!K26</f>
        <v>0.92523468000000009</v>
      </c>
      <c r="K36" s="101">
        <f>'Yearly LC Ethylene'!L33/'Yearly LC Ethylene'!L26</f>
        <v>0.91455391999999991</v>
      </c>
      <c r="L36" s="101">
        <f>'Yearly LC Ethylene'!M33/'Yearly LC Ethylene'!M26</f>
        <v>0.90387315999999995</v>
      </c>
      <c r="M36" s="101">
        <f>'Yearly LC Ethylene'!N33/'Yearly LC Ethylene'!N26</f>
        <v>0.8931924</v>
      </c>
      <c r="N36" s="101">
        <f>'Yearly LC Ethylene'!O33/'Yearly LC Ethylene'!O26</f>
        <v>0.87486300000000006</v>
      </c>
      <c r="O36" s="101">
        <f>'Yearly LC Ethylene'!P33/'Yearly LC Ethylene'!P26</f>
        <v>0.85958643000000001</v>
      </c>
      <c r="P36" s="101">
        <f>'Yearly LC Ethylene'!Q33/'Yearly LC Ethylene'!Q26</f>
        <v>0.84094122000000004</v>
      </c>
      <c r="Q36" s="101">
        <f>'Yearly LC Ethylene'!R33/'Yearly LC Ethylene'!R26</f>
        <v>0.82229600999999997</v>
      </c>
      <c r="R36" s="101">
        <f>'Yearly LC Ethylene'!S33/'Yearly LC Ethylene'!S26</f>
        <v>0.8036508</v>
      </c>
      <c r="S36" s="101">
        <f>'Yearly LC Ethylene'!T33/'Yearly LC Ethylene'!T26</f>
        <v>0.78500559000000003</v>
      </c>
      <c r="T36" s="101">
        <f>'Yearly LC Ethylene'!U33/'Yearly LC Ethylene'!U26</f>
        <v>0.76636038000000006</v>
      </c>
      <c r="U36" s="101">
        <f>'Yearly LC Ethylene'!V33/'Yearly LC Ethylene'!V26</f>
        <v>0.74771516999999998</v>
      </c>
      <c r="V36" s="101">
        <f>'Yearly LC Ethylene'!W33/'Yearly LC Ethylene'!W26</f>
        <v>0.72906996000000002</v>
      </c>
      <c r="W36" s="101">
        <f>'Yearly LC Ethylene'!X33/'Yearly LC Ethylene'!X26</f>
        <v>0.71042474999999994</v>
      </c>
      <c r="X36" s="101">
        <f>'Yearly LC Ethylene'!Y33/'Yearly LC Ethylene'!Y26</f>
        <v>0.68173823</v>
      </c>
      <c r="Y36" s="101">
        <f>'Yearly LC Ethylene'!Z33/'Yearly LC Ethylene'!Z26</f>
        <v>0.66272176000000005</v>
      </c>
      <c r="Z36" s="101">
        <f>'Yearly LC Ethylene'!AA33/'Yearly LC Ethylene'!AA26</f>
        <v>0.64370528999999999</v>
      </c>
      <c r="AA36" s="101">
        <f>'Yearly LC Ethylene'!AB33/'Yearly LC Ethylene'!AB26</f>
        <v>0.62468881999999992</v>
      </c>
      <c r="AB36" s="101">
        <f>'Yearly LC Ethylene'!AC33/'Yearly LC Ethylene'!AC26</f>
        <v>0.60567235000000008</v>
      </c>
      <c r="AC36" s="101">
        <f>'Yearly LC Ethylene'!AD33/'Yearly LC Ethylene'!AD26</f>
        <v>0.58665588000000002</v>
      </c>
      <c r="AD36" s="101">
        <f>'Yearly LC Ethylene'!AE33/'Yearly LC Ethylene'!AE26</f>
        <v>0.56763940999999996</v>
      </c>
      <c r="AE36" s="101">
        <f>'Yearly LC Ethylene'!AF33/'Yearly LC Ethylene'!AF26</f>
        <v>0.54862294</v>
      </c>
      <c r="AF36" s="101">
        <f>'Yearly LC Ethylene'!AG33/'Yearly LC Ethylene'!AG26</f>
        <v>0.52960646999999994</v>
      </c>
      <c r="AG36" s="101">
        <f>'Yearly LC Ethylene'!AH33/'Yearly LC Ethylene'!AH26</f>
        <v>0.51058999999999988</v>
      </c>
      <c r="AL36" s="102"/>
      <c r="AM36" s="2"/>
      <c r="AN36" s="2"/>
      <c r="AO36" s="2"/>
      <c r="BC36" s="1"/>
      <c r="BD36" s="116"/>
      <c r="BE36" s="116"/>
      <c r="BF36" s="116"/>
      <c r="BG36" s="116"/>
      <c r="BH36" s="116"/>
      <c r="BI36" s="116"/>
      <c r="BJ36" s="116"/>
      <c r="BK36" s="116"/>
    </row>
    <row r="37" spans="1:64" outlineLevel="1">
      <c r="A37" t="s">
        <v>279</v>
      </c>
      <c r="B37" s="51" t="s">
        <v>126</v>
      </c>
      <c r="C37" s="101">
        <f>'Yearly LC Ethylene'!D19/'Yearly LC Ethylene'!D12</f>
        <v>1</v>
      </c>
      <c r="D37" s="101">
        <f>'Yearly LC Ethylene'!E19/'Yearly LC Ethylene'!E12</f>
        <v>0.99829903423249999</v>
      </c>
      <c r="E37" s="101">
        <f>'Yearly LC Ethylene'!F19/'Yearly LC Ethylene'!F12</f>
        <v>0.99659614386000006</v>
      </c>
      <c r="F37" s="101">
        <f>'Yearly LC Ethylene'!G19/'Yearly LC Ethylene'!G12</f>
        <v>0.99489133927750006</v>
      </c>
      <c r="G37" s="101">
        <f>'Yearly LC Ethylene'!H19/'Yearly LC Ethylene'!H12</f>
        <v>0.99318463087999986</v>
      </c>
      <c r="H37" s="101">
        <f>'Yearly LC Ethylene'!I19/'Yearly LC Ethylene'!I12</f>
        <v>0.99147602906249999</v>
      </c>
      <c r="I37" s="101">
        <f>'Yearly LC Ethylene'!J19/'Yearly LC Ethylene'!J12</f>
        <v>0.98976554422000007</v>
      </c>
      <c r="J37" s="101">
        <f>'Yearly LC Ethylene'!K19/'Yearly LC Ethylene'!K12</f>
        <v>0.98805318674749998</v>
      </c>
      <c r="K37" s="101">
        <f>'Yearly LC Ethylene'!L19/'Yearly LC Ethylene'!L12</f>
        <v>0.98633896704000001</v>
      </c>
      <c r="L37" s="101">
        <f>'Yearly LC Ethylene'!M19/'Yearly LC Ethylene'!M12</f>
        <v>0.98462289549250004</v>
      </c>
      <c r="M37" s="101">
        <f>'Yearly LC Ethylene'!N19/'Yearly LC Ethylene'!N12</f>
        <v>0.98290498250000014</v>
      </c>
      <c r="N37" s="101">
        <f>'Yearly LC Ethylene'!O19/'Yearly LC Ethylene'!O12</f>
        <v>0.97870549159499998</v>
      </c>
      <c r="O37" s="101">
        <f>'Yearly LC Ethylene'!P19/'Yearly LC Ethylene'!P12</f>
        <v>0.97447390335999995</v>
      </c>
      <c r="P37" s="101">
        <f>'Yearly LC Ethylene'!Q19/'Yearly LC Ethylene'!Q12</f>
        <v>0.97021059201500004</v>
      </c>
      <c r="Q37" s="101">
        <f>'Yearly LC Ethylene'!R19/'Yearly LC Ethylene'!R12</f>
        <v>0.96591593178000013</v>
      </c>
      <c r="R37" s="101">
        <f>'Yearly LC Ethylene'!S19/'Yearly LC Ethylene'!S12</f>
        <v>0.96159029687499997</v>
      </c>
      <c r="S37" s="101">
        <f>'Yearly LC Ethylene'!T19/'Yearly LC Ethylene'!T12</f>
        <v>0.9572340615199999</v>
      </c>
      <c r="T37" s="101">
        <f>'Yearly LC Ethylene'!U19/'Yearly LC Ethylene'!U12</f>
        <v>0.9528475999349999</v>
      </c>
      <c r="U37" s="101">
        <f>'Yearly LC Ethylene'!V19/'Yearly LC Ethylene'!V12</f>
        <v>0.94843128633999985</v>
      </c>
      <c r="V37" s="101">
        <f>'Yearly LC Ethylene'!W19/'Yearly LC Ethylene'!W12</f>
        <v>0.94398549495499995</v>
      </c>
      <c r="W37" s="101">
        <f>'Yearly LC Ethylene'!X19/'Yearly LC Ethylene'!X12</f>
        <v>0.93951059999999997</v>
      </c>
      <c r="X37" s="101">
        <f>'Yearly LC Ethylene'!Y19/'Yearly LC Ethylene'!Y12</f>
        <v>0.92783659834999999</v>
      </c>
      <c r="Y37" s="101">
        <f>'Yearly LC Ethylene'!Z19/'Yearly LC Ethylene'!Z12</f>
        <v>0.91614176079999998</v>
      </c>
      <c r="Z37" s="101">
        <f>'Yearly LC Ethylene'!AA19/'Yearly LC Ethylene'!AA12</f>
        <v>0.9044279584499999</v>
      </c>
      <c r="AA37" s="101">
        <f>'Yearly LC Ethylene'!AB19/'Yearly LC Ethylene'!AB12</f>
        <v>0.89269706240000002</v>
      </c>
      <c r="AB37" s="101">
        <f>'Yearly LC Ethylene'!AC19/'Yearly LC Ethylene'!AC12</f>
        <v>0.88095094375000005</v>
      </c>
      <c r="AC37" s="101">
        <f>'Yearly LC Ethylene'!AD19/'Yearly LC Ethylene'!AD12</f>
        <v>0.86919147359999993</v>
      </c>
      <c r="AD37" s="101">
        <f>'Yearly LC Ethylene'!AE19/'Yearly LC Ethylene'!AE12</f>
        <v>0.85742052304999983</v>
      </c>
      <c r="AE37" s="101">
        <f>'Yearly LC Ethylene'!AF19/'Yearly LC Ethylene'!AF12</f>
        <v>0.84563996320000001</v>
      </c>
      <c r="AF37" s="101">
        <f>'Yearly LC Ethylene'!AG19/'Yearly LC Ethylene'!AG12</f>
        <v>0.83385166514999998</v>
      </c>
      <c r="AG37" s="101">
        <f>'Yearly LC Ethylene'!AH19/'Yearly LC Ethylene'!AH12</f>
        <v>0.8220575</v>
      </c>
      <c r="AL37" s="102"/>
      <c r="AM37" s="2"/>
      <c r="AN37" s="2"/>
      <c r="AO37" s="2"/>
      <c r="BL37" s="1"/>
    </row>
    <row r="38" spans="1:64" outlineLevel="1">
      <c r="A38" t="s">
        <v>280</v>
      </c>
      <c r="B38" s="51" t="s">
        <v>126</v>
      </c>
      <c r="C38" s="101">
        <f>'Yearly LC Ethylene'!D43/'Yearly LC Ethylene'!D40</f>
        <v>1</v>
      </c>
      <c r="D38" s="101">
        <f>'Yearly LC Ethylene'!E43/'Yearly LC Ethylene'!E40</f>
        <v>0.98954341810022439</v>
      </c>
      <c r="E38" s="101">
        <f>'Yearly LC Ethylene'!F43/'Yearly LC Ethylene'!F40</f>
        <v>0.97908683620044867</v>
      </c>
      <c r="F38" s="101">
        <f>'Yearly LC Ethylene'!G43/'Yearly LC Ethylene'!G40</f>
        <v>0.96863025430067318</v>
      </c>
      <c r="G38" s="101">
        <f>'Yearly LC Ethylene'!H43/'Yearly LC Ethylene'!H40</f>
        <v>0.95817367240089757</v>
      </c>
      <c r="H38" s="101">
        <f>'Yearly LC Ethylene'!I43/'Yearly LC Ethylene'!I40</f>
        <v>0.94771709050112196</v>
      </c>
      <c r="I38" s="101">
        <f>'Yearly LC Ethylene'!J43/'Yearly LC Ethylene'!J40</f>
        <v>0.93726050860134635</v>
      </c>
      <c r="J38" s="101">
        <f>'Yearly LC Ethylene'!K43/'Yearly LC Ethylene'!K40</f>
        <v>0.92680392670157064</v>
      </c>
      <c r="K38" s="101">
        <f>'Yearly LC Ethylene'!L43/'Yearly LC Ethylene'!L40</f>
        <v>0.91634734480179514</v>
      </c>
      <c r="L38" s="101">
        <f>'Yearly LC Ethylene'!M43/'Yearly LC Ethylene'!M40</f>
        <v>0.90589076290201953</v>
      </c>
      <c r="M38" s="101">
        <f>'Yearly LC Ethylene'!N43/'Yearly LC Ethylene'!N40</f>
        <v>0.89543418100224392</v>
      </c>
      <c r="N38" s="101">
        <f>'Yearly LC Ethylene'!O43/'Yearly LC Ethylene'!O40</f>
        <v>0.8849775991024682</v>
      </c>
      <c r="O38" s="101">
        <f>'Yearly LC Ethylene'!P43/'Yearly LC Ethylene'!P40</f>
        <v>0.8745210172026926</v>
      </c>
      <c r="P38" s="101">
        <f>'Yearly LC Ethylene'!Q43/'Yearly LC Ethylene'!Q40</f>
        <v>0.86406443530291699</v>
      </c>
      <c r="Q38" s="101">
        <f>'Yearly LC Ethylene'!R43/'Yearly LC Ethylene'!R40</f>
        <v>0.85360785340314127</v>
      </c>
      <c r="R38" s="101">
        <f>'Yearly LC Ethylene'!S43/'Yearly LC Ethylene'!S40</f>
        <v>0.84315127150336566</v>
      </c>
      <c r="S38" s="101">
        <f>'Yearly LC Ethylene'!T43/'Yearly LC Ethylene'!T40</f>
        <v>0.83269468960359005</v>
      </c>
      <c r="T38" s="101">
        <f>'Yearly LC Ethylene'!U43/'Yearly LC Ethylene'!U40</f>
        <v>0.82223810770381456</v>
      </c>
      <c r="U38" s="101">
        <f>'Yearly LC Ethylene'!V43/'Yearly LC Ethylene'!V40</f>
        <v>0.81178152580403895</v>
      </c>
      <c r="V38" s="101">
        <f>'Yearly LC Ethylene'!W43/'Yearly LC Ethylene'!W40</f>
        <v>0.80132494390426323</v>
      </c>
      <c r="W38" s="101">
        <f>'Yearly LC Ethylene'!X43/'Yearly LC Ethylene'!X40</f>
        <v>0.79086836200448762</v>
      </c>
      <c r="X38" s="101">
        <f>'Yearly LC Ethylene'!Y43/'Yearly LC Ethylene'!Y40</f>
        <v>0.78009491398653696</v>
      </c>
      <c r="Y38" s="101">
        <f>'Yearly LC Ethylene'!Z43/'Yearly LC Ethylene'!Z40</f>
        <v>0.76932146596858653</v>
      </c>
      <c r="Z38" s="101">
        <f>'Yearly LC Ethylene'!AA43/'Yearly LC Ethylene'!AA40</f>
        <v>0.75854801795063576</v>
      </c>
      <c r="AA38" s="101">
        <f>'Yearly LC Ethylene'!AB43/'Yearly LC Ethylene'!AB40</f>
        <v>0.7477745699326851</v>
      </c>
      <c r="AB38" s="101">
        <f>'Yearly LC Ethylene'!AC43/'Yearly LC Ethylene'!AC40</f>
        <v>0.73700112191473455</v>
      </c>
      <c r="AC38" s="101">
        <f>'Yearly LC Ethylene'!AD43/'Yearly LC Ethylene'!AD40</f>
        <v>0.726227673896784</v>
      </c>
      <c r="AD38" s="101">
        <f>'Yearly LC Ethylene'!AE43/'Yearly LC Ethylene'!AE40</f>
        <v>0.71545422587883312</v>
      </c>
      <c r="AE38" s="101">
        <f>'Yearly LC Ethylene'!AF43/'Yearly LC Ethylene'!AF40</f>
        <v>0.70468077786088268</v>
      </c>
      <c r="AF38" s="101">
        <f>'Yearly LC Ethylene'!AG43/'Yearly LC Ethylene'!AG40</f>
        <v>0.69390732984293202</v>
      </c>
      <c r="AG38" s="101">
        <f>'Yearly LC Ethylene'!AH43/'Yearly LC Ethylene'!AH40</f>
        <v>0.68313388182498125</v>
      </c>
      <c r="AL38" s="102"/>
      <c r="AM38" s="2"/>
      <c r="AN38" s="2"/>
      <c r="AO38" s="2"/>
      <c r="BD38" s="38"/>
      <c r="BE38" s="38"/>
      <c r="BF38" s="38"/>
      <c r="BG38" s="38"/>
      <c r="BH38" s="38"/>
      <c r="BI38" s="38"/>
      <c r="BJ38" s="38"/>
      <c r="BK38" s="38"/>
      <c r="BL38" s="112"/>
    </row>
    <row r="39" spans="1:64" outlineLevel="1">
      <c r="A39" t="s">
        <v>420</v>
      </c>
      <c r="B39" s="51" t="s">
        <v>126</v>
      </c>
      <c r="C39" s="101">
        <f>'Yearly LC Ethylene'!D55/'Yearly LC Ethylene'!D50</f>
        <v>1</v>
      </c>
      <c r="D39" s="101">
        <f>'Yearly LC Ethylene'!E55/'Yearly LC Ethylene'!E50</f>
        <v>0.98455000000000004</v>
      </c>
      <c r="E39" s="101">
        <f>'Yearly LC Ethylene'!F55/'Yearly LC Ethylene'!F50</f>
        <v>0.96909999999999996</v>
      </c>
      <c r="F39" s="101">
        <f>'Yearly LC Ethylene'!G55/'Yearly LC Ethylene'!G50</f>
        <v>0.95365</v>
      </c>
      <c r="G39" s="101">
        <f>'Yearly LC Ethylene'!H55/'Yearly LC Ethylene'!H50</f>
        <v>0.93820000000000003</v>
      </c>
      <c r="H39" s="101">
        <f>'Yearly LC Ethylene'!I55/'Yearly LC Ethylene'!I50</f>
        <v>0.92275000000000007</v>
      </c>
      <c r="I39" s="101">
        <f>'Yearly LC Ethylene'!J55/'Yearly LC Ethylene'!J50</f>
        <v>0.9073</v>
      </c>
      <c r="J39" s="101">
        <f>'Yearly LC Ethylene'!K55/'Yearly LC Ethylene'!K50</f>
        <v>0.89185000000000003</v>
      </c>
      <c r="K39" s="101">
        <f>'Yearly LC Ethylene'!L55/'Yearly LC Ethylene'!L50</f>
        <v>0.87639999999999996</v>
      </c>
      <c r="L39" s="101">
        <f>'Yearly LC Ethylene'!M55/'Yearly LC Ethylene'!M50</f>
        <v>0.86094999999999999</v>
      </c>
      <c r="M39" s="101">
        <f>'Yearly LC Ethylene'!N55/'Yearly LC Ethylene'!N50</f>
        <v>0.84549999999999992</v>
      </c>
      <c r="N39" s="101">
        <f>'Yearly LC Ethylene'!O55/'Yearly LC Ethylene'!O50</f>
        <v>0.83460000000000001</v>
      </c>
      <c r="O39" s="101">
        <f>'Yearly LC Ethylene'!P55/'Yearly LC Ethylene'!P50</f>
        <v>0.8237000000000001</v>
      </c>
      <c r="P39" s="101">
        <f>'Yearly LC Ethylene'!Q55/'Yearly LC Ethylene'!Q50</f>
        <v>0.81279999999999997</v>
      </c>
      <c r="Q39" s="101">
        <f>'Yearly LC Ethylene'!R55/'Yearly LC Ethylene'!R50</f>
        <v>0.80190000000000006</v>
      </c>
      <c r="R39" s="101">
        <f>'Yearly LC Ethylene'!S55/'Yearly LC Ethylene'!S50</f>
        <v>0.79100000000000004</v>
      </c>
      <c r="S39" s="101">
        <f>'Yearly LC Ethylene'!T55/'Yearly LC Ethylene'!T50</f>
        <v>0.7800999999999999</v>
      </c>
      <c r="T39" s="101">
        <f>'Yearly LC Ethylene'!U55/'Yearly LC Ethylene'!U50</f>
        <v>0.76919999999999988</v>
      </c>
      <c r="U39" s="101">
        <f>'Yearly LC Ethylene'!V55/'Yearly LC Ethylene'!V50</f>
        <v>0.75830000000000009</v>
      </c>
      <c r="V39" s="101">
        <f>'Yearly LC Ethylene'!W55/'Yearly LC Ethylene'!W50</f>
        <v>0.74740000000000006</v>
      </c>
      <c r="W39" s="101">
        <f>'Yearly LC Ethylene'!X55/'Yearly LC Ethylene'!X50</f>
        <v>0.73650000000000015</v>
      </c>
      <c r="X39" s="101">
        <f>'Yearly LC Ethylene'!Y55/'Yearly LC Ethylene'!Y50</f>
        <v>0.72335000000000005</v>
      </c>
      <c r="Y39" s="101">
        <f>'Yearly LC Ethylene'!Z55/'Yearly LC Ethylene'!Z50</f>
        <v>0.71019999999999994</v>
      </c>
      <c r="Z39" s="101">
        <f>'Yearly LC Ethylene'!AA55/'Yearly LC Ethylene'!AA50</f>
        <v>0.69704999999999995</v>
      </c>
      <c r="AA39" s="101">
        <f>'Yearly LC Ethylene'!AB55/'Yearly LC Ethylene'!AB50</f>
        <v>0.68389999999999995</v>
      </c>
      <c r="AB39" s="101">
        <f>'Yearly LC Ethylene'!AC55/'Yearly LC Ethylene'!AC50</f>
        <v>0.67074999999999985</v>
      </c>
      <c r="AC39" s="101">
        <f>'Yearly LC Ethylene'!AD55/'Yearly LC Ethylene'!AD50</f>
        <v>0.65759999999999996</v>
      </c>
      <c r="AD39" s="101">
        <f>'Yearly LC Ethylene'!AE55/'Yearly LC Ethylene'!AE50</f>
        <v>0.64445000000000008</v>
      </c>
      <c r="AE39" s="101">
        <f>'Yearly LC Ethylene'!AF55/'Yearly LC Ethylene'!AF50</f>
        <v>0.63129999999999997</v>
      </c>
      <c r="AF39" s="101">
        <f>'Yearly LC Ethylene'!AG55/'Yearly LC Ethylene'!AG50</f>
        <v>0.61814999999999998</v>
      </c>
      <c r="AG39" s="101">
        <f>'Yearly LC Ethylene'!AH55/'Yearly LC Ethylene'!AH50</f>
        <v>0.60499999999999998</v>
      </c>
      <c r="AL39" s="102"/>
      <c r="AM39" s="2"/>
      <c r="AN39" s="2"/>
      <c r="AO39" s="2"/>
      <c r="BD39" s="38"/>
      <c r="BE39" s="38"/>
      <c r="BF39" s="38"/>
      <c r="BG39" s="38"/>
      <c r="BH39" s="38"/>
      <c r="BI39" s="38"/>
      <c r="BJ39" s="38"/>
      <c r="BK39" s="38"/>
      <c r="BL39" s="112"/>
    </row>
    <row r="40" spans="1:64" outlineLevel="1">
      <c r="A40" t="s">
        <v>301</v>
      </c>
      <c r="B40" s="165" t="s">
        <v>126</v>
      </c>
      <c r="C40" s="122">
        <f>'Yearly LC Ethylene'!D65/'Yearly LC Ethylene'!D62</f>
        <v>1</v>
      </c>
      <c r="D40" s="122">
        <f>'Yearly LC Ethylene'!E65/'Yearly LC Ethylene'!E62</f>
        <v>0.99670000000000003</v>
      </c>
      <c r="E40" s="122">
        <f>'Yearly LC Ethylene'!F65/'Yearly LC Ethylene'!F62</f>
        <v>0.99339999999999995</v>
      </c>
      <c r="F40" s="122">
        <f>'Yearly LC Ethylene'!G65/'Yearly LC Ethylene'!G62</f>
        <v>0.99010000000000009</v>
      </c>
      <c r="G40" s="122">
        <f>'Yearly LC Ethylene'!H65/'Yearly LC Ethylene'!H62</f>
        <v>0.9867999999999999</v>
      </c>
      <c r="H40" s="122">
        <f>'Yearly LC Ethylene'!I65/'Yearly LC Ethylene'!I62</f>
        <v>0.98349999999999993</v>
      </c>
      <c r="I40" s="122">
        <f>'Yearly LC Ethylene'!J65/'Yearly LC Ethylene'!J62</f>
        <v>0.98019999999999985</v>
      </c>
      <c r="J40" s="122">
        <f>'Yearly LC Ethylene'!K65/'Yearly LC Ethylene'!K62</f>
        <v>0.9769000000000001</v>
      </c>
      <c r="K40" s="122">
        <f>'Yearly LC Ethylene'!L65/'Yearly LC Ethylene'!L62</f>
        <v>0.97360000000000002</v>
      </c>
      <c r="L40" s="122">
        <f>'Yearly LC Ethylene'!M65/'Yearly LC Ethylene'!M62</f>
        <v>0.97030000000000005</v>
      </c>
      <c r="M40" s="122">
        <f>'Yearly LC Ethylene'!N65/'Yearly LC Ethylene'!N62</f>
        <v>0.96700000000000008</v>
      </c>
      <c r="N40" s="122">
        <f>'Yearly LC Ethylene'!O65/'Yearly LC Ethylene'!O62</f>
        <v>0.9637</v>
      </c>
      <c r="O40" s="122">
        <f>'Yearly LC Ethylene'!P65/'Yearly LC Ethylene'!P62</f>
        <v>0.96040000000000003</v>
      </c>
      <c r="P40" s="122">
        <f>'Yearly LC Ethylene'!Q65/'Yearly LC Ethylene'!Q62</f>
        <v>0.95710000000000006</v>
      </c>
      <c r="Q40" s="122">
        <f>'Yearly LC Ethylene'!R65/'Yearly LC Ethylene'!R62</f>
        <v>0.95380000000000009</v>
      </c>
      <c r="R40" s="122">
        <f>'Yearly LC Ethylene'!S65/'Yearly LC Ethylene'!S62</f>
        <v>0.95050000000000001</v>
      </c>
      <c r="S40" s="122">
        <f>'Yearly LC Ethylene'!T65/'Yearly LC Ethylene'!T62</f>
        <v>0.94719999999999993</v>
      </c>
      <c r="T40" s="122">
        <f>'Yearly LC Ethylene'!U65/'Yearly LC Ethylene'!U62</f>
        <v>0.94389999999999996</v>
      </c>
      <c r="U40" s="122">
        <f>'Yearly LC Ethylene'!V65/'Yearly LC Ethylene'!V62</f>
        <v>0.94059999999999999</v>
      </c>
      <c r="V40" s="122">
        <f>'Yearly LC Ethylene'!W65/'Yearly LC Ethylene'!W62</f>
        <v>0.93730000000000013</v>
      </c>
      <c r="W40" s="122">
        <f>'Yearly LC Ethylene'!X65/'Yearly LC Ethylene'!X62</f>
        <v>0.93399999999999983</v>
      </c>
      <c r="X40" s="122">
        <f>'Yearly LC Ethylene'!Y65/'Yearly LC Ethylene'!Y62</f>
        <v>0.93060000000000009</v>
      </c>
      <c r="Y40" s="122">
        <f>'Yearly LC Ethylene'!Z65/'Yearly LC Ethylene'!Z62</f>
        <v>0.92720000000000014</v>
      </c>
      <c r="Z40" s="122">
        <f>'Yearly LC Ethylene'!AA65/'Yearly LC Ethylene'!AA62</f>
        <v>0.92379999999999995</v>
      </c>
      <c r="AA40" s="122">
        <f>'Yearly LC Ethylene'!AB65/'Yearly LC Ethylene'!AB62</f>
        <v>0.9204</v>
      </c>
      <c r="AB40" s="122">
        <f>'Yearly LC Ethylene'!AC65/'Yearly LC Ethylene'!AC62</f>
        <v>0.91699999999999993</v>
      </c>
      <c r="AC40" s="122">
        <f>'Yearly LC Ethylene'!AD65/'Yearly LC Ethylene'!AD62</f>
        <v>0.91359999999999997</v>
      </c>
      <c r="AD40" s="122">
        <f>'Yearly LC Ethylene'!AE65/'Yearly LC Ethylene'!AE62</f>
        <v>0.9101999999999999</v>
      </c>
      <c r="AE40" s="122">
        <f>'Yearly LC Ethylene'!AF65/'Yearly LC Ethylene'!AF62</f>
        <v>0.90680000000000016</v>
      </c>
      <c r="AF40" s="122">
        <f>'Yearly LC Ethylene'!AG65/'Yearly LC Ethylene'!AG62</f>
        <v>0.90339999999999987</v>
      </c>
      <c r="AG40" s="122">
        <f>'Yearly LC Ethylene'!AH65/'Yearly LC Ethylene'!AH62</f>
        <v>0.9</v>
      </c>
      <c r="AI40" s="124"/>
      <c r="AL40" s="102"/>
      <c r="AM40" s="2"/>
      <c r="AN40" s="2"/>
      <c r="AO40" s="2"/>
      <c r="BD40" s="38"/>
      <c r="BE40" s="38"/>
      <c r="BF40" s="38"/>
      <c r="BG40" s="38"/>
      <c r="BH40" s="38"/>
      <c r="BI40" s="38"/>
      <c r="BJ40" s="38"/>
      <c r="BK40" s="38"/>
      <c r="BL40" s="112"/>
    </row>
    <row r="41" spans="1:64" outlineLevel="1">
      <c r="AI41" t="s">
        <v>421</v>
      </c>
      <c r="BD41" s="38"/>
      <c r="BE41" s="38"/>
      <c r="BF41" s="38"/>
      <c r="BG41" s="38"/>
      <c r="BH41" s="38"/>
      <c r="BI41" s="38"/>
      <c r="BJ41" s="38"/>
      <c r="BK41" s="38"/>
      <c r="BL41" s="112"/>
    </row>
    <row r="42" spans="1:64" outlineLevel="1">
      <c r="A42" t="s">
        <v>274</v>
      </c>
      <c r="B42" s="51" t="s">
        <v>297</v>
      </c>
      <c r="C42" s="101">
        <f>C24*C36</f>
        <v>1514603.3992981189</v>
      </c>
      <c r="D42" s="101">
        <f t="shared" ref="D42:AG42" si="18">D24*D36</f>
        <v>1498426.2838950315</v>
      </c>
      <c r="E42" s="101">
        <f t="shared" si="18"/>
        <v>1482249.1684919442</v>
      </c>
      <c r="F42" s="101">
        <f t="shared" si="18"/>
        <v>1466072.0530888566</v>
      </c>
      <c r="G42" s="101">
        <f t="shared" si="18"/>
        <v>1449894.9376857695</v>
      </c>
      <c r="H42" s="101">
        <f t="shared" si="18"/>
        <v>1433717.8222826822</v>
      </c>
      <c r="I42" s="101">
        <f t="shared" si="18"/>
        <v>1417540.7068795946</v>
      </c>
      <c r="J42" s="101">
        <f t="shared" si="18"/>
        <v>1401363.5914765075</v>
      </c>
      <c r="K42" s="101">
        <f t="shared" si="18"/>
        <v>1385186.4760734197</v>
      </c>
      <c r="L42" s="101">
        <f t="shared" si="18"/>
        <v>1369009.3606703323</v>
      </c>
      <c r="M42" s="101">
        <f t="shared" si="18"/>
        <v>1352832.2452672452</v>
      </c>
      <c r="N42" s="101">
        <f t="shared" si="18"/>
        <v>1325070.4737201503</v>
      </c>
      <c r="O42" s="101">
        <f t="shared" si="18"/>
        <v>1301932.5288685346</v>
      </c>
      <c r="P42" s="101">
        <f t="shared" si="18"/>
        <v>1273692.4304219072</v>
      </c>
      <c r="Q42" s="101">
        <f t="shared" si="18"/>
        <v>1245452.3319752798</v>
      </c>
      <c r="R42" s="101">
        <f t="shared" si="18"/>
        <v>1217212.2335286527</v>
      </c>
      <c r="S42" s="101">
        <f t="shared" si="18"/>
        <v>1188972.1350820255</v>
      </c>
      <c r="T42" s="101">
        <f t="shared" si="18"/>
        <v>1160732.0366353982</v>
      </c>
      <c r="U42" s="101">
        <f t="shared" si="18"/>
        <v>1132491.9381887708</v>
      </c>
      <c r="V42" s="101">
        <f t="shared" si="18"/>
        <v>1104251.8397421436</v>
      </c>
      <c r="W42" s="101">
        <f t="shared" si="18"/>
        <v>1076011.7412955163</v>
      </c>
      <c r="X42" s="101">
        <f t="shared" si="18"/>
        <v>1032563.0405894829</v>
      </c>
      <c r="Y42" s="101">
        <f t="shared" si="18"/>
        <v>1003760.6304848322</v>
      </c>
      <c r="Z42" s="101">
        <f t="shared" si="18"/>
        <v>974958.22038018145</v>
      </c>
      <c r="AA42" s="101">
        <f t="shared" si="18"/>
        <v>946155.81027553056</v>
      </c>
      <c r="AB42" s="101">
        <f t="shared" si="18"/>
        <v>917353.40017088014</v>
      </c>
      <c r="AC42" s="101">
        <f t="shared" si="18"/>
        <v>888550.99006622937</v>
      </c>
      <c r="AD42" s="101">
        <f t="shared" si="18"/>
        <v>859748.57996157859</v>
      </c>
      <c r="AE42" s="101">
        <f t="shared" si="18"/>
        <v>830946.16985692794</v>
      </c>
      <c r="AF42" s="101">
        <f t="shared" si="18"/>
        <v>802143.75975227717</v>
      </c>
      <c r="AG42" s="101">
        <f t="shared" si="18"/>
        <v>773341.3496476264</v>
      </c>
      <c r="AI42" s="197" t="s">
        <v>281</v>
      </c>
      <c r="AJ42" s="198" t="s">
        <v>422</v>
      </c>
      <c r="BD42" s="38"/>
      <c r="BE42" s="38"/>
      <c r="BF42" s="38"/>
      <c r="BG42" s="38"/>
      <c r="BH42" s="38"/>
      <c r="BI42" s="38"/>
      <c r="BJ42" s="38"/>
      <c r="BK42" s="38"/>
      <c r="BL42" s="112"/>
    </row>
    <row r="43" spans="1:64" outlineLevel="1">
      <c r="A43" t="s">
        <v>275</v>
      </c>
      <c r="B43" s="51" t="s">
        <v>297</v>
      </c>
      <c r="C43" s="101">
        <f>C25*$C$37</f>
        <v>43179.045698095215</v>
      </c>
      <c r="D43" s="101">
        <f t="shared" ref="D43:O43" si="19">D25*$C$37</f>
        <v>43179.045698095215</v>
      </c>
      <c r="E43" s="101">
        <f t="shared" si="19"/>
        <v>43179.045698095215</v>
      </c>
      <c r="F43" s="101">
        <f t="shared" si="19"/>
        <v>43179.045698095215</v>
      </c>
      <c r="G43" s="101">
        <f t="shared" si="19"/>
        <v>43179.045698095215</v>
      </c>
      <c r="H43" s="101">
        <f t="shared" si="19"/>
        <v>43179.045698095215</v>
      </c>
      <c r="I43" s="101">
        <f t="shared" si="19"/>
        <v>43179.045698095215</v>
      </c>
      <c r="J43" s="101">
        <f t="shared" si="19"/>
        <v>43179.045698095215</v>
      </c>
      <c r="K43" s="101">
        <f t="shared" si="19"/>
        <v>43179.045698095215</v>
      </c>
      <c r="L43" s="101">
        <f t="shared" si="19"/>
        <v>43179.045698095215</v>
      </c>
      <c r="M43" s="101">
        <f t="shared" si="19"/>
        <v>43179.045698095215</v>
      </c>
      <c r="N43" s="101">
        <f t="shared" si="19"/>
        <v>43179.045698095215</v>
      </c>
      <c r="O43" s="101">
        <f t="shared" si="19"/>
        <v>43179.045698095215</v>
      </c>
      <c r="P43" s="101">
        <f>D37*P25</f>
        <v>43105.59961948944</v>
      </c>
      <c r="Q43" s="101">
        <f t="shared" ref="Q43:AG43" si="20">E37*Q25</f>
        <v>43032.070438276416</v>
      </c>
      <c r="R43" s="101">
        <f t="shared" si="20"/>
        <v>42958.458603302322</v>
      </c>
      <c r="S43" s="101">
        <f t="shared" si="20"/>
        <v>42884.764563413344</v>
      </c>
      <c r="T43" s="101">
        <f t="shared" si="20"/>
        <v>42810.988767455667</v>
      </c>
      <c r="U43" s="101">
        <f t="shared" si="20"/>
        <v>42737.131664275461</v>
      </c>
      <c r="V43" s="101">
        <f t="shared" si="20"/>
        <v>42663.193702718905</v>
      </c>
      <c r="W43" s="101">
        <f t="shared" si="20"/>
        <v>42589.175331632192</v>
      </c>
      <c r="X43" s="101">
        <f t="shared" si="20"/>
        <v>42515.076999861485</v>
      </c>
      <c r="Y43" s="101">
        <f t="shared" si="20"/>
        <v>42440.899156252985</v>
      </c>
      <c r="Z43" s="101">
        <f t="shared" si="20"/>
        <v>42259.569146557245</v>
      </c>
      <c r="AA43" s="101">
        <f t="shared" si="20"/>
        <v>42076.853204782659</v>
      </c>
      <c r="AB43" s="101">
        <f t="shared" si="20"/>
        <v>41892.767489391699</v>
      </c>
      <c r="AC43" s="101">
        <f t="shared" si="20"/>
        <v>41707.328158846845</v>
      </c>
      <c r="AD43" s="101">
        <f t="shared" si="20"/>
        <v>41520.551371610571</v>
      </c>
      <c r="AE43" s="101">
        <f t="shared" si="20"/>
        <v>41332.453286145363</v>
      </c>
      <c r="AF43" s="101">
        <f t="shared" si="20"/>
        <v>41143.050060913709</v>
      </c>
      <c r="AG43" s="101">
        <f t="shared" si="20"/>
        <v>40952.357854378082</v>
      </c>
      <c r="AI43" s="197" t="s">
        <v>282</v>
      </c>
      <c r="AJ43" s="198" t="s">
        <v>422</v>
      </c>
      <c r="BD43" s="38"/>
      <c r="BE43" s="38"/>
      <c r="BF43" s="38"/>
      <c r="BG43" s="38"/>
      <c r="BH43" s="38"/>
      <c r="BI43" s="38"/>
      <c r="BJ43" s="38"/>
      <c r="BK43" s="38"/>
      <c r="BL43" s="112"/>
    </row>
    <row r="44" spans="1:64" outlineLevel="1">
      <c r="A44" t="s">
        <v>276</v>
      </c>
      <c r="B44" s="51" t="s">
        <v>297</v>
      </c>
      <c r="C44" s="101">
        <f>C26</f>
        <v>94796.125276685067</v>
      </c>
      <c r="D44" s="101">
        <f t="shared" ref="D44:AG44" si="21">D26</f>
        <v>94796.125276685067</v>
      </c>
      <c r="E44" s="101">
        <f t="shared" si="21"/>
        <v>94796.125276685067</v>
      </c>
      <c r="F44" s="101">
        <f t="shared" si="21"/>
        <v>94796.125276685067</v>
      </c>
      <c r="G44" s="101">
        <f t="shared" si="21"/>
        <v>94796.125276685067</v>
      </c>
      <c r="H44" s="101">
        <f t="shared" si="21"/>
        <v>94796.125276685067</v>
      </c>
      <c r="I44" s="101">
        <f t="shared" si="21"/>
        <v>94796.125276685067</v>
      </c>
      <c r="J44" s="101">
        <f t="shared" si="21"/>
        <v>94796.125276685067</v>
      </c>
      <c r="K44" s="101">
        <f t="shared" si="21"/>
        <v>94796.125276685067</v>
      </c>
      <c r="L44" s="101">
        <f t="shared" si="21"/>
        <v>94796.125276685067</v>
      </c>
      <c r="M44" s="101">
        <f t="shared" si="21"/>
        <v>94796.125276685067</v>
      </c>
      <c r="N44" s="101">
        <f t="shared" si="21"/>
        <v>94796.125276685067</v>
      </c>
      <c r="O44" s="101">
        <f t="shared" si="21"/>
        <v>94796.125276685067</v>
      </c>
      <c r="P44" s="101">
        <f t="shared" si="21"/>
        <v>94796.125276685067</v>
      </c>
      <c r="Q44" s="101">
        <f t="shared" si="21"/>
        <v>94796.125276685067</v>
      </c>
      <c r="R44" s="101">
        <f t="shared" si="21"/>
        <v>94796.125276685067</v>
      </c>
      <c r="S44" s="101">
        <f t="shared" si="21"/>
        <v>94796.125276685067</v>
      </c>
      <c r="T44" s="101">
        <f t="shared" si="21"/>
        <v>94796.125276685067</v>
      </c>
      <c r="U44" s="101">
        <f t="shared" si="21"/>
        <v>94796.125276685067</v>
      </c>
      <c r="V44" s="101">
        <f t="shared" si="21"/>
        <v>94796.125276685067</v>
      </c>
      <c r="W44" s="101">
        <f t="shared" si="21"/>
        <v>94796.125276685067</v>
      </c>
      <c r="X44" s="101">
        <f t="shared" si="21"/>
        <v>94796.125276685067</v>
      </c>
      <c r="Y44" s="101">
        <f t="shared" si="21"/>
        <v>94796.125276685067</v>
      </c>
      <c r="Z44" s="101">
        <f t="shared" si="21"/>
        <v>94796.125276685067</v>
      </c>
      <c r="AA44" s="101">
        <f t="shared" si="21"/>
        <v>94796.125276685067</v>
      </c>
      <c r="AB44" s="101">
        <f t="shared" si="21"/>
        <v>94796.125276685067</v>
      </c>
      <c r="AC44" s="101">
        <f t="shared" si="21"/>
        <v>94796.125276685067</v>
      </c>
      <c r="AD44" s="101">
        <f t="shared" si="21"/>
        <v>94796.125276685067</v>
      </c>
      <c r="AE44" s="101">
        <f t="shared" si="21"/>
        <v>94796.125276685067</v>
      </c>
      <c r="AF44" s="101">
        <f t="shared" si="21"/>
        <v>94796.125276685067</v>
      </c>
      <c r="AG44" s="101">
        <f t="shared" si="21"/>
        <v>94796.125276685067</v>
      </c>
      <c r="AI44" s="197" t="s">
        <v>283</v>
      </c>
      <c r="AJ44" s="198" t="s">
        <v>422</v>
      </c>
      <c r="BD44" s="38"/>
      <c r="BE44" s="38"/>
      <c r="BF44" s="38"/>
      <c r="BG44" s="38"/>
      <c r="BH44" s="38"/>
      <c r="BI44" s="38"/>
      <c r="BJ44" s="38"/>
      <c r="BK44" s="38"/>
      <c r="BL44" s="112"/>
    </row>
    <row r="45" spans="1:64" outlineLevel="1">
      <c r="A45" t="s">
        <v>277</v>
      </c>
      <c r="B45" s="51" t="s">
        <v>297</v>
      </c>
      <c r="C45" s="101">
        <f>C27*$C$39</f>
        <v>85596.363643166362</v>
      </c>
      <c r="D45" s="101">
        <f t="shared" ref="D45:H45" si="22">D27*$C$39</f>
        <v>85596.363643166362</v>
      </c>
      <c r="E45" s="101">
        <f t="shared" si="22"/>
        <v>85596.363643166362</v>
      </c>
      <c r="F45" s="101">
        <f t="shared" si="22"/>
        <v>85596.363643166362</v>
      </c>
      <c r="G45" s="101">
        <f t="shared" si="22"/>
        <v>85596.363643166362</v>
      </c>
      <c r="H45" s="101">
        <f t="shared" si="22"/>
        <v>85596.363643166362</v>
      </c>
      <c r="I45" s="101">
        <f>I27*D39</f>
        <v>84273.899824879438</v>
      </c>
      <c r="J45" s="101">
        <f t="shared" ref="J45:AG46" si="23">J27*E39</f>
        <v>82951.436006592514</v>
      </c>
      <c r="K45" s="101">
        <f t="shared" si="23"/>
        <v>81628.972188305605</v>
      </c>
      <c r="L45" s="101">
        <f t="shared" si="23"/>
        <v>80306.508370018681</v>
      </c>
      <c r="M45" s="101">
        <f t="shared" si="23"/>
        <v>78984.044551731771</v>
      </c>
      <c r="N45" s="101">
        <f t="shared" si="23"/>
        <v>77661.580733444833</v>
      </c>
      <c r="O45" s="101">
        <f t="shared" si="23"/>
        <v>76339.116915157923</v>
      </c>
      <c r="P45" s="101">
        <f t="shared" si="23"/>
        <v>75016.653096870999</v>
      </c>
      <c r="Q45" s="101">
        <f t="shared" si="23"/>
        <v>73694.189278584076</v>
      </c>
      <c r="R45" s="101">
        <f t="shared" si="23"/>
        <v>72371.725460297152</v>
      </c>
      <c r="S45" s="101">
        <f t="shared" si="23"/>
        <v>71438.725096586641</v>
      </c>
      <c r="T45" s="101">
        <f t="shared" si="23"/>
        <v>70505.724732876144</v>
      </c>
      <c r="U45" s="101">
        <f t="shared" si="23"/>
        <v>69572.724369165619</v>
      </c>
      <c r="V45" s="101">
        <f t="shared" si="23"/>
        <v>68639.724005455108</v>
      </c>
      <c r="W45" s="101">
        <f t="shared" si="23"/>
        <v>67706.723641744597</v>
      </c>
      <c r="X45" s="101">
        <f t="shared" si="23"/>
        <v>66773.723278034071</v>
      </c>
      <c r="Y45" s="101">
        <f t="shared" si="23"/>
        <v>65840.72291432356</v>
      </c>
      <c r="Z45" s="101">
        <f t="shared" si="23"/>
        <v>64907.722550613056</v>
      </c>
      <c r="AA45" s="101">
        <f t="shared" si="23"/>
        <v>63974.722186902545</v>
      </c>
      <c r="AB45" s="101">
        <f t="shared" si="23"/>
        <v>63041.721823192041</v>
      </c>
      <c r="AC45" s="101">
        <f t="shared" si="23"/>
        <v>61916.129641284395</v>
      </c>
      <c r="AD45" s="101">
        <f t="shared" si="23"/>
        <v>60790.537459376748</v>
      </c>
      <c r="AE45" s="101">
        <f t="shared" si="23"/>
        <v>59664.945277469109</v>
      </c>
      <c r="AF45" s="101">
        <f t="shared" si="23"/>
        <v>58539.35309556147</v>
      </c>
      <c r="AG45" s="101">
        <f t="shared" si="23"/>
        <v>57413.760913653823</v>
      </c>
      <c r="AI45" s="197" t="s">
        <v>284</v>
      </c>
      <c r="AJ45" s="198" t="s">
        <v>422</v>
      </c>
      <c r="AL45" s="5"/>
      <c r="AM45" s="103"/>
      <c r="AN45" s="103"/>
      <c r="AO45" s="103"/>
      <c r="BC45" s="1"/>
      <c r="BD45" s="112"/>
      <c r="BE45" s="112"/>
      <c r="BF45" s="112"/>
      <c r="BG45" s="112"/>
      <c r="BH45" s="112"/>
      <c r="BI45" s="112"/>
      <c r="BJ45" s="112"/>
      <c r="BK45" s="112"/>
      <c r="BL45" s="112"/>
    </row>
    <row r="46" spans="1:64" outlineLevel="1">
      <c r="A46" s="169" t="s">
        <v>302</v>
      </c>
      <c r="B46" s="165" t="s">
        <v>297</v>
      </c>
      <c r="C46" s="101">
        <f>C28*$C$40</f>
        <v>423517.63920713891</v>
      </c>
      <c r="D46" s="101">
        <f t="shared" ref="D46:H46" si="24">D28*$C$40</f>
        <v>423517.63920713891</v>
      </c>
      <c r="E46" s="101">
        <f t="shared" si="24"/>
        <v>423517.63920713891</v>
      </c>
      <c r="F46" s="101">
        <f t="shared" si="24"/>
        <v>423517.63920713891</v>
      </c>
      <c r="G46" s="101">
        <f t="shared" si="24"/>
        <v>423517.63920713891</v>
      </c>
      <c r="H46" s="101">
        <f t="shared" si="24"/>
        <v>423517.63920713891</v>
      </c>
      <c r="I46" s="101">
        <f>I28*D40</f>
        <v>422120.03099775536</v>
      </c>
      <c r="J46" s="101">
        <f t="shared" si="23"/>
        <v>420722.4227883718</v>
      </c>
      <c r="K46" s="101">
        <f t="shared" si="23"/>
        <v>419324.8145789883</v>
      </c>
      <c r="L46" s="101">
        <f t="shared" si="23"/>
        <v>417927.20636960462</v>
      </c>
      <c r="M46" s="101">
        <f t="shared" si="23"/>
        <v>416529.59816022107</v>
      </c>
      <c r="N46" s="101">
        <f t="shared" si="23"/>
        <v>415131.98995083751</v>
      </c>
      <c r="O46" s="101">
        <f t="shared" si="23"/>
        <v>413734.38174145407</v>
      </c>
      <c r="P46" s="101">
        <f t="shared" si="23"/>
        <v>412336.77353207045</v>
      </c>
      <c r="Q46" s="101">
        <f t="shared" si="23"/>
        <v>410939.16532268689</v>
      </c>
      <c r="R46" s="101">
        <f t="shared" si="23"/>
        <v>409541.55711330334</v>
      </c>
      <c r="S46" s="101">
        <f t="shared" si="23"/>
        <v>408143.94890391978</v>
      </c>
      <c r="T46" s="101">
        <f t="shared" si="23"/>
        <v>406746.34069453622</v>
      </c>
      <c r="U46" s="101">
        <f t="shared" si="23"/>
        <v>405348.73248515266</v>
      </c>
      <c r="V46" s="101">
        <f t="shared" si="23"/>
        <v>403951.12427576911</v>
      </c>
      <c r="W46" s="101">
        <f t="shared" si="23"/>
        <v>402553.51606638555</v>
      </c>
      <c r="X46" s="101">
        <f t="shared" si="23"/>
        <v>401155.90785700193</v>
      </c>
      <c r="Y46" s="101">
        <f t="shared" si="23"/>
        <v>399758.29964761838</v>
      </c>
      <c r="Z46" s="101">
        <f t="shared" si="23"/>
        <v>398360.69143823488</v>
      </c>
      <c r="AA46" s="101">
        <f t="shared" si="23"/>
        <v>396963.08322885138</v>
      </c>
      <c r="AB46" s="101">
        <f t="shared" si="23"/>
        <v>395565.47501946765</v>
      </c>
      <c r="AC46" s="101">
        <f t="shared" si="23"/>
        <v>394125.51504616352</v>
      </c>
      <c r="AD46" s="101">
        <f t="shared" si="23"/>
        <v>392685.55507285928</v>
      </c>
      <c r="AE46" s="101">
        <f t="shared" si="23"/>
        <v>391245.59509955492</v>
      </c>
      <c r="AF46" s="101">
        <f t="shared" si="23"/>
        <v>389805.63512625068</v>
      </c>
      <c r="AG46" s="101">
        <f t="shared" si="23"/>
        <v>388365.67515294638</v>
      </c>
      <c r="AI46" s="197" t="s">
        <v>284</v>
      </c>
      <c r="AJ46" s="198" t="s">
        <v>422</v>
      </c>
      <c r="AL46" s="102"/>
      <c r="AM46" s="2"/>
      <c r="AN46" s="2"/>
      <c r="AO46" s="2"/>
    </row>
    <row r="47" spans="1:64" s="1" customFormat="1" ht="15.5" thickBot="1">
      <c r="A47" s="187" t="s">
        <v>435</v>
      </c>
      <c r="B47" s="202" t="s">
        <v>297</v>
      </c>
      <c r="C47" s="203">
        <f>SUM(C42:C46)</f>
        <v>2161692.5731232045</v>
      </c>
      <c r="D47" s="203">
        <f t="shared" ref="D47:AF47" si="25">SUM(D42:D46)</f>
        <v>2145515.4577201167</v>
      </c>
      <c r="E47" s="203">
        <f t="shared" si="25"/>
        <v>2129338.3423170298</v>
      </c>
      <c r="F47" s="203">
        <f t="shared" si="25"/>
        <v>2113161.226913942</v>
      </c>
      <c r="G47" s="203">
        <f t="shared" si="25"/>
        <v>2096984.1115108549</v>
      </c>
      <c r="H47" s="203">
        <f t="shared" si="25"/>
        <v>2080806.9961077676</v>
      </c>
      <c r="I47" s="203">
        <f t="shared" si="25"/>
        <v>2061909.8086770093</v>
      </c>
      <c r="J47" s="203">
        <f t="shared" si="25"/>
        <v>2043012.621246252</v>
      </c>
      <c r="K47" s="203">
        <f t="shared" si="25"/>
        <v>2024115.4338154937</v>
      </c>
      <c r="L47" s="203">
        <f t="shared" si="25"/>
        <v>2005218.2463847359</v>
      </c>
      <c r="M47" s="203">
        <f t="shared" si="25"/>
        <v>1986321.0589539781</v>
      </c>
      <c r="N47" s="203">
        <f t="shared" si="25"/>
        <v>1955839.2153792128</v>
      </c>
      <c r="O47" s="203">
        <f t="shared" si="25"/>
        <v>1929981.1984999268</v>
      </c>
      <c r="P47" s="203">
        <f t="shared" si="25"/>
        <v>1898947.581947023</v>
      </c>
      <c r="Q47" s="203">
        <f t="shared" si="25"/>
        <v>1867913.8822915121</v>
      </c>
      <c r="R47" s="203">
        <f t="shared" si="25"/>
        <v>1836880.0999822405</v>
      </c>
      <c r="S47" s="203">
        <f t="shared" si="25"/>
        <v>1806235.6989226304</v>
      </c>
      <c r="T47" s="203">
        <f t="shared" si="25"/>
        <v>1775591.216106951</v>
      </c>
      <c r="U47" s="203">
        <f t="shared" si="25"/>
        <v>1744946.6519840495</v>
      </c>
      <c r="V47" s="203">
        <f t="shared" si="25"/>
        <v>1714302.0070027718</v>
      </c>
      <c r="W47" s="203">
        <f t="shared" si="25"/>
        <v>1683657.2816119636</v>
      </c>
      <c r="X47" s="203">
        <f t="shared" si="25"/>
        <v>1637803.8740010653</v>
      </c>
      <c r="Y47" s="203">
        <f t="shared" si="25"/>
        <v>1606596.6774797121</v>
      </c>
      <c r="Z47" s="203">
        <f t="shared" si="25"/>
        <v>1575282.3287922717</v>
      </c>
      <c r="AA47" s="203">
        <f t="shared" si="25"/>
        <v>1543966.5941727522</v>
      </c>
      <c r="AB47" s="203">
        <f t="shared" si="25"/>
        <v>1512649.4897796167</v>
      </c>
      <c r="AC47" s="203">
        <f t="shared" si="25"/>
        <v>1481096.0881892091</v>
      </c>
      <c r="AD47" s="203">
        <f t="shared" si="25"/>
        <v>1449541.3491421104</v>
      </c>
      <c r="AE47" s="203">
        <f t="shared" si="25"/>
        <v>1417985.2887967825</v>
      </c>
      <c r="AF47" s="203">
        <f t="shared" si="25"/>
        <v>1386427.923311688</v>
      </c>
      <c r="AG47" s="203">
        <f>SUM(AG42:AG46)</f>
        <v>1354869.2688452899</v>
      </c>
      <c r="AJ47" s="151"/>
      <c r="AL47" s="207"/>
      <c r="AM47" s="118"/>
      <c r="AN47" s="118"/>
      <c r="AO47" s="118"/>
    </row>
    <row r="48" spans="1:64" ht="15.5" thickTop="1">
      <c r="B48" s="165"/>
      <c r="C48" s="196"/>
      <c r="D48" s="196"/>
      <c r="E48" s="196"/>
      <c r="F48" s="196"/>
      <c r="G48" s="196"/>
      <c r="H48" s="196"/>
      <c r="I48" s="196"/>
      <c r="J48" s="196"/>
      <c r="K48" s="196"/>
      <c r="L48" s="196"/>
      <c r="M48" s="196"/>
      <c r="N48" s="196"/>
      <c r="O48" s="196"/>
      <c r="P48" s="196"/>
      <c r="Q48" s="196"/>
      <c r="R48" s="196"/>
      <c r="S48" s="196"/>
      <c r="T48" s="196"/>
      <c r="U48" s="196"/>
      <c r="V48" s="196"/>
      <c r="W48" s="196"/>
      <c r="X48" s="196"/>
      <c r="Y48" s="196"/>
      <c r="Z48" s="196"/>
      <c r="AA48" s="196"/>
      <c r="AB48" s="196"/>
      <c r="AC48" s="196"/>
      <c r="AD48" s="196"/>
      <c r="AE48" s="196"/>
      <c r="AF48" s="196"/>
      <c r="AG48" s="196"/>
      <c r="AL48" s="102"/>
      <c r="AM48" s="2"/>
      <c r="AN48" s="2"/>
      <c r="AO48" s="2"/>
    </row>
    <row r="49" spans="1:63" s="187" customFormat="1" ht="15.5" thickBot="1">
      <c r="A49" s="187" t="s">
        <v>431</v>
      </c>
      <c r="B49" s="202" t="s">
        <v>126</v>
      </c>
      <c r="C49" s="203">
        <f>C52</f>
        <v>0.14200000000000002</v>
      </c>
      <c r="D49" s="203">
        <f t="shared" ref="D49:AG49" si="26">D52</f>
        <v>0.14810684365139809</v>
      </c>
      <c r="E49" s="203">
        <f t="shared" si="26"/>
        <v>0.15417031220762953</v>
      </c>
      <c r="F49" s="203">
        <f t="shared" si="26"/>
        <v>0.16018896982401257</v>
      </c>
      <c r="G49" s="203">
        <f t="shared" si="26"/>
        <v>0.16616131657446348</v>
      </c>
      <c r="H49" s="203">
        <f t="shared" si="26"/>
        <v>0.17208578483623743</v>
      </c>
      <c r="I49" s="203">
        <f t="shared" si="26"/>
        <v>0.17796073542712362</v>
      </c>
      <c r="J49" s="203">
        <f t="shared" si="26"/>
        <v>0.18378445347509023</v>
      </c>
      <c r="K49" s="203">
        <f t="shared" si="26"/>
        <v>0.18955514399850809</v>
      </c>
      <c r="L49" s="203">
        <f t="shared" si="26"/>
        <v>0.19527092717301178</v>
      </c>
      <c r="M49" s="203">
        <f t="shared" si="26"/>
        <v>0.20092983325876934</v>
      </c>
      <c r="N49" s="203">
        <f t="shared" si="26"/>
        <v>0.2127538080819511</v>
      </c>
      <c r="O49" s="203">
        <f t="shared" si="26"/>
        <v>0.22448790030340515</v>
      </c>
      <c r="P49" s="203">
        <f t="shared" si="26"/>
        <v>0.23579644222933915</v>
      </c>
      <c r="Q49" s="203">
        <f t="shared" si="26"/>
        <v>0.24681813815440984</v>
      </c>
      <c r="R49" s="203">
        <f t="shared" si="26"/>
        <v>0.25753302304931441</v>
      </c>
      <c r="S49" s="203">
        <f t="shared" si="26"/>
        <v>0.26791923507194393</v>
      </c>
      <c r="T49" s="203">
        <f t="shared" si="26"/>
        <v>0.27795278482428853</v>
      </c>
      <c r="U49" s="203">
        <f t="shared" si="26"/>
        <v>0.28760729008614339</v>
      </c>
      <c r="V49" s="203">
        <f t="shared" si="26"/>
        <v>0.29685366984534661</v>
      </c>
      <c r="W49" s="203">
        <f t="shared" si="26"/>
        <v>0.30565979014666927</v>
      </c>
      <c r="X49" s="203">
        <f t="shared" si="26"/>
        <v>0.32057077696384567</v>
      </c>
      <c r="Y49" s="203">
        <f t="shared" si="26"/>
        <v>0.33595121950317602</v>
      </c>
      <c r="Z49" s="203">
        <f t="shared" si="26"/>
        <v>0.35049456896447517</v>
      </c>
      <c r="AA49" s="203">
        <f t="shared" si="26"/>
        <v>0.3641243782196889</v>
      </c>
      <c r="AB49" s="203">
        <f t="shared" si="26"/>
        <v>0.37675459921037657</v>
      </c>
      <c r="AC49" s="203">
        <f t="shared" si="26"/>
        <v>0.38828802687531233</v>
      </c>
      <c r="AD49" s="203">
        <f t="shared" si="26"/>
        <v>0.39861443029848875</v>
      </c>
      <c r="AE49" s="203">
        <f t="shared" si="26"/>
        <v>0.40760829518615782</v>
      </c>
      <c r="AF49" s="203">
        <f t="shared" si="26"/>
        <v>0.41512607998141038</v>
      </c>
      <c r="AG49" s="203">
        <f t="shared" si="26"/>
        <v>0.42100285881733751</v>
      </c>
      <c r="AJ49" s="217" t="s">
        <v>473</v>
      </c>
      <c r="AL49" s="204"/>
      <c r="AM49" s="205"/>
      <c r="AN49" s="205"/>
      <c r="AO49" s="205"/>
    </row>
    <row r="50" spans="1:63" ht="15.5" outlineLevel="1" thickTop="1">
      <c r="A50" t="s">
        <v>423</v>
      </c>
      <c r="B50" s="51" t="s">
        <v>126</v>
      </c>
      <c r="C50" s="122">
        <f>'Ethylene Recycling HC'!C50*'Ethylene Recycling HC'!C$42/'Ethylene Recycling LC'!C$42</f>
        <v>4.7E-2</v>
      </c>
      <c r="D50" s="122">
        <f>'Ethylene Recycling HC'!D50*'Ethylene Recycling HC'!D$42/'Ethylene Recycling LC'!D$42</f>
        <v>5.0067094621550068E-2</v>
      </c>
      <c r="E50" s="122">
        <f>'Ethylene Recycling HC'!E50*'Ethylene Recycling HC'!E$42/'Ethylene Recycling LC'!E$42</f>
        <v>5.3114159173467207E-2</v>
      </c>
      <c r="F50" s="122">
        <f>'Ethylene Recycling HC'!F50*'Ethylene Recycling HC'!F$42/'Ethylene Recycling LC'!F$42</f>
        <v>5.6140530600861369E-2</v>
      </c>
      <c r="G50" s="122">
        <f>'Ethylene Recycling HC'!G50*'Ethylene Recycling HC'!G$42/'Ethylene Recycling LC'!G$42</f>
        <v>5.9145516256862589E-2</v>
      </c>
      <c r="H50" s="122">
        <f>'Ethylene Recycling HC'!H50*'Ethylene Recycling HC'!H$42/'Ethylene Recycling LC'!H$42</f>
        <v>6.2128392233140164E-2</v>
      </c>
      <c r="I50" s="122">
        <f>'Ethylene Recycling HC'!I50*'Ethylene Recycling HC'!I$42/'Ethylene Recycling LC'!I$42</f>
        <v>6.5088401576108221E-2</v>
      </c>
      <c r="J50" s="122">
        <f>'Ethylene Recycling HC'!J50*'Ethylene Recycling HC'!J$42/'Ethylene Recycling LC'!J$42</f>
        <v>6.802475237958007E-2</v>
      </c>
      <c r="K50" s="122">
        <f>'Ethylene Recycling HC'!K50*'Ethylene Recycling HC'!K$42/'Ethylene Recycling LC'!K$42</f>
        <v>7.0936615743771581E-2</v>
      </c>
      <c r="L50" s="122">
        <f>'Ethylene Recycling HC'!L50*'Ethylene Recycling HC'!L$42/'Ethylene Recycling LC'!L$42</f>
        <v>7.3823123589597486E-2</v>
      </c>
      <c r="M50" s="122">
        <f>'Ethylene Recycling HC'!M50*'Ethylene Recycling HC'!M$42/'Ethylene Recycling LC'!M$42</f>
        <v>7.6683366316148693E-2</v>
      </c>
      <c r="N50" s="122">
        <f>'Ethylene Recycling HC'!N50*'Ethylene Recycling HC'!N$42/'Ethylene Recycling LC'!N$42</f>
        <v>8.2036017525029634E-2</v>
      </c>
      <c r="O50" s="122">
        <f>'Ethylene Recycling HC'!O50*'Ethylene Recycling HC'!O$42/'Ethylene Recycling LC'!O$42</f>
        <v>8.7343415135113289E-2</v>
      </c>
      <c r="P50" s="122">
        <f>'Ethylene Recycling HC'!P50*'Ethylene Recycling HC'!P$42/'Ethylene Recycling LC'!P$42</f>
        <v>9.2474783671562671E-2</v>
      </c>
      <c r="Q50" s="122">
        <f>'Ethylene Recycling HC'!Q50*'Ethylene Recycling HC'!Q$42/'Ethylene Recycling LC'!Q$42</f>
        <v>9.7482794060985423E-2</v>
      </c>
      <c r="R50" s="122">
        <f>'Ethylene Recycling HC'!R50*'Ethylene Recycling HC'!R$42/'Ethylene Recycling LC'!R$42</f>
        <v>0.10235886034083461</v>
      </c>
      <c r="S50" s="122">
        <f>'Ethylene Recycling HC'!S50*'Ethylene Recycling HC'!S$42/'Ethylene Recycling LC'!S$42</f>
        <v>0.10709358082405504</v>
      </c>
      <c r="T50" s="122">
        <f>'Ethylene Recycling HC'!T50*'Ethylene Recycling HC'!T$42/'Ethylene Recycling LC'!T$42</f>
        <v>0.11167663886799575</v>
      </c>
      <c r="U50" s="122">
        <f>'Ethylene Recycling HC'!U50*'Ethylene Recycling HC'!U$42/'Ethylene Recycling LC'!U$42</f>
        <v>0.11609668879661761</v>
      </c>
      <c r="V50" s="122">
        <f>'Ethylene Recycling HC'!V50*'Ethylene Recycling HC'!V$42/'Ethylene Recycling LC'!V$42</f>
        <v>0.1203412243181711</v>
      </c>
      <c r="W50" s="122">
        <f>'Ethylene Recycling HC'!W50*'Ethylene Recycling HC'!W$42/'Ethylene Recycling LC'!W$42</f>
        <v>0.12439642622248169</v>
      </c>
      <c r="X50" s="122">
        <f>'Ethylene Recycling HC'!X50*'Ethylene Recycling HC'!X$42/'Ethylene Recycling LC'!X$42</f>
        <v>0.13175889397394797</v>
      </c>
      <c r="Y50" s="122">
        <f>'Ethylene Recycling HC'!Y50*'Ethylene Recycling HC'!Y$42/'Ethylene Recycling LC'!Y$42</f>
        <v>0.13927711240882018</v>
      </c>
      <c r="Z50" s="122">
        <f>'Ethylene Recycling HC'!Z50*'Ethylene Recycling HC'!Z$42/'Ethylene Recycling LC'!Z$42</f>
        <v>0.14641621742179953</v>
      </c>
      <c r="AA50" s="122">
        <f>'Ethylene Recycling HC'!AA50*'Ethylene Recycling HC'!AA$42/'Ethylene Recycling LC'!AA$42</f>
        <v>0.15314158665956465</v>
      </c>
      <c r="AB50" s="122">
        <f>'Ethylene Recycling HC'!AB50*'Ethylene Recycling HC'!AB$42/'Ethylene Recycling LC'!AB$42</f>
        <v>0.15941424957661843</v>
      </c>
      <c r="AC50" s="122">
        <f>'Ethylene Recycling HC'!AC50*'Ethylene Recycling HC'!AC$42/'Ethylene Recycling LC'!AC$42</f>
        <v>0.16519018270131378</v>
      </c>
      <c r="AD50" s="122">
        <f>'Ethylene Recycling HC'!AD50*'Ethylene Recycling HC'!AD$42/'Ethylene Recycling LC'!AD$42</f>
        <v>0.17041946324625398</v>
      </c>
      <c r="AE50" s="122">
        <f>'Ethylene Recycling HC'!AE50*'Ethylene Recycling HC'!AE$42/'Ethylene Recycling LC'!AE$42</f>
        <v>0.17504524669241456</v>
      </c>
      <c r="AF50" s="122">
        <f>'Ethylene Recycling HC'!AF50*'Ethylene Recycling HC'!AF$42/'Ethylene Recycling LC'!AF$42</f>
        <v>0.17900252410321277</v>
      </c>
      <c r="AG50" s="122">
        <f>'Ethylene Recycling HC'!AG50*'Ethylene Recycling HC'!AG$42/'Ethylene Recycling LC'!AG$42</f>
        <v>0.18221660174218912</v>
      </c>
      <c r="AI50" s="126" t="s">
        <v>492</v>
      </c>
      <c r="AJ50" s="198"/>
      <c r="AL50" s="102"/>
      <c r="AM50" s="2"/>
      <c r="AN50" s="2"/>
      <c r="AO50" s="2"/>
      <c r="AV50" s="38"/>
    </row>
    <row r="51" spans="1:63" outlineLevel="1">
      <c r="A51" t="s">
        <v>425</v>
      </c>
      <c r="B51" s="51" t="s">
        <v>126</v>
      </c>
      <c r="C51" s="122">
        <f>'Ethylene Recycling HC'!C51*'Ethylene Recycling HC'!C$42/'Ethylene Recycling LC'!C$42</f>
        <v>9.5000000000000001E-2</v>
      </c>
      <c r="D51" s="122">
        <f>'Ethylene Recycling HC'!D51*'Ethylene Recycling HC'!D$42/'Ethylene Recycling LC'!D$42</f>
        <v>9.8039749029848036E-2</v>
      </c>
      <c r="E51" s="122">
        <f>'Ethylene Recycling HC'!E51*'Ethylene Recycling HC'!E$42/'Ethylene Recycling LC'!E$42</f>
        <v>0.10105615303416232</v>
      </c>
      <c r="F51" s="122">
        <f>'Ethylene Recycling HC'!F51*'Ethylene Recycling HC'!F$42/'Ethylene Recycling LC'!F$42</f>
        <v>0.1040484392231512</v>
      </c>
      <c r="G51" s="122">
        <f>'Ethylene Recycling HC'!G51*'Ethylene Recycling HC'!G$42/'Ethylene Recycling LC'!G$42</f>
        <v>0.10701580031760088</v>
      </c>
      <c r="H51" s="122">
        <f>'Ethylene Recycling HC'!H51*'Ethylene Recycling HC'!H$42/'Ethylene Recycling LC'!H$42</f>
        <v>0.10995739260309727</v>
      </c>
      <c r="I51" s="122">
        <f>'Ethylene Recycling HC'!I51*'Ethylene Recycling HC'!I$42/'Ethylene Recycling LC'!I$42</f>
        <v>0.11287233385101543</v>
      </c>
      <c r="J51" s="122">
        <f>'Ethylene Recycling HC'!J51*'Ethylene Recycling HC'!J$42/'Ethylene Recycling LC'!J$42</f>
        <v>0.11575970109551016</v>
      </c>
      <c r="K51" s="122">
        <f>'Ethylene Recycling HC'!K51*'Ethylene Recycling HC'!K$42/'Ethylene Recycling LC'!K$42</f>
        <v>0.11861852825473651</v>
      </c>
      <c r="L51" s="122">
        <f>'Ethylene Recycling HC'!L51*'Ethylene Recycling HC'!L$42/'Ethylene Recycling LC'!L$42</f>
        <v>0.12144780358341431</v>
      </c>
      <c r="M51" s="122">
        <f>'Ethylene Recycling HC'!M51*'Ethylene Recycling HC'!M$42/'Ethylene Recycling LC'!M$42</f>
        <v>0.12424646694262066</v>
      </c>
      <c r="N51" s="122">
        <f>'Ethylene Recycling HC'!N51*'Ethylene Recycling HC'!N$42/'Ethylene Recycling LC'!N$42</f>
        <v>0.13071779055692145</v>
      </c>
      <c r="O51" s="122">
        <f>'Ethylene Recycling HC'!O51*'Ethylene Recycling HC'!O$42/'Ethylene Recycling LC'!O$42</f>
        <v>0.13714448516829189</v>
      </c>
      <c r="P51" s="122">
        <f>'Ethylene Recycling HC'!P51*'Ethylene Recycling HC'!P$42/'Ethylene Recycling LC'!P$42</f>
        <v>0.14332165855777645</v>
      </c>
      <c r="Q51" s="122">
        <f>'Ethylene Recycling HC'!Q51*'Ethylene Recycling HC'!Q$42/'Ethylene Recycling LC'!Q$42</f>
        <v>0.14933534409342447</v>
      </c>
      <c r="R51" s="122">
        <f>'Ethylene Recycling HC'!R51*'Ethylene Recycling HC'!R$42/'Ethylene Recycling LC'!R$42</f>
        <v>0.15517416270847983</v>
      </c>
      <c r="S51" s="122">
        <f>'Ethylene Recycling HC'!S51*'Ethylene Recycling HC'!S$42/'Ethylene Recycling LC'!S$42</f>
        <v>0.16082565424788883</v>
      </c>
      <c r="T51" s="122">
        <f>'Ethylene Recycling HC'!T51*'Ethylene Recycling HC'!T$42/'Ethylene Recycling LC'!T$42</f>
        <v>0.16627614595629275</v>
      </c>
      <c r="U51" s="122">
        <f>'Ethylene Recycling HC'!U51*'Ethylene Recycling HC'!U$42/'Ethylene Recycling LC'!U$42</f>
        <v>0.1715106012895258</v>
      </c>
      <c r="V51" s="122">
        <f>'Ethylene Recycling HC'!V51*'Ethylene Recycling HC'!V$42/'Ethylene Recycling LC'!V$42</f>
        <v>0.17651244552717549</v>
      </c>
      <c r="W51" s="122">
        <f>'Ethylene Recycling HC'!W51*'Ethylene Recycling HC'!W$42/'Ethylene Recycling LC'!W$42</f>
        <v>0.1812633639241876</v>
      </c>
      <c r="X51" s="122">
        <f>'Ethylene Recycling HC'!X51*'Ethylene Recycling HC'!X$42/'Ethylene Recycling LC'!X$42</f>
        <v>0.18881188298989771</v>
      </c>
      <c r="Y51" s="122">
        <f>'Ethylene Recycling HC'!Y51*'Ethylene Recycling HC'!Y$42/'Ethylene Recycling LC'!Y$42</f>
        <v>0.19667410709435584</v>
      </c>
      <c r="Z51" s="122">
        <f>'Ethylene Recycling HC'!Z51*'Ethylene Recycling HC'!Z$42/'Ethylene Recycling LC'!Z$42</f>
        <v>0.20407835154267565</v>
      </c>
      <c r="AA51" s="122">
        <f>'Ethylene Recycling HC'!AA51*'Ethylene Recycling HC'!AA$42/'Ethylene Recycling LC'!AA$42</f>
        <v>0.21098279156012431</v>
      </c>
      <c r="AB51" s="122">
        <f>'Ethylene Recycling HC'!AB51*'Ethylene Recycling HC'!AB$42/'Ethylene Recycling LC'!AB$42</f>
        <v>0.21734034963375823</v>
      </c>
      <c r="AC51" s="122">
        <f>'Ethylene Recycling HC'!AC51*'Ethylene Recycling HC'!AC$42/'Ethylene Recycling LC'!AC$42</f>
        <v>0.22309784417399856</v>
      </c>
      <c r="AD51" s="122">
        <f>'Ethylene Recycling HC'!AD51*'Ethylene Recycling HC'!AD$42/'Ethylene Recycling LC'!AD$42</f>
        <v>0.22819496705223483</v>
      </c>
      <c r="AE51" s="122">
        <f>'Ethylene Recycling HC'!AE51*'Ethylene Recycling HC'!AE$42/'Ethylene Recycling LC'!AE$42</f>
        <v>0.23256304849374326</v>
      </c>
      <c r="AF51" s="122">
        <f>'Ethylene Recycling HC'!AF51*'Ethylene Recycling HC'!AF$42/'Ethylene Recycling LC'!AF$42</f>
        <v>0.23612355587819761</v>
      </c>
      <c r="AG51" s="122">
        <f>'Ethylene Recycling HC'!AG51*'Ethylene Recycling HC'!AG$42/'Ethylene Recycling LC'!AG$42</f>
        <v>0.23878625707514839</v>
      </c>
      <c r="AI51" s="126" t="s">
        <v>492</v>
      </c>
      <c r="AJ51" s="198"/>
      <c r="AL51" s="102"/>
      <c r="AM51" s="2"/>
      <c r="AN51" s="2"/>
      <c r="AO51" s="2"/>
      <c r="AV51" s="38"/>
    </row>
    <row r="52" spans="1:63" outlineLevel="1">
      <c r="A52" t="s">
        <v>424</v>
      </c>
      <c r="B52" s="165" t="s">
        <v>126</v>
      </c>
      <c r="C52" s="122">
        <f>'Ethylene Recycling HC'!C52*'Ethylene Recycling HC'!C$42/'Ethylene Recycling LC'!C$42</f>
        <v>0.14200000000000002</v>
      </c>
      <c r="D52" s="122">
        <f>'Ethylene Recycling HC'!D52*'Ethylene Recycling HC'!D$42/'Ethylene Recycling LC'!D$42</f>
        <v>0.14810684365139809</v>
      </c>
      <c r="E52" s="122">
        <f>'Ethylene Recycling HC'!E52*'Ethylene Recycling HC'!E$42/'Ethylene Recycling LC'!E$42</f>
        <v>0.15417031220762953</v>
      </c>
      <c r="F52" s="122">
        <f>'Ethylene Recycling HC'!F52*'Ethylene Recycling HC'!F$42/'Ethylene Recycling LC'!F$42</f>
        <v>0.16018896982401257</v>
      </c>
      <c r="G52" s="122">
        <f>'Ethylene Recycling HC'!G52*'Ethylene Recycling HC'!G$42/'Ethylene Recycling LC'!G$42</f>
        <v>0.16616131657446348</v>
      </c>
      <c r="H52" s="122">
        <f>'Ethylene Recycling HC'!H52*'Ethylene Recycling HC'!H$42/'Ethylene Recycling LC'!H$42</f>
        <v>0.17208578483623743</v>
      </c>
      <c r="I52" s="122">
        <f>'Ethylene Recycling HC'!I52*'Ethylene Recycling HC'!I$42/'Ethylene Recycling LC'!I$42</f>
        <v>0.17796073542712362</v>
      </c>
      <c r="J52" s="122">
        <f>'Ethylene Recycling HC'!J52*'Ethylene Recycling HC'!J$42/'Ethylene Recycling LC'!J$42</f>
        <v>0.18378445347509023</v>
      </c>
      <c r="K52" s="122">
        <f>'Ethylene Recycling HC'!K52*'Ethylene Recycling HC'!K$42/'Ethylene Recycling LC'!K$42</f>
        <v>0.18955514399850809</v>
      </c>
      <c r="L52" s="122">
        <f>'Ethylene Recycling HC'!L52*'Ethylene Recycling HC'!L$42/'Ethylene Recycling LC'!L$42</f>
        <v>0.19527092717301178</v>
      </c>
      <c r="M52" s="122">
        <f>'Ethylene Recycling HC'!M52*'Ethylene Recycling HC'!M$42/'Ethylene Recycling LC'!M$42</f>
        <v>0.20092983325876934</v>
      </c>
      <c r="N52" s="122">
        <f>'Ethylene Recycling HC'!N52*'Ethylene Recycling HC'!N$42/'Ethylene Recycling LC'!N$42</f>
        <v>0.2127538080819511</v>
      </c>
      <c r="O52" s="122">
        <f>'Ethylene Recycling HC'!O52*'Ethylene Recycling HC'!O$42/'Ethylene Recycling LC'!O$42</f>
        <v>0.22448790030340515</v>
      </c>
      <c r="P52" s="122">
        <f>'Ethylene Recycling HC'!P52*'Ethylene Recycling HC'!P$42/'Ethylene Recycling LC'!P$42</f>
        <v>0.23579644222933915</v>
      </c>
      <c r="Q52" s="122">
        <f>'Ethylene Recycling HC'!Q52*'Ethylene Recycling HC'!Q$42/'Ethylene Recycling LC'!Q$42</f>
        <v>0.24681813815440984</v>
      </c>
      <c r="R52" s="122">
        <f>'Ethylene Recycling HC'!R52*'Ethylene Recycling HC'!R$42/'Ethylene Recycling LC'!R$42</f>
        <v>0.25753302304931441</v>
      </c>
      <c r="S52" s="122">
        <f>'Ethylene Recycling HC'!S52*'Ethylene Recycling HC'!S$42/'Ethylene Recycling LC'!S$42</f>
        <v>0.26791923507194393</v>
      </c>
      <c r="T52" s="122">
        <f>'Ethylene Recycling HC'!T52*'Ethylene Recycling HC'!T$42/'Ethylene Recycling LC'!T$42</f>
        <v>0.27795278482428853</v>
      </c>
      <c r="U52" s="122">
        <f>'Ethylene Recycling HC'!U52*'Ethylene Recycling HC'!U$42/'Ethylene Recycling LC'!U$42</f>
        <v>0.28760729008614339</v>
      </c>
      <c r="V52" s="122">
        <f>'Ethylene Recycling HC'!V52*'Ethylene Recycling HC'!V$42/'Ethylene Recycling LC'!V$42</f>
        <v>0.29685366984534661</v>
      </c>
      <c r="W52" s="122">
        <f>'Ethylene Recycling HC'!W52*'Ethylene Recycling HC'!W$42/'Ethylene Recycling LC'!W$42</f>
        <v>0.30565979014666927</v>
      </c>
      <c r="X52" s="122">
        <f>'Ethylene Recycling HC'!X52*'Ethylene Recycling HC'!X$42/'Ethylene Recycling LC'!X$42</f>
        <v>0.32057077696384567</v>
      </c>
      <c r="Y52" s="122">
        <f>'Ethylene Recycling HC'!Y52*'Ethylene Recycling HC'!Y$42/'Ethylene Recycling LC'!Y$42</f>
        <v>0.33595121950317602</v>
      </c>
      <c r="Z52" s="122">
        <f>'Ethylene Recycling HC'!Z52*'Ethylene Recycling HC'!Z$42/'Ethylene Recycling LC'!Z$42</f>
        <v>0.35049456896447517</v>
      </c>
      <c r="AA52" s="122">
        <f>'Ethylene Recycling HC'!AA52*'Ethylene Recycling HC'!AA$42/'Ethylene Recycling LC'!AA$42</f>
        <v>0.3641243782196889</v>
      </c>
      <c r="AB52" s="122">
        <f>'Ethylene Recycling HC'!AB52*'Ethylene Recycling HC'!AB$42/'Ethylene Recycling LC'!AB$42</f>
        <v>0.37675459921037657</v>
      </c>
      <c r="AC52" s="122">
        <f>'Ethylene Recycling HC'!AC52*'Ethylene Recycling HC'!AC$42/'Ethylene Recycling LC'!AC$42</f>
        <v>0.38828802687531233</v>
      </c>
      <c r="AD52" s="122">
        <f>'Ethylene Recycling HC'!AD52*'Ethylene Recycling HC'!AD$42/'Ethylene Recycling LC'!AD$42</f>
        <v>0.39861443029848875</v>
      </c>
      <c r="AE52" s="122">
        <f>'Ethylene Recycling HC'!AE52*'Ethylene Recycling HC'!AE$42/'Ethylene Recycling LC'!AE$42</f>
        <v>0.40760829518615782</v>
      </c>
      <c r="AF52" s="122">
        <f>'Ethylene Recycling HC'!AF52*'Ethylene Recycling HC'!AF$42/'Ethylene Recycling LC'!AF$42</f>
        <v>0.41512607998141038</v>
      </c>
      <c r="AG52" s="122">
        <f>'Ethylene Recycling HC'!AG52*'Ethylene Recycling HC'!AG$42/'Ethylene Recycling LC'!AG$42</f>
        <v>0.42100285881733751</v>
      </c>
      <c r="AI52" s="126" t="s">
        <v>492</v>
      </c>
      <c r="AJ52" s="198"/>
      <c r="AL52" s="102"/>
      <c r="AM52" s="2"/>
      <c r="AN52" s="2"/>
      <c r="AO52" s="2"/>
    </row>
    <row r="53" spans="1:63" outlineLevel="1">
      <c r="A53" t="s">
        <v>438</v>
      </c>
      <c r="B53" s="51" t="s">
        <v>126</v>
      </c>
      <c r="C53" s="122">
        <f>'Ethylene Recycling HC'!C58*'Ethylene Recycling HC'!C$42/'Ethylene Recycling LC'!C$42</f>
        <v>1.0924938261687523E-2</v>
      </c>
      <c r="D53" s="122">
        <f>'Ethylene Recycling HC'!D58*'Ethylene Recycling HC'!D$42/'Ethylene Recycling LC'!D$42</f>
        <v>1.1062090092218323E-2</v>
      </c>
      <c r="E53" s="122">
        <f>'Ethylene Recycling HC'!E58*'Ethylene Recycling HC'!E$42/'Ethylene Recycling LC'!E$42</f>
        <v>1.118348630665154E-2</v>
      </c>
      <c r="F53" s="122">
        <f>'Ethylene Recycling HC'!F58*'Ethylene Recycling HC'!F$42/'Ethylene Recycling LC'!F$42</f>
        <v>1.128919479889561E-2</v>
      </c>
      <c r="G53" s="122">
        <f>'Ethylene Recycling HC'!G58*'Ethylene Recycling HC'!G$42/'Ethylene Recycling LC'!G$42</f>
        <v>1.137928649294773E-2</v>
      </c>
      <c r="H53" s="122">
        <f>'Ethylene Recycling HC'!H58*'Ethylene Recycling HC'!H$42/'Ethylene Recycling LC'!H$42</f>
        <v>1.1453835513841375E-2</v>
      </c>
      <c r="I53" s="122">
        <f>'Ethylene Recycling HC'!I58*'Ethylene Recycling HC'!I$42/'Ethylene Recycling LC'!I$42</f>
        <v>1.151291937029901E-2</v>
      </c>
      <c r="J53" s="122">
        <f>'Ethylene Recycling HC'!J58*'Ethylene Recycling HC'!J$42/'Ethylene Recycling LC'!J$42</f>
        <v>1.1556619150035884E-2</v>
      </c>
      <c r="K53" s="122">
        <f>'Ethylene Recycling HC'!K58*'Ethylene Recycling HC'!K$42/'Ethylene Recycling LC'!K$42</f>
        <v>1.1585019728749169E-2</v>
      </c>
      <c r="L53" s="122">
        <f>'Ethylene Recycling HC'!L58*'Ethylene Recycling HC'!L$42/'Ethylene Recycling LC'!L$42</f>
        <v>1.1598209993924356E-2</v>
      </c>
      <c r="M53" s="122">
        <f>'Ethylene Recycling HC'!M58*'Ethylene Recycling HC'!M$42/'Ethylene Recycling LC'!M$42</f>
        <v>1.1596283084699337E-2</v>
      </c>
      <c r="N53" s="122">
        <f>'Ethylene Recycling HC'!N58*'Ethylene Recycling HC'!N$42/'Ethylene Recycling LC'!N$42</f>
        <v>1.1917051437134014E-2</v>
      </c>
      <c r="O53" s="122">
        <f>'Ethylene Recycling HC'!O58*'Ethylene Recycling HC'!O$42/'Ethylene Recycling LC'!O$42</f>
        <v>1.2205805703752218E-2</v>
      </c>
      <c r="P53" s="122">
        <f>'Ethylene Recycling HC'!P58*'Ethylene Recycling HC'!P$42/'Ethylene Recycling LC'!P$42</f>
        <v>1.2445044571281039E-2</v>
      </c>
      <c r="Q53" s="122">
        <f>'Ethylene Recycling HC'!Q58*'Ethylene Recycling HC'!Q$42/'Ethylene Recycling LC'!Q$42</f>
        <v>1.2643674040122508E-2</v>
      </c>
      <c r="R53" s="122">
        <f>'Ethylene Recycling HC'!R58*'Ethylene Recycling HC'!R$42/'Ethylene Recycling LC'!R$42</f>
        <v>1.2801818001391987E-2</v>
      </c>
      <c r="S53" s="122">
        <f>'Ethylene Recycling HC'!S58*'Ethylene Recycling HC'!S$42/'Ethylene Recycling LC'!S$42</f>
        <v>1.2919612116698679E-2</v>
      </c>
      <c r="T53" s="122">
        <f>'Ethylene Recycling HC'!T58*'Ethylene Recycling HC'!T$42/'Ethylene Recycling LC'!T$42</f>
        <v>1.2997205250000218E-2</v>
      </c>
      <c r="U53" s="122">
        <f>'Ethylene Recycling HC'!U58*'Ethylene Recycling HC'!U$42/'Ethylene Recycling LC'!U$42</f>
        <v>1.3034761113687782E-2</v>
      </c>
      <c r="V53" s="122">
        <f>'Ethylene Recycling HC'!V58*'Ethylene Recycling HC'!V$42/'Ethylene Recycling LC'!V$42</f>
        <v>1.303246016725272E-2</v>
      </c>
      <c r="W53" s="122">
        <f>'Ethylene Recycling HC'!W58*'Ethylene Recycling HC'!W$42/'Ethylene Recycling LC'!W$42</f>
        <v>1.2990501814938011E-2</v>
      </c>
      <c r="X53" s="122">
        <f>'Ethylene Recycling HC'!X58*'Ethylene Recycling HC'!X$42/'Ethylene Recycling LC'!X$42</f>
        <v>1.3122389056449387E-2</v>
      </c>
      <c r="Y53" s="122">
        <f>'Ethylene Recycling HC'!Y58*'Ethylene Recycling HC'!Y$42/'Ethylene Recycling LC'!Y$42</f>
        <v>1.3242689127293719E-2</v>
      </c>
      <c r="Z53" s="122">
        <f>'Ethylene Recycling HC'!Z58*'Ethylene Recycling HC'!Z$42/'Ethylene Recycling LC'!Z$42</f>
        <v>1.329907496283938E-2</v>
      </c>
      <c r="AA53" s="122">
        <f>'Ethylene Recycling HC'!AA58*'Ethylene Recycling HC'!AA$42/'Ethylene Recycling LC'!AA$42</f>
        <v>1.329188844571625E-2</v>
      </c>
      <c r="AB53" s="122">
        <f>'Ethylene Recycling HC'!AB58*'Ethylene Recycling HC'!AB$42/'Ethylene Recycling LC'!AB$42</f>
        <v>1.3221514395305544E-2</v>
      </c>
      <c r="AC53" s="122">
        <f>'Ethylene Recycling HC'!AC58*'Ethylene Recycling HC'!AC$42/'Ethylene Recycling LC'!AC$42</f>
        <v>1.3088387526721037E-2</v>
      </c>
      <c r="AD53" s="122">
        <f>'Ethylene Recycling HC'!AD58*'Ethylene Recycling HC'!AD$42/'Ethylene Recycling LC'!AD$42</f>
        <v>1.2893000808585832E-2</v>
      </c>
      <c r="AE53" s="122">
        <f>'Ethylene Recycling HC'!AE58*'Ethylene Recycling HC'!AE$42/'Ethylene Recycling LC'!AE$42</f>
        <v>1.2635915559002066E-2</v>
      </c>
      <c r="AF53" s="122">
        <f>'Ethylene Recycling HC'!AF58*'Ethylene Recycling HC'!AF$42/'Ethylene Recycling LC'!AF$42</f>
        <v>1.2317773716603935E-2</v>
      </c>
      <c r="AG53" s="122">
        <f>'Ethylene Recycling HC'!AG58*'Ethylene Recycling HC'!AG$42/'Ethylene Recycling LC'!AG$42</f>
        <v>1.1939312853757418E-2</v>
      </c>
      <c r="AI53" s="126" t="s">
        <v>492</v>
      </c>
      <c r="AJ53" s="198"/>
      <c r="AL53" s="102"/>
      <c r="AM53" s="2"/>
      <c r="AN53" s="2"/>
      <c r="AO53" s="2"/>
    </row>
    <row r="54" spans="1:63" outlineLevel="1">
      <c r="A54" t="s">
        <v>439</v>
      </c>
      <c r="B54" s="51" t="s">
        <v>126</v>
      </c>
      <c r="C54" s="122">
        <f>'Ethylene Recycling HC'!C59*'Ethylene Recycling HC'!C$42/'Ethylene Recycling LC'!C$42</f>
        <v>1.3102050449781879E-2</v>
      </c>
      <c r="D54" s="122">
        <f>'Ethylene Recycling HC'!D59*'Ethylene Recycling HC'!D$42/'Ethylene Recycling LC'!D$42</f>
        <v>1.352128145129498E-2</v>
      </c>
      <c r="E54" s="122">
        <f>'Ethylene Recycling HC'!E59*'Ethylene Recycling HC'!E$42/'Ethylene Recycling LC'!E$42</f>
        <v>1.3937292792783924E-2</v>
      </c>
      <c r="F54" s="122">
        <f>'Ethylene Recycling HC'!F59*'Ethylene Recycling HC'!F$42/'Ethylene Recycling LC'!F$42</f>
        <v>1.4349977893924113E-2</v>
      </c>
      <c r="G54" s="122">
        <f>'Ethylene Recycling HC'!G59*'Ethylene Recycling HC'!G$42/'Ethylene Recycling LC'!G$42</f>
        <v>1.475922541773674E-2</v>
      </c>
      <c r="H54" s="122">
        <f>'Ethylene Recycling HC'!H59*'Ethylene Recycling HC'!H$42/'Ethylene Recycling LC'!H$42</f>
        <v>1.5164919002234245E-2</v>
      </c>
      <c r="I54" s="122">
        <f>'Ethylene Recycling HC'!I59*'Ethylene Recycling HC'!I$42/'Ethylene Recycling LC'!I$42</f>
        <v>1.5566936973690814E-2</v>
      </c>
      <c r="J54" s="122">
        <f>'Ethylene Recycling HC'!J59*'Ethylene Recycling HC'!J$42/'Ethylene Recycling LC'!J$42</f>
        <v>1.5965152040053103E-2</v>
      </c>
      <c r="K54" s="122">
        <f>'Ethylene Recycling HC'!K59*'Ethylene Recycling HC'!K$42/'Ethylene Recycling LC'!K$42</f>
        <v>1.6359430962867738E-2</v>
      </c>
      <c r="L54" s="122">
        <f>'Ethylene Recycling HC'!L59*'Ethylene Recycling HC'!L$42/'Ethylene Recycling LC'!L$42</f>
        <v>1.6749634205948369E-2</v>
      </c>
      <c r="M54" s="122">
        <f>'Ethylene Recycling HC'!M59*'Ethylene Recycling HC'!M$42/'Ethylene Recycling LC'!M$42</f>
        <v>1.7135615558835502E-2</v>
      </c>
      <c r="N54" s="122">
        <f>'Ethylene Recycling HC'!N59*'Ethylene Recycling HC'!N$42/'Ethylene Recycling LC'!N$42</f>
        <v>1.8028116700640067E-2</v>
      </c>
      <c r="O54" s="122">
        <f>'Ethylene Recycling HC'!O59*'Ethylene Recycling HC'!O$42/'Ethylene Recycling LC'!O$42</f>
        <v>1.891446277457182E-2</v>
      </c>
      <c r="P54" s="122">
        <f>'Ethylene Recycling HC'!P59*'Ethylene Recycling HC'!P$42/'Ethylene Recycling LC'!P$42</f>
        <v>1.9766395799688426E-2</v>
      </c>
      <c r="Q54" s="122">
        <f>'Ethylene Recycling HC'!Q59*'Ethylene Recycling HC'!Q$42/'Ethylene Recycling LC'!Q$42</f>
        <v>2.0595781181553509E-2</v>
      </c>
      <c r="R54" s="122">
        <f>'Ethylene Recycling HC'!R59*'Ethylene Recycling HC'!R$42/'Ethylene Recycling LC'!R$42</f>
        <v>2.1401049561149101E-2</v>
      </c>
      <c r="S54" s="122">
        <f>'Ethylene Recycling HC'!S59*'Ethylene Recycling HC'!S$42/'Ethylene Recycling LC'!S$42</f>
        <v>2.2180482479737022E-2</v>
      </c>
      <c r="T54" s="122">
        <f>'Ethylene Recycling HC'!T59*'Ethylene Recycling HC'!T$42/'Ethylene Recycling LC'!T$42</f>
        <v>2.2932194241206769E-2</v>
      </c>
      <c r="U54" s="122">
        <f>'Ethylene Recycling HC'!U59*'Ethylene Recycling HC'!U$42/'Ethylene Recycling LC'!U$42</f>
        <v>2.3654111060713603E-2</v>
      </c>
      <c r="V54" s="122">
        <f>'Ethylene Recycling HC'!V59*'Ethylene Recycling HC'!V$42/'Ethylene Recycling LC'!V$42</f>
        <v>2.4343947013804521E-2</v>
      </c>
      <c r="W54" s="122">
        <f>'Ethylene Recycling HC'!W59*'Ethylene Recycling HC'!W$42/'Ethylene Recycling LC'!W$42</f>
        <v>2.4999176198230298E-2</v>
      </c>
      <c r="X54" s="122">
        <f>'Ethylene Recycling HC'!X59*'Ethylene Recycling HC'!X$42/'Ethylene Recycling LC'!X$42</f>
        <v>2.604024017317845E-2</v>
      </c>
      <c r="Y54" s="122">
        <f>'Ethylene Recycling HC'!Y59*'Ethylene Recycling HC'!Y$42/'Ethylene Recycling LC'!Y$42</f>
        <v>2.7124569192800575E-2</v>
      </c>
      <c r="Z54" s="122">
        <f>'Ethylene Recycling HC'!Z59*'Ethylene Recycling HC'!Z$42/'Ethylene Recycling LC'!Z$42</f>
        <v>2.8145735343373238E-2</v>
      </c>
      <c r="AA54" s="122">
        <f>'Ethylene Recycling HC'!AA59*'Ethylene Recycling HC'!AA$42/'Ethylene Recycling LC'!AA$42</f>
        <v>2.9097970305858558E-2</v>
      </c>
      <c r="AB54" s="122">
        <f>'Ethylene Recycling HC'!AB59*'Ethylene Recycling HC'!AB$42/'Ethylene Recycling LC'!AB$42</f>
        <v>2.9974781322891931E-2</v>
      </c>
      <c r="AC54" s="122">
        <f>'Ethylene Recycling HC'!AC59*'Ethylene Recycling HC'!AC$42/'Ethylene Recycling LC'!AC$42</f>
        <v>3.0768833785319003E-2</v>
      </c>
      <c r="AD54" s="122">
        <f>'Ethylene Recycling HC'!AD59*'Ethylene Recycling HC'!AD$42/'Ethylene Recycling LC'!AD$42</f>
        <v>3.1471810217944152E-2</v>
      </c>
      <c r="AE54" s="122">
        <f>'Ethylene Recycling HC'!AE59*'Ethylene Recycling HC'!AE$42/'Ethylene Recycling LC'!AE$42</f>
        <v>3.207423993810625E-2</v>
      </c>
      <c r="AF54" s="122">
        <f>'Ethylene Recycling HC'!AF59*'Ethylene Recycling HC'!AF$42/'Ethylene Recycling LC'!AF$42</f>
        <v>3.2565292015768799E-2</v>
      </c>
      <c r="AG54" s="122">
        <f>'Ethylene Recycling HC'!AG59*'Ethylene Recycling HC'!AG$42/'Ethylene Recycling LC'!AG$42</f>
        <v>3.293252196750715E-2</v>
      </c>
      <c r="AI54" s="126" t="s">
        <v>492</v>
      </c>
      <c r="AJ54" s="198"/>
      <c r="AL54" s="102"/>
      <c r="AM54" s="2"/>
      <c r="AN54" s="2"/>
      <c r="AO54" s="2"/>
      <c r="BC54" s="1"/>
      <c r="BD54" s="2"/>
      <c r="BE54" s="2"/>
      <c r="BF54" s="2"/>
      <c r="BG54" s="2"/>
      <c r="BH54" s="2"/>
      <c r="BI54" s="2"/>
      <c r="BJ54" s="2"/>
      <c r="BK54" s="2"/>
    </row>
    <row r="55" spans="1:63" outlineLevel="1">
      <c r="A55" t="s">
        <v>440</v>
      </c>
      <c r="B55" s="51" t="s">
        <v>126</v>
      </c>
      <c r="C55" s="122">
        <f>'Ethylene Recycling HC'!C61*'Ethylene Recycling HC'!C$42/'Ethylene Recycling LC'!C$42</f>
        <v>6.0660693409000509E-2</v>
      </c>
      <c r="D55" s="122">
        <f>'Ethylene Recycling HC'!D61*'Ethylene Recycling HC'!D$42/'Ethylene Recycling LC'!D$42</f>
        <v>6.2814092677648994E-2</v>
      </c>
      <c r="E55" s="122">
        <f>'Ethylene Recycling HC'!E61*'Ethylene Recycling HC'!E$42/'Ethylene Recycling LC'!E$42</f>
        <v>6.496565631608768E-2</v>
      </c>
      <c r="F55" s="122">
        <f>'Ethylene Recycling HC'!F61*'Ethylene Recycling HC'!F$42/'Ethylene Recycling LC'!F$42</f>
        <v>6.7114734107825147E-2</v>
      </c>
      <c r="G55" s="122">
        <f>'Ethylene Recycling HC'!G61*'Ethylene Recycling HC'!G$42/'Ethylene Recycling LC'!G$42</f>
        <v>6.9260646817364643E-2</v>
      </c>
      <c r="H55" s="122">
        <f>'Ethylene Recycling HC'!H61*'Ethylene Recycling HC'!H$42/'Ethylene Recycling LC'!H$42</f>
        <v>7.1402684553048712E-2</v>
      </c>
      <c r="I55" s="122">
        <f>'Ethylene Recycling HC'!I61*'Ethylene Recycling HC'!I$42/'Ethylene Recycling LC'!I$42</f>
        <v>7.3540105017803323E-2</v>
      </c>
      <c r="J55" s="122">
        <f>'Ethylene Recycling HC'!J61*'Ethylene Recycling HC'!J$42/'Ethylene Recycling LC'!J$42</f>
        <v>7.5672131638723397E-2</v>
      </c>
      <c r="K55" s="122">
        <f>'Ethylene Recycling HC'!K61*'Ethylene Recycling HC'!K$42/'Ethylene Recycling LC'!K$42</f>
        <v>7.7797951565594714E-2</v>
      </c>
      <c r="L55" s="122">
        <f>'Ethylene Recycling HC'!L61*'Ethylene Recycling HC'!L$42/'Ethylene Recycling LC'!L$42</f>
        <v>7.9916713527511063E-2</v>
      </c>
      <c r="M55" s="122">
        <f>'Ethylene Recycling HC'!M61*'Ethylene Recycling HC'!M$42/'Ethylene Recycling LC'!M$42</f>
        <v>8.2027525535708648E-2</v>
      </c>
      <c r="N55" s="122">
        <f>'Ethylene Recycling HC'!N61*'Ethylene Recycling HC'!N$42/'Ethylene Recycling LC'!N$42</f>
        <v>8.6583112853538841E-2</v>
      </c>
      <c r="O55" s="122">
        <f>'Ethylene Recycling HC'!O61*'Ethylene Recycling HC'!O$42/'Ethylene Recycling LC'!O$42</f>
        <v>9.1137084832284429E-2</v>
      </c>
      <c r="P55" s="122">
        <f>'Ethylene Recycling HC'!P61*'Ethylene Recycling HC'!P$42/'Ethylene Recycling LC'!P$42</f>
        <v>9.5552549743972634E-2</v>
      </c>
      <c r="Q55" s="122">
        <f>'Ethylene Recycling HC'!Q61*'Ethylene Recycling HC'!Q$42/'Ethylene Recycling LC'!Q$42</f>
        <v>9.988543056711266E-2</v>
      </c>
      <c r="R55" s="122">
        <f>'Ethylene Recycling HC'!R61*'Ethylene Recycling HC'!R$42/'Ethylene Recycling LC'!R$42</f>
        <v>0.10412702890867802</v>
      </c>
      <c r="S55" s="122">
        <f>'Ethylene Recycling HC'!S61*'Ethylene Recycling HC'!S$42/'Ethylene Recycling LC'!S$42</f>
        <v>0.10826781996947811</v>
      </c>
      <c r="T55" s="122">
        <f>'Ethylene Recycling HC'!T61*'Ethylene Recycling HC'!T$42/'Ethylene Recycling LC'!T$42</f>
        <v>0.11229735201367071</v>
      </c>
      <c r="U55" s="122">
        <f>'Ethylene Recycling HC'!U61*'Ethylene Recycling HC'!U$42/'Ethylene Recycling LC'!U$42</f>
        <v>0.11620413079715672</v>
      </c>
      <c r="V55" s="122">
        <f>'Ethylene Recycling HC'!V61*'Ethylene Recycling HC'!V$42/'Ethylene Recycling LC'!V$42</f>
        <v>0.11997548626222906</v>
      </c>
      <c r="W55" s="122">
        <f>'Ethylene Recycling HC'!W61*'Ethylene Recycling HC'!W$42/'Ethylene Recycling LC'!W$42</f>
        <v>0.1235974182405017</v>
      </c>
      <c r="X55" s="122">
        <f>'Ethylene Recycling HC'!X61*'Ethylene Recycling HC'!X$42/'Ethylene Recycling LC'!X$42</f>
        <v>0.12915358895159126</v>
      </c>
      <c r="Y55" s="122">
        <f>'Ethylene Recycling HC'!Y61*'Ethylene Recycling HC'!Y$42/'Ethylene Recycling LC'!Y$42</f>
        <v>0.13495773392131694</v>
      </c>
      <c r="Z55" s="122">
        <f>'Ethylene Recycling HC'!Z61*'Ethylene Recycling HC'!Z$42/'Ethylene Recycling LC'!Z$42</f>
        <v>0.14048069035816238</v>
      </c>
      <c r="AA55" s="122">
        <f>'Ethylene Recycling HC'!AA61*'Ethylene Recycling HC'!AA$42/'Ethylene Recycling LC'!AA$42</f>
        <v>0.14569060003298487</v>
      </c>
      <c r="AB55" s="122">
        <f>'Ethylene Recycling HC'!AB61*'Ethylene Recycling HC'!AB$42/'Ethylene Recycling LC'!AB$42</f>
        <v>0.15055160366849207</v>
      </c>
      <c r="AC55" s="122">
        <f>'Ethylene Recycling HC'!AC61*'Ethylene Recycling HC'!AC$42/'Ethylene Recycling LC'!AC$42</f>
        <v>0.15502319246869381</v>
      </c>
      <c r="AD55" s="122">
        <f>'Ethylene Recycling HC'!AD61*'Ethylene Recycling HC'!AD$42/'Ethylene Recycling LC'!AD$42</f>
        <v>0.1590594293020044</v>
      </c>
      <c r="AE55" s="122">
        <f>'Ethylene Recycling HC'!AE61*'Ethylene Recycling HC'!AE$42/'Ethylene Recycling LC'!AE$42</f>
        <v>0.16260800791137123</v>
      </c>
      <c r="AF55" s="122">
        <f>'Ethylene Recycling HC'!AF61*'Ethylene Recycling HC'!AF$42/'Ethylene Recycling LC'!AF$42</f>
        <v>0.16560910943992002</v>
      </c>
      <c r="AG55" s="122">
        <f>'Ethylene Recycling HC'!AG61*'Ethylene Recycling HC'!AG$42/'Ethylene Recycling LC'!AG$42</f>
        <v>0.16799400343049306</v>
      </c>
      <c r="AI55" s="126" t="s">
        <v>492</v>
      </c>
      <c r="AJ55" s="198"/>
      <c r="AL55" s="102"/>
      <c r="AM55" s="2"/>
      <c r="AN55" s="2"/>
      <c r="AO55" s="2"/>
      <c r="BC55" s="1"/>
      <c r="BD55" s="2"/>
      <c r="BE55" s="2"/>
      <c r="BF55" s="2"/>
      <c r="BG55" s="2"/>
      <c r="BH55" s="2"/>
      <c r="BI55" s="2"/>
      <c r="BJ55" s="2"/>
      <c r="BK55" s="2"/>
    </row>
    <row r="56" spans="1:63" outlineLevel="1"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I56" s="126"/>
      <c r="AJ56" s="198"/>
      <c r="AL56" s="102"/>
      <c r="AM56" s="2"/>
      <c r="AN56" s="2"/>
      <c r="AO56" s="2"/>
      <c r="BC56" s="1"/>
      <c r="BD56" s="2"/>
      <c r="BE56" s="2"/>
      <c r="BF56" s="2"/>
      <c r="BG56" s="2"/>
      <c r="BH56" s="2"/>
      <c r="BI56" s="2"/>
      <c r="BJ56" s="2"/>
      <c r="BK56" s="2"/>
    </row>
    <row r="57" spans="1:63" outlineLevel="1">
      <c r="A57" t="s">
        <v>485</v>
      </c>
      <c r="B57" s="51" t="s">
        <v>126</v>
      </c>
      <c r="C57" s="122">
        <f>'Ethylene Recycling HC'!C64*'Ethylene Recycling HC'!C$42/'Ethylene Recycling LC'!C$42</f>
        <v>4.9876250758676993E-2</v>
      </c>
      <c r="D57" s="122">
        <f>'Ethylene Recycling HC'!D64*'Ethylene Recycling HC'!D$42/'Ethylene Recycling LC'!D$42</f>
        <v>5.3028910258294454E-2</v>
      </c>
      <c r="E57" s="122">
        <f>'Ethylene Recycling HC'!E64*'Ethylene Recycling HC'!E$42/'Ethylene Recycling LC'!E$42</f>
        <v>5.6147882533280617E-2</v>
      </c>
      <c r="F57" s="122">
        <f>'Ethylene Recycling HC'!F64*'Ethylene Recycling HC'!F$42/'Ethylene Recycling LC'!F$42</f>
        <v>5.9232590587242867E-2</v>
      </c>
      <c r="G57" s="122">
        <f>'Ethylene Recycling HC'!G64*'Ethylene Recycling HC'!G$42/'Ethylene Recycling LC'!G$42</f>
        <v>6.2282431672578686E-2</v>
      </c>
      <c r="H57" s="122">
        <f>'Ethylene Recycling HC'!H64*'Ethylene Recycling HC'!H$42/'Ethylene Recycling LC'!H$42</f>
        <v>6.5296775837678289E-2</v>
      </c>
      <c r="I57" s="122">
        <f>'Ethylene Recycling HC'!I64*'Ethylene Recycling HC'!I$42/'Ethylene Recycling LC'!I$42</f>
        <v>6.8274964374650401E-2</v>
      </c>
      <c r="J57" s="122">
        <f>'Ethylene Recycling HC'!J64*'Ethylene Recycling HC'!J$42/'Ethylene Recycling LC'!J$42</f>
        <v>7.1216308159532796E-2</v>
      </c>
      <c r="K57" s="122">
        <f>'Ethylene Recycling HC'!K64*'Ethylene Recycling HC'!K$42/'Ethylene Recycling LC'!K$42</f>
        <v>7.4120085876198533E-2</v>
      </c>
      <c r="L57" s="122">
        <f>'Ethylene Recycling HC'!L64*'Ethylene Recycling HC'!L$42/'Ethylene Recycling LC'!L$42</f>
        <v>7.6985542114336586E-2</v>
      </c>
      <c r="M57" s="122">
        <f>'Ethylene Recycling HC'!M64*'Ethylene Recycling HC'!M$42/'Ethylene Recycling LC'!M$42</f>
        <v>7.9811885330967516E-2</v>
      </c>
      <c r="N57" s="122">
        <f>'Ethylene Recycling HC'!N64*'Ethylene Recycling HC'!N$42/'Ethylene Recycling LC'!N$42</f>
        <v>8.5215568585496893E-2</v>
      </c>
      <c r="O57" s="122">
        <f>'Ethylene Recycling HC'!O64*'Ethylene Recycling HC'!O$42/'Ethylene Recycling LC'!O$42</f>
        <v>9.0550498931468257E-2</v>
      </c>
      <c r="P57" s="122">
        <f>'Ethylene Recycling HC'!P64*'Ethylene Recycling HC'!P$42/'Ethylene Recycling LC'!P$42</f>
        <v>9.5681642773544892E-2</v>
      </c>
      <c r="Q57" s="122">
        <f>'Ethylene Recycling HC'!Q64*'Ethylene Recycling HC'!Q$42/'Ethylene Recycling LC'!Q$42</f>
        <v>0.10066446737021501</v>
      </c>
      <c r="R57" s="122">
        <f>'Ethylene Recycling HC'!R64*'Ethylene Recycling HC'!R$42/'Ethylene Recycling LC'!R$42</f>
        <v>0.10549087895479879</v>
      </c>
      <c r="S57" s="122">
        <f>'Ethylene Recycling HC'!S64*'Ethylene Recycling HC'!S$42/'Ethylene Recycling LC'!S$42</f>
        <v>0.11015201479804416</v>
      </c>
      <c r="T57" s="122">
        <f>'Ethylene Recycling HC'!T64*'Ethylene Recycling HC'!T$42/'Ethylene Recycling LC'!T$42</f>
        <v>0.11463814966552577</v>
      </c>
      <c r="U57" s="122">
        <f>'Ethylene Recycling HC'!U64*'Ethylene Recycling HC'!U$42/'Ethylene Recycling LC'!U$42</f>
        <v>0.11893858827943589</v>
      </c>
      <c r="V57" s="122">
        <f>'Ethylene Recycling HC'!V64*'Ethylene Recycling HC'!V$42/'Ethylene Recycling LC'!V$42</f>
        <v>0.12304154127930425</v>
      </c>
      <c r="W57" s="122">
        <f>'Ethylene Recycling HC'!W64*'Ethylene Recycling HC'!W$42/'Ethylene Recycling LC'!W$42</f>
        <v>0.12693398165013495</v>
      </c>
      <c r="X57" s="122">
        <f>'Ethylene Recycling HC'!X64*'Ethylene Recycling HC'!X$42/'Ethylene Recycling LC'!X$42</f>
        <v>0.13417786175323518</v>
      </c>
      <c r="Y57" s="122">
        <f>'Ethylene Recycling HC'!Y64*'Ethylene Recycling HC'!Y$42/'Ethylene Recycling LC'!Y$42</f>
        <v>0.14154999694914469</v>
      </c>
      <c r="Z57" s="122">
        <f>'Ethylene Recycling HC'!Z64*'Ethylene Recycling HC'!Z$42/'Ethylene Recycling LC'!Z$42</f>
        <v>0.14850693252470329</v>
      </c>
      <c r="AA57" s="122">
        <f>'Ethylene Recycling HC'!AA64*'Ethylene Recycling HC'!AA$42/'Ethylene Recycling LC'!AA$42</f>
        <v>0.15501594242473293</v>
      </c>
      <c r="AB57" s="122">
        <f>'Ethylene Recycling HC'!AB64*'Ethylene Recycling HC'!AB$42/'Ethylene Recycling LC'!AB$42</f>
        <v>0.16104019055636537</v>
      </c>
      <c r="AC57" s="122">
        <f>'Ethylene Recycling HC'!AC64*'Ethylene Recycling HC'!AC$42/'Ethylene Recycling LC'!AC$42</f>
        <v>0.16653806465399634</v>
      </c>
      <c r="AD57" s="122">
        <f>'Ethylene Recycling HC'!AD64*'Ethylene Recycling HC'!AD$42/'Ethylene Recycling LC'!AD$42</f>
        <v>0.17146237624722271</v>
      </c>
      <c r="AE57" s="122">
        <f>'Ethylene Recycling HC'!AE64*'Ethylene Recycling HC'!AE$42/'Ethylene Recycling LC'!AE$42</f>
        <v>0.17575939424362272</v>
      </c>
      <c r="AF57" s="122">
        <f>'Ethylene Recycling HC'!AF64*'Ethylene Recycling HC'!AF$42/'Ethylene Recycling LC'!AF$42</f>
        <v>0.17936767030587714</v>
      </c>
      <c r="AG57" s="122">
        <f>'Ethylene Recycling HC'!AG64*'Ethylene Recycling HC'!AG$42/'Ethylene Recycling LC'!AG$42</f>
        <v>0.18221660174218912</v>
      </c>
      <c r="AI57" s="126" t="s">
        <v>492</v>
      </c>
      <c r="AJ57" s="198"/>
      <c r="AL57" s="102"/>
      <c r="AM57" s="2"/>
      <c r="AN57" s="2"/>
      <c r="AO57" s="2"/>
      <c r="AV57" s="38"/>
    </row>
    <row r="58" spans="1:63" outlineLevel="1">
      <c r="A58" t="s">
        <v>486</v>
      </c>
      <c r="B58" s="51" t="s">
        <v>126</v>
      </c>
      <c r="C58" s="122">
        <f>'Ethylene Recycling HC'!C65*'Ethylene Recycling HC'!C$42/'Ethylene Recycling LC'!C$42</f>
        <v>0.10081369834200668</v>
      </c>
      <c r="D58" s="122">
        <f>'Ethylene Recycling HC'!D65*'Ethylene Recycling HC'!D$42/'Ethylene Recycling LC'!D$42</f>
        <v>0.10383947964921007</v>
      </c>
      <c r="E58" s="122">
        <f>'Ethylene Recycling HC'!E65*'Ethylene Recycling HC'!E$42/'Ethylene Recycling LC'!E$42</f>
        <v>0.10682818099965001</v>
      </c>
      <c r="F58" s="122">
        <f>'Ethylene Recycling HC'!F65*'Ethylene Recycling HC'!F$42/'Ethylene Recycling LC'!F$42</f>
        <v>0.10977912990462503</v>
      </c>
      <c r="G58" s="122">
        <f>'Ethylene Recycling HC'!G65*'Ethylene Recycling HC'!G$42/'Ethylene Recycling LC'!G$42</f>
        <v>0.11269162386242502</v>
      </c>
      <c r="H58" s="122">
        <f>'Ethylene Recycling HC'!H65*'Ethylene Recycling HC'!H$42/'Ethylene Recycling LC'!H$42</f>
        <v>0.11556492866509731</v>
      </c>
      <c r="I58" s="122">
        <f>'Ethylene Recycling HC'!I65*'Ethylene Recycling HC'!I$42/'Ethylene Recycling LC'!I$42</f>
        <v>0.11839827658927286</v>
      </c>
      <c r="J58" s="122">
        <f>'Ethylene Recycling HC'!J65*'Ethylene Recycling HC'!J$42/'Ethylene Recycling LC'!J$42</f>
        <v>0.12119086446168334</v>
      </c>
      <c r="K58" s="122">
        <f>'Ethylene Recycling HC'!K65*'Ethylene Recycling HC'!K$42/'Ethylene Recycling LC'!K$42</f>
        <v>0.12394185158912538</v>
      </c>
      <c r="L58" s="122">
        <f>'Ethylene Recycling HC'!L65*'Ethylene Recycling HC'!L$42/'Ethylene Recycling LC'!L$42</f>
        <v>0.12665035754165926</v>
      </c>
      <c r="M58" s="122">
        <f>'Ethylene Recycling HC'!M65*'Ethylene Recycling HC'!M$42/'Ethylene Recycling LC'!M$42</f>
        <v>0.12931545977675749</v>
      </c>
      <c r="N58" s="122">
        <f>'Ethylene Recycling HC'!N65*'Ethylene Recycling HC'!N$42/'Ethylene Recycling LC'!N$42</f>
        <v>0.1357841492384651</v>
      </c>
      <c r="O58" s="122">
        <f>'Ethylene Recycling HC'!O65*'Ethylene Recycling HC'!O$42/'Ethylene Recycling LC'!O$42</f>
        <v>0.14218016937484929</v>
      </c>
      <c r="P58" s="122">
        <f>'Ethylene Recycling HC'!P65*'Ethylene Recycling HC'!P$42/'Ethylene Recycling LC'!P$42</f>
        <v>0.14829179578880339</v>
      </c>
      <c r="Q58" s="122">
        <f>'Ethylene Recycling HC'!Q65*'Ethylene Recycling HC'!Q$42/'Ethylene Recycling LC'!Q$42</f>
        <v>0.15420939682245702</v>
      </c>
      <c r="R58" s="122">
        <f>'Ethylene Recycling HC'!R65*'Ethylene Recycling HC'!R$42/'Ethylene Recycling LC'!R$42</f>
        <v>0.1599222457214301</v>
      </c>
      <c r="S58" s="122">
        <f>'Ethylene Recycling HC'!S65*'Ethylene Recycling HC'!S$42/'Ethylene Recycling LC'!S$42</f>
        <v>0.16541859661713201</v>
      </c>
      <c r="T58" s="122">
        <f>'Ethylene Recycling HC'!T65*'Ethylene Recycling HC'!T$42/'Ethylene Recycling LC'!T$42</f>
        <v>0.17068556055376555</v>
      </c>
      <c r="U58" s="122">
        <f>'Ethylene Recycling HC'!U65*'Ethylene Recycling HC'!U$42/'Ethylene Recycling LC'!U$42</f>
        <v>0.17570896296680355</v>
      </c>
      <c r="V58" s="122">
        <f>'Ethylene Recycling HC'!V65*'Ethylene Recycling HC'!V$42/'Ethylene Recycling LC'!V$42</f>
        <v>0.18047317929242232</v>
      </c>
      <c r="W58" s="122">
        <f>'Ethylene Recycling HC'!W65*'Ethylene Recycling HC'!W$42/'Ethylene Recycling LC'!W$42</f>
        <v>0.18496094469019661</v>
      </c>
      <c r="X58" s="122">
        <f>'Ethylene Recycling HC'!X65*'Ethylene Recycling HC'!X$42/'Ethylene Recycling LC'!X$42</f>
        <v>0.19227828929860136</v>
      </c>
      <c r="Y58" s="122">
        <f>'Ethylene Recycling HC'!Y65*'Ethylene Recycling HC'!Y$42/'Ethylene Recycling LC'!Y$42</f>
        <v>0.19988366198651039</v>
      </c>
      <c r="Z58" s="122">
        <f>'Ethylene Recycling HC'!Z65*'Ethylene Recycling HC'!Z$42/'Ethylene Recycling LC'!Z$42</f>
        <v>0.20699243919812174</v>
      </c>
      <c r="AA58" s="122">
        <f>'Ethylene Recycling HC'!AA65*'Ethylene Recycling HC'!AA$42/'Ethylene Recycling LC'!AA$42</f>
        <v>0.21356508694009263</v>
      </c>
      <c r="AB58" s="122">
        <f>'Ethylene Recycling HC'!AB65*'Ethylene Recycling HC'!AB$42/'Ethylene Recycling LC'!AB$42</f>
        <v>0.21955710617817373</v>
      </c>
      <c r="AC58" s="122">
        <f>'Ethylene Recycling HC'!AC65*'Ethylene Recycling HC'!AC$42/'Ethylene Recycling LC'!AC$42</f>
        <v>0.2249182281273733</v>
      </c>
      <c r="AD58" s="122">
        <f>'Ethylene Recycling HC'!AD65*'Ethylene Recycling HC'!AD$42/'Ethylene Recycling LC'!AD$42</f>
        <v>0.22959144779076712</v>
      </c>
      <c r="AE58" s="122">
        <f>'Ethylene Recycling HC'!AE65*'Ethylene Recycling HC'!AE$42/'Ethylene Recycling LC'!AE$42</f>
        <v>0.23351185650036765</v>
      </c>
      <c r="AF58" s="122">
        <f>'Ethylene Recycling HC'!AF65*'Ethylene Recycling HC'!AF$42/'Ethylene Recycling LC'!AF$42</f>
        <v>0.23660522293971242</v>
      </c>
      <c r="AG58" s="122">
        <f>'Ethylene Recycling HC'!AG65*'Ethylene Recycling HC'!AG$42/'Ethylene Recycling LC'!AG$42</f>
        <v>0.23878625707514839</v>
      </c>
      <c r="AI58" s="126" t="s">
        <v>492</v>
      </c>
      <c r="AJ58" s="198"/>
      <c r="AL58" s="102"/>
      <c r="AM58" s="2"/>
      <c r="AN58" s="2"/>
      <c r="AO58" s="2"/>
      <c r="AV58" s="38"/>
    </row>
    <row r="59" spans="1:63" outlineLevel="1">
      <c r="A59" t="s">
        <v>487</v>
      </c>
      <c r="B59" s="165" t="s">
        <v>126</v>
      </c>
      <c r="C59" s="122">
        <f>'Ethylene Recycling HC'!C66*'Ethylene Recycling HC'!C$42/'Ethylene Recycling LC'!C$42</f>
        <v>0.15068994910068367</v>
      </c>
      <c r="D59" s="122">
        <f>'Ethylene Recycling HC'!D66*'Ethylene Recycling HC'!D$42/'Ethylene Recycling LC'!D$42</f>
        <v>0.15686838990750454</v>
      </c>
      <c r="E59" s="122">
        <f>'Ethylene Recycling HC'!E66*'Ethylene Recycling HC'!E$42/'Ethylene Recycling LC'!E$42</f>
        <v>0.16297606353293062</v>
      </c>
      <c r="F59" s="122">
        <f>'Ethylene Recycling HC'!F66*'Ethylene Recycling HC'!F$42/'Ethylene Recycling LC'!F$42</f>
        <v>0.16901172049186788</v>
      </c>
      <c r="G59" s="122">
        <f>'Ethylene Recycling HC'!G66*'Ethylene Recycling HC'!G$42/'Ethylene Recycling LC'!G$42</f>
        <v>0.1749740555350037</v>
      </c>
      <c r="H59" s="122">
        <f>'Ethylene Recycling HC'!H66*'Ethylene Recycling HC'!H$42/'Ethylene Recycling LC'!H$42</f>
        <v>0.18086170450277561</v>
      </c>
      <c r="I59" s="122">
        <f>'Ethylene Recycling HC'!I66*'Ethylene Recycling HC'!I$42/'Ethylene Recycling LC'!I$42</f>
        <v>0.18667324096392324</v>
      </c>
      <c r="J59" s="122">
        <f>'Ethylene Recycling HC'!J66*'Ethylene Recycling HC'!J$42/'Ethylene Recycling LC'!J$42</f>
        <v>0.19240717262121615</v>
      </c>
      <c r="K59" s="122">
        <f>'Ethylene Recycling HC'!K66*'Ethylene Recycling HC'!K$42/'Ethylene Recycling LC'!K$42</f>
        <v>0.19806193746532391</v>
      </c>
      <c r="L59" s="122">
        <f>'Ethylene Recycling HC'!L66*'Ethylene Recycling HC'!L$42/'Ethylene Recycling LC'!L$42</f>
        <v>0.20363589965599585</v>
      </c>
      <c r="M59" s="122">
        <f>'Ethylene Recycling HC'!M66*'Ethylene Recycling HC'!M$42/'Ethylene Recycling LC'!M$42</f>
        <v>0.20912734510772502</v>
      </c>
      <c r="N59" s="122">
        <f>'Ethylene Recycling HC'!N66*'Ethylene Recycling HC'!N$42/'Ethylene Recycling LC'!N$42</f>
        <v>0.22099971782396199</v>
      </c>
      <c r="O59" s="122">
        <f>'Ethylene Recycling HC'!O66*'Ethylene Recycling HC'!O$42/'Ethylene Recycling LC'!O$42</f>
        <v>0.23273066830631753</v>
      </c>
      <c r="P59" s="122">
        <f>'Ethylene Recycling HC'!P66*'Ethylene Recycling HC'!P$42/'Ethylene Recycling LC'!P$42</f>
        <v>0.24397343856234827</v>
      </c>
      <c r="Q59" s="122">
        <f>'Ethylene Recycling HC'!Q66*'Ethylene Recycling HC'!Q$42/'Ethylene Recycling LC'!Q$42</f>
        <v>0.25487386419267205</v>
      </c>
      <c r="R59" s="122">
        <f>'Ethylene Recycling HC'!R66*'Ethylene Recycling HC'!R$42/'Ethylene Recycling LC'!R$42</f>
        <v>0.26541312467622891</v>
      </c>
      <c r="S59" s="122">
        <f>'Ethylene Recycling HC'!S66*'Ethylene Recycling HC'!S$42/'Ethylene Recycling LC'!S$42</f>
        <v>0.27557061141517619</v>
      </c>
      <c r="T59" s="122">
        <f>'Ethylene Recycling HC'!T66*'Ethylene Recycling HC'!T$42/'Ethylene Recycling LC'!T$42</f>
        <v>0.28532371021929132</v>
      </c>
      <c r="U59" s="122">
        <f>'Ethylene Recycling HC'!U66*'Ethylene Recycling HC'!U$42/'Ethylene Recycling LC'!U$42</f>
        <v>0.29464755124623943</v>
      </c>
      <c r="V59" s="122">
        <f>'Ethylene Recycling HC'!V66*'Ethylene Recycling HC'!V$42/'Ethylene Recycling LC'!V$42</f>
        <v>0.30351472057172663</v>
      </c>
      <c r="W59" s="122">
        <f>'Ethylene Recycling HC'!W66*'Ethylene Recycling HC'!W$42/'Ethylene Recycling LC'!W$42</f>
        <v>0.31189492634033156</v>
      </c>
      <c r="X59" s="122">
        <f>'Ethylene Recycling HC'!X66*'Ethylene Recycling HC'!X$42/'Ethylene Recycling LC'!X$42</f>
        <v>0.32645615105183651</v>
      </c>
      <c r="Y59" s="122">
        <f>'Ethylene Recycling HC'!Y66*'Ethylene Recycling HC'!Y$42/'Ethylene Recycling LC'!Y$42</f>
        <v>0.34143365893565503</v>
      </c>
      <c r="Z59" s="122">
        <f>'Ethylene Recycling HC'!Z66*'Ethylene Recycling HC'!Z$42/'Ethylene Recycling LC'!Z$42</f>
        <v>0.35549937172282509</v>
      </c>
      <c r="AA59" s="122">
        <f>'Ethylene Recycling HC'!AA66*'Ethylene Recycling HC'!AA$42/'Ethylene Recycling LC'!AA$42</f>
        <v>0.36858102936482556</v>
      </c>
      <c r="AB59" s="122">
        <f>'Ethylene Recycling HC'!AB66*'Ethylene Recycling HC'!AB$42/'Ethylene Recycling LC'!AB$42</f>
        <v>0.38059729673453907</v>
      </c>
      <c r="AC59" s="122">
        <f>'Ethylene Recycling HC'!AC66*'Ethylene Recycling HC'!AC$42/'Ethylene Recycling LC'!AC$42</f>
        <v>0.39145629278136967</v>
      </c>
      <c r="AD59" s="122">
        <f>'Ethylene Recycling HC'!AD66*'Ethylene Recycling HC'!AD$42/'Ethylene Recycling LC'!AD$42</f>
        <v>0.40105382403798984</v>
      </c>
      <c r="AE59" s="122">
        <f>'Ethylene Recycling HC'!AE66*'Ethylene Recycling HC'!AE$42/'Ethylene Recycling LC'!AE$42</f>
        <v>0.40927125074399034</v>
      </c>
      <c r="AF59" s="122">
        <f>'Ethylene Recycling HC'!AF66*'Ethylene Recycling HC'!AF$42/'Ethylene Recycling LC'!AF$42</f>
        <v>0.41597289324558956</v>
      </c>
      <c r="AG59" s="122">
        <f>'Ethylene Recycling HC'!AG66*'Ethylene Recycling HC'!AG$42/'Ethylene Recycling LC'!AG$42</f>
        <v>0.42100285881733751</v>
      </c>
      <c r="AI59" s="126" t="s">
        <v>492</v>
      </c>
      <c r="AJ59" s="198"/>
      <c r="AL59" s="102"/>
      <c r="AM59" s="2"/>
      <c r="AN59" s="2"/>
      <c r="AO59" s="2"/>
    </row>
    <row r="60" spans="1:63" outlineLevel="1">
      <c r="A60" t="s">
        <v>488</v>
      </c>
      <c r="B60" s="51" t="s">
        <v>126</v>
      </c>
      <c r="C60" s="122">
        <f>'Ethylene Recycling HC'!C67*'Ethylene Recycling HC'!C$42/'Ethylene Recycling LC'!C$42</f>
        <v>1.1593509792829608E-2</v>
      </c>
      <c r="D60" s="122">
        <f>'Ethylene Recycling HC'!D67*'Ethylene Recycling HC'!D$42/'Ethylene Recycling LC'!D$42</f>
        <v>1.1716489386962004E-2</v>
      </c>
      <c r="E60" s="122">
        <f>'Ethylene Recycling HC'!E67*'Ethylene Recycling HC'!E$42/'Ethylene Recycling LC'!E$42</f>
        <v>1.1822253900464652E-2</v>
      </c>
      <c r="F60" s="122">
        <f>'Ethylene Recycling HC'!F67*'Ethylene Recycling HC'!F$42/'Ethylene Recycling LC'!F$42</f>
        <v>1.1910971386015996E-2</v>
      </c>
      <c r="G60" s="122">
        <f>'Ethylene Recycling HC'!G67*'Ethylene Recycling HC'!G$42/'Ethylene Recycling LC'!G$42</f>
        <v>1.1982812533105272E-2</v>
      </c>
      <c r="H60" s="122">
        <f>'Ethylene Recycling HC'!H67*'Ethylene Recycling HC'!H$42/'Ethylene Recycling LC'!H$42</f>
        <v>1.2037950816792575E-2</v>
      </c>
      <c r="I60" s="122">
        <f>'Ethylene Recycling HC'!I67*'Ethylene Recycling HC'!I$42/'Ethylene Recycling LC'!I$42</f>
        <v>1.2076562656654915E-2</v>
      </c>
      <c r="J60" s="122">
        <f>'Ethylene Recycling HC'!J67*'Ethylene Recycling HC'!J$42/'Ethylene Recycling LC'!J$42</f>
        <v>1.2098827586741367E-2</v>
      </c>
      <c r="K60" s="122">
        <f>'Ethylene Recycling HC'!K67*'Ethylene Recycling HC'!K$42/'Ethylene Recycling LC'!K$42</f>
        <v>1.2104928437437292E-2</v>
      </c>
      <c r="L60" s="122">
        <f>'Ethylene Recycling HC'!L67*'Ethylene Recycling HC'!L$42/'Ethylene Recycling LC'!L$42</f>
        <v>1.2095051530222735E-2</v>
      </c>
      <c r="M60" s="122">
        <f>'Ethylene Recycling HC'!M67*'Ethylene Recycling HC'!M$42/'Ethylene Recycling LC'!M$42</f>
        <v>1.2069386886404292E-2</v>
      </c>
      <c r="N60" s="122">
        <f>'Ethylene Recycling HC'!N67*'Ethylene Recycling HC'!N$42/'Ethylene Recycling LC'!N$42</f>
        <v>1.2378932385011841E-2</v>
      </c>
      <c r="O60" s="122">
        <f>'Ethylene Recycling HC'!O67*'Ethylene Recycling HC'!O$42/'Ethylene Recycling LC'!O$42</f>
        <v>1.2653979634590699E-2</v>
      </c>
      <c r="P60" s="122">
        <f>'Ethylene Recycling HC'!P67*'Ethylene Recycling HC'!P$42/'Ethylene Recycling LC'!P$42</f>
        <v>1.2876616323854491E-2</v>
      </c>
      <c r="Q60" s="122">
        <f>'Ethylene Recycling HC'!Q67*'Ethylene Recycling HC'!Q$42/'Ethylene Recycling LC'!Q$42</f>
        <v>1.3056342148495459E-2</v>
      </c>
      <c r="R60" s="122">
        <f>'Ethylene Recycling HC'!R67*'Ethylene Recycling HC'!R$42/'Ethylene Recycling LC'!R$42</f>
        <v>1.3193533307125476E-2</v>
      </c>
      <c r="S60" s="122">
        <f>'Ethylene Recycling HC'!S67*'Ethylene Recycling HC'!S$42/'Ethylene Recycling LC'!S$42</f>
        <v>1.3288577094099054E-2</v>
      </c>
      <c r="T60" s="122">
        <f>'Ethylene Recycling HC'!T67*'Ethylene Recycling HC'!T$42/'Ethylene Recycling LC'!T$42</f>
        <v>1.3341873249285967E-2</v>
      </c>
      <c r="U60" s="122">
        <f>'Ethylene Recycling HC'!U67*'Ethylene Recycling HC'!U$42/'Ethylene Recycling LC'!U$42</f>
        <v>1.3353835509793459E-2</v>
      </c>
      <c r="V60" s="122">
        <f>'Ethylene Recycling HC'!V67*'Ethylene Recycling HC'!V$42/'Ethylene Recycling LC'!V$42</f>
        <v>1.3324893399790561E-2</v>
      </c>
      <c r="W60" s="122">
        <f>'Ethylene Recycling HC'!W67*'Ethylene Recycling HC'!W$42/'Ethylene Recycling LC'!W$42</f>
        <v>1.3255494302177793E-2</v>
      </c>
      <c r="X60" s="122">
        <f>'Ethylene Recycling HC'!X67*'Ethylene Recycling HC'!X$42/'Ethylene Recycling LC'!X$42</f>
        <v>1.3363303619083E-2</v>
      </c>
      <c r="Y60" s="122">
        <f>'Ethylene Recycling HC'!Y67*'Ethylene Recycling HC'!Y$42/'Ethylene Recycling LC'!Y$42</f>
        <v>1.345879860048124E-2</v>
      </c>
      <c r="Z60" s="122">
        <f>'Ethylene Recycling HC'!Z67*'Ethylene Recycling HC'!Z$42/'Ethylene Recycling LC'!Z$42</f>
        <v>1.3488975899832972E-2</v>
      </c>
      <c r="AA60" s="122">
        <f>'Ethylene Recycling HC'!AA67*'Ethylene Recycling HC'!AA$42/'Ethylene Recycling LC'!AA$42</f>
        <v>1.3454572719019392E-2</v>
      </c>
      <c r="AB60" s="122">
        <f>'Ethylene Recycling HC'!AB67*'Ethylene Recycling HC'!AB$42/'Ethylene Recycling LC'!AB$42</f>
        <v>1.3356366844987647E-2</v>
      </c>
      <c r="AC60" s="122">
        <f>'Ethylene Recycling HC'!AC67*'Ethylene Recycling HC'!AC$42/'Ethylene Recycling LC'!AC$42</f>
        <v>1.3195183227582272E-2</v>
      </c>
      <c r="AD60" s="122">
        <f>'Ethylene Recycling HC'!AD67*'Ethylene Recycling HC'!AD$42/'Ethylene Recycling LC'!AD$42</f>
        <v>1.2971901879558843E-2</v>
      </c>
      <c r="AE60" s="122">
        <f>'Ethylene Recycling HC'!AE67*'Ethylene Recycling HC'!AE$42/'Ethylene Recycling LC'!AE$42</f>
        <v>1.2687467419588093E-2</v>
      </c>
      <c r="AF60" s="122">
        <f>'Ethylene Recycling HC'!AF67*'Ethylene Recycling HC'!AF$42/'Ethylene Recycling LC'!AF$42</f>
        <v>1.2342900671212145E-2</v>
      </c>
      <c r="AG60" s="122">
        <f>'Ethylene Recycling HC'!AG67*'Ethylene Recycling HC'!AG$42/'Ethylene Recycling LC'!AG$42</f>
        <v>1.1939312853757418E-2</v>
      </c>
      <c r="AI60" s="126" t="s">
        <v>492</v>
      </c>
      <c r="AJ60" s="198"/>
      <c r="AL60" s="102"/>
      <c r="AM60" s="2"/>
      <c r="AN60" s="2"/>
      <c r="AO60" s="2"/>
    </row>
    <row r="61" spans="1:63" outlineLevel="1">
      <c r="A61" t="s">
        <v>489</v>
      </c>
      <c r="B61" s="51" t="s">
        <v>126</v>
      </c>
      <c r="C61" s="122">
        <f>'Ethylene Recycling HC'!C68*'Ethylene Recycling HC'!C$42/'Ethylene Recycling LC'!C$42</f>
        <v>1.3903854333748035E-2</v>
      </c>
      <c r="D61" s="122">
        <f>'Ethylene Recycling HC'!D68*'Ethylene Recycling HC'!D$42/'Ethylene Recycling LC'!D$42</f>
        <v>1.4321158958347886E-2</v>
      </c>
      <c r="E61" s="122">
        <f>'Ethylene Recycling HC'!E68*'Ethylene Recycling HC'!E$42/'Ethylene Recycling LC'!E$42</f>
        <v>1.473334965174573E-2</v>
      </c>
      <c r="F61" s="122">
        <f>'Ethylene Recycling HC'!F68*'Ethylene Recycling HC'!F$42/'Ethylene Recycling LC'!F$42</f>
        <v>1.514033366677427E-2</v>
      </c>
      <c r="G61" s="122">
        <f>'Ethylene Recycling HC'!G68*'Ethylene Recycling HC'!G$42/'Ethylene Recycling LC'!G$42</f>
        <v>1.5542014116982484E-2</v>
      </c>
      <c r="H61" s="122">
        <f>'Ethylene Recycling HC'!H68*'Ethylene Recycling HC'!H$42/'Ethylene Recycling LC'!H$42</f>
        <v>1.5938289743111039E-2</v>
      </c>
      <c r="I61" s="122">
        <f>'Ethylene Recycling HC'!I68*'Ethylene Recycling HC'!I$42/'Ethylene Recycling LC'!I$42</f>
        <v>1.6329054663577702E-2</v>
      </c>
      <c r="J61" s="122">
        <f>'Ethylene Recycling HC'!J68*'Ethylene Recycling HC'!J$42/'Ethylene Recycling LC'!J$42</f>
        <v>1.6714198107680558E-2</v>
      </c>
      <c r="K61" s="122">
        <f>'Ethylene Recycling HC'!K68*'Ethylene Recycling HC'!K$42/'Ethylene Recycling LC'!K$42</f>
        <v>1.7093604130106306E-2</v>
      </c>
      <c r="L61" s="122">
        <f>'Ethylene Recycling HC'!L68*'Ethylene Recycling HC'!L$42/'Ethylene Recycling LC'!L$42</f>
        <v>1.7467151305197184E-2</v>
      </c>
      <c r="M61" s="122">
        <f>'Ethylene Recycling HC'!M68*'Ethylene Recycling HC'!M$42/'Ethylene Recycling LC'!M$42</f>
        <v>1.7834712399282273E-2</v>
      </c>
      <c r="N61" s="122">
        <f>'Ethylene Recycling HC'!N68*'Ethylene Recycling HC'!N$42/'Ethylene Recycling LC'!N$42</f>
        <v>1.872685024845349E-2</v>
      </c>
      <c r="O61" s="122">
        <f>'Ethylene Recycling HC'!O68*'Ethylene Recycling HC'!O$42/'Ethylene Recycling LC'!O$42</f>
        <v>1.9608965811661133E-2</v>
      </c>
      <c r="P61" s="122">
        <f>'Ethylene Recycling HC'!P68*'Ethylene Recycling HC'!P$42/'Ethylene Recycling LC'!P$42</f>
        <v>2.0451858839091095E-2</v>
      </c>
      <c r="Q61" s="122">
        <f>'Ethylene Recycling HC'!Q68*'Ethylene Recycling HC'!Q$42/'Ethylene Recycling LC'!Q$42</f>
        <v>2.1267992599981737E-2</v>
      </c>
      <c r="R61" s="122">
        <f>'Ethylene Recycling HC'!R68*'Ethylene Recycling HC'!R$42/'Ethylene Recycling LC'!R$42</f>
        <v>2.2055887699837809E-2</v>
      </c>
      <c r="S61" s="122">
        <f>'Ethylene Recycling HC'!S68*'Ethylene Recycling HC'!S$42/'Ethylene Recycling LC'!S$42</f>
        <v>2.2813924191681913E-2</v>
      </c>
      <c r="T61" s="122">
        <f>'Ethylene Recycling HC'!T68*'Ethylene Recycling HC'!T$42/'Ethylene Recycling LC'!T$42</f>
        <v>2.3540324478155118E-2</v>
      </c>
      <c r="U61" s="122">
        <f>'Ethylene Recycling HC'!U68*'Ethylene Recycling HC'!U$42/'Ethylene Recycling LC'!U$42</f>
        <v>2.4233133655472798E-2</v>
      </c>
      <c r="V61" s="122">
        <f>'Ethylene Recycling HC'!V68*'Ethylene Recycling HC'!V$42/'Ethylene Recycling LC'!V$42</f>
        <v>2.4890196841282606E-2</v>
      </c>
      <c r="W61" s="122">
        <f>'Ethylene Recycling HC'!W68*'Ethylene Recycling HC'!W$42/'Ethylene Recycling LC'!W$42</f>
        <v>2.550913293231865E-2</v>
      </c>
      <c r="X61" s="122">
        <f>'Ethylene Recycling HC'!X68*'Ethylene Recycling HC'!X$42/'Ethylene Recycling LC'!X$42</f>
        <v>2.6518314176716108E-2</v>
      </c>
      <c r="Y61" s="122">
        <f>'Ethylene Recycling HC'!Y68*'Ethylene Recycling HC'!Y$42/'Ethylene Recycling LC'!Y$42</f>
        <v>2.7567219194046391E-2</v>
      </c>
      <c r="Z61" s="122">
        <f>'Ethylene Recycling HC'!Z68*'Ethylene Recycling HC'!Z$42/'Ethylene Recycling LC'!Z$42</f>
        <v>2.8547635590496837E-2</v>
      </c>
      <c r="AA61" s="122">
        <f>'Ethylene Recycling HC'!AA68*'Ethylene Recycling HC'!AA$42/'Ethylene Recycling LC'!AA$42</f>
        <v>2.9454110983169968E-2</v>
      </c>
      <c r="AB61" s="122">
        <f>'Ethylene Recycling HC'!AB68*'Ethylene Recycling HC'!AB$42/'Ethylene Recycling LC'!AB$42</f>
        <v>3.0280508228995251E-2</v>
      </c>
      <c r="AC61" s="122">
        <f>'Ethylene Recycling HC'!AC68*'Ethylene Recycling HC'!AC$42/'Ethylene Recycling LC'!AC$42</f>
        <v>3.1019894442109418E-2</v>
      </c>
      <c r="AD61" s="122">
        <f>'Ethylene Recycling HC'!AD68*'Ethylene Recycling HC'!AD$42/'Ethylene Recycling LC'!AD$42</f>
        <v>3.1664407703085193E-2</v>
      </c>
      <c r="AE61" s="122">
        <f>'Ethylene Recycling HC'!AE68*'Ethylene Recycling HC'!AE$42/'Ethylene Recycling LC'!AE$42</f>
        <v>3.2205096047263619E-2</v>
      </c>
      <c r="AF61" s="122">
        <f>'Ethylene Recycling HC'!AF68*'Ethylene Recycling HC'!AF$42/'Ethylene Recycling LC'!AF$42</f>
        <v>3.2631721764610537E-2</v>
      </c>
      <c r="AG61" s="122">
        <f>'Ethylene Recycling HC'!AG68*'Ethylene Recycling HC'!AG$42/'Ethylene Recycling LC'!AG$42</f>
        <v>3.293252196750715E-2</v>
      </c>
      <c r="AI61" s="126" t="s">
        <v>492</v>
      </c>
      <c r="AJ61" s="198"/>
      <c r="AL61" s="102"/>
      <c r="AM61" s="2"/>
      <c r="AN61" s="2"/>
      <c r="AO61" s="2"/>
      <c r="BC61" s="1"/>
      <c r="BD61" s="2"/>
      <c r="BE61" s="2"/>
      <c r="BF61" s="2"/>
      <c r="BG61" s="2"/>
      <c r="BH61" s="2"/>
      <c r="BI61" s="2"/>
      <c r="BJ61" s="2"/>
      <c r="BK61" s="2"/>
    </row>
    <row r="62" spans="1:63" outlineLevel="1">
      <c r="A62" t="s">
        <v>490</v>
      </c>
      <c r="B62" s="51" t="s">
        <v>126</v>
      </c>
      <c r="C62" s="122">
        <f>'Ethylene Recycling HC'!C70*'Ethylene Recycling HC'!C$42/'Ethylene Recycling LC'!C$42</f>
        <v>6.4372935226862424E-2</v>
      </c>
      <c r="D62" s="122">
        <f>'Ethylene Recycling HC'!D70*'Ethylene Recycling HC'!D$42/'Ethylene Recycling LC'!D$42</f>
        <v>6.6529981592451229E-2</v>
      </c>
      <c r="E62" s="122">
        <f>'Ethylene Recycling HC'!E70*'Ethylene Recycling HC'!E$42/'Ethylene Recycling LC'!E$42</f>
        <v>6.8676302068909442E-2</v>
      </c>
      <c r="F62" s="122">
        <f>'Ethylene Recycling HC'!F70*'Ethylene Recycling HC'!F$42/'Ethylene Recycling LC'!F$42</f>
        <v>7.0811221861153489E-2</v>
      </c>
      <c r="G62" s="122">
        <f>'Ethylene Recycling HC'!G70*'Ethylene Recycling HC'!G$42/'Ethylene Recycling LC'!G$42</f>
        <v>7.2934040921497634E-2</v>
      </c>
      <c r="H62" s="122">
        <f>'Ethylene Recycling HC'!H70*'Ethylene Recycling HC'!H$42/'Ethylene Recycling LC'!H$42</f>
        <v>7.5044032524986287E-2</v>
      </c>
      <c r="I62" s="122">
        <f>'Ethylene Recycling HC'!I70*'Ethylene Recycling HC'!I$42/'Ethylene Recycling LC'!I$42</f>
        <v>7.714044174717595E-2</v>
      </c>
      <c r="J62" s="122">
        <f>'Ethylene Recycling HC'!J70*'Ethylene Recycling HC'!J$42/'Ethylene Recycling LC'!J$42</f>
        <v>7.9222483836483254E-2</v>
      </c>
      <c r="K62" s="122">
        <f>'Ethylene Recycling HC'!K70*'Ethylene Recycling HC'!K$42/'Ethylene Recycling LC'!K$42</f>
        <v>8.1289342472480694E-2</v>
      </c>
      <c r="L62" s="122">
        <f>'Ethylene Recycling HC'!L70*'Ethylene Recycling HC'!L$42/'Ethylene Recycling LC'!L$42</f>
        <v>8.3340167900705336E-2</v>
      </c>
      <c r="M62" s="122">
        <f>'Ethylene Recycling HC'!M70*'Ethylene Recycling HC'!M$42/'Ethylene Recycling LC'!M$42</f>
        <v>8.5374074933644517E-2</v>
      </c>
      <c r="N62" s="122">
        <f>'Ethylene Recycling HC'!N70*'Ethylene Recycling HC'!N$42/'Ethylene Recycling LC'!N$42</f>
        <v>8.9938900184488135E-2</v>
      </c>
      <c r="O62" s="122">
        <f>'Ethylene Recycling HC'!O70*'Ethylene Recycling HC'!O$42/'Ethylene Recycling LC'!O$42</f>
        <v>9.4483464952188248E-2</v>
      </c>
      <c r="P62" s="122">
        <f>'Ethylene Recycling HC'!P70*'Ethylene Recycling HC'!P$42/'Ethylene Recycling LC'!P$42</f>
        <v>9.8866140235326194E-2</v>
      </c>
      <c r="Q62" s="122">
        <f>'Ethylene Recycling HC'!Q70*'Ethylene Recycling HC'!Q$42/'Ethylene Recycling LC'!Q$42</f>
        <v>0.10314552186299272</v>
      </c>
      <c r="R62" s="122">
        <f>'Ethylene Recycling HC'!R70*'Ethylene Recycling HC'!R$42/'Ethylene Recycling LC'!R$42</f>
        <v>0.10731315067354358</v>
      </c>
      <c r="S62" s="122">
        <f>'Ethylene Recycling HC'!S70*'Ethylene Recycling HC'!S$42/'Ethylene Recycling LC'!S$42</f>
        <v>0.11135978847343919</v>
      </c>
      <c r="T62" s="122">
        <f>'Ethylene Recycling HC'!T70*'Ethylene Recycling HC'!T$42/'Ethylene Recycling LC'!T$42</f>
        <v>0.11527532326973278</v>
      </c>
      <c r="U62" s="122">
        <f>'Ethylene Recycling HC'!U70*'Ethylene Recycling HC'!U$42/'Ethylene Recycling LC'!U$42</f>
        <v>0.11904866032368194</v>
      </c>
      <c r="V62" s="122">
        <f>'Ethylene Recycling HC'!V70*'Ethylene Recycling HC'!V$42/'Ethylene Recycling LC'!V$42</f>
        <v>0.12266759648721351</v>
      </c>
      <c r="W62" s="122">
        <f>'Ethylene Recycling HC'!W70*'Ethylene Recycling HC'!W$42/'Ethylene Recycling LC'!W$42</f>
        <v>0.12611867475103186</v>
      </c>
      <c r="X62" s="122">
        <f>'Ethylene Recycling HC'!X70*'Ethylene Recycling HC'!X$42/'Ethylene Recycling LC'!X$42</f>
        <v>0.13152472581249247</v>
      </c>
      <c r="Y62" s="122">
        <f>'Ethylene Recycling HC'!Y70*'Ethylene Recycling HC'!Y$42/'Ethylene Recycling LC'!Y$42</f>
        <v>0.13716012986219916</v>
      </c>
      <c r="Z62" s="122">
        <f>'Ethylene Recycling HC'!Z70*'Ethylene Recycling HC'!Z$42/'Ethylene Recycling LC'!Z$42</f>
        <v>0.14248665053231471</v>
      </c>
      <c r="AA62" s="122">
        <f>'Ethylene Recycling HC'!AA70*'Ethylene Recycling HC'!AA$42/'Ethylene Recycling LC'!AA$42</f>
        <v>0.14747376045373786</v>
      </c>
      <c r="AB62" s="122">
        <f>'Ethylene Recycling HC'!AB70*'Ethylene Recycling HC'!AB$42/'Ethylene Recycling LC'!AB$42</f>
        <v>0.15208715035030593</v>
      </c>
      <c r="AC62" s="122">
        <f>'Ethylene Recycling HC'!AC70*'Ethylene Recycling HC'!AC$42/'Ethylene Recycling LC'!AC$42</f>
        <v>0.15628811608557486</v>
      </c>
      <c r="AD62" s="122">
        <f>'Ethylene Recycling HC'!AD70*'Ethylene Recycling HC'!AD$42/'Ethylene Recycling LC'!AD$42</f>
        <v>0.16003282250243964</v>
      </c>
      <c r="AE62" s="122">
        <f>'Ethylene Recycling HC'!AE70*'Ethylene Recycling HC'!AE$42/'Ethylene Recycling LC'!AE$42</f>
        <v>0.16327141416118957</v>
      </c>
      <c r="AF62" s="122">
        <f>'Ethylene Recycling HC'!AF70*'Ethylene Recycling HC'!AF$42/'Ethylene Recycling LC'!AF$42</f>
        <v>0.16594693449429609</v>
      </c>
      <c r="AG62" s="122">
        <f>'Ethylene Recycling HC'!AG70*'Ethylene Recycling HC'!AG$42/'Ethylene Recycling LC'!AG$42</f>
        <v>0.16799400343049306</v>
      </c>
      <c r="AI62" s="126" t="s">
        <v>492</v>
      </c>
      <c r="AJ62" s="198"/>
      <c r="AL62" s="102"/>
      <c r="AM62" s="2"/>
      <c r="AN62" s="2"/>
      <c r="AO62" s="2"/>
      <c r="BC62" s="1"/>
      <c r="BD62" s="2"/>
      <c r="BE62" s="2"/>
      <c r="BF62" s="2"/>
      <c r="BG62" s="2"/>
      <c r="BH62" s="2"/>
      <c r="BI62" s="2"/>
      <c r="BJ62" s="2"/>
      <c r="BK62" s="2"/>
    </row>
    <row r="63" spans="1:63" outlineLevel="1">
      <c r="C63" s="122"/>
      <c r="D63" s="122"/>
      <c r="E63" s="122"/>
      <c r="F63" s="122"/>
      <c r="G63" s="122"/>
      <c r="H63" s="122"/>
      <c r="I63" s="122"/>
      <c r="J63" s="122"/>
      <c r="K63" s="122"/>
      <c r="L63" s="122"/>
      <c r="M63" s="122"/>
      <c r="N63" s="122"/>
      <c r="O63" s="122"/>
      <c r="P63" s="122"/>
      <c r="Q63" s="122"/>
      <c r="R63" s="122"/>
      <c r="S63" s="122"/>
      <c r="T63" s="122"/>
      <c r="U63" s="122"/>
      <c r="V63" s="122"/>
      <c r="W63" s="122"/>
      <c r="X63" s="122"/>
      <c r="Y63" s="122"/>
      <c r="Z63" s="122"/>
      <c r="AA63" s="122"/>
      <c r="AB63" s="122"/>
      <c r="AC63" s="122"/>
      <c r="AD63" s="122"/>
      <c r="AE63" s="122"/>
      <c r="AF63" s="122"/>
      <c r="AG63" s="122"/>
      <c r="AI63" s="126"/>
      <c r="AJ63" s="198"/>
      <c r="AL63" s="102"/>
      <c r="AM63" s="2"/>
      <c r="AN63" s="2"/>
      <c r="AO63" s="2"/>
      <c r="BC63" s="1"/>
      <c r="BD63" s="2"/>
      <c r="BE63" s="2"/>
      <c r="BF63" s="2"/>
      <c r="BG63" s="2"/>
      <c r="BH63" s="2"/>
      <c r="BI63" s="2"/>
      <c r="BJ63" s="2"/>
      <c r="BK63" s="2"/>
    </row>
    <row r="64" spans="1:63" s="1" customFormat="1" outlineLevel="1">
      <c r="A64" s="1" t="s">
        <v>261</v>
      </c>
      <c r="B64" s="61"/>
      <c r="C64" s="606">
        <f>'Ethylene Recycling HC'!C72</f>
        <v>75542.73894333755</v>
      </c>
      <c r="D64" s="606">
        <f>'Ethylene Recycling HC'!D72</f>
        <v>79459.912937339279</v>
      </c>
      <c r="E64" s="606">
        <f>'Ethylene Recycling HC'!E72</f>
        <v>83225.152197538555</v>
      </c>
      <c r="F64" s="606">
        <f>'Ethylene Recycling HC'!F72</f>
        <v>86839.245692010838</v>
      </c>
      <c r="G64" s="606">
        <f>'Ethylene Recycling HC'!G72</f>
        <v>90302.982388831675</v>
      </c>
      <c r="H64" s="606">
        <f>'Ethylene Recycling HC'!H72</f>
        <v>93617.151256076584</v>
      </c>
      <c r="I64" s="606">
        <f>'Ethylene Recycling HC'!I72</f>
        <v>96782.541261821068</v>
      </c>
      <c r="J64" s="606">
        <f>'Ethylene Recycling HC'!J72</f>
        <v>99799.941374140588</v>
      </c>
      <c r="K64" s="606">
        <f>'Ethylene Recycling HC'!K72</f>
        <v>102670.14056111069</v>
      </c>
      <c r="L64" s="606">
        <f>'Ethylene Recycling HC'!L72</f>
        <v>105393.92779080688</v>
      </c>
      <c r="M64" s="606">
        <f>'Ethylene Recycling HC'!M72</f>
        <v>107972.0920313047</v>
      </c>
      <c r="N64" s="606">
        <f>'Ethylene Recycling HC'!N72</f>
        <v>112916.63383391633</v>
      </c>
      <c r="O64" s="606">
        <f>'Ethylene Recycling HC'!O72</f>
        <v>117890.64006415401</v>
      </c>
      <c r="P64" s="606">
        <f>'Ethylene Recycling HC'!P72</f>
        <v>121868.98413099711</v>
      </c>
      <c r="Q64" s="606">
        <f>'Ethylene Recycling HC'!Q72</f>
        <v>125372.79563328375</v>
      </c>
      <c r="R64" s="606">
        <f>'Ethylene Recycling HC'!R72</f>
        <v>128404.78838947137</v>
      </c>
      <c r="S64" s="606">
        <f>'Ethylene Recycling HC'!S72</f>
        <v>130967.67621801744</v>
      </c>
      <c r="T64" s="606">
        <f>'Ethylene Recycling HC'!T72</f>
        <v>133064.17293737931</v>
      </c>
      <c r="U64" s="606">
        <f>'Ethylene Recycling HC'!U72</f>
        <v>134696.99236601457</v>
      </c>
      <c r="V64" s="606">
        <f>'Ethylene Recycling HC'!V72</f>
        <v>135868.84832238063</v>
      </c>
      <c r="W64" s="606">
        <f>'Ethylene Recycling HC'!W72</f>
        <v>136582.45462493482</v>
      </c>
      <c r="X64" s="606">
        <f>'Ethylene Recycling HC'!X72</f>
        <v>138547.1009117158</v>
      </c>
      <c r="Y64" s="606">
        <f>'Ethylene Recycling HC'!Y72</f>
        <v>142082.31418279954</v>
      </c>
      <c r="Z64" s="606">
        <f>'Ethylene Recycling HC'!Z72</f>
        <v>144788.05464840442</v>
      </c>
      <c r="AA64" s="606">
        <f>'Ethylene Recycling HC'!AA72</f>
        <v>146669.23461049818</v>
      </c>
      <c r="AB64" s="606">
        <f>'Ethylene Recycling HC'!AB72</f>
        <v>147730.76637104823</v>
      </c>
      <c r="AC64" s="606">
        <f>'Ethylene Recycling HC'!AC72</f>
        <v>147977.56223202217</v>
      </c>
      <c r="AD64" s="606">
        <f>'Ethylene Recycling HC'!AD72</f>
        <v>147414.53449538763</v>
      </c>
      <c r="AE64" s="606">
        <f>'Ethylene Recycling HC'!AE72</f>
        <v>146046.59546311208</v>
      </c>
      <c r="AF64" s="606">
        <f>'Ethylene Recycling HC'!AF72</f>
        <v>143878.65743716317</v>
      </c>
      <c r="AG64" s="606">
        <f>'Ethylene Recycling HC'!AG72</f>
        <v>140915.63271950858</v>
      </c>
      <c r="AH64" s="397"/>
      <c r="AI64" s="398"/>
      <c r="AJ64" s="399"/>
      <c r="AL64" s="207"/>
      <c r="AM64" s="118"/>
      <c r="AN64" s="118"/>
      <c r="AO64" s="118"/>
      <c r="BD64" s="118"/>
      <c r="BE64" s="118"/>
      <c r="BF64" s="118"/>
      <c r="BG64" s="118"/>
      <c r="BH64" s="118"/>
      <c r="BI64" s="118"/>
      <c r="BJ64" s="118"/>
      <c r="BK64" s="118"/>
    </row>
    <row r="65" spans="1:63" outlineLevel="1">
      <c r="A65" s="4" t="s">
        <v>141</v>
      </c>
      <c r="C65" s="122">
        <f>'Ethylene Recycling HC'!C73</f>
        <v>70080.371092931658</v>
      </c>
      <c r="D65" s="122">
        <f>'Ethylene Recycling HC'!D73</f>
        <v>73666.292744974344</v>
      </c>
      <c r="E65" s="122">
        <f>'Ethylene Recycling HC'!E73</f>
        <v>77106.716041059539</v>
      </c>
      <c r="F65" s="122">
        <f>'Ethylene Recycling HC'!F73</f>
        <v>80402.646858156688</v>
      </c>
      <c r="G65" s="122">
        <f>'Ethylene Recycling HC'!G73</f>
        <v>83555.08916651964</v>
      </c>
      <c r="H65" s="122">
        <f>'Ethylene Recycling HC'!H73</f>
        <v>86565.045029686677</v>
      </c>
      <c r="I65" s="122">
        <f>'Ethylene Recycling HC'!I73</f>
        <v>89433.514604480442</v>
      </c>
      <c r="J65" s="122">
        <f>'Ethylene Recycling HC'!J73</f>
        <v>92161.496141007941</v>
      </c>
      <c r="K65" s="122">
        <f>'Ethylene Recycling HC'!K73</f>
        <v>94749.985982660655</v>
      </c>
      <c r="L65" s="122">
        <f>'Ethylene Recycling HC'!L73</f>
        <v>97199.978566114456</v>
      </c>
      <c r="M65" s="122">
        <f>'Ethylene Recycling HC'!M73</f>
        <v>99512.466421329591</v>
      </c>
      <c r="N65" s="122">
        <f>'Ethylene Recycling HC'!N73</f>
        <v>104001.38081916008</v>
      </c>
      <c r="O65" s="122">
        <f>'Ethylene Recycling HC'!O73</f>
        <v>108511.44071109555</v>
      </c>
      <c r="P65" s="122">
        <f>'Ethylene Recycling HC'!P73</f>
        <v>112099.64296848064</v>
      </c>
      <c r="Q65" s="122">
        <f>'Ethylene Recycling HC'!Q73</f>
        <v>115246.83188056995</v>
      </c>
      <c r="R65" s="122">
        <f>'Ethylene Recycling HC'!R73</f>
        <v>117956.36054921894</v>
      </c>
      <c r="S65" s="122">
        <f>'Ethylene Recycling HC'!S73</f>
        <v>120231.57551774137</v>
      </c>
      <c r="T65" s="122">
        <f>'Ethylene Recycling HC'!T73</f>
        <v>122075.8167709093</v>
      </c>
      <c r="U65" s="122">
        <f>'Ethylene Recycling HC'!U73</f>
        <v>123492.4177349533</v>
      </c>
      <c r="V65" s="122">
        <f>'Ethylene Recycling HC'!V73</f>
        <v>124484.70527756214</v>
      </c>
      <c r="W65" s="122">
        <f>'Ethylene Recycling HC'!W73</f>
        <v>125055.9997078829</v>
      </c>
      <c r="X65" s="122">
        <f>'Ethylene Recycling HC'!X73</f>
        <v>126771.13831505484</v>
      </c>
      <c r="Y65" s="122">
        <f>'Ethylene Recycling HC'!Y73</f>
        <v>129920.02893909178</v>
      </c>
      <c r="Z65" s="122">
        <f>'Ethylene Recycling HC'!Z73</f>
        <v>132306.67919759545</v>
      </c>
      <c r="AA65" s="122">
        <f>'Ethylene Recycling HC'!AA73</f>
        <v>133937.07841546924</v>
      </c>
      <c r="AB65" s="122">
        <f>'Ethylene Recycling HC'!AB73</f>
        <v>134817.20404595364</v>
      </c>
      <c r="AC65" s="122">
        <f>'Ethylene Recycling HC'!AC73</f>
        <v>134953.02167062671</v>
      </c>
      <c r="AD65" s="122">
        <f>'Ethylene Recycling HC'!AD73</f>
        <v>134350.48499940391</v>
      </c>
      <c r="AE65" s="122">
        <f>'Ethylene Recycling HC'!AE73</f>
        <v>133015.53587053801</v>
      </c>
      <c r="AF65" s="122">
        <f>'Ethylene Recycling HC'!AF73</f>
        <v>130954.10425061932</v>
      </c>
      <c r="AG65" s="122">
        <f>'Ethylene Recycling HC'!AG73</f>
        <v>128172.10823457541</v>
      </c>
      <c r="AH65" s="230"/>
      <c r="AI65" s="126"/>
      <c r="AJ65" s="198"/>
      <c r="AL65" s="102"/>
      <c r="AM65" s="2"/>
      <c r="AN65" s="2"/>
      <c r="AO65" s="2"/>
      <c r="BC65" s="1"/>
      <c r="BD65" s="2"/>
      <c r="BE65" s="2"/>
      <c r="BF65" s="2"/>
      <c r="BG65" s="2"/>
      <c r="BH65" s="2"/>
      <c r="BI65" s="2"/>
      <c r="BJ65" s="2"/>
      <c r="BK65" s="2"/>
    </row>
    <row r="66" spans="1:63" outlineLevel="1">
      <c r="A66" s="4" t="s">
        <v>74</v>
      </c>
      <c r="C66" s="122">
        <f>'Ethylene Recycling HC'!C74</f>
        <v>0</v>
      </c>
      <c r="D66" s="122">
        <f>'Ethylene Recycling HC'!D74</f>
        <v>48.434496971963405</v>
      </c>
      <c r="E66" s="122">
        <f>'Ethylene Recycling HC'!E74</f>
        <v>101.4591693620814</v>
      </c>
      <c r="F66" s="122">
        <f>'Ethylene Recycling HC'!F74</f>
        <v>158.79762613762526</v>
      </c>
      <c r="G66" s="122">
        <f>'Ethylene Recycling HC'!G74</f>
        <v>220.1753999161927</v>
      </c>
      <c r="H66" s="122">
        <f>'Ethylene Recycling HC'!H74</f>
        <v>285.31994696570786</v>
      </c>
      <c r="I66" s="122">
        <f>'Ethylene Recycling HC'!I74</f>
        <v>353.96064720442121</v>
      </c>
      <c r="J66" s="122">
        <f>'Ethylene Recycling HC'!J74</f>
        <v>425.82880420090953</v>
      </c>
      <c r="K66" s="122">
        <f>'Ethylene Recycling HC'!K74</f>
        <v>500.65764517407604</v>
      </c>
      <c r="L66" s="122">
        <f>'Ethylene Recycling HC'!L74</f>
        <v>578.18232099315048</v>
      </c>
      <c r="M66" s="122">
        <f>'Ethylene Recycling HC'!M74</f>
        <v>658.139906177689</v>
      </c>
      <c r="N66" s="122">
        <f>'Ethylene Recycling HC'!N74</f>
        <v>757.10709627992173</v>
      </c>
      <c r="O66" s="122">
        <f>'Ethylene Recycling HC'!O74</f>
        <v>862.31766003260771</v>
      </c>
      <c r="P66" s="122">
        <f>'Ethylene Recycling HC'!P74</f>
        <v>965.70226949290839</v>
      </c>
      <c r="Q66" s="122">
        <f>'Ethylene Recycling HC'!Q74</f>
        <v>1069.8873548172155</v>
      </c>
      <c r="R66" s="122">
        <f>'Ethylene Recycling HC'!R74</f>
        <v>1174.0299802505117</v>
      </c>
      <c r="S66" s="122">
        <f>'Ethylene Recycling HC'!S74</f>
        <v>1277.2938268299206</v>
      </c>
      <c r="T66" s="122">
        <f>'Ethylene Recycling HC'!T74</f>
        <v>1378.8491923847064</v>
      </c>
      <c r="U66" s="122">
        <f>'Ethylene Recycling HC'!U74</f>
        <v>1477.8729915362758</v>
      </c>
      <c r="V66" s="122">
        <f>'Ethylene Recycling HC'!V74</f>
        <v>1573.548755698175</v>
      </c>
      <c r="W66" s="122">
        <f>'Ethylene Recycling HC'!W74</f>
        <v>1665.0666330760898</v>
      </c>
      <c r="X66" s="122">
        <f>'Ethylene Recycling HC'!X74</f>
        <v>1773.4683656445209</v>
      </c>
      <c r="Y66" s="122">
        <f>'Ethylene Recycling HC'!Y74</f>
        <v>1905.3265169397941</v>
      </c>
      <c r="Z66" s="122">
        <f>'Ethylene Recycling HC'!Z74</f>
        <v>2029.8655725865076</v>
      </c>
      <c r="AA66" s="122">
        <f>'Ethylene Recycling HC'!AA74</f>
        <v>2145.6405889266985</v>
      </c>
      <c r="AB66" s="122">
        <f>'Ethylene Recycling HC'!AB74</f>
        <v>2251.2185994046117</v>
      </c>
      <c r="AC66" s="122">
        <f>'Ethylene Recycling HC'!AC74</f>
        <v>2345.1786145667088</v>
      </c>
      <c r="AD66" s="122">
        <f>'Ethylene Recycling HC'!AD74</f>
        <v>2426.1116220616641</v>
      </c>
      <c r="AE66" s="122">
        <f>'Ethylene Recycling HC'!AE74</f>
        <v>2492.6205866403629</v>
      </c>
      <c r="AF66" s="122">
        <f>'Ethylene Recycling HC'!AF74</f>
        <v>2543.3204501559067</v>
      </c>
      <c r="AG66" s="122">
        <f>'Ethylene Recycling HC'!AG74</f>
        <v>2576.8381315636084</v>
      </c>
      <c r="AH66" s="230"/>
      <c r="AI66" s="126"/>
      <c r="AJ66" s="198"/>
      <c r="AL66" s="102"/>
      <c r="AM66" s="2"/>
      <c r="AN66" s="2"/>
      <c r="AO66" s="2"/>
      <c r="BC66" s="1"/>
      <c r="BD66" s="2"/>
      <c r="BE66" s="2"/>
      <c r="BF66" s="2"/>
      <c r="BG66" s="2"/>
      <c r="BH66" s="2"/>
      <c r="BI66" s="2"/>
      <c r="BJ66" s="2"/>
      <c r="BK66" s="2"/>
    </row>
    <row r="67" spans="1:63" outlineLevel="1">
      <c r="A67" s="4" t="s">
        <v>34</v>
      </c>
      <c r="C67" s="122">
        <f>'Ethylene Recycling HC'!C75</f>
        <v>0</v>
      </c>
      <c r="D67" s="122">
        <f>'Ethylene Recycling HC'!D75</f>
        <v>59.085360989017609</v>
      </c>
      <c r="E67" s="122">
        <f>'Ethylene Recycling HC'!E75</f>
        <v>123.7702881661918</v>
      </c>
      <c r="F67" s="122">
        <f>'Ethylene Recycling HC'!F75</f>
        <v>193.71761143657235</v>
      </c>
      <c r="G67" s="122">
        <f>'Ethylene Recycling HC'!G75</f>
        <v>268.59250737093402</v>
      </c>
      <c r="H67" s="122">
        <f>'Ethylene Recycling HC'!H75</f>
        <v>348.0624992057767</v>
      </c>
      <c r="I67" s="122">
        <f>'Ethylene Recycling HC'!I75</f>
        <v>431.79745684332516</v>
      </c>
      <c r="J67" s="122">
        <f>'Ethylene Recycling HC'!J75</f>
        <v>519.46959685152899</v>
      </c>
      <c r="K67" s="122">
        <f>'Ethylene Recycling HC'!K75</f>
        <v>610.75348246406304</v>
      </c>
      <c r="L67" s="122">
        <f>'Ethylene Recycling HC'!L75</f>
        <v>705.32602358032705</v>
      </c>
      <c r="M67" s="122">
        <f>'Ethylene Recycling HC'!M75</f>
        <v>802.86647676544612</v>
      </c>
      <c r="N67" s="122">
        <f>'Ethylene Recycling HC'!N75</f>
        <v>923.5967933545503</v>
      </c>
      <c r="O67" s="122">
        <f>'Ethylene Recycling HC'!O75</f>
        <v>1051.9434166875831</v>
      </c>
      <c r="P67" s="122">
        <f>'Ethylene Recycling HC'!P75</f>
        <v>1178.0625539257881</v>
      </c>
      <c r="Q67" s="122">
        <f>'Ethylene Recycling HC'!Q75</f>
        <v>1305.1581936228745</v>
      </c>
      <c r="R67" s="122">
        <f>'Ethylene Recycling HC'!R75</f>
        <v>1432.2020363953559</v>
      </c>
      <c r="S67" s="122">
        <f>'Ethylene Recycling HC'!S75</f>
        <v>1558.1738547006173</v>
      </c>
      <c r="T67" s="122">
        <f>'Ethylene Recycling HC'!T75</f>
        <v>1682.0614928369141</v>
      </c>
      <c r="U67" s="122">
        <f>'Ethylene Recycling HC'!U75</f>
        <v>1802.860866943375</v>
      </c>
      <c r="V67" s="122">
        <f>'Ethylene Recycling HC'!V75</f>
        <v>1919.575964999998</v>
      </c>
      <c r="W67" s="122">
        <f>'Ethylene Recycling HC'!W75</f>
        <v>2031.2188468276513</v>
      </c>
      <c r="X67" s="122">
        <f>'Ethylene Recycling HC'!X75</f>
        <v>2163.4583847823501</v>
      </c>
      <c r="Y67" s="122">
        <f>'Ethylene Recycling HC'!Y75</f>
        <v>2324.312465152701</v>
      </c>
      <c r="Z67" s="122">
        <f>'Ethylene Recycling HC'!Z75</f>
        <v>2476.2379628899207</v>
      </c>
      <c r="AA67" s="122">
        <f>'Ethylene Recycling HC'!AA75</f>
        <v>2617.4721877014081</v>
      </c>
      <c r="AB67" s="122">
        <f>'Ethylene Recycling HC'!AB75</f>
        <v>2746.2670601907571</v>
      </c>
      <c r="AC67" s="122">
        <f>'Ethylene Recycling HC'!AC75</f>
        <v>2860.8891118577676</v>
      </c>
      <c r="AD67" s="122">
        <f>'Ethylene Recycling HC'!AD75</f>
        <v>2959.619485098443</v>
      </c>
      <c r="AE67" s="122">
        <f>'Ethylene Recycling HC'!AE75</f>
        <v>3040.7539332049846</v>
      </c>
      <c r="AF67" s="122">
        <f>'Ethylene Recycling HC'!AF75</f>
        <v>3102.6028203658002</v>
      </c>
      <c r="AG67" s="122">
        <f>'Ethylene Recycling HC'!AG75</f>
        <v>3143.4911216654987</v>
      </c>
      <c r="AH67" s="230"/>
      <c r="AI67" s="126"/>
      <c r="AJ67" s="198"/>
      <c r="AL67" s="102"/>
      <c r="AM67" s="2"/>
      <c r="AN67" s="2"/>
      <c r="AO67" s="2"/>
      <c r="BC67" s="1"/>
      <c r="BD67" s="2"/>
      <c r="BE67" s="2"/>
      <c r="BF67" s="2"/>
      <c r="BG67" s="2"/>
      <c r="BH67" s="2"/>
      <c r="BI67" s="2"/>
      <c r="BJ67" s="2"/>
      <c r="BK67" s="2"/>
    </row>
    <row r="68" spans="1:63" outlineLevel="1">
      <c r="A68" s="4" t="s">
        <v>35</v>
      </c>
      <c r="C68" s="122">
        <f>'Ethylene Recycling HC'!C76</f>
        <v>5462.367850405878</v>
      </c>
      <c r="D68" s="122">
        <f>'Ethylene Recycling HC'!D76</f>
        <v>5683.4625950740856</v>
      </c>
      <c r="E68" s="122">
        <f>'Ethylene Recycling HC'!E76</f>
        <v>5887.6812396576015</v>
      </c>
      <c r="F68" s="122">
        <f>'Ethylene Recycling HC'!F76</f>
        <v>6075.435488626541</v>
      </c>
      <c r="G68" s="122">
        <f>'Ethylene Recycling HC'!G76</f>
        <v>6247.1345780887104</v>
      </c>
      <c r="H68" s="122">
        <f>'Ethylene Recycling HC'!H76</f>
        <v>6403.1852757896013</v>
      </c>
      <c r="I68" s="122">
        <f>'Ethylene Recycling HC'!I76</f>
        <v>6543.9918811123871</v>
      </c>
      <c r="J68" s="122">
        <f>'Ethylene Recycling HC'!J76</f>
        <v>6669.9562250779263</v>
      </c>
      <c r="K68" s="122">
        <f>'Ethylene Recycling HC'!K76</f>
        <v>6781.4776703447678</v>
      </c>
      <c r="L68" s="122">
        <f>'Ethylene Recycling HC'!L76</f>
        <v>6878.9531112091418</v>
      </c>
      <c r="M68" s="122">
        <f>'Ethylene Recycling HC'!M76</f>
        <v>6962.7769736049704</v>
      </c>
      <c r="N68" s="122">
        <f>'Ethylene Recycling HC'!N76</f>
        <v>7193.3171254184963</v>
      </c>
      <c r="O68" s="122">
        <f>'Ethylene Recycling HC'!O76</f>
        <v>7417.9765166647594</v>
      </c>
      <c r="P68" s="122">
        <f>'Ethylene Recycling HC'!P76</f>
        <v>7572.984260797577</v>
      </c>
      <c r="Q68" s="122">
        <f>'Ethylene Recycling HC'!Q76</f>
        <v>7692.6522134870356</v>
      </c>
      <c r="R68" s="122">
        <f>'Ethylene Recycling HC'!R76</f>
        <v>7778.2582326961347</v>
      </c>
      <c r="S68" s="122">
        <f>'Ethylene Recycling HC'!S76</f>
        <v>7831.0716859464774</v>
      </c>
      <c r="T68" s="122">
        <f>'Ethylene Recycling HC'!T76</f>
        <v>7852.3534503182655</v>
      </c>
      <c r="U68" s="122">
        <f>'Ethylene Recycling HC'!U76</f>
        <v>7843.3559124503199</v>
      </c>
      <c r="V68" s="122">
        <f>'Ethylene Recycling HC'!V76</f>
        <v>7805.322968540052</v>
      </c>
      <c r="W68" s="122">
        <f>'Ethylene Recycling HC'!W76</f>
        <v>7739.490024343474</v>
      </c>
      <c r="X68" s="122">
        <f>'Ethylene Recycling HC'!X76</f>
        <v>7742.4528826278538</v>
      </c>
      <c r="Y68" s="122">
        <f>'Ethylene Recycling HC'!Y76</f>
        <v>7828.8823122782287</v>
      </c>
      <c r="Z68" s="122">
        <f>'Ethylene Recycling HC'!Z76</f>
        <v>7864.725577703668</v>
      </c>
      <c r="AA68" s="122">
        <f>'Ethylene Recycling HC'!AA76</f>
        <v>7852.1919814500197</v>
      </c>
      <c r="AB68" s="122">
        <f>'Ethylene Recycling HC'!AB76</f>
        <v>7793.4754574551407</v>
      </c>
      <c r="AC68" s="122">
        <f>'Ethylene Recycling HC'!AC76</f>
        <v>7690.7545710489294</v>
      </c>
      <c r="AD68" s="122">
        <f>'Ethylene Recycling HC'!AD76</f>
        <v>7546.1925189533131</v>
      </c>
      <c r="AE68" s="122">
        <f>'Ethylene Recycling HC'!AE76</f>
        <v>7361.9371292822434</v>
      </c>
      <c r="AF68" s="122">
        <f>'Ethylene Recycling HC'!AF76</f>
        <v>7140.1208615417081</v>
      </c>
      <c r="AG68" s="122">
        <f>'Ethylene Recycling HC'!AG76</f>
        <v>6882.860806629712</v>
      </c>
      <c r="AH68" s="230"/>
      <c r="AI68" s="126"/>
      <c r="AJ68" s="198"/>
      <c r="AL68" s="102"/>
      <c r="AM68" s="2"/>
      <c r="AN68" s="2"/>
      <c r="AO68" s="2"/>
      <c r="BC68" s="1"/>
      <c r="BD68" s="2"/>
      <c r="BE68" s="2"/>
      <c r="BF68" s="2"/>
      <c r="BG68" s="2"/>
      <c r="BH68" s="2"/>
      <c r="BI68" s="2"/>
      <c r="BJ68" s="2"/>
      <c r="BK68" s="2"/>
    </row>
    <row r="69" spans="1:63" outlineLevel="1">
      <c r="A69" s="4" t="s">
        <v>27</v>
      </c>
      <c r="C69" s="122">
        <f>'Ethylene Recycling HC'!C77</f>
        <v>0</v>
      </c>
      <c r="D69" s="122">
        <f>'Ethylene Recycling HC'!D77</f>
        <v>2.6377393298668572</v>
      </c>
      <c r="E69" s="122">
        <f>'Ethylene Recycling HC'!E77</f>
        <v>5.5254592931335624</v>
      </c>
      <c r="F69" s="122">
        <f>'Ethylene Recycling HC'!F77</f>
        <v>8.6481076534184069</v>
      </c>
      <c r="G69" s="122">
        <f>'Ethylene Recycling HC'!G77</f>
        <v>11.990736936202412</v>
      </c>
      <c r="H69" s="122">
        <f>'Ethylene Recycling HC'!H77</f>
        <v>15.538504428829318</v>
      </c>
      <c r="I69" s="122">
        <f>'Ethylene Recycling HC'!I77</f>
        <v>19.276672180505592</v>
      </c>
      <c r="J69" s="122">
        <f>'Ethylene Recycling HC'!J77</f>
        <v>23.190607002300407</v>
      </c>
      <c r="K69" s="122">
        <f>'Ethylene Recycling HC'!K77</f>
        <v>27.265780467145674</v>
      </c>
      <c r="L69" s="122">
        <f>'Ethylene Recycling HC'!L77</f>
        <v>31.487768909836035</v>
      </c>
      <c r="M69" s="122">
        <f>'Ethylene Recycling HC'!M77</f>
        <v>35.842253427028851</v>
      </c>
      <c r="N69" s="122">
        <f>'Ethylene Recycling HC'!N77</f>
        <v>41.23199970332815</v>
      </c>
      <c r="O69" s="122">
        <f>'Ethylene Recycling HC'!O77</f>
        <v>46.96175967355282</v>
      </c>
      <c r="P69" s="122">
        <f>'Ethylene Recycling HC'!P77</f>
        <v>52.592078300258407</v>
      </c>
      <c r="Q69" s="122">
        <f>'Ethylene Recycling HC'!Q77</f>
        <v>58.265990786735472</v>
      </c>
      <c r="R69" s="122">
        <f>'Ethylene Recycling HC'!R77</f>
        <v>63.937590910506955</v>
      </c>
      <c r="S69" s="122">
        <f>'Ethylene Recycling HC'!S77</f>
        <v>69.561332799134689</v>
      </c>
      <c r="T69" s="122">
        <f>'Ethylene Recycling HC'!T77</f>
        <v>75.092030930219352</v>
      </c>
      <c r="U69" s="122">
        <f>'Ethylene Recycling HC'!U77</f>
        <v>80.484860131400637</v>
      </c>
      <c r="V69" s="122">
        <f>'Ethylene Recycling HC'!V77</f>
        <v>85.695355580357003</v>
      </c>
      <c r="W69" s="122">
        <f>'Ethylene Recycling HC'!W77</f>
        <v>90.679412804805807</v>
      </c>
      <c r="X69" s="122">
        <f>'Ethylene Recycling HC'!X77</f>
        <v>96.582963606354838</v>
      </c>
      <c r="Y69" s="122">
        <f>'Ethylene Recycling HC'!Y77</f>
        <v>103.76394933717407</v>
      </c>
      <c r="Z69" s="122">
        <f>'Ethylene Recycling HC'!Z77</f>
        <v>110.54633762901423</v>
      </c>
      <c r="AA69" s="122">
        <f>'Ethylene Recycling HC'!AA77</f>
        <v>116.85143695095563</v>
      </c>
      <c r="AB69" s="122">
        <f>'Ethylene Recycling HC'!AB77</f>
        <v>122.60120804423012</v>
      </c>
      <c r="AC69" s="122">
        <f>'Ethylene Recycling HC'!AC77</f>
        <v>127.71826392222167</v>
      </c>
      <c r="AD69" s="122">
        <f>'Ethylene Recycling HC'!AD77</f>
        <v>132.12586987046606</v>
      </c>
      <c r="AE69" s="122">
        <f>'Ethylene Recycling HC'!AE77</f>
        <v>135.74794344665096</v>
      </c>
      <c r="AF69" s="122">
        <f>'Ethylene Recycling HC'!AF77</f>
        <v>138.50905448061593</v>
      </c>
      <c r="AG69" s="122">
        <f>'Ethylene Recycling HC'!AG77</f>
        <v>140.33442507435265</v>
      </c>
      <c r="AH69" s="230"/>
      <c r="AI69" s="126"/>
      <c r="AJ69" s="198"/>
      <c r="AL69" s="102"/>
      <c r="AM69" s="2"/>
      <c r="AN69" s="2"/>
      <c r="AO69" s="2"/>
      <c r="BC69" s="1"/>
      <c r="BD69" s="2"/>
      <c r="BE69" s="2"/>
      <c r="BF69" s="2"/>
      <c r="BG69" s="2"/>
      <c r="BH69" s="2"/>
      <c r="BI69" s="2"/>
      <c r="BJ69" s="2"/>
      <c r="BK69" s="2"/>
    </row>
    <row r="70" spans="1:63" s="1" customFormat="1" outlineLevel="1">
      <c r="A70" s="1" t="s">
        <v>814</v>
      </c>
      <c r="B70" s="61"/>
      <c r="C70" s="606">
        <f>'Ethylene Recycling HC'!C78</f>
        <v>17559.569342015755</v>
      </c>
      <c r="D70" s="606">
        <f>'Ethylene Recycling HC'!D78</f>
        <v>17556.295652401051</v>
      </c>
      <c r="E70" s="606">
        <f>'Ethylene Recycling HC'!E78</f>
        <v>17523.526013664374</v>
      </c>
      <c r="F70" s="606">
        <f>'Ethylene Recycling HC'!F78</f>
        <v>17462.342274179096</v>
      </c>
      <c r="G70" s="606">
        <f>'Ethylene Recycling HC'!G78</f>
        <v>17373.819230986926</v>
      </c>
      <c r="H70" s="606">
        <f>'Ethylene Recycling HC'!H78</f>
        <v>17259.024629797885</v>
      </c>
      <c r="I70" s="606">
        <f>'Ethylene Recycling HC'!I78</f>
        <v>17119.019164990324</v>
      </c>
      <c r="J70" s="606">
        <f>'Ethylene Recycling HC'!J78</f>
        <v>16954.856479610928</v>
      </c>
      <c r="K70" s="606">
        <f>'Ethylene Recycling HC'!K78</f>
        <v>16767.58316537469</v>
      </c>
      <c r="L70" s="606">
        <f>'Ethylene Recycling HC'!L78</f>
        <v>16558.238762664951</v>
      </c>
      <c r="M70" s="606">
        <f>'Ethylene Recycling HC'!M78</f>
        <v>16327.855760533364</v>
      </c>
      <c r="N70" s="606">
        <f>'Ethylene Recycling HC'!N78</f>
        <v>16402.957799557349</v>
      </c>
      <c r="O70" s="606">
        <f>'Ethylene Recycling HC'!O78</f>
        <v>16474.627705913605</v>
      </c>
      <c r="P70" s="606">
        <f>'Ethylene Recycling HC'!P78</f>
        <v>16400.848741140631</v>
      </c>
      <c r="Q70" s="606">
        <f>'Ethylene Recycling HC'!Q78</f>
        <v>16261.051775910804</v>
      </c>
      <c r="R70" s="606">
        <f>'Ethylene Recycling HC'!R78</f>
        <v>16059.330144900872</v>
      </c>
      <c r="S70" s="606">
        <f>'Ethylene Recycling HC'!S78</f>
        <v>15799.747879773051</v>
      </c>
      <c r="T70" s="606">
        <f>'Ethylene Recycling HC'!T78</f>
        <v>15486.339709175038</v>
      </c>
      <c r="U70" s="606">
        <f>'Ethylene Recycling HC'!U78</f>
        <v>15123.111058740027</v>
      </c>
      <c r="V70" s="606">
        <f>'Ethylene Recycling HC'!V78</f>
        <v>14714.038051086674</v>
      </c>
      <c r="W70" s="606">
        <f>'Ethylene Recycling HC'!W78</f>
        <v>14263.067505819121</v>
      </c>
      <c r="X70" s="606">
        <f>'Ethylene Recycling HC'!X78</f>
        <v>13798.453417240784</v>
      </c>
      <c r="Y70" s="606">
        <f>'Ethylene Recycling HC'!Y78</f>
        <v>13509.412168787427</v>
      </c>
      <c r="Z70" s="606">
        <f>'Ethylene Recycling HC'!Z78</f>
        <v>13151.187938052311</v>
      </c>
      <c r="AA70" s="606">
        <f>'Ethylene Recycling HC'!AA78</f>
        <v>12730.122152874841</v>
      </c>
      <c r="AB70" s="606">
        <f>'Ethylene Recycling HC'!AB78</f>
        <v>12252.508539179029</v>
      </c>
      <c r="AC70" s="606">
        <f>'Ethylene Recycling HC'!AC78</f>
        <v>11724.593120973532</v>
      </c>
      <c r="AD70" s="606">
        <f>'Ethylene Recycling HC'!AD78</f>
        <v>11152.574220351647</v>
      </c>
      <c r="AE70" s="606">
        <f>'Ethylene Recycling HC'!AE78</f>
        <v>10542.602457491286</v>
      </c>
      <c r="AF70" s="606">
        <f>'Ethylene Recycling HC'!AF78</f>
        <v>9900.7807506550162</v>
      </c>
      <c r="AG70" s="606">
        <f>'Ethylene Recycling HC'!AG78</f>
        <v>9233.1643161900156</v>
      </c>
      <c r="AH70" s="397"/>
      <c r="AI70" s="398"/>
      <c r="AJ70" s="399"/>
      <c r="AL70" s="207"/>
      <c r="AM70" s="118"/>
      <c r="AN70" s="118"/>
      <c r="AO70" s="118"/>
      <c r="BD70" s="118"/>
      <c r="BE70" s="118"/>
      <c r="BF70" s="118"/>
      <c r="BG70" s="118"/>
      <c r="BH70" s="118"/>
      <c r="BI70" s="118"/>
      <c r="BJ70" s="118"/>
      <c r="BK70" s="118"/>
    </row>
    <row r="71" spans="1:63" outlineLevel="1">
      <c r="A71" s="4" t="s">
        <v>141</v>
      </c>
      <c r="C71" s="122">
        <f>'Ethylene Recycling HC'!C79</f>
        <v>0</v>
      </c>
      <c r="D71" s="122">
        <f>'Ethylene Recycling HC'!D79</f>
        <v>0</v>
      </c>
      <c r="E71" s="122">
        <f>'Ethylene Recycling HC'!E79</f>
        <v>0</v>
      </c>
      <c r="F71" s="122">
        <f>'Ethylene Recycling HC'!F79</f>
        <v>0</v>
      </c>
      <c r="G71" s="122">
        <f>'Ethylene Recycling HC'!G79</f>
        <v>0</v>
      </c>
      <c r="H71" s="122">
        <f>'Ethylene Recycling HC'!H79</f>
        <v>0</v>
      </c>
      <c r="I71" s="122">
        <f>'Ethylene Recycling HC'!I79</f>
        <v>0</v>
      </c>
      <c r="J71" s="122">
        <f>'Ethylene Recycling HC'!J79</f>
        <v>0</v>
      </c>
      <c r="K71" s="122">
        <f>'Ethylene Recycling HC'!K79</f>
        <v>0</v>
      </c>
      <c r="L71" s="122">
        <f>'Ethylene Recycling HC'!L79</f>
        <v>0</v>
      </c>
      <c r="M71" s="122">
        <f>'Ethylene Recycling HC'!M79</f>
        <v>0</v>
      </c>
      <c r="N71" s="122">
        <f>'Ethylene Recycling HC'!N79</f>
        <v>0</v>
      </c>
      <c r="O71" s="122">
        <f>'Ethylene Recycling HC'!O79</f>
        <v>0</v>
      </c>
      <c r="P71" s="122">
        <f>'Ethylene Recycling HC'!P79</f>
        <v>0</v>
      </c>
      <c r="Q71" s="122">
        <f>'Ethylene Recycling HC'!Q79</f>
        <v>0</v>
      </c>
      <c r="R71" s="122">
        <f>'Ethylene Recycling HC'!R79</f>
        <v>0</v>
      </c>
      <c r="S71" s="122">
        <f>'Ethylene Recycling HC'!S79</f>
        <v>0</v>
      </c>
      <c r="T71" s="122">
        <f>'Ethylene Recycling HC'!T79</f>
        <v>0</v>
      </c>
      <c r="U71" s="122">
        <f>'Ethylene Recycling HC'!U79</f>
        <v>0</v>
      </c>
      <c r="V71" s="122">
        <f>'Ethylene Recycling HC'!V79</f>
        <v>0</v>
      </c>
      <c r="W71" s="122">
        <f>'Ethylene Recycling HC'!W79</f>
        <v>0</v>
      </c>
      <c r="X71" s="122">
        <f>'Ethylene Recycling HC'!X79</f>
        <v>0</v>
      </c>
      <c r="Y71" s="122">
        <f>'Ethylene Recycling HC'!Y79</f>
        <v>0</v>
      </c>
      <c r="Z71" s="122">
        <f>'Ethylene Recycling HC'!Z79</f>
        <v>0</v>
      </c>
      <c r="AA71" s="122">
        <f>'Ethylene Recycling HC'!AA79</f>
        <v>0</v>
      </c>
      <c r="AB71" s="122">
        <f>'Ethylene Recycling HC'!AB79</f>
        <v>0</v>
      </c>
      <c r="AC71" s="122">
        <f>'Ethylene Recycling HC'!AC79</f>
        <v>0</v>
      </c>
      <c r="AD71" s="122">
        <f>'Ethylene Recycling HC'!AD79</f>
        <v>0</v>
      </c>
      <c r="AE71" s="122">
        <f>'Ethylene Recycling HC'!AE79</f>
        <v>0</v>
      </c>
      <c r="AF71" s="122">
        <f>'Ethylene Recycling HC'!AF79</f>
        <v>0</v>
      </c>
      <c r="AG71" s="122">
        <f>'Ethylene Recycling HC'!AG79</f>
        <v>0</v>
      </c>
      <c r="AH71" s="230"/>
      <c r="AI71" s="126"/>
      <c r="AJ71" s="198"/>
      <c r="AL71" s="102"/>
      <c r="AM71" s="2"/>
      <c r="AN71" s="2"/>
      <c r="AO71" s="2"/>
      <c r="BC71" s="1"/>
      <c r="BD71" s="2"/>
      <c r="BE71" s="2"/>
      <c r="BF71" s="2"/>
      <c r="BG71" s="2"/>
      <c r="BH71" s="2"/>
      <c r="BI71" s="2"/>
      <c r="BJ71" s="2"/>
      <c r="BK71" s="2"/>
    </row>
    <row r="72" spans="1:63" outlineLevel="1">
      <c r="A72" s="4" t="s">
        <v>74</v>
      </c>
      <c r="C72" s="122">
        <f>'Ethylene Recycling HC'!C80</f>
        <v>0</v>
      </c>
      <c r="D72" s="122">
        <f>'Ethylene Recycling HC'!D80</f>
        <v>0</v>
      </c>
      <c r="E72" s="122">
        <f>'Ethylene Recycling HC'!E80</f>
        <v>0</v>
      </c>
      <c r="F72" s="122">
        <f>'Ethylene Recycling HC'!F80</f>
        <v>0</v>
      </c>
      <c r="G72" s="122">
        <f>'Ethylene Recycling HC'!G80</f>
        <v>0</v>
      </c>
      <c r="H72" s="122">
        <f>'Ethylene Recycling HC'!H80</f>
        <v>0</v>
      </c>
      <c r="I72" s="122">
        <f>'Ethylene Recycling HC'!I80</f>
        <v>0</v>
      </c>
      <c r="J72" s="122">
        <f>'Ethylene Recycling HC'!J80</f>
        <v>0</v>
      </c>
      <c r="K72" s="122">
        <f>'Ethylene Recycling HC'!K80</f>
        <v>0</v>
      </c>
      <c r="L72" s="122">
        <f>'Ethylene Recycling HC'!L80</f>
        <v>0</v>
      </c>
      <c r="M72" s="122">
        <f>'Ethylene Recycling HC'!M80</f>
        <v>0</v>
      </c>
      <c r="N72" s="122">
        <f>'Ethylene Recycling HC'!N80</f>
        <v>0</v>
      </c>
      <c r="O72" s="122">
        <f>'Ethylene Recycling HC'!O80</f>
        <v>0</v>
      </c>
      <c r="P72" s="122">
        <f>'Ethylene Recycling HC'!P80</f>
        <v>0</v>
      </c>
      <c r="Q72" s="122">
        <f>'Ethylene Recycling HC'!Q80</f>
        <v>0</v>
      </c>
      <c r="R72" s="122">
        <f>'Ethylene Recycling HC'!R80</f>
        <v>0</v>
      </c>
      <c r="S72" s="122">
        <f>'Ethylene Recycling HC'!S80</f>
        <v>0</v>
      </c>
      <c r="T72" s="122">
        <f>'Ethylene Recycling HC'!T80</f>
        <v>0</v>
      </c>
      <c r="U72" s="122">
        <f>'Ethylene Recycling HC'!U80</f>
        <v>0</v>
      </c>
      <c r="V72" s="122">
        <f>'Ethylene Recycling HC'!V80</f>
        <v>0</v>
      </c>
      <c r="W72" s="122">
        <f>'Ethylene Recycling HC'!W80</f>
        <v>0</v>
      </c>
      <c r="X72" s="122">
        <f>'Ethylene Recycling HC'!X80</f>
        <v>0</v>
      </c>
      <c r="Y72" s="122">
        <f>'Ethylene Recycling HC'!Y80</f>
        <v>0</v>
      </c>
      <c r="Z72" s="122">
        <f>'Ethylene Recycling HC'!Z80</f>
        <v>0</v>
      </c>
      <c r="AA72" s="122">
        <f>'Ethylene Recycling HC'!AA80</f>
        <v>0</v>
      </c>
      <c r="AB72" s="122">
        <f>'Ethylene Recycling HC'!AB80</f>
        <v>0</v>
      </c>
      <c r="AC72" s="122">
        <f>'Ethylene Recycling HC'!AC80</f>
        <v>0</v>
      </c>
      <c r="AD72" s="122">
        <f>'Ethylene Recycling HC'!AD80</f>
        <v>0</v>
      </c>
      <c r="AE72" s="122">
        <f>'Ethylene Recycling HC'!AE80</f>
        <v>0</v>
      </c>
      <c r="AF72" s="122">
        <f>'Ethylene Recycling HC'!AF80</f>
        <v>0</v>
      </c>
      <c r="AG72" s="122">
        <f>'Ethylene Recycling HC'!AG80</f>
        <v>0</v>
      </c>
      <c r="AH72" s="230"/>
      <c r="AI72" s="126"/>
      <c r="AJ72" s="198"/>
      <c r="AL72" s="102"/>
      <c r="AM72" s="2"/>
      <c r="AN72" s="2"/>
      <c r="AO72" s="2"/>
      <c r="BC72" s="1"/>
      <c r="BD72" s="2"/>
      <c r="BE72" s="2"/>
      <c r="BF72" s="2"/>
      <c r="BG72" s="2"/>
      <c r="BH72" s="2"/>
      <c r="BI72" s="2"/>
      <c r="BJ72" s="2"/>
      <c r="BK72" s="2"/>
    </row>
    <row r="73" spans="1:63" outlineLevel="1">
      <c r="A73" s="4" t="s">
        <v>34</v>
      </c>
      <c r="C73" s="122">
        <f>'Ethylene Recycling HC'!C81</f>
        <v>0</v>
      </c>
      <c r="D73" s="122">
        <f>'Ethylene Recycling HC'!D81</f>
        <v>0</v>
      </c>
      <c r="E73" s="122">
        <f>'Ethylene Recycling HC'!E81</f>
        <v>0</v>
      </c>
      <c r="F73" s="122">
        <f>'Ethylene Recycling HC'!F81</f>
        <v>0</v>
      </c>
      <c r="G73" s="122">
        <f>'Ethylene Recycling HC'!G81</f>
        <v>0</v>
      </c>
      <c r="H73" s="122">
        <f>'Ethylene Recycling HC'!H81</f>
        <v>0</v>
      </c>
      <c r="I73" s="122">
        <f>'Ethylene Recycling HC'!I81</f>
        <v>0</v>
      </c>
      <c r="J73" s="122">
        <f>'Ethylene Recycling HC'!J81</f>
        <v>0</v>
      </c>
      <c r="K73" s="122">
        <f>'Ethylene Recycling HC'!K81</f>
        <v>0</v>
      </c>
      <c r="L73" s="122">
        <f>'Ethylene Recycling HC'!L81</f>
        <v>0</v>
      </c>
      <c r="M73" s="122">
        <f>'Ethylene Recycling HC'!M81</f>
        <v>0</v>
      </c>
      <c r="N73" s="122">
        <f>'Ethylene Recycling HC'!N81</f>
        <v>0</v>
      </c>
      <c r="O73" s="122">
        <f>'Ethylene Recycling HC'!O81</f>
        <v>0</v>
      </c>
      <c r="P73" s="122">
        <f>'Ethylene Recycling HC'!P81</f>
        <v>0</v>
      </c>
      <c r="Q73" s="122">
        <f>'Ethylene Recycling HC'!Q81</f>
        <v>0</v>
      </c>
      <c r="R73" s="122">
        <f>'Ethylene Recycling HC'!R81</f>
        <v>0</v>
      </c>
      <c r="S73" s="122">
        <f>'Ethylene Recycling HC'!S81</f>
        <v>0</v>
      </c>
      <c r="T73" s="122">
        <f>'Ethylene Recycling HC'!T81</f>
        <v>0</v>
      </c>
      <c r="U73" s="122">
        <f>'Ethylene Recycling HC'!U81</f>
        <v>0</v>
      </c>
      <c r="V73" s="122">
        <f>'Ethylene Recycling HC'!V81</f>
        <v>0</v>
      </c>
      <c r="W73" s="122">
        <f>'Ethylene Recycling HC'!W81</f>
        <v>0</v>
      </c>
      <c r="X73" s="122">
        <f>'Ethylene Recycling HC'!X81</f>
        <v>0</v>
      </c>
      <c r="Y73" s="122">
        <f>'Ethylene Recycling HC'!Y81</f>
        <v>0</v>
      </c>
      <c r="Z73" s="122">
        <f>'Ethylene Recycling HC'!Z81</f>
        <v>0</v>
      </c>
      <c r="AA73" s="122">
        <f>'Ethylene Recycling HC'!AA81</f>
        <v>0</v>
      </c>
      <c r="AB73" s="122">
        <f>'Ethylene Recycling HC'!AB81</f>
        <v>0</v>
      </c>
      <c r="AC73" s="122">
        <f>'Ethylene Recycling HC'!AC81</f>
        <v>0</v>
      </c>
      <c r="AD73" s="122">
        <f>'Ethylene Recycling HC'!AD81</f>
        <v>0</v>
      </c>
      <c r="AE73" s="122">
        <f>'Ethylene Recycling HC'!AE81</f>
        <v>0</v>
      </c>
      <c r="AF73" s="122">
        <f>'Ethylene Recycling HC'!AF81</f>
        <v>0</v>
      </c>
      <c r="AG73" s="122">
        <f>'Ethylene Recycling HC'!AG81</f>
        <v>0</v>
      </c>
      <c r="AH73" s="230"/>
      <c r="AI73" s="126"/>
      <c r="AJ73" s="198"/>
      <c r="AL73" s="102"/>
      <c r="AM73" s="2"/>
      <c r="AN73" s="2"/>
      <c r="AO73" s="2"/>
      <c r="BC73" s="1"/>
      <c r="BD73" s="2"/>
      <c r="BE73" s="2"/>
      <c r="BF73" s="2"/>
      <c r="BG73" s="2"/>
      <c r="BH73" s="2"/>
      <c r="BI73" s="2"/>
      <c r="BJ73" s="2"/>
      <c r="BK73" s="2"/>
    </row>
    <row r="74" spans="1:63" outlineLevel="1">
      <c r="A74" s="4" t="s">
        <v>35</v>
      </c>
      <c r="C74" s="122">
        <f>'Ethylene Recycling HC'!C82</f>
        <v>17559.569342015755</v>
      </c>
      <c r="D74" s="122">
        <f>'Ethylene Recycling HC'!D82</f>
        <v>17556.295652401051</v>
      </c>
      <c r="E74" s="122">
        <f>'Ethylene Recycling HC'!E82</f>
        <v>17523.526013664374</v>
      </c>
      <c r="F74" s="122">
        <f>'Ethylene Recycling HC'!F82</f>
        <v>17462.342274179096</v>
      </c>
      <c r="G74" s="122">
        <f>'Ethylene Recycling HC'!G82</f>
        <v>17373.819230986926</v>
      </c>
      <c r="H74" s="122">
        <f>'Ethylene Recycling HC'!H82</f>
        <v>17259.024629797885</v>
      </c>
      <c r="I74" s="122">
        <f>'Ethylene Recycling HC'!I82</f>
        <v>17119.019164990324</v>
      </c>
      <c r="J74" s="122">
        <f>'Ethylene Recycling HC'!J82</f>
        <v>16954.856479610928</v>
      </c>
      <c r="K74" s="122">
        <f>'Ethylene Recycling HC'!K82</f>
        <v>16767.58316537469</v>
      </c>
      <c r="L74" s="122">
        <f>'Ethylene Recycling HC'!L82</f>
        <v>16558.238762664951</v>
      </c>
      <c r="M74" s="122">
        <f>'Ethylene Recycling HC'!M82</f>
        <v>16327.855760533364</v>
      </c>
      <c r="N74" s="122">
        <f>'Ethylene Recycling HC'!N82</f>
        <v>16402.957799557349</v>
      </c>
      <c r="O74" s="122">
        <f>'Ethylene Recycling HC'!O82</f>
        <v>16474.627705913605</v>
      </c>
      <c r="P74" s="122">
        <f>'Ethylene Recycling HC'!P82</f>
        <v>16400.848741140631</v>
      </c>
      <c r="Q74" s="122">
        <f>'Ethylene Recycling HC'!Q82</f>
        <v>16261.051775910804</v>
      </c>
      <c r="R74" s="122">
        <f>'Ethylene Recycling HC'!R82</f>
        <v>16059.330144900872</v>
      </c>
      <c r="S74" s="122">
        <f>'Ethylene Recycling HC'!S82</f>
        <v>15799.747879773051</v>
      </c>
      <c r="T74" s="122">
        <f>'Ethylene Recycling HC'!T82</f>
        <v>15486.339709175038</v>
      </c>
      <c r="U74" s="122">
        <f>'Ethylene Recycling HC'!U82</f>
        <v>15123.111058740027</v>
      </c>
      <c r="V74" s="122">
        <f>'Ethylene Recycling HC'!V82</f>
        <v>14714.038051086674</v>
      </c>
      <c r="W74" s="122">
        <f>'Ethylene Recycling HC'!W82</f>
        <v>14263.067505819121</v>
      </c>
      <c r="X74" s="122">
        <f>'Ethylene Recycling HC'!X82</f>
        <v>13798.453417240784</v>
      </c>
      <c r="Y74" s="122">
        <f>'Ethylene Recycling HC'!Y82</f>
        <v>13509.412168787427</v>
      </c>
      <c r="Z74" s="122">
        <f>'Ethylene Recycling HC'!Z82</f>
        <v>13151.187938052311</v>
      </c>
      <c r="AA74" s="122">
        <f>'Ethylene Recycling HC'!AA82</f>
        <v>12730.122152874841</v>
      </c>
      <c r="AB74" s="122">
        <f>'Ethylene Recycling HC'!AB82</f>
        <v>12252.508539179029</v>
      </c>
      <c r="AC74" s="122">
        <f>'Ethylene Recycling HC'!AC82</f>
        <v>11724.593120973532</v>
      </c>
      <c r="AD74" s="122">
        <f>'Ethylene Recycling HC'!AD82</f>
        <v>11152.574220351647</v>
      </c>
      <c r="AE74" s="122">
        <f>'Ethylene Recycling HC'!AE82</f>
        <v>10542.602457491286</v>
      </c>
      <c r="AF74" s="122">
        <f>'Ethylene Recycling HC'!AF82</f>
        <v>9900.7807506550162</v>
      </c>
      <c r="AG74" s="122">
        <f>'Ethylene Recycling HC'!AG82</f>
        <v>9233.1643161900156</v>
      </c>
      <c r="AH74" s="230"/>
      <c r="AI74" s="126"/>
      <c r="AJ74" s="198"/>
      <c r="AL74" s="102"/>
      <c r="AM74" s="2"/>
      <c r="AN74" s="2"/>
      <c r="AO74" s="2"/>
      <c r="BC74" s="1"/>
      <c r="BD74" s="2"/>
      <c r="BE74" s="2"/>
      <c r="BF74" s="2"/>
      <c r="BG74" s="2"/>
      <c r="BH74" s="2"/>
      <c r="BI74" s="2"/>
      <c r="BJ74" s="2"/>
      <c r="BK74" s="2"/>
    </row>
    <row r="75" spans="1:63" outlineLevel="1">
      <c r="A75" s="4" t="s">
        <v>27</v>
      </c>
      <c r="C75" s="122">
        <f>'Ethylene Recycling HC'!C83</f>
        <v>0</v>
      </c>
      <c r="D75" s="122">
        <f>'Ethylene Recycling HC'!D83</f>
        <v>0.58279615238978677</v>
      </c>
      <c r="E75" s="122">
        <f>'Ethylene Recycling HC'!E83</f>
        <v>1.1634166727727921</v>
      </c>
      <c r="F75" s="122">
        <f>'Ethylene Recycling HC'!F83</f>
        <v>1.7390318704925536</v>
      </c>
      <c r="G75" s="122">
        <f>'Ethylene Recycling HC'!G83</f>
        <v>2.3069547700969788</v>
      </c>
      <c r="H75" s="122">
        <f>'Ethylene Recycling HC'!H83</f>
        <v>2.8646399409636114</v>
      </c>
      <c r="I75" s="122">
        <f>'Ethylene Recycling HC'!I83</f>
        <v>3.4096823269248984</v>
      </c>
      <c r="J75" s="122">
        <f>'Ethylene Recycling HC'!J83</f>
        <v>3.9398160758934564</v>
      </c>
      <c r="K75" s="122">
        <f>'Ethylene Recycling HC'!K83</f>
        <v>4.4529133694873364</v>
      </c>
      <c r="L75" s="122">
        <f>'Ethylene Recycling HC'!L83</f>
        <v>4.946983252655297</v>
      </c>
      <c r="M75" s="122">
        <f>'Ethylene Recycling HC'!M83</f>
        <v>5.4201704633020631</v>
      </c>
      <c r="N75" s="122">
        <f>'Ethylene Recycling HC'!N83</f>
        <v>5.989611345657269</v>
      </c>
      <c r="O75" s="122">
        <f>'Ethylene Recycling HC'!O83</f>
        <v>6.5626711892932965</v>
      </c>
      <c r="P75" s="122">
        <f>'Ethylene Recycling HC'!P83</f>
        <v>7.0777214345005248</v>
      </c>
      <c r="Q75" s="122">
        <f>'Ethylene Recycling HC'!Q83</f>
        <v>7.5571920381291688</v>
      </c>
      <c r="R75" s="122">
        <f>'Ethylene Recycling HC'!R83</f>
        <v>7.9965466551529092</v>
      </c>
      <c r="S75" s="122">
        <f>'Ethylene Recycling HC'!S83</f>
        <v>8.3917769036213343</v>
      </c>
      <c r="T75" s="122">
        <f>'Ethylene Recycling HC'!T83</f>
        <v>8.7393975009676215</v>
      </c>
      <c r="U75" s="122">
        <f>'Ethylene Recycling HC'!U83</f>
        <v>9.0364414003161997</v>
      </c>
      <c r="V75" s="122">
        <f>'Ethylene Recycling HC'!V83</f>
        <v>9.2804549267904068</v>
      </c>
      <c r="W75" s="122">
        <f>'Ethylene Recycling HC'!W83</f>
        <v>9.4694929138201616</v>
      </c>
      <c r="X75" s="122">
        <f>'Ethylene Recycling HC'!X83</f>
        <v>9.6190791106524998</v>
      </c>
      <c r="Y75" s="122">
        <f>'Ethylene Recycling HC'!Y83</f>
        <v>9.8660411601513864</v>
      </c>
      <c r="Z75" s="122">
        <f>'Ethylene Recycling HC'!Z83</f>
        <v>10.040991748614337</v>
      </c>
      <c r="AA75" s="122">
        <f>'Ethylene Recycling HC'!AA83</f>
        <v>10.142093330445078</v>
      </c>
      <c r="AB75" s="122">
        <f>'Ethylene Recycling HC'!AB83</f>
        <v>10.168310808749617</v>
      </c>
      <c r="AC75" s="122">
        <f>'Ethylene Recycling HC'!AC83</f>
        <v>10.119403617808192</v>
      </c>
      <c r="AD75" s="122">
        <f>'Ethylene Recycling HC'!AD83</f>
        <v>9.9959178055471956</v>
      </c>
      <c r="AE75" s="122">
        <f>'Ethylene Recycling HC'!AE83</f>
        <v>9.7991781160110758</v>
      </c>
      <c r="AF75" s="122">
        <f>'Ethylene Recycling HC'!AF83</f>
        <v>9.5312800718343134</v>
      </c>
      <c r="AG75" s="122">
        <f>'Ethylene Recycling HC'!AG83</f>
        <v>9.1950820567132947</v>
      </c>
      <c r="AH75" s="230"/>
      <c r="AI75" s="126"/>
      <c r="AJ75" s="198"/>
      <c r="AL75" s="102"/>
      <c r="AM75" s="2"/>
      <c r="AN75" s="2"/>
      <c r="AO75" s="2"/>
      <c r="BC75" s="1"/>
      <c r="BD75" s="2"/>
      <c r="BE75" s="2"/>
      <c r="BF75" s="2"/>
      <c r="BG75" s="2"/>
      <c r="BH75" s="2"/>
      <c r="BI75" s="2"/>
      <c r="BJ75" s="2"/>
      <c r="BK75" s="2"/>
    </row>
    <row r="76" spans="1:63" s="1" customFormat="1" outlineLevel="1">
      <c r="A76" s="1" t="s">
        <v>828</v>
      </c>
      <c r="B76" s="61"/>
      <c r="C76" s="606">
        <f>'Ethylene Recycling HC'!C84</f>
        <v>21058.825037240655</v>
      </c>
      <c r="D76" s="606">
        <f>'Ethylene Recycling HC'!D84</f>
        <v>21459.200999027264</v>
      </c>
      <c r="E76" s="606">
        <f>'Ethylene Recycling HC'!E84</f>
        <v>21838.495270401185</v>
      </c>
      <c r="F76" s="606">
        <f>'Ethylene Recycling HC'!F84</f>
        <v>22196.820063298092</v>
      </c>
      <c r="G76" s="606">
        <f>'Ethylene Recycling HC'!G84</f>
        <v>22534.287589653668</v>
      </c>
      <c r="H76" s="606">
        <f>'Ethylene Recycling HC'!H84</f>
        <v>22851.010061403569</v>
      </c>
      <c r="I76" s="606">
        <f>'Ethylene Recycling HC'!I84</f>
        <v>23147.099690483479</v>
      </c>
      <c r="J76" s="606">
        <f>'Ethylene Recycling HC'!J84</f>
        <v>23422.668688829071</v>
      </c>
      <c r="K76" s="606">
        <f>'Ethylene Recycling HC'!K84</f>
        <v>23677.829268376008</v>
      </c>
      <c r="L76" s="606">
        <f>'Ethylene Recycling HC'!L84</f>
        <v>23912.693641059959</v>
      </c>
      <c r="M76" s="606">
        <f>'Ethylene Recycling HC'!M84</f>
        <v>24127.374018816616</v>
      </c>
      <c r="N76" s="606">
        <f>'Ethylene Recycling HC'!N84</f>
        <v>24814.39633000458</v>
      </c>
      <c r="O76" s="606">
        <f>'Ethylene Recycling HC'!O84</f>
        <v>25529.550447672616</v>
      </c>
      <c r="P76" s="606">
        <f>'Ethylene Recycling HC'!P84</f>
        <v>26049.377791407704</v>
      </c>
      <c r="Q76" s="606">
        <f>'Ethylene Recycling HC'!Q84</f>
        <v>26488.270980080251</v>
      </c>
      <c r="R76" s="606">
        <f>'Ethylene Recycling HC'!R84</f>
        <v>26846.696329576716</v>
      </c>
      <c r="S76" s="606">
        <f>'Ethylene Recycling HC'!S84</f>
        <v>27125.120155783519</v>
      </c>
      <c r="T76" s="606">
        <f>'Ethylene Recycling HC'!T84</f>
        <v>27324.008774587106</v>
      </c>
      <c r="U76" s="606">
        <f>'Ethylene Recycling HC'!U84</f>
        <v>27443.828501873923</v>
      </c>
      <c r="V76" s="606">
        <f>'Ethylene Recycling HC'!V84</f>
        <v>27485.045653530411</v>
      </c>
      <c r="W76" s="606">
        <f>'Ethylene Recycling HC'!W84</f>
        <v>27448.126545442989</v>
      </c>
      <c r="X76" s="606">
        <f>'Ethylene Recycling HC'!X84</f>
        <v>27381.831117617174</v>
      </c>
      <c r="Y76" s="606">
        <f>'Ethylene Recycling HC'!Y84</f>
        <v>27670.889318929574</v>
      </c>
      <c r="Z76" s="606">
        <f>'Ethylene Recycling HC'!Z84</f>
        <v>27832.751991372726</v>
      </c>
      <c r="AA76" s="606">
        <f>'Ethylene Recycling HC'!AA84</f>
        <v>27868.178243226586</v>
      </c>
      <c r="AB76" s="606">
        <f>'Ethylene Recycling HC'!AB84</f>
        <v>27777.927182771109</v>
      </c>
      <c r="AC76" s="606">
        <f>'Ethylene Recycling HC'!AC84</f>
        <v>27562.75791828625</v>
      </c>
      <c r="AD76" s="606">
        <f>'Ethylene Recycling HC'!AD84</f>
        <v>27223.429558051965</v>
      </c>
      <c r="AE76" s="606">
        <f>'Ethylene Recycling HC'!AE84</f>
        <v>26760.701210348194</v>
      </c>
      <c r="AF76" s="606">
        <f>'Ethylene Recycling HC'!AF84</f>
        <v>26175.331983454911</v>
      </c>
      <c r="AG76" s="606">
        <f>'Ethylene Recycling HC'!AG84</f>
        <v>25468.080985652086</v>
      </c>
      <c r="AH76" s="397"/>
      <c r="AI76" s="398"/>
      <c r="AJ76" s="399"/>
      <c r="AL76" s="207"/>
      <c r="AM76" s="118"/>
      <c r="AN76" s="118"/>
      <c r="AO76" s="118"/>
      <c r="BD76" s="118"/>
      <c r="BE76" s="118"/>
      <c r="BF76" s="118"/>
      <c r="BG76" s="118"/>
      <c r="BH76" s="118"/>
      <c r="BI76" s="118"/>
      <c r="BJ76" s="118"/>
      <c r="BK76" s="118"/>
    </row>
    <row r="77" spans="1:63" outlineLevel="1">
      <c r="A77" s="4" t="s">
        <v>141</v>
      </c>
      <c r="C77" s="122">
        <f>'Ethylene Recycling HC'!C85</f>
        <v>21058.825037240655</v>
      </c>
      <c r="D77" s="122">
        <f>'Ethylene Recycling HC'!D85</f>
        <v>21459.200999027264</v>
      </c>
      <c r="E77" s="122">
        <f>'Ethylene Recycling HC'!E85</f>
        <v>21838.495270401185</v>
      </c>
      <c r="F77" s="122">
        <f>'Ethylene Recycling HC'!F85</f>
        <v>22196.820063298092</v>
      </c>
      <c r="G77" s="122">
        <f>'Ethylene Recycling HC'!G85</f>
        <v>22534.287589653668</v>
      </c>
      <c r="H77" s="122">
        <f>'Ethylene Recycling HC'!H85</f>
        <v>22851.010061403569</v>
      </c>
      <c r="I77" s="122">
        <f>'Ethylene Recycling HC'!I85</f>
        <v>23147.099690483479</v>
      </c>
      <c r="J77" s="122">
        <f>'Ethylene Recycling HC'!J85</f>
        <v>23422.668688829071</v>
      </c>
      <c r="K77" s="122">
        <f>'Ethylene Recycling HC'!K85</f>
        <v>23677.829268376008</v>
      </c>
      <c r="L77" s="122">
        <f>'Ethylene Recycling HC'!L85</f>
        <v>23912.693641059959</v>
      </c>
      <c r="M77" s="122">
        <f>'Ethylene Recycling HC'!M85</f>
        <v>24127.374018816616</v>
      </c>
      <c r="N77" s="122">
        <f>'Ethylene Recycling HC'!N85</f>
        <v>24814.39633000458</v>
      </c>
      <c r="O77" s="122">
        <f>'Ethylene Recycling HC'!O85</f>
        <v>25529.550447672616</v>
      </c>
      <c r="P77" s="122">
        <f>'Ethylene Recycling HC'!P85</f>
        <v>26049.377791407704</v>
      </c>
      <c r="Q77" s="122">
        <f>'Ethylene Recycling HC'!Q85</f>
        <v>26488.270980080251</v>
      </c>
      <c r="R77" s="122">
        <f>'Ethylene Recycling HC'!R85</f>
        <v>26846.696329576716</v>
      </c>
      <c r="S77" s="122">
        <f>'Ethylene Recycling HC'!S85</f>
        <v>27125.120155783519</v>
      </c>
      <c r="T77" s="122">
        <f>'Ethylene Recycling HC'!T85</f>
        <v>27324.008774587106</v>
      </c>
      <c r="U77" s="122">
        <f>'Ethylene Recycling HC'!U85</f>
        <v>27443.828501873923</v>
      </c>
      <c r="V77" s="122">
        <f>'Ethylene Recycling HC'!V85</f>
        <v>27485.045653530411</v>
      </c>
      <c r="W77" s="122">
        <f>'Ethylene Recycling HC'!W85</f>
        <v>27448.126545442989</v>
      </c>
      <c r="X77" s="122">
        <f>'Ethylene Recycling HC'!X85</f>
        <v>27381.831117617174</v>
      </c>
      <c r="Y77" s="122">
        <f>'Ethylene Recycling HC'!Y85</f>
        <v>27670.889318929574</v>
      </c>
      <c r="Z77" s="122">
        <f>'Ethylene Recycling HC'!Z85</f>
        <v>27832.751991372726</v>
      </c>
      <c r="AA77" s="122">
        <f>'Ethylene Recycling HC'!AA85</f>
        <v>27868.178243226586</v>
      </c>
      <c r="AB77" s="122">
        <f>'Ethylene Recycling HC'!AB85</f>
        <v>27777.927182771109</v>
      </c>
      <c r="AC77" s="122">
        <f>'Ethylene Recycling HC'!AC85</f>
        <v>27562.75791828625</v>
      </c>
      <c r="AD77" s="122">
        <f>'Ethylene Recycling HC'!AD85</f>
        <v>27223.429558051965</v>
      </c>
      <c r="AE77" s="122">
        <f>'Ethylene Recycling HC'!AE85</f>
        <v>26760.701210348194</v>
      </c>
      <c r="AF77" s="122">
        <f>'Ethylene Recycling HC'!AF85</f>
        <v>26175.331983454911</v>
      </c>
      <c r="AG77" s="122">
        <f>'Ethylene Recycling HC'!AG85</f>
        <v>25468.080985652086</v>
      </c>
      <c r="AH77" s="230"/>
      <c r="AI77" s="126"/>
      <c r="AJ77" s="198"/>
      <c r="AL77" s="102"/>
      <c r="AM77" s="2"/>
      <c r="AN77" s="2"/>
      <c r="AO77" s="2"/>
      <c r="BC77" s="1"/>
      <c r="BD77" s="2"/>
      <c r="BE77" s="2"/>
      <c r="BF77" s="2"/>
      <c r="BG77" s="2"/>
      <c r="BH77" s="2"/>
      <c r="BI77" s="2"/>
      <c r="BJ77" s="2"/>
      <c r="BK77" s="2"/>
    </row>
    <row r="78" spans="1:63" outlineLevel="1">
      <c r="A78" s="4" t="s">
        <v>74</v>
      </c>
      <c r="C78" s="122">
        <f>'Ethylene Recycling HC'!C86</f>
        <v>0</v>
      </c>
      <c r="D78" s="122">
        <f>'Ethylene Recycling HC'!D86</f>
        <v>0</v>
      </c>
      <c r="E78" s="122">
        <f>'Ethylene Recycling HC'!E86</f>
        <v>0</v>
      </c>
      <c r="F78" s="122">
        <f>'Ethylene Recycling HC'!F86</f>
        <v>0</v>
      </c>
      <c r="G78" s="122">
        <f>'Ethylene Recycling HC'!G86</f>
        <v>0</v>
      </c>
      <c r="H78" s="122">
        <f>'Ethylene Recycling HC'!H86</f>
        <v>0</v>
      </c>
      <c r="I78" s="122">
        <f>'Ethylene Recycling HC'!I86</f>
        <v>0</v>
      </c>
      <c r="J78" s="122">
        <f>'Ethylene Recycling HC'!J86</f>
        <v>0</v>
      </c>
      <c r="K78" s="122">
        <f>'Ethylene Recycling HC'!K86</f>
        <v>0</v>
      </c>
      <c r="L78" s="122">
        <f>'Ethylene Recycling HC'!L86</f>
        <v>0</v>
      </c>
      <c r="M78" s="122">
        <f>'Ethylene Recycling HC'!M86</f>
        <v>0</v>
      </c>
      <c r="N78" s="122">
        <f>'Ethylene Recycling HC'!N86</f>
        <v>0</v>
      </c>
      <c r="O78" s="122">
        <f>'Ethylene Recycling HC'!O86</f>
        <v>0</v>
      </c>
      <c r="P78" s="122">
        <f>'Ethylene Recycling HC'!P86</f>
        <v>0</v>
      </c>
      <c r="Q78" s="122">
        <f>'Ethylene Recycling HC'!Q86</f>
        <v>0</v>
      </c>
      <c r="R78" s="122">
        <f>'Ethylene Recycling HC'!R86</f>
        <v>0</v>
      </c>
      <c r="S78" s="122">
        <f>'Ethylene Recycling HC'!S86</f>
        <v>0</v>
      </c>
      <c r="T78" s="122">
        <f>'Ethylene Recycling HC'!T86</f>
        <v>0</v>
      </c>
      <c r="U78" s="122">
        <f>'Ethylene Recycling HC'!U86</f>
        <v>0</v>
      </c>
      <c r="V78" s="122">
        <f>'Ethylene Recycling HC'!V86</f>
        <v>0</v>
      </c>
      <c r="W78" s="122">
        <f>'Ethylene Recycling HC'!W86</f>
        <v>0</v>
      </c>
      <c r="X78" s="122">
        <f>'Ethylene Recycling HC'!X86</f>
        <v>0</v>
      </c>
      <c r="Y78" s="122">
        <f>'Ethylene Recycling HC'!Y86</f>
        <v>0</v>
      </c>
      <c r="Z78" s="122">
        <f>'Ethylene Recycling HC'!Z86</f>
        <v>0</v>
      </c>
      <c r="AA78" s="122">
        <f>'Ethylene Recycling HC'!AA86</f>
        <v>0</v>
      </c>
      <c r="AB78" s="122">
        <f>'Ethylene Recycling HC'!AB86</f>
        <v>0</v>
      </c>
      <c r="AC78" s="122">
        <f>'Ethylene Recycling HC'!AC86</f>
        <v>0</v>
      </c>
      <c r="AD78" s="122">
        <f>'Ethylene Recycling HC'!AD86</f>
        <v>0</v>
      </c>
      <c r="AE78" s="122">
        <f>'Ethylene Recycling HC'!AE86</f>
        <v>0</v>
      </c>
      <c r="AF78" s="122">
        <f>'Ethylene Recycling HC'!AF86</f>
        <v>0</v>
      </c>
      <c r="AG78" s="122">
        <f>'Ethylene Recycling HC'!AG86</f>
        <v>0</v>
      </c>
      <c r="AH78" s="230"/>
      <c r="AI78" s="126"/>
      <c r="AJ78" s="198"/>
      <c r="AL78" s="102"/>
      <c r="AM78" s="2"/>
      <c r="AN78" s="2"/>
      <c r="AO78" s="2"/>
      <c r="BC78" s="1"/>
      <c r="BD78" s="2"/>
      <c r="BE78" s="2"/>
      <c r="BF78" s="2"/>
      <c r="BG78" s="2"/>
      <c r="BH78" s="2"/>
      <c r="BI78" s="2"/>
      <c r="BJ78" s="2"/>
      <c r="BK78" s="2"/>
    </row>
    <row r="79" spans="1:63" outlineLevel="1">
      <c r="A79" s="4" t="s">
        <v>34</v>
      </c>
      <c r="C79" s="122">
        <f>'Ethylene Recycling HC'!C87</f>
        <v>0</v>
      </c>
      <c r="D79" s="122">
        <f>'Ethylene Recycling HC'!D87</f>
        <v>0</v>
      </c>
      <c r="E79" s="122">
        <f>'Ethylene Recycling HC'!E87</f>
        <v>0</v>
      </c>
      <c r="F79" s="122">
        <f>'Ethylene Recycling HC'!F87</f>
        <v>0</v>
      </c>
      <c r="G79" s="122">
        <f>'Ethylene Recycling HC'!G87</f>
        <v>0</v>
      </c>
      <c r="H79" s="122">
        <f>'Ethylene Recycling HC'!H87</f>
        <v>0</v>
      </c>
      <c r="I79" s="122">
        <f>'Ethylene Recycling HC'!I87</f>
        <v>0</v>
      </c>
      <c r="J79" s="122">
        <f>'Ethylene Recycling HC'!J87</f>
        <v>0</v>
      </c>
      <c r="K79" s="122">
        <f>'Ethylene Recycling HC'!K87</f>
        <v>0</v>
      </c>
      <c r="L79" s="122">
        <f>'Ethylene Recycling HC'!L87</f>
        <v>0</v>
      </c>
      <c r="M79" s="122">
        <f>'Ethylene Recycling HC'!M87</f>
        <v>0</v>
      </c>
      <c r="N79" s="122">
        <f>'Ethylene Recycling HC'!N87</f>
        <v>0</v>
      </c>
      <c r="O79" s="122">
        <f>'Ethylene Recycling HC'!O87</f>
        <v>0</v>
      </c>
      <c r="P79" s="122">
        <f>'Ethylene Recycling HC'!P87</f>
        <v>0</v>
      </c>
      <c r="Q79" s="122">
        <f>'Ethylene Recycling HC'!Q87</f>
        <v>0</v>
      </c>
      <c r="R79" s="122">
        <f>'Ethylene Recycling HC'!R87</f>
        <v>0</v>
      </c>
      <c r="S79" s="122">
        <f>'Ethylene Recycling HC'!S87</f>
        <v>0</v>
      </c>
      <c r="T79" s="122">
        <f>'Ethylene Recycling HC'!T87</f>
        <v>0</v>
      </c>
      <c r="U79" s="122">
        <f>'Ethylene Recycling HC'!U87</f>
        <v>0</v>
      </c>
      <c r="V79" s="122">
        <f>'Ethylene Recycling HC'!V87</f>
        <v>0</v>
      </c>
      <c r="W79" s="122">
        <f>'Ethylene Recycling HC'!W87</f>
        <v>0</v>
      </c>
      <c r="X79" s="122">
        <f>'Ethylene Recycling HC'!X87</f>
        <v>0</v>
      </c>
      <c r="Y79" s="122">
        <f>'Ethylene Recycling HC'!Y87</f>
        <v>0</v>
      </c>
      <c r="Z79" s="122">
        <f>'Ethylene Recycling HC'!Z87</f>
        <v>0</v>
      </c>
      <c r="AA79" s="122">
        <f>'Ethylene Recycling HC'!AA87</f>
        <v>0</v>
      </c>
      <c r="AB79" s="122">
        <f>'Ethylene Recycling HC'!AB87</f>
        <v>0</v>
      </c>
      <c r="AC79" s="122">
        <f>'Ethylene Recycling HC'!AC87</f>
        <v>0</v>
      </c>
      <c r="AD79" s="122">
        <f>'Ethylene Recycling HC'!AD87</f>
        <v>0</v>
      </c>
      <c r="AE79" s="122">
        <f>'Ethylene Recycling HC'!AE87</f>
        <v>0</v>
      </c>
      <c r="AF79" s="122">
        <f>'Ethylene Recycling HC'!AF87</f>
        <v>0</v>
      </c>
      <c r="AG79" s="122">
        <f>'Ethylene Recycling HC'!AG87</f>
        <v>0</v>
      </c>
      <c r="AH79" s="230"/>
      <c r="AI79" s="126"/>
      <c r="AJ79" s="198"/>
      <c r="AL79" s="102"/>
      <c r="AM79" s="2"/>
      <c r="AN79" s="2"/>
      <c r="AO79" s="2"/>
      <c r="BC79" s="1"/>
      <c r="BD79" s="2"/>
      <c r="BE79" s="2"/>
      <c r="BF79" s="2"/>
      <c r="BG79" s="2"/>
      <c r="BH79" s="2"/>
      <c r="BI79" s="2"/>
      <c r="BJ79" s="2"/>
      <c r="BK79" s="2"/>
    </row>
    <row r="80" spans="1:63" outlineLevel="1">
      <c r="A80" s="4" t="s">
        <v>35</v>
      </c>
      <c r="C80" s="122">
        <f>'Ethylene Recycling HC'!C88</f>
        <v>0</v>
      </c>
      <c r="D80" s="122">
        <f>'Ethylene Recycling HC'!D88</f>
        <v>0</v>
      </c>
      <c r="E80" s="122">
        <f>'Ethylene Recycling HC'!E88</f>
        <v>0</v>
      </c>
      <c r="F80" s="122">
        <f>'Ethylene Recycling HC'!F88</f>
        <v>0</v>
      </c>
      <c r="G80" s="122">
        <f>'Ethylene Recycling HC'!G88</f>
        <v>0</v>
      </c>
      <c r="H80" s="122">
        <f>'Ethylene Recycling HC'!H88</f>
        <v>0</v>
      </c>
      <c r="I80" s="122">
        <f>'Ethylene Recycling HC'!I88</f>
        <v>0</v>
      </c>
      <c r="J80" s="122">
        <f>'Ethylene Recycling HC'!J88</f>
        <v>0</v>
      </c>
      <c r="K80" s="122">
        <f>'Ethylene Recycling HC'!K88</f>
        <v>0</v>
      </c>
      <c r="L80" s="122">
        <f>'Ethylene Recycling HC'!L88</f>
        <v>0</v>
      </c>
      <c r="M80" s="122">
        <f>'Ethylene Recycling HC'!M88</f>
        <v>0</v>
      </c>
      <c r="N80" s="122">
        <f>'Ethylene Recycling HC'!N88</f>
        <v>0</v>
      </c>
      <c r="O80" s="122">
        <f>'Ethylene Recycling HC'!O88</f>
        <v>0</v>
      </c>
      <c r="P80" s="122">
        <f>'Ethylene Recycling HC'!P88</f>
        <v>0</v>
      </c>
      <c r="Q80" s="122">
        <f>'Ethylene Recycling HC'!Q88</f>
        <v>0</v>
      </c>
      <c r="R80" s="122">
        <f>'Ethylene Recycling HC'!R88</f>
        <v>0</v>
      </c>
      <c r="S80" s="122">
        <f>'Ethylene Recycling HC'!S88</f>
        <v>0</v>
      </c>
      <c r="T80" s="122">
        <f>'Ethylene Recycling HC'!T88</f>
        <v>0</v>
      </c>
      <c r="U80" s="122">
        <f>'Ethylene Recycling HC'!U88</f>
        <v>0</v>
      </c>
      <c r="V80" s="122">
        <f>'Ethylene Recycling HC'!V88</f>
        <v>0</v>
      </c>
      <c r="W80" s="122">
        <f>'Ethylene Recycling HC'!W88</f>
        <v>0</v>
      </c>
      <c r="X80" s="122">
        <f>'Ethylene Recycling HC'!X88</f>
        <v>0</v>
      </c>
      <c r="Y80" s="122">
        <f>'Ethylene Recycling HC'!Y88</f>
        <v>0</v>
      </c>
      <c r="Z80" s="122">
        <f>'Ethylene Recycling HC'!Z88</f>
        <v>0</v>
      </c>
      <c r="AA80" s="122">
        <f>'Ethylene Recycling HC'!AA88</f>
        <v>0</v>
      </c>
      <c r="AB80" s="122">
        <f>'Ethylene Recycling HC'!AB88</f>
        <v>0</v>
      </c>
      <c r="AC80" s="122">
        <f>'Ethylene Recycling HC'!AC88</f>
        <v>0</v>
      </c>
      <c r="AD80" s="122">
        <f>'Ethylene Recycling HC'!AD88</f>
        <v>0</v>
      </c>
      <c r="AE80" s="122">
        <f>'Ethylene Recycling HC'!AE88</f>
        <v>0</v>
      </c>
      <c r="AF80" s="122">
        <f>'Ethylene Recycling HC'!AF88</f>
        <v>0</v>
      </c>
      <c r="AG80" s="122">
        <f>'Ethylene Recycling HC'!AG88</f>
        <v>0</v>
      </c>
      <c r="AH80" s="230"/>
      <c r="AI80" s="126"/>
      <c r="AJ80" s="198"/>
      <c r="AL80" s="102"/>
      <c r="AM80" s="2"/>
      <c r="AN80" s="2"/>
      <c r="AO80" s="2"/>
      <c r="BC80" s="1"/>
      <c r="BD80" s="2"/>
      <c r="BE80" s="2"/>
      <c r="BF80" s="2"/>
      <c r="BG80" s="2"/>
      <c r="BH80" s="2"/>
      <c r="BI80" s="2"/>
      <c r="BJ80" s="2"/>
      <c r="BK80" s="2"/>
    </row>
    <row r="81" spans="1:63" outlineLevel="1">
      <c r="A81" s="4" t="s">
        <v>27</v>
      </c>
      <c r="C81" s="122">
        <f>'Ethylene Recycling HC'!C89</f>
        <v>0</v>
      </c>
      <c r="D81" s="122">
        <f>'Ethylene Recycling HC'!D89</f>
        <v>0</v>
      </c>
      <c r="E81" s="122">
        <f>'Ethylene Recycling HC'!E89</f>
        <v>0</v>
      </c>
      <c r="F81" s="122">
        <f>'Ethylene Recycling HC'!F89</f>
        <v>0</v>
      </c>
      <c r="G81" s="122">
        <f>'Ethylene Recycling HC'!G89</f>
        <v>0</v>
      </c>
      <c r="H81" s="122">
        <f>'Ethylene Recycling HC'!H89</f>
        <v>0</v>
      </c>
      <c r="I81" s="122">
        <f>'Ethylene Recycling HC'!I89</f>
        <v>0</v>
      </c>
      <c r="J81" s="122">
        <f>'Ethylene Recycling HC'!J89</f>
        <v>0</v>
      </c>
      <c r="K81" s="122">
        <f>'Ethylene Recycling HC'!K89</f>
        <v>0</v>
      </c>
      <c r="L81" s="122">
        <f>'Ethylene Recycling HC'!L89</f>
        <v>0</v>
      </c>
      <c r="M81" s="122">
        <f>'Ethylene Recycling HC'!M89</f>
        <v>0</v>
      </c>
      <c r="N81" s="122">
        <f>'Ethylene Recycling HC'!N89</f>
        <v>0</v>
      </c>
      <c r="O81" s="122">
        <f>'Ethylene Recycling HC'!O89</f>
        <v>0</v>
      </c>
      <c r="P81" s="122">
        <f>'Ethylene Recycling HC'!P89</f>
        <v>0</v>
      </c>
      <c r="Q81" s="122">
        <f>'Ethylene Recycling HC'!Q89</f>
        <v>0</v>
      </c>
      <c r="R81" s="122">
        <f>'Ethylene Recycling HC'!R89</f>
        <v>0</v>
      </c>
      <c r="S81" s="122">
        <f>'Ethylene Recycling HC'!S89</f>
        <v>0</v>
      </c>
      <c r="T81" s="122">
        <f>'Ethylene Recycling HC'!T89</f>
        <v>0</v>
      </c>
      <c r="U81" s="122">
        <f>'Ethylene Recycling HC'!U89</f>
        <v>0</v>
      </c>
      <c r="V81" s="122">
        <f>'Ethylene Recycling HC'!V89</f>
        <v>0</v>
      </c>
      <c r="W81" s="122">
        <f>'Ethylene Recycling HC'!W89</f>
        <v>0</v>
      </c>
      <c r="X81" s="122">
        <f>'Ethylene Recycling HC'!X89</f>
        <v>0</v>
      </c>
      <c r="Y81" s="122">
        <f>'Ethylene Recycling HC'!Y89</f>
        <v>0</v>
      </c>
      <c r="Z81" s="122">
        <f>'Ethylene Recycling HC'!Z89</f>
        <v>0</v>
      </c>
      <c r="AA81" s="122">
        <f>'Ethylene Recycling HC'!AA89</f>
        <v>0</v>
      </c>
      <c r="AB81" s="122">
        <f>'Ethylene Recycling HC'!AB89</f>
        <v>0</v>
      </c>
      <c r="AC81" s="122">
        <f>'Ethylene Recycling HC'!AC89</f>
        <v>0</v>
      </c>
      <c r="AD81" s="122">
        <f>'Ethylene Recycling HC'!AD89</f>
        <v>0</v>
      </c>
      <c r="AE81" s="122">
        <f>'Ethylene Recycling HC'!AE89</f>
        <v>0</v>
      </c>
      <c r="AF81" s="122">
        <f>'Ethylene Recycling HC'!AF89</f>
        <v>0</v>
      </c>
      <c r="AG81" s="122">
        <f>'Ethylene Recycling HC'!AG89</f>
        <v>0</v>
      </c>
      <c r="AH81" s="230"/>
      <c r="AI81" s="126"/>
      <c r="AJ81" s="198"/>
      <c r="AL81" s="102"/>
      <c r="AM81" s="2"/>
      <c r="AN81" s="2"/>
      <c r="AO81" s="2"/>
      <c r="BC81" s="1"/>
      <c r="BD81" s="2"/>
      <c r="BE81" s="2"/>
      <c r="BF81" s="2"/>
      <c r="BG81" s="2"/>
      <c r="BH81" s="2"/>
      <c r="BI81" s="2"/>
      <c r="BJ81" s="2"/>
      <c r="BK81" s="2"/>
    </row>
    <row r="82" spans="1:63" s="1" customFormat="1" outlineLevel="1">
      <c r="A82" s="1" t="s">
        <v>829</v>
      </c>
      <c r="B82" s="61"/>
      <c r="C82" s="606">
        <f>'Ethylene Recycling HC'!C90</f>
        <v>97499.466517403445</v>
      </c>
      <c r="D82" s="606">
        <f>'Ethylene Recycling HC'!D90</f>
        <v>99690.273085181558</v>
      </c>
      <c r="E82" s="606">
        <f>'Ethylene Recycling HC'!E90</f>
        <v>101795.39163674261</v>
      </c>
      <c r="F82" s="606">
        <f>'Ethylene Recycling HC'!F90</f>
        <v>103814.35341571183</v>
      </c>
      <c r="G82" s="606">
        <f>'Ethylene Recycling HC'!G90</f>
        <v>105746.69671704617</v>
      </c>
      <c r="H82" s="606">
        <f>'Ethylene Recycling HC'!H90</f>
        <v>107591.96688703411</v>
      </c>
      <c r="I82" s="606">
        <f>'Ethylene Recycling HC'!I90</f>
        <v>109349.71632329599</v>
      </c>
      <c r="J82" s="606">
        <f>'Ethylene Recycling HC'!J90</f>
        <v>111019.50447478374</v>
      </c>
      <c r="K82" s="606">
        <f>'Ethylene Recycling HC'!K90</f>
        <v>112600.8978417809</v>
      </c>
      <c r="L82" s="606">
        <f>'Ethylene Recycling HC'!L90</f>
        <v>114093.46997590277</v>
      </c>
      <c r="M82" s="606">
        <f>'Ethylene Recycling HC'!M90</f>
        <v>115496.80148009634</v>
      </c>
      <c r="N82" s="606">
        <f>'Ethylene Recycling HC'!N90</f>
        <v>119175.381073329</v>
      </c>
      <c r="O82" s="606">
        <f>'Ethylene Recycling HC'!O90</f>
        <v>123011.096461464</v>
      </c>
      <c r="P82" s="606">
        <f>'Ethylene Recycling HC'!P90</f>
        <v>125925.05444276573</v>
      </c>
      <c r="Q82" s="606">
        <f>'Ethylene Recycling HC'!Q90</f>
        <v>128462.83073707149</v>
      </c>
      <c r="R82" s="606">
        <f>'Ethylene Recycling HC'!R90</f>
        <v>130622.87981834082</v>
      </c>
      <c r="S82" s="606">
        <f>'Ethylene Recycling HC'!S90</f>
        <v>132403.68546354774</v>
      </c>
      <c r="T82" s="606">
        <f>'Ethylene Recycling HC'!T90</f>
        <v>133803.76075268083</v>
      </c>
      <c r="U82" s="606">
        <f>'Ethylene Recycling HC'!U90</f>
        <v>134821.64806874318</v>
      </c>
      <c r="V82" s="606">
        <f>'Ethylene Recycling HC'!V90</f>
        <v>135455.91909775243</v>
      </c>
      <c r="W82" s="606">
        <f>'Ethylene Recycling HC'!W90</f>
        <v>135705.17482874065</v>
      </c>
      <c r="X82" s="606">
        <f>'Ethylene Recycling HC'!X90</f>
        <v>135807.57079764528</v>
      </c>
      <c r="Y82" s="606">
        <f>'Ethylene Recycling HC'!Y90</f>
        <v>137675.93842786251</v>
      </c>
      <c r="Z82" s="606">
        <f>'Ethylene Recycling HC'!Z90</f>
        <v>138918.53123091839</v>
      </c>
      <c r="AA82" s="606">
        <f>'Ethylene Recycling HC'!AA90</f>
        <v>139533.15531648585</v>
      </c>
      <c r="AB82" s="606">
        <f>'Ethylene Recycling HC'!AB90</f>
        <v>139517.66449615301</v>
      </c>
      <c r="AC82" s="606">
        <f>'Ethylene Recycling HC'!AC90</f>
        <v>138869.96028342334</v>
      </c>
      <c r="AD82" s="606">
        <f>'Ethylene Recycling HC'!AD90</f>
        <v>137587.99189371584</v>
      </c>
      <c r="AE82" s="606">
        <f>'Ethylene Recycling HC'!AE90</f>
        <v>135669.75624436466</v>
      </c>
      <c r="AF82" s="606">
        <f>'Ethylene Recycling HC'!AF90</f>
        <v>133113.29795461951</v>
      </c>
      <c r="AG82" s="606">
        <f>'Ethylene Recycling HC'!AG90</f>
        <v>129916.70934564547</v>
      </c>
      <c r="AH82" s="397"/>
      <c r="AI82" s="398"/>
      <c r="AJ82" s="399"/>
      <c r="AL82" s="207"/>
      <c r="AM82" s="118"/>
      <c r="AN82" s="118"/>
      <c r="AO82" s="118"/>
      <c r="BD82" s="118"/>
      <c r="BE82" s="118"/>
      <c r="BF82" s="118"/>
      <c r="BG82" s="118"/>
      <c r="BH82" s="118"/>
      <c r="BI82" s="118"/>
      <c r="BJ82" s="118"/>
      <c r="BK82" s="118"/>
    </row>
    <row r="83" spans="1:63" outlineLevel="1">
      <c r="A83" s="4" t="s">
        <v>141</v>
      </c>
      <c r="C83" s="122">
        <f>'Ethylene Recycling HC'!C91</f>
        <v>97499.466517403445</v>
      </c>
      <c r="D83" s="122">
        <f>'Ethylene Recycling HC'!D91</f>
        <v>98527.219899187767</v>
      </c>
      <c r="E83" s="122">
        <f>'Ethylene Recycling HC'!E91</f>
        <v>99420.165831885271</v>
      </c>
      <c r="F83" s="122">
        <f>'Ethylene Recycling HC'!F91</f>
        <v>100180.8510461619</v>
      </c>
      <c r="G83" s="122">
        <f>'Ethylene Recycling HC'!G91</f>
        <v>100811.85087025067</v>
      </c>
      <c r="H83" s="122">
        <f>'Ethylene Recycling HC'!H91</f>
        <v>101315.76881862376</v>
      </c>
      <c r="I83" s="122">
        <f>'Ethylene Recycling HC'!I91</f>
        <v>101695.23618066523</v>
      </c>
      <c r="J83" s="122">
        <f>'Ethylene Recycling HC'!J91</f>
        <v>101952.91160934303</v>
      </c>
      <c r="K83" s="122">
        <f>'Ethylene Recycling HC'!K91</f>
        <v>102091.4807098813</v>
      </c>
      <c r="L83" s="122">
        <f>'Ethylene Recycling HC'!L91</f>
        <v>102113.65562843293</v>
      </c>
      <c r="M83" s="122">
        <f>'Ethylene Recycling HC'!M91</f>
        <v>102022.17464075172</v>
      </c>
      <c r="N83" s="122">
        <f>'Ethylene Recycling HC'!N91</f>
        <v>103881.20716891838</v>
      </c>
      <c r="O83" s="122">
        <f>'Ethylene Recycling HC'!O91</f>
        <v>105789.54295685896</v>
      </c>
      <c r="P83" s="122">
        <f>'Ethylene Recycling HC'!P91</f>
        <v>106826.42118561285</v>
      </c>
      <c r="Q83" s="122">
        <f>'Ethylene Recycling HC'!Q91</f>
        <v>107480.56838334973</v>
      </c>
      <c r="R83" s="122">
        <f>'Ethylene Recycling HC'!R91</f>
        <v>107763.87585013108</v>
      </c>
      <c r="S83" s="122">
        <f>'Ethylene Recycling HC'!S91</f>
        <v>107688.3308436854</v>
      </c>
      <c r="T83" s="122">
        <f>'Ethylene Recycling HC'!T91</f>
        <v>107266.01487006569</v>
      </c>
      <c r="U83" s="122">
        <f>'Ethylene Recycling HC'!U91</f>
        <v>106509.10197430699</v>
      </c>
      <c r="V83" s="122">
        <f>'Ethylene Recycling HC'!V91</f>
        <v>105429.85703108385</v>
      </c>
      <c r="W83" s="122">
        <f>'Ethylene Recycling HC'!W91</f>
        <v>104040.63403536771</v>
      </c>
      <c r="X83" s="122">
        <f>'Ethylene Recycling HC'!X91</f>
        <v>102534.71595222206</v>
      </c>
      <c r="Y83" s="122">
        <f>'Ethylene Recycling HC'!Y91</f>
        <v>102339.11423137765</v>
      </c>
      <c r="Z83" s="122">
        <f>'Ethylene Recycling HC'!Z91</f>
        <v>101642.05868395514</v>
      </c>
      <c r="AA83" s="122">
        <f>'Ethylene Recycling HC'!AA91</f>
        <v>100463.87182786965</v>
      </c>
      <c r="AB83" s="122">
        <f>'Ethylene Recycling HC'!AB91</f>
        <v>98825.012351441546</v>
      </c>
      <c r="AC83" s="122">
        <f>'Ethylene Recycling HC'!AC91</f>
        <v>96746.072330784751</v>
      </c>
      <c r="AD83" s="122">
        <f>'Ethylene Recycling HC'!AD91</f>
        <v>94247.774447195174</v>
      </c>
      <c r="AE83" s="122">
        <f>'Ethylene Recycling HC'!AE91</f>
        <v>91350.969204538691</v>
      </c>
      <c r="AF83" s="122">
        <f>'Ethylene Recycling HC'!AF91</f>
        <v>88076.632146639735</v>
      </c>
      <c r="AG83" s="122">
        <f>'Ethylene Recycling HC'!AG91</f>
        <v>84445.861074669563</v>
      </c>
      <c r="AH83" s="230"/>
      <c r="AI83" s="126"/>
      <c r="AJ83" s="198"/>
      <c r="AL83" s="102"/>
      <c r="AM83" s="2"/>
      <c r="AN83" s="2"/>
      <c r="AO83" s="2"/>
      <c r="BC83" s="1"/>
      <c r="BD83" s="2"/>
      <c r="BE83" s="2"/>
      <c r="BF83" s="2"/>
      <c r="BG83" s="2"/>
      <c r="BH83" s="2"/>
      <c r="BI83" s="2"/>
      <c r="BJ83" s="2"/>
      <c r="BK83" s="2"/>
    </row>
    <row r="84" spans="1:63" outlineLevel="1">
      <c r="A84" s="4" t="s">
        <v>74</v>
      </c>
      <c r="C84" s="122">
        <f>'Ethylene Recycling HC'!C92</f>
        <v>0</v>
      </c>
      <c r="D84" s="122">
        <f>'Ethylene Recycling HC'!D92</f>
        <v>332.30091028393855</v>
      </c>
      <c r="E84" s="122">
        <f>'Ethylene Recycling HC'!E92</f>
        <v>678.63594424495079</v>
      </c>
      <c r="F84" s="122">
        <f>'Ethylene Recycling HC'!F92</f>
        <v>1038.1435341571182</v>
      </c>
      <c r="G84" s="122">
        <f>'Ethylene Recycling HC'!G92</f>
        <v>1409.9559562272823</v>
      </c>
      <c r="H84" s="122">
        <f>'Ethylene Recycling HC'!H92</f>
        <v>1793.1994481172351</v>
      </c>
      <c r="I84" s="122">
        <f>'Ethylene Recycling HC'!I92</f>
        <v>2186.9943264659196</v>
      </c>
      <c r="J84" s="122">
        <f>'Ethylene Recycling HC'!J92</f>
        <v>2590.4551044116206</v>
      </c>
      <c r="K84" s="122">
        <f>'Ethylene Recycling HC'!K92</f>
        <v>3002.6906091141573</v>
      </c>
      <c r="L84" s="122">
        <f>'Ethylene Recycling HC'!L92</f>
        <v>3422.8040992770834</v>
      </c>
      <c r="M84" s="122">
        <f>'Ethylene Recycling HC'!M92</f>
        <v>3849.8933826698781</v>
      </c>
      <c r="N84" s="122">
        <f>'Ethylene Recycling HC'!N92</f>
        <v>4369.7639726887301</v>
      </c>
      <c r="O84" s="122">
        <f>'Ethylene Recycling HC'!O92</f>
        <v>4920.4438584585596</v>
      </c>
      <c r="P84" s="122">
        <f>'Ethylene Recycling HC'!P92</f>
        <v>5456.7523591865147</v>
      </c>
      <c r="Q84" s="122">
        <f>'Ethylene Recycling HC'!Q92</f>
        <v>5994.9321010633366</v>
      </c>
      <c r="R84" s="122">
        <f>'Ethylene Recycling HC'!R92</f>
        <v>6531.1439909170413</v>
      </c>
      <c r="S84" s="122">
        <f>'Ethylene Recycling HC'!S92</f>
        <v>7061.5298913892129</v>
      </c>
      <c r="T84" s="122">
        <f>'Ethylene Recycling HC'!T92</f>
        <v>7582.2131093185808</v>
      </c>
      <c r="U84" s="122">
        <f>'Ethylene Recycling HC'!U92</f>
        <v>8089.2988841245915</v>
      </c>
      <c r="V84" s="122">
        <f>'Ethylene Recycling HC'!V92</f>
        <v>8578.8748761909883</v>
      </c>
      <c r="W84" s="122">
        <f>'Ethylene Recycling HC'!W92</f>
        <v>9047.0116552493764</v>
      </c>
      <c r="X84" s="122">
        <f>'Ethylene Recycling HC'!X92</f>
        <v>9506.5299558351689</v>
      </c>
      <c r="Y84" s="122">
        <f>'Ethylene Recycling HC'!Y92</f>
        <v>10096.235484709916</v>
      </c>
      <c r="Z84" s="122">
        <f>'Ethylene Recycling HC'!Z92</f>
        <v>10650.42072770374</v>
      </c>
      <c r="AA84" s="122">
        <f>'Ethylene Recycling HC'!AA92</f>
        <v>11162.652425318864</v>
      </c>
      <c r="AB84" s="122">
        <f>'Ethylene Recycling HC'!AB92</f>
        <v>11626.47204134608</v>
      </c>
      <c r="AC84" s="122">
        <f>'Ethylene Recycling HC'!AC92</f>
        <v>12035.396557896684</v>
      </c>
      <c r="AD84" s="122">
        <f>'Ethylene Recycling HC'!AD92</f>
        <v>12382.919270434419</v>
      </c>
      <c r="AE84" s="122">
        <f>'Ethylene Recycling HC'!AE92</f>
        <v>12662.510582807361</v>
      </c>
      <c r="AF84" s="122">
        <f>'Ethylene Recycling HC'!AF92</f>
        <v>12867.618802279878</v>
      </c>
      <c r="AG84" s="122">
        <f>'Ethylene Recycling HC'!AG92</f>
        <v>12991.670934564549</v>
      </c>
      <c r="AH84" s="230"/>
      <c r="AI84" s="126"/>
      <c r="AJ84" s="198"/>
      <c r="AL84" s="102"/>
      <c r="AM84" s="2"/>
      <c r="AN84" s="2"/>
      <c r="AO84" s="2"/>
      <c r="BC84" s="1"/>
      <c r="BD84" s="2"/>
      <c r="BE84" s="2"/>
      <c r="BF84" s="2"/>
      <c r="BG84" s="2"/>
      <c r="BH84" s="2"/>
      <c r="BI84" s="2"/>
      <c r="BJ84" s="2"/>
      <c r="BK84" s="2"/>
    </row>
    <row r="85" spans="1:63" outlineLevel="1">
      <c r="A85" s="4" t="s">
        <v>34</v>
      </c>
      <c r="C85" s="122">
        <f>'Ethylene Recycling HC'!C93</f>
        <v>0</v>
      </c>
      <c r="D85" s="122">
        <f>'Ethylene Recycling HC'!D93</f>
        <v>498.4513654259078</v>
      </c>
      <c r="E85" s="122">
        <f>'Ethylene Recycling HC'!E93</f>
        <v>1017.9539163674261</v>
      </c>
      <c r="F85" s="122">
        <f>'Ethylene Recycling HC'!F93</f>
        <v>1557.2153012356773</v>
      </c>
      <c r="G85" s="122">
        <f>'Ethylene Recycling HC'!G93</f>
        <v>2114.9339343409233</v>
      </c>
      <c r="H85" s="122">
        <f>'Ethylene Recycling HC'!H93</f>
        <v>2689.7991721758531</v>
      </c>
      <c r="I85" s="122">
        <f>'Ethylene Recycling HC'!I93</f>
        <v>3280.4914896988798</v>
      </c>
      <c r="J85" s="122">
        <f>'Ethylene Recycling HC'!J93</f>
        <v>3885.6826566174313</v>
      </c>
      <c r="K85" s="122">
        <f>'Ethylene Recycling HC'!K93</f>
        <v>4504.0359136712359</v>
      </c>
      <c r="L85" s="122">
        <f>'Ethylene Recycling HC'!L93</f>
        <v>5134.2061489156249</v>
      </c>
      <c r="M85" s="122">
        <f>'Ethylene Recycling HC'!M93</f>
        <v>5774.8400740048164</v>
      </c>
      <c r="N85" s="122">
        <f>'Ethylene Recycling HC'!N93</f>
        <v>6554.6459590330942</v>
      </c>
      <c r="O85" s="122">
        <f>'Ethylene Recycling HC'!O93</f>
        <v>7380.6657876878389</v>
      </c>
      <c r="P85" s="122">
        <f>'Ethylene Recycling HC'!P93</f>
        <v>8185.1285387797707</v>
      </c>
      <c r="Q85" s="122">
        <f>'Ethylene Recycling HC'!Q93</f>
        <v>8992.3981515950036</v>
      </c>
      <c r="R85" s="122">
        <f>'Ethylene Recycling HC'!R93</f>
        <v>9796.7159863755605</v>
      </c>
      <c r="S85" s="122">
        <f>'Ethylene Recycling HC'!S93</f>
        <v>10592.294837083818</v>
      </c>
      <c r="T85" s="122">
        <f>'Ethylene Recycling HC'!T93</f>
        <v>11373.319663977871</v>
      </c>
      <c r="U85" s="122">
        <f>'Ethylene Recycling HC'!U93</f>
        <v>12133.948326186888</v>
      </c>
      <c r="V85" s="122">
        <f>'Ethylene Recycling HC'!V93</f>
        <v>12868.312314286482</v>
      </c>
      <c r="W85" s="122">
        <f>'Ethylene Recycling HC'!W93</f>
        <v>13570.517482874067</v>
      </c>
      <c r="X85" s="122">
        <f>'Ethylene Recycling HC'!X93</f>
        <v>14259.794933752759</v>
      </c>
      <c r="Y85" s="122">
        <f>'Ethylene Recycling HC'!Y93</f>
        <v>15144.353227064879</v>
      </c>
      <c r="Z85" s="122">
        <f>'Ethylene Recycling HC'!Z93</f>
        <v>15975.631091555621</v>
      </c>
      <c r="AA85" s="122">
        <f>'Ethylene Recycling HC'!AA93</f>
        <v>16743.978637978307</v>
      </c>
      <c r="AB85" s="122">
        <f>'Ethylene Recycling HC'!AB93</f>
        <v>17439.70806201913</v>
      </c>
      <c r="AC85" s="122">
        <f>'Ethylene Recycling HC'!AC93</f>
        <v>18053.094836845037</v>
      </c>
      <c r="AD85" s="122">
        <f>'Ethylene Recycling HC'!AD93</f>
        <v>18574.378905651643</v>
      </c>
      <c r="AE85" s="122">
        <f>'Ethylene Recycling HC'!AE93</f>
        <v>18993.765874211058</v>
      </c>
      <c r="AF85" s="122">
        <f>'Ethylene Recycling HC'!AF93</f>
        <v>19301.428203419837</v>
      </c>
      <c r="AG85" s="122">
        <f>'Ethylene Recycling HC'!AG93</f>
        <v>19487.506401846822</v>
      </c>
      <c r="AH85" s="230"/>
      <c r="AI85" s="126"/>
      <c r="AJ85" s="198"/>
      <c r="AL85" s="102"/>
      <c r="AM85" s="2"/>
      <c r="AN85" s="2"/>
      <c r="AO85" s="2"/>
      <c r="BC85" s="1"/>
      <c r="BD85" s="2"/>
      <c r="BE85" s="2"/>
      <c r="BF85" s="2"/>
      <c r="BG85" s="2"/>
      <c r="BH85" s="2"/>
      <c r="BI85" s="2"/>
      <c r="BJ85" s="2"/>
      <c r="BK85" s="2"/>
    </row>
    <row r="86" spans="1:63" outlineLevel="1">
      <c r="A86" s="4" t="s">
        <v>35</v>
      </c>
      <c r="C86" s="122">
        <f>'Ethylene Recycling HC'!C94</f>
        <v>0</v>
      </c>
      <c r="D86" s="122">
        <f>'Ethylene Recycling HC'!D94</f>
        <v>166.15045514196927</v>
      </c>
      <c r="E86" s="122">
        <f>'Ethylene Recycling HC'!E94</f>
        <v>339.3179721224754</v>
      </c>
      <c r="F86" s="122">
        <f>'Ethylene Recycling HC'!F94</f>
        <v>519.07176707855911</v>
      </c>
      <c r="G86" s="122">
        <f>'Ethylene Recycling HC'!G94</f>
        <v>704.97797811364114</v>
      </c>
      <c r="H86" s="122">
        <f>'Ethylene Recycling HC'!H94</f>
        <v>896.59972405861754</v>
      </c>
      <c r="I86" s="122">
        <f>'Ethylene Recycling HC'!I94</f>
        <v>1093.4971632329598</v>
      </c>
      <c r="J86" s="122">
        <f>'Ethylene Recycling HC'!J94</f>
        <v>1295.2275522058103</v>
      </c>
      <c r="K86" s="122">
        <f>'Ethylene Recycling HC'!K94</f>
        <v>1501.3453045570786</v>
      </c>
      <c r="L86" s="122">
        <f>'Ethylene Recycling HC'!L94</f>
        <v>1711.4020496385417</v>
      </c>
      <c r="M86" s="122">
        <f>'Ethylene Recycling HC'!M94</f>
        <v>1924.946691334939</v>
      </c>
      <c r="N86" s="122">
        <f>'Ethylene Recycling HC'!N94</f>
        <v>2184.881986344365</v>
      </c>
      <c r="O86" s="122">
        <f>'Ethylene Recycling HC'!O94</f>
        <v>2460.2219292292798</v>
      </c>
      <c r="P86" s="122">
        <f>'Ethylene Recycling HC'!P94</f>
        <v>2728.3761795932573</v>
      </c>
      <c r="Q86" s="122">
        <f>'Ethylene Recycling HC'!Q94</f>
        <v>2997.4660505316683</v>
      </c>
      <c r="R86" s="122">
        <f>'Ethylene Recycling HC'!R94</f>
        <v>3265.5719954585206</v>
      </c>
      <c r="S86" s="122">
        <f>'Ethylene Recycling HC'!S94</f>
        <v>3530.7649456946065</v>
      </c>
      <c r="T86" s="122">
        <f>'Ethylene Recycling HC'!T94</f>
        <v>3791.1065546592904</v>
      </c>
      <c r="U86" s="122">
        <f>'Ethylene Recycling HC'!U94</f>
        <v>4044.6494420622957</v>
      </c>
      <c r="V86" s="122">
        <f>'Ethylene Recycling HC'!V94</f>
        <v>4289.4374380954941</v>
      </c>
      <c r="W86" s="122">
        <f>'Ethylene Recycling HC'!W94</f>
        <v>4523.5058276246882</v>
      </c>
      <c r="X86" s="122">
        <f>'Ethylene Recycling HC'!X94</f>
        <v>4753.2649779175845</v>
      </c>
      <c r="Y86" s="122">
        <f>'Ethylene Recycling HC'!Y94</f>
        <v>5048.117742354958</v>
      </c>
      <c r="Z86" s="122">
        <f>'Ethylene Recycling HC'!Z94</f>
        <v>5325.2103638518702</v>
      </c>
      <c r="AA86" s="122">
        <f>'Ethylene Recycling HC'!AA94</f>
        <v>5581.3262126594318</v>
      </c>
      <c r="AB86" s="122">
        <f>'Ethylene Recycling HC'!AB94</f>
        <v>5813.23602067304</v>
      </c>
      <c r="AC86" s="122">
        <f>'Ethylene Recycling HC'!AC94</f>
        <v>6017.6982789483418</v>
      </c>
      <c r="AD86" s="122">
        <f>'Ethylene Recycling HC'!AD94</f>
        <v>6191.4596352172093</v>
      </c>
      <c r="AE86" s="122">
        <f>'Ethylene Recycling HC'!AE94</f>
        <v>6331.2552914036805</v>
      </c>
      <c r="AF86" s="122">
        <f>'Ethylene Recycling HC'!AF94</f>
        <v>6433.8094011399389</v>
      </c>
      <c r="AG86" s="122">
        <f>'Ethylene Recycling HC'!AG94</f>
        <v>6495.8354672822743</v>
      </c>
      <c r="AH86" s="230"/>
      <c r="AI86" s="126"/>
      <c r="AJ86" s="198"/>
      <c r="AL86" s="102"/>
      <c r="AM86" s="2"/>
      <c r="AN86" s="2"/>
      <c r="AO86" s="2"/>
      <c r="BC86" s="1"/>
      <c r="BD86" s="2"/>
      <c r="BE86" s="2"/>
      <c r="BF86" s="2"/>
      <c r="BG86" s="2"/>
      <c r="BH86" s="2"/>
      <c r="BI86" s="2"/>
      <c r="BJ86" s="2"/>
      <c r="BK86" s="2"/>
    </row>
    <row r="87" spans="1:63" outlineLevel="1">
      <c r="A87" s="4" t="s">
        <v>27</v>
      </c>
      <c r="C87" s="122">
        <f>'Ethylene Recycling HC'!C95</f>
        <v>0</v>
      </c>
      <c r="D87" s="122">
        <f>'Ethylene Recycling HC'!D95</f>
        <v>166.15045514196927</v>
      </c>
      <c r="E87" s="122">
        <f>'Ethylene Recycling HC'!E95</f>
        <v>339.3179721224754</v>
      </c>
      <c r="F87" s="122">
        <f>'Ethylene Recycling HC'!F95</f>
        <v>519.07176707855911</v>
      </c>
      <c r="G87" s="122">
        <f>'Ethylene Recycling HC'!G95</f>
        <v>704.97797811364114</v>
      </c>
      <c r="H87" s="122">
        <f>'Ethylene Recycling HC'!H95</f>
        <v>896.59972405861754</v>
      </c>
      <c r="I87" s="122">
        <f>'Ethylene Recycling HC'!I95</f>
        <v>1093.4971632329598</v>
      </c>
      <c r="J87" s="122">
        <f>'Ethylene Recycling HC'!J95</f>
        <v>1295.2275522058103</v>
      </c>
      <c r="K87" s="122">
        <f>'Ethylene Recycling HC'!K95</f>
        <v>1501.3453045570786</v>
      </c>
      <c r="L87" s="122">
        <f>'Ethylene Recycling HC'!L95</f>
        <v>1711.4020496385417</v>
      </c>
      <c r="M87" s="122">
        <f>'Ethylene Recycling HC'!M95</f>
        <v>1924.946691334939</v>
      </c>
      <c r="N87" s="122">
        <f>'Ethylene Recycling HC'!N95</f>
        <v>2184.881986344365</v>
      </c>
      <c r="O87" s="122">
        <f>'Ethylene Recycling HC'!O95</f>
        <v>2460.2219292292798</v>
      </c>
      <c r="P87" s="122">
        <f>'Ethylene Recycling HC'!P95</f>
        <v>2728.3761795932573</v>
      </c>
      <c r="Q87" s="122">
        <f>'Ethylene Recycling HC'!Q95</f>
        <v>2997.4660505316683</v>
      </c>
      <c r="R87" s="122">
        <f>'Ethylene Recycling HC'!R95</f>
        <v>3265.5719954585206</v>
      </c>
      <c r="S87" s="122">
        <f>'Ethylene Recycling HC'!S95</f>
        <v>3530.7649456946065</v>
      </c>
      <c r="T87" s="122">
        <f>'Ethylene Recycling HC'!T95</f>
        <v>3791.1065546592904</v>
      </c>
      <c r="U87" s="122">
        <f>'Ethylene Recycling HC'!U95</f>
        <v>4044.6494420622957</v>
      </c>
      <c r="V87" s="122">
        <f>'Ethylene Recycling HC'!V95</f>
        <v>4289.4374380954941</v>
      </c>
      <c r="W87" s="122">
        <f>'Ethylene Recycling HC'!W95</f>
        <v>4523.5058276246882</v>
      </c>
      <c r="X87" s="122">
        <f>'Ethylene Recycling HC'!X95</f>
        <v>4753.2649779175845</v>
      </c>
      <c r="Y87" s="122">
        <f>'Ethylene Recycling HC'!Y95</f>
        <v>5048.117742354958</v>
      </c>
      <c r="Z87" s="122">
        <f>'Ethylene Recycling HC'!Z95</f>
        <v>5325.2103638518702</v>
      </c>
      <c r="AA87" s="122">
        <f>'Ethylene Recycling HC'!AA95</f>
        <v>5581.3262126594318</v>
      </c>
      <c r="AB87" s="122">
        <f>'Ethylene Recycling HC'!AB95</f>
        <v>5813.23602067304</v>
      </c>
      <c r="AC87" s="122">
        <f>'Ethylene Recycling HC'!AC95</f>
        <v>6017.6982789483418</v>
      </c>
      <c r="AD87" s="122">
        <f>'Ethylene Recycling HC'!AD95</f>
        <v>6191.4596352172093</v>
      </c>
      <c r="AE87" s="122">
        <f>'Ethylene Recycling HC'!AE95</f>
        <v>6331.2552914036805</v>
      </c>
      <c r="AF87" s="122">
        <f>'Ethylene Recycling HC'!AF95</f>
        <v>6433.8094011399389</v>
      </c>
      <c r="AG87" s="122">
        <f>'Ethylene Recycling HC'!AG95</f>
        <v>6495.8354672822743</v>
      </c>
      <c r="AH87" s="230"/>
      <c r="AI87" s="126"/>
      <c r="AJ87" s="198"/>
      <c r="AL87" s="102"/>
      <c r="AM87" s="2"/>
      <c r="AN87" s="2"/>
      <c r="AO87" s="2"/>
      <c r="BC87" s="1"/>
      <c r="BD87" s="2"/>
      <c r="BE87" s="2"/>
      <c r="BF87" s="2"/>
      <c r="BG87" s="2"/>
      <c r="BH87" s="2"/>
      <c r="BI87" s="2"/>
      <c r="BJ87" s="2"/>
      <c r="BK87" s="2"/>
    </row>
    <row r="88" spans="1:63" s="1" customFormat="1" outlineLevel="1">
      <c r="A88" s="1" t="s">
        <v>830</v>
      </c>
      <c r="B88" s="61"/>
      <c r="C88" s="606">
        <f>'Ethylene Recycling HC'!C96</f>
        <v>16574.909307958587</v>
      </c>
      <c r="D88" s="606">
        <f>'Ethylene Recycling HC'!D96</f>
        <v>16890.035875749723</v>
      </c>
      <c r="E88" s="606">
        <f>'Ethylene Recycling HC'!E96</f>
        <v>17188.569537429965</v>
      </c>
      <c r="F88" s="606">
        <f>'Ethylene Recycling HC'!F96</f>
        <v>17470.598612392903</v>
      </c>
      <c r="G88" s="606">
        <f>'Ethylene Recycling HC'!G96</f>
        <v>17736.21142003213</v>
      </c>
      <c r="H88" s="606">
        <f>'Ethylene Recycling HC'!H96</f>
        <v>17985.496279741237</v>
      </c>
      <c r="I88" s="606">
        <f>'Ethylene Recycling HC'!I96</f>
        <v>18218.541510913812</v>
      </c>
      <c r="J88" s="606">
        <f>'Ethylene Recycling HC'!J96</f>
        <v>18435.435432943454</v>
      </c>
      <c r="K88" s="606">
        <f>'Ethylene Recycling HC'!K96</f>
        <v>18636.266365223746</v>
      </c>
      <c r="L88" s="606">
        <f>'Ethylene Recycling HC'!L96</f>
        <v>18821.122627148281</v>
      </c>
      <c r="M88" s="606">
        <f>'Ethylene Recycling HC'!M96</f>
        <v>18990.092538110661</v>
      </c>
      <c r="N88" s="606">
        <f>'Ethylene Recycling HC'!N96</f>
        <v>19530.8317522096</v>
      </c>
      <c r="O88" s="606">
        <f>'Ethylene Recycling HC'!O96</f>
        <v>20093.712854103884</v>
      </c>
      <c r="P88" s="606">
        <f>'Ethylene Recycling HC'!P96</f>
        <v>20502.856814556053</v>
      </c>
      <c r="Q88" s="606">
        <f>'Ethylene Recycling HC'!Q96</f>
        <v>20848.299391967841</v>
      </c>
      <c r="R88" s="606">
        <f>'Ethylene Recycling HC'!R96</f>
        <v>21130.407612681545</v>
      </c>
      <c r="S88" s="606">
        <f>'Ethylene Recycling HC'!S96</f>
        <v>21349.54850303947</v>
      </c>
      <c r="T88" s="606">
        <f>'Ethylene Recycling HC'!T96</f>
        <v>21506.089089383906</v>
      </c>
      <c r="U88" s="606">
        <f>'Ethylene Recycling HC'!U96</f>
        <v>21600.396398057175</v>
      </c>
      <c r="V88" s="606">
        <f>'Ethylene Recycling HC'!V96</f>
        <v>21632.837455401568</v>
      </c>
      <c r="W88" s="606">
        <f>'Ethylene Recycling HC'!W96</f>
        <v>21603.779287759375</v>
      </c>
      <c r="X88" s="606">
        <f>'Ethylene Recycling HC'!X96</f>
        <v>21551.599705004781</v>
      </c>
      <c r="Y88" s="606">
        <f>'Ethylene Recycling HC'!Y96</f>
        <v>21779.110663617241</v>
      </c>
      <c r="Z88" s="606">
        <f>'Ethylene Recycling HC'!Z96</f>
        <v>21906.508992410254</v>
      </c>
      <c r="AA88" s="606">
        <f>'Ethylene Recycling HC'!AA96</f>
        <v>21934.392167780217</v>
      </c>
      <c r="AB88" s="606">
        <f>'Ethylene Recycling HC'!AB96</f>
        <v>21863.357666123491</v>
      </c>
      <c r="AC88" s="606">
        <f>'Ethylene Recycling HC'!AC96</f>
        <v>21694.00296383645</v>
      </c>
      <c r="AD88" s="606">
        <f>'Ethylene Recycling HC'!AD96</f>
        <v>21426.925537315481</v>
      </c>
      <c r="AE88" s="606">
        <f>'Ethylene Recycling HC'!AE96</f>
        <v>21062.722862956944</v>
      </c>
      <c r="AF88" s="606">
        <f>'Ethylene Recycling HC'!AF96</f>
        <v>20601.992417157235</v>
      </c>
      <c r="AG88" s="606">
        <f>'Ethylene Recycling HC'!AG96</f>
        <v>20045.331676312737</v>
      </c>
      <c r="AH88" s="397"/>
      <c r="AI88" s="398"/>
      <c r="AJ88" s="399"/>
      <c r="AL88" s="207"/>
      <c r="AM88" s="118"/>
      <c r="AN88" s="118"/>
      <c r="AO88" s="118"/>
      <c r="BD88" s="118"/>
      <c r="BE88" s="118"/>
      <c r="BF88" s="118"/>
      <c r="BG88" s="118"/>
      <c r="BH88" s="118"/>
      <c r="BI88" s="118"/>
      <c r="BJ88" s="118"/>
      <c r="BK88" s="118"/>
    </row>
    <row r="89" spans="1:63" outlineLevel="1">
      <c r="A89" s="4" t="s">
        <v>141</v>
      </c>
      <c r="C89" s="122">
        <f>'Ethylene Recycling HC'!C97</f>
        <v>11894.630678472507</v>
      </c>
      <c r="D89" s="122">
        <f>'Ethylene Recycling HC'!D97</f>
        <v>12228.835635387348</v>
      </c>
      <c r="E89" s="122">
        <f>'Ethylene Recycling HC'!E97</f>
        <v>12554.953035156526</v>
      </c>
      <c r="F89" s="122">
        <f>'Ethylene Recycling HC'!F97</f>
        <v>12872.729473269972</v>
      </c>
      <c r="G89" s="122">
        <f>'Ethylene Recycling HC'!G97</f>
        <v>13181.913805459029</v>
      </c>
      <c r="H89" s="122">
        <f>'Ethylene Recycling HC'!H97</f>
        <v>13482.257147696455</v>
      </c>
      <c r="I89" s="122">
        <f>'Ethylene Recycling HC'!I97</f>
        <v>13773.512876196413</v>
      </c>
      <c r="J89" s="122">
        <f>'Ethylene Recycling HC'!J97</f>
        <v>14055.436627414498</v>
      </c>
      <c r="K89" s="122">
        <f>'Ethylene Recycling HC'!K97</f>
        <v>14327.786298047697</v>
      </c>
      <c r="L89" s="122">
        <f>'Ethylene Recycling HC'!L97</f>
        <v>14590.322045034422</v>
      </c>
      <c r="M89" s="122">
        <f>'Ethylene Recycling HC'!M97</f>
        <v>14842.806285554503</v>
      </c>
      <c r="N89" s="122">
        <f>'Ethylene Recycling HC'!N97</f>
        <v>15390.40901084434</v>
      </c>
      <c r="O89" s="122">
        <f>'Ethylene Recycling HC'!O97</f>
        <v>15962.520546219048</v>
      </c>
      <c r="P89" s="122">
        <f>'Ethylene Recycling HC'!P97</f>
        <v>16418.721660098818</v>
      </c>
      <c r="Q89" s="122">
        <f>'Ethylene Recycling HC'!Q97</f>
        <v>16828.738384821449</v>
      </c>
      <c r="R89" s="122">
        <f>'Ethylene Recycling HC'!R97</f>
        <v>17191.646663173822</v>
      </c>
      <c r="S89" s="122">
        <f>'Ethylene Recycling HC'!S97</f>
        <v>17506.531830762506</v>
      </c>
      <c r="T89" s="122">
        <f>'Ethylene Recycling HC'!T97</f>
        <v>17772.488616013743</v>
      </c>
      <c r="U89" s="122">
        <f>'Ethylene Recycling HC'!U97</f>
        <v>17988.621140173491</v>
      </c>
      <c r="V89" s="122">
        <f>'Ethylene Recycling HC'!V97</f>
        <v>18154.042917307361</v>
      </c>
      <c r="W89" s="122">
        <f>'Ethylene Recycling HC'!W97</f>
        <v>18267.876854300655</v>
      </c>
      <c r="X89" s="122">
        <f>'Ethylene Recycling HC'!X97</f>
        <v>18361.639868607825</v>
      </c>
      <c r="Y89" s="122">
        <f>'Ethylene Recycling HC'!Y97</f>
        <v>18694.816787313062</v>
      </c>
      <c r="Z89" s="122">
        <f>'Ethylene Recycling HC'!Z97</f>
        <v>18944.329414655382</v>
      </c>
      <c r="AA89" s="122">
        <f>'Ethylene Recycling HC'!AA97</f>
        <v>19108.776721803737</v>
      </c>
      <c r="AB89" s="122">
        <f>'Ethylene Recycling HC'!AB97</f>
        <v>19186.772970350143</v>
      </c>
      <c r="AC89" s="122">
        <f>'Ethylene Recycling HC'!AC97</f>
        <v>19176.947712309699</v>
      </c>
      <c r="AD89" s="122">
        <f>'Ethylene Recycling HC'!AD97</f>
        <v>19077.945790120611</v>
      </c>
      <c r="AE89" s="122">
        <f>'Ethylene Recycling HC'!AE97</f>
        <v>18888.427336644148</v>
      </c>
      <c r="AF89" s="122">
        <f>'Ethylene Recycling HC'!AF97</f>
        <v>18607.067775164687</v>
      </c>
      <c r="AG89" s="122">
        <f>'Ethylene Recycling HC'!AG97</f>
        <v>18232.557819389673</v>
      </c>
      <c r="AH89" s="230"/>
      <c r="AI89" s="126"/>
      <c r="AJ89" s="198"/>
      <c r="AL89" s="102"/>
      <c r="AM89" s="2"/>
      <c r="AN89" s="2"/>
      <c r="AO89" s="2"/>
      <c r="BC89" s="1"/>
      <c r="BD89" s="2"/>
      <c r="BE89" s="2"/>
      <c r="BF89" s="2"/>
      <c r="BG89" s="2"/>
      <c r="BH89" s="2"/>
      <c r="BI89" s="2"/>
      <c r="BJ89" s="2"/>
      <c r="BK89" s="2"/>
    </row>
    <row r="90" spans="1:63" outlineLevel="1">
      <c r="A90" s="4" t="s">
        <v>74</v>
      </c>
      <c r="C90" s="122">
        <f>'Ethylene Recycling HC'!C98</f>
        <v>4318.9524364489225</v>
      </c>
      <c r="D90" s="122">
        <f>'Ethylene Recycling HC'!D98</f>
        <v>4264.6585802185864</v>
      </c>
      <c r="E90" s="122">
        <f>'Ethylene Recycling HC'!E98</f>
        <v>4201.2190605286905</v>
      </c>
      <c r="F90" s="122">
        <f>'Ethylene Recycling HC'!F98</f>
        <v>4129.0567728204533</v>
      </c>
      <c r="G90" s="122">
        <f>'Ethylene Recycling HC'!G98</f>
        <v>4048.5917594027633</v>
      </c>
      <c r="H90" s="122">
        <f>'Ethylene Recycling HC'!H98</f>
        <v>3960.2412094521824</v>
      </c>
      <c r="I90" s="122">
        <f>'Ethylene Recycling HC'!I98</f>
        <v>3864.4194590129437</v>
      </c>
      <c r="J90" s="122">
        <f>'Ethylene Recycling HC'!J98</f>
        <v>3761.5379909969538</v>
      </c>
      <c r="K90" s="122">
        <f>'Ethylene Recycling HC'!K98</f>
        <v>3652.0054351837903</v>
      </c>
      <c r="L90" s="122">
        <f>'Ethylene Recycling HC'!L98</f>
        <v>3536.2275682207028</v>
      </c>
      <c r="M90" s="122">
        <f>'Ethylene Recycling HC'!M98</f>
        <v>3414.6073136226155</v>
      </c>
      <c r="N90" s="122">
        <f>'Ethylene Recycling HC'!N98</f>
        <v>3354.1031366991351</v>
      </c>
      <c r="O90" s="122">
        <f>'Ethylene Recycling HC'!O98</f>
        <v>3288.4884360319907</v>
      </c>
      <c r="P90" s="122">
        <f>'Ethylene Recycling HC'!P98</f>
        <v>3189.8632399626799</v>
      </c>
      <c r="Q90" s="122">
        <f>'Ethylene Recycling HC'!Q98</f>
        <v>3075.233118641549</v>
      </c>
      <c r="R90" s="122">
        <f>'Ethylene Recycling HC'!R98</f>
        <v>2946.1926371941254</v>
      </c>
      <c r="S90" s="122">
        <f>'Ethylene Recycling HC'!S98</f>
        <v>2804.3245040666766</v>
      </c>
      <c r="T90" s="122">
        <f>'Ethylene Recycling HC'!T98</f>
        <v>2651.1995710262067</v>
      </c>
      <c r="U90" s="122">
        <f>'Ethylene Recycling HC'!U98</f>
        <v>2488.3768331604615</v>
      </c>
      <c r="V90" s="122">
        <f>'Ethylene Recycling HC'!V98</f>
        <v>2317.4034288779226</v>
      </c>
      <c r="W90" s="122">
        <f>'Ethylene Recycling HC'!W98</f>
        <v>2139.8146399078082</v>
      </c>
      <c r="X90" s="122">
        <f>'Ethylene Recycling HC'!X98</f>
        <v>1960.5918077340436</v>
      </c>
      <c r="Y90" s="122">
        <f>'Ethylene Recycling HC'!Y98</f>
        <v>1805.3969720502355</v>
      </c>
      <c r="Z90" s="122">
        <f>'Ethylene Recycling HC'!Z98</f>
        <v>1639.0369087129643</v>
      </c>
      <c r="AA90" s="122">
        <f>'Ethylene Recycling HC'!AA98</f>
        <v>1463.9770774062811</v>
      </c>
      <c r="AB90" s="122">
        <f>'Ethylene Recycling HC'!AB98</f>
        <v>1282.6636365129875</v>
      </c>
      <c r="AC90" s="122">
        <f>'Ethylene Recycling HC'!AC98</f>
        <v>1097.5234431146403</v>
      </c>
      <c r="AD90" s="122">
        <f>'Ethylene Recycling HC'!AD98</f>
        <v>910.96405299154947</v>
      </c>
      <c r="AE90" s="122">
        <f>'Ethylene Recycling HC'!AE98</f>
        <v>725.37372062277825</v>
      </c>
      <c r="AF90" s="122">
        <f>'Ethylene Recycling HC'!AF98</f>
        <v>543.12139918614412</v>
      </c>
      <c r="AG90" s="122">
        <f>'Ethylene Recycling HC'!AG98</f>
        <v>366.55674055822146</v>
      </c>
      <c r="AH90" s="230"/>
      <c r="AI90" s="126"/>
      <c r="AJ90" s="198"/>
      <c r="AL90" s="102"/>
      <c r="AM90" s="2"/>
      <c r="AN90" s="2"/>
      <c r="AO90" s="2"/>
      <c r="BC90" s="1"/>
      <c r="BD90" s="2"/>
      <c r="BE90" s="2"/>
      <c r="BF90" s="2"/>
      <c r="BG90" s="2"/>
      <c r="BH90" s="2"/>
      <c r="BI90" s="2"/>
      <c r="BJ90" s="2"/>
      <c r="BK90" s="2"/>
    </row>
    <row r="91" spans="1:63" outlineLevel="1">
      <c r="A91" s="4" t="s">
        <v>34</v>
      </c>
      <c r="C91" s="122">
        <f>'Ethylene Recycling HC'!C99</f>
        <v>0</v>
      </c>
      <c r="D91" s="122">
        <f>'Ethylene Recycling HC'!D99</f>
        <v>12.559211682286888</v>
      </c>
      <c r="E91" s="122">
        <f>'Ethylene Recycling HC'!E99</f>
        <v>25.562394884695127</v>
      </c>
      <c r="F91" s="122">
        <f>'Ethylene Recycling HC'!F99</f>
        <v>38.972731817167407</v>
      </c>
      <c r="G91" s="122">
        <f>'Ethylene Recycling HC'!G99</f>
        <v>52.753667382270137</v>
      </c>
      <c r="H91" s="122">
        <f>'Ethylene Recycling HC'!H99</f>
        <v>66.868909175193465</v>
      </c>
      <c r="I91" s="122">
        <f>'Ethylene Recycling HC'!I99</f>
        <v>81.282427483751263</v>
      </c>
      <c r="J91" s="122">
        <f>'Ethylene Recycling HC'!J99</f>
        <v>95.958455288381145</v>
      </c>
      <c r="K91" s="122">
        <f>'Ethylene Recycling HC'!K99</f>
        <v>110.86148826214441</v>
      </c>
      <c r="L91" s="122">
        <f>'Ethylene Recycling HC'!L99</f>
        <v>125.95628477072611</v>
      </c>
      <c r="M91" s="122">
        <f>'Ethylene Recycling HC'!M99</f>
        <v>141.20786587243512</v>
      </c>
      <c r="N91" s="122">
        <f>'Ethylene Recycling HC'!N99</f>
        <v>159.75160581230355</v>
      </c>
      <c r="O91" s="122">
        <f>'Ethylene Recycling HC'!O99</f>
        <v>179.29709213710791</v>
      </c>
      <c r="P91" s="122">
        <f>'Ethylene Recycling HC'!P99</f>
        <v>198.19356035468277</v>
      </c>
      <c r="Q91" s="122">
        <f>'Ethylene Recycling HC'!Q99</f>
        <v>217.03535154564162</v>
      </c>
      <c r="R91" s="122">
        <f>'Ethylene Recycling HC'!R99</f>
        <v>235.68445688297925</v>
      </c>
      <c r="S91" s="122">
        <f>'Ethylene Recycling HC'!S99</f>
        <v>254.00395920380777</v>
      </c>
      <c r="T91" s="122">
        <f>'Ethylene Recycling HC'!T99</f>
        <v>271.85803300935635</v>
      </c>
      <c r="U91" s="122">
        <f>'Ethylene Recycling HC'!U99</f>
        <v>289.1119444649716</v>
      </c>
      <c r="V91" s="122">
        <f>'Ethylene Recycling HC'!V99</f>
        <v>305.63205140011723</v>
      </c>
      <c r="W91" s="122">
        <f>'Ethylene Recycling HC'!W99</f>
        <v>321.28580330837377</v>
      </c>
      <c r="X91" s="122">
        <f>'Ethylene Recycling HC'!X99</f>
        <v>336.53529218901639</v>
      </c>
      <c r="Y91" s="122">
        <f>'Ethylene Recycling HC'!Y99</f>
        <v>356.28261466981292</v>
      </c>
      <c r="Z91" s="122">
        <f>'Ethylene Recycling HC'!Z99</f>
        <v>374.65610911841537</v>
      </c>
      <c r="AA91" s="122">
        <f>'Ethylene Recycling HC'!AA99</f>
        <v>391.44311079121752</v>
      </c>
      <c r="AB91" s="122">
        <f>'Ethylene Recycling HC'!AB99</f>
        <v>406.43273204741837</v>
      </c>
      <c r="AC91" s="122">
        <f>'Ethylene Recycling HC'!AC99</f>
        <v>419.41586234902331</v>
      </c>
      <c r="AD91" s="122">
        <f>'Ethylene Recycling HC'!AD99</f>
        <v>430.18516826084402</v>
      </c>
      <c r="AE91" s="122">
        <f>'Ethylene Recycling HC'!AE99</f>
        <v>438.53509345049758</v>
      </c>
      <c r="AF91" s="122">
        <f>'Ethylene Recycling HC'!AF99</f>
        <v>444.2618586884081</v>
      </c>
      <c r="AG91" s="122">
        <f>'Ethylene Recycling HC'!AG99</f>
        <v>447.16346184780502</v>
      </c>
      <c r="AH91" s="230"/>
      <c r="AI91" s="126"/>
      <c r="AJ91" s="198"/>
      <c r="AL91" s="102"/>
      <c r="AM91" s="2"/>
      <c r="AN91" s="2"/>
      <c r="AO91" s="2"/>
      <c r="BC91" s="1"/>
      <c r="BD91" s="2"/>
      <c r="BE91" s="2"/>
      <c r="BF91" s="2"/>
      <c r="BG91" s="2"/>
      <c r="BH91" s="2"/>
      <c r="BI91" s="2"/>
      <c r="BJ91" s="2"/>
      <c r="BK91" s="2"/>
    </row>
    <row r="92" spans="1:63" outlineLevel="1">
      <c r="A92" s="4" t="s">
        <v>35</v>
      </c>
      <c r="C92" s="122">
        <f>'Ethylene Recycling HC'!C100</f>
        <v>361.32619303715694</v>
      </c>
      <c r="D92" s="122">
        <f>'Ethylene Recycling HC'!D100</f>
        <v>383.42176936854349</v>
      </c>
      <c r="E92" s="122">
        <f>'Ethylene Recycling HC'!E100</f>
        <v>405.69386851698675</v>
      </c>
      <c r="F92" s="122">
        <f>'Ethylene Recycling HC'!F100</f>
        <v>428.09978038633051</v>
      </c>
      <c r="G92" s="122">
        <f>'Ethylene Recycling HC'!G100</f>
        <v>450.59711335135995</v>
      </c>
      <c r="H92" s="122">
        <f>'Ethylene Recycling HC'!H100</f>
        <v>473.14379425780163</v>
      </c>
      <c r="I92" s="122">
        <f>'Ethylene Recycling HC'!I100</f>
        <v>495.69806842232344</v>
      </c>
      <c r="J92" s="122">
        <f>'Ethylene Recycling HC'!J100</f>
        <v>518.21849963253476</v>
      </c>
      <c r="K92" s="122">
        <f>'Ethylene Recycling HC'!K100</f>
        <v>540.66397014698623</v>
      </c>
      <c r="L92" s="122">
        <f>'Ethylene Recycling HC'!L100</f>
        <v>562.99368069516993</v>
      </c>
      <c r="M92" s="122">
        <f>'Ethylene Recycling HC'!M100</f>
        <v>585.16715047751961</v>
      </c>
      <c r="N92" s="122">
        <f>'Ethylene Recycling HC'!N100</f>
        <v>619.43623073720516</v>
      </c>
      <c r="O92" s="122">
        <f>'Ethylene Recycling HC'!O100</f>
        <v>655.40244524533421</v>
      </c>
      <c r="P92" s="122">
        <f>'Ethylene Recycling HC'!P100</f>
        <v>687.23042733832813</v>
      </c>
      <c r="Q92" s="122">
        <f>'Ethylene Recycling HC'!Q100</f>
        <v>717.60345876520398</v>
      </c>
      <c r="R92" s="122">
        <f>'Ethylene Recycling HC'!R100</f>
        <v>746.36222789120563</v>
      </c>
      <c r="S92" s="122">
        <f>'Ethylene Recycling HC'!S100</f>
        <v>773.34874654203111</v>
      </c>
      <c r="T92" s="122">
        <f>'Ethylene Recycling HC'!T100</f>
        <v>798.40635000383224</v>
      </c>
      <c r="U92" s="122">
        <f>'Ethylene Recycling HC'!U100</f>
        <v>821.37969702321584</v>
      </c>
      <c r="V92" s="122">
        <f>'Ethylene Recycling HC'!V100</f>
        <v>842.11476980724171</v>
      </c>
      <c r="W92" s="122">
        <f>'Ethylene Recycling HC'!W100</f>
        <v>860.45887402342362</v>
      </c>
      <c r="X92" s="122">
        <f>'Ethylene Recycling HC'!X100</f>
        <v>877.8088395011797</v>
      </c>
      <c r="Y92" s="122">
        <f>'Ethylene Recycling HC'!Y100</f>
        <v>906.70881571495033</v>
      </c>
      <c r="Z92" s="122">
        <f>'Ethylene Recycling HC'!Z100</f>
        <v>931.76084076643008</v>
      </c>
      <c r="AA92" s="122">
        <f>'Ethylene Recycling HC'!AA100</f>
        <v>952.72011890438353</v>
      </c>
      <c r="AB92" s="122">
        <f>'Ethylene Recycling HC'!AB100</f>
        <v>969.34400881798183</v>
      </c>
      <c r="AC92" s="122">
        <f>'Ethylene Recycling HC'!AC100</f>
        <v>981.39202363680533</v>
      </c>
      <c r="AD92" s="122">
        <f>'Ethylene Recycling HC'!AD100</f>
        <v>988.62583093084356</v>
      </c>
      <c r="AE92" s="122">
        <f>'Ethylene Recycling HC'!AE100</f>
        <v>990.8092527104933</v>
      </c>
      <c r="AF92" s="122">
        <f>'Ethylene Recycling HC'!AF100</f>
        <v>987.70826542656118</v>
      </c>
      <c r="AG92" s="122">
        <f>'Ethylene Recycling HC'!AG100</f>
        <v>979.09099997026328</v>
      </c>
      <c r="AH92" s="230"/>
      <c r="AI92" s="126"/>
      <c r="AJ92" s="198"/>
      <c r="AL92" s="102"/>
      <c r="AM92" s="2"/>
      <c r="AN92" s="2"/>
      <c r="AO92" s="2"/>
      <c r="BC92" s="1"/>
      <c r="BD92" s="2"/>
      <c r="BE92" s="2"/>
      <c r="BF92" s="2"/>
      <c r="BG92" s="2"/>
      <c r="BH92" s="2"/>
      <c r="BI92" s="2"/>
      <c r="BJ92" s="2"/>
      <c r="BK92" s="2"/>
    </row>
    <row r="93" spans="1:63" outlineLevel="1">
      <c r="A93" s="4" t="s">
        <v>27</v>
      </c>
      <c r="C93" s="122">
        <f>'Ethylene Recycling HC'!C101</f>
        <v>0</v>
      </c>
      <c r="D93" s="122">
        <f>'Ethylene Recycling HC'!D101</f>
        <v>0.56067909295923601</v>
      </c>
      <c r="E93" s="122">
        <f>'Ethylene Recycling HC'!E101</f>
        <v>1.1411783430667466</v>
      </c>
      <c r="F93" s="122">
        <f>'Ethylene Recycling HC'!F101</f>
        <v>1.7398540989806874</v>
      </c>
      <c r="G93" s="122">
        <f>'Ethylene Recycling HC'!G101</f>
        <v>2.3550744367084882</v>
      </c>
      <c r="H93" s="122">
        <f>'Ethylene Recycling HC'!H101</f>
        <v>2.9852191596068516</v>
      </c>
      <c r="I93" s="122">
        <f>'Ethylene Recycling HC'!I101</f>
        <v>3.6286797983817531</v>
      </c>
      <c r="J93" s="122">
        <f>'Ethylene Recycling HC'!J101</f>
        <v>4.2838596110884444</v>
      </c>
      <c r="K93" s="122">
        <f>'Ethylene Recycling HC'!K101</f>
        <v>4.9491735831314472</v>
      </c>
      <c r="L93" s="122">
        <f>'Ethylene Recycling HC'!L101</f>
        <v>5.6230484272645596</v>
      </c>
      <c r="M93" s="122">
        <f>'Ethylene Recycling HC'!M101</f>
        <v>6.3039225835908548</v>
      </c>
      <c r="N93" s="122">
        <f>'Ethylene Recycling HC'!N101</f>
        <v>7.1317681166206963</v>
      </c>
      <c r="O93" s="122">
        <f>'Ethylene Recycling HC'!O101</f>
        <v>8.0043344704066044</v>
      </c>
      <c r="P93" s="122">
        <f>'Ethylene Recycling HC'!P101</f>
        <v>8.8479268015483399</v>
      </c>
      <c r="Q93" s="122">
        <f>'Ethylene Recycling HC'!Q101</f>
        <v>9.6890781940018584</v>
      </c>
      <c r="R93" s="122">
        <f>'Ethylene Recycling HC'!R101</f>
        <v>10.521627539418716</v>
      </c>
      <c r="S93" s="122">
        <f>'Ethylene Recycling HC'!S101</f>
        <v>11.339462464455702</v>
      </c>
      <c r="T93" s="122">
        <f>'Ethylene Recycling HC'!T101</f>
        <v>12.136519330774831</v>
      </c>
      <c r="U93" s="122">
        <f>'Ethylene Recycling HC'!U101</f>
        <v>12.90678323504337</v>
      </c>
      <c r="V93" s="122">
        <f>'Ethylene Recycling HC'!V101</f>
        <v>13.644288008933797</v>
      </c>
      <c r="W93" s="122">
        <f>'Ethylene Recycling HC'!W101</f>
        <v>14.343116219123822</v>
      </c>
      <c r="X93" s="122">
        <f>'Ethylene Recycling HC'!X101</f>
        <v>15.023896972723936</v>
      </c>
      <c r="Y93" s="122">
        <f>'Ethylene Recycling HC'!Y101</f>
        <v>15.905473869188064</v>
      </c>
      <c r="Z93" s="122">
        <f>'Ethylene Recycling HC'!Z101</f>
        <v>16.725719157072103</v>
      </c>
      <c r="AA93" s="122">
        <f>'Ethylene Recycling HC'!AA101</f>
        <v>17.475138874607911</v>
      </c>
      <c r="AB93" s="122">
        <f>'Ethylene Recycling HC'!AB101</f>
        <v>18.144318394974018</v>
      </c>
      <c r="AC93" s="122">
        <f>'Ethylene Recycling HC'!AC101</f>
        <v>18.723922426295665</v>
      </c>
      <c r="AD93" s="122">
        <f>'Ethylene Recycling HC'!AD101</f>
        <v>19.204695011644802</v>
      </c>
      <c r="AE93" s="122">
        <f>'Ethylene Recycling HC'!AE101</f>
        <v>19.577459529040052</v>
      </c>
      <c r="AF93" s="122">
        <f>'Ethylene Recycling HC'!AF101</f>
        <v>19.833118691446771</v>
      </c>
      <c r="AG93" s="122">
        <f>'Ethylene Recycling HC'!AG101</f>
        <v>19.962654546777014</v>
      </c>
      <c r="AH93" s="230"/>
      <c r="AI93" s="126"/>
      <c r="AJ93" s="198"/>
      <c r="AL93" s="102"/>
      <c r="AM93" s="2"/>
      <c r="AN93" s="2"/>
      <c r="AO93" s="2"/>
      <c r="BC93" s="1"/>
      <c r="BD93" s="2"/>
      <c r="BE93" s="2"/>
      <c r="BF93" s="2"/>
      <c r="BG93" s="2"/>
      <c r="BH93" s="2"/>
      <c r="BI93" s="2"/>
      <c r="BJ93" s="2"/>
      <c r="BK93" s="2"/>
    </row>
    <row r="94" spans="1:63" outlineLevel="1">
      <c r="AI94" s="127"/>
      <c r="AJ94" s="198"/>
      <c r="AL94" s="102"/>
      <c r="AM94" s="125"/>
      <c r="AN94" s="2"/>
      <c r="AO94" s="2"/>
    </row>
    <row r="95" spans="1:63" s="187" customFormat="1" ht="15.5" thickBot="1">
      <c r="A95" s="187" t="s">
        <v>436</v>
      </c>
      <c r="B95" s="202"/>
      <c r="C95" s="203">
        <f>C96</f>
        <v>2.5000000000000001E-2</v>
      </c>
      <c r="D95" s="203">
        <f t="shared" ref="D95:AG95" si="27">D96</f>
        <v>3.1603638194750427E-2</v>
      </c>
      <c r="E95" s="203">
        <f t="shared" si="27"/>
        <v>3.8207276389500847E-2</v>
      </c>
      <c r="F95" s="203">
        <f t="shared" si="27"/>
        <v>4.4810914584251273E-2</v>
      </c>
      <c r="G95" s="203">
        <f t="shared" si="27"/>
        <v>5.1414552779001699E-2</v>
      </c>
      <c r="H95" s="203">
        <f t="shared" si="27"/>
        <v>5.8018190973752125E-2</v>
      </c>
      <c r="I95" s="203">
        <f t="shared" si="27"/>
        <v>6.4621829168502537E-2</v>
      </c>
      <c r="J95" s="203">
        <f t="shared" si="27"/>
        <v>7.122546736325297E-2</v>
      </c>
      <c r="K95" s="203">
        <f t="shared" si="27"/>
        <v>7.7829105558003403E-2</v>
      </c>
      <c r="L95" s="203">
        <f t="shared" si="27"/>
        <v>8.4432743752753822E-2</v>
      </c>
      <c r="M95" s="203">
        <f t="shared" si="27"/>
        <v>9.1036381947504241E-2</v>
      </c>
      <c r="N95" s="203">
        <f t="shared" si="27"/>
        <v>0.10362456725624723</v>
      </c>
      <c r="O95" s="203">
        <f t="shared" si="27"/>
        <v>0.11621275256499022</v>
      </c>
      <c r="P95" s="203">
        <f t="shared" si="27"/>
        <v>0.12858123028156593</v>
      </c>
      <c r="Q95" s="203">
        <f t="shared" si="27"/>
        <v>0.14090512489295884</v>
      </c>
      <c r="R95" s="203">
        <f t="shared" si="27"/>
        <v>0.15318399961850893</v>
      </c>
      <c r="S95" s="203">
        <f t="shared" si="27"/>
        <v>0.16541741786076064</v>
      </c>
      <c r="T95" s="203">
        <f t="shared" si="27"/>
        <v>0.17760494320337442</v>
      </c>
      <c r="U95" s="203">
        <f t="shared" si="27"/>
        <v>0.18974613940911392</v>
      </c>
      <c r="V95" s="203">
        <f t="shared" si="27"/>
        <v>0.20184057041790887</v>
      </c>
      <c r="W95" s="203">
        <f t="shared" si="27"/>
        <v>0.21388780034499502</v>
      </c>
      <c r="X95" s="203">
        <f t="shared" si="27"/>
        <v>0.2354541126617854</v>
      </c>
      <c r="Y95" s="203">
        <f t="shared" si="27"/>
        <v>0.25693716840917563</v>
      </c>
      <c r="Z95" s="203">
        <f t="shared" si="27"/>
        <v>0.27674889808637426</v>
      </c>
      <c r="AA95" s="203">
        <f t="shared" si="27"/>
        <v>0.29621102634177565</v>
      </c>
      <c r="AB95" s="203">
        <f t="shared" si="27"/>
        <v>0.31531944001555551</v>
      </c>
      <c r="AC95" s="203">
        <f t="shared" si="27"/>
        <v>0.33407002687068177</v>
      </c>
      <c r="AD95" s="203">
        <f t="shared" si="27"/>
        <v>0.35245867564927802</v>
      </c>
      <c r="AE95" s="203">
        <f t="shared" si="27"/>
        <v>0.3704812761631292</v>
      </c>
      <c r="AF95" s="203">
        <f t="shared" si="27"/>
        <v>0.38813371941945335</v>
      </c>
      <c r="AG95" s="203">
        <f t="shared" si="27"/>
        <v>0.4054118977831358</v>
      </c>
      <c r="AJ95" s="217" t="s">
        <v>472</v>
      </c>
      <c r="AL95" s="204"/>
      <c r="AM95" s="205"/>
      <c r="AN95" s="205"/>
      <c r="AO95" s="205"/>
    </row>
    <row r="96" spans="1:63" ht="15.5" outlineLevel="1" thickTop="1">
      <c r="A96" t="s">
        <v>428</v>
      </c>
      <c r="B96" s="51" t="s">
        <v>126</v>
      </c>
      <c r="C96" s="122">
        <f>'Ethylene Recycling HC'!C104*'Ethylene Recycling HC'!C$43/'Ethylene Recycling LC'!C$43</f>
        <v>2.5000000000000001E-2</v>
      </c>
      <c r="D96" s="122">
        <f>'Ethylene Recycling HC'!D104*'Ethylene Recycling HC'!D$43/'Ethylene Recycling LC'!D$43</f>
        <v>3.1603638194750427E-2</v>
      </c>
      <c r="E96" s="122">
        <f>'Ethylene Recycling HC'!E104*'Ethylene Recycling HC'!E$43/'Ethylene Recycling LC'!E$43</f>
        <v>3.8207276389500847E-2</v>
      </c>
      <c r="F96" s="122">
        <f>'Ethylene Recycling HC'!F104*'Ethylene Recycling HC'!F$43/'Ethylene Recycling LC'!F$43</f>
        <v>4.4810914584251273E-2</v>
      </c>
      <c r="G96" s="122">
        <f>'Ethylene Recycling HC'!G104*'Ethylene Recycling HC'!G$43/'Ethylene Recycling LC'!G$43</f>
        <v>5.1414552779001699E-2</v>
      </c>
      <c r="H96" s="122">
        <f>'Ethylene Recycling HC'!H104*'Ethylene Recycling HC'!H$43/'Ethylene Recycling LC'!H$43</f>
        <v>5.8018190973752125E-2</v>
      </c>
      <c r="I96" s="122">
        <f>'Ethylene Recycling HC'!I104*'Ethylene Recycling HC'!I$43/'Ethylene Recycling LC'!I$43</f>
        <v>6.4621829168502537E-2</v>
      </c>
      <c r="J96" s="122">
        <f>'Ethylene Recycling HC'!J104*'Ethylene Recycling HC'!J$43/'Ethylene Recycling LC'!J$43</f>
        <v>7.122546736325297E-2</v>
      </c>
      <c r="K96" s="122">
        <f>'Ethylene Recycling HC'!K104*'Ethylene Recycling HC'!K$43/'Ethylene Recycling LC'!K$43</f>
        <v>7.7829105558003403E-2</v>
      </c>
      <c r="L96" s="122">
        <f>'Ethylene Recycling HC'!L104*'Ethylene Recycling HC'!L$43/'Ethylene Recycling LC'!L$43</f>
        <v>8.4432743752753822E-2</v>
      </c>
      <c r="M96" s="122">
        <f>'Ethylene Recycling HC'!M104*'Ethylene Recycling HC'!M$43/'Ethylene Recycling LC'!M$43</f>
        <v>9.1036381947504241E-2</v>
      </c>
      <c r="N96" s="122">
        <f>'Ethylene Recycling HC'!N104*'Ethylene Recycling HC'!N$43/'Ethylene Recycling LC'!N$43</f>
        <v>0.10362456725624723</v>
      </c>
      <c r="O96" s="122">
        <f>'Ethylene Recycling HC'!O104*'Ethylene Recycling HC'!O$43/'Ethylene Recycling LC'!O$43</f>
        <v>0.11621275256499022</v>
      </c>
      <c r="P96" s="122">
        <f>'Ethylene Recycling HC'!P104*'Ethylene Recycling HC'!P$43/'Ethylene Recycling LC'!P$43</f>
        <v>0.12858123028156593</v>
      </c>
      <c r="Q96" s="122">
        <f>'Ethylene Recycling HC'!Q104*'Ethylene Recycling HC'!Q$43/'Ethylene Recycling LC'!Q$43</f>
        <v>0.14090512489295884</v>
      </c>
      <c r="R96" s="122">
        <f>'Ethylene Recycling HC'!R104*'Ethylene Recycling HC'!R$43/'Ethylene Recycling LC'!R$43</f>
        <v>0.15318399961850893</v>
      </c>
      <c r="S96" s="122">
        <f>'Ethylene Recycling HC'!S104*'Ethylene Recycling HC'!S$43/'Ethylene Recycling LC'!S$43</f>
        <v>0.16541741786076064</v>
      </c>
      <c r="T96" s="122">
        <f>'Ethylene Recycling HC'!T104*'Ethylene Recycling HC'!T$43/'Ethylene Recycling LC'!T$43</f>
        <v>0.17760494320337442</v>
      </c>
      <c r="U96" s="122">
        <f>'Ethylene Recycling HC'!U104*'Ethylene Recycling HC'!U$43/'Ethylene Recycling LC'!U$43</f>
        <v>0.18974613940911392</v>
      </c>
      <c r="V96" s="122">
        <f>'Ethylene Recycling HC'!V104*'Ethylene Recycling HC'!V$43/'Ethylene Recycling LC'!V$43</f>
        <v>0.20184057041790887</v>
      </c>
      <c r="W96" s="122">
        <f>'Ethylene Recycling HC'!W104*'Ethylene Recycling HC'!W$43/'Ethylene Recycling LC'!W$43</f>
        <v>0.21388780034499502</v>
      </c>
      <c r="X96" s="122">
        <f>'Ethylene Recycling HC'!X104*'Ethylene Recycling HC'!X$43/'Ethylene Recycling LC'!X$43</f>
        <v>0.2354541126617854</v>
      </c>
      <c r="Y96" s="122">
        <f>'Ethylene Recycling HC'!Y104*'Ethylene Recycling HC'!Y$43/'Ethylene Recycling LC'!Y$43</f>
        <v>0.25693716840917563</v>
      </c>
      <c r="Z96" s="122">
        <f>'Ethylene Recycling HC'!Z104*'Ethylene Recycling HC'!Z$43/'Ethylene Recycling LC'!Z$43</f>
        <v>0.27674889808637426</v>
      </c>
      <c r="AA96" s="122">
        <f>'Ethylene Recycling HC'!AA104*'Ethylene Recycling HC'!AA$43/'Ethylene Recycling LC'!AA$43</f>
        <v>0.29621102634177565</v>
      </c>
      <c r="AB96" s="122">
        <f>'Ethylene Recycling HC'!AB104*'Ethylene Recycling HC'!AB$43/'Ethylene Recycling LC'!AB$43</f>
        <v>0.31531944001555551</v>
      </c>
      <c r="AC96" s="122">
        <f>'Ethylene Recycling HC'!AC104*'Ethylene Recycling HC'!AC$43/'Ethylene Recycling LC'!AC$43</f>
        <v>0.33407002687068177</v>
      </c>
      <c r="AD96" s="122">
        <f>'Ethylene Recycling HC'!AD104*'Ethylene Recycling HC'!AD$43/'Ethylene Recycling LC'!AD$43</f>
        <v>0.35245867564927802</v>
      </c>
      <c r="AE96" s="122">
        <f>'Ethylene Recycling HC'!AE104*'Ethylene Recycling HC'!AE$43/'Ethylene Recycling LC'!AE$43</f>
        <v>0.3704812761631292</v>
      </c>
      <c r="AF96" s="122">
        <f>'Ethylene Recycling HC'!AF104*'Ethylene Recycling HC'!AF$43/'Ethylene Recycling LC'!AF$43</f>
        <v>0.38813371941945335</v>
      </c>
      <c r="AG96" s="122">
        <f>'Ethylene Recycling HC'!AG104*'Ethylene Recycling HC'!AG$43/'Ethylene Recycling LC'!AG$43</f>
        <v>0.4054118977831358</v>
      </c>
      <c r="AI96" s="126" t="s">
        <v>492</v>
      </c>
      <c r="AJ96" s="198"/>
    </row>
    <row r="97" spans="1:63" outlineLevel="1">
      <c r="A97" t="s">
        <v>493</v>
      </c>
      <c r="B97" s="51" t="s">
        <v>126</v>
      </c>
      <c r="C97" s="122">
        <f>'Ethylene Recycling HC'!C107*'Ethylene Recycling HC'!C$43/'Ethylene Recycling LC'!C$43</f>
        <v>2E-3</v>
      </c>
      <c r="D97" s="122">
        <f>'Ethylene Recycling HC'!D107*'Ethylene Recycling HC'!D$43/'Ethylene Recycling LC'!D$43</f>
        <v>2.5967656050019934E-3</v>
      </c>
      <c r="E97" s="122">
        <f>'Ethylene Recycling HC'!E107*'Ethylene Recycling HC'!E$43/'Ethylene Recycling LC'!E$43</f>
        <v>3.2221469755145714E-3</v>
      </c>
      <c r="F97" s="122">
        <f>'Ethylene Recycling HC'!F107*'Ethylene Recycling HC'!F$43/'Ethylene Recycling LC'!F$43</f>
        <v>3.876144111537735E-3</v>
      </c>
      <c r="G97" s="122">
        <f>'Ethylene Recycling HC'!G107*'Ethylene Recycling HC'!G$43/'Ethylene Recycling LC'!G$43</f>
        <v>4.5587570130714832E-3</v>
      </c>
      <c r="H97" s="122">
        <f>'Ethylene Recycling HC'!H107*'Ethylene Recycling HC'!H$43/'Ethylene Recycling LC'!H$43</f>
        <v>5.2699856801158174E-3</v>
      </c>
      <c r="I97" s="122">
        <f>'Ethylene Recycling HC'!I107*'Ethylene Recycling HC'!I$43/'Ethylene Recycling LC'!I$43</f>
        <v>6.0098301126707346E-3</v>
      </c>
      <c r="J97" s="122">
        <f>'Ethylene Recycling HC'!J107*'Ethylene Recycling HC'!J$43/'Ethylene Recycling LC'!J$43</f>
        <v>6.7782903107362399E-3</v>
      </c>
      <c r="K97" s="122">
        <f>'Ethylene Recycling HC'!K107*'Ethylene Recycling HC'!K$43/'Ethylene Recycling LC'!K$43</f>
        <v>7.5753662743123298E-3</v>
      </c>
      <c r="L97" s="122">
        <f>'Ethylene Recycling HC'!L107*'Ethylene Recycling HC'!L$43/'Ethylene Recycling LC'!L$43</f>
        <v>8.4010580033990027E-3</v>
      </c>
      <c r="M97" s="122">
        <f>'Ethylene Recycling HC'!M107*'Ethylene Recycling HC'!M$43/'Ethylene Recycling LC'!M$43</f>
        <v>9.2553654979962621E-3</v>
      </c>
      <c r="N97" s="122">
        <f>'Ethylene Recycling HC'!N107*'Ethylene Recycling HC'!N$43/'Ethylene Recycling LC'!N$43</f>
        <v>1.0759684233440335E-2</v>
      </c>
      <c r="O97" s="122">
        <f>'Ethylene Recycling HC'!O107*'Ethylene Recycling HC'!O$43/'Ethylene Recycling LC'!O$43</f>
        <v>1.231855177188896E-2</v>
      </c>
      <c r="P97" s="122">
        <f>'Ethylene Recycling HC'!P107*'Ethylene Recycling HC'!P$43/'Ethylene Recycling LC'!P$43</f>
        <v>1.3908203075456045E-2</v>
      </c>
      <c r="Q97" s="122">
        <f>'Ethylene Recycling HC'!Q107*'Ethylene Recycling HC'!Q$43/'Ethylene Recycling LC'!Q$43</f>
        <v>1.5546532113189786E-2</v>
      </c>
      <c r="R97" s="122">
        <f>'Ethylene Recycling HC'!R107*'Ethylene Recycling HC'!R$43/'Ethylene Recycling LC'!R$43</f>
        <v>1.7233199957082248E-2</v>
      </c>
      <c r="S97" s="122">
        <f>'Ethylene Recycling HC'!S107*'Ethylene Recycling HC'!S$43/'Ethylene Recycling LC'!S$43</f>
        <v>1.8967863914700546E-2</v>
      </c>
      <c r="T97" s="122">
        <f>'Ethylene Recycling HC'!T107*'Ethylene Recycling HC'!T$43/'Ethylene Recycling LC'!T$43</f>
        <v>2.0750177530927571E-2</v>
      </c>
      <c r="U97" s="122">
        <f>'Ethylene Recycling HC'!U107*'Ethylene Recycling HC'!U$43/'Ethylene Recycling LC'!U$43</f>
        <v>2.257979058968455E-2</v>
      </c>
      <c r="V97" s="122">
        <f>'Ethylene Recycling HC'!V107*'Ethylene Recycling HC'!V$43/'Ethylene Recycling LC'!V$43</f>
        <v>2.4456349115636617E-2</v>
      </c>
      <c r="W97" s="122">
        <f>'Ethylene Recycling HC'!W107*'Ethylene Recycling HC'!W$43/'Ethylene Recycling LC'!W$43</f>
        <v>2.637949537588271E-2</v>
      </c>
      <c r="X97" s="122">
        <f>'Ethylene Recycling HC'!X107*'Ethylene Recycling HC'!X$43/'Ethylene Recycling LC'!X$43</f>
        <v>2.9549491139054057E-2</v>
      </c>
      <c r="Y97" s="122">
        <f>'Ethylene Recycling HC'!Y107*'Ethylene Recycling HC'!Y$43/'Ethylene Recycling LC'!Y$43</f>
        <v>3.2802311833571407E-2</v>
      </c>
      <c r="Z97" s="122">
        <f>'Ethylene Recycling HC'!Z107*'Ethylene Recycling HC'!Z$43/'Ethylene Recycling LC'!Z$43</f>
        <v>3.5931231934880924E-2</v>
      </c>
      <c r="AA97" s="122">
        <f>'Ethylene Recycling HC'!AA107*'Ethylene Recycling HC'!AA$43/'Ethylene Recycling LC'!AA$43</f>
        <v>3.9099855477114372E-2</v>
      </c>
      <c r="AB97" s="122">
        <f>'Ethylene Recycling HC'!AB107*'Ethylene Recycling HC'!AB$43/'Ethylene Recycling LC'!AB$43</f>
        <v>4.2305358202087029E-2</v>
      </c>
      <c r="AC97" s="122">
        <f>'Ethylene Recycling HC'!AC107*'Ethylene Recycling HC'!AC$43/'Ethylene Recycling LC'!AC$43</f>
        <v>4.5544880330036279E-2</v>
      </c>
      <c r="AD97" s="122">
        <f>'Ethylene Recycling HC'!AD107*'Ethylene Recycling HC'!AD$43/'Ethylene Recycling LC'!AD$43</f>
        <v>4.8815526577425009E-2</v>
      </c>
      <c r="AE97" s="122">
        <f>'Ethylene Recycling HC'!AE107*'Ethylene Recycling HC'!AE$43/'Ethylene Recycling LC'!AE$43</f>
        <v>5.2114366180280182E-2</v>
      </c>
      <c r="AF97" s="122">
        <f>'Ethylene Recycling HC'!AF107*'Ethylene Recycling HC'!AF$43/'Ethylene Recycling LC'!AF$43</f>
        <v>5.5438432923745264E-2</v>
      </c>
      <c r="AG97" s="122">
        <f>'Ethylene Recycling HC'!AG107*'Ethylene Recycling HC'!AG$43/'Ethylene Recycling LC'!AG$43</f>
        <v>0.32432951822650868</v>
      </c>
      <c r="AI97" s="126" t="s">
        <v>492</v>
      </c>
      <c r="AJ97" s="198"/>
      <c r="BD97" s="190"/>
      <c r="BE97" s="190"/>
    </row>
    <row r="98" spans="1:63" outlineLevel="1">
      <c r="A98" t="s">
        <v>494</v>
      </c>
      <c r="B98" s="51" t="s">
        <v>126</v>
      </c>
      <c r="C98" s="122">
        <f>'Ethylene Recycling HC'!C108*'Ethylene Recycling HC'!C$43/'Ethylene Recycling LC'!C$43</f>
        <v>2.3000000000000003E-2</v>
      </c>
      <c r="D98" s="122">
        <f>'Ethylene Recycling HC'!D108*'Ethylene Recycling HC'!D$43/'Ethylene Recycling LC'!D$43</f>
        <v>2.9006872589748434E-2</v>
      </c>
      <c r="E98" s="122">
        <f>'Ethylene Recycling HC'!E108*'Ethylene Recycling HC'!E$43/'Ethylene Recycling LC'!E$43</f>
        <v>3.4985129413986273E-2</v>
      </c>
      <c r="F98" s="122">
        <f>'Ethylene Recycling HC'!F108*'Ethylene Recycling HC'!F$43/'Ethylene Recycling LC'!F$43</f>
        <v>4.0934770472713537E-2</v>
      </c>
      <c r="G98" s="122">
        <f>'Ethylene Recycling HC'!G108*'Ethylene Recycling HC'!G$43/'Ethylene Recycling LC'!G$43</f>
        <v>4.6855795765930214E-2</v>
      </c>
      <c r="H98" s="122">
        <f>'Ethylene Recycling HC'!H108*'Ethylene Recycling HC'!H$43/'Ethylene Recycling LC'!H$43</f>
        <v>5.2748205293636309E-2</v>
      </c>
      <c r="I98" s="122">
        <f>'Ethylene Recycling HC'!I108*'Ethylene Recycling HC'!I$43/'Ethylene Recycling LC'!I$43</f>
        <v>5.8611999055831802E-2</v>
      </c>
      <c r="J98" s="122">
        <f>'Ethylene Recycling HC'!J108*'Ethylene Recycling HC'!J$43/'Ethylene Recycling LC'!J$43</f>
        <v>6.4447177052516735E-2</v>
      </c>
      <c r="K98" s="122">
        <f>'Ethylene Recycling HC'!K108*'Ethylene Recycling HC'!K$43/'Ethylene Recycling LC'!K$43</f>
        <v>7.025373928369108E-2</v>
      </c>
      <c r="L98" s="122">
        <f>'Ethylene Recycling HC'!L108*'Ethylene Recycling HC'!L$43/'Ethylene Recycling LC'!L$43</f>
        <v>7.603168574935483E-2</v>
      </c>
      <c r="M98" s="122">
        <f>'Ethylene Recycling HC'!M108*'Ethylene Recycling HC'!M$43/'Ethylene Recycling LC'!M$43</f>
        <v>8.1781016449507971E-2</v>
      </c>
      <c r="N98" s="122">
        <f>'Ethylene Recycling HC'!N108*'Ethylene Recycling HC'!N$43/'Ethylene Recycling LC'!N$43</f>
        <v>9.2864883022806891E-2</v>
      </c>
      <c r="O98" s="122">
        <f>'Ethylene Recycling HC'!O108*'Ethylene Recycling HC'!O$43/'Ethylene Recycling LC'!O$43</f>
        <v>0.10389420079310126</v>
      </c>
      <c r="P98" s="122">
        <f>'Ethylene Recycling HC'!P108*'Ethylene Recycling HC'!P$43/'Ethylene Recycling LC'!P$43</f>
        <v>0.11467302720610988</v>
      </c>
      <c r="Q98" s="122">
        <f>'Ethylene Recycling HC'!Q108*'Ethylene Recycling HC'!Q$43/'Ethylene Recycling LC'!Q$43</f>
        <v>0.12535859277976905</v>
      </c>
      <c r="R98" s="122">
        <f>'Ethylene Recycling HC'!R108*'Ethylene Recycling HC'!R$43/'Ethylene Recycling LC'!R$43</f>
        <v>0.13595079966142667</v>
      </c>
      <c r="S98" s="122">
        <f>'Ethylene Recycling HC'!S108*'Ethylene Recycling HC'!S$43/'Ethylene Recycling LC'!S$43</f>
        <v>0.1464495539460601</v>
      </c>
      <c r="T98" s="122">
        <f>'Ethylene Recycling HC'!T108*'Ethylene Recycling HC'!T$43/'Ethylene Recycling LC'!T$43</f>
        <v>0.15685476567244683</v>
      </c>
      <c r="U98" s="122">
        <f>'Ethylene Recycling HC'!U108*'Ethylene Recycling HC'!U$43/'Ethylene Recycling LC'!U$43</f>
        <v>0.16716634881942938</v>
      </c>
      <c r="V98" s="122">
        <f>'Ethylene Recycling HC'!V108*'Ethylene Recycling HC'!V$43/'Ethylene Recycling LC'!V$43</f>
        <v>0.17738422130227224</v>
      </c>
      <c r="W98" s="122">
        <f>'Ethylene Recycling HC'!W108*'Ethylene Recycling HC'!W$43/'Ethylene Recycling LC'!W$43</f>
        <v>0.18750830496911233</v>
      </c>
      <c r="X98" s="122">
        <f>'Ethylene Recycling HC'!X108*'Ethylene Recycling HC'!X$43/'Ethylene Recycling LC'!X$43</f>
        <v>0.20590462152273137</v>
      </c>
      <c r="Y98" s="122">
        <f>'Ethylene Recycling HC'!Y108*'Ethylene Recycling HC'!Y$43/'Ethylene Recycling LC'!Y$43</f>
        <v>0.2241348565756042</v>
      </c>
      <c r="Z98" s="122">
        <f>'Ethylene Recycling HC'!Z108*'Ethylene Recycling HC'!Z$43/'Ethylene Recycling LC'!Z$43</f>
        <v>0.24081766615149336</v>
      </c>
      <c r="AA98" s="122">
        <f>'Ethylene Recycling HC'!AA108*'Ethylene Recycling HC'!AA$43/'Ethylene Recycling LC'!AA$43</f>
        <v>0.25711117086466123</v>
      </c>
      <c r="AB98" s="122">
        <f>'Ethylene Recycling HC'!AB108*'Ethylene Recycling HC'!AB$43/'Ethylene Recycling LC'!AB$43</f>
        <v>0.27301408181346848</v>
      </c>
      <c r="AC98" s="122">
        <f>'Ethylene Recycling HC'!AC108*'Ethylene Recycling HC'!AC$43/'Ethylene Recycling LC'!AC$43</f>
        <v>0.28852514654064548</v>
      </c>
      <c r="AD98" s="122">
        <f>'Ethylene Recycling HC'!AD108*'Ethylene Recycling HC'!AD$43/'Ethylene Recycling LC'!AD$43</f>
        <v>0.30364314907185302</v>
      </c>
      <c r="AE98" s="122">
        <f>'Ethylene Recycling HC'!AE108*'Ethylene Recycling HC'!AE$43/'Ethylene Recycling LC'!AE$43</f>
        <v>0.31836690998284894</v>
      </c>
      <c r="AF98" s="122">
        <f>'Ethylene Recycling HC'!AF108*'Ethylene Recycling HC'!AF$43/'Ethylene Recycling LC'!AF$43</f>
        <v>0.33269528649570806</v>
      </c>
      <c r="AG98" s="122">
        <f>'Ethylene Recycling HC'!AG108*'Ethylene Recycling HC'!AG$43/'Ethylene Recycling LC'!AG$43</f>
        <v>8.1082379556627143E-2</v>
      </c>
      <c r="AI98" s="126" t="s">
        <v>492</v>
      </c>
      <c r="AJ98" s="198"/>
      <c r="BD98" s="190"/>
      <c r="BE98" s="190"/>
    </row>
    <row r="99" spans="1:63" outlineLevel="1">
      <c r="A99" t="s">
        <v>441</v>
      </c>
      <c r="B99" s="51" t="s">
        <v>126</v>
      </c>
      <c r="C99" s="122">
        <f>'Ethylene Recycling HC'!C115*'Ethylene Recycling HC'!C$43/'Ethylene Recycling LC'!C$43</f>
        <v>1.1960000000000002E-2</v>
      </c>
      <c r="D99" s="122">
        <f>'Ethylene Recycling HC'!D115*'Ethylene Recycling HC'!D$43/'Ethylene Recycling LC'!D$43</f>
        <v>1.5083573746669186E-2</v>
      </c>
      <c r="E99" s="122">
        <f>'Ethylene Recycling HC'!E115*'Ethylene Recycling HC'!E$43/'Ethylene Recycling LC'!E$43</f>
        <v>1.8192267295272863E-2</v>
      </c>
      <c r="F99" s="122">
        <f>'Ethylene Recycling HC'!F115*'Ethylene Recycling HC'!F$43/'Ethylene Recycling LC'!F$43</f>
        <v>2.1286080645811039E-2</v>
      </c>
      <c r="G99" s="122">
        <f>'Ethylene Recycling HC'!G115*'Ethylene Recycling HC'!G$43/'Ethylene Recycling LC'!G$43</f>
        <v>2.4365013798283711E-2</v>
      </c>
      <c r="H99" s="122">
        <f>'Ethylene Recycling HC'!H115*'Ethylene Recycling HC'!H$43/'Ethylene Recycling LC'!H$43</f>
        <v>2.7429066752690877E-2</v>
      </c>
      <c r="I99" s="122">
        <f>'Ethylene Recycling HC'!I115*'Ethylene Recycling HC'!I$43/'Ethylene Recycling LC'!I$43</f>
        <v>3.0478239509032543E-2</v>
      </c>
      <c r="J99" s="122">
        <f>'Ethylene Recycling HC'!J115*'Ethylene Recycling HC'!J$43/'Ethylene Recycling LC'!J$43</f>
        <v>3.3512532067308705E-2</v>
      </c>
      <c r="K99" s="122">
        <f>'Ethylene Recycling HC'!K115*'Ethylene Recycling HC'!K$43/'Ethylene Recycling LC'!K$43</f>
        <v>3.6531944427519364E-2</v>
      </c>
      <c r="L99" s="122">
        <f>'Ethylene Recycling HC'!L115*'Ethylene Recycling HC'!L$43/'Ethylene Recycling LC'!L$43</f>
        <v>3.9536476589664513E-2</v>
      </c>
      <c r="M99" s="122">
        <f>'Ethylene Recycling HC'!M115*'Ethylene Recycling HC'!M$43/'Ethylene Recycling LC'!M$43</f>
        <v>4.2526128553744144E-2</v>
      </c>
      <c r="N99" s="122">
        <f>'Ethylene Recycling HC'!N115*'Ethylene Recycling HC'!N$43/'Ethylene Recycling LC'!N$43</f>
        <v>4.828973917185958E-2</v>
      </c>
      <c r="O99" s="122">
        <f>'Ethylene Recycling HC'!O115*'Ethylene Recycling HC'!O$43/'Ethylene Recycling LC'!O$43</f>
        <v>5.4024984412412658E-2</v>
      </c>
      <c r="P99" s="122">
        <f>'Ethylene Recycling HC'!P115*'Ethylene Recycling HC'!P$43/'Ethylene Recycling LC'!P$43</f>
        <v>5.9629974147177141E-2</v>
      </c>
      <c r="Q99" s="122">
        <f>'Ethylene Recycling HC'!Q115*'Ethylene Recycling HC'!Q$43/'Ethylene Recycling LC'!Q$43</f>
        <v>6.5186468245479898E-2</v>
      </c>
      <c r="R99" s="122">
        <f>'Ethylene Recycling HC'!R115*'Ethylene Recycling HC'!R$43/'Ethylene Recycling LC'!R$43</f>
        <v>7.069441582394187E-2</v>
      </c>
      <c r="S99" s="122">
        <f>'Ethylene Recycling HC'!S115*'Ethylene Recycling HC'!S$43/'Ethylene Recycling LC'!S$43</f>
        <v>7.6153768051951259E-2</v>
      </c>
      <c r="T99" s="122">
        <f>'Ethylene Recycling HC'!T115*'Ethylene Recycling HC'!T$43/'Ethylene Recycling LC'!T$43</f>
        <v>8.1564478149672354E-2</v>
      </c>
      <c r="U99" s="122">
        <f>'Ethylene Recycling HC'!U115*'Ethylene Recycling HC'!U$43/'Ethylene Recycling LC'!U$43</f>
        <v>8.6926501386103278E-2</v>
      </c>
      <c r="V99" s="122">
        <f>'Ethylene Recycling HC'!V115*'Ethylene Recycling HC'!V$43/'Ethylene Recycling LC'!V$43</f>
        <v>9.223979507718158E-2</v>
      </c>
      <c r="W99" s="122">
        <f>'Ethylene Recycling HC'!W115*'Ethylene Recycling HC'!W$43/'Ethylene Recycling LC'!W$43</f>
        <v>9.7504318583938418E-2</v>
      </c>
      <c r="X99" s="122">
        <f>'Ethylene Recycling HC'!X115*'Ethylene Recycling HC'!X$43/'Ethylene Recycling LC'!X$43</f>
        <v>0.10707040319182032</v>
      </c>
      <c r="Y99" s="122">
        <f>'Ethylene Recycling HC'!Y115*'Ethylene Recycling HC'!Y$43/'Ethylene Recycling LC'!Y$43</f>
        <v>0.11655012541931419</v>
      </c>
      <c r="Z99" s="122">
        <f>'Ethylene Recycling HC'!Z115*'Ethylene Recycling HC'!Z$43/'Ethylene Recycling LC'!Z$43</f>
        <v>0.12522518639877656</v>
      </c>
      <c r="AA99" s="122">
        <f>'Ethylene Recycling HC'!AA115*'Ethylene Recycling HC'!AA$43/'Ethylene Recycling LC'!AA$43</f>
        <v>0.13369780884962384</v>
      </c>
      <c r="AB99" s="122">
        <f>'Ethylene Recycling HC'!AB115*'Ethylene Recycling HC'!AB$43/'Ethylene Recycling LC'!AB$43</f>
        <v>0.14196732254300362</v>
      </c>
      <c r="AC99" s="122">
        <f>'Ethylene Recycling HC'!AC115*'Ethylene Recycling HC'!AC$43/'Ethylene Recycling LC'!AC$43</f>
        <v>0.15003307620113568</v>
      </c>
      <c r="AD99" s="122">
        <f>'Ethylene Recycling HC'!AD115*'Ethylene Recycling HC'!AD$43/'Ethylene Recycling LC'!AD$43</f>
        <v>0.1578944375173636</v>
      </c>
      <c r="AE99" s="122">
        <f>'Ethylene Recycling HC'!AE115*'Ethylene Recycling HC'!AE$43/'Ethylene Recycling LC'!AE$43</f>
        <v>0.16555079319108149</v>
      </c>
      <c r="AF99" s="122">
        <f>'Ethylene Recycling HC'!AF115*'Ethylene Recycling HC'!AF$43/'Ethylene Recycling LC'!AF$43</f>
        <v>0.17300154897776818</v>
      </c>
      <c r="AG99" s="122">
        <f>'Ethylene Recycling HC'!AG115*'Ethylene Recycling HC'!AG$43/'Ethylene Recycling LC'!AG$43</f>
        <v>4.2162837369446121E-2</v>
      </c>
      <c r="AI99" s="126" t="s">
        <v>492</v>
      </c>
      <c r="AJ99" s="198"/>
      <c r="BD99" s="190"/>
      <c r="BE99" s="190"/>
    </row>
    <row r="100" spans="1:63" outlineLevel="1">
      <c r="A100" t="s">
        <v>442</v>
      </c>
      <c r="B100" s="51" t="s">
        <v>126</v>
      </c>
      <c r="C100" s="122">
        <f>'Ethylene Recycling HC'!C116*'Ethylene Recycling HC'!C$43/'Ethylene Recycling LC'!C$43</f>
        <v>2.7600000000000003E-3</v>
      </c>
      <c r="D100" s="122">
        <f>'Ethylene Recycling HC'!D116*'Ethylene Recycling HC'!D$43/'Ethylene Recycling LC'!D$43</f>
        <v>3.4808247107698119E-3</v>
      </c>
      <c r="E100" s="122">
        <f>'Ethylene Recycling HC'!E116*'Ethylene Recycling HC'!E$43/'Ethylene Recycling LC'!E$43</f>
        <v>4.1982155296783523E-3</v>
      </c>
      <c r="F100" s="122">
        <f>'Ethylene Recycling HC'!F116*'Ethylene Recycling HC'!F$43/'Ethylene Recycling LC'!F$43</f>
        <v>4.9121724567256246E-3</v>
      </c>
      <c r="G100" s="122">
        <f>'Ethylene Recycling HC'!G116*'Ethylene Recycling HC'!G$43/'Ethylene Recycling LC'!G$43</f>
        <v>5.6226954919116256E-3</v>
      </c>
      <c r="H100" s="122">
        <f>'Ethylene Recycling HC'!H116*'Ethylene Recycling HC'!H$43/'Ethylene Recycling LC'!H$43</f>
        <v>6.3297846352363563E-3</v>
      </c>
      <c r="I100" s="122">
        <f>'Ethylene Recycling HC'!I116*'Ethylene Recycling HC'!I$43/'Ethylene Recycling LC'!I$43</f>
        <v>7.0334398866998158E-3</v>
      </c>
      <c r="J100" s="122">
        <f>'Ethylene Recycling HC'!J116*'Ethylene Recycling HC'!J$43/'Ethylene Recycling LC'!J$43</f>
        <v>7.7336612463020076E-3</v>
      </c>
      <c r="K100" s="122">
        <f>'Ethylene Recycling HC'!K116*'Ethylene Recycling HC'!K$43/'Ethylene Recycling LC'!K$43</f>
        <v>8.4304487140429291E-3</v>
      </c>
      <c r="L100" s="122">
        <f>'Ethylene Recycling HC'!L116*'Ethylene Recycling HC'!L$43/'Ethylene Recycling LC'!L$43</f>
        <v>9.1238022899225793E-3</v>
      </c>
      <c r="M100" s="122">
        <f>'Ethylene Recycling HC'!M116*'Ethylene Recycling HC'!M$43/'Ethylene Recycling LC'!M$43</f>
        <v>9.8137219739409566E-3</v>
      </c>
      <c r="N100" s="122">
        <f>'Ethylene Recycling HC'!N116*'Ethylene Recycling HC'!N$43/'Ethylene Recycling LC'!N$43</f>
        <v>1.1143785962736826E-2</v>
      </c>
      <c r="O100" s="122">
        <f>'Ethylene Recycling HC'!O116*'Ethylene Recycling HC'!O$43/'Ethylene Recycling LC'!O$43</f>
        <v>1.2467304095172152E-2</v>
      </c>
      <c r="P100" s="122">
        <f>'Ethylene Recycling HC'!P116*'Ethylene Recycling HC'!P$43/'Ethylene Recycling LC'!P$43</f>
        <v>1.3760763264733184E-2</v>
      </c>
      <c r="Q100" s="122">
        <f>'Ethylene Recycling HC'!Q116*'Ethylene Recycling HC'!Q$43/'Ethylene Recycling LC'!Q$43</f>
        <v>1.5043031133572284E-2</v>
      </c>
      <c r="R100" s="122">
        <f>'Ethylene Recycling HC'!R116*'Ethylene Recycling HC'!R$43/'Ethylene Recycling LC'!R$43</f>
        <v>1.6314095959371201E-2</v>
      </c>
      <c r="S100" s="122">
        <f>'Ethylene Recycling HC'!S116*'Ethylene Recycling HC'!S$43/'Ethylene Recycling LC'!S$43</f>
        <v>1.7573946473527211E-2</v>
      </c>
      <c r="T100" s="122">
        <f>'Ethylene Recycling HC'!T116*'Ethylene Recycling HC'!T$43/'Ethylene Recycling LC'!T$43</f>
        <v>1.8822571880693618E-2</v>
      </c>
      <c r="U100" s="122">
        <f>'Ethylene Recycling HC'!U116*'Ethylene Recycling HC'!U$43/'Ethylene Recycling LC'!U$43</f>
        <v>2.0059961858331522E-2</v>
      </c>
      <c r="V100" s="122">
        <f>'Ethylene Recycling HC'!V116*'Ethylene Recycling HC'!V$43/'Ethylene Recycling LC'!V$43</f>
        <v>2.1286106556272673E-2</v>
      </c>
      <c r="W100" s="122">
        <f>'Ethylene Recycling HC'!W116*'Ethylene Recycling HC'!W$43/'Ethylene Recycling LC'!W$43</f>
        <v>2.2500996596293475E-2</v>
      </c>
      <c r="X100" s="122">
        <f>'Ethylene Recycling HC'!X116*'Ethylene Recycling HC'!X$43/'Ethylene Recycling LC'!X$43</f>
        <v>2.4708554582727763E-2</v>
      </c>
      <c r="Y100" s="122">
        <f>'Ethylene Recycling HC'!Y116*'Ethylene Recycling HC'!Y$43/'Ethylene Recycling LC'!Y$43</f>
        <v>2.6896182789072506E-2</v>
      </c>
      <c r="Z100" s="122">
        <f>'Ethylene Recycling HC'!Z116*'Ethylene Recycling HC'!Z$43/'Ethylene Recycling LC'!Z$43</f>
        <v>2.8898119938179204E-2</v>
      </c>
      <c r="AA100" s="122">
        <f>'Ethylene Recycling HC'!AA116*'Ethylene Recycling HC'!AA$43/'Ethylene Recycling LC'!AA$43</f>
        <v>3.0853340503759347E-2</v>
      </c>
      <c r="AB100" s="122">
        <f>'Ethylene Recycling HC'!AB116*'Ethylene Recycling HC'!AB$43/'Ethylene Recycling LC'!AB$43</f>
        <v>3.2761689817616214E-2</v>
      </c>
      <c r="AC100" s="122">
        <f>'Ethylene Recycling HC'!AC116*'Ethylene Recycling HC'!AC$43/'Ethylene Recycling LC'!AC$43</f>
        <v>3.4623017584877465E-2</v>
      </c>
      <c r="AD100" s="122">
        <f>'Ethylene Recycling HC'!AD116*'Ethylene Recycling HC'!AD$43/'Ethylene Recycling LC'!AD$43</f>
        <v>3.643717788862235E-2</v>
      </c>
      <c r="AE100" s="122">
        <f>'Ethylene Recycling HC'!AE116*'Ethylene Recycling HC'!AE$43/'Ethylene Recycling LC'!AE$43</f>
        <v>3.8204029197941872E-2</v>
      </c>
      <c r="AF100" s="122">
        <f>'Ethylene Recycling HC'!AF116*'Ethylene Recycling HC'!AF$43/'Ethylene Recycling LC'!AF$43</f>
        <v>3.9923434379484965E-2</v>
      </c>
      <c r="AG100" s="122">
        <f>'Ethylene Recycling HC'!AG116*'Ethylene Recycling HC'!AG$43/'Ethylene Recycling LC'!AG$43</f>
        <v>9.7298855467952555E-3</v>
      </c>
      <c r="AI100" s="126" t="s">
        <v>492</v>
      </c>
      <c r="AJ100" s="198"/>
      <c r="AL100" s="1"/>
      <c r="BC100" s="1"/>
      <c r="BD100" s="697"/>
      <c r="BE100" s="687"/>
      <c r="BF100" s="6"/>
      <c r="BG100" s="6"/>
      <c r="BH100" s="6"/>
      <c r="BI100" s="6"/>
      <c r="BJ100" s="6"/>
    </row>
    <row r="101" spans="1:63" outlineLevel="1">
      <c r="A101" t="s">
        <v>443</v>
      </c>
      <c r="B101" s="51" t="s">
        <v>126</v>
      </c>
      <c r="C101" s="122">
        <f>'Ethylene Recycling HC'!C117*'Ethylene Recycling HC'!C$43/'Ethylene Recycling LC'!C$43</f>
        <v>8.2800000000000009E-3</v>
      </c>
      <c r="D101" s="122">
        <f>'Ethylene Recycling HC'!D117*'Ethylene Recycling HC'!D$43/'Ethylene Recycling LC'!D$43</f>
        <v>1.0442474132309436E-2</v>
      </c>
      <c r="E101" s="122">
        <f>'Ethylene Recycling HC'!E117*'Ethylene Recycling HC'!E$43/'Ethylene Recycling LC'!E$43</f>
        <v>1.2594646589035058E-2</v>
      </c>
      <c r="F101" s="122">
        <f>'Ethylene Recycling HC'!F117*'Ethylene Recycling HC'!F$43/'Ethylene Recycling LC'!F$43</f>
        <v>1.4736517370176873E-2</v>
      </c>
      <c r="G101" s="122">
        <f>'Ethylene Recycling HC'!G117*'Ethylene Recycling HC'!G$43/'Ethylene Recycling LC'!G$43</f>
        <v>1.6868086475734876E-2</v>
      </c>
      <c r="H101" s="122">
        <f>'Ethylene Recycling HC'!H117*'Ethylene Recycling HC'!H$43/'Ethylene Recycling LC'!H$43</f>
        <v>1.8989353905709071E-2</v>
      </c>
      <c r="I101" s="122">
        <f>'Ethylene Recycling HC'!I117*'Ethylene Recycling HC'!I$43/'Ethylene Recycling LC'!I$43</f>
        <v>2.1100319660099447E-2</v>
      </c>
      <c r="J101" s="122">
        <f>'Ethylene Recycling HC'!J117*'Ethylene Recycling HC'!J$43/'Ethylene Recycling LC'!J$43</f>
        <v>2.3200983738906025E-2</v>
      </c>
      <c r="K101" s="122">
        <f>'Ethylene Recycling HC'!K117*'Ethylene Recycling HC'!K$43/'Ethylene Recycling LC'!K$43</f>
        <v>2.5291346142128791E-2</v>
      </c>
      <c r="L101" s="122">
        <f>'Ethylene Recycling HC'!L117*'Ethylene Recycling HC'!L$43/'Ethylene Recycling LC'!L$43</f>
        <v>2.7371406869767738E-2</v>
      </c>
      <c r="M101" s="122">
        <f>'Ethylene Recycling HC'!M117*'Ethylene Recycling HC'!M$43/'Ethylene Recycling LC'!M$43</f>
        <v>2.9441165921822873E-2</v>
      </c>
      <c r="N101" s="122">
        <f>'Ethylene Recycling HC'!N117*'Ethylene Recycling HC'!N$43/'Ethylene Recycling LC'!N$43</f>
        <v>3.3431357888210479E-2</v>
      </c>
      <c r="O101" s="122">
        <f>'Ethylene Recycling HC'!O117*'Ethylene Recycling HC'!O$43/'Ethylene Recycling LC'!O$43</f>
        <v>3.7401912285516453E-2</v>
      </c>
      <c r="P101" s="122">
        <f>'Ethylene Recycling HC'!P117*'Ethylene Recycling HC'!P$43/'Ethylene Recycling LC'!P$43</f>
        <v>4.1282289794199553E-2</v>
      </c>
      <c r="Q101" s="122">
        <f>'Ethylene Recycling HC'!Q117*'Ethylene Recycling HC'!Q$43/'Ethylene Recycling LC'!Q$43</f>
        <v>4.5129093400716851E-2</v>
      </c>
      <c r="R101" s="122">
        <f>'Ethylene Recycling HC'!R117*'Ethylene Recycling HC'!R$43/'Ethylene Recycling LC'!R$43</f>
        <v>4.894228787811359E-2</v>
      </c>
      <c r="S101" s="122">
        <f>'Ethylene Recycling HC'!S117*'Ethylene Recycling HC'!S$43/'Ethylene Recycling LC'!S$43</f>
        <v>5.2721839420581638E-2</v>
      </c>
      <c r="T101" s="122">
        <f>'Ethylene Recycling HC'!T117*'Ethylene Recycling HC'!T$43/'Ethylene Recycling LC'!T$43</f>
        <v>5.6467715642080855E-2</v>
      </c>
      <c r="U101" s="122">
        <f>'Ethylene Recycling HC'!U117*'Ethylene Recycling HC'!U$43/'Ethylene Recycling LC'!U$43</f>
        <v>6.0179885574994568E-2</v>
      </c>
      <c r="V101" s="122">
        <f>'Ethylene Recycling HC'!V117*'Ethylene Recycling HC'!V$43/'Ethylene Recycling LC'!V$43</f>
        <v>6.3858319668818012E-2</v>
      </c>
      <c r="W101" s="122">
        <f>'Ethylene Recycling HC'!W117*'Ethylene Recycling HC'!W$43/'Ethylene Recycling LC'!W$43</f>
        <v>6.7502989788880433E-2</v>
      </c>
      <c r="X101" s="122">
        <f>'Ethylene Recycling HC'!X117*'Ethylene Recycling HC'!X$43/'Ethylene Recycling LC'!X$43</f>
        <v>7.4125663748183288E-2</v>
      </c>
      <c r="Y101" s="122">
        <f>'Ethylene Recycling HC'!Y117*'Ethylene Recycling HC'!Y$43/'Ethylene Recycling LC'!Y$43</f>
        <v>8.0688548367217505E-2</v>
      </c>
      <c r="Z101" s="122">
        <f>'Ethylene Recycling HC'!Z117*'Ethylene Recycling HC'!Z$43/'Ethylene Recycling LC'!Z$43</f>
        <v>8.6694359814537603E-2</v>
      </c>
      <c r="AA101" s="122">
        <f>'Ethylene Recycling HC'!AA117*'Ethylene Recycling HC'!AA$43/'Ethylene Recycling LC'!AA$43</f>
        <v>9.256002151127804E-2</v>
      </c>
      <c r="AB101" s="122">
        <f>'Ethylene Recycling HC'!AB117*'Ethylene Recycling HC'!AB$43/'Ethylene Recycling LC'!AB$43</f>
        <v>9.828506945284865E-2</v>
      </c>
      <c r="AC101" s="122">
        <f>'Ethylene Recycling HC'!AC117*'Ethylene Recycling HC'!AC$43/'Ethylene Recycling LC'!AC$43</f>
        <v>0.10386905275463237</v>
      </c>
      <c r="AD101" s="122">
        <f>'Ethylene Recycling HC'!AD117*'Ethylene Recycling HC'!AD$43/'Ethylene Recycling LC'!AD$43</f>
        <v>0.10931153366586707</v>
      </c>
      <c r="AE101" s="122">
        <f>'Ethylene Recycling HC'!AE117*'Ethylene Recycling HC'!AE$43/'Ethylene Recycling LC'!AE$43</f>
        <v>0.11461208759382562</v>
      </c>
      <c r="AF101" s="122">
        <f>'Ethylene Recycling HC'!AF117*'Ethylene Recycling HC'!AF$43/'Ethylene Recycling LC'!AF$43</f>
        <v>0.11977030313845488</v>
      </c>
      <c r="AG101" s="122">
        <f>'Ethylene Recycling HC'!AG117*'Ethylene Recycling HC'!AG$43/'Ethylene Recycling LC'!AG$43</f>
        <v>2.9189656640385774E-2</v>
      </c>
      <c r="AI101" s="126" t="s">
        <v>492</v>
      </c>
      <c r="AJ101" s="198"/>
      <c r="BC101" s="1"/>
      <c r="BD101" s="38"/>
      <c r="BF101" s="6"/>
      <c r="BG101" s="6"/>
      <c r="BH101" s="6"/>
      <c r="BI101" s="6"/>
      <c r="BJ101" s="6"/>
    </row>
    <row r="102" spans="1:63" outlineLevel="1">
      <c r="C102" s="122"/>
      <c r="D102" s="122"/>
      <c r="E102" s="122"/>
      <c r="F102" s="122"/>
      <c r="G102" s="122"/>
      <c r="H102" s="122"/>
      <c r="I102" s="122"/>
      <c r="J102" s="122"/>
      <c r="K102" s="122"/>
      <c r="L102" s="122"/>
      <c r="M102" s="122"/>
      <c r="N102" s="122"/>
      <c r="O102" s="122"/>
      <c r="P102" s="122"/>
      <c r="Q102" s="122"/>
      <c r="R102" s="122"/>
      <c r="S102" s="122"/>
      <c r="T102" s="122"/>
      <c r="U102" s="122"/>
      <c r="V102" s="122"/>
      <c r="W102" s="122"/>
      <c r="X102" s="122"/>
      <c r="Y102" s="122"/>
      <c r="Z102" s="122"/>
      <c r="AA102" s="122"/>
      <c r="AB102" s="122"/>
      <c r="AC102" s="122"/>
      <c r="AD102" s="122"/>
      <c r="AE102" s="122"/>
      <c r="AF102" s="122"/>
      <c r="AG102" s="122"/>
      <c r="AI102" s="126"/>
      <c r="AJ102" s="198"/>
      <c r="BC102" s="1"/>
      <c r="BD102" s="38"/>
      <c r="BF102" s="6"/>
      <c r="BG102" s="6"/>
      <c r="BH102" s="6"/>
      <c r="BI102" s="6"/>
      <c r="BJ102" s="6"/>
    </row>
    <row r="103" spans="1:63" s="1" customFormat="1" outlineLevel="1">
      <c r="A103" s="1" t="s">
        <v>261</v>
      </c>
      <c r="B103" s="61"/>
      <c r="C103" s="606">
        <f>'Ethylene Recycling HC'!C127</f>
        <v>77.621125250716887</v>
      </c>
      <c r="D103" s="606">
        <f>'Ethylene Recycling HC'!D127</f>
        <v>100.78631215353181</v>
      </c>
      <c r="E103" s="606">
        <f>'Ethylene Recycling HC'!E127</f>
        <v>125.06420173933311</v>
      </c>
      <c r="F103" s="606">
        <f>'Ethylene Recycling HC'!F127</f>
        <v>150.45493874237883</v>
      </c>
      <c r="G103" s="606">
        <f>'Ethylene Recycling HC'!G127</f>
        <v>176.95866789692687</v>
      </c>
      <c r="H103" s="606">
        <f>'Ethylene Recycling HC'!H127</f>
        <v>204.57553393723524</v>
      </c>
      <c r="I103" s="606">
        <f>'Ethylene Recycling HC'!I127</f>
        <v>233.30568159756177</v>
      </c>
      <c r="J103" s="606">
        <f>'Ethylene Recycling HC'!J127</f>
        <v>263.14925561216472</v>
      </c>
      <c r="K103" s="606">
        <f>'Ethylene Recycling HC'!K127</f>
        <v>294.10640071530179</v>
      </c>
      <c r="L103" s="606">
        <f>'Ethylene Recycling HC'!L127</f>
        <v>326.17726164123098</v>
      </c>
      <c r="M103" s="606">
        <f>'Ethylene Recycling HC'!M127</f>
        <v>359.36198312421038</v>
      </c>
      <c r="N103" s="606">
        <f>'Ethylene Recycling HC'!N127</f>
        <v>417.78894196853389</v>
      </c>
      <c r="O103" s="606">
        <f>'Ethylene Recycling HC'!O127</f>
        <v>478.33914655935854</v>
      </c>
      <c r="P103" s="606">
        <f>'Ethylene Recycling HC'!P127</f>
        <v>539.17134280747666</v>
      </c>
      <c r="Q103" s="606">
        <f>'Ethylene Recycling HC'!Q127</f>
        <v>601.68157510980734</v>
      </c>
      <c r="R103" s="606">
        <f>'Ethylene Recycling HC'!R127</f>
        <v>665.84694796521637</v>
      </c>
      <c r="S103" s="606">
        <f>'Ethylene Recycling HC'!S127</f>
        <v>731.64448748870461</v>
      </c>
      <c r="T103" s="606">
        <f>'Ethylene Recycling HC'!T127</f>
        <v>799.05114315711876</v>
      </c>
      <c r="U103" s="606">
        <f>'Ethylene Recycling HC'!U127</f>
        <v>868.04378955532604</v>
      </c>
      <c r="V103" s="606">
        <f>'Ethylene Recycling HC'!V127</f>
        <v>938.59922812284367</v>
      </c>
      <c r="W103" s="606">
        <f>'Ethylene Recycling HC'!W127</f>
        <v>1010.6941889009287</v>
      </c>
      <c r="X103" s="606">
        <f>'Ethylene Recycling HC'!X127</f>
        <v>1130.2275259112489</v>
      </c>
      <c r="Y103" s="606">
        <f>'Ethylene Recycling HC'!Y127</f>
        <v>1252.508786526163</v>
      </c>
      <c r="Z103" s="606">
        <f>'Ethylene Recycling HC'!Z127</f>
        <v>1366.1795244683344</v>
      </c>
      <c r="AA103" s="606">
        <f>'Ethylene Recycling HC'!AA127</f>
        <v>1480.2935650277395</v>
      </c>
      <c r="AB103" s="606">
        <f>'Ethylene Recycling HC'!AB127</f>
        <v>1594.7136812363071</v>
      </c>
      <c r="AC103" s="606">
        <f>'Ethylene Recycling HC'!AC127</f>
        <v>1709.303066081427</v>
      </c>
      <c r="AD103" s="606">
        <f>'Ethylene Recycling HC'!AD127</f>
        <v>1823.9254028839225</v>
      </c>
      <c r="AE103" s="606">
        <f>'Ethylene Recycling HC'!AE127</f>
        <v>1938.4449356943176</v>
      </c>
      <c r="AF103" s="606">
        <f>'Ethylene Recycling HC'!AF127</f>
        <v>2052.7265397074043</v>
      </c>
      <c r="AG103" s="606">
        <f>'Ethylene Recycling HC'!AG127</f>
        <v>11953.852643835018</v>
      </c>
      <c r="AH103" s="397"/>
      <c r="AI103" s="398"/>
      <c r="AJ103" s="399"/>
      <c r="AL103" s="207"/>
      <c r="AM103" s="118"/>
      <c r="AN103" s="118"/>
      <c r="AO103" s="118"/>
      <c r="BD103" s="118"/>
      <c r="BE103" s="118"/>
      <c r="BF103" s="118"/>
      <c r="BG103" s="118"/>
      <c r="BH103" s="118"/>
      <c r="BI103" s="118"/>
      <c r="BJ103" s="118"/>
      <c r="BK103" s="118"/>
    </row>
    <row r="104" spans="1:63" outlineLevel="1">
      <c r="A104" s="4" t="s">
        <v>141</v>
      </c>
      <c r="C104" s="122">
        <f>'Ethylene Recycling HC'!C128</f>
        <v>62.627658743594672</v>
      </c>
      <c r="D104" s="122">
        <f>'Ethylene Recycling HC'!D128</f>
        <v>81.017987438994993</v>
      </c>
      <c r="E104" s="122">
        <f>'Ethylene Recycling HC'!E128</f>
        <v>100.16144987534985</v>
      </c>
      <c r="F104" s="122">
        <f>'Ethylene Recycling HC'!F128</f>
        <v>120.04821805567009</v>
      </c>
      <c r="G104" s="122">
        <f>'Ethylene Recycling HC'!G128</f>
        <v>140.66846225844199</v>
      </c>
      <c r="H104" s="122">
        <f>'Ethylene Recycling HC'!H128</f>
        <v>162.01235103762733</v>
      </c>
      <c r="I104" s="122">
        <f>'Ethylene Recycling HC'!I128</f>
        <v>184.07005122266327</v>
      </c>
      <c r="J104" s="122">
        <f>'Ethylene Recycling HC'!J128</f>
        <v>206.83172791846278</v>
      </c>
      <c r="K104" s="122">
        <f>'Ethylene Recycling HC'!K128</f>
        <v>230.28754450541385</v>
      </c>
      <c r="L104" s="122">
        <f>'Ethylene Recycling HC'!L128</f>
        <v>254.4276626393802</v>
      </c>
      <c r="M104" s="122">
        <f>'Ethylene Recycling HC'!M128</f>
        <v>279.24224225170116</v>
      </c>
      <c r="N104" s="122">
        <f>'Ethylene Recycling HC'!N128</f>
        <v>323.39841253852501</v>
      </c>
      <c r="O104" s="122">
        <f>'Ethylene Recycling HC'!O128</f>
        <v>368.84371985438906</v>
      </c>
      <c r="P104" s="122">
        <f>'Ethylene Recycling HC'!P128</f>
        <v>414.14489767021888</v>
      </c>
      <c r="Q104" s="122">
        <f>'Ethylene Recycling HC'!Q128</f>
        <v>460.3675883433333</v>
      </c>
      <c r="R104" s="122">
        <f>'Ethylene Recycling HC'!R128</f>
        <v>507.4793464393307</v>
      </c>
      <c r="S104" s="122">
        <f>'Ethylene Recycling HC'!S128</f>
        <v>555.4479398189543</v>
      </c>
      <c r="T104" s="122">
        <f>'Ethylene Recycling HC'!T128</f>
        <v>604.24135212563624</v>
      </c>
      <c r="U104" s="122">
        <f>'Ethylene Recycling HC'!U128</f>
        <v>653.82778524219134</v>
      </c>
      <c r="V104" s="122">
        <f>'Ethylene Recycling HC'!V128</f>
        <v>704.17566171664248</v>
      </c>
      <c r="W104" s="122">
        <f>'Ethylene Recycling HC'!W128</f>
        <v>755.25362715717381</v>
      </c>
      <c r="X104" s="122">
        <f>'Ethylene Recycling HC'!X128</f>
        <v>841.20968295666887</v>
      </c>
      <c r="Y104" s="122">
        <f>'Ethylene Recycling HC'!Y128</f>
        <v>928.49066106813098</v>
      </c>
      <c r="Z104" s="122">
        <f>'Ethylene Recycling HC'!Z128</f>
        <v>1008.6857697080472</v>
      </c>
      <c r="AA104" s="122">
        <f>'Ethylene Recycling HC'!AA128</f>
        <v>1088.529660025469</v>
      </c>
      <c r="AB104" s="122">
        <f>'Ethylene Recycling HC'!AB128</f>
        <v>1167.9178698291732</v>
      </c>
      <c r="AC104" s="122">
        <f>'Ethylene Recycling HC'!AC128</f>
        <v>1246.7478783134231</v>
      </c>
      <c r="AD104" s="122">
        <f>'Ethylene Recycling HC'!AD128</f>
        <v>1324.9191509265197</v>
      </c>
      <c r="AE104" s="122">
        <f>'Ethylene Recycling HC'!AE128</f>
        <v>1402.3331829947458</v>
      </c>
      <c r="AF104" s="122">
        <f>'Ethylene Recycling HC'!AF128</f>
        <v>1478.8935421013275</v>
      </c>
      <c r="AG104" s="122">
        <f>'Ethylene Recycling HC'!AG128</f>
        <v>8576.5843267311193</v>
      </c>
      <c r="AH104" s="230"/>
      <c r="AI104" s="126"/>
      <c r="AJ104" s="198"/>
      <c r="AL104" s="102"/>
      <c r="AM104" s="2"/>
      <c r="AN104" s="2"/>
      <c r="AO104" s="2"/>
      <c r="BC104" s="1"/>
      <c r="BD104" s="2"/>
      <c r="BE104" s="2"/>
      <c r="BF104" s="2"/>
      <c r="BG104" s="2"/>
      <c r="BH104" s="2"/>
      <c r="BI104" s="2"/>
      <c r="BJ104" s="2"/>
      <c r="BK104" s="2"/>
    </row>
    <row r="105" spans="1:63" outlineLevel="1">
      <c r="A105" s="4" t="s">
        <v>74</v>
      </c>
      <c r="C105" s="122">
        <f>'Ethylene Recycling HC'!C129</f>
        <v>7.7671981905535983</v>
      </c>
      <c r="D105" s="122">
        <f>'Ethylene Recycling HC'!D129</f>
        <v>9.7490601547046065</v>
      </c>
      <c r="E105" s="122">
        <f>'Ethylene Recycling HC'!E129</f>
        <v>11.680306648834016</v>
      </c>
      <c r="F105" s="122">
        <f>'Ethylene Recycling HC'!F129</f>
        <v>13.549816390403047</v>
      </c>
      <c r="G105" s="122">
        <f>'Ethylene Recycling HC'!G129</f>
        <v>15.34646616581842</v>
      </c>
      <c r="H105" s="122">
        <f>'Ethylene Recycling HC'!H129</f>
        <v>17.05913083043238</v>
      </c>
      <c r="I105" s="122">
        <f>'Ethylene Recycling HC'!I129</f>
        <v>18.676683308542671</v>
      </c>
      <c r="J105" s="122">
        <f>'Ethylene Recycling HC'!J129</f>
        <v>20.187994593392581</v>
      </c>
      <c r="K105" s="122">
        <f>'Ethylene Recycling HC'!K129</f>
        <v>21.581933747170865</v>
      </c>
      <c r="L105" s="122">
        <f>'Ethylene Recycling HC'!L129</f>
        <v>22.847367901011818</v>
      </c>
      <c r="M105" s="122">
        <f>'Ethylene Recycling HC'!M129</f>
        <v>23.973162254995255</v>
      </c>
      <c r="N105" s="122">
        <f>'Ethylene Recycling HC'!N129</f>
        <v>26.477302653792346</v>
      </c>
      <c r="O105" s="122">
        <f>'Ethylene Recycling HC'!O129</f>
        <v>28.719153000883498</v>
      </c>
      <c r="P105" s="122">
        <f>'Ethylene Recycling HC'!P129</f>
        <v>30.573060834636809</v>
      </c>
      <c r="Q105" s="122">
        <f>'Ethylene Recycling HC'!Q129</f>
        <v>32.110708874762466</v>
      </c>
      <c r="R105" s="122">
        <f>'Ethylene Recycling HC'!R129</f>
        <v>33.314160241275914</v>
      </c>
      <c r="S105" s="122">
        <f>'Ethylene Recycling HC'!S129</f>
        <v>34.165779867243074</v>
      </c>
      <c r="T105" s="122">
        <f>'Ethylene Recycling HC'!T129</f>
        <v>34.648235881731019</v>
      </c>
      <c r="U105" s="122">
        <f>'Ethylene Recycling HC'!U129</f>
        <v>34.744500957840174</v>
      </c>
      <c r="V105" s="122">
        <f>'Ethylene Recycling HC'!V129</f>
        <v>34.437853625806859</v>
      </c>
      <c r="W105" s="122">
        <f>'Ethylene Recycling HC'!W129</f>
        <v>33.711879551165623</v>
      </c>
      <c r="X105" s="122">
        <f>'Ethylene Recycling HC'!X129</f>
        <v>33.929041220994044</v>
      </c>
      <c r="Y105" s="122">
        <f>'Ethylene Recycling HC'!Y129</f>
        <v>33.422117836900384</v>
      </c>
      <c r="Z105" s="122">
        <f>'Ethylene Recycling HC'!Z129</f>
        <v>31.898408100040893</v>
      </c>
      <c r="AA105" s="122">
        <f>'Ethylene Recycling HC'!AA129</f>
        <v>29.625268797982006</v>
      </c>
      <c r="AB105" s="122">
        <f>'Ethylene Recycling HC'!AB129</f>
        <v>26.595975385440784</v>
      </c>
      <c r="AC105" s="122">
        <f>'Ethylene Recycling HC'!AC129</f>
        <v>22.80563981191488</v>
      </c>
      <c r="AD105" s="122">
        <f>'Ethylene Recycling HC'!AD129</f>
        <v>18.251204222079824</v>
      </c>
      <c r="AE105" s="122">
        <f>'Ethylene Recycling HC'!AE129</f>
        <v>12.931433247826716</v>
      </c>
      <c r="AF105" s="122">
        <f>'Ethylene Recycling HC'!AF129</f>
        <v>6.8469048915131197</v>
      </c>
      <c r="AG105" s="122">
        <f>'Ethylene Recycling HC'!AG129</f>
        <v>0</v>
      </c>
      <c r="AH105" s="230"/>
      <c r="AI105" s="126"/>
      <c r="AJ105" s="198"/>
      <c r="AL105" s="102"/>
      <c r="AM105" s="2"/>
      <c r="AN105" s="2"/>
      <c r="AO105" s="2"/>
      <c r="BC105" s="1"/>
      <c r="BD105" s="2"/>
      <c r="BE105" s="2"/>
      <c r="BF105" s="2"/>
      <c r="BG105" s="2"/>
      <c r="BH105" s="2"/>
      <c r="BI105" s="2"/>
      <c r="BJ105" s="2"/>
      <c r="BK105" s="2"/>
    </row>
    <row r="106" spans="1:63" outlineLevel="1">
      <c r="A106" s="4" t="s">
        <v>34</v>
      </c>
      <c r="C106" s="122">
        <f>'Ethylene Recycling HC'!C130</f>
        <v>0</v>
      </c>
      <c r="D106" s="122">
        <f>'Ethylene Recycling HC'!D130</f>
        <v>0.3599511148340423</v>
      </c>
      <c r="E106" s="122">
        <f>'Ethylene Recycling HC'!E130</f>
        <v>0.89331572670952253</v>
      </c>
      <c r="F106" s="122">
        <f>'Ethylene Recycling HC'!F130</f>
        <v>1.6120172008112024</v>
      </c>
      <c r="G106" s="122">
        <f>'Ethylene Recycling HC'!G130</f>
        <v>2.5279809699560989</v>
      </c>
      <c r="H106" s="122">
        <f>'Ethylene Recycling HC'!H130</f>
        <v>3.6531345345934874</v>
      </c>
      <c r="I106" s="122">
        <f>'Ethylene Recycling HC'!I130</f>
        <v>4.9994074628048972</v>
      </c>
      <c r="J106" s="122">
        <f>'Ethylene Recycling HC'!J130</f>
        <v>6.57873139030412</v>
      </c>
      <c r="K106" s="122">
        <f>'Ethylene Recycling HC'!K130</f>
        <v>8.4030400204371976</v>
      </c>
      <c r="L106" s="122">
        <f>'Ethylene Recycling HC'!L130</f>
        <v>10.484269124182427</v>
      </c>
      <c r="M106" s="122">
        <f>'Ethylene Recycling HC'!M130</f>
        <v>12.834356540150376</v>
      </c>
      <c r="N106" s="122">
        <f>'Ethylene Recycling HC'!N130</f>
        <v>16.413137005906695</v>
      </c>
      <c r="O106" s="122">
        <f>'Ethylene Recycling HC'!O130</f>
        <v>20.50024913825823</v>
      </c>
      <c r="P106" s="122">
        <f>'Ethylene Recycling HC'!P130</f>
        <v>25.03295520177571</v>
      </c>
      <c r="Q106" s="122">
        <f>'Ethylene Recycling HC'!Q130</f>
        <v>30.084078755490378</v>
      </c>
      <c r="R106" s="122">
        <f>'Ethylene Recycling HC'!R130</f>
        <v>35.670372212422315</v>
      </c>
      <c r="S106" s="122">
        <f>'Ethylene Recycling HC'!S130</f>
        <v>41.80825642792599</v>
      </c>
      <c r="T106" s="122">
        <f>'Ethylene Recycling HC'!T130</f>
        <v>48.513819405967944</v>
      </c>
      <c r="U106" s="122">
        <f>'Ethylene Recycling HC'!U130</f>
        <v>55.802815042842404</v>
      </c>
      <c r="V106" s="122">
        <f>'Ethylene Recycling HC'!V130</f>
        <v>63.690661908335841</v>
      </c>
      <c r="W106" s="122">
        <f>'Ethylene Recycling HC'!W130</f>
        <v>72.192442064352079</v>
      </c>
      <c r="X106" s="122">
        <f>'Ethylene Recycling HC'!X130</f>
        <v>84.767064443343699</v>
      </c>
      <c r="Y106" s="122">
        <f>'Ethylene Recycling HC'!Y130</f>
        <v>98.411404655627123</v>
      </c>
      <c r="Z106" s="122">
        <f>'Ethylene Recycling HC'!Z130</f>
        <v>112.22188950989893</v>
      </c>
      <c r="AA106" s="122">
        <f>'Ethylene Recycling HC'!AA130</f>
        <v>126.88230557380629</v>
      </c>
      <c r="AB106" s="122">
        <f>'Ethylene Recycling HC'!AB130</f>
        <v>142.38515011038461</v>
      </c>
      <c r="AC106" s="122">
        <f>'Ethylene Recycling HC'!AC130</f>
        <v>158.72099899327543</v>
      </c>
      <c r="AD106" s="122">
        <f>'Ethylene Recycling HC'!AD130</f>
        <v>175.8785209923783</v>
      </c>
      <c r="AE106" s="122">
        <f>'Ethylene Recycling HC'!AE130</f>
        <v>193.84449356943182</v>
      </c>
      <c r="AF106" s="122">
        <f>'Ethylene Recycling HC'!AF130</f>
        <v>212.60382018398124</v>
      </c>
      <c r="AG106" s="122">
        <f>'Ethylene Recycling HC'!AG130</f>
        <v>1280.769926125181</v>
      </c>
      <c r="AH106" s="230"/>
      <c r="AI106" s="126"/>
      <c r="AJ106" s="198"/>
      <c r="AL106" s="102"/>
      <c r="AM106" s="2"/>
      <c r="AN106" s="2"/>
      <c r="AO106" s="2"/>
      <c r="BC106" s="1"/>
      <c r="BD106" s="2"/>
      <c r="BE106" s="2"/>
      <c r="BF106" s="2"/>
      <c r="BG106" s="2"/>
      <c r="BH106" s="2"/>
      <c r="BI106" s="2"/>
      <c r="BJ106" s="2"/>
      <c r="BK106" s="2"/>
    </row>
    <row r="107" spans="1:63" outlineLevel="1">
      <c r="A107" s="4" t="s">
        <v>35</v>
      </c>
      <c r="C107" s="122">
        <f>'Ethylene Recycling HC'!C131</f>
        <v>0</v>
      </c>
      <c r="D107" s="122">
        <f>'Ethylene Recycling HC'!D131</f>
        <v>0</v>
      </c>
      <c r="E107" s="122">
        <f>'Ethylene Recycling HC'!E131</f>
        <v>0</v>
      </c>
      <c r="F107" s="122">
        <f>'Ethylene Recycling HC'!F131</f>
        <v>0</v>
      </c>
      <c r="G107" s="122">
        <f>'Ethylene Recycling HC'!G131</f>
        <v>0</v>
      </c>
      <c r="H107" s="122">
        <f>'Ethylene Recycling HC'!H131</f>
        <v>0</v>
      </c>
      <c r="I107" s="122">
        <f>'Ethylene Recycling HC'!I131</f>
        <v>0</v>
      </c>
      <c r="J107" s="122">
        <f>'Ethylene Recycling HC'!J131</f>
        <v>0</v>
      </c>
      <c r="K107" s="122">
        <f>'Ethylene Recycling HC'!K131</f>
        <v>0</v>
      </c>
      <c r="L107" s="122">
        <f>'Ethylene Recycling HC'!L131</f>
        <v>0</v>
      </c>
      <c r="M107" s="122">
        <f>'Ethylene Recycling HC'!M131</f>
        <v>0</v>
      </c>
      <c r="N107" s="122">
        <f>'Ethylene Recycling HC'!N131</f>
        <v>0</v>
      </c>
      <c r="O107" s="122">
        <f>'Ethylene Recycling HC'!O131</f>
        <v>0</v>
      </c>
      <c r="P107" s="122">
        <f>'Ethylene Recycling HC'!P131</f>
        <v>0</v>
      </c>
      <c r="Q107" s="122">
        <f>'Ethylene Recycling HC'!Q131</f>
        <v>0</v>
      </c>
      <c r="R107" s="122">
        <f>'Ethylene Recycling HC'!R131</f>
        <v>0</v>
      </c>
      <c r="S107" s="122">
        <f>'Ethylene Recycling HC'!S131</f>
        <v>0</v>
      </c>
      <c r="T107" s="122">
        <f>'Ethylene Recycling HC'!T131</f>
        <v>0</v>
      </c>
      <c r="U107" s="122">
        <f>'Ethylene Recycling HC'!U131</f>
        <v>0</v>
      </c>
      <c r="V107" s="122">
        <f>'Ethylene Recycling HC'!V131</f>
        <v>0</v>
      </c>
      <c r="W107" s="122">
        <f>'Ethylene Recycling HC'!W131</f>
        <v>0</v>
      </c>
      <c r="X107" s="122">
        <f>'Ethylene Recycling HC'!X131</f>
        <v>0</v>
      </c>
      <c r="Y107" s="122">
        <f>'Ethylene Recycling HC'!Y131</f>
        <v>0</v>
      </c>
      <c r="Z107" s="122">
        <f>'Ethylene Recycling HC'!Z131</f>
        <v>0</v>
      </c>
      <c r="AA107" s="122">
        <f>'Ethylene Recycling HC'!AA131</f>
        <v>0</v>
      </c>
      <c r="AB107" s="122">
        <f>'Ethylene Recycling HC'!AB131</f>
        <v>0</v>
      </c>
      <c r="AC107" s="122">
        <f>'Ethylene Recycling HC'!AC131</f>
        <v>0</v>
      </c>
      <c r="AD107" s="122">
        <f>'Ethylene Recycling HC'!AD131</f>
        <v>0</v>
      </c>
      <c r="AE107" s="122">
        <f>'Ethylene Recycling HC'!AE131</f>
        <v>0</v>
      </c>
      <c r="AF107" s="122">
        <f>'Ethylene Recycling HC'!AF131</f>
        <v>0</v>
      </c>
      <c r="AG107" s="122">
        <f>'Ethylene Recycling HC'!AG131</f>
        <v>0</v>
      </c>
      <c r="AH107" s="230"/>
      <c r="AI107" s="126"/>
      <c r="AJ107" s="198"/>
      <c r="AL107" s="102"/>
      <c r="AM107" s="2"/>
      <c r="AN107" s="2"/>
      <c r="AO107" s="2"/>
      <c r="BC107" s="1"/>
      <c r="BD107" s="2"/>
      <c r="BE107" s="2"/>
      <c r="BF107" s="2"/>
      <c r="BG107" s="2"/>
      <c r="BH107" s="2"/>
      <c r="BI107" s="2"/>
      <c r="BJ107" s="2"/>
      <c r="BK107" s="2"/>
    </row>
    <row r="108" spans="1:63" outlineLevel="1">
      <c r="A108" s="4" t="s">
        <v>27</v>
      </c>
      <c r="C108" s="122">
        <f>'Ethylene Recycling HC'!C132</f>
        <v>7.226268316568615</v>
      </c>
      <c r="D108" s="122">
        <f>'Ethylene Recycling HC'!D132</f>
        <v>9.6593134449981637</v>
      </c>
      <c r="E108" s="122">
        <f>'Ethylene Recycling HC'!E132</f>
        <v>12.329129488439733</v>
      </c>
      <c r="F108" s="122">
        <f>'Ethylene Recycling HC'!F132</f>
        <v>15.244887095494503</v>
      </c>
      <c r="G108" s="122">
        <f>'Ethylene Recycling HC'!G132</f>
        <v>18.415758502710393</v>
      </c>
      <c r="H108" s="122">
        <f>'Ethylene Recycling HC'!H132</f>
        <v>21.850917534582081</v>
      </c>
      <c r="I108" s="122">
        <f>'Ethylene Recycling HC'!I132</f>
        <v>25.559539603550984</v>
      </c>
      <c r="J108" s="122">
        <f>'Ethylene Recycling HC'!J132</f>
        <v>29.550801710005313</v>
      </c>
      <c r="K108" s="122">
        <f>'Ethylene Recycling HC'!K132</f>
        <v>33.833882442279965</v>
      </c>
      <c r="L108" s="122">
        <f>'Ethylene Recycling HC'!L132</f>
        <v>38.417961976656628</v>
      </c>
      <c r="M108" s="122">
        <f>'Ethylene Recycling HC'!M132</f>
        <v>43.312222077363749</v>
      </c>
      <c r="N108" s="122">
        <f>'Ethylene Recycling HC'!N132</f>
        <v>51.500089770310019</v>
      </c>
      <c r="O108" s="122">
        <f>'Ethylene Recycling HC'!O132</f>
        <v>60.276024565827989</v>
      </c>
      <c r="P108" s="122">
        <f>'Ethylene Recycling HC'!P132</f>
        <v>69.420429100845553</v>
      </c>
      <c r="Q108" s="122">
        <f>'Ethylene Recycling HC'!Q132</f>
        <v>79.119199136221582</v>
      </c>
      <c r="R108" s="122">
        <f>'Ethylene Recycling HC'!R132</f>
        <v>89.383069072187865</v>
      </c>
      <c r="S108" s="122">
        <f>'Ethylene Recycling HC'!S132</f>
        <v>100.22251137458179</v>
      </c>
      <c r="T108" s="122">
        <f>'Ethylene Recycling HC'!T132</f>
        <v>111.64773574378418</v>
      </c>
      <c r="U108" s="122">
        <f>'Ethylene Recycling HC'!U132</f>
        <v>123.66868831245287</v>
      </c>
      <c r="V108" s="122">
        <f>'Ethylene Recycling HC'!V132</f>
        <v>136.29505087205936</v>
      </c>
      <c r="W108" s="122">
        <f>'Ethylene Recycling HC'!W132</f>
        <v>149.53624012823815</v>
      </c>
      <c r="X108" s="122">
        <f>'Ethylene Recycling HC'!X132</f>
        <v>170.32173729024339</v>
      </c>
      <c r="Y108" s="122">
        <f>'Ethylene Recycling HC'!Y132</f>
        <v>192.18460296550595</v>
      </c>
      <c r="Z108" s="122">
        <f>'Ethylene Recycling HC'!Z132</f>
        <v>213.37345715034888</v>
      </c>
      <c r="AA108" s="122">
        <f>'Ethylene Recycling HC'!AA132</f>
        <v>235.25633063048411</v>
      </c>
      <c r="AB108" s="122">
        <f>'Ethylene Recycling HC'!AB132</f>
        <v>257.81468591131062</v>
      </c>
      <c r="AC108" s="122">
        <f>'Ethylene Recycling HC'!AC132</f>
        <v>281.02854896281582</v>
      </c>
      <c r="AD108" s="122">
        <f>'Ethylene Recycling HC'!AD132</f>
        <v>304.87652674294725</v>
      </c>
      <c r="AE108" s="122">
        <f>'Ethylene Recycling HC'!AE132</f>
        <v>329.33582588231604</v>
      </c>
      <c r="AF108" s="122">
        <f>'Ethylene Recycling HC'!AF132</f>
        <v>354.38227253058557</v>
      </c>
      <c r="AG108" s="122">
        <f>'Ethylene Recycling HC'!AG132</f>
        <v>2096.4983909787184</v>
      </c>
      <c r="AH108" s="230"/>
      <c r="AI108" s="126"/>
      <c r="AJ108" s="198"/>
      <c r="AL108" s="102"/>
      <c r="AM108" s="2"/>
      <c r="AN108" s="2"/>
      <c r="AO108" s="2"/>
      <c r="BC108" s="1"/>
      <c r="BD108" s="2"/>
      <c r="BE108" s="2"/>
      <c r="BF108" s="2"/>
      <c r="BG108" s="2"/>
      <c r="BH108" s="2"/>
      <c r="BI108" s="2"/>
      <c r="BJ108" s="2"/>
      <c r="BK108" s="2"/>
    </row>
    <row r="109" spans="1:63" s="1" customFormat="1" outlineLevel="1">
      <c r="A109" s="1" t="s">
        <v>829</v>
      </c>
      <c r="B109" s="61"/>
      <c r="C109" s="606">
        <f>'Ethylene Recycling HC'!C133</f>
        <v>464.17432899928696</v>
      </c>
      <c r="D109" s="606">
        <f>'Ethylene Recycling HC'!D133</f>
        <v>585.42741366194684</v>
      </c>
      <c r="E109" s="606">
        <f>'Ethylene Recycling HC'!E133</f>
        <v>706.1134716700908</v>
      </c>
      <c r="F109" s="606">
        <f>'Ethylene Recycling HC'!F133</f>
        <v>826.23242776190511</v>
      </c>
      <c r="G109" s="606">
        <f>'Ethylene Recycling HC'!G133</f>
        <v>945.78420667557521</v>
      </c>
      <c r="H109" s="606">
        <f>'Ethylene Recycling HC'!H133</f>
        <v>1064.7687331492871</v>
      </c>
      <c r="I109" s="606">
        <f>'Ethylene Recycling HC'!I133</f>
        <v>1183.1859319212265</v>
      </c>
      <c r="J109" s="606">
        <f>'Ethylene Recycling HC'!J133</f>
        <v>1301.03572772958</v>
      </c>
      <c r="K109" s="606">
        <f>'Ethylene Recycling HC'!K133</f>
        <v>1418.3180453125326</v>
      </c>
      <c r="L109" s="606">
        <f>'Ethylene Recycling HC'!L133</f>
        <v>1535.0328094082702</v>
      </c>
      <c r="M109" s="606">
        <f>'Ethylene Recycling HC'!M133</f>
        <v>1651.1799447549786</v>
      </c>
      <c r="N109" s="606">
        <f>'Ethylene Recycling HC'!N133</f>
        <v>1875.0475012868374</v>
      </c>
      <c r="O109" s="606">
        <f>'Ethylene Recycling HC'!O133</f>
        <v>2097.8330420048555</v>
      </c>
      <c r="P109" s="606">
        <f>'Ethylene Recycling HC'!P133</f>
        <v>2311.641055144315</v>
      </c>
      <c r="Q109" s="606">
        <f>'Ethylene Recycling HC'!Q133</f>
        <v>2522.8453911280953</v>
      </c>
      <c r="R109" s="606">
        <f>'Ethylene Recycling HC'!R133</f>
        <v>2731.4521465417552</v>
      </c>
      <c r="S109" s="606">
        <f>'Ethylene Recycling HC'!S133</f>
        <v>2937.4675423267445</v>
      </c>
      <c r="T109" s="606">
        <f>'Ethylene Recycling HC'!T133</f>
        <v>3140.897922890982</v>
      </c>
      <c r="U109" s="606">
        <f>'Ethylene Recycling HC'!U133</f>
        <v>3341.7497552192117</v>
      </c>
      <c r="V109" s="606">
        <f>'Ethylene Recycling HC'!V133</f>
        <v>3540.0296279830995</v>
      </c>
      <c r="W109" s="606">
        <f>'Ethylene Recycling HC'!W133</f>
        <v>3735.7442506511106</v>
      </c>
      <c r="X109" s="606">
        <f>'Ethylene Recycling HC'!X133</f>
        <v>4095.296136516984</v>
      </c>
      <c r="Y109" s="606">
        <f>'Ethylene Recycling HC'!Y133</f>
        <v>4450.2977991025182</v>
      </c>
      <c r="Z109" s="606">
        <f>'Ethylene Recycling HC'!Z133</f>
        <v>4761.319787637447</v>
      </c>
      <c r="AA109" s="606">
        <f>'Ethylene Recycling HC'!AA133</f>
        <v>5061.706844779701</v>
      </c>
      <c r="AB109" s="606">
        <f>'Ethylene Recycling HC'!AB133</f>
        <v>5351.502532287901</v>
      </c>
      <c r="AC109" s="606">
        <f>'Ethylene Recycling HC'!AC133</f>
        <v>5630.7535623296535</v>
      </c>
      <c r="AD109" s="606">
        <f>'Ethylene Recycling HC'!AD133</f>
        <v>5899.5097616168923</v>
      </c>
      <c r="AE109" s="606">
        <f>'Ethylene Recycling HC'!AE133</f>
        <v>6157.8240355316921</v>
      </c>
      <c r="AF109" s="606">
        <f>'Ethylene Recycling HC'!AF133</f>
        <v>6405.7523322425805</v>
      </c>
      <c r="AG109" s="606">
        <f>'Ethylene Recycling HC'!AG133</f>
        <v>1554.0008436985522</v>
      </c>
      <c r="AH109" s="397"/>
      <c r="AI109" s="398"/>
      <c r="AJ109" s="399"/>
      <c r="AL109" s="207"/>
      <c r="AM109" s="118"/>
      <c r="AN109" s="118"/>
      <c r="AO109" s="118"/>
      <c r="BD109" s="118"/>
      <c r="BE109" s="118"/>
      <c r="BF109" s="118"/>
      <c r="BG109" s="118"/>
      <c r="BH109" s="118"/>
      <c r="BI109" s="118"/>
      <c r="BJ109" s="118"/>
      <c r="BK109" s="118"/>
    </row>
    <row r="110" spans="1:63" outlineLevel="1">
      <c r="A110" s="4" t="s">
        <v>141</v>
      </c>
      <c r="C110" s="122">
        <f>'Ethylene Recycling HC'!C134</f>
        <v>374.51339928669609</v>
      </c>
      <c r="D110" s="122">
        <f>'Ethylene Recycling HC'!D134</f>
        <v>470.60111470548395</v>
      </c>
      <c r="E110" s="122">
        <f>'Ethylene Recycling HC'!E134</f>
        <v>565.51233778634275</v>
      </c>
      <c r="F110" s="122">
        <f>'Ethylene Recycling HC'!F134</f>
        <v>659.25207561623586</v>
      </c>
      <c r="G110" s="122">
        <f>'Ethylene Recycling HC'!G134</f>
        <v>751.82533617887896</v>
      </c>
      <c r="H110" s="122">
        <f>'Ethylene Recycling HC'!H134</f>
        <v>843.23712835474066</v>
      </c>
      <c r="I110" s="122">
        <f>'Ethylene Recycling HC'!I134</f>
        <v>933.49246192104215</v>
      </c>
      <c r="J110" s="122">
        <f>'Ethylene Recycling HC'!J134</f>
        <v>1022.5963475517584</v>
      </c>
      <c r="K110" s="122">
        <f>'Ethylene Recycling HC'!K134</f>
        <v>1110.5537968176154</v>
      </c>
      <c r="L110" s="122">
        <f>'Ethylene Recycling HC'!L134</f>
        <v>1197.3698221860927</v>
      </c>
      <c r="M110" s="122">
        <f>'Ethylene Recycling HC'!M134</f>
        <v>1283.0494370214228</v>
      </c>
      <c r="N110" s="122">
        <f>'Ethylene Recycling HC'!N134</f>
        <v>1451.4203810501085</v>
      </c>
      <c r="O110" s="122">
        <f>'Ethylene Recycling HC'!O134</f>
        <v>1617.6232876029098</v>
      </c>
      <c r="P110" s="122">
        <f>'Ethylene Recycling HC'!P134</f>
        <v>1775.6031751391954</v>
      </c>
      <c r="Q110" s="122">
        <f>'Ethylene Recycling HC'!Q134</f>
        <v>1930.3171254076904</v>
      </c>
      <c r="R110" s="122">
        <f>'Ethylene Recycling HC'!R134</f>
        <v>2081.793052282233</v>
      </c>
      <c r="S110" s="122">
        <f>'Ethylene Recycling HC'!S134</f>
        <v>2230.058891403356</v>
      </c>
      <c r="T110" s="122">
        <f>'Ethylene Recycling HC'!T134</f>
        <v>2375.1425976535647</v>
      </c>
      <c r="U110" s="122">
        <f>'Ethylene Recycling HC'!U134</f>
        <v>2517.0721426483433</v>
      </c>
      <c r="V110" s="122">
        <f>'Ethylene Recycling HC'!V134</f>
        <v>2655.8755122428688</v>
      </c>
      <c r="W110" s="122">
        <f>'Ethylene Recycling HC'!W134</f>
        <v>2791.5807040544637</v>
      </c>
      <c r="X110" s="122">
        <f>'Ethylene Recycling HC'!X134</f>
        <v>3048.061284682994</v>
      </c>
      <c r="Y110" s="122">
        <f>'Ethylene Recycling HC'!Y134</f>
        <v>3299.0267133366992</v>
      </c>
      <c r="Z110" s="122">
        <f>'Ethylene Recycling HC'!Z134</f>
        <v>3515.4058663617102</v>
      </c>
      <c r="AA110" s="122">
        <f>'Ethylene Recycling HC'!AA134</f>
        <v>3722.1117223416336</v>
      </c>
      <c r="AB110" s="122">
        <f>'Ethylene Recycling HC'!AB134</f>
        <v>3919.271221809352</v>
      </c>
      <c r="AC110" s="122">
        <f>'Ethylene Recycling HC'!AC134</f>
        <v>4107.0130841301743</v>
      </c>
      <c r="AD110" s="122">
        <f>'Ethylene Recycling HC'!AD134</f>
        <v>4285.467734527525</v>
      </c>
      <c r="AE110" s="122">
        <f>'Ethylene Recycling HC'!AE134</f>
        <v>4454.7672317427396</v>
      </c>
      <c r="AF110" s="122">
        <f>'Ethylene Recycling HC'!AF134</f>
        <v>4615.0451963291771</v>
      </c>
      <c r="AG110" s="122">
        <f>'Ethylene Recycling HC'!AG134</f>
        <v>1114.9559624750455</v>
      </c>
      <c r="AH110" s="230"/>
      <c r="AI110" s="126"/>
      <c r="AJ110" s="198"/>
      <c r="AL110" s="102"/>
      <c r="AM110" s="2"/>
      <c r="AN110" s="2"/>
      <c r="AO110" s="2"/>
      <c r="BC110" s="1"/>
      <c r="BD110" s="2"/>
      <c r="BE110" s="2"/>
      <c r="BF110" s="2"/>
      <c r="BG110" s="2"/>
      <c r="BH110" s="2"/>
      <c r="BI110" s="2"/>
      <c r="BJ110" s="2"/>
      <c r="BK110" s="2"/>
    </row>
    <row r="111" spans="1:63" outlineLevel="1">
      <c r="A111" s="4" t="s">
        <v>74</v>
      </c>
      <c r="C111" s="122">
        <f>'Ethylene Recycling HC'!C135</f>
        <v>46.447845179510516</v>
      </c>
      <c r="D111" s="122">
        <f>'Ethylene Recycling HC'!D135</f>
        <v>56.628394769611148</v>
      </c>
      <c r="E111" s="122">
        <f>'Ethylene Recycling HC'!E135</f>
        <v>65.947103673756757</v>
      </c>
      <c r="F111" s="122">
        <f>'Ethylene Recycling HC'!F135</f>
        <v>74.409639095598322</v>
      </c>
      <c r="G111" s="122">
        <f>'Ethylene Recycling HC'!G135</f>
        <v>82.02166924293509</v>
      </c>
      <c r="H111" s="122">
        <f>'Ethylene Recycling HC'!H135</f>
        <v>88.788863327714665</v>
      </c>
      <c r="I111" s="122">
        <f>'Ethylene Recycling HC'!I135</f>
        <v>94.716891566032984</v>
      </c>
      <c r="J111" s="122">
        <f>'Ethylene Recycling HC'!J135</f>
        <v>99.8114251781344</v>
      </c>
      <c r="K111" s="122">
        <f>'Ethylene Recycling HC'!K135</f>
        <v>104.07813638841142</v>
      </c>
      <c r="L111" s="122">
        <f>'Ethylene Recycling HC'!L135</f>
        <v>107.52269842540501</v>
      </c>
      <c r="M111" s="122">
        <f>'Ethylene Recycling HC'!M135</f>
        <v>110.15078552180444</v>
      </c>
      <c r="N111" s="122">
        <f>'Ethylene Recycling HC'!N135</f>
        <v>118.83081430515179</v>
      </c>
      <c r="O111" s="122">
        <f>'Ethylene Recycling HC'!O135</f>
        <v>125.952451387271</v>
      </c>
      <c r="P111" s="122">
        <f>'Ethylene Recycling HC'!P135</f>
        <v>131.07881854174676</v>
      </c>
      <c r="Q111" s="122">
        <f>'Ethylene Recycling HC'!Q135</f>
        <v>134.63991127826384</v>
      </c>
      <c r="R111" s="122">
        <f>'Ethylene Recycling HC'!R135</f>
        <v>136.66208845643413</v>
      </c>
      <c r="S111" s="122">
        <f>'Ethylene Recycling HC'!S135</f>
        <v>137.17163340188017</v>
      </c>
      <c r="T111" s="122">
        <f>'Ethylene Recycling HC'!T135</f>
        <v>136.19475179371216</v>
      </c>
      <c r="U111" s="122">
        <f>'Ethylene Recycling HC'!U135</f>
        <v>133.75756956979623</v>
      </c>
      <c r="V111" s="122">
        <f>'Ethylene Recycling HC'!V135</f>
        <v>129.88613084981762</v>
      </c>
      <c r="W111" s="122">
        <f>'Ethylene Recycling HC'!W135</f>
        <v>124.60639587614632</v>
      </c>
      <c r="X111" s="122">
        <f>'Ethylene Recycling HC'!X135</f>
        <v>122.93938011820588</v>
      </c>
      <c r="Y111" s="122">
        <f>'Ethylene Recycling HC'!Y135</f>
        <v>118.75236249913196</v>
      </c>
      <c r="Z111" s="122">
        <f>'Ethylene Recycling HC'!Z135</f>
        <v>111.17025175733382</v>
      </c>
      <c r="AA111" s="122">
        <f>'Ethylene Recycling HC'!AA135</f>
        <v>101.30046458073605</v>
      </c>
      <c r="AB111" s="122">
        <f>'Ethylene Recycling HC'!AB135</f>
        <v>89.250146467366136</v>
      </c>
      <c r="AC111" s="122">
        <f>'Ethylene Recycling HC'!AC135</f>
        <v>75.12590374422777</v>
      </c>
      <c r="AD111" s="122">
        <f>'Ethylene Recycling HC'!AD135</f>
        <v>59.033750667200863</v>
      </c>
      <c r="AE111" s="122">
        <f>'Ethylene Recycling HC'!AE135</f>
        <v>41.079057238641184</v>
      </c>
      <c r="AF111" s="122">
        <f>'Ethylene Recycling HC'!AF135</f>
        <v>21.366497742902006</v>
      </c>
      <c r="AG111" s="122">
        <f>'Ethylene Recycling HC'!AG135</f>
        <v>0</v>
      </c>
      <c r="AH111" s="230"/>
      <c r="AI111" s="126"/>
      <c r="AJ111" s="198"/>
      <c r="AL111" s="102"/>
      <c r="AM111" s="2"/>
      <c r="AN111" s="2"/>
      <c r="AO111" s="2"/>
      <c r="BC111" s="1"/>
      <c r="BD111" s="2"/>
      <c r="BE111" s="2"/>
      <c r="BF111" s="2"/>
      <c r="BG111" s="2"/>
      <c r="BH111" s="2"/>
      <c r="BI111" s="2"/>
      <c r="BJ111" s="2"/>
      <c r="BK111" s="2"/>
    </row>
    <row r="112" spans="1:63" outlineLevel="1">
      <c r="A112" s="4" t="s">
        <v>34</v>
      </c>
      <c r="C112" s="122">
        <f>'Ethylene Recycling HC'!C136</f>
        <v>0</v>
      </c>
      <c r="D112" s="122">
        <f>'Ethylene Recycling HC'!D136</f>
        <v>2.0908121916498108</v>
      </c>
      <c r="E112" s="122">
        <f>'Ethylene Recycling HC'!E136</f>
        <v>5.0436676547863648</v>
      </c>
      <c r="F112" s="122">
        <f>'Ethylene Recycling HC'!F136</f>
        <v>8.8524902974489859</v>
      </c>
      <c r="G112" s="122">
        <f>'Ethylene Recycling HC'!G136</f>
        <v>13.511202952508222</v>
      </c>
      <c r="H112" s="122">
        <f>'Ethylene Recycling HC'!H136</f>
        <v>19.013727377665848</v>
      </c>
      <c r="I112" s="122">
        <f>'Ethylene Recycling HC'!I136</f>
        <v>25.353984255454861</v>
      </c>
      <c r="J112" s="122">
        <f>'Ethylene Recycling HC'!J136</f>
        <v>32.525893193239511</v>
      </c>
      <c r="K112" s="122">
        <f>'Ethylene Recycling HC'!K136</f>
        <v>40.523372723215232</v>
      </c>
      <c r="L112" s="122">
        <f>'Ethylene Recycling HC'!L136</f>
        <v>49.340340302408698</v>
      </c>
      <c r="M112" s="122">
        <f>'Ethylene Recycling HC'!M136</f>
        <v>58.970712312677826</v>
      </c>
      <c r="N112" s="122">
        <f>'Ethylene Recycling HC'!N136</f>
        <v>73.662580407697206</v>
      </c>
      <c r="O112" s="122">
        <f>'Ethylene Recycling HC'!O136</f>
        <v>89.907130371636697</v>
      </c>
      <c r="P112" s="122">
        <f>'Ethylene Recycling HC'!P136</f>
        <v>107.32619184598609</v>
      </c>
      <c r="Q112" s="122">
        <f>'Ethylene Recycling HC'!Q136</f>
        <v>126.14226955640481</v>
      </c>
      <c r="R112" s="122">
        <f>'Ethylene Recycling HC'!R136</f>
        <v>146.32779356473694</v>
      </c>
      <c r="S112" s="122">
        <f>'Ethylene Recycling HC'!S136</f>
        <v>167.85528813295687</v>
      </c>
      <c r="T112" s="122">
        <f>'Ethylene Recycling HC'!T136</f>
        <v>190.69737388980968</v>
      </c>
      <c r="U112" s="122">
        <f>'Ethylene Recycling HC'!U136</f>
        <v>214.82676997837797</v>
      </c>
      <c r="V112" s="122">
        <f>'Ethylene Recycling HC'!V136</f>
        <v>240.21629618456754</v>
      </c>
      <c r="W112" s="122">
        <f>'Ethylene Recycling HC'!W136</f>
        <v>266.83887504650801</v>
      </c>
      <c r="X112" s="122">
        <f>'Ethylene Recycling HC'!X136</f>
        <v>307.14721023877388</v>
      </c>
      <c r="Y112" s="122">
        <f>'Ethylene Recycling HC'!Y136</f>
        <v>349.66625564376938</v>
      </c>
      <c r="Z112" s="122">
        <f>'Ethylene Recycling HC'!Z136</f>
        <v>391.10841112736188</v>
      </c>
      <c r="AA112" s="122">
        <f>'Ethylene Recycling HC'!AA136</f>
        <v>433.86058669540307</v>
      </c>
      <c r="AB112" s="122">
        <f>'Ethylene Recycling HC'!AB136</f>
        <v>477.8127260971342</v>
      </c>
      <c r="AC112" s="122">
        <f>'Ethylene Recycling HC'!AC136</f>
        <v>522.85568793061088</v>
      </c>
      <c r="AD112" s="122">
        <f>'Ethylene Recycling HC'!AD136</f>
        <v>568.88129844162904</v>
      </c>
      <c r="AE112" s="122">
        <f>'Ethylene Recycling HC'!AE136</f>
        <v>615.78240355316939</v>
      </c>
      <c r="AF112" s="122">
        <f>'Ethylene Recycling HC'!AF136</f>
        <v>663.45292012512459</v>
      </c>
      <c r="AG112" s="122">
        <f>'Ethylene Recycling HC'!AG136</f>
        <v>166.50009039627352</v>
      </c>
      <c r="AH112" s="230"/>
      <c r="AI112" s="126"/>
      <c r="AJ112" s="198"/>
      <c r="AL112" s="102"/>
      <c r="AM112" s="2"/>
      <c r="AN112" s="2"/>
      <c r="AO112" s="2"/>
      <c r="BC112" s="1"/>
      <c r="BD112" s="2"/>
      <c r="BE112" s="2"/>
      <c r="BF112" s="2"/>
      <c r="BG112" s="2"/>
      <c r="BH112" s="2"/>
      <c r="BI112" s="2"/>
      <c r="BJ112" s="2"/>
      <c r="BK112" s="2"/>
    </row>
    <row r="113" spans="1:63" outlineLevel="1">
      <c r="A113" s="4" t="s">
        <v>35</v>
      </c>
      <c r="C113" s="122">
        <f>'Ethylene Recycling HC'!C137</f>
        <v>0</v>
      </c>
      <c r="D113" s="122">
        <f>'Ethylene Recycling HC'!D137</f>
        <v>0</v>
      </c>
      <c r="E113" s="122">
        <f>'Ethylene Recycling HC'!E137</f>
        <v>0</v>
      </c>
      <c r="F113" s="122">
        <f>'Ethylene Recycling HC'!F137</f>
        <v>0</v>
      </c>
      <c r="G113" s="122">
        <f>'Ethylene Recycling HC'!G137</f>
        <v>0</v>
      </c>
      <c r="H113" s="122">
        <f>'Ethylene Recycling HC'!H137</f>
        <v>0</v>
      </c>
      <c r="I113" s="122">
        <f>'Ethylene Recycling HC'!I137</f>
        <v>0</v>
      </c>
      <c r="J113" s="122">
        <f>'Ethylene Recycling HC'!J137</f>
        <v>0</v>
      </c>
      <c r="K113" s="122">
        <f>'Ethylene Recycling HC'!K137</f>
        <v>0</v>
      </c>
      <c r="L113" s="122">
        <f>'Ethylene Recycling HC'!L137</f>
        <v>0</v>
      </c>
      <c r="M113" s="122">
        <f>'Ethylene Recycling HC'!M137</f>
        <v>0</v>
      </c>
      <c r="N113" s="122">
        <f>'Ethylene Recycling HC'!N137</f>
        <v>0</v>
      </c>
      <c r="O113" s="122">
        <f>'Ethylene Recycling HC'!O137</f>
        <v>0</v>
      </c>
      <c r="P113" s="122">
        <f>'Ethylene Recycling HC'!P137</f>
        <v>0</v>
      </c>
      <c r="Q113" s="122">
        <f>'Ethylene Recycling HC'!Q137</f>
        <v>0</v>
      </c>
      <c r="R113" s="122">
        <f>'Ethylene Recycling HC'!R137</f>
        <v>0</v>
      </c>
      <c r="S113" s="122">
        <f>'Ethylene Recycling HC'!S137</f>
        <v>0</v>
      </c>
      <c r="T113" s="122">
        <f>'Ethylene Recycling HC'!T137</f>
        <v>0</v>
      </c>
      <c r="U113" s="122">
        <f>'Ethylene Recycling HC'!U137</f>
        <v>0</v>
      </c>
      <c r="V113" s="122">
        <f>'Ethylene Recycling HC'!V137</f>
        <v>0</v>
      </c>
      <c r="W113" s="122">
        <f>'Ethylene Recycling HC'!W137</f>
        <v>0</v>
      </c>
      <c r="X113" s="122">
        <f>'Ethylene Recycling HC'!X137</f>
        <v>0</v>
      </c>
      <c r="Y113" s="122">
        <f>'Ethylene Recycling HC'!Y137</f>
        <v>0</v>
      </c>
      <c r="Z113" s="122">
        <f>'Ethylene Recycling HC'!Z137</f>
        <v>0</v>
      </c>
      <c r="AA113" s="122">
        <f>'Ethylene Recycling HC'!AA137</f>
        <v>0</v>
      </c>
      <c r="AB113" s="122">
        <f>'Ethylene Recycling HC'!AB137</f>
        <v>0</v>
      </c>
      <c r="AC113" s="122">
        <f>'Ethylene Recycling HC'!AC137</f>
        <v>0</v>
      </c>
      <c r="AD113" s="122">
        <f>'Ethylene Recycling HC'!AD137</f>
        <v>0</v>
      </c>
      <c r="AE113" s="122">
        <f>'Ethylene Recycling HC'!AE137</f>
        <v>0</v>
      </c>
      <c r="AF113" s="122">
        <f>'Ethylene Recycling HC'!AF137</f>
        <v>0</v>
      </c>
      <c r="AG113" s="122">
        <f>'Ethylene Recycling HC'!AG137</f>
        <v>0</v>
      </c>
      <c r="AH113" s="230"/>
      <c r="AI113" s="126"/>
      <c r="AJ113" s="198"/>
      <c r="AL113" s="102"/>
      <c r="AM113" s="2"/>
      <c r="AN113" s="2"/>
      <c r="AO113" s="2"/>
      <c r="BC113" s="1"/>
      <c r="BD113" s="2"/>
      <c r="BE113" s="2"/>
      <c r="BF113" s="2"/>
      <c r="BG113" s="2"/>
      <c r="BH113" s="2"/>
      <c r="BI113" s="2"/>
      <c r="BJ113" s="2"/>
      <c r="BK113" s="2"/>
    </row>
    <row r="114" spans="1:63" outlineLevel="1">
      <c r="A114" s="4" t="s">
        <v>27</v>
      </c>
      <c r="C114" s="122">
        <f>'Ethylene Recycling HC'!C138</f>
        <v>43.213084533080313</v>
      </c>
      <c r="D114" s="122">
        <f>'Ethylene Recycling HC'!D138</f>
        <v>56.107091995201905</v>
      </c>
      <c r="E114" s="122">
        <f>'Ethylene Recycling HC'!E138</f>
        <v>69.610362555204944</v>
      </c>
      <c r="F114" s="122">
        <f>'Ethylene Recycling HC'!F138</f>
        <v>83.718222752621955</v>
      </c>
      <c r="G114" s="122">
        <f>'Ethylene Recycling HC'!G138</f>
        <v>98.425998301253045</v>
      </c>
      <c r="H114" s="122">
        <f>'Ethylene Recycling HC'!H138</f>
        <v>113.72901408916611</v>
      </c>
      <c r="I114" s="122">
        <f>'Ethylene Recycling HC'!I138</f>
        <v>129.62259417869666</v>
      </c>
      <c r="J114" s="122">
        <f>'Ethylene Recycling HC'!J138</f>
        <v>146.10206180644801</v>
      </c>
      <c r="K114" s="122">
        <f>'Ethylene Recycling HC'!K138</f>
        <v>163.16273938329101</v>
      </c>
      <c r="L114" s="122">
        <f>'Ethylene Recycling HC'!L138</f>
        <v>180.79994849436423</v>
      </c>
      <c r="M114" s="122">
        <f>'Ethylene Recycling HC'!M138</f>
        <v>199.00900989907399</v>
      </c>
      <c r="N114" s="122">
        <f>'Ethylene Recycling HC'!N138</f>
        <v>231.13372552388063</v>
      </c>
      <c r="O114" s="122">
        <f>'Ethylene Recycling HC'!O138</f>
        <v>264.35017264303895</v>
      </c>
      <c r="P114" s="122">
        <f>'Ethylene Recycling HC'!P138</f>
        <v>297.632869617388</v>
      </c>
      <c r="Q114" s="122">
        <f>'Ethylene Recycling HC'!Q138</f>
        <v>331.74608488573784</v>
      </c>
      <c r="R114" s="122">
        <f>'Ethylene Recycling HC'!R138</f>
        <v>366.66921223835305</v>
      </c>
      <c r="S114" s="122">
        <f>'Ethylene Recycling HC'!S138</f>
        <v>402.38172938855365</v>
      </c>
      <c r="T114" s="122">
        <f>'Ethylene Recycling HC'!T138</f>
        <v>438.86319955389808</v>
      </c>
      <c r="U114" s="122">
        <f>'Ethylene Recycling HC'!U138</f>
        <v>476.09327302269702</v>
      </c>
      <c r="V114" s="122">
        <f>'Ethylene Recycling HC'!V138</f>
        <v>514.05168870584873</v>
      </c>
      <c r="W114" s="122">
        <f>'Ethylene Recycling HC'!W138</f>
        <v>552.71827567399635</v>
      </c>
      <c r="X114" s="122">
        <f>'Ethylene Recycling HC'!X138</f>
        <v>617.14826147701444</v>
      </c>
      <c r="Y114" s="122">
        <f>'Ethylene Recycling HC'!Y138</f>
        <v>682.85246762292229</v>
      </c>
      <c r="Z114" s="122">
        <f>'Ethylene Recycling HC'!Z138</f>
        <v>743.63525839104659</v>
      </c>
      <c r="AA114" s="122">
        <f>'Ethylene Recycling HC'!AA138</f>
        <v>804.43407116193418</v>
      </c>
      <c r="AB114" s="122">
        <f>'Ethylene Recycling HC'!AB138</f>
        <v>865.16843791405529</v>
      </c>
      <c r="AC114" s="122">
        <f>'Ethylene Recycling HC'!AC138</f>
        <v>925.75888652464801</v>
      </c>
      <c r="AD114" s="122">
        <f>'Ethylene Recycling HC'!AD138</f>
        <v>986.12697798054512</v>
      </c>
      <c r="AE114" s="122">
        <f>'Ethylene Recycling HC'!AE138</f>
        <v>1046.1953429971506</v>
      </c>
      <c r="AF114" s="122">
        <f>'Ethylene Recycling HC'!AF138</f>
        <v>1105.8877180453867</v>
      </c>
      <c r="AG114" s="122">
        <f>'Ethylene Recycling HC'!AG138</f>
        <v>272.54479082723338</v>
      </c>
      <c r="AH114" s="230"/>
      <c r="AI114" s="126"/>
      <c r="AJ114" s="198"/>
      <c r="AL114" s="102"/>
      <c r="AM114" s="2"/>
      <c r="AN114" s="2"/>
      <c r="AO114" s="2"/>
      <c r="BC114" s="1"/>
      <c r="BD114" s="2"/>
      <c r="BE114" s="2"/>
      <c r="BF114" s="2"/>
      <c r="BG114" s="2"/>
      <c r="BH114" s="2"/>
      <c r="BI114" s="2"/>
      <c r="BJ114" s="2"/>
      <c r="BK114" s="2"/>
    </row>
    <row r="115" spans="1:63" s="1" customFormat="1" outlineLevel="1">
      <c r="A115" s="1" t="s">
        <v>834</v>
      </c>
      <c r="B115" s="61"/>
      <c r="C115" s="606">
        <f>'Ethylene Recycling HC'!C139</f>
        <v>107.1171528459893</v>
      </c>
      <c r="D115" s="606">
        <f>'Ethylene Recycling HC'!D139</f>
        <v>135.09863392198773</v>
      </c>
      <c r="E115" s="606">
        <f>'Ethylene Recycling HC'!E139</f>
        <v>162.94926269309786</v>
      </c>
      <c r="F115" s="606">
        <f>'Ethylene Recycling HC'!F139</f>
        <v>190.66902179120888</v>
      </c>
      <c r="G115" s="606">
        <f>'Ethylene Recycling HC'!G139</f>
        <v>218.25789384820968</v>
      </c>
      <c r="H115" s="606">
        <f>'Ethylene Recycling HC'!H139</f>
        <v>245.71586149598937</v>
      </c>
      <c r="I115" s="606">
        <f>'Ethylene Recycling HC'!I139</f>
        <v>273.04290736643685</v>
      </c>
      <c r="J115" s="606">
        <f>'Ethylene Recycling HC'!J139</f>
        <v>300.23901409144145</v>
      </c>
      <c r="K115" s="606">
        <f>'Ethylene Recycling HC'!K139</f>
        <v>327.3041643028921</v>
      </c>
      <c r="L115" s="606">
        <f>'Ethylene Recycling HC'!L139</f>
        <v>354.2383406326777</v>
      </c>
      <c r="M115" s="606">
        <f>'Ethylene Recycling HC'!M139</f>
        <v>381.04152571268736</v>
      </c>
      <c r="N115" s="606">
        <f>'Ethylene Recycling HC'!N139</f>
        <v>432.70326952773166</v>
      </c>
      <c r="O115" s="606">
        <f>'Ethylene Recycling HC'!O139</f>
        <v>484.11531738573581</v>
      </c>
      <c r="P115" s="606">
        <f>'Ethylene Recycling HC'!P139</f>
        <v>533.45562811022648</v>
      </c>
      <c r="Q115" s="606">
        <f>'Ethylene Recycling HC'!Q139</f>
        <v>582.19509026032972</v>
      </c>
      <c r="R115" s="606">
        <f>'Ethylene Recycling HC'!R139</f>
        <v>630.33511074040507</v>
      </c>
      <c r="S115" s="606">
        <f>'Ethylene Recycling HC'!S139</f>
        <v>677.87712515232568</v>
      </c>
      <c r="T115" s="606">
        <f>'Ethylene Recycling HC'!T139</f>
        <v>724.82259759022656</v>
      </c>
      <c r="U115" s="606">
        <f>'Ethylene Recycling HC'!U139</f>
        <v>771.17302043520249</v>
      </c>
      <c r="V115" s="606">
        <f>'Ethylene Recycling HC'!V139</f>
        <v>816.92991414994606</v>
      </c>
      <c r="W115" s="606">
        <f>'Ethylene Recycling HC'!W139</f>
        <v>862.09482707333314</v>
      </c>
      <c r="X115" s="606">
        <f>'Ethylene Recycling HC'!X139</f>
        <v>945.06833919622704</v>
      </c>
      <c r="Y115" s="606">
        <f>'Ethylene Recycling HC'!Y139</f>
        <v>1026.9917997928887</v>
      </c>
      <c r="Z115" s="606">
        <f>'Ethylene Recycling HC'!Z139</f>
        <v>1098.7661048394109</v>
      </c>
      <c r="AA115" s="606">
        <f>'Ethylene Recycling HC'!AA139</f>
        <v>1168.0861949491618</v>
      </c>
      <c r="AB115" s="606">
        <f>'Ethylene Recycling HC'!AB139</f>
        <v>1234.9621228356693</v>
      </c>
      <c r="AC115" s="606">
        <f>'Ethylene Recycling HC'!AC139</f>
        <v>1299.4046682299202</v>
      </c>
      <c r="AD115" s="606">
        <f>'Ethylene Recycling HC'!AD139</f>
        <v>1361.4253296038978</v>
      </c>
      <c r="AE115" s="606">
        <f>'Ethylene Recycling HC'!AE139</f>
        <v>1421.0363158919288</v>
      </c>
      <c r="AF115" s="606">
        <f>'Ethylene Recycling HC'!AF139</f>
        <v>1478.2505382098263</v>
      </c>
      <c r="AG115" s="606">
        <f>'Ethylene Recycling HC'!AG139</f>
        <v>358.61557931505041</v>
      </c>
      <c r="AH115" s="397"/>
      <c r="AI115" s="398"/>
      <c r="AJ115" s="399"/>
      <c r="AL115" s="207"/>
      <c r="AM115" s="118"/>
      <c r="AN115" s="118"/>
      <c r="AO115" s="118"/>
      <c r="BD115" s="118"/>
      <c r="BE115" s="118"/>
      <c r="BF115" s="118"/>
      <c r="BG115" s="118"/>
      <c r="BH115" s="118"/>
      <c r="BI115" s="118"/>
      <c r="BJ115" s="118"/>
      <c r="BK115" s="118"/>
    </row>
    <row r="116" spans="1:63" outlineLevel="1">
      <c r="A116" s="4" t="s">
        <v>141</v>
      </c>
      <c r="C116" s="122">
        <f>'Ethylene Recycling HC'!C140</f>
        <v>86.426169066160639</v>
      </c>
      <c r="D116" s="122">
        <f>'Ethylene Recycling HC'!D140</f>
        <v>108.60025723972707</v>
      </c>
      <c r="E116" s="122">
        <f>'Ethylene Recycling HC'!E140</f>
        <v>130.50284718146369</v>
      </c>
      <c r="F116" s="122">
        <f>'Ethylene Recycling HC'!F140</f>
        <v>152.13509437297753</v>
      </c>
      <c r="G116" s="122">
        <f>'Ethylene Recycling HC'!G140</f>
        <v>173.49815450281824</v>
      </c>
      <c r="H116" s="122">
        <f>'Ethylene Recycling HC'!H140</f>
        <v>194.59318346647865</v>
      </c>
      <c r="I116" s="122">
        <f>'Ethylene Recycling HC'!I140</f>
        <v>215.42133736639434</v>
      </c>
      <c r="J116" s="122">
        <f>'Ethylene Recycling HC'!J140</f>
        <v>235.98377251194418</v>
      </c>
      <c r="K116" s="122">
        <f>'Ethylene Recycling HC'!K140</f>
        <v>256.28164541944966</v>
      </c>
      <c r="L116" s="122">
        <f>'Ethylene Recycling HC'!L140</f>
        <v>276.31611281217522</v>
      </c>
      <c r="M116" s="122">
        <f>'Ethylene Recycling HC'!M140</f>
        <v>296.08833162032835</v>
      </c>
      <c r="N116" s="122">
        <f>'Ethylene Recycling HC'!N140</f>
        <v>334.94316485771731</v>
      </c>
      <c r="O116" s="122">
        <f>'Ethylene Recycling HC'!O140</f>
        <v>373.29768175451761</v>
      </c>
      <c r="P116" s="122">
        <f>'Ethylene Recycling HC'!P140</f>
        <v>409.75457887827582</v>
      </c>
      <c r="Q116" s="122">
        <f>'Ethylene Recycling HC'!Q140</f>
        <v>445.45779817100549</v>
      </c>
      <c r="R116" s="122">
        <f>'Ethylene Recycling HC'!R140</f>
        <v>480.41378129589992</v>
      </c>
      <c r="S116" s="122">
        <f>'Ethylene Recycling HC'!S140</f>
        <v>514.62897493923595</v>
      </c>
      <c r="T116" s="122">
        <f>'Ethylene Recycling HC'!T140</f>
        <v>548.10983022774565</v>
      </c>
      <c r="U116" s="122">
        <f>'Ethylene Recycling HC'!U140</f>
        <v>580.86280214961755</v>
      </c>
      <c r="V116" s="122">
        <f>'Ethylene Recycling HC'!V140</f>
        <v>612.89434897912361</v>
      </c>
      <c r="W116" s="122">
        <f>'Ethylene Recycling HC'!W140</f>
        <v>644.2109317048762</v>
      </c>
      <c r="X116" s="122">
        <f>'Ethylene Recycling HC'!X140</f>
        <v>703.39875800376785</v>
      </c>
      <c r="Y116" s="122">
        <f>'Ethylene Recycling HC'!Y140</f>
        <v>761.31385692385368</v>
      </c>
      <c r="Z116" s="122">
        <f>'Ethylene Recycling HC'!Z140</f>
        <v>811.24750762193321</v>
      </c>
      <c r="AA116" s="122">
        <f>'Ethylene Recycling HC'!AA140</f>
        <v>858.94885900191548</v>
      </c>
      <c r="AB116" s="122">
        <f>'Ethylene Recycling HC'!AB140</f>
        <v>904.44720503292729</v>
      </c>
      <c r="AC116" s="122">
        <f>'Ethylene Recycling HC'!AC140</f>
        <v>947.77225018388651</v>
      </c>
      <c r="AD116" s="122">
        <f>'Ethylene Recycling HC'!AD140</f>
        <v>988.95409258327481</v>
      </c>
      <c r="AE116" s="122">
        <f>'Ethylene Recycling HC'!AE140</f>
        <v>1028.0232073252475</v>
      </c>
      <c r="AF116" s="122">
        <f>'Ethylene Recycling HC'!AF140</f>
        <v>1065.0104299221177</v>
      </c>
      <c r="AG116" s="122">
        <f>'Ethylene Recycling HC'!AG140</f>
        <v>257.29752980193348</v>
      </c>
      <c r="AH116" s="230"/>
      <c r="AI116" s="126"/>
      <c r="AJ116" s="198"/>
      <c r="AL116" s="102"/>
      <c r="AM116" s="2"/>
      <c r="AN116" s="2"/>
      <c r="AO116" s="2"/>
      <c r="BC116" s="1"/>
      <c r="BD116" s="2"/>
      <c r="BE116" s="2"/>
      <c r="BF116" s="2"/>
      <c r="BG116" s="2"/>
      <c r="BH116" s="2"/>
      <c r="BI116" s="2"/>
      <c r="BJ116" s="2"/>
      <c r="BK116" s="2"/>
    </row>
    <row r="117" spans="1:63" outlineLevel="1">
      <c r="A117" s="4" t="s">
        <v>74</v>
      </c>
      <c r="C117" s="122">
        <f>'Ethylene Recycling HC'!C141</f>
        <v>10.718733502963966</v>
      </c>
      <c r="D117" s="122">
        <f>'Ethylene Recycling HC'!D141</f>
        <v>13.068091100679496</v>
      </c>
      <c r="E117" s="122">
        <f>'Ethylene Recycling HC'!E141</f>
        <v>15.218562386251559</v>
      </c>
      <c r="F117" s="122">
        <f>'Ethylene Recycling HC'!F141</f>
        <v>17.171455175907308</v>
      </c>
      <c r="G117" s="122">
        <f>'Ethylene Recycling HC'!G141</f>
        <v>18.928077517600407</v>
      </c>
      <c r="H117" s="122">
        <f>'Ethylene Recycling HC'!H141</f>
        <v>20.489737691011079</v>
      </c>
      <c r="I117" s="122">
        <f>'Ethylene Recycling HC'!I141</f>
        <v>21.857744207546073</v>
      </c>
      <c r="J117" s="122">
        <f>'Ethylene Recycling HC'!J141</f>
        <v>23.033405810338699</v>
      </c>
      <c r="K117" s="122">
        <f>'Ethylene Recycling HC'!K141</f>
        <v>24.018031474248787</v>
      </c>
      <c r="L117" s="122">
        <f>'Ethylene Recycling HC'!L141</f>
        <v>24.812930405862694</v>
      </c>
      <c r="M117" s="122">
        <f>'Ethylene Recycling HC'!M141</f>
        <v>25.419412043493331</v>
      </c>
      <c r="N117" s="122">
        <f>'Ethylene Recycling HC'!N141</f>
        <v>27.422495608881182</v>
      </c>
      <c r="O117" s="122">
        <f>'Ethylene Recycling HC'!O141</f>
        <v>29.065950320139457</v>
      </c>
      <c r="P117" s="122">
        <f>'Ethylene Recycling HC'!P141</f>
        <v>30.248958125018479</v>
      </c>
      <c r="Q117" s="122">
        <f>'Ethylene Recycling HC'!Q141</f>
        <v>31.070748756522427</v>
      </c>
      <c r="R117" s="122">
        <f>'Ethylene Recycling HC'!R141</f>
        <v>31.537405028407878</v>
      </c>
      <c r="S117" s="122">
        <f>'Ethylene Recycling HC'!S141</f>
        <v>31.654992323510807</v>
      </c>
      <c r="T117" s="122">
        <f>'Ethylene Recycling HC'!T141</f>
        <v>31.429558106241263</v>
      </c>
      <c r="U117" s="122">
        <f>'Ethylene Recycling HC'!U141</f>
        <v>30.867131439183733</v>
      </c>
      <c r="V117" s="122">
        <f>'Ethylene Recycling HC'!V141</f>
        <v>29.973722503804066</v>
      </c>
      <c r="W117" s="122">
        <f>'Ethylene Recycling HC'!W141</f>
        <v>28.755322125264534</v>
      </c>
      <c r="X117" s="122">
        <f>'Ethylene Recycling HC'!X141</f>
        <v>28.370626181124432</v>
      </c>
      <c r="Y117" s="122">
        <f>'Ethylene Recycling HC'!Y141</f>
        <v>27.404391345953528</v>
      </c>
      <c r="Z117" s="122">
        <f>'Ethylene Recycling HC'!Z141</f>
        <v>25.65467348246165</v>
      </c>
      <c r="AA117" s="122">
        <f>'Ethylene Recycling HC'!AA141</f>
        <v>23.377030287862166</v>
      </c>
      <c r="AB117" s="122">
        <f>'Ethylene Recycling HC'!AB141</f>
        <v>20.596187646315261</v>
      </c>
      <c r="AC117" s="122">
        <f>'Ethylene Recycling HC'!AC141</f>
        <v>17.336747017898716</v>
      </c>
      <c r="AD117" s="122">
        <f>'Ethylene Recycling HC'!AD141</f>
        <v>13.623173230892503</v>
      </c>
      <c r="AE117" s="122">
        <f>'Ethylene Recycling HC'!AE141</f>
        <v>9.4797824396864261</v>
      </c>
      <c r="AF117" s="122">
        <f>'Ethylene Recycling HC'!AF141</f>
        <v>4.9307302483620017</v>
      </c>
      <c r="AG117" s="122">
        <f>'Ethylene Recycling HC'!AG141</f>
        <v>0</v>
      </c>
      <c r="AH117" s="230"/>
      <c r="AI117" s="126"/>
      <c r="AJ117" s="198"/>
      <c r="AL117" s="102"/>
      <c r="AM117" s="2"/>
      <c r="AN117" s="2"/>
      <c r="AO117" s="2"/>
      <c r="BC117" s="1"/>
      <c r="BD117" s="2"/>
      <c r="BE117" s="2"/>
      <c r="BF117" s="2"/>
      <c r="BG117" s="2"/>
      <c r="BH117" s="2"/>
      <c r="BI117" s="2"/>
      <c r="BJ117" s="2"/>
      <c r="BK117" s="2"/>
    </row>
    <row r="118" spans="1:63" outlineLevel="1">
      <c r="A118" s="4" t="s">
        <v>34</v>
      </c>
      <c r="C118" s="122">
        <f>'Ethylene Recycling HC'!C142</f>
        <v>0</v>
      </c>
      <c r="D118" s="122">
        <f>'Ethylene Recycling HC'!D142</f>
        <v>0.48249512114995635</v>
      </c>
      <c r="E118" s="122">
        <f>'Ethylene Recycling HC'!E142</f>
        <v>1.1639233049506994</v>
      </c>
      <c r="F118" s="122">
        <f>'Ethylene Recycling HC'!F142</f>
        <v>2.0428823763343815</v>
      </c>
      <c r="G118" s="122">
        <f>'Ethylene Recycling HC'!G142</f>
        <v>3.1179699121172821</v>
      </c>
      <c r="H118" s="122">
        <f>'Ethylene Recycling HC'!H142</f>
        <v>4.3877832409998119</v>
      </c>
      <c r="I118" s="122">
        <f>'Ethylene Recycling HC'!I142</f>
        <v>5.8509194435665055</v>
      </c>
      <c r="J118" s="122">
        <f>'Ethylene Recycling HC'!J142</f>
        <v>7.5059753522860388</v>
      </c>
      <c r="K118" s="122">
        <f>'Ethylene Recycling HC'!K142</f>
        <v>9.3515475515112065</v>
      </c>
      <c r="L118" s="122">
        <f>'Ethylene Recycling HC'!L142</f>
        <v>11.38623237747893</v>
      </c>
      <c r="M118" s="122">
        <f>'Ethylene Recycling HC'!M142</f>
        <v>13.608625918310267</v>
      </c>
      <c r="N118" s="122">
        <f>'Ethylene Recycling HC'!N142</f>
        <v>16.999057017160894</v>
      </c>
      <c r="O118" s="122">
        <f>'Ethylene Recycling HC'!O142</f>
        <v>20.747799316531541</v>
      </c>
      <c r="P118" s="122">
        <f>'Ethylene Recycling HC'!P142</f>
        <v>24.767582733689096</v>
      </c>
      <c r="Q118" s="122">
        <f>'Ethylene Recycling HC'!Q142</f>
        <v>29.109754513016497</v>
      </c>
      <c r="R118" s="122">
        <f>'Ethylene Recycling HC'!R142</f>
        <v>33.767952361093137</v>
      </c>
      <c r="S118" s="122">
        <f>'Ethylene Recycling HC'!S142</f>
        <v>38.735835722990053</v>
      </c>
      <c r="T118" s="122">
        <f>'Ethylene Recycling HC'!T142</f>
        <v>44.007086282263771</v>
      </c>
      <c r="U118" s="122">
        <f>'Ethylene Recycling HC'!U142</f>
        <v>49.57540845654875</v>
      </c>
      <c r="V118" s="122">
        <f>'Ethylene Recycling HC'!V142</f>
        <v>55.434529888746361</v>
      </c>
      <c r="W118" s="122">
        <f>'Ethylene Recycling HC'!W142</f>
        <v>61.578201933809531</v>
      </c>
      <c r="X118" s="122">
        <f>'Ethylene Recycling HC'!X142</f>
        <v>70.880125439717048</v>
      </c>
      <c r="Y118" s="122">
        <f>'Ethylene Recycling HC'!Y142</f>
        <v>80.692212840869857</v>
      </c>
      <c r="Z118" s="122">
        <f>'Ethylene Recycling HC'!Z142</f>
        <v>90.255787183237359</v>
      </c>
      <c r="AA118" s="122">
        <f>'Ethylene Recycling HC'!AA142</f>
        <v>100.12167385278534</v>
      </c>
      <c r="AB118" s="122">
        <f>'Ethylene Recycling HC'!AB142</f>
        <v>110.2644752531848</v>
      </c>
      <c r="AC118" s="122">
        <f>'Ethylene Recycling HC'!AC142</f>
        <v>120.65900490706406</v>
      </c>
      <c r="AD118" s="122">
        <f>'Ethylene Recycling HC'!AD142</f>
        <v>131.28029964037592</v>
      </c>
      <c r="AE118" s="122">
        <f>'Ethylene Recycling HC'!AE142</f>
        <v>142.10363158919293</v>
      </c>
      <c r="AF118" s="122">
        <f>'Ethylene Recycling HC'!AF142</f>
        <v>153.10452002887493</v>
      </c>
      <c r="AG118" s="122">
        <f>'Ethylene Recycling HC'!AG142</f>
        <v>38.423097783755416</v>
      </c>
      <c r="AH118" s="230"/>
      <c r="AI118" s="126"/>
      <c r="AJ118" s="198"/>
      <c r="AL118" s="102"/>
      <c r="AM118" s="2"/>
      <c r="AN118" s="2"/>
      <c r="AO118" s="2"/>
      <c r="BC118" s="1"/>
      <c r="BD118" s="2"/>
      <c r="BE118" s="2"/>
      <c r="BF118" s="2"/>
      <c r="BG118" s="2"/>
      <c r="BH118" s="2"/>
      <c r="BI118" s="2"/>
      <c r="BJ118" s="2"/>
      <c r="BK118" s="2"/>
    </row>
    <row r="119" spans="1:63" outlineLevel="1">
      <c r="A119" s="4" t="s">
        <v>35</v>
      </c>
      <c r="C119" s="122">
        <f>'Ethylene Recycling HC'!C143</f>
        <v>0</v>
      </c>
      <c r="D119" s="122">
        <f>'Ethylene Recycling HC'!D143</f>
        <v>0</v>
      </c>
      <c r="E119" s="122">
        <f>'Ethylene Recycling HC'!E143</f>
        <v>0</v>
      </c>
      <c r="F119" s="122">
        <f>'Ethylene Recycling HC'!F143</f>
        <v>0</v>
      </c>
      <c r="G119" s="122">
        <f>'Ethylene Recycling HC'!G143</f>
        <v>0</v>
      </c>
      <c r="H119" s="122">
        <f>'Ethylene Recycling HC'!H143</f>
        <v>0</v>
      </c>
      <c r="I119" s="122">
        <f>'Ethylene Recycling HC'!I143</f>
        <v>0</v>
      </c>
      <c r="J119" s="122">
        <f>'Ethylene Recycling HC'!J143</f>
        <v>0</v>
      </c>
      <c r="K119" s="122">
        <f>'Ethylene Recycling HC'!K143</f>
        <v>0</v>
      </c>
      <c r="L119" s="122">
        <f>'Ethylene Recycling HC'!L143</f>
        <v>0</v>
      </c>
      <c r="M119" s="122">
        <f>'Ethylene Recycling HC'!M143</f>
        <v>0</v>
      </c>
      <c r="N119" s="122">
        <f>'Ethylene Recycling HC'!N143</f>
        <v>0</v>
      </c>
      <c r="O119" s="122">
        <f>'Ethylene Recycling HC'!O143</f>
        <v>0</v>
      </c>
      <c r="P119" s="122">
        <f>'Ethylene Recycling HC'!P143</f>
        <v>0</v>
      </c>
      <c r="Q119" s="122">
        <f>'Ethylene Recycling HC'!Q143</f>
        <v>0</v>
      </c>
      <c r="R119" s="122">
        <f>'Ethylene Recycling HC'!R143</f>
        <v>0</v>
      </c>
      <c r="S119" s="122">
        <f>'Ethylene Recycling HC'!S143</f>
        <v>0</v>
      </c>
      <c r="T119" s="122">
        <f>'Ethylene Recycling HC'!T143</f>
        <v>0</v>
      </c>
      <c r="U119" s="122">
        <f>'Ethylene Recycling HC'!U143</f>
        <v>0</v>
      </c>
      <c r="V119" s="122">
        <f>'Ethylene Recycling HC'!V143</f>
        <v>0</v>
      </c>
      <c r="W119" s="122">
        <f>'Ethylene Recycling HC'!W143</f>
        <v>0</v>
      </c>
      <c r="X119" s="122">
        <f>'Ethylene Recycling HC'!X143</f>
        <v>0</v>
      </c>
      <c r="Y119" s="122">
        <f>'Ethylene Recycling HC'!Y143</f>
        <v>0</v>
      </c>
      <c r="Z119" s="122">
        <f>'Ethylene Recycling HC'!Z143</f>
        <v>0</v>
      </c>
      <c r="AA119" s="122">
        <f>'Ethylene Recycling HC'!AA143</f>
        <v>0</v>
      </c>
      <c r="AB119" s="122">
        <f>'Ethylene Recycling HC'!AB143</f>
        <v>0</v>
      </c>
      <c r="AC119" s="122">
        <f>'Ethylene Recycling HC'!AC143</f>
        <v>0</v>
      </c>
      <c r="AD119" s="122">
        <f>'Ethylene Recycling HC'!AD143</f>
        <v>0</v>
      </c>
      <c r="AE119" s="122">
        <f>'Ethylene Recycling HC'!AE143</f>
        <v>0</v>
      </c>
      <c r="AF119" s="122">
        <f>'Ethylene Recycling HC'!AF143</f>
        <v>0</v>
      </c>
      <c r="AG119" s="122">
        <f>'Ethylene Recycling HC'!AG143</f>
        <v>0</v>
      </c>
      <c r="AH119" s="230"/>
      <c r="AI119" s="126"/>
      <c r="AJ119" s="198"/>
      <c r="AL119" s="102"/>
      <c r="AM119" s="2"/>
      <c r="AN119" s="2"/>
      <c r="AO119" s="2"/>
      <c r="BC119" s="1"/>
      <c r="BD119" s="2"/>
      <c r="BE119" s="2"/>
      <c r="BF119" s="2"/>
      <c r="BG119" s="2"/>
      <c r="BH119" s="2"/>
      <c r="BI119" s="2"/>
      <c r="BJ119" s="2"/>
      <c r="BK119" s="2"/>
    </row>
    <row r="120" spans="1:63" outlineLevel="1">
      <c r="A120" s="4" t="s">
        <v>27</v>
      </c>
      <c r="C120" s="122">
        <f>'Ethylene Recycling HC'!C144</f>
        <v>9.9722502768646883</v>
      </c>
      <c r="D120" s="122">
        <f>'Ethylene Recycling HC'!D144</f>
        <v>12.947790460431207</v>
      </c>
      <c r="E120" s="122">
        <f>'Ethylene Recycling HC'!E144</f>
        <v>16.063929820431909</v>
      </c>
      <c r="F120" s="122">
        <f>'Ethylene Recycling HC'!F144</f>
        <v>19.319589865989681</v>
      </c>
      <c r="G120" s="122">
        <f>'Ethylene Recycling HC'!G144</f>
        <v>22.713691915673781</v>
      </c>
      <c r="H120" s="122">
        <f>'Ethylene Recycling HC'!H144</f>
        <v>26.245157097499877</v>
      </c>
      <c r="I120" s="122">
        <f>'Ethylene Recycling HC'!I144</f>
        <v>29.912906348929994</v>
      </c>
      <c r="J120" s="122">
        <f>'Ethylene Recycling HC'!J144</f>
        <v>33.715860416872609</v>
      </c>
      <c r="K120" s="122">
        <f>'Ethylene Recycling HC'!K144</f>
        <v>37.652939857682533</v>
      </c>
      <c r="L120" s="122">
        <f>'Ethylene Recycling HC'!L144</f>
        <v>41.723065037160971</v>
      </c>
      <c r="M120" s="122">
        <f>'Ethylene Recycling HC'!M144</f>
        <v>45.925156130555536</v>
      </c>
      <c r="N120" s="122">
        <f>'Ethylene Recycling HC'!N144</f>
        <v>53.338552043972449</v>
      </c>
      <c r="O120" s="122">
        <f>'Ethylene Recycling HC'!O144</f>
        <v>61.003885994547431</v>
      </c>
      <c r="P120" s="122">
        <f>'Ethylene Recycling HC'!P144</f>
        <v>68.684508373243375</v>
      </c>
      <c r="Q120" s="122">
        <f>'Ethylene Recycling HC'!Q144</f>
        <v>76.556788819785666</v>
      </c>
      <c r="R120" s="122">
        <f>'Ethylene Recycling HC'!R144</f>
        <v>84.615972055004548</v>
      </c>
      <c r="S120" s="122">
        <f>'Ethylene Recycling HC'!S144</f>
        <v>92.857322166589313</v>
      </c>
      <c r="T120" s="122">
        <f>'Ethylene Recycling HC'!T144</f>
        <v>101.27612297397647</v>
      </c>
      <c r="U120" s="122">
        <f>'Ethylene Recycling HC'!U144</f>
        <v>109.86767838985313</v>
      </c>
      <c r="V120" s="122">
        <f>'Ethylene Recycling HC'!V144</f>
        <v>118.62731277827278</v>
      </c>
      <c r="W120" s="122">
        <f>'Ethylene Recycling HC'!W144</f>
        <v>127.55037130938375</v>
      </c>
      <c r="X120" s="122">
        <f>'Ethylene Recycling HC'!X144</f>
        <v>142.41882957161872</v>
      </c>
      <c r="Y120" s="122">
        <f>'Ethylene Recycling HC'!Y144</f>
        <v>157.58133868221282</v>
      </c>
      <c r="Z120" s="122">
        <f>'Ethylene Recycling HC'!Z144</f>
        <v>171.60813655177998</v>
      </c>
      <c r="AA120" s="122">
        <f>'Ethylene Recycling HC'!AA144</f>
        <v>185.63863180660022</v>
      </c>
      <c r="AB120" s="122">
        <f>'Ethylene Recycling HC'!AB144</f>
        <v>199.6542549032435</v>
      </c>
      <c r="AC120" s="122">
        <f>'Ethylene Recycling HC'!AC144</f>
        <v>213.63666612107264</v>
      </c>
      <c r="AD120" s="122">
        <f>'Ethylene Recycling HC'!AD144</f>
        <v>227.56776414935649</v>
      </c>
      <c r="AE120" s="122">
        <f>'Ethylene Recycling HC'!AE144</f>
        <v>241.42969453780395</v>
      </c>
      <c r="AF120" s="122">
        <f>'Ethylene Recycling HC'!AF144</f>
        <v>255.20485801047386</v>
      </c>
      <c r="AG120" s="122">
        <f>'Ethylene Recycling HC'!AG144</f>
        <v>62.89495172936153</v>
      </c>
      <c r="AH120" s="230"/>
      <c r="AI120" s="126"/>
      <c r="AJ120" s="198"/>
      <c r="AL120" s="102"/>
      <c r="AM120" s="2"/>
      <c r="AN120" s="2"/>
      <c r="AO120" s="2"/>
      <c r="BC120" s="1"/>
      <c r="BD120" s="2"/>
      <c r="BE120" s="2"/>
      <c r="BF120" s="2"/>
      <c r="BG120" s="2"/>
      <c r="BH120" s="2"/>
      <c r="BI120" s="2"/>
      <c r="BJ120" s="2"/>
      <c r="BK120" s="2"/>
    </row>
    <row r="121" spans="1:63" s="1" customFormat="1" outlineLevel="1">
      <c r="A121" s="1" t="s">
        <v>830</v>
      </c>
      <c r="B121" s="61"/>
      <c r="C121" s="606">
        <f>'Ethylene Recycling HC'!C145</f>
        <v>321.35145853796791</v>
      </c>
      <c r="D121" s="606">
        <f>'Ethylene Recycling HC'!D145</f>
        <v>405.29590176596327</v>
      </c>
      <c r="E121" s="606">
        <f>'Ethylene Recycling HC'!E145</f>
        <v>488.84778807929365</v>
      </c>
      <c r="F121" s="606">
        <f>'Ethylene Recycling HC'!F145</f>
        <v>572.00706537362657</v>
      </c>
      <c r="G121" s="606">
        <f>'Ethylene Recycling HC'!G145</f>
        <v>654.77368154462897</v>
      </c>
      <c r="H121" s="606">
        <f>'Ethylene Recycling HC'!H145</f>
        <v>737.14758448796817</v>
      </c>
      <c r="I121" s="606">
        <f>'Ethylene Recycling HC'!I145</f>
        <v>819.12872209931061</v>
      </c>
      <c r="J121" s="606">
        <f>'Ethylene Recycling HC'!J145</f>
        <v>900.71704227432463</v>
      </c>
      <c r="K121" s="606">
        <f>'Ethylene Recycling HC'!K145</f>
        <v>981.91249290867631</v>
      </c>
      <c r="L121" s="606">
        <f>'Ethylene Recycling HC'!L145</f>
        <v>1062.7150218980332</v>
      </c>
      <c r="M121" s="606">
        <f>'Ethylene Recycling HC'!M145</f>
        <v>1143.124577138062</v>
      </c>
      <c r="N121" s="606">
        <f>'Ethylene Recycling HC'!N145</f>
        <v>1298.109808583195</v>
      </c>
      <c r="O121" s="606">
        <f>'Ethylene Recycling HC'!O145</f>
        <v>1452.3459521572074</v>
      </c>
      <c r="P121" s="606">
        <f>'Ethylene Recycling HC'!P145</f>
        <v>1600.3668843306798</v>
      </c>
      <c r="Q121" s="606">
        <f>'Ethylene Recycling HC'!Q145</f>
        <v>1746.585270780989</v>
      </c>
      <c r="R121" s="606">
        <f>'Ethylene Recycling HC'!R145</f>
        <v>1891.0053322212152</v>
      </c>
      <c r="S121" s="606">
        <f>'Ethylene Recycling HC'!S145</f>
        <v>2033.6313754569767</v>
      </c>
      <c r="T121" s="606">
        <f>'Ethylene Recycling HC'!T145</f>
        <v>2174.4677927706798</v>
      </c>
      <c r="U121" s="606">
        <f>'Ethylene Recycling HC'!U145</f>
        <v>2313.5190613056079</v>
      </c>
      <c r="V121" s="606">
        <f>'Ethylene Recycling HC'!V145</f>
        <v>2450.7897424498378</v>
      </c>
      <c r="W121" s="606">
        <f>'Ethylene Recycling HC'!W145</f>
        <v>2586.2844812199992</v>
      </c>
      <c r="X121" s="606">
        <f>'Ethylene Recycling HC'!X145</f>
        <v>2835.2050175886816</v>
      </c>
      <c r="Y121" s="606">
        <f>'Ethylene Recycling HC'!Y145</f>
        <v>3080.9753993786667</v>
      </c>
      <c r="Z121" s="606">
        <f>'Ethylene Recycling HC'!Z145</f>
        <v>3296.2983145182325</v>
      </c>
      <c r="AA121" s="606">
        <f>'Ethylene Recycling HC'!AA145</f>
        <v>3504.2585848474855</v>
      </c>
      <c r="AB121" s="606">
        <f>'Ethylene Recycling HC'!AB145</f>
        <v>3704.8863685070082</v>
      </c>
      <c r="AC121" s="606">
        <f>'Ethylene Recycling HC'!AC145</f>
        <v>3898.2140046897603</v>
      </c>
      <c r="AD121" s="606">
        <f>'Ethylene Recycling HC'!AD145</f>
        <v>4084.2759888116939</v>
      </c>
      <c r="AE121" s="606">
        <f>'Ethylene Recycling HC'!AE145</f>
        <v>4263.1089476757861</v>
      </c>
      <c r="AF121" s="606">
        <f>'Ethylene Recycling HC'!AF145</f>
        <v>4434.7516146294784</v>
      </c>
      <c r="AG121" s="606">
        <f>'Ethylene Recycling HC'!AG145</f>
        <v>1075.8467379451515</v>
      </c>
      <c r="AH121" s="397"/>
      <c r="AI121" s="398"/>
      <c r="AJ121" s="399"/>
      <c r="AL121" s="207"/>
      <c r="AM121" s="118"/>
      <c r="AN121" s="118"/>
      <c r="AO121" s="118"/>
      <c r="BD121" s="118"/>
      <c r="BE121" s="118"/>
      <c r="BF121" s="118"/>
      <c r="BG121" s="118"/>
      <c r="BH121" s="118"/>
      <c r="BI121" s="118"/>
      <c r="BJ121" s="118"/>
      <c r="BK121" s="118"/>
    </row>
    <row r="122" spans="1:63" outlineLevel="1">
      <c r="A122" s="4" t="s">
        <v>141</v>
      </c>
      <c r="C122" s="122">
        <f>'Ethylene Recycling HC'!C146</f>
        <v>259.27850719848192</v>
      </c>
      <c r="D122" s="122">
        <f>'Ethylene Recycling HC'!D146</f>
        <v>325.80077171918128</v>
      </c>
      <c r="E122" s="122">
        <f>'Ethylene Recycling HC'!E146</f>
        <v>391.50854154439116</v>
      </c>
      <c r="F122" s="122">
        <f>'Ethylene Recycling HC'!F146</f>
        <v>456.40528311893252</v>
      </c>
      <c r="G122" s="122">
        <f>'Ethylene Recycling HC'!G146</f>
        <v>520.4944635084546</v>
      </c>
      <c r="H122" s="122">
        <f>'Ethylene Recycling HC'!H146</f>
        <v>583.77955039943595</v>
      </c>
      <c r="I122" s="122">
        <f>'Ethylene Recycling HC'!I146</f>
        <v>646.26401209918299</v>
      </c>
      <c r="J122" s="122">
        <f>'Ethylene Recycling HC'!J146</f>
        <v>707.95131753583269</v>
      </c>
      <c r="K122" s="122">
        <f>'Ethylene Recycling HC'!K146</f>
        <v>768.84493625834898</v>
      </c>
      <c r="L122" s="122">
        <f>'Ethylene Recycling HC'!L146</f>
        <v>828.94833843652577</v>
      </c>
      <c r="M122" s="122">
        <f>'Ethylene Recycling HC'!M146</f>
        <v>888.2649948609851</v>
      </c>
      <c r="N122" s="122">
        <f>'Ethylene Recycling HC'!N146</f>
        <v>1004.8294945731519</v>
      </c>
      <c r="O122" s="122">
        <f>'Ethylene Recycling HC'!O146</f>
        <v>1119.8930452635527</v>
      </c>
      <c r="P122" s="122">
        <f>'Ethylene Recycling HC'!P146</f>
        <v>1229.2637366348276</v>
      </c>
      <c r="Q122" s="122">
        <f>'Ethylene Recycling HC'!Q146</f>
        <v>1336.3733945130164</v>
      </c>
      <c r="R122" s="122">
        <f>'Ethylene Recycling HC'!R146</f>
        <v>1441.2413438876997</v>
      </c>
      <c r="S122" s="122">
        <f>'Ethylene Recycling HC'!S146</f>
        <v>1543.8869248177077</v>
      </c>
      <c r="T122" s="122">
        <f>'Ethylene Recycling HC'!T146</f>
        <v>1644.3294906832371</v>
      </c>
      <c r="U122" s="122">
        <f>'Ethylene Recycling HC'!U146</f>
        <v>1742.588406448853</v>
      </c>
      <c r="V122" s="122">
        <f>'Ethylene Recycling HC'!V146</f>
        <v>1838.6830469373706</v>
      </c>
      <c r="W122" s="122">
        <f>'Ethylene Recycling HC'!W146</f>
        <v>1932.6327951146284</v>
      </c>
      <c r="X122" s="122">
        <f>'Ethylene Recycling HC'!X146</f>
        <v>2110.196274011304</v>
      </c>
      <c r="Y122" s="122">
        <f>'Ethylene Recycling HC'!Y146</f>
        <v>2283.9415707715611</v>
      </c>
      <c r="Z122" s="122">
        <f>'Ethylene Recycling HC'!Z146</f>
        <v>2433.7425228657994</v>
      </c>
      <c r="AA122" s="122">
        <f>'Ethylene Recycling HC'!AA146</f>
        <v>2576.8465770057464</v>
      </c>
      <c r="AB122" s="122">
        <f>'Ethylene Recycling HC'!AB146</f>
        <v>2713.3416150987823</v>
      </c>
      <c r="AC122" s="122">
        <f>'Ethylene Recycling HC'!AC146</f>
        <v>2843.3167505516594</v>
      </c>
      <c r="AD122" s="122">
        <f>'Ethylene Recycling HC'!AD146</f>
        <v>2966.8622777498244</v>
      </c>
      <c r="AE122" s="122">
        <f>'Ethylene Recycling HC'!AE146</f>
        <v>3084.0696219757424</v>
      </c>
      <c r="AF122" s="122">
        <f>'Ethylene Recycling HC'!AF146</f>
        <v>3195.031289766353</v>
      </c>
      <c r="AG122" s="122">
        <f>'Ethylene Recycling HC'!AG146</f>
        <v>771.89258940580066</v>
      </c>
      <c r="AH122" s="230"/>
      <c r="AI122" s="126"/>
      <c r="AJ122" s="198"/>
      <c r="AL122" s="102"/>
      <c r="AM122" s="2"/>
      <c r="AN122" s="2"/>
      <c r="AO122" s="2"/>
      <c r="BC122" s="1"/>
      <c r="BD122" s="2"/>
      <c r="BE122" s="2"/>
      <c r="BF122" s="2"/>
      <c r="BG122" s="2"/>
      <c r="BH122" s="2"/>
      <c r="BI122" s="2"/>
      <c r="BJ122" s="2"/>
      <c r="BK122" s="2"/>
    </row>
    <row r="123" spans="1:63" outlineLevel="1">
      <c r="A123" s="4" t="s">
        <v>74</v>
      </c>
      <c r="C123" s="122">
        <f>'Ethylene Recycling HC'!C147</f>
        <v>32.156200508891899</v>
      </c>
      <c r="D123" s="122">
        <f>'Ethylene Recycling HC'!D147</f>
        <v>39.204273302038494</v>
      </c>
      <c r="E123" s="122">
        <f>'Ethylene Recycling HC'!E147</f>
        <v>45.655687158754681</v>
      </c>
      <c r="F123" s="122">
        <f>'Ethylene Recycling HC'!F147</f>
        <v>51.514365527721914</v>
      </c>
      <c r="G123" s="122">
        <f>'Ethylene Recycling HC'!G147</f>
        <v>56.784232552801214</v>
      </c>
      <c r="H123" s="122">
        <f>'Ethylene Recycling HC'!H147</f>
        <v>61.469213073033245</v>
      </c>
      <c r="I123" s="122">
        <f>'Ethylene Recycling HC'!I147</f>
        <v>65.573232622638216</v>
      </c>
      <c r="J123" s="122">
        <f>'Ethylene Recycling HC'!J147</f>
        <v>69.100217431016119</v>
      </c>
      <c r="K123" s="122">
        <f>'Ethylene Recycling HC'!K147</f>
        <v>72.05409442274636</v>
      </c>
      <c r="L123" s="122">
        <f>'Ethylene Recycling HC'!L147</f>
        <v>74.43879121758809</v>
      </c>
      <c r="M123" s="122">
        <f>'Ethylene Recycling HC'!M147</f>
        <v>76.25823613048</v>
      </c>
      <c r="N123" s="122">
        <f>'Ethylene Recycling HC'!N147</f>
        <v>82.267486826643548</v>
      </c>
      <c r="O123" s="122">
        <f>'Ethylene Recycling HC'!O147</f>
        <v>87.197850960418364</v>
      </c>
      <c r="P123" s="122">
        <f>'Ethylene Recycling HC'!P147</f>
        <v>90.746874375055455</v>
      </c>
      <c r="Q123" s="122">
        <f>'Ethylene Recycling HC'!Q147</f>
        <v>93.212246269567274</v>
      </c>
      <c r="R123" s="122">
        <f>'Ethylene Recycling HC'!R147</f>
        <v>94.612215085223639</v>
      </c>
      <c r="S123" s="122">
        <f>'Ethylene Recycling HC'!S147</f>
        <v>94.964976970532405</v>
      </c>
      <c r="T123" s="122">
        <f>'Ethylene Recycling HC'!T147</f>
        <v>94.288674318723793</v>
      </c>
      <c r="U123" s="122">
        <f>'Ethylene Recycling HC'!U147</f>
        <v>92.601394317551225</v>
      </c>
      <c r="V123" s="122">
        <f>'Ethylene Recycling HC'!V147</f>
        <v>89.921167511412179</v>
      </c>
      <c r="W123" s="122">
        <f>'Ethylene Recycling HC'!W147</f>
        <v>86.265966375793596</v>
      </c>
      <c r="X123" s="122">
        <f>'Ethylene Recycling HC'!X147</f>
        <v>85.111878543373308</v>
      </c>
      <c r="Y123" s="122">
        <f>'Ethylene Recycling HC'!Y147</f>
        <v>82.213174037860597</v>
      </c>
      <c r="Z123" s="122">
        <f>'Ethylene Recycling HC'!Z147</f>
        <v>76.964020447384939</v>
      </c>
      <c r="AA123" s="122">
        <f>'Ethylene Recycling HC'!AA147</f>
        <v>70.131090863586493</v>
      </c>
      <c r="AB123" s="122">
        <f>'Ethylene Recycling HC'!AB147</f>
        <v>61.78856293894578</v>
      </c>
      <c r="AC123" s="122">
        <f>'Ethylene Recycling HC'!AC147</f>
        <v>52.010241053696149</v>
      </c>
      <c r="AD123" s="122">
        <f>'Ethylene Recycling HC'!AD147</f>
        <v>40.869519692677514</v>
      </c>
      <c r="AE123" s="122">
        <f>'Ethylene Recycling HC'!AE147</f>
        <v>28.439347319059276</v>
      </c>
      <c r="AF123" s="122">
        <f>'Ethylene Recycling HC'!AF147</f>
        <v>14.792190745086002</v>
      </c>
      <c r="AG123" s="122">
        <f>'Ethylene Recycling HC'!AG147</f>
        <v>0</v>
      </c>
      <c r="AH123" s="230"/>
      <c r="AI123" s="126"/>
      <c r="AJ123" s="198"/>
      <c r="AL123" s="102"/>
      <c r="AM123" s="2"/>
      <c r="AN123" s="2"/>
      <c r="AO123" s="2"/>
      <c r="BC123" s="1"/>
      <c r="BD123" s="2"/>
      <c r="BE123" s="2"/>
      <c r="BF123" s="2"/>
      <c r="BG123" s="2"/>
      <c r="BH123" s="2"/>
      <c r="BI123" s="2"/>
      <c r="BJ123" s="2"/>
      <c r="BK123" s="2"/>
    </row>
    <row r="124" spans="1:63" outlineLevel="1">
      <c r="A124" s="4" t="s">
        <v>34</v>
      </c>
      <c r="C124" s="122">
        <f>'Ethylene Recycling HC'!C148</f>
        <v>0</v>
      </c>
      <c r="D124" s="122">
        <f>'Ethylene Recycling HC'!D148</f>
        <v>1.4474853634498692</v>
      </c>
      <c r="E124" s="122">
        <f>'Ethylene Recycling HC'!E148</f>
        <v>3.4917699148520986</v>
      </c>
      <c r="F124" s="122">
        <f>'Ethylene Recycling HC'!F148</f>
        <v>6.1286471290031441</v>
      </c>
      <c r="G124" s="122">
        <f>'Ethylene Recycling HC'!G148</f>
        <v>9.3539097363518451</v>
      </c>
      <c r="H124" s="122">
        <f>'Ethylene Recycling HC'!H148</f>
        <v>13.163349722999437</v>
      </c>
      <c r="I124" s="122">
        <f>'Ethylene Recycling HC'!I148</f>
        <v>17.552758330699518</v>
      </c>
      <c r="J124" s="122">
        <f>'Ethylene Recycling HC'!J148</f>
        <v>22.517926056858123</v>
      </c>
      <c r="K124" s="122">
        <f>'Ethylene Recycling HC'!K148</f>
        <v>28.05464265453362</v>
      </c>
      <c r="L124" s="122">
        <f>'Ethylene Recycling HC'!L148</f>
        <v>34.158697132436792</v>
      </c>
      <c r="M124" s="122">
        <f>'Ethylene Recycling HC'!M148</f>
        <v>40.825877754930801</v>
      </c>
      <c r="N124" s="122">
        <f>'Ethylene Recycling HC'!N148</f>
        <v>50.997171051482674</v>
      </c>
      <c r="O124" s="122">
        <f>'Ethylene Recycling HC'!O148</f>
        <v>62.243397949594623</v>
      </c>
      <c r="P124" s="122">
        <f>'Ethylene Recycling HC'!P148</f>
        <v>74.302748201067303</v>
      </c>
      <c r="Q124" s="122">
        <f>'Ethylene Recycling HC'!Q148</f>
        <v>87.329263539049478</v>
      </c>
      <c r="R124" s="122">
        <f>'Ethylene Recycling HC'!R148</f>
        <v>101.30385708327942</v>
      </c>
      <c r="S124" s="122">
        <f>'Ethylene Recycling HC'!S148</f>
        <v>116.20750716897014</v>
      </c>
      <c r="T124" s="122">
        <f>'Ethylene Recycling HC'!T148</f>
        <v>132.02125884679131</v>
      </c>
      <c r="U124" s="122">
        <f>'Ethylene Recycling HC'!U148</f>
        <v>148.72622536964627</v>
      </c>
      <c r="V124" s="122">
        <f>'Ethylene Recycling HC'!V148</f>
        <v>166.30358966623905</v>
      </c>
      <c r="W124" s="122">
        <f>'Ethylene Recycling HC'!W148</f>
        <v>184.73460580142859</v>
      </c>
      <c r="X124" s="122">
        <f>'Ethylene Recycling HC'!X148</f>
        <v>212.64037631915119</v>
      </c>
      <c r="Y124" s="122">
        <f>'Ethylene Recycling HC'!Y148</f>
        <v>242.07663852260961</v>
      </c>
      <c r="Z124" s="122">
        <f>'Ethylene Recycling HC'!Z148</f>
        <v>270.76736154971206</v>
      </c>
      <c r="AA124" s="122">
        <f>'Ethylene Recycling HC'!AA148</f>
        <v>300.36502155835598</v>
      </c>
      <c r="AB124" s="122">
        <f>'Ethylene Recycling HC'!AB148</f>
        <v>330.7934257595544</v>
      </c>
      <c r="AC124" s="122">
        <f>'Ethylene Recycling HC'!AC148</f>
        <v>361.97701472119212</v>
      </c>
      <c r="AD124" s="122">
        <f>'Ethylene Recycling HC'!AD148</f>
        <v>393.84089892112775</v>
      </c>
      <c r="AE124" s="122">
        <f>'Ethylene Recycling HC'!AE148</f>
        <v>426.31089476757876</v>
      </c>
      <c r="AF124" s="122">
        <f>'Ethylene Recycling HC'!AF148</f>
        <v>459.3135600866247</v>
      </c>
      <c r="AG124" s="122">
        <f>'Ethylene Recycling HC'!AG148</f>
        <v>115.26929335126627</v>
      </c>
      <c r="AH124" s="230"/>
      <c r="AI124" s="126"/>
      <c r="AJ124" s="198"/>
      <c r="AL124" s="102"/>
      <c r="AM124" s="2"/>
      <c r="AN124" s="2"/>
      <c r="AO124" s="2"/>
      <c r="BC124" s="1"/>
      <c r="BD124" s="2"/>
      <c r="BE124" s="2"/>
      <c r="BF124" s="2"/>
      <c r="BG124" s="2"/>
      <c r="BH124" s="2"/>
      <c r="BI124" s="2"/>
      <c r="BJ124" s="2"/>
      <c r="BK124" s="2"/>
    </row>
    <row r="125" spans="1:63" outlineLevel="1">
      <c r="A125" s="4" t="s">
        <v>35</v>
      </c>
      <c r="C125" s="122">
        <f>'Ethylene Recycling HC'!C149</f>
        <v>0</v>
      </c>
      <c r="D125" s="122">
        <f>'Ethylene Recycling HC'!D149</f>
        <v>0</v>
      </c>
      <c r="E125" s="122">
        <f>'Ethylene Recycling HC'!E149</f>
        <v>0</v>
      </c>
      <c r="F125" s="122">
        <f>'Ethylene Recycling HC'!F149</f>
        <v>0</v>
      </c>
      <c r="G125" s="122">
        <f>'Ethylene Recycling HC'!G149</f>
        <v>0</v>
      </c>
      <c r="H125" s="122">
        <f>'Ethylene Recycling HC'!H149</f>
        <v>0</v>
      </c>
      <c r="I125" s="122">
        <f>'Ethylene Recycling HC'!I149</f>
        <v>0</v>
      </c>
      <c r="J125" s="122">
        <f>'Ethylene Recycling HC'!J149</f>
        <v>0</v>
      </c>
      <c r="K125" s="122">
        <f>'Ethylene Recycling HC'!K149</f>
        <v>0</v>
      </c>
      <c r="L125" s="122">
        <f>'Ethylene Recycling HC'!L149</f>
        <v>0</v>
      </c>
      <c r="M125" s="122">
        <f>'Ethylene Recycling HC'!M149</f>
        <v>0</v>
      </c>
      <c r="N125" s="122">
        <f>'Ethylene Recycling HC'!N149</f>
        <v>0</v>
      </c>
      <c r="O125" s="122">
        <f>'Ethylene Recycling HC'!O149</f>
        <v>0</v>
      </c>
      <c r="P125" s="122">
        <f>'Ethylene Recycling HC'!P149</f>
        <v>0</v>
      </c>
      <c r="Q125" s="122">
        <f>'Ethylene Recycling HC'!Q149</f>
        <v>0</v>
      </c>
      <c r="R125" s="122">
        <f>'Ethylene Recycling HC'!R149</f>
        <v>0</v>
      </c>
      <c r="S125" s="122">
        <f>'Ethylene Recycling HC'!S149</f>
        <v>0</v>
      </c>
      <c r="T125" s="122">
        <f>'Ethylene Recycling HC'!T149</f>
        <v>0</v>
      </c>
      <c r="U125" s="122">
        <f>'Ethylene Recycling HC'!U149</f>
        <v>0</v>
      </c>
      <c r="V125" s="122">
        <f>'Ethylene Recycling HC'!V149</f>
        <v>0</v>
      </c>
      <c r="W125" s="122">
        <f>'Ethylene Recycling HC'!W149</f>
        <v>0</v>
      </c>
      <c r="X125" s="122">
        <f>'Ethylene Recycling HC'!X149</f>
        <v>0</v>
      </c>
      <c r="Y125" s="122">
        <f>'Ethylene Recycling HC'!Y149</f>
        <v>0</v>
      </c>
      <c r="Z125" s="122">
        <f>'Ethylene Recycling HC'!Z149</f>
        <v>0</v>
      </c>
      <c r="AA125" s="122">
        <f>'Ethylene Recycling HC'!AA149</f>
        <v>0</v>
      </c>
      <c r="AB125" s="122">
        <f>'Ethylene Recycling HC'!AB149</f>
        <v>0</v>
      </c>
      <c r="AC125" s="122">
        <f>'Ethylene Recycling HC'!AC149</f>
        <v>0</v>
      </c>
      <c r="AD125" s="122">
        <f>'Ethylene Recycling HC'!AD149</f>
        <v>0</v>
      </c>
      <c r="AE125" s="122">
        <f>'Ethylene Recycling HC'!AE149</f>
        <v>0</v>
      </c>
      <c r="AF125" s="122">
        <f>'Ethylene Recycling HC'!AF149</f>
        <v>0</v>
      </c>
      <c r="AG125" s="122">
        <f>'Ethylene Recycling HC'!AG149</f>
        <v>0</v>
      </c>
      <c r="AH125" s="230"/>
      <c r="AI125" s="126"/>
      <c r="AJ125" s="198"/>
      <c r="AL125" s="102"/>
      <c r="AM125" s="2"/>
      <c r="AN125" s="2"/>
      <c r="AO125" s="2"/>
      <c r="BC125" s="1"/>
      <c r="BD125" s="2"/>
      <c r="BE125" s="2"/>
      <c r="BF125" s="2"/>
      <c r="BG125" s="2"/>
      <c r="BH125" s="2"/>
      <c r="BI125" s="2"/>
      <c r="BJ125" s="2"/>
      <c r="BK125" s="2"/>
    </row>
    <row r="126" spans="1:63" outlineLevel="1">
      <c r="A126" s="4" t="s">
        <v>27</v>
      </c>
      <c r="C126" s="122">
        <f>'Ethylene Recycling HC'!C150</f>
        <v>29.916750830594065</v>
      </c>
      <c r="D126" s="122">
        <f>'Ethylene Recycling HC'!D150</f>
        <v>38.843371381293629</v>
      </c>
      <c r="E126" s="122">
        <f>'Ethylene Recycling HC'!E150</f>
        <v>48.191789461295727</v>
      </c>
      <c r="F126" s="122">
        <f>'Ethylene Recycling HC'!F150</f>
        <v>57.958769597969038</v>
      </c>
      <c r="G126" s="122">
        <f>'Ethylene Recycling HC'!G150</f>
        <v>68.141075747021347</v>
      </c>
      <c r="H126" s="122">
        <f>'Ethylene Recycling HC'!H150</f>
        <v>78.735471292499639</v>
      </c>
      <c r="I126" s="122">
        <f>'Ethylene Recycling HC'!I150</f>
        <v>89.738719046789996</v>
      </c>
      <c r="J126" s="122">
        <f>'Ethylene Recycling HC'!J150</f>
        <v>101.14758125061786</v>
      </c>
      <c r="K126" s="122">
        <f>'Ethylene Recycling HC'!K150</f>
        <v>112.95881957304761</v>
      </c>
      <c r="L126" s="122">
        <f>'Ethylene Recycling HC'!L150</f>
        <v>125.16919511148292</v>
      </c>
      <c r="M126" s="122">
        <f>'Ethylene Recycling HC'!M150</f>
        <v>137.77546839166661</v>
      </c>
      <c r="N126" s="122">
        <f>'Ethylene Recycling HC'!N150</f>
        <v>160.01565613191735</v>
      </c>
      <c r="O126" s="122">
        <f>'Ethylene Recycling HC'!O150</f>
        <v>183.01165798364229</v>
      </c>
      <c r="P126" s="122">
        <f>'Ethylene Recycling HC'!P150</f>
        <v>206.05352511973018</v>
      </c>
      <c r="Q126" s="122">
        <f>'Ethylene Recycling HC'!Q150</f>
        <v>229.67036645935696</v>
      </c>
      <c r="R126" s="122">
        <f>'Ethylene Recycling HC'!R150</f>
        <v>253.84791616501366</v>
      </c>
      <c r="S126" s="122">
        <f>'Ethylene Recycling HC'!S150</f>
        <v>278.57196649976788</v>
      </c>
      <c r="T126" s="122">
        <f>'Ethylene Recycling HC'!T150</f>
        <v>303.82836892192944</v>
      </c>
      <c r="U126" s="122">
        <f>'Ethylene Recycling HC'!U150</f>
        <v>329.60303516955946</v>
      </c>
      <c r="V126" s="122">
        <f>'Ethylene Recycling HC'!V150</f>
        <v>355.8819383348183</v>
      </c>
      <c r="W126" s="122">
        <f>'Ethylene Recycling HC'!W150</f>
        <v>382.65111392815123</v>
      </c>
      <c r="X126" s="122">
        <f>'Ethylene Recycling HC'!X150</f>
        <v>427.25648871485618</v>
      </c>
      <c r="Y126" s="122">
        <f>'Ethylene Recycling HC'!Y150</f>
        <v>472.74401604663854</v>
      </c>
      <c r="Z126" s="122">
        <f>'Ethylene Recycling HC'!Z150</f>
        <v>514.82440965533988</v>
      </c>
      <c r="AA126" s="122">
        <f>'Ethylene Recycling HC'!AA150</f>
        <v>556.91589541980068</v>
      </c>
      <c r="AB126" s="122">
        <f>'Ethylene Recycling HC'!AB150</f>
        <v>598.96276470973055</v>
      </c>
      <c r="AC126" s="122">
        <f>'Ethylene Recycling HC'!AC150</f>
        <v>640.90999836321782</v>
      </c>
      <c r="AD126" s="122">
        <f>'Ethylene Recycling HC'!AD150</f>
        <v>682.70329244806953</v>
      </c>
      <c r="AE126" s="122">
        <f>'Ethylene Recycling HC'!AE150</f>
        <v>724.28908361341189</v>
      </c>
      <c r="AF126" s="122">
        <f>'Ethylene Recycling HC'!AF150</f>
        <v>765.61457403142151</v>
      </c>
      <c r="AG126" s="122">
        <f>'Ethylene Recycling HC'!AG150</f>
        <v>188.68485518808464</v>
      </c>
      <c r="AH126" s="230"/>
      <c r="AI126" s="126"/>
      <c r="AJ126" s="198"/>
      <c r="AL126" s="102"/>
      <c r="AM126" s="2"/>
      <c r="AN126" s="2"/>
      <c r="AO126" s="2"/>
      <c r="BC126" s="1"/>
      <c r="BD126" s="2"/>
      <c r="BE126" s="2"/>
      <c r="BF126" s="2"/>
      <c r="BG126" s="2"/>
      <c r="BH126" s="2"/>
      <c r="BI126" s="2"/>
      <c r="BJ126" s="2"/>
      <c r="BK126" s="2"/>
    </row>
    <row r="127" spans="1:63" outlineLevel="1">
      <c r="C127" s="122"/>
      <c r="AJ127" s="198"/>
      <c r="AM127" s="117"/>
      <c r="AN127" s="117"/>
    </row>
    <row r="128" spans="1:63" s="187" customFormat="1" ht="15.5" thickBot="1">
      <c r="A128" s="187" t="s">
        <v>447</v>
      </c>
      <c r="B128" s="202"/>
      <c r="C128" s="607">
        <f>C129</f>
        <v>0.13</v>
      </c>
      <c r="D128" s="607">
        <f t="shared" ref="D128:AF128" si="28">D129</f>
        <v>0.1358875810411028</v>
      </c>
      <c r="E128" s="607">
        <f t="shared" si="28"/>
        <v>0.14177516208220559</v>
      </c>
      <c r="F128" s="607">
        <f t="shared" si="28"/>
        <v>0.14766274312330838</v>
      </c>
      <c r="G128" s="607">
        <f t="shared" si="28"/>
        <v>0.15355032416441117</v>
      </c>
      <c r="H128" s="607">
        <f t="shared" si="28"/>
        <v>0.15943790520551393</v>
      </c>
      <c r="I128" s="607">
        <f t="shared" si="28"/>
        <v>0.16273112459661396</v>
      </c>
      <c r="J128" s="607">
        <f t="shared" si="28"/>
        <v>0.16575389508754357</v>
      </c>
      <c r="K128" s="607">
        <f t="shared" si="28"/>
        <v>0.16849307212157547</v>
      </c>
      <c r="L128" s="607">
        <f t="shared" si="28"/>
        <v>0.17093464529929903</v>
      </c>
      <c r="M128" s="607">
        <f t="shared" si="28"/>
        <v>0.17306366589273806</v>
      </c>
      <c r="N128" s="607">
        <f t="shared" si="28"/>
        <v>0.17965464012824345</v>
      </c>
      <c r="O128" s="607">
        <f t="shared" si="28"/>
        <v>0.18569627003438133</v>
      </c>
      <c r="P128" s="607">
        <f t="shared" si="28"/>
        <v>0.19115950254215811</v>
      </c>
      <c r="Q128" s="607">
        <f t="shared" si="28"/>
        <v>0.19601319911923842</v>
      </c>
      <c r="R128" s="607">
        <f t="shared" si="28"/>
        <v>0.20022394522938602</v>
      </c>
      <c r="S128" s="607">
        <f t="shared" si="28"/>
        <v>0.20543864177586221</v>
      </c>
      <c r="T128" s="607">
        <f t="shared" si="28"/>
        <v>0.21019728491142975</v>
      </c>
      <c r="U128" s="607">
        <f t="shared" si="28"/>
        <v>0.21448152701485731</v>
      </c>
      <c r="V128" s="607">
        <f t="shared" si="28"/>
        <v>0.21827202288880013</v>
      </c>
      <c r="W128" s="607">
        <f t="shared" si="28"/>
        <v>0.2215483610266788</v>
      </c>
      <c r="X128" s="607">
        <f t="shared" si="28"/>
        <v>0.23051216857822637</v>
      </c>
      <c r="Y128" s="607">
        <f t="shared" si="28"/>
        <v>0.23860265464939739</v>
      </c>
      <c r="Z128" s="607">
        <f t="shared" si="28"/>
        <v>0.24578215919481644</v>
      </c>
      <c r="AA128" s="607">
        <f t="shared" si="28"/>
        <v>0.25201082524914764</v>
      </c>
      <c r="AB128" s="607">
        <f t="shared" si="28"/>
        <v>0.25724643635800026</v>
      </c>
      <c r="AC128" s="607">
        <f t="shared" si="28"/>
        <v>0.25964186907248177</v>
      </c>
      <c r="AD128" s="607">
        <f t="shared" si="28"/>
        <v>0.26065294109232484</v>
      </c>
      <c r="AE128" s="607">
        <f t="shared" si="28"/>
        <v>0.26020130361987759</v>
      </c>
      <c r="AF128" s="607">
        <f t="shared" si="28"/>
        <v>0.25820258190814344</v>
      </c>
      <c r="AG128" s="607">
        <f>AG129</f>
        <v>0.25456578456951179</v>
      </c>
      <c r="AJ128" s="217" t="s">
        <v>471</v>
      </c>
      <c r="AL128" s="204"/>
      <c r="AM128" s="211"/>
      <c r="AN128" s="211"/>
      <c r="AO128" s="211"/>
    </row>
    <row r="129" spans="1:63" ht="15.5" outlineLevel="1" thickTop="1">
      <c r="A129" t="s">
        <v>448</v>
      </c>
      <c r="B129" s="51" t="s">
        <v>126</v>
      </c>
      <c r="C129" s="122">
        <f>'Ethylene Recycling HC'!C153*'Ethylene Recycling HC'!C$45/'Ethylene Recycling LC'!C$45</f>
        <v>0.13</v>
      </c>
      <c r="D129" s="122">
        <f>'Ethylene Recycling HC'!D153*'Ethylene Recycling HC'!D$45/'Ethylene Recycling LC'!D$45</f>
        <v>0.1358875810411028</v>
      </c>
      <c r="E129" s="122">
        <f>'Ethylene Recycling HC'!E153*'Ethylene Recycling HC'!E$45/'Ethylene Recycling LC'!E$45</f>
        <v>0.14177516208220559</v>
      </c>
      <c r="F129" s="122">
        <f>'Ethylene Recycling HC'!F153*'Ethylene Recycling HC'!F$45/'Ethylene Recycling LC'!F$45</f>
        <v>0.14766274312330838</v>
      </c>
      <c r="G129" s="122">
        <f>'Ethylene Recycling HC'!G153*'Ethylene Recycling HC'!G$45/'Ethylene Recycling LC'!G$45</f>
        <v>0.15355032416441117</v>
      </c>
      <c r="H129" s="122">
        <f>'Ethylene Recycling HC'!H153*'Ethylene Recycling HC'!H$45/'Ethylene Recycling LC'!H$45</f>
        <v>0.15943790520551393</v>
      </c>
      <c r="I129" s="122">
        <f>'Ethylene Recycling HC'!I153*'Ethylene Recycling HC'!I$45/'Ethylene Recycling LC'!I$45</f>
        <v>0.16273112459661396</v>
      </c>
      <c r="J129" s="122">
        <f>'Ethylene Recycling HC'!J153*'Ethylene Recycling HC'!J$45/'Ethylene Recycling LC'!J$45</f>
        <v>0.16575389508754357</v>
      </c>
      <c r="K129" s="122">
        <f>'Ethylene Recycling HC'!K153*'Ethylene Recycling HC'!K$45/'Ethylene Recycling LC'!K$45</f>
        <v>0.16849307212157547</v>
      </c>
      <c r="L129" s="122">
        <f>'Ethylene Recycling HC'!L153*'Ethylene Recycling HC'!L$45/'Ethylene Recycling LC'!L$45</f>
        <v>0.17093464529929903</v>
      </c>
      <c r="M129" s="122">
        <f>'Ethylene Recycling HC'!M153*'Ethylene Recycling HC'!M$45/'Ethylene Recycling LC'!M$45</f>
        <v>0.17306366589273806</v>
      </c>
      <c r="N129" s="122">
        <f>'Ethylene Recycling HC'!N153*'Ethylene Recycling HC'!N$45/'Ethylene Recycling LC'!N$45</f>
        <v>0.17965464012824345</v>
      </c>
      <c r="O129" s="122">
        <f>'Ethylene Recycling HC'!O153*'Ethylene Recycling HC'!O$45/'Ethylene Recycling LC'!O$45</f>
        <v>0.18569627003438133</v>
      </c>
      <c r="P129" s="122">
        <f>'Ethylene Recycling HC'!P153*'Ethylene Recycling HC'!P$45/'Ethylene Recycling LC'!P$45</f>
        <v>0.19115950254215811</v>
      </c>
      <c r="Q129" s="122">
        <f>'Ethylene Recycling HC'!Q153*'Ethylene Recycling HC'!Q$45/'Ethylene Recycling LC'!Q$45</f>
        <v>0.19601319911923842</v>
      </c>
      <c r="R129" s="122">
        <f>'Ethylene Recycling HC'!R153*'Ethylene Recycling HC'!R$45/'Ethylene Recycling LC'!R$45</f>
        <v>0.20022394522938602</v>
      </c>
      <c r="S129" s="122">
        <f>'Ethylene Recycling HC'!S153*'Ethylene Recycling HC'!S$45/'Ethylene Recycling LC'!S$45</f>
        <v>0.20543864177586221</v>
      </c>
      <c r="T129" s="122">
        <f>'Ethylene Recycling HC'!T153*'Ethylene Recycling HC'!T$45/'Ethylene Recycling LC'!T$45</f>
        <v>0.21019728491142975</v>
      </c>
      <c r="U129" s="122">
        <f>'Ethylene Recycling HC'!U153*'Ethylene Recycling HC'!U$45/'Ethylene Recycling LC'!U$45</f>
        <v>0.21448152701485731</v>
      </c>
      <c r="V129" s="122">
        <f>'Ethylene Recycling HC'!V153*'Ethylene Recycling HC'!V$45/'Ethylene Recycling LC'!V$45</f>
        <v>0.21827202288880013</v>
      </c>
      <c r="W129" s="122">
        <f>'Ethylene Recycling HC'!W153*'Ethylene Recycling HC'!W$45/'Ethylene Recycling LC'!W$45</f>
        <v>0.2215483610266788</v>
      </c>
      <c r="X129" s="122">
        <f>'Ethylene Recycling HC'!X153*'Ethylene Recycling HC'!X$45/'Ethylene Recycling LC'!X$45</f>
        <v>0.23051216857822637</v>
      </c>
      <c r="Y129" s="122">
        <f>'Ethylene Recycling HC'!Y153*'Ethylene Recycling HC'!Y$45/'Ethylene Recycling LC'!Y$45</f>
        <v>0.23860265464939739</v>
      </c>
      <c r="Z129" s="122">
        <f>'Ethylene Recycling HC'!Z153*'Ethylene Recycling HC'!Z$45/'Ethylene Recycling LC'!Z$45</f>
        <v>0.24578215919481644</v>
      </c>
      <c r="AA129" s="122">
        <f>'Ethylene Recycling HC'!AA153*'Ethylene Recycling HC'!AA$45/'Ethylene Recycling LC'!AA$45</f>
        <v>0.25201082524914764</v>
      </c>
      <c r="AB129" s="122">
        <f>'Ethylene Recycling HC'!AB153*'Ethylene Recycling HC'!AB$45/'Ethylene Recycling LC'!AB$45</f>
        <v>0.25724643635800026</v>
      </c>
      <c r="AC129" s="122">
        <f>'Ethylene Recycling HC'!AC153*'Ethylene Recycling HC'!AC$45/'Ethylene Recycling LC'!AC$45</f>
        <v>0.25964186907248177</v>
      </c>
      <c r="AD129" s="122">
        <f>'Ethylene Recycling HC'!AD153*'Ethylene Recycling HC'!AD$45/'Ethylene Recycling LC'!AD$45</f>
        <v>0.26065294109232484</v>
      </c>
      <c r="AE129" s="122">
        <f>'Ethylene Recycling HC'!AE153*'Ethylene Recycling HC'!AE$45/'Ethylene Recycling LC'!AE$45</f>
        <v>0.26020130361987759</v>
      </c>
      <c r="AF129" s="122">
        <f>'Ethylene Recycling HC'!AF153*'Ethylene Recycling HC'!AF$45/'Ethylene Recycling LC'!AF$45</f>
        <v>0.25820258190814344</v>
      </c>
      <c r="AG129" s="122">
        <f>'Ethylene Recycling HC'!AG153*'Ethylene Recycling HC'!AG$45/'Ethylene Recycling LC'!AG$45</f>
        <v>0.25456578456951179</v>
      </c>
      <c r="AI129" s="126" t="s">
        <v>492</v>
      </c>
      <c r="AJ129" s="198" t="s">
        <v>453</v>
      </c>
    </row>
    <row r="130" spans="1:63" outlineLevel="1">
      <c r="A130" t="s">
        <v>451</v>
      </c>
      <c r="B130" s="51" t="s">
        <v>126</v>
      </c>
      <c r="C130" s="122">
        <f>'Ethylene Recycling HC'!C156*'Ethylene Recycling HC'!C$45/'Ethylene Recycling LC'!C$45</f>
        <v>6.5000000000000014E-3</v>
      </c>
      <c r="D130" s="122">
        <f>'Ethylene Recycling HC'!D156*'Ethylene Recycling HC'!D$45/'Ethylene Recycling LC'!D$45</f>
        <v>7.8203302889154665E-3</v>
      </c>
      <c r="E130" s="122">
        <f>'Ethylene Recycling HC'!E156*'Ethylene Recycling HC'!E$45/'Ethylene Recycling LC'!E$45</f>
        <v>9.2295630515515838E-3</v>
      </c>
      <c r="F130" s="122">
        <f>'Ethylene Recycling HC'!F156*'Ethylene Recycling HC'!F$45/'Ethylene Recycling LC'!F$45</f>
        <v>1.0727698287908354E-2</v>
      </c>
      <c r="G130" s="122">
        <f>'Ethylene Recycling HC'!G156*'Ethylene Recycling HC'!G$45/'Ethylene Recycling LC'!G$45</f>
        <v>1.2314735997985776E-2</v>
      </c>
      <c r="H130" s="122">
        <f>'Ethylene Recycling HC'!H156*'Ethylene Recycling HC'!H$45/'Ethylene Recycling LC'!H$45</f>
        <v>1.3990676181783849E-2</v>
      </c>
      <c r="I130" s="122">
        <f>'Ethylene Recycling HC'!I156*'Ethylene Recycling HC'!I$45/'Ethylene Recycling LC'!I$45</f>
        <v>1.5508276174057312E-2</v>
      </c>
      <c r="J130" s="122">
        <f>'Ethylene Recycling HC'!J156*'Ethylene Recycling HC'!J$45/'Ethylene Recycling LC'!J$45</f>
        <v>1.7047788109753857E-2</v>
      </c>
      <c r="K130" s="122">
        <f>'Ethylene Recycling HC'!K156*'Ethylene Recycling HC'!K$45/'Ethylene Recycling LC'!K$45</f>
        <v>1.8601635162221932E-2</v>
      </c>
      <c r="L130" s="122">
        <f>'Ethylene Recycling HC'!L156*'Ethylene Recycling HC'!L$45/'Ethylene Recycling LC'!L$45</f>
        <v>2.0161741413052322E-2</v>
      </c>
      <c r="M130" s="122">
        <f>'Ethylene Recycling HC'!M156*'Ethylene Recycling HC'!M$45/'Ethylene Recycling LC'!M$45</f>
        <v>2.1719490069538626E-2</v>
      </c>
      <c r="N130" s="122">
        <f>'Ethylene Recycling HC'!N156*'Ethylene Recycling HC'!N$45/'Ethylene Recycling LC'!N$45</f>
        <v>2.390304986906279E-2</v>
      </c>
      <c r="O130" s="122">
        <f>'Ethylene Recycling HC'!O156*'Ethylene Recycling HC'!O$45/'Ethylene Recycling LC'!O$45</f>
        <v>2.6108895566834017E-2</v>
      </c>
      <c r="P130" s="122">
        <f>'Ethylene Recycling HC'!P156*'Ethylene Recycling HC'!P$45/'Ethylene Recycling LC'!P$45</f>
        <v>2.8320280301620728E-2</v>
      </c>
      <c r="Q130" s="122">
        <f>'Ethylene Recycling HC'!Q156*'Ethylene Recycling HC'!Q$45/'Ethylene Recycling LC'!Q$45</f>
        <v>3.0519255102865423E-2</v>
      </c>
      <c r="R130" s="122">
        <f>'Ethylene Recycling HC'!R156*'Ethylene Recycling HC'!R$45/'Ethylene Recycling LC'!R$45</f>
        <v>3.2686559058697273E-2</v>
      </c>
      <c r="S130" s="122">
        <f>'Ethylene Recycling HC'!S156*'Ethylene Recycling HC'!S$45/'Ethylene Recycling LC'!S$45</f>
        <v>3.5088920015317271E-2</v>
      </c>
      <c r="T130" s="122">
        <f>'Ethylene Recycling HC'!T156*'Ethylene Recycling HC'!T$45/'Ethylene Recycling LC'!T$45</f>
        <v>3.7488685763953498E-2</v>
      </c>
      <c r="U130" s="122">
        <f>'Ethylene Recycling HC'!U156*'Ethylene Recycling HC'!U$45/'Ethylene Recycling LC'!U$45</f>
        <v>3.9872115872061978E-2</v>
      </c>
      <c r="V130" s="122">
        <f>'Ethylene Recycling HC'!V156*'Ethylene Recycling HC'!V$45/'Ethylene Recycling LC'!V$45</f>
        <v>4.2224722827838387E-2</v>
      </c>
      <c r="W130" s="122">
        <f>'Ethylene Recycling HC'!W156*'Ethylene Recycling HC'!W$45/'Ethylene Recycling LC'!W$45</f>
        <v>4.4531220566362446E-2</v>
      </c>
      <c r="X130" s="122">
        <f>'Ethylene Recycling HC'!X156*'Ethylene Recycling HC'!X$45/'Ethylene Recycling LC'!X$45</f>
        <v>4.8073312756989117E-2</v>
      </c>
      <c r="Y130" s="122">
        <f>'Ethylene Recycling HC'!Y156*'Ethylene Recycling HC'!Y$45/'Ethylene Recycling LC'!Y$45</f>
        <v>5.1562033669734782E-2</v>
      </c>
      <c r="Z130" s="122">
        <f>'Ethylene Recycling HC'!Z156*'Ethylene Recycling HC'!Z$45/'Ethylene Recycling LC'!Z$45</f>
        <v>5.4969179903920695E-2</v>
      </c>
      <c r="AA130" s="122">
        <f>'Ethylene Recycling HC'!AA156*'Ethylene Recycling HC'!AA$45/'Ethylene Recycling LC'!AA$45</f>
        <v>5.8264902797602935E-2</v>
      </c>
      <c r="AB130" s="122">
        <f>'Ethylene Recycling HC'!AB156*'Ethylene Recycling HC'!AB$45/'Ethylene Recycling LC'!AB$45</f>
        <v>6.141758668047257E-2</v>
      </c>
      <c r="AC130" s="122">
        <f>'Ethylene Recycling HC'!AC156*'Ethylene Recycling HC'!AC$45/'Ethylene Recycling LC'!AC$45</f>
        <v>6.3949792352552257E-2</v>
      </c>
      <c r="AD130" s="122">
        <f>'Ethylene Recycling HC'!AD156*'Ethylene Recycling HC'!AD$45/'Ethylene Recycling LC'!AD$45</f>
        <v>6.616674909628667E-2</v>
      </c>
      <c r="AE130" s="122">
        <f>'Ethylene Recycling HC'!AE156*'Ethylene Recycling HC'!AE$45/'Ethylene Recycling LC'!AE$45</f>
        <v>6.8016620766236005E-2</v>
      </c>
      <c r="AF130" s="122">
        <f>'Ethylene Recycling HC'!AF156*'Ethylene Recycling HC'!AF$45/'Ethylene Recycling LC'!AF$45</f>
        <v>6.944358440419518E-2</v>
      </c>
      <c r="AG130" s="122">
        <f>'Ethylene Recycling HC'!AG156*'Ethylene Recycling HC'!AG$45/'Ethylene Recycling LC'!AG$45</f>
        <v>7.6369735370853523E-2</v>
      </c>
      <c r="AI130" s="126" t="s">
        <v>492</v>
      </c>
      <c r="AJ130" s="198"/>
      <c r="BD130" s="190"/>
      <c r="BE130" s="190"/>
    </row>
    <row r="131" spans="1:63" outlineLevel="1">
      <c r="A131" t="s">
        <v>452</v>
      </c>
      <c r="B131" s="51" t="s">
        <v>126</v>
      </c>
      <c r="C131" s="122">
        <f>'Ethylene Recycling HC'!C157*'Ethylene Recycling HC'!C$45/'Ethylene Recycling LC'!C$45</f>
        <v>0.1235</v>
      </c>
      <c r="D131" s="122">
        <f>'Ethylene Recycling HC'!D157*'Ethylene Recycling HC'!D$45/'Ethylene Recycling LC'!D$45</f>
        <v>0.12806725075218733</v>
      </c>
      <c r="E131" s="122">
        <f>'Ethylene Recycling HC'!E157*'Ethylene Recycling HC'!E$45/'Ethylene Recycling LC'!E$45</f>
        <v>0.13254559903065399</v>
      </c>
      <c r="F131" s="122">
        <f>'Ethylene Recycling HC'!F157*'Ethylene Recycling HC'!F$45/'Ethylene Recycling LC'!F$45</f>
        <v>0.13693504483540003</v>
      </c>
      <c r="G131" s="122">
        <f>'Ethylene Recycling HC'!G157*'Ethylene Recycling HC'!G$45/'Ethylene Recycling LC'!G$45</f>
        <v>0.1412355881664254</v>
      </c>
      <c r="H131" s="122">
        <f>'Ethylene Recycling HC'!H157*'Ethylene Recycling HC'!H$45/'Ethylene Recycling LC'!H$45</f>
        <v>0.14544722902373008</v>
      </c>
      <c r="I131" s="122">
        <f>'Ethylene Recycling HC'!I157*'Ethylene Recycling HC'!I$45/'Ethylene Recycling LC'!I$45</f>
        <v>0.14722284842255665</v>
      </c>
      <c r="J131" s="122">
        <f>'Ethylene Recycling HC'!J157*'Ethylene Recycling HC'!J$45/'Ethylene Recycling LC'!J$45</f>
        <v>0.14870610697778971</v>
      </c>
      <c r="K131" s="122">
        <f>'Ethylene Recycling HC'!K157*'Ethylene Recycling HC'!K$45/'Ethylene Recycling LC'!K$45</f>
        <v>0.14989143695935353</v>
      </c>
      <c r="L131" s="122">
        <f>'Ethylene Recycling HC'!L157*'Ethylene Recycling HC'!L$45/'Ethylene Recycling LC'!L$45</f>
        <v>0.15077290388624673</v>
      </c>
      <c r="M131" s="122">
        <f>'Ethylene Recycling HC'!M157*'Ethylene Recycling HC'!M$45/'Ethylene Recycling LC'!M$45</f>
        <v>0.15134417582319945</v>
      </c>
      <c r="N131" s="122">
        <f>'Ethylene Recycling HC'!N157*'Ethylene Recycling HC'!N$45/'Ethylene Recycling LC'!N$45</f>
        <v>0.15575159025918064</v>
      </c>
      <c r="O131" s="122">
        <f>'Ethylene Recycling HC'!O157*'Ethylene Recycling HC'!O$45/'Ethylene Recycling LC'!O$45</f>
        <v>0.15958737446754731</v>
      </c>
      <c r="P131" s="122">
        <f>'Ethylene Recycling HC'!P157*'Ethylene Recycling HC'!P$45/'Ethylene Recycling LC'!P$45</f>
        <v>0.16283922224053737</v>
      </c>
      <c r="Q131" s="122">
        <f>'Ethylene Recycling HC'!Q157*'Ethylene Recycling HC'!Q$45/'Ethylene Recycling LC'!Q$45</f>
        <v>0.16549394401637299</v>
      </c>
      <c r="R131" s="122">
        <f>'Ethylene Recycling HC'!R157*'Ethylene Recycling HC'!R$45/'Ethylene Recycling LC'!R$45</f>
        <v>0.16753738617068875</v>
      </c>
      <c r="S131" s="122">
        <f>'Ethylene Recycling HC'!S157*'Ethylene Recycling HC'!S$45/'Ethylene Recycling LC'!S$45</f>
        <v>0.17034972176054494</v>
      </c>
      <c r="T131" s="122">
        <f>'Ethylene Recycling HC'!T157*'Ethylene Recycling HC'!T$45/'Ethylene Recycling LC'!T$45</f>
        <v>0.17270859914747624</v>
      </c>
      <c r="U131" s="122">
        <f>'Ethylene Recycling HC'!U157*'Ethylene Recycling HC'!U$45/'Ethylene Recycling LC'!U$45</f>
        <v>0.17460941114279538</v>
      </c>
      <c r="V131" s="122">
        <f>'Ethylene Recycling HC'!V157*'Ethylene Recycling HC'!V$45/'Ethylene Recycling LC'!V$45</f>
        <v>0.17604730006096175</v>
      </c>
      <c r="W131" s="122">
        <f>'Ethylene Recycling HC'!W157*'Ethylene Recycling HC'!W$45/'Ethylene Recycling LC'!W$45</f>
        <v>0.17701714046031636</v>
      </c>
      <c r="X131" s="122">
        <f>'Ethylene Recycling HC'!X157*'Ethylene Recycling HC'!X$45/'Ethylene Recycling LC'!X$45</f>
        <v>0.18243885582123728</v>
      </c>
      <c r="Y131" s="122">
        <f>'Ethylene Recycling HC'!Y157*'Ethylene Recycling HC'!Y$45/'Ethylene Recycling LC'!Y$45</f>
        <v>0.18704062097966265</v>
      </c>
      <c r="Z131" s="122">
        <f>'Ethylene Recycling HC'!Z157*'Ethylene Recycling HC'!Z$45/'Ethylene Recycling LC'!Z$45</f>
        <v>0.19081297929089575</v>
      </c>
      <c r="AA131" s="122">
        <f>'Ethylene Recycling HC'!AA157*'Ethylene Recycling HC'!AA$45/'Ethylene Recycling LC'!AA$45</f>
        <v>0.19374592245154465</v>
      </c>
      <c r="AB131" s="122">
        <f>'Ethylene Recycling HC'!AB157*'Ethylene Recycling HC'!AB$45/'Ethylene Recycling LC'!AB$45</f>
        <v>0.1958288496775277</v>
      </c>
      <c r="AC131" s="122">
        <f>'Ethylene Recycling HC'!AC157*'Ethylene Recycling HC'!AC$45/'Ethylene Recycling LC'!AC$45</f>
        <v>0.1956920767199295</v>
      </c>
      <c r="AD131" s="122">
        <f>'Ethylene Recycling HC'!AD157*'Ethylene Recycling HC'!AD$45/'Ethylene Recycling LC'!AD$45</f>
        <v>0.19448619199603817</v>
      </c>
      <c r="AE131" s="122">
        <f>'Ethylene Recycling HC'!AE157*'Ethylene Recycling HC'!AE$45/'Ethylene Recycling LC'!AE$45</f>
        <v>0.19218468285364157</v>
      </c>
      <c r="AF131" s="122">
        <f>'Ethylene Recycling HC'!AF157*'Ethylene Recycling HC'!AF$45/'Ethylene Recycling LC'!AF$45</f>
        <v>0.18875899750394826</v>
      </c>
      <c r="AG131" s="122">
        <f>'Ethylene Recycling HC'!AG157*'Ethylene Recycling HC'!AG$45/'Ethylene Recycling LC'!AG$45</f>
        <v>0.17819604919865822</v>
      </c>
      <c r="AI131" s="126" t="s">
        <v>492</v>
      </c>
      <c r="AJ131" s="198"/>
      <c r="BD131" s="190"/>
      <c r="BE131" s="190"/>
    </row>
    <row r="132" spans="1:63" outlineLevel="1">
      <c r="A132" t="s">
        <v>455</v>
      </c>
      <c r="B132" s="51" t="s">
        <v>126</v>
      </c>
      <c r="C132" s="122">
        <f>'Ethylene Recycling HC'!C163*'Ethylene Recycling HC'!C$45/'Ethylene Recycling LC'!C$45</f>
        <v>6.1749999999999999E-2</v>
      </c>
      <c r="D132" s="122">
        <f>'Ethylene Recycling HC'!D163*'Ethylene Recycling HC'!D$45/'Ethylene Recycling LC'!D$45</f>
        <v>6.4033625376093667E-2</v>
      </c>
      <c r="E132" s="122">
        <f>'Ethylene Recycling HC'!E163*'Ethylene Recycling HC'!E$45/'Ethylene Recycling LC'!E$45</f>
        <v>6.6272799515326997E-2</v>
      </c>
      <c r="F132" s="122">
        <f>'Ethylene Recycling HC'!F163*'Ethylene Recycling HC'!F$45/'Ethylene Recycling LC'!F$45</f>
        <v>6.8467522417700016E-2</v>
      </c>
      <c r="G132" s="122">
        <f>'Ethylene Recycling HC'!G163*'Ethylene Recycling HC'!G$45/'Ethylene Recycling LC'!G$45</f>
        <v>7.0617794083212698E-2</v>
      </c>
      <c r="H132" s="122">
        <f>'Ethylene Recycling HC'!H163*'Ethylene Recycling HC'!H$45/'Ethylene Recycling LC'!H$45</f>
        <v>7.2723614511865042E-2</v>
      </c>
      <c r="I132" s="122">
        <f>'Ethylene Recycling HC'!I163*'Ethylene Recycling HC'!I$45/'Ethylene Recycling LC'!I$45</f>
        <v>7.3611424211278323E-2</v>
      </c>
      <c r="J132" s="122">
        <f>'Ethylene Recycling HC'!J163*'Ethylene Recycling HC'!J$45/'Ethylene Recycling LC'!J$45</f>
        <v>7.4353053488894857E-2</v>
      </c>
      <c r="K132" s="122">
        <f>'Ethylene Recycling HC'!K163*'Ethylene Recycling HC'!K$45/'Ethylene Recycling LC'!K$45</f>
        <v>7.4945718479676765E-2</v>
      </c>
      <c r="L132" s="122">
        <f>'Ethylene Recycling HC'!L163*'Ethylene Recycling HC'!L$45/'Ethylene Recycling LC'!L$45</f>
        <v>7.5386451943123364E-2</v>
      </c>
      <c r="M132" s="122">
        <f>'Ethylene Recycling HC'!M163*'Ethylene Recycling HC'!M$45/'Ethylene Recycling LC'!M$45</f>
        <v>7.5672087911599725E-2</v>
      </c>
      <c r="N132" s="122">
        <f>'Ethylene Recycling HC'!N163*'Ethylene Recycling HC'!N$45/'Ethylene Recycling LC'!N$45</f>
        <v>7.7875795129590322E-2</v>
      </c>
      <c r="O132" s="122">
        <f>'Ethylene Recycling HC'!O163*'Ethylene Recycling HC'!O$45/'Ethylene Recycling LC'!O$45</f>
        <v>7.9793687233773655E-2</v>
      </c>
      <c r="P132" s="122">
        <f>'Ethylene Recycling HC'!P163*'Ethylene Recycling HC'!P$45/'Ethylene Recycling LC'!P$45</f>
        <v>8.1419611120268687E-2</v>
      </c>
      <c r="Q132" s="122">
        <f>'Ethylene Recycling HC'!Q163*'Ethylene Recycling HC'!Q$45/'Ethylene Recycling LC'!Q$45</f>
        <v>8.2746972008186495E-2</v>
      </c>
      <c r="R132" s="122">
        <f>'Ethylene Recycling HC'!R163*'Ethylene Recycling HC'!R$45/'Ethylene Recycling LC'!R$45</f>
        <v>8.3768693085344376E-2</v>
      </c>
      <c r="S132" s="122">
        <f>'Ethylene Recycling HC'!S163*'Ethylene Recycling HC'!S$45/'Ethylene Recycling LC'!S$45</f>
        <v>8.5174860880272471E-2</v>
      </c>
      <c r="T132" s="122">
        <f>'Ethylene Recycling HC'!T163*'Ethylene Recycling HC'!T$45/'Ethylene Recycling LC'!T$45</f>
        <v>8.6354299573738122E-2</v>
      </c>
      <c r="U132" s="122">
        <f>'Ethylene Recycling HC'!U163*'Ethylene Recycling HC'!U$45/'Ethylene Recycling LC'!U$45</f>
        <v>8.7304705571397689E-2</v>
      </c>
      <c r="V132" s="122">
        <f>'Ethylene Recycling HC'!V163*'Ethylene Recycling HC'!V$45/'Ethylene Recycling LC'!V$45</f>
        <v>8.8023650030480877E-2</v>
      </c>
      <c r="W132" s="122">
        <f>'Ethylene Recycling HC'!W163*'Ethylene Recycling HC'!W$45/'Ethylene Recycling LC'!W$45</f>
        <v>8.8508570230158179E-2</v>
      </c>
      <c r="X132" s="122">
        <f>'Ethylene Recycling HC'!X163*'Ethylene Recycling HC'!X$45/'Ethylene Recycling LC'!X$45</f>
        <v>9.1219427910618642E-2</v>
      </c>
      <c r="Y132" s="122">
        <f>'Ethylene Recycling HC'!Y163*'Ethylene Recycling HC'!Y$45/'Ethylene Recycling LC'!Y$45</f>
        <v>9.3520310489831324E-2</v>
      </c>
      <c r="Z132" s="122">
        <f>'Ethylene Recycling HC'!Z163*'Ethylene Recycling HC'!Z$45/'Ethylene Recycling LC'!Z$45</f>
        <v>9.5406489645447873E-2</v>
      </c>
      <c r="AA132" s="122">
        <f>'Ethylene Recycling HC'!AA163*'Ethylene Recycling HC'!AA$45/'Ethylene Recycling LC'!AA$45</f>
        <v>9.6872961225772325E-2</v>
      </c>
      <c r="AB132" s="122">
        <f>'Ethylene Recycling HC'!AB163*'Ethylene Recycling HC'!AB$45/'Ethylene Recycling LC'!AB$45</f>
        <v>9.791442483876385E-2</v>
      </c>
      <c r="AC132" s="122">
        <f>'Ethylene Recycling HC'!AC163*'Ethylene Recycling HC'!AC$45/'Ethylene Recycling LC'!AC$45</f>
        <v>9.7846038359964749E-2</v>
      </c>
      <c r="AD132" s="122">
        <f>'Ethylene Recycling HC'!AD163*'Ethylene Recycling HC'!AD$45/'Ethylene Recycling LC'!AD$45</f>
        <v>9.7243095998019086E-2</v>
      </c>
      <c r="AE132" s="122">
        <f>'Ethylene Recycling HC'!AE163*'Ethylene Recycling HC'!AE$45/'Ethylene Recycling LC'!AE$45</f>
        <v>9.6092341426820785E-2</v>
      </c>
      <c r="AF132" s="122">
        <f>'Ethylene Recycling HC'!AF163*'Ethylene Recycling HC'!AF$45/'Ethylene Recycling LC'!AF$45</f>
        <v>9.4379498751974128E-2</v>
      </c>
      <c r="AG132" s="122">
        <f>'Ethylene Recycling HC'!AG163*'Ethylene Recycling HC'!AG$45/'Ethylene Recycling LC'!AG$45</f>
        <v>8.9098024599329112E-2</v>
      </c>
      <c r="AH132" s="124"/>
      <c r="AI132" s="126" t="s">
        <v>492</v>
      </c>
      <c r="AJ132" s="198"/>
    </row>
    <row r="133" spans="1:63" outlineLevel="1">
      <c r="A133" t="s">
        <v>531</v>
      </c>
      <c r="B133" s="51" t="s">
        <v>126</v>
      </c>
      <c r="C133" s="122">
        <f>'Ethylene Recycling HC'!C164*'Ethylene Recycling HC'!C$45/'Ethylene Recycling LC'!C$45</f>
        <v>6.1749999999999999E-2</v>
      </c>
      <c r="D133" s="122">
        <f>'Ethylene Recycling HC'!D164*'Ethylene Recycling HC'!D$45/'Ethylene Recycling LC'!D$45</f>
        <v>6.4033625376093667E-2</v>
      </c>
      <c r="E133" s="122">
        <f>'Ethylene Recycling HC'!E164*'Ethylene Recycling HC'!E$45/'Ethylene Recycling LC'!E$45</f>
        <v>6.6272799515326997E-2</v>
      </c>
      <c r="F133" s="122">
        <f>'Ethylene Recycling HC'!F164*'Ethylene Recycling HC'!F$45/'Ethylene Recycling LC'!F$45</f>
        <v>6.8467522417700016E-2</v>
      </c>
      <c r="G133" s="122">
        <f>'Ethylene Recycling HC'!G164*'Ethylene Recycling HC'!G$45/'Ethylene Recycling LC'!G$45</f>
        <v>7.0617794083212698E-2</v>
      </c>
      <c r="H133" s="122">
        <f>'Ethylene Recycling HC'!H164*'Ethylene Recycling HC'!H$45/'Ethylene Recycling LC'!H$45</f>
        <v>7.2723614511865042E-2</v>
      </c>
      <c r="I133" s="122">
        <f>'Ethylene Recycling HC'!I164*'Ethylene Recycling HC'!I$45/'Ethylene Recycling LC'!I$45</f>
        <v>7.3611424211278323E-2</v>
      </c>
      <c r="J133" s="122">
        <f>'Ethylene Recycling HC'!J164*'Ethylene Recycling HC'!J$45/'Ethylene Recycling LC'!J$45</f>
        <v>7.4353053488894857E-2</v>
      </c>
      <c r="K133" s="122">
        <f>'Ethylene Recycling HC'!K164*'Ethylene Recycling HC'!K$45/'Ethylene Recycling LC'!K$45</f>
        <v>7.4945718479676765E-2</v>
      </c>
      <c r="L133" s="122">
        <f>'Ethylene Recycling HC'!L164*'Ethylene Recycling HC'!L$45/'Ethylene Recycling LC'!L$45</f>
        <v>7.5386451943123364E-2</v>
      </c>
      <c r="M133" s="122">
        <f>'Ethylene Recycling HC'!M164*'Ethylene Recycling HC'!M$45/'Ethylene Recycling LC'!M$45</f>
        <v>7.5672087911599725E-2</v>
      </c>
      <c r="N133" s="122">
        <f>'Ethylene Recycling HC'!N164*'Ethylene Recycling HC'!N$45/'Ethylene Recycling LC'!N$45</f>
        <v>7.7875795129590322E-2</v>
      </c>
      <c r="O133" s="122">
        <f>'Ethylene Recycling HC'!O164*'Ethylene Recycling HC'!O$45/'Ethylene Recycling LC'!O$45</f>
        <v>7.9793687233773655E-2</v>
      </c>
      <c r="P133" s="122">
        <f>'Ethylene Recycling HC'!P164*'Ethylene Recycling HC'!P$45/'Ethylene Recycling LC'!P$45</f>
        <v>8.1419611120268687E-2</v>
      </c>
      <c r="Q133" s="122">
        <f>'Ethylene Recycling HC'!Q164*'Ethylene Recycling HC'!Q$45/'Ethylene Recycling LC'!Q$45</f>
        <v>8.2746972008186495E-2</v>
      </c>
      <c r="R133" s="122">
        <f>'Ethylene Recycling HC'!R164*'Ethylene Recycling HC'!R$45/'Ethylene Recycling LC'!R$45</f>
        <v>8.3768693085344376E-2</v>
      </c>
      <c r="S133" s="122">
        <f>'Ethylene Recycling HC'!S164*'Ethylene Recycling HC'!S$45/'Ethylene Recycling LC'!S$45</f>
        <v>8.5174860880272471E-2</v>
      </c>
      <c r="T133" s="122">
        <f>'Ethylene Recycling HC'!T164*'Ethylene Recycling HC'!T$45/'Ethylene Recycling LC'!T$45</f>
        <v>8.6354299573738122E-2</v>
      </c>
      <c r="U133" s="122">
        <f>'Ethylene Recycling HC'!U164*'Ethylene Recycling HC'!U$45/'Ethylene Recycling LC'!U$45</f>
        <v>8.7304705571397689E-2</v>
      </c>
      <c r="V133" s="122">
        <f>'Ethylene Recycling HC'!V164*'Ethylene Recycling HC'!V$45/'Ethylene Recycling LC'!V$45</f>
        <v>8.8023650030480877E-2</v>
      </c>
      <c r="W133" s="122">
        <f>'Ethylene Recycling HC'!W164*'Ethylene Recycling HC'!W$45/'Ethylene Recycling LC'!W$45</f>
        <v>8.8508570230158179E-2</v>
      </c>
      <c r="X133" s="122">
        <f>'Ethylene Recycling HC'!X164*'Ethylene Recycling HC'!X$45/'Ethylene Recycling LC'!X$45</f>
        <v>9.1219427910618642E-2</v>
      </c>
      <c r="Y133" s="122">
        <f>'Ethylene Recycling HC'!Y164*'Ethylene Recycling HC'!Y$45/'Ethylene Recycling LC'!Y$45</f>
        <v>9.3520310489831324E-2</v>
      </c>
      <c r="Z133" s="122">
        <f>'Ethylene Recycling HC'!Z164*'Ethylene Recycling HC'!Z$45/'Ethylene Recycling LC'!Z$45</f>
        <v>9.5406489645447873E-2</v>
      </c>
      <c r="AA133" s="122">
        <f>'Ethylene Recycling HC'!AA164*'Ethylene Recycling HC'!AA$45/'Ethylene Recycling LC'!AA$45</f>
        <v>9.6872961225772325E-2</v>
      </c>
      <c r="AB133" s="122">
        <f>'Ethylene Recycling HC'!AB164*'Ethylene Recycling HC'!AB$45/'Ethylene Recycling LC'!AB$45</f>
        <v>9.791442483876385E-2</v>
      </c>
      <c r="AC133" s="122">
        <f>'Ethylene Recycling HC'!AC164*'Ethylene Recycling HC'!AC$45/'Ethylene Recycling LC'!AC$45</f>
        <v>9.7846038359964749E-2</v>
      </c>
      <c r="AD133" s="122">
        <f>'Ethylene Recycling HC'!AD164*'Ethylene Recycling HC'!AD$45/'Ethylene Recycling LC'!AD$45</f>
        <v>9.7243095998019086E-2</v>
      </c>
      <c r="AE133" s="122">
        <f>'Ethylene Recycling HC'!AE164*'Ethylene Recycling HC'!AE$45/'Ethylene Recycling LC'!AE$45</f>
        <v>9.6092341426820785E-2</v>
      </c>
      <c r="AF133" s="122">
        <f>'Ethylene Recycling HC'!AF164*'Ethylene Recycling HC'!AF$45/'Ethylene Recycling LC'!AF$45</f>
        <v>9.4379498751974128E-2</v>
      </c>
      <c r="AG133" s="122">
        <f>'Ethylene Recycling HC'!AG164*'Ethylene Recycling HC'!AG$45/'Ethylene Recycling LC'!AG$45</f>
        <v>8.9098024599329112E-2</v>
      </c>
      <c r="AI133" s="126" t="s">
        <v>492</v>
      </c>
      <c r="AJ133" s="198"/>
    </row>
    <row r="134" spans="1:63" outlineLevel="1">
      <c r="C134" s="122"/>
      <c r="D134" s="122"/>
      <c r="E134" s="122"/>
      <c r="F134" s="122"/>
      <c r="G134" s="122"/>
      <c r="H134" s="122"/>
      <c r="I134" s="122"/>
      <c r="J134" s="122"/>
      <c r="K134" s="122"/>
      <c r="L134" s="122"/>
      <c r="M134" s="122"/>
      <c r="N134" s="122"/>
      <c r="O134" s="122"/>
      <c r="P134" s="122"/>
      <c r="Q134" s="122"/>
      <c r="R134" s="122"/>
      <c r="S134" s="122"/>
      <c r="T134" s="122"/>
      <c r="U134" s="122"/>
      <c r="V134" s="122"/>
      <c r="W134" s="122"/>
      <c r="X134" s="122"/>
      <c r="Y134" s="122"/>
      <c r="Z134" s="122"/>
      <c r="AA134" s="122"/>
      <c r="AB134" s="122"/>
      <c r="AC134" s="122"/>
      <c r="AD134" s="122"/>
      <c r="AE134" s="122"/>
      <c r="AF134" s="122"/>
      <c r="AG134" s="122"/>
      <c r="AI134" s="127"/>
      <c r="AJ134" s="198"/>
      <c r="BC134" s="1"/>
      <c r="BD134" s="38"/>
      <c r="BF134" s="6"/>
      <c r="BG134" s="6"/>
      <c r="BH134" s="6"/>
      <c r="BI134" s="6"/>
      <c r="BJ134" s="6"/>
    </row>
    <row r="135" spans="1:63" s="1" customFormat="1" outlineLevel="1">
      <c r="A135" s="1" t="s">
        <v>261</v>
      </c>
      <c r="B135" s="61"/>
      <c r="C135" s="606">
        <f>'Ethylene Recycling HC'!C173</f>
        <v>556.37636368058145</v>
      </c>
      <c r="D135" s="606">
        <f>'Ethylene Recycling HC'!D173</f>
        <v>669.39183521967652</v>
      </c>
      <c r="E135" s="606">
        <f>'Ethylene Recycling HC'!E173</f>
        <v>790.01703522814159</v>
      </c>
      <c r="F135" s="606">
        <f>'Ethylene Recycling HC'!F173</f>
        <v>918.25196370597666</v>
      </c>
      <c r="G135" s="606">
        <f>'Ethylene Recycling HC'!G173</f>
        <v>1054.0966206531816</v>
      </c>
      <c r="H135" s="606">
        <f>'Ethylene Recycling HC'!H173</f>
        <v>1197.5510060697566</v>
      </c>
      <c r="I135" s="606">
        <f>'Ethylene Recycling HC'!I173</f>
        <v>1306.9429127490705</v>
      </c>
      <c r="J135" s="606">
        <f>'Ethylene Recycling HC'!J173</f>
        <v>1414.1385044401957</v>
      </c>
      <c r="K135" s="606">
        <f>'Ethylene Recycling HC'!K173</f>
        <v>1518.4323593140218</v>
      </c>
      <c r="L135" s="606">
        <f>'Ethylene Recycling HC'!L173</f>
        <v>1619.1190555414387</v>
      </c>
      <c r="M135" s="606">
        <f>'Ethylene Recycling HC'!M173</f>
        <v>1715.4931712933346</v>
      </c>
      <c r="N135" s="606">
        <f>'Ethylene Recycling HC'!N173</f>
        <v>1856.3486371817778</v>
      </c>
      <c r="O135" s="606">
        <f>'Ethylene Recycling HC'!O173</f>
        <v>1993.1300312021904</v>
      </c>
      <c r="P135" s="606">
        <f>'Ethylene Recycling HC'!P173</f>
        <v>2124.4926429928314</v>
      </c>
      <c r="Q135" s="606">
        <f>'Ethylene Recycling HC'!Q173</f>
        <v>2249.0917621919575</v>
      </c>
      <c r="R135" s="606">
        <f>'Ethylene Recycling HC'!R173</f>
        <v>2365.5826784378278</v>
      </c>
      <c r="S135" s="606">
        <f>'Ethylene Recycling HC'!S173</f>
        <v>2506.707710910367</v>
      </c>
      <c r="T135" s="606">
        <f>'Ethylene Recycling HC'!T173</f>
        <v>2643.1669590705978</v>
      </c>
      <c r="U135" s="606">
        <f>'Ethylene Recycling HC'!U173</f>
        <v>2774.0117275824018</v>
      </c>
      <c r="V135" s="606">
        <f>'Ethylene Recycling HC'!V173</f>
        <v>2898.293321109667</v>
      </c>
      <c r="W135" s="606">
        <f>'Ethylene Recycling HC'!W173</f>
        <v>3015.0630443162754</v>
      </c>
      <c r="X135" s="606">
        <f>'Ethylene Recycling HC'!X173</f>
        <v>3210.0340830935766</v>
      </c>
      <c r="Y135" s="606">
        <f>'Ethylene Recycling HC'!Y173</f>
        <v>3394.8815717480297</v>
      </c>
      <c r="Z135" s="606">
        <f>'Ethylene Recycling HC'!Z173</f>
        <v>3567.9242780384193</v>
      </c>
      <c r="AA135" s="606">
        <f>'Ethylene Recycling HC'!AA173</f>
        <v>3727.4809697235287</v>
      </c>
      <c r="AB135" s="606">
        <f>'Ethylene Recycling HC'!AB173</f>
        <v>3871.8704145621364</v>
      </c>
      <c r="AC135" s="606">
        <f>'Ethylene Recycling HC'!AC173</f>
        <v>3959.5236338338432</v>
      </c>
      <c r="AD135" s="606">
        <f>'Ethylene Recycling HC'!AD173</f>
        <v>4022.3122395029977</v>
      </c>
      <c r="AE135" s="606">
        <f>'Ethylene Recycling HC'!AE173</f>
        <v>4058.2079559758404</v>
      </c>
      <c r="AF135" s="606">
        <f>'Ethylene Recycling HC'!AF173</f>
        <v>4065.1825076586074</v>
      </c>
      <c r="AG135" s="606">
        <f>'Ethylene Recycling HC'!AG173</f>
        <v>4384.6737276211961</v>
      </c>
      <c r="AH135" s="397"/>
      <c r="AI135" s="398"/>
      <c r="AJ135" s="399"/>
      <c r="AL135" s="207"/>
      <c r="AM135" s="118"/>
      <c r="AN135" s="118"/>
      <c r="AO135" s="118"/>
      <c r="BD135" s="118"/>
      <c r="BE135" s="118"/>
      <c r="BF135" s="118"/>
      <c r="BG135" s="118"/>
      <c r="BH135" s="118"/>
      <c r="BI135" s="118"/>
      <c r="BJ135" s="118"/>
      <c r="BK135" s="118"/>
    </row>
    <row r="136" spans="1:63" outlineLevel="1">
      <c r="A136" s="4" t="s">
        <v>141</v>
      </c>
      <c r="C136" s="122">
        <f>'Ethylene Recycling HC'!C174</f>
        <v>0</v>
      </c>
      <c r="D136" s="122">
        <f>'Ethylene Recycling HC'!D174</f>
        <v>0</v>
      </c>
      <c r="E136" s="122">
        <f>'Ethylene Recycling HC'!E174</f>
        <v>0</v>
      </c>
      <c r="F136" s="122">
        <f>'Ethylene Recycling HC'!F174</f>
        <v>0</v>
      </c>
      <c r="G136" s="122">
        <f>'Ethylene Recycling HC'!G174</f>
        <v>0</v>
      </c>
      <c r="H136" s="122">
        <f>'Ethylene Recycling HC'!H174</f>
        <v>0</v>
      </c>
      <c r="I136" s="122">
        <f>'Ethylene Recycling HC'!I174</f>
        <v>0</v>
      </c>
      <c r="J136" s="122">
        <f>'Ethylene Recycling HC'!J174</f>
        <v>0</v>
      </c>
      <c r="K136" s="122">
        <f>'Ethylene Recycling HC'!K174</f>
        <v>0</v>
      </c>
      <c r="L136" s="122">
        <f>'Ethylene Recycling HC'!L174</f>
        <v>0</v>
      </c>
      <c r="M136" s="122">
        <f>'Ethylene Recycling HC'!M174</f>
        <v>0</v>
      </c>
      <c r="N136" s="122">
        <f>'Ethylene Recycling HC'!N174</f>
        <v>0</v>
      </c>
      <c r="O136" s="122">
        <f>'Ethylene Recycling HC'!O174</f>
        <v>0</v>
      </c>
      <c r="P136" s="122">
        <f>'Ethylene Recycling HC'!P174</f>
        <v>0</v>
      </c>
      <c r="Q136" s="122">
        <f>'Ethylene Recycling HC'!Q174</f>
        <v>0</v>
      </c>
      <c r="R136" s="122">
        <f>'Ethylene Recycling HC'!R174</f>
        <v>0</v>
      </c>
      <c r="S136" s="122">
        <f>'Ethylene Recycling HC'!S174</f>
        <v>0</v>
      </c>
      <c r="T136" s="122">
        <f>'Ethylene Recycling HC'!T174</f>
        <v>0</v>
      </c>
      <c r="U136" s="122">
        <f>'Ethylene Recycling HC'!U174</f>
        <v>0</v>
      </c>
      <c r="V136" s="122">
        <f>'Ethylene Recycling HC'!V174</f>
        <v>0</v>
      </c>
      <c r="W136" s="122">
        <f>'Ethylene Recycling HC'!W174</f>
        <v>0</v>
      </c>
      <c r="X136" s="122">
        <f>'Ethylene Recycling HC'!X174</f>
        <v>0</v>
      </c>
      <c r="Y136" s="122">
        <f>'Ethylene Recycling HC'!Y174</f>
        <v>0</v>
      </c>
      <c r="Z136" s="122">
        <f>'Ethylene Recycling HC'!Z174</f>
        <v>0</v>
      </c>
      <c r="AA136" s="122">
        <f>'Ethylene Recycling HC'!AA174</f>
        <v>0</v>
      </c>
      <c r="AB136" s="122">
        <f>'Ethylene Recycling HC'!AB174</f>
        <v>0</v>
      </c>
      <c r="AC136" s="122">
        <f>'Ethylene Recycling HC'!AC174</f>
        <v>0</v>
      </c>
      <c r="AD136" s="122">
        <f>'Ethylene Recycling HC'!AD174</f>
        <v>0</v>
      </c>
      <c r="AE136" s="122">
        <f>'Ethylene Recycling HC'!AE174</f>
        <v>0</v>
      </c>
      <c r="AF136" s="122">
        <f>'Ethylene Recycling HC'!AF174</f>
        <v>0</v>
      </c>
      <c r="AG136" s="122">
        <f>'Ethylene Recycling HC'!AG174</f>
        <v>0</v>
      </c>
      <c r="AH136" s="230"/>
      <c r="AI136" s="126"/>
      <c r="AJ136" s="198"/>
      <c r="AL136" s="102"/>
      <c r="AM136" s="2"/>
      <c r="AN136" s="2"/>
      <c r="AO136" s="2"/>
      <c r="BC136" s="1"/>
      <c r="BD136" s="2"/>
      <c r="BE136" s="2"/>
      <c r="BF136" s="2"/>
      <c r="BG136" s="2"/>
      <c r="BH136" s="2"/>
      <c r="BI136" s="2"/>
      <c r="BJ136" s="2"/>
      <c r="BK136" s="2"/>
    </row>
    <row r="137" spans="1:63" outlineLevel="1">
      <c r="A137" s="4" t="s">
        <v>74</v>
      </c>
      <c r="C137" s="122">
        <f>'Ethylene Recycling HC'!C175</f>
        <v>0</v>
      </c>
      <c r="D137" s="122">
        <f>'Ethylene Recycling HC'!D175</f>
        <v>0</v>
      </c>
      <c r="E137" s="122">
        <f>'Ethylene Recycling HC'!E175</f>
        <v>0</v>
      </c>
      <c r="F137" s="122">
        <f>'Ethylene Recycling HC'!F175</f>
        <v>0</v>
      </c>
      <c r="G137" s="122">
        <f>'Ethylene Recycling HC'!G175</f>
        <v>0</v>
      </c>
      <c r="H137" s="122">
        <f>'Ethylene Recycling HC'!H175</f>
        <v>0</v>
      </c>
      <c r="I137" s="122">
        <f>'Ethylene Recycling HC'!I175</f>
        <v>0</v>
      </c>
      <c r="J137" s="122">
        <f>'Ethylene Recycling HC'!J175</f>
        <v>0</v>
      </c>
      <c r="K137" s="122">
        <f>'Ethylene Recycling HC'!K175</f>
        <v>0</v>
      </c>
      <c r="L137" s="122">
        <f>'Ethylene Recycling HC'!L175</f>
        <v>0</v>
      </c>
      <c r="M137" s="122">
        <f>'Ethylene Recycling HC'!M175</f>
        <v>0</v>
      </c>
      <c r="N137" s="122">
        <f>'Ethylene Recycling HC'!N175</f>
        <v>0</v>
      </c>
      <c r="O137" s="122">
        <f>'Ethylene Recycling HC'!O175</f>
        <v>0</v>
      </c>
      <c r="P137" s="122">
        <f>'Ethylene Recycling HC'!P175</f>
        <v>0</v>
      </c>
      <c r="Q137" s="122">
        <f>'Ethylene Recycling HC'!Q175</f>
        <v>0</v>
      </c>
      <c r="R137" s="122">
        <f>'Ethylene Recycling HC'!R175</f>
        <v>0</v>
      </c>
      <c r="S137" s="122">
        <f>'Ethylene Recycling HC'!S175</f>
        <v>0</v>
      </c>
      <c r="T137" s="122">
        <f>'Ethylene Recycling HC'!T175</f>
        <v>0</v>
      </c>
      <c r="U137" s="122">
        <f>'Ethylene Recycling HC'!U175</f>
        <v>0</v>
      </c>
      <c r="V137" s="122">
        <f>'Ethylene Recycling HC'!V175</f>
        <v>0</v>
      </c>
      <c r="W137" s="122">
        <f>'Ethylene Recycling HC'!W175</f>
        <v>0</v>
      </c>
      <c r="X137" s="122">
        <f>'Ethylene Recycling HC'!X175</f>
        <v>0</v>
      </c>
      <c r="Y137" s="122">
        <f>'Ethylene Recycling HC'!Y175</f>
        <v>0</v>
      </c>
      <c r="Z137" s="122">
        <f>'Ethylene Recycling HC'!Z175</f>
        <v>0</v>
      </c>
      <c r="AA137" s="122">
        <f>'Ethylene Recycling HC'!AA175</f>
        <v>0</v>
      </c>
      <c r="AB137" s="122">
        <f>'Ethylene Recycling HC'!AB175</f>
        <v>0</v>
      </c>
      <c r="AC137" s="122">
        <f>'Ethylene Recycling HC'!AC175</f>
        <v>0</v>
      </c>
      <c r="AD137" s="122">
        <f>'Ethylene Recycling HC'!AD175</f>
        <v>0</v>
      </c>
      <c r="AE137" s="122">
        <f>'Ethylene Recycling HC'!AE175</f>
        <v>0</v>
      </c>
      <c r="AF137" s="122">
        <f>'Ethylene Recycling HC'!AF175</f>
        <v>0</v>
      </c>
      <c r="AG137" s="122">
        <f>'Ethylene Recycling HC'!AG175</f>
        <v>0</v>
      </c>
      <c r="AH137" s="230"/>
      <c r="AI137" s="126"/>
      <c r="AJ137" s="198"/>
      <c r="AL137" s="102"/>
      <c r="AM137" s="2"/>
      <c r="AN137" s="2"/>
      <c r="AO137" s="2"/>
      <c r="BC137" s="1"/>
      <c r="BD137" s="2"/>
      <c r="BE137" s="2"/>
      <c r="BF137" s="2"/>
      <c r="BG137" s="2"/>
      <c r="BH137" s="2"/>
      <c r="BI137" s="2"/>
      <c r="BJ137" s="2"/>
      <c r="BK137" s="2"/>
    </row>
    <row r="138" spans="1:63" outlineLevel="1">
      <c r="A138" s="4" t="s">
        <v>34</v>
      </c>
      <c r="C138" s="122">
        <f>'Ethylene Recycling HC'!C176</f>
        <v>0</v>
      </c>
      <c r="D138" s="122">
        <f>'Ethylene Recycling HC'!D176</f>
        <v>0</v>
      </c>
      <c r="E138" s="122">
        <f>'Ethylene Recycling HC'!E176</f>
        <v>0</v>
      </c>
      <c r="F138" s="122">
        <f>'Ethylene Recycling HC'!F176</f>
        <v>0</v>
      </c>
      <c r="G138" s="122">
        <f>'Ethylene Recycling HC'!G176</f>
        <v>0</v>
      </c>
      <c r="H138" s="122">
        <f>'Ethylene Recycling HC'!H176</f>
        <v>0</v>
      </c>
      <c r="I138" s="122">
        <f>'Ethylene Recycling HC'!I176</f>
        <v>0</v>
      </c>
      <c r="J138" s="122">
        <f>'Ethylene Recycling HC'!J176</f>
        <v>0</v>
      </c>
      <c r="K138" s="122">
        <f>'Ethylene Recycling HC'!K176</f>
        <v>0</v>
      </c>
      <c r="L138" s="122">
        <f>'Ethylene Recycling HC'!L176</f>
        <v>0</v>
      </c>
      <c r="M138" s="122">
        <f>'Ethylene Recycling HC'!M176</f>
        <v>0</v>
      </c>
      <c r="N138" s="122">
        <f>'Ethylene Recycling HC'!N176</f>
        <v>0</v>
      </c>
      <c r="O138" s="122">
        <f>'Ethylene Recycling HC'!O176</f>
        <v>0</v>
      </c>
      <c r="P138" s="122">
        <f>'Ethylene Recycling HC'!P176</f>
        <v>0</v>
      </c>
      <c r="Q138" s="122">
        <f>'Ethylene Recycling HC'!Q176</f>
        <v>0</v>
      </c>
      <c r="R138" s="122">
        <f>'Ethylene Recycling HC'!R176</f>
        <v>0</v>
      </c>
      <c r="S138" s="122">
        <f>'Ethylene Recycling HC'!S176</f>
        <v>0</v>
      </c>
      <c r="T138" s="122">
        <f>'Ethylene Recycling HC'!T176</f>
        <v>0</v>
      </c>
      <c r="U138" s="122">
        <f>'Ethylene Recycling HC'!U176</f>
        <v>0</v>
      </c>
      <c r="V138" s="122">
        <f>'Ethylene Recycling HC'!V176</f>
        <v>0</v>
      </c>
      <c r="W138" s="122">
        <f>'Ethylene Recycling HC'!W176</f>
        <v>0</v>
      </c>
      <c r="X138" s="122">
        <f>'Ethylene Recycling HC'!X176</f>
        <v>0</v>
      </c>
      <c r="Y138" s="122">
        <f>'Ethylene Recycling HC'!Y176</f>
        <v>0</v>
      </c>
      <c r="Z138" s="122">
        <f>'Ethylene Recycling HC'!Z176</f>
        <v>0</v>
      </c>
      <c r="AA138" s="122">
        <f>'Ethylene Recycling HC'!AA176</f>
        <v>0</v>
      </c>
      <c r="AB138" s="122">
        <f>'Ethylene Recycling HC'!AB176</f>
        <v>0</v>
      </c>
      <c r="AC138" s="122">
        <f>'Ethylene Recycling HC'!AC176</f>
        <v>0</v>
      </c>
      <c r="AD138" s="122">
        <f>'Ethylene Recycling HC'!AD176</f>
        <v>0</v>
      </c>
      <c r="AE138" s="122">
        <f>'Ethylene Recycling HC'!AE176</f>
        <v>0</v>
      </c>
      <c r="AF138" s="122">
        <f>'Ethylene Recycling HC'!AF176</f>
        <v>0</v>
      </c>
      <c r="AG138" s="122">
        <f>'Ethylene Recycling HC'!AG176</f>
        <v>0</v>
      </c>
      <c r="AH138" s="230"/>
      <c r="AI138" s="126"/>
      <c r="AJ138" s="198"/>
      <c r="AL138" s="102"/>
      <c r="AM138" s="2"/>
      <c r="AN138" s="2"/>
      <c r="AO138" s="2"/>
      <c r="BC138" s="1"/>
      <c r="BD138" s="2"/>
      <c r="BE138" s="2"/>
      <c r="BF138" s="2"/>
      <c r="BG138" s="2"/>
      <c r="BH138" s="2"/>
      <c r="BI138" s="2"/>
      <c r="BJ138" s="2"/>
      <c r="BK138" s="2"/>
    </row>
    <row r="139" spans="1:63" outlineLevel="1">
      <c r="A139" s="4" t="s">
        <v>35</v>
      </c>
      <c r="C139" s="122">
        <f>'Ethylene Recycling HC'!C177</f>
        <v>556.32105161066499</v>
      </c>
      <c r="D139" s="122">
        <f>'Ethylene Recycling HC'!D177</f>
        <v>669.32528773418255</v>
      </c>
      <c r="E139" s="122">
        <f>'Ethylene Recycling HC'!E177</f>
        <v>789.93849580709445</v>
      </c>
      <c r="F139" s="122">
        <f>'Ethylene Recycling HC'!F177</f>
        <v>918.1606758294007</v>
      </c>
      <c r="G139" s="122">
        <f>'Ethylene Recycling HC'!G177</f>
        <v>1053.991827801101</v>
      </c>
      <c r="H139" s="122">
        <f>'Ethylene Recycling HC'!H177</f>
        <v>1197.4319517221957</v>
      </c>
      <c r="I139" s="122">
        <f>'Ethylene Recycling HC'!I177</f>
        <v>1306.8129832220707</v>
      </c>
      <c r="J139" s="122">
        <f>'Ethylene Recycling HC'!J177</f>
        <v>1413.997918080071</v>
      </c>
      <c r="K139" s="122">
        <f>'Ethylene Recycling HC'!K177</f>
        <v>1518.2814045964881</v>
      </c>
      <c r="L139" s="122">
        <f>'Ethylene Recycling HC'!L177</f>
        <v>1618.9580910716134</v>
      </c>
      <c r="M139" s="122">
        <f>'Ethylene Recycling HC'!M177</f>
        <v>1715.3226258057368</v>
      </c>
      <c r="N139" s="122">
        <f>'Ethylene Recycling HC'!N177</f>
        <v>1856.1640885698814</v>
      </c>
      <c r="O139" s="122">
        <f>'Ethylene Recycling HC'!O177</f>
        <v>1992.9318844892186</v>
      </c>
      <c r="P139" s="122">
        <f>'Ethylene Recycling HC'!P177</f>
        <v>2124.2814368861791</v>
      </c>
      <c r="Q139" s="122">
        <f>'Ethylene Recycling HC'!Q177</f>
        <v>2248.8681690831922</v>
      </c>
      <c r="R139" s="122">
        <f>'Ethylene Recycling HC'!R177</f>
        <v>2365.3475044026882</v>
      </c>
      <c r="S139" s="122">
        <f>'Ethylene Recycling HC'!S177</f>
        <v>2506.458506952009</v>
      </c>
      <c r="T139" s="122">
        <f>'Ethylene Recycling HC'!T177</f>
        <v>2642.904189037245</v>
      </c>
      <c r="U139" s="122">
        <f>'Ethylene Recycling HC'!U177</f>
        <v>2773.735949636678</v>
      </c>
      <c r="V139" s="122">
        <f>'Ethylene Recycling HC'!V177</f>
        <v>2898.005187728595</v>
      </c>
      <c r="W139" s="122">
        <f>'Ethylene Recycling HC'!W177</f>
        <v>3014.7633022912787</v>
      </c>
      <c r="X139" s="122">
        <f>'Ethylene Recycling HC'!X177</f>
        <v>3209.7149580529945</v>
      </c>
      <c r="Y139" s="122">
        <f>'Ethylene Recycling HC'!Y177</f>
        <v>3394.5440701230282</v>
      </c>
      <c r="Z139" s="122">
        <f>'Ethylene Recycling HC'!Z177</f>
        <v>3567.5695733996058</v>
      </c>
      <c r="AA139" s="122">
        <f>'Ethylene Recycling HC'!AA177</f>
        <v>3727.1104027809542</v>
      </c>
      <c r="AB139" s="122">
        <f>'Ethylene Recycling HC'!AB177</f>
        <v>3871.4854931652944</v>
      </c>
      <c r="AC139" s="122">
        <f>'Ethylene Recycling HC'!AC177</f>
        <v>3959.1299984057996</v>
      </c>
      <c r="AD139" s="122">
        <f>'Ethylene Recycling HC'!AD177</f>
        <v>4021.9123619554584</v>
      </c>
      <c r="AE139" s="122">
        <f>'Ethylene Recycling HC'!AE177</f>
        <v>4057.8045098612147</v>
      </c>
      <c r="AF139" s="122">
        <f>'Ethylene Recycling HC'!AF177</f>
        <v>4064.7783681700075</v>
      </c>
      <c r="AG139" s="122">
        <f>'Ethylene Recycling HC'!AG177</f>
        <v>4384.2378259625084</v>
      </c>
      <c r="AH139" s="230"/>
      <c r="AI139" s="126"/>
      <c r="AJ139" s="198"/>
      <c r="AL139" s="102"/>
      <c r="AM139" s="2"/>
      <c r="AN139" s="2"/>
      <c r="AO139" s="2"/>
      <c r="BC139" s="1"/>
      <c r="BD139" s="2"/>
      <c r="BE139" s="2"/>
      <c r="BF139" s="2"/>
      <c r="BG139" s="2"/>
      <c r="BH139" s="2"/>
      <c r="BI139" s="2"/>
      <c r="BJ139" s="2"/>
      <c r="BK139" s="2"/>
    </row>
    <row r="140" spans="1:63" outlineLevel="1">
      <c r="A140" s="4" t="s">
        <v>27</v>
      </c>
      <c r="C140" s="122">
        <f>'Ethylene Recycling HC'!C178</f>
        <v>5.5312069916467407E-2</v>
      </c>
      <c r="D140" s="122">
        <f>'Ethylene Recycling HC'!D178</f>
        <v>6.6547485493901534E-2</v>
      </c>
      <c r="E140" s="122">
        <f>'Ethylene Recycling HC'!E178</f>
        <v>7.8539421047056218E-2</v>
      </c>
      <c r="F140" s="122">
        <f>'Ethylene Recycling HC'!F178</f>
        <v>9.1287876575931459E-2</v>
      </c>
      <c r="G140" s="122">
        <f>'Ethylene Recycling HC'!G178</f>
        <v>0.10479285208052724</v>
      </c>
      <c r="H140" s="122">
        <f>'Ethylene Recycling HC'!H178</f>
        <v>0.1190543475608436</v>
      </c>
      <c r="I140" s="122">
        <f>'Ethylene Recycling HC'!I178</f>
        <v>0.1299295269996589</v>
      </c>
      <c r="J140" s="122">
        <f>'Ethylene Recycling HC'!J178</f>
        <v>0.14058636012451214</v>
      </c>
      <c r="K140" s="122">
        <f>'Ethylene Recycling HC'!K178</f>
        <v>0.15095471753365403</v>
      </c>
      <c r="L140" s="122">
        <f>'Ethylene Recycling HC'!L178</f>
        <v>0.1609644698253353</v>
      </c>
      <c r="M140" s="122">
        <f>'Ethylene Recycling HC'!M178</f>
        <v>0.17054548759780658</v>
      </c>
      <c r="N140" s="122">
        <f>'Ethylene Recycling HC'!N178</f>
        <v>0.1845486118962554</v>
      </c>
      <c r="O140" s="122">
        <f>'Ethylene Recycling HC'!O178</f>
        <v>0.19814671297172171</v>
      </c>
      <c r="P140" s="122">
        <f>'Ethylene Recycling HC'!P178</f>
        <v>0.21120610665212095</v>
      </c>
      <c r="Q140" s="122">
        <f>'Ethylene Recycling HC'!Q178</f>
        <v>0.22359310876536845</v>
      </c>
      <c r="R140" s="122">
        <f>'Ethylene Recycling HC'!R178</f>
        <v>0.23517403513937971</v>
      </c>
      <c r="S140" s="122">
        <f>'Ethylene Recycling HC'!S178</f>
        <v>0.24920395835798403</v>
      </c>
      <c r="T140" s="122">
        <f>'Ethylene Recycling HC'!T178</f>
        <v>0.26277003335271637</v>
      </c>
      <c r="U140" s="122">
        <f>'Ethylene Recycling HC'!U178</f>
        <v>0.27577794572385345</v>
      </c>
      <c r="V140" s="122">
        <f>'Ethylene Recycling HC'!V178</f>
        <v>0.28813338107167252</v>
      </c>
      <c r="W140" s="122">
        <f>'Ethylene Recycling HC'!W178</f>
        <v>0.2997420249964502</v>
      </c>
      <c r="X140" s="122">
        <f>'Ethylene Recycling HC'!X178</f>
        <v>0.3191250405817917</v>
      </c>
      <c r="Y140" s="122">
        <f>'Ethylene Recycling HC'!Y178</f>
        <v>0.3375016250015575</v>
      </c>
      <c r="Z140" s="122">
        <f>'Ethylene Recycling HC'!Z178</f>
        <v>0.35470463881320052</v>
      </c>
      <c r="AA140" s="122">
        <f>'Ethylene Recycling HC'!AA178</f>
        <v>0.37056694257417361</v>
      </c>
      <c r="AB140" s="122">
        <f>'Ethylene Recycling HC'!AB178</f>
        <v>0.38492139684192905</v>
      </c>
      <c r="AC140" s="122">
        <f>'Ethylene Recycling HC'!AC178</f>
        <v>0.39363542804319612</v>
      </c>
      <c r="AD140" s="122">
        <f>'Ethylene Recycling HC'!AD178</f>
        <v>0.39987754753899057</v>
      </c>
      <c r="AE140" s="122">
        <f>'Ethylene Recycling HC'!AE178</f>
        <v>0.40344611462568913</v>
      </c>
      <c r="AF140" s="122">
        <f>'Ethylene Recycling HC'!AF178</f>
        <v>0.4041394885996682</v>
      </c>
      <c r="AG140" s="122">
        <f>'Ethylene Recycling HC'!AG178</f>
        <v>0.43590165868785269</v>
      </c>
      <c r="AH140" s="230"/>
      <c r="AI140" s="126"/>
      <c r="AJ140" s="198"/>
      <c r="AL140" s="102"/>
      <c r="AM140" s="2"/>
      <c r="AN140" s="2"/>
      <c r="AO140" s="2"/>
      <c r="BC140" s="1"/>
      <c r="BD140" s="2"/>
      <c r="BE140" s="2"/>
      <c r="BF140" s="2"/>
      <c r="BG140" s="2"/>
      <c r="BH140" s="2"/>
      <c r="BI140" s="2"/>
      <c r="BJ140" s="2"/>
      <c r="BK140" s="2"/>
    </row>
    <row r="141" spans="1:63" s="1" customFormat="1" outlineLevel="1">
      <c r="A141" s="1" t="s">
        <v>829</v>
      </c>
      <c r="B141" s="61"/>
      <c r="C141" s="606">
        <f>'Ethylene Recycling HC'!C179</f>
        <v>5285.575454965523</v>
      </c>
      <c r="D141" s="606">
        <f>'Ethylene Recycling HC'!D179</f>
        <v>5481.0454830823992</v>
      </c>
      <c r="E141" s="606">
        <f>'Ethylene Recycling HC'!E179</f>
        <v>5672.7106469645887</v>
      </c>
      <c r="F141" s="606">
        <f>'Ethylene Recycling HC'!F179</f>
        <v>5860.5709466120952</v>
      </c>
      <c r="G141" s="606">
        <f>'Ethylene Recycling HC'!G179</f>
        <v>6044.626382024916</v>
      </c>
      <c r="H141" s="606">
        <f>'Ethylene Recycling HC'!H179</f>
        <v>6224.8769532030501</v>
      </c>
      <c r="I141" s="606">
        <f>'Ethylene Recycling HC'!I179</f>
        <v>6203.521789947974</v>
      </c>
      <c r="J141" s="606">
        <f>'Ethylene Recycling HC'!J179</f>
        <v>6167.6925583788116</v>
      </c>
      <c r="K141" s="606">
        <f>'Ethylene Recycling HC'!K179</f>
        <v>6117.7419694101163</v>
      </c>
      <c r="L141" s="606">
        <f>'Ethylene Recycling HC'!L179</f>
        <v>6054.0227339564472</v>
      </c>
      <c r="M141" s="606">
        <f>'Ethylene Recycling HC'!M179</f>
        <v>5976.8875629323556</v>
      </c>
      <c r="N141" s="606">
        <f>'Ethylene Recycling HC'!N179</f>
        <v>6047.9573506378883</v>
      </c>
      <c r="O141" s="606">
        <f>'Ethylene Recycling HC'!O179</f>
        <v>6091.3796188305914</v>
      </c>
      <c r="P141" s="606">
        <f>'Ethylene Recycling HC'!P179</f>
        <v>6107.8267226913367</v>
      </c>
      <c r="Q141" s="606">
        <f>'Ethylene Recycling HC'!Q179</f>
        <v>6097.9710174009942</v>
      </c>
      <c r="R141" s="606">
        <f>'Ethylene Recycling HC'!R179</f>
        <v>6062.4848581404358</v>
      </c>
      <c r="S141" s="606">
        <f>'Ethylene Recycling HC'!S179</f>
        <v>6084.7834715657964</v>
      </c>
      <c r="T141" s="606">
        <f>'Ethylene Recycling HC'!T179</f>
        <v>6088.4724752463035</v>
      </c>
      <c r="U141" s="606">
        <f>'Ethylene Recycling HC'!U179</f>
        <v>6074.0262168500094</v>
      </c>
      <c r="V141" s="606">
        <f>'Ethylene Recycling HC'!V179</f>
        <v>6041.9190440449775</v>
      </c>
      <c r="W141" s="606">
        <f>'Ethylene Recycling HC'!W179</f>
        <v>5992.6253044992627</v>
      </c>
      <c r="X141" s="606">
        <f>'Ethylene Recycling HC'!X179</f>
        <v>6091.0608368842268</v>
      </c>
      <c r="Y141" s="606">
        <f>'Ethylene Recycling HC'!Y179</f>
        <v>6157.4448498224911</v>
      </c>
      <c r="Z141" s="606">
        <f>'Ethylene Recycling HC'!Z179</f>
        <v>6192.6179594346677</v>
      </c>
      <c r="AA141" s="606">
        <f>'Ethylene Recycling HC'!AA179</f>
        <v>6197.420781841367</v>
      </c>
      <c r="AB141" s="606">
        <f>'Ethylene Recycling HC'!AB179</f>
        <v>6172.6939331631957</v>
      </c>
      <c r="AC141" s="606">
        <f>'Ethylene Recycling HC'!AC179</f>
        <v>6058.2479959816637</v>
      </c>
      <c r="AD141" s="606">
        <f>'Ethylene Recycling HC'!AD179</f>
        <v>5911.4600699333487</v>
      </c>
      <c r="AE141" s="606">
        <f>'Ethylene Recycling HC'!AE179</f>
        <v>5733.3442928151399</v>
      </c>
      <c r="AF141" s="606">
        <f>'Ethylene Recycling HC'!AF179</f>
        <v>5524.9148024239166</v>
      </c>
      <c r="AG141" s="606">
        <f>'Ethylene Recycling HC'!AG179</f>
        <v>5115.452682224729</v>
      </c>
      <c r="AH141" s="397"/>
      <c r="AI141" s="398"/>
      <c r="AJ141" s="399"/>
      <c r="AL141" s="207"/>
      <c r="AM141" s="118"/>
      <c r="AN141" s="118"/>
      <c r="AO141" s="118"/>
      <c r="BD141" s="118"/>
      <c r="BE141" s="118"/>
      <c r="BF141" s="118"/>
      <c r="BG141" s="118"/>
      <c r="BH141" s="118"/>
      <c r="BI141" s="118"/>
      <c r="BJ141" s="118"/>
      <c r="BK141" s="118"/>
    </row>
    <row r="142" spans="1:63" outlineLevel="1">
      <c r="A142" s="4" t="s">
        <v>141</v>
      </c>
      <c r="C142" s="122">
        <f>'Ethylene Recycling HC'!C180</f>
        <v>0</v>
      </c>
      <c r="D142" s="122">
        <f>'Ethylene Recycling HC'!D180</f>
        <v>0</v>
      </c>
      <c r="E142" s="122">
        <f>'Ethylene Recycling HC'!E180</f>
        <v>0</v>
      </c>
      <c r="F142" s="122">
        <f>'Ethylene Recycling HC'!F180</f>
        <v>0</v>
      </c>
      <c r="G142" s="122">
        <f>'Ethylene Recycling HC'!G180</f>
        <v>0</v>
      </c>
      <c r="H142" s="122">
        <f>'Ethylene Recycling HC'!H180</f>
        <v>0</v>
      </c>
      <c r="I142" s="122">
        <f>'Ethylene Recycling HC'!I180</f>
        <v>0</v>
      </c>
      <c r="J142" s="122">
        <f>'Ethylene Recycling HC'!J180</f>
        <v>0</v>
      </c>
      <c r="K142" s="122">
        <f>'Ethylene Recycling HC'!K180</f>
        <v>0</v>
      </c>
      <c r="L142" s="122">
        <f>'Ethylene Recycling HC'!L180</f>
        <v>0</v>
      </c>
      <c r="M142" s="122">
        <f>'Ethylene Recycling HC'!M180</f>
        <v>0</v>
      </c>
      <c r="N142" s="122">
        <f>'Ethylene Recycling HC'!N180</f>
        <v>0</v>
      </c>
      <c r="O142" s="122">
        <f>'Ethylene Recycling HC'!O180</f>
        <v>0</v>
      </c>
      <c r="P142" s="122">
        <f>'Ethylene Recycling HC'!P180</f>
        <v>0</v>
      </c>
      <c r="Q142" s="122">
        <f>'Ethylene Recycling HC'!Q180</f>
        <v>0</v>
      </c>
      <c r="R142" s="122">
        <f>'Ethylene Recycling HC'!R180</f>
        <v>0</v>
      </c>
      <c r="S142" s="122">
        <f>'Ethylene Recycling HC'!S180</f>
        <v>0</v>
      </c>
      <c r="T142" s="122">
        <f>'Ethylene Recycling HC'!T180</f>
        <v>0</v>
      </c>
      <c r="U142" s="122">
        <f>'Ethylene Recycling HC'!U180</f>
        <v>0</v>
      </c>
      <c r="V142" s="122">
        <f>'Ethylene Recycling HC'!V180</f>
        <v>0</v>
      </c>
      <c r="W142" s="122">
        <f>'Ethylene Recycling HC'!W180</f>
        <v>0</v>
      </c>
      <c r="X142" s="122">
        <f>'Ethylene Recycling HC'!X180</f>
        <v>0</v>
      </c>
      <c r="Y142" s="122">
        <f>'Ethylene Recycling HC'!Y180</f>
        <v>0</v>
      </c>
      <c r="Z142" s="122">
        <f>'Ethylene Recycling HC'!Z180</f>
        <v>0</v>
      </c>
      <c r="AA142" s="122">
        <f>'Ethylene Recycling HC'!AA180</f>
        <v>0</v>
      </c>
      <c r="AB142" s="122">
        <f>'Ethylene Recycling HC'!AB180</f>
        <v>0</v>
      </c>
      <c r="AC142" s="122">
        <f>'Ethylene Recycling HC'!AC180</f>
        <v>0</v>
      </c>
      <c r="AD142" s="122">
        <f>'Ethylene Recycling HC'!AD180</f>
        <v>0</v>
      </c>
      <c r="AE142" s="122">
        <f>'Ethylene Recycling HC'!AE180</f>
        <v>0</v>
      </c>
      <c r="AF142" s="122">
        <f>'Ethylene Recycling HC'!AF180</f>
        <v>0</v>
      </c>
      <c r="AG142" s="122">
        <f>'Ethylene Recycling HC'!AG180</f>
        <v>0</v>
      </c>
      <c r="AH142" s="230"/>
      <c r="AI142" s="126"/>
      <c r="AJ142" s="198"/>
      <c r="AL142" s="102"/>
      <c r="AM142" s="2"/>
      <c r="AN142" s="2"/>
      <c r="AO142" s="2"/>
      <c r="BC142" s="1"/>
      <c r="BD142" s="2"/>
      <c r="BE142" s="2"/>
      <c r="BF142" s="2"/>
      <c r="BG142" s="2"/>
      <c r="BH142" s="2"/>
      <c r="BI142" s="2"/>
      <c r="BJ142" s="2"/>
      <c r="BK142" s="2"/>
    </row>
    <row r="143" spans="1:63" outlineLevel="1">
      <c r="A143" s="4" t="s">
        <v>74</v>
      </c>
      <c r="C143" s="122">
        <f>'Ethylene Recycling HC'!C181</f>
        <v>0</v>
      </c>
      <c r="D143" s="122">
        <f>'Ethylene Recycling HC'!D181</f>
        <v>0</v>
      </c>
      <c r="E143" s="122">
        <f>'Ethylene Recycling HC'!E181</f>
        <v>0</v>
      </c>
      <c r="F143" s="122">
        <f>'Ethylene Recycling HC'!F181</f>
        <v>0</v>
      </c>
      <c r="G143" s="122">
        <f>'Ethylene Recycling HC'!G181</f>
        <v>0</v>
      </c>
      <c r="H143" s="122">
        <f>'Ethylene Recycling HC'!H181</f>
        <v>0</v>
      </c>
      <c r="I143" s="122">
        <f>'Ethylene Recycling HC'!I181</f>
        <v>0</v>
      </c>
      <c r="J143" s="122">
        <f>'Ethylene Recycling HC'!J181</f>
        <v>0</v>
      </c>
      <c r="K143" s="122">
        <f>'Ethylene Recycling HC'!K181</f>
        <v>0</v>
      </c>
      <c r="L143" s="122">
        <f>'Ethylene Recycling HC'!L181</f>
        <v>0</v>
      </c>
      <c r="M143" s="122">
        <f>'Ethylene Recycling HC'!M181</f>
        <v>0</v>
      </c>
      <c r="N143" s="122">
        <f>'Ethylene Recycling HC'!N181</f>
        <v>0</v>
      </c>
      <c r="O143" s="122">
        <f>'Ethylene Recycling HC'!O181</f>
        <v>0</v>
      </c>
      <c r="P143" s="122">
        <f>'Ethylene Recycling HC'!P181</f>
        <v>0</v>
      </c>
      <c r="Q143" s="122">
        <f>'Ethylene Recycling HC'!Q181</f>
        <v>0</v>
      </c>
      <c r="R143" s="122">
        <f>'Ethylene Recycling HC'!R181</f>
        <v>0</v>
      </c>
      <c r="S143" s="122">
        <f>'Ethylene Recycling HC'!S181</f>
        <v>0</v>
      </c>
      <c r="T143" s="122">
        <f>'Ethylene Recycling HC'!T181</f>
        <v>0</v>
      </c>
      <c r="U143" s="122">
        <f>'Ethylene Recycling HC'!U181</f>
        <v>0</v>
      </c>
      <c r="V143" s="122">
        <f>'Ethylene Recycling HC'!V181</f>
        <v>0</v>
      </c>
      <c r="W143" s="122">
        <f>'Ethylene Recycling HC'!W181</f>
        <v>0</v>
      </c>
      <c r="X143" s="122">
        <f>'Ethylene Recycling HC'!X181</f>
        <v>0</v>
      </c>
      <c r="Y143" s="122">
        <f>'Ethylene Recycling HC'!Y181</f>
        <v>0</v>
      </c>
      <c r="Z143" s="122">
        <f>'Ethylene Recycling HC'!Z181</f>
        <v>0</v>
      </c>
      <c r="AA143" s="122">
        <f>'Ethylene Recycling HC'!AA181</f>
        <v>0</v>
      </c>
      <c r="AB143" s="122">
        <f>'Ethylene Recycling HC'!AB181</f>
        <v>0</v>
      </c>
      <c r="AC143" s="122">
        <f>'Ethylene Recycling HC'!AC181</f>
        <v>0</v>
      </c>
      <c r="AD143" s="122">
        <f>'Ethylene Recycling HC'!AD181</f>
        <v>0</v>
      </c>
      <c r="AE143" s="122">
        <f>'Ethylene Recycling HC'!AE181</f>
        <v>0</v>
      </c>
      <c r="AF143" s="122">
        <f>'Ethylene Recycling HC'!AF181</f>
        <v>0</v>
      </c>
      <c r="AG143" s="122">
        <f>'Ethylene Recycling HC'!AG181</f>
        <v>0</v>
      </c>
      <c r="AH143" s="230"/>
      <c r="AI143" s="126"/>
      <c r="AJ143" s="198"/>
      <c r="AL143" s="102"/>
      <c r="AM143" s="2"/>
      <c r="AN143" s="2"/>
      <c r="AO143" s="2"/>
      <c r="BC143" s="1"/>
      <c r="BD143" s="2"/>
      <c r="BE143" s="2"/>
      <c r="BF143" s="2"/>
      <c r="BG143" s="2"/>
      <c r="BH143" s="2"/>
      <c r="BI143" s="2"/>
      <c r="BJ143" s="2"/>
      <c r="BK143" s="2"/>
    </row>
    <row r="144" spans="1:63" outlineLevel="1">
      <c r="A144" s="4" t="s">
        <v>34</v>
      </c>
      <c r="C144" s="122">
        <f>'Ethylene Recycling HC'!C182</f>
        <v>0</v>
      </c>
      <c r="D144" s="122">
        <f>'Ethylene Recycling HC'!D182</f>
        <v>0</v>
      </c>
      <c r="E144" s="122">
        <f>'Ethylene Recycling HC'!E182</f>
        <v>0</v>
      </c>
      <c r="F144" s="122">
        <f>'Ethylene Recycling HC'!F182</f>
        <v>0</v>
      </c>
      <c r="G144" s="122">
        <f>'Ethylene Recycling HC'!G182</f>
        <v>0</v>
      </c>
      <c r="H144" s="122">
        <f>'Ethylene Recycling HC'!H182</f>
        <v>0</v>
      </c>
      <c r="I144" s="122">
        <f>'Ethylene Recycling HC'!I182</f>
        <v>0</v>
      </c>
      <c r="J144" s="122">
        <f>'Ethylene Recycling HC'!J182</f>
        <v>0</v>
      </c>
      <c r="K144" s="122">
        <f>'Ethylene Recycling HC'!K182</f>
        <v>0</v>
      </c>
      <c r="L144" s="122">
        <f>'Ethylene Recycling HC'!L182</f>
        <v>0</v>
      </c>
      <c r="M144" s="122">
        <f>'Ethylene Recycling HC'!M182</f>
        <v>0</v>
      </c>
      <c r="N144" s="122">
        <f>'Ethylene Recycling HC'!N182</f>
        <v>0</v>
      </c>
      <c r="O144" s="122">
        <f>'Ethylene Recycling HC'!O182</f>
        <v>0</v>
      </c>
      <c r="P144" s="122">
        <f>'Ethylene Recycling HC'!P182</f>
        <v>0</v>
      </c>
      <c r="Q144" s="122">
        <f>'Ethylene Recycling HC'!Q182</f>
        <v>0</v>
      </c>
      <c r="R144" s="122">
        <f>'Ethylene Recycling HC'!R182</f>
        <v>0</v>
      </c>
      <c r="S144" s="122">
        <f>'Ethylene Recycling HC'!S182</f>
        <v>0</v>
      </c>
      <c r="T144" s="122">
        <f>'Ethylene Recycling HC'!T182</f>
        <v>0</v>
      </c>
      <c r="U144" s="122">
        <f>'Ethylene Recycling HC'!U182</f>
        <v>0</v>
      </c>
      <c r="V144" s="122">
        <f>'Ethylene Recycling HC'!V182</f>
        <v>0</v>
      </c>
      <c r="W144" s="122">
        <f>'Ethylene Recycling HC'!W182</f>
        <v>0</v>
      </c>
      <c r="X144" s="122">
        <f>'Ethylene Recycling HC'!X182</f>
        <v>0</v>
      </c>
      <c r="Y144" s="122">
        <f>'Ethylene Recycling HC'!Y182</f>
        <v>0</v>
      </c>
      <c r="Z144" s="122">
        <f>'Ethylene Recycling HC'!Z182</f>
        <v>0</v>
      </c>
      <c r="AA144" s="122">
        <f>'Ethylene Recycling HC'!AA182</f>
        <v>0</v>
      </c>
      <c r="AB144" s="122">
        <f>'Ethylene Recycling HC'!AB182</f>
        <v>0</v>
      </c>
      <c r="AC144" s="122">
        <f>'Ethylene Recycling HC'!AC182</f>
        <v>0</v>
      </c>
      <c r="AD144" s="122">
        <f>'Ethylene Recycling HC'!AD182</f>
        <v>0</v>
      </c>
      <c r="AE144" s="122">
        <f>'Ethylene Recycling HC'!AE182</f>
        <v>0</v>
      </c>
      <c r="AF144" s="122">
        <f>'Ethylene Recycling HC'!AF182</f>
        <v>0</v>
      </c>
      <c r="AG144" s="122">
        <f>'Ethylene Recycling HC'!AG182</f>
        <v>0</v>
      </c>
      <c r="AH144" s="230"/>
      <c r="AI144" s="126"/>
      <c r="AJ144" s="198"/>
      <c r="AL144" s="102"/>
      <c r="AM144" s="2"/>
      <c r="AN144" s="2"/>
      <c r="AO144" s="2"/>
      <c r="BC144" s="1"/>
      <c r="BD144" s="2"/>
      <c r="BE144" s="2"/>
      <c r="BF144" s="2"/>
      <c r="BG144" s="2"/>
      <c r="BH144" s="2"/>
      <c r="BI144" s="2"/>
      <c r="BJ144" s="2"/>
      <c r="BK144" s="2"/>
    </row>
    <row r="145" spans="1:63" outlineLevel="1">
      <c r="A145" s="4" t="s">
        <v>35</v>
      </c>
      <c r="C145" s="122">
        <f>'Ethylene Recycling HC'!C183</f>
        <v>5285.049990301316</v>
      </c>
      <c r="D145" s="122">
        <f>'Ethylene Recycling HC'!D183</f>
        <v>5480.5005857956594</v>
      </c>
      <c r="E145" s="122">
        <f>'Ethylene Recycling HC'!E183</f>
        <v>5672.1466953153031</v>
      </c>
      <c r="F145" s="122">
        <f>'Ethylene Recycling HC'!F183</f>
        <v>5859.9883188602525</v>
      </c>
      <c r="G145" s="122">
        <f>'Ethylene Recycling HC'!G183</f>
        <v>6044.0254564305042</v>
      </c>
      <c r="H145" s="122">
        <f>'Ethylene Recycling HC'!H183</f>
        <v>6224.2581080260561</v>
      </c>
      <c r="I145" s="122">
        <f>'Ethylene Recycling HC'!I183</f>
        <v>6202.9050677912237</v>
      </c>
      <c r="J145" s="122">
        <f>'Ethylene Recycling HC'!J183</f>
        <v>6167.0793981795614</v>
      </c>
      <c r="K145" s="122">
        <f>'Ethylene Recycling HC'!K183</f>
        <v>6117.133775040922</v>
      </c>
      <c r="L145" s="122">
        <f>'Ethylene Recycling HC'!L183</f>
        <v>6053.4208742251649</v>
      </c>
      <c r="M145" s="122">
        <f>'Ethylene Recycling HC'!M183</f>
        <v>5976.2933715821391</v>
      </c>
      <c r="N145" s="122">
        <f>'Ethylene Recycling HC'!N183</f>
        <v>6047.356093895748</v>
      </c>
      <c r="O145" s="122">
        <f>'Ethylene Recycling HC'!O183</f>
        <v>6090.774045270392</v>
      </c>
      <c r="P145" s="122">
        <f>'Ethylene Recycling HC'!P183</f>
        <v>6107.2195140448575</v>
      </c>
      <c r="Q145" s="122">
        <f>'Ethylene Recycling HC'!Q183</f>
        <v>6097.3647885579285</v>
      </c>
      <c r="R145" s="122">
        <f>'Ethylene Recycling HC'!R183</f>
        <v>6061.8821571483895</v>
      </c>
      <c r="S145" s="122">
        <f>'Ethylene Recycling HC'!S183</f>
        <v>6084.1785537605547</v>
      </c>
      <c r="T145" s="122">
        <f>'Ethylene Recycling HC'!T183</f>
        <v>6087.8671906993332</v>
      </c>
      <c r="U145" s="122">
        <f>'Ethylene Recycling HC'!U183</f>
        <v>6073.4223684755771</v>
      </c>
      <c r="V145" s="122">
        <f>'Ethylene Recycling HC'!V183</f>
        <v>6041.3183876001503</v>
      </c>
      <c r="W145" s="122">
        <f>'Ethylene Recycling HC'!W183</f>
        <v>5992.0295485839088</v>
      </c>
      <c r="X145" s="122">
        <f>'Ethylene Recycling HC'!X183</f>
        <v>6090.4552950156858</v>
      </c>
      <c r="Y145" s="122">
        <f>'Ethylene Recycling HC'!Y183</f>
        <v>6156.8327083975973</v>
      </c>
      <c r="Z145" s="122">
        <f>'Ethylene Recycling HC'!Z183</f>
        <v>6192.0023212805363</v>
      </c>
      <c r="AA145" s="122">
        <f>'Ethylene Recycling HC'!AA183</f>
        <v>6196.8046662153911</v>
      </c>
      <c r="AB145" s="122">
        <f>'Ethylene Recycling HC'!AB183</f>
        <v>6172.0802757530464</v>
      </c>
      <c r="AC145" s="122">
        <f>'Ethylene Recycling HC'!AC183</f>
        <v>6057.6457161966127</v>
      </c>
      <c r="AD145" s="122">
        <f>'Ethylene Recycling HC'!AD183</f>
        <v>5910.8723830472027</v>
      </c>
      <c r="AE145" s="122">
        <f>'Ethylene Recycling HC'!AE183</f>
        <v>5732.7743132813548</v>
      </c>
      <c r="AF145" s="122">
        <f>'Ethylene Recycling HC'!AF183</f>
        <v>5524.3655438755977</v>
      </c>
      <c r="AG145" s="122">
        <f>'Ethylene Recycling HC'!AG183</f>
        <v>5114.944130289593</v>
      </c>
      <c r="AH145" s="230"/>
      <c r="AI145" s="126"/>
      <c r="AJ145" s="198"/>
      <c r="AL145" s="102"/>
      <c r="AM145" s="2"/>
      <c r="AN145" s="2"/>
      <c r="AO145" s="2"/>
      <c r="BC145" s="1"/>
      <c r="BD145" s="2"/>
      <c r="BE145" s="2"/>
      <c r="BF145" s="2"/>
      <c r="BG145" s="2"/>
      <c r="BH145" s="2"/>
      <c r="BI145" s="2"/>
      <c r="BJ145" s="2"/>
      <c r="BK145" s="2"/>
    </row>
    <row r="146" spans="1:63" outlineLevel="1">
      <c r="A146" s="4" t="s">
        <v>27</v>
      </c>
      <c r="C146" s="122">
        <f>'Ethylene Recycling HC'!C184</f>
        <v>0.52546466420644034</v>
      </c>
      <c r="D146" s="122">
        <f>'Ethylene Recycling HC'!D184</f>
        <v>0.54489728673959603</v>
      </c>
      <c r="E146" s="122">
        <f>'Ethylene Recycling HC'!E184</f>
        <v>0.56395164928489128</v>
      </c>
      <c r="F146" s="122">
        <f>'Ethylene Recycling HC'!F184</f>
        <v>0.58262775184232651</v>
      </c>
      <c r="G146" s="122">
        <f>'Ethylene Recycling HC'!G184</f>
        <v>0.6009255944119013</v>
      </c>
      <c r="H146" s="122">
        <f>'Ethylene Recycling HC'!H184</f>
        <v>0.61884517699361574</v>
      </c>
      <c r="I146" s="122">
        <f>'Ethylene Recycling HC'!I184</f>
        <v>0.61672215675021713</v>
      </c>
      <c r="J146" s="122">
        <f>'Ethylene Recycling HC'!J184</f>
        <v>0.61316019924990794</v>
      </c>
      <c r="K146" s="122">
        <f>'Ethylene Recycling HC'!K184</f>
        <v>0.60819436919356251</v>
      </c>
      <c r="L146" s="122">
        <f>'Ethylene Recycling HC'!L184</f>
        <v>0.60185973128205594</v>
      </c>
      <c r="M146" s="122">
        <f>'Ethylene Recycling HC'!M184</f>
        <v>0.59419135021626246</v>
      </c>
      <c r="N146" s="122">
        <f>'Ethylene Recycling HC'!N184</f>
        <v>0.60125674214001734</v>
      </c>
      <c r="O146" s="122">
        <f>'Ethylene Recycling HC'!O184</f>
        <v>0.60557356019878239</v>
      </c>
      <c r="P146" s="122">
        <f>'Ethylene Recycling HC'!P184</f>
        <v>0.60720864647860007</v>
      </c>
      <c r="Q146" s="122">
        <f>'Ethylene Recycling HC'!Q184</f>
        <v>0.60622884306551239</v>
      </c>
      <c r="R146" s="122">
        <f>'Ethylene Recycling HC'!R184</f>
        <v>0.60270099204556193</v>
      </c>
      <c r="S146" s="122">
        <f>'Ethylene Recycling HC'!S184</f>
        <v>0.60491780524133587</v>
      </c>
      <c r="T146" s="122">
        <f>'Ethylene Recycling HC'!T184</f>
        <v>0.60528454697016931</v>
      </c>
      <c r="U146" s="122">
        <f>'Ethylene Recycling HC'!U184</f>
        <v>0.60384837443192341</v>
      </c>
      <c r="V146" s="122">
        <f>'Ethylene Recycling HC'!V184</f>
        <v>0.60065644482646019</v>
      </c>
      <c r="W146" s="122">
        <f>'Ethylene Recycling HC'!W184</f>
        <v>0.59575591535364092</v>
      </c>
      <c r="X146" s="122">
        <f>'Ethylene Recycling HC'!X184</f>
        <v>0.60554186854101899</v>
      </c>
      <c r="Y146" s="122">
        <f>'Ethylene Recycling HC'!Y184</f>
        <v>0.61214142489292211</v>
      </c>
      <c r="Z146" s="122">
        <f>'Ethylene Recycling HC'!Z184</f>
        <v>0.61563815413062428</v>
      </c>
      <c r="AA146" s="122">
        <f>'Ethylene Recycling HC'!AA184</f>
        <v>0.61611562597539915</v>
      </c>
      <c r="AB146" s="122">
        <f>'Ethylene Recycling HC'!AB184</f>
        <v>0.61365741014852027</v>
      </c>
      <c r="AC146" s="122">
        <f>'Ethylene Recycling HC'!AC184</f>
        <v>0.6022797850510696</v>
      </c>
      <c r="AD146" s="122">
        <f>'Ethylene Recycling HC'!AD184</f>
        <v>0.58768688614579034</v>
      </c>
      <c r="AE146" s="122">
        <f>'Ethylene Recycling HC'!AE184</f>
        <v>0.56997953378449495</v>
      </c>
      <c r="AF146" s="122">
        <f>'Ethylene Recycling HC'!AF184</f>
        <v>0.54925854831899501</v>
      </c>
      <c r="AG146" s="122">
        <f>'Ethylene Recycling HC'!AG184</f>
        <v>0.50855193513582808</v>
      </c>
      <c r="AH146" s="230"/>
      <c r="AI146" s="126"/>
      <c r="AJ146" s="198"/>
      <c r="AL146" s="102"/>
      <c r="AM146" s="2"/>
      <c r="AN146" s="2"/>
      <c r="AO146" s="2"/>
      <c r="BC146" s="1"/>
      <c r="BD146" s="2"/>
      <c r="BE146" s="2"/>
      <c r="BF146" s="2"/>
      <c r="BG146" s="2"/>
      <c r="BH146" s="2"/>
      <c r="BI146" s="2"/>
      <c r="BJ146" s="2"/>
      <c r="BK146" s="2"/>
    </row>
    <row r="147" spans="1:63" s="1" customFormat="1" outlineLevel="1">
      <c r="A147" s="1" t="s">
        <v>830</v>
      </c>
      <c r="B147" s="61"/>
      <c r="C147" s="606">
        <f>'Ethylene Recycling HC'!C185</f>
        <v>5285.575454965523</v>
      </c>
      <c r="D147" s="606">
        <f>'Ethylene Recycling HC'!D185</f>
        <v>5481.0454830823992</v>
      </c>
      <c r="E147" s="606">
        <f>'Ethylene Recycling HC'!E185</f>
        <v>5672.7106469645887</v>
      </c>
      <c r="F147" s="606">
        <f>'Ethylene Recycling HC'!F185</f>
        <v>5860.5709466120952</v>
      </c>
      <c r="G147" s="606">
        <f>'Ethylene Recycling HC'!G185</f>
        <v>6044.626382024916</v>
      </c>
      <c r="H147" s="606">
        <f>'Ethylene Recycling HC'!H185</f>
        <v>6224.8769532030501</v>
      </c>
      <c r="I147" s="606">
        <f>'Ethylene Recycling HC'!I185</f>
        <v>6203.521789947974</v>
      </c>
      <c r="J147" s="606">
        <f>'Ethylene Recycling HC'!J185</f>
        <v>6167.6925583788116</v>
      </c>
      <c r="K147" s="606">
        <f>'Ethylene Recycling HC'!K185</f>
        <v>6117.7419694101163</v>
      </c>
      <c r="L147" s="606">
        <f>'Ethylene Recycling HC'!L185</f>
        <v>6054.0227339564472</v>
      </c>
      <c r="M147" s="606">
        <f>'Ethylene Recycling HC'!M185</f>
        <v>5976.8875629323556</v>
      </c>
      <c r="N147" s="606">
        <f>'Ethylene Recycling HC'!N185</f>
        <v>6047.9573506378883</v>
      </c>
      <c r="O147" s="606">
        <f>'Ethylene Recycling HC'!O185</f>
        <v>6091.3796188305914</v>
      </c>
      <c r="P147" s="606">
        <f>'Ethylene Recycling HC'!P185</f>
        <v>6107.8267226913367</v>
      </c>
      <c r="Q147" s="606">
        <f>'Ethylene Recycling HC'!Q185</f>
        <v>6097.9710174009942</v>
      </c>
      <c r="R147" s="606">
        <f>'Ethylene Recycling HC'!R185</f>
        <v>6062.4848581404358</v>
      </c>
      <c r="S147" s="606">
        <f>'Ethylene Recycling HC'!S185</f>
        <v>6084.7834715657964</v>
      </c>
      <c r="T147" s="606">
        <f>'Ethylene Recycling HC'!T185</f>
        <v>6088.4724752463035</v>
      </c>
      <c r="U147" s="606">
        <f>'Ethylene Recycling HC'!U185</f>
        <v>6074.0262168500094</v>
      </c>
      <c r="V147" s="606">
        <f>'Ethylene Recycling HC'!V185</f>
        <v>6041.9190440449775</v>
      </c>
      <c r="W147" s="606">
        <f>'Ethylene Recycling HC'!W185</f>
        <v>5992.6253044992627</v>
      </c>
      <c r="X147" s="606">
        <f>'Ethylene Recycling HC'!X185</f>
        <v>6091.0608368842268</v>
      </c>
      <c r="Y147" s="606">
        <f>'Ethylene Recycling HC'!Y185</f>
        <v>6157.4448498224911</v>
      </c>
      <c r="Z147" s="606">
        <f>'Ethylene Recycling HC'!Z185</f>
        <v>6192.6179594346677</v>
      </c>
      <c r="AA147" s="606">
        <f>'Ethylene Recycling HC'!AA185</f>
        <v>6197.420781841367</v>
      </c>
      <c r="AB147" s="606">
        <f>'Ethylene Recycling HC'!AB185</f>
        <v>6172.6939331631957</v>
      </c>
      <c r="AC147" s="606">
        <f>'Ethylene Recycling HC'!AC185</f>
        <v>6058.2479959816637</v>
      </c>
      <c r="AD147" s="606">
        <f>'Ethylene Recycling HC'!AD185</f>
        <v>5911.4600699333487</v>
      </c>
      <c r="AE147" s="606">
        <f>'Ethylene Recycling HC'!AE185</f>
        <v>5733.3442928151399</v>
      </c>
      <c r="AF147" s="606">
        <f>'Ethylene Recycling HC'!AF185</f>
        <v>5524.9148024239166</v>
      </c>
      <c r="AG147" s="606">
        <f>'Ethylene Recycling HC'!AG185</f>
        <v>5115.452682224729</v>
      </c>
      <c r="AH147" s="397"/>
      <c r="AI147" s="398"/>
      <c r="AJ147" s="399"/>
      <c r="AL147" s="207"/>
      <c r="AM147" s="118"/>
      <c r="AN147" s="118"/>
      <c r="AO147" s="118"/>
      <c r="BD147" s="118"/>
      <c r="BE147" s="118"/>
      <c r="BF147" s="118"/>
      <c r="BG147" s="118"/>
      <c r="BH147" s="118"/>
      <c r="BI147" s="118"/>
      <c r="BJ147" s="118"/>
      <c r="BK147" s="118"/>
    </row>
    <row r="148" spans="1:63" outlineLevel="1">
      <c r="A148" s="4" t="s">
        <v>141</v>
      </c>
      <c r="C148" s="122">
        <f>'Ethylene Recycling HC'!C186</f>
        <v>0</v>
      </c>
      <c r="D148" s="122">
        <f>'Ethylene Recycling HC'!D186</f>
        <v>0</v>
      </c>
      <c r="E148" s="122">
        <f>'Ethylene Recycling HC'!E186</f>
        <v>0</v>
      </c>
      <c r="F148" s="122">
        <f>'Ethylene Recycling HC'!F186</f>
        <v>0</v>
      </c>
      <c r="G148" s="122">
        <f>'Ethylene Recycling HC'!G186</f>
        <v>0</v>
      </c>
      <c r="H148" s="122">
        <f>'Ethylene Recycling HC'!H186</f>
        <v>0</v>
      </c>
      <c r="I148" s="122">
        <f>'Ethylene Recycling HC'!I186</f>
        <v>0</v>
      </c>
      <c r="J148" s="122">
        <f>'Ethylene Recycling HC'!J186</f>
        <v>0</v>
      </c>
      <c r="K148" s="122">
        <f>'Ethylene Recycling HC'!K186</f>
        <v>0</v>
      </c>
      <c r="L148" s="122">
        <f>'Ethylene Recycling HC'!L186</f>
        <v>0</v>
      </c>
      <c r="M148" s="122">
        <f>'Ethylene Recycling HC'!M186</f>
        <v>0</v>
      </c>
      <c r="N148" s="122">
        <f>'Ethylene Recycling HC'!N186</f>
        <v>0</v>
      </c>
      <c r="O148" s="122">
        <f>'Ethylene Recycling HC'!O186</f>
        <v>0</v>
      </c>
      <c r="P148" s="122">
        <f>'Ethylene Recycling HC'!P186</f>
        <v>0</v>
      </c>
      <c r="Q148" s="122">
        <f>'Ethylene Recycling HC'!Q186</f>
        <v>0</v>
      </c>
      <c r="R148" s="122">
        <f>'Ethylene Recycling HC'!R186</f>
        <v>0</v>
      </c>
      <c r="S148" s="122">
        <f>'Ethylene Recycling HC'!S186</f>
        <v>0</v>
      </c>
      <c r="T148" s="122">
        <f>'Ethylene Recycling HC'!T186</f>
        <v>0</v>
      </c>
      <c r="U148" s="122">
        <f>'Ethylene Recycling HC'!U186</f>
        <v>0</v>
      </c>
      <c r="V148" s="122">
        <f>'Ethylene Recycling HC'!V186</f>
        <v>0</v>
      </c>
      <c r="W148" s="122">
        <f>'Ethylene Recycling HC'!W186</f>
        <v>0</v>
      </c>
      <c r="X148" s="122">
        <f>'Ethylene Recycling HC'!X186</f>
        <v>0</v>
      </c>
      <c r="Y148" s="122">
        <f>'Ethylene Recycling HC'!Y186</f>
        <v>0</v>
      </c>
      <c r="Z148" s="122">
        <f>'Ethylene Recycling HC'!Z186</f>
        <v>0</v>
      </c>
      <c r="AA148" s="122">
        <f>'Ethylene Recycling HC'!AA186</f>
        <v>0</v>
      </c>
      <c r="AB148" s="122">
        <f>'Ethylene Recycling HC'!AB186</f>
        <v>0</v>
      </c>
      <c r="AC148" s="122">
        <f>'Ethylene Recycling HC'!AC186</f>
        <v>0</v>
      </c>
      <c r="AD148" s="122">
        <f>'Ethylene Recycling HC'!AD186</f>
        <v>0</v>
      </c>
      <c r="AE148" s="122">
        <f>'Ethylene Recycling HC'!AE186</f>
        <v>0</v>
      </c>
      <c r="AF148" s="122">
        <f>'Ethylene Recycling HC'!AF186</f>
        <v>0</v>
      </c>
      <c r="AG148" s="122">
        <f>'Ethylene Recycling HC'!AG186</f>
        <v>0</v>
      </c>
      <c r="AH148" s="230"/>
      <c r="AI148" s="126"/>
      <c r="AJ148" s="198"/>
      <c r="AL148" s="102"/>
      <c r="AM148" s="2"/>
      <c r="AN148" s="2"/>
      <c r="AO148" s="2"/>
      <c r="BC148" s="1"/>
      <c r="BD148" s="2"/>
      <c r="BE148" s="2"/>
      <c r="BF148" s="2"/>
      <c r="BG148" s="2"/>
      <c r="BH148" s="2"/>
      <c r="BI148" s="2"/>
      <c r="BJ148" s="2"/>
      <c r="BK148" s="2"/>
    </row>
    <row r="149" spans="1:63" outlineLevel="1">
      <c r="A149" s="4" t="s">
        <v>74</v>
      </c>
      <c r="C149" s="122">
        <f>'Ethylene Recycling HC'!C187</f>
        <v>0</v>
      </c>
      <c r="D149" s="122">
        <f>'Ethylene Recycling HC'!D187</f>
        <v>0</v>
      </c>
      <c r="E149" s="122">
        <f>'Ethylene Recycling HC'!E187</f>
        <v>0</v>
      </c>
      <c r="F149" s="122">
        <f>'Ethylene Recycling HC'!F187</f>
        <v>0</v>
      </c>
      <c r="G149" s="122">
        <f>'Ethylene Recycling HC'!G187</f>
        <v>0</v>
      </c>
      <c r="H149" s="122">
        <f>'Ethylene Recycling HC'!H187</f>
        <v>0</v>
      </c>
      <c r="I149" s="122">
        <f>'Ethylene Recycling HC'!I187</f>
        <v>0</v>
      </c>
      <c r="J149" s="122">
        <f>'Ethylene Recycling HC'!J187</f>
        <v>0</v>
      </c>
      <c r="K149" s="122">
        <f>'Ethylene Recycling HC'!K187</f>
        <v>0</v>
      </c>
      <c r="L149" s="122">
        <f>'Ethylene Recycling HC'!L187</f>
        <v>0</v>
      </c>
      <c r="M149" s="122">
        <f>'Ethylene Recycling HC'!M187</f>
        <v>0</v>
      </c>
      <c r="N149" s="122">
        <f>'Ethylene Recycling HC'!N187</f>
        <v>0</v>
      </c>
      <c r="O149" s="122">
        <f>'Ethylene Recycling HC'!O187</f>
        <v>0</v>
      </c>
      <c r="P149" s="122">
        <f>'Ethylene Recycling HC'!P187</f>
        <v>0</v>
      </c>
      <c r="Q149" s="122">
        <f>'Ethylene Recycling HC'!Q187</f>
        <v>0</v>
      </c>
      <c r="R149" s="122">
        <f>'Ethylene Recycling HC'!R187</f>
        <v>0</v>
      </c>
      <c r="S149" s="122">
        <f>'Ethylene Recycling HC'!S187</f>
        <v>0</v>
      </c>
      <c r="T149" s="122">
        <f>'Ethylene Recycling HC'!T187</f>
        <v>0</v>
      </c>
      <c r="U149" s="122">
        <f>'Ethylene Recycling HC'!U187</f>
        <v>0</v>
      </c>
      <c r="V149" s="122">
        <f>'Ethylene Recycling HC'!V187</f>
        <v>0</v>
      </c>
      <c r="W149" s="122">
        <f>'Ethylene Recycling HC'!W187</f>
        <v>0</v>
      </c>
      <c r="X149" s="122">
        <f>'Ethylene Recycling HC'!X187</f>
        <v>0</v>
      </c>
      <c r="Y149" s="122">
        <f>'Ethylene Recycling HC'!Y187</f>
        <v>0</v>
      </c>
      <c r="Z149" s="122">
        <f>'Ethylene Recycling HC'!Z187</f>
        <v>0</v>
      </c>
      <c r="AA149" s="122">
        <f>'Ethylene Recycling HC'!AA187</f>
        <v>0</v>
      </c>
      <c r="AB149" s="122">
        <f>'Ethylene Recycling HC'!AB187</f>
        <v>0</v>
      </c>
      <c r="AC149" s="122">
        <f>'Ethylene Recycling HC'!AC187</f>
        <v>0</v>
      </c>
      <c r="AD149" s="122">
        <f>'Ethylene Recycling HC'!AD187</f>
        <v>0</v>
      </c>
      <c r="AE149" s="122">
        <f>'Ethylene Recycling HC'!AE187</f>
        <v>0</v>
      </c>
      <c r="AF149" s="122">
        <f>'Ethylene Recycling HC'!AF187</f>
        <v>0</v>
      </c>
      <c r="AG149" s="122">
        <f>'Ethylene Recycling HC'!AG187</f>
        <v>0</v>
      </c>
      <c r="AH149" s="230"/>
      <c r="AI149" s="126"/>
      <c r="AJ149" s="198"/>
      <c r="AL149" s="102"/>
      <c r="AM149" s="2"/>
      <c r="AN149" s="2"/>
      <c r="AO149" s="2"/>
      <c r="BC149" s="1"/>
      <c r="BD149" s="2"/>
      <c r="BE149" s="2"/>
      <c r="BF149" s="2"/>
      <c r="BG149" s="2"/>
      <c r="BH149" s="2"/>
      <c r="BI149" s="2"/>
      <c r="BJ149" s="2"/>
      <c r="BK149" s="2"/>
    </row>
    <row r="150" spans="1:63" outlineLevel="1">
      <c r="A150" s="4" t="s">
        <v>34</v>
      </c>
      <c r="C150" s="122">
        <f>'Ethylene Recycling HC'!C188</f>
        <v>0</v>
      </c>
      <c r="D150" s="122">
        <f>'Ethylene Recycling HC'!D188</f>
        <v>0</v>
      </c>
      <c r="E150" s="122">
        <f>'Ethylene Recycling HC'!E188</f>
        <v>0</v>
      </c>
      <c r="F150" s="122">
        <f>'Ethylene Recycling HC'!F188</f>
        <v>0</v>
      </c>
      <c r="G150" s="122">
        <f>'Ethylene Recycling HC'!G188</f>
        <v>0</v>
      </c>
      <c r="H150" s="122">
        <f>'Ethylene Recycling HC'!H188</f>
        <v>0</v>
      </c>
      <c r="I150" s="122">
        <f>'Ethylene Recycling HC'!I188</f>
        <v>0</v>
      </c>
      <c r="J150" s="122">
        <f>'Ethylene Recycling HC'!J188</f>
        <v>0</v>
      </c>
      <c r="K150" s="122">
        <f>'Ethylene Recycling HC'!K188</f>
        <v>0</v>
      </c>
      <c r="L150" s="122">
        <f>'Ethylene Recycling HC'!L188</f>
        <v>0</v>
      </c>
      <c r="M150" s="122">
        <f>'Ethylene Recycling HC'!M188</f>
        <v>0</v>
      </c>
      <c r="N150" s="122">
        <f>'Ethylene Recycling HC'!N188</f>
        <v>0</v>
      </c>
      <c r="O150" s="122">
        <f>'Ethylene Recycling HC'!O188</f>
        <v>0</v>
      </c>
      <c r="P150" s="122">
        <f>'Ethylene Recycling HC'!P188</f>
        <v>0</v>
      </c>
      <c r="Q150" s="122">
        <f>'Ethylene Recycling HC'!Q188</f>
        <v>0</v>
      </c>
      <c r="R150" s="122">
        <f>'Ethylene Recycling HC'!R188</f>
        <v>0</v>
      </c>
      <c r="S150" s="122">
        <f>'Ethylene Recycling HC'!S188</f>
        <v>0</v>
      </c>
      <c r="T150" s="122">
        <f>'Ethylene Recycling HC'!T188</f>
        <v>0</v>
      </c>
      <c r="U150" s="122">
        <f>'Ethylene Recycling HC'!U188</f>
        <v>0</v>
      </c>
      <c r="V150" s="122">
        <f>'Ethylene Recycling HC'!V188</f>
        <v>0</v>
      </c>
      <c r="W150" s="122">
        <f>'Ethylene Recycling HC'!W188</f>
        <v>0</v>
      </c>
      <c r="X150" s="122">
        <f>'Ethylene Recycling HC'!X188</f>
        <v>0</v>
      </c>
      <c r="Y150" s="122">
        <f>'Ethylene Recycling HC'!Y188</f>
        <v>0</v>
      </c>
      <c r="Z150" s="122">
        <f>'Ethylene Recycling HC'!Z188</f>
        <v>0</v>
      </c>
      <c r="AA150" s="122">
        <f>'Ethylene Recycling HC'!AA188</f>
        <v>0</v>
      </c>
      <c r="AB150" s="122">
        <f>'Ethylene Recycling HC'!AB188</f>
        <v>0</v>
      </c>
      <c r="AC150" s="122">
        <f>'Ethylene Recycling HC'!AC188</f>
        <v>0</v>
      </c>
      <c r="AD150" s="122">
        <f>'Ethylene Recycling HC'!AD188</f>
        <v>0</v>
      </c>
      <c r="AE150" s="122">
        <f>'Ethylene Recycling HC'!AE188</f>
        <v>0</v>
      </c>
      <c r="AF150" s="122">
        <f>'Ethylene Recycling HC'!AF188</f>
        <v>0</v>
      </c>
      <c r="AG150" s="122">
        <f>'Ethylene Recycling HC'!AG188</f>
        <v>0</v>
      </c>
      <c r="AH150" s="230"/>
      <c r="AI150" s="126"/>
      <c r="AJ150" s="198"/>
      <c r="AL150" s="102"/>
      <c r="AM150" s="2"/>
      <c r="AN150" s="2"/>
      <c r="AO150" s="2"/>
      <c r="BC150" s="1"/>
      <c r="BD150" s="2"/>
      <c r="BE150" s="2"/>
      <c r="BF150" s="2"/>
      <c r="BG150" s="2"/>
      <c r="BH150" s="2"/>
      <c r="BI150" s="2"/>
      <c r="BJ150" s="2"/>
      <c r="BK150" s="2"/>
    </row>
    <row r="151" spans="1:63" outlineLevel="1">
      <c r="A151" s="4" t="s">
        <v>35</v>
      </c>
      <c r="C151" s="122">
        <f>'Ethylene Recycling HC'!C189</f>
        <v>5285.049990301316</v>
      </c>
      <c r="D151" s="122">
        <f>'Ethylene Recycling HC'!D189</f>
        <v>5480.5005857956594</v>
      </c>
      <c r="E151" s="122">
        <f>'Ethylene Recycling HC'!E189</f>
        <v>5672.1466953153031</v>
      </c>
      <c r="F151" s="122">
        <f>'Ethylene Recycling HC'!F189</f>
        <v>5859.9883188602525</v>
      </c>
      <c r="G151" s="122">
        <f>'Ethylene Recycling HC'!G189</f>
        <v>6044.0254564305042</v>
      </c>
      <c r="H151" s="122">
        <f>'Ethylene Recycling HC'!H189</f>
        <v>6224.2581080260561</v>
      </c>
      <c r="I151" s="122">
        <f>'Ethylene Recycling HC'!I189</f>
        <v>6202.9050677912237</v>
      </c>
      <c r="J151" s="122">
        <f>'Ethylene Recycling HC'!J189</f>
        <v>6167.0793981795614</v>
      </c>
      <c r="K151" s="122">
        <f>'Ethylene Recycling HC'!K189</f>
        <v>6117.133775040922</v>
      </c>
      <c r="L151" s="122">
        <f>'Ethylene Recycling HC'!L189</f>
        <v>6053.4208742251649</v>
      </c>
      <c r="M151" s="122">
        <f>'Ethylene Recycling HC'!M189</f>
        <v>5976.2933715821391</v>
      </c>
      <c r="N151" s="122">
        <f>'Ethylene Recycling HC'!N189</f>
        <v>6047.356093895748</v>
      </c>
      <c r="O151" s="122">
        <f>'Ethylene Recycling HC'!O189</f>
        <v>6090.774045270392</v>
      </c>
      <c r="P151" s="122">
        <f>'Ethylene Recycling HC'!P189</f>
        <v>6107.2195140448575</v>
      </c>
      <c r="Q151" s="122">
        <f>'Ethylene Recycling HC'!Q189</f>
        <v>6097.3647885579285</v>
      </c>
      <c r="R151" s="122">
        <f>'Ethylene Recycling HC'!R189</f>
        <v>6061.8821571483895</v>
      </c>
      <c r="S151" s="122">
        <f>'Ethylene Recycling HC'!S189</f>
        <v>6084.1785537605547</v>
      </c>
      <c r="T151" s="122">
        <f>'Ethylene Recycling HC'!T189</f>
        <v>6087.8671906993332</v>
      </c>
      <c r="U151" s="122">
        <f>'Ethylene Recycling HC'!U189</f>
        <v>6073.4223684755771</v>
      </c>
      <c r="V151" s="122">
        <f>'Ethylene Recycling HC'!V189</f>
        <v>6041.3183876001503</v>
      </c>
      <c r="W151" s="122">
        <f>'Ethylene Recycling HC'!W189</f>
        <v>5992.0295485839088</v>
      </c>
      <c r="X151" s="122">
        <f>'Ethylene Recycling HC'!X189</f>
        <v>6090.4552950156858</v>
      </c>
      <c r="Y151" s="122">
        <f>'Ethylene Recycling HC'!Y189</f>
        <v>6156.8327083975973</v>
      </c>
      <c r="Z151" s="122">
        <f>'Ethylene Recycling HC'!Z189</f>
        <v>6192.0023212805363</v>
      </c>
      <c r="AA151" s="122">
        <f>'Ethylene Recycling HC'!AA189</f>
        <v>6196.8046662153911</v>
      </c>
      <c r="AB151" s="122">
        <f>'Ethylene Recycling HC'!AB189</f>
        <v>6172.0802757530464</v>
      </c>
      <c r="AC151" s="122">
        <f>'Ethylene Recycling HC'!AC189</f>
        <v>6057.6457161966127</v>
      </c>
      <c r="AD151" s="122">
        <f>'Ethylene Recycling HC'!AD189</f>
        <v>5910.8723830472027</v>
      </c>
      <c r="AE151" s="122">
        <f>'Ethylene Recycling HC'!AE189</f>
        <v>5732.7743132813548</v>
      </c>
      <c r="AF151" s="122">
        <f>'Ethylene Recycling HC'!AF189</f>
        <v>5524.3655438755977</v>
      </c>
      <c r="AG151" s="122">
        <f>'Ethylene Recycling HC'!AG189</f>
        <v>5114.944130289593</v>
      </c>
      <c r="AH151" s="230"/>
      <c r="AI151" s="126"/>
      <c r="AJ151" s="198"/>
      <c r="AL151" s="102"/>
      <c r="AM151" s="2"/>
      <c r="AN151" s="2"/>
      <c r="AO151" s="2"/>
      <c r="BC151" s="1"/>
      <c r="BD151" s="2"/>
      <c r="BE151" s="2"/>
      <c r="BF151" s="2"/>
      <c r="BG151" s="2"/>
      <c r="BH151" s="2"/>
      <c r="BI151" s="2"/>
      <c r="BJ151" s="2"/>
      <c r="BK151" s="2"/>
    </row>
    <row r="152" spans="1:63" outlineLevel="1">
      <c r="A152" s="4" t="s">
        <v>27</v>
      </c>
      <c r="C152" s="122">
        <f>'Ethylene Recycling HC'!C190</f>
        <v>0.52546466420644034</v>
      </c>
      <c r="D152" s="122">
        <f>'Ethylene Recycling HC'!D190</f>
        <v>0.54489728673959603</v>
      </c>
      <c r="E152" s="122">
        <f>'Ethylene Recycling HC'!E190</f>
        <v>0.56395164928489128</v>
      </c>
      <c r="F152" s="122">
        <f>'Ethylene Recycling HC'!F190</f>
        <v>0.58262775184232651</v>
      </c>
      <c r="G152" s="122">
        <f>'Ethylene Recycling HC'!G190</f>
        <v>0.6009255944119013</v>
      </c>
      <c r="H152" s="122">
        <f>'Ethylene Recycling HC'!H190</f>
        <v>0.61884517699361574</v>
      </c>
      <c r="I152" s="122">
        <f>'Ethylene Recycling HC'!I190</f>
        <v>0.61672215675021713</v>
      </c>
      <c r="J152" s="122">
        <f>'Ethylene Recycling HC'!J190</f>
        <v>0.61316019924990794</v>
      </c>
      <c r="K152" s="122">
        <f>'Ethylene Recycling HC'!K190</f>
        <v>0.60819436919356251</v>
      </c>
      <c r="L152" s="122">
        <f>'Ethylene Recycling HC'!L190</f>
        <v>0.60185973128205594</v>
      </c>
      <c r="M152" s="122">
        <f>'Ethylene Recycling HC'!M190</f>
        <v>0.59419135021626246</v>
      </c>
      <c r="N152" s="122">
        <f>'Ethylene Recycling HC'!N190</f>
        <v>0.60125674214001734</v>
      </c>
      <c r="O152" s="122">
        <f>'Ethylene Recycling HC'!O190</f>
        <v>0.60557356019878239</v>
      </c>
      <c r="P152" s="122">
        <f>'Ethylene Recycling HC'!P190</f>
        <v>0.60720864647860007</v>
      </c>
      <c r="Q152" s="122">
        <f>'Ethylene Recycling HC'!Q190</f>
        <v>0.60622884306551239</v>
      </c>
      <c r="R152" s="122">
        <f>'Ethylene Recycling HC'!R190</f>
        <v>0.60270099204556193</v>
      </c>
      <c r="S152" s="122">
        <f>'Ethylene Recycling HC'!S190</f>
        <v>0.60491780524133587</v>
      </c>
      <c r="T152" s="122">
        <f>'Ethylene Recycling HC'!T190</f>
        <v>0.60528454697016931</v>
      </c>
      <c r="U152" s="122">
        <f>'Ethylene Recycling HC'!U190</f>
        <v>0.60384837443192341</v>
      </c>
      <c r="V152" s="122">
        <f>'Ethylene Recycling HC'!V190</f>
        <v>0.60065644482646019</v>
      </c>
      <c r="W152" s="122">
        <f>'Ethylene Recycling HC'!W190</f>
        <v>0.59575591535364092</v>
      </c>
      <c r="X152" s="122">
        <f>'Ethylene Recycling HC'!X190</f>
        <v>0.60554186854101899</v>
      </c>
      <c r="Y152" s="122">
        <f>'Ethylene Recycling HC'!Y190</f>
        <v>0.61214142489292211</v>
      </c>
      <c r="Z152" s="122">
        <f>'Ethylene Recycling HC'!Z190</f>
        <v>0.61563815413062428</v>
      </c>
      <c r="AA152" s="122">
        <f>'Ethylene Recycling HC'!AA190</f>
        <v>0.61611562597539915</v>
      </c>
      <c r="AB152" s="122">
        <f>'Ethylene Recycling HC'!AB190</f>
        <v>0.61365741014852027</v>
      </c>
      <c r="AC152" s="122">
        <f>'Ethylene Recycling HC'!AC190</f>
        <v>0.6022797850510696</v>
      </c>
      <c r="AD152" s="122">
        <f>'Ethylene Recycling HC'!AD190</f>
        <v>0.58768688614579034</v>
      </c>
      <c r="AE152" s="122">
        <f>'Ethylene Recycling HC'!AE190</f>
        <v>0.56997953378449495</v>
      </c>
      <c r="AF152" s="122">
        <f>'Ethylene Recycling HC'!AF190</f>
        <v>0.54925854831899501</v>
      </c>
      <c r="AG152" s="122">
        <f>'Ethylene Recycling HC'!AG190</f>
        <v>0.50855193513582808</v>
      </c>
      <c r="AH152" s="230"/>
      <c r="AI152" s="126"/>
      <c r="AJ152" s="198"/>
      <c r="AL152" s="102"/>
      <c r="AM152" s="2"/>
      <c r="AN152" s="2"/>
      <c r="AO152" s="2"/>
      <c r="BC152" s="1"/>
      <c r="BD152" s="2"/>
      <c r="BE152" s="2"/>
      <c r="BF152" s="2"/>
      <c r="BG152" s="2"/>
      <c r="BH152" s="2"/>
      <c r="BI152" s="2"/>
      <c r="BJ152" s="2"/>
      <c r="BK152" s="2"/>
    </row>
    <row r="153" spans="1:63" outlineLevel="1">
      <c r="C153" s="122"/>
      <c r="D153" s="122"/>
      <c r="E153" s="122"/>
      <c r="F153" s="122"/>
      <c r="G153" s="122"/>
      <c r="H153" s="122"/>
      <c r="I153" s="122"/>
      <c r="J153" s="122"/>
      <c r="K153" s="122"/>
      <c r="L153" s="122"/>
      <c r="M153" s="122"/>
      <c r="N153" s="122"/>
      <c r="O153" s="122"/>
      <c r="P153" s="122"/>
      <c r="Q153" s="122"/>
      <c r="R153" s="122"/>
      <c r="S153" s="122"/>
      <c r="T153" s="122"/>
      <c r="U153" s="122"/>
      <c r="V153" s="122"/>
      <c r="W153" s="122"/>
      <c r="X153" s="122"/>
      <c r="Y153" s="122"/>
      <c r="Z153" s="122"/>
      <c r="AA153" s="122"/>
      <c r="AB153" s="122"/>
      <c r="AC153" s="122"/>
      <c r="AD153" s="122"/>
      <c r="AE153" s="122"/>
      <c r="AF153" s="122"/>
      <c r="AG153" s="122"/>
      <c r="AJ153" s="198"/>
    </row>
    <row r="154" spans="1:63" s="187" customFormat="1" ht="15.5" thickBot="1">
      <c r="A154" s="187" t="s">
        <v>461</v>
      </c>
      <c r="B154" s="202"/>
      <c r="C154" s="607">
        <f>C155</f>
        <v>1.6E-2</v>
      </c>
      <c r="D154" s="607">
        <f t="shared" ref="D154:AG154" si="29">D155</f>
        <v>2.3701592497010131E-2</v>
      </c>
      <c r="E154" s="607">
        <f t="shared" si="29"/>
        <v>3.1403184994020263E-2</v>
      </c>
      <c r="F154" s="607">
        <f t="shared" si="29"/>
        <v>3.9104777491030397E-2</v>
      </c>
      <c r="G154" s="607">
        <f t="shared" si="29"/>
        <v>4.6806369988040525E-2</v>
      </c>
      <c r="H154" s="607">
        <f t="shared" si="29"/>
        <v>5.4507962485050659E-2</v>
      </c>
      <c r="I154" s="607">
        <f t="shared" si="29"/>
        <v>6.2209554982060794E-2</v>
      </c>
      <c r="J154" s="607">
        <f t="shared" si="29"/>
        <v>6.9911147479070929E-2</v>
      </c>
      <c r="K154" s="607">
        <f t="shared" si="29"/>
        <v>7.7612739976081063E-2</v>
      </c>
      <c r="L154" s="607">
        <f t="shared" si="29"/>
        <v>8.5314332473091184E-2</v>
      </c>
      <c r="M154" s="607">
        <f t="shared" si="29"/>
        <v>9.3015924970101319E-2</v>
      </c>
      <c r="N154" s="607">
        <f t="shared" si="29"/>
        <v>0.10769708566752688</v>
      </c>
      <c r="O154" s="607">
        <f t="shared" si="29"/>
        <v>0.12237824636495245</v>
      </c>
      <c r="P154" s="607">
        <f t="shared" si="29"/>
        <v>0.13705940706237801</v>
      </c>
      <c r="Q154" s="607">
        <f t="shared" si="29"/>
        <v>0.15174056775980357</v>
      </c>
      <c r="R154" s="607">
        <f t="shared" si="29"/>
        <v>0.16642172845722913</v>
      </c>
      <c r="S154" s="607">
        <f t="shared" si="29"/>
        <v>0.18110288915465472</v>
      </c>
      <c r="T154" s="607">
        <f t="shared" si="29"/>
        <v>0.19578404985208028</v>
      </c>
      <c r="U154" s="607">
        <f t="shared" si="29"/>
        <v>0.21046521054950582</v>
      </c>
      <c r="V154" s="607">
        <f t="shared" si="29"/>
        <v>0.22514637124693143</v>
      </c>
      <c r="W154" s="607">
        <f t="shared" si="29"/>
        <v>0.23982753194435696</v>
      </c>
      <c r="X154" s="607">
        <f t="shared" si="29"/>
        <v>0.2658447787499213</v>
      </c>
      <c r="Y154" s="607">
        <f t="shared" si="29"/>
        <v>0.29186202555548557</v>
      </c>
      <c r="Z154" s="607">
        <f t="shared" si="29"/>
        <v>0.31787927236104985</v>
      </c>
      <c r="AA154" s="607">
        <f t="shared" si="29"/>
        <v>0.34389651916661418</v>
      </c>
      <c r="AB154" s="607">
        <f t="shared" si="29"/>
        <v>0.36991376597217851</v>
      </c>
      <c r="AC154" s="607">
        <f t="shared" si="29"/>
        <v>0.39593101277774279</v>
      </c>
      <c r="AD154" s="607">
        <f t="shared" si="29"/>
        <v>0.42194825958330706</v>
      </c>
      <c r="AE154" s="607">
        <f t="shared" si="29"/>
        <v>0.44796550638887139</v>
      </c>
      <c r="AF154" s="607">
        <f t="shared" si="29"/>
        <v>0.47398275319443572</v>
      </c>
      <c r="AG154" s="607">
        <f t="shared" si="29"/>
        <v>0.5</v>
      </c>
      <c r="AJ154" s="217" t="s">
        <v>473</v>
      </c>
      <c r="AL154" s="204"/>
      <c r="AM154" s="211"/>
      <c r="AN154" s="211"/>
      <c r="AO154" s="211"/>
    </row>
    <row r="155" spans="1:63" ht="15.5" outlineLevel="1" thickTop="1">
      <c r="A155" t="s">
        <v>469</v>
      </c>
      <c r="B155" s="51" t="s">
        <v>126</v>
      </c>
      <c r="C155" s="122">
        <f>'Ethylene Recycling HC'!C193*'Ethylene Recycling HC'!C$44/'Ethylene Recycling LC'!C$44</f>
        <v>1.6E-2</v>
      </c>
      <c r="D155" s="122">
        <f>'Ethylene Recycling HC'!D193*'Ethylene Recycling HC'!D$44/'Ethylene Recycling LC'!D$44</f>
        <v>2.3701592497010131E-2</v>
      </c>
      <c r="E155" s="122">
        <f>'Ethylene Recycling HC'!E193*'Ethylene Recycling HC'!E$44/'Ethylene Recycling LC'!E$44</f>
        <v>3.1403184994020263E-2</v>
      </c>
      <c r="F155" s="122">
        <f>'Ethylene Recycling HC'!F193*'Ethylene Recycling HC'!F$44/'Ethylene Recycling LC'!F$44</f>
        <v>3.9104777491030397E-2</v>
      </c>
      <c r="G155" s="122">
        <f>'Ethylene Recycling HC'!G193*'Ethylene Recycling HC'!G$44/'Ethylene Recycling LC'!G$44</f>
        <v>4.6806369988040525E-2</v>
      </c>
      <c r="H155" s="122">
        <f>'Ethylene Recycling HC'!H193*'Ethylene Recycling HC'!H$44/'Ethylene Recycling LC'!H$44</f>
        <v>5.4507962485050659E-2</v>
      </c>
      <c r="I155" s="122">
        <f>'Ethylene Recycling HC'!I193*'Ethylene Recycling HC'!I$44/'Ethylene Recycling LC'!I$44</f>
        <v>6.2209554982060794E-2</v>
      </c>
      <c r="J155" s="122">
        <f>'Ethylene Recycling HC'!J193*'Ethylene Recycling HC'!J$44/'Ethylene Recycling LC'!J$44</f>
        <v>6.9911147479070929E-2</v>
      </c>
      <c r="K155" s="122">
        <f>'Ethylene Recycling HC'!K193*'Ethylene Recycling HC'!K$44/'Ethylene Recycling LC'!K$44</f>
        <v>7.7612739976081063E-2</v>
      </c>
      <c r="L155" s="122">
        <f>'Ethylene Recycling HC'!L193*'Ethylene Recycling HC'!L$44/'Ethylene Recycling LC'!L$44</f>
        <v>8.5314332473091184E-2</v>
      </c>
      <c r="M155" s="122">
        <f>'Ethylene Recycling HC'!M193*'Ethylene Recycling HC'!M$44/'Ethylene Recycling LC'!M$44</f>
        <v>9.3015924970101319E-2</v>
      </c>
      <c r="N155" s="122">
        <f>'Ethylene Recycling HC'!N193*'Ethylene Recycling HC'!N$44/'Ethylene Recycling LC'!N$44</f>
        <v>0.10769708566752688</v>
      </c>
      <c r="O155" s="122">
        <f>'Ethylene Recycling HC'!O193*'Ethylene Recycling HC'!O$44/'Ethylene Recycling LC'!O$44</f>
        <v>0.12237824636495245</v>
      </c>
      <c r="P155" s="122">
        <f>'Ethylene Recycling HC'!P193*'Ethylene Recycling HC'!P$44/'Ethylene Recycling LC'!P$44</f>
        <v>0.13705940706237801</v>
      </c>
      <c r="Q155" s="122">
        <f>'Ethylene Recycling HC'!Q193*'Ethylene Recycling HC'!Q$44/'Ethylene Recycling LC'!Q$44</f>
        <v>0.15174056775980357</v>
      </c>
      <c r="R155" s="122">
        <f>'Ethylene Recycling HC'!R193*'Ethylene Recycling HC'!R$44/'Ethylene Recycling LC'!R$44</f>
        <v>0.16642172845722913</v>
      </c>
      <c r="S155" s="122">
        <f>'Ethylene Recycling HC'!S193*'Ethylene Recycling HC'!S$44/'Ethylene Recycling LC'!S$44</f>
        <v>0.18110288915465472</v>
      </c>
      <c r="T155" s="122">
        <f>'Ethylene Recycling HC'!T193*'Ethylene Recycling HC'!T$44/'Ethylene Recycling LC'!T$44</f>
        <v>0.19578404985208028</v>
      </c>
      <c r="U155" s="122">
        <f>'Ethylene Recycling HC'!U193*'Ethylene Recycling HC'!U$44/'Ethylene Recycling LC'!U$44</f>
        <v>0.21046521054950582</v>
      </c>
      <c r="V155" s="122">
        <f>'Ethylene Recycling HC'!V193*'Ethylene Recycling HC'!V$44/'Ethylene Recycling LC'!V$44</f>
        <v>0.22514637124693143</v>
      </c>
      <c r="W155" s="122">
        <f>'Ethylene Recycling HC'!W193*'Ethylene Recycling HC'!W$44/'Ethylene Recycling LC'!W$44</f>
        <v>0.23982753194435696</v>
      </c>
      <c r="X155" s="122">
        <f>'Ethylene Recycling HC'!X193*'Ethylene Recycling HC'!X$44/'Ethylene Recycling LC'!X$44</f>
        <v>0.2658447787499213</v>
      </c>
      <c r="Y155" s="122">
        <f>'Ethylene Recycling HC'!Y193*'Ethylene Recycling HC'!Y$44/'Ethylene Recycling LC'!Y$44</f>
        <v>0.29186202555548557</v>
      </c>
      <c r="Z155" s="122">
        <f>'Ethylene Recycling HC'!Z193*'Ethylene Recycling HC'!Z$44/'Ethylene Recycling LC'!Z$44</f>
        <v>0.31787927236104985</v>
      </c>
      <c r="AA155" s="122">
        <f>'Ethylene Recycling HC'!AA193*'Ethylene Recycling HC'!AA$44/'Ethylene Recycling LC'!AA$44</f>
        <v>0.34389651916661418</v>
      </c>
      <c r="AB155" s="122">
        <f>'Ethylene Recycling HC'!AB193*'Ethylene Recycling HC'!AB$44/'Ethylene Recycling LC'!AB$44</f>
        <v>0.36991376597217851</v>
      </c>
      <c r="AC155" s="122">
        <f>'Ethylene Recycling HC'!AC193*'Ethylene Recycling HC'!AC$44/'Ethylene Recycling LC'!AC$44</f>
        <v>0.39593101277774279</v>
      </c>
      <c r="AD155" s="122">
        <f>'Ethylene Recycling HC'!AD193*'Ethylene Recycling HC'!AD$44/'Ethylene Recycling LC'!AD$44</f>
        <v>0.42194825958330706</v>
      </c>
      <c r="AE155" s="122">
        <f>'Ethylene Recycling HC'!AE193*'Ethylene Recycling HC'!AE$44/'Ethylene Recycling LC'!AE$44</f>
        <v>0.44796550638887139</v>
      </c>
      <c r="AF155" s="122">
        <f>'Ethylene Recycling HC'!AF193*'Ethylene Recycling HC'!AF$44/'Ethylene Recycling LC'!AF$44</f>
        <v>0.47398275319443572</v>
      </c>
      <c r="AG155" s="122">
        <f>'Ethylene Recycling HC'!AG193*'Ethylene Recycling HC'!AG$44/'Ethylene Recycling LC'!AG$44</f>
        <v>0.5</v>
      </c>
      <c r="AI155" s="126" t="s">
        <v>492</v>
      </c>
      <c r="AJ155" s="198" t="s">
        <v>462</v>
      </c>
    </row>
    <row r="156" spans="1:63" outlineLevel="1">
      <c r="C156" s="608"/>
      <c r="D156" s="608"/>
      <c r="E156" s="608"/>
      <c r="F156" s="608"/>
      <c r="G156" s="608"/>
      <c r="H156" s="608"/>
      <c r="I156" s="608"/>
      <c r="J156" s="608"/>
      <c r="K156" s="608"/>
      <c r="L156" s="608"/>
      <c r="M156" s="608"/>
      <c r="N156" s="608"/>
      <c r="O156" s="608"/>
      <c r="P156" s="608"/>
      <c r="Q156" s="608"/>
      <c r="R156" s="608"/>
      <c r="S156" s="608"/>
      <c r="T156" s="608"/>
      <c r="U156" s="608"/>
      <c r="V156" s="608"/>
      <c r="W156" s="608"/>
      <c r="X156" s="608"/>
      <c r="Y156" s="608"/>
      <c r="Z156" s="608"/>
      <c r="AA156" s="608"/>
      <c r="AB156" s="608"/>
      <c r="AC156" s="608"/>
      <c r="AD156" s="608"/>
      <c r="AE156" s="608"/>
      <c r="AF156" s="608"/>
      <c r="AG156" s="608"/>
      <c r="AJ156" s="198"/>
    </row>
    <row r="157" spans="1:63" outlineLevel="1">
      <c r="A157" t="s">
        <v>470</v>
      </c>
      <c r="B157" s="51" t="s">
        <v>126</v>
      </c>
      <c r="C157" s="122">
        <f>'Ethylene Recycling HC'!C196*'Ethylene Recycling HC'!C$44/'Ethylene Recycling LC'!C$44</f>
        <v>1.7200343293197331E-2</v>
      </c>
      <c r="D157" s="122">
        <f>'Ethylene Recycling HC'!D196*'Ethylene Recycling HC'!D$44/'Ethylene Recycling LC'!D$44</f>
        <v>2.5420449539019684E-2</v>
      </c>
      <c r="E157" s="122">
        <f>'Ethylene Recycling HC'!E196*'Ethylene Recycling HC'!E$44/'Ethylene Recycling LC'!E$44</f>
        <v>3.3602036806089017E-2</v>
      </c>
      <c r="F157" s="122">
        <f>'Ethylene Recycling HC'!F196*'Ethylene Recycling HC'!F$44/'Ethylene Recycling LC'!F$44</f>
        <v>4.1745105094405328E-2</v>
      </c>
      <c r="G157" s="122">
        <f>'Ethylene Recycling HC'!G196*'Ethylene Recycling HC'!G$44/'Ethylene Recycling LC'!G$44</f>
        <v>4.9849654403968616E-2</v>
      </c>
      <c r="H157" s="122">
        <f>'Ethylene Recycling HC'!H196*'Ethylene Recycling HC'!H$44/'Ethylene Recycling LC'!H$44</f>
        <v>5.7915684734778893E-2</v>
      </c>
      <c r="I157" s="122">
        <f>'Ethylene Recycling HC'!I196*'Ethylene Recycling HC'!I$44/'Ethylene Recycling LC'!I$44</f>
        <v>6.5943196086836131E-2</v>
      </c>
      <c r="J157" s="122">
        <f>'Ethylene Recycling HC'!J196*'Ethylene Recycling HC'!J$44/'Ethylene Recycling LC'!J$44</f>
        <v>7.3932188460140366E-2</v>
      </c>
      <c r="K157" s="122">
        <f>'Ethylene Recycling HC'!K196*'Ethylene Recycling HC'!K$44/'Ethylene Recycling LC'!K$44</f>
        <v>8.1882661854691563E-2</v>
      </c>
      <c r="L157" s="122">
        <f>'Ethylene Recycling HC'!L196*'Ethylene Recycling HC'!L$44/'Ethylene Recycling LC'!L$44</f>
        <v>8.9794616270489735E-2</v>
      </c>
      <c r="M157" s="122">
        <f>'Ethylene Recycling HC'!M196*'Ethylene Recycling HC'!M$44/'Ethylene Recycling LC'!M$44</f>
        <v>9.7668051707534898E-2</v>
      </c>
      <c r="N157" s="122">
        <f>'Ethylene Recycling HC'!N196*'Ethylene Recycling HC'!N$44/'Ethylene Recycling LC'!N$44</f>
        <v>0.11281416069894425</v>
      </c>
      <c r="O157" s="122">
        <f>'Ethylene Recycling HC'!O196*'Ethylene Recycling HC'!O$44/'Ethylene Recycling LC'!O$44</f>
        <v>0.12788684288710567</v>
      </c>
      <c r="P157" s="122">
        <f>'Ethylene Recycling HC'!P196*'Ethylene Recycling HC'!P$44/'Ethylene Recycling LC'!P$44</f>
        <v>0.14288609827201912</v>
      </c>
      <c r="Q157" s="122">
        <f>'Ethylene Recycling HC'!Q196*'Ethylene Recycling HC'!Q$44/'Ethylene Recycling LC'!Q$44</f>
        <v>0.15781192685368461</v>
      </c>
      <c r="R157" s="122">
        <f>'Ethylene Recycling HC'!R196*'Ethylene Recycling HC'!R$44/'Ethylene Recycling LC'!R$44</f>
        <v>0.17266432863210218</v>
      </c>
      <c r="S157" s="122">
        <f>'Ethylene Recycling HC'!S196*'Ethylene Recycling HC'!S$44/'Ethylene Recycling LC'!S$44</f>
        <v>0.18744330360727179</v>
      </c>
      <c r="T157" s="122">
        <f>'Ethylene Recycling HC'!T196*'Ethylene Recycling HC'!T$44/'Ethylene Recycling LC'!T$44</f>
        <v>0.20214885177919348</v>
      </c>
      <c r="U157" s="122">
        <f>'Ethylene Recycling HC'!U196*'Ethylene Recycling HC'!U$44/'Ethylene Recycling LC'!U$44</f>
        <v>0.21678097314786721</v>
      </c>
      <c r="V157" s="122">
        <f>'Ethylene Recycling HC'!V196*'Ethylene Recycling HC'!V$44/'Ethylene Recycling LC'!V$44</f>
        <v>0.23133966771329295</v>
      </c>
      <c r="W157" s="122">
        <f>'Ethylene Recycling HC'!W196*'Ethylene Recycling HC'!W$44/'Ethylene Recycling LC'!W$44</f>
        <v>0.24582493547547077</v>
      </c>
      <c r="X157" s="122">
        <f>'Ethylene Recycling HC'!X196*'Ethylene Recycling HC'!X$44/'Ethylene Recycling LC'!X$44</f>
        <v>0.27182799744749586</v>
      </c>
      <c r="Y157" s="122">
        <f>'Ethylene Recycling HC'!Y196*'Ethylene Recycling HC'!Y$44/'Ethylene Recycling LC'!Y$44</f>
        <v>0.29770093597072705</v>
      </c>
      <c r="Z157" s="122">
        <f>'Ethylene Recycling HC'!Z196*'Ethylene Recycling HC'!Z$44/'Ethylene Recycling LC'!Z$44</f>
        <v>0.32344375104516443</v>
      </c>
      <c r="AA157" s="122">
        <f>'Ethylene Recycling HC'!AA196*'Ethylene Recycling HC'!AA$44/'Ethylene Recycling LC'!AA$44</f>
        <v>0.34905644267080804</v>
      </c>
      <c r="AB157" s="122">
        <f>'Ethylene Recycling HC'!AB196*'Ethylene Recycling HC'!AB$44/'Ethylene Recycling LC'!AB$44</f>
        <v>0.37453901084765778</v>
      </c>
      <c r="AC157" s="122">
        <f>'Ethylene Recycling HC'!AC196*'Ethylene Recycling HC'!AC$44/'Ethylene Recycling LC'!AC$44</f>
        <v>0.39989145557571371</v>
      </c>
      <c r="AD157" s="122">
        <f>'Ethylene Recycling HC'!AD196*'Ethylene Recycling HC'!AD$44/'Ethylene Recycling LC'!AD$44</f>
        <v>0.42511377685497576</v>
      </c>
      <c r="AE157" s="122">
        <f>'Ethylene Recycling HC'!AE196*'Ethylene Recycling HC'!AE$44/'Ethylene Recycling LC'!AE$44</f>
        <v>0.45020597468544399</v>
      </c>
      <c r="AF157" s="122">
        <f>'Ethylene Recycling HC'!AF196*'Ethylene Recycling HC'!AF$44/'Ethylene Recycling LC'!AF$44</f>
        <v>0.47516804906711851</v>
      </c>
      <c r="AG157" s="122">
        <f>'Ethylene Recycling HC'!AG196*'Ethylene Recycling HC'!AG$44/'Ethylene Recycling LC'!AG$44</f>
        <v>0.5</v>
      </c>
      <c r="AI157" s="126" t="s">
        <v>492</v>
      </c>
      <c r="AJ157" s="198" t="s">
        <v>462</v>
      </c>
    </row>
    <row r="158" spans="1:63" outlineLevel="1">
      <c r="C158" s="122"/>
      <c r="D158" s="122"/>
      <c r="E158" s="122"/>
      <c r="F158" s="122"/>
      <c r="G158" s="122"/>
      <c r="H158" s="122"/>
      <c r="I158" s="122"/>
      <c r="J158" s="122"/>
      <c r="K158" s="122"/>
      <c r="L158" s="122"/>
      <c r="M158" s="122"/>
      <c r="N158" s="122"/>
      <c r="O158" s="122"/>
      <c r="P158" s="122"/>
      <c r="Q158" s="122"/>
      <c r="R158" s="122"/>
      <c r="S158" s="122"/>
      <c r="T158" s="122"/>
      <c r="U158" s="122"/>
      <c r="V158" s="122"/>
      <c r="W158" s="122"/>
      <c r="X158" s="122"/>
      <c r="Y158" s="122"/>
      <c r="Z158" s="122"/>
      <c r="AA158" s="122"/>
      <c r="AB158" s="122"/>
      <c r="AC158" s="122"/>
      <c r="AD158" s="122"/>
      <c r="AE158" s="122"/>
      <c r="AF158" s="122"/>
      <c r="AG158" s="122"/>
      <c r="AI158" s="126"/>
      <c r="AJ158" s="198"/>
    </row>
    <row r="159" spans="1:63" s="1" customFormat="1" outlineLevel="1">
      <c r="A159" s="1" t="s">
        <v>261</v>
      </c>
      <c r="B159" s="61"/>
      <c r="C159" s="606">
        <f>'Ethylene Recycling HC'!C198</f>
        <v>1630.525897623924</v>
      </c>
      <c r="D159" s="606">
        <f>'Ethylene Recycling HC'!D198</f>
        <v>2409.7601190905611</v>
      </c>
      <c r="E159" s="606">
        <f>'Ethylene Recycling HC'!E198</f>
        <v>3185.3428906217969</v>
      </c>
      <c r="F159" s="606">
        <f>'Ethylene Recycling HC'!F198</f>
        <v>3957.2742122176314</v>
      </c>
      <c r="G159" s="606">
        <f>'Ethylene Recycling HC'!G198</f>
        <v>4725.5540838780644</v>
      </c>
      <c r="H159" s="606">
        <f>'Ethylene Recycling HC'!H198</f>
        <v>5490.1825056030966</v>
      </c>
      <c r="I159" s="606">
        <f>'Ethylene Recycling HC'!I198</f>
        <v>6251.1594773927263</v>
      </c>
      <c r="J159" s="606">
        <f>'Ethylene Recycling HC'!J198</f>
        <v>7008.4849992469562</v>
      </c>
      <c r="K159" s="606">
        <f>'Ethylene Recycling HC'!K198</f>
        <v>7762.1590711657827</v>
      </c>
      <c r="L159" s="606">
        <f>'Ethylene Recycling HC'!L198</f>
        <v>8512.1816931492085</v>
      </c>
      <c r="M159" s="606">
        <f>'Ethylene Recycling HC'!M198</f>
        <v>9258.5528651972327</v>
      </c>
      <c r="N159" s="606">
        <f>'Ethylene Recycling HC'!N198</f>
        <v>10694.3453106012</v>
      </c>
      <c r="O159" s="606">
        <f>'Ethylene Recycling HC'!O198</f>
        <v>12123.17717956581</v>
      </c>
      <c r="P159" s="606">
        <f>'Ethylene Recycling HC'!P198</f>
        <v>13545.048472091057</v>
      </c>
      <c r="Q159" s="606">
        <f>'Ethylene Recycling HC'!Q198</f>
        <v>14959.959188176947</v>
      </c>
      <c r="R159" s="606">
        <f>'Ethylene Recycling HC'!R198</f>
        <v>16367.90932782348</v>
      </c>
      <c r="S159" s="606">
        <f>'Ethylene Recycling HC'!S198</f>
        <v>17768.898891030651</v>
      </c>
      <c r="T159" s="606">
        <f>'Ethylene Recycling HC'!T198</f>
        <v>19162.927877798465</v>
      </c>
      <c r="U159" s="606">
        <f>'Ethylene Recycling HC'!U198</f>
        <v>20549.99628812692</v>
      </c>
      <c r="V159" s="606">
        <f>'Ethylene Recycling HC'!V198</f>
        <v>21930.104122016015</v>
      </c>
      <c r="W159" s="606">
        <f>'Ethylene Recycling HC'!W198</f>
        <v>23303.25137946575</v>
      </c>
      <c r="X159" s="606">
        <f>'Ethylene Recycling HC'!X198</f>
        <v>25768.240899743247</v>
      </c>
      <c r="Y159" s="606">
        <f>'Ethylene Recycling HC'!Y198</f>
        <v>28220.895221267441</v>
      </c>
      <c r="Z159" s="606">
        <f>'Ethylene Recycling HC'!Z198</f>
        <v>30661.214344038344</v>
      </c>
      <c r="AA159" s="606">
        <f>'Ethylene Recycling HC'!AA198</f>
        <v>33089.198268055959</v>
      </c>
      <c r="AB159" s="606">
        <f>'Ethylene Recycling HC'!AB198</f>
        <v>35504.846993320272</v>
      </c>
      <c r="AC159" s="606">
        <f>'Ethylene Recycling HC'!AC198</f>
        <v>37908.160519831297</v>
      </c>
      <c r="AD159" s="606">
        <f>'Ethylene Recycling HC'!AD198</f>
        <v>40299.13884758902</v>
      </c>
      <c r="AE159" s="606">
        <f>'Ethylene Recycling HC'!AE198</f>
        <v>42677.781976593455</v>
      </c>
      <c r="AF159" s="606">
        <f>'Ethylene Recycling HC'!AF198</f>
        <v>45044.089906844602</v>
      </c>
      <c r="AG159" s="606">
        <f>'Ethylene Recycling HC'!AG198</f>
        <v>47398.062638342533</v>
      </c>
      <c r="AH159" s="397"/>
      <c r="AI159" s="398"/>
      <c r="AJ159" s="399"/>
      <c r="AL159" s="207"/>
      <c r="AM159" s="118"/>
      <c r="AN159" s="118"/>
      <c r="AO159" s="118"/>
      <c r="BD159" s="118"/>
      <c r="BE159" s="118"/>
      <c r="BF159" s="118"/>
      <c r="BG159" s="118"/>
      <c r="BH159" s="118"/>
      <c r="BI159" s="118"/>
      <c r="BJ159" s="118"/>
      <c r="BK159" s="118"/>
    </row>
    <row r="160" spans="1:63" outlineLevel="1">
      <c r="A160" s="4" t="s">
        <v>141</v>
      </c>
      <c r="C160" s="122">
        <f>'Ethylene Recycling HC'!C199</f>
        <v>576.07129644727456</v>
      </c>
      <c r="D160" s="122">
        <f>'Ethylene Recycling HC'!D199</f>
        <v>863.76360425633061</v>
      </c>
      <c r="E160" s="122">
        <f>'Ethylene Recycling HC'!E199</f>
        <v>1158.13856433158</v>
      </c>
      <c r="F160" s="122">
        <f>'Ethylene Recycling HC'!F199</f>
        <v>1459.139873199261</v>
      </c>
      <c r="G160" s="122">
        <f>'Ethylene Recycling HC'!G199</f>
        <v>1766.7112273856119</v>
      </c>
      <c r="H160" s="122">
        <f>'Ethylene Recycling HC'!H199</f>
        <v>2080.7963234168715</v>
      </c>
      <c r="I160" s="122">
        <f>'Ethylene Recycling HC'!I199</f>
        <v>2401.3388578192776</v>
      </c>
      <c r="J160" s="122">
        <f>'Ethylene Recycling HC'!J199</f>
        <v>2728.2825271190691</v>
      </c>
      <c r="K160" s="122">
        <f>'Ethylene Recycling HC'!K199</f>
        <v>3061.5710278424835</v>
      </c>
      <c r="L160" s="122">
        <f>'Ethylene Recycling HC'!L199</f>
        <v>3401.1480565157603</v>
      </c>
      <c r="M160" s="122">
        <f>'Ethylene Recycling HC'!M199</f>
        <v>3746.957309665137</v>
      </c>
      <c r="N160" s="122">
        <f>'Ethylene Recycling HC'!N199</f>
        <v>4382.9928589139354</v>
      </c>
      <c r="O160" s="122">
        <f>'Ethylene Recycling HC'!O199</f>
        <v>5030.8993471864005</v>
      </c>
      <c r="P160" s="122">
        <f>'Ethylene Recycling HC'!P199</f>
        <v>5690.5694459856722</v>
      </c>
      <c r="Q160" s="122">
        <f>'Ethylene Recycling HC'!Q199</f>
        <v>6361.8958268148954</v>
      </c>
      <c r="R160" s="122">
        <f>'Ethylene Recycling HC'!R199</f>
        <v>7044.771161177212</v>
      </c>
      <c r="S160" s="122">
        <f>'Ethylene Recycling HC'!S199</f>
        <v>7739.0881205757605</v>
      </c>
      <c r="T160" s="122">
        <f>'Ethylene Recycling HC'!T199</f>
        <v>8444.7393765136876</v>
      </c>
      <c r="U160" s="122">
        <f>'Ethylene Recycling HC'!U199</f>
        <v>9161.6176004941317</v>
      </c>
      <c r="V160" s="122">
        <f>'Ethylene Recycling HC'!V199</f>
        <v>9889.6154640202349</v>
      </c>
      <c r="W160" s="122">
        <f>'Ethylene Recycling HC'!W199</f>
        <v>10628.62563859514</v>
      </c>
      <c r="X160" s="122">
        <f>'Ethylene Recycling HC'!X199</f>
        <v>11885.353026402154</v>
      </c>
      <c r="Y160" s="122">
        <f>'Ethylene Recycling HC'!Y199</f>
        <v>13161.666766013537</v>
      </c>
      <c r="Z160" s="122">
        <f>'Ethylene Recycling HC'!Z199</f>
        <v>14457.376655029797</v>
      </c>
      <c r="AA160" s="122">
        <f>'Ethylene Recycling HC'!AA199</f>
        <v>15772.292491051441</v>
      </c>
      <c r="AB160" s="122">
        <f>'Ethylene Recycling HC'!AB199</f>
        <v>17106.224071678967</v>
      </c>
      <c r="AC160" s="122">
        <f>'Ethylene Recycling HC'!AC199</f>
        <v>18458.981194512889</v>
      </c>
      <c r="AD160" s="122">
        <f>'Ethylene Recycling HC'!AD199</f>
        <v>19830.373657153701</v>
      </c>
      <c r="AE160" s="122">
        <f>'Ethylene Recycling HC'!AE199</f>
        <v>21220.211257201918</v>
      </c>
      <c r="AF160" s="122">
        <f>'Ethylene Recycling HC'!AF199</f>
        <v>22628.303792258041</v>
      </c>
      <c r="AG160" s="122">
        <f>'Ethylene Recycling HC'!AG199</f>
        <v>24054.461059922593</v>
      </c>
      <c r="AH160" s="230"/>
      <c r="AI160" s="126"/>
      <c r="AJ160" s="198"/>
      <c r="AL160" s="102"/>
      <c r="AM160" s="2"/>
      <c r="AN160" s="2"/>
      <c r="AO160" s="2"/>
      <c r="BC160" s="1"/>
      <c r="BD160" s="2"/>
      <c r="BE160" s="2"/>
      <c r="BF160" s="2"/>
      <c r="BG160" s="2"/>
      <c r="BH160" s="2"/>
      <c r="BI160" s="2"/>
      <c r="BJ160" s="2"/>
      <c r="BK160" s="2"/>
    </row>
    <row r="161" spans="1:63" outlineLevel="1">
      <c r="A161" s="4" t="s">
        <v>74</v>
      </c>
      <c r="C161" s="122">
        <f>'Ethylene Recycling HC'!C200</f>
        <v>29.768928651490643</v>
      </c>
      <c r="D161" s="122">
        <f>'Ethylene Recycling HC'!D200</f>
        <v>48.006152290373535</v>
      </c>
      <c r="E161" s="122">
        <f>'Ethylene Recycling HC'!E200</f>
        <v>68.75830321308419</v>
      </c>
      <c r="F161" s="122">
        <f>'Ethylene Recycling HC'!F200</f>
        <v>92.007150180502776</v>
      </c>
      <c r="G161" s="122">
        <f>'Ethylene Recycling HC'!G200</f>
        <v>117.73446195350945</v>
      </c>
      <c r="H161" s="122">
        <f>'Ethylene Recycling HC'!H200</f>
        <v>145.92200729298443</v>
      </c>
      <c r="I161" s="122">
        <f>'Ethylene Recycling HC'!I200</f>
        <v>176.55155495980782</v>
      </c>
      <c r="J161" s="122">
        <f>'Ethylene Recycling HC'!J200</f>
        <v>209.60487371485985</v>
      </c>
      <c r="K161" s="122">
        <f>'Ethylene Recycling HC'!K200</f>
        <v>245.0637323190206</v>
      </c>
      <c r="L161" s="122">
        <f>'Ethylene Recycling HC'!L200</f>
        <v>282.90989953317035</v>
      </c>
      <c r="M161" s="122">
        <f>'Ethylene Recycling HC'!M200</f>
        <v>323.12514411818916</v>
      </c>
      <c r="N161" s="122">
        <f>'Ethylene Recycling HC'!N200</f>
        <v>391.03307186601972</v>
      </c>
      <c r="O161" s="122">
        <f>'Ethylene Recycling HC'!O200</f>
        <v>463.45406177285923</v>
      </c>
      <c r="P161" s="122">
        <f>'Ethylene Recycling HC'!P200</f>
        <v>540.35336053913534</v>
      </c>
      <c r="Q161" s="122">
        <f>'Ethylene Recycling HC'!Q200</f>
        <v>621.69621486527615</v>
      </c>
      <c r="R161" s="122">
        <f>'Ethylene Recycling HC'!R200</f>
        <v>707.44787145170937</v>
      </c>
      <c r="S161" s="122">
        <f>'Ethylene Recycling HC'!S200</f>
        <v>797.57357699886268</v>
      </c>
      <c r="T161" s="122">
        <f>'Ethylene Recycling HC'!T200</f>
        <v>892.03857820716416</v>
      </c>
      <c r="U161" s="122">
        <f>'Ethylene Recycling HC'!U200</f>
        <v>990.80812177704149</v>
      </c>
      <c r="V161" s="122">
        <f>'Ethylene Recycling HC'!V200</f>
        <v>1093.8474544089224</v>
      </c>
      <c r="W161" s="122">
        <f>'Ethylene Recycling HC'!W200</f>
        <v>1201.1218228032349</v>
      </c>
      <c r="X161" s="122">
        <f>'Ethylene Recycling HC'!X200</f>
        <v>1371.060907610396</v>
      </c>
      <c r="Y161" s="122">
        <f>'Ethylene Recycling HC'!Y200</f>
        <v>1548.5280650255888</v>
      </c>
      <c r="Z161" s="122">
        <f>'Ethylene Recycling HC'!Z200</f>
        <v>1733.4617069229894</v>
      </c>
      <c r="AA161" s="122">
        <f>'Ethylene Recycling HC'!AA200</f>
        <v>1925.8002451767738</v>
      </c>
      <c r="AB161" s="122">
        <f>'Ethylene Recycling HC'!AB200</f>
        <v>2125.4820916611175</v>
      </c>
      <c r="AC161" s="122">
        <f>'Ethylene Recycling HC'!AC200</f>
        <v>2332.4456582501971</v>
      </c>
      <c r="AD161" s="122">
        <f>'Ethylene Recycling HC'!AD200</f>
        <v>2546.6293568181877</v>
      </c>
      <c r="AE161" s="122">
        <f>'Ethylene Recycling HC'!AE200</f>
        <v>2767.9715992392653</v>
      </c>
      <c r="AF161" s="122">
        <f>'Ethylene Recycling HC'!AF200</f>
        <v>2996.4107973876062</v>
      </c>
      <c r="AG161" s="122">
        <f>'Ethylene Recycling HC'!AG200</f>
        <v>3231.8853631373922</v>
      </c>
      <c r="AH161" s="230"/>
      <c r="AI161" s="126"/>
      <c r="AJ161" s="198"/>
      <c r="AL161" s="102"/>
      <c r="AM161" s="2"/>
      <c r="AN161" s="2"/>
      <c r="AO161" s="2"/>
      <c r="BC161" s="1"/>
      <c r="BD161" s="2"/>
      <c r="BE161" s="2"/>
      <c r="BF161" s="2"/>
      <c r="BG161" s="2"/>
      <c r="BH161" s="2"/>
      <c r="BI161" s="2"/>
      <c r="BJ161" s="2"/>
      <c r="BK161" s="2"/>
    </row>
    <row r="162" spans="1:63" outlineLevel="1">
      <c r="A162" s="4" t="s">
        <v>34</v>
      </c>
      <c r="C162" s="122">
        <f>'Ethylene Recycling HC'!C201</f>
        <v>1022.393611663963</v>
      </c>
      <c r="D162" s="122">
        <f>'Ethylene Recycling HC'!D201</f>
        <v>1494.2525935466902</v>
      </c>
      <c r="E162" s="122">
        <f>'Ethylene Recycling HC'!E201</f>
        <v>1953.0421748907722</v>
      </c>
      <c r="F162" s="122">
        <f>'Ethylene Recycling HC'!F201</f>
        <v>2398.8384829208153</v>
      </c>
      <c r="G162" s="122">
        <f>'Ethylene Recycling HC'!G201</f>
        <v>2831.7176448614255</v>
      </c>
      <c r="H162" s="122">
        <f>'Ethylene Recycling HC'!H201</f>
        <v>3251.7557879372102</v>
      </c>
      <c r="I162" s="122">
        <f>'Ethylene Recycling HC'!I201</f>
        <v>3659.0290393727746</v>
      </c>
      <c r="J162" s="122">
        <f>'Ethylene Recycling HC'!J201</f>
        <v>4053.6135263927263</v>
      </c>
      <c r="K162" s="122">
        <f>'Ethylene Recycling HC'!K201</f>
        <v>4435.5853762216693</v>
      </c>
      <c r="L162" s="122">
        <f>'Ethylene Recycling HC'!L201</f>
        <v>4805.0207160842128</v>
      </c>
      <c r="M162" s="122">
        <f>'Ethylene Recycling HC'!M201</f>
        <v>5161.9956732049613</v>
      </c>
      <c r="N162" s="122">
        <f>'Ethylene Recycling HC'!N201</f>
        <v>5888.184294624255</v>
      </c>
      <c r="O162" s="122">
        <f>'Ethylene Recycling HC'!O201</f>
        <v>6590.6328032216898</v>
      </c>
      <c r="P162" s="122">
        <f>'Ethylene Recycling HC'!P201</f>
        <v>7269.4863165191673</v>
      </c>
      <c r="Q162" s="122">
        <f>'Ethylene Recycling HC'!Q201</f>
        <v>7924.8899520385976</v>
      </c>
      <c r="R162" s="122">
        <f>'Ethylene Recycling HC'!R201</f>
        <v>8556.9888273018878</v>
      </c>
      <c r="S162" s="122">
        <f>'Ethylene Recycling HC'!S201</f>
        <v>9165.9280598309379</v>
      </c>
      <c r="T162" s="122">
        <f>'Ethylene Recycling HC'!T201</f>
        <v>9751.8527671476586</v>
      </c>
      <c r="U162" s="122">
        <f>'Ethylene Recycling HC'!U201</f>
        <v>10314.908066773956</v>
      </c>
      <c r="V162" s="122">
        <f>'Ethylene Recycling HC'!V201</f>
        <v>10855.239076231732</v>
      </c>
      <c r="W162" s="122">
        <f>'Ethylene Recycling HC'!W201</f>
        <v>11372.990913042895</v>
      </c>
      <c r="X162" s="122">
        <f>'Ethylene Recycling HC'!X201</f>
        <v>12396.935705166232</v>
      </c>
      <c r="Y162" s="122">
        <f>'Ethylene Recycling HC'!Y201</f>
        <v>13380.770959457561</v>
      </c>
      <c r="Z162" s="122">
        <f>'Ethylene Recycling HC'!Z201</f>
        <v>14324.753846208872</v>
      </c>
      <c r="AA162" s="122">
        <f>'Ethylene Recycling HC'!AA201</f>
        <v>15229.141535712153</v>
      </c>
      <c r="AB162" s="122">
        <f>'Ethylene Recycling HC'!AB201</f>
        <v>16094.191198259383</v>
      </c>
      <c r="AC162" s="122">
        <f>'Ethylene Recycling HC'!AC201</f>
        <v>16920.160004142552</v>
      </c>
      <c r="AD162" s="122">
        <f>'Ethylene Recycling HC'!AD201</f>
        <v>17707.305123653641</v>
      </c>
      <c r="AE162" s="122">
        <f>'Ethylene Recycling HC'!AE201</f>
        <v>18455.883727084642</v>
      </c>
      <c r="AF162" s="122">
        <f>'Ethylene Recycling HC'!AF201</f>
        <v>19166.152984727534</v>
      </c>
      <c r="AG162" s="122">
        <f>'Ethylene Recycling HC'!AG201</f>
        <v>19838.370066874344</v>
      </c>
      <c r="AH162" s="230"/>
      <c r="AI162" s="126"/>
      <c r="AJ162" s="198"/>
      <c r="AL162" s="102"/>
      <c r="AM162" s="2"/>
      <c r="AN162" s="2"/>
      <c r="AO162" s="2"/>
      <c r="BC162" s="1"/>
      <c r="BD162" s="2"/>
      <c r="BE162" s="2"/>
      <c r="BF162" s="2"/>
      <c r="BG162" s="2"/>
      <c r="BH162" s="2"/>
      <c r="BI162" s="2"/>
      <c r="BJ162" s="2"/>
      <c r="BK162" s="2"/>
    </row>
    <row r="163" spans="1:63" outlineLevel="1">
      <c r="A163" s="4" t="s">
        <v>35</v>
      </c>
      <c r="C163" s="122">
        <f>'Ethylene Recycling HC'!C202</f>
        <v>0</v>
      </c>
      <c r="D163" s="122">
        <f>'Ethylene Recycling HC'!D202</f>
        <v>0</v>
      </c>
      <c r="E163" s="122">
        <f>'Ethylene Recycling HC'!E202</f>
        <v>0</v>
      </c>
      <c r="F163" s="122">
        <f>'Ethylene Recycling HC'!F202</f>
        <v>0</v>
      </c>
      <c r="G163" s="122">
        <f>'Ethylene Recycling HC'!G202</f>
        <v>0</v>
      </c>
      <c r="H163" s="122">
        <f>'Ethylene Recycling HC'!H202</f>
        <v>0</v>
      </c>
      <c r="I163" s="122">
        <f>'Ethylene Recycling HC'!I202</f>
        <v>0</v>
      </c>
      <c r="J163" s="122">
        <f>'Ethylene Recycling HC'!J202</f>
        <v>0</v>
      </c>
      <c r="K163" s="122">
        <f>'Ethylene Recycling HC'!K202</f>
        <v>0</v>
      </c>
      <c r="L163" s="122">
        <f>'Ethylene Recycling HC'!L202</f>
        <v>0</v>
      </c>
      <c r="M163" s="122">
        <f>'Ethylene Recycling HC'!M202</f>
        <v>0</v>
      </c>
      <c r="N163" s="122">
        <f>'Ethylene Recycling HC'!N202</f>
        <v>0</v>
      </c>
      <c r="O163" s="122">
        <f>'Ethylene Recycling HC'!O202</f>
        <v>0</v>
      </c>
      <c r="P163" s="122">
        <f>'Ethylene Recycling HC'!P202</f>
        <v>0</v>
      </c>
      <c r="Q163" s="122">
        <f>'Ethylene Recycling HC'!Q202</f>
        <v>0</v>
      </c>
      <c r="R163" s="122">
        <f>'Ethylene Recycling HC'!R202</f>
        <v>0</v>
      </c>
      <c r="S163" s="122">
        <f>'Ethylene Recycling HC'!S202</f>
        <v>0</v>
      </c>
      <c r="T163" s="122">
        <f>'Ethylene Recycling HC'!T202</f>
        <v>0</v>
      </c>
      <c r="U163" s="122">
        <f>'Ethylene Recycling HC'!U202</f>
        <v>0</v>
      </c>
      <c r="V163" s="122">
        <f>'Ethylene Recycling HC'!V202</f>
        <v>0</v>
      </c>
      <c r="W163" s="122">
        <f>'Ethylene Recycling HC'!W202</f>
        <v>0</v>
      </c>
      <c r="X163" s="122">
        <f>'Ethylene Recycling HC'!X202</f>
        <v>0</v>
      </c>
      <c r="Y163" s="122">
        <f>'Ethylene Recycling HC'!Y202</f>
        <v>0</v>
      </c>
      <c r="Z163" s="122">
        <f>'Ethylene Recycling HC'!Z202</f>
        <v>0</v>
      </c>
      <c r="AA163" s="122">
        <f>'Ethylene Recycling HC'!AA202</f>
        <v>0</v>
      </c>
      <c r="AB163" s="122">
        <f>'Ethylene Recycling HC'!AB202</f>
        <v>0</v>
      </c>
      <c r="AC163" s="122">
        <f>'Ethylene Recycling HC'!AC202</f>
        <v>0</v>
      </c>
      <c r="AD163" s="122">
        <f>'Ethylene Recycling HC'!AD202</f>
        <v>0</v>
      </c>
      <c r="AE163" s="122">
        <f>'Ethylene Recycling HC'!AE202</f>
        <v>0</v>
      </c>
      <c r="AF163" s="122">
        <f>'Ethylene Recycling HC'!AF202</f>
        <v>0</v>
      </c>
      <c r="AG163" s="122">
        <f>'Ethylene Recycling HC'!AG202</f>
        <v>0</v>
      </c>
      <c r="AH163" s="230"/>
      <c r="AI163" s="126"/>
      <c r="AJ163" s="198"/>
      <c r="AL163" s="102"/>
      <c r="AM163" s="2"/>
      <c r="AN163" s="2"/>
      <c r="AO163" s="2"/>
      <c r="BC163" s="1"/>
      <c r="BD163" s="2"/>
      <c r="BE163" s="2"/>
      <c r="BF163" s="2"/>
      <c r="BG163" s="2"/>
      <c r="BH163" s="2"/>
      <c r="BI163" s="2"/>
      <c r="BJ163" s="2"/>
      <c r="BK163" s="2"/>
    </row>
    <row r="164" spans="1:63" outlineLevel="1">
      <c r="A164" s="4" t="s">
        <v>27</v>
      </c>
      <c r="C164" s="122">
        <f>'Ethylene Recycling HC'!C203</f>
        <v>2.2920608611960529</v>
      </c>
      <c r="D164" s="122">
        <f>'Ethylene Recycling HC'!D203</f>
        <v>3.7377689971671155</v>
      </c>
      <c r="E164" s="122">
        <f>'Ethylene Recycling HC'!E203</f>
        <v>5.4038481863611123</v>
      </c>
      <c r="F164" s="122">
        <f>'Ethylene Recycling HC'!F203</f>
        <v>7.2887059170531163</v>
      </c>
      <c r="G164" s="122">
        <f>'Ethylene Recycling HC'!G203</f>
        <v>9.3907496775181993</v>
      </c>
      <c r="H164" s="122">
        <f>'Ethylene Recycling HC'!H203</f>
        <v>11.708386956031438</v>
      </c>
      <c r="I164" s="122">
        <f>'Ethylene Recycling HC'!I203</f>
        <v>14.240025240867899</v>
      </c>
      <c r="J164" s="122">
        <f>'Ethylene Recycling HC'!J203</f>
        <v>16.984072020302662</v>
      </c>
      <c r="K164" s="122">
        <f>'Ethylene Recycling HC'!K203</f>
        <v>19.938934782610794</v>
      </c>
      <c r="L164" s="122">
        <f>'Ethylene Recycling HC'!L203</f>
        <v>23.10302101606737</v>
      </c>
      <c r="M164" s="122">
        <f>'Ethylene Recycling HC'!M203</f>
        <v>26.474738208947464</v>
      </c>
      <c r="N164" s="122">
        <f>'Ethylene Recycling HC'!N203</f>
        <v>32.135085196992854</v>
      </c>
      <c r="O164" s="122">
        <f>'Ethylene Recycling HC'!O203</f>
        <v>38.19096738486413</v>
      </c>
      <c r="P164" s="122">
        <f>'Ethylene Recycling HC'!P203</f>
        <v>44.639349047085631</v>
      </c>
      <c r="Q164" s="122">
        <f>'Ethylene Recycling HC'!Q203</f>
        <v>51.477194458181721</v>
      </c>
      <c r="R164" s="122">
        <f>'Ethylene Recycling HC'!R203</f>
        <v>58.701467892676774</v>
      </c>
      <c r="S164" s="122">
        <f>'Ethylene Recycling HC'!S203</f>
        <v>66.309133625095129</v>
      </c>
      <c r="T164" s="122">
        <f>'Ethylene Recycling HC'!T203</f>
        <v>74.29715592996115</v>
      </c>
      <c r="U164" s="122">
        <f>'Ethylene Recycling HC'!U203</f>
        <v>82.662499081799211</v>
      </c>
      <c r="V164" s="122">
        <f>'Ethylene Recycling HC'!V203</f>
        <v>91.402127355133629</v>
      </c>
      <c r="W164" s="122">
        <f>'Ethylene Recycling HC'!W203</f>
        <v>100.51300502448878</v>
      </c>
      <c r="X164" s="122">
        <f>'Ethylene Recycling HC'!X203</f>
        <v>114.89126056447543</v>
      </c>
      <c r="Y164" s="122">
        <f>'Ethylene Recycling HC'!Y203</f>
        <v>129.92943077076734</v>
      </c>
      <c r="Z164" s="122">
        <f>'Ethylene Recycling HC'!Z203</f>
        <v>145.62213587669891</v>
      </c>
      <c r="AA164" s="122">
        <f>'Ethylene Recycling HC'!AA203</f>
        <v>161.9639961156044</v>
      </c>
      <c r="AB164" s="122">
        <f>'Ethylene Recycling HC'!AB203</f>
        <v>178.94963172081808</v>
      </c>
      <c r="AC164" s="122">
        <f>'Ethylene Recycling HC'!AC203</f>
        <v>196.57366292567434</v>
      </c>
      <c r="AD164" s="122">
        <f>'Ethylene Recycling HC'!AD203</f>
        <v>214.83070996350739</v>
      </c>
      <c r="AE164" s="122">
        <f>'Ethylene Recycling HC'!AE203</f>
        <v>233.7153930676516</v>
      </c>
      <c r="AF164" s="122">
        <f>'Ethylene Recycling HC'!AF203</f>
        <v>253.22233247144132</v>
      </c>
      <c r="AG164" s="122">
        <f>'Ethylene Recycling HC'!AG203</f>
        <v>273.34614840821132</v>
      </c>
      <c r="AH164" s="230"/>
      <c r="AI164" s="126"/>
      <c r="AJ164" s="198"/>
      <c r="AL164" s="102"/>
      <c r="AM164" s="2"/>
      <c r="AN164" s="2"/>
      <c r="AO164" s="2"/>
      <c r="BC164" s="1"/>
      <c r="BD164" s="2"/>
      <c r="BE164" s="2"/>
      <c r="BF164" s="2"/>
      <c r="BG164" s="2"/>
      <c r="BH164" s="2"/>
      <c r="BI164" s="2"/>
      <c r="BJ164" s="2"/>
      <c r="BK164" s="2"/>
    </row>
    <row r="165" spans="1:63" outlineLevel="1">
      <c r="AJ165" s="198"/>
    </row>
    <row r="166" spans="1:63" s="187" customFormat="1" ht="15.5" thickBot="1">
      <c r="A166" s="187" t="s">
        <v>463</v>
      </c>
      <c r="B166" s="202"/>
      <c r="C166" s="607">
        <f>C167</f>
        <v>0.05</v>
      </c>
      <c r="D166" s="607">
        <f t="shared" ref="D166:AG166" si="30">D167</f>
        <v>5.2386857178825456E-2</v>
      </c>
      <c r="E166" s="607">
        <f t="shared" si="30"/>
        <v>5.477371435765091E-2</v>
      </c>
      <c r="F166" s="607">
        <f t="shared" si="30"/>
        <v>5.7160571536476371E-2</v>
      </c>
      <c r="G166" s="607">
        <f t="shared" si="30"/>
        <v>5.9547428715301824E-2</v>
      </c>
      <c r="H166" s="607">
        <f t="shared" si="30"/>
        <v>6.1934285894127278E-2</v>
      </c>
      <c r="I166" s="607">
        <f t="shared" si="30"/>
        <v>6.4108180524401759E-2</v>
      </c>
      <c r="J166" s="607">
        <f t="shared" si="30"/>
        <v>6.6264802343924623E-2</v>
      </c>
      <c r="K166" s="607">
        <f t="shared" si="30"/>
        <v>6.8403978642033819E-2</v>
      </c>
      <c r="L166" s="607">
        <f t="shared" si="30"/>
        <v>7.0525534397791023E-2</v>
      </c>
      <c r="M166" s="607">
        <f t="shared" si="30"/>
        <v>7.2629292241222332E-2</v>
      </c>
      <c r="N166" s="607">
        <f t="shared" si="30"/>
        <v>7.6834467416128469E-2</v>
      </c>
      <c r="O166" s="607">
        <f t="shared" si="30"/>
        <v>8.1006573558781728E-2</v>
      </c>
      <c r="P166" s="607">
        <f t="shared" si="30"/>
        <v>8.5145274408480298E-2</v>
      </c>
      <c r="Q166" s="607">
        <f t="shared" si="30"/>
        <v>8.9250229130018358E-2</v>
      </c>
      <c r="R166" s="607">
        <f t="shared" si="30"/>
        <v>9.3321092235630787E-2</v>
      </c>
      <c r="S166" s="607">
        <f t="shared" si="30"/>
        <v>9.7357513505334614E-2</v>
      </c>
      <c r="T166" s="607">
        <f t="shared" si="30"/>
        <v>0.10135913790562757</v>
      </c>
      <c r="U166" s="607">
        <f t="shared" si="30"/>
        <v>0.10532560550650541</v>
      </c>
      <c r="V166" s="607">
        <f t="shared" si="30"/>
        <v>0.10925655139675584</v>
      </c>
      <c r="W166" s="607">
        <f t="shared" si="30"/>
        <v>0.11315160559748859</v>
      </c>
      <c r="X166" s="607">
        <f t="shared" si="30"/>
        <v>0.1203278028610848</v>
      </c>
      <c r="Y166" s="607">
        <f t="shared" si="30"/>
        <v>0.12744141797663824</v>
      </c>
      <c r="Z166" s="607">
        <f t="shared" si="30"/>
        <v>0.13449179225473185</v>
      </c>
      <c r="AA166" s="607">
        <f t="shared" si="30"/>
        <v>0.14147825772962278</v>
      </c>
      <c r="AB166" s="607">
        <f t="shared" si="30"/>
        <v>0.14840013699536708</v>
      </c>
      <c r="AC166" s="607">
        <f t="shared" si="30"/>
        <v>0.15523737513749419</v>
      </c>
      <c r="AD166" s="607">
        <f t="shared" si="30"/>
        <v>0.16200648747004362</v>
      </c>
      <c r="AE166" s="607">
        <f t="shared" si="30"/>
        <v>0.16870672179204368</v>
      </c>
      <c r="AF166" s="607">
        <f t="shared" si="30"/>
        <v>0.17533731478786224</v>
      </c>
      <c r="AG166" s="607">
        <f t="shared" si="30"/>
        <v>0.18189749182115597</v>
      </c>
      <c r="AJ166" s="217" t="s">
        <v>472</v>
      </c>
      <c r="AL166" s="204"/>
      <c r="AM166" s="211"/>
      <c r="AN166" s="211"/>
      <c r="AO166" s="211"/>
    </row>
    <row r="167" spans="1:63" ht="15.5" outlineLevel="2" thickTop="1">
      <c r="A167" t="s">
        <v>464</v>
      </c>
      <c r="B167" s="51" t="s">
        <v>126</v>
      </c>
      <c r="C167" s="122">
        <f>'Ethylene Recycling HC'!C206*'Ethylene Recycling HC'!C$46/'Ethylene Recycling LC'!C$46</f>
        <v>0.05</v>
      </c>
      <c r="D167" s="122">
        <f>'Ethylene Recycling HC'!D206*'Ethylene Recycling HC'!D$46/'Ethylene Recycling LC'!D$46</f>
        <v>5.2386857178825456E-2</v>
      </c>
      <c r="E167" s="122">
        <f>'Ethylene Recycling HC'!E206*'Ethylene Recycling HC'!E$46/'Ethylene Recycling LC'!E$46</f>
        <v>5.477371435765091E-2</v>
      </c>
      <c r="F167" s="122">
        <f>'Ethylene Recycling HC'!F206*'Ethylene Recycling HC'!F$46/'Ethylene Recycling LC'!F$46</f>
        <v>5.7160571536476371E-2</v>
      </c>
      <c r="G167" s="122">
        <f>'Ethylene Recycling HC'!G206*'Ethylene Recycling HC'!G$46/'Ethylene Recycling LC'!G$46</f>
        <v>5.9547428715301824E-2</v>
      </c>
      <c r="H167" s="122">
        <f>'Ethylene Recycling HC'!H206*'Ethylene Recycling HC'!H$46/'Ethylene Recycling LC'!H$46</f>
        <v>6.1934285894127278E-2</v>
      </c>
      <c r="I167" s="122">
        <f>'Ethylene Recycling HC'!I206*'Ethylene Recycling HC'!I$46/'Ethylene Recycling LC'!I$46</f>
        <v>6.4108180524401759E-2</v>
      </c>
      <c r="J167" s="122">
        <f>'Ethylene Recycling HC'!J206*'Ethylene Recycling HC'!J$46/'Ethylene Recycling LC'!J$46</f>
        <v>6.6264802343924623E-2</v>
      </c>
      <c r="K167" s="122">
        <f>'Ethylene Recycling HC'!K206*'Ethylene Recycling HC'!K$46/'Ethylene Recycling LC'!K$46</f>
        <v>6.8403978642033819E-2</v>
      </c>
      <c r="L167" s="122">
        <f>'Ethylene Recycling HC'!L206*'Ethylene Recycling HC'!L$46/'Ethylene Recycling LC'!L$46</f>
        <v>7.0525534397791023E-2</v>
      </c>
      <c r="M167" s="122">
        <f>'Ethylene Recycling HC'!M206*'Ethylene Recycling HC'!M$46/'Ethylene Recycling LC'!M$46</f>
        <v>7.2629292241222332E-2</v>
      </c>
      <c r="N167" s="122">
        <f>'Ethylene Recycling HC'!N206*'Ethylene Recycling HC'!N$46/'Ethylene Recycling LC'!N$46</f>
        <v>7.6834467416128469E-2</v>
      </c>
      <c r="O167" s="122">
        <f>'Ethylene Recycling HC'!O206*'Ethylene Recycling HC'!O$46/'Ethylene Recycling LC'!O$46</f>
        <v>8.1006573558781728E-2</v>
      </c>
      <c r="P167" s="122">
        <f>'Ethylene Recycling HC'!P206*'Ethylene Recycling HC'!P$46/'Ethylene Recycling LC'!P$46</f>
        <v>8.5145274408480298E-2</v>
      </c>
      <c r="Q167" s="122">
        <f>'Ethylene Recycling HC'!Q206*'Ethylene Recycling HC'!Q$46/'Ethylene Recycling LC'!Q$46</f>
        <v>8.9250229130018358E-2</v>
      </c>
      <c r="R167" s="122">
        <f>'Ethylene Recycling HC'!R206*'Ethylene Recycling HC'!R$46/'Ethylene Recycling LC'!R$46</f>
        <v>9.3321092235630787E-2</v>
      </c>
      <c r="S167" s="122">
        <f>'Ethylene Recycling HC'!S206*'Ethylene Recycling HC'!S$46/'Ethylene Recycling LC'!S$46</f>
        <v>9.7357513505334614E-2</v>
      </c>
      <c r="T167" s="122">
        <f>'Ethylene Recycling HC'!T206*'Ethylene Recycling HC'!T$46/'Ethylene Recycling LC'!T$46</f>
        <v>0.10135913790562757</v>
      </c>
      <c r="U167" s="122">
        <f>'Ethylene Recycling HC'!U206*'Ethylene Recycling HC'!U$46/'Ethylene Recycling LC'!U$46</f>
        <v>0.10532560550650541</v>
      </c>
      <c r="V167" s="122">
        <f>'Ethylene Recycling HC'!V206*'Ethylene Recycling HC'!V$46/'Ethylene Recycling LC'!V$46</f>
        <v>0.10925655139675584</v>
      </c>
      <c r="W167" s="122">
        <f>'Ethylene Recycling HC'!W206*'Ethylene Recycling HC'!W$46/'Ethylene Recycling LC'!W$46</f>
        <v>0.11315160559748859</v>
      </c>
      <c r="X167" s="122">
        <f>'Ethylene Recycling HC'!X206*'Ethylene Recycling HC'!X$46/'Ethylene Recycling LC'!X$46</f>
        <v>0.1203278028610848</v>
      </c>
      <c r="Y167" s="122">
        <f>'Ethylene Recycling HC'!Y206*'Ethylene Recycling HC'!Y$46/'Ethylene Recycling LC'!Y$46</f>
        <v>0.12744141797663824</v>
      </c>
      <c r="Z167" s="122">
        <f>'Ethylene Recycling HC'!Z206*'Ethylene Recycling HC'!Z$46/'Ethylene Recycling LC'!Z$46</f>
        <v>0.13449179225473185</v>
      </c>
      <c r="AA167" s="122">
        <f>'Ethylene Recycling HC'!AA206*'Ethylene Recycling HC'!AA$46/'Ethylene Recycling LC'!AA$46</f>
        <v>0.14147825772962278</v>
      </c>
      <c r="AB167" s="122">
        <f>'Ethylene Recycling HC'!AB206*'Ethylene Recycling HC'!AB$46/'Ethylene Recycling LC'!AB$46</f>
        <v>0.14840013699536708</v>
      </c>
      <c r="AC167" s="122">
        <f>'Ethylene Recycling HC'!AC206*'Ethylene Recycling HC'!AC$46/'Ethylene Recycling LC'!AC$46</f>
        <v>0.15523737513749419</v>
      </c>
      <c r="AD167" s="122">
        <f>'Ethylene Recycling HC'!AD206*'Ethylene Recycling HC'!AD$46/'Ethylene Recycling LC'!AD$46</f>
        <v>0.16200648747004362</v>
      </c>
      <c r="AE167" s="122">
        <f>'Ethylene Recycling HC'!AE206*'Ethylene Recycling HC'!AE$46/'Ethylene Recycling LC'!AE$46</f>
        <v>0.16870672179204368</v>
      </c>
      <c r="AF167" s="122">
        <f>'Ethylene Recycling HC'!AF206*'Ethylene Recycling HC'!AF$46/'Ethylene Recycling LC'!AF$46</f>
        <v>0.17533731478786224</v>
      </c>
      <c r="AG167" s="122">
        <f>'Ethylene Recycling HC'!AG206*'Ethylene Recycling HC'!AG$46/'Ethylene Recycling LC'!AG$46</f>
        <v>0.18189749182115597</v>
      </c>
      <c r="AI167" s="126" t="s">
        <v>492</v>
      </c>
      <c r="AJ167" s="198" t="s">
        <v>465</v>
      </c>
    </row>
    <row r="168" spans="1:63" outlineLevel="2">
      <c r="C168" s="608"/>
      <c r="D168" s="122"/>
      <c r="E168" s="122"/>
      <c r="F168" s="122"/>
      <c r="G168" s="122"/>
      <c r="H168" s="122"/>
      <c r="I168" s="122"/>
      <c r="J168" s="122"/>
      <c r="K168" s="122"/>
      <c r="L168" s="122"/>
      <c r="M168" s="111"/>
      <c r="N168" s="111"/>
      <c r="O168" s="111"/>
      <c r="P168" s="111"/>
      <c r="Q168" s="111"/>
      <c r="R168" s="111"/>
      <c r="S168" s="111"/>
      <c r="T168" s="111"/>
      <c r="U168" s="111"/>
      <c r="V168" s="111"/>
      <c r="W168" s="111"/>
      <c r="AG168" s="105"/>
      <c r="AJ168" s="198"/>
    </row>
    <row r="169" spans="1:63" s="1" customFormat="1" outlineLevel="1">
      <c r="A169" s="1" t="s">
        <v>261</v>
      </c>
      <c r="B169" s="61"/>
      <c r="C169" s="606">
        <f>'Ethylene Recycling HC'!C211</f>
        <v>21175.881960356954</v>
      </c>
      <c r="D169" s="606">
        <f>'Ethylene Recycling HC'!D211</f>
        <v>22186.758077857721</v>
      </c>
      <c r="E169" s="606">
        <f>'Ethylene Recycling HC'!E211</f>
        <v>23197.634195358489</v>
      </c>
      <c r="F169" s="606">
        <f>'Ethylene Recycling HC'!F211</f>
        <v>24208.51031285926</v>
      </c>
      <c r="G169" s="606">
        <f>'Ethylene Recycling HC'!G211</f>
        <v>25219.386430360028</v>
      </c>
      <c r="H169" s="606">
        <f>'Ethylene Recycling HC'!H211</f>
        <v>26230.262547860795</v>
      </c>
      <c r="I169" s="606">
        <f>'Ethylene Recycling HC'!I211</f>
        <v>27061.347150170172</v>
      </c>
      <c r="J169" s="606">
        <f>'Ethylene Recycling HC'!J211</f>
        <v>27879.08818772855</v>
      </c>
      <c r="K169" s="606">
        <f>'Ethylene Recycling HC'!K211</f>
        <v>28683.485660535913</v>
      </c>
      <c r="L169" s="606">
        <f>'Ethylene Recycling HC'!L211</f>
        <v>29474.539568592259</v>
      </c>
      <c r="M169" s="606">
        <f>'Ethylene Recycling HC'!M211</f>
        <v>30252.249911897605</v>
      </c>
      <c r="N169" s="606">
        <f>'Ethylene Recycling HC'!N211</f>
        <v>31896.4453552702</v>
      </c>
      <c r="O169" s="606">
        <f>'Ethylene Recycling HC'!O211</f>
        <v>33515.204628336185</v>
      </c>
      <c r="P169" s="606">
        <f>'Ethylene Recycling HC'!P211</f>
        <v>35108.527731095543</v>
      </c>
      <c r="Q169" s="606">
        <f>'Ethylene Recycling HC'!Q211</f>
        <v>36676.414663548305</v>
      </c>
      <c r="R169" s="606">
        <f>'Ethylene Recycling HC'!R211</f>
        <v>38218.865425694443</v>
      </c>
      <c r="S169" s="606">
        <f>'Ethylene Recycling HC'!S211</f>
        <v>39735.880017533978</v>
      </c>
      <c r="T169" s="606">
        <f>'Ethylene Recycling HC'!T211</f>
        <v>41227.458439066882</v>
      </c>
      <c r="U169" s="606">
        <f>'Ethylene Recycling HC'!U211</f>
        <v>42693.600690293191</v>
      </c>
      <c r="V169" s="606">
        <f>'Ethylene Recycling HC'!V211</f>
        <v>44134.306771212883</v>
      </c>
      <c r="W169" s="606">
        <f>'Ethylene Recycling HC'!W211</f>
        <v>45549.576681825958</v>
      </c>
      <c r="X169" s="606">
        <f>'Ethylene Recycling HC'!X211</f>
        <v>48270.208997176836</v>
      </c>
      <c r="Y169" s="606">
        <f>'Ethylene Recycling HC'!Y211</f>
        <v>50945.764555022346</v>
      </c>
      <c r="Z169" s="606">
        <f>'Ethylene Recycling HC'!Z211</f>
        <v>53576.243355362436</v>
      </c>
      <c r="AA169" s="606">
        <f>'Ethylene Recycling HC'!AA211</f>
        <v>56161.645398197143</v>
      </c>
      <c r="AB169" s="606">
        <f>'Ethylene Recycling HC'!AB211</f>
        <v>58701.970683526466</v>
      </c>
      <c r="AC169" s="606">
        <f>'Ethylene Recycling HC'!AC211</f>
        <v>61183.010430479408</v>
      </c>
      <c r="AD169" s="606">
        <f>'Ethylene Recycling HC'!AD211</f>
        <v>63617.607457578313</v>
      </c>
      <c r="AE169" s="606">
        <f>'Ethylene Recycling HC'!AE211</f>
        <v>66005.761764823183</v>
      </c>
      <c r="AF169" s="606">
        <f>'Ethylene Recycling HC'!AF211</f>
        <v>68347.473352214016</v>
      </c>
      <c r="AG169" s="606">
        <f>'Ethylene Recycling HC'!AG211</f>
        <v>70642.742219750784</v>
      </c>
      <c r="AH169" s="397"/>
      <c r="AI169" s="398"/>
      <c r="AJ169" s="399"/>
      <c r="AL169" s="207"/>
      <c r="AM169" s="118"/>
      <c r="AN169" s="118"/>
      <c r="AO169" s="118"/>
      <c r="BD169" s="118"/>
      <c r="BE169" s="118"/>
      <c r="BF169" s="118"/>
      <c r="BG169" s="118"/>
      <c r="BH169" s="118"/>
      <c r="BI169" s="118"/>
      <c r="BJ169" s="118"/>
      <c r="BK169" s="118"/>
    </row>
    <row r="170" spans="1:63" outlineLevel="1">
      <c r="A170" s="4" t="s">
        <v>141</v>
      </c>
      <c r="C170" s="122">
        <f>'Ethylene Recycling HC'!C212</f>
        <v>15198.824934281774</v>
      </c>
      <c r="D170" s="122">
        <f>'Ethylene Recycling HC'!D212</f>
        <v>15924.373422363809</v>
      </c>
      <c r="E170" s="122">
        <f>'Ethylene Recycling HC'!E212</f>
        <v>16649.921910445843</v>
      </c>
      <c r="F170" s="122">
        <f>'Ethylene Recycling HC'!F212</f>
        <v>17375.470398527879</v>
      </c>
      <c r="G170" s="122">
        <f>'Ethylene Recycling HC'!G212</f>
        <v>18101.018886609916</v>
      </c>
      <c r="H170" s="122">
        <f>'Ethylene Recycling HC'!H212</f>
        <v>18826.567374691949</v>
      </c>
      <c r="I170" s="122">
        <f>'Ethylene Recycling HC'!I212</f>
        <v>19423.071898079674</v>
      </c>
      <c r="J170" s="122">
        <f>'Ethylene Recycling HC'!J212</f>
        <v>20009.999181424722</v>
      </c>
      <c r="K170" s="122">
        <f>'Ethylene Recycling HC'!K212</f>
        <v>20587.349224727084</v>
      </c>
      <c r="L170" s="122">
        <f>'Ethylene Recycling HC'!L212</f>
        <v>21155.122027986759</v>
      </c>
      <c r="M170" s="122">
        <f>'Ethylene Recycling HC'!M212</f>
        <v>21713.317591203755</v>
      </c>
      <c r="N170" s="122">
        <f>'Ethylene Recycling HC'!N212</f>
        <v>22893.426110336371</v>
      </c>
      <c r="O170" s="122">
        <f>'Ethylene Recycling HC'!O212</f>
        <v>24055.278015637621</v>
      </c>
      <c r="P170" s="122">
        <f>'Ethylene Recycling HC'!P212</f>
        <v>25198.8733071075</v>
      </c>
      <c r="Q170" s="122">
        <f>'Ethylene Recycling HC'!Q212</f>
        <v>26324.211984746027</v>
      </c>
      <c r="R170" s="122">
        <f>'Ethylene Recycling HC'!R212</f>
        <v>27431.29404855318</v>
      </c>
      <c r="S170" s="122">
        <f>'Ethylene Recycling HC'!S212</f>
        <v>28520.119498528977</v>
      </c>
      <c r="T170" s="122">
        <f>'Ethylene Recycling HC'!T212</f>
        <v>29590.688334673396</v>
      </c>
      <c r="U170" s="122">
        <f>'Ethylene Recycling HC'!U212</f>
        <v>30643.000556986462</v>
      </c>
      <c r="V170" s="122">
        <f>'Ethylene Recycling HC'!V212</f>
        <v>31677.056165468166</v>
      </c>
      <c r="W170" s="122">
        <f>'Ethylene Recycling HC'!W212</f>
        <v>32692.855160118499</v>
      </c>
      <c r="X170" s="122">
        <f>'Ethylene Recycling HC'!X212</f>
        <v>34645.567890052451</v>
      </c>
      <c r="Y170" s="122">
        <f>'Ethylene Recycling HC'!Y212</f>
        <v>36565.927127120704</v>
      </c>
      <c r="Z170" s="122">
        <f>'Ethylene Recycling HC'!Z212</f>
        <v>38453.932871323232</v>
      </c>
      <c r="AA170" s="122">
        <f>'Ethylene Recycling HC'!AA212</f>
        <v>40309.58512266005</v>
      </c>
      <c r="AB170" s="122">
        <f>'Ethylene Recycling HC'!AB212</f>
        <v>42132.883881131173</v>
      </c>
      <c r="AC170" s="122">
        <f>'Ethylene Recycling HC'!AC212</f>
        <v>43913.630904538586</v>
      </c>
      <c r="AD170" s="122">
        <f>'Ethylene Recycling HC'!AD212</f>
        <v>45661.044026205585</v>
      </c>
      <c r="AE170" s="122">
        <f>'Ethylene Recycling HC'!AE212</f>
        <v>47375.123246132149</v>
      </c>
      <c r="AF170" s="122">
        <f>'Ethylene Recycling HC'!AF212</f>
        <v>49055.868564318291</v>
      </c>
      <c r="AG170" s="122">
        <f>'Ethylene Recycling HC'!AG212</f>
        <v>50703.279980763989</v>
      </c>
      <c r="AH170" s="230"/>
      <c r="AI170" s="126"/>
      <c r="AJ170" s="198"/>
      <c r="AL170" s="102"/>
      <c r="AM170" s="2"/>
      <c r="AN170" s="2"/>
      <c r="AO170" s="2"/>
      <c r="BC170" s="1"/>
      <c r="BD170" s="2"/>
      <c r="BE170" s="2"/>
      <c r="BF170" s="2"/>
      <c r="BG170" s="2"/>
      <c r="BH170" s="2"/>
      <c r="BI170" s="2"/>
      <c r="BJ170" s="2"/>
      <c r="BK170" s="2"/>
    </row>
    <row r="171" spans="1:63" outlineLevel="1">
      <c r="A171" s="4" t="s">
        <v>74</v>
      </c>
      <c r="C171" s="122">
        <f>'Ethylene Recycling HC'!C213</f>
        <v>1474.8273288757111</v>
      </c>
      <c r="D171" s="122">
        <f>'Ethylene Recycling HC'!D213</f>
        <v>1545.2313728248103</v>
      </c>
      <c r="E171" s="122">
        <f>'Ethylene Recycling HC'!E213</f>
        <v>1615.6354167739094</v>
      </c>
      <c r="F171" s="122">
        <f>'Ethylene Recycling HC'!F213</f>
        <v>1686.0394607230087</v>
      </c>
      <c r="G171" s="122">
        <f>'Ethylene Recycling HC'!G213</f>
        <v>1756.4435046721078</v>
      </c>
      <c r="H171" s="122">
        <f>'Ethylene Recycling HC'!H213</f>
        <v>1826.8475486212069</v>
      </c>
      <c r="I171" s="122">
        <f>'Ethylene Recycling HC'!I213</f>
        <v>1884.7297320593418</v>
      </c>
      <c r="J171" s="122">
        <f>'Ethylene Recycling HC'!J213</f>
        <v>1941.6825821173493</v>
      </c>
      <c r="K171" s="122">
        <f>'Ethylene Recycling HC'!K213</f>
        <v>1997.7060987952282</v>
      </c>
      <c r="L171" s="122">
        <f>'Ethylene Recycling HC'!L213</f>
        <v>2052.8002820929787</v>
      </c>
      <c r="M171" s="122">
        <f>'Ethylene Recycling HC'!M213</f>
        <v>2106.9651320106018</v>
      </c>
      <c r="N171" s="122">
        <f>'Ethylene Recycling HC'!N213</f>
        <v>2221.4776882497445</v>
      </c>
      <c r="O171" s="122">
        <f>'Ethylene Recycling HC'!O213</f>
        <v>2334.2187027330178</v>
      </c>
      <c r="P171" s="122">
        <f>'Ethylene Recycling HC'!P213</f>
        <v>2445.188175460421</v>
      </c>
      <c r="Q171" s="122">
        <f>'Ethylene Recycling HC'!Q213</f>
        <v>2554.3861064319567</v>
      </c>
      <c r="R171" s="122">
        <f>'Ethylene Recycling HC'!R213</f>
        <v>2661.8124956476222</v>
      </c>
      <c r="S171" s="122">
        <f>'Ethylene Recycling HC'!S213</f>
        <v>2767.4673431074189</v>
      </c>
      <c r="T171" s="122">
        <f>'Ethylene Recycling HC'!T213</f>
        <v>2871.3506488113453</v>
      </c>
      <c r="U171" s="122">
        <f>'Ethylene Recycling HC'!U213</f>
        <v>2973.4624127594038</v>
      </c>
      <c r="V171" s="122">
        <f>'Ethylene Recycling HC'!V213</f>
        <v>3073.8026349515926</v>
      </c>
      <c r="W171" s="122">
        <f>'Ethylene Recycling HC'!W213</f>
        <v>3172.3713153879121</v>
      </c>
      <c r="X171" s="122">
        <f>'Ethylene Recycling HC'!X213</f>
        <v>3361.8539965821856</v>
      </c>
      <c r="Y171" s="122">
        <f>'Ethylene Recycling HC'!Y213</f>
        <v>3548.1972366901095</v>
      </c>
      <c r="Z171" s="122">
        <f>'Ethylene Recycling HC'!Z213</f>
        <v>3731.4010357116813</v>
      </c>
      <c r="AA171" s="122">
        <f>'Ethylene Recycling HC'!AA213</f>
        <v>3911.4653936469031</v>
      </c>
      <c r="AB171" s="122">
        <f>'Ethylene Recycling HC'!AB213</f>
        <v>4088.3903104957744</v>
      </c>
      <c r="AC171" s="122">
        <f>'Ethylene Recycling HC'!AC213</f>
        <v>4261.1861935519437</v>
      </c>
      <c r="AD171" s="122">
        <f>'Ethylene Recycling HC'!AD213</f>
        <v>4430.7475009433874</v>
      </c>
      <c r="AE171" s="122">
        <f>'Ethylene Recycling HC'!AE213</f>
        <v>4597.0742326701074</v>
      </c>
      <c r="AF171" s="122">
        <f>'Ethylene Recycling HC'!AF213</f>
        <v>4760.1663887321029</v>
      </c>
      <c r="AG171" s="122">
        <f>'Ethylene Recycling HC'!AG213</f>
        <v>4920.0239691293709</v>
      </c>
      <c r="AH171" s="230"/>
      <c r="AI171" s="126"/>
      <c r="AJ171" s="198"/>
      <c r="AL171" s="102"/>
      <c r="AM171" s="2"/>
      <c r="AN171" s="2"/>
      <c r="AO171" s="2"/>
      <c r="BC171" s="1"/>
      <c r="BD171" s="2"/>
      <c r="BE171" s="2"/>
      <c r="BF171" s="2"/>
      <c r="BG171" s="2"/>
      <c r="BH171" s="2"/>
      <c r="BI171" s="2"/>
      <c r="BJ171" s="2"/>
      <c r="BK171" s="2"/>
    </row>
    <row r="172" spans="1:63" outlineLevel="1">
      <c r="A172" s="4" t="s">
        <v>34</v>
      </c>
      <c r="C172" s="122">
        <f>'Ethylene Recycling HC'!C214</f>
        <v>3404.5367852791182</v>
      </c>
      <c r="D172" s="122">
        <f>'Ethylene Recycling HC'!D214</f>
        <v>3567.0596466094944</v>
      </c>
      <c r="E172" s="122">
        <f>'Ethylene Recycling HC'!E214</f>
        <v>3729.5825079398701</v>
      </c>
      <c r="F172" s="122">
        <f>'Ethylene Recycling HC'!F214</f>
        <v>3892.1053692702462</v>
      </c>
      <c r="G172" s="122">
        <f>'Ethylene Recycling HC'!G214</f>
        <v>4054.6282306006224</v>
      </c>
      <c r="H172" s="122">
        <f>'Ethylene Recycling HC'!H214</f>
        <v>4217.1510919309976</v>
      </c>
      <c r="I172" s="122">
        <f>'Ethylene Recycling HC'!I214</f>
        <v>4350.7681051698482</v>
      </c>
      <c r="J172" s="122">
        <f>'Ethylene Recycling HC'!J214</f>
        <v>4482.2398166391386</v>
      </c>
      <c r="K172" s="122">
        <f>'Ethylene Recycling HC'!K214</f>
        <v>4611.5662263388676</v>
      </c>
      <c r="L172" s="122">
        <f>'Ethylene Recycling HC'!L214</f>
        <v>4738.7473342690355</v>
      </c>
      <c r="M172" s="122">
        <f>'Ethylene Recycling HC'!M214</f>
        <v>4863.783140429643</v>
      </c>
      <c r="N172" s="122">
        <f>'Ethylene Recycling HC'!N214</f>
        <v>5128.1274487153487</v>
      </c>
      <c r="O172" s="122">
        <f>'Ethylene Recycling HC'!O214</f>
        <v>5388.3822755028286</v>
      </c>
      <c r="P172" s="122">
        <f>'Ethylene Recycling HC'!P214</f>
        <v>5644.547620792081</v>
      </c>
      <c r="Q172" s="122">
        <f>'Ethylene Recycling HC'!Q214</f>
        <v>5896.6234845831113</v>
      </c>
      <c r="R172" s="122">
        <f>'Ethylene Recycling HC'!R214</f>
        <v>6144.6098668759132</v>
      </c>
      <c r="S172" s="122">
        <f>'Ethylene Recycling HC'!S214</f>
        <v>6388.5067676704921</v>
      </c>
      <c r="T172" s="122">
        <f>'Ethylene Recycling HC'!T214</f>
        <v>6628.3141869668425</v>
      </c>
      <c r="U172" s="122">
        <f>'Ethylene Recycling HC'!U214</f>
        <v>6864.0321247649699</v>
      </c>
      <c r="V172" s="122">
        <f>'Ethylene Recycling HC'!V214</f>
        <v>7095.6605810648707</v>
      </c>
      <c r="W172" s="122">
        <f>'Ethylene Recycling HC'!W214</f>
        <v>7323.1995558665458</v>
      </c>
      <c r="X172" s="122">
        <f>'Ethylene Recycling HC'!X214</f>
        <v>7760.6072073717505</v>
      </c>
      <c r="Y172" s="122">
        <f>'Ethylene Recycling HC'!Y214</f>
        <v>8190.7676764750395</v>
      </c>
      <c r="Z172" s="122">
        <f>'Ethylene Recycling HC'!Z214</f>
        <v>8613.6809631764063</v>
      </c>
      <c r="AA172" s="122">
        <f>'Ethylene Recycling HC'!AA214</f>
        <v>9029.3470674758537</v>
      </c>
      <c r="AB172" s="122">
        <f>'Ethylene Recycling HC'!AB214</f>
        <v>9437.7659893733835</v>
      </c>
      <c r="AC172" s="122">
        <f>'Ethylene Recycling HC'!AC214</f>
        <v>9836.6533226166466</v>
      </c>
      <c r="AD172" s="122">
        <f>'Ethylene Recycling HC'!AD214</f>
        <v>10228.073861870052</v>
      </c>
      <c r="AE172" s="122">
        <f>'Ethylene Recycling HC'!AE214</f>
        <v>10612.027607133605</v>
      </c>
      <c r="AF172" s="122">
        <f>'Ethylene Recycling HC'!AF214</f>
        <v>10988.5145584073</v>
      </c>
      <c r="AG172" s="122">
        <f>'Ethylene Recycling HC'!AG214</f>
        <v>11357.534715691139</v>
      </c>
      <c r="AH172" s="230"/>
      <c r="AI172" s="126"/>
      <c r="AJ172" s="198"/>
      <c r="AL172" s="102"/>
      <c r="AM172" s="2"/>
      <c r="AN172" s="2"/>
      <c r="AO172" s="2"/>
      <c r="BC172" s="1"/>
      <c r="BD172" s="2"/>
      <c r="BE172" s="2"/>
      <c r="BF172" s="2"/>
      <c r="BG172" s="2"/>
      <c r="BH172" s="2"/>
      <c r="BI172" s="2"/>
      <c r="BJ172" s="2"/>
      <c r="BK172" s="2"/>
    </row>
    <row r="173" spans="1:63" outlineLevel="1">
      <c r="A173" s="4" t="s">
        <v>35</v>
      </c>
      <c r="C173" s="122">
        <f>'Ethylene Recycling HC'!C215</f>
        <v>0</v>
      </c>
      <c r="D173" s="122">
        <f>'Ethylene Recycling HC'!D215</f>
        <v>0</v>
      </c>
      <c r="E173" s="122">
        <f>'Ethylene Recycling HC'!E215</f>
        <v>0</v>
      </c>
      <c r="F173" s="122">
        <f>'Ethylene Recycling HC'!F215</f>
        <v>0</v>
      </c>
      <c r="G173" s="122">
        <f>'Ethylene Recycling HC'!G215</f>
        <v>0</v>
      </c>
      <c r="H173" s="122">
        <f>'Ethylene Recycling HC'!H215</f>
        <v>0</v>
      </c>
      <c r="I173" s="122">
        <f>'Ethylene Recycling HC'!I215</f>
        <v>0</v>
      </c>
      <c r="J173" s="122">
        <f>'Ethylene Recycling HC'!J215</f>
        <v>0</v>
      </c>
      <c r="K173" s="122">
        <f>'Ethylene Recycling HC'!K215</f>
        <v>0</v>
      </c>
      <c r="L173" s="122">
        <f>'Ethylene Recycling HC'!L215</f>
        <v>0</v>
      </c>
      <c r="M173" s="122">
        <f>'Ethylene Recycling HC'!M215</f>
        <v>0</v>
      </c>
      <c r="N173" s="122">
        <f>'Ethylene Recycling HC'!N215</f>
        <v>0</v>
      </c>
      <c r="O173" s="122">
        <f>'Ethylene Recycling HC'!O215</f>
        <v>0</v>
      </c>
      <c r="P173" s="122">
        <f>'Ethylene Recycling HC'!P215</f>
        <v>0</v>
      </c>
      <c r="Q173" s="122">
        <f>'Ethylene Recycling HC'!Q215</f>
        <v>0</v>
      </c>
      <c r="R173" s="122">
        <f>'Ethylene Recycling HC'!R215</f>
        <v>0</v>
      </c>
      <c r="S173" s="122">
        <f>'Ethylene Recycling HC'!S215</f>
        <v>0</v>
      </c>
      <c r="T173" s="122">
        <f>'Ethylene Recycling HC'!T215</f>
        <v>0</v>
      </c>
      <c r="U173" s="122">
        <f>'Ethylene Recycling HC'!U215</f>
        <v>0</v>
      </c>
      <c r="V173" s="122">
        <f>'Ethylene Recycling HC'!V215</f>
        <v>0</v>
      </c>
      <c r="W173" s="122">
        <f>'Ethylene Recycling HC'!W215</f>
        <v>0</v>
      </c>
      <c r="X173" s="122">
        <f>'Ethylene Recycling HC'!X215</f>
        <v>0</v>
      </c>
      <c r="Y173" s="122">
        <f>'Ethylene Recycling HC'!Y215</f>
        <v>0</v>
      </c>
      <c r="Z173" s="122">
        <f>'Ethylene Recycling HC'!Z215</f>
        <v>0</v>
      </c>
      <c r="AA173" s="122">
        <f>'Ethylene Recycling HC'!AA215</f>
        <v>0</v>
      </c>
      <c r="AB173" s="122">
        <f>'Ethylene Recycling HC'!AB215</f>
        <v>0</v>
      </c>
      <c r="AC173" s="122">
        <f>'Ethylene Recycling HC'!AC215</f>
        <v>0</v>
      </c>
      <c r="AD173" s="122">
        <f>'Ethylene Recycling HC'!AD215</f>
        <v>0</v>
      </c>
      <c r="AE173" s="122">
        <f>'Ethylene Recycling HC'!AE215</f>
        <v>0</v>
      </c>
      <c r="AF173" s="122">
        <f>'Ethylene Recycling HC'!AF215</f>
        <v>0</v>
      </c>
      <c r="AG173" s="122">
        <f>'Ethylene Recycling HC'!AG215</f>
        <v>0</v>
      </c>
      <c r="AH173" s="230"/>
      <c r="AI173" s="126"/>
      <c r="AJ173" s="198"/>
      <c r="AL173" s="102"/>
      <c r="AM173" s="2"/>
      <c r="AN173" s="2"/>
      <c r="AO173" s="2"/>
      <c r="BC173" s="1"/>
      <c r="BD173" s="2"/>
      <c r="BE173" s="2"/>
      <c r="BF173" s="2"/>
      <c r="BG173" s="2"/>
      <c r="BH173" s="2"/>
      <c r="BI173" s="2"/>
      <c r="BJ173" s="2"/>
      <c r="BK173" s="2"/>
    </row>
    <row r="174" spans="1:63" outlineLevel="1">
      <c r="A174" s="4" t="s">
        <v>27</v>
      </c>
      <c r="C174" s="122">
        <f>'Ethylene Recycling HC'!C216</f>
        <v>1097.6929119203508</v>
      </c>
      <c r="D174" s="122">
        <f>'Ethylene Recycling HC'!D216</f>
        <v>1150.0936360596088</v>
      </c>
      <c r="E174" s="122">
        <f>'Ethylene Recycling HC'!E216</f>
        <v>1202.4943601988668</v>
      </c>
      <c r="F174" s="122">
        <f>'Ethylene Recycling HC'!F216</f>
        <v>1254.8950843381251</v>
      </c>
      <c r="G174" s="122">
        <f>'Ethylene Recycling HC'!G216</f>
        <v>1307.2958084773832</v>
      </c>
      <c r="H174" s="122">
        <f>'Ethylene Recycling HC'!H216</f>
        <v>1359.6965326166412</v>
      </c>
      <c r="I174" s="122">
        <f>'Ethylene Recycling HC'!I216</f>
        <v>1402.77741486131</v>
      </c>
      <c r="J174" s="122">
        <f>'Ethylene Recycling HC'!J216</f>
        <v>1445.1666075473413</v>
      </c>
      <c r="K174" s="122">
        <f>'Ethylene Recycling HC'!K216</f>
        <v>1486.8641106747343</v>
      </c>
      <c r="L174" s="122">
        <f>'Ethylene Recycling HC'!L216</f>
        <v>1527.8699242434884</v>
      </c>
      <c r="M174" s="122">
        <f>'Ethylene Recycling HC'!M216</f>
        <v>1568.1840482536049</v>
      </c>
      <c r="N174" s="122">
        <f>'Ethylene Recycling HC'!N216</f>
        <v>1653.4141079687383</v>
      </c>
      <c r="O174" s="122">
        <f>'Ethylene Recycling HC'!O216</f>
        <v>1737.3256344627175</v>
      </c>
      <c r="P174" s="122">
        <f>'Ethylene Recycling HC'!P216</f>
        <v>1819.918627735542</v>
      </c>
      <c r="Q174" s="122">
        <f>'Ethylene Recycling HC'!Q216</f>
        <v>1901.1930877872135</v>
      </c>
      <c r="R174" s="122">
        <f>'Ethylene Recycling HC'!R216</f>
        <v>1981.14901461773</v>
      </c>
      <c r="S174" s="122">
        <f>'Ethylene Recycling HC'!S216</f>
        <v>2059.786408227093</v>
      </c>
      <c r="T174" s="122">
        <f>'Ethylene Recycling HC'!T216</f>
        <v>2137.1052686153012</v>
      </c>
      <c r="U174" s="122">
        <f>'Ethylene Recycling HC'!U216</f>
        <v>2213.1055957823564</v>
      </c>
      <c r="V174" s="122">
        <f>'Ethylene Recycling HC'!V216</f>
        <v>2287.787389728257</v>
      </c>
      <c r="W174" s="122">
        <f>'Ethylene Recycling HC'!W216</f>
        <v>2361.1506504530034</v>
      </c>
      <c r="X174" s="122">
        <f>'Ethylene Recycling HC'!X216</f>
        <v>2502.1799031704554</v>
      </c>
      <c r="Y174" s="122">
        <f>'Ethylene Recycling HC'!Y216</f>
        <v>2640.8725147364958</v>
      </c>
      <c r="Z174" s="122">
        <f>'Ethylene Recycling HC'!Z216</f>
        <v>2777.2284851511226</v>
      </c>
      <c r="AA174" s="122">
        <f>'Ethylene Recycling HC'!AA216</f>
        <v>2911.2478144143379</v>
      </c>
      <c r="AB174" s="122">
        <f>'Ethylene Recycling HC'!AB216</f>
        <v>3042.9305025261406</v>
      </c>
      <c r="AC174" s="122">
        <f>'Ethylene Recycling HC'!AC216</f>
        <v>3171.5400097722322</v>
      </c>
      <c r="AD174" s="122">
        <f>'Ethylene Recycling HC'!AD216</f>
        <v>3297.7420685592929</v>
      </c>
      <c r="AE174" s="122">
        <f>'Ethylene Recycling HC'!AE216</f>
        <v>3421.536678887323</v>
      </c>
      <c r="AF174" s="122">
        <f>'Ethylene Recycling HC'!AF216</f>
        <v>3542.9238407563221</v>
      </c>
      <c r="AG174" s="122">
        <f>'Ethylene Recycling HC'!AG216</f>
        <v>3661.9035541662893</v>
      </c>
      <c r="AH174" s="230"/>
      <c r="AI174" s="126"/>
      <c r="AJ174" s="198"/>
      <c r="AL174" s="102"/>
      <c r="AM174" s="2"/>
      <c r="AN174" s="2"/>
      <c r="AO174" s="2"/>
      <c r="BC174" s="1"/>
      <c r="BD174" s="2"/>
      <c r="BE174" s="2"/>
      <c r="BF174" s="2"/>
      <c r="BG174" s="2"/>
      <c r="BH174" s="2"/>
      <c r="BI174" s="2"/>
      <c r="BJ174" s="2"/>
      <c r="BK174" s="2"/>
    </row>
    <row r="175" spans="1:63" outlineLevel="2">
      <c r="C175" s="608"/>
      <c r="D175" s="122"/>
      <c r="E175" s="122"/>
      <c r="F175" s="122"/>
      <c r="G175" s="122"/>
      <c r="H175" s="122"/>
      <c r="I175" s="122"/>
      <c r="J175" s="122"/>
      <c r="K175" s="122"/>
      <c r="L175" s="122"/>
      <c r="M175" s="111"/>
      <c r="N175" s="111"/>
      <c r="O175" s="111"/>
      <c r="P175" s="111"/>
      <c r="Q175" s="111"/>
      <c r="R175" s="111"/>
      <c r="S175" s="111"/>
      <c r="T175" s="111"/>
      <c r="U175" s="111"/>
      <c r="V175" s="111"/>
      <c r="W175" s="111"/>
      <c r="AG175" s="105"/>
      <c r="AJ175" s="198"/>
    </row>
    <row r="176" spans="1:63" s="187" customFormat="1" ht="15.5" thickBot="1">
      <c r="A176" s="213" t="s">
        <v>466</v>
      </c>
      <c r="B176" s="214"/>
      <c r="C176" s="609">
        <f t="shared" ref="C176:AG176" si="31">(C42*C59+C43*C95+C45*C128+C44*C157+C46*C166)/C47</f>
        <v>0.12177907427496035</v>
      </c>
      <c r="D176" s="609">
        <f t="shared" si="31"/>
        <v>0.1270782429018677</v>
      </c>
      <c r="E176" s="609">
        <f t="shared" si="31"/>
        <v>0.13231307500787451</v>
      </c>
      <c r="F176" s="609">
        <f t="shared" si="31"/>
        <v>0.13748285141143099</v>
      </c>
      <c r="G176" s="609">
        <f t="shared" si="31"/>
        <v>0.14258683073857689</v>
      </c>
      <c r="H176" s="609">
        <f t="shared" si="31"/>
        <v>0.14762424856027373</v>
      </c>
      <c r="I176" s="609">
        <f t="shared" si="31"/>
        <v>0.15249635006500362</v>
      </c>
      <c r="J176" s="609">
        <f t="shared" si="31"/>
        <v>0.15728975319428254</v>
      </c>
      <c r="K176" s="609">
        <f t="shared" si="31"/>
        <v>0.16200304550769187</v>
      </c>
      <c r="L176" s="609">
        <f t="shared" si="31"/>
        <v>0.16663476132142874</v>
      </c>
      <c r="M176" s="609">
        <f t="shared" si="31"/>
        <v>0.17118337917560855</v>
      </c>
      <c r="N176" s="609">
        <f t="shared" si="31"/>
        <v>0.18092369860256638</v>
      </c>
      <c r="O176" s="609">
        <f t="shared" si="31"/>
        <v>0.19058830969424731</v>
      </c>
      <c r="P176" s="609">
        <f t="shared" si="31"/>
        <v>0.19973348335115293</v>
      </c>
      <c r="Q176" s="609">
        <f t="shared" si="31"/>
        <v>0.20856319936367526</v>
      </c>
      <c r="R176" s="609">
        <f t="shared" si="31"/>
        <v>0.21706478172057225</v>
      </c>
      <c r="S176" s="609">
        <f t="shared" si="31"/>
        <v>0.22528661073697701</v>
      </c>
      <c r="T176" s="609">
        <f t="shared" si="31"/>
        <v>0.233160824948135</v>
      </c>
      <c r="U176" s="609">
        <f t="shared" si="31"/>
        <v>0.24067259752516809</v>
      </c>
      <c r="V176" s="609">
        <f t="shared" si="31"/>
        <v>0.24780604146763968</v>
      </c>
      <c r="W176" s="609">
        <f t="shared" si="31"/>
        <v>0.25454411311497888</v>
      </c>
      <c r="X176" s="609">
        <f t="shared" si="31"/>
        <v>0.26653222541618665</v>
      </c>
      <c r="Y176" s="609">
        <f t="shared" si="31"/>
        <v>0.27916075425177123</v>
      </c>
      <c r="Z176" s="609">
        <f t="shared" si="31"/>
        <v>0.29104810833743583</v>
      </c>
      <c r="AA176" s="609">
        <f t="shared" si="31"/>
        <v>0.30219039603867354</v>
      </c>
      <c r="AB176" s="609">
        <f t="shared" si="31"/>
        <v>0.31254821912996333</v>
      </c>
      <c r="AC176" s="609">
        <f t="shared" si="31"/>
        <v>0.32201100194415783</v>
      </c>
      <c r="AD176" s="609">
        <f t="shared" si="31"/>
        <v>0.33058850871803946</v>
      </c>
      <c r="AE176" s="609">
        <f t="shared" si="31"/>
        <v>0.33822898047740885</v>
      </c>
      <c r="AF176" s="609">
        <f t="shared" si="31"/>
        <v>0.34487594553123002</v>
      </c>
      <c r="AG176" s="609">
        <f t="shared" si="31"/>
        <v>0.35046767022371017</v>
      </c>
      <c r="AJ176" s="217"/>
      <c r="AL176" s="204"/>
      <c r="AM176" s="211"/>
      <c r="AN176" s="211"/>
      <c r="AO176" s="211"/>
    </row>
    <row r="177" spans="1:41" s="187" customFormat="1" ht="16.25" thickTop="1" thickBot="1">
      <c r="A177" s="213" t="s">
        <v>467</v>
      </c>
      <c r="B177" s="214"/>
      <c r="C177" s="609">
        <f t="shared" ref="C177:AG177" si="32">(C11*C49+C95*C12+C14*C128+C154*C13+C166*C15)/C16</f>
        <v>0.10391498889855581</v>
      </c>
      <c r="D177" s="609">
        <f t="shared" si="32"/>
        <v>0.10903044432426265</v>
      </c>
      <c r="E177" s="609">
        <f t="shared" si="32"/>
        <v>0.11412303487593525</v>
      </c>
      <c r="F177" s="609">
        <f t="shared" si="32"/>
        <v>0.11919200365822491</v>
      </c>
      <c r="G177" s="609">
        <f t="shared" si="32"/>
        <v>0.12423655999572598</v>
      </c>
      <c r="H177" s="609">
        <f t="shared" si="32"/>
        <v>0.12925587752721768</v>
      </c>
      <c r="I177" s="609">
        <f t="shared" si="32"/>
        <v>0.13392939930979286</v>
      </c>
      <c r="J177" s="609">
        <f t="shared" si="32"/>
        <v>0.1385439874774641</v>
      </c>
      <c r="K177" s="609">
        <f t="shared" si="32"/>
        <v>0.14309733348883893</v>
      </c>
      <c r="L177" s="609">
        <f t="shared" si="32"/>
        <v>0.14758699691572871</v>
      </c>
      <c r="M177" s="609">
        <f t="shared" si="32"/>
        <v>0.15201039551602144</v>
      </c>
      <c r="N177" s="609">
        <f t="shared" si="32"/>
        <v>0.16129736116580154</v>
      </c>
      <c r="O177" s="609">
        <f t="shared" si="32"/>
        <v>0.17047266787315321</v>
      </c>
      <c r="P177" s="609">
        <f t="shared" si="32"/>
        <v>0.17934544017186196</v>
      </c>
      <c r="Q177" s="609">
        <f t="shared" si="32"/>
        <v>0.18799430119444344</v>
      </c>
      <c r="R177" s="609">
        <f t="shared" si="32"/>
        <v>0.19640526820455187</v>
      </c>
      <c r="S177" s="609">
        <f t="shared" si="32"/>
        <v>0.2047312375398182</v>
      </c>
      <c r="T177" s="609">
        <f t="shared" si="32"/>
        <v>0.21281357182797261</v>
      </c>
      <c r="U177" s="609">
        <f t="shared" si="32"/>
        <v>0.22063640681614849</v>
      </c>
      <c r="V177" s="609">
        <f t="shared" si="32"/>
        <v>0.22818235452854926</v>
      </c>
      <c r="W177" s="609">
        <f t="shared" si="32"/>
        <v>0.23543230968642162</v>
      </c>
      <c r="X177" s="609">
        <f t="shared" si="32"/>
        <v>0.24831804676142405</v>
      </c>
      <c r="Y177" s="609">
        <f t="shared" si="32"/>
        <v>0.26134208186405633</v>
      </c>
      <c r="Z177" s="609">
        <f t="shared" si="32"/>
        <v>0.27373270669258304</v>
      </c>
      <c r="AA177" s="609">
        <f t="shared" si="32"/>
        <v>0.28551121846009547</v>
      </c>
      <c r="AB177" s="609">
        <f t="shared" si="32"/>
        <v>0.29662764261890828</v>
      </c>
      <c r="AC177" s="609">
        <f t="shared" si="32"/>
        <v>0.30684029107333755</v>
      </c>
      <c r="AD177" s="609">
        <f t="shared" si="32"/>
        <v>0.3162409935738823</v>
      </c>
      <c r="AE177" s="609">
        <f t="shared" si="32"/>
        <v>0.32475534014747615</v>
      </c>
      <c r="AF177" s="609">
        <f t="shared" si="32"/>
        <v>0.33229881272694312</v>
      </c>
      <c r="AG177" s="609">
        <f t="shared" si="32"/>
        <v>0.33877495644113259</v>
      </c>
      <c r="AJ177" s="212"/>
      <c r="AL177" s="204"/>
      <c r="AM177" s="211"/>
      <c r="AN177" s="211"/>
      <c r="AO177" s="211"/>
    </row>
    <row r="178" spans="1:41" ht="15.5" thickTop="1">
      <c r="B178" s="123"/>
      <c r="C178" s="608"/>
      <c r="M178" s="610"/>
      <c r="N178" s="122"/>
      <c r="O178" s="122"/>
      <c r="P178" s="122"/>
      <c r="Q178" s="122"/>
      <c r="R178" s="122"/>
      <c r="S178" s="122"/>
      <c r="T178" s="122"/>
      <c r="U178" s="122"/>
      <c r="V178" s="122"/>
      <c r="W178" s="610"/>
      <c r="X178" s="122"/>
      <c r="Y178" s="122"/>
      <c r="Z178" s="122"/>
      <c r="AA178" s="122"/>
      <c r="AB178" s="122"/>
      <c r="AC178" s="122"/>
      <c r="AD178" s="122"/>
      <c r="AE178" s="122"/>
      <c r="AF178" s="122"/>
      <c r="AG178" s="608"/>
    </row>
    <row r="179" spans="1:41">
      <c r="A179" t="s">
        <v>674</v>
      </c>
      <c r="B179" s="123"/>
      <c r="C179" s="122">
        <f>C169+C159+C147+C141+C135+C121+C115+C109+C103+C88+C82+C76+C70+C64</f>
        <v>263139.70834518247</v>
      </c>
      <c r="D179" s="122">
        <f t="shared" ref="D179:AG179" si="33">D169+D159+D147+D141+D135+D121+D115+D109+D103+D88+D82+D76+D70+D64</f>
        <v>272510.32780953508</v>
      </c>
      <c r="E179" s="122">
        <f t="shared" si="33"/>
        <v>281572.52479509613</v>
      </c>
      <c r="F179" s="122">
        <f t="shared" si="33"/>
        <v>290327.90189326892</v>
      </c>
      <c r="G179" s="122">
        <f t="shared" si="33"/>
        <v>298778.06169545697</v>
      </c>
      <c r="H179" s="122">
        <f t="shared" si="33"/>
        <v>306924.60679306358</v>
      </c>
      <c r="I179" s="122">
        <f t="shared" si="33"/>
        <v>314152.07431469712</v>
      </c>
      <c r="J179" s="122">
        <f t="shared" si="33"/>
        <v>321034.64429818862</v>
      </c>
      <c r="K179" s="122">
        <f t="shared" si="33"/>
        <v>327573.91933494137</v>
      </c>
      <c r="L179" s="122">
        <f t="shared" si="33"/>
        <v>333771.50201635883</v>
      </c>
      <c r="M179" s="122">
        <f t="shared" si="33"/>
        <v>339628.99493384454</v>
      </c>
      <c r="N179" s="122">
        <f t="shared" si="33"/>
        <v>353406.9043147121</v>
      </c>
      <c r="O179" s="122">
        <f t="shared" si="33"/>
        <v>367326.53206818062</v>
      </c>
      <c r="P179" s="122">
        <f t="shared" si="33"/>
        <v>378725.479122822</v>
      </c>
      <c r="Q179" s="122">
        <f t="shared" si="33"/>
        <v>388967.96349431254</v>
      </c>
      <c r="R179" s="122">
        <f t="shared" si="33"/>
        <v>398060.06898067653</v>
      </c>
      <c r="S179" s="122">
        <f t="shared" si="33"/>
        <v>406207.45231319254</v>
      </c>
      <c r="T179" s="122">
        <f t="shared" si="33"/>
        <v>413234.10894604377</v>
      </c>
      <c r="U179" s="122">
        <f t="shared" si="33"/>
        <v>419146.12315964676</v>
      </c>
      <c r="V179" s="122">
        <f t="shared" si="33"/>
        <v>423949.57939528592</v>
      </c>
      <c r="W179" s="122">
        <f t="shared" si="33"/>
        <v>427650.56225514889</v>
      </c>
      <c r="X179" s="122">
        <f t="shared" si="33"/>
        <v>435522.95862221904</v>
      </c>
      <c r="Y179" s="122">
        <f t="shared" si="33"/>
        <v>447404.86959447939</v>
      </c>
      <c r="Z179" s="122">
        <f t="shared" si="33"/>
        <v>457310.21642893</v>
      </c>
      <c r="AA179" s="122">
        <f t="shared" si="33"/>
        <v>465322.59388012916</v>
      </c>
      <c r="AB179" s="122">
        <f t="shared" si="33"/>
        <v>471452.36491787707</v>
      </c>
      <c r="AC179" s="122">
        <f t="shared" si="33"/>
        <v>475533.7423959804</v>
      </c>
      <c r="AD179" s="122">
        <f t="shared" si="33"/>
        <v>477736.57087227603</v>
      </c>
      <c r="AE179" s="122">
        <f t="shared" si="33"/>
        <v>478071.23275608965</v>
      </c>
      <c r="AF179" s="122">
        <f t="shared" si="33"/>
        <v>476548.11693940416</v>
      </c>
      <c r="AG179" s="122">
        <f t="shared" si="33"/>
        <v>473177.61879826675</v>
      </c>
      <c r="AI179" s="22">
        <f>(AG179/C179)^(1/30)-1</f>
        <v>1.97520651791947E-2</v>
      </c>
    </row>
    <row r="180" spans="1:41">
      <c r="A180" t="s">
        <v>675</v>
      </c>
      <c r="B180" s="123"/>
      <c r="C180" s="122">
        <f>C179</f>
        <v>263139.70834518247</v>
      </c>
      <c r="D180" s="122">
        <f>C180*(1+$AI$180)</f>
        <v>267534.14147454698</v>
      </c>
      <c r="E180" s="122">
        <f t="shared" ref="E180:AG180" si="34">D180*(1+$AI$180)</f>
        <v>272001.96163717192</v>
      </c>
      <c r="F180" s="122">
        <f t="shared" si="34"/>
        <v>276544.39439651265</v>
      </c>
      <c r="G180" s="122">
        <f t="shared" si="34"/>
        <v>281162.68578293442</v>
      </c>
      <c r="H180" s="122">
        <f t="shared" si="34"/>
        <v>285858.10263550939</v>
      </c>
      <c r="I180" s="122">
        <f t="shared" si="34"/>
        <v>290631.93294952239</v>
      </c>
      <c r="J180" s="122">
        <f t="shared" si="34"/>
        <v>295485.48622977937</v>
      </c>
      <c r="K180" s="122">
        <f t="shared" si="34"/>
        <v>300420.09384981665</v>
      </c>
      <c r="L180" s="122">
        <f t="shared" si="34"/>
        <v>305437.10941710859</v>
      </c>
      <c r="M180" s="122">
        <f t="shared" si="34"/>
        <v>310537.90914437431</v>
      </c>
      <c r="N180" s="122">
        <f t="shared" si="34"/>
        <v>315723.89222708537</v>
      </c>
      <c r="O180" s="122">
        <f t="shared" si="34"/>
        <v>320996.48122727766</v>
      </c>
      <c r="P180" s="122">
        <f t="shared" si="34"/>
        <v>326357.12246377318</v>
      </c>
      <c r="Q180" s="122">
        <f t="shared" si="34"/>
        <v>331807.28640891815</v>
      </c>
      <c r="R180" s="122">
        <f t="shared" si="34"/>
        <v>337348.46809194708</v>
      </c>
      <c r="S180" s="122">
        <f t="shared" si="34"/>
        <v>342982.18750908261</v>
      </c>
      <c r="T180" s="122">
        <f t="shared" si="34"/>
        <v>348709.99004048429</v>
      </c>
      <c r="U180" s="122">
        <f t="shared" si="34"/>
        <v>354533.44687416038</v>
      </c>
      <c r="V180" s="122">
        <f t="shared" si="34"/>
        <v>360454.15543695883</v>
      </c>
      <c r="W180" s="122">
        <f t="shared" si="34"/>
        <v>366473.73983275599</v>
      </c>
      <c r="X180" s="122">
        <f t="shared" si="34"/>
        <v>372593.85128796299</v>
      </c>
      <c r="Y180" s="122">
        <f t="shared" si="34"/>
        <v>378816.16860447195</v>
      </c>
      <c r="Z180" s="122">
        <f t="shared" si="34"/>
        <v>385142.39862016658</v>
      </c>
      <c r="AA180" s="122">
        <f t="shared" si="34"/>
        <v>391574.27667712333</v>
      </c>
      <c r="AB180" s="122">
        <f t="shared" si="34"/>
        <v>398113.56709763128</v>
      </c>
      <c r="AC180" s="122">
        <f t="shared" si="34"/>
        <v>404762.06366816169</v>
      </c>
      <c r="AD180" s="122">
        <f t="shared" si="34"/>
        <v>411521.59013141994</v>
      </c>
      <c r="AE180" s="122">
        <f t="shared" si="34"/>
        <v>418394.00068661466</v>
      </c>
      <c r="AF180" s="122">
        <f t="shared" si="34"/>
        <v>425381.18049808108</v>
      </c>
      <c r="AG180" s="122">
        <f t="shared" si="34"/>
        <v>432485.04621239903</v>
      </c>
      <c r="AI180" s="201">
        <v>1.67E-2</v>
      </c>
      <c r="AJ180" s="3" t="s">
        <v>676</v>
      </c>
    </row>
    <row r="181" spans="1:41">
      <c r="B181" s="123"/>
      <c r="C181" s="122"/>
      <c r="D181" s="122"/>
      <c r="E181" s="122"/>
      <c r="F181" s="122"/>
      <c r="G181" s="122"/>
      <c r="H181" s="122"/>
      <c r="I181" s="122"/>
      <c r="J181" s="122"/>
      <c r="K181" s="122"/>
      <c r="L181" s="122"/>
      <c r="M181" s="122"/>
      <c r="N181" s="122"/>
      <c r="O181" s="122"/>
      <c r="P181" s="122"/>
      <c r="Q181" s="122"/>
      <c r="R181" s="122"/>
      <c r="S181" s="122"/>
      <c r="T181" s="122"/>
      <c r="U181" s="122"/>
      <c r="V181" s="122"/>
      <c r="W181" s="122"/>
      <c r="X181" s="122"/>
      <c r="Y181" s="122"/>
      <c r="Z181" s="122"/>
      <c r="AA181" s="122"/>
      <c r="AB181" s="122"/>
      <c r="AC181" s="122"/>
      <c r="AD181" s="122"/>
      <c r="AE181" s="122"/>
      <c r="AF181" s="122"/>
      <c r="AG181" s="122"/>
      <c r="AI181" s="201">
        <v>1.67E-2</v>
      </c>
    </row>
    <row r="182" spans="1:41" s="55" customFormat="1">
      <c r="A182" s="55" t="s">
        <v>703</v>
      </c>
      <c r="B182" s="282"/>
      <c r="C182" s="611"/>
      <c r="D182" s="611"/>
      <c r="E182" s="611"/>
      <c r="F182" s="611"/>
      <c r="G182" s="611"/>
      <c r="H182" s="611"/>
      <c r="I182" s="611"/>
      <c r="J182" s="611"/>
      <c r="K182" s="611"/>
      <c r="L182" s="611"/>
      <c r="M182" s="611"/>
      <c r="N182" s="611"/>
      <c r="O182" s="611"/>
      <c r="P182" s="611"/>
      <c r="Q182" s="611"/>
      <c r="R182" s="611"/>
      <c r="S182" s="611"/>
      <c r="T182" s="611"/>
      <c r="U182" s="611"/>
      <c r="V182" s="611"/>
      <c r="W182" s="611"/>
      <c r="X182" s="611"/>
      <c r="Y182" s="611"/>
      <c r="Z182" s="611"/>
      <c r="AA182" s="611"/>
      <c r="AB182" s="611"/>
      <c r="AC182" s="611"/>
      <c r="AD182" s="611"/>
      <c r="AE182" s="611"/>
      <c r="AF182" s="611"/>
      <c r="AG182" s="611"/>
      <c r="AI182" s="284"/>
      <c r="AJ182" s="285"/>
    </row>
    <row r="183" spans="1:41" s="178" customFormat="1" outlineLevel="1">
      <c r="A183" s="321" t="s">
        <v>706</v>
      </c>
      <c r="B183" s="297" t="s">
        <v>126</v>
      </c>
      <c r="C183" s="678">
        <v>0.84</v>
      </c>
      <c r="D183" s="298">
        <f>-($C183-$AG183)/30+C183</f>
        <v>0.83566666666666667</v>
      </c>
      <c r="E183" s="298">
        <f t="shared" ref="E183:AF189" si="35">-($C183-$AG183)/30+D183</f>
        <v>0.83133333333333337</v>
      </c>
      <c r="F183" s="298">
        <f t="shared" si="35"/>
        <v>0.82700000000000007</v>
      </c>
      <c r="G183" s="298">
        <f t="shared" si="35"/>
        <v>0.82266666666666677</v>
      </c>
      <c r="H183" s="298">
        <f t="shared" si="35"/>
        <v>0.81833333333333347</v>
      </c>
      <c r="I183" s="298">
        <f t="shared" si="35"/>
        <v>0.81400000000000017</v>
      </c>
      <c r="J183" s="298">
        <f t="shared" si="35"/>
        <v>0.80966666666666687</v>
      </c>
      <c r="K183" s="298">
        <f t="shared" si="35"/>
        <v>0.80533333333333357</v>
      </c>
      <c r="L183" s="298">
        <f t="shared" si="35"/>
        <v>0.80100000000000027</v>
      </c>
      <c r="M183" s="298">
        <f t="shared" si="35"/>
        <v>0.79666666666666697</v>
      </c>
      <c r="N183" s="298">
        <f t="shared" si="35"/>
        <v>0.79233333333333367</v>
      </c>
      <c r="O183" s="298">
        <f t="shared" si="35"/>
        <v>0.78800000000000037</v>
      </c>
      <c r="P183" s="298">
        <f t="shared" si="35"/>
        <v>0.78366666666666707</v>
      </c>
      <c r="Q183" s="298">
        <f t="shared" si="35"/>
        <v>0.77933333333333377</v>
      </c>
      <c r="R183" s="298">
        <f t="shared" si="35"/>
        <v>0.77500000000000047</v>
      </c>
      <c r="S183" s="298">
        <f t="shared" si="35"/>
        <v>0.77066666666666717</v>
      </c>
      <c r="T183" s="298">
        <f t="shared" si="35"/>
        <v>0.76633333333333387</v>
      </c>
      <c r="U183" s="298">
        <f t="shared" si="35"/>
        <v>0.76200000000000057</v>
      </c>
      <c r="V183" s="298">
        <f t="shared" si="35"/>
        <v>0.75766666666666727</v>
      </c>
      <c r="W183" s="298">
        <f t="shared" si="35"/>
        <v>0.75333333333333397</v>
      </c>
      <c r="X183" s="298">
        <f t="shared" si="35"/>
        <v>0.74900000000000067</v>
      </c>
      <c r="Y183" s="298">
        <f t="shared" si="35"/>
        <v>0.74466666666666737</v>
      </c>
      <c r="Z183" s="298">
        <f t="shared" si="35"/>
        <v>0.74033333333333406</v>
      </c>
      <c r="AA183" s="298">
        <f t="shared" si="35"/>
        <v>0.73600000000000076</v>
      </c>
      <c r="AB183" s="298">
        <f t="shared" si="35"/>
        <v>0.73166666666666746</v>
      </c>
      <c r="AC183" s="298">
        <f t="shared" si="35"/>
        <v>0.72733333333333416</v>
      </c>
      <c r="AD183" s="298">
        <f t="shared" si="35"/>
        <v>0.72300000000000086</v>
      </c>
      <c r="AE183" s="298">
        <f t="shared" si="35"/>
        <v>0.71866666666666756</v>
      </c>
      <c r="AF183" s="298">
        <f t="shared" si="35"/>
        <v>0.71433333333333426</v>
      </c>
      <c r="AG183" s="678">
        <v>0.71</v>
      </c>
      <c r="AI183" s="299"/>
      <c r="AJ183" t="s">
        <v>1614</v>
      </c>
    </row>
    <row r="184" spans="1:41" outlineLevel="1">
      <c r="A184" s="3" t="s">
        <v>698</v>
      </c>
      <c r="B184" s="281" t="s">
        <v>126</v>
      </c>
      <c r="C184" s="275">
        <v>0.16</v>
      </c>
      <c r="D184" s="296">
        <f t="shared" ref="D184:S189" si="36">-($C184-$AG184)/30+C184</f>
        <v>0.16206666666666666</v>
      </c>
      <c r="E184" s="296">
        <f t="shared" si="36"/>
        <v>0.16413333333333333</v>
      </c>
      <c r="F184" s="296">
        <f t="shared" si="36"/>
        <v>0.16619999999999999</v>
      </c>
      <c r="G184" s="296">
        <f t="shared" si="36"/>
        <v>0.16826666666666665</v>
      </c>
      <c r="H184" s="296">
        <f t="shared" si="36"/>
        <v>0.17033333333333331</v>
      </c>
      <c r="I184" s="296">
        <f t="shared" si="36"/>
        <v>0.17239999999999997</v>
      </c>
      <c r="J184" s="296">
        <f t="shared" si="36"/>
        <v>0.17446666666666663</v>
      </c>
      <c r="K184" s="296">
        <f t="shared" si="36"/>
        <v>0.17653333333333329</v>
      </c>
      <c r="L184" s="296">
        <f t="shared" si="36"/>
        <v>0.17859999999999995</v>
      </c>
      <c r="M184" s="296">
        <f t="shared" si="36"/>
        <v>0.18066666666666661</v>
      </c>
      <c r="N184" s="296">
        <f t="shared" si="36"/>
        <v>0.18273333333333328</v>
      </c>
      <c r="O184" s="296">
        <f t="shared" si="36"/>
        <v>0.18479999999999994</v>
      </c>
      <c r="P184" s="296">
        <f t="shared" si="36"/>
        <v>0.1868666666666666</v>
      </c>
      <c r="Q184" s="296">
        <f t="shared" si="36"/>
        <v>0.18893333333333326</v>
      </c>
      <c r="R184" s="296">
        <f t="shared" si="36"/>
        <v>0.19099999999999992</v>
      </c>
      <c r="S184" s="296">
        <f t="shared" si="36"/>
        <v>0.19306666666666658</v>
      </c>
      <c r="T184" s="296">
        <f t="shared" si="35"/>
        <v>0.19513333333333324</v>
      </c>
      <c r="U184" s="296">
        <f t="shared" si="35"/>
        <v>0.1971999999999999</v>
      </c>
      <c r="V184" s="296">
        <f t="shared" si="35"/>
        <v>0.19926666666666656</v>
      </c>
      <c r="W184" s="296">
        <f t="shared" si="35"/>
        <v>0.20133333333333323</v>
      </c>
      <c r="X184" s="296">
        <f t="shared" si="35"/>
        <v>0.20339999999999989</v>
      </c>
      <c r="Y184" s="296">
        <f t="shared" si="35"/>
        <v>0.20546666666666655</v>
      </c>
      <c r="Z184" s="296">
        <f t="shared" si="35"/>
        <v>0.20753333333333321</v>
      </c>
      <c r="AA184" s="296">
        <f t="shared" si="35"/>
        <v>0.20959999999999987</v>
      </c>
      <c r="AB184" s="296">
        <f t="shared" si="35"/>
        <v>0.21166666666666653</v>
      </c>
      <c r="AC184" s="296">
        <f t="shared" si="35"/>
        <v>0.21373333333333319</v>
      </c>
      <c r="AD184" s="296">
        <f t="shared" si="35"/>
        <v>0.21579999999999985</v>
      </c>
      <c r="AE184" s="296">
        <f t="shared" si="35"/>
        <v>0.21786666666666651</v>
      </c>
      <c r="AF184" s="296">
        <f t="shared" si="35"/>
        <v>0.21993333333333318</v>
      </c>
      <c r="AG184" s="275">
        <v>0.222</v>
      </c>
      <c r="AI184" s="201"/>
      <c r="AJ184" t="s">
        <v>1614</v>
      </c>
    </row>
    <row r="185" spans="1:41" outlineLevel="1">
      <c r="A185" s="3" t="s">
        <v>697</v>
      </c>
      <c r="B185" s="281" t="s">
        <v>126</v>
      </c>
      <c r="C185" s="275">
        <v>0.37</v>
      </c>
      <c r="D185" s="296">
        <f t="shared" si="36"/>
        <v>0.36270000000000002</v>
      </c>
      <c r="E185" s="296">
        <f t="shared" si="36"/>
        <v>0.35540000000000005</v>
      </c>
      <c r="F185" s="296">
        <f t="shared" si="36"/>
        <v>0.34810000000000008</v>
      </c>
      <c r="G185" s="296">
        <f t="shared" si="36"/>
        <v>0.3408000000000001</v>
      </c>
      <c r="H185" s="296">
        <f t="shared" si="36"/>
        <v>0.33350000000000013</v>
      </c>
      <c r="I185" s="296">
        <f t="shared" si="36"/>
        <v>0.32620000000000016</v>
      </c>
      <c r="J185" s="296">
        <f t="shared" si="36"/>
        <v>0.31890000000000018</v>
      </c>
      <c r="K185" s="296">
        <f t="shared" si="36"/>
        <v>0.31160000000000021</v>
      </c>
      <c r="L185" s="296">
        <f t="shared" si="36"/>
        <v>0.30430000000000024</v>
      </c>
      <c r="M185" s="296">
        <f t="shared" si="36"/>
        <v>0.29700000000000026</v>
      </c>
      <c r="N185" s="296">
        <f t="shared" si="36"/>
        <v>0.28970000000000029</v>
      </c>
      <c r="O185" s="296">
        <f t="shared" si="36"/>
        <v>0.28240000000000032</v>
      </c>
      <c r="P185" s="296">
        <f t="shared" si="36"/>
        <v>0.27510000000000034</v>
      </c>
      <c r="Q185" s="296">
        <f t="shared" si="36"/>
        <v>0.26780000000000037</v>
      </c>
      <c r="R185" s="296">
        <f t="shared" si="36"/>
        <v>0.2605000000000004</v>
      </c>
      <c r="S185" s="296">
        <f t="shared" si="36"/>
        <v>0.25320000000000042</v>
      </c>
      <c r="T185" s="296">
        <f t="shared" si="35"/>
        <v>0.24590000000000042</v>
      </c>
      <c r="U185" s="296">
        <f t="shared" si="35"/>
        <v>0.23860000000000042</v>
      </c>
      <c r="V185" s="296">
        <f t="shared" si="35"/>
        <v>0.23130000000000042</v>
      </c>
      <c r="W185" s="296">
        <f t="shared" si="35"/>
        <v>0.22400000000000042</v>
      </c>
      <c r="X185" s="296">
        <f t="shared" si="35"/>
        <v>0.21670000000000042</v>
      </c>
      <c r="Y185" s="296">
        <f t="shared" si="35"/>
        <v>0.20940000000000042</v>
      </c>
      <c r="Z185" s="296">
        <f t="shared" si="35"/>
        <v>0.20210000000000042</v>
      </c>
      <c r="AA185" s="296">
        <f t="shared" si="35"/>
        <v>0.19480000000000042</v>
      </c>
      <c r="AB185" s="296">
        <f t="shared" si="35"/>
        <v>0.18750000000000042</v>
      </c>
      <c r="AC185" s="296">
        <f t="shared" si="35"/>
        <v>0.18020000000000042</v>
      </c>
      <c r="AD185" s="296">
        <f t="shared" si="35"/>
        <v>0.17290000000000041</v>
      </c>
      <c r="AE185" s="296">
        <f t="shared" si="35"/>
        <v>0.16560000000000041</v>
      </c>
      <c r="AF185" s="296">
        <f t="shared" si="35"/>
        <v>0.15830000000000041</v>
      </c>
      <c r="AG185" s="275">
        <v>0.151</v>
      </c>
      <c r="AI185" s="201"/>
      <c r="AJ185" t="s">
        <v>1614</v>
      </c>
    </row>
    <row r="186" spans="1:41" outlineLevel="1">
      <c r="A186" s="3" t="s">
        <v>699</v>
      </c>
      <c r="B186" s="281" t="s">
        <v>126</v>
      </c>
      <c r="C186" s="275">
        <v>0.08</v>
      </c>
      <c r="D186" s="296">
        <f t="shared" si="36"/>
        <v>8.0100000000000005E-2</v>
      </c>
      <c r="E186" s="296">
        <f t="shared" si="36"/>
        <v>8.0200000000000007E-2</v>
      </c>
      <c r="F186" s="296">
        <f t="shared" si="36"/>
        <v>8.030000000000001E-2</v>
      </c>
      <c r="G186" s="296">
        <f t="shared" si="36"/>
        <v>8.0400000000000013E-2</v>
      </c>
      <c r="H186" s="296">
        <f t="shared" si="36"/>
        <v>8.0500000000000016E-2</v>
      </c>
      <c r="I186" s="296">
        <f t="shared" si="36"/>
        <v>8.0600000000000019E-2</v>
      </c>
      <c r="J186" s="296">
        <f t="shared" si="36"/>
        <v>8.0700000000000022E-2</v>
      </c>
      <c r="K186" s="296">
        <f t="shared" si="36"/>
        <v>8.0800000000000025E-2</v>
      </c>
      <c r="L186" s="296">
        <f t="shared" si="36"/>
        <v>8.0900000000000027E-2</v>
      </c>
      <c r="M186" s="296">
        <f t="shared" si="36"/>
        <v>8.100000000000003E-2</v>
      </c>
      <c r="N186" s="296">
        <f t="shared" si="36"/>
        <v>8.1100000000000033E-2</v>
      </c>
      <c r="O186" s="296">
        <f t="shared" si="36"/>
        <v>8.1200000000000036E-2</v>
      </c>
      <c r="P186" s="296">
        <f t="shared" si="36"/>
        <v>8.1300000000000039E-2</v>
      </c>
      <c r="Q186" s="296">
        <f t="shared" si="36"/>
        <v>8.1400000000000042E-2</v>
      </c>
      <c r="R186" s="296">
        <f t="shared" si="36"/>
        <v>8.1500000000000045E-2</v>
      </c>
      <c r="S186" s="296">
        <f t="shared" si="36"/>
        <v>8.1600000000000047E-2</v>
      </c>
      <c r="T186" s="296">
        <f t="shared" si="35"/>
        <v>8.170000000000005E-2</v>
      </c>
      <c r="U186" s="296">
        <f t="shared" si="35"/>
        <v>8.1800000000000053E-2</v>
      </c>
      <c r="V186" s="296">
        <f t="shared" si="35"/>
        <v>8.1900000000000056E-2</v>
      </c>
      <c r="W186" s="296">
        <f t="shared" si="35"/>
        <v>8.2000000000000059E-2</v>
      </c>
      <c r="X186" s="296">
        <f t="shared" si="35"/>
        <v>8.2100000000000062E-2</v>
      </c>
      <c r="Y186" s="296">
        <f t="shared" si="35"/>
        <v>8.2200000000000065E-2</v>
      </c>
      <c r="Z186" s="296">
        <f t="shared" si="35"/>
        <v>8.2300000000000068E-2</v>
      </c>
      <c r="AA186" s="296">
        <f t="shared" si="35"/>
        <v>8.240000000000007E-2</v>
      </c>
      <c r="AB186" s="296">
        <f t="shared" si="35"/>
        <v>8.2500000000000073E-2</v>
      </c>
      <c r="AC186" s="296">
        <f t="shared" si="35"/>
        <v>8.2600000000000076E-2</v>
      </c>
      <c r="AD186" s="296">
        <f t="shared" si="35"/>
        <v>8.2700000000000079E-2</v>
      </c>
      <c r="AE186" s="296">
        <f t="shared" si="35"/>
        <v>8.2800000000000082E-2</v>
      </c>
      <c r="AF186" s="296">
        <f t="shared" si="35"/>
        <v>8.2900000000000085E-2</v>
      </c>
      <c r="AG186" s="275">
        <v>8.3000000000000004E-2</v>
      </c>
      <c r="AI186" s="201"/>
      <c r="AJ186" t="s">
        <v>1614</v>
      </c>
    </row>
    <row r="187" spans="1:41" outlineLevel="1">
      <c r="A187" s="3" t="s">
        <v>700</v>
      </c>
      <c r="B187" s="281" t="s">
        <v>126</v>
      </c>
      <c r="C187" s="275">
        <v>0.27</v>
      </c>
      <c r="D187" s="296">
        <f t="shared" si="36"/>
        <v>0.27313333333333334</v>
      </c>
      <c r="E187" s="296">
        <f t="shared" si="36"/>
        <v>0.27626666666666666</v>
      </c>
      <c r="F187" s="296">
        <f t="shared" si="36"/>
        <v>0.27939999999999998</v>
      </c>
      <c r="G187" s="296">
        <f t="shared" si="36"/>
        <v>0.2825333333333333</v>
      </c>
      <c r="H187" s="296">
        <f t="shared" si="36"/>
        <v>0.28566666666666662</v>
      </c>
      <c r="I187" s="296">
        <f t="shared" si="36"/>
        <v>0.28879999999999995</v>
      </c>
      <c r="J187" s="296">
        <f t="shared" si="36"/>
        <v>0.29193333333333327</v>
      </c>
      <c r="K187" s="296">
        <f t="shared" si="36"/>
        <v>0.29506666666666659</v>
      </c>
      <c r="L187" s="296">
        <f t="shared" si="36"/>
        <v>0.29819999999999991</v>
      </c>
      <c r="M187" s="296">
        <f t="shared" si="36"/>
        <v>0.30133333333333323</v>
      </c>
      <c r="N187" s="296">
        <f t="shared" si="36"/>
        <v>0.30446666666666655</v>
      </c>
      <c r="O187" s="296">
        <f t="shared" si="36"/>
        <v>0.30759999999999987</v>
      </c>
      <c r="P187" s="296">
        <f t="shared" si="36"/>
        <v>0.31073333333333319</v>
      </c>
      <c r="Q187" s="296">
        <f t="shared" si="36"/>
        <v>0.31386666666666652</v>
      </c>
      <c r="R187" s="296">
        <f t="shared" si="36"/>
        <v>0.31699999999999984</v>
      </c>
      <c r="S187" s="296">
        <f t="shared" si="36"/>
        <v>0.32013333333333316</v>
      </c>
      <c r="T187" s="296">
        <f t="shared" si="35"/>
        <v>0.32326666666666648</v>
      </c>
      <c r="U187" s="296">
        <f t="shared" si="35"/>
        <v>0.3263999999999998</v>
      </c>
      <c r="V187" s="296">
        <f t="shared" si="35"/>
        <v>0.32953333333333312</v>
      </c>
      <c r="W187" s="296">
        <f t="shared" si="35"/>
        <v>0.33266666666666644</v>
      </c>
      <c r="X187" s="296">
        <f t="shared" si="35"/>
        <v>0.33579999999999977</v>
      </c>
      <c r="Y187" s="296">
        <f t="shared" si="35"/>
        <v>0.33893333333333309</v>
      </c>
      <c r="Z187" s="296">
        <f t="shared" si="35"/>
        <v>0.34206666666666641</v>
      </c>
      <c r="AA187" s="296">
        <f t="shared" si="35"/>
        <v>0.34519999999999973</v>
      </c>
      <c r="AB187" s="296">
        <f t="shared" si="35"/>
        <v>0.34833333333333305</v>
      </c>
      <c r="AC187" s="296">
        <f t="shared" si="35"/>
        <v>0.35146666666666637</v>
      </c>
      <c r="AD187" s="296">
        <f t="shared" si="35"/>
        <v>0.35459999999999969</v>
      </c>
      <c r="AE187" s="296">
        <f t="shared" si="35"/>
        <v>0.35773333333333301</v>
      </c>
      <c r="AF187" s="296">
        <f t="shared" si="35"/>
        <v>0.36086666666666634</v>
      </c>
      <c r="AG187" s="275">
        <v>0.36399999999999999</v>
      </c>
      <c r="AI187" s="201"/>
      <c r="AJ187" t="s">
        <v>1614</v>
      </c>
    </row>
    <row r="188" spans="1:41" outlineLevel="1">
      <c r="A188" s="3" t="s">
        <v>701</v>
      </c>
      <c r="B188" s="281" t="s">
        <v>126</v>
      </c>
      <c r="C188" s="275">
        <v>7.0000000000000007E-2</v>
      </c>
      <c r="D188" s="296">
        <f t="shared" si="36"/>
        <v>7.1266666666666673E-2</v>
      </c>
      <c r="E188" s="296">
        <f t="shared" si="36"/>
        <v>7.2533333333333339E-2</v>
      </c>
      <c r="F188" s="296">
        <f t="shared" si="36"/>
        <v>7.3800000000000004E-2</v>
      </c>
      <c r="G188" s="296">
        <f t="shared" si="36"/>
        <v>7.506666666666667E-2</v>
      </c>
      <c r="H188" s="296">
        <f t="shared" si="36"/>
        <v>7.6333333333333336E-2</v>
      </c>
      <c r="I188" s="296">
        <f t="shared" si="36"/>
        <v>7.7600000000000002E-2</v>
      </c>
      <c r="J188" s="296">
        <f t="shared" si="36"/>
        <v>7.8866666666666668E-2</v>
      </c>
      <c r="K188" s="296">
        <f t="shared" si="36"/>
        <v>8.0133333333333334E-2</v>
      </c>
      <c r="L188" s="296">
        <f t="shared" si="36"/>
        <v>8.14E-2</v>
      </c>
      <c r="M188" s="296">
        <f t="shared" si="36"/>
        <v>8.2666666666666666E-2</v>
      </c>
      <c r="N188" s="296">
        <f t="shared" si="36"/>
        <v>8.3933333333333332E-2</v>
      </c>
      <c r="O188" s="296">
        <f t="shared" si="36"/>
        <v>8.5199999999999998E-2</v>
      </c>
      <c r="P188" s="296">
        <f t="shared" si="36"/>
        <v>8.6466666666666664E-2</v>
      </c>
      <c r="Q188" s="296">
        <f t="shared" si="36"/>
        <v>8.773333333333333E-2</v>
      </c>
      <c r="R188" s="296">
        <f t="shared" si="36"/>
        <v>8.8999999999999996E-2</v>
      </c>
      <c r="S188" s="296">
        <f t="shared" si="36"/>
        <v>9.0266666666666662E-2</v>
      </c>
      <c r="T188" s="296">
        <f t="shared" si="35"/>
        <v>9.1533333333333328E-2</v>
      </c>
      <c r="U188" s="296">
        <f t="shared" si="35"/>
        <v>9.2799999999999994E-2</v>
      </c>
      <c r="V188" s="296">
        <f t="shared" si="35"/>
        <v>9.406666666666666E-2</v>
      </c>
      <c r="W188" s="296">
        <f t="shared" si="35"/>
        <v>9.5333333333333325E-2</v>
      </c>
      <c r="X188" s="296">
        <f t="shared" si="35"/>
        <v>9.6599999999999991E-2</v>
      </c>
      <c r="Y188" s="296">
        <f t="shared" si="35"/>
        <v>9.7866666666666657E-2</v>
      </c>
      <c r="Z188" s="296">
        <f t="shared" si="35"/>
        <v>9.9133333333333323E-2</v>
      </c>
      <c r="AA188" s="296">
        <f t="shared" si="35"/>
        <v>0.10039999999999999</v>
      </c>
      <c r="AB188" s="296">
        <f t="shared" si="35"/>
        <v>0.10166666666666666</v>
      </c>
      <c r="AC188" s="296">
        <f t="shared" si="35"/>
        <v>0.10293333333333332</v>
      </c>
      <c r="AD188" s="296">
        <f t="shared" si="35"/>
        <v>0.10419999999999999</v>
      </c>
      <c r="AE188" s="296">
        <f t="shared" si="35"/>
        <v>0.10546666666666665</v>
      </c>
      <c r="AF188" s="296">
        <f t="shared" si="35"/>
        <v>0.10673333333333332</v>
      </c>
      <c r="AG188" s="275">
        <v>0.108</v>
      </c>
      <c r="AI188" s="201"/>
      <c r="AJ188" t="s">
        <v>1614</v>
      </c>
    </row>
    <row r="189" spans="1:41" outlineLevel="1">
      <c r="A189" s="3" t="s">
        <v>702</v>
      </c>
      <c r="B189" s="281" t="s">
        <v>126</v>
      </c>
      <c r="C189" s="275">
        <v>0.05</v>
      </c>
      <c r="D189" s="296">
        <f t="shared" si="36"/>
        <v>5.0733333333333339E-2</v>
      </c>
      <c r="E189" s="296">
        <f t="shared" si="36"/>
        <v>5.1466666666666674E-2</v>
      </c>
      <c r="F189" s="296">
        <f t="shared" si="36"/>
        <v>5.220000000000001E-2</v>
      </c>
      <c r="G189" s="296">
        <f t="shared" si="36"/>
        <v>5.2933333333333346E-2</v>
      </c>
      <c r="H189" s="296">
        <f t="shared" si="36"/>
        <v>5.3666666666666682E-2</v>
      </c>
      <c r="I189" s="296">
        <f t="shared" si="36"/>
        <v>5.4400000000000018E-2</v>
      </c>
      <c r="J189" s="296">
        <f t="shared" si="36"/>
        <v>5.5133333333333354E-2</v>
      </c>
      <c r="K189" s="296">
        <f t="shared" si="36"/>
        <v>5.5866666666666689E-2</v>
      </c>
      <c r="L189" s="296">
        <f t="shared" si="36"/>
        <v>5.6600000000000025E-2</v>
      </c>
      <c r="M189" s="296">
        <f t="shared" si="36"/>
        <v>5.7333333333333361E-2</v>
      </c>
      <c r="N189" s="296">
        <f t="shared" si="36"/>
        <v>5.8066666666666697E-2</v>
      </c>
      <c r="O189" s="296">
        <f t="shared" si="36"/>
        <v>5.8800000000000033E-2</v>
      </c>
      <c r="P189" s="296">
        <f t="shared" si="36"/>
        <v>5.9533333333333369E-2</v>
      </c>
      <c r="Q189" s="296">
        <f t="shared" si="36"/>
        <v>6.0266666666666704E-2</v>
      </c>
      <c r="R189" s="296">
        <f t="shared" si="36"/>
        <v>6.100000000000004E-2</v>
      </c>
      <c r="S189" s="296">
        <f t="shared" si="36"/>
        <v>6.1733333333333376E-2</v>
      </c>
      <c r="T189" s="296">
        <f t="shared" si="35"/>
        <v>6.2466666666666712E-2</v>
      </c>
      <c r="U189" s="296">
        <f t="shared" si="35"/>
        <v>6.3200000000000048E-2</v>
      </c>
      <c r="V189" s="296">
        <f t="shared" si="35"/>
        <v>6.3933333333333384E-2</v>
      </c>
      <c r="W189" s="296">
        <f t="shared" si="35"/>
        <v>6.4666666666666719E-2</v>
      </c>
      <c r="X189" s="296">
        <f t="shared" si="35"/>
        <v>6.5400000000000055E-2</v>
      </c>
      <c r="Y189" s="296">
        <f t="shared" si="35"/>
        <v>6.6133333333333391E-2</v>
      </c>
      <c r="Z189" s="296">
        <f t="shared" si="35"/>
        <v>6.6866666666666727E-2</v>
      </c>
      <c r="AA189" s="296">
        <f t="shared" si="35"/>
        <v>6.7600000000000063E-2</v>
      </c>
      <c r="AB189" s="296">
        <f t="shared" si="35"/>
        <v>6.8333333333333399E-2</v>
      </c>
      <c r="AC189" s="296">
        <f t="shared" si="35"/>
        <v>6.9066666666666734E-2</v>
      </c>
      <c r="AD189" s="296">
        <f t="shared" si="35"/>
        <v>6.980000000000007E-2</v>
      </c>
      <c r="AE189" s="296">
        <f t="shared" si="35"/>
        <v>7.0533333333333406E-2</v>
      </c>
      <c r="AF189" s="296">
        <f t="shared" si="35"/>
        <v>7.1266666666666742E-2</v>
      </c>
      <c r="AG189" s="275">
        <v>7.1999999999999995E-2</v>
      </c>
      <c r="AI189" s="201"/>
      <c r="AJ189" t="s">
        <v>1614</v>
      </c>
    </row>
    <row r="190" spans="1:41" s="55" customFormat="1" outlineLevel="1">
      <c r="A190" s="285" t="s">
        <v>704</v>
      </c>
      <c r="B190" s="282"/>
      <c r="C190" s="283"/>
      <c r="D190" s="283"/>
      <c r="E190" s="283"/>
      <c r="F190" s="283"/>
      <c r="G190" s="283"/>
      <c r="H190" s="283"/>
      <c r="I190" s="283"/>
      <c r="J190" s="283"/>
      <c r="K190" s="283"/>
      <c r="L190" s="283"/>
      <c r="M190" s="283"/>
      <c r="N190" s="283"/>
      <c r="O190" s="283"/>
      <c r="P190" s="283"/>
      <c r="Q190" s="283"/>
      <c r="R190" s="283"/>
      <c r="S190" s="283"/>
      <c r="T190" s="283"/>
      <c r="U190" s="283"/>
      <c r="V190" s="283"/>
      <c r="W190" s="283"/>
      <c r="X190" s="283"/>
      <c r="Y190" s="283"/>
      <c r="Z190" s="283"/>
      <c r="AA190" s="283"/>
      <c r="AB190" s="283"/>
      <c r="AC190" s="283"/>
      <c r="AD190" s="283"/>
      <c r="AE190" s="283"/>
      <c r="AF190" s="283"/>
      <c r="AG190" s="283"/>
      <c r="AI190" s="284"/>
      <c r="AJ190" s="285"/>
    </row>
    <row r="191" spans="1:41" s="55" customFormat="1" outlineLevel="1">
      <c r="A191" s="286" t="s">
        <v>732</v>
      </c>
      <c r="B191" s="287" t="s">
        <v>126</v>
      </c>
      <c r="C191" s="314">
        <v>0.84</v>
      </c>
      <c r="D191" s="315">
        <f>-($C191-$AG191)/30+C191</f>
        <v>0.84399999999999997</v>
      </c>
      <c r="E191" s="315">
        <f t="shared" ref="E191:AF192" si="37">-($C191-$AG191)/30+D191</f>
        <v>0.84799999999999998</v>
      </c>
      <c r="F191" s="315">
        <f t="shared" si="37"/>
        <v>0.85199999999999998</v>
      </c>
      <c r="G191" s="315">
        <f t="shared" si="37"/>
        <v>0.85599999999999998</v>
      </c>
      <c r="H191" s="315">
        <f t="shared" si="37"/>
        <v>0.86</v>
      </c>
      <c r="I191" s="315">
        <f t="shared" si="37"/>
        <v>0.86399999999999999</v>
      </c>
      <c r="J191" s="315">
        <f t="shared" si="37"/>
        <v>0.86799999999999999</v>
      </c>
      <c r="K191" s="315">
        <f t="shared" si="37"/>
        <v>0.872</v>
      </c>
      <c r="L191" s="315">
        <f t="shared" si="37"/>
        <v>0.876</v>
      </c>
      <c r="M191" s="315">
        <f t="shared" si="37"/>
        <v>0.88</v>
      </c>
      <c r="N191" s="315">
        <f t="shared" si="37"/>
        <v>0.88400000000000001</v>
      </c>
      <c r="O191" s="315">
        <f t="shared" si="37"/>
        <v>0.88800000000000001</v>
      </c>
      <c r="P191" s="315">
        <f t="shared" si="37"/>
        <v>0.89200000000000002</v>
      </c>
      <c r="Q191" s="315">
        <f t="shared" si="37"/>
        <v>0.89600000000000002</v>
      </c>
      <c r="R191" s="315">
        <f t="shared" si="37"/>
        <v>0.9</v>
      </c>
      <c r="S191" s="315">
        <f t="shared" si="37"/>
        <v>0.90400000000000003</v>
      </c>
      <c r="T191" s="315">
        <f t="shared" si="37"/>
        <v>0.90800000000000003</v>
      </c>
      <c r="U191" s="315">
        <f t="shared" si="37"/>
        <v>0.91200000000000003</v>
      </c>
      <c r="V191" s="315">
        <f t="shared" si="37"/>
        <v>0.91600000000000004</v>
      </c>
      <c r="W191" s="315">
        <f t="shared" si="37"/>
        <v>0.92</v>
      </c>
      <c r="X191" s="315">
        <f t="shared" si="37"/>
        <v>0.92400000000000004</v>
      </c>
      <c r="Y191" s="315">
        <f t="shared" si="37"/>
        <v>0.92800000000000005</v>
      </c>
      <c r="Z191" s="315">
        <f t="shared" si="37"/>
        <v>0.93200000000000005</v>
      </c>
      <c r="AA191" s="315">
        <f t="shared" si="37"/>
        <v>0.93600000000000005</v>
      </c>
      <c r="AB191" s="315">
        <f t="shared" si="37"/>
        <v>0.94000000000000006</v>
      </c>
      <c r="AC191" s="315">
        <f t="shared" si="37"/>
        <v>0.94400000000000006</v>
      </c>
      <c r="AD191" s="315">
        <f t="shared" si="37"/>
        <v>0.94800000000000006</v>
      </c>
      <c r="AE191" s="315">
        <f t="shared" si="37"/>
        <v>0.95200000000000007</v>
      </c>
      <c r="AF191" s="315">
        <f t="shared" si="37"/>
        <v>0.95600000000000007</v>
      </c>
      <c r="AG191" s="314">
        <v>0.96</v>
      </c>
      <c r="AI191" s="284"/>
      <c r="AJ191" s="316" t="s">
        <v>1614</v>
      </c>
    </row>
    <row r="192" spans="1:41" s="55" customFormat="1" outlineLevel="1">
      <c r="A192" s="286" t="s">
        <v>743</v>
      </c>
      <c r="B192" s="287" t="s">
        <v>126</v>
      </c>
      <c r="C192" s="314">
        <v>0.22</v>
      </c>
      <c r="D192" s="315">
        <f>-($C192-$AG192)/30+C192</f>
        <v>0.22666666666666666</v>
      </c>
      <c r="E192" s="315">
        <f t="shared" si="37"/>
        <v>0.23333333333333331</v>
      </c>
      <c r="F192" s="315">
        <f t="shared" si="37"/>
        <v>0.23999999999999996</v>
      </c>
      <c r="G192" s="315">
        <f t="shared" si="37"/>
        <v>0.24666666666666662</v>
      </c>
      <c r="H192" s="315">
        <f t="shared" si="37"/>
        <v>0.2533333333333333</v>
      </c>
      <c r="I192" s="315">
        <f t="shared" si="37"/>
        <v>0.25999999999999995</v>
      </c>
      <c r="J192" s="315">
        <f t="shared" si="37"/>
        <v>0.26666666666666661</v>
      </c>
      <c r="K192" s="315">
        <f t="shared" si="37"/>
        <v>0.27333333333333326</v>
      </c>
      <c r="L192" s="315">
        <f t="shared" si="37"/>
        <v>0.27999999999999992</v>
      </c>
      <c r="M192" s="315">
        <f t="shared" si="37"/>
        <v>0.28666666666666657</v>
      </c>
      <c r="N192" s="315">
        <f t="shared" si="37"/>
        <v>0.29333333333333322</v>
      </c>
      <c r="O192" s="315">
        <f t="shared" si="37"/>
        <v>0.29999999999999988</v>
      </c>
      <c r="P192" s="315">
        <f t="shared" si="37"/>
        <v>0.30666666666666653</v>
      </c>
      <c r="Q192" s="315">
        <f t="shared" si="37"/>
        <v>0.31333333333333319</v>
      </c>
      <c r="R192" s="315">
        <f t="shared" si="37"/>
        <v>0.31999999999999984</v>
      </c>
      <c r="S192" s="315">
        <f t="shared" si="37"/>
        <v>0.32666666666666649</v>
      </c>
      <c r="T192" s="315">
        <f t="shared" si="37"/>
        <v>0.33333333333333315</v>
      </c>
      <c r="U192" s="315">
        <f t="shared" si="37"/>
        <v>0.3399999999999998</v>
      </c>
      <c r="V192" s="315">
        <f t="shared" si="37"/>
        <v>0.34666666666666646</v>
      </c>
      <c r="W192" s="315">
        <f t="shared" si="37"/>
        <v>0.35333333333333311</v>
      </c>
      <c r="X192" s="315">
        <f t="shared" si="37"/>
        <v>0.35999999999999976</v>
      </c>
      <c r="Y192" s="315">
        <f t="shared" si="37"/>
        <v>0.36666666666666642</v>
      </c>
      <c r="Z192" s="315">
        <f t="shared" si="37"/>
        <v>0.37333333333333307</v>
      </c>
      <c r="AA192" s="315">
        <f t="shared" si="37"/>
        <v>0.37999999999999973</v>
      </c>
      <c r="AB192" s="315">
        <f t="shared" si="37"/>
        <v>0.38666666666666638</v>
      </c>
      <c r="AC192" s="315">
        <f t="shared" si="37"/>
        <v>0.39333333333333304</v>
      </c>
      <c r="AD192" s="315">
        <f t="shared" si="37"/>
        <v>0.39999999999999969</v>
      </c>
      <c r="AE192" s="315">
        <f t="shared" si="37"/>
        <v>0.40666666666666634</v>
      </c>
      <c r="AF192" s="315">
        <f t="shared" si="37"/>
        <v>0.413333333333333</v>
      </c>
      <c r="AG192" s="314">
        <v>0.42</v>
      </c>
      <c r="AI192" s="284"/>
      <c r="AJ192" s="316" t="s">
        <v>1614</v>
      </c>
    </row>
    <row r="193" spans="1:36" s="59" customFormat="1" outlineLevel="1">
      <c r="A193" s="290" t="s">
        <v>744</v>
      </c>
      <c r="B193" s="291" t="s">
        <v>126</v>
      </c>
      <c r="C193" s="317">
        <f>1-C192</f>
        <v>0.78</v>
      </c>
      <c r="D193" s="317">
        <f t="shared" ref="D193:AG193" si="38">1-D192</f>
        <v>0.77333333333333332</v>
      </c>
      <c r="E193" s="317">
        <f t="shared" si="38"/>
        <v>0.76666666666666672</v>
      </c>
      <c r="F193" s="317">
        <f t="shared" si="38"/>
        <v>0.76</v>
      </c>
      <c r="G193" s="317">
        <f t="shared" si="38"/>
        <v>0.75333333333333341</v>
      </c>
      <c r="H193" s="317">
        <f t="shared" si="38"/>
        <v>0.7466666666666667</v>
      </c>
      <c r="I193" s="317">
        <f t="shared" si="38"/>
        <v>0.74</v>
      </c>
      <c r="J193" s="317">
        <f t="shared" si="38"/>
        <v>0.73333333333333339</v>
      </c>
      <c r="K193" s="317">
        <f t="shared" si="38"/>
        <v>0.72666666666666679</v>
      </c>
      <c r="L193" s="317">
        <f t="shared" si="38"/>
        <v>0.72000000000000008</v>
      </c>
      <c r="M193" s="317">
        <f t="shared" si="38"/>
        <v>0.71333333333333337</v>
      </c>
      <c r="N193" s="317">
        <f t="shared" si="38"/>
        <v>0.70666666666666678</v>
      </c>
      <c r="O193" s="317">
        <f t="shared" si="38"/>
        <v>0.70000000000000018</v>
      </c>
      <c r="P193" s="317">
        <f t="shared" si="38"/>
        <v>0.69333333333333347</v>
      </c>
      <c r="Q193" s="317">
        <f t="shared" si="38"/>
        <v>0.68666666666666676</v>
      </c>
      <c r="R193" s="317">
        <f t="shared" si="38"/>
        <v>0.68000000000000016</v>
      </c>
      <c r="S193" s="317">
        <f t="shared" si="38"/>
        <v>0.67333333333333356</v>
      </c>
      <c r="T193" s="317">
        <f t="shared" si="38"/>
        <v>0.66666666666666685</v>
      </c>
      <c r="U193" s="317">
        <f t="shared" si="38"/>
        <v>0.66000000000000014</v>
      </c>
      <c r="V193" s="317">
        <f t="shared" si="38"/>
        <v>0.65333333333333354</v>
      </c>
      <c r="W193" s="317">
        <f t="shared" si="38"/>
        <v>0.64666666666666694</v>
      </c>
      <c r="X193" s="317">
        <f t="shared" si="38"/>
        <v>0.64000000000000024</v>
      </c>
      <c r="Y193" s="317">
        <f t="shared" si="38"/>
        <v>0.63333333333333353</v>
      </c>
      <c r="Z193" s="317">
        <f t="shared" si="38"/>
        <v>0.62666666666666693</v>
      </c>
      <c r="AA193" s="317">
        <f t="shared" si="38"/>
        <v>0.62000000000000033</v>
      </c>
      <c r="AB193" s="317">
        <f t="shared" si="38"/>
        <v>0.61333333333333362</v>
      </c>
      <c r="AC193" s="317">
        <f t="shared" si="38"/>
        <v>0.60666666666666691</v>
      </c>
      <c r="AD193" s="317">
        <f t="shared" si="38"/>
        <v>0.60000000000000031</v>
      </c>
      <c r="AE193" s="317">
        <f t="shared" si="38"/>
        <v>0.59333333333333371</v>
      </c>
      <c r="AF193" s="317">
        <f t="shared" si="38"/>
        <v>0.586666666666667</v>
      </c>
      <c r="AG193" s="317">
        <f t="shared" si="38"/>
        <v>0.58000000000000007</v>
      </c>
      <c r="AI193" s="319"/>
      <c r="AJ193" s="318" t="s">
        <v>1614</v>
      </c>
    </row>
    <row r="194" spans="1:36" s="1" customFormat="1" outlineLevel="1">
      <c r="A194" t="s">
        <v>725</v>
      </c>
      <c r="B194" s="281" t="s">
        <v>126</v>
      </c>
      <c r="C194" s="275">
        <v>0.85</v>
      </c>
      <c r="D194" s="296">
        <f t="shared" ref="D194:S209" si="39">-($C194-$AG194)/30+C194</f>
        <v>0.84833333333333327</v>
      </c>
      <c r="E194" s="296">
        <f t="shared" si="39"/>
        <v>0.84666666666666657</v>
      </c>
      <c r="F194" s="296">
        <f t="shared" si="39"/>
        <v>0.84499999999999986</v>
      </c>
      <c r="G194" s="296">
        <f t="shared" si="39"/>
        <v>0.84333333333333316</v>
      </c>
      <c r="H194" s="296">
        <f t="shared" si="39"/>
        <v>0.84166666666666645</v>
      </c>
      <c r="I194" s="296">
        <f t="shared" si="39"/>
        <v>0.83999999999999975</v>
      </c>
      <c r="J194" s="296">
        <f t="shared" si="39"/>
        <v>0.83833333333333304</v>
      </c>
      <c r="K194" s="296">
        <f t="shared" si="39"/>
        <v>0.83666666666666634</v>
      </c>
      <c r="L194" s="296">
        <f t="shared" si="39"/>
        <v>0.83499999999999963</v>
      </c>
      <c r="M194" s="296">
        <f t="shared" si="39"/>
        <v>0.83333333333333293</v>
      </c>
      <c r="N194" s="296">
        <f t="shared" si="39"/>
        <v>0.83166666666666622</v>
      </c>
      <c r="O194" s="296">
        <f t="shared" si="39"/>
        <v>0.82999999999999952</v>
      </c>
      <c r="P194" s="296">
        <f t="shared" si="39"/>
        <v>0.82833333333333281</v>
      </c>
      <c r="Q194" s="296">
        <f t="shared" si="39"/>
        <v>0.82666666666666611</v>
      </c>
      <c r="R194" s="296">
        <f t="shared" si="39"/>
        <v>0.8249999999999994</v>
      </c>
      <c r="S194" s="296">
        <f t="shared" si="39"/>
        <v>0.8233333333333327</v>
      </c>
      <c r="T194" s="296">
        <f t="shared" ref="T194:AF208" si="40">-($C194-$AG194)/30+S194</f>
        <v>0.82166666666666599</v>
      </c>
      <c r="U194" s="296">
        <f t="shared" si="40"/>
        <v>0.81999999999999929</v>
      </c>
      <c r="V194" s="296">
        <f t="shared" si="40"/>
        <v>0.81833333333333258</v>
      </c>
      <c r="W194" s="296">
        <f t="shared" si="40"/>
        <v>0.81666666666666587</v>
      </c>
      <c r="X194" s="296">
        <f t="shared" si="40"/>
        <v>0.81499999999999917</v>
      </c>
      <c r="Y194" s="296">
        <f t="shared" si="40"/>
        <v>0.81333333333333246</v>
      </c>
      <c r="Z194" s="296">
        <f t="shared" si="40"/>
        <v>0.81166666666666576</v>
      </c>
      <c r="AA194" s="296">
        <f t="shared" si="40"/>
        <v>0.80999999999999905</v>
      </c>
      <c r="AB194" s="296">
        <f t="shared" si="40"/>
        <v>0.80833333333333235</v>
      </c>
      <c r="AC194" s="296">
        <f t="shared" si="40"/>
        <v>0.80666666666666564</v>
      </c>
      <c r="AD194" s="296">
        <f t="shared" si="40"/>
        <v>0.80499999999999894</v>
      </c>
      <c r="AE194" s="296">
        <f t="shared" si="40"/>
        <v>0.80333333333333223</v>
      </c>
      <c r="AF194" s="296">
        <f t="shared" si="40"/>
        <v>0.80166666666666553</v>
      </c>
      <c r="AG194" s="275">
        <v>0.8</v>
      </c>
      <c r="AI194" s="295"/>
      <c r="AJ194" s="198" t="s">
        <v>1614</v>
      </c>
    </row>
    <row r="195" spans="1:36" s="1" customFormat="1" outlineLevel="1">
      <c r="A195" t="s">
        <v>731</v>
      </c>
      <c r="B195" s="281" t="s">
        <v>126</v>
      </c>
      <c r="C195" s="275">
        <v>0.15</v>
      </c>
      <c r="D195" s="296">
        <f t="shared" si="39"/>
        <v>0.15166666666666667</v>
      </c>
      <c r="E195" s="296">
        <f t="shared" si="39"/>
        <v>0.15333333333333335</v>
      </c>
      <c r="F195" s="296">
        <f t="shared" si="39"/>
        <v>0.15500000000000003</v>
      </c>
      <c r="G195" s="296">
        <f t="shared" si="39"/>
        <v>0.1566666666666667</v>
      </c>
      <c r="H195" s="296">
        <f t="shared" si="39"/>
        <v>0.15833333333333338</v>
      </c>
      <c r="I195" s="296">
        <f t="shared" si="39"/>
        <v>0.16000000000000006</v>
      </c>
      <c r="J195" s="296">
        <f t="shared" si="39"/>
        <v>0.16166666666666674</v>
      </c>
      <c r="K195" s="296">
        <f t="shared" si="39"/>
        <v>0.16333333333333341</v>
      </c>
      <c r="L195" s="296">
        <f t="shared" si="39"/>
        <v>0.16500000000000009</v>
      </c>
      <c r="M195" s="296">
        <f t="shared" si="39"/>
        <v>0.16666666666666677</v>
      </c>
      <c r="N195" s="296">
        <f t="shared" si="39"/>
        <v>0.16833333333333345</v>
      </c>
      <c r="O195" s="296">
        <f t="shared" si="39"/>
        <v>0.17000000000000012</v>
      </c>
      <c r="P195" s="296">
        <f t="shared" si="39"/>
        <v>0.1716666666666668</v>
      </c>
      <c r="Q195" s="296">
        <f t="shared" si="39"/>
        <v>0.17333333333333348</v>
      </c>
      <c r="R195" s="296">
        <f t="shared" si="39"/>
        <v>0.17500000000000016</v>
      </c>
      <c r="S195" s="296">
        <f t="shared" si="39"/>
        <v>0.17666666666666683</v>
      </c>
      <c r="T195" s="296">
        <f t="shared" si="40"/>
        <v>0.17833333333333351</v>
      </c>
      <c r="U195" s="296">
        <f t="shared" si="40"/>
        <v>0.18000000000000019</v>
      </c>
      <c r="V195" s="296">
        <f t="shared" si="40"/>
        <v>0.18166666666666687</v>
      </c>
      <c r="W195" s="296">
        <f t="shared" si="40"/>
        <v>0.18333333333333354</v>
      </c>
      <c r="X195" s="296">
        <f t="shared" si="40"/>
        <v>0.18500000000000022</v>
      </c>
      <c r="Y195" s="296">
        <f t="shared" si="40"/>
        <v>0.1866666666666669</v>
      </c>
      <c r="Z195" s="296">
        <f t="shared" si="40"/>
        <v>0.18833333333333357</v>
      </c>
      <c r="AA195" s="296">
        <f t="shared" si="40"/>
        <v>0.19000000000000025</v>
      </c>
      <c r="AB195" s="296">
        <f t="shared" si="40"/>
        <v>0.19166666666666693</v>
      </c>
      <c r="AC195" s="296">
        <f t="shared" si="40"/>
        <v>0.19333333333333361</v>
      </c>
      <c r="AD195" s="296">
        <f t="shared" si="40"/>
        <v>0.19500000000000028</v>
      </c>
      <c r="AE195" s="296">
        <f t="shared" si="40"/>
        <v>0.19666666666666696</v>
      </c>
      <c r="AF195" s="296">
        <f t="shared" si="40"/>
        <v>0.19833333333333364</v>
      </c>
      <c r="AG195" s="275">
        <v>0.2</v>
      </c>
      <c r="AI195" s="295"/>
      <c r="AJ195" s="198" t="s">
        <v>1614</v>
      </c>
    </row>
    <row r="196" spans="1:36" s="1" customFormat="1" outlineLevel="1">
      <c r="A196" t="s">
        <v>726</v>
      </c>
      <c r="B196" s="281" t="s">
        <v>126</v>
      </c>
      <c r="C196" s="275">
        <v>0.15</v>
      </c>
      <c r="D196" s="296">
        <f t="shared" si="39"/>
        <v>0.15633333333333332</v>
      </c>
      <c r="E196" s="296">
        <f t="shared" si="39"/>
        <v>0.16266666666666665</v>
      </c>
      <c r="F196" s="296">
        <f t="shared" si="39"/>
        <v>0.16899999999999998</v>
      </c>
      <c r="G196" s="296">
        <f t="shared" si="39"/>
        <v>0.17533333333333331</v>
      </c>
      <c r="H196" s="296">
        <f t="shared" si="39"/>
        <v>0.18166666666666664</v>
      </c>
      <c r="I196" s="296">
        <f t="shared" si="39"/>
        <v>0.18799999999999997</v>
      </c>
      <c r="J196" s="296">
        <f t="shared" si="39"/>
        <v>0.1943333333333333</v>
      </c>
      <c r="K196" s="296">
        <f t="shared" si="39"/>
        <v>0.20066666666666663</v>
      </c>
      <c r="L196" s="296">
        <f t="shared" si="39"/>
        <v>0.20699999999999996</v>
      </c>
      <c r="M196" s="296">
        <f t="shared" si="39"/>
        <v>0.21333333333333329</v>
      </c>
      <c r="N196" s="296">
        <f t="shared" si="39"/>
        <v>0.21966666666666662</v>
      </c>
      <c r="O196" s="296">
        <f t="shared" si="39"/>
        <v>0.22599999999999995</v>
      </c>
      <c r="P196" s="296">
        <f t="shared" si="39"/>
        <v>0.23233333333333328</v>
      </c>
      <c r="Q196" s="296">
        <f t="shared" si="39"/>
        <v>0.23866666666666661</v>
      </c>
      <c r="R196" s="296">
        <f t="shared" si="39"/>
        <v>0.24499999999999994</v>
      </c>
      <c r="S196" s="296">
        <f t="shared" si="39"/>
        <v>0.2513333333333333</v>
      </c>
      <c r="T196" s="296">
        <f t="shared" si="40"/>
        <v>0.25766666666666665</v>
      </c>
      <c r="U196" s="296">
        <f t="shared" si="40"/>
        <v>0.26400000000000001</v>
      </c>
      <c r="V196" s="296">
        <f t="shared" si="40"/>
        <v>0.27033333333333337</v>
      </c>
      <c r="W196" s="296">
        <f t="shared" si="40"/>
        <v>0.27666666666666673</v>
      </c>
      <c r="X196" s="296">
        <f t="shared" si="40"/>
        <v>0.28300000000000008</v>
      </c>
      <c r="Y196" s="296">
        <f t="shared" si="40"/>
        <v>0.28933333333333344</v>
      </c>
      <c r="Z196" s="296">
        <f t="shared" si="40"/>
        <v>0.2956666666666668</v>
      </c>
      <c r="AA196" s="296">
        <f t="shared" si="40"/>
        <v>0.30200000000000016</v>
      </c>
      <c r="AB196" s="296">
        <f t="shared" si="40"/>
        <v>0.30833333333333351</v>
      </c>
      <c r="AC196" s="296">
        <f t="shared" si="40"/>
        <v>0.31466666666666687</v>
      </c>
      <c r="AD196" s="296">
        <f t="shared" si="40"/>
        <v>0.32100000000000023</v>
      </c>
      <c r="AE196" s="296">
        <f t="shared" si="40"/>
        <v>0.32733333333333359</v>
      </c>
      <c r="AF196" s="296">
        <f t="shared" si="40"/>
        <v>0.33366666666666694</v>
      </c>
      <c r="AG196" s="275">
        <v>0.34</v>
      </c>
      <c r="AI196" s="295"/>
      <c r="AJ196" s="198" t="s">
        <v>1614</v>
      </c>
    </row>
    <row r="197" spans="1:36" s="1" customFormat="1" outlineLevel="1">
      <c r="A197" t="s">
        <v>727</v>
      </c>
      <c r="B197" s="281" t="s">
        <v>126</v>
      </c>
      <c r="C197" s="275">
        <v>0.85</v>
      </c>
      <c r="D197" s="296">
        <f t="shared" si="39"/>
        <v>0.84366666666666668</v>
      </c>
      <c r="E197" s="296">
        <f t="shared" si="39"/>
        <v>0.83733333333333337</v>
      </c>
      <c r="F197" s="296">
        <f t="shared" si="39"/>
        <v>0.83100000000000007</v>
      </c>
      <c r="G197" s="296">
        <f t="shared" si="39"/>
        <v>0.82466666666666677</v>
      </c>
      <c r="H197" s="296">
        <f t="shared" si="39"/>
        <v>0.81833333333333347</v>
      </c>
      <c r="I197" s="296">
        <f t="shared" si="39"/>
        <v>0.81200000000000017</v>
      </c>
      <c r="J197" s="296">
        <f t="shared" si="39"/>
        <v>0.80566666666666686</v>
      </c>
      <c r="K197" s="296">
        <f t="shared" si="39"/>
        <v>0.79933333333333356</v>
      </c>
      <c r="L197" s="296">
        <f t="shared" si="39"/>
        <v>0.79300000000000026</v>
      </c>
      <c r="M197" s="296">
        <f t="shared" si="39"/>
        <v>0.78666666666666696</v>
      </c>
      <c r="N197" s="296">
        <f t="shared" si="39"/>
        <v>0.78033333333333366</v>
      </c>
      <c r="O197" s="296">
        <f t="shared" si="39"/>
        <v>0.77400000000000035</v>
      </c>
      <c r="P197" s="296">
        <f t="shared" si="39"/>
        <v>0.76766666666666705</v>
      </c>
      <c r="Q197" s="296">
        <f t="shared" si="39"/>
        <v>0.76133333333333375</v>
      </c>
      <c r="R197" s="296">
        <f t="shared" si="39"/>
        <v>0.75500000000000045</v>
      </c>
      <c r="S197" s="296">
        <f t="shared" si="39"/>
        <v>0.74866666666666715</v>
      </c>
      <c r="T197" s="296">
        <f t="shared" si="40"/>
        <v>0.74233333333333384</v>
      </c>
      <c r="U197" s="296">
        <f t="shared" si="40"/>
        <v>0.73600000000000054</v>
      </c>
      <c r="V197" s="296">
        <f t="shared" si="40"/>
        <v>0.72966666666666724</v>
      </c>
      <c r="W197" s="296">
        <f t="shared" si="40"/>
        <v>0.72333333333333394</v>
      </c>
      <c r="X197" s="296">
        <f t="shared" si="40"/>
        <v>0.71700000000000064</v>
      </c>
      <c r="Y197" s="296">
        <f t="shared" si="40"/>
        <v>0.71066666666666733</v>
      </c>
      <c r="Z197" s="296">
        <f t="shared" si="40"/>
        <v>0.70433333333333403</v>
      </c>
      <c r="AA197" s="296">
        <f t="shared" si="40"/>
        <v>0.69800000000000073</v>
      </c>
      <c r="AB197" s="296">
        <f t="shared" si="40"/>
        <v>0.69166666666666743</v>
      </c>
      <c r="AC197" s="296">
        <f t="shared" si="40"/>
        <v>0.68533333333333413</v>
      </c>
      <c r="AD197" s="296">
        <f t="shared" si="40"/>
        <v>0.67900000000000083</v>
      </c>
      <c r="AE197" s="296">
        <f t="shared" si="40"/>
        <v>0.67266666666666752</v>
      </c>
      <c r="AF197" s="296">
        <f t="shared" si="40"/>
        <v>0.66633333333333422</v>
      </c>
      <c r="AG197" s="275">
        <v>0.66</v>
      </c>
      <c r="AI197" s="295"/>
      <c r="AJ197" s="198" t="s">
        <v>1614</v>
      </c>
    </row>
    <row r="198" spans="1:36" s="1" customFormat="1" outlineLevel="1">
      <c r="A198" t="s">
        <v>730</v>
      </c>
      <c r="B198" s="281" t="s">
        <v>126</v>
      </c>
      <c r="C198" s="275">
        <v>0</v>
      </c>
      <c r="D198" s="296">
        <f t="shared" si="39"/>
        <v>0</v>
      </c>
      <c r="E198" s="296">
        <f t="shared" si="39"/>
        <v>0</v>
      </c>
      <c r="F198" s="296">
        <f t="shared" si="39"/>
        <v>0</v>
      </c>
      <c r="G198" s="296">
        <f t="shared" si="39"/>
        <v>0</v>
      </c>
      <c r="H198" s="296">
        <f t="shared" si="39"/>
        <v>0</v>
      </c>
      <c r="I198" s="296">
        <f t="shared" si="39"/>
        <v>0</v>
      </c>
      <c r="J198" s="296">
        <f t="shared" si="39"/>
        <v>0</v>
      </c>
      <c r="K198" s="296">
        <f t="shared" si="39"/>
        <v>0</v>
      </c>
      <c r="L198" s="296">
        <f t="shared" si="39"/>
        <v>0</v>
      </c>
      <c r="M198" s="296">
        <f t="shared" si="39"/>
        <v>0</v>
      </c>
      <c r="N198" s="296">
        <f t="shared" si="39"/>
        <v>0</v>
      </c>
      <c r="O198" s="296">
        <f t="shared" si="39"/>
        <v>0</v>
      </c>
      <c r="P198" s="296">
        <f t="shared" si="39"/>
        <v>0</v>
      </c>
      <c r="Q198" s="296">
        <f t="shared" si="39"/>
        <v>0</v>
      </c>
      <c r="R198" s="296">
        <f t="shared" si="39"/>
        <v>0</v>
      </c>
      <c r="S198" s="296">
        <f t="shared" si="39"/>
        <v>0</v>
      </c>
      <c r="T198" s="296">
        <f t="shared" si="40"/>
        <v>0</v>
      </c>
      <c r="U198" s="296">
        <f t="shared" si="40"/>
        <v>0</v>
      </c>
      <c r="V198" s="296">
        <f t="shared" si="40"/>
        <v>0</v>
      </c>
      <c r="W198" s="296">
        <f t="shared" si="40"/>
        <v>0</v>
      </c>
      <c r="X198" s="296">
        <f t="shared" si="40"/>
        <v>0</v>
      </c>
      <c r="Y198" s="296">
        <f t="shared" si="40"/>
        <v>0</v>
      </c>
      <c r="Z198" s="296">
        <f t="shared" si="40"/>
        <v>0</v>
      </c>
      <c r="AA198" s="296">
        <f t="shared" si="40"/>
        <v>0</v>
      </c>
      <c r="AB198" s="296">
        <f t="shared" si="40"/>
        <v>0</v>
      </c>
      <c r="AC198" s="296">
        <f t="shared" si="40"/>
        <v>0</v>
      </c>
      <c r="AD198" s="296">
        <f t="shared" si="40"/>
        <v>0</v>
      </c>
      <c r="AE198" s="296">
        <f t="shared" si="40"/>
        <v>0</v>
      </c>
      <c r="AF198" s="296">
        <f t="shared" si="40"/>
        <v>0</v>
      </c>
      <c r="AG198" s="275">
        <v>0</v>
      </c>
      <c r="AI198" s="295"/>
      <c r="AJ198" s="198" t="s">
        <v>1615</v>
      </c>
    </row>
    <row r="199" spans="1:36" s="1" customFormat="1" outlineLevel="1">
      <c r="A199" t="s">
        <v>741</v>
      </c>
      <c r="B199" s="281" t="s">
        <v>126</v>
      </c>
      <c r="C199" s="275">
        <v>1</v>
      </c>
      <c r="D199" s="296">
        <f t="shared" si="39"/>
        <v>1</v>
      </c>
      <c r="E199" s="296">
        <f t="shared" si="39"/>
        <v>1</v>
      </c>
      <c r="F199" s="296">
        <f t="shared" si="39"/>
        <v>1</v>
      </c>
      <c r="G199" s="296">
        <f t="shared" si="39"/>
        <v>1</v>
      </c>
      <c r="H199" s="296">
        <f t="shared" si="39"/>
        <v>1</v>
      </c>
      <c r="I199" s="296">
        <f t="shared" si="39"/>
        <v>1</v>
      </c>
      <c r="J199" s="296">
        <f t="shared" si="39"/>
        <v>1</v>
      </c>
      <c r="K199" s="296">
        <f t="shared" si="39"/>
        <v>1</v>
      </c>
      <c r="L199" s="296">
        <f t="shared" si="39"/>
        <v>1</v>
      </c>
      <c r="M199" s="296">
        <f t="shared" si="39"/>
        <v>1</v>
      </c>
      <c r="N199" s="296">
        <f t="shared" si="39"/>
        <v>1</v>
      </c>
      <c r="O199" s="296">
        <f t="shared" si="39"/>
        <v>1</v>
      </c>
      <c r="P199" s="296">
        <f t="shared" si="39"/>
        <v>1</v>
      </c>
      <c r="Q199" s="296">
        <f t="shared" si="39"/>
        <v>1</v>
      </c>
      <c r="R199" s="296">
        <f t="shared" si="39"/>
        <v>1</v>
      </c>
      <c r="S199" s="296">
        <f t="shared" si="39"/>
        <v>1</v>
      </c>
      <c r="T199" s="296">
        <f t="shared" si="40"/>
        <v>1</v>
      </c>
      <c r="U199" s="296">
        <f t="shared" si="40"/>
        <v>1</v>
      </c>
      <c r="V199" s="296">
        <f t="shared" si="40"/>
        <v>1</v>
      </c>
      <c r="W199" s="296">
        <f t="shared" si="40"/>
        <v>1</v>
      </c>
      <c r="X199" s="296">
        <f t="shared" si="40"/>
        <v>1</v>
      </c>
      <c r="Y199" s="296">
        <f t="shared" si="40"/>
        <v>1</v>
      </c>
      <c r="Z199" s="296">
        <f t="shared" si="40"/>
        <v>1</v>
      </c>
      <c r="AA199" s="296">
        <f t="shared" si="40"/>
        <v>1</v>
      </c>
      <c r="AB199" s="296">
        <f t="shared" si="40"/>
        <v>1</v>
      </c>
      <c r="AC199" s="296">
        <f t="shared" si="40"/>
        <v>1</v>
      </c>
      <c r="AD199" s="296">
        <f t="shared" si="40"/>
        <v>1</v>
      </c>
      <c r="AE199" s="296">
        <f t="shared" si="40"/>
        <v>1</v>
      </c>
      <c r="AF199" s="296">
        <f t="shared" si="40"/>
        <v>1</v>
      </c>
      <c r="AG199" s="275">
        <v>1</v>
      </c>
      <c r="AI199" s="295"/>
      <c r="AJ199" s="198" t="s">
        <v>1616</v>
      </c>
    </row>
    <row r="200" spans="1:36" s="1" customFormat="1" outlineLevel="1">
      <c r="A200" t="s">
        <v>728</v>
      </c>
      <c r="B200" s="281" t="s">
        <v>126</v>
      </c>
      <c r="C200" s="275">
        <v>0.8</v>
      </c>
      <c r="D200" s="296">
        <f t="shared" si="39"/>
        <v>0.80333333333333334</v>
      </c>
      <c r="E200" s="296">
        <f t="shared" si="39"/>
        <v>0.80666666666666664</v>
      </c>
      <c r="F200" s="296">
        <f t="shared" si="39"/>
        <v>0.80999999999999994</v>
      </c>
      <c r="G200" s="296">
        <f t="shared" si="39"/>
        <v>0.81333333333333324</v>
      </c>
      <c r="H200" s="296">
        <f t="shared" si="39"/>
        <v>0.81666666666666654</v>
      </c>
      <c r="I200" s="296">
        <f t="shared" si="39"/>
        <v>0.81999999999999984</v>
      </c>
      <c r="J200" s="296">
        <f t="shared" si="39"/>
        <v>0.82333333333333314</v>
      </c>
      <c r="K200" s="296">
        <f t="shared" si="39"/>
        <v>0.82666666666666644</v>
      </c>
      <c r="L200" s="296">
        <f t="shared" si="39"/>
        <v>0.82999999999999974</v>
      </c>
      <c r="M200" s="296">
        <f t="shared" si="39"/>
        <v>0.83333333333333304</v>
      </c>
      <c r="N200" s="296">
        <f t="shared" si="39"/>
        <v>0.83666666666666634</v>
      </c>
      <c r="O200" s="296">
        <f t="shared" si="39"/>
        <v>0.83999999999999964</v>
      </c>
      <c r="P200" s="296">
        <f t="shared" si="39"/>
        <v>0.84333333333333294</v>
      </c>
      <c r="Q200" s="296">
        <f t="shared" si="39"/>
        <v>0.84666666666666623</v>
      </c>
      <c r="R200" s="296">
        <f t="shared" si="39"/>
        <v>0.84999999999999953</v>
      </c>
      <c r="S200" s="296">
        <f t="shared" si="39"/>
        <v>0.85333333333333283</v>
      </c>
      <c r="T200" s="296">
        <f t="shared" si="40"/>
        <v>0.85666666666666613</v>
      </c>
      <c r="U200" s="296">
        <f t="shared" si="40"/>
        <v>0.85999999999999943</v>
      </c>
      <c r="V200" s="296">
        <f t="shared" si="40"/>
        <v>0.86333333333333273</v>
      </c>
      <c r="W200" s="296">
        <f t="shared" si="40"/>
        <v>0.86666666666666603</v>
      </c>
      <c r="X200" s="296">
        <f t="shared" si="40"/>
        <v>0.86999999999999933</v>
      </c>
      <c r="Y200" s="296">
        <f t="shared" si="40"/>
        <v>0.87333333333333263</v>
      </c>
      <c r="Z200" s="296">
        <f t="shared" si="40"/>
        <v>0.87666666666666593</v>
      </c>
      <c r="AA200" s="296">
        <f t="shared" si="40"/>
        <v>0.87999999999999923</v>
      </c>
      <c r="AB200" s="296">
        <f t="shared" si="40"/>
        <v>0.88333333333333253</v>
      </c>
      <c r="AC200" s="296">
        <f t="shared" si="40"/>
        <v>0.88666666666666583</v>
      </c>
      <c r="AD200" s="296">
        <f t="shared" si="40"/>
        <v>0.88999999999999913</v>
      </c>
      <c r="AE200" s="296">
        <f t="shared" si="40"/>
        <v>0.89333333333333242</v>
      </c>
      <c r="AF200" s="296">
        <f t="shared" si="40"/>
        <v>0.89666666666666572</v>
      </c>
      <c r="AG200" s="275">
        <v>0.9</v>
      </c>
      <c r="AI200" s="295"/>
      <c r="AJ200" s="198" t="s">
        <v>1617</v>
      </c>
    </row>
    <row r="201" spans="1:36" s="1" customFormat="1" outlineLevel="1">
      <c r="A201" t="s">
        <v>729</v>
      </c>
      <c r="B201" s="281" t="s">
        <v>126</v>
      </c>
      <c r="C201" s="275">
        <v>0.2</v>
      </c>
      <c r="D201" s="296">
        <f t="shared" si="39"/>
        <v>0.19666666666666668</v>
      </c>
      <c r="E201" s="296">
        <f t="shared" si="39"/>
        <v>0.19333333333333336</v>
      </c>
      <c r="F201" s="296">
        <f t="shared" si="39"/>
        <v>0.19000000000000003</v>
      </c>
      <c r="G201" s="296">
        <f t="shared" si="39"/>
        <v>0.1866666666666667</v>
      </c>
      <c r="H201" s="296">
        <f t="shared" si="39"/>
        <v>0.18333333333333338</v>
      </c>
      <c r="I201" s="296">
        <f t="shared" si="39"/>
        <v>0.18000000000000005</v>
      </c>
      <c r="J201" s="296">
        <f t="shared" si="39"/>
        <v>0.17666666666666672</v>
      </c>
      <c r="K201" s="296">
        <f t="shared" si="39"/>
        <v>0.17333333333333339</v>
      </c>
      <c r="L201" s="296">
        <f t="shared" si="39"/>
        <v>0.17000000000000007</v>
      </c>
      <c r="M201" s="296">
        <f t="shared" si="39"/>
        <v>0.16666666666666674</v>
      </c>
      <c r="N201" s="296">
        <f t="shared" si="39"/>
        <v>0.16333333333333341</v>
      </c>
      <c r="O201" s="296">
        <f t="shared" si="39"/>
        <v>0.16000000000000009</v>
      </c>
      <c r="P201" s="296">
        <f t="shared" si="39"/>
        <v>0.15666666666666676</v>
      </c>
      <c r="Q201" s="296">
        <f t="shared" si="39"/>
        <v>0.15333333333333343</v>
      </c>
      <c r="R201" s="296">
        <f t="shared" si="39"/>
        <v>0.15000000000000011</v>
      </c>
      <c r="S201" s="296">
        <f t="shared" si="39"/>
        <v>0.14666666666666678</v>
      </c>
      <c r="T201" s="296">
        <f t="shared" si="40"/>
        <v>0.14333333333333345</v>
      </c>
      <c r="U201" s="296">
        <f t="shared" si="40"/>
        <v>0.14000000000000012</v>
      </c>
      <c r="V201" s="296">
        <f t="shared" si="40"/>
        <v>0.1366666666666668</v>
      </c>
      <c r="W201" s="296">
        <f t="shared" si="40"/>
        <v>0.13333333333333347</v>
      </c>
      <c r="X201" s="296">
        <f t="shared" si="40"/>
        <v>0.13000000000000014</v>
      </c>
      <c r="Y201" s="296">
        <f t="shared" si="40"/>
        <v>0.12666666666666682</v>
      </c>
      <c r="Z201" s="296">
        <f t="shared" si="40"/>
        <v>0.12333333333333349</v>
      </c>
      <c r="AA201" s="296">
        <f t="shared" si="40"/>
        <v>0.12000000000000016</v>
      </c>
      <c r="AB201" s="296">
        <f t="shared" si="40"/>
        <v>0.11666666666666684</v>
      </c>
      <c r="AC201" s="296">
        <f t="shared" si="40"/>
        <v>0.11333333333333351</v>
      </c>
      <c r="AD201" s="296">
        <f t="shared" si="40"/>
        <v>0.11000000000000018</v>
      </c>
      <c r="AE201" s="296">
        <f t="shared" si="40"/>
        <v>0.10666666666666685</v>
      </c>
      <c r="AF201" s="296">
        <f t="shared" si="40"/>
        <v>0.10333333333333353</v>
      </c>
      <c r="AG201" s="275">
        <v>0.1</v>
      </c>
      <c r="AI201" s="295"/>
      <c r="AJ201" s="198" t="s">
        <v>1618</v>
      </c>
    </row>
    <row r="202" spans="1:36" s="1" customFormat="1" outlineLevel="1">
      <c r="A202" t="s">
        <v>739</v>
      </c>
      <c r="B202" s="281" t="s">
        <v>126</v>
      </c>
      <c r="C202" s="275">
        <v>0.95</v>
      </c>
      <c r="D202" s="296">
        <f t="shared" si="39"/>
        <v>0.94866666666666666</v>
      </c>
      <c r="E202" s="296">
        <f t="shared" si="39"/>
        <v>0.94733333333333336</v>
      </c>
      <c r="F202" s="296">
        <f t="shared" si="39"/>
        <v>0.94600000000000006</v>
      </c>
      <c r="G202" s="296">
        <f t="shared" si="39"/>
        <v>0.94466666666666677</v>
      </c>
      <c r="H202" s="296">
        <f t="shared" si="39"/>
        <v>0.94333333333333347</v>
      </c>
      <c r="I202" s="296">
        <f t="shared" si="39"/>
        <v>0.94200000000000017</v>
      </c>
      <c r="J202" s="296">
        <f t="shared" si="39"/>
        <v>0.94066666666666687</v>
      </c>
      <c r="K202" s="296">
        <f t="shared" si="39"/>
        <v>0.93933333333333358</v>
      </c>
      <c r="L202" s="296">
        <f t="shared" si="39"/>
        <v>0.93800000000000028</v>
      </c>
      <c r="M202" s="296">
        <f t="shared" si="39"/>
        <v>0.93666666666666698</v>
      </c>
      <c r="N202" s="296">
        <f t="shared" si="39"/>
        <v>0.93533333333333368</v>
      </c>
      <c r="O202" s="296">
        <f t="shared" si="39"/>
        <v>0.93400000000000039</v>
      </c>
      <c r="P202" s="296">
        <f t="shared" si="39"/>
        <v>0.93266666666666709</v>
      </c>
      <c r="Q202" s="296">
        <f t="shared" si="39"/>
        <v>0.93133333333333379</v>
      </c>
      <c r="R202" s="296">
        <f t="shared" si="39"/>
        <v>0.93000000000000049</v>
      </c>
      <c r="S202" s="296">
        <f t="shared" si="39"/>
        <v>0.9286666666666672</v>
      </c>
      <c r="T202" s="296">
        <f t="shared" si="40"/>
        <v>0.9273333333333339</v>
      </c>
      <c r="U202" s="296">
        <f t="shared" si="40"/>
        <v>0.9260000000000006</v>
      </c>
      <c r="V202" s="296">
        <f t="shared" si="40"/>
        <v>0.9246666666666673</v>
      </c>
      <c r="W202" s="296">
        <f t="shared" si="40"/>
        <v>0.92333333333333401</v>
      </c>
      <c r="X202" s="296">
        <f t="shared" si="40"/>
        <v>0.92200000000000071</v>
      </c>
      <c r="Y202" s="296">
        <f t="shared" si="40"/>
        <v>0.92066666666666741</v>
      </c>
      <c r="Z202" s="296">
        <f t="shared" si="40"/>
        <v>0.91933333333333411</v>
      </c>
      <c r="AA202" s="296">
        <f t="shared" si="40"/>
        <v>0.91800000000000082</v>
      </c>
      <c r="AB202" s="296">
        <f t="shared" si="40"/>
        <v>0.91666666666666752</v>
      </c>
      <c r="AC202" s="296">
        <f t="shared" si="40"/>
        <v>0.91533333333333422</v>
      </c>
      <c r="AD202" s="296">
        <f t="shared" si="40"/>
        <v>0.91400000000000092</v>
      </c>
      <c r="AE202" s="296">
        <f t="shared" si="40"/>
        <v>0.91266666666666763</v>
      </c>
      <c r="AF202" s="296">
        <f t="shared" si="40"/>
        <v>0.91133333333333433</v>
      </c>
      <c r="AG202" s="275">
        <v>0.91</v>
      </c>
      <c r="AI202" s="295"/>
      <c r="AJ202" s="198" t="s">
        <v>1619</v>
      </c>
    </row>
    <row r="203" spans="1:36" s="1" customFormat="1" outlineLevel="1">
      <c r="A203" t="s">
        <v>740</v>
      </c>
      <c r="B203" s="281" t="s">
        <v>126</v>
      </c>
      <c r="C203" s="275">
        <v>0.05</v>
      </c>
      <c r="D203" s="296">
        <f t="shared" si="39"/>
        <v>5.1333333333333335E-2</v>
      </c>
      <c r="E203" s="296">
        <f t="shared" si="39"/>
        <v>5.2666666666666667E-2</v>
      </c>
      <c r="F203" s="296">
        <f t="shared" si="39"/>
        <v>5.3999999999999999E-2</v>
      </c>
      <c r="G203" s="296">
        <f t="shared" si="39"/>
        <v>5.5333333333333332E-2</v>
      </c>
      <c r="H203" s="296">
        <f t="shared" si="39"/>
        <v>5.6666666666666664E-2</v>
      </c>
      <c r="I203" s="296">
        <f t="shared" si="39"/>
        <v>5.7999999999999996E-2</v>
      </c>
      <c r="J203" s="296">
        <f t="shared" si="39"/>
        <v>5.9333333333333328E-2</v>
      </c>
      <c r="K203" s="296">
        <f t="shared" si="39"/>
        <v>6.066666666666666E-2</v>
      </c>
      <c r="L203" s="296">
        <f t="shared" si="39"/>
        <v>6.1999999999999993E-2</v>
      </c>
      <c r="M203" s="296">
        <f t="shared" si="39"/>
        <v>6.3333333333333325E-2</v>
      </c>
      <c r="N203" s="296">
        <f t="shared" si="39"/>
        <v>6.4666666666666664E-2</v>
      </c>
      <c r="O203" s="296">
        <f t="shared" si="39"/>
        <v>6.6000000000000003E-2</v>
      </c>
      <c r="P203" s="296">
        <f t="shared" si="39"/>
        <v>6.7333333333333342E-2</v>
      </c>
      <c r="Q203" s="296">
        <f t="shared" si="39"/>
        <v>6.8666666666666681E-2</v>
      </c>
      <c r="R203" s="296">
        <f t="shared" si="39"/>
        <v>7.0000000000000021E-2</v>
      </c>
      <c r="S203" s="296">
        <f t="shared" si="39"/>
        <v>7.133333333333336E-2</v>
      </c>
      <c r="T203" s="296">
        <f t="shared" si="40"/>
        <v>7.2666666666666699E-2</v>
      </c>
      <c r="U203" s="296">
        <f t="shared" si="40"/>
        <v>7.4000000000000038E-2</v>
      </c>
      <c r="V203" s="296">
        <f t="shared" si="40"/>
        <v>7.5333333333333377E-2</v>
      </c>
      <c r="W203" s="296">
        <f t="shared" si="40"/>
        <v>7.6666666666666716E-2</v>
      </c>
      <c r="X203" s="296">
        <f t="shared" si="40"/>
        <v>7.8000000000000055E-2</v>
      </c>
      <c r="Y203" s="296">
        <f t="shared" si="40"/>
        <v>7.9333333333333395E-2</v>
      </c>
      <c r="Z203" s="296">
        <f t="shared" si="40"/>
        <v>8.0666666666666734E-2</v>
      </c>
      <c r="AA203" s="296">
        <f t="shared" si="40"/>
        <v>8.2000000000000073E-2</v>
      </c>
      <c r="AB203" s="296">
        <f t="shared" si="40"/>
        <v>8.3333333333333412E-2</v>
      </c>
      <c r="AC203" s="296">
        <f t="shared" si="40"/>
        <v>8.4666666666666751E-2</v>
      </c>
      <c r="AD203" s="296">
        <f t="shared" si="40"/>
        <v>8.600000000000009E-2</v>
      </c>
      <c r="AE203" s="296">
        <f t="shared" si="40"/>
        <v>8.7333333333333429E-2</v>
      </c>
      <c r="AF203" s="296">
        <f t="shared" si="40"/>
        <v>8.8666666666666769E-2</v>
      </c>
      <c r="AG203" s="275">
        <v>0.09</v>
      </c>
      <c r="AI203" s="295"/>
      <c r="AJ203" s="198" t="s">
        <v>1620</v>
      </c>
    </row>
    <row r="204" spans="1:36" s="1" customFormat="1" outlineLevel="1">
      <c r="A204" t="s">
        <v>742</v>
      </c>
      <c r="B204" s="281"/>
      <c r="C204" s="275">
        <v>0.27</v>
      </c>
      <c r="D204" s="296">
        <f t="shared" si="39"/>
        <v>0.26600000000000001</v>
      </c>
      <c r="E204" s="296">
        <f t="shared" si="39"/>
        <v>0.26200000000000001</v>
      </c>
      <c r="F204" s="296">
        <f t="shared" si="39"/>
        <v>0.25800000000000001</v>
      </c>
      <c r="G204" s="296">
        <f t="shared" si="39"/>
        <v>0.254</v>
      </c>
      <c r="H204" s="296">
        <f t="shared" si="39"/>
        <v>0.25</v>
      </c>
      <c r="I204" s="296">
        <f t="shared" si="39"/>
        <v>0.246</v>
      </c>
      <c r="J204" s="296">
        <f t="shared" si="39"/>
        <v>0.24199999999999999</v>
      </c>
      <c r="K204" s="296">
        <f t="shared" si="39"/>
        <v>0.23799999999999999</v>
      </c>
      <c r="L204" s="296">
        <f t="shared" si="39"/>
        <v>0.23399999999999999</v>
      </c>
      <c r="M204" s="296">
        <f t="shared" si="39"/>
        <v>0.22999999999999998</v>
      </c>
      <c r="N204" s="296">
        <f t="shared" si="39"/>
        <v>0.22599999999999998</v>
      </c>
      <c r="O204" s="296">
        <f t="shared" si="39"/>
        <v>0.22199999999999998</v>
      </c>
      <c r="P204" s="296">
        <f t="shared" si="39"/>
        <v>0.21799999999999997</v>
      </c>
      <c r="Q204" s="296">
        <f t="shared" si="39"/>
        <v>0.21399999999999997</v>
      </c>
      <c r="R204" s="296">
        <f t="shared" si="39"/>
        <v>0.20999999999999996</v>
      </c>
      <c r="S204" s="296">
        <f t="shared" si="39"/>
        <v>0.20599999999999996</v>
      </c>
      <c r="T204" s="296">
        <f t="shared" si="40"/>
        <v>0.20199999999999996</v>
      </c>
      <c r="U204" s="296">
        <f t="shared" si="40"/>
        <v>0.19799999999999995</v>
      </c>
      <c r="V204" s="296">
        <f t="shared" si="40"/>
        <v>0.19399999999999995</v>
      </c>
      <c r="W204" s="296">
        <f t="shared" si="40"/>
        <v>0.18999999999999995</v>
      </c>
      <c r="X204" s="296">
        <f t="shared" si="40"/>
        <v>0.18599999999999994</v>
      </c>
      <c r="Y204" s="296">
        <f t="shared" si="40"/>
        <v>0.18199999999999994</v>
      </c>
      <c r="Z204" s="296">
        <f t="shared" si="40"/>
        <v>0.17799999999999994</v>
      </c>
      <c r="AA204" s="296">
        <f t="shared" si="40"/>
        <v>0.17399999999999993</v>
      </c>
      <c r="AB204" s="296">
        <f t="shared" si="40"/>
        <v>0.16999999999999993</v>
      </c>
      <c r="AC204" s="296">
        <f t="shared" si="40"/>
        <v>0.16599999999999993</v>
      </c>
      <c r="AD204" s="296">
        <f t="shared" si="40"/>
        <v>0.16199999999999992</v>
      </c>
      <c r="AE204" s="296">
        <f t="shared" si="40"/>
        <v>0.15799999999999992</v>
      </c>
      <c r="AF204" s="296">
        <f t="shared" si="40"/>
        <v>0.15399999999999991</v>
      </c>
      <c r="AG204" s="275">
        <v>0.15</v>
      </c>
      <c r="AI204" s="295"/>
      <c r="AJ204" s="198"/>
    </row>
    <row r="205" spans="1:36" s="62" customFormat="1" outlineLevel="1">
      <c r="A205" s="322" t="s">
        <v>733</v>
      </c>
      <c r="B205" s="287" t="s">
        <v>126</v>
      </c>
      <c r="C205" s="314">
        <v>0.16</v>
      </c>
      <c r="D205" s="315">
        <f t="shared" si="39"/>
        <v>0.16533333333333333</v>
      </c>
      <c r="E205" s="315">
        <f t="shared" si="39"/>
        <v>0.17066666666666666</v>
      </c>
      <c r="F205" s="315">
        <f t="shared" si="39"/>
        <v>0.17599999999999999</v>
      </c>
      <c r="G205" s="315">
        <f t="shared" si="39"/>
        <v>0.18133333333333332</v>
      </c>
      <c r="H205" s="315">
        <f t="shared" si="39"/>
        <v>0.18666666666666665</v>
      </c>
      <c r="I205" s="315">
        <f t="shared" si="39"/>
        <v>0.19199999999999998</v>
      </c>
      <c r="J205" s="315">
        <f t="shared" si="39"/>
        <v>0.19733333333333331</v>
      </c>
      <c r="K205" s="315">
        <f t="shared" si="39"/>
        <v>0.20266666666666663</v>
      </c>
      <c r="L205" s="315">
        <f t="shared" si="39"/>
        <v>0.20799999999999996</v>
      </c>
      <c r="M205" s="315">
        <f t="shared" si="39"/>
        <v>0.21333333333333329</v>
      </c>
      <c r="N205" s="315">
        <f t="shared" si="39"/>
        <v>0.21866666666666662</v>
      </c>
      <c r="O205" s="315">
        <f t="shared" si="39"/>
        <v>0.22399999999999995</v>
      </c>
      <c r="P205" s="315">
        <f t="shared" si="39"/>
        <v>0.22933333333333328</v>
      </c>
      <c r="Q205" s="315">
        <f t="shared" si="39"/>
        <v>0.23466666666666661</v>
      </c>
      <c r="R205" s="315">
        <f t="shared" si="39"/>
        <v>0.23999999999999994</v>
      </c>
      <c r="S205" s="315">
        <f t="shared" si="39"/>
        <v>0.24533333333333326</v>
      </c>
      <c r="T205" s="315">
        <f t="shared" si="40"/>
        <v>0.25066666666666659</v>
      </c>
      <c r="U205" s="315">
        <f t="shared" si="40"/>
        <v>0.25599999999999995</v>
      </c>
      <c r="V205" s="315">
        <f t="shared" si="40"/>
        <v>0.26133333333333331</v>
      </c>
      <c r="W205" s="315">
        <f t="shared" si="40"/>
        <v>0.26666666666666666</v>
      </c>
      <c r="X205" s="315">
        <f t="shared" si="40"/>
        <v>0.27200000000000002</v>
      </c>
      <c r="Y205" s="315">
        <f t="shared" si="40"/>
        <v>0.27733333333333338</v>
      </c>
      <c r="Z205" s="315">
        <f t="shared" si="40"/>
        <v>0.28266666666666673</v>
      </c>
      <c r="AA205" s="315">
        <f t="shared" si="40"/>
        <v>0.28800000000000009</v>
      </c>
      <c r="AB205" s="315">
        <f t="shared" si="40"/>
        <v>0.29333333333333345</v>
      </c>
      <c r="AC205" s="315">
        <f t="shared" si="40"/>
        <v>0.2986666666666668</v>
      </c>
      <c r="AD205" s="315">
        <f t="shared" si="40"/>
        <v>0.30400000000000016</v>
      </c>
      <c r="AE205" s="315">
        <f t="shared" si="40"/>
        <v>0.30933333333333352</v>
      </c>
      <c r="AF205" s="315">
        <f t="shared" si="40"/>
        <v>0.31466666666666687</v>
      </c>
      <c r="AG205" s="314">
        <v>0.32</v>
      </c>
      <c r="AI205" s="314"/>
      <c r="AJ205" s="316" t="s">
        <v>1620</v>
      </c>
    </row>
    <row r="206" spans="1:36" outlineLevel="1">
      <c r="A206" s="323" t="s">
        <v>734</v>
      </c>
      <c r="B206" s="281" t="s">
        <v>126</v>
      </c>
      <c r="C206" s="275">
        <v>0.37</v>
      </c>
      <c r="D206" s="296">
        <f t="shared" si="39"/>
        <v>0.37166666666666665</v>
      </c>
      <c r="E206" s="296">
        <f t="shared" si="39"/>
        <v>0.37333333333333329</v>
      </c>
      <c r="F206" s="296">
        <f t="shared" si="39"/>
        <v>0.37499999999999994</v>
      </c>
      <c r="G206" s="296">
        <f t="shared" si="39"/>
        <v>0.37666666666666659</v>
      </c>
      <c r="H206" s="296">
        <f t="shared" si="39"/>
        <v>0.37833333333333324</v>
      </c>
      <c r="I206" s="296">
        <f t="shared" si="39"/>
        <v>0.37999999999999989</v>
      </c>
      <c r="J206" s="296">
        <f t="shared" si="39"/>
        <v>0.38166666666666654</v>
      </c>
      <c r="K206" s="296">
        <f t="shared" si="39"/>
        <v>0.38333333333333319</v>
      </c>
      <c r="L206" s="296">
        <f t="shared" si="39"/>
        <v>0.38499999999999984</v>
      </c>
      <c r="M206" s="296">
        <f t="shared" si="39"/>
        <v>0.38666666666666649</v>
      </c>
      <c r="N206" s="296">
        <f t="shared" si="39"/>
        <v>0.38833333333333314</v>
      </c>
      <c r="O206" s="296">
        <f t="shared" si="39"/>
        <v>0.38999999999999979</v>
      </c>
      <c r="P206" s="296">
        <f t="shared" si="39"/>
        <v>0.39166666666666644</v>
      </c>
      <c r="Q206" s="296">
        <f t="shared" si="39"/>
        <v>0.39333333333333309</v>
      </c>
      <c r="R206" s="296">
        <f t="shared" si="39"/>
        <v>0.39499999999999974</v>
      </c>
      <c r="S206" s="296">
        <f t="shared" si="39"/>
        <v>0.39666666666666639</v>
      </c>
      <c r="T206" s="296">
        <f t="shared" si="40"/>
        <v>0.39833333333333304</v>
      </c>
      <c r="U206" s="296">
        <f t="shared" si="40"/>
        <v>0.39999999999999969</v>
      </c>
      <c r="V206" s="296">
        <f t="shared" si="40"/>
        <v>0.40166666666666634</v>
      </c>
      <c r="W206" s="296">
        <f t="shared" si="40"/>
        <v>0.40333333333333299</v>
      </c>
      <c r="X206" s="296">
        <f t="shared" si="40"/>
        <v>0.40499999999999964</v>
      </c>
      <c r="Y206" s="296">
        <f t="shared" si="40"/>
        <v>0.40666666666666629</v>
      </c>
      <c r="Z206" s="296">
        <f t="shared" si="40"/>
        <v>0.40833333333333294</v>
      </c>
      <c r="AA206" s="296">
        <f t="shared" si="40"/>
        <v>0.40999999999999959</v>
      </c>
      <c r="AB206" s="296">
        <f t="shared" si="40"/>
        <v>0.41166666666666624</v>
      </c>
      <c r="AC206" s="296">
        <f t="shared" si="40"/>
        <v>0.41333333333333289</v>
      </c>
      <c r="AD206" s="296">
        <f t="shared" si="40"/>
        <v>0.41499999999999954</v>
      </c>
      <c r="AE206" s="296">
        <f t="shared" si="40"/>
        <v>0.41666666666666619</v>
      </c>
      <c r="AF206" s="296">
        <f t="shared" si="40"/>
        <v>0.41833333333333284</v>
      </c>
      <c r="AG206" s="275">
        <v>0.42</v>
      </c>
      <c r="AI206" s="275"/>
      <c r="AJ206" s="198" t="s">
        <v>1621</v>
      </c>
    </row>
    <row r="207" spans="1:36" outlineLevel="1">
      <c r="A207" s="323" t="s">
        <v>735</v>
      </c>
      <c r="B207" s="281" t="s">
        <v>126</v>
      </c>
      <c r="C207" s="275">
        <v>0.08</v>
      </c>
      <c r="D207" s="296">
        <f t="shared" si="39"/>
        <v>7.7666666666666662E-2</v>
      </c>
      <c r="E207" s="296">
        <f t="shared" si="39"/>
        <v>7.5333333333333322E-2</v>
      </c>
      <c r="F207" s="296">
        <f t="shared" si="39"/>
        <v>7.2999999999999982E-2</v>
      </c>
      <c r="G207" s="296">
        <f t="shared" si="39"/>
        <v>7.0666666666666642E-2</v>
      </c>
      <c r="H207" s="296">
        <f t="shared" si="39"/>
        <v>6.8333333333333302E-2</v>
      </c>
      <c r="I207" s="296">
        <f t="shared" si="39"/>
        <v>6.5999999999999961E-2</v>
      </c>
      <c r="J207" s="296">
        <f t="shared" si="39"/>
        <v>6.3666666666666621E-2</v>
      </c>
      <c r="K207" s="296">
        <f t="shared" si="39"/>
        <v>6.1333333333333288E-2</v>
      </c>
      <c r="L207" s="296">
        <f t="shared" si="39"/>
        <v>5.8999999999999955E-2</v>
      </c>
      <c r="M207" s="296">
        <f t="shared" si="39"/>
        <v>5.6666666666666622E-2</v>
      </c>
      <c r="N207" s="296">
        <f t="shared" si="39"/>
        <v>5.4333333333333289E-2</v>
      </c>
      <c r="O207" s="296">
        <f t="shared" si="39"/>
        <v>5.1999999999999956E-2</v>
      </c>
      <c r="P207" s="296">
        <f t="shared" si="39"/>
        <v>4.9666666666666623E-2</v>
      </c>
      <c r="Q207" s="296">
        <f t="shared" si="39"/>
        <v>4.733333333333329E-2</v>
      </c>
      <c r="R207" s="296">
        <f t="shared" si="39"/>
        <v>4.4999999999999957E-2</v>
      </c>
      <c r="S207" s="296">
        <f t="shared" si="39"/>
        <v>4.2666666666666624E-2</v>
      </c>
      <c r="T207" s="296">
        <f t="shared" si="40"/>
        <v>4.0333333333333291E-2</v>
      </c>
      <c r="U207" s="296">
        <f t="shared" si="40"/>
        <v>3.7999999999999957E-2</v>
      </c>
      <c r="V207" s="296">
        <f t="shared" si="40"/>
        <v>3.5666666666666624E-2</v>
      </c>
      <c r="W207" s="296">
        <f t="shared" si="40"/>
        <v>3.3333333333333291E-2</v>
      </c>
      <c r="X207" s="296">
        <f t="shared" si="40"/>
        <v>3.0999999999999958E-2</v>
      </c>
      <c r="Y207" s="296">
        <f t="shared" si="40"/>
        <v>2.8666666666666625E-2</v>
      </c>
      <c r="Z207" s="296">
        <f t="shared" si="40"/>
        <v>2.6333333333333292E-2</v>
      </c>
      <c r="AA207" s="296">
        <f t="shared" si="40"/>
        <v>2.3999999999999959E-2</v>
      </c>
      <c r="AB207" s="296">
        <f t="shared" si="40"/>
        <v>2.1666666666666626E-2</v>
      </c>
      <c r="AC207" s="296">
        <f t="shared" si="40"/>
        <v>1.9333333333333293E-2</v>
      </c>
      <c r="AD207" s="296">
        <f t="shared" si="40"/>
        <v>1.699999999999996E-2</v>
      </c>
      <c r="AE207" s="296">
        <f t="shared" si="40"/>
        <v>1.4666666666666626E-2</v>
      </c>
      <c r="AF207" s="296">
        <f t="shared" si="40"/>
        <v>1.2333333333333293E-2</v>
      </c>
      <c r="AG207" s="275">
        <v>0.01</v>
      </c>
      <c r="AI207" s="275"/>
      <c r="AJ207" s="198" t="s">
        <v>1622</v>
      </c>
    </row>
    <row r="208" spans="1:36" outlineLevel="1">
      <c r="A208" s="323" t="s">
        <v>736</v>
      </c>
      <c r="B208" s="281" t="s">
        <v>126</v>
      </c>
      <c r="C208" s="275">
        <v>0.27</v>
      </c>
      <c r="D208" s="296">
        <f t="shared" si="39"/>
        <v>0.26633333333333337</v>
      </c>
      <c r="E208" s="296">
        <f t="shared" si="39"/>
        <v>0.26266666666666671</v>
      </c>
      <c r="F208" s="296">
        <f t="shared" si="39"/>
        <v>0.25900000000000006</v>
      </c>
      <c r="G208" s="296">
        <f t="shared" si="39"/>
        <v>0.25533333333333341</v>
      </c>
      <c r="H208" s="296">
        <f t="shared" si="39"/>
        <v>0.25166666666666676</v>
      </c>
      <c r="I208" s="296">
        <f t="shared" si="39"/>
        <v>0.24800000000000008</v>
      </c>
      <c r="J208" s="296">
        <f t="shared" si="39"/>
        <v>0.2443333333333334</v>
      </c>
      <c r="K208" s="296">
        <f t="shared" si="39"/>
        <v>0.24066666666666672</v>
      </c>
      <c r="L208" s="296">
        <f t="shared" si="39"/>
        <v>0.23700000000000004</v>
      </c>
      <c r="M208" s="296">
        <f t="shared" si="39"/>
        <v>0.23333333333333336</v>
      </c>
      <c r="N208" s="296">
        <f t="shared" si="39"/>
        <v>0.22966666666666669</v>
      </c>
      <c r="O208" s="296">
        <f t="shared" si="39"/>
        <v>0.22600000000000001</v>
      </c>
      <c r="P208" s="296">
        <f t="shared" si="39"/>
        <v>0.22233333333333333</v>
      </c>
      <c r="Q208" s="296">
        <f t="shared" si="39"/>
        <v>0.21866666666666665</v>
      </c>
      <c r="R208" s="296">
        <f t="shared" si="39"/>
        <v>0.21499999999999997</v>
      </c>
      <c r="S208" s="296">
        <f t="shared" si="39"/>
        <v>0.21133333333333329</v>
      </c>
      <c r="T208" s="296">
        <f t="shared" si="40"/>
        <v>0.20766666666666661</v>
      </c>
      <c r="U208" s="296">
        <f t="shared" si="40"/>
        <v>0.20399999999999993</v>
      </c>
      <c r="V208" s="296">
        <f t="shared" si="40"/>
        <v>0.20033333333333325</v>
      </c>
      <c r="W208" s="296">
        <f t="shared" si="40"/>
        <v>0.19666666666666657</v>
      </c>
      <c r="X208" s="296">
        <f t="shared" si="40"/>
        <v>0.19299999999999989</v>
      </c>
      <c r="Y208" s="296">
        <f t="shared" si="40"/>
        <v>0.18933333333333321</v>
      </c>
      <c r="Z208" s="296">
        <f t="shared" si="40"/>
        <v>0.18566666666666654</v>
      </c>
      <c r="AA208" s="296">
        <f t="shared" si="40"/>
        <v>0.18199999999999986</v>
      </c>
      <c r="AB208" s="296">
        <f t="shared" si="40"/>
        <v>0.17833333333333318</v>
      </c>
      <c r="AC208" s="296">
        <f t="shared" si="40"/>
        <v>0.1746666666666665</v>
      </c>
      <c r="AD208" s="296">
        <f t="shared" si="40"/>
        <v>0.17099999999999982</v>
      </c>
      <c r="AE208" s="296">
        <f t="shared" si="40"/>
        <v>0.16733333333333314</v>
      </c>
      <c r="AF208" s="296">
        <f t="shared" si="40"/>
        <v>0.16366666666666646</v>
      </c>
      <c r="AG208" s="275">
        <v>0.16</v>
      </c>
      <c r="AI208" s="275"/>
      <c r="AJ208" s="198" t="s">
        <v>1623</v>
      </c>
    </row>
    <row r="209" spans="1:36" outlineLevel="1">
      <c r="A209" s="323" t="s">
        <v>737</v>
      </c>
      <c r="B209" s="281" t="s">
        <v>126</v>
      </c>
      <c r="C209" s="275">
        <v>7.0000000000000007E-2</v>
      </c>
      <c r="D209" s="296">
        <f t="shared" si="39"/>
        <v>6.9666666666666668E-2</v>
      </c>
      <c r="E209" s="296">
        <f t="shared" si="39"/>
        <v>6.933333333333333E-2</v>
      </c>
      <c r="F209" s="296">
        <f t="shared" si="39"/>
        <v>6.8999999999999992E-2</v>
      </c>
      <c r="G209" s="296">
        <f t="shared" si="39"/>
        <v>6.8666666666666654E-2</v>
      </c>
      <c r="H209" s="296">
        <f t="shared" si="39"/>
        <v>6.8333333333333315E-2</v>
      </c>
      <c r="I209" s="296">
        <f t="shared" si="39"/>
        <v>6.7999999999999977E-2</v>
      </c>
      <c r="J209" s="296">
        <f t="shared" si="39"/>
        <v>6.7666666666666639E-2</v>
      </c>
      <c r="K209" s="296">
        <f t="shared" si="39"/>
        <v>6.7333333333333301E-2</v>
      </c>
      <c r="L209" s="296">
        <f t="shared" si="39"/>
        <v>6.6999999999999962E-2</v>
      </c>
      <c r="M209" s="296">
        <f t="shared" si="39"/>
        <v>6.6666666666666624E-2</v>
      </c>
      <c r="N209" s="296">
        <f t="shared" si="39"/>
        <v>6.6333333333333286E-2</v>
      </c>
      <c r="O209" s="296">
        <f t="shared" si="39"/>
        <v>6.5999999999999948E-2</v>
      </c>
      <c r="P209" s="296">
        <f t="shared" si="39"/>
        <v>6.5666666666666609E-2</v>
      </c>
      <c r="Q209" s="296">
        <f t="shared" si="39"/>
        <v>6.5333333333333271E-2</v>
      </c>
      <c r="R209" s="296">
        <f t="shared" si="39"/>
        <v>6.4999999999999933E-2</v>
      </c>
      <c r="S209" s="296">
        <f t="shared" ref="S209:AF209" si="41">-($C209-$AG209)/30+R209</f>
        <v>6.4666666666666595E-2</v>
      </c>
      <c r="T209" s="296">
        <f t="shared" si="41"/>
        <v>6.4333333333333256E-2</v>
      </c>
      <c r="U209" s="296">
        <f t="shared" si="41"/>
        <v>6.3999999999999918E-2</v>
      </c>
      <c r="V209" s="296">
        <f t="shared" si="41"/>
        <v>6.366666666666658E-2</v>
      </c>
      <c r="W209" s="296">
        <f t="shared" si="41"/>
        <v>6.3333333333333242E-2</v>
      </c>
      <c r="X209" s="296">
        <f t="shared" si="41"/>
        <v>6.2999999999999903E-2</v>
      </c>
      <c r="Y209" s="296">
        <f t="shared" si="41"/>
        <v>6.2666666666666565E-2</v>
      </c>
      <c r="Z209" s="296">
        <f t="shared" si="41"/>
        <v>6.2333333333333234E-2</v>
      </c>
      <c r="AA209" s="296">
        <f t="shared" si="41"/>
        <v>6.1999999999999902E-2</v>
      </c>
      <c r="AB209" s="296">
        <f t="shared" si="41"/>
        <v>6.1666666666666571E-2</v>
      </c>
      <c r="AC209" s="296">
        <f t="shared" si="41"/>
        <v>6.133333333333324E-2</v>
      </c>
      <c r="AD209" s="296">
        <f t="shared" si="41"/>
        <v>6.0999999999999908E-2</v>
      </c>
      <c r="AE209" s="296">
        <f t="shared" si="41"/>
        <v>6.0666666666666577E-2</v>
      </c>
      <c r="AF209" s="296">
        <f t="shared" si="41"/>
        <v>6.0333333333333246E-2</v>
      </c>
      <c r="AG209" s="275">
        <v>0.06</v>
      </c>
      <c r="AI209" s="275"/>
      <c r="AJ209" s="198" t="s">
        <v>1624</v>
      </c>
    </row>
    <row r="210" spans="1:36" s="63" customFormat="1" outlineLevel="1">
      <c r="A210" s="324" t="s">
        <v>738</v>
      </c>
      <c r="B210" s="291" t="s">
        <v>126</v>
      </c>
      <c r="C210" s="293">
        <v>0.05</v>
      </c>
      <c r="D210" s="317">
        <f t="shared" ref="D210:AF210" si="42">-($C210-$AG210)/30+C210</f>
        <v>4.9333333333333333E-2</v>
      </c>
      <c r="E210" s="317">
        <f t="shared" si="42"/>
        <v>4.8666666666666664E-2</v>
      </c>
      <c r="F210" s="317">
        <f t="shared" si="42"/>
        <v>4.7999999999999994E-2</v>
      </c>
      <c r="G210" s="317">
        <f t="shared" si="42"/>
        <v>4.7333333333333324E-2</v>
      </c>
      <c r="H210" s="317">
        <f t="shared" si="42"/>
        <v>4.6666666666666655E-2</v>
      </c>
      <c r="I210" s="317">
        <f t="shared" si="42"/>
        <v>4.5999999999999985E-2</v>
      </c>
      <c r="J210" s="317">
        <f t="shared" si="42"/>
        <v>4.5333333333333316E-2</v>
      </c>
      <c r="K210" s="317">
        <f t="shared" si="42"/>
        <v>4.4666666666666646E-2</v>
      </c>
      <c r="L210" s="317">
        <f t="shared" si="42"/>
        <v>4.3999999999999977E-2</v>
      </c>
      <c r="M210" s="317">
        <f t="shared" si="42"/>
        <v>4.3333333333333307E-2</v>
      </c>
      <c r="N210" s="317">
        <f t="shared" si="42"/>
        <v>4.2666666666666637E-2</v>
      </c>
      <c r="O210" s="317">
        <f t="shared" si="42"/>
        <v>4.1999999999999968E-2</v>
      </c>
      <c r="P210" s="317">
        <f t="shared" si="42"/>
        <v>4.1333333333333298E-2</v>
      </c>
      <c r="Q210" s="317">
        <f t="shared" si="42"/>
        <v>4.0666666666666629E-2</v>
      </c>
      <c r="R210" s="317">
        <f t="shared" si="42"/>
        <v>3.9999999999999959E-2</v>
      </c>
      <c r="S210" s="317">
        <f t="shared" si="42"/>
        <v>3.933333333333329E-2</v>
      </c>
      <c r="T210" s="317">
        <f t="shared" si="42"/>
        <v>3.866666666666662E-2</v>
      </c>
      <c r="U210" s="317">
        <f t="shared" si="42"/>
        <v>3.799999999999995E-2</v>
      </c>
      <c r="V210" s="317">
        <f t="shared" si="42"/>
        <v>3.7333333333333281E-2</v>
      </c>
      <c r="W210" s="317">
        <f t="shared" si="42"/>
        <v>3.6666666666666611E-2</v>
      </c>
      <c r="X210" s="317">
        <f t="shared" si="42"/>
        <v>3.5999999999999942E-2</v>
      </c>
      <c r="Y210" s="317">
        <f t="shared" si="42"/>
        <v>3.5333333333333272E-2</v>
      </c>
      <c r="Z210" s="317">
        <f t="shared" si="42"/>
        <v>3.4666666666666603E-2</v>
      </c>
      <c r="AA210" s="317">
        <f t="shared" si="42"/>
        <v>3.3999999999999933E-2</v>
      </c>
      <c r="AB210" s="317">
        <f t="shared" si="42"/>
        <v>3.3333333333333263E-2</v>
      </c>
      <c r="AC210" s="317">
        <f t="shared" si="42"/>
        <v>3.2666666666666594E-2</v>
      </c>
      <c r="AD210" s="317">
        <f t="shared" si="42"/>
        <v>3.1999999999999924E-2</v>
      </c>
      <c r="AE210" s="317">
        <f t="shared" si="42"/>
        <v>3.1333333333333255E-2</v>
      </c>
      <c r="AF210" s="317">
        <f t="shared" si="42"/>
        <v>3.0666666666666589E-2</v>
      </c>
      <c r="AG210" s="293">
        <v>0.03</v>
      </c>
      <c r="AI210" s="293"/>
      <c r="AJ210" s="318" t="s">
        <v>1625</v>
      </c>
    </row>
    <row r="211" spans="1:36" s="55" customFormat="1" outlineLevel="1">
      <c r="A211" s="55" t="s">
        <v>703</v>
      </c>
      <c r="B211" s="282"/>
      <c r="C211" s="611">
        <f>C29</f>
        <v>2161692.5731232045</v>
      </c>
      <c r="D211" s="611">
        <f t="shared" ref="D211:AG211" si="43">D29</f>
        <v>2161692.5731232045</v>
      </c>
      <c r="E211" s="611">
        <f t="shared" si="43"/>
        <v>2161692.5731232045</v>
      </c>
      <c r="F211" s="611">
        <f t="shared" si="43"/>
        <v>2161692.5731232045</v>
      </c>
      <c r="G211" s="611">
        <f t="shared" si="43"/>
        <v>2161692.5731232045</v>
      </c>
      <c r="H211" s="611">
        <f t="shared" si="43"/>
        <v>2161692.5731232045</v>
      </c>
      <c r="I211" s="611">
        <f t="shared" si="43"/>
        <v>2161692.5731232045</v>
      </c>
      <c r="J211" s="611">
        <f t="shared" si="43"/>
        <v>2161692.5731232045</v>
      </c>
      <c r="K211" s="611">
        <f t="shared" si="43"/>
        <v>2161692.5731232045</v>
      </c>
      <c r="L211" s="611">
        <f t="shared" si="43"/>
        <v>2161692.5731232045</v>
      </c>
      <c r="M211" s="611">
        <f t="shared" si="43"/>
        <v>2161692.5731232045</v>
      </c>
      <c r="N211" s="611">
        <f t="shared" si="43"/>
        <v>2161692.5731232045</v>
      </c>
      <c r="O211" s="611">
        <f t="shared" si="43"/>
        <v>2161692.5731232045</v>
      </c>
      <c r="P211" s="611">
        <f t="shared" si="43"/>
        <v>2161692.5731232045</v>
      </c>
      <c r="Q211" s="611">
        <f t="shared" si="43"/>
        <v>2161692.5731232045</v>
      </c>
      <c r="R211" s="611">
        <f t="shared" si="43"/>
        <v>2161692.5731232045</v>
      </c>
      <c r="S211" s="611">
        <f t="shared" si="43"/>
        <v>2161692.5731232045</v>
      </c>
      <c r="T211" s="611">
        <f t="shared" si="43"/>
        <v>2161692.5731232045</v>
      </c>
      <c r="U211" s="611">
        <f t="shared" si="43"/>
        <v>2161692.5731232045</v>
      </c>
      <c r="V211" s="611">
        <f t="shared" si="43"/>
        <v>2161692.5731232045</v>
      </c>
      <c r="W211" s="611">
        <f t="shared" si="43"/>
        <v>2161692.5731232045</v>
      </c>
      <c r="X211" s="611">
        <f t="shared" si="43"/>
        <v>2161692.5731232045</v>
      </c>
      <c r="Y211" s="611">
        <f t="shared" si="43"/>
        <v>2161692.5731232045</v>
      </c>
      <c r="Z211" s="611">
        <f t="shared" si="43"/>
        <v>2161692.5731232045</v>
      </c>
      <c r="AA211" s="611">
        <f t="shared" si="43"/>
        <v>2161692.5731232045</v>
      </c>
      <c r="AB211" s="611">
        <f t="shared" si="43"/>
        <v>2161692.5731232045</v>
      </c>
      <c r="AC211" s="611">
        <f t="shared" si="43"/>
        <v>2161692.5731232045</v>
      </c>
      <c r="AD211" s="611">
        <f t="shared" si="43"/>
        <v>2161692.5731232045</v>
      </c>
      <c r="AE211" s="611">
        <f t="shared" si="43"/>
        <v>2161692.5731232045</v>
      </c>
      <c r="AF211" s="611">
        <f t="shared" si="43"/>
        <v>2161692.5731232045</v>
      </c>
      <c r="AG211" s="611">
        <f t="shared" si="43"/>
        <v>2161692.5731232045</v>
      </c>
      <c r="AI211" s="284"/>
      <c r="AJ211" s="285"/>
    </row>
    <row r="212" spans="1:36" s="55" customFormat="1" outlineLevel="1">
      <c r="A212" s="286" t="s">
        <v>173</v>
      </c>
      <c r="B212" s="287" t="s">
        <v>127</v>
      </c>
      <c r="C212" s="614">
        <v>0</v>
      </c>
      <c r="D212" s="614">
        <v>0</v>
      </c>
      <c r="E212" s="614">
        <v>0</v>
      </c>
      <c r="F212" s="614">
        <v>0</v>
      </c>
      <c r="G212" s="614">
        <v>0</v>
      </c>
      <c r="H212" s="614">
        <v>0</v>
      </c>
      <c r="I212" s="614">
        <v>0</v>
      </c>
      <c r="J212" s="614">
        <v>0</v>
      </c>
      <c r="K212" s="614">
        <v>0</v>
      </c>
      <c r="L212" s="614">
        <v>0</v>
      </c>
      <c r="M212" s="614">
        <v>0</v>
      </c>
      <c r="N212" s="614">
        <v>0</v>
      </c>
      <c r="O212" s="614">
        <v>0</v>
      </c>
      <c r="P212" s="614">
        <v>0</v>
      </c>
      <c r="Q212" s="614">
        <v>0</v>
      </c>
      <c r="R212" s="614">
        <v>0</v>
      </c>
      <c r="S212" s="614">
        <v>0</v>
      </c>
      <c r="T212" s="614">
        <v>0</v>
      </c>
      <c r="U212" s="614">
        <v>0</v>
      </c>
      <c r="V212" s="614">
        <v>0</v>
      </c>
      <c r="W212" s="614">
        <v>0</v>
      </c>
      <c r="X212" s="614">
        <v>0</v>
      </c>
      <c r="Y212" s="614">
        <v>0</v>
      </c>
      <c r="Z212" s="614">
        <v>0</v>
      </c>
      <c r="AA212" s="614">
        <v>0</v>
      </c>
      <c r="AB212" s="614">
        <v>0</v>
      </c>
      <c r="AC212" s="614">
        <v>0</v>
      </c>
      <c r="AD212" s="614">
        <v>0</v>
      </c>
      <c r="AE212" s="614">
        <v>0</v>
      </c>
      <c r="AF212" s="614">
        <v>0</v>
      </c>
      <c r="AG212" s="614">
        <v>0</v>
      </c>
      <c r="AI212" s="284"/>
      <c r="AJ212" s="285"/>
    </row>
    <row r="213" spans="1:36" outlineLevel="1">
      <c r="A213" s="289" t="s">
        <v>696</v>
      </c>
      <c r="B213" s="281" t="s">
        <v>127</v>
      </c>
      <c r="C213" s="613">
        <f>C180</f>
        <v>263139.70834518247</v>
      </c>
      <c r="D213" s="613">
        <f t="shared" ref="D213:AG213" si="44">D180</f>
        <v>267534.14147454698</v>
      </c>
      <c r="E213" s="613">
        <f t="shared" si="44"/>
        <v>272001.96163717192</v>
      </c>
      <c r="F213" s="613">
        <f t="shared" si="44"/>
        <v>276544.39439651265</v>
      </c>
      <c r="G213" s="613">
        <f t="shared" si="44"/>
        <v>281162.68578293442</v>
      </c>
      <c r="H213" s="613">
        <f t="shared" si="44"/>
        <v>285858.10263550939</v>
      </c>
      <c r="I213" s="613">
        <f t="shared" si="44"/>
        <v>290631.93294952239</v>
      </c>
      <c r="J213" s="613">
        <f t="shared" si="44"/>
        <v>295485.48622977937</v>
      </c>
      <c r="K213" s="613">
        <f t="shared" si="44"/>
        <v>300420.09384981665</v>
      </c>
      <c r="L213" s="613">
        <f t="shared" si="44"/>
        <v>305437.10941710859</v>
      </c>
      <c r="M213" s="613">
        <f t="shared" si="44"/>
        <v>310537.90914437431</v>
      </c>
      <c r="N213" s="613">
        <f t="shared" si="44"/>
        <v>315723.89222708537</v>
      </c>
      <c r="O213" s="613">
        <f t="shared" si="44"/>
        <v>320996.48122727766</v>
      </c>
      <c r="P213" s="613">
        <f t="shared" si="44"/>
        <v>326357.12246377318</v>
      </c>
      <c r="Q213" s="613">
        <f t="shared" si="44"/>
        <v>331807.28640891815</v>
      </c>
      <c r="R213" s="613">
        <f t="shared" si="44"/>
        <v>337348.46809194708</v>
      </c>
      <c r="S213" s="613">
        <f t="shared" si="44"/>
        <v>342982.18750908261</v>
      </c>
      <c r="T213" s="613">
        <f t="shared" si="44"/>
        <v>348709.99004048429</v>
      </c>
      <c r="U213" s="613">
        <f t="shared" si="44"/>
        <v>354533.44687416038</v>
      </c>
      <c r="V213" s="613">
        <f t="shared" si="44"/>
        <v>360454.15543695883</v>
      </c>
      <c r="W213" s="613">
        <f t="shared" si="44"/>
        <v>366473.73983275599</v>
      </c>
      <c r="X213" s="613">
        <f t="shared" si="44"/>
        <v>372593.85128796299</v>
      </c>
      <c r="Y213" s="613">
        <f t="shared" si="44"/>
        <v>378816.16860447195</v>
      </c>
      <c r="Z213" s="613">
        <f t="shared" si="44"/>
        <v>385142.39862016658</v>
      </c>
      <c r="AA213" s="613">
        <f t="shared" si="44"/>
        <v>391574.27667712333</v>
      </c>
      <c r="AB213" s="613">
        <f t="shared" si="44"/>
        <v>398113.56709763128</v>
      </c>
      <c r="AC213" s="613">
        <f t="shared" si="44"/>
        <v>404762.06366816169</v>
      </c>
      <c r="AD213" s="613">
        <f t="shared" si="44"/>
        <v>411521.59013141994</v>
      </c>
      <c r="AE213" s="613">
        <f t="shared" si="44"/>
        <v>418394.00068661466</v>
      </c>
      <c r="AF213" s="613">
        <f t="shared" si="44"/>
        <v>425381.18049808108</v>
      </c>
      <c r="AG213" s="613">
        <f t="shared" si="44"/>
        <v>432485.04621239903</v>
      </c>
      <c r="AI213" s="275"/>
    </row>
    <row r="214" spans="1:36" s="63" customFormat="1" outlineLevel="1">
      <c r="A214" s="290" t="s">
        <v>705</v>
      </c>
      <c r="B214" s="291" t="s">
        <v>127</v>
      </c>
      <c r="C214" s="615">
        <f>C211-C212-C213</f>
        <v>1898552.864778022</v>
      </c>
      <c r="D214" s="615">
        <f t="shared" ref="D214:AG214" si="45">D211-D212-D213</f>
        <v>1894158.4316486577</v>
      </c>
      <c r="E214" s="615">
        <f t="shared" si="45"/>
        <v>1889690.6114860326</v>
      </c>
      <c r="F214" s="615">
        <f t="shared" si="45"/>
        <v>1885148.1787266918</v>
      </c>
      <c r="G214" s="615">
        <f t="shared" si="45"/>
        <v>1880529.88734027</v>
      </c>
      <c r="H214" s="615">
        <f t="shared" si="45"/>
        <v>1875834.4704876952</v>
      </c>
      <c r="I214" s="615">
        <f t="shared" si="45"/>
        <v>1871060.640173682</v>
      </c>
      <c r="J214" s="615">
        <f t="shared" si="45"/>
        <v>1866207.0868934251</v>
      </c>
      <c r="K214" s="615">
        <f t="shared" si="45"/>
        <v>1861272.4792733879</v>
      </c>
      <c r="L214" s="615">
        <f t="shared" si="45"/>
        <v>1856255.4637060959</v>
      </c>
      <c r="M214" s="615">
        <f t="shared" si="45"/>
        <v>1851154.6639788302</v>
      </c>
      <c r="N214" s="615">
        <f t="shared" si="45"/>
        <v>1845968.6808961192</v>
      </c>
      <c r="O214" s="615">
        <f t="shared" si="45"/>
        <v>1840696.0918959267</v>
      </c>
      <c r="P214" s="615">
        <f t="shared" si="45"/>
        <v>1835335.4506594313</v>
      </c>
      <c r="Q214" s="615">
        <f t="shared" si="45"/>
        <v>1829885.2867142863</v>
      </c>
      <c r="R214" s="615">
        <f t="shared" si="45"/>
        <v>1824344.1050312575</v>
      </c>
      <c r="S214" s="615">
        <f t="shared" si="45"/>
        <v>1818710.3856141218</v>
      </c>
      <c r="T214" s="615">
        <f t="shared" si="45"/>
        <v>1812982.5830827202</v>
      </c>
      <c r="U214" s="615">
        <f t="shared" si="45"/>
        <v>1807159.1262490442</v>
      </c>
      <c r="V214" s="615">
        <f t="shared" si="45"/>
        <v>1801238.4176862456</v>
      </c>
      <c r="W214" s="615">
        <f t="shared" si="45"/>
        <v>1795218.8332904484</v>
      </c>
      <c r="X214" s="615">
        <f t="shared" si="45"/>
        <v>1789098.7218352417</v>
      </c>
      <c r="Y214" s="615">
        <f t="shared" si="45"/>
        <v>1782876.4045187326</v>
      </c>
      <c r="Z214" s="615">
        <f t="shared" si="45"/>
        <v>1776550.1745030379</v>
      </c>
      <c r="AA214" s="615">
        <f t="shared" si="45"/>
        <v>1770118.2964460813</v>
      </c>
      <c r="AB214" s="615">
        <f t="shared" si="45"/>
        <v>1763579.0060255732</v>
      </c>
      <c r="AC214" s="615">
        <f t="shared" si="45"/>
        <v>1756930.5094550429</v>
      </c>
      <c r="AD214" s="615">
        <f t="shared" si="45"/>
        <v>1750170.9829917846</v>
      </c>
      <c r="AE214" s="615">
        <f t="shared" si="45"/>
        <v>1743298.5724365897</v>
      </c>
      <c r="AF214" s="615">
        <f t="shared" si="45"/>
        <v>1736311.3926251235</v>
      </c>
      <c r="AG214" s="615">
        <f t="shared" si="45"/>
        <v>1729207.5269108056</v>
      </c>
      <c r="AI214" s="293"/>
      <c r="AJ214" s="294"/>
    </row>
    <row r="215" spans="1:36" outlineLevel="1">
      <c r="A215" s="106" t="s">
        <v>698</v>
      </c>
      <c r="B215" s="281" t="s">
        <v>127</v>
      </c>
      <c r="C215" s="122">
        <f>C184*C$214</f>
        <v>303768.45836448355</v>
      </c>
      <c r="D215" s="122">
        <f t="shared" ref="D215:AG215" si="46">D184*D$214</f>
        <v>306979.94315585913</v>
      </c>
      <c r="E215" s="122">
        <f t="shared" si="46"/>
        <v>310161.21903190744</v>
      </c>
      <c r="F215" s="122">
        <f t="shared" si="46"/>
        <v>313311.62730437616</v>
      </c>
      <c r="G215" s="122">
        <f t="shared" si="46"/>
        <v>316430.49570978939</v>
      </c>
      <c r="H215" s="122">
        <f t="shared" si="46"/>
        <v>319517.13813973736</v>
      </c>
      <c r="I215" s="122">
        <f t="shared" si="46"/>
        <v>322570.85436594271</v>
      </c>
      <c r="J215" s="122">
        <f t="shared" si="46"/>
        <v>325590.92976000614</v>
      </c>
      <c r="K215" s="122">
        <f t="shared" si="46"/>
        <v>328576.63500772865</v>
      </c>
      <c r="L215" s="122">
        <f t="shared" si="46"/>
        <v>331527.22581790865</v>
      </c>
      <c r="M215" s="122">
        <f t="shared" si="46"/>
        <v>334441.94262550859</v>
      </c>
      <c r="N215" s="122">
        <f t="shared" si="46"/>
        <v>337320.01028908405</v>
      </c>
      <c r="O215" s="122">
        <f t="shared" si="46"/>
        <v>340160.63778236712</v>
      </c>
      <c r="P215" s="122">
        <f t="shared" si="46"/>
        <v>342963.01787989226</v>
      </c>
      <c r="Q215" s="122">
        <f t="shared" si="46"/>
        <v>345726.32683655235</v>
      </c>
      <c r="R215" s="122">
        <f t="shared" si="46"/>
        <v>348449.72406097001</v>
      </c>
      <c r="S215" s="122">
        <f t="shared" si="46"/>
        <v>351132.35178256629</v>
      </c>
      <c r="T215" s="122">
        <f t="shared" si="46"/>
        <v>353773.33471220796</v>
      </c>
      <c r="U215" s="122">
        <f t="shared" si="46"/>
        <v>356371.77969631134</v>
      </c>
      <c r="V215" s="122">
        <f t="shared" si="46"/>
        <v>358926.77536427905</v>
      </c>
      <c r="W215" s="122">
        <f t="shared" si="46"/>
        <v>361437.3917691434</v>
      </c>
      <c r="X215" s="122">
        <f t="shared" si="46"/>
        <v>363902.68002128793</v>
      </c>
      <c r="Y215" s="122">
        <f t="shared" si="46"/>
        <v>366321.67191511538</v>
      </c>
      <c r="Z215" s="122">
        <f t="shared" si="46"/>
        <v>368693.37954853027</v>
      </c>
      <c r="AA215" s="122">
        <f t="shared" si="46"/>
        <v>371016.79493509838</v>
      </c>
      <c r="AB215" s="122">
        <f t="shared" si="46"/>
        <v>373290.8896087461</v>
      </c>
      <c r="AC215" s="122">
        <f t="shared" si="46"/>
        <v>375514.61422085756</v>
      </c>
      <c r="AD215" s="122">
        <f t="shared" si="46"/>
        <v>377686.89812962688</v>
      </c>
      <c r="AE215" s="122">
        <f t="shared" si="46"/>
        <v>379806.64898151811</v>
      </c>
      <c r="AF215" s="122">
        <f t="shared" si="46"/>
        <v>381872.75228468521</v>
      </c>
      <c r="AG215" s="122">
        <f t="shared" si="46"/>
        <v>383884.07097419887</v>
      </c>
      <c r="AI215" s="201"/>
    </row>
    <row r="216" spans="1:36" outlineLevel="1">
      <c r="A216" s="106" t="s">
        <v>697</v>
      </c>
      <c r="B216" s="281" t="s">
        <v>127</v>
      </c>
      <c r="C216" s="122">
        <f t="shared" ref="C216:AG216" si="47">C185*C$214</f>
        <v>702464.55996786815</v>
      </c>
      <c r="D216" s="122">
        <f t="shared" si="47"/>
        <v>687011.26315896818</v>
      </c>
      <c r="E216" s="122">
        <f t="shared" si="47"/>
        <v>671596.04332213604</v>
      </c>
      <c r="F216" s="122">
        <f t="shared" si="47"/>
        <v>656220.08101476158</v>
      </c>
      <c r="G216" s="122">
        <f t="shared" si="47"/>
        <v>640884.58560556418</v>
      </c>
      <c r="H216" s="122">
        <f t="shared" si="47"/>
        <v>625590.79590764653</v>
      </c>
      <c r="I216" s="122">
        <f t="shared" si="47"/>
        <v>610339.98082465539</v>
      </c>
      <c r="J216" s="122">
        <f t="shared" si="47"/>
        <v>595133.44001031364</v>
      </c>
      <c r="K216" s="122">
        <f t="shared" si="47"/>
        <v>579972.50454158802</v>
      </c>
      <c r="L216" s="122">
        <f t="shared" si="47"/>
        <v>564858.53760576539</v>
      </c>
      <c r="M216" s="122">
        <f t="shared" si="47"/>
        <v>549792.93520171312</v>
      </c>
      <c r="N216" s="122">
        <f t="shared" si="47"/>
        <v>534777.12685560633</v>
      </c>
      <c r="O216" s="122">
        <f t="shared" si="47"/>
        <v>519812.5763514103</v>
      </c>
      <c r="P216" s="122">
        <f t="shared" si="47"/>
        <v>504900.78247641015</v>
      </c>
      <c r="Q216" s="122">
        <f t="shared" si="47"/>
        <v>490043.27978208655</v>
      </c>
      <c r="R216" s="122">
        <f t="shared" si="47"/>
        <v>475241.63936064328</v>
      </c>
      <c r="S216" s="122">
        <f t="shared" si="47"/>
        <v>460497.4696374964</v>
      </c>
      <c r="T216" s="122">
        <f t="shared" si="47"/>
        <v>445812.41718004167</v>
      </c>
      <c r="U216" s="122">
        <f t="shared" si="47"/>
        <v>431188.16752302268</v>
      </c>
      <c r="V216" s="122">
        <f t="shared" si="47"/>
        <v>416626.44601082936</v>
      </c>
      <c r="W216" s="122">
        <f t="shared" si="47"/>
        <v>402129.01865706121</v>
      </c>
      <c r="X216" s="122">
        <f t="shared" si="47"/>
        <v>387697.69302169763</v>
      </c>
      <c r="Y216" s="122">
        <f t="shared" si="47"/>
        <v>373334.31910622335</v>
      </c>
      <c r="Z216" s="122">
        <f t="shared" si="47"/>
        <v>359040.7902670647</v>
      </c>
      <c r="AA216" s="122">
        <f t="shared" si="47"/>
        <v>344819.04414769739</v>
      </c>
      <c r="AB216" s="122">
        <f t="shared" si="47"/>
        <v>330671.06362979574</v>
      </c>
      <c r="AC216" s="122">
        <f t="shared" si="47"/>
        <v>316598.87780379946</v>
      </c>
      <c r="AD216" s="122">
        <f t="shared" si="47"/>
        <v>302604.56295928027</v>
      </c>
      <c r="AE216" s="122">
        <f t="shared" si="47"/>
        <v>288690.24359550001</v>
      </c>
      <c r="AF216" s="122">
        <f t="shared" si="47"/>
        <v>274858.09345255775</v>
      </c>
      <c r="AG216" s="122">
        <f t="shared" si="47"/>
        <v>261110.33656353163</v>
      </c>
      <c r="AI216" s="201"/>
    </row>
    <row r="217" spans="1:36" outlineLevel="1">
      <c r="A217" s="106" t="s">
        <v>699</v>
      </c>
      <c r="B217" s="281" t="s">
        <v>127</v>
      </c>
      <c r="C217" s="122">
        <f t="shared" ref="C217:AG217" si="48">C186*C$214</f>
        <v>151884.22918224178</v>
      </c>
      <c r="D217" s="122">
        <f t="shared" si="48"/>
        <v>151722.09037505748</v>
      </c>
      <c r="E217" s="122">
        <f t="shared" si="48"/>
        <v>151553.18704117983</v>
      </c>
      <c r="F217" s="122">
        <f t="shared" si="48"/>
        <v>151377.39875175335</v>
      </c>
      <c r="G217" s="122">
        <f t="shared" si="48"/>
        <v>151194.60294215774</v>
      </c>
      <c r="H217" s="122">
        <f t="shared" si="48"/>
        <v>151004.67487425948</v>
      </c>
      <c r="I217" s="122">
        <f t="shared" si="48"/>
        <v>150807.48759799881</v>
      </c>
      <c r="J217" s="122">
        <f t="shared" si="48"/>
        <v>150602.91191229946</v>
      </c>
      <c r="K217" s="122">
        <f t="shared" si="48"/>
        <v>150390.81632528978</v>
      </c>
      <c r="L217" s="122">
        <f t="shared" si="48"/>
        <v>150171.06701382322</v>
      </c>
      <c r="M217" s="122">
        <f t="shared" si="48"/>
        <v>149943.52778228529</v>
      </c>
      <c r="N217" s="122">
        <f t="shared" si="48"/>
        <v>149708.06002067533</v>
      </c>
      <c r="O217" s="122">
        <f t="shared" si="48"/>
        <v>149464.5226619493</v>
      </c>
      <c r="P217" s="122">
        <f t="shared" si="48"/>
        <v>149212.77213861182</v>
      </c>
      <c r="Q217" s="122">
        <f t="shared" si="48"/>
        <v>148952.66233854298</v>
      </c>
      <c r="R217" s="122">
        <f t="shared" si="48"/>
        <v>148684.04456004757</v>
      </c>
      <c r="S217" s="122">
        <f t="shared" si="48"/>
        <v>148406.76746611242</v>
      </c>
      <c r="T217" s="122">
        <f t="shared" si="48"/>
        <v>148120.67703785832</v>
      </c>
      <c r="U217" s="122">
        <f t="shared" si="48"/>
        <v>147825.61652717192</v>
      </c>
      <c r="V217" s="122">
        <f t="shared" si="48"/>
        <v>147521.42640850361</v>
      </c>
      <c r="W217" s="122">
        <f t="shared" si="48"/>
        <v>147207.94432981688</v>
      </c>
      <c r="X217" s="122">
        <f t="shared" si="48"/>
        <v>146885.00506267344</v>
      </c>
      <c r="Y217" s="122">
        <f t="shared" si="48"/>
        <v>146552.44045143994</v>
      </c>
      <c r="Z217" s="122">
        <f t="shared" si="48"/>
        <v>146210.07936160013</v>
      </c>
      <c r="AA217" s="122">
        <f t="shared" si="48"/>
        <v>145857.74762715722</v>
      </c>
      <c r="AB217" s="122">
        <f t="shared" si="48"/>
        <v>145495.26799710991</v>
      </c>
      <c r="AC217" s="122">
        <f t="shared" si="48"/>
        <v>145122.46008098667</v>
      </c>
      <c r="AD217" s="122">
        <f t="shared" si="48"/>
        <v>144739.14029342073</v>
      </c>
      <c r="AE217" s="122">
        <f t="shared" si="48"/>
        <v>144345.12179774977</v>
      </c>
      <c r="AF217" s="122">
        <f t="shared" si="48"/>
        <v>143940.21444862289</v>
      </c>
      <c r="AG217" s="122">
        <f t="shared" si="48"/>
        <v>143524.22473359687</v>
      </c>
      <c r="AI217" s="201"/>
    </row>
    <row r="218" spans="1:36" outlineLevel="1">
      <c r="A218" s="106" t="s">
        <v>700</v>
      </c>
      <c r="B218" s="281" t="s">
        <v>127</v>
      </c>
      <c r="C218" s="122">
        <f t="shared" ref="C218:AG218" si="49">C187*C$214</f>
        <v>512609.273490066</v>
      </c>
      <c r="D218" s="122">
        <f t="shared" si="49"/>
        <v>517357.80629763671</v>
      </c>
      <c r="E218" s="122">
        <f t="shared" si="49"/>
        <v>522058.52626654127</v>
      </c>
      <c r="F218" s="122">
        <f t="shared" si="49"/>
        <v>526710.40113623766</v>
      </c>
      <c r="G218" s="122">
        <f t="shared" si="49"/>
        <v>531312.37750320428</v>
      </c>
      <c r="H218" s="122">
        <f t="shared" si="49"/>
        <v>535863.3804026515</v>
      </c>
      <c r="I218" s="122">
        <f t="shared" si="49"/>
        <v>540362.31288215925</v>
      </c>
      <c r="J218" s="122">
        <f t="shared" si="49"/>
        <v>544808.05556708714</v>
      </c>
      <c r="K218" s="122">
        <f t="shared" si="49"/>
        <v>549199.46621760086</v>
      </c>
      <c r="L218" s="122">
        <f t="shared" si="49"/>
        <v>553535.3792771576</v>
      </c>
      <c r="M218" s="122">
        <f t="shared" si="49"/>
        <v>557814.60541228729</v>
      </c>
      <c r="N218" s="122">
        <f t="shared" si="49"/>
        <v>562035.93104350485</v>
      </c>
      <c r="O218" s="122">
        <f t="shared" si="49"/>
        <v>566198.11786718678</v>
      </c>
      <c r="P218" s="122">
        <f t="shared" si="49"/>
        <v>570299.90236824041</v>
      </c>
      <c r="Q218" s="122">
        <f t="shared" si="49"/>
        <v>574339.99532339035</v>
      </c>
      <c r="R218" s="122">
        <f t="shared" si="49"/>
        <v>578317.0812949083</v>
      </c>
      <c r="S218" s="122">
        <f t="shared" si="49"/>
        <v>582229.81811460049</v>
      </c>
      <c r="T218" s="122">
        <f t="shared" si="49"/>
        <v>586076.83635787363</v>
      </c>
      <c r="U218" s="122">
        <f t="shared" si="49"/>
        <v>589856.73880768765</v>
      </c>
      <c r="V218" s="122">
        <f t="shared" si="49"/>
        <v>593568.09990820708</v>
      </c>
      <c r="W218" s="122">
        <f t="shared" si="49"/>
        <v>597209.46520795545</v>
      </c>
      <c r="X218" s="122">
        <f t="shared" si="49"/>
        <v>600779.35079227376</v>
      </c>
      <c r="Y218" s="122">
        <f t="shared" si="49"/>
        <v>604276.24270488194</v>
      </c>
      <c r="Z218" s="122">
        <f t="shared" si="49"/>
        <v>607698.59635833872</v>
      </c>
      <c r="AA218" s="122">
        <f t="shared" si="49"/>
        <v>611044.83593318681</v>
      </c>
      <c r="AB218" s="122">
        <f t="shared" si="49"/>
        <v>614313.35376557417</v>
      </c>
      <c r="AC218" s="122">
        <f t="shared" si="49"/>
        <v>617502.50972313189</v>
      </c>
      <c r="AD218" s="122">
        <f t="shared" si="49"/>
        <v>620610.63056888629</v>
      </c>
      <c r="AE218" s="122">
        <f t="shared" si="49"/>
        <v>623636.00931298221</v>
      </c>
      <c r="AF218" s="122">
        <f t="shared" si="49"/>
        <v>626576.90455198567</v>
      </c>
      <c r="AG218" s="122">
        <f t="shared" si="49"/>
        <v>629431.53979553317</v>
      </c>
      <c r="AI218" s="201"/>
    </row>
    <row r="219" spans="1:36" outlineLevel="1">
      <c r="A219" s="106" t="s">
        <v>701</v>
      </c>
      <c r="B219" s="281" t="s">
        <v>127</v>
      </c>
      <c r="C219" s="122">
        <f t="shared" ref="C219:AG219" si="50">C188*C$214</f>
        <v>132898.70053446156</v>
      </c>
      <c r="D219" s="122">
        <f t="shared" si="50"/>
        <v>134990.35756216102</v>
      </c>
      <c r="E219" s="122">
        <f t="shared" si="50"/>
        <v>137065.55901978692</v>
      </c>
      <c r="F219" s="122">
        <f t="shared" si="50"/>
        <v>139123.93559002987</v>
      </c>
      <c r="G219" s="122">
        <f t="shared" si="50"/>
        <v>141165.11020967626</v>
      </c>
      <c r="H219" s="122">
        <f t="shared" si="50"/>
        <v>143188.69791389408</v>
      </c>
      <c r="I219" s="122">
        <f t="shared" si="50"/>
        <v>145194.30567747774</v>
      </c>
      <c r="J219" s="122">
        <f t="shared" si="50"/>
        <v>147181.5322529948</v>
      </c>
      <c r="K219" s="122">
        <f t="shared" si="50"/>
        <v>149149.96800577416</v>
      </c>
      <c r="L219" s="122">
        <f t="shared" si="50"/>
        <v>151099.19474567621</v>
      </c>
      <c r="M219" s="122">
        <f t="shared" si="50"/>
        <v>153028.78555558331</v>
      </c>
      <c r="N219" s="122">
        <f t="shared" si="50"/>
        <v>154938.3046165476</v>
      </c>
      <c r="O219" s="122">
        <f t="shared" si="50"/>
        <v>156827.30702953297</v>
      </c>
      <c r="P219" s="122">
        <f t="shared" si="50"/>
        <v>158695.33863368549</v>
      </c>
      <c r="Q219" s="122">
        <f t="shared" si="50"/>
        <v>160541.93582106673</v>
      </c>
      <c r="R219" s="122">
        <f t="shared" si="50"/>
        <v>162366.6253477819</v>
      </c>
      <c r="S219" s="122">
        <f t="shared" si="50"/>
        <v>164168.92414143472</v>
      </c>
      <c r="T219" s="122">
        <f t="shared" si="50"/>
        <v>165948.33910483832</v>
      </c>
      <c r="U219" s="122">
        <f t="shared" si="50"/>
        <v>167704.36691591129</v>
      </c>
      <c r="V219" s="122">
        <f t="shared" si="50"/>
        <v>169436.49382368615</v>
      </c>
      <c r="W219" s="122">
        <f t="shared" si="50"/>
        <v>171144.19544035607</v>
      </c>
      <c r="X219" s="122">
        <f t="shared" si="50"/>
        <v>172826.93652928431</v>
      </c>
      <c r="Y219" s="122">
        <f t="shared" si="50"/>
        <v>174484.17078889994</v>
      </c>
      <c r="Z219" s="122">
        <f t="shared" si="50"/>
        <v>176115.34063240114</v>
      </c>
      <c r="AA219" s="122">
        <f t="shared" si="50"/>
        <v>177719.87696318654</v>
      </c>
      <c r="AB219" s="122">
        <f t="shared" si="50"/>
        <v>179297.19894593325</v>
      </c>
      <c r="AC219" s="122">
        <f t="shared" si="50"/>
        <v>180846.71377323905</v>
      </c>
      <c r="AD219" s="122">
        <f t="shared" si="50"/>
        <v>182367.81642774394</v>
      </c>
      <c r="AE219" s="122">
        <f t="shared" si="50"/>
        <v>183859.88943964563</v>
      </c>
      <c r="AF219" s="122">
        <f t="shared" si="50"/>
        <v>185322.30263952148</v>
      </c>
      <c r="AG219" s="122">
        <f t="shared" si="50"/>
        <v>186754.41290636701</v>
      </c>
      <c r="AI219" s="201"/>
    </row>
    <row r="220" spans="1:36" outlineLevel="1">
      <c r="A220" s="106" t="s">
        <v>702</v>
      </c>
      <c r="B220" s="281" t="s">
        <v>127</v>
      </c>
      <c r="C220" s="122">
        <f t="shared" ref="C220:AG220" si="51">C189*C$214</f>
        <v>94927.643238901102</v>
      </c>
      <c r="D220" s="122">
        <f t="shared" si="51"/>
        <v>96096.971098975235</v>
      </c>
      <c r="E220" s="122">
        <f t="shared" si="51"/>
        <v>97256.076804481156</v>
      </c>
      <c r="F220" s="122">
        <f t="shared" si="51"/>
        <v>98404.734929533326</v>
      </c>
      <c r="G220" s="122">
        <f t="shared" si="51"/>
        <v>99542.715369878322</v>
      </c>
      <c r="H220" s="122">
        <f t="shared" si="51"/>
        <v>100669.78324950633</v>
      </c>
      <c r="I220" s="122">
        <f t="shared" si="51"/>
        <v>101785.69882544833</v>
      </c>
      <c r="J220" s="122">
        <f t="shared" si="51"/>
        <v>102890.21739072421</v>
      </c>
      <c r="K220" s="122">
        <f t="shared" si="51"/>
        <v>103983.08917540665</v>
      </c>
      <c r="L220" s="122">
        <f t="shared" si="51"/>
        <v>105064.05924576508</v>
      </c>
      <c r="M220" s="122">
        <f t="shared" si="51"/>
        <v>106132.86740145298</v>
      </c>
      <c r="N220" s="122">
        <f t="shared" si="51"/>
        <v>107189.24807070137</v>
      </c>
      <c r="O220" s="122">
        <f t="shared" si="51"/>
        <v>108232.93020348056</v>
      </c>
      <c r="P220" s="122">
        <f t="shared" si="51"/>
        <v>109263.63716259153</v>
      </c>
      <c r="Q220" s="122">
        <f t="shared" si="51"/>
        <v>110281.08661264772</v>
      </c>
      <c r="R220" s="122">
        <f t="shared" si="51"/>
        <v>111284.99040690679</v>
      </c>
      <c r="S220" s="122">
        <f t="shared" si="51"/>
        <v>112275.05447191186</v>
      </c>
      <c r="T220" s="122">
        <f t="shared" si="51"/>
        <v>113250.97868990067</v>
      </c>
      <c r="U220" s="122">
        <f t="shared" si="51"/>
        <v>114212.45677893968</v>
      </c>
      <c r="V220" s="122">
        <f t="shared" si="51"/>
        <v>115159.17617074073</v>
      </c>
      <c r="W220" s="122">
        <f t="shared" si="51"/>
        <v>116090.81788611576</v>
      </c>
      <c r="X220" s="122">
        <f t="shared" si="51"/>
        <v>117007.0564080249</v>
      </c>
      <c r="Y220" s="122">
        <f t="shared" si="51"/>
        <v>117907.55955217229</v>
      </c>
      <c r="Z220" s="122">
        <f t="shared" si="51"/>
        <v>118791.98833510325</v>
      </c>
      <c r="AA220" s="122">
        <f t="shared" si="51"/>
        <v>119659.9968397552</v>
      </c>
      <c r="AB220" s="122">
        <f t="shared" si="51"/>
        <v>120511.23207841428</v>
      </c>
      <c r="AC220" s="122">
        <f t="shared" si="51"/>
        <v>121345.33385302841</v>
      </c>
      <c r="AD220" s="122">
        <f t="shared" si="51"/>
        <v>122161.93461282669</v>
      </c>
      <c r="AE220" s="122">
        <f t="shared" si="51"/>
        <v>122960.65930919426</v>
      </c>
      <c r="AF220" s="122">
        <f t="shared" si="51"/>
        <v>123741.12524775059</v>
      </c>
      <c r="AG220" s="122">
        <f t="shared" si="51"/>
        <v>124502.941937578</v>
      </c>
      <c r="AI220" s="201"/>
    </row>
    <row r="221" spans="1:36" s="55" customFormat="1">
      <c r="A221" s="55" t="s">
        <v>704</v>
      </c>
      <c r="B221" s="282"/>
      <c r="C221" s="611">
        <f>C47</f>
        <v>2161692.5731232045</v>
      </c>
      <c r="D221" s="611">
        <f t="shared" ref="D221:AG221" si="52">D47</f>
        <v>2145515.4577201167</v>
      </c>
      <c r="E221" s="611">
        <f t="shared" si="52"/>
        <v>2129338.3423170298</v>
      </c>
      <c r="F221" s="611">
        <f t="shared" si="52"/>
        <v>2113161.226913942</v>
      </c>
      <c r="G221" s="611">
        <f t="shared" si="52"/>
        <v>2096984.1115108549</v>
      </c>
      <c r="H221" s="611">
        <f t="shared" si="52"/>
        <v>2080806.9961077676</v>
      </c>
      <c r="I221" s="611">
        <f t="shared" si="52"/>
        <v>2061909.8086770093</v>
      </c>
      <c r="J221" s="611">
        <f t="shared" si="52"/>
        <v>2043012.621246252</v>
      </c>
      <c r="K221" s="611">
        <f t="shared" si="52"/>
        <v>2024115.4338154937</v>
      </c>
      <c r="L221" s="611">
        <f t="shared" si="52"/>
        <v>2005218.2463847359</v>
      </c>
      <c r="M221" s="611">
        <f t="shared" si="52"/>
        <v>1986321.0589539781</v>
      </c>
      <c r="N221" s="611">
        <f t="shared" si="52"/>
        <v>1955839.2153792128</v>
      </c>
      <c r="O221" s="611">
        <f t="shared" si="52"/>
        <v>1929981.1984999268</v>
      </c>
      <c r="P221" s="611">
        <f t="shared" si="52"/>
        <v>1898947.581947023</v>
      </c>
      <c r="Q221" s="611">
        <f t="shared" si="52"/>
        <v>1867913.8822915121</v>
      </c>
      <c r="R221" s="611">
        <f t="shared" si="52"/>
        <v>1836880.0999822405</v>
      </c>
      <c r="S221" s="611">
        <f t="shared" si="52"/>
        <v>1806235.6989226304</v>
      </c>
      <c r="T221" s="611">
        <f t="shared" si="52"/>
        <v>1775591.216106951</v>
      </c>
      <c r="U221" s="611">
        <f t="shared" si="52"/>
        <v>1744946.6519840495</v>
      </c>
      <c r="V221" s="611">
        <f t="shared" si="52"/>
        <v>1714302.0070027718</v>
      </c>
      <c r="W221" s="611">
        <f t="shared" si="52"/>
        <v>1683657.2816119636</v>
      </c>
      <c r="X221" s="611">
        <f t="shared" si="52"/>
        <v>1637803.8740010653</v>
      </c>
      <c r="Y221" s="611">
        <f t="shared" si="52"/>
        <v>1606596.6774797121</v>
      </c>
      <c r="Z221" s="611">
        <f t="shared" si="52"/>
        <v>1575282.3287922717</v>
      </c>
      <c r="AA221" s="611">
        <f t="shared" si="52"/>
        <v>1543966.5941727522</v>
      </c>
      <c r="AB221" s="611">
        <f t="shared" si="52"/>
        <v>1512649.4897796167</v>
      </c>
      <c r="AC221" s="611">
        <f t="shared" si="52"/>
        <v>1481096.0881892091</v>
      </c>
      <c r="AD221" s="611">
        <f t="shared" si="52"/>
        <v>1449541.3491421104</v>
      </c>
      <c r="AE221" s="611">
        <f t="shared" si="52"/>
        <v>1417985.2887967825</v>
      </c>
      <c r="AF221" s="611">
        <f t="shared" si="52"/>
        <v>1386427.923311688</v>
      </c>
      <c r="AG221" s="611">
        <f t="shared" si="52"/>
        <v>1354869.2688452899</v>
      </c>
      <c r="AI221" s="284"/>
      <c r="AJ221" s="285"/>
    </row>
    <row r="222" spans="1:36" s="55" customFormat="1">
      <c r="A222" s="286" t="s">
        <v>173</v>
      </c>
      <c r="B222" s="287" t="s">
        <v>127</v>
      </c>
      <c r="C222" s="614">
        <f>C47-C29</f>
        <v>0</v>
      </c>
      <c r="D222" s="614">
        <f t="shared" ref="D222:AG222" si="53">D47-D29</f>
        <v>-16177.11540308781</v>
      </c>
      <c r="E222" s="614">
        <f t="shared" si="53"/>
        <v>-32354.230806174688</v>
      </c>
      <c r="F222" s="614">
        <f t="shared" si="53"/>
        <v>-48531.346209262498</v>
      </c>
      <c r="G222" s="614">
        <f t="shared" si="53"/>
        <v>-64708.461612349609</v>
      </c>
      <c r="H222" s="614">
        <f t="shared" si="53"/>
        <v>-80885.577015436953</v>
      </c>
      <c r="I222" s="614">
        <f t="shared" si="53"/>
        <v>-99782.764446195215</v>
      </c>
      <c r="J222" s="614">
        <f t="shared" si="53"/>
        <v>-118679.95187695255</v>
      </c>
      <c r="K222" s="614">
        <f t="shared" si="53"/>
        <v>-137577.13930771081</v>
      </c>
      <c r="L222" s="614">
        <f t="shared" si="53"/>
        <v>-156474.3267384686</v>
      </c>
      <c r="M222" s="614">
        <f t="shared" si="53"/>
        <v>-175371.5141692264</v>
      </c>
      <c r="N222" s="614">
        <f t="shared" si="53"/>
        <v>-205853.35774399177</v>
      </c>
      <c r="O222" s="614">
        <f t="shared" si="53"/>
        <v>-231711.37462327769</v>
      </c>
      <c r="P222" s="614">
        <f t="shared" si="53"/>
        <v>-262744.99117618147</v>
      </c>
      <c r="Q222" s="614">
        <f t="shared" si="53"/>
        <v>-293778.69083169242</v>
      </c>
      <c r="R222" s="614">
        <f t="shared" si="53"/>
        <v>-324812.47314096405</v>
      </c>
      <c r="S222" s="614">
        <f t="shared" si="53"/>
        <v>-355456.87420057412</v>
      </c>
      <c r="T222" s="614">
        <f t="shared" si="53"/>
        <v>-386101.35701625352</v>
      </c>
      <c r="U222" s="614">
        <f t="shared" si="53"/>
        <v>-416745.92113915505</v>
      </c>
      <c r="V222" s="614">
        <f t="shared" si="53"/>
        <v>-447390.56612043269</v>
      </c>
      <c r="W222" s="614">
        <f t="shared" si="53"/>
        <v>-478035.29151124088</v>
      </c>
      <c r="X222" s="614">
        <f t="shared" si="53"/>
        <v>-523888.69912213925</v>
      </c>
      <c r="Y222" s="614">
        <f t="shared" si="53"/>
        <v>-555095.89564349246</v>
      </c>
      <c r="Z222" s="614">
        <f t="shared" si="53"/>
        <v>-586410.24433093285</v>
      </c>
      <c r="AA222" s="614">
        <f t="shared" si="53"/>
        <v>-617725.97895045229</v>
      </c>
      <c r="AB222" s="614">
        <f t="shared" si="53"/>
        <v>-649043.08334358782</v>
      </c>
      <c r="AC222" s="614">
        <f t="shared" si="53"/>
        <v>-680596.48493399541</v>
      </c>
      <c r="AD222" s="614">
        <f t="shared" si="53"/>
        <v>-712151.22398109408</v>
      </c>
      <c r="AE222" s="614">
        <f t="shared" si="53"/>
        <v>-743707.28432642203</v>
      </c>
      <c r="AF222" s="614">
        <f t="shared" si="53"/>
        <v>-775264.64981151652</v>
      </c>
      <c r="AG222" s="614">
        <f t="shared" si="53"/>
        <v>-806823.30427791458</v>
      </c>
      <c r="AI222" s="284"/>
      <c r="AJ222" s="285"/>
    </row>
    <row r="223" spans="1:36">
      <c r="A223" s="289" t="s">
        <v>696</v>
      </c>
      <c r="B223" s="281" t="s">
        <v>127</v>
      </c>
      <c r="C223" s="613">
        <f>C179</f>
        <v>263139.70834518247</v>
      </c>
      <c r="D223" s="613">
        <f t="shared" ref="D223:AG223" si="54">D179</f>
        <v>272510.32780953508</v>
      </c>
      <c r="E223" s="613">
        <f t="shared" si="54"/>
        <v>281572.52479509613</v>
      </c>
      <c r="F223" s="613">
        <f t="shared" si="54"/>
        <v>290327.90189326892</v>
      </c>
      <c r="G223" s="613">
        <f t="shared" si="54"/>
        <v>298778.06169545697</v>
      </c>
      <c r="H223" s="613">
        <f t="shared" si="54"/>
        <v>306924.60679306358</v>
      </c>
      <c r="I223" s="613">
        <f t="shared" si="54"/>
        <v>314152.07431469712</v>
      </c>
      <c r="J223" s="613">
        <f t="shared" si="54"/>
        <v>321034.64429818862</v>
      </c>
      <c r="K223" s="613">
        <f t="shared" si="54"/>
        <v>327573.91933494137</v>
      </c>
      <c r="L223" s="613">
        <f t="shared" si="54"/>
        <v>333771.50201635883</v>
      </c>
      <c r="M223" s="613">
        <f t="shared" si="54"/>
        <v>339628.99493384454</v>
      </c>
      <c r="N223" s="613">
        <f t="shared" si="54"/>
        <v>353406.9043147121</v>
      </c>
      <c r="O223" s="613">
        <f t="shared" si="54"/>
        <v>367326.53206818062</v>
      </c>
      <c r="P223" s="613">
        <f t="shared" si="54"/>
        <v>378725.479122822</v>
      </c>
      <c r="Q223" s="613">
        <f t="shared" si="54"/>
        <v>388967.96349431254</v>
      </c>
      <c r="R223" s="613">
        <f t="shared" si="54"/>
        <v>398060.06898067653</v>
      </c>
      <c r="S223" s="613">
        <f t="shared" si="54"/>
        <v>406207.45231319254</v>
      </c>
      <c r="T223" s="613">
        <f t="shared" si="54"/>
        <v>413234.10894604377</v>
      </c>
      <c r="U223" s="613">
        <f t="shared" si="54"/>
        <v>419146.12315964676</v>
      </c>
      <c r="V223" s="613">
        <f t="shared" si="54"/>
        <v>423949.57939528592</v>
      </c>
      <c r="W223" s="613">
        <f t="shared" si="54"/>
        <v>427650.56225514889</v>
      </c>
      <c r="X223" s="613">
        <f t="shared" si="54"/>
        <v>435522.95862221904</v>
      </c>
      <c r="Y223" s="613">
        <f t="shared" si="54"/>
        <v>447404.86959447939</v>
      </c>
      <c r="Z223" s="613">
        <f t="shared" si="54"/>
        <v>457310.21642893</v>
      </c>
      <c r="AA223" s="613">
        <f t="shared" si="54"/>
        <v>465322.59388012916</v>
      </c>
      <c r="AB223" s="613">
        <f t="shared" si="54"/>
        <v>471452.36491787707</v>
      </c>
      <c r="AC223" s="613">
        <f t="shared" si="54"/>
        <v>475533.7423959804</v>
      </c>
      <c r="AD223" s="613">
        <f t="shared" si="54"/>
        <v>477736.57087227603</v>
      </c>
      <c r="AE223" s="613">
        <f t="shared" si="54"/>
        <v>478071.23275608965</v>
      </c>
      <c r="AF223" s="613">
        <f t="shared" si="54"/>
        <v>476548.11693940416</v>
      </c>
      <c r="AG223" s="613">
        <f t="shared" si="54"/>
        <v>473177.61879826675</v>
      </c>
      <c r="AI223" s="275"/>
    </row>
    <row r="224" spans="1:36" s="63" customFormat="1">
      <c r="A224" s="290" t="s">
        <v>705</v>
      </c>
      <c r="B224" s="291" t="s">
        <v>127</v>
      </c>
      <c r="C224" s="615">
        <f>C221+C222+C223</f>
        <v>2424832.2814683868</v>
      </c>
      <c r="D224" s="615">
        <f t="shared" ref="D224:AG224" si="55">D221+D222+D223</f>
        <v>2401848.6701265639</v>
      </c>
      <c r="E224" s="615">
        <f t="shared" si="55"/>
        <v>2378556.6363059515</v>
      </c>
      <c r="F224" s="615">
        <f t="shared" si="55"/>
        <v>2354957.7825979483</v>
      </c>
      <c r="G224" s="615">
        <f t="shared" si="55"/>
        <v>2331053.7115939623</v>
      </c>
      <c r="H224" s="615">
        <f t="shared" si="55"/>
        <v>2306846.0258853943</v>
      </c>
      <c r="I224" s="615">
        <f t="shared" si="55"/>
        <v>2276279.1185455113</v>
      </c>
      <c r="J224" s="615">
        <f t="shared" si="55"/>
        <v>2245367.3136674883</v>
      </c>
      <c r="K224" s="615">
        <f t="shared" si="55"/>
        <v>2214112.2138427244</v>
      </c>
      <c r="L224" s="615">
        <f t="shared" si="55"/>
        <v>2182515.4216626263</v>
      </c>
      <c r="M224" s="615">
        <f t="shared" si="55"/>
        <v>2150578.5397185963</v>
      </c>
      <c r="N224" s="615">
        <f t="shared" si="55"/>
        <v>2103392.7619499331</v>
      </c>
      <c r="O224" s="615">
        <f t="shared" si="55"/>
        <v>2065596.3559448298</v>
      </c>
      <c r="P224" s="615">
        <f t="shared" si="55"/>
        <v>2014928.0698936635</v>
      </c>
      <c r="Q224" s="615">
        <f t="shared" si="55"/>
        <v>1963103.1549541322</v>
      </c>
      <c r="R224" s="615">
        <f t="shared" si="55"/>
        <v>1910127.695821953</v>
      </c>
      <c r="S224" s="615">
        <f t="shared" si="55"/>
        <v>1856986.2770352489</v>
      </c>
      <c r="T224" s="615">
        <f t="shared" si="55"/>
        <v>1802723.9680367413</v>
      </c>
      <c r="U224" s="615">
        <f t="shared" si="55"/>
        <v>1747346.8540045412</v>
      </c>
      <c r="V224" s="615">
        <f t="shared" si="55"/>
        <v>1690861.0202776249</v>
      </c>
      <c r="W224" s="615">
        <f t="shared" si="55"/>
        <v>1633272.5523558715</v>
      </c>
      <c r="X224" s="615">
        <f t="shared" si="55"/>
        <v>1549438.1335011451</v>
      </c>
      <c r="Y224" s="615">
        <f t="shared" si="55"/>
        <v>1498905.651430699</v>
      </c>
      <c r="Z224" s="615">
        <f t="shared" si="55"/>
        <v>1446182.3008902688</v>
      </c>
      <c r="AA224" s="615">
        <f t="shared" si="55"/>
        <v>1391563.209102429</v>
      </c>
      <c r="AB224" s="615">
        <f t="shared" si="55"/>
        <v>1335058.771353906</v>
      </c>
      <c r="AC224" s="615">
        <f t="shared" si="55"/>
        <v>1276033.345651194</v>
      </c>
      <c r="AD224" s="615">
        <f t="shared" si="55"/>
        <v>1215126.6960332925</v>
      </c>
      <c r="AE224" s="615">
        <f t="shared" si="55"/>
        <v>1152349.2372264501</v>
      </c>
      <c r="AF224" s="615">
        <f t="shared" si="55"/>
        <v>1087711.3904395755</v>
      </c>
      <c r="AG224" s="615">
        <f t="shared" si="55"/>
        <v>1021223.5833656421</v>
      </c>
      <c r="AI224" s="293"/>
      <c r="AJ224" s="294"/>
    </row>
    <row r="225" spans="1:36" s="55" customFormat="1" outlineLevel="1">
      <c r="A225" s="286" t="s">
        <v>732</v>
      </c>
      <c r="B225" s="287" t="s">
        <v>126</v>
      </c>
      <c r="C225" s="614">
        <f>C47*C191</f>
        <v>1815821.7614234916</v>
      </c>
      <c r="D225" s="614">
        <f t="shared" ref="D225:AG225" si="56">D47*D191</f>
        <v>1810815.0463157785</v>
      </c>
      <c r="E225" s="614">
        <f t="shared" si="56"/>
        <v>1805678.9142848412</v>
      </c>
      <c r="F225" s="614">
        <f t="shared" si="56"/>
        <v>1800413.3653306786</v>
      </c>
      <c r="G225" s="614">
        <f t="shared" si="56"/>
        <v>1795018.3994532917</v>
      </c>
      <c r="H225" s="614">
        <f t="shared" si="56"/>
        <v>1789494.01665268</v>
      </c>
      <c r="I225" s="614">
        <f t="shared" si="56"/>
        <v>1781490.0746969359</v>
      </c>
      <c r="J225" s="614">
        <f t="shared" si="56"/>
        <v>1773334.9552417467</v>
      </c>
      <c r="K225" s="614">
        <f t="shared" si="56"/>
        <v>1765028.6582871105</v>
      </c>
      <c r="L225" s="614">
        <f t="shared" si="56"/>
        <v>1756571.1838330287</v>
      </c>
      <c r="M225" s="614">
        <f t="shared" si="56"/>
        <v>1747962.5318795007</v>
      </c>
      <c r="N225" s="614">
        <f t="shared" si="56"/>
        <v>1728961.8663952241</v>
      </c>
      <c r="O225" s="614">
        <f t="shared" si="56"/>
        <v>1713823.304267935</v>
      </c>
      <c r="P225" s="614">
        <f t="shared" si="56"/>
        <v>1693861.2430967446</v>
      </c>
      <c r="Q225" s="614">
        <f t="shared" si="56"/>
        <v>1673650.838533195</v>
      </c>
      <c r="R225" s="614">
        <f t="shared" si="56"/>
        <v>1653192.0899840165</v>
      </c>
      <c r="S225" s="614">
        <f t="shared" si="56"/>
        <v>1632837.071826058</v>
      </c>
      <c r="T225" s="614">
        <f t="shared" si="56"/>
        <v>1612236.8242251116</v>
      </c>
      <c r="U225" s="614">
        <f t="shared" si="56"/>
        <v>1591391.3466094532</v>
      </c>
      <c r="V225" s="614">
        <f t="shared" si="56"/>
        <v>1570300.6384145392</v>
      </c>
      <c r="W225" s="614">
        <f t="shared" si="56"/>
        <v>1548964.6990830067</v>
      </c>
      <c r="X225" s="614">
        <f t="shared" si="56"/>
        <v>1513330.7795769845</v>
      </c>
      <c r="Y225" s="614">
        <f t="shared" si="56"/>
        <v>1490921.7167011728</v>
      </c>
      <c r="Z225" s="614">
        <f t="shared" si="56"/>
        <v>1468163.1304343974</v>
      </c>
      <c r="AA225" s="614">
        <f t="shared" si="56"/>
        <v>1445152.7321456962</v>
      </c>
      <c r="AB225" s="614">
        <f t="shared" si="56"/>
        <v>1421890.5203928398</v>
      </c>
      <c r="AC225" s="614">
        <f t="shared" si="56"/>
        <v>1398154.7072506135</v>
      </c>
      <c r="AD225" s="614">
        <f t="shared" si="56"/>
        <v>1374165.1989867208</v>
      </c>
      <c r="AE225" s="614">
        <f t="shared" si="56"/>
        <v>1349921.994934537</v>
      </c>
      <c r="AF225" s="614">
        <f t="shared" si="56"/>
        <v>1325425.0946859738</v>
      </c>
      <c r="AG225" s="614">
        <f t="shared" si="56"/>
        <v>1300674.4980914784</v>
      </c>
      <c r="AI225" s="284"/>
      <c r="AJ225" s="316" t="s">
        <v>1624</v>
      </c>
    </row>
    <row r="226" spans="1:36" s="55" customFormat="1" outlineLevel="1">
      <c r="A226" s="286" t="s">
        <v>743</v>
      </c>
      <c r="B226" s="287" t="s">
        <v>126</v>
      </c>
      <c r="C226" s="614">
        <f>C225*C192</f>
        <v>399480.78751316818</v>
      </c>
      <c r="D226" s="614">
        <f t="shared" ref="D226:AG226" si="57">D225*D192</f>
        <v>410451.41049824312</v>
      </c>
      <c r="E226" s="614">
        <f t="shared" si="57"/>
        <v>421325.07999979623</v>
      </c>
      <c r="F226" s="614">
        <f t="shared" si="57"/>
        <v>432099.20767936279</v>
      </c>
      <c r="G226" s="614">
        <f t="shared" si="57"/>
        <v>442771.20519847854</v>
      </c>
      <c r="H226" s="614">
        <f t="shared" si="57"/>
        <v>453338.48421867884</v>
      </c>
      <c r="I226" s="614">
        <f t="shared" si="57"/>
        <v>463187.41942120326</v>
      </c>
      <c r="J226" s="614">
        <f t="shared" si="57"/>
        <v>472889.32139779901</v>
      </c>
      <c r="K226" s="614">
        <f t="shared" si="57"/>
        <v>482441.16659847676</v>
      </c>
      <c r="L226" s="614">
        <f t="shared" si="57"/>
        <v>491839.93147324788</v>
      </c>
      <c r="M226" s="614">
        <f t="shared" si="57"/>
        <v>501082.59247212339</v>
      </c>
      <c r="N226" s="614">
        <f t="shared" si="57"/>
        <v>507162.1474759322</v>
      </c>
      <c r="O226" s="614">
        <f t="shared" si="57"/>
        <v>514146.99128038029</v>
      </c>
      <c r="P226" s="614">
        <f t="shared" si="57"/>
        <v>519450.78121633478</v>
      </c>
      <c r="Q226" s="614">
        <f t="shared" si="57"/>
        <v>524410.59607373422</v>
      </c>
      <c r="R226" s="614">
        <f t="shared" si="57"/>
        <v>529021.46879488498</v>
      </c>
      <c r="S226" s="614">
        <f t="shared" si="57"/>
        <v>533393.4434631787</v>
      </c>
      <c r="T226" s="614">
        <f t="shared" si="57"/>
        <v>537412.27474170353</v>
      </c>
      <c r="U226" s="614">
        <f t="shared" si="57"/>
        <v>541073.05784721381</v>
      </c>
      <c r="V226" s="614">
        <f t="shared" si="57"/>
        <v>544370.88798370655</v>
      </c>
      <c r="W226" s="614">
        <f t="shared" si="57"/>
        <v>547300.86034266208</v>
      </c>
      <c r="X226" s="614">
        <f t="shared" si="57"/>
        <v>544799.08064771409</v>
      </c>
      <c r="Y226" s="614">
        <f t="shared" si="57"/>
        <v>546671.29612376296</v>
      </c>
      <c r="Z226" s="614">
        <f t="shared" si="57"/>
        <v>548114.23536217469</v>
      </c>
      <c r="AA226" s="614">
        <f t="shared" si="57"/>
        <v>549158.0382153641</v>
      </c>
      <c r="AB226" s="614">
        <f t="shared" si="57"/>
        <v>549797.66788523097</v>
      </c>
      <c r="AC226" s="614">
        <f t="shared" si="57"/>
        <v>549940.85151857417</v>
      </c>
      <c r="AD226" s="614">
        <f t="shared" si="57"/>
        <v>549666.07959468791</v>
      </c>
      <c r="AE226" s="614">
        <f t="shared" si="57"/>
        <v>548968.27794004465</v>
      </c>
      <c r="AF226" s="614">
        <f t="shared" si="57"/>
        <v>547842.37247020204</v>
      </c>
      <c r="AG226" s="614">
        <f t="shared" si="57"/>
        <v>546283.28919842094</v>
      </c>
      <c r="AI226" s="284"/>
      <c r="AJ226" s="316" t="s">
        <v>1625</v>
      </c>
    </row>
    <row r="227" spans="1:36" s="59" customFormat="1" outlineLevel="1">
      <c r="A227" s="290" t="s">
        <v>744</v>
      </c>
      <c r="B227" s="291" t="s">
        <v>126</v>
      </c>
      <c r="C227" s="615">
        <f>C225*C193</f>
        <v>1416340.9739103236</v>
      </c>
      <c r="D227" s="615">
        <f t="shared" ref="D227:AG227" si="58">D225*D193</f>
        <v>1400363.6358175355</v>
      </c>
      <c r="E227" s="615">
        <f t="shared" si="58"/>
        <v>1384353.834285045</v>
      </c>
      <c r="F227" s="615">
        <f t="shared" si="58"/>
        <v>1368314.1576513157</v>
      </c>
      <c r="G227" s="615">
        <f t="shared" si="58"/>
        <v>1352247.1942548133</v>
      </c>
      <c r="H227" s="615">
        <f t="shared" si="58"/>
        <v>1336155.5324340011</v>
      </c>
      <c r="I227" s="615">
        <f t="shared" si="58"/>
        <v>1318302.6552757325</v>
      </c>
      <c r="J227" s="615">
        <f t="shared" si="58"/>
        <v>1300445.6338439477</v>
      </c>
      <c r="K227" s="615">
        <f t="shared" si="58"/>
        <v>1282587.4916886338</v>
      </c>
      <c r="L227" s="615">
        <f t="shared" si="58"/>
        <v>1264731.2523597807</v>
      </c>
      <c r="M227" s="615">
        <f t="shared" si="58"/>
        <v>1246879.9394073773</v>
      </c>
      <c r="N227" s="615">
        <f t="shared" si="58"/>
        <v>1221799.7189192919</v>
      </c>
      <c r="O227" s="615">
        <f t="shared" si="58"/>
        <v>1199676.3129875548</v>
      </c>
      <c r="P227" s="615">
        <f t="shared" si="58"/>
        <v>1174410.4618804099</v>
      </c>
      <c r="Q227" s="615">
        <f t="shared" si="58"/>
        <v>1149240.2424594606</v>
      </c>
      <c r="R227" s="615">
        <f t="shared" si="58"/>
        <v>1124170.6211891314</v>
      </c>
      <c r="S227" s="615">
        <f t="shared" si="58"/>
        <v>1099443.6283628794</v>
      </c>
      <c r="T227" s="615">
        <f t="shared" si="58"/>
        <v>1074824.549483408</v>
      </c>
      <c r="U227" s="615">
        <f t="shared" si="58"/>
        <v>1050318.2887622393</v>
      </c>
      <c r="V227" s="615">
        <f t="shared" si="58"/>
        <v>1025929.7504308326</v>
      </c>
      <c r="W227" s="615">
        <f t="shared" si="58"/>
        <v>1001663.8387403447</v>
      </c>
      <c r="X227" s="615">
        <f t="shared" si="58"/>
        <v>968531.69892927038</v>
      </c>
      <c r="Y227" s="615">
        <f t="shared" si="58"/>
        <v>944250.42057740968</v>
      </c>
      <c r="Z227" s="615">
        <f t="shared" si="58"/>
        <v>920048.89507222269</v>
      </c>
      <c r="AA227" s="615">
        <f t="shared" si="58"/>
        <v>895994.69393033208</v>
      </c>
      <c r="AB227" s="615">
        <f t="shared" si="58"/>
        <v>872092.85250760883</v>
      </c>
      <c r="AC227" s="615">
        <f t="shared" si="58"/>
        <v>848213.8557320392</v>
      </c>
      <c r="AD227" s="615">
        <f t="shared" si="58"/>
        <v>824499.11939203285</v>
      </c>
      <c r="AE227" s="615">
        <f t="shared" si="58"/>
        <v>800953.71699449245</v>
      </c>
      <c r="AF227" s="615">
        <f t="shared" si="58"/>
        <v>777582.72221577179</v>
      </c>
      <c r="AG227" s="615">
        <f t="shared" si="58"/>
        <v>754391.20889305754</v>
      </c>
      <c r="AI227" s="319"/>
      <c r="AJ227" s="318" t="s">
        <v>1626</v>
      </c>
    </row>
    <row r="228" spans="1:36" s="1" customFormat="1" outlineLevel="1">
      <c r="A228" t="s">
        <v>725</v>
      </c>
      <c r="B228" s="281" t="s">
        <v>127</v>
      </c>
      <c r="C228" s="613">
        <f>C194*C225</f>
        <v>1543448.4972099678</v>
      </c>
      <c r="D228" s="613">
        <f t="shared" ref="D228:AG228" si="59">D194*D225</f>
        <v>1536174.7642912187</v>
      </c>
      <c r="E228" s="613">
        <f t="shared" si="59"/>
        <v>1528808.147427832</v>
      </c>
      <c r="F228" s="613">
        <f t="shared" si="59"/>
        <v>1521349.2937044231</v>
      </c>
      <c r="G228" s="613">
        <f t="shared" si="59"/>
        <v>1513798.8502056089</v>
      </c>
      <c r="H228" s="613">
        <f t="shared" si="59"/>
        <v>1506157.4640160054</v>
      </c>
      <c r="I228" s="613">
        <f t="shared" si="59"/>
        <v>1496451.6627454257</v>
      </c>
      <c r="J228" s="613">
        <f t="shared" si="59"/>
        <v>1486645.8041443306</v>
      </c>
      <c r="K228" s="613">
        <f t="shared" si="59"/>
        <v>1476740.6441002153</v>
      </c>
      <c r="L228" s="613">
        <f t="shared" si="59"/>
        <v>1466736.9385005783</v>
      </c>
      <c r="M228" s="613">
        <f t="shared" si="59"/>
        <v>1456635.4432329165</v>
      </c>
      <c r="N228" s="613">
        <f t="shared" si="59"/>
        <v>1437919.9522186939</v>
      </c>
      <c r="O228" s="613">
        <f t="shared" si="59"/>
        <v>1422473.3425423852</v>
      </c>
      <c r="P228" s="613">
        <f t="shared" si="59"/>
        <v>1403081.7296984692</v>
      </c>
      <c r="Q228" s="613">
        <f t="shared" si="59"/>
        <v>1383551.3598541068</v>
      </c>
      <c r="R228" s="613">
        <f t="shared" si="59"/>
        <v>1363883.4742368127</v>
      </c>
      <c r="S228" s="613">
        <f t="shared" si="59"/>
        <v>1344369.1891367866</v>
      </c>
      <c r="T228" s="613">
        <f t="shared" si="59"/>
        <v>1324721.2572382989</v>
      </c>
      <c r="U228" s="613">
        <f t="shared" si="59"/>
        <v>1304940.9042197505</v>
      </c>
      <c r="V228" s="613">
        <f t="shared" si="59"/>
        <v>1285029.3557692301</v>
      </c>
      <c r="W228" s="613">
        <f t="shared" si="59"/>
        <v>1264987.8375844543</v>
      </c>
      <c r="X228" s="613">
        <f t="shared" si="59"/>
        <v>1233364.5853552411</v>
      </c>
      <c r="Y228" s="613">
        <f t="shared" si="59"/>
        <v>1212616.3295836193</v>
      </c>
      <c r="Z228" s="613">
        <f t="shared" si="59"/>
        <v>1191659.0742025846</v>
      </c>
      <c r="AA228" s="613">
        <f t="shared" si="59"/>
        <v>1170573.7130380126</v>
      </c>
      <c r="AB228" s="613">
        <f t="shared" si="59"/>
        <v>1149361.5039842108</v>
      </c>
      <c r="AC228" s="613">
        <f t="shared" si="59"/>
        <v>1127844.7971821602</v>
      </c>
      <c r="AD228" s="613">
        <f t="shared" si="59"/>
        <v>1106202.9851843088</v>
      </c>
      <c r="AE228" s="613">
        <f t="shared" si="59"/>
        <v>1084437.3359307433</v>
      </c>
      <c r="AF228" s="613">
        <f t="shared" si="59"/>
        <v>1062549.1175732543</v>
      </c>
      <c r="AG228" s="613">
        <f t="shared" si="59"/>
        <v>1040539.5984731828</v>
      </c>
      <c r="AI228" s="295"/>
      <c r="AJ228" s="198" t="s">
        <v>1627</v>
      </c>
    </row>
    <row r="229" spans="1:36" s="1" customFormat="1" outlineLevel="1">
      <c r="A229" t="s">
        <v>731</v>
      </c>
      <c r="B229" s="281" t="s">
        <v>127</v>
      </c>
      <c r="C229" s="613">
        <f>C195*C225</f>
        <v>272373.26421352371</v>
      </c>
      <c r="D229" s="613">
        <f t="shared" ref="D229:AG229" si="60">D195*D225</f>
        <v>274640.28202455974</v>
      </c>
      <c r="E229" s="613">
        <f t="shared" si="60"/>
        <v>276870.76685700903</v>
      </c>
      <c r="F229" s="613">
        <f t="shared" si="60"/>
        <v>279064.07162625523</v>
      </c>
      <c r="G229" s="613">
        <f t="shared" si="60"/>
        <v>281219.54924768244</v>
      </c>
      <c r="H229" s="613">
        <f t="shared" si="60"/>
        <v>283336.55263667443</v>
      </c>
      <c r="I229" s="613">
        <f t="shared" si="60"/>
        <v>285038.41195150983</v>
      </c>
      <c r="J229" s="613">
        <f t="shared" si="60"/>
        <v>286689.15109741583</v>
      </c>
      <c r="K229" s="613">
        <f t="shared" si="60"/>
        <v>288288.01418689487</v>
      </c>
      <c r="L229" s="613">
        <f t="shared" si="60"/>
        <v>289834.24533244991</v>
      </c>
      <c r="M229" s="613">
        <f t="shared" si="60"/>
        <v>291327.08864658361</v>
      </c>
      <c r="N229" s="613">
        <f t="shared" si="60"/>
        <v>291041.91417652956</v>
      </c>
      <c r="O229" s="613">
        <f t="shared" si="60"/>
        <v>291349.96172554913</v>
      </c>
      <c r="P229" s="613">
        <f t="shared" si="60"/>
        <v>290779.51339827472</v>
      </c>
      <c r="Q229" s="613">
        <f t="shared" si="60"/>
        <v>290099.47867908736</v>
      </c>
      <c r="R229" s="613">
        <f t="shared" si="60"/>
        <v>289308.61574720312</v>
      </c>
      <c r="S229" s="613">
        <f t="shared" si="60"/>
        <v>288467.88268927054</v>
      </c>
      <c r="T229" s="613">
        <f t="shared" si="60"/>
        <v>287515.56698681187</v>
      </c>
      <c r="U229" s="613">
        <f t="shared" si="60"/>
        <v>286450.4423897019</v>
      </c>
      <c r="V229" s="613">
        <f t="shared" si="60"/>
        <v>285271.28264530824</v>
      </c>
      <c r="W229" s="613">
        <f t="shared" si="60"/>
        <v>283976.86149855156</v>
      </c>
      <c r="X229" s="613">
        <f t="shared" si="60"/>
        <v>279966.19422174245</v>
      </c>
      <c r="Y229" s="613">
        <f t="shared" si="60"/>
        <v>278305.38711755257</v>
      </c>
      <c r="Z229" s="613">
        <f t="shared" si="60"/>
        <v>276504.05623181188</v>
      </c>
      <c r="AA229" s="613">
        <f t="shared" si="60"/>
        <v>274579.01910768263</v>
      </c>
      <c r="AB229" s="613">
        <f t="shared" si="60"/>
        <v>272529.01640862803</v>
      </c>
      <c r="AC229" s="613">
        <f t="shared" si="60"/>
        <v>270309.9100684523</v>
      </c>
      <c r="AD229" s="613">
        <f t="shared" si="60"/>
        <v>267962.21380241093</v>
      </c>
      <c r="AE229" s="613">
        <f t="shared" si="60"/>
        <v>265484.65900379268</v>
      </c>
      <c r="AF229" s="613">
        <f t="shared" si="60"/>
        <v>262875.97711271857</v>
      </c>
      <c r="AG229" s="613">
        <f t="shared" si="60"/>
        <v>260134.89961829569</v>
      </c>
      <c r="AI229" s="295"/>
      <c r="AJ229" s="198" t="s">
        <v>1628</v>
      </c>
    </row>
    <row r="230" spans="1:36" s="1" customFormat="1" outlineLevel="1">
      <c r="A230" t="s">
        <v>726</v>
      </c>
      <c r="B230" s="281" t="s">
        <v>127</v>
      </c>
      <c r="C230" s="613">
        <f>C228*C196</f>
        <v>231517.27458149518</v>
      </c>
      <c r="D230" s="613">
        <f t="shared" ref="D230:AG230" si="61">D228*D196</f>
        <v>240155.32148419385</v>
      </c>
      <c r="E230" s="613">
        <f t="shared" si="61"/>
        <v>248686.12531492731</v>
      </c>
      <c r="F230" s="613">
        <f t="shared" si="61"/>
        <v>257108.03063604748</v>
      </c>
      <c r="G230" s="613">
        <f t="shared" si="61"/>
        <v>265419.39840271673</v>
      </c>
      <c r="H230" s="613">
        <f t="shared" si="61"/>
        <v>273618.6059629076</v>
      </c>
      <c r="I230" s="613">
        <f t="shared" si="61"/>
        <v>281332.91259614</v>
      </c>
      <c r="J230" s="613">
        <f t="shared" si="61"/>
        <v>288904.83460538153</v>
      </c>
      <c r="K230" s="613">
        <f t="shared" si="61"/>
        <v>296332.62258277647</v>
      </c>
      <c r="L230" s="613">
        <f t="shared" si="61"/>
        <v>303614.54626961966</v>
      </c>
      <c r="M230" s="613">
        <f t="shared" si="61"/>
        <v>310748.89455635549</v>
      </c>
      <c r="N230" s="613">
        <f t="shared" si="61"/>
        <v>315863.08283737302</v>
      </c>
      <c r="O230" s="613">
        <f t="shared" si="61"/>
        <v>321478.97541457898</v>
      </c>
      <c r="P230" s="613">
        <f t="shared" si="61"/>
        <v>325982.65519994427</v>
      </c>
      <c r="Q230" s="613">
        <f t="shared" si="61"/>
        <v>330207.59121851344</v>
      </c>
      <c r="R230" s="613">
        <f t="shared" si="61"/>
        <v>334151.45118801901</v>
      </c>
      <c r="S230" s="613">
        <f t="shared" si="61"/>
        <v>337884.78953637899</v>
      </c>
      <c r="T230" s="613">
        <f t="shared" si="61"/>
        <v>341336.51061506831</v>
      </c>
      <c r="U230" s="613">
        <f t="shared" si="61"/>
        <v>344504.39871401415</v>
      </c>
      <c r="V230" s="613">
        <f t="shared" si="61"/>
        <v>347386.26917628193</v>
      </c>
      <c r="W230" s="613">
        <f t="shared" si="61"/>
        <v>349979.96839836577</v>
      </c>
      <c r="X230" s="613">
        <f t="shared" si="61"/>
        <v>349042.17765553331</v>
      </c>
      <c r="Y230" s="613">
        <f t="shared" si="61"/>
        <v>350850.32469286065</v>
      </c>
      <c r="Z230" s="613">
        <f t="shared" si="61"/>
        <v>352333.86627256434</v>
      </c>
      <c r="AA230" s="613">
        <f t="shared" si="61"/>
        <v>353513.26133747998</v>
      </c>
      <c r="AB230" s="613">
        <f t="shared" si="61"/>
        <v>354386.4637284652</v>
      </c>
      <c r="AC230" s="613">
        <f t="shared" si="61"/>
        <v>354895.16284665331</v>
      </c>
      <c r="AD230" s="613">
        <f t="shared" si="61"/>
        <v>355091.15824416338</v>
      </c>
      <c r="AE230" s="613">
        <f t="shared" si="61"/>
        <v>354972.48796133022</v>
      </c>
      <c r="AF230" s="613">
        <f t="shared" si="61"/>
        <v>354537.22223027615</v>
      </c>
      <c r="AG230" s="613">
        <f t="shared" si="61"/>
        <v>353783.46348088217</v>
      </c>
      <c r="AI230" s="295"/>
      <c r="AJ230" s="198" t="s">
        <v>1629</v>
      </c>
    </row>
    <row r="231" spans="1:36" s="1" customFormat="1" outlineLevel="1">
      <c r="A231" t="s">
        <v>727</v>
      </c>
      <c r="B231" s="281" t="s">
        <v>127</v>
      </c>
      <c r="C231" s="613">
        <f>C228*C197</f>
        <v>1311931.2226284726</v>
      </c>
      <c r="D231" s="613">
        <f t="shared" ref="D231:AG231" si="62">D228*D197</f>
        <v>1296019.4428070248</v>
      </c>
      <c r="E231" s="613">
        <f t="shared" si="62"/>
        <v>1280122.0221129048</v>
      </c>
      <c r="F231" s="613">
        <f t="shared" si="62"/>
        <v>1264241.2630683756</v>
      </c>
      <c r="G231" s="613">
        <f t="shared" si="62"/>
        <v>1248379.4518028924</v>
      </c>
      <c r="H231" s="613">
        <f t="shared" si="62"/>
        <v>1232538.858053098</v>
      </c>
      <c r="I231" s="613">
        <f t="shared" si="62"/>
        <v>1215118.7501492859</v>
      </c>
      <c r="J231" s="613">
        <f t="shared" si="62"/>
        <v>1197740.9695389492</v>
      </c>
      <c r="K231" s="613">
        <f t="shared" si="62"/>
        <v>1180408.021517439</v>
      </c>
      <c r="L231" s="613">
        <f t="shared" si="62"/>
        <v>1163122.3922309589</v>
      </c>
      <c r="M231" s="613">
        <f t="shared" si="62"/>
        <v>1145886.5486765613</v>
      </c>
      <c r="N231" s="613">
        <f t="shared" si="62"/>
        <v>1122056.8693813214</v>
      </c>
      <c r="O231" s="613">
        <f t="shared" si="62"/>
        <v>1100994.3671278066</v>
      </c>
      <c r="P231" s="613">
        <f t="shared" si="62"/>
        <v>1077099.0744985254</v>
      </c>
      <c r="Q231" s="613">
        <f t="shared" si="62"/>
        <v>1053343.7686355938</v>
      </c>
      <c r="R231" s="613">
        <f t="shared" si="62"/>
        <v>1029732.0230487941</v>
      </c>
      <c r="S231" s="613">
        <f t="shared" si="62"/>
        <v>1006484.3996004083</v>
      </c>
      <c r="T231" s="613">
        <f t="shared" si="62"/>
        <v>983384.74662323121</v>
      </c>
      <c r="U231" s="613">
        <f t="shared" si="62"/>
        <v>960436.50550573715</v>
      </c>
      <c r="V231" s="613">
        <f t="shared" si="62"/>
        <v>937643.08659294888</v>
      </c>
      <c r="W231" s="613">
        <f t="shared" si="62"/>
        <v>915007.86918608937</v>
      </c>
      <c r="X231" s="613">
        <f t="shared" si="62"/>
        <v>884322.40769970859</v>
      </c>
      <c r="Y231" s="613">
        <f t="shared" si="62"/>
        <v>861766.00489075959</v>
      </c>
      <c r="Z231" s="613">
        <f t="shared" si="62"/>
        <v>839325.20793002122</v>
      </c>
      <c r="AA231" s="613">
        <f t="shared" si="62"/>
        <v>817060.45170053362</v>
      </c>
      <c r="AB231" s="613">
        <f t="shared" si="62"/>
        <v>794975.04025574669</v>
      </c>
      <c r="AC231" s="613">
        <f t="shared" si="62"/>
        <v>772949.63433550799</v>
      </c>
      <c r="AD231" s="613">
        <f t="shared" si="62"/>
        <v>751111.82694014662</v>
      </c>
      <c r="AE231" s="613">
        <f t="shared" si="62"/>
        <v>729464.8479694142</v>
      </c>
      <c r="AF231" s="613">
        <f t="shared" si="62"/>
        <v>708011.89534297935</v>
      </c>
      <c r="AG231" s="613">
        <f t="shared" si="62"/>
        <v>686756.13499230065</v>
      </c>
      <c r="AI231" s="295"/>
      <c r="AJ231" s="198" t="s">
        <v>1630</v>
      </c>
    </row>
    <row r="232" spans="1:36" s="1" customFormat="1" outlineLevel="1">
      <c r="A232" t="s">
        <v>730</v>
      </c>
      <c r="B232" s="281" t="s">
        <v>127</v>
      </c>
      <c r="C232" s="613">
        <f>C198*C231</f>
        <v>0</v>
      </c>
      <c r="D232" s="613">
        <f t="shared" ref="D232:AG232" si="63">D198*D231</f>
        <v>0</v>
      </c>
      <c r="E232" s="613">
        <f t="shared" si="63"/>
        <v>0</v>
      </c>
      <c r="F232" s="613">
        <f t="shared" si="63"/>
        <v>0</v>
      </c>
      <c r="G232" s="613">
        <f t="shared" si="63"/>
        <v>0</v>
      </c>
      <c r="H232" s="613">
        <f t="shared" si="63"/>
        <v>0</v>
      </c>
      <c r="I232" s="613">
        <f t="shared" si="63"/>
        <v>0</v>
      </c>
      <c r="J232" s="613">
        <f t="shared" si="63"/>
        <v>0</v>
      </c>
      <c r="K232" s="613">
        <f t="shared" si="63"/>
        <v>0</v>
      </c>
      <c r="L232" s="613">
        <f t="shared" si="63"/>
        <v>0</v>
      </c>
      <c r="M232" s="613">
        <f t="shared" si="63"/>
        <v>0</v>
      </c>
      <c r="N232" s="613">
        <f t="shared" si="63"/>
        <v>0</v>
      </c>
      <c r="O232" s="613">
        <f t="shared" si="63"/>
        <v>0</v>
      </c>
      <c r="P232" s="613">
        <f t="shared" si="63"/>
        <v>0</v>
      </c>
      <c r="Q232" s="613">
        <f t="shared" si="63"/>
        <v>0</v>
      </c>
      <c r="R232" s="613">
        <f t="shared" si="63"/>
        <v>0</v>
      </c>
      <c r="S232" s="613">
        <f t="shared" si="63"/>
        <v>0</v>
      </c>
      <c r="T232" s="613">
        <f t="shared" si="63"/>
        <v>0</v>
      </c>
      <c r="U232" s="613">
        <f t="shared" si="63"/>
        <v>0</v>
      </c>
      <c r="V232" s="613">
        <f t="shared" si="63"/>
        <v>0</v>
      </c>
      <c r="W232" s="613">
        <f t="shared" si="63"/>
        <v>0</v>
      </c>
      <c r="X232" s="613">
        <f t="shared" si="63"/>
        <v>0</v>
      </c>
      <c r="Y232" s="613">
        <f t="shared" si="63"/>
        <v>0</v>
      </c>
      <c r="Z232" s="613">
        <f t="shared" si="63"/>
        <v>0</v>
      </c>
      <c r="AA232" s="613">
        <f t="shared" si="63"/>
        <v>0</v>
      </c>
      <c r="AB232" s="613">
        <f t="shared" si="63"/>
        <v>0</v>
      </c>
      <c r="AC232" s="613">
        <f t="shared" si="63"/>
        <v>0</v>
      </c>
      <c r="AD232" s="613">
        <f t="shared" si="63"/>
        <v>0</v>
      </c>
      <c r="AE232" s="613">
        <f t="shared" si="63"/>
        <v>0</v>
      </c>
      <c r="AF232" s="613">
        <f t="shared" si="63"/>
        <v>0</v>
      </c>
      <c r="AG232" s="613">
        <f t="shared" si="63"/>
        <v>0</v>
      </c>
      <c r="AI232" s="295"/>
      <c r="AJ232" s="198" t="s">
        <v>1631</v>
      </c>
    </row>
    <row r="233" spans="1:36" s="1" customFormat="1" outlineLevel="1">
      <c r="A233" t="s">
        <v>758</v>
      </c>
      <c r="B233" s="281" t="s">
        <v>127</v>
      </c>
      <c r="C233" s="613">
        <f>C199*C231</f>
        <v>1311931.2226284726</v>
      </c>
      <c r="D233" s="613">
        <f t="shared" ref="D233:AG233" si="64">D199*D231</f>
        <v>1296019.4428070248</v>
      </c>
      <c r="E233" s="613">
        <f t="shared" si="64"/>
        <v>1280122.0221129048</v>
      </c>
      <c r="F233" s="613">
        <f t="shared" si="64"/>
        <v>1264241.2630683756</v>
      </c>
      <c r="G233" s="613">
        <f t="shared" si="64"/>
        <v>1248379.4518028924</v>
      </c>
      <c r="H233" s="613">
        <f t="shared" si="64"/>
        <v>1232538.858053098</v>
      </c>
      <c r="I233" s="613">
        <f t="shared" si="64"/>
        <v>1215118.7501492859</v>
      </c>
      <c r="J233" s="613">
        <f t="shared" si="64"/>
        <v>1197740.9695389492</v>
      </c>
      <c r="K233" s="613">
        <f t="shared" si="64"/>
        <v>1180408.021517439</v>
      </c>
      <c r="L233" s="613">
        <f t="shared" si="64"/>
        <v>1163122.3922309589</v>
      </c>
      <c r="M233" s="613">
        <f t="shared" si="64"/>
        <v>1145886.5486765613</v>
      </c>
      <c r="N233" s="613">
        <f t="shared" si="64"/>
        <v>1122056.8693813214</v>
      </c>
      <c r="O233" s="613">
        <f t="shared" si="64"/>
        <v>1100994.3671278066</v>
      </c>
      <c r="P233" s="613">
        <f t="shared" si="64"/>
        <v>1077099.0744985254</v>
      </c>
      <c r="Q233" s="613">
        <f t="shared" si="64"/>
        <v>1053343.7686355938</v>
      </c>
      <c r="R233" s="613">
        <f t="shared" si="64"/>
        <v>1029732.0230487941</v>
      </c>
      <c r="S233" s="613">
        <f t="shared" si="64"/>
        <v>1006484.3996004083</v>
      </c>
      <c r="T233" s="613">
        <f t="shared" si="64"/>
        <v>983384.74662323121</v>
      </c>
      <c r="U233" s="613">
        <f t="shared" si="64"/>
        <v>960436.50550573715</v>
      </c>
      <c r="V233" s="613">
        <f t="shared" si="64"/>
        <v>937643.08659294888</v>
      </c>
      <c r="W233" s="613">
        <f t="shared" si="64"/>
        <v>915007.86918608937</v>
      </c>
      <c r="X233" s="613">
        <f t="shared" si="64"/>
        <v>884322.40769970859</v>
      </c>
      <c r="Y233" s="613">
        <f t="shared" si="64"/>
        <v>861766.00489075959</v>
      </c>
      <c r="Z233" s="613">
        <f t="shared" si="64"/>
        <v>839325.20793002122</v>
      </c>
      <c r="AA233" s="613">
        <f t="shared" si="64"/>
        <v>817060.45170053362</v>
      </c>
      <c r="AB233" s="613">
        <f t="shared" si="64"/>
        <v>794975.04025574669</v>
      </c>
      <c r="AC233" s="613">
        <f t="shared" si="64"/>
        <v>772949.63433550799</v>
      </c>
      <c r="AD233" s="613">
        <f t="shared" si="64"/>
        <v>751111.82694014662</v>
      </c>
      <c r="AE233" s="613">
        <f t="shared" si="64"/>
        <v>729464.8479694142</v>
      </c>
      <c r="AF233" s="613">
        <f t="shared" si="64"/>
        <v>708011.89534297935</v>
      </c>
      <c r="AG233" s="613">
        <f t="shared" si="64"/>
        <v>686756.13499230065</v>
      </c>
      <c r="AI233" s="295"/>
      <c r="AJ233" s="198" t="s">
        <v>1632</v>
      </c>
    </row>
    <row r="234" spans="1:36" s="1" customFormat="1" outlineLevel="1">
      <c r="A234" t="s">
        <v>728</v>
      </c>
      <c r="B234" s="281" t="s">
        <v>127</v>
      </c>
      <c r="C234" s="613">
        <f>C200*(C232+C230)</f>
        <v>185213.81966519615</v>
      </c>
      <c r="D234" s="613">
        <f t="shared" ref="D234:AG234" si="65">D200*(D232+D230)</f>
        <v>192924.77492563572</v>
      </c>
      <c r="E234" s="613">
        <f t="shared" si="65"/>
        <v>200606.80775404137</v>
      </c>
      <c r="F234" s="613">
        <f t="shared" si="65"/>
        <v>208257.50481519845</v>
      </c>
      <c r="G234" s="613">
        <f t="shared" si="65"/>
        <v>215874.44403420959</v>
      </c>
      <c r="H234" s="613">
        <f t="shared" si="65"/>
        <v>223455.19486970783</v>
      </c>
      <c r="I234" s="613">
        <f t="shared" si="65"/>
        <v>230692.98832883476</v>
      </c>
      <c r="J234" s="613">
        <f t="shared" si="65"/>
        <v>237864.98049176409</v>
      </c>
      <c r="K234" s="613">
        <f t="shared" si="65"/>
        <v>244968.30133509514</v>
      </c>
      <c r="L234" s="613">
        <f t="shared" si="65"/>
        <v>252000.07340378425</v>
      </c>
      <c r="M234" s="613">
        <f t="shared" si="65"/>
        <v>258957.41213029614</v>
      </c>
      <c r="N234" s="613">
        <f t="shared" si="65"/>
        <v>264272.11264060199</v>
      </c>
      <c r="O234" s="613">
        <f t="shared" si="65"/>
        <v>270042.33934824623</v>
      </c>
      <c r="P234" s="613">
        <f t="shared" si="65"/>
        <v>274912.03921861952</v>
      </c>
      <c r="Q234" s="613">
        <f t="shared" si="65"/>
        <v>279575.76056500792</v>
      </c>
      <c r="R234" s="613">
        <f t="shared" si="65"/>
        <v>284028.733509816</v>
      </c>
      <c r="S234" s="613">
        <f t="shared" si="65"/>
        <v>288328.35373770993</v>
      </c>
      <c r="T234" s="613">
        <f t="shared" si="65"/>
        <v>292411.61076024169</v>
      </c>
      <c r="U234" s="613">
        <f t="shared" si="65"/>
        <v>296273.78289405198</v>
      </c>
      <c r="V234" s="613">
        <f t="shared" si="65"/>
        <v>299910.14572218986</v>
      </c>
      <c r="W234" s="613">
        <f t="shared" si="65"/>
        <v>303315.97261191678</v>
      </c>
      <c r="X234" s="613">
        <f t="shared" si="65"/>
        <v>303666.69456031371</v>
      </c>
      <c r="Y234" s="613">
        <f t="shared" si="65"/>
        <v>306409.28356509807</v>
      </c>
      <c r="Z234" s="613">
        <f t="shared" si="65"/>
        <v>308879.35609894781</v>
      </c>
      <c r="AA234" s="613">
        <f t="shared" si="65"/>
        <v>311091.66997698211</v>
      </c>
      <c r="AB234" s="613">
        <f t="shared" si="65"/>
        <v>313041.37629347731</v>
      </c>
      <c r="AC234" s="613">
        <f t="shared" si="65"/>
        <v>314673.71105736564</v>
      </c>
      <c r="AD234" s="613">
        <f t="shared" si="65"/>
        <v>316031.1308373051</v>
      </c>
      <c r="AE234" s="613">
        <f t="shared" si="65"/>
        <v>317108.75591212133</v>
      </c>
      <c r="AF234" s="613">
        <f t="shared" si="65"/>
        <v>317901.70926648064</v>
      </c>
      <c r="AG234" s="613">
        <f t="shared" si="65"/>
        <v>318405.11713279394</v>
      </c>
      <c r="AH234" s="234"/>
      <c r="AI234" s="295"/>
      <c r="AJ234" s="198" t="s">
        <v>1633</v>
      </c>
    </row>
    <row r="235" spans="1:36" s="1" customFormat="1" outlineLevel="1">
      <c r="A235" t="s">
        <v>729</v>
      </c>
      <c r="B235" s="281" t="s">
        <v>127</v>
      </c>
      <c r="C235" s="613">
        <f>C201*(C232+C230)</f>
        <v>46303.454916299037</v>
      </c>
      <c r="D235" s="613">
        <f t="shared" ref="D235:AG235" si="66">D201*(D232+D230)</f>
        <v>47230.546558558126</v>
      </c>
      <c r="E235" s="613">
        <f t="shared" si="66"/>
        <v>48079.317560885953</v>
      </c>
      <c r="F235" s="613">
        <f t="shared" si="66"/>
        <v>48850.525820849027</v>
      </c>
      <c r="G235" s="613">
        <f t="shared" si="66"/>
        <v>49544.954368507133</v>
      </c>
      <c r="H235" s="613">
        <f t="shared" si="66"/>
        <v>50163.411093199742</v>
      </c>
      <c r="I235" s="613">
        <f t="shared" si="66"/>
        <v>50639.924267305214</v>
      </c>
      <c r="J235" s="613">
        <f t="shared" si="66"/>
        <v>51039.854113617417</v>
      </c>
      <c r="K235" s="613">
        <f t="shared" si="66"/>
        <v>51364.321247681277</v>
      </c>
      <c r="L235" s="613">
        <f t="shared" si="66"/>
        <v>51614.472865835363</v>
      </c>
      <c r="M235" s="613">
        <f t="shared" si="66"/>
        <v>51791.482426059272</v>
      </c>
      <c r="N235" s="613">
        <f t="shared" si="66"/>
        <v>51590.970196770955</v>
      </c>
      <c r="O235" s="613">
        <f t="shared" si="66"/>
        <v>51436.636066332663</v>
      </c>
      <c r="P235" s="613">
        <f t="shared" si="66"/>
        <v>51070.615981324634</v>
      </c>
      <c r="Q235" s="613">
        <f t="shared" si="66"/>
        <v>50631.830653505429</v>
      </c>
      <c r="R235" s="613">
        <f t="shared" si="66"/>
        <v>50122.717678202884</v>
      </c>
      <c r="S235" s="613">
        <f t="shared" si="66"/>
        <v>49556.435798668957</v>
      </c>
      <c r="T235" s="613">
        <f t="shared" si="66"/>
        <v>48924.899854826501</v>
      </c>
      <c r="U235" s="613">
        <f t="shared" si="66"/>
        <v>48230.615819962026</v>
      </c>
      <c r="V235" s="613">
        <f t="shared" si="66"/>
        <v>47476.12345409191</v>
      </c>
      <c r="W235" s="613">
        <f t="shared" si="66"/>
        <v>46663.995786448817</v>
      </c>
      <c r="X235" s="613">
        <f t="shared" si="66"/>
        <v>45375.483095219381</v>
      </c>
      <c r="Y235" s="613">
        <f t="shared" si="66"/>
        <v>44441.041127762401</v>
      </c>
      <c r="Z235" s="613">
        <f t="shared" si="66"/>
        <v>43454.51017361632</v>
      </c>
      <c r="AA235" s="613">
        <f t="shared" si="66"/>
        <v>42421.591360497652</v>
      </c>
      <c r="AB235" s="613">
        <f t="shared" si="66"/>
        <v>41345.087434987669</v>
      </c>
      <c r="AC235" s="613">
        <f t="shared" si="66"/>
        <v>40221.451789287436</v>
      </c>
      <c r="AD235" s="613">
        <f t="shared" si="66"/>
        <v>39060.027406858033</v>
      </c>
      <c r="AE235" s="613">
        <f t="shared" si="66"/>
        <v>37863.732049208622</v>
      </c>
      <c r="AF235" s="613">
        <f t="shared" si="66"/>
        <v>36635.51296379527</v>
      </c>
      <c r="AG235" s="613">
        <f t="shared" si="66"/>
        <v>35378.34634808822</v>
      </c>
      <c r="AI235" s="295"/>
      <c r="AJ235" s="198" t="s">
        <v>1634</v>
      </c>
    </row>
    <row r="236" spans="1:36" s="1" customFormat="1" outlineLevel="1">
      <c r="A236" t="s">
        <v>739</v>
      </c>
      <c r="B236" s="281" t="s">
        <v>127</v>
      </c>
      <c r="C236" s="613">
        <f>C229*C202</f>
        <v>258754.60100284751</v>
      </c>
      <c r="D236" s="613">
        <f t="shared" ref="D236:AG236" si="67">D229*D202</f>
        <v>260542.08088063233</v>
      </c>
      <c r="E236" s="613">
        <f t="shared" si="67"/>
        <v>262288.90646920656</v>
      </c>
      <c r="F236" s="613">
        <f t="shared" si="67"/>
        <v>263994.61175843747</v>
      </c>
      <c r="G236" s="613">
        <f t="shared" si="67"/>
        <v>265658.73418931069</v>
      </c>
      <c r="H236" s="613">
        <f t="shared" si="67"/>
        <v>267280.81465392956</v>
      </c>
      <c r="I236" s="613">
        <f t="shared" si="67"/>
        <v>268506.18405832228</v>
      </c>
      <c r="J236" s="613">
        <f t="shared" si="67"/>
        <v>269678.92813230254</v>
      </c>
      <c r="K236" s="613">
        <f t="shared" si="67"/>
        <v>270798.54132622329</v>
      </c>
      <c r="L236" s="613">
        <f t="shared" si="67"/>
        <v>271864.52212183812</v>
      </c>
      <c r="M236" s="613">
        <f t="shared" si="67"/>
        <v>272876.37303230009</v>
      </c>
      <c r="N236" s="613">
        <f t="shared" si="67"/>
        <v>272221.20372644742</v>
      </c>
      <c r="O236" s="613">
        <f t="shared" si="67"/>
        <v>272120.86425166298</v>
      </c>
      <c r="P236" s="613">
        <f t="shared" si="67"/>
        <v>271200.35949612432</v>
      </c>
      <c r="Q236" s="613">
        <f t="shared" si="67"/>
        <v>270179.31447645684</v>
      </c>
      <c r="R236" s="613">
        <f t="shared" si="67"/>
        <v>269057.01264489902</v>
      </c>
      <c r="S236" s="613">
        <f t="shared" si="67"/>
        <v>267890.50705743604</v>
      </c>
      <c r="T236" s="613">
        <f t="shared" si="67"/>
        <v>266622.76911910373</v>
      </c>
      <c r="U236" s="613">
        <f t="shared" si="67"/>
        <v>265253.10965286411</v>
      </c>
      <c r="V236" s="613">
        <f t="shared" si="67"/>
        <v>263780.84601936187</v>
      </c>
      <c r="W236" s="613">
        <f t="shared" si="67"/>
        <v>262205.30211699614</v>
      </c>
      <c r="X236" s="613">
        <f t="shared" si="67"/>
        <v>258128.83107244674</v>
      </c>
      <c r="Y236" s="613">
        <f t="shared" si="67"/>
        <v>256226.49307289362</v>
      </c>
      <c r="Z236" s="613">
        <f t="shared" si="67"/>
        <v>254199.39569577927</v>
      </c>
      <c r="AA236" s="613">
        <f t="shared" si="67"/>
        <v>252063.53954085289</v>
      </c>
      <c r="AB236" s="613">
        <f t="shared" si="67"/>
        <v>249818.26504124259</v>
      </c>
      <c r="AC236" s="613">
        <f t="shared" si="67"/>
        <v>247423.67101599026</v>
      </c>
      <c r="AD236" s="613">
        <f t="shared" si="67"/>
        <v>244917.46341540385</v>
      </c>
      <c r="AE236" s="613">
        <f t="shared" si="67"/>
        <v>242298.99878412837</v>
      </c>
      <c r="AF236" s="613">
        <f t="shared" si="67"/>
        <v>239567.64047539112</v>
      </c>
      <c r="AG236" s="613">
        <f t="shared" si="67"/>
        <v>236722.75865264909</v>
      </c>
      <c r="AI236" s="295"/>
      <c r="AJ236" s="198" t="s">
        <v>1635</v>
      </c>
    </row>
    <row r="237" spans="1:36" s="1" customFormat="1" outlineLevel="1">
      <c r="A237" t="s">
        <v>759</v>
      </c>
      <c r="B237" s="281" t="s">
        <v>127</v>
      </c>
      <c r="C237" s="613">
        <f>C229*C203</f>
        <v>13618.663210676186</v>
      </c>
      <c r="D237" s="613">
        <f t="shared" ref="D237:AG237" si="68">D229*D203</f>
        <v>14098.201143927401</v>
      </c>
      <c r="E237" s="613">
        <f t="shared" si="68"/>
        <v>14581.860387802475</v>
      </c>
      <c r="F237" s="613">
        <f t="shared" si="68"/>
        <v>15069.459867817783</v>
      </c>
      <c r="G237" s="613">
        <f t="shared" si="68"/>
        <v>15560.815058371762</v>
      </c>
      <c r="H237" s="613">
        <f t="shared" si="68"/>
        <v>16055.737982744884</v>
      </c>
      <c r="I237" s="613">
        <f t="shared" si="68"/>
        <v>16532.22789318757</v>
      </c>
      <c r="J237" s="613">
        <f t="shared" si="68"/>
        <v>17010.222965113338</v>
      </c>
      <c r="K237" s="613">
        <f t="shared" si="68"/>
        <v>17489.47286067162</v>
      </c>
      <c r="L237" s="613">
        <f t="shared" si="68"/>
        <v>17969.723210611894</v>
      </c>
      <c r="M237" s="613">
        <f t="shared" si="68"/>
        <v>18450.715614283625</v>
      </c>
      <c r="N237" s="613">
        <f t="shared" si="68"/>
        <v>18820.710450082246</v>
      </c>
      <c r="O237" s="613">
        <f t="shared" si="68"/>
        <v>19229.097473886242</v>
      </c>
      <c r="P237" s="613">
        <f t="shared" si="68"/>
        <v>19579.153902150501</v>
      </c>
      <c r="Q237" s="613">
        <f t="shared" si="68"/>
        <v>19920.164202630669</v>
      </c>
      <c r="R237" s="613">
        <f t="shared" si="68"/>
        <v>20251.603102304223</v>
      </c>
      <c r="S237" s="613">
        <f t="shared" si="68"/>
        <v>20577.375631834639</v>
      </c>
      <c r="T237" s="613">
        <f t="shared" si="68"/>
        <v>20892.797867708337</v>
      </c>
      <c r="U237" s="613">
        <f t="shared" si="68"/>
        <v>21197.332736837951</v>
      </c>
      <c r="V237" s="613">
        <f t="shared" si="68"/>
        <v>21490.436625946568</v>
      </c>
      <c r="W237" s="613">
        <f t="shared" si="68"/>
        <v>21771.559381555635</v>
      </c>
      <c r="X237" s="613">
        <f t="shared" si="68"/>
        <v>21837.363149295928</v>
      </c>
      <c r="Y237" s="613">
        <f t="shared" si="68"/>
        <v>22078.894044659188</v>
      </c>
      <c r="Z237" s="613">
        <f t="shared" si="68"/>
        <v>22304.660536032843</v>
      </c>
      <c r="AA237" s="613">
        <f t="shared" si="68"/>
        <v>22515.479566829996</v>
      </c>
      <c r="AB237" s="613">
        <f t="shared" si="68"/>
        <v>22710.751367385692</v>
      </c>
      <c r="AC237" s="613">
        <f t="shared" si="68"/>
        <v>22886.239052462319</v>
      </c>
      <c r="AD237" s="613">
        <f t="shared" si="68"/>
        <v>23044.750387007363</v>
      </c>
      <c r="AE237" s="613">
        <f t="shared" si="68"/>
        <v>23185.660219664587</v>
      </c>
      <c r="AF237" s="613">
        <f t="shared" si="68"/>
        <v>23308.336637327739</v>
      </c>
      <c r="AG237" s="613">
        <f t="shared" si="68"/>
        <v>23412.140965646613</v>
      </c>
      <c r="AI237" s="295"/>
      <c r="AJ237" s="198" t="s">
        <v>1636</v>
      </c>
    </row>
    <row r="238" spans="1:36" s="1" customFormat="1" outlineLevel="1">
      <c r="A238" t="s">
        <v>742</v>
      </c>
      <c r="B238" s="281" t="s">
        <v>127</v>
      </c>
      <c r="C238" s="613">
        <f t="shared" ref="C238:AG238" si="69">C234*C204</f>
        <v>50007.731309602961</v>
      </c>
      <c r="D238" s="613">
        <f t="shared" si="69"/>
        <v>51317.990130219107</v>
      </c>
      <c r="E238" s="613">
        <f t="shared" si="69"/>
        <v>52558.98363155884</v>
      </c>
      <c r="F238" s="613">
        <f t="shared" si="69"/>
        <v>53730.436242321201</v>
      </c>
      <c r="G238" s="613">
        <f t="shared" si="69"/>
        <v>54832.108784689241</v>
      </c>
      <c r="H238" s="613">
        <f t="shared" si="69"/>
        <v>55863.798717426958</v>
      </c>
      <c r="I238" s="613">
        <f t="shared" si="69"/>
        <v>56750.475128893348</v>
      </c>
      <c r="J238" s="613">
        <f t="shared" si="69"/>
        <v>57563.325279006909</v>
      </c>
      <c r="K238" s="613">
        <f t="shared" si="69"/>
        <v>58302.455717752637</v>
      </c>
      <c r="L238" s="613">
        <f t="shared" si="69"/>
        <v>58968.017176485511</v>
      </c>
      <c r="M238" s="613">
        <f t="shared" si="69"/>
        <v>59560.204789968106</v>
      </c>
      <c r="N238" s="613">
        <f t="shared" si="69"/>
        <v>59725.497456776044</v>
      </c>
      <c r="O238" s="613">
        <f t="shared" si="69"/>
        <v>59949.399335310656</v>
      </c>
      <c r="P238" s="613">
        <f t="shared" si="69"/>
        <v>59930.824549659046</v>
      </c>
      <c r="Q238" s="613">
        <f t="shared" si="69"/>
        <v>59829.212760911687</v>
      </c>
      <c r="R238" s="613">
        <f t="shared" si="69"/>
        <v>59646.034037061348</v>
      </c>
      <c r="S238" s="613">
        <f t="shared" si="69"/>
        <v>59395.640869968236</v>
      </c>
      <c r="T238" s="613">
        <f t="shared" si="69"/>
        <v>59067.145373568812</v>
      </c>
      <c r="U238" s="613">
        <f t="shared" si="69"/>
        <v>58662.209013022279</v>
      </c>
      <c r="V238" s="613">
        <f t="shared" si="69"/>
        <v>58182.568270104821</v>
      </c>
      <c r="W238" s="613">
        <f t="shared" si="69"/>
        <v>57630.034796264168</v>
      </c>
      <c r="X238" s="613">
        <f t="shared" si="69"/>
        <v>56482.005188218332</v>
      </c>
      <c r="Y238" s="613">
        <f t="shared" si="69"/>
        <v>55766.489608847827</v>
      </c>
      <c r="Z238" s="613">
        <f t="shared" si="69"/>
        <v>54980.525385612695</v>
      </c>
      <c r="AA238" s="613">
        <f t="shared" si="69"/>
        <v>54129.950575994866</v>
      </c>
      <c r="AB238" s="613">
        <f t="shared" si="69"/>
        <v>53217.033969891119</v>
      </c>
      <c r="AC238" s="613">
        <f t="shared" si="69"/>
        <v>52235.836035522676</v>
      </c>
      <c r="AD238" s="613">
        <f t="shared" si="69"/>
        <v>51197.043195643404</v>
      </c>
      <c r="AE238" s="613">
        <f t="shared" si="69"/>
        <v>50103.183434115141</v>
      </c>
      <c r="AF238" s="613">
        <f t="shared" si="69"/>
        <v>48956.863227037989</v>
      </c>
      <c r="AG238" s="613">
        <f t="shared" si="69"/>
        <v>47760.767569919088</v>
      </c>
      <c r="AI238" s="295"/>
      <c r="AJ238" s="198"/>
    </row>
    <row r="239" spans="1:36" s="62" customFormat="1">
      <c r="A239" s="322" t="s">
        <v>733</v>
      </c>
      <c r="B239" s="287" t="s">
        <v>127</v>
      </c>
      <c r="C239" s="614">
        <f>C205*C$224</f>
        <v>387973.16503494186</v>
      </c>
      <c r="D239" s="614">
        <f t="shared" ref="D239:AG244" si="70">D205*D$224</f>
        <v>397105.64679425856</v>
      </c>
      <c r="E239" s="614">
        <f t="shared" si="70"/>
        <v>405940.33259621571</v>
      </c>
      <c r="F239" s="614">
        <f t="shared" si="70"/>
        <v>414472.56973723887</v>
      </c>
      <c r="G239" s="614">
        <f t="shared" si="70"/>
        <v>422697.73970237176</v>
      </c>
      <c r="H239" s="614">
        <f t="shared" si="70"/>
        <v>430611.25816527358</v>
      </c>
      <c r="I239" s="614">
        <f t="shared" si="70"/>
        <v>437045.59076073812</v>
      </c>
      <c r="J239" s="614">
        <f t="shared" si="70"/>
        <v>443085.81656371761</v>
      </c>
      <c r="K239" s="614">
        <f t="shared" si="70"/>
        <v>448726.74200545874</v>
      </c>
      <c r="L239" s="614">
        <f t="shared" si="70"/>
        <v>453963.20770582621</v>
      </c>
      <c r="M239" s="614">
        <f t="shared" si="70"/>
        <v>458790.08847330045</v>
      </c>
      <c r="N239" s="614">
        <f t="shared" si="70"/>
        <v>459941.88394638529</v>
      </c>
      <c r="O239" s="614">
        <f t="shared" si="70"/>
        <v>462693.58373164176</v>
      </c>
      <c r="P239" s="614">
        <f t="shared" si="70"/>
        <v>462090.17069561337</v>
      </c>
      <c r="Q239" s="614">
        <f t="shared" si="70"/>
        <v>460674.87369590288</v>
      </c>
      <c r="R239" s="614">
        <f t="shared" si="70"/>
        <v>458430.6469972686</v>
      </c>
      <c r="S239" s="614">
        <f t="shared" si="70"/>
        <v>455580.6332993143</v>
      </c>
      <c r="T239" s="614">
        <f t="shared" si="70"/>
        <v>451882.80798787635</v>
      </c>
      <c r="U239" s="614">
        <f t="shared" si="70"/>
        <v>447320.79462516244</v>
      </c>
      <c r="V239" s="614">
        <f t="shared" si="70"/>
        <v>441878.34663255262</v>
      </c>
      <c r="W239" s="614">
        <f t="shared" si="70"/>
        <v>435539.34729489905</v>
      </c>
      <c r="X239" s="614">
        <f t="shared" si="70"/>
        <v>421447.17231231148</v>
      </c>
      <c r="Y239" s="614">
        <f t="shared" si="70"/>
        <v>415696.50066344725</v>
      </c>
      <c r="Z239" s="614">
        <f t="shared" si="70"/>
        <v>408787.5303849827</v>
      </c>
      <c r="AA239" s="614">
        <f t="shared" si="70"/>
        <v>400770.20422149968</v>
      </c>
      <c r="AB239" s="614">
        <f t="shared" si="70"/>
        <v>391617.23959714593</v>
      </c>
      <c r="AC239" s="614">
        <f t="shared" si="70"/>
        <v>381108.6259011568</v>
      </c>
      <c r="AD239" s="614">
        <f t="shared" si="70"/>
        <v>369398.51559412113</v>
      </c>
      <c r="AE239" s="614">
        <f t="shared" si="70"/>
        <v>356460.03071538213</v>
      </c>
      <c r="AF239" s="614">
        <f t="shared" si="70"/>
        <v>342266.51752498664</v>
      </c>
      <c r="AG239" s="614">
        <f>AG205*AG$224</f>
        <v>326791.54667700548</v>
      </c>
      <c r="AI239" s="314"/>
      <c r="AJ239" s="325"/>
    </row>
    <row r="240" spans="1:36">
      <c r="A240" s="323" t="s">
        <v>734</v>
      </c>
      <c r="B240" s="281" t="s">
        <v>127</v>
      </c>
      <c r="C240" s="613">
        <f t="shared" ref="C240:R244" si="71">C206*C$224</f>
        <v>897187.94414330309</v>
      </c>
      <c r="D240" s="613">
        <f t="shared" si="71"/>
        <v>892687.08906370623</v>
      </c>
      <c r="E240" s="613">
        <f t="shared" si="71"/>
        <v>887994.47755422175</v>
      </c>
      <c r="F240" s="613">
        <f t="shared" si="71"/>
        <v>883109.16847423045</v>
      </c>
      <c r="G240" s="613">
        <f t="shared" si="71"/>
        <v>878030.23136705894</v>
      </c>
      <c r="H240" s="613">
        <f t="shared" si="71"/>
        <v>872756.74645997398</v>
      </c>
      <c r="I240" s="613">
        <f t="shared" si="71"/>
        <v>864986.06504729402</v>
      </c>
      <c r="J240" s="613">
        <f t="shared" si="71"/>
        <v>856981.85804975778</v>
      </c>
      <c r="K240" s="613">
        <f t="shared" si="71"/>
        <v>848743.01530637743</v>
      </c>
      <c r="L240" s="613">
        <f t="shared" si="71"/>
        <v>840268.43734011077</v>
      </c>
      <c r="M240" s="613">
        <f t="shared" si="71"/>
        <v>831557.03535785689</v>
      </c>
      <c r="N240" s="613">
        <f t="shared" si="71"/>
        <v>816817.52255722368</v>
      </c>
      <c r="O240" s="613">
        <f t="shared" si="71"/>
        <v>805582.57881848316</v>
      </c>
      <c r="P240" s="613">
        <f t="shared" si="71"/>
        <v>789180.16070835106</v>
      </c>
      <c r="Q240" s="613">
        <f t="shared" si="71"/>
        <v>772153.90761529154</v>
      </c>
      <c r="R240" s="613">
        <f t="shared" si="71"/>
        <v>754500.43984967098</v>
      </c>
      <c r="S240" s="613">
        <f t="shared" si="70"/>
        <v>736604.55655731494</v>
      </c>
      <c r="T240" s="613">
        <f t="shared" si="70"/>
        <v>718085.04726796807</v>
      </c>
      <c r="U240" s="613">
        <f t="shared" si="70"/>
        <v>698938.74160181591</v>
      </c>
      <c r="V240" s="613">
        <f t="shared" si="70"/>
        <v>679162.50981151208</v>
      </c>
      <c r="W240" s="613">
        <f t="shared" si="70"/>
        <v>658753.26278353424</v>
      </c>
      <c r="X240" s="613">
        <f t="shared" si="70"/>
        <v>627522.44406796317</v>
      </c>
      <c r="Y240" s="613">
        <f t="shared" si="70"/>
        <v>609554.96491515043</v>
      </c>
      <c r="Z240" s="613">
        <f t="shared" si="70"/>
        <v>590524.43953019253</v>
      </c>
      <c r="AA240" s="613">
        <f t="shared" si="70"/>
        <v>570540.91573199537</v>
      </c>
      <c r="AB240" s="613">
        <f t="shared" si="70"/>
        <v>549599.19420735736</v>
      </c>
      <c r="AC240" s="613">
        <f t="shared" si="70"/>
        <v>527427.11620249297</v>
      </c>
      <c r="AD240" s="613">
        <f t="shared" si="70"/>
        <v>504277.57885381579</v>
      </c>
      <c r="AE240" s="613">
        <f t="shared" si="70"/>
        <v>480145.51551102032</v>
      </c>
      <c r="AF240" s="613">
        <f t="shared" si="70"/>
        <v>455025.93166722188</v>
      </c>
      <c r="AG240" s="613">
        <f t="shared" si="70"/>
        <v>428913.90501356969</v>
      </c>
      <c r="AI240" s="275"/>
    </row>
    <row r="241" spans="1:36">
      <c r="A241" s="323" t="s">
        <v>735</v>
      </c>
      <c r="B241" s="281" t="s">
        <v>127</v>
      </c>
      <c r="C241" s="613">
        <f t="shared" si="71"/>
        <v>193986.58251747093</v>
      </c>
      <c r="D241" s="613">
        <f t="shared" si="70"/>
        <v>186543.58004649644</v>
      </c>
      <c r="E241" s="613">
        <f t="shared" si="70"/>
        <v>179184.59993504832</v>
      </c>
      <c r="F241" s="613">
        <f t="shared" si="70"/>
        <v>171911.91812965018</v>
      </c>
      <c r="G241" s="613">
        <f t="shared" si="70"/>
        <v>164727.79561930662</v>
      </c>
      <c r="H241" s="613">
        <f t="shared" si="70"/>
        <v>157634.47843550186</v>
      </c>
      <c r="I241" s="613">
        <f t="shared" si="70"/>
        <v>150234.42182400366</v>
      </c>
      <c r="J241" s="613">
        <f t="shared" si="70"/>
        <v>142955.05230349666</v>
      </c>
      <c r="K241" s="613">
        <f t="shared" si="70"/>
        <v>135798.88244902034</v>
      </c>
      <c r="L241" s="613">
        <f t="shared" si="70"/>
        <v>128768.40987809486</v>
      </c>
      <c r="M241" s="613">
        <f t="shared" si="70"/>
        <v>121866.11725072036</v>
      </c>
      <c r="N241" s="613">
        <f t="shared" si="70"/>
        <v>114284.34006594628</v>
      </c>
      <c r="O241" s="613">
        <f t="shared" si="70"/>
        <v>107411.01050913105</v>
      </c>
      <c r="P241" s="613">
        <f t="shared" si="70"/>
        <v>100074.76080471853</v>
      </c>
      <c r="Q241" s="613">
        <f t="shared" si="70"/>
        <v>92920.216001162175</v>
      </c>
      <c r="R241" s="613">
        <f t="shared" si="70"/>
        <v>85955.746311987808</v>
      </c>
      <c r="S241" s="613">
        <f t="shared" si="70"/>
        <v>79231.41448683721</v>
      </c>
      <c r="T241" s="613">
        <f t="shared" si="70"/>
        <v>72709.866710815157</v>
      </c>
      <c r="U241" s="613">
        <f t="shared" si="70"/>
        <v>66399.180452172484</v>
      </c>
      <c r="V241" s="613">
        <f t="shared" si="70"/>
        <v>60307.376389901881</v>
      </c>
      <c r="W241" s="613">
        <f t="shared" si="70"/>
        <v>54442.418411862316</v>
      </c>
      <c r="X241" s="613">
        <f t="shared" si="70"/>
        <v>48032.582138535428</v>
      </c>
      <c r="Y241" s="613">
        <f t="shared" si="70"/>
        <v>42968.628674346641</v>
      </c>
      <c r="Z241" s="613">
        <f t="shared" si="70"/>
        <v>38082.800590110353</v>
      </c>
      <c r="AA241" s="613">
        <f t="shared" si="70"/>
        <v>33397.517018458238</v>
      </c>
      <c r="AB241" s="613">
        <f t="shared" si="70"/>
        <v>28926.273379334576</v>
      </c>
      <c r="AC241" s="613">
        <f t="shared" si="70"/>
        <v>24669.978015923032</v>
      </c>
      <c r="AD241" s="613">
        <f t="shared" si="70"/>
        <v>20657.153832565924</v>
      </c>
      <c r="AE241" s="613">
        <f t="shared" si="70"/>
        <v>16901.122145987887</v>
      </c>
      <c r="AF241" s="613">
        <f t="shared" si="70"/>
        <v>13415.107148754721</v>
      </c>
      <c r="AG241" s="613">
        <f t="shared" si="70"/>
        <v>10212.235833656421</v>
      </c>
      <c r="AI241" s="275"/>
    </row>
    <row r="242" spans="1:36">
      <c r="A242" s="323" t="s">
        <v>736</v>
      </c>
      <c r="B242" s="281" t="s">
        <v>127</v>
      </c>
      <c r="C242" s="613">
        <f t="shared" si="71"/>
        <v>654704.71599646448</v>
      </c>
      <c r="D242" s="613">
        <f t="shared" si="70"/>
        <v>639692.36247704155</v>
      </c>
      <c r="E242" s="613">
        <f t="shared" si="70"/>
        <v>624767.54313636338</v>
      </c>
      <c r="F242" s="613">
        <f t="shared" si="70"/>
        <v>609934.06569286878</v>
      </c>
      <c r="G242" s="613">
        <f t="shared" si="70"/>
        <v>595195.71436032525</v>
      </c>
      <c r="H242" s="613">
        <f t="shared" si="70"/>
        <v>580556.24984782445</v>
      </c>
      <c r="I242" s="613">
        <f t="shared" si="70"/>
        <v>564517.22139928699</v>
      </c>
      <c r="J242" s="613">
        <f t="shared" si="70"/>
        <v>548618.08030608983</v>
      </c>
      <c r="K242" s="613">
        <f t="shared" si="70"/>
        <v>532863.00613148243</v>
      </c>
      <c r="L242" s="613">
        <f t="shared" si="70"/>
        <v>517256.15493404254</v>
      </c>
      <c r="M242" s="613">
        <f t="shared" si="70"/>
        <v>501801.65926767251</v>
      </c>
      <c r="N242" s="613">
        <f t="shared" si="70"/>
        <v>483079.20432783471</v>
      </c>
      <c r="O242" s="613">
        <f t="shared" si="70"/>
        <v>466824.77644353156</v>
      </c>
      <c r="P242" s="613">
        <f t="shared" si="70"/>
        <v>447985.67420635786</v>
      </c>
      <c r="Q242" s="613">
        <f t="shared" si="70"/>
        <v>429265.22321663686</v>
      </c>
      <c r="R242" s="613">
        <f t="shared" si="70"/>
        <v>410677.45460171986</v>
      </c>
      <c r="S242" s="613">
        <f t="shared" si="70"/>
        <v>392443.09988011589</v>
      </c>
      <c r="T242" s="613">
        <f t="shared" si="70"/>
        <v>374365.6773622965</v>
      </c>
      <c r="U242" s="613">
        <f t="shared" si="70"/>
        <v>356458.7582169263</v>
      </c>
      <c r="V242" s="613">
        <f t="shared" si="70"/>
        <v>338735.82439561741</v>
      </c>
      <c r="W242" s="613">
        <f t="shared" si="70"/>
        <v>321210.2686299879</v>
      </c>
      <c r="X242" s="613">
        <f t="shared" si="70"/>
        <v>299041.55976572086</v>
      </c>
      <c r="Y242" s="613">
        <f t="shared" si="70"/>
        <v>283792.80333754548</v>
      </c>
      <c r="Z242" s="613">
        <f t="shared" si="70"/>
        <v>268507.84719862638</v>
      </c>
      <c r="AA242" s="613">
        <f t="shared" si="70"/>
        <v>253264.50405664186</v>
      </c>
      <c r="AB242" s="613">
        <f t="shared" si="70"/>
        <v>238085.48089144638</v>
      </c>
      <c r="AC242" s="613">
        <f t="shared" si="70"/>
        <v>222880.49104040832</v>
      </c>
      <c r="AD242" s="613">
        <f t="shared" si="70"/>
        <v>207786.66502169278</v>
      </c>
      <c r="AE242" s="613">
        <f t="shared" si="70"/>
        <v>192826.43902922576</v>
      </c>
      <c r="AF242" s="613">
        <f t="shared" si="70"/>
        <v>178022.0975686103</v>
      </c>
      <c r="AG242" s="613">
        <f t="shared" si="70"/>
        <v>163395.77333850274</v>
      </c>
      <c r="AI242" s="275"/>
    </row>
    <row r="243" spans="1:36">
      <c r="A243" s="323" t="s">
        <v>737</v>
      </c>
      <c r="B243" s="281" t="s">
        <v>127</v>
      </c>
      <c r="C243" s="613">
        <f t="shared" si="71"/>
        <v>169738.25970278709</v>
      </c>
      <c r="D243" s="613">
        <f t="shared" si="70"/>
        <v>167328.79068548395</v>
      </c>
      <c r="E243" s="613">
        <f t="shared" si="70"/>
        <v>164913.26011721263</v>
      </c>
      <c r="F243" s="613">
        <f t="shared" si="70"/>
        <v>162492.0869992584</v>
      </c>
      <c r="G243" s="613">
        <f t="shared" si="70"/>
        <v>160065.68819611872</v>
      </c>
      <c r="H243" s="613">
        <f t="shared" si="70"/>
        <v>157634.47843550189</v>
      </c>
      <c r="I243" s="613">
        <f t="shared" si="70"/>
        <v>154786.98006109471</v>
      </c>
      <c r="J243" s="613">
        <f t="shared" si="70"/>
        <v>151936.52155816666</v>
      </c>
      <c r="K243" s="613">
        <f t="shared" si="70"/>
        <v>149083.5557320767</v>
      </c>
      <c r="L243" s="613">
        <f t="shared" si="70"/>
        <v>146228.53325139589</v>
      </c>
      <c r="M243" s="613">
        <f t="shared" si="70"/>
        <v>143371.90264790633</v>
      </c>
      <c r="N243" s="613">
        <f t="shared" si="70"/>
        <v>139525.05320934547</v>
      </c>
      <c r="O243" s="613">
        <f t="shared" si="70"/>
        <v>136329.35949235866</v>
      </c>
      <c r="P243" s="613">
        <f t="shared" si="70"/>
        <v>132313.60992301712</v>
      </c>
      <c r="Q243" s="613">
        <f t="shared" si="70"/>
        <v>128256.07279033652</v>
      </c>
      <c r="R243" s="613">
        <f t="shared" si="70"/>
        <v>124158.30022842682</v>
      </c>
      <c r="S243" s="613">
        <f t="shared" si="70"/>
        <v>120085.11258161263</v>
      </c>
      <c r="T243" s="613">
        <f t="shared" si="70"/>
        <v>115975.24194369688</v>
      </c>
      <c r="U243" s="613">
        <f t="shared" si="70"/>
        <v>111830.19865629049</v>
      </c>
      <c r="V243" s="613">
        <f t="shared" si="70"/>
        <v>107651.4849576753</v>
      </c>
      <c r="W243" s="613">
        <f t="shared" si="70"/>
        <v>103440.59498253839</v>
      </c>
      <c r="X243" s="613">
        <f t="shared" si="70"/>
        <v>97614.602410571984</v>
      </c>
      <c r="Y243" s="613">
        <f t="shared" si="70"/>
        <v>93931.420822990316</v>
      </c>
      <c r="Z243" s="613">
        <f t="shared" si="70"/>
        <v>90145.363422159935</v>
      </c>
      <c r="AA243" s="613">
        <f t="shared" si="70"/>
        <v>86276.918964350465</v>
      </c>
      <c r="AB243" s="613">
        <f t="shared" si="70"/>
        <v>82328.624233490744</v>
      </c>
      <c r="AC243" s="613">
        <f t="shared" si="70"/>
        <v>78263.378533273106</v>
      </c>
      <c r="AD243" s="613">
        <f t="shared" si="70"/>
        <v>74122.728458030731</v>
      </c>
      <c r="AE243" s="613">
        <f t="shared" si="70"/>
        <v>69909.187058404539</v>
      </c>
      <c r="AF243" s="613">
        <f t="shared" si="70"/>
        <v>65625.253889854299</v>
      </c>
      <c r="AG243" s="613">
        <f t="shared" si="70"/>
        <v>61273.415001938527</v>
      </c>
      <c r="AI243" s="275"/>
    </row>
    <row r="244" spans="1:36" s="63" customFormat="1">
      <c r="A244" s="324" t="s">
        <v>738</v>
      </c>
      <c r="B244" s="291" t="s">
        <v>127</v>
      </c>
      <c r="C244" s="615">
        <f t="shared" si="71"/>
        <v>121241.61407341935</v>
      </c>
      <c r="D244" s="615">
        <f t="shared" si="70"/>
        <v>118491.20105957716</v>
      </c>
      <c r="E244" s="615">
        <f t="shared" si="70"/>
        <v>115756.42296688963</v>
      </c>
      <c r="F244" s="615">
        <f t="shared" si="70"/>
        <v>113037.9735647015</v>
      </c>
      <c r="G244" s="615">
        <f t="shared" si="70"/>
        <v>110336.54234878086</v>
      </c>
      <c r="H244" s="615">
        <f t="shared" si="70"/>
        <v>107652.81454131838</v>
      </c>
      <c r="I244" s="615">
        <f t="shared" si="70"/>
        <v>104708.83945309349</v>
      </c>
      <c r="J244" s="615">
        <f t="shared" si="70"/>
        <v>101789.98488625942</v>
      </c>
      <c r="K244" s="615">
        <f t="shared" si="70"/>
        <v>98897.012218308315</v>
      </c>
      <c r="L244" s="615">
        <f t="shared" si="70"/>
        <v>96030.678553155507</v>
      </c>
      <c r="M244" s="615">
        <f t="shared" si="70"/>
        <v>93191.73672113911</v>
      </c>
      <c r="N244" s="615">
        <f t="shared" si="70"/>
        <v>89744.757843197091</v>
      </c>
      <c r="O244" s="615">
        <f t="shared" si="70"/>
        <v>86755.046949682786</v>
      </c>
      <c r="P244" s="615">
        <f t="shared" si="70"/>
        <v>83283.693555604681</v>
      </c>
      <c r="Q244" s="615">
        <f t="shared" si="70"/>
        <v>79832.861634801302</v>
      </c>
      <c r="R244" s="615">
        <f t="shared" si="70"/>
        <v>76405.107832878042</v>
      </c>
      <c r="S244" s="615">
        <f t="shared" si="70"/>
        <v>73041.460230053039</v>
      </c>
      <c r="T244" s="615">
        <f t="shared" si="70"/>
        <v>69705.326764087251</v>
      </c>
      <c r="U244" s="615">
        <f t="shared" si="70"/>
        <v>66399.180452172484</v>
      </c>
      <c r="V244" s="615">
        <f t="shared" si="70"/>
        <v>63125.478090364573</v>
      </c>
      <c r="W244" s="615">
        <f t="shared" si="70"/>
        <v>59886.660253048532</v>
      </c>
      <c r="X244" s="615">
        <f t="shared" si="70"/>
        <v>55779.772806041132</v>
      </c>
      <c r="Y244" s="615">
        <f t="shared" si="70"/>
        <v>52961.333017217941</v>
      </c>
      <c r="Z244" s="615">
        <f t="shared" si="70"/>
        <v>50134.31976419589</v>
      </c>
      <c r="AA244" s="615">
        <f t="shared" si="70"/>
        <v>47313.149109482489</v>
      </c>
      <c r="AB244" s="615">
        <f t="shared" si="70"/>
        <v>44501.959045130105</v>
      </c>
      <c r="AC244" s="615">
        <f t="shared" si="70"/>
        <v>41683.755957938913</v>
      </c>
      <c r="AD244" s="615">
        <f t="shared" si="70"/>
        <v>38884.054273065267</v>
      </c>
      <c r="AE244" s="615">
        <f t="shared" si="70"/>
        <v>36106.942766428678</v>
      </c>
      <c r="AF244" s="615">
        <f t="shared" si="70"/>
        <v>33356.482640146896</v>
      </c>
      <c r="AG244" s="615">
        <f t="shared" si="70"/>
        <v>30636.707500969263</v>
      </c>
      <c r="AI244" s="293"/>
      <c r="AJ244" s="294"/>
    </row>
    <row r="245" spans="1:36" s="169" customFormat="1">
      <c r="B245" s="165"/>
      <c r="C245" s="122"/>
      <c r="D245" s="122"/>
      <c r="E245" s="122"/>
      <c r="F245" s="122"/>
      <c r="G245" s="122"/>
      <c r="H245" s="122"/>
      <c r="I245" s="122"/>
      <c r="J245" s="122"/>
      <c r="K245" s="122"/>
      <c r="L245" s="122"/>
      <c r="M245" s="122"/>
      <c r="N245" s="122"/>
      <c r="O245" s="122"/>
      <c r="P245" s="122"/>
      <c r="Q245" s="122"/>
      <c r="R245" s="122"/>
      <c r="S245" s="122"/>
      <c r="T245" s="122"/>
      <c r="U245" s="122"/>
      <c r="V245" s="122"/>
      <c r="W245" s="122"/>
      <c r="X245" s="122"/>
      <c r="Y245" s="122"/>
      <c r="Z245" s="122"/>
      <c r="AA245" s="122"/>
      <c r="AB245" s="122"/>
      <c r="AC245" s="122"/>
      <c r="AD245" s="122"/>
      <c r="AE245" s="122"/>
      <c r="AF245" s="122"/>
      <c r="AG245" s="122"/>
      <c r="AJ245" s="300"/>
    </row>
    <row r="246" spans="1:36" s="169" customFormat="1">
      <c r="A246" s="169" t="s">
        <v>752</v>
      </c>
      <c r="B246" s="327" t="s">
        <v>127</v>
      </c>
      <c r="C246" s="122">
        <f>C179</f>
        <v>263139.70834518247</v>
      </c>
      <c r="D246" s="122">
        <f t="shared" ref="D246:AG246" si="72">D179</f>
        <v>272510.32780953508</v>
      </c>
      <c r="E246" s="122">
        <f t="shared" si="72"/>
        <v>281572.52479509613</v>
      </c>
      <c r="F246" s="122">
        <f t="shared" si="72"/>
        <v>290327.90189326892</v>
      </c>
      <c r="G246" s="122">
        <f t="shared" si="72"/>
        <v>298778.06169545697</v>
      </c>
      <c r="H246" s="122">
        <f t="shared" si="72"/>
        <v>306924.60679306358</v>
      </c>
      <c r="I246" s="122">
        <f t="shared" si="72"/>
        <v>314152.07431469712</v>
      </c>
      <c r="J246" s="122">
        <f t="shared" si="72"/>
        <v>321034.64429818862</v>
      </c>
      <c r="K246" s="122">
        <f t="shared" si="72"/>
        <v>327573.91933494137</v>
      </c>
      <c r="L246" s="122">
        <f t="shared" si="72"/>
        <v>333771.50201635883</v>
      </c>
      <c r="M246" s="122">
        <f t="shared" si="72"/>
        <v>339628.99493384454</v>
      </c>
      <c r="N246" s="122">
        <f t="shared" si="72"/>
        <v>353406.9043147121</v>
      </c>
      <c r="O246" s="122">
        <f t="shared" si="72"/>
        <v>367326.53206818062</v>
      </c>
      <c r="P246" s="122">
        <f t="shared" si="72"/>
        <v>378725.479122822</v>
      </c>
      <c r="Q246" s="122">
        <f t="shared" si="72"/>
        <v>388967.96349431254</v>
      </c>
      <c r="R246" s="122">
        <f t="shared" si="72"/>
        <v>398060.06898067653</v>
      </c>
      <c r="S246" s="122">
        <f t="shared" si="72"/>
        <v>406207.45231319254</v>
      </c>
      <c r="T246" s="122">
        <f t="shared" si="72"/>
        <v>413234.10894604377</v>
      </c>
      <c r="U246" s="122">
        <f t="shared" si="72"/>
        <v>419146.12315964676</v>
      </c>
      <c r="V246" s="122">
        <f t="shared" si="72"/>
        <v>423949.57939528592</v>
      </c>
      <c r="W246" s="122">
        <f t="shared" si="72"/>
        <v>427650.56225514889</v>
      </c>
      <c r="X246" s="122">
        <f t="shared" si="72"/>
        <v>435522.95862221904</v>
      </c>
      <c r="Y246" s="122">
        <f t="shared" si="72"/>
        <v>447404.86959447939</v>
      </c>
      <c r="Z246" s="122">
        <f t="shared" si="72"/>
        <v>457310.21642893</v>
      </c>
      <c r="AA246" s="122">
        <f t="shared" si="72"/>
        <v>465322.59388012916</v>
      </c>
      <c r="AB246" s="122">
        <f t="shared" si="72"/>
        <v>471452.36491787707</v>
      </c>
      <c r="AC246" s="122">
        <f t="shared" si="72"/>
        <v>475533.7423959804</v>
      </c>
      <c r="AD246" s="122">
        <f t="shared" si="72"/>
        <v>477736.57087227603</v>
      </c>
      <c r="AE246" s="122">
        <f t="shared" si="72"/>
        <v>478071.23275608965</v>
      </c>
      <c r="AF246" s="122">
        <f t="shared" si="72"/>
        <v>476548.11693940416</v>
      </c>
      <c r="AG246" s="122">
        <f t="shared" si="72"/>
        <v>473177.61879826675</v>
      </c>
      <c r="AI246" s="698"/>
      <c r="AJ246" s="300"/>
    </row>
    <row r="247" spans="1:36" s="169" customFormat="1">
      <c r="A247" s="169" t="s">
        <v>747</v>
      </c>
      <c r="B247" s="326" t="s">
        <v>127</v>
      </c>
      <c r="C247" s="613">
        <f>C246/(1-C204)</f>
        <v>360465.35389751027</v>
      </c>
      <c r="D247" s="613">
        <f t="shared" ref="D247:AG247" si="73">D246/(1-D204)</f>
        <v>371267.47657974809</v>
      </c>
      <c r="E247" s="613">
        <f t="shared" si="73"/>
        <v>381534.58644321968</v>
      </c>
      <c r="F247" s="613">
        <f t="shared" si="73"/>
        <v>391277.49581303092</v>
      </c>
      <c r="G247" s="613">
        <f t="shared" si="73"/>
        <v>400506.78511455358</v>
      </c>
      <c r="H247" s="613">
        <f t="shared" si="73"/>
        <v>409232.80905741808</v>
      </c>
      <c r="I247" s="613">
        <f t="shared" si="73"/>
        <v>416647.31341471768</v>
      </c>
      <c r="J247" s="613">
        <f t="shared" si="73"/>
        <v>423528.55448309844</v>
      </c>
      <c r="K247" s="613">
        <f t="shared" si="73"/>
        <v>429887.03324795456</v>
      </c>
      <c r="L247" s="613">
        <f t="shared" si="73"/>
        <v>435733.03135294886</v>
      </c>
      <c r="M247" s="613">
        <f t="shared" si="73"/>
        <v>441076.6167972007</v>
      </c>
      <c r="N247" s="613">
        <f t="shared" si="73"/>
        <v>456598.06759006728</v>
      </c>
      <c r="O247" s="613">
        <f t="shared" si="73"/>
        <v>472142.07206707017</v>
      </c>
      <c r="P247" s="613">
        <f t="shared" si="73"/>
        <v>484303.68174273911</v>
      </c>
      <c r="Q247" s="613">
        <f t="shared" si="73"/>
        <v>494870.1825627386</v>
      </c>
      <c r="R247" s="613">
        <f t="shared" si="73"/>
        <v>503873.50503883103</v>
      </c>
      <c r="S247" s="613">
        <f t="shared" si="73"/>
        <v>511596.28754810139</v>
      </c>
      <c r="T247" s="613">
        <f t="shared" si="73"/>
        <v>517837.22925569391</v>
      </c>
      <c r="U247" s="613">
        <f t="shared" si="73"/>
        <v>522626.08872773906</v>
      </c>
      <c r="V247" s="613">
        <f t="shared" si="73"/>
        <v>525992.03398918849</v>
      </c>
      <c r="W247" s="613">
        <f t="shared" si="73"/>
        <v>527963.65710512211</v>
      </c>
      <c r="X247" s="613">
        <f t="shared" si="73"/>
        <v>535040.48970788578</v>
      </c>
      <c r="Y247" s="613">
        <f t="shared" si="73"/>
        <v>546949.71833065932</v>
      </c>
      <c r="Z247" s="613">
        <f t="shared" si="73"/>
        <v>556338.46280891728</v>
      </c>
      <c r="AA247" s="613">
        <f t="shared" si="73"/>
        <v>563344.54464906675</v>
      </c>
      <c r="AB247" s="613">
        <f t="shared" si="73"/>
        <v>568014.89749141806</v>
      </c>
      <c r="AC247" s="613">
        <f t="shared" si="73"/>
        <v>570184.34340045601</v>
      </c>
      <c r="AD247" s="613">
        <f t="shared" si="73"/>
        <v>570091.37335593789</v>
      </c>
      <c r="AE247" s="613">
        <f t="shared" si="73"/>
        <v>567780.56146803987</v>
      </c>
      <c r="AF247" s="613">
        <f t="shared" si="73"/>
        <v>563295.64650047768</v>
      </c>
      <c r="AG247" s="613">
        <f t="shared" si="73"/>
        <v>556679.55152737268</v>
      </c>
      <c r="AI247" s="698"/>
      <c r="AJ247" s="300"/>
    </row>
    <row r="248" spans="1:36" s="169" customFormat="1">
      <c r="A248" s="169" t="s">
        <v>746</v>
      </c>
      <c r="B248" s="326" t="s">
        <v>127</v>
      </c>
      <c r="C248" s="613">
        <f>C236</f>
        <v>258754.60100284751</v>
      </c>
      <c r="D248" s="613">
        <f t="shared" ref="D248:AG248" si="74">D236</f>
        <v>260542.08088063233</v>
      </c>
      <c r="E248" s="613">
        <f t="shared" si="74"/>
        <v>262288.90646920656</v>
      </c>
      <c r="F248" s="613">
        <f t="shared" si="74"/>
        <v>263994.61175843747</v>
      </c>
      <c r="G248" s="613">
        <f t="shared" si="74"/>
        <v>265658.73418931069</v>
      </c>
      <c r="H248" s="613">
        <f t="shared" si="74"/>
        <v>267280.81465392956</v>
      </c>
      <c r="I248" s="613">
        <f t="shared" si="74"/>
        <v>268506.18405832228</v>
      </c>
      <c r="J248" s="613">
        <f t="shared" si="74"/>
        <v>269678.92813230254</v>
      </c>
      <c r="K248" s="613">
        <f t="shared" si="74"/>
        <v>270798.54132622329</v>
      </c>
      <c r="L248" s="613">
        <f t="shared" si="74"/>
        <v>271864.52212183812</v>
      </c>
      <c r="M248" s="613">
        <f t="shared" si="74"/>
        <v>272876.37303230009</v>
      </c>
      <c r="N248" s="613">
        <f t="shared" si="74"/>
        <v>272221.20372644742</v>
      </c>
      <c r="O248" s="613">
        <f t="shared" si="74"/>
        <v>272120.86425166298</v>
      </c>
      <c r="P248" s="613">
        <f t="shared" si="74"/>
        <v>271200.35949612432</v>
      </c>
      <c r="Q248" s="613">
        <f t="shared" si="74"/>
        <v>270179.31447645684</v>
      </c>
      <c r="R248" s="613">
        <f t="shared" si="74"/>
        <v>269057.01264489902</v>
      </c>
      <c r="S248" s="613">
        <f t="shared" si="74"/>
        <v>267890.50705743604</v>
      </c>
      <c r="T248" s="613">
        <f t="shared" si="74"/>
        <v>266622.76911910373</v>
      </c>
      <c r="U248" s="613">
        <f t="shared" si="74"/>
        <v>265253.10965286411</v>
      </c>
      <c r="V248" s="613">
        <f t="shared" si="74"/>
        <v>263780.84601936187</v>
      </c>
      <c r="W248" s="613">
        <f t="shared" si="74"/>
        <v>262205.30211699614</v>
      </c>
      <c r="X248" s="613">
        <f t="shared" si="74"/>
        <v>258128.83107244674</v>
      </c>
      <c r="Y248" s="613">
        <f t="shared" si="74"/>
        <v>256226.49307289362</v>
      </c>
      <c r="Z248" s="613">
        <f t="shared" si="74"/>
        <v>254199.39569577927</v>
      </c>
      <c r="AA248" s="613">
        <f t="shared" si="74"/>
        <v>252063.53954085289</v>
      </c>
      <c r="AB248" s="613">
        <f t="shared" si="74"/>
        <v>249818.26504124259</v>
      </c>
      <c r="AC248" s="613">
        <f t="shared" si="74"/>
        <v>247423.67101599026</v>
      </c>
      <c r="AD248" s="613">
        <f t="shared" si="74"/>
        <v>244917.46341540385</v>
      </c>
      <c r="AE248" s="613">
        <f t="shared" si="74"/>
        <v>242298.99878412837</v>
      </c>
      <c r="AF248" s="613">
        <f t="shared" si="74"/>
        <v>239567.64047539112</v>
      </c>
      <c r="AG248" s="613">
        <f t="shared" si="74"/>
        <v>236722.75865264909</v>
      </c>
      <c r="AI248" s="698"/>
      <c r="AJ248" s="300"/>
    </row>
    <row r="249" spans="1:36" s="169" customFormat="1">
      <c r="A249" s="169" t="s">
        <v>745</v>
      </c>
      <c r="B249" s="326" t="s">
        <v>127</v>
      </c>
      <c r="C249" s="613">
        <f>C247-C248</f>
        <v>101710.75289466276</v>
      </c>
      <c r="D249" s="613">
        <f t="shared" ref="D249:AG249" si="75">D247-D248</f>
        <v>110725.39569911576</v>
      </c>
      <c r="E249" s="613">
        <f t="shared" si="75"/>
        <v>119245.67997401312</v>
      </c>
      <c r="F249" s="613">
        <f t="shared" si="75"/>
        <v>127282.88405459345</v>
      </c>
      <c r="G249" s="613">
        <f t="shared" si="75"/>
        <v>134848.05092524289</v>
      </c>
      <c r="H249" s="613">
        <f t="shared" si="75"/>
        <v>141951.99440348853</v>
      </c>
      <c r="I249" s="613">
        <f t="shared" si="75"/>
        <v>148141.1293563954</v>
      </c>
      <c r="J249" s="613">
        <f t="shared" si="75"/>
        <v>153849.62635079591</v>
      </c>
      <c r="K249" s="613">
        <f t="shared" si="75"/>
        <v>159088.49192173127</v>
      </c>
      <c r="L249" s="613">
        <f t="shared" si="75"/>
        <v>163868.50923111074</v>
      </c>
      <c r="M249" s="613">
        <f t="shared" si="75"/>
        <v>168200.2437649006</v>
      </c>
      <c r="N249" s="613">
        <f t="shared" si="75"/>
        <v>184376.86386361986</v>
      </c>
      <c r="O249" s="613">
        <f t="shared" si="75"/>
        <v>200021.20781540719</v>
      </c>
      <c r="P249" s="613">
        <f t="shared" si="75"/>
        <v>213103.32224661479</v>
      </c>
      <c r="Q249" s="613">
        <f t="shared" si="75"/>
        <v>224690.86808628176</v>
      </c>
      <c r="R249" s="613">
        <f t="shared" si="75"/>
        <v>234816.49239393201</v>
      </c>
      <c r="S249" s="613">
        <f t="shared" si="75"/>
        <v>243705.78049066535</v>
      </c>
      <c r="T249" s="613">
        <f t="shared" si="75"/>
        <v>251214.46013659018</v>
      </c>
      <c r="U249" s="613">
        <f t="shared" si="75"/>
        <v>257372.97907487495</v>
      </c>
      <c r="V249" s="613">
        <f t="shared" si="75"/>
        <v>262211.18796982663</v>
      </c>
      <c r="W249" s="613">
        <f t="shared" si="75"/>
        <v>265758.35498812597</v>
      </c>
      <c r="X249" s="613">
        <f t="shared" si="75"/>
        <v>276911.658635439</v>
      </c>
      <c r="Y249" s="613">
        <f t="shared" si="75"/>
        <v>290723.22525776573</v>
      </c>
      <c r="Z249" s="613">
        <f t="shared" si="75"/>
        <v>302139.06711313804</v>
      </c>
      <c r="AA249" s="613">
        <f t="shared" si="75"/>
        <v>311281.00510821387</v>
      </c>
      <c r="AB249" s="613">
        <f t="shared" si="75"/>
        <v>318196.63245017547</v>
      </c>
      <c r="AC249" s="613">
        <f t="shared" si="75"/>
        <v>322760.67238446575</v>
      </c>
      <c r="AD249" s="613">
        <f t="shared" si="75"/>
        <v>325173.90994053404</v>
      </c>
      <c r="AE249" s="613">
        <f t="shared" si="75"/>
        <v>325481.56268391153</v>
      </c>
      <c r="AF249" s="613">
        <f t="shared" si="75"/>
        <v>323728.00602508656</v>
      </c>
      <c r="AG249" s="613">
        <f t="shared" si="75"/>
        <v>319956.79287472356</v>
      </c>
      <c r="AI249" s="698"/>
      <c r="AJ249" s="300"/>
    </row>
    <row r="250" spans="1:36" s="169" customFormat="1">
      <c r="A250" s="169" t="s">
        <v>748</v>
      </c>
      <c r="B250" s="326" t="s">
        <v>127</v>
      </c>
      <c r="C250" s="613">
        <f>(C249)/(1-C201)</f>
        <v>127138.44111832844</v>
      </c>
      <c r="D250" s="613">
        <f t="shared" ref="D250:AG250" si="76">(D247-D236)/(1-D201)</f>
        <v>137832.44277898228</v>
      </c>
      <c r="E250" s="613">
        <f t="shared" si="76"/>
        <v>147825.22310828074</v>
      </c>
      <c r="F250" s="613">
        <f t="shared" si="76"/>
        <v>157139.36303036229</v>
      </c>
      <c r="G250" s="613">
        <f t="shared" si="76"/>
        <v>165796.78392447898</v>
      </c>
      <c r="H250" s="613">
        <f t="shared" si="76"/>
        <v>173818.7686573329</v>
      </c>
      <c r="I250" s="613">
        <f t="shared" si="76"/>
        <v>180659.9138492627</v>
      </c>
      <c r="J250" s="613">
        <f t="shared" si="76"/>
        <v>186861.89435319343</v>
      </c>
      <c r="K250" s="613">
        <f t="shared" si="76"/>
        <v>192445.75635693298</v>
      </c>
      <c r="L250" s="613">
        <f t="shared" si="76"/>
        <v>197431.93883266355</v>
      </c>
      <c r="M250" s="613">
        <f t="shared" si="76"/>
        <v>201840.29251788073</v>
      </c>
      <c r="N250" s="613">
        <f t="shared" si="76"/>
        <v>220370.75362185642</v>
      </c>
      <c r="O250" s="613">
        <f t="shared" si="76"/>
        <v>238120.48549453242</v>
      </c>
      <c r="P250" s="613">
        <f t="shared" si="76"/>
        <v>252691.68645843651</v>
      </c>
      <c r="Q250" s="613">
        <f t="shared" si="76"/>
        <v>265382.91506253753</v>
      </c>
      <c r="R250" s="613">
        <f t="shared" si="76"/>
        <v>276254.69693403773</v>
      </c>
      <c r="S250" s="613">
        <f t="shared" si="76"/>
        <v>285592.7115124985</v>
      </c>
      <c r="T250" s="613">
        <f t="shared" si="76"/>
        <v>293246.45152131154</v>
      </c>
      <c r="U250" s="613">
        <f t="shared" si="76"/>
        <v>299270.90590101742</v>
      </c>
      <c r="V250" s="613">
        <f t="shared" si="76"/>
        <v>303719.52274497296</v>
      </c>
      <c r="W250" s="613">
        <f t="shared" si="76"/>
        <v>306644.25575553003</v>
      </c>
      <c r="X250" s="613">
        <f t="shared" si="76"/>
        <v>318289.2627993552</v>
      </c>
      <c r="Y250" s="613">
        <f t="shared" si="76"/>
        <v>332889.18922644935</v>
      </c>
      <c r="Z250" s="613">
        <f t="shared" si="76"/>
        <v>344645.32370319933</v>
      </c>
      <c r="AA250" s="613">
        <f t="shared" si="76"/>
        <v>353728.41489569761</v>
      </c>
      <c r="AB250" s="613">
        <f t="shared" si="76"/>
        <v>360222.60277378361</v>
      </c>
      <c r="AC250" s="613">
        <f t="shared" si="76"/>
        <v>364015.79592232988</v>
      </c>
      <c r="AD250" s="613">
        <f t="shared" si="76"/>
        <v>365363.94375340914</v>
      </c>
      <c r="AE250" s="613">
        <f t="shared" si="76"/>
        <v>364345.03285512497</v>
      </c>
      <c r="AF250" s="613">
        <f t="shared" si="76"/>
        <v>361034.95095734566</v>
      </c>
      <c r="AG250" s="613">
        <f t="shared" si="76"/>
        <v>355507.54763858172</v>
      </c>
      <c r="AI250" s="698"/>
      <c r="AJ250" s="300"/>
    </row>
    <row r="251" spans="1:36" s="169" customFormat="1">
      <c r="A251" s="169" t="s">
        <v>750</v>
      </c>
      <c r="B251" s="326" t="s">
        <v>127</v>
      </c>
      <c r="C251" s="613">
        <f>IF(C230&gt;C250,C250,C230)</f>
        <v>127138.44111832844</v>
      </c>
      <c r="D251" s="613">
        <f t="shared" ref="D251:AG251" si="77">IF(D230&gt;D250,D250,D230)</f>
        <v>137832.44277898228</v>
      </c>
      <c r="E251" s="613">
        <f t="shared" si="77"/>
        <v>147825.22310828074</v>
      </c>
      <c r="F251" s="613">
        <f t="shared" si="77"/>
        <v>157139.36303036229</v>
      </c>
      <c r="G251" s="613">
        <f t="shared" si="77"/>
        <v>165796.78392447898</v>
      </c>
      <c r="H251" s="613">
        <f t="shared" si="77"/>
        <v>173818.7686573329</v>
      </c>
      <c r="I251" s="613">
        <f t="shared" si="77"/>
        <v>180659.9138492627</v>
      </c>
      <c r="J251" s="613">
        <f t="shared" si="77"/>
        <v>186861.89435319343</v>
      </c>
      <c r="K251" s="613">
        <f t="shared" si="77"/>
        <v>192445.75635693298</v>
      </c>
      <c r="L251" s="613">
        <f t="shared" si="77"/>
        <v>197431.93883266355</v>
      </c>
      <c r="M251" s="613">
        <f t="shared" si="77"/>
        <v>201840.29251788073</v>
      </c>
      <c r="N251" s="613">
        <f t="shared" si="77"/>
        <v>220370.75362185642</v>
      </c>
      <c r="O251" s="613">
        <f t="shared" si="77"/>
        <v>238120.48549453242</v>
      </c>
      <c r="P251" s="613">
        <f t="shared" si="77"/>
        <v>252691.68645843651</v>
      </c>
      <c r="Q251" s="613">
        <f t="shared" si="77"/>
        <v>265382.91506253753</v>
      </c>
      <c r="R251" s="613">
        <f t="shared" si="77"/>
        <v>276254.69693403773</v>
      </c>
      <c r="S251" s="613">
        <f t="shared" si="77"/>
        <v>285592.7115124985</v>
      </c>
      <c r="T251" s="613">
        <f t="shared" si="77"/>
        <v>293246.45152131154</v>
      </c>
      <c r="U251" s="613">
        <f t="shared" si="77"/>
        <v>299270.90590101742</v>
      </c>
      <c r="V251" s="613">
        <f t="shared" si="77"/>
        <v>303719.52274497296</v>
      </c>
      <c r="W251" s="613">
        <f t="shared" si="77"/>
        <v>306644.25575553003</v>
      </c>
      <c r="X251" s="613">
        <f t="shared" si="77"/>
        <v>318289.2627993552</v>
      </c>
      <c r="Y251" s="613">
        <f t="shared" si="77"/>
        <v>332889.18922644935</v>
      </c>
      <c r="Z251" s="613">
        <f t="shared" si="77"/>
        <v>344645.32370319933</v>
      </c>
      <c r="AA251" s="613">
        <f t="shared" si="77"/>
        <v>353513.26133747998</v>
      </c>
      <c r="AB251" s="613">
        <f t="shared" si="77"/>
        <v>354386.4637284652</v>
      </c>
      <c r="AC251" s="613">
        <f t="shared" si="77"/>
        <v>354895.16284665331</v>
      </c>
      <c r="AD251" s="613">
        <f t="shared" si="77"/>
        <v>355091.15824416338</v>
      </c>
      <c r="AE251" s="613">
        <f t="shared" si="77"/>
        <v>354972.48796133022</v>
      </c>
      <c r="AF251" s="613">
        <f t="shared" si="77"/>
        <v>354537.22223027615</v>
      </c>
      <c r="AG251" s="613">
        <f t="shared" si="77"/>
        <v>353783.46348088217</v>
      </c>
      <c r="AI251" s="698"/>
      <c r="AJ251" s="300"/>
    </row>
    <row r="252" spans="1:36" s="169" customFormat="1">
      <c r="A252" s="169" t="s">
        <v>749</v>
      </c>
      <c r="B252" s="326" t="s">
        <v>127</v>
      </c>
      <c r="C252" s="613">
        <f>IF(C250-C251&lt;0,0,C250-C251)</f>
        <v>0</v>
      </c>
      <c r="D252" s="613">
        <f t="shared" ref="D252:AG252" si="78">IF(D250-D251&lt;0,0,D250-D251)</f>
        <v>0</v>
      </c>
      <c r="E252" s="613">
        <f t="shared" si="78"/>
        <v>0</v>
      </c>
      <c r="F252" s="613">
        <f t="shared" si="78"/>
        <v>0</v>
      </c>
      <c r="G252" s="613">
        <f t="shared" si="78"/>
        <v>0</v>
      </c>
      <c r="H252" s="613">
        <f t="shared" si="78"/>
        <v>0</v>
      </c>
      <c r="I252" s="613">
        <f t="shared" si="78"/>
        <v>0</v>
      </c>
      <c r="J252" s="613">
        <f t="shared" si="78"/>
        <v>0</v>
      </c>
      <c r="K252" s="613">
        <f t="shared" si="78"/>
        <v>0</v>
      </c>
      <c r="L252" s="613">
        <f t="shared" si="78"/>
        <v>0</v>
      </c>
      <c r="M252" s="613">
        <f t="shared" si="78"/>
        <v>0</v>
      </c>
      <c r="N252" s="613">
        <f t="shared" si="78"/>
        <v>0</v>
      </c>
      <c r="O252" s="613">
        <f t="shared" si="78"/>
        <v>0</v>
      </c>
      <c r="P252" s="613">
        <f t="shared" si="78"/>
        <v>0</v>
      </c>
      <c r="Q252" s="613">
        <f t="shared" si="78"/>
        <v>0</v>
      </c>
      <c r="R252" s="613">
        <f t="shared" si="78"/>
        <v>0</v>
      </c>
      <c r="S252" s="613">
        <f t="shared" si="78"/>
        <v>0</v>
      </c>
      <c r="T252" s="613">
        <f t="shared" si="78"/>
        <v>0</v>
      </c>
      <c r="U252" s="613">
        <f t="shared" si="78"/>
        <v>0</v>
      </c>
      <c r="V252" s="613">
        <f t="shared" si="78"/>
        <v>0</v>
      </c>
      <c r="W252" s="613">
        <f t="shared" si="78"/>
        <v>0</v>
      </c>
      <c r="X252" s="613">
        <f t="shared" si="78"/>
        <v>0</v>
      </c>
      <c r="Y252" s="613">
        <f t="shared" si="78"/>
        <v>0</v>
      </c>
      <c r="Z252" s="613">
        <f t="shared" si="78"/>
        <v>0</v>
      </c>
      <c r="AA252" s="613">
        <f t="shared" si="78"/>
        <v>215.15355821762932</v>
      </c>
      <c r="AB252" s="613">
        <f t="shared" si="78"/>
        <v>5836.139045318414</v>
      </c>
      <c r="AC252" s="613">
        <f t="shared" si="78"/>
        <v>9120.6330756765674</v>
      </c>
      <c r="AD252" s="613">
        <f t="shared" si="78"/>
        <v>10272.785509245761</v>
      </c>
      <c r="AE252" s="613">
        <f t="shared" si="78"/>
        <v>9372.5448937947513</v>
      </c>
      <c r="AF252" s="613">
        <f t="shared" si="78"/>
        <v>6497.7287270695087</v>
      </c>
      <c r="AG252" s="613">
        <f t="shared" si="78"/>
        <v>1724.0841576995444</v>
      </c>
      <c r="AI252" s="698"/>
      <c r="AJ252" s="300"/>
    </row>
    <row r="253" spans="1:36" s="169" customFormat="1">
      <c r="A253" s="169" t="s">
        <v>751</v>
      </c>
      <c r="B253" s="326" t="s">
        <v>127</v>
      </c>
      <c r="C253" s="613">
        <f>C247*C204+C201*C250+C237+IF(C230&gt;C250,C230-C250,0)</f>
        <v>240750.83044983639</v>
      </c>
      <c r="D253" s="613">
        <f t="shared" ref="D253:AG253" si="79">D247*D204+D201*D250+D237+IF(D230&gt;D250,D230-D250,0)</f>
        <v>242285.27569921847</v>
      </c>
      <c r="E253" s="613">
        <f t="shared" si="79"/>
        <v>243984.36737684024</v>
      </c>
      <c r="F253" s="613">
        <f t="shared" si="79"/>
        <v>245844.20036903379</v>
      </c>
      <c r="G253" s="613">
        <f t="shared" si="79"/>
        <v>247860.8859549422</v>
      </c>
      <c r="H253" s="613">
        <f t="shared" si="79"/>
        <v>250030.55180651849</v>
      </c>
      <c r="I253" s="613">
        <f t="shared" si="79"/>
        <v>252219.25023295273</v>
      </c>
      <c r="J253" s="613">
        <f t="shared" si="79"/>
        <v>254559.34140460877</v>
      </c>
      <c r="K253" s="613">
        <f t="shared" si="79"/>
        <v>257046.71743473</v>
      </c>
      <c r="L253" s="613">
        <f t="shared" si="79"/>
        <v>259677.28958571085</v>
      </c>
      <c r="M253" s="613">
        <f t="shared" si="79"/>
        <v>262446.98826909467</v>
      </c>
      <c r="N253" s="613">
        <f t="shared" si="79"/>
        <v>253498.09269919063</v>
      </c>
      <c r="O253" s="613">
        <f t="shared" si="79"/>
        <v>245502.40507194758</v>
      </c>
      <c r="P253" s="613">
        <f t="shared" si="79"/>
        <v>238036.68947539714</v>
      </c>
      <c r="Q253" s="613">
        <f t="shared" si="79"/>
        <v>231339.1064032884</v>
      </c>
      <c r="R253" s="613">
        <f t="shared" si="79"/>
        <v>225399.99795454569</v>
      </c>
      <c r="S253" s="613">
        <f t="shared" si="79"/>
        <v>220145.21991245713</v>
      </c>
      <c r="T253" s="613">
        <f t="shared" si="79"/>
        <v>215617.96865583662</v>
      </c>
      <c r="U253" s="613">
        <f t="shared" si="79"/>
        <v>211808.71794406945</v>
      </c>
      <c r="V253" s="613">
        <f t="shared" si="79"/>
        <v>208707.97242630445</v>
      </c>
      <c r="W253" s="613">
        <f t="shared" si="79"/>
        <v>206306.26764176862</v>
      </c>
      <c r="X253" s="613">
        <f t="shared" si="79"/>
        <v>193485.41325505698</v>
      </c>
      <c r="Y253" s="613">
        <f t="shared" si="79"/>
        <v>181750.8422159341</v>
      </c>
      <c r="Z253" s="613">
        <f t="shared" si="79"/>
        <v>171527.70607544639</v>
      </c>
      <c r="AA253" s="613">
        <f t="shared" si="79"/>
        <v>162984.84012325134</v>
      </c>
      <c r="AB253" s="613">
        <f t="shared" si="79"/>
        <v>161299.25426453489</v>
      </c>
      <c r="AC253" s="613">
        <f t="shared" si="79"/>
        <v>158791.96359480207</v>
      </c>
      <c r="AD253" s="613">
        <f t="shared" si="79"/>
        <v>155589.58668354433</v>
      </c>
      <c r="AE253" s="613">
        <f t="shared" si="79"/>
        <v>151758.45910282823</v>
      </c>
      <c r="AF253" s="613">
        <f t="shared" si="79"/>
        <v>147362.81113066038</v>
      </c>
      <c r="AG253" s="613">
        <f t="shared" si="79"/>
        <v>142464.82845861069</v>
      </c>
      <c r="AI253" s="698"/>
      <c r="AJ253" s="300"/>
    </row>
    <row r="254" spans="1:36" s="169" customFormat="1">
      <c r="A254" s="169" t="s">
        <v>760</v>
      </c>
      <c r="B254" s="326" t="s">
        <v>127</v>
      </c>
      <c r="C254" s="613">
        <f>C233-C252</f>
        <v>1311931.2226284726</v>
      </c>
      <c r="D254" s="613">
        <f t="shared" ref="D254:AG254" si="80">D233-D252</f>
        <v>1296019.4428070248</v>
      </c>
      <c r="E254" s="613">
        <f t="shared" si="80"/>
        <v>1280122.0221129048</v>
      </c>
      <c r="F254" s="613">
        <f t="shared" si="80"/>
        <v>1264241.2630683756</v>
      </c>
      <c r="G254" s="613">
        <f t="shared" si="80"/>
        <v>1248379.4518028924</v>
      </c>
      <c r="H254" s="613">
        <f t="shared" si="80"/>
        <v>1232538.858053098</v>
      </c>
      <c r="I254" s="613">
        <f t="shared" si="80"/>
        <v>1215118.7501492859</v>
      </c>
      <c r="J254" s="613">
        <f t="shared" si="80"/>
        <v>1197740.9695389492</v>
      </c>
      <c r="K254" s="613">
        <f t="shared" si="80"/>
        <v>1180408.021517439</v>
      </c>
      <c r="L254" s="613">
        <f t="shared" si="80"/>
        <v>1163122.3922309589</v>
      </c>
      <c r="M254" s="613">
        <f t="shared" si="80"/>
        <v>1145886.5486765613</v>
      </c>
      <c r="N254" s="613">
        <f t="shared" si="80"/>
        <v>1122056.8693813214</v>
      </c>
      <c r="O254" s="613">
        <f t="shared" si="80"/>
        <v>1100994.3671278066</v>
      </c>
      <c r="P254" s="613">
        <f t="shared" si="80"/>
        <v>1077099.0744985254</v>
      </c>
      <c r="Q254" s="613">
        <f t="shared" si="80"/>
        <v>1053343.7686355938</v>
      </c>
      <c r="R254" s="613">
        <f t="shared" si="80"/>
        <v>1029732.0230487941</v>
      </c>
      <c r="S254" s="613">
        <f t="shared" si="80"/>
        <v>1006484.3996004083</v>
      </c>
      <c r="T254" s="613">
        <f t="shared" si="80"/>
        <v>983384.74662323121</v>
      </c>
      <c r="U254" s="613">
        <f t="shared" si="80"/>
        <v>960436.50550573715</v>
      </c>
      <c r="V254" s="613">
        <f t="shared" si="80"/>
        <v>937643.08659294888</v>
      </c>
      <c r="W254" s="613">
        <f t="shared" si="80"/>
        <v>915007.86918608937</v>
      </c>
      <c r="X254" s="613">
        <f t="shared" si="80"/>
        <v>884322.40769970859</v>
      </c>
      <c r="Y254" s="613">
        <f t="shared" si="80"/>
        <v>861766.00489075959</v>
      </c>
      <c r="Z254" s="613">
        <f t="shared" si="80"/>
        <v>839325.20793002122</v>
      </c>
      <c r="AA254" s="613">
        <f t="shared" si="80"/>
        <v>816845.29814231605</v>
      </c>
      <c r="AB254" s="613">
        <f t="shared" si="80"/>
        <v>789138.90121042822</v>
      </c>
      <c r="AC254" s="613">
        <f t="shared" si="80"/>
        <v>763829.00125983148</v>
      </c>
      <c r="AD254" s="613">
        <f t="shared" si="80"/>
        <v>740839.0414309008</v>
      </c>
      <c r="AE254" s="613">
        <f t="shared" si="80"/>
        <v>720092.30307561951</v>
      </c>
      <c r="AF254" s="613">
        <f t="shared" si="80"/>
        <v>701514.1666159099</v>
      </c>
      <c r="AG254" s="613">
        <f t="shared" si="80"/>
        <v>685032.05083460105</v>
      </c>
      <c r="AI254" s="698"/>
      <c r="AJ254" s="300"/>
    </row>
    <row r="255" spans="1:36" s="169" customFormat="1">
      <c r="B255" s="327"/>
      <c r="C255" s="613"/>
      <c r="D255" s="613"/>
      <c r="E255" s="613"/>
      <c r="F255" s="613"/>
      <c r="G255" s="613"/>
      <c r="H255" s="613"/>
      <c r="I255" s="613"/>
      <c r="J255" s="613"/>
      <c r="K255" s="613"/>
      <c r="L255" s="613"/>
      <c r="M255" s="613"/>
      <c r="N255" s="613"/>
      <c r="O255" s="613"/>
      <c r="P255" s="613"/>
      <c r="Q255" s="613"/>
      <c r="R255" s="613"/>
      <c r="S255" s="613"/>
      <c r="T255" s="613"/>
      <c r="U255" s="613"/>
      <c r="V255" s="613"/>
      <c r="W255" s="613"/>
      <c r="X255" s="613"/>
      <c r="Y255" s="613"/>
      <c r="Z255" s="613"/>
      <c r="AA255" s="613"/>
      <c r="AB255" s="613"/>
      <c r="AC255" s="613"/>
      <c r="AD255" s="613"/>
      <c r="AE255" s="613"/>
      <c r="AF255" s="613"/>
      <c r="AG255" s="613"/>
      <c r="AJ255" s="300"/>
    </row>
    <row r="256" spans="1:36" s="169" customFormat="1">
      <c r="A256" s="169" t="s">
        <v>753</v>
      </c>
      <c r="B256" s="327" t="s">
        <v>126</v>
      </c>
      <c r="C256" s="612">
        <v>0.8</v>
      </c>
      <c r="D256" s="613">
        <f>C256</f>
        <v>0.8</v>
      </c>
      <c r="E256" s="613">
        <f t="shared" ref="E256:AG256" si="81">D256</f>
        <v>0.8</v>
      </c>
      <c r="F256" s="613">
        <f t="shared" si="81"/>
        <v>0.8</v>
      </c>
      <c r="G256" s="613">
        <f t="shared" si="81"/>
        <v>0.8</v>
      </c>
      <c r="H256" s="613">
        <f t="shared" si="81"/>
        <v>0.8</v>
      </c>
      <c r="I256" s="613">
        <f t="shared" si="81"/>
        <v>0.8</v>
      </c>
      <c r="J256" s="613">
        <f t="shared" si="81"/>
        <v>0.8</v>
      </c>
      <c r="K256" s="613">
        <f t="shared" si="81"/>
        <v>0.8</v>
      </c>
      <c r="L256" s="613">
        <f t="shared" si="81"/>
        <v>0.8</v>
      </c>
      <c r="M256" s="613">
        <f t="shared" si="81"/>
        <v>0.8</v>
      </c>
      <c r="N256" s="613">
        <f t="shared" si="81"/>
        <v>0.8</v>
      </c>
      <c r="O256" s="613">
        <f t="shared" si="81"/>
        <v>0.8</v>
      </c>
      <c r="P256" s="613">
        <f t="shared" si="81"/>
        <v>0.8</v>
      </c>
      <c r="Q256" s="613">
        <f t="shared" si="81"/>
        <v>0.8</v>
      </c>
      <c r="R256" s="613">
        <f t="shared" si="81"/>
        <v>0.8</v>
      </c>
      <c r="S256" s="613">
        <f t="shared" si="81"/>
        <v>0.8</v>
      </c>
      <c r="T256" s="613">
        <f t="shared" si="81"/>
        <v>0.8</v>
      </c>
      <c r="U256" s="613">
        <f t="shared" si="81"/>
        <v>0.8</v>
      </c>
      <c r="V256" s="613">
        <f t="shared" si="81"/>
        <v>0.8</v>
      </c>
      <c r="W256" s="613">
        <f t="shared" si="81"/>
        <v>0.8</v>
      </c>
      <c r="X256" s="613">
        <f t="shared" si="81"/>
        <v>0.8</v>
      </c>
      <c r="Y256" s="613">
        <f t="shared" si="81"/>
        <v>0.8</v>
      </c>
      <c r="Z256" s="613">
        <f t="shared" si="81"/>
        <v>0.8</v>
      </c>
      <c r="AA256" s="613">
        <f t="shared" si="81"/>
        <v>0.8</v>
      </c>
      <c r="AB256" s="613">
        <f t="shared" si="81"/>
        <v>0.8</v>
      </c>
      <c r="AC256" s="613">
        <f t="shared" si="81"/>
        <v>0.8</v>
      </c>
      <c r="AD256" s="613">
        <f t="shared" si="81"/>
        <v>0.8</v>
      </c>
      <c r="AE256" s="613">
        <f t="shared" si="81"/>
        <v>0.8</v>
      </c>
      <c r="AF256" s="613">
        <f t="shared" si="81"/>
        <v>0.8</v>
      </c>
      <c r="AG256" s="613">
        <f t="shared" si="81"/>
        <v>0.8</v>
      </c>
      <c r="AJ256" s="300" t="s">
        <v>754</v>
      </c>
    </row>
    <row r="257" spans="1:37" s="169" customFormat="1">
      <c r="B257" s="327"/>
      <c r="C257" s="613"/>
      <c r="D257" s="613"/>
      <c r="E257" s="613"/>
      <c r="F257" s="613"/>
      <c r="G257" s="613"/>
      <c r="H257" s="613"/>
      <c r="I257" s="613"/>
      <c r="J257" s="613"/>
      <c r="K257" s="613"/>
      <c r="L257" s="613"/>
      <c r="M257" s="613"/>
      <c r="N257" s="613"/>
      <c r="O257" s="613"/>
      <c r="P257" s="613"/>
      <c r="Q257" s="613"/>
      <c r="R257" s="613"/>
      <c r="S257" s="613"/>
      <c r="T257" s="613"/>
      <c r="U257" s="613"/>
      <c r="V257" s="613"/>
      <c r="W257" s="613"/>
      <c r="X257" s="613"/>
      <c r="Y257" s="613"/>
      <c r="Z257" s="613"/>
      <c r="AA257" s="613"/>
      <c r="AB257" s="613"/>
      <c r="AC257" s="613"/>
      <c r="AD257" s="613"/>
      <c r="AE257" s="613"/>
      <c r="AF257" s="613"/>
      <c r="AG257" s="613"/>
      <c r="AJ257" s="300"/>
    </row>
    <row r="258" spans="1:37" s="169" customFormat="1">
      <c r="A258" s="169" t="s">
        <v>710</v>
      </c>
      <c r="B258" s="327" t="s">
        <v>127</v>
      </c>
      <c r="C258" s="613">
        <f>C192*C253*C256</f>
        <v>42372.146159171207</v>
      </c>
      <c r="D258" s="613">
        <f t="shared" ref="D258:AF258" si="82">D192*D253*D256</f>
        <v>43934.396660124949</v>
      </c>
      <c r="E258" s="613">
        <f t="shared" si="82"/>
        <v>45543.748577010178</v>
      </c>
      <c r="F258" s="613">
        <f t="shared" si="82"/>
        <v>47202.086470854483</v>
      </c>
      <c r="G258" s="613">
        <f t="shared" si="82"/>
        <v>48911.214828441924</v>
      </c>
      <c r="H258" s="613">
        <f t="shared" si="82"/>
        <v>50672.858499454407</v>
      </c>
      <c r="I258" s="613">
        <f t="shared" si="82"/>
        <v>52461.604048454159</v>
      </c>
      <c r="J258" s="613">
        <f t="shared" si="82"/>
        <v>54305.992832983196</v>
      </c>
      <c r="K258" s="613">
        <f t="shared" si="82"/>
        <v>56207.548879060945</v>
      </c>
      <c r="L258" s="613">
        <f t="shared" si="82"/>
        <v>58167.71286719921</v>
      </c>
      <c r="M258" s="613">
        <f t="shared" si="82"/>
        <v>60187.842643045697</v>
      </c>
      <c r="N258" s="613">
        <f t="shared" si="82"/>
        <v>59487.552420076718</v>
      </c>
      <c r="O258" s="613">
        <f t="shared" si="82"/>
        <v>58920.577217267397</v>
      </c>
      <c r="P258" s="613">
        <f t="shared" si="82"/>
        <v>58398.334484630745</v>
      </c>
      <c r="Q258" s="613">
        <f t="shared" si="82"/>
        <v>57989.002671757597</v>
      </c>
      <c r="R258" s="613">
        <f t="shared" si="82"/>
        <v>57702.399476363673</v>
      </c>
      <c r="S258" s="613">
        <f t="shared" si="82"/>
        <v>57531.2841371221</v>
      </c>
      <c r="T258" s="613">
        <f t="shared" si="82"/>
        <v>57498.124974889739</v>
      </c>
      <c r="U258" s="613">
        <f t="shared" si="82"/>
        <v>57611.971280786864</v>
      </c>
      <c r="V258" s="613">
        <f t="shared" si="82"/>
        <v>57881.677686228395</v>
      </c>
      <c r="W258" s="613">
        <f t="shared" si="82"/>
        <v>58315.904986739894</v>
      </c>
      <c r="X258" s="613">
        <f t="shared" si="82"/>
        <v>55723.799017456375</v>
      </c>
      <c r="Y258" s="613">
        <f t="shared" si="82"/>
        <v>53313.580383340632</v>
      </c>
      <c r="Z258" s="613">
        <f t="shared" si="82"/>
        <v>51229.608214533291</v>
      </c>
      <c r="AA258" s="613">
        <f t="shared" si="82"/>
        <v>49547.391397468375</v>
      </c>
      <c r="AB258" s="613">
        <f t="shared" si="82"/>
        <v>49895.235985829422</v>
      </c>
      <c r="AC258" s="613">
        <f t="shared" si="82"/>
        <v>49966.537877831019</v>
      </c>
      <c r="AD258" s="613">
        <f t="shared" si="82"/>
        <v>49788.667738734148</v>
      </c>
      <c r="AE258" s="613">
        <f t="shared" si="82"/>
        <v>49372.085361453413</v>
      </c>
      <c r="AF258" s="613">
        <f t="shared" si="82"/>
        <v>48727.969547204993</v>
      </c>
      <c r="AG258" s="613">
        <f>AG192*AG253*AG256</f>
        <v>47868.18236209319</v>
      </c>
      <c r="AJ258" s="300"/>
    </row>
    <row r="259" spans="1:37" s="169" customFormat="1">
      <c r="A259" s="169" t="s">
        <v>715</v>
      </c>
      <c r="B259" s="327" t="s">
        <v>127</v>
      </c>
      <c r="C259" s="613">
        <f>C253*C256-C258</f>
        <v>150228.5182006979</v>
      </c>
      <c r="D259" s="613">
        <f t="shared" ref="D259:AG259" si="83">D253*D256-D258</f>
        <v>149893.82389924984</v>
      </c>
      <c r="E259" s="613">
        <f t="shared" si="83"/>
        <v>149643.74532446201</v>
      </c>
      <c r="F259" s="613">
        <f t="shared" si="83"/>
        <v>149473.27382437256</v>
      </c>
      <c r="G259" s="613">
        <f t="shared" si="83"/>
        <v>149377.49393551185</v>
      </c>
      <c r="H259" s="613">
        <f t="shared" si="83"/>
        <v>149351.5829457604</v>
      </c>
      <c r="I259" s="613">
        <f t="shared" si="83"/>
        <v>149313.79613790807</v>
      </c>
      <c r="J259" s="613">
        <f t="shared" si="83"/>
        <v>149341.48029070382</v>
      </c>
      <c r="K259" s="613">
        <f t="shared" si="83"/>
        <v>149429.82506872306</v>
      </c>
      <c r="L259" s="613">
        <f t="shared" si="83"/>
        <v>149574.11880136948</v>
      </c>
      <c r="M259" s="613">
        <f t="shared" si="83"/>
        <v>149769.74797223005</v>
      </c>
      <c r="N259" s="613">
        <f t="shared" si="83"/>
        <v>143310.9217392758</v>
      </c>
      <c r="O259" s="613">
        <f t="shared" si="83"/>
        <v>137481.34684029067</v>
      </c>
      <c r="P259" s="613">
        <f t="shared" si="83"/>
        <v>132031.01709568698</v>
      </c>
      <c r="Q259" s="613">
        <f t="shared" si="83"/>
        <v>127082.28245087314</v>
      </c>
      <c r="R259" s="613">
        <f t="shared" si="83"/>
        <v>122617.59888727288</v>
      </c>
      <c r="S259" s="613">
        <f t="shared" si="83"/>
        <v>118584.89179284361</v>
      </c>
      <c r="T259" s="613">
        <f t="shared" si="83"/>
        <v>114996.24994977957</v>
      </c>
      <c r="U259" s="613">
        <f t="shared" si="83"/>
        <v>111835.00307446871</v>
      </c>
      <c r="V259" s="613">
        <f t="shared" si="83"/>
        <v>109084.70025481519</v>
      </c>
      <c r="W259" s="613">
        <f t="shared" si="83"/>
        <v>106729.10912667503</v>
      </c>
      <c r="X259" s="613">
        <f t="shared" si="83"/>
        <v>99064.531586589219</v>
      </c>
      <c r="Y259" s="613">
        <f t="shared" si="83"/>
        <v>92087.093389406655</v>
      </c>
      <c r="Z259" s="613">
        <f t="shared" si="83"/>
        <v>85992.556645823832</v>
      </c>
      <c r="AA259" s="613">
        <f t="shared" si="83"/>
        <v>80840.480701132707</v>
      </c>
      <c r="AB259" s="613">
        <f t="shared" si="83"/>
        <v>79144.1674257985</v>
      </c>
      <c r="AC259" s="613">
        <f t="shared" si="83"/>
        <v>77067.032998010633</v>
      </c>
      <c r="AD259" s="613">
        <f t="shared" si="83"/>
        <v>74683.001608101316</v>
      </c>
      <c r="AE259" s="613">
        <f t="shared" si="83"/>
        <v>72034.681920809177</v>
      </c>
      <c r="AF259" s="613">
        <f t="shared" si="83"/>
        <v>69162.279357323321</v>
      </c>
      <c r="AG259" s="613">
        <f t="shared" si="83"/>
        <v>66103.680404795363</v>
      </c>
      <c r="AJ259" s="300"/>
    </row>
    <row r="260" spans="1:37" s="169" customFormat="1">
      <c r="B260" s="165"/>
      <c r="C260" s="613"/>
      <c r="D260" s="613"/>
      <c r="E260" s="613"/>
      <c r="F260" s="613"/>
      <c r="G260" s="613"/>
      <c r="H260" s="613"/>
      <c r="I260" s="613"/>
      <c r="J260" s="613"/>
      <c r="K260" s="613"/>
      <c r="L260" s="613"/>
      <c r="M260" s="613"/>
      <c r="N260" s="613"/>
      <c r="O260" s="613"/>
      <c r="P260" s="613"/>
      <c r="Q260" s="613"/>
      <c r="R260" s="613"/>
      <c r="S260" s="613"/>
      <c r="T260" s="613"/>
      <c r="U260" s="613"/>
      <c r="V260" s="613"/>
      <c r="W260" s="613"/>
      <c r="X260" s="613"/>
      <c r="Y260" s="613"/>
      <c r="Z260" s="613"/>
      <c r="AA260" s="613"/>
      <c r="AB260" s="613"/>
      <c r="AC260" s="613"/>
      <c r="AD260" s="613"/>
      <c r="AE260" s="613"/>
      <c r="AF260" s="613"/>
      <c r="AG260" s="613"/>
      <c r="AJ260" s="300"/>
    </row>
    <row r="261" spans="1:37" s="169" customFormat="1">
      <c r="B261" s="197" t="s">
        <v>709</v>
      </c>
      <c r="C261" s="616">
        <v>0</v>
      </c>
      <c r="D261" s="616">
        <f>C261+1</f>
        <v>1</v>
      </c>
      <c r="E261" s="616">
        <f t="shared" ref="E261:AG261" si="84">D261+1</f>
        <v>2</v>
      </c>
      <c r="F261" s="616">
        <f t="shared" si="84"/>
        <v>3</v>
      </c>
      <c r="G261" s="616">
        <f t="shared" si="84"/>
        <v>4</v>
      </c>
      <c r="H261" s="616">
        <f t="shared" si="84"/>
        <v>5</v>
      </c>
      <c r="I261" s="616">
        <f t="shared" si="84"/>
        <v>6</v>
      </c>
      <c r="J261" s="616">
        <f t="shared" si="84"/>
        <v>7</v>
      </c>
      <c r="K261" s="616">
        <f t="shared" si="84"/>
        <v>8</v>
      </c>
      <c r="L261" s="616">
        <f t="shared" si="84"/>
        <v>9</v>
      </c>
      <c r="M261" s="616">
        <f t="shared" si="84"/>
        <v>10</v>
      </c>
      <c r="N261" s="616">
        <f t="shared" si="84"/>
        <v>11</v>
      </c>
      <c r="O261" s="616">
        <f t="shared" si="84"/>
        <v>12</v>
      </c>
      <c r="P261" s="616">
        <f t="shared" si="84"/>
        <v>13</v>
      </c>
      <c r="Q261" s="616">
        <f t="shared" si="84"/>
        <v>14</v>
      </c>
      <c r="R261" s="616">
        <f t="shared" si="84"/>
        <v>15</v>
      </c>
      <c r="S261" s="616">
        <f t="shared" si="84"/>
        <v>16</v>
      </c>
      <c r="T261" s="616">
        <f t="shared" si="84"/>
        <v>17</v>
      </c>
      <c r="U261" s="616">
        <f t="shared" si="84"/>
        <v>18</v>
      </c>
      <c r="V261" s="616">
        <f t="shared" si="84"/>
        <v>19</v>
      </c>
      <c r="W261" s="616">
        <f t="shared" si="84"/>
        <v>20</v>
      </c>
      <c r="X261" s="616">
        <f t="shared" si="84"/>
        <v>21</v>
      </c>
      <c r="Y261" s="616">
        <f t="shared" si="84"/>
        <v>22</v>
      </c>
      <c r="Z261" s="616">
        <f t="shared" si="84"/>
        <v>23</v>
      </c>
      <c r="AA261" s="616">
        <f t="shared" si="84"/>
        <v>24</v>
      </c>
      <c r="AB261" s="616">
        <f t="shared" si="84"/>
        <v>25</v>
      </c>
      <c r="AC261" s="616">
        <f t="shared" si="84"/>
        <v>26</v>
      </c>
      <c r="AD261" s="616">
        <f t="shared" si="84"/>
        <v>27</v>
      </c>
      <c r="AE261" s="616">
        <f t="shared" si="84"/>
        <v>28</v>
      </c>
      <c r="AF261" s="616">
        <f t="shared" si="84"/>
        <v>29</v>
      </c>
      <c r="AG261" s="616">
        <f t="shared" si="84"/>
        <v>30</v>
      </c>
      <c r="AJ261" s="300" t="s">
        <v>717</v>
      </c>
      <c r="AK261" s="169">
        <f>'Ethylene Recycling HC'!AK303</f>
        <v>1.9</v>
      </c>
    </row>
    <row r="262" spans="1:37" s="169" customFormat="1">
      <c r="A262" s="169" t="s">
        <v>761</v>
      </c>
      <c r="B262" s="165"/>
      <c r="C262" s="617">
        <f>$AK$263/((1+EXP(-$AK$262*(C261-$AK$264)))^$AK$261)</f>
        <v>4.6088632748610021E-5</v>
      </c>
      <c r="D262" s="617">
        <f t="shared" ref="D262:AG262" si="85">$AK$263/((1+EXP(-$AK$262*(D261-$AK$264)))^$AK$261)</f>
        <v>8.924759460408035E-5</v>
      </c>
      <c r="E262" s="617">
        <f t="shared" si="85"/>
        <v>1.7252431976790472E-4</v>
      </c>
      <c r="F262" s="617">
        <f t="shared" si="85"/>
        <v>3.3269643715580369E-4</v>
      </c>
      <c r="G262" s="617">
        <f t="shared" si="85"/>
        <v>6.393827369910735E-4</v>
      </c>
      <c r="H262" s="617">
        <f t="shared" si="85"/>
        <v>1.2229053771654547E-3</v>
      </c>
      <c r="I262" s="617">
        <f t="shared" si="85"/>
        <v>2.3234018804222717E-3</v>
      </c>
      <c r="J262" s="617">
        <f t="shared" si="85"/>
        <v>4.3736281679830789E-3</v>
      </c>
      <c r="K262" s="617">
        <f t="shared" si="85"/>
        <v>8.1294184230466908E-3</v>
      </c>
      <c r="L262" s="617">
        <f t="shared" si="85"/>
        <v>1.4853985082038716E-2</v>
      </c>
      <c r="M262" s="617">
        <f t="shared" si="85"/>
        <v>2.6531412096832362E-2</v>
      </c>
      <c r="N262" s="617">
        <f t="shared" si="85"/>
        <v>4.6014759335105015E-2</v>
      </c>
      <c r="O262" s="617">
        <f t="shared" si="85"/>
        <v>7.6910635328419796E-2</v>
      </c>
      <c r="P262" s="617">
        <f t="shared" si="85"/>
        <v>0.12294065829885638</v>
      </c>
      <c r="Q262" s="617">
        <f t="shared" si="85"/>
        <v>0.18666754187878853</v>
      </c>
      <c r="R262" s="617">
        <f t="shared" si="85"/>
        <v>0.26794336563407328</v>
      </c>
      <c r="S262" s="617">
        <f t="shared" si="85"/>
        <v>0.36297326582455031</v>
      </c>
      <c r="T262" s="617">
        <f t="shared" si="85"/>
        <v>0.46484396312424381</v>
      </c>
      <c r="U262" s="617">
        <f t="shared" si="85"/>
        <v>0.56546260593861253</v>
      </c>
      <c r="V262" s="617">
        <f t="shared" si="85"/>
        <v>0.6578403022607352</v>
      </c>
      <c r="W262" s="617">
        <f t="shared" si="85"/>
        <v>0.73754668886795227</v>
      </c>
      <c r="X262" s="617">
        <f t="shared" si="85"/>
        <v>0.80293052021410605</v>
      </c>
      <c r="Y262" s="617">
        <f t="shared" si="85"/>
        <v>0.85447682949112158</v>
      </c>
      <c r="Z262" s="617">
        <f t="shared" si="85"/>
        <v>0.89389910336617451</v>
      </c>
      <c r="AA262" s="617">
        <f t="shared" si="85"/>
        <v>0.92337223319290385</v>
      </c>
      <c r="AB262" s="617">
        <f t="shared" si="85"/>
        <v>0.94504210708611314</v>
      </c>
      <c r="AC262" s="617">
        <f t="shared" si="85"/>
        <v>0.96078240575184182</v>
      </c>
      <c r="AD262" s="617">
        <f t="shared" si="85"/>
        <v>0.97211605463477313</v>
      </c>
      <c r="AE262" s="617">
        <f t="shared" si="85"/>
        <v>0.98022577885232642</v>
      </c>
      <c r="AF262" s="617">
        <f t="shared" si="85"/>
        <v>0.98600279580400285</v>
      </c>
      <c r="AG262" s="617">
        <f t="shared" si="85"/>
        <v>0.9901050637460882</v>
      </c>
      <c r="AI262" s="165" t="s">
        <v>716</v>
      </c>
      <c r="AJ262" s="300" t="s">
        <v>718</v>
      </c>
      <c r="AK262" s="169">
        <f>'Ethylene Recycling HC'!AK304</f>
        <v>0.35</v>
      </c>
    </row>
    <row r="263" spans="1:37" s="169" customFormat="1">
      <c r="B263" s="165"/>
      <c r="C263" s="613">
        <v>0</v>
      </c>
      <c r="D263" s="613">
        <v>0</v>
      </c>
      <c r="E263" s="613">
        <v>0</v>
      </c>
      <c r="F263" s="613">
        <v>0</v>
      </c>
      <c r="G263" s="613">
        <v>0</v>
      </c>
      <c r="H263" s="613">
        <v>0</v>
      </c>
      <c r="I263" s="613">
        <v>0</v>
      </c>
      <c r="J263" s="613">
        <v>0</v>
      </c>
      <c r="K263" s="613">
        <v>0</v>
      </c>
      <c r="L263" s="613">
        <v>0</v>
      </c>
      <c r="M263" s="613">
        <f>C262</f>
        <v>4.6088632748610021E-5</v>
      </c>
      <c r="N263" s="613">
        <v>0</v>
      </c>
      <c r="O263" s="613">
        <v>0</v>
      </c>
      <c r="P263" s="613">
        <v>0</v>
      </c>
      <c r="Q263" s="613">
        <v>0</v>
      </c>
      <c r="R263" s="613">
        <f t="shared" ref="R263:AG263" si="86">C262</f>
        <v>4.6088632748610021E-5</v>
      </c>
      <c r="S263" s="613">
        <f t="shared" si="86"/>
        <v>8.924759460408035E-5</v>
      </c>
      <c r="T263" s="613">
        <f t="shared" si="86"/>
        <v>1.7252431976790472E-4</v>
      </c>
      <c r="U263" s="613">
        <f t="shared" si="86"/>
        <v>3.3269643715580369E-4</v>
      </c>
      <c r="V263" s="613">
        <f t="shared" si="86"/>
        <v>6.393827369910735E-4</v>
      </c>
      <c r="W263" s="613">
        <f t="shared" si="86"/>
        <v>1.2229053771654547E-3</v>
      </c>
      <c r="X263" s="613">
        <f t="shared" si="86"/>
        <v>2.3234018804222717E-3</v>
      </c>
      <c r="Y263" s="613">
        <f t="shared" si="86"/>
        <v>4.3736281679830789E-3</v>
      </c>
      <c r="Z263" s="613">
        <f t="shared" si="86"/>
        <v>8.1294184230466908E-3</v>
      </c>
      <c r="AA263" s="613">
        <f t="shared" si="86"/>
        <v>1.4853985082038716E-2</v>
      </c>
      <c r="AB263" s="613">
        <f t="shared" si="86"/>
        <v>2.6531412096832362E-2</v>
      </c>
      <c r="AC263" s="613">
        <f t="shared" si="86"/>
        <v>4.6014759335105015E-2</v>
      </c>
      <c r="AD263" s="613">
        <f t="shared" si="86"/>
        <v>7.6910635328419796E-2</v>
      </c>
      <c r="AE263" s="613">
        <f t="shared" si="86"/>
        <v>0.12294065829885638</v>
      </c>
      <c r="AF263" s="613">
        <f t="shared" si="86"/>
        <v>0.18666754187878853</v>
      </c>
      <c r="AG263" s="613">
        <f t="shared" si="86"/>
        <v>0.26794336563407328</v>
      </c>
      <c r="AI263" s="165" t="s">
        <v>762</v>
      </c>
      <c r="AJ263" s="300" t="s">
        <v>719</v>
      </c>
      <c r="AK263" s="169">
        <f>'Ethylene Recycling HC'!AK305</f>
        <v>1</v>
      </c>
    </row>
    <row r="264" spans="1:37" s="169" customFormat="1">
      <c r="B264" s="165"/>
      <c r="C264" s="613"/>
      <c r="D264" s="613"/>
      <c r="E264" s="613"/>
      <c r="F264" s="613"/>
      <c r="G264" s="613"/>
      <c r="H264" s="613"/>
      <c r="I264" s="613"/>
      <c r="J264" s="613"/>
      <c r="K264" s="613"/>
      <c r="L264" s="613"/>
      <c r="M264" s="613"/>
      <c r="N264" s="613"/>
      <c r="O264" s="613"/>
      <c r="P264" s="613"/>
      <c r="Q264" s="613"/>
      <c r="R264" s="613"/>
      <c r="S264" s="613"/>
      <c r="T264" s="613"/>
      <c r="U264" s="613"/>
      <c r="V264" s="613"/>
      <c r="W264" s="613"/>
      <c r="X264" s="613"/>
      <c r="Y264" s="613"/>
      <c r="Z264" s="613"/>
      <c r="AA264" s="613"/>
      <c r="AB264" s="613"/>
      <c r="AC264" s="613"/>
      <c r="AD264" s="613"/>
      <c r="AE264" s="613"/>
      <c r="AF264" s="613"/>
      <c r="AG264" s="613"/>
      <c r="AJ264" s="300" t="s">
        <v>720</v>
      </c>
      <c r="AK264" s="169">
        <f>'Ethylene Recycling HC'!AK306</f>
        <v>15</v>
      </c>
    </row>
    <row r="265" spans="1:37" s="169" customFormat="1">
      <c r="A265" s="169" t="s">
        <v>712</v>
      </c>
      <c r="B265" s="165"/>
      <c r="C265" s="613">
        <f>'Ethylene Recycling HC'!C307</f>
        <v>9.3753800180177274E-2</v>
      </c>
      <c r="D265" s="613">
        <f>'Ethylene Recycling HC'!D307</f>
        <v>9.3753800180177274E-2</v>
      </c>
      <c r="E265" s="613">
        <f>'Ethylene Recycling HC'!E307</f>
        <v>9.3753800180177274E-2</v>
      </c>
      <c r="F265" s="613">
        <f>'Ethylene Recycling HC'!F307</f>
        <v>9.3753800180177274E-2</v>
      </c>
      <c r="G265" s="613">
        <f>'Ethylene Recycling HC'!G307</f>
        <v>9.3753800180177274E-2</v>
      </c>
      <c r="H265" s="613">
        <f>'Ethylene Recycling HC'!H307</f>
        <v>9.3753800180177274E-2</v>
      </c>
      <c r="I265" s="613">
        <f>'Ethylene Recycling HC'!I307</f>
        <v>9.3753800180177274E-2</v>
      </c>
      <c r="J265" s="613">
        <f>'Ethylene Recycling HC'!J307</f>
        <v>9.3753800180177274E-2</v>
      </c>
      <c r="K265" s="613">
        <f>'Ethylene Recycling HC'!K307</f>
        <v>9.3753800180177274E-2</v>
      </c>
      <c r="L265" s="613">
        <f>'Ethylene Recycling HC'!L307</f>
        <v>9.3753800180177274E-2</v>
      </c>
      <c r="M265" s="613">
        <f>'Ethylene Recycling HC'!M307</f>
        <v>9.3753800180177274E-2</v>
      </c>
      <c r="N265" s="613">
        <f>'Ethylene Recycling HC'!N307</f>
        <v>9.3753800180177274E-2</v>
      </c>
      <c r="O265" s="613">
        <f>'Ethylene Recycling HC'!O307</f>
        <v>9.3753800180177274E-2</v>
      </c>
      <c r="P265" s="613">
        <f>'Ethylene Recycling HC'!P307</f>
        <v>9.3753800180177274E-2</v>
      </c>
      <c r="Q265" s="613">
        <f>'Ethylene Recycling HC'!Q307</f>
        <v>9.3753800180177274E-2</v>
      </c>
      <c r="R265" s="613">
        <f>'Ethylene Recycling HC'!R307</f>
        <v>9.3753800180177274E-2</v>
      </c>
      <c r="S265" s="613">
        <f>'Ethylene Recycling HC'!S307</f>
        <v>9.3753800180177274E-2</v>
      </c>
      <c r="T265" s="613">
        <f>'Ethylene Recycling HC'!T307</f>
        <v>9.3753800180177274E-2</v>
      </c>
      <c r="U265" s="613">
        <f>'Ethylene Recycling HC'!U307</f>
        <v>9.3753800180177274E-2</v>
      </c>
      <c r="V265" s="613">
        <f>'Ethylene Recycling HC'!V307</f>
        <v>9.3753800180177274E-2</v>
      </c>
      <c r="W265" s="613">
        <f>'Ethylene Recycling HC'!W307</f>
        <v>9.3753800180177274E-2</v>
      </c>
      <c r="X265" s="613">
        <f>'Ethylene Recycling HC'!X307</f>
        <v>9.3753800180177274E-2</v>
      </c>
      <c r="Y265" s="613">
        <f>'Ethylene Recycling HC'!Y307</f>
        <v>9.3753800180177274E-2</v>
      </c>
      <c r="Z265" s="613">
        <f>'Ethylene Recycling HC'!Z307</f>
        <v>9.3753800180177274E-2</v>
      </c>
      <c r="AA265" s="613">
        <f>'Ethylene Recycling HC'!AA307</f>
        <v>9.3753800180177274E-2</v>
      </c>
      <c r="AB265" s="613">
        <f>'Ethylene Recycling HC'!AB307</f>
        <v>9.3753800180177274E-2</v>
      </c>
      <c r="AC265" s="613">
        <f>'Ethylene Recycling HC'!AC307</f>
        <v>9.3753800180177274E-2</v>
      </c>
      <c r="AD265" s="613">
        <f>'Ethylene Recycling HC'!AD307</f>
        <v>9.3753800180177274E-2</v>
      </c>
      <c r="AE265" s="613">
        <f>'Ethylene Recycling HC'!AE307</f>
        <v>9.3753800180177274E-2</v>
      </c>
      <c r="AF265" s="613">
        <f>'Ethylene Recycling HC'!AF307</f>
        <v>9.3753800180177274E-2</v>
      </c>
      <c r="AG265" s="613">
        <f>'Ethylene Recycling HC'!AG307</f>
        <v>9.3753800180177274E-2</v>
      </c>
      <c r="AI265" s="169" t="s">
        <v>714</v>
      </c>
      <c r="AJ265" s="300"/>
    </row>
    <row r="266" spans="1:37" s="279" customFormat="1" ht="15.5" thickBot="1">
      <c r="A266" s="311" t="s">
        <v>707</v>
      </c>
      <c r="B266" s="312"/>
      <c r="C266" s="618">
        <f>C265*(C258*C262+C259*C263)</f>
        <v>0.18308938531480826</v>
      </c>
      <c r="D266" s="618">
        <f t="shared" ref="D266:AG266" si="87">D265*(D258*D262+D259*D263)</f>
        <v>0.36761232774593561</v>
      </c>
      <c r="E266" s="618">
        <f t="shared" si="87"/>
        <v>0.73666150732645752</v>
      </c>
      <c r="F266" s="618">
        <f t="shared" si="87"/>
        <v>1.4723064899477905</v>
      </c>
      <c r="G266" s="618">
        <f t="shared" si="87"/>
        <v>2.9319613185987365</v>
      </c>
      <c r="H266" s="618">
        <f t="shared" si="87"/>
        <v>5.8097459089244667</v>
      </c>
      <c r="I266" s="618">
        <f t="shared" si="87"/>
        <v>11.427593466905568</v>
      </c>
      <c r="J266" s="618">
        <f t="shared" si="87"/>
        <v>22.267860716638815</v>
      </c>
      <c r="K266" s="618">
        <f t="shared" si="87"/>
        <v>42.839363000226257</v>
      </c>
      <c r="L266" s="618">
        <f t="shared" si="87"/>
        <v>81.0053777392244</v>
      </c>
      <c r="M266" s="618">
        <f t="shared" si="87"/>
        <v>150.35963892801956</v>
      </c>
      <c r="N266" s="618">
        <f t="shared" si="87"/>
        <v>256.63278425790145</v>
      </c>
      <c r="O266" s="618">
        <f t="shared" si="87"/>
        <v>424.8565048154174</v>
      </c>
      <c r="P266" s="618">
        <f t="shared" si="87"/>
        <v>673.10819148426424</v>
      </c>
      <c r="Q266" s="618">
        <f t="shared" si="87"/>
        <v>1014.853440495108</v>
      </c>
      <c r="R266" s="618">
        <f t="shared" si="87"/>
        <v>1450.055000811639</v>
      </c>
      <c r="S266" s="618">
        <f t="shared" si="87"/>
        <v>1958.7889130414251</v>
      </c>
      <c r="T266" s="618">
        <f t="shared" si="87"/>
        <v>2507.6793892419005</v>
      </c>
      <c r="U266" s="618">
        <f t="shared" si="87"/>
        <v>3057.7448027638452</v>
      </c>
      <c r="V266" s="618">
        <f t="shared" si="87"/>
        <v>3576.393140883813</v>
      </c>
      <c r="W266" s="618">
        <f t="shared" si="87"/>
        <v>4044.6535287387273</v>
      </c>
      <c r="X266" s="618">
        <f t="shared" si="87"/>
        <v>4216.3433085336246</v>
      </c>
      <c r="Y266" s="618">
        <f t="shared" si="87"/>
        <v>4308.734696112353</v>
      </c>
      <c r="Z266" s="618">
        <f t="shared" si="87"/>
        <v>4358.9114002067245</v>
      </c>
      <c r="AA266" s="618">
        <f t="shared" si="87"/>
        <v>4401.8804932970497</v>
      </c>
      <c r="AB266" s="618">
        <f t="shared" si="87"/>
        <v>4617.647057787698</v>
      </c>
      <c r="AC266" s="618">
        <f t="shared" si="87"/>
        <v>4833.3076094249946</v>
      </c>
      <c r="AD266" s="618">
        <f t="shared" si="87"/>
        <v>5076.2320407970528</v>
      </c>
      <c r="AE266" s="618">
        <f t="shared" si="87"/>
        <v>5367.5721335891594</v>
      </c>
      <c r="AF266" s="618">
        <f t="shared" si="87"/>
        <v>5714.8816653372933</v>
      </c>
      <c r="AG266" s="618">
        <f t="shared" si="87"/>
        <v>6103.9885752203381</v>
      </c>
      <c r="AJ266" s="303"/>
    </row>
    <row r="267" spans="1:37" s="216" customFormat="1">
      <c r="A267" s="302" t="s">
        <v>713</v>
      </c>
      <c r="B267" s="301"/>
      <c r="C267" s="79">
        <v>0.25</v>
      </c>
      <c r="D267" s="79">
        <v>0.25</v>
      </c>
      <c r="E267" s="79">
        <v>0.25</v>
      </c>
      <c r="F267" s="79">
        <v>0.25</v>
      </c>
      <c r="G267" s="79">
        <v>0.25</v>
      </c>
      <c r="H267" s="79">
        <v>0.25</v>
      </c>
      <c r="I267" s="79">
        <v>0.25</v>
      </c>
      <c r="J267" s="79">
        <v>0.25</v>
      </c>
      <c r="K267" s="79">
        <v>0.25</v>
      </c>
      <c r="L267" s="79">
        <v>0.25</v>
      </c>
      <c r="M267" s="79">
        <v>0.25</v>
      </c>
      <c r="N267" s="79">
        <v>0.25</v>
      </c>
      <c r="O267" s="79">
        <v>0.25</v>
      </c>
      <c r="P267" s="79">
        <v>0.25</v>
      </c>
      <c r="Q267" s="79">
        <v>0.25</v>
      </c>
      <c r="R267" s="79">
        <v>0.25</v>
      </c>
      <c r="S267" s="79">
        <v>0.25</v>
      </c>
      <c r="T267" s="79">
        <v>0.25</v>
      </c>
      <c r="U267" s="79">
        <v>0.25</v>
      </c>
      <c r="V267" s="79">
        <v>0.25</v>
      </c>
      <c r="W267" s="79">
        <v>0.25</v>
      </c>
      <c r="X267" s="79">
        <v>0.25</v>
      </c>
      <c r="Y267" s="79">
        <v>0.25</v>
      </c>
      <c r="Z267" s="79">
        <v>0.25</v>
      </c>
      <c r="AA267" s="79">
        <v>0.25</v>
      </c>
      <c r="AB267" s="79">
        <v>0.25</v>
      </c>
      <c r="AC267" s="79">
        <v>0.25</v>
      </c>
      <c r="AD267" s="79">
        <v>0.25</v>
      </c>
      <c r="AE267" s="79">
        <v>0.25</v>
      </c>
      <c r="AF267" s="79">
        <v>0.25</v>
      </c>
      <c r="AG267" s="79">
        <v>0.25</v>
      </c>
      <c r="AI267" s="216" t="s">
        <v>848</v>
      </c>
      <c r="AJ267" s="216" t="s">
        <v>757</v>
      </c>
    </row>
    <row r="268" spans="1:37" s="216" customFormat="1" ht="15.5" thickBot="1">
      <c r="A268" s="280" t="s">
        <v>708</v>
      </c>
      <c r="B268" s="312"/>
      <c r="C268" s="618">
        <f>C267*(C258*C262+C259*C263)</f>
        <v>0.4882185707751171</v>
      </c>
      <c r="D268" s="618">
        <f t="shared" ref="D268:AF268" si="88">D267*(D258*D262+D259*D263)</f>
        <v>0.98025980557442327</v>
      </c>
      <c r="E268" s="618">
        <f t="shared" si="88"/>
        <v>1.9643510607322898</v>
      </c>
      <c r="F268" s="618">
        <f t="shared" si="88"/>
        <v>3.9259914987933624</v>
      </c>
      <c r="G268" s="618">
        <f t="shared" si="88"/>
        <v>7.8182466016418939</v>
      </c>
      <c r="H268" s="618">
        <f t="shared" si="88"/>
        <v>15.492027783831752</v>
      </c>
      <c r="I268" s="618">
        <f t="shared" si="88"/>
        <v>30.472347374036762</v>
      </c>
      <c r="J268" s="618">
        <f t="shared" si="88"/>
        <v>59.378554986155628</v>
      </c>
      <c r="K268" s="618">
        <f t="shared" si="88"/>
        <v>114.23367084293386</v>
      </c>
      <c r="L268" s="618">
        <f t="shared" si="88"/>
        <v>216.00558479642214</v>
      </c>
      <c r="M268" s="618">
        <f t="shared" si="88"/>
        <v>400.94278482327235</v>
      </c>
      <c r="N268" s="618">
        <f t="shared" si="88"/>
        <v>684.32635201106848</v>
      </c>
      <c r="O268" s="618">
        <f t="shared" si="88"/>
        <v>1132.904756924313</v>
      </c>
      <c r="P268" s="618">
        <f t="shared" si="88"/>
        <v>1794.8824212743273</v>
      </c>
      <c r="Q268" s="618">
        <f t="shared" si="88"/>
        <v>2706.166146184873</v>
      </c>
      <c r="R268" s="618">
        <f t="shared" si="88"/>
        <v>3866.6565995855753</v>
      </c>
      <c r="S268" s="618">
        <f t="shared" si="88"/>
        <v>5223.2253766700633</v>
      </c>
      <c r="T268" s="618">
        <f t="shared" si="88"/>
        <v>6686.8739838348138</v>
      </c>
      <c r="U268" s="618">
        <f t="shared" si="88"/>
        <v>8153.6556301916071</v>
      </c>
      <c r="V268" s="618">
        <f t="shared" si="88"/>
        <v>9536.6618046699277</v>
      </c>
      <c r="W268" s="618">
        <f t="shared" si="88"/>
        <v>10785.305558189801</v>
      </c>
      <c r="X268" s="618">
        <f t="shared" si="88"/>
        <v>11243.126413090993</v>
      </c>
      <c r="Y268" s="618">
        <f t="shared" si="88"/>
        <v>11489.493460083138</v>
      </c>
      <c r="Z268" s="618">
        <f t="shared" si="88"/>
        <v>11623.292580753292</v>
      </c>
      <c r="AA268" s="618">
        <f t="shared" si="88"/>
        <v>11737.872184480679</v>
      </c>
      <c r="AB268" s="618">
        <f t="shared" si="88"/>
        <v>12313.226367660414</v>
      </c>
      <c r="AC268" s="618">
        <f t="shared" si="88"/>
        <v>12888.297861356768</v>
      </c>
      <c r="AD268" s="618">
        <f t="shared" si="88"/>
        <v>13536.070087403081</v>
      </c>
      <c r="AE268" s="618">
        <f t="shared" si="88"/>
        <v>14312.945510671807</v>
      </c>
      <c r="AF268" s="618">
        <f t="shared" si="88"/>
        <v>15239.066721440515</v>
      </c>
      <c r="AG268" s="618">
        <f>AG267*(AG258*AG262+AG259*AG263)</f>
        <v>16276.643089372414</v>
      </c>
      <c r="AJ268" s="302"/>
    </row>
    <row r="269" spans="1:37" s="216" customFormat="1">
      <c r="A269" s="303"/>
      <c r="B269" s="301"/>
      <c r="C269" s="122"/>
      <c r="D269" s="122"/>
      <c r="E269" s="122"/>
      <c r="F269" s="122"/>
      <c r="G269" s="122"/>
      <c r="H269" s="122"/>
      <c r="I269" s="122"/>
      <c r="J269" s="122"/>
      <c r="K269" s="122"/>
      <c r="L269" s="122"/>
      <c r="M269" s="122"/>
      <c r="N269" s="122"/>
      <c r="O269" s="122"/>
      <c r="P269" s="122"/>
      <c r="Q269" s="122"/>
      <c r="R269" s="122"/>
      <c r="S269" s="122"/>
      <c r="T269" s="122"/>
      <c r="U269" s="122"/>
      <c r="V269" s="122"/>
      <c r="W269" s="122"/>
      <c r="X269" s="122"/>
      <c r="Y269" s="122"/>
      <c r="Z269" s="122"/>
      <c r="AA269" s="122"/>
      <c r="AB269" s="122"/>
      <c r="AC269" s="122"/>
      <c r="AD269" s="122"/>
      <c r="AE269" s="122"/>
      <c r="AF269" s="122"/>
      <c r="AG269" s="122"/>
      <c r="AJ269" s="302"/>
    </row>
    <row r="270" spans="1:37" s="216" customFormat="1">
      <c r="A270" s="303" t="s">
        <v>711</v>
      </c>
      <c r="B270" s="301"/>
      <c r="C270" s="122">
        <f t="shared" ref="C270:AG270" si="89">SUM(C239:C240)-SUM(C266,C268)</f>
        <v>1285160.437870289</v>
      </c>
      <c r="D270" s="122">
        <f t="shared" si="89"/>
        <v>1289791.3879858314</v>
      </c>
      <c r="E270" s="122">
        <f t="shared" si="89"/>
        <v>1293932.1091378694</v>
      </c>
      <c r="F270" s="122">
        <f t="shared" si="89"/>
        <v>1297576.3399134804</v>
      </c>
      <c r="G270" s="122">
        <f t="shared" si="89"/>
        <v>1300717.2208615104</v>
      </c>
      <c r="H270" s="122">
        <f t="shared" si="89"/>
        <v>1303346.7028515548</v>
      </c>
      <c r="I270" s="122">
        <f t="shared" si="89"/>
        <v>1301989.7558671911</v>
      </c>
      <c r="J270" s="122">
        <f t="shared" si="89"/>
        <v>1299986.0281977726</v>
      </c>
      <c r="K270" s="122">
        <f t="shared" si="89"/>
        <v>1297312.6842779929</v>
      </c>
      <c r="L270" s="122">
        <f t="shared" si="89"/>
        <v>1293934.6340834014</v>
      </c>
      <c r="M270" s="122">
        <f t="shared" si="89"/>
        <v>1289795.8214074061</v>
      </c>
      <c r="N270" s="122">
        <f t="shared" si="89"/>
        <v>1275818.4473673399</v>
      </c>
      <c r="O270" s="122">
        <f t="shared" si="89"/>
        <v>1266718.401288385</v>
      </c>
      <c r="P270" s="122">
        <f t="shared" si="89"/>
        <v>1248802.3407912059</v>
      </c>
      <c r="Q270" s="122">
        <f t="shared" si="89"/>
        <v>1229107.7617245144</v>
      </c>
      <c r="R270" s="122">
        <f t="shared" si="89"/>
        <v>1207614.3752465423</v>
      </c>
      <c r="S270" s="122">
        <f t="shared" si="89"/>
        <v>1185003.1755669178</v>
      </c>
      <c r="T270" s="122">
        <f t="shared" si="89"/>
        <v>1160773.3018827678</v>
      </c>
      <c r="U270" s="122">
        <f t="shared" si="89"/>
        <v>1135048.1357940228</v>
      </c>
      <c r="V270" s="122">
        <f t="shared" si="89"/>
        <v>1107927.8014985111</v>
      </c>
      <c r="W270" s="122">
        <f t="shared" si="89"/>
        <v>1079462.6509915048</v>
      </c>
      <c r="X270" s="122">
        <f t="shared" si="89"/>
        <v>1033510.1466586501</v>
      </c>
      <c r="Y270" s="122">
        <f t="shared" si="89"/>
        <v>1009453.2374224022</v>
      </c>
      <c r="Z270" s="122">
        <f t="shared" si="89"/>
        <v>983329.76593421516</v>
      </c>
      <c r="AA270" s="122">
        <f t="shared" si="89"/>
        <v>955171.3672757172</v>
      </c>
      <c r="AB270" s="122">
        <f t="shared" si="89"/>
        <v>924285.56037905521</v>
      </c>
      <c r="AC270" s="122">
        <f t="shared" si="89"/>
        <v>890814.13663286797</v>
      </c>
      <c r="AD270" s="122">
        <f t="shared" si="89"/>
        <v>855063.79231973668</v>
      </c>
      <c r="AE270" s="122">
        <f t="shared" si="89"/>
        <v>816925.0285821415</v>
      </c>
      <c r="AF270" s="122">
        <f t="shared" si="89"/>
        <v>776338.5008054307</v>
      </c>
      <c r="AG270" s="122">
        <f t="shared" si="89"/>
        <v>733324.82002598234</v>
      </c>
      <c r="AJ270" s="302"/>
    </row>
    <row r="271" spans="1:37" s="216" customFormat="1">
      <c r="A271" s="303"/>
      <c r="B271" s="301"/>
      <c r="C271" s="122"/>
      <c r="D271" s="122"/>
      <c r="E271" s="122"/>
      <c r="F271" s="122"/>
      <c r="G271" s="122"/>
      <c r="H271" s="122"/>
      <c r="I271" s="122"/>
      <c r="J271" s="122"/>
      <c r="K271" s="122"/>
      <c r="L271" s="122"/>
      <c r="M271" s="122"/>
      <c r="N271" s="122"/>
      <c r="O271" s="122"/>
      <c r="P271" s="122"/>
      <c r="Q271" s="122"/>
      <c r="R271" s="122"/>
      <c r="S271" s="122"/>
      <c r="T271" s="122"/>
      <c r="U271" s="122"/>
      <c r="V271" s="122"/>
      <c r="W271" s="122"/>
      <c r="X271" s="122"/>
      <c r="Y271" s="122"/>
      <c r="Z271" s="122"/>
      <c r="AA271" s="122"/>
      <c r="AB271" s="122"/>
      <c r="AC271" s="122"/>
      <c r="AD271" s="122"/>
      <c r="AE271" s="122"/>
      <c r="AF271" s="122"/>
      <c r="AG271" s="122"/>
      <c r="AJ271" s="302"/>
    </row>
    <row r="272" spans="1:37" s="216" customFormat="1">
      <c r="A272" s="302" t="s">
        <v>722</v>
      </c>
      <c r="B272" s="301" t="s">
        <v>127</v>
      </c>
      <c r="C272" s="613">
        <f>C192*C191*C47</f>
        <v>399480.78751316818</v>
      </c>
      <c r="D272" s="613">
        <f t="shared" ref="D272:AG272" si="90">D192*D191*D47</f>
        <v>410451.41049824312</v>
      </c>
      <c r="E272" s="613">
        <f t="shared" si="90"/>
        <v>421325.07999979623</v>
      </c>
      <c r="F272" s="613">
        <f t="shared" si="90"/>
        <v>432099.20767936279</v>
      </c>
      <c r="G272" s="613">
        <f t="shared" si="90"/>
        <v>442771.20519847854</v>
      </c>
      <c r="H272" s="613">
        <f t="shared" si="90"/>
        <v>453338.4842186789</v>
      </c>
      <c r="I272" s="613">
        <f t="shared" si="90"/>
        <v>463187.41942120326</v>
      </c>
      <c r="J272" s="613">
        <f t="shared" si="90"/>
        <v>472889.32139779907</v>
      </c>
      <c r="K272" s="613">
        <f t="shared" si="90"/>
        <v>482441.1665984767</v>
      </c>
      <c r="L272" s="613">
        <f t="shared" si="90"/>
        <v>491839.93147324788</v>
      </c>
      <c r="M272" s="613">
        <f t="shared" si="90"/>
        <v>501082.59247212339</v>
      </c>
      <c r="N272" s="613">
        <f t="shared" si="90"/>
        <v>507162.1474759322</v>
      </c>
      <c r="O272" s="613">
        <f t="shared" si="90"/>
        <v>514146.99128038035</v>
      </c>
      <c r="P272" s="613">
        <f t="shared" si="90"/>
        <v>519450.78121633478</v>
      </c>
      <c r="Q272" s="613">
        <f t="shared" si="90"/>
        <v>524410.59607373411</v>
      </c>
      <c r="R272" s="613">
        <f t="shared" si="90"/>
        <v>529021.46879488498</v>
      </c>
      <c r="S272" s="613">
        <f t="shared" si="90"/>
        <v>533393.44346317858</v>
      </c>
      <c r="T272" s="613">
        <f t="shared" si="90"/>
        <v>537412.27474170364</v>
      </c>
      <c r="U272" s="613">
        <f t="shared" si="90"/>
        <v>541073.05784721381</v>
      </c>
      <c r="V272" s="613">
        <f t="shared" si="90"/>
        <v>544370.88798370655</v>
      </c>
      <c r="W272" s="613">
        <f t="shared" si="90"/>
        <v>547300.86034266197</v>
      </c>
      <c r="X272" s="613">
        <f t="shared" si="90"/>
        <v>544799.08064771409</v>
      </c>
      <c r="Y272" s="613">
        <f t="shared" si="90"/>
        <v>546671.29612376296</v>
      </c>
      <c r="Z272" s="613">
        <f t="shared" si="90"/>
        <v>548114.23536217457</v>
      </c>
      <c r="AA272" s="613">
        <f t="shared" si="90"/>
        <v>549158.03821536421</v>
      </c>
      <c r="AB272" s="613">
        <f t="shared" si="90"/>
        <v>549797.66788523097</v>
      </c>
      <c r="AC272" s="613">
        <f t="shared" si="90"/>
        <v>549940.85151857417</v>
      </c>
      <c r="AD272" s="613">
        <f t="shared" si="90"/>
        <v>549666.07959468791</v>
      </c>
      <c r="AE272" s="613">
        <f t="shared" si="90"/>
        <v>548968.27794004453</v>
      </c>
      <c r="AF272" s="613">
        <f t="shared" si="90"/>
        <v>547842.37247020204</v>
      </c>
      <c r="AG272" s="613">
        <f t="shared" si="90"/>
        <v>546283.28919842083</v>
      </c>
      <c r="AJ272" s="302"/>
    </row>
    <row r="273" spans="1:36" s="216" customFormat="1">
      <c r="A273" s="216" t="s">
        <v>721</v>
      </c>
      <c r="B273" s="301" t="s">
        <v>127</v>
      </c>
      <c r="C273" s="613">
        <f>C193*C191*C47</f>
        <v>1416340.9739103236</v>
      </c>
      <c r="D273" s="613">
        <f t="shared" ref="D273:AG273" si="91">D193*D191*D47</f>
        <v>1400363.6358175355</v>
      </c>
      <c r="E273" s="613">
        <f t="shared" si="91"/>
        <v>1384353.834285045</v>
      </c>
      <c r="F273" s="613">
        <f t="shared" si="91"/>
        <v>1368314.1576513157</v>
      </c>
      <c r="G273" s="613">
        <f t="shared" si="91"/>
        <v>1352247.1942548133</v>
      </c>
      <c r="H273" s="613">
        <f t="shared" si="91"/>
        <v>1336155.5324340011</v>
      </c>
      <c r="I273" s="613">
        <f t="shared" si="91"/>
        <v>1318302.6552757327</v>
      </c>
      <c r="J273" s="613">
        <f t="shared" si="91"/>
        <v>1300445.6338439477</v>
      </c>
      <c r="K273" s="613">
        <f t="shared" si="91"/>
        <v>1282587.4916886338</v>
      </c>
      <c r="L273" s="613">
        <f t="shared" si="91"/>
        <v>1264731.2523597807</v>
      </c>
      <c r="M273" s="613">
        <f t="shared" si="91"/>
        <v>1246879.9394073773</v>
      </c>
      <c r="N273" s="613">
        <f t="shared" si="91"/>
        <v>1221799.7189192919</v>
      </c>
      <c r="O273" s="613">
        <f t="shared" si="91"/>
        <v>1199676.3129875548</v>
      </c>
      <c r="P273" s="613">
        <f t="shared" si="91"/>
        <v>1174410.4618804096</v>
      </c>
      <c r="Q273" s="613">
        <f t="shared" si="91"/>
        <v>1149240.2424594606</v>
      </c>
      <c r="R273" s="613">
        <f t="shared" si="91"/>
        <v>1124170.6211891316</v>
      </c>
      <c r="S273" s="613">
        <f t="shared" si="91"/>
        <v>1099443.6283628794</v>
      </c>
      <c r="T273" s="613">
        <f t="shared" si="91"/>
        <v>1074824.549483408</v>
      </c>
      <c r="U273" s="613">
        <f t="shared" si="91"/>
        <v>1050318.2887622393</v>
      </c>
      <c r="V273" s="613">
        <f t="shared" si="91"/>
        <v>1025929.7504308324</v>
      </c>
      <c r="W273" s="613">
        <f t="shared" si="91"/>
        <v>1001663.8387403447</v>
      </c>
      <c r="X273" s="613">
        <f t="shared" si="91"/>
        <v>968531.69892927026</v>
      </c>
      <c r="Y273" s="613">
        <f t="shared" si="91"/>
        <v>944250.42057740979</v>
      </c>
      <c r="Z273" s="613">
        <f t="shared" si="91"/>
        <v>920048.89507222269</v>
      </c>
      <c r="AA273" s="613">
        <f t="shared" si="91"/>
        <v>895994.6939303322</v>
      </c>
      <c r="AB273" s="613">
        <f t="shared" si="91"/>
        <v>872092.85250760883</v>
      </c>
      <c r="AC273" s="613">
        <f t="shared" si="91"/>
        <v>848213.8557320392</v>
      </c>
      <c r="AD273" s="613">
        <f t="shared" si="91"/>
        <v>824499.11939203285</v>
      </c>
      <c r="AE273" s="613">
        <f t="shared" si="91"/>
        <v>800953.71699449257</v>
      </c>
      <c r="AF273" s="613">
        <f t="shared" si="91"/>
        <v>777582.72221577168</v>
      </c>
      <c r="AG273" s="613">
        <f t="shared" si="91"/>
        <v>754391.20889305754</v>
      </c>
      <c r="AJ273" s="302"/>
    </row>
    <row r="274" spans="1:36" s="216" customFormat="1">
      <c r="B274" s="301"/>
      <c r="C274" s="613"/>
      <c r="D274" s="613"/>
      <c r="E274" s="613"/>
      <c r="F274" s="613"/>
      <c r="G274" s="613"/>
      <c r="H274" s="613"/>
      <c r="I274" s="613"/>
      <c r="J274" s="613"/>
      <c r="K274" s="613"/>
      <c r="L274" s="613"/>
      <c r="M274" s="613"/>
      <c r="N274" s="613"/>
      <c r="O274" s="613"/>
      <c r="P274" s="613"/>
      <c r="Q274" s="613"/>
      <c r="R274" s="613"/>
      <c r="S274" s="613"/>
      <c r="T274" s="613"/>
      <c r="U274" s="613"/>
      <c r="V274" s="613"/>
      <c r="W274" s="613"/>
      <c r="X274" s="613"/>
      <c r="Y274" s="613"/>
      <c r="Z274" s="613"/>
      <c r="AA274" s="613"/>
      <c r="AB274" s="613"/>
      <c r="AC274" s="613"/>
      <c r="AD274" s="613"/>
      <c r="AE274" s="613"/>
      <c r="AF274" s="613"/>
      <c r="AG274" s="613"/>
      <c r="AJ274" s="302"/>
    </row>
    <row r="275" spans="1:36" s="216" customFormat="1">
      <c r="A275" s="328" t="s">
        <v>723</v>
      </c>
      <c r="B275" s="329" t="s">
        <v>127</v>
      </c>
      <c r="C275" s="611">
        <f>C253-C266-C268</f>
        <v>240750.15914188031</v>
      </c>
      <c r="D275" s="611">
        <f t="shared" ref="D275:AG275" si="92">D253-D266-D268</f>
        <v>242283.92782708516</v>
      </c>
      <c r="E275" s="611">
        <f t="shared" si="92"/>
        <v>243981.66636427215</v>
      </c>
      <c r="F275" s="611">
        <f t="shared" si="92"/>
        <v>245838.80207104504</v>
      </c>
      <c r="G275" s="611">
        <f t="shared" si="92"/>
        <v>247850.13574702197</v>
      </c>
      <c r="H275" s="611">
        <f t="shared" si="92"/>
        <v>250009.25003282574</v>
      </c>
      <c r="I275" s="611">
        <f t="shared" si="92"/>
        <v>252177.35029211178</v>
      </c>
      <c r="J275" s="611">
        <f t="shared" si="92"/>
        <v>254477.69498890598</v>
      </c>
      <c r="K275" s="611">
        <f t="shared" si="92"/>
        <v>256889.64440088684</v>
      </c>
      <c r="L275" s="611">
        <f t="shared" si="92"/>
        <v>259380.2786231752</v>
      </c>
      <c r="M275" s="611">
        <f t="shared" si="92"/>
        <v>261895.68584534337</v>
      </c>
      <c r="N275" s="611">
        <f t="shared" si="92"/>
        <v>252557.13356292166</v>
      </c>
      <c r="O275" s="611">
        <f t="shared" si="92"/>
        <v>243944.64381020784</v>
      </c>
      <c r="P275" s="611">
        <f t="shared" si="92"/>
        <v>235568.69886263856</v>
      </c>
      <c r="Q275" s="611">
        <f t="shared" si="92"/>
        <v>227618.08681660841</v>
      </c>
      <c r="R275" s="611">
        <f t="shared" si="92"/>
        <v>220083.28635414847</v>
      </c>
      <c r="S275" s="611">
        <f t="shared" si="92"/>
        <v>212963.20562274565</v>
      </c>
      <c r="T275" s="611">
        <f t="shared" si="92"/>
        <v>206423.4152827599</v>
      </c>
      <c r="U275" s="611">
        <f t="shared" si="92"/>
        <v>200597.317511114</v>
      </c>
      <c r="V275" s="611">
        <f t="shared" si="92"/>
        <v>195594.91748075071</v>
      </c>
      <c r="W275" s="611">
        <f t="shared" si="92"/>
        <v>191476.30855484007</v>
      </c>
      <c r="X275" s="611">
        <f t="shared" si="92"/>
        <v>178025.94353343235</v>
      </c>
      <c r="Y275" s="611">
        <f t="shared" si="92"/>
        <v>165952.61405973861</v>
      </c>
      <c r="Z275" s="611">
        <f t="shared" si="92"/>
        <v>155545.50209448635</v>
      </c>
      <c r="AA275" s="611">
        <f t="shared" si="92"/>
        <v>146845.08744547362</v>
      </c>
      <c r="AB275" s="611">
        <f t="shared" si="92"/>
        <v>144368.38083908678</v>
      </c>
      <c r="AC275" s="611">
        <f t="shared" si="92"/>
        <v>141070.35812402033</v>
      </c>
      <c r="AD275" s="611">
        <f t="shared" si="92"/>
        <v>136977.2845553442</v>
      </c>
      <c r="AE275" s="611">
        <f t="shared" si="92"/>
        <v>132077.94145856728</v>
      </c>
      <c r="AF275" s="611">
        <f t="shared" si="92"/>
        <v>126408.86274388256</v>
      </c>
      <c r="AG275" s="619">
        <f t="shared" si="92"/>
        <v>120084.19679401793</v>
      </c>
      <c r="AI275" s="216" t="s">
        <v>755</v>
      </c>
      <c r="AJ275" s="302"/>
    </row>
    <row r="276" spans="1:36" s="216" customFormat="1">
      <c r="A276" s="332" t="s">
        <v>724</v>
      </c>
      <c r="B276" s="333" t="s">
        <v>127</v>
      </c>
      <c r="C276" s="620">
        <f>C254+C275</f>
        <v>1552681.3817703528</v>
      </c>
      <c r="D276" s="620">
        <f t="shared" ref="D276:AF276" si="93">D254+D275</f>
        <v>1538303.3706341099</v>
      </c>
      <c r="E276" s="620">
        <f t="shared" si="93"/>
        <v>1524103.6884771769</v>
      </c>
      <c r="F276" s="620">
        <f t="shared" si="93"/>
        <v>1510080.0651394208</v>
      </c>
      <c r="G276" s="620">
        <f t="shared" si="93"/>
        <v>1496229.5875499144</v>
      </c>
      <c r="H276" s="620">
        <f t="shared" si="93"/>
        <v>1482548.1080859238</v>
      </c>
      <c r="I276" s="620">
        <f t="shared" si="93"/>
        <v>1467296.1004413976</v>
      </c>
      <c r="J276" s="620">
        <f t="shared" si="93"/>
        <v>1452218.6645278551</v>
      </c>
      <c r="K276" s="620">
        <f t="shared" si="93"/>
        <v>1437297.665918326</v>
      </c>
      <c r="L276" s="620">
        <f t="shared" si="93"/>
        <v>1422502.670854134</v>
      </c>
      <c r="M276" s="620">
        <f t="shared" si="93"/>
        <v>1407782.2345219047</v>
      </c>
      <c r="N276" s="620">
        <f t="shared" si="93"/>
        <v>1374614.0029442431</v>
      </c>
      <c r="O276" s="620">
        <f t="shared" si="93"/>
        <v>1344939.0109380144</v>
      </c>
      <c r="P276" s="620">
        <f t="shared" si="93"/>
        <v>1312667.7733611639</v>
      </c>
      <c r="Q276" s="620">
        <f t="shared" si="93"/>
        <v>1280961.8554522023</v>
      </c>
      <c r="R276" s="620">
        <f t="shared" si="93"/>
        <v>1249815.3094029427</v>
      </c>
      <c r="S276" s="620">
        <f t="shared" si="93"/>
        <v>1219447.605223154</v>
      </c>
      <c r="T276" s="620">
        <f t="shared" si="93"/>
        <v>1189808.1619059911</v>
      </c>
      <c r="U276" s="620">
        <f t="shared" si="93"/>
        <v>1161033.8230168512</v>
      </c>
      <c r="V276" s="620">
        <f t="shared" si="93"/>
        <v>1133238.0040736995</v>
      </c>
      <c r="W276" s="620">
        <f t="shared" si="93"/>
        <v>1106484.1777409294</v>
      </c>
      <c r="X276" s="620">
        <f t="shared" si="93"/>
        <v>1062348.351233141</v>
      </c>
      <c r="Y276" s="620">
        <f t="shared" si="93"/>
        <v>1027718.6189504982</v>
      </c>
      <c r="Z276" s="620">
        <f t="shared" si="93"/>
        <v>994870.7100245076</v>
      </c>
      <c r="AA276" s="620">
        <f t="shared" si="93"/>
        <v>963690.3855877897</v>
      </c>
      <c r="AB276" s="620">
        <f t="shared" si="93"/>
        <v>933507.28204951505</v>
      </c>
      <c r="AC276" s="620">
        <f t="shared" si="93"/>
        <v>904899.35938385176</v>
      </c>
      <c r="AD276" s="620">
        <f t="shared" si="93"/>
        <v>877816.32598624495</v>
      </c>
      <c r="AE276" s="620">
        <f t="shared" si="93"/>
        <v>852170.24453418679</v>
      </c>
      <c r="AF276" s="620">
        <f t="shared" si="93"/>
        <v>827923.02935979248</v>
      </c>
      <c r="AG276" s="621">
        <f>AG254+AG275</f>
        <v>805116.24762861896</v>
      </c>
      <c r="AI276" s="216" t="s">
        <v>756</v>
      </c>
      <c r="AJ276" s="302"/>
    </row>
    <row r="277" spans="1:36">
      <c r="B277" s="123"/>
      <c r="C277" s="122"/>
      <c r="D277" s="122"/>
      <c r="E277" s="122"/>
      <c r="F277" s="122"/>
      <c r="G277" s="122"/>
      <c r="H277" s="122"/>
      <c r="I277" s="122"/>
      <c r="J277" s="122"/>
      <c r="K277" s="122"/>
      <c r="L277" s="122"/>
      <c r="M277" s="122"/>
      <c r="N277" s="122"/>
      <c r="O277" s="122"/>
      <c r="P277" s="122"/>
      <c r="Q277" s="122"/>
      <c r="R277" s="122"/>
      <c r="S277" s="122"/>
      <c r="T277" s="122"/>
      <c r="U277" s="122"/>
      <c r="V277" s="122"/>
      <c r="W277" s="122"/>
      <c r="X277" s="122"/>
      <c r="Y277" s="122"/>
      <c r="Z277" s="122"/>
      <c r="AA277" s="122"/>
      <c r="AB277" s="122"/>
      <c r="AC277" s="122"/>
      <c r="AD277" s="122"/>
      <c r="AE277" s="122"/>
      <c r="AF277" s="122"/>
      <c r="AG277" s="122"/>
      <c r="AI277" s="22"/>
    </row>
    <row r="278" spans="1:36" s="709" customFormat="1" ht="15.5" thickBot="1">
      <c r="A278" s="727"/>
      <c r="B278" s="728"/>
      <c r="C278" s="729"/>
      <c r="D278" s="607"/>
      <c r="E278" s="607"/>
      <c r="F278" s="607"/>
      <c r="G278" s="607"/>
      <c r="H278" s="607"/>
      <c r="I278" s="607"/>
      <c r="J278" s="607"/>
      <c r="K278" s="607"/>
      <c r="L278" s="607"/>
      <c r="M278" s="730"/>
      <c r="N278" s="647"/>
      <c r="O278" s="647"/>
      <c r="P278" s="647"/>
      <c r="Q278" s="647"/>
      <c r="R278" s="647"/>
      <c r="S278" s="647"/>
      <c r="T278" s="647"/>
      <c r="U278" s="647"/>
      <c r="V278" s="647"/>
      <c r="W278" s="731"/>
      <c r="X278" s="647"/>
      <c r="Y278" s="647"/>
      <c r="Z278" s="647"/>
      <c r="AA278" s="647"/>
      <c r="AB278" s="647"/>
      <c r="AC278" s="647"/>
      <c r="AD278" s="647"/>
      <c r="AE278" s="647"/>
      <c r="AF278" s="647"/>
      <c r="AG278" s="647"/>
      <c r="AJ278" s="732"/>
    </row>
    <row r="279" spans="1:36" s="709" customFormat="1" ht="15.5" hidden="1" thickTop="1">
      <c r="A279" s="733"/>
      <c r="B279" s="734"/>
      <c r="C279" s="647"/>
      <c r="D279" s="647"/>
      <c r="E279" s="647"/>
      <c r="F279" s="647"/>
      <c r="G279" s="647"/>
      <c r="H279" s="647"/>
      <c r="I279" s="647"/>
      <c r="J279" s="647"/>
      <c r="K279" s="647"/>
      <c r="L279" s="647"/>
      <c r="M279" s="647"/>
      <c r="N279" s="647"/>
      <c r="O279" s="647"/>
      <c r="P279" s="647"/>
      <c r="Q279" s="647"/>
      <c r="R279" s="647"/>
      <c r="S279" s="647"/>
      <c r="T279" s="647"/>
      <c r="U279" s="647"/>
      <c r="V279" s="647"/>
      <c r="W279" s="735"/>
      <c r="X279" s="647"/>
      <c r="Y279" s="647"/>
      <c r="Z279" s="647"/>
      <c r="AA279" s="647"/>
      <c r="AB279" s="647"/>
      <c r="AC279" s="647"/>
      <c r="AD279" s="647"/>
      <c r="AE279" s="647"/>
      <c r="AF279" s="647"/>
      <c r="AG279" s="736"/>
      <c r="AJ279" s="732"/>
    </row>
    <row r="280" spans="1:36" s="709" customFormat="1" ht="15.5" hidden="1" thickTop="1">
      <c r="B280" s="737"/>
      <c r="C280" s="647"/>
      <c r="D280" s="647"/>
      <c r="E280" s="647"/>
      <c r="F280" s="647"/>
      <c r="G280" s="647"/>
      <c r="H280" s="647"/>
      <c r="I280" s="647"/>
      <c r="J280" s="647"/>
      <c r="K280" s="647"/>
      <c r="L280" s="647"/>
      <c r="M280" s="647"/>
      <c r="N280" s="191"/>
      <c r="O280" s="191"/>
      <c r="P280" s="191"/>
      <c r="Q280" s="191"/>
      <c r="R280" s="191"/>
      <c r="S280" s="191"/>
      <c r="T280" s="191"/>
      <c r="U280" s="191"/>
      <c r="V280" s="191"/>
      <c r="W280" s="191"/>
      <c r="X280" s="191"/>
      <c r="Y280" s="191"/>
      <c r="Z280" s="191"/>
      <c r="AA280" s="191"/>
      <c r="AB280" s="191"/>
      <c r="AC280" s="191"/>
      <c r="AD280" s="191"/>
      <c r="AE280" s="191"/>
      <c r="AF280" s="191"/>
      <c r="AG280" s="736"/>
      <c r="AJ280" s="732"/>
    </row>
    <row r="281" spans="1:36" s="709" customFormat="1" ht="15.5" hidden="1" thickTop="1">
      <c r="B281" s="737"/>
      <c r="C281" s="647"/>
      <c r="D281" s="647"/>
      <c r="E281" s="647"/>
      <c r="F281" s="647"/>
      <c r="G281" s="647"/>
      <c r="H281" s="647"/>
      <c r="I281" s="647"/>
      <c r="J281" s="647"/>
      <c r="K281" s="647"/>
      <c r="L281" s="647"/>
      <c r="M281" s="647"/>
      <c r="N281" s="191"/>
      <c r="O281" s="191"/>
      <c r="P281" s="191"/>
      <c r="Q281" s="191"/>
      <c r="R281" s="191"/>
      <c r="S281" s="191"/>
      <c r="T281" s="191"/>
      <c r="U281" s="191"/>
      <c r="V281" s="191"/>
      <c r="W281" s="191"/>
      <c r="X281" s="191"/>
      <c r="Y281" s="191"/>
      <c r="Z281" s="191"/>
      <c r="AA281" s="191"/>
      <c r="AB281" s="191"/>
      <c r="AC281" s="191"/>
      <c r="AD281" s="191"/>
      <c r="AE281" s="191"/>
      <c r="AF281" s="191"/>
      <c r="AG281" s="736"/>
      <c r="AJ281" s="732"/>
    </row>
    <row r="282" spans="1:36" s="709" customFormat="1" ht="15.5" hidden="1" thickTop="1">
      <c r="B282" s="737"/>
      <c r="C282" s="647"/>
      <c r="D282" s="647"/>
      <c r="E282" s="647"/>
      <c r="F282" s="647"/>
      <c r="G282" s="647"/>
      <c r="H282" s="647"/>
      <c r="I282" s="647"/>
      <c r="J282" s="647"/>
      <c r="K282" s="647"/>
      <c r="L282" s="647"/>
      <c r="M282" s="647"/>
      <c r="N282" s="191"/>
      <c r="O282" s="191"/>
      <c r="P282" s="191"/>
      <c r="Q282" s="191"/>
      <c r="R282" s="191"/>
      <c r="S282" s="191"/>
      <c r="T282" s="191"/>
      <c r="U282" s="191"/>
      <c r="V282" s="191"/>
      <c r="W282" s="191"/>
      <c r="X282" s="191"/>
      <c r="Y282" s="191"/>
      <c r="Z282" s="191"/>
      <c r="AA282" s="191"/>
      <c r="AB282" s="191"/>
      <c r="AC282" s="191"/>
      <c r="AD282" s="191"/>
      <c r="AE282" s="191"/>
      <c r="AF282" s="191"/>
      <c r="AG282" s="736"/>
      <c r="AJ282" s="732"/>
    </row>
    <row r="283" spans="1:36" s="709" customFormat="1" ht="15.5" hidden="1" thickTop="1">
      <c r="C283" s="647"/>
      <c r="D283" s="647"/>
      <c r="E283" s="647"/>
      <c r="F283" s="647"/>
      <c r="G283" s="647"/>
      <c r="H283" s="647"/>
      <c r="I283" s="647"/>
      <c r="J283" s="647"/>
      <c r="K283" s="647"/>
      <c r="L283" s="647"/>
      <c r="M283" s="647"/>
      <c r="N283" s="191"/>
      <c r="O283" s="191"/>
      <c r="P283" s="191"/>
      <c r="Q283" s="191"/>
      <c r="R283" s="191"/>
      <c r="S283" s="191"/>
      <c r="T283" s="191"/>
      <c r="U283" s="191"/>
      <c r="V283" s="191"/>
      <c r="W283" s="191"/>
      <c r="X283" s="191"/>
      <c r="Y283" s="191"/>
      <c r="Z283" s="191"/>
      <c r="AA283" s="191"/>
      <c r="AB283" s="191"/>
      <c r="AC283" s="191"/>
      <c r="AD283" s="191"/>
      <c r="AE283" s="191"/>
      <c r="AF283" s="191"/>
      <c r="AG283" s="736"/>
      <c r="AJ283" s="732"/>
    </row>
    <row r="284" spans="1:36" s="709" customFormat="1" ht="15.5" hidden="1" thickTop="1">
      <c r="B284" s="738"/>
      <c r="C284" s="647"/>
      <c r="D284" s="647"/>
      <c r="E284" s="647"/>
      <c r="F284" s="647"/>
      <c r="G284" s="647"/>
      <c r="H284" s="647"/>
      <c r="I284" s="647"/>
      <c r="J284" s="647"/>
      <c r="K284" s="647"/>
      <c r="L284" s="647"/>
      <c r="M284" s="647"/>
      <c r="N284" s="191"/>
      <c r="O284" s="191"/>
      <c r="P284" s="191"/>
      <c r="Q284" s="191"/>
      <c r="R284" s="191"/>
      <c r="S284" s="191"/>
      <c r="T284" s="191"/>
      <c r="U284" s="191"/>
      <c r="V284" s="191"/>
      <c r="W284" s="191"/>
      <c r="X284" s="191"/>
      <c r="Y284" s="191"/>
      <c r="Z284" s="191"/>
      <c r="AA284" s="191"/>
      <c r="AB284" s="191"/>
      <c r="AC284" s="191"/>
      <c r="AD284" s="191"/>
      <c r="AE284" s="191"/>
      <c r="AF284" s="191"/>
      <c r="AG284" s="191"/>
      <c r="AJ284" s="732"/>
    </row>
    <row r="285" spans="1:36" s="709" customFormat="1" ht="15.5" hidden="1" thickTop="1">
      <c r="B285" s="733"/>
      <c r="C285" s="647"/>
      <c r="D285" s="647"/>
      <c r="E285" s="647"/>
      <c r="F285" s="647"/>
      <c r="G285" s="647"/>
      <c r="H285" s="647"/>
      <c r="I285" s="647"/>
      <c r="J285" s="647"/>
      <c r="K285" s="647"/>
      <c r="L285" s="647"/>
      <c r="M285" s="647"/>
      <c r="N285" s="191"/>
      <c r="O285" s="191"/>
      <c r="P285" s="191"/>
      <c r="Q285" s="191"/>
      <c r="R285" s="191"/>
      <c r="S285" s="191"/>
      <c r="T285" s="191"/>
      <c r="U285" s="191"/>
      <c r="V285" s="191"/>
      <c r="W285" s="191"/>
      <c r="X285" s="191"/>
      <c r="Y285" s="191"/>
      <c r="Z285" s="191"/>
      <c r="AA285" s="191"/>
      <c r="AB285" s="191"/>
      <c r="AC285" s="191"/>
      <c r="AD285" s="191"/>
      <c r="AE285" s="191"/>
      <c r="AF285" s="191"/>
      <c r="AG285" s="191"/>
      <c r="AJ285" s="732"/>
    </row>
    <row r="286" spans="1:36" s="709" customFormat="1" ht="15.5" thickTop="1">
      <c r="B286" s="738"/>
      <c r="C286" s="191"/>
      <c r="D286" s="191"/>
      <c r="E286" s="191"/>
      <c r="F286" s="191"/>
      <c r="G286" s="191"/>
      <c r="H286" s="191"/>
      <c r="I286" s="191"/>
      <c r="J286" s="191"/>
      <c r="K286" s="191"/>
      <c r="L286" s="191"/>
      <c r="M286" s="191"/>
      <c r="N286" s="191"/>
      <c r="O286" s="191"/>
      <c r="P286" s="191"/>
      <c r="Q286" s="191"/>
      <c r="R286" s="191"/>
      <c r="S286" s="191"/>
      <c r="T286" s="191"/>
      <c r="U286" s="191"/>
      <c r="V286" s="191"/>
      <c r="W286" s="191"/>
      <c r="X286" s="191"/>
      <c r="Y286" s="191"/>
      <c r="Z286" s="191"/>
      <c r="AA286" s="191"/>
      <c r="AB286" s="191"/>
      <c r="AC286" s="191"/>
      <c r="AD286" s="191"/>
      <c r="AE286" s="191"/>
      <c r="AF286" s="191"/>
      <c r="AG286" s="191"/>
      <c r="AJ286" s="732"/>
    </row>
    <row r="287" spans="1:36" s="709" customFormat="1">
      <c r="B287" s="737"/>
      <c r="C287" s="643"/>
      <c r="D287" s="191"/>
      <c r="E287" s="191"/>
      <c r="F287" s="191"/>
      <c r="G287" s="191"/>
      <c r="H287" s="191"/>
      <c r="I287" s="191"/>
      <c r="J287" s="191"/>
      <c r="K287" s="191"/>
      <c r="L287" s="191"/>
      <c r="M287" s="191"/>
      <c r="N287" s="191"/>
      <c r="O287" s="191"/>
      <c r="P287" s="191"/>
      <c r="Q287" s="191"/>
      <c r="R287" s="191"/>
      <c r="S287" s="191"/>
      <c r="T287" s="191"/>
      <c r="U287" s="191"/>
      <c r="V287" s="191"/>
      <c r="W287" s="191"/>
      <c r="X287" s="191"/>
      <c r="Y287" s="191"/>
      <c r="Z287" s="191"/>
      <c r="AA287" s="191"/>
      <c r="AB287" s="191"/>
      <c r="AC287" s="191"/>
      <c r="AD287" s="191"/>
      <c r="AE287" s="191"/>
      <c r="AF287" s="191"/>
      <c r="AG287" s="643"/>
      <c r="AH287" s="739"/>
      <c r="AI287" s="739"/>
      <c r="AJ287" s="732"/>
    </row>
    <row r="288" spans="1:36" s="709" customFormat="1">
      <c r="B288" s="737"/>
      <c r="C288" s="643"/>
      <c r="D288" s="191"/>
      <c r="E288" s="191"/>
      <c r="F288" s="191"/>
      <c r="G288" s="191"/>
      <c r="H288" s="191"/>
      <c r="I288" s="191"/>
      <c r="J288" s="191"/>
      <c r="K288" s="191"/>
      <c r="L288" s="191"/>
      <c r="M288" s="191"/>
      <c r="N288" s="191"/>
      <c r="O288" s="191"/>
      <c r="P288" s="191"/>
      <c r="Q288" s="191"/>
      <c r="R288" s="191"/>
      <c r="S288" s="191"/>
      <c r="T288" s="191"/>
      <c r="U288" s="191"/>
      <c r="V288" s="191"/>
      <c r="W288" s="191"/>
      <c r="X288" s="191"/>
      <c r="Y288" s="191"/>
      <c r="Z288" s="191"/>
      <c r="AA288" s="191"/>
      <c r="AB288" s="191"/>
      <c r="AC288" s="191"/>
      <c r="AD288" s="191"/>
      <c r="AE288" s="191"/>
      <c r="AF288" s="191"/>
      <c r="AG288" s="643"/>
      <c r="AJ288" s="732"/>
    </row>
    <row r="289" spans="2:36" s="709" customFormat="1">
      <c r="B289" s="737"/>
      <c r="C289" s="191"/>
      <c r="D289" s="191"/>
      <c r="E289" s="191"/>
      <c r="F289" s="191"/>
      <c r="G289" s="191"/>
      <c r="H289" s="191"/>
      <c r="I289" s="191"/>
      <c r="J289" s="191"/>
      <c r="K289" s="191"/>
      <c r="L289" s="191"/>
      <c r="M289" s="191"/>
      <c r="N289" s="191"/>
      <c r="O289" s="191"/>
      <c r="P289" s="191"/>
      <c r="Q289" s="191"/>
      <c r="R289" s="191"/>
      <c r="S289" s="191"/>
      <c r="T289" s="191"/>
      <c r="U289" s="191"/>
      <c r="V289" s="191"/>
      <c r="W289" s="191"/>
      <c r="X289" s="191"/>
      <c r="Y289" s="191"/>
      <c r="Z289" s="191"/>
      <c r="AA289" s="191"/>
      <c r="AB289" s="191"/>
      <c r="AC289" s="191"/>
      <c r="AD289" s="191"/>
      <c r="AE289" s="191"/>
      <c r="AF289" s="191"/>
      <c r="AG289" s="643"/>
      <c r="AJ289" s="732"/>
    </row>
    <row r="290" spans="2:36" s="709" customFormat="1">
      <c r="B290" s="737"/>
      <c r="C290" s="191"/>
      <c r="D290" s="191"/>
      <c r="E290" s="191"/>
      <c r="F290" s="191"/>
      <c r="G290" s="191"/>
      <c r="H290" s="191"/>
      <c r="I290" s="191"/>
      <c r="J290" s="191"/>
      <c r="K290" s="191"/>
      <c r="L290" s="191"/>
      <c r="M290" s="191"/>
      <c r="N290" s="191"/>
      <c r="O290" s="191"/>
      <c r="P290" s="191"/>
      <c r="Q290" s="191"/>
      <c r="R290" s="191"/>
      <c r="S290" s="191"/>
      <c r="T290" s="191"/>
      <c r="U290" s="191"/>
      <c r="V290" s="191"/>
      <c r="W290" s="191"/>
      <c r="X290" s="191"/>
      <c r="Y290" s="191"/>
      <c r="Z290" s="191"/>
      <c r="AA290" s="191"/>
      <c r="AB290" s="191"/>
      <c r="AC290" s="191"/>
      <c r="AD290" s="191"/>
      <c r="AE290" s="191"/>
      <c r="AF290" s="191"/>
      <c r="AG290" s="643"/>
      <c r="AJ290" s="732"/>
    </row>
    <row r="291" spans="2:36" s="709" customFormat="1">
      <c r="B291" s="737"/>
      <c r="C291" s="191"/>
      <c r="D291" s="191"/>
      <c r="E291" s="191"/>
      <c r="F291" s="191"/>
      <c r="G291" s="191"/>
      <c r="H291" s="191"/>
      <c r="I291" s="191"/>
      <c r="J291" s="191"/>
      <c r="K291" s="191"/>
      <c r="L291" s="191"/>
      <c r="M291" s="191"/>
      <c r="N291" s="191"/>
      <c r="O291" s="191"/>
      <c r="P291" s="191"/>
      <c r="Q291" s="191"/>
      <c r="R291" s="191"/>
      <c r="S291" s="191"/>
      <c r="T291" s="191"/>
      <c r="U291" s="191"/>
      <c r="V291" s="191"/>
      <c r="W291" s="191"/>
      <c r="X291" s="191"/>
      <c r="Y291" s="191"/>
      <c r="Z291" s="191"/>
      <c r="AA291" s="191"/>
      <c r="AB291" s="191"/>
      <c r="AC291" s="191"/>
      <c r="AD291" s="191"/>
      <c r="AE291" s="191"/>
      <c r="AF291" s="191"/>
      <c r="AG291" s="643"/>
      <c r="AJ291" s="732"/>
    </row>
    <row r="292" spans="2:36" s="709" customFormat="1">
      <c r="B292" s="737"/>
      <c r="C292" s="191"/>
      <c r="D292" s="191"/>
      <c r="E292" s="191"/>
      <c r="F292" s="191"/>
      <c r="G292" s="191"/>
      <c r="H292" s="191"/>
      <c r="I292" s="191"/>
      <c r="J292" s="191"/>
      <c r="K292" s="191"/>
      <c r="L292" s="191"/>
      <c r="M292" s="191"/>
      <c r="N292" s="191"/>
      <c r="O292" s="191"/>
      <c r="P292" s="191"/>
      <c r="Q292" s="191"/>
      <c r="R292" s="191"/>
      <c r="S292" s="191"/>
      <c r="T292" s="191"/>
      <c r="U292" s="191"/>
      <c r="V292" s="191"/>
      <c r="W292" s="191"/>
      <c r="X292" s="191"/>
      <c r="Y292" s="191"/>
      <c r="Z292" s="191"/>
      <c r="AA292" s="191"/>
      <c r="AB292" s="191"/>
      <c r="AC292" s="191"/>
      <c r="AD292" s="191"/>
      <c r="AE292" s="191"/>
      <c r="AF292" s="191"/>
      <c r="AG292" s="643"/>
      <c r="AJ292" s="732"/>
    </row>
  </sheetData>
  <sortState xmlns:xlrd2="http://schemas.microsoft.com/office/spreadsheetml/2017/richdata2" ref="AZ4:BA19">
    <sortCondition ref="AZ4:AZ19"/>
  </sortState>
  <mergeCells count="2">
    <mergeCell ref="BD100:BE100"/>
    <mergeCell ref="AI246:AI254"/>
  </mergeCells>
  <phoneticPr fontId="20" type="noConversion"/>
  <pageMargins left="0.7" right="0.7" top="0.75" bottom="0.75" header="0.3" footer="0.3"/>
  <pageSetup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B7577-3F00-4150-8F03-DDB32EF9A7CA}">
  <sheetPr>
    <tabColor theme="4"/>
  </sheetPr>
  <dimension ref="A1:BL338"/>
  <sheetViews>
    <sheetView topLeftCell="B1" zoomScale="70" zoomScaleNormal="70" workbookViewId="0">
      <selection activeCell="AJ218" sqref="AJ218:AJ219"/>
    </sheetView>
  </sheetViews>
  <sheetFormatPr defaultRowHeight="14.75" outlineLevelRow="2" outlineLevelCol="1"/>
  <cols>
    <col min="1" max="1" width="77.7265625" customWidth="1"/>
    <col min="2" max="2" width="15.36328125" style="51" customWidth="1"/>
    <col min="3" max="3" width="13.76953125" style="101" customWidth="1"/>
    <col min="4" max="12" width="8.81640625" style="101" hidden="1" customWidth="1" outlineLevel="1"/>
    <col min="13" max="13" width="10.36328125" style="101" customWidth="1" collapsed="1"/>
    <col min="14" max="22" width="8.81640625" style="101" hidden="1" customWidth="1" outlineLevel="1"/>
    <col min="23" max="23" width="12.76953125" style="101" bestFit="1" customWidth="1" collapsed="1"/>
    <col min="24" max="32" width="8.81640625" style="101" hidden="1" customWidth="1" outlineLevel="1"/>
    <col min="33" max="33" width="12.76953125" style="101" bestFit="1" customWidth="1" collapsed="1"/>
    <col min="34" max="34" width="17.54296875" customWidth="1"/>
    <col min="35" max="35" width="52.81640625" bestFit="1" customWidth="1"/>
    <col min="36" max="36" width="30.36328125" style="3" customWidth="1"/>
    <col min="37" max="37" width="13.26953125" customWidth="1"/>
    <col min="38" max="38" width="20.36328125" bestFit="1" customWidth="1"/>
    <col min="41" max="41" width="17.81640625" customWidth="1"/>
    <col min="42" max="42" width="18.08984375" customWidth="1"/>
    <col min="44" max="44" width="10.36328125" customWidth="1"/>
    <col min="47" max="47" width="20.08984375" bestFit="1" customWidth="1"/>
    <col min="55" max="55" width="49" bestFit="1" customWidth="1"/>
    <col min="56" max="56" width="8.81640625" customWidth="1"/>
  </cols>
  <sheetData>
    <row r="1" spans="1:47">
      <c r="C1" s="113">
        <v>2020</v>
      </c>
      <c r="D1" s="113">
        <f>C1+1</f>
        <v>2021</v>
      </c>
      <c r="E1" s="113">
        <f t="shared" ref="E1:L1" si="0">D1+1</f>
        <v>2022</v>
      </c>
      <c r="F1" s="113">
        <f t="shared" si="0"/>
        <v>2023</v>
      </c>
      <c r="G1" s="113">
        <f t="shared" si="0"/>
        <v>2024</v>
      </c>
      <c r="H1" s="113">
        <f t="shared" si="0"/>
        <v>2025</v>
      </c>
      <c r="I1" s="113">
        <f t="shared" si="0"/>
        <v>2026</v>
      </c>
      <c r="J1" s="113">
        <f t="shared" si="0"/>
        <v>2027</v>
      </c>
      <c r="K1" s="113">
        <f t="shared" si="0"/>
        <v>2028</v>
      </c>
      <c r="L1" s="113">
        <f t="shared" si="0"/>
        <v>2029</v>
      </c>
      <c r="M1" s="113">
        <v>2030</v>
      </c>
      <c r="N1" s="113">
        <f>M1+1</f>
        <v>2031</v>
      </c>
      <c r="O1" s="113">
        <f t="shared" ref="O1:V1" si="1">N1+1</f>
        <v>2032</v>
      </c>
      <c r="P1" s="113">
        <f t="shared" si="1"/>
        <v>2033</v>
      </c>
      <c r="Q1" s="113">
        <f t="shared" si="1"/>
        <v>2034</v>
      </c>
      <c r="R1" s="113">
        <f t="shared" si="1"/>
        <v>2035</v>
      </c>
      <c r="S1" s="113">
        <f t="shared" si="1"/>
        <v>2036</v>
      </c>
      <c r="T1" s="113">
        <f t="shared" si="1"/>
        <v>2037</v>
      </c>
      <c r="U1" s="113">
        <f t="shared" si="1"/>
        <v>2038</v>
      </c>
      <c r="V1" s="113">
        <f t="shared" si="1"/>
        <v>2039</v>
      </c>
      <c r="W1" s="113">
        <v>2040</v>
      </c>
      <c r="X1" s="113">
        <f>W1+1</f>
        <v>2041</v>
      </c>
      <c r="Y1" s="113">
        <f t="shared" ref="Y1:AF1" si="2">X1+1</f>
        <v>2042</v>
      </c>
      <c r="Z1" s="113">
        <f t="shared" si="2"/>
        <v>2043</v>
      </c>
      <c r="AA1" s="113">
        <f t="shared" si="2"/>
        <v>2044</v>
      </c>
      <c r="AB1" s="113">
        <f t="shared" si="2"/>
        <v>2045</v>
      </c>
      <c r="AC1" s="113">
        <f t="shared" si="2"/>
        <v>2046</v>
      </c>
      <c r="AD1" s="113">
        <f t="shared" si="2"/>
        <v>2047</v>
      </c>
      <c r="AE1" s="113">
        <f t="shared" si="2"/>
        <v>2048</v>
      </c>
      <c r="AF1" s="113">
        <f t="shared" si="2"/>
        <v>2049</v>
      </c>
      <c r="AG1" s="113">
        <v>2050</v>
      </c>
      <c r="AI1" s="1" t="s">
        <v>67</v>
      </c>
      <c r="AJ1" s="151" t="s">
        <v>60</v>
      </c>
      <c r="AO1" s="1"/>
    </row>
    <row r="2" spans="1:47" ht="15.5" thickBot="1">
      <c r="A2" s="187" t="s">
        <v>267</v>
      </c>
      <c r="B2" s="206" t="s">
        <v>127</v>
      </c>
      <c r="C2" s="186">
        <f>SUM('Yearly Demand - Eth-Prop'!L3,'Yearly Demand - Eth-Prop'!L4,'Yearly Demand - C4'!O3,'Yearly Demand - BTX'!N3)*0.8</f>
        <v>5301378.929236711</v>
      </c>
      <c r="D2" s="186">
        <f>SUM('Yearly Demand - Eth-Prop'!M3,'Yearly Demand - Eth-Prop'!M4,'Yearly Demand - C4'!P3,'Yearly Demand - BTX'!O3)*0.8</f>
        <v>5301378.929236711</v>
      </c>
      <c r="E2" s="186">
        <f>SUM('Yearly Demand - Eth-Prop'!N3,'Yearly Demand - Eth-Prop'!N4,'Yearly Demand - C4'!Q3,'Yearly Demand - BTX'!P3)*0.8</f>
        <v>5301378.929236711</v>
      </c>
      <c r="F2" s="186">
        <f>SUM('Yearly Demand - Eth-Prop'!O3,'Yearly Demand - Eth-Prop'!O4,'Yearly Demand - C4'!R3,'Yearly Demand - BTX'!Q3)*0.8</f>
        <v>5301378.929236711</v>
      </c>
      <c r="G2" s="186">
        <f>SUM('Yearly Demand - Eth-Prop'!P3,'Yearly Demand - Eth-Prop'!P4,'Yearly Demand - C4'!S3,'Yearly Demand - BTX'!R3)*0.8</f>
        <v>5301378.929236711</v>
      </c>
      <c r="H2" s="186">
        <f>SUM('Yearly Demand - Eth-Prop'!Q3,'Yearly Demand - Eth-Prop'!Q4,'Yearly Demand - C4'!T3,'Yearly Demand - BTX'!S3)*0.8</f>
        <v>5301378.929236711</v>
      </c>
      <c r="I2" s="186">
        <f>SUM('Yearly Demand - Eth-Prop'!R3,'Yearly Demand - Eth-Prop'!R4,'Yearly Demand - C4'!U3,'Yearly Demand - BTX'!T3)*0.8</f>
        <v>5301378.929236711</v>
      </c>
      <c r="J2" s="186">
        <f>SUM('Yearly Demand - Eth-Prop'!S3,'Yearly Demand - Eth-Prop'!S4,'Yearly Demand - C4'!V3,'Yearly Demand - BTX'!U3)*0.8</f>
        <v>5301378.929236711</v>
      </c>
      <c r="K2" s="186">
        <f>SUM('Yearly Demand - Eth-Prop'!T3,'Yearly Demand - Eth-Prop'!T4,'Yearly Demand - C4'!W3,'Yearly Demand - BTX'!V3)*0.8</f>
        <v>5301378.929236711</v>
      </c>
      <c r="L2" s="186">
        <f>SUM('Yearly Demand - Eth-Prop'!U3,'Yearly Demand - Eth-Prop'!U4,'Yearly Demand - C4'!X3,'Yearly Demand - BTX'!W3)*0.8</f>
        <v>5301378.929236711</v>
      </c>
      <c r="M2" s="186">
        <f>SUM('Yearly Demand - Eth-Prop'!V3,'Yearly Demand - Eth-Prop'!V4,'Yearly Demand - C4'!Y3,'Yearly Demand - BTX'!X3)*0.8</f>
        <v>5301378.929236711</v>
      </c>
      <c r="N2" s="186">
        <f>SUM('Yearly Demand - Eth-Prop'!W3,'Yearly Demand - Eth-Prop'!W4,'Yearly Demand - C4'!Z3,'Yearly Demand - BTX'!Y3)*0.8</f>
        <v>5301378.929236711</v>
      </c>
      <c r="O2" s="186">
        <f>SUM('Yearly Demand - Eth-Prop'!X3,'Yearly Demand - Eth-Prop'!X4,'Yearly Demand - C4'!AA3,'Yearly Demand - BTX'!Z3)*0.8</f>
        <v>5301378.929236711</v>
      </c>
      <c r="P2" s="186">
        <f>SUM('Yearly Demand - Eth-Prop'!Y3,'Yearly Demand - Eth-Prop'!Y4,'Yearly Demand - C4'!AB3,'Yearly Demand - BTX'!AA3)*0.8</f>
        <v>5301378.929236711</v>
      </c>
      <c r="Q2" s="186">
        <f>SUM('Yearly Demand - Eth-Prop'!Z3,'Yearly Demand - Eth-Prop'!Z4,'Yearly Demand - C4'!AC3,'Yearly Demand - BTX'!AB3)*0.8</f>
        <v>5301378.929236711</v>
      </c>
      <c r="R2" s="186">
        <f>SUM('Yearly Demand - Eth-Prop'!AA3,'Yearly Demand - Eth-Prop'!AA4,'Yearly Demand - C4'!AD3,'Yearly Demand - BTX'!AC3)*0.8</f>
        <v>5301378.929236711</v>
      </c>
      <c r="S2" s="186">
        <f>SUM('Yearly Demand - Eth-Prop'!AB3,'Yearly Demand - Eth-Prop'!AB4,'Yearly Demand - C4'!AE3,'Yearly Demand - BTX'!AD3)*0.8</f>
        <v>5301378.929236711</v>
      </c>
      <c r="T2" s="186">
        <f>SUM('Yearly Demand - Eth-Prop'!AC3,'Yearly Demand - Eth-Prop'!AC4,'Yearly Demand - C4'!AF3,'Yearly Demand - BTX'!AE3)*0.8</f>
        <v>5301378.929236711</v>
      </c>
      <c r="U2" s="186">
        <f>SUM('Yearly Demand - Eth-Prop'!AD3,'Yearly Demand - Eth-Prop'!AD4,'Yearly Demand - C4'!AG3,'Yearly Demand - BTX'!AF3)*0.8</f>
        <v>5301378.929236711</v>
      </c>
      <c r="V2" s="186">
        <f>SUM('Yearly Demand - Eth-Prop'!AE3,'Yearly Demand - Eth-Prop'!AE4,'Yearly Demand - C4'!AH3,'Yearly Demand - BTX'!AG3)*0.8</f>
        <v>5301378.929236711</v>
      </c>
      <c r="W2" s="186">
        <f>SUM('Yearly Demand - Eth-Prop'!AF3,'Yearly Demand - Eth-Prop'!AF4,'Yearly Demand - C4'!AI3,'Yearly Demand - BTX'!AH3)*0.8</f>
        <v>5301378.929236711</v>
      </c>
      <c r="X2" s="186">
        <f>SUM('Yearly Demand - Eth-Prop'!AG3,'Yearly Demand - Eth-Prop'!AG4,'Yearly Demand - C4'!AJ3,'Yearly Demand - BTX'!AI3)*0.8</f>
        <v>5301378.929236711</v>
      </c>
      <c r="Y2" s="186">
        <f>SUM('Yearly Demand - Eth-Prop'!AH3,'Yearly Demand - Eth-Prop'!AH4,'Yearly Demand - C4'!AK3,'Yearly Demand - BTX'!AJ3)*0.8</f>
        <v>5301378.929236711</v>
      </c>
      <c r="Z2" s="186">
        <f>SUM('Yearly Demand - Eth-Prop'!AI3,'Yearly Demand - Eth-Prop'!AI4,'Yearly Demand - C4'!AL3,'Yearly Demand - BTX'!AK3)*0.8</f>
        <v>5301378.929236711</v>
      </c>
      <c r="AA2" s="186">
        <f>SUM('Yearly Demand - Eth-Prop'!AJ3,'Yearly Demand - Eth-Prop'!AJ4,'Yearly Demand - C4'!AM3,'Yearly Demand - BTX'!AL3)*0.8</f>
        <v>5301378.929236711</v>
      </c>
      <c r="AB2" s="186">
        <f>SUM('Yearly Demand - Eth-Prop'!AK3,'Yearly Demand - Eth-Prop'!AK4,'Yearly Demand - C4'!AN3,'Yearly Demand - BTX'!AM3)*0.8</f>
        <v>5301378.929236711</v>
      </c>
      <c r="AC2" s="186">
        <f>SUM('Yearly Demand - Eth-Prop'!AL3,'Yearly Demand - Eth-Prop'!AL4,'Yearly Demand - C4'!AO3,'Yearly Demand - BTX'!AN3)*0.8</f>
        <v>5301378.929236711</v>
      </c>
      <c r="AD2" s="186">
        <f>SUM('Yearly Demand - Eth-Prop'!AM3,'Yearly Demand - Eth-Prop'!AM4,'Yearly Demand - C4'!AP3,'Yearly Demand - BTX'!AO3)*0.8</f>
        <v>5301378.929236711</v>
      </c>
      <c r="AE2" s="186">
        <f>SUM('Yearly Demand - Eth-Prop'!AN3,'Yearly Demand - Eth-Prop'!AN4,'Yearly Demand - C4'!AQ3,'Yearly Demand - BTX'!AP3)*0.8</f>
        <v>5301378.929236711</v>
      </c>
      <c r="AF2" s="186">
        <f>SUM('Yearly Demand - Eth-Prop'!AO3,'Yearly Demand - Eth-Prop'!AO4,'Yearly Demand - C4'!AR3,'Yearly Demand - BTX'!AQ3)*0.8</f>
        <v>5301378.929236711</v>
      </c>
      <c r="AG2" s="186">
        <f>SUM('Yearly Demand - Eth-Prop'!AP3,'Yearly Demand - Eth-Prop'!AP4,'Yearly Demand - C4'!AS3,'Yearly Demand - BTX'!AR3)*0.8</f>
        <v>5301378.929236711</v>
      </c>
      <c r="AH2" s="676"/>
      <c r="AI2" s="677">
        <f>(AG2/C2)^(1/30)-1</f>
        <v>0</v>
      </c>
      <c r="AJ2" s="199"/>
      <c r="AR2" s="1"/>
      <c r="AU2" s="22"/>
    </row>
    <row r="3" spans="1:47" ht="15.5" outlineLevel="1" thickTop="1">
      <c r="C3" s="105"/>
      <c r="D3" s="105"/>
      <c r="E3" s="105"/>
      <c r="F3" s="105"/>
      <c r="G3" s="105"/>
      <c r="H3" s="105"/>
      <c r="I3" s="105"/>
      <c r="J3" s="105"/>
      <c r="K3" s="105"/>
      <c r="L3" s="105"/>
      <c r="N3" s="105"/>
      <c r="O3" s="105"/>
      <c r="P3" s="105"/>
      <c r="Q3" s="105"/>
      <c r="R3" s="105"/>
      <c r="S3" s="105"/>
      <c r="T3" s="105"/>
      <c r="U3" s="105"/>
      <c r="V3" s="105"/>
      <c r="X3" s="105"/>
      <c r="Y3" s="105"/>
      <c r="Z3" s="105"/>
      <c r="AA3" s="105"/>
      <c r="AB3" s="105"/>
      <c r="AC3" s="105"/>
      <c r="AD3" s="105"/>
      <c r="AE3" s="105"/>
      <c r="AF3" s="105"/>
      <c r="AI3" s="52"/>
      <c r="AJ3" s="200"/>
    </row>
    <row r="4" spans="1:47" outlineLevel="1">
      <c r="A4" t="s">
        <v>401</v>
      </c>
      <c r="B4" s="51" t="s">
        <v>126</v>
      </c>
      <c r="C4" s="104">
        <f>'Waste gen. - Industry shares'!C18+'Waste gen. - Industry shares'!C22</f>
        <v>0.52761781690498222</v>
      </c>
      <c r="D4" s="22">
        <f>C4</f>
        <v>0.52761781690498222</v>
      </c>
      <c r="E4" s="22">
        <f t="shared" ref="E4:T8" si="3">D4</f>
        <v>0.52761781690498222</v>
      </c>
      <c r="F4" s="22">
        <f t="shared" si="3"/>
        <v>0.52761781690498222</v>
      </c>
      <c r="G4" s="22">
        <f t="shared" si="3"/>
        <v>0.52761781690498222</v>
      </c>
      <c r="H4" s="22">
        <f t="shared" si="3"/>
        <v>0.52761781690498222</v>
      </c>
      <c r="I4" s="22">
        <f t="shared" si="3"/>
        <v>0.52761781690498222</v>
      </c>
      <c r="J4" s="22">
        <f t="shared" si="3"/>
        <v>0.52761781690498222</v>
      </c>
      <c r="K4" s="22">
        <f t="shared" si="3"/>
        <v>0.52761781690498222</v>
      </c>
      <c r="L4" s="22">
        <f t="shared" si="3"/>
        <v>0.52761781690498222</v>
      </c>
      <c r="M4" s="22">
        <f t="shared" si="3"/>
        <v>0.52761781690498222</v>
      </c>
      <c r="N4" s="22">
        <f t="shared" si="3"/>
        <v>0.52761781690498222</v>
      </c>
      <c r="O4" s="22">
        <f t="shared" si="3"/>
        <v>0.52761781690498222</v>
      </c>
      <c r="P4" s="22">
        <f t="shared" si="3"/>
        <v>0.52761781690498222</v>
      </c>
      <c r="Q4" s="22">
        <f t="shared" si="3"/>
        <v>0.52761781690498222</v>
      </c>
      <c r="R4" s="22">
        <f t="shared" si="3"/>
        <v>0.52761781690498222</v>
      </c>
      <c r="S4" s="22">
        <f t="shared" si="3"/>
        <v>0.52761781690498222</v>
      </c>
      <c r="T4" s="22">
        <f t="shared" si="3"/>
        <v>0.52761781690498222</v>
      </c>
      <c r="U4" s="22">
        <f t="shared" ref="T4:AG8" si="4">T4</f>
        <v>0.52761781690498222</v>
      </c>
      <c r="V4" s="22">
        <f t="shared" si="4"/>
        <v>0.52761781690498222</v>
      </c>
      <c r="W4" s="22">
        <f t="shared" si="4"/>
        <v>0.52761781690498222</v>
      </c>
      <c r="X4" s="22">
        <f t="shared" si="4"/>
        <v>0.52761781690498222</v>
      </c>
      <c r="Y4" s="22">
        <f t="shared" si="4"/>
        <v>0.52761781690498222</v>
      </c>
      <c r="Z4" s="22">
        <f t="shared" si="4"/>
        <v>0.52761781690498222</v>
      </c>
      <c r="AA4" s="22">
        <f t="shared" si="4"/>
        <v>0.52761781690498222</v>
      </c>
      <c r="AB4" s="22">
        <f t="shared" si="4"/>
        <v>0.52761781690498222</v>
      </c>
      <c r="AC4" s="22">
        <f t="shared" si="4"/>
        <v>0.52761781690498222</v>
      </c>
      <c r="AD4" s="22">
        <f t="shared" si="4"/>
        <v>0.52761781690498222</v>
      </c>
      <c r="AE4" s="22">
        <f t="shared" si="4"/>
        <v>0.52761781690498222</v>
      </c>
      <c r="AF4" s="22">
        <f t="shared" si="4"/>
        <v>0.52761781690498222</v>
      </c>
      <c r="AG4" s="22">
        <f t="shared" si="4"/>
        <v>0.52761781690498222</v>
      </c>
      <c r="AI4" s="51" t="s">
        <v>268</v>
      </c>
      <c r="AJ4" s="198"/>
    </row>
    <row r="5" spans="1:47" outlineLevel="1">
      <c r="A5" t="s">
        <v>286</v>
      </c>
      <c r="B5" s="51" t="s">
        <v>126</v>
      </c>
      <c r="C5" s="104">
        <f>'Waste gen. - Industry shares'!C20</f>
        <v>4.980376521164729E-2</v>
      </c>
      <c r="D5" s="22">
        <f>C5</f>
        <v>4.980376521164729E-2</v>
      </c>
      <c r="E5" s="22">
        <f t="shared" si="3"/>
        <v>4.980376521164729E-2</v>
      </c>
      <c r="F5" s="22">
        <f t="shared" si="3"/>
        <v>4.980376521164729E-2</v>
      </c>
      <c r="G5" s="22">
        <f t="shared" si="3"/>
        <v>4.980376521164729E-2</v>
      </c>
      <c r="H5" s="22">
        <f t="shared" si="3"/>
        <v>4.980376521164729E-2</v>
      </c>
      <c r="I5" s="22">
        <f t="shared" si="3"/>
        <v>4.980376521164729E-2</v>
      </c>
      <c r="J5" s="22">
        <f t="shared" si="3"/>
        <v>4.980376521164729E-2</v>
      </c>
      <c r="K5" s="22">
        <f t="shared" si="3"/>
        <v>4.980376521164729E-2</v>
      </c>
      <c r="L5" s="22">
        <f t="shared" si="3"/>
        <v>4.980376521164729E-2</v>
      </c>
      <c r="M5" s="22">
        <f t="shared" si="3"/>
        <v>4.980376521164729E-2</v>
      </c>
      <c r="N5" s="22">
        <f t="shared" si="3"/>
        <v>4.980376521164729E-2</v>
      </c>
      <c r="O5" s="22">
        <f t="shared" si="3"/>
        <v>4.980376521164729E-2</v>
      </c>
      <c r="P5" s="22">
        <f t="shared" si="3"/>
        <v>4.980376521164729E-2</v>
      </c>
      <c r="Q5" s="22">
        <f t="shared" si="3"/>
        <v>4.980376521164729E-2</v>
      </c>
      <c r="R5" s="22">
        <f t="shared" si="3"/>
        <v>4.980376521164729E-2</v>
      </c>
      <c r="S5" s="22">
        <f t="shared" si="3"/>
        <v>4.980376521164729E-2</v>
      </c>
      <c r="T5" s="22">
        <f t="shared" si="4"/>
        <v>4.980376521164729E-2</v>
      </c>
      <c r="U5" s="22">
        <f t="shared" si="4"/>
        <v>4.980376521164729E-2</v>
      </c>
      <c r="V5" s="22">
        <f t="shared" si="4"/>
        <v>4.980376521164729E-2</v>
      </c>
      <c r="W5" s="22">
        <f t="shared" si="4"/>
        <v>4.980376521164729E-2</v>
      </c>
      <c r="X5" s="22">
        <f t="shared" si="4"/>
        <v>4.980376521164729E-2</v>
      </c>
      <c r="Y5" s="22">
        <f t="shared" si="4"/>
        <v>4.980376521164729E-2</v>
      </c>
      <c r="Z5" s="22">
        <f t="shared" si="4"/>
        <v>4.980376521164729E-2</v>
      </c>
      <c r="AA5" s="22">
        <f t="shared" si="4"/>
        <v>4.980376521164729E-2</v>
      </c>
      <c r="AB5" s="22">
        <f t="shared" si="4"/>
        <v>4.980376521164729E-2</v>
      </c>
      <c r="AC5" s="22">
        <f t="shared" si="4"/>
        <v>4.980376521164729E-2</v>
      </c>
      <c r="AD5" s="22">
        <f t="shared" si="4"/>
        <v>4.980376521164729E-2</v>
      </c>
      <c r="AE5" s="22">
        <f t="shared" si="4"/>
        <v>4.980376521164729E-2</v>
      </c>
      <c r="AF5" s="22">
        <f t="shared" si="4"/>
        <v>4.980376521164729E-2</v>
      </c>
      <c r="AG5" s="22">
        <f>AF5</f>
        <v>4.980376521164729E-2</v>
      </c>
      <c r="AI5" s="51" t="s">
        <v>268</v>
      </c>
      <c r="AJ5" s="198"/>
    </row>
    <row r="6" spans="1:47" outlineLevel="1">
      <c r="A6" t="s">
        <v>287</v>
      </c>
      <c r="B6" s="51" t="s">
        <v>126</v>
      </c>
      <c r="C6" s="104">
        <f>'Waste gen. - Industry shares'!C19</f>
        <v>3.9181884245312638E-2</v>
      </c>
      <c r="D6" s="22">
        <f t="shared" ref="D6:D7" si="5">C6</f>
        <v>3.9181884245312638E-2</v>
      </c>
      <c r="E6" s="22">
        <f t="shared" si="3"/>
        <v>3.9181884245312638E-2</v>
      </c>
      <c r="F6" s="22">
        <f t="shared" si="3"/>
        <v>3.9181884245312638E-2</v>
      </c>
      <c r="G6" s="22">
        <f t="shared" si="3"/>
        <v>3.9181884245312638E-2</v>
      </c>
      <c r="H6" s="22">
        <f t="shared" si="3"/>
        <v>3.9181884245312638E-2</v>
      </c>
      <c r="I6" s="22">
        <f t="shared" si="3"/>
        <v>3.9181884245312638E-2</v>
      </c>
      <c r="J6" s="22">
        <f t="shared" si="3"/>
        <v>3.9181884245312638E-2</v>
      </c>
      <c r="K6" s="22">
        <f t="shared" si="3"/>
        <v>3.9181884245312638E-2</v>
      </c>
      <c r="L6" s="22">
        <f t="shared" si="3"/>
        <v>3.9181884245312638E-2</v>
      </c>
      <c r="M6" s="22">
        <f t="shared" si="3"/>
        <v>3.9181884245312638E-2</v>
      </c>
      <c r="N6" s="22">
        <f t="shared" si="3"/>
        <v>3.9181884245312638E-2</v>
      </c>
      <c r="O6" s="22">
        <f t="shared" si="3"/>
        <v>3.9181884245312638E-2</v>
      </c>
      <c r="P6" s="22">
        <f t="shared" si="3"/>
        <v>3.9181884245312638E-2</v>
      </c>
      <c r="Q6" s="22">
        <f t="shared" si="3"/>
        <v>3.9181884245312638E-2</v>
      </c>
      <c r="R6" s="22">
        <f t="shared" si="3"/>
        <v>3.9181884245312638E-2</v>
      </c>
      <c r="S6" s="22">
        <f t="shared" si="3"/>
        <v>3.9181884245312638E-2</v>
      </c>
      <c r="T6" s="22">
        <f t="shared" si="3"/>
        <v>3.9181884245312638E-2</v>
      </c>
      <c r="U6" s="22">
        <f t="shared" si="4"/>
        <v>3.9181884245312638E-2</v>
      </c>
      <c r="V6" s="22">
        <f t="shared" si="4"/>
        <v>3.9181884245312638E-2</v>
      </c>
      <c r="W6" s="22">
        <f t="shared" si="4"/>
        <v>3.9181884245312638E-2</v>
      </c>
      <c r="X6" s="22">
        <f t="shared" si="4"/>
        <v>3.9181884245312638E-2</v>
      </c>
      <c r="Y6" s="22">
        <f t="shared" si="4"/>
        <v>3.9181884245312638E-2</v>
      </c>
      <c r="Z6" s="22">
        <f t="shared" si="4"/>
        <v>3.9181884245312638E-2</v>
      </c>
      <c r="AA6" s="22">
        <f t="shared" si="4"/>
        <v>3.9181884245312638E-2</v>
      </c>
      <c r="AB6" s="22">
        <f t="shared" si="4"/>
        <v>3.9181884245312638E-2</v>
      </c>
      <c r="AC6" s="22">
        <f t="shared" si="4"/>
        <v>3.9181884245312638E-2</v>
      </c>
      <c r="AD6" s="22">
        <f t="shared" si="4"/>
        <v>3.9181884245312638E-2</v>
      </c>
      <c r="AE6" s="22">
        <f t="shared" si="4"/>
        <v>3.9181884245312638E-2</v>
      </c>
      <c r="AF6" s="22">
        <f t="shared" si="4"/>
        <v>3.9181884245312638E-2</v>
      </c>
      <c r="AG6" s="22">
        <f t="shared" si="4"/>
        <v>3.9181884245312638E-2</v>
      </c>
      <c r="AI6" s="51" t="s">
        <v>268</v>
      </c>
      <c r="AJ6" s="198"/>
      <c r="AR6" s="22"/>
    </row>
    <row r="7" spans="1:47" outlineLevel="1">
      <c r="A7" t="s">
        <v>410</v>
      </c>
      <c r="B7" s="51" t="s">
        <v>126</v>
      </c>
      <c r="C7" s="104">
        <f>'Waste gen. - Industry shares'!C23</f>
        <v>0.1</v>
      </c>
      <c r="D7" s="22">
        <f t="shared" si="5"/>
        <v>0.1</v>
      </c>
      <c r="E7" s="22">
        <f t="shared" si="3"/>
        <v>0.1</v>
      </c>
      <c r="F7" s="22">
        <f t="shared" si="3"/>
        <v>0.1</v>
      </c>
      <c r="G7" s="22">
        <f t="shared" si="3"/>
        <v>0.1</v>
      </c>
      <c r="H7" s="22">
        <f t="shared" si="3"/>
        <v>0.1</v>
      </c>
      <c r="I7" s="22">
        <f t="shared" si="3"/>
        <v>0.1</v>
      </c>
      <c r="J7" s="22">
        <f t="shared" si="3"/>
        <v>0.1</v>
      </c>
      <c r="K7" s="22">
        <f t="shared" si="3"/>
        <v>0.1</v>
      </c>
      <c r="L7" s="22">
        <f t="shared" si="3"/>
        <v>0.1</v>
      </c>
      <c r="M7" s="22">
        <f>L7</f>
        <v>0.1</v>
      </c>
      <c r="N7" s="22">
        <f t="shared" si="3"/>
        <v>0.1</v>
      </c>
      <c r="O7" s="22">
        <f t="shared" si="3"/>
        <v>0.1</v>
      </c>
      <c r="P7" s="22">
        <f t="shared" si="3"/>
        <v>0.1</v>
      </c>
      <c r="Q7" s="22">
        <f t="shared" si="3"/>
        <v>0.1</v>
      </c>
      <c r="R7" s="22">
        <f t="shared" si="3"/>
        <v>0.1</v>
      </c>
      <c r="S7" s="22">
        <f t="shared" si="3"/>
        <v>0.1</v>
      </c>
      <c r="T7" s="22">
        <f t="shared" si="3"/>
        <v>0.1</v>
      </c>
      <c r="U7" s="22">
        <f t="shared" si="4"/>
        <v>0.1</v>
      </c>
      <c r="V7" s="22">
        <f t="shared" si="4"/>
        <v>0.1</v>
      </c>
      <c r="W7" s="22">
        <f t="shared" si="4"/>
        <v>0.1</v>
      </c>
      <c r="X7" s="22">
        <f t="shared" si="4"/>
        <v>0.1</v>
      </c>
      <c r="Y7" s="22">
        <f t="shared" si="4"/>
        <v>0.1</v>
      </c>
      <c r="Z7" s="22">
        <f t="shared" si="4"/>
        <v>0.1</v>
      </c>
      <c r="AA7" s="22">
        <f t="shared" si="4"/>
        <v>0.1</v>
      </c>
      <c r="AB7" s="22">
        <f t="shared" si="4"/>
        <v>0.1</v>
      </c>
      <c r="AC7" s="22">
        <f t="shared" si="4"/>
        <v>0.1</v>
      </c>
      <c r="AD7" s="22">
        <f t="shared" si="4"/>
        <v>0.1</v>
      </c>
      <c r="AE7" s="22">
        <f t="shared" si="4"/>
        <v>0.1</v>
      </c>
      <c r="AF7" s="22">
        <f t="shared" si="4"/>
        <v>0.1</v>
      </c>
      <c r="AG7" s="22">
        <f t="shared" si="4"/>
        <v>0.1</v>
      </c>
      <c r="AI7" s="51" t="s">
        <v>268</v>
      </c>
      <c r="AJ7" s="198"/>
    </row>
    <row r="8" spans="1:47" outlineLevel="1">
      <c r="A8" t="s">
        <v>402</v>
      </c>
      <c r="B8" s="51" t="s">
        <v>126</v>
      </c>
      <c r="C8" s="104">
        <f>'Waste gen. - Industry shares'!C24+'Waste gen. - Industry shares'!C21</f>
        <v>0.28429743453895867</v>
      </c>
      <c r="D8" s="119">
        <f>C8</f>
        <v>0.28429743453895867</v>
      </c>
      <c r="E8" s="119">
        <f t="shared" si="3"/>
        <v>0.28429743453895867</v>
      </c>
      <c r="F8" s="119">
        <f t="shared" si="3"/>
        <v>0.28429743453895867</v>
      </c>
      <c r="G8" s="119">
        <f t="shared" si="3"/>
        <v>0.28429743453895867</v>
      </c>
      <c r="H8" s="119">
        <f t="shared" si="3"/>
        <v>0.28429743453895867</v>
      </c>
      <c r="I8" s="119">
        <f t="shared" si="3"/>
        <v>0.28429743453895867</v>
      </c>
      <c r="J8" s="119">
        <f t="shared" si="3"/>
        <v>0.28429743453895867</v>
      </c>
      <c r="K8" s="119">
        <f t="shared" si="3"/>
        <v>0.28429743453895867</v>
      </c>
      <c r="L8" s="119">
        <f t="shared" si="3"/>
        <v>0.28429743453895867</v>
      </c>
      <c r="M8" s="121">
        <f t="shared" si="3"/>
        <v>0.28429743453895867</v>
      </c>
      <c r="N8" s="121">
        <f t="shared" si="3"/>
        <v>0.28429743453895867</v>
      </c>
      <c r="O8" s="121">
        <f t="shared" si="3"/>
        <v>0.28429743453895867</v>
      </c>
      <c r="P8" s="121">
        <f t="shared" si="3"/>
        <v>0.28429743453895867</v>
      </c>
      <c r="Q8" s="121">
        <f t="shared" si="3"/>
        <v>0.28429743453895867</v>
      </c>
      <c r="R8" s="121">
        <f t="shared" si="3"/>
        <v>0.28429743453895867</v>
      </c>
      <c r="S8" s="121">
        <f t="shared" si="3"/>
        <v>0.28429743453895867</v>
      </c>
      <c r="T8" s="121">
        <f t="shared" si="3"/>
        <v>0.28429743453895867</v>
      </c>
      <c r="U8" s="121">
        <f t="shared" si="4"/>
        <v>0.28429743453895867</v>
      </c>
      <c r="V8" s="121">
        <f t="shared" si="4"/>
        <v>0.28429743453895867</v>
      </c>
      <c r="W8" s="121">
        <f t="shared" si="4"/>
        <v>0.28429743453895867</v>
      </c>
      <c r="X8" s="121">
        <f t="shared" si="4"/>
        <v>0.28429743453895867</v>
      </c>
      <c r="Y8" s="121">
        <f t="shared" si="4"/>
        <v>0.28429743453895867</v>
      </c>
      <c r="Z8" s="121">
        <f t="shared" si="4"/>
        <v>0.28429743453895867</v>
      </c>
      <c r="AA8" s="121">
        <f t="shared" si="4"/>
        <v>0.28429743453895867</v>
      </c>
      <c r="AB8" s="121">
        <f t="shared" si="4"/>
        <v>0.28429743453895867</v>
      </c>
      <c r="AC8" s="121">
        <f t="shared" si="4"/>
        <v>0.28429743453895867</v>
      </c>
      <c r="AD8" s="121">
        <f t="shared" si="4"/>
        <v>0.28429743453895867</v>
      </c>
      <c r="AE8" s="121">
        <f t="shared" si="4"/>
        <v>0.28429743453895867</v>
      </c>
      <c r="AF8" s="121">
        <f t="shared" si="4"/>
        <v>0.28429743453895867</v>
      </c>
      <c r="AG8" s="121">
        <f t="shared" si="4"/>
        <v>0.28429743453895867</v>
      </c>
      <c r="AI8" s="51" t="s">
        <v>268</v>
      </c>
      <c r="AJ8" s="198"/>
    </row>
    <row r="9" spans="1:47" ht="15.5" outlineLevel="1" thickBot="1">
      <c r="A9" s="182" t="s">
        <v>433</v>
      </c>
      <c r="B9" s="183"/>
      <c r="C9" s="184">
        <f>SUM(C4:C8)</f>
        <v>1.0009009009009009</v>
      </c>
      <c r="D9" s="184">
        <f t="shared" ref="D9:AG9" si="6">SUM(D4:D8)</f>
        <v>1.0009009009009009</v>
      </c>
      <c r="E9" s="184">
        <f t="shared" si="6"/>
        <v>1.0009009009009009</v>
      </c>
      <c r="F9" s="184">
        <f t="shared" si="6"/>
        <v>1.0009009009009009</v>
      </c>
      <c r="G9" s="184">
        <f t="shared" si="6"/>
        <v>1.0009009009009009</v>
      </c>
      <c r="H9" s="184">
        <f t="shared" si="6"/>
        <v>1.0009009009009009</v>
      </c>
      <c r="I9" s="184">
        <f t="shared" si="6"/>
        <v>1.0009009009009009</v>
      </c>
      <c r="J9" s="184">
        <f t="shared" si="6"/>
        <v>1.0009009009009009</v>
      </c>
      <c r="K9" s="184">
        <f t="shared" si="6"/>
        <v>1.0009009009009009</v>
      </c>
      <c r="L9" s="184">
        <f t="shared" si="6"/>
        <v>1.0009009009009009</v>
      </c>
      <c r="M9" s="184">
        <f t="shared" si="6"/>
        <v>1.0009009009009009</v>
      </c>
      <c r="N9" s="184">
        <f t="shared" si="6"/>
        <v>1.0009009009009009</v>
      </c>
      <c r="O9" s="184">
        <f t="shared" si="6"/>
        <v>1.0009009009009009</v>
      </c>
      <c r="P9" s="184">
        <f t="shared" si="6"/>
        <v>1.0009009009009009</v>
      </c>
      <c r="Q9" s="184">
        <f t="shared" si="6"/>
        <v>1.0009009009009009</v>
      </c>
      <c r="R9" s="184">
        <f t="shared" si="6"/>
        <v>1.0009009009009009</v>
      </c>
      <c r="S9" s="184">
        <f t="shared" si="6"/>
        <v>1.0009009009009009</v>
      </c>
      <c r="T9" s="184">
        <f t="shared" si="6"/>
        <v>1.0009009009009009</v>
      </c>
      <c r="U9" s="184">
        <f t="shared" si="6"/>
        <v>1.0009009009009009</v>
      </c>
      <c r="V9" s="184">
        <f t="shared" si="6"/>
        <v>1.0009009009009009</v>
      </c>
      <c r="W9" s="184">
        <f t="shared" si="6"/>
        <v>1.0009009009009009</v>
      </c>
      <c r="X9" s="184">
        <f t="shared" si="6"/>
        <v>1.0009009009009009</v>
      </c>
      <c r="Y9" s="184">
        <f t="shared" si="6"/>
        <v>1.0009009009009009</v>
      </c>
      <c r="Z9" s="184">
        <f t="shared" si="6"/>
        <v>1.0009009009009009</v>
      </c>
      <c r="AA9" s="184">
        <f t="shared" si="6"/>
        <v>1.0009009009009009</v>
      </c>
      <c r="AB9" s="184">
        <f t="shared" si="6"/>
        <v>1.0009009009009009</v>
      </c>
      <c r="AC9" s="184">
        <f t="shared" si="6"/>
        <v>1.0009009009009009</v>
      </c>
      <c r="AD9" s="184">
        <f t="shared" si="6"/>
        <v>1.0009009009009009</v>
      </c>
      <c r="AE9" s="184">
        <f t="shared" si="6"/>
        <v>1.0009009009009009</v>
      </c>
      <c r="AF9" s="184">
        <f t="shared" si="6"/>
        <v>1.0009009009009009</v>
      </c>
      <c r="AG9" s="184">
        <f t="shared" si="6"/>
        <v>1.0009009009009009</v>
      </c>
      <c r="AM9" s="24"/>
      <c r="AN9" s="2"/>
      <c r="AO9" s="24"/>
      <c r="AR9" s="2"/>
    </row>
    <row r="10" spans="1:47" ht="15.5" outlineLevel="1" thickTop="1">
      <c r="AM10" s="24"/>
      <c r="AN10" s="2"/>
      <c r="AO10" s="24"/>
      <c r="AR10" s="2"/>
    </row>
    <row r="11" spans="1:47" outlineLevel="1">
      <c r="A11" t="s">
        <v>413</v>
      </c>
      <c r="B11" s="51" t="s">
        <v>296</v>
      </c>
      <c r="C11" s="101">
        <f>C$2*C4</f>
        <v>2797101.9772299458</v>
      </c>
      <c r="D11" s="101">
        <f t="shared" ref="D11:AG11" si="7">D$2*D4</f>
        <v>2797101.9772299458</v>
      </c>
      <c r="E11" s="101">
        <f t="shared" si="7"/>
        <v>2797101.9772299458</v>
      </c>
      <c r="F11" s="101">
        <f t="shared" si="7"/>
        <v>2797101.9772299458</v>
      </c>
      <c r="G11" s="101">
        <f t="shared" si="7"/>
        <v>2797101.9772299458</v>
      </c>
      <c r="H11" s="101">
        <f t="shared" si="7"/>
        <v>2797101.9772299458</v>
      </c>
      <c r="I11" s="101">
        <f t="shared" si="7"/>
        <v>2797101.9772299458</v>
      </c>
      <c r="J11" s="101">
        <f t="shared" si="7"/>
        <v>2797101.9772299458</v>
      </c>
      <c r="K11" s="101">
        <f t="shared" si="7"/>
        <v>2797101.9772299458</v>
      </c>
      <c r="L11" s="101">
        <f t="shared" si="7"/>
        <v>2797101.9772299458</v>
      </c>
      <c r="M11" s="101">
        <f t="shared" si="7"/>
        <v>2797101.9772299458</v>
      </c>
      <c r="N11" s="101">
        <f t="shared" si="7"/>
        <v>2797101.9772299458</v>
      </c>
      <c r="O11" s="101">
        <f t="shared" si="7"/>
        <v>2797101.9772299458</v>
      </c>
      <c r="P11" s="101">
        <f t="shared" si="7"/>
        <v>2797101.9772299458</v>
      </c>
      <c r="Q11" s="101">
        <f t="shared" si="7"/>
        <v>2797101.9772299458</v>
      </c>
      <c r="R11" s="101">
        <f t="shared" si="7"/>
        <v>2797101.9772299458</v>
      </c>
      <c r="S11" s="101">
        <f t="shared" si="7"/>
        <v>2797101.9772299458</v>
      </c>
      <c r="T11" s="101">
        <f t="shared" si="7"/>
        <v>2797101.9772299458</v>
      </c>
      <c r="U11" s="101">
        <f t="shared" si="7"/>
        <v>2797101.9772299458</v>
      </c>
      <c r="V11" s="101">
        <f t="shared" si="7"/>
        <v>2797101.9772299458</v>
      </c>
      <c r="W11" s="101">
        <f t="shared" si="7"/>
        <v>2797101.9772299458</v>
      </c>
      <c r="X11" s="101">
        <f t="shared" si="7"/>
        <v>2797101.9772299458</v>
      </c>
      <c r="Y11" s="101">
        <f t="shared" si="7"/>
        <v>2797101.9772299458</v>
      </c>
      <c r="Z11" s="101">
        <f t="shared" si="7"/>
        <v>2797101.9772299458</v>
      </c>
      <c r="AA11" s="101">
        <f t="shared" si="7"/>
        <v>2797101.9772299458</v>
      </c>
      <c r="AB11" s="101">
        <f t="shared" si="7"/>
        <v>2797101.9772299458</v>
      </c>
      <c r="AC11" s="101">
        <f t="shared" si="7"/>
        <v>2797101.9772299458</v>
      </c>
      <c r="AD11" s="101">
        <f t="shared" si="7"/>
        <v>2797101.9772299458</v>
      </c>
      <c r="AE11" s="101">
        <f t="shared" si="7"/>
        <v>2797101.9772299458</v>
      </c>
      <c r="AF11" s="101">
        <f t="shared" si="7"/>
        <v>2797101.9772299458</v>
      </c>
      <c r="AG11" s="101">
        <f t="shared" si="7"/>
        <v>2797101.9772299458</v>
      </c>
      <c r="AI11" s="23">
        <f>'Demand - Ethylene'!L63</f>
        <v>0</v>
      </c>
      <c r="AJ11" s="198" t="s">
        <v>773</v>
      </c>
      <c r="AM11" s="24"/>
      <c r="AN11" s="2"/>
      <c r="AO11" s="24"/>
      <c r="AR11" s="2"/>
    </row>
    <row r="12" spans="1:47" outlineLevel="1">
      <c r="A12" t="s">
        <v>269</v>
      </c>
      <c r="B12" s="51" t="s">
        <v>296</v>
      </c>
      <c r="C12" s="101">
        <f t="shared" ref="C12:AG12" si="8">C$2*C5</f>
        <v>264028.63148967928</v>
      </c>
      <c r="D12" s="101">
        <f t="shared" si="8"/>
        <v>264028.63148967928</v>
      </c>
      <c r="E12" s="101">
        <f t="shared" si="8"/>
        <v>264028.63148967928</v>
      </c>
      <c r="F12" s="101">
        <f t="shared" si="8"/>
        <v>264028.63148967928</v>
      </c>
      <c r="G12" s="101">
        <f t="shared" si="8"/>
        <v>264028.63148967928</v>
      </c>
      <c r="H12" s="101">
        <f t="shared" si="8"/>
        <v>264028.63148967928</v>
      </c>
      <c r="I12" s="101">
        <f t="shared" si="8"/>
        <v>264028.63148967928</v>
      </c>
      <c r="J12" s="101">
        <f t="shared" si="8"/>
        <v>264028.63148967928</v>
      </c>
      <c r="K12" s="101">
        <f t="shared" si="8"/>
        <v>264028.63148967928</v>
      </c>
      <c r="L12" s="101">
        <f t="shared" si="8"/>
        <v>264028.63148967928</v>
      </c>
      <c r="M12" s="101">
        <f t="shared" si="8"/>
        <v>264028.63148967928</v>
      </c>
      <c r="N12" s="101">
        <f t="shared" si="8"/>
        <v>264028.63148967928</v>
      </c>
      <c r="O12" s="101">
        <f t="shared" si="8"/>
        <v>264028.63148967928</v>
      </c>
      <c r="P12" s="101">
        <f t="shared" si="8"/>
        <v>264028.63148967928</v>
      </c>
      <c r="Q12" s="101">
        <f t="shared" si="8"/>
        <v>264028.63148967928</v>
      </c>
      <c r="R12" s="101">
        <f t="shared" si="8"/>
        <v>264028.63148967928</v>
      </c>
      <c r="S12" s="101">
        <f t="shared" si="8"/>
        <v>264028.63148967928</v>
      </c>
      <c r="T12" s="101">
        <f t="shared" si="8"/>
        <v>264028.63148967928</v>
      </c>
      <c r="U12" s="101">
        <f t="shared" si="8"/>
        <v>264028.63148967928</v>
      </c>
      <c r="V12" s="101">
        <f t="shared" si="8"/>
        <v>264028.63148967928</v>
      </c>
      <c r="W12" s="101">
        <f t="shared" si="8"/>
        <v>264028.63148967928</v>
      </c>
      <c r="X12" s="101">
        <f t="shared" si="8"/>
        <v>264028.63148967928</v>
      </c>
      <c r="Y12" s="101">
        <f t="shared" si="8"/>
        <v>264028.63148967928</v>
      </c>
      <c r="Z12" s="101">
        <f t="shared" si="8"/>
        <v>264028.63148967928</v>
      </c>
      <c r="AA12" s="101">
        <f t="shared" si="8"/>
        <v>264028.63148967928</v>
      </c>
      <c r="AB12" s="101">
        <f t="shared" si="8"/>
        <v>264028.63148967928</v>
      </c>
      <c r="AC12" s="101">
        <f t="shared" si="8"/>
        <v>264028.63148967928</v>
      </c>
      <c r="AD12" s="101">
        <f t="shared" si="8"/>
        <v>264028.63148967928</v>
      </c>
      <c r="AE12" s="101">
        <f t="shared" si="8"/>
        <v>264028.63148967928</v>
      </c>
      <c r="AF12" s="101">
        <f t="shared" si="8"/>
        <v>264028.63148967928</v>
      </c>
      <c r="AG12" s="101">
        <f t="shared" si="8"/>
        <v>264028.63148967928</v>
      </c>
      <c r="AI12" s="23">
        <f>'Demand - Ethylene'!L64</f>
        <v>0</v>
      </c>
      <c r="AJ12" s="198" t="s">
        <v>773</v>
      </c>
      <c r="AM12" s="24"/>
      <c r="AN12" s="2"/>
      <c r="AO12" s="24"/>
      <c r="AR12" s="2"/>
    </row>
    <row r="13" spans="1:47" outlineLevel="1">
      <c r="A13" t="s">
        <v>270</v>
      </c>
      <c r="B13" s="51" t="s">
        <v>296</v>
      </c>
      <c r="C13" s="101">
        <f t="shared" ref="C13:AG13" si="9">C$2*C6</f>
        <v>207718.01554589227</v>
      </c>
      <c r="D13" s="101">
        <f t="shared" si="9"/>
        <v>207718.01554589227</v>
      </c>
      <c r="E13" s="101">
        <f t="shared" si="9"/>
        <v>207718.01554589227</v>
      </c>
      <c r="F13" s="101">
        <f t="shared" si="9"/>
        <v>207718.01554589227</v>
      </c>
      <c r="G13" s="101">
        <f t="shared" si="9"/>
        <v>207718.01554589227</v>
      </c>
      <c r="H13" s="101">
        <f t="shared" si="9"/>
        <v>207718.01554589227</v>
      </c>
      <c r="I13" s="101">
        <f t="shared" si="9"/>
        <v>207718.01554589227</v>
      </c>
      <c r="J13" s="101">
        <f t="shared" si="9"/>
        <v>207718.01554589227</v>
      </c>
      <c r="K13" s="101">
        <f t="shared" si="9"/>
        <v>207718.01554589227</v>
      </c>
      <c r="L13" s="101">
        <f t="shared" si="9"/>
        <v>207718.01554589227</v>
      </c>
      <c r="M13" s="101">
        <f t="shared" si="9"/>
        <v>207718.01554589227</v>
      </c>
      <c r="N13" s="101">
        <f t="shared" si="9"/>
        <v>207718.01554589227</v>
      </c>
      <c r="O13" s="101">
        <f t="shared" si="9"/>
        <v>207718.01554589227</v>
      </c>
      <c r="P13" s="101">
        <f t="shared" si="9"/>
        <v>207718.01554589227</v>
      </c>
      <c r="Q13" s="101">
        <f t="shared" si="9"/>
        <v>207718.01554589227</v>
      </c>
      <c r="R13" s="101">
        <f t="shared" si="9"/>
        <v>207718.01554589227</v>
      </c>
      <c r="S13" s="101">
        <f t="shared" si="9"/>
        <v>207718.01554589227</v>
      </c>
      <c r="T13" s="101">
        <f t="shared" si="9"/>
        <v>207718.01554589227</v>
      </c>
      <c r="U13" s="101">
        <f t="shared" si="9"/>
        <v>207718.01554589227</v>
      </c>
      <c r="V13" s="101">
        <f t="shared" si="9"/>
        <v>207718.01554589227</v>
      </c>
      <c r="W13" s="101">
        <f t="shared" si="9"/>
        <v>207718.01554589227</v>
      </c>
      <c r="X13" s="101">
        <f t="shared" si="9"/>
        <v>207718.01554589227</v>
      </c>
      <c r="Y13" s="101">
        <f t="shared" si="9"/>
        <v>207718.01554589227</v>
      </c>
      <c r="Z13" s="101">
        <f t="shared" si="9"/>
        <v>207718.01554589227</v>
      </c>
      <c r="AA13" s="101">
        <f t="shared" si="9"/>
        <v>207718.01554589227</v>
      </c>
      <c r="AB13" s="101">
        <f t="shared" si="9"/>
        <v>207718.01554589227</v>
      </c>
      <c r="AC13" s="101">
        <f t="shared" si="9"/>
        <v>207718.01554589227</v>
      </c>
      <c r="AD13" s="101">
        <f t="shared" si="9"/>
        <v>207718.01554589227</v>
      </c>
      <c r="AE13" s="101">
        <f t="shared" si="9"/>
        <v>207718.01554589227</v>
      </c>
      <c r="AF13" s="101">
        <f t="shared" si="9"/>
        <v>207718.01554589227</v>
      </c>
      <c r="AG13" s="101">
        <f t="shared" si="9"/>
        <v>207718.01554589227</v>
      </c>
      <c r="AI13" s="23">
        <f>'Demand - Ethylene'!L65</f>
        <v>0</v>
      </c>
      <c r="AJ13" s="198" t="s">
        <v>773</v>
      </c>
      <c r="AM13" s="24"/>
      <c r="AN13" s="2"/>
      <c r="AO13" s="24"/>
      <c r="AR13" s="2"/>
    </row>
    <row r="14" spans="1:47" outlineLevel="1">
      <c r="A14" t="s">
        <v>411</v>
      </c>
      <c r="B14" s="51" t="s">
        <v>296</v>
      </c>
      <c r="C14" s="101">
        <f t="shared" ref="C14:AG14" si="10">C$2*C7</f>
        <v>530137.89292367117</v>
      </c>
      <c r="D14" s="101">
        <f t="shared" si="10"/>
        <v>530137.89292367117</v>
      </c>
      <c r="E14" s="101">
        <f t="shared" si="10"/>
        <v>530137.89292367117</v>
      </c>
      <c r="F14" s="101">
        <f t="shared" si="10"/>
        <v>530137.89292367117</v>
      </c>
      <c r="G14" s="101">
        <f t="shared" si="10"/>
        <v>530137.89292367117</v>
      </c>
      <c r="H14" s="101">
        <f t="shared" si="10"/>
        <v>530137.89292367117</v>
      </c>
      <c r="I14" s="101">
        <f t="shared" si="10"/>
        <v>530137.89292367117</v>
      </c>
      <c r="J14" s="101">
        <f t="shared" si="10"/>
        <v>530137.89292367117</v>
      </c>
      <c r="K14" s="101">
        <f t="shared" si="10"/>
        <v>530137.89292367117</v>
      </c>
      <c r="L14" s="101">
        <f t="shared" si="10"/>
        <v>530137.89292367117</v>
      </c>
      <c r="M14" s="101">
        <f t="shared" si="10"/>
        <v>530137.89292367117</v>
      </c>
      <c r="N14" s="101">
        <f t="shared" si="10"/>
        <v>530137.89292367117</v>
      </c>
      <c r="O14" s="101">
        <f t="shared" si="10"/>
        <v>530137.89292367117</v>
      </c>
      <c r="P14" s="101">
        <f t="shared" si="10"/>
        <v>530137.89292367117</v>
      </c>
      <c r="Q14" s="101">
        <f t="shared" si="10"/>
        <v>530137.89292367117</v>
      </c>
      <c r="R14" s="101">
        <f t="shared" si="10"/>
        <v>530137.89292367117</v>
      </c>
      <c r="S14" s="101">
        <f t="shared" si="10"/>
        <v>530137.89292367117</v>
      </c>
      <c r="T14" s="101">
        <f t="shared" si="10"/>
        <v>530137.89292367117</v>
      </c>
      <c r="U14" s="101">
        <f t="shared" si="10"/>
        <v>530137.89292367117</v>
      </c>
      <c r="V14" s="101">
        <f t="shared" si="10"/>
        <v>530137.89292367117</v>
      </c>
      <c r="W14" s="101">
        <f t="shared" si="10"/>
        <v>530137.89292367117</v>
      </c>
      <c r="X14" s="101">
        <f t="shared" si="10"/>
        <v>530137.89292367117</v>
      </c>
      <c r="Y14" s="101">
        <f t="shared" si="10"/>
        <v>530137.89292367117</v>
      </c>
      <c r="Z14" s="101">
        <f t="shared" si="10"/>
        <v>530137.89292367117</v>
      </c>
      <c r="AA14" s="101">
        <f t="shared" si="10"/>
        <v>530137.89292367117</v>
      </c>
      <c r="AB14" s="101">
        <f t="shared" si="10"/>
        <v>530137.89292367117</v>
      </c>
      <c r="AC14" s="101">
        <f t="shared" si="10"/>
        <v>530137.89292367117</v>
      </c>
      <c r="AD14" s="101">
        <f t="shared" si="10"/>
        <v>530137.89292367117</v>
      </c>
      <c r="AE14" s="101">
        <f t="shared" si="10"/>
        <v>530137.89292367117</v>
      </c>
      <c r="AF14" s="101">
        <f t="shared" si="10"/>
        <v>530137.89292367117</v>
      </c>
      <c r="AG14" s="101">
        <f t="shared" si="10"/>
        <v>530137.89292367117</v>
      </c>
      <c r="AI14" s="23">
        <f>'Demand - Ethylene'!L69</f>
        <v>0</v>
      </c>
      <c r="AJ14" s="198" t="s">
        <v>773</v>
      </c>
      <c r="AM14" s="24"/>
      <c r="AN14" s="2"/>
      <c r="AO14" s="24"/>
      <c r="AR14" s="2"/>
    </row>
    <row r="15" spans="1:47" outlineLevel="1">
      <c r="A15" t="s">
        <v>271</v>
      </c>
      <c r="B15" s="51" t="s">
        <v>296</v>
      </c>
      <c r="C15" s="122">
        <f t="shared" ref="C15:AG15" si="11">C$2*C8</f>
        <v>1507168.4291008885</v>
      </c>
      <c r="D15" s="122">
        <f t="shared" si="11"/>
        <v>1507168.4291008885</v>
      </c>
      <c r="E15" s="122">
        <f t="shared" si="11"/>
        <v>1507168.4291008885</v>
      </c>
      <c r="F15" s="122">
        <f t="shared" si="11"/>
        <v>1507168.4291008885</v>
      </c>
      <c r="G15" s="122">
        <f t="shared" si="11"/>
        <v>1507168.4291008885</v>
      </c>
      <c r="H15" s="122">
        <f t="shared" si="11"/>
        <v>1507168.4291008885</v>
      </c>
      <c r="I15" s="122">
        <f t="shared" si="11"/>
        <v>1507168.4291008885</v>
      </c>
      <c r="J15" s="122">
        <f t="shared" si="11"/>
        <v>1507168.4291008885</v>
      </c>
      <c r="K15" s="122">
        <f t="shared" si="11"/>
        <v>1507168.4291008885</v>
      </c>
      <c r="L15" s="122">
        <f t="shared" si="11"/>
        <v>1507168.4291008885</v>
      </c>
      <c r="M15" s="122">
        <f t="shared" si="11"/>
        <v>1507168.4291008885</v>
      </c>
      <c r="N15" s="122">
        <f t="shared" si="11"/>
        <v>1507168.4291008885</v>
      </c>
      <c r="O15" s="122">
        <f t="shared" si="11"/>
        <v>1507168.4291008885</v>
      </c>
      <c r="P15" s="122">
        <f t="shared" si="11"/>
        <v>1507168.4291008885</v>
      </c>
      <c r="Q15" s="122">
        <f t="shared" si="11"/>
        <v>1507168.4291008885</v>
      </c>
      <c r="R15" s="122">
        <f t="shared" si="11"/>
        <v>1507168.4291008885</v>
      </c>
      <c r="S15" s="122">
        <f t="shared" si="11"/>
        <v>1507168.4291008885</v>
      </c>
      <c r="T15" s="122">
        <f t="shared" si="11"/>
        <v>1507168.4291008885</v>
      </c>
      <c r="U15" s="122">
        <f t="shared" si="11"/>
        <v>1507168.4291008885</v>
      </c>
      <c r="V15" s="122">
        <f t="shared" si="11"/>
        <v>1507168.4291008885</v>
      </c>
      <c r="W15" s="122">
        <f t="shared" si="11"/>
        <v>1507168.4291008885</v>
      </c>
      <c r="X15" s="122">
        <f t="shared" si="11"/>
        <v>1507168.4291008885</v>
      </c>
      <c r="Y15" s="122">
        <f t="shared" si="11"/>
        <v>1507168.4291008885</v>
      </c>
      <c r="Z15" s="122">
        <f t="shared" si="11"/>
        <v>1507168.4291008885</v>
      </c>
      <c r="AA15" s="122">
        <f t="shared" si="11"/>
        <v>1507168.4291008885</v>
      </c>
      <c r="AB15" s="122">
        <f t="shared" si="11"/>
        <v>1507168.4291008885</v>
      </c>
      <c r="AC15" s="122">
        <f t="shared" si="11"/>
        <v>1507168.4291008885</v>
      </c>
      <c r="AD15" s="122">
        <f t="shared" si="11"/>
        <v>1507168.4291008885</v>
      </c>
      <c r="AE15" s="122">
        <f t="shared" si="11"/>
        <v>1507168.4291008885</v>
      </c>
      <c r="AF15" s="122">
        <f t="shared" si="11"/>
        <v>1507168.4291008885</v>
      </c>
      <c r="AG15" s="122">
        <f t="shared" si="11"/>
        <v>1507168.4291008885</v>
      </c>
      <c r="AI15" s="23">
        <f>'Demand - Ethylene'!L68</f>
        <v>0</v>
      </c>
      <c r="AJ15" s="198" t="s">
        <v>773</v>
      </c>
    </row>
    <row r="16" spans="1:47" ht="15.5" outlineLevel="1" thickBot="1">
      <c r="A16" s="187" t="s">
        <v>432</v>
      </c>
      <c r="B16" s="185"/>
      <c r="C16" s="186">
        <f>SUM(C11:C15)</f>
        <v>5306154.9462900767</v>
      </c>
      <c r="D16" s="186">
        <f t="shared" ref="D16:AG16" si="12">SUM(D11:D15)</f>
        <v>5306154.9462900767</v>
      </c>
      <c r="E16" s="186">
        <f t="shared" si="12"/>
        <v>5306154.9462900767</v>
      </c>
      <c r="F16" s="186">
        <f t="shared" si="12"/>
        <v>5306154.9462900767</v>
      </c>
      <c r="G16" s="186">
        <f t="shared" si="12"/>
        <v>5306154.9462900767</v>
      </c>
      <c r="H16" s="186">
        <f t="shared" si="12"/>
        <v>5306154.9462900767</v>
      </c>
      <c r="I16" s="186">
        <f t="shared" si="12"/>
        <v>5306154.9462900767</v>
      </c>
      <c r="J16" s="186">
        <f t="shared" si="12"/>
        <v>5306154.9462900767</v>
      </c>
      <c r="K16" s="186">
        <f t="shared" si="12"/>
        <v>5306154.9462900767</v>
      </c>
      <c r="L16" s="186">
        <f t="shared" si="12"/>
        <v>5306154.9462900767</v>
      </c>
      <c r="M16" s="186">
        <f t="shared" si="12"/>
        <v>5306154.9462900767</v>
      </c>
      <c r="N16" s="186">
        <f t="shared" si="12"/>
        <v>5306154.9462900767</v>
      </c>
      <c r="O16" s="186">
        <f t="shared" si="12"/>
        <v>5306154.9462900767</v>
      </c>
      <c r="P16" s="186">
        <f t="shared" si="12"/>
        <v>5306154.9462900767</v>
      </c>
      <c r="Q16" s="186">
        <f t="shared" si="12"/>
        <v>5306154.9462900767</v>
      </c>
      <c r="R16" s="186">
        <f t="shared" si="12"/>
        <v>5306154.9462900767</v>
      </c>
      <c r="S16" s="186">
        <f t="shared" si="12"/>
        <v>5306154.9462900767</v>
      </c>
      <c r="T16" s="186">
        <f t="shared" si="12"/>
        <v>5306154.9462900767</v>
      </c>
      <c r="U16" s="186">
        <f t="shared" si="12"/>
        <v>5306154.9462900767</v>
      </c>
      <c r="V16" s="186">
        <f t="shared" si="12"/>
        <v>5306154.9462900767</v>
      </c>
      <c r="W16" s="186">
        <f t="shared" si="12"/>
        <v>5306154.9462900767</v>
      </c>
      <c r="X16" s="186">
        <f t="shared" si="12"/>
        <v>5306154.9462900767</v>
      </c>
      <c r="Y16" s="186">
        <f t="shared" si="12"/>
        <v>5306154.9462900767</v>
      </c>
      <c r="Z16" s="186">
        <f t="shared" si="12"/>
        <v>5306154.9462900767</v>
      </c>
      <c r="AA16" s="186">
        <f t="shared" si="12"/>
        <v>5306154.9462900767</v>
      </c>
      <c r="AB16" s="186">
        <f t="shared" si="12"/>
        <v>5306154.9462900767</v>
      </c>
      <c r="AC16" s="186">
        <f t="shared" si="12"/>
        <v>5306154.9462900767</v>
      </c>
      <c r="AD16" s="186">
        <f t="shared" si="12"/>
        <v>5306154.9462900767</v>
      </c>
      <c r="AE16" s="186">
        <f t="shared" si="12"/>
        <v>5306154.9462900767</v>
      </c>
      <c r="AF16" s="186">
        <f t="shared" si="12"/>
        <v>5306154.9462900767</v>
      </c>
      <c r="AG16" s="186">
        <f t="shared" si="12"/>
        <v>5306154.9462900767</v>
      </c>
    </row>
    <row r="17" spans="1:64" ht="15.5" outlineLevel="1" thickTop="1">
      <c r="AL17" s="108"/>
      <c r="AM17" s="109"/>
      <c r="AN17" s="109"/>
      <c r="AO17" s="109"/>
      <c r="AP17" s="109"/>
      <c r="AQ17" s="109"/>
    </row>
    <row r="18" spans="1:64" outlineLevel="1">
      <c r="A18" t="s">
        <v>414</v>
      </c>
      <c r="B18" s="51" t="s">
        <v>126</v>
      </c>
      <c r="C18" s="104">
        <f>'Overall recycling rates'!C76</f>
        <v>0.54149023225748683</v>
      </c>
      <c r="D18" s="104">
        <f>C18</f>
        <v>0.54149023225748683</v>
      </c>
      <c r="E18" s="104">
        <f t="shared" ref="E18:T18" si="13">D18</f>
        <v>0.54149023225748683</v>
      </c>
      <c r="F18" s="104">
        <f t="shared" si="13"/>
        <v>0.54149023225748683</v>
      </c>
      <c r="G18" s="104">
        <f t="shared" si="13"/>
        <v>0.54149023225748683</v>
      </c>
      <c r="H18" s="104">
        <f t="shared" si="13"/>
        <v>0.54149023225748683</v>
      </c>
      <c r="I18" s="104">
        <f t="shared" si="13"/>
        <v>0.54149023225748683</v>
      </c>
      <c r="J18" s="104">
        <f t="shared" si="13"/>
        <v>0.54149023225748683</v>
      </c>
      <c r="K18" s="104">
        <f t="shared" si="13"/>
        <v>0.54149023225748683</v>
      </c>
      <c r="L18" s="104">
        <f t="shared" si="13"/>
        <v>0.54149023225748683</v>
      </c>
      <c r="M18" s="104">
        <f t="shared" si="13"/>
        <v>0.54149023225748683</v>
      </c>
      <c r="N18" s="104">
        <f t="shared" si="13"/>
        <v>0.54149023225748683</v>
      </c>
      <c r="O18" s="104">
        <f t="shared" si="13"/>
        <v>0.54149023225748683</v>
      </c>
      <c r="P18" s="104">
        <f t="shared" si="13"/>
        <v>0.54149023225748683</v>
      </c>
      <c r="Q18" s="104">
        <f t="shared" si="13"/>
        <v>0.54149023225748683</v>
      </c>
      <c r="R18" s="104">
        <f t="shared" si="13"/>
        <v>0.54149023225748683</v>
      </c>
      <c r="S18" s="104">
        <f t="shared" si="13"/>
        <v>0.54149023225748683</v>
      </c>
      <c r="T18" s="104">
        <f t="shared" si="13"/>
        <v>0.54149023225748683</v>
      </c>
      <c r="U18" s="104">
        <f t="shared" ref="T18:AG22" si="14">T18</f>
        <v>0.54149023225748683</v>
      </c>
      <c r="V18" s="104">
        <f t="shared" si="14"/>
        <v>0.54149023225748683</v>
      </c>
      <c r="W18" s="104">
        <f t="shared" si="14"/>
        <v>0.54149023225748683</v>
      </c>
      <c r="X18" s="104">
        <f t="shared" si="14"/>
        <v>0.54149023225748683</v>
      </c>
      <c r="Y18" s="104">
        <f t="shared" si="14"/>
        <v>0.54149023225748683</v>
      </c>
      <c r="Z18" s="104">
        <f t="shared" si="14"/>
        <v>0.54149023225748683</v>
      </c>
      <c r="AA18" s="104">
        <f t="shared" si="14"/>
        <v>0.54149023225748683</v>
      </c>
      <c r="AB18" s="104">
        <f t="shared" si="14"/>
        <v>0.54149023225748683</v>
      </c>
      <c r="AC18" s="104">
        <f t="shared" si="14"/>
        <v>0.54149023225748683</v>
      </c>
      <c r="AD18" s="104">
        <f t="shared" si="14"/>
        <v>0.54149023225748683</v>
      </c>
      <c r="AE18" s="104">
        <f t="shared" si="14"/>
        <v>0.54149023225748683</v>
      </c>
      <c r="AF18" s="104">
        <f t="shared" si="14"/>
        <v>0.54149023225748683</v>
      </c>
      <c r="AG18" s="104">
        <f>AF18</f>
        <v>0.54149023225748683</v>
      </c>
      <c r="AI18" s="51" t="s">
        <v>268</v>
      </c>
      <c r="AJ18" s="198"/>
      <c r="AM18" s="109"/>
      <c r="AN18" s="109"/>
      <c r="AO18" s="109"/>
      <c r="AP18" s="109"/>
      <c r="AQ18" s="109"/>
    </row>
    <row r="19" spans="1:64" outlineLevel="1">
      <c r="A19" t="s">
        <v>272</v>
      </c>
      <c r="B19" s="51" t="s">
        <v>126</v>
      </c>
      <c r="C19" s="104">
        <f>'Overall recycling rates'!C78</f>
        <v>0.16353925502122318</v>
      </c>
      <c r="D19" s="104">
        <f t="shared" ref="D19:S22" si="15">C19</f>
        <v>0.16353925502122318</v>
      </c>
      <c r="E19" s="104">
        <f t="shared" si="15"/>
        <v>0.16353925502122318</v>
      </c>
      <c r="F19" s="104">
        <f t="shared" si="15"/>
        <v>0.16353925502122318</v>
      </c>
      <c r="G19" s="104">
        <f t="shared" si="15"/>
        <v>0.16353925502122318</v>
      </c>
      <c r="H19" s="104">
        <f t="shared" si="15"/>
        <v>0.16353925502122318</v>
      </c>
      <c r="I19" s="104">
        <f t="shared" si="15"/>
        <v>0.16353925502122318</v>
      </c>
      <c r="J19" s="104">
        <f t="shared" si="15"/>
        <v>0.16353925502122318</v>
      </c>
      <c r="K19" s="104">
        <f t="shared" si="15"/>
        <v>0.16353925502122318</v>
      </c>
      <c r="L19" s="104">
        <f t="shared" si="15"/>
        <v>0.16353925502122318</v>
      </c>
      <c r="M19" s="104">
        <f t="shared" si="15"/>
        <v>0.16353925502122318</v>
      </c>
      <c r="N19" s="104">
        <f t="shared" si="15"/>
        <v>0.16353925502122318</v>
      </c>
      <c r="O19" s="104">
        <f t="shared" si="15"/>
        <v>0.16353925502122318</v>
      </c>
      <c r="P19" s="104">
        <f t="shared" si="15"/>
        <v>0.16353925502122318</v>
      </c>
      <c r="Q19" s="104">
        <f t="shared" si="15"/>
        <v>0.16353925502122318</v>
      </c>
      <c r="R19" s="104">
        <f t="shared" si="15"/>
        <v>0.16353925502122318</v>
      </c>
      <c r="S19" s="104">
        <f t="shared" si="15"/>
        <v>0.16353925502122318</v>
      </c>
      <c r="T19" s="104">
        <f t="shared" si="14"/>
        <v>0.16353925502122318</v>
      </c>
      <c r="U19" s="104">
        <f t="shared" si="14"/>
        <v>0.16353925502122318</v>
      </c>
      <c r="V19" s="104">
        <f t="shared" si="14"/>
        <v>0.16353925502122318</v>
      </c>
      <c r="W19" s="104">
        <f t="shared" si="14"/>
        <v>0.16353925502122318</v>
      </c>
      <c r="X19" s="104">
        <f t="shared" si="14"/>
        <v>0.16353925502122318</v>
      </c>
      <c r="Y19" s="104">
        <f t="shared" si="14"/>
        <v>0.16353925502122318</v>
      </c>
      <c r="Z19" s="104">
        <f t="shared" si="14"/>
        <v>0.16353925502122318</v>
      </c>
      <c r="AA19" s="104">
        <f t="shared" si="14"/>
        <v>0.16353925502122318</v>
      </c>
      <c r="AB19" s="104">
        <f t="shared" si="14"/>
        <v>0.16353925502122318</v>
      </c>
      <c r="AC19" s="104">
        <f t="shared" si="14"/>
        <v>0.16353925502122318</v>
      </c>
      <c r="AD19" s="104">
        <f t="shared" si="14"/>
        <v>0.16353925502122318</v>
      </c>
      <c r="AE19" s="104">
        <f t="shared" si="14"/>
        <v>0.16353925502122318</v>
      </c>
      <c r="AF19" s="104">
        <f t="shared" si="14"/>
        <v>0.16353925502122318</v>
      </c>
      <c r="AG19" s="104">
        <f t="shared" si="14"/>
        <v>0.16353925502122318</v>
      </c>
      <c r="AI19" s="51" t="s">
        <v>268</v>
      </c>
      <c r="AJ19" s="198"/>
      <c r="AM19" s="114"/>
      <c r="AN19" s="109"/>
      <c r="AO19" s="110"/>
      <c r="AP19" s="111"/>
      <c r="AQ19" s="110"/>
    </row>
    <row r="20" spans="1:64" outlineLevel="1">
      <c r="A20" t="s">
        <v>273</v>
      </c>
      <c r="B20" s="51" t="s">
        <v>126</v>
      </c>
      <c r="C20" s="104">
        <f>'Overall recycling rates'!C77</f>
        <v>0.45636929963709016</v>
      </c>
      <c r="D20" s="104">
        <f t="shared" si="15"/>
        <v>0.45636929963709016</v>
      </c>
      <c r="E20" s="104">
        <f t="shared" si="15"/>
        <v>0.45636929963709016</v>
      </c>
      <c r="F20" s="104">
        <f t="shared" si="15"/>
        <v>0.45636929963709016</v>
      </c>
      <c r="G20" s="104">
        <f t="shared" si="15"/>
        <v>0.45636929963709016</v>
      </c>
      <c r="H20" s="104">
        <f t="shared" si="15"/>
        <v>0.45636929963709016</v>
      </c>
      <c r="I20" s="104">
        <f t="shared" si="15"/>
        <v>0.45636929963709016</v>
      </c>
      <c r="J20" s="104">
        <f t="shared" si="15"/>
        <v>0.45636929963709016</v>
      </c>
      <c r="K20" s="104">
        <f t="shared" si="15"/>
        <v>0.45636929963709016</v>
      </c>
      <c r="L20" s="104">
        <f t="shared" si="15"/>
        <v>0.45636929963709016</v>
      </c>
      <c r="M20" s="104">
        <f t="shared" si="15"/>
        <v>0.45636929963709016</v>
      </c>
      <c r="N20" s="104">
        <f t="shared" si="15"/>
        <v>0.45636929963709016</v>
      </c>
      <c r="O20" s="104">
        <f t="shared" si="15"/>
        <v>0.45636929963709016</v>
      </c>
      <c r="P20" s="104">
        <f t="shared" si="15"/>
        <v>0.45636929963709016</v>
      </c>
      <c r="Q20" s="104">
        <f t="shared" si="15"/>
        <v>0.45636929963709016</v>
      </c>
      <c r="R20" s="104">
        <f t="shared" si="15"/>
        <v>0.45636929963709016</v>
      </c>
      <c r="S20" s="104">
        <f t="shared" si="15"/>
        <v>0.45636929963709016</v>
      </c>
      <c r="T20" s="104">
        <f t="shared" si="14"/>
        <v>0.45636929963709016</v>
      </c>
      <c r="U20" s="104">
        <f t="shared" si="14"/>
        <v>0.45636929963709016</v>
      </c>
      <c r="V20" s="104">
        <f t="shared" si="14"/>
        <v>0.45636929963709016</v>
      </c>
      <c r="W20" s="104">
        <f t="shared" si="14"/>
        <v>0.45636929963709016</v>
      </c>
      <c r="X20" s="104">
        <f t="shared" si="14"/>
        <v>0.45636929963709016</v>
      </c>
      <c r="Y20" s="104">
        <f t="shared" si="14"/>
        <v>0.45636929963709016</v>
      </c>
      <c r="Z20" s="104">
        <f t="shared" si="14"/>
        <v>0.45636929963709016</v>
      </c>
      <c r="AA20" s="104">
        <f t="shared" si="14"/>
        <v>0.45636929963709016</v>
      </c>
      <c r="AB20" s="104">
        <f t="shared" si="14"/>
        <v>0.45636929963709016</v>
      </c>
      <c r="AC20" s="104">
        <f t="shared" si="14"/>
        <v>0.45636929963709016</v>
      </c>
      <c r="AD20" s="104">
        <f t="shared" si="14"/>
        <v>0.45636929963709016</v>
      </c>
      <c r="AE20" s="104">
        <f t="shared" si="14"/>
        <v>0.45636929963709016</v>
      </c>
      <c r="AF20" s="104">
        <f t="shared" si="14"/>
        <v>0.45636929963709016</v>
      </c>
      <c r="AG20" s="104">
        <f t="shared" si="14"/>
        <v>0.45636929963709016</v>
      </c>
      <c r="AI20" s="51" t="s">
        <v>268</v>
      </c>
      <c r="AJ20" s="198"/>
      <c r="AM20" s="114"/>
      <c r="AN20" s="109"/>
      <c r="AO20" s="110"/>
      <c r="AP20" s="111"/>
      <c r="AQ20" s="110"/>
    </row>
    <row r="21" spans="1:64" outlineLevel="1">
      <c r="A21" t="s">
        <v>409</v>
      </c>
      <c r="B21" s="51" t="s">
        <v>126</v>
      </c>
      <c r="C21" s="104">
        <f>'Overall recycling rates'!C79</f>
        <v>0.16146056485626553</v>
      </c>
      <c r="D21" s="104">
        <f t="shared" si="15"/>
        <v>0.16146056485626553</v>
      </c>
      <c r="E21" s="104">
        <f t="shared" si="15"/>
        <v>0.16146056485626553</v>
      </c>
      <c r="F21" s="104">
        <f t="shared" si="15"/>
        <v>0.16146056485626553</v>
      </c>
      <c r="G21" s="104">
        <f t="shared" si="15"/>
        <v>0.16146056485626553</v>
      </c>
      <c r="H21" s="104">
        <f t="shared" si="15"/>
        <v>0.16146056485626553</v>
      </c>
      <c r="I21" s="104">
        <f t="shared" si="15"/>
        <v>0.16146056485626553</v>
      </c>
      <c r="J21" s="104">
        <f t="shared" si="15"/>
        <v>0.16146056485626553</v>
      </c>
      <c r="K21" s="104">
        <f t="shared" si="15"/>
        <v>0.16146056485626553</v>
      </c>
      <c r="L21" s="104">
        <f t="shared" si="15"/>
        <v>0.16146056485626553</v>
      </c>
      <c r="M21" s="104">
        <f t="shared" si="15"/>
        <v>0.16146056485626553</v>
      </c>
      <c r="N21" s="104">
        <f t="shared" si="15"/>
        <v>0.16146056485626553</v>
      </c>
      <c r="O21" s="104">
        <f t="shared" si="15"/>
        <v>0.16146056485626553</v>
      </c>
      <c r="P21" s="104">
        <f t="shared" si="15"/>
        <v>0.16146056485626553</v>
      </c>
      <c r="Q21" s="104">
        <f t="shared" si="15"/>
        <v>0.16146056485626553</v>
      </c>
      <c r="R21" s="104">
        <f t="shared" si="15"/>
        <v>0.16146056485626553</v>
      </c>
      <c r="S21" s="104">
        <f t="shared" si="15"/>
        <v>0.16146056485626553</v>
      </c>
      <c r="T21" s="104">
        <f t="shared" si="14"/>
        <v>0.16146056485626553</v>
      </c>
      <c r="U21" s="104">
        <f t="shared" si="14"/>
        <v>0.16146056485626553</v>
      </c>
      <c r="V21" s="104">
        <f t="shared" si="14"/>
        <v>0.16146056485626553</v>
      </c>
      <c r="W21" s="104">
        <f t="shared" si="14"/>
        <v>0.16146056485626553</v>
      </c>
      <c r="X21" s="104">
        <f t="shared" si="14"/>
        <v>0.16146056485626553</v>
      </c>
      <c r="Y21" s="104">
        <f t="shared" si="14"/>
        <v>0.16146056485626553</v>
      </c>
      <c r="Z21" s="104">
        <f t="shared" si="14"/>
        <v>0.16146056485626553</v>
      </c>
      <c r="AA21" s="104">
        <f t="shared" si="14"/>
        <v>0.16146056485626553</v>
      </c>
      <c r="AB21" s="104">
        <f t="shared" si="14"/>
        <v>0.16146056485626553</v>
      </c>
      <c r="AC21" s="104">
        <f t="shared" si="14"/>
        <v>0.16146056485626553</v>
      </c>
      <c r="AD21" s="104">
        <f t="shared" si="14"/>
        <v>0.16146056485626553</v>
      </c>
      <c r="AE21" s="104">
        <f t="shared" si="14"/>
        <v>0.16146056485626553</v>
      </c>
      <c r="AF21" s="104">
        <f t="shared" si="14"/>
        <v>0.16146056485626553</v>
      </c>
      <c r="AG21" s="104">
        <f t="shared" si="14"/>
        <v>0.16146056485626553</v>
      </c>
      <c r="AI21" s="51" t="s">
        <v>407</v>
      </c>
      <c r="AJ21" s="198"/>
      <c r="AM21" s="114"/>
      <c r="AN21" s="109"/>
      <c r="AO21" s="110"/>
      <c r="AP21" s="111"/>
      <c r="AQ21" s="110"/>
    </row>
    <row r="22" spans="1:64" outlineLevel="1">
      <c r="A22" t="s">
        <v>295</v>
      </c>
      <c r="B22" s="51" t="s">
        <v>126</v>
      </c>
      <c r="C22" s="104">
        <f>'Overall recycling rates'!C80</f>
        <v>0.2810021965891305</v>
      </c>
      <c r="D22" s="104">
        <f>C22</f>
        <v>0.2810021965891305</v>
      </c>
      <c r="E22" s="104">
        <f t="shared" si="15"/>
        <v>0.2810021965891305</v>
      </c>
      <c r="F22" s="104">
        <f t="shared" si="15"/>
        <v>0.2810021965891305</v>
      </c>
      <c r="G22" s="104">
        <f t="shared" si="15"/>
        <v>0.2810021965891305</v>
      </c>
      <c r="H22" s="104">
        <f t="shared" si="15"/>
        <v>0.2810021965891305</v>
      </c>
      <c r="I22" s="104">
        <f t="shared" si="15"/>
        <v>0.2810021965891305</v>
      </c>
      <c r="J22" s="104">
        <f t="shared" si="15"/>
        <v>0.2810021965891305</v>
      </c>
      <c r="K22" s="104">
        <f t="shared" si="15"/>
        <v>0.2810021965891305</v>
      </c>
      <c r="L22" s="104">
        <f t="shared" si="15"/>
        <v>0.2810021965891305</v>
      </c>
      <c r="M22" s="104">
        <f t="shared" si="15"/>
        <v>0.2810021965891305</v>
      </c>
      <c r="N22" s="104">
        <f t="shared" si="15"/>
        <v>0.2810021965891305</v>
      </c>
      <c r="O22" s="104">
        <f t="shared" si="15"/>
        <v>0.2810021965891305</v>
      </c>
      <c r="P22" s="104">
        <f t="shared" si="15"/>
        <v>0.2810021965891305</v>
      </c>
      <c r="Q22" s="104">
        <f t="shared" si="15"/>
        <v>0.2810021965891305</v>
      </c>
      <c r="R22" s="104">
        <f t="shared" si="15"/>
        <v>0.2810021965891305</v>
      </c>
      <c r="S22" s="104">
        <f t="shared" si="15"/>
        <v>0.2810021965891305</v>
      </c>
      <c r="T22" s="104">
        <f t="shared" si="14"/>
        <v>0.2810021965891305</v>
      </c>
      <c r="U22" s="104">
        <f t="shared" si="14"/>
        <v>0.2810021965891305</v>
      </c>
      <c r="V22" s="104">
        <f t="shared" si="14"/>
        <v>0.2810021965891305</v>
      </c>
      <c r="W22" s="104">
        <f t="shared" si="14"/>
        <v>0.2810021965891305</v>
      </c>
      <c r="X22" s="104">
        <f t="shared" si="14"/>
        <v>0.2810021965891305</v>
      </c>
      <c r="Y22" s="104">
        <f t="shared" si="14"/>
        <v>0.2810021965891305</v>
      </c>
      <c r="Z22" s="104">
        <f t="shared" si="14"/>
        <v>0.2810021965891305</v>
      </c>
      <c r="AA22" s="104">
        <f t="shared" si="14"/>
        <v>0.2810021965891305</v>
      </c>
      <c r="AB22" s="104">
        <f t="shared" si="14"/>
        <v>0.2810021965891305</v>
      </c>
      <c r="AC22" s="104">
        <f t="shared" si="14"/>
        <v>0.2810021965891305</v>
      </c>
      <c r="AD22" s="104">
        <f t="shared" si="14"/>
        <v>0.2810021965891305</v>
      </c>
      <c r="AE22" s="104">
        <f t="shared" si="14"/>
        <v>0.2810021965891305</v>
      </c>
      <c r="AF22" s="104">
        <f t="shared" si="14"/>
        <v>0.2810021965891305</v>
      </c>
      <c r="AG22" s="104">
        <f t="shared" si="14"/>
        <v>0.2810021965891305</v>
      </c>
      <c r="AI22" s="51" t="s">
        <v>268</v>
      </c>
      <c r="AJ22" s="198"/>
      <c r="AM22" s="114"/>
      <c r="AN22" s="109"/>
      <c r="AO22" s="110"/>
      <c r="AP22" s="111"/>
      <c r="AQ22" s="110"/>
    </row>
    <row r="23" spans="1:64" outlineLevel="1">
      <c r="AI23" s="51"/>
      <c r="AM23" s="114"/>
      <c r="AN23" s="109"/>
      <c r="AO23" s="110"/>
      <c r="AP23" s="111"/>
      <c r="AQ23" s="110"/>
      <c r="BD23" s="22"/>
      <c r="BE23" s="22"/>
      <c r="BF23" s="22"/>
      <c r="BG23" s="22"/>
      <c r="BH23" s="22"/>
      <c r="BI23" s="22"/>
      <c r="BJ23" s="22"/>
      <c r="BK23" s="22"/>
      <c r="BL23" s="22"/>
    </row>
    <row r="24" spans="1:64" outlineLevel="1">
      <c r="A24" t="s">
        <v>415</v>
      </c>
      <c r="B24" s="51" t="s">
        <v>297</v>
      </c>
      <c r="C24" s="191">
        <f t="shared" ref="C24:AG24" si="16">C11*C18</f>
        <v>1514603.3992981189</v>
      </c>
      <c r="D24" s="191">
        <f t="shared" si="16"/>
        <v>1514603.3992981189</v>
      </c>
      <c r="E24" s="191">
        <f t="shared" si="16"/>
        <v>1514603.3992981189</v>
      </c>
      <c r="F24" s="191">
        <f t="shared" si="16"/>
        <v>1514603.3992981189</v>
      </c>
      <c r="G24" s="191">
        <f t="shared" si="16"/>
        <v>1514603.3992981189</v>
      </c>
      <c r="H24" s="191">
        <f t="shared" si="16"/>
        <v>1514603.3992981189</v>
      </c>
      <c r="I24" s="191">
        <f t="shared" si="16"/>
        <v>1514603.3992981189</v>
      </c>
      <c r="J24" s="191">
        <f t="shared" si="16"/>
        <v>1514603.3992981189</v>
      </c>
      <c r="K24" s="191">
        <f t="shared" si="16"/>
        <v>1514603.3992981189</v>
      </c>
      <c r="L24" s="191">
        <f t="shared" si="16"/>
        <v>1514603.3992981189</v>
      </c>
      <c r="M24" s="191">
        <f t="shared" si="16"/>
        <v>1514603.3992981189</v>
      </c>
      <c r="N24" s="191">
        <f t="shared" si="16"/>
        <v>1514603.3992981189</v>
      </c>
      <c r="O24" s="191">
        <f t="shared" si="16"/>
        <v>1514603.3992981189</v>
      </c>
      <c r="P24" s="191">
        <f t="shared" si="16"/>
        <v>1514603.3992981189</v>
      </c>
      <c r="Q24" s="191">
        <f t="shared" si="16"/>
        <v>1514603.3992981189</v>
      </c>
      <c r="R24" s="191">
        <f t="shared" si="16"/>
        <v>1514603.3992981189</v>
      </c>
      <c r="S24" s="191">
        <f t="shared" si="16"/>
        <v>1514603.3992981189</v>
      </c>
      <c r="T24" s="191">
        <f t="shared" si="16"/>
        <v>1514603.3992981189</v>
      </c>
      <c r="U24" s="191">
        <f t="shared" si="16"/>
        <v>1514603.3992981189</v>
      </c>
      <c r="V24" s="191">
        <f t="shared" si="16"/>
        <v>1514603.3992981189</v>
      </c>
      <c r="W24" s="191">
        <f t="shared" si="16"/>
        <v>1514603.3992981189</v>
      </c>
      <c r="X24" s="191">
        <f t="shared" si="16"/>
        <v>1514603.3992981189</v>
      </c>
      <c r="Y24" s="191">
        <f t="shared" si="16"/>
        <v>1514603.3992981189</v>
      </c>
      <c r="Z24" s="191">
        <f t="shared" si="16"/>
        <v>1514603.3992981189</v>
      </c>
      <c r="AA24" s="191">
        <f t="shared" si="16"/>
        <v>1514603.3992981189</v>
      </c>
      <c r="AB24" s="191">
        <f t="shared" si="16"/>
        <v>1514603.3992981189</v>
      </c>
      <c r="AC24" s="191">
        <f t="shared" si="16"/>
        <v>1514603.3992981189</v>
      </c>
      <c r="AD24" s="191">
        <f t="shared" si="16"/>
        <v>1514603.3992981189</v>
      </c>
      <c r="AE24" s="191">
        <f t="shared" si="16"/>
        <v>1514603.3992981189</v>
      </c>
      <c r="AF24" s="191">
        <f t="shared" si="16"/>
        <v>1514603.3992981189</v>
      </c>
      <c r="AG24" s="191">
        <f t="shared" si="16"/>
        <v>1514603.3992981189</v>
      </c>
      <c r="AI24" s="230"/>
      <c r="AM24" s="114"/>
      <c r="AN24" s="109"/>
      <c r="AO24" s="109"/>
      <c r="AP24" s="109"/>
      <c r="AQ24" s="109"/>
      <c r="BD24" s="192"/>
      <c r="BE24" s="192"/>
      <c r="BF24" s="192"/>
      <c r="BG24" s="192"/>
      <c r="BH24" s="192"/>
      <c r="BI24" s="192"/>
      <c r="BJ24" s="192"/>
      <c r="BK24" s="192"/>
      <c r="BL24" s="192"/>
    </row>
    <row r="25" spans="1:64" outlineLevel="1">
      <c r="A25" t="s">
        <v>298</v>
      </c>
      <c r="B25" s="51" t="s">
        <v>297</v>
      </c>
      <c r="C25" s="191">
        <f t="shared" ref="C25:AG25" si="17">C12*C19</f>
        <v>43179.045698095215</v>
      </c>
      <c r="D25" s="191">
        <f t="shared" si="17"/>
        <v>43179.045698095215</v>
      </c>
      <c r="E25" s="191">
        <f t="shared" si="17"/>
        <v>43179.045698095215</v>
      </c>
      <c r="F25" s="191">
        <f t="shared" si="17"/>
        <v>43179.045698095215</v>
      </c>
      <c r="G25" s="191">
        <f t="shared" si="17"/>
        <v>43179.045698095215</v>
      </c>
      <c r="H25" s="191">
        <f t="shared" si="17"/>
        <v>43179.045698095215</v>
      </c>
      <c r="I25" s="191">
        <f t="shared" si="17"/>
        <v>43179.045698095215</v>
      </c>
      <c r="J25" s="191">
        <f t="shared" si="17"/>
        <v>43179.045698095215</v>
      </c>
      <c r="K25" s="191">
        <f t="shared" si="17"/>
        <v>43179.045698095215</v>
      </c>
      <c r="L25" s="191">
        <f t="shared" si="17"/>
        <v>43179.045698095215</v>
      </c>
      <c r="M25" s="191">
        <f t="shared" si="17"/>
        <v>43179.045698095215</v>
      </c>
      <c r="N25" s="191">
        <f t="shared" si="17"/>
        <v>43179.045698095215</v>
      </c>
      <c r="O25" s="191">
        <f t="shared" si="17"/>
        <v>43179.045698095215</v>
      </c>
      <c r="P25" s="191">
        <f t="shared" si="17"/>
        <v>43179.045698095215</v>
      </c>
      <c r="Q25" s="191">
        <f t="shared" si="17"/>
        <v>43179.045698095215</v>
      </c>
      <c r="R25" s="191">
        <f t="shared" si="17"/>
        <v>43179.045698095215</v>
      </c>
      <c r="S25" s="191">
        <f t="shared" si="17"/>
        <v>43179.045698095215</v>
      </c>
      <c r="T25" s="191">
        <f t="shared" si="17"/>
        <v>43179.045698095215</v>
      </c>
      <c r="U25" s="191">
        <f t="shared" si="17"/>
        <v>43179.045698095215</v>
      </c>
      <c r="V25" s="191">
        <f t="shared" si="17"/>
        <v>43179.045698095215</v>
      </c>
      <c r="W25" s="191">
        <f t="shared" si="17"/>
        <v>43179.045698095215</v>
      </c>
      <c r="X25" s="191">
        <f t="shared" si="17"/>
        <v>43179.045698095215</v>
      </c>
      <c r="Y25" s="191">
        <f t="shared" si="17"/>
        <v>43179.045698095215</v>
      </c>
      <c r="Z25" s="191">
        <f t="shared" si="17"/>
        <v>43179.045698095215</v>
      </c>
      <c r="AA25" s="191">
        <f t="shared" si="17"/>
        <v>43179.045698095215</v>
      </c>
      <c r="AB25" s="191">
        <f t="shared" si="17"/>
        <v>43179.045698095215</v>
      </c>
      <c r="AC25" s="191">
        <f t="shared" si="17"/>
        <v>43179.045698095215</v>
      </c>
      <c r="AD25" s="191">
        <f t="shared" si="17"/>
        <v>43179.045698095215</v>
      </c>
      <c r="AE25" s="191">
        <f t="shared" si="17"/>
        <v>43179.045698095215</v>
      </c>
      <c r="AF25" s="191">
        <f t="shared" si="17"/>
        <v>43179.045698095215</v>
      </c>
      <c r="AG25" s="191">
        <f t="shared" si="17"/>
        <v>43179.045698095215</v>
      </c>
      <c r="AM25" s="193"/>
      <c r="BD25" s="192"/>
      <c r="BE25" s="192"/>
      <c r="BF25" s="192"/>
      <c r="BG25" s="192"/>
      <c r="BH25" s="192"/>
      <c r="BI25" s="192"/>
      <c r="BJ25" s="192"/>
      <c r="BK25" s="192"/>
      <c r="BL25" s="192"/>
    </row>
    <row r="26" spans="1:64" outlineLevel="1">
      <c r="A26" t="s">
        <v>299</v>
      </c>
      <c r="B26" s="51" t="s">
        <v>297</v>
      </c>
      <c r="C26" s="191">
        <f t="shared" ref="C26:AG26" si="18">C13*C20</f>
        <v>94796.125276685067</v>
      </c>
      <c r="D26" s="191">
        <f t="shared" si="18"/>
        <v>94796.125276685067</v>
      </c>
      <c r="E26" s="191">
        <f t="shared" si="18"/>
        <v>94796.125276685067</v>
      </c>
      <c r="F26" s="191">
        <f t="shared" si="18"/>
        <v>94796.125276685067</v>
      </c>
      <c r="G26" s="191">
        <f t="shared" si="18"/>
        <v>94796.125276685067</v>
      </c>
      <c r="H26" s="191">
        <f t="shared" si="18"/>
        <v>94796.125276685067</v>
      </c>
      <c r="I26" s="191">
        <f t="shared" si="18"/>
        <v>94796.125276685067</v>
      </c>
      <c r="J26" s="191">
        <f t="shared" si="18"/>
        <v>94796.125276685067</v>
      </c>
      <c r="K26" s="191">
        <f t="shared" si="18"/>
        <v>94796.125276685067</v>
      </c>
      <c r="L26" s="191">
        <f t="shared" si="18"/>
        <v>94796.125276685067</v>
      </c>
      <c r="M26" s="191">
        <f t="shared" si="18"/>
        <v>94796.125276685067</v>
      </c>
      <c r="N26" s="191">
        <f t="shared" si="18"/>
        <v>94796.125276685067</v>
      </c>
      <c r="O26" s="191">
        <f t="shared" si="18"/>
        <v>94796.125276685067</v>
      </c>
      <c r="P26" s="191">
        <f t="shared" si="18"/>
        <v>94796.125276685067</v>
      </c>
      <c r="Q26" s="191">
        <f t="shared" si="18"/>
        <v>94796.125276685067</v>
      </c>
      <c r="R26" s="191">
        <f t="shared" si="18"/>
        <v>94796.125276685067</v>
      </c>
      <c r="S26" s="191">
        <f t="shared" si="18"/>
        <v>94796.125276685067</v>
      </c>
      <c r="T26" s="191">
        <f t="shared" si="18"/>
        <v>94796.125276685067</v>
      </c>
      <c r="U26" s="191">
        <f t="shared" si="18"/>
        <v>94796.125276685067</v>
      </c>
      <c r="V26" s="191">
        <f t="shared" si="18"/>
        <v>94796.125276685067</v>
      </c>
      <c r="W26" s="191">
        <f t="shared" si="18"/>
        <v>94796.125276685067</v>
      </c>
      <c r="X26" s="191">
        <f t="shared" si="18"/>
        <v>94796.125276685067</v>
      </c>
      <c r="Y26" s="191">
        <f t="shared" si="18"/>
        <v>94796.125276685067</v>
      </c>
      <c r="Z26" s="191">
        <f t="shared" si="18"/>
        <v>94796.125276685067</v>
      </c>
      <c r="AA26" s="191">
        <f t="shared" si="18"/>
        <v>94796.125276685067</v>
      </c>
      <c r="AB26" s="191">
        <f t="shared" si="18"/>
        <v>94796.125276685067</v>
      </c>
      <c r="AC26" s="191">
        <f t="shared" si="18"/>
        <v>94796.125276685067</v>
      </c>
      <c r="AD26" s="191">
        <f t="shared" si="18"/>
        <v>94796.125276685067</v>
      </c>
      <c r="AE26" s="191">
        <f t="shared" si="18"/>
        <v>94796.125276685067</v>
      </c>
      <c r="AF26" s="191">
        <f t="shared" si="18"/>
        <v>94796.125276685067</v>
      </c>
      <c r="AG26" s="191">
        <f t="shared" si="18"/>
        <v>94796.125276685067</v>
      </c>
      <c r="BD26" s="192"/>
      <c r="BE26" s="192"/>
      <c r="BF26" s="192"/>
      <c r="BG26" s="192"/>
      <c r="BH26" s="192"/>
      <c r="BI26" s="192"/>
      <c r="BJ26" s="192"/>
      <c r="BK26" s="192"/>
      <c r="BL26" s="192"/>
    </row>
    <row r="27" spans="1:64" outlineLevel="1">
      <c r="A27" t="s">
        <v>412</v>
      </c>
      <c r="B27" s="51" t="s">
        <v>297</v>
      </c>
      <c r="C27" s="191">
        <f t="shared" ref="C27:AG27" si="19">C14*C21</f>
        <v>85596.363643166362</v>
      </c>
      <c r="D27" s="191">
        <f t="shared" si="19"/>
        <v>85596.363643166362</v>
      </c>
      <c r="E27" s="191">
        <f t="shared" si="19"/>
        <v>85596.363643166362</v>
      </c>
      <c r="F27" s="191">
        <f t="shared" si="19"/>
        <v>85596.363643166362</v>
      </c>
      <c r="G27" s="191">
        <f t="shared" si="19"/>
        <v>85596.363643166362</v>
      </c>
      <c r="H27" s="191">
        <f t="shared" si="19"/>
        <v>85596.363643166362</v>
      </c>
      <c r="I27" s="191">
        <f t="shared" si="19"/>
        <v>85596.363643166362</v>
      </c>
      <c r="J27" s="191">
        <f t="shared" si="19"/>
        <v>85596.363643166362</v>
      </c>
      <c r="K27" s="191">
        <f t="shared" si="19"/>
        <v>85596.363643166362</v>
      </c>
      <c r="L27" s="191">
        <f t="shared" si="19"/>
        <v>85596.363643166362</v>
      </c>
      <c r="M27" s="191">
        <f t="shared" si="19"/>
        <v>85596.363643166362</v>
      </c>
      <c r="N27" s="191">
        <f t="shared" si="19"/>
        <v>85596.363643166362</v>
      </c>
      <c r="O27" s="191">
        <f t="shared" si="19"/>
        <v>85596.363643166362</v>
      </c>
      <c r="P27" s="191">
        <f t="shared" si="19"/>
        <v>85596.363643166362</v>
      </c>
      <c r="Q27" s="191">
        <f t="shared" si="19"/>
        <v>85596.363643166362</v>
      </c>
      <c r="R27" s="191">
        <f t="shared" si="19"/>
        <v>85596.363643166362</v>
      </c>
      <c r="S27" s="191">
        <f t="shared" si="19"/>
        <v>85596.363643166362</v>
      </c>
      <c r="T27" s="191">
        <f t="shared" si="19"/>
        <v>85596.363643166362</v>
      </c>
      <c r="U27" s="191">
        <f t="shared" si="19"/>
        <v>85596.363643166362</v>
      </c>
      <c r="V27" s="191">
        <f t="shared" si="19"/>
        <v>85596.363643166362</v>
      </c>
      <c r="W27" s="191">
        <f t="shared" si="19"/>
        <v>85596.363643166362</v>
      </c>
      <c r="X27" s="191">
        <f t="shared" si="19"/>
        <v>85596.363643166362</v>
      </c>
      <c r="Y27" s="191">
        <f t="shared" si="19"/>
        <v>85596.363643166362</v>
      </c>
      <c r="Z27" s="191">
        <f t="shared" si="19"/>
        <v>85596.363643166362</v>
      </c>
      <c r="AA27" s="191">
        <f t="shared" si="19"/>
        <v>85596.363643166362</v>
      </c>
      <c r="AB27" s="191">
        <f t="shared" si="19"/>
        <v>85596.363643166362</v>
      </c>
      <c r="AC27" s="191">
        <f t="shared" si="19"/>
        <v>85596.363643166362</v>
      </c>
      <c r="AD27" s="191">
        <f t="shared" si="19"/>
        <v>85596.363643166362</v>
      </c>
      <c r="AE27" s="191">
        <f t="shared" si="19"/>
        <v>85596.363643166362</v>
      </c>
      <c r="AF27" s="191">
        <f t="shared" si="19"/>
        <v>85596.363643166362</v>
      </c>
      <c r="AG27" s="191">
        <f t="shared" si="19"/>
        <v>85596.363643166362</v>
      </c>
      <c r="BD27" s="192"/>
      <c r="BE27" s="192"/>
      <c r="BF27" s="192"/>
      <c r="BG27" s="192"/>
      <c r="BH27" s="192"/>
      <c r="BI27" s="192"/>
      <c r="BJ27" s="192"/>
      <c r="BK27" s="192"/>
      <c r="BL27" s="192"/>
    </row>
    <row r="28" spans="1:64" outlineLevel="1">
      <c r="A28" s="169" t="s">
        <v>300</v>
      </c>
      <c r="B28" s="165" t="s">
        <v>297</v>
      </c>
      <c r="C28" s="191">
        <f t="shared" ref="C28:AG28" si="20">C15*C22</f>
        <v>423517.63920713891</v>
      </c>
      <c r="D28" s="191">
        <f t="shared" si="20"/>
        <v>423517.63920713891</v>
      </c>
      <c r="E28" s="191">
        <f t="shared" si="20"/>
        <v>423517.63920713891</v>
      </c>
      <c r="F28" s="191">
        <f t="shared" si="20"/>
        <v>423517.63920713891</v>
      </c>
      <c r="G28" s="191">
        <f t="shared" si="20"/>
        <v>423517.63920713891</v>
      </c>
      <c r="H28" s="191">
        <f t="shared" si="20"/>
        <v>423517.63920713891</v>
      </c>
      <c r="I28" s="191">
        <f t="shared" si="20"/>
        <v>423517.63920713891</v>
      </c>
      <c r="J28" s="191">
        <f t="shared" si="20"/>
        <v>423517.63920713891</v>
      </c>
      <c r="K28" s="191">
        <f t="shared" si="20"/>
        <v>423517.63920713891</v>
      </c>
      <c r="L28" s="191">
        <f t="shared" si="20"/>
        <v>423517.63920713891</v>
      </c>
      <c r="M28" s="191">
        <f t="shared" si="20"/>
        <v>423517.63920713891</v>
      </c>
      <c r="N28" s="191">
        <f t="shared" si="20"/>
        <v>423517.63920713891</v>
      </c>
      <c r="O28" s="191">
        <f t="shared" si="20"/>
        <v>423517.63920713891</v>
      </c>
      <c r="P28" s="191">
        <f t="shared" si="20"/>
        <v>423517.63920713891</v>
      </c>
      <c r="Q28" s="191">
        <f t="shared" si="20"/>
        <v>423517.63920713891</v>
      </c>
      <c r="R28" s="191">
        <f t="shared" si="20"/>
        <v>423517.63920713891</v>
      </c>
      <c r="S28" s="191">
        <f t="shared" si="20"/>
        <v>423517.63920713891</v>
      </c>
      <c r="T28" s="191">
        <f t="shared" si="20"/>
        <v>423517.63920713891</v>
      </c>
      <c r="U28" s="191">
        <f t="shared" si="20"/>
        <v>423517.63920713891</v>
      </c>
      <c r="V28" s="191">
        <f t="shared" si="20"/>
        <v>423517.63920713891</v>
      </c>
      <c r="W28" s="191">
        <f t="shared" si="20"/>
        <v>423517.63920713891</v>
      </c>
      <c r="X28" s="191">
        <f t="shared" si="20"/>
        <v>423517.63920713891</v>
      </c>
      <c r="Y28" s="191">
        <f t="shared" si="20"/>
        <v>423517.63920713891</v>
      </c>
      <c r="Z28" s="191">
        <f t="shared" si="20"/>
        <v>423517.63920713891</v>
      </c>
      <c r="AA28" s="191">
        <f t="shared" si="20"/>
        <v>423517.63920713891</v>
      </c>
      <c r="AB28" s="191">
        <f t="shared" si="20"/>
        <v>423517.63920713891</v>
      </c>
      <c r="AC28" s="191">
        <f t="shared" si="20"/>
        <v>423517.63920713891</v>
      </c>
      <c r="AD28" s="191">
        <f t="shared" si="20"/>
        <v>423517.63920713891</v>
      </c>
      <c r="AE28" s="191">
        <f t="shared" si="20"/>
        <v>423517.63920713891</v>
      </c>
      <c r="AF28" s="191">
        <f t="shared" si="20"/>
        <v>423517.63920713891</v>
      </c>
      <c r="AG28" s="191">
        <f t="shared" si="20"/>
        <v>423517.63920713891</v>
      </c>
      <c r="AL28" s="102"/>
      <c r="AM28" s="194"/>
      <c r="AN28" s="194"/>
      <c r="AO28" s="194"/>
    </row>
    <row r="29" spans="1:64" s="1" customFormat="1" ht="15.5" thickBot="1">
      <c r="A29" s="187" t="s">
        <v>434</v>
      </c>
      <c r="B29" s="206" t="s">
        <v>297</v>
      </c>
      <c r="C29" s="203">
        <f>SUM(C24:C28)</f>
        <v>2161692.5731232045</v>
      </c>
      <c r="D29" s="203">
        <f t="shared" ref="D29:AG29" si="21">SUM(D24:D28)</f>
        <v>2161692.5731232045</v>
      </c>
      <c r="E29" s="203">
        <f t="shared" si="21"/>
        <v>2161692.5731232045</v>
      </c>
      <c r="F29" s="203">
        <f t="shared" si="21"/>
        <v>2161692.5731232045</v>
      </c>
      <c r="G29" s="203">
        <f t="shared" si="21"/>
        <v>2161692.5731232045</v>
      </c>
      <c r="H29" s="203">
        <f t="shared" si="21"/>
        <v>2161692.5731232045</v>
      </c>
      <c r="I29" s="203">
        <f t="shared" si="21"/>
        <v>2161692.5731232045</v>
      </c>
      <c r="J29" s="203">
        <f t="shared" si="21"/>
        <v>2161692.5731232045</v>
      </c>
      <c r="K29" s="203">
        <f t="shared" si="21"/>
        <v>2161692.5731232045</v>
      </c>
      <c r="L29" s="203">
        <f t="shared" si="21"/>
        <v>2161692.5731232045</v>
      </c>
      <c r="M29" s="203">
        <f t="shared" si="21"/>
        <v>2161692.5731232045</v>
      </c>
      <c r="N29" s="203">
        <f t="shared" si="21"/>
        <v>2161692.5731232045</v>
      </c>
      <c r="O29" s="203">
        <f t="shared" si="21"/>
        <v>2161692.5731232045</v>
      </c>
      <c r="P29" s="203">
        <f t="shared" si="21"/>
        <v>2161692.5731232045</v>
      </c>
      <c r="Q29" s="203">
        <f t="shared" si="21"/>
        <v>2161692.5731232045</v>
      </c>
      <c r="R29" s="203">
        <f t="shared" si="21"/>
        <v>2161692.5731232045</v>
      </c>
      <c r="S29" s="203">
        <f t="shared" si="21"/>
        <v>2161692.5731232045</v>
      </c>
      <c r="T29" s="203">
        <f t="shared" si="21"/>
        <v>2161692.5731232045</v>
      </c>
      <c r="U29" s="203">
        <f t="shared" si="21"/>
        <v>2161692.5731232045</v>
      </c>
      <c r="V29" s="203">
        <f t="shared" si="21"/>
        <v>2161692.5731232045</v>
      </c>
      <c r="W29" s="203">
        <f t="shared" si="21"/>
        <v>2161692.5731232045</v>
      </c>
      <c r="X29" s="203">
        <f t="shared" si="21"/>
        <v>2161692.5731232045</v>
      </c>
      <c r="Y29" s="203">
        <f t="shared" si="21"/>
        <v>2161692.5731232045</v>
      </c>
      <c r="Z29" s="203">
        <f t="shared" si="21"/>
        <v>2161692.5731232045</v>
      </c>
      <c r="AA29" s="203">
        <f t="shared" si="21"/>
        <v>2161692.5731232045</v>
      </c>
      <c r="AB29" s="203">
        <f t="shared" si="21"/>
        <v>2161692.5731232045</v>
      </c>
      <c r="AC29" s="203">
        <f t="shared" si="21"/>
        <v>2161692.5731232045</v>
      </c>
      <c r="AD29" s="203">
        <f t="shared" si="21"/>
        <v>2161692.5731232045</v>
      </c>
      <c r="AE29" s="203">
        <f t="shared" si="21"/>
        <v>2161692.5731232045</v>
      </c>
      <c r="AF29" s="203">
        <f t="shared" si="21"/>
        <v>2161692.5731232045</v>
      </c>
      <c r="AG29" s="203">
        <f t="shared" si="21"/>
        <v>2161692.5731232045</v>
      </c>
      <c r="AJ29" s="151"/>
      <c r="AL29" s="207"/>
      <c r="AM29" s="118"/>
      <c r="AN29" s="118"/>
      <c r="AO29" s="118"/>
    </row>
    <row r="30" spans="1:64" ht="15.5" outlineLevel="1" thickTop="1">
      <c r="AL30" s="102"/>
      <c r="AM30" s="2"/>
      <c r="AN30" s="2"/>
      <c r="AO30" s="2"/>
    </row>
    <row r="31" spans="1:64" outlineLevel="1">
      <c r="A31" t="s">
        <v>518</v>
      </c>
      <c r="B31" s="165" t="s">
        <v>297</v>
      </c>
      <c r="C31" s="101">
        <f>C29</f>
        <v>2161692.5731232045</v>
      </c>
      <c r="D31" s="101">
        <f t="shared" ref="D31:AG31" si="22">D29</f>
        <v>2161692.5731232045</v>
      </c>
      <c r="E31" s="101">
        <f t="shared" si="22"/>
        <v>2161692.5731232045</v>
      </c>
      <c r="F31" s="101">
        <f t="shared" si="22"/>
        <v>2161692.5731232045</v>
      </c>
      <c r="G31" s="101">
        <f t="shared" si="22"/>
        <v>2161692.5731232045</v>
      </c>
      <c r="H31" s="101">
        <f t="shared" si="22"/>
        <v>2161692.5731232045</v>
      </c>
      <c r="I31" s="101">
        <f t="shared" si="22"/>
        <v>2161692.5731232045</v>
      </c>
      <c r="J31" s="101">
        <f t="shared" si="22"/>
        <v>2161692.5731232045</v>
      </c>
      <c r="K31" s="101">
        <f t="shared" si="22"/>
        <v>2161692.5731232045</v>
      </c>
      <c r="L31" s="101">
        <f t="shared" si="22"/>
        <v>2161692.5731232045</v>
      </c>
      <c r="M31" s="101">
        <f t="shared" si="22"/>
        <v>2161692.5731232045</v>
      </c>
      <c r="N31" s="101">
        <f t="shared" si="22"/>
        <v>2161692.5731232045</v>
      </c>
      <c r="O31" s="101">
        <f t="shared" si="22"/>
        <v>2161692.5731232045</v>
      </c>
      <c r="P31" s="101">
        <f t="shared" si="22"/>
        <v>2161692.5731232045</v>
      </c>
      <c r="Q31" s="101">
        <f t="shared" si="22"/>
        <v>2161692.5731232045</v>
      </c>
      <c r="R31" s="101">
        <f t="shared" si="22"/>
        <v>2161692.5731232045</v>
      </c>
      <c r="S31" s="101">
        <f t="shared" si="22"/>
        <v>2161692.5731232045</v>
      </c>
      <c r="T31" s="101">
        <f t="shared" si="22"/>
        <v>2161692.5731232045</v>
      </c>
      <c r="U31" s="101">
        <f t="shared" si="22"/>
        <v>2161692.5731232045</v>
      </c>
      <c r="V31" s="101">
        <f t="shared" si="22"/>
        <v>2161692.5731232045</v>
      </c>
      <c r="W31" s="101">
        <f t="shared" si="22"/>
        <v>2161692.5731232045</v>
      </c>
      <c r="X31" s="101">
        <f t="shared" si="22"/>
        <v>2161692.5731232045</v>
      </c>
      <c r="Y31" s="101">
        <f t="shared" si="22"/>
        <v>2161692.5731232045</v>
      </c>
      <c r="Z31" s="101">
        <f t="shared" si="22"/>
        <v>2161692.5731232045</v>
      </c>
      <c r="AA31" s="101">
        <f t="shared" si="22"/>
        <v>2161692.5731232045</v>
      </c>
      <c r="AB31" s="101">
        <f t="shared" si="22"/>
        <v>2161692.5731232045</v>
      </c>
      <c r="AC31" s="101">
        <f t="shared" si="22"/>
        <v>2161692.5731232045</v>
      </c>
      <c r="AD31" s="101">
        <f t="shared" si="22"/>
        <v>2161692.5731232045</v>
      </c>
      <c r="AE31" s="101">
        <f t="shared" si="22"/>
        <v>2161692.5731232045</v>
      </c>
      <c r="AF31" s="101">
        <f t="shared" si="22"/>
        <v>2161692.5731232045</v>
      </c>
      <c r="AG31" s="101">
        <f t="shared" si="22"/>
        <v>2161692.5731232045</v>
      </c>
      <c r="AL31" s="102"/>
      <c r="AM31" s="2"/>
      <c r="AN31" s="2"/>
      <c r="AO31" s="2"/>
    </row>
    <row r="32" spans="1:64" outlineLevel="1">
      <c r="A32" t="s">
        <v>416</v>
      </c>
      <c r="B32" s="165" t="s">
        <v>297</v>
      </c>
      <c r="C32" s="101">
        <f>'Yearly Demand - Eth-Prop'!L3*SUM('Demand - Ethylene'!$C$34:$C$39)</f>
        <v>680139.10857126827</v>
      </c>
      <c r="D32" s="101">
        <f>'Yearly Demand - Eth-Prop'!M3*SUM('Demand - Ethylene'!$C$34:$C$39)</f>
        <v>680139.10857126827</v>
      </c>
      <c r="E32" s="101">
        <f>'Yearly Demand - Eth-Prop'!N3*SUM('Demand - Ethylene'!$C$34:$C$39)</f>
        <v>680139.10857126827</v>
      </c>
      <c r="F32" s="101">
        <f>'Yearly Demand - Eth-Prop'!O3*SUM('Demand - Ethylene'!$C$34:$C$39)</f>
        <v>680139.10857126827</v>
      </c>
      <c r="G32" s="101">
        <f>'Yearly Demand - Eth-Prop'!P3*SUM('Demand - Ethylene'!$C$34:$C$39)</f>
        <v>680139.10857126827</v>
      </c>
      <c r="H32" s="101">
        <f>'Yearly Demand - Eth-Prop'!Q3*SUM('Demand - Ethylene'!$C$34:$C$39)</f>
        <v>680139.10857126827</v>
      </c>
      <c r="I32" s="101">
        <f>'Yearly Demand - Eth-Prop'!R3*SUM('Demand - Ethylene'!$C$34:$C$39)</f>
        <v>680139.10857126827</v>
      </c>
      <c r="J32" s="101">
        <f>'Yearly Demand - Eth-Prop'!S3*SUM('Demand - Ethylene'!$C$34:$C$39)</f>
        <v>680139.10857126827</v>
      </c>
      <c r="K32" s="101">
        <f>'Yearly Demand - Eth-Prop'!T3*SUM('Demand - Ethylene'!$C$34:$C$39)</f>
        <v>680139.10857126827</v>
      </c>
      <c r="L32" s="101">
        <f>'Yearly Demand - Eth-Prop'!U3*SUM('Demand - Ethylene'!$C$34:$C$39)</f>
        <v>680139.10857126827</v>
      </c>
      <c r="M32" s="101">
        <f>'Yearly Demand - Eth-Prop'!V3*SUM('Demand - Ethylene'!$C$34:$C$39)</f>
        <v>680139.10857126827</v>
      </c>
      <c r="N32" s="101">
        <f>'Yearly Demand - Eth-Prop'!W3*SUM('Demand - Ethylene'!$C$34:$C$39)</f>
        <v>680139.10857126827</v>
      </c>
      <c r="O32" s="101">
        <f>'Yearly Demand - Eth-Prop'!X3*SUM('Demand - Ethylene'!$C$34:$C$39)</f>
        <v>680139.10857126827</v>
      </c>
      <c r="P32" s="101">
        <f>'Yearly Demand - Eth-Prop'!Y3*SUM('Demand - Ethylene'!$C$34:$C$39)</f>
        <v>680139.10857126827</v>
      </c>
      <c r="Q32" s="101">
        <f>'Yearly Demand - Eth-Prop'!Z3*SUM('Demand - Ethylene'!$C$34:$C$39)</f>
        <v>680139.10857126827</v>
      </c>
      <c r="R32" s="101">
        <f>'Yearly Demand - Eth-Prop'!AA3*SUM('Demand - Ethylene'!$C$34:$C$39)</f>
        <v>680139.10857126827</v>
      </c>
      <c r="S32" s="101">
        <f>'Yearly Demand - Eth-Prop'!AB3*SUM('Demand - Ethylene'!$C$34:$C$39)</f>
        <v>680139.10857126827</v>
      </c>
      <c r="T32" s="101">
        <f>'Yearly Demand - Eth-Prop'!AC3*SUM('Demand - Ethylene'!$C$34:$C$39)</f>
        <v>680139.10857126827</v>
      </c>
      <c r="U32" s="101">
        <f>'Yearly Demand - Eth-Prop'!AD3*SUM('Demand - Ethylene'!$C$34:$C$39)</f>
        <v>680139.10857126827</v>
      </c>
      <c r="V32" s="101">
        <f>'Yearly Demand - Eth-Prop'!AE3*SUM('Demand - Ethylene'!$C$34:$C$39)</f>
        <v>680139.10857126827</v>
      </c>
      <c r="W32" s="101">
        <f>'Yearly Demand - Eth-Prop'!AF3*SUM('Demand - Ethylene'!$C$34:$C$39)</f>
        <v>680139.10857126827</v>
      </c>
      <c r="X32" s="101">
        <f>'Yearly Demand - Eth-Prop'!AG3*SUM('Demand - Ethylene'!$C$34:$C$39)</f>
        <v>680139.10857126827</v>
      </c>
      <c r="Y32" s="101">
        <f>'Yearly Demand - Eth-Prop'!AH3*SUM('Demand - Ethylene'!$C$34:$C$39)</f>
        <v>680139.10857126827</v>
      </c>
      <c r="Z32" s="101">
        <f>'Yearly Demand - Eth-Prop'!AI3*SUM('Demand - Ethylene'!$C$34:$C$39)</f>
        <v>680139.10857126827</v>
      </c>
      <c r="AA32" s="101">
        <f>'Yearly Demand - Eth-Prop'!AJ3*SUM('Demand - Ethylene'!$C$34:$C$39)</f>
        <v>680139.10857126827</v>
      </c>
      <c r="AB32" s="101">
        <f>'Yearly Demand - Eth-Prop'!AK3*SUM('Demand - Ethylene'!$C$34:$C$39)</f>
        <v>680139.10857126827</v>
      </c>
      <c r="AC32" s="101">
        <f>'Yearly Demand - Eth-Prop'!AL3*SUM('Demand - Ethylene'!$C$34:$C$39)</f>
        <v>680139.10857126827</v>
      </c>
      <c r="AD32" s="101">
        <f>'Yearly Demand - Eth-Prop'!AM3*SUM('Demand - Ethylene'!$C$34:$C$39)</f>
        <v>680139.10857126827</v>
      </c>
      <c r="AE32" s="101">
        <f>'Yearly Demand - Eth-Prop'!AN3*SUM('Demand - Ethylene'!$C$34:$C$39)</f>
        <v>680139.10857126827</v>
      </c>
      <c r="AF32" s="101">
        <f>'Yearly Demand - Eth-Prop'!AO3*SUM('Demand - Ethylene'!$C$34:$C$39)</f>
        <v>680139.10857126827</v>
      </c>
      <c r="AG32" s="101">
        <f>'Yearly Demand - Eth-Prop'!AP3*SUM('Demand - Ethylene'!$C$34:$C$39)</f>
        <v>680139.10857126827</v>
      </c>
      <c r="AL32" s="102"/>
      <c r="AM32" s="2"/>
      <c r="AN32" s="2"/>
      <c r="AO32" s="2"/>
    </row>
    <row r="33" spans="1:64" outlineLevel="1">
      <c r="A33" t="s">
        <v>417</v>
      </c>
      <c r="B33" s="165" t="s">
        <v>297</v>
      </c>
      <c r="C33" s="101">
        <f>C32-C31</f>
        <v>-1481553.4645519364</v>
      </c>
      <c r="D33" s="101">
        <f t="shared" ref="D33:AG33" si="23">D32-D31</f>
        <v>-1481553.4645519364</v>
      </c>
      <c r="E33" s="101">
        <f t="shared" si="23"/>
        <v>-1481553.4645519364</v>
      </c>
      <c r="F33" s="101">
        <f t="shared" si="23"/>
        <v>-1481553.4645519364</v>
      </c>
      <c r="G33" s="101">
        <f t="shared" si="23"/>
        <v>-1481553.4645519364</v>
      </c>
      <c r="H33" s="101">
        <f t="shared" si="23"/>
        <v>-1481553.4645519364</v>
      </c>
      <c r="I33" s="101">
        <f t="shared" si="23"/>
        <v>-1481553.4645519364</v>
      </c>
      <c r="J33" s="101">
        <f t="shared" si="23"/>
        <v>-1481553.4645519364</v>
      </c>
      <c r="K33" s="101">
        <f t="shared" si="23"/>
        <v>-1481553.4645519364</v>
      </c>
      <c r="L33" s="101">
        <f t="shared" si="23"/>
        <v>-1481553.4645519364</v>
      </c>
      <c r="M33" s="101">
        <f t="shared" si="23"/>
        <v>-1481553.4645519364</v>
      </c>
      <c r="N33" s="101">
        <f t="shared" si="23"/>
        <v>-1481553.4645519364</v>
      </c>
      <c r="O33" s="101">
        <f t="shared" si="23"/>
        <v>-1481553.4645519364</v>
      </c>
      <c r="P33" s="101">
        <f t="shared" si="23"/>
        <v>-1481553.4645519364</v>
      </c>
      <c r="Q33" s="101">
        <f t="shared" si="23"/>
        <v>-1481553.4645519364</v>
      </c>
      <c r="R33" s="101">
        <f t="shared" si="23"/>
        <v>-1481553.4645519364</v>
      </c>
      <c r="S33" s="101">
        <f t="shared" si="23"/>
        <v>-1481553.4645519364</v>
      </c>
      <c r="T33" s="101">
        <f t="shared" si="23"/>
        <v>-1481553.4645519364</v>
      </c>
      <c r="U33" s="101">
        <f t="shared" si="23"/>
        <v>-1481553.4645519364</v>
      </c>
      <c r="V33" s="101">
        <f t="shared" si="23"/>
        <v>-1481553.4645519364</v>
      </c>
      <c r="W33" s="101">
        <f t="shared" si="23"/>
        <v>-1481553.4645519364</v>
      </c>
      <c r="X33" s="101">
        <f t="shared" si="23"/>
        <v>-1481553.4645519364</v>
      </c>
      <c r="Y33" s="101">
        <f t="shared" si="23"/>
        <v>-1481553.4645519364</v>
      </c>
      <c r="Z33" s="101">
        <f t="shared" si="23"/>
        <v>-1481553.4645519364</v>
      </c>
      <c r="AA33" s="101">
        <f t="shared" si="23"/>
        <v>-1481553.4645519364</v>
      </c>
      <c r="AB33" s="101">
        <f t="shared" si="23"/>
        <v>-1481553.4645519364</v>
      </c>
      <c r="AC33" s="101">
        <f t="shared" si="23"/>
        <v>-1481553.4645519364</v>
      </c>
      <c r="AD33" s="101">
        <f t="shared" si="23"/>
        <v>-1481553.4645519364</v>
      </c>
      <c r="AE33" s="101">
        <f t="shared" si="23"/>
        <v>-1481553.4645519364</v>
      </c>
      <c r="AF33" s="101">
        <f t="shared" si="23"/>
        <v>-1481553.4645519364</v>
      </c>
      <c r="AG33" s="101">
        <f t="shared" si="23"/>
        <v>-1481553.4645519364</v>
      </c>
      <c r="AL33" s="102"/>
      <c r="AM33" s="2"/>
      <c r="AN33" s="2"/>
      <c r="AO33" s="2"/>
    </row>
    <row r="34" spans="1:64" outlineLevel="1">
      <c r="A34" t="s">
        <v>418</v>
      </c>
      <c r="B34" s="51" t="s">
        <v>126</v>
      </c>
      <c r="C34" s="2">
        <f>C31/C32</f>
        <v>3.1783094750486502</v>
      </c>
      <c r="D34" s="2">
        <f t="shared" ref="D34:AG34" si="24">D31/D32</f>
        <v>3.1783094750486502</v>
      </c>
      <c r="E34" s="2">
        <f t="shared" si="24"/>
        <v>3.1783094750486502</v>
      </c>
      <c r="F34" s="2">
        <f t="shared" si="24"/>
        <v>3.1783094750486502</v>
      </c>
      <c r="G34" s="2">
        <f t="shared" si="24"/>
        <v>3.1783094750486502</v>
      </c>
      <c r="H34" s="2">
        <f t="shared" si="24"/>
        <v>3.1783094750486502</v>
      </c>
      <c r="I34" s="2">
        <f t="shared" si="24"/>
        <v>3.1783094750486502</v>
      </c>
      <c r="J34" s="2">
        <f t="shared" si="24"/>
        <v>3.1783094750486502</v>
      </c>
      <c r="K34" s="2">
        <f t="shared" si="24"/>
        <v>3.1783094750486502</v>
      </c>
      <c r="L34" s="2">
        <f t="shared" si="24"/>
        <v>3.1783094750486502</v>
      </c>
      <c r="M34" s="2">
        <f t="shared" si="24"/>
        <v>3.1783094750486502</v>
      </c>
      <c r="N34" s="2">
        <f t="shared" si="24"/>
        <v>3.1783094750486502</v>
      </c>
      <c r="O34" s="2">
        <f t="shared" si="24"/>
        <v>3.1783094750486502</v>
      </c>
      <c r="P34" s="2">
        <f t="shared" si="24"/>
        <v>3.1783094750486502</v>
      </c>
      <c r="Q34" s="2">
        <f t="shared" si="24"/>
        <v>3.1783094750486502</v>
      </c>
      <c r="R34" s="2">
        <f t="shared" si="24"/>
        <v>3.1783094750486502</v>
      </c>
      <c r="S34" s="2">
        <f t="shared" si="24"/>
        <v>3.1783094750486502</v>
      </c>
      <c r="T34" s="2">
        <f t="shared" si="24"/>
        <v>3.1783094750486502</v>
      </c>
      <c r="U34" s="2">
        <f t="shared" si="24"/>
        <v>3.1783094750486502</v>
      </c>
      <c r="V34" s="2">
        <f t="shared" si="24"/>
        <v>3.1783094750486502</v>
      </c>
      <c r="W34" s="2">
        <f t="shared" si="24"/>
        <v>3.1783094750486502</v>
      </c>
      <c r="X34" s="2">
        <f t="shared" si="24"/>
        <v>3.1783094750486502</v>
      </c>
      <c r="Y34" s="2">
        <f t="shared" si="24"/>
        <v>3.1783094750486502</v>
      </c>
      <c r="Z34" s="2">
        <f t="shared" si="24"/>
        <v>3.1783094750486502</v>
      </c>
      <c r="AA34" s="2">
        <f t="shared" si="24"/>
        <v>3.1783094750486502</v>
      </c>
      <c r="AB34" s="2">
        <f t="shared" si="24"/>
        <v>3.1783094750486502</v>
      </c>
      <c r="AC34" s="2">
        <f t="shared" si="24"/>
        <v>3.1783094750486502</v>
      </c>
      <c r="AD34" s="2">
        <f t="shared" si="24"/>
        <v>3.1783094750486502</v>
      </c>
      <c r="AE34" s="2">
        <f t="shared" si="24"/>
        <v>3.1783094750486502</v>
      </c>
      <c r="AF34" s="2">
        <f t="shared" si="24"/>
        <v>3.1783094750486502</v>
      </c>
      <c r="AG34" s="2">
        <f t="shared" si="24"/>
        <v>3.1783094750486502</v>
      </c>
      <c r="AI34" s="195" t="s">
        <v>419</v>
      </c>
      <c r="AL34" s="102"/>
      <c r="AM34" s="2"/>
      <c r="AN34" s="2"/>
      <c r="AO34" s="2"/>
    </row>
    <row r="35" spans="1:64" outlineLevel="1">
      <c r="AL35" s="102"/>
      <c r="AM35" s="2"/>
      <c r="AN35" s="2"/>
      <c r="AO35" s="2"/>
    </row>
    <row r="36" spans="1:64" outlineLevel="1">
      <c r="A36" t="s">
        <v>278</v>
      </c>
      <c r="B36" s="51" t="s">
        <v>126</v>
      </c>
      <c r="C36" s="22">
        <f>'Yearly HC Ethylene'!D33/'Yearly HC Ethylene'!D26</f>
        <v>1</v>
      </c>
      <c r="D36" s="22">
        <f>'Yearly HC Ethylene'!E33/'Yearly HC Ethylene'!E26</f>
        <v>0.98670000000000002</v>
      </c>
      <c r="E36" s="22">
        <f>'Yearly HC Ethylene'!F33/'Yearly HC Ethylene'!F26</f>
        <v>0.97340000000000004</v>
      </c>
      <c r="F36" s="22">
        <f>'Yearly HC Ethylene'!G33/'Yearly HC Ethylene'!G26</f>
        <v>0.96010000000000006</v>
      </c>
      <c r="G36" s="22">
        <f>'Yearly HC Ethylene'!H33/'Yearly HC Ethylene'!H26</f>
        <v>0.94679999999999997</v>
      </c>
      <c r="H36" s="22">
        <f>'Yearly HC Ethylene'!I33/'Yearly HC Ethylene'!I26</f>
        <v>0.9335</v>
      </c>
      <c r="I36" s="22">
        <f>'Yearly HC Ethylene'!J33/'Yearly HC Ethylene'!J26</f>
        <v>0.92020000000000002</v>
      </c>
      <c r="J36" s="22">
        <f>'Yearly HC Ethylene'!K33/'Yearly HC Ethylene'!K26</f>
        <v>0.90690000000000004</v>
      </c>
      <c r="K36" s="22">
        <f>'Yearly HC Ethylene'!L33/'Yearly HC Ethylene'!L26</f>
        <v>0.89360000000000006</v>
      </c>
      <c r="L36" s="22">
        <f>'Yearly HC Ethylene'!M33/'Yearly HC Ethylene'!M26</f>
        <v>0.88030000000000008</v>
      </c>
      <c r="M36" s="22">
        <f>'Yearly HC Ethylene'!N33/'Yearly HC Ethylene'!N26</f>
        <v>0.8670000000000001</v>
      </c>
      <c r="N36" s="22">
        <f>'Yearly HC Ethylene'!O33/'Yearly HC Ethylene'!O26</f>
        <v>0.84336399999999989</v>
      </c>
      <c r="O36" s="22">
        <f>'Yearly HC Ethylene'!P33/'Yearly HC Ethylene'!P26</f>
        <v>0.823237</v>
      </c>
      <c r="P36" s="22">
        <f>'Yearly HC Ethylene'!Q33/'Yearly HC Ethylene'!Q26</f>
        <v>0.79923799999999989</v>
      </c>
      <c r="Q36" s="22">
        <f>'Yearly HC Ethylene'!R33/'Yearly HC Ethylene'!R26</f>
        <v>0.77523900000000001</v>
      </c>
      <c r="R36" s="22">
        <f>'Yearly HC Ethylene'!S33/'Yearly HC Ethylene'!S26</f>
        <v>0.75124000000000002</v>
      </c>
      <c r="S36" s="22">
        <f>'Yearly HC Ethylene'!T33/'Yearly HC Ethylene'!T26</f>
        <v>0.72724100000000003</v>
      </c>
      <c r="T36" s="22">
        <f>'Yearly HC Ethylene'!U33/'Yearly HC Ethylene'!U26</f>
        <v>0.70324199999999992</v>
      </c>
      <c r="U36" s="22">
        <f>'Yearly HC Ethylene'!V33/'Yearly HC Ethylene'!V26</f>
        <v>0.67924300000000004</v>
      </c>
      <c r="V36" s="22">
        <f>'Yearly HC Ethylene'!W33/'Yearly HC Ethylene'!W26</f>
        <v>0.65524400000000016</v>
      </c>
      <c r="W36" s="22">
        <f>'Yearly HC Ethylene'!X33/'Yearly HC Ethylene'!X26</f>
        <v>0.63124499999999995</v>
      </c>
      <c r="X36" s="22">
        <f>'Yearly HC Ethylene'!Y33/'Yearly HC Ethylene'!Y26</f>
        <v>0.59561699999999995</v>
      </c>
      <c r="Y36" s="22">
        <f>'Yearly HC Ethylene'!Z33/'Yearly HC Ethylene'!Z26</f>
        <v>0.57110400000000006</v>
      </c>
      <c r="Z36" s="22">
        <f>'Yearly HC Ethylene'!AA33/'Yearly HC Ethylene'!AA26</f>
        <v>0.54659099999999994</v>
      </c>
      <c r="AA36" s="22">
        <f>'Yearly HC Ethylene'!AB33/'Yearly HC Ethylene'!AB26</f>
        <v>0.52207800000000004</v>
      </c>
      <c r="AB36" s="22">
        <f>'Yearly HC Ethylene'!AC33/'Yearly HC Ethylene'!AC26</f>
        <v>0.49756500000000009</v>
      </c>
      <c r="AC36" s="22">
        <f>'Yearly HC Ethylene'!AD33/'Yearly HC Ethylene'!AD26</f>
        <v>0.47305200000000003</v>
      </c>
      <c r="AD36" s="22">
        <f>'Yearly HC Ethylene'!AE33/'Yearly HC Ethylene'!AE26</f>
        <v>0.44853900000000008</v>
      </c>
      <c r="AE36" s="22">
        <f>'Yearly HC Ethylene'!AF33/'Yearly HC Ethylene'!AF26</f>
        <v>0.42402600000000007</v>
      </c>
      <c r="AF36" s="22">
        <f>'Yearly HC Ethylene'!AG33/'Yearly HC Ethylene'!AG26</f>
        <v>0.39951300000000001</v>
      </c>
      <c r="AG36" s="22">
        <f>'Yearly HC Ethylene'!AH33/'Yearly HC Ethylene'!AH26</f>
        <v>0.37500000000000006</v>
      </c>
      <c r="AL36" s="102"/>
      <c r="AM36" s="2"/>
      <c r="AN36" s="2"/>
      <c r="AO36" s="2"/>
      <c r="BC36" s="1"/>
      <c r="BD36" s="116"/>
      <c r="BE36" s="116"/>
      <c r="BF36" s="116"/>
      <c r="BG36" s="116"/>
      <c r="BH36" s="116"/>
      <c r="BI36" s="116"/>
      <c r="BJ36" s="116"/>
      <c r="BK36" s="116"/>
    </row>
    <row r="37" spans="1:64" outlineLevel="1">
      <c r="A37" t="s">
        <v>279</v>
      </c>
      <c r="B37" s="51" t="s">
        <v>126</v>
      </c>
      <c r="C37" s="22">
        <f>'Yearly HC Ethylene'!D19/'Yearly HC Ethylene'!D12</f>
        <v>1</v>
      </c>
      <c r="D37" s="22">
        <f>'Yearly HC Ethylene'!E19/'Yearly HC Ethylene'!E12</f>
        <v>0.99659614385999995</v>
      </c>
      <c r="E37" s="22">
        <f>'Yearly HC Ethylene'!F19/'Yearly HC Ethylene'!F12</f>
        <v>0.99318463087999997</v>
      </c>
      <c r="F37" s="22">
        <f>'Yearly HC Ethylene'!G19/'Yearly HC Ethylene'!G12</f>
        <v>0.98976554421999985</v>
      </c>
      <c r="G37" s="22">
        <f>'Yearly HC Ethylene'!H19/'Yearly HC Ethylene'!H12</f>
        <v>0.98633896704000001</v>
      </c>
      <c r="H37" s="22">
        <f>'Yearly HC Ethylene'!I19/'Yearly HC Ethylene'!I12</f>
        <v>0.98290498250000002</v>
      </c>
      <c r="I37" s="22">
        <f>'Yearly HC Ethylene'!J19/'Yearly HC Ethylene'!J12</f>
        <v>0.97946367375999999</v>
      </c>
      <c r="J37" s="22">
        <f>'Yearly HC Ethylene'!K19/'Yearly HC Ethylene'!K12</f>
        <v>0.97601512398000001</v>
      </c>
      <c r="K37" s="22">
        <f>'Yearly HC Ethylene'!L19/'Yearly HC Ethylene'!L12</f>
        <v>0.97255941631999998</v>
      </c>
      <c r="L37" s="22">
        <f>'Yearly HC Ethylene'!M19/'Yearly HC Ethylene'!M12</f>
        <v>0.96909663394000001</v>
      </c>
      <c r="M37" s="22">
        <f>'Yearly HC Ethylene'!N19/'Yearly HC Ethylene'!N12</f>
        <v>0.96562685999999986</v>
      </c>
      <c r="N37" s="22">
        <f>'Yearly HC Ethylene'!O19/'Yearly HC Ethylene'!O12</f>
        <v>0.95424544924999999</v>
      </c>
      <c r="O37" s="22">
        <f>'Yearly HC Ethylene'!P19/'Yearly HC Ethylene'!P12</f>
        <v>0.94283530240000002</v>
      </c>
      <c r="P37" s="22">
        <f>'Yearly HC Ethylene'!Q19/'Yearly HC Ethylene'!Q12</f>
        <v>0.93139829055000001</v>
      </c>
      <c r="Q37" s="22">
        <f>'Yearly HC Ethylene'!R19/'Yearly HC Ethylene'!R12</f>
        <v>0.91993628480000011</v>
      </c>
      <c r="R37" s="22">
        <f>'Yearly HC Ethylene'!S19/'Yearly HC Ethylene'!S12</f>
        <v>0.90845115624999995</v>
      </c>
      <c r="S37" s="22">
        <f>'Yearly HC Ethylene'!T19/'Yearly HC Ethylene'!T12</f>
        <v>0.896944776</v>
      </c>
      <c r="T37" s="22">
        <f>'Yearly HC Ethylene'!U19/'Yearly HC Ethylene'!U12</f>
        <v>0.88541901514999999</v>
      </c>
      <c r="U37" s="22">
        <f>'Yearly HC Ethylene'!V19/'Yearly HC Ethylene'!V12</f>
        <v>0.87387574479999997</v>
      </c>
      <c r="V37" s="22">
        <f>'Yearly HC Ethylene'!W19/'Yearly HC Ethylene'!W12</f>
        <v>0.86231683604999998</v>
      </c>
      <c r="W37" s="22">
        <f>'Yearly HC Ethylene'!X19/'Yearly HC Ethylene'!X12</f>
        <v>0.85074416000000008</v>
      </c>
      <c r="X37" s="22">
        <f>'Yearly HC Ethylene'!Y19/'Yearly HC Ethylene'!Y12</f>
        <v>0.82220114323999993</v>
      </c>
      <c r="Y37" s="22">
        <f>'Yearly HC Ethylene'!Z19/'Yearly HC Ethylene'!Z12</f>
        <v>0.79402206271999998</v>
      </c>
      <c r="Z37" s="22">
        <f>'Yearly HC Ethylene'!AA19/'Yearly HC Ethylene'!AA12</f>
        <v>0.76621140907999996</v>
      </c>
      <c r="AA37" s="22">
        <f>'Yearly HC Ethylene'!AB19/'Yearly HC Ethylene'!AB12</f>
        <v>0.73877367295999996</v>
      </c>
      <c r="AB37" s="22">
        <f>'Yearly HC Ethylene'!AC19/'Yearly HC Ethylene'!AC12</f>
        <v>0.71171334500000005</v>
      </c>
      <c r="AC37" s="22">
        <f>'Yearly HC Ethylene'!AD19/'Yearly HC Ethylene'!AD12</f>
        <v>0.68503491583999987</v>
      </c>
      <c r="AD37" s="22">
        <f>'Yearly HC Ethylene'!AE19/'Yearly HC Ethylene'!AE12</f>
        <v>0.65874287612000004</v>
      </c>
      <c r="AE37" s="22">
        <f>'Yearly HC Ethylene'!AF19/'Yearly HC Ethylene'!AF12</f>
        <v>0.63284171648000009</v>
      </c>
      <c r="AF37" s="22">
        <f>'Yearly HC Ethylene'!AG19/'Yearly HC Ethylene'!AG12</f>
        <v>0.6073359275600001</v>
      </c>
      <c r="AG37" s="22">
        <f>'Yearly HC Ethylene'!AH19/'Yearly HC Ethylene'!AH12</f>
        <v>0.58223000000000003</v>
      </c>
      <c r="AL37" s="102"/>
      <c r="AM37" s="2"/>
      <c r="AN37" s="2"/>
      <c r="AO37" s="2"/>
      <c r="BL37" s="1"/>
    </row>
    <row r="38" spans="1:64" outlineLevel="1">
      <c r="A38" t="s">
        <v>280</v>
      </c>
      <c r="B38" s="51" t="s">
        <v>126</v>
      </c>
      <c r="C38" s="22">
        <f>'Yearly HC Ethylene'!D43/'Yearly HC Ethylene'!D40</f>
        <v>1</v>
      </c>
      <c r="D38" s="22">
        <f>'Yearly HC Ethylene'!E43/'Yearly HC Ethylene'!E40</f>
        <v>0.97545683620044876</v>
      </c>
      <c r="E38" s="22">
        <f>'Yearly HC Ethylene'!F43/'Yearly HC Ethylene'!F40</f>
        <v>0.95091367240089764</v>
      </c>
      <c r="F38" s="22">
        <f>'Yearly HC Ethylene'!G43/'Yearly HC Ethylene'!G40</f>
        <v>0.92637050860134629</v>
      </c>
      <c r="G38" s="22">
        <f>'Yearly HC Ethylene'!H43/'Yearly HC Ethylene'!H40</f>
        <v>0.90182734480179516</v>
      </c>
      <c r="H38" s="22">
        <f>'Yearly HC Ethylene'!I43/'Yearly HC Ethylene'!I40</f>
        <v>0.87728418100224381</v>
      </c>
      <c r="I38" s="22">
        <f>'Yearly HC Ethylene'!J43/'Yearly HC Ethylene'!J40</f>
        <v>0.85274101720269257</v>
      </c>
      <c r="J38" s="22">
        <f>'Yearly HC Ethylene'!K43/'Yearly HC Ethylene'!K40</f>
        <v>0.82819785340314134</v>
      </c>
      <c r="K38" s="22">
        <f>'Yearly HC Ethylene'!L43/'Yearly HC Ethylene'!L40</f>
        <v>0.8036546896035901</v>
      </c>
      <c r="L38" s="22">
        <f>'Yearly HC Ethylene'!M43/'Yearly HC Ethylene'!M40</f>
        <v>0.77911152580403897</v>
      </c>
      <c r="M38" s="22">
        <f>'Yearly HC Ethylene'!N43/'Yearly HC Ethylene'!N40</f>
        <v>0.75456836200448762</v>
      </c>
      <c r="N38" s="22">
        <f>'Yearly HC Ethylene'!O43/'Yearly HC Ethylene'!O40</f>
        <v>0.7300251982049365</v>
      </c>
      <c r="O38" s="22">
        <f>'Yearly HC Ethylene'!P43/'Yearly HC Ethylene'!P40</f>
        <v>0.70548203440538515</v>
      </c>
      <c r="P38" s="22">
        <f>'Yearly HC Ethylene'!Q43/'Yearly HC Ethylene'!Q40</f>
        <v>0.6809388706058338</v>
      </c>
      <c r="Q38" s="22">
        <f>'Yearly HC Ethylene'!R43/'Yearly HC Ethylene'!R40</f>
        <v>0.65639570680628267</v>
      </c>
      <c r="R38" s="22">
        <f>'Yearly HC Ethylene'!S43/'Yearly HC Ethylene'!S40</f>
        <v>0.63185254300673144</v>
      </c>
      <c r="S38" s="22">
        <f>'Yearly HC Ethylene'!T43/'Yearly HC Ethylene'!T40</f>
        <v>0.60730937920718031</v>
      </c>
      <c r="T38" s="22">
        <f>'Yearly HC Ethylene'!U43/'Yearly HC Ethylene'!U40</f>
        <v>0.58276621540762896</v>
      </c>
      <c r="U38" s="22">
        <f>'Yearly HC Ethylene'!V43/'Yearly HC Ethylene'!V40</f>
        <v>0.55822305160807784</v>
      </c>
      <c r="V38" s="22">
        <f>'Yearly HC Ethylene'!W43/'Yearly HC Ethylene'!W40</f>
        <v>0.5336798878085266</v>
      </c>
      <c r="W38" s="22">
        <f>'Yearly HC Ethylene'!X43/'Yearly HC Ethylene'!X40</f>
        <v>0.50913672400897536</v>
      </c>
      <c r="X38" s="22">
        <f>'Yearly HC Ethylene'!Y43/'Yearly HC Ethylene'!Y40</f>
        <v>0.48384982797307396</v>
      </c>
      <c r="Y38" s="22">
        <f>'Yearly HC Ethylene'!Z43/'Yearly HC Ethylene'!Z40</f>
        <v>0.45856293193717279</v>
      </c>
      <c r="Z38" s="22">
        <f>'Yearly HC Ethylene'!AA43/'Yearly HC Ethylene'!AA40</f>
        <v>0.43327603590127145</v>
      </c>
      <c r="AA38" s="22">
        <f>'Yearly HC Ethylene'!AB43/'Yearly HC Ethylene'!AB40</f>
        <v>0.40798913986537022</v>
      </c>
      <c r="AB38" s="22">
        <f>'Yearly HC Ethylene'!AC43/'Yearly HC Ethylene'!AC40</f>
        <v>0.38270224382946888</v>
      </c>
      <c r="AC38" s="22">
        <f>'Yearly HC Ethylene'!AD43/'Yearly HC Ethylene'!AD40</f>
        <v>0.35741534779356765</v>
      </c>
      <c r="AD38" s="22">
        <f>'Yearly HC Ethylene'!AE43/'Yearly HC Ethylene'!AE40</f>
        <v>0.33212845175766642</v>
      </c>
      <c r="AE38" s="22">
        <f>'Yearly HC Ethylene'!AF43/'Yearly HC Ethylene'!AF40</f>
        <v>0.30684155572176519</v>
      </c>
      <c r="AF38" s="22">
        <f>'Yearly HC Ethylene'!AG43/'Yearly HC Ethylene'!AG40</f>
        <v>0.28155465968586391</v>
      </c>
      <c r="AG38" s="22">
        <f>'Yearly HC Ethylene'!AH43/'Yearly HC Ethylene'!AH40</f>
        <v>0.25626776364996262</v>
      </c>
      <c r="AL38" s="102"/>
      <c r="AM38" s="2"/>
      <c r="AN38" s="2"/>
      <c r="AO38" s="2"/>
      <c r="BD38" s="38"/>
      <c r="BE38" s="38"/>
      <c r="BF38" s="38"/>
      <c r="BG38" s="38"/>
      <c r="BH38" s="38"/>
      <c r="BI38" s="38"/>
      <c r="BJ38" s="38"/>
      <c r="BK38" s="38"/>
      <c r="BL38" s="112"/>
    </row>
    <row r="39" spans="1:64" outlineLevel="1">
      <c r="A39" t="s">
        <v>420</v>
      </c>
      <c r="B39" s="51" t="s">
        <v>126</v>
      </c>
      <c r="C39" s="22">
        <f>'Yearly HC Ethylene'!D55/'Yearly HC Ethylene'!D50</f>
        <v>1</v>
      </c>
      <c r="D39" s="22">
        <f>'Yearly HC Ethylene'!E55/'Yearly HC Ethylene'!E50</f>
        <v>0.96909999999999996</v>
      </c>
      <c r="E39" s="22">
        <f>'Yearly HC Ethylene'!F55/'Yearly HC Ethylene'!F50</f>
        <v>0.93820000000000003</v>
      </c>
      <c r="F39" s="22">
        <f>'Yearly HC Ethylene'!G55/'Yearly HC Ethylene'!G50</f>
        <v>0.9073</v>
      </c>
      <c r="G39" s="22">
        <f>'Yearly HC Ethylene'!H55/'Yearly HC Ethylene'!H50</f>
        <v>0.87639999999999996</v>
      </c>
      <c r="H39" s="22">
        <f>'Yearly HC Ethylene'!I55/'Yearly HC Ethylene'!I50</f>
        <v>0.84549999999999992</v>
      </c>
      <c r="I39" s="22">
        <f>'Yearly HC Ethylene'!J55/'Yearly HC Ethylene'!J50</f>
        <v>0.81459999999999999</v>
      </c>
      <c r="J39" s="22">
        <f>'Yearly HC Ethylene'!K55/'Yearly HC Ethylene'!K50</f>
        <v>0.78369999999999995</v>
      </c>
      <c r="K39" s="22">
        <f>'Yearly HC Ethylene'!L55/'Yearly HC Ethylene'!L50</f>
        <v>0.75280000000000002</v>
      </c>
      <c r="L39" s="22">
        <f>'Yearly HC Ethylene'!M55/'Yearly HC Ethylene'!M50</f>
        <v>0.72189999999999999</v>
      </c>
      <c r="M39" s="22">
        <f>'Yearly HC Ethylene'!N55/'Yearly HC Ethylene'!N50</f>
        <v>0.69100000000000006</v>
      </c>
      <c r="N39" s="22">
        <f>'Yearly HC Ethylene'!O55/'Yearly HC Ethylene'!O50</f>
        <v>0.66920000000000002</v>
      </c>
      <c r="O39" s="22">
        <f>'Yearly HC Ethylene'!P55/'Yearly HC Ethylene'!P50</f>
        <v>0.64740000000000009</v>
      </c>
      <c r="P39" s="22">
        <f>'Yearly HC Ethylene'!Q55/'Yearly HC Ethylene'!Q50</f>
        <v>0.62559999999999993</v>
      </c>
      <c r="Q39" s="22">
        <f>'Yearly HC Ethylene'!R55/'Yearly HC Ethylene'!R50</f>
        <v>0.6038</v>
      </c>
      <c r="R39" s="22">
        <f>'Yearly HC Ethylene'!S55/'Yearly HC Ethylene'!S50</f>
        <v>0.58199999999999996</v>
      </c>
      <c r="S39" s="22">
        <f>'Yearly HC Ethylene'!T55/'Yearly HC Ethylene'!T50</f>
        <v>0.56020000000000003</v>
      </c>
      <c r="T39" s="22">
        <f>'Yearly HC Ethylene'!U55/'Yearly HC Ethylene'!U50</f>
        <v>0.53839999999999999</v>
      </c>
      <c r="U39" s="22">
        <f>'Yearly HC Ethylene'!V55/'Yearly HC Ethylene'!V50</f>
        <v>0.51659999999999995</v>
      </c>
      <c r="V39" s="22">
        <f>'Yearly HC Ethylene'!W55/'Yearly HC Ethylene'!W50</f>
        <v>0.49480000000000002</v>
      </c>
      <c r="W39" s="22">
        <f>'Yearly HC Ethylene'!X55/'Yearly HC Ethylene'!X50</f>
        <v>0.47299999999999998</v>
      </c>
      <c r="X39" s="22">
        <f>'Yearly HC Ethylene'!Y55/'Yearly HC Ethylene'!Y50</f>
        <v>0.44670000000000004</v>
      </c>
      <c r="Y39" s="22">
        <f>'Yearly HC Ethylene'!Z55/'Yearly HC Ethylene'!Z50</f>
        <v>0.4204</v>
      </c>
      <c r="Z39" s="22">
        <f>'Yearly HC Ethylene'!AA55/'Yearly HC Ethylene'!AA50</f>
        <v>0.39410000000000001</v>
      </c>
      <c r="AA39" s="22">
        <f>'Yearly HC Ethylene'!AB55/'Yearly HC Ethylene'!AB50</f>
        <v>0.36779999999999996</v>
      </c>
      <c r="AB39" s="22">
        <f>'Yearly HC Ethylene'!AC55/'Yearly HC Ethylene'!AC50</f>
        <v>0.34149999999999997</v>
      </c>
      <c r="AC39" s="22">
        <f>'Yearly HC Ethylene'!AD55/'Yearly HC Ethylene'!AD50</f>
        <v>0.31519999999999998</v>
      </c>
      <c r="AD39" s="22">
        <f>'Yearly HC Ethylene'!AE55/'Yearly HC Ethylene'!AE50</f>
        <v>0.28889999999999999</v>
      </c>
      <c r="AE39" s="22">
        <f>'Yearly HC Ethylene'!AF55/'Yearly HC Ethylene'!AF50</f>
        <v>0.26259999999999994</v>
      </c>
      <c r="AF39" s="22">
        <f>'Yearly HC Ethylene'!AG55/'Yearly HC Ethylene'!AG50</f>
        <v>0.23629999999999998</v>
      </c>
      <c r="AG39" s="22">
        <f>'Yearly HC Ethylene'!AH55/'Yearly HC Ethylene'!AH50</f>
        <v>0.20999999999999994</v>
      </c>
      <c r="AL39" s="102"/>
      <c r="AM39" s="2"/>
      <c r="AN39" s="2"/>
      <c r="AO39" s="2"/>
      <c r="BD39" s="38"/>
      <c r="BE39" s="38"/>
      <c r="BF39" s="38"/>
      <c r="BG39" s="38"/>
      <c r="BH39" s="38"/>
      <c r="BI39" s="38"/>
      <c r="BJ39" s="38"/>
      <c r="BK39" s="38"/>
      <c r="BL39" s="112"/>
    </row>
    <row r="40" spans="1:64" outlineLevel="1">
      <c r="A40" t="s">
        <v>301</v>
      </c>
      <c r="B40" s="165" t="s">
        <v>126</v>
      </c>
      <c r="C40" s="104">
        <f>'Yearly HC Ethylene'!D65/'Yearly HC Ethylene'!D62</f>
        <v>1</v>
      </c>
      <c r="D40" s="104">
        <f>'Yearly HC Ethylene'!E65/'Yearly HC Ethylene'!E62</f>
        <v>0.99339999999999984</v>
      </c>
      <c r="E40" s="104">
        <f>'Yearly HC Ethylene'!F65/'Yearly HC Ethylene'!F62</f>
        <v>0.98680000000000001</v>
      </c>
      <c r="F40" s="104">
        <f>'Yearly HC Ethylene'!G65/'Yearly HC Ethylene'!G62</f>
        <v>0.98019999999999996</v>
      </c>
      <c r="G40" s="104">
        <f>'Yearly HC Ethylene'!H65/'Yearly HC Ethylene'!H62</f>
        <v>0.97360000000000002</v>
      </c>
      <c r="H40" s="104">
        <f>'Yearly HC Ethylene'!I65/'Yearly HC Ethylene'!I62</f>
        <v>0.96700000000000008</v>
      </c>
      <c r="I40" s="104">
        <f>'Yearly HC Ethylene'!J65/'Yearly HC Ethylene'!J62</f>
        <v>0.96040000000000003</v>
      </c>
      <c r="J40" s="104">
        <f>'Yearly HC Ethylene'!K65/'Yearly HC Ethylene'!K62</f>
        <v>0.95380000000000009</v>
      </c>
      <c r="K40" s="104">
        <f>'Yearly HC Ethylene'!L65/'Yearly HC Ethylene'!L62</f>
        <v>0.94719999999999993</v>
      </c>
      <c r="L40" s="104">
        <f>'Yearly HC Ethylene'!M65/'Yearly HC Ethylene'!M62</f>
        <v>0.94059999999999999</v>
      </c>
      <c r="M40" s="104">
        <f>'Yearly HC Ethylene'!N65/'Yearly HC Ethylene'!N62</f>
        <v>0.93399999999999994</v>
      </c>
      <c r="N40" s="104">
        <f>'Yearly HC Ethylene'!O65/'Yearly HC Ethylene'!O62</f>
        <v>0.92740000000000011</v>
      </c>
      <c r="O40" s="104">
        <f>'Yearly HC Ethylene'!P65/'Yearly HC Ethylene'!P62</f>
        <v>0.92079999999999984</v>
      </c>
      <c r="P40" s="104">
        <f>'Yearly HC Ethylene'!Q65/'Yearly HC Ethylene'!Q62</f>
        <v>0.9141999999999999</v>
      </c>
      <c r="Q40" s="104">
        <f>'Yearly HC Ethylene'!R65/'Yearly HC Ethylene'!R62</f>
        <v>0.90759999999999996</v>
      </c>
      <c r="R40" s="104">
        <f>'Yearly HC Ethylene'!S65/'Yearly HC Ethylene'!S62</f>
        <v>0.90099999999999991</v>
      </c>
      <c r="S40" s="104">
        <f>'Yearly HC Ethylene'!T65/'Yearly HC Ethylene'!T62</f>
        <v>0.89439999999999997</v>
      </c>
      <c r="T40" s="104">
        <f>'Yearly HC Ethylene'!U65/'Yearly HC Ethylene'!U62</f>
        <v>0.88780000000000014</v>
      </c>
      <c r="U40" s="104">
        <f>'Yearly HC Ethylene'!V65/'Yearly HC Ethylene'!V62</f>
        <v>0.88119999999999987</v>
      </c>
      <c r="V40" s="104">
        <f>'Yearly HC Ethylene'!W65/'Yearly HC Ethylene'!W62</f>
        <v>0.87459999999999993</v>
      </c>
      <c r="W40" s="104">
        <f>'Yearly HC Ethylene'!X65/'Yearly HC Ethylene'!X62</f>
        <v>0.8680000000000001</v>
      </c>
      <c r="X40" s="104">
        <f>'Yearly HC Ethylene'!Y65/'Yearly HC Ethylene'!Y62</f>
        <v>0.86119999999999997</v>
      </c>
      <c r="Y40" s="104">
        <f>'Yearly HC Ethylene'!Z65/'Yearly HC Ethylene'!Z62</f>
        <v>0.85440000000000005</v>
      </c>
      <c r="Z40" s="104">
        <f>'Yearly HC Ethylene'!AA65/'Yearly HC Ethylene'!AA62</f>
        <v>0.84760000000000013</v>
      </c>
      <c r="AA40" s="104">
        <f>'Yearly HC Ethylene'!AB65/'Yearly HC Ethylene'!AB62</f>
        <v>0.84079999999999999</v>
      </c>
      <c r="AB40" s="104">
        <f>'Yearly HC Ethylene'!AC65/'Yearly HC Ethylene'!AC62</f>
        <v>0.83400000000000007</v>
      </c>
      <c r="AC40" s="104">
        <f>'Yearly HC Ethylene'!AD65/'Yearly HC Ethylene'!AD62</f>
        <v>0.82720000000000016</v>
      </c>
      <c r="AD40" s="104">
        <f>'Yearly HC Ethylene'!AE65/'Yearly HC Ethylene'!AE62</f>
        <v>0.82040000000000002</v>
      </c>
      <c r="AE40" s="104">
        <f>'Yearly HC Ethylene'!AF65/'Yearly HC Ethylene'!AF62</f>
        <v>0.81359999999999988</v>
      </c>
      <c r="AF40" s="104">
        <f>'Yearly HC Ethylene'!AG65/'Yearly HC Ethylene'!AG62</f>
        <v>0.80680000000000007</v>
      </c>
      <c r="AG40" s="104">
        <f>'Yearly HC Ethylene'!AH65/'Yearly HC Ethylene'!AH62</f>
        <v>0.8</v>
      </c>
      <c r="AI40" s="124"/>
      <c r="AL40" s="102"/>
      <c r="AM40" s="2"/>
      <c r="AN40" s="2"/>
      <c r="AO40" s="2"/>
      <c r="BD40" s="38"/>
      <c r="BE40" s="38"/>
      <c r="BF40" s="38"/>
      <c r="BG40" s="38"/>
      <c r="BH40" s="38"/>
      <c r="BI40" s="38"/>
      <c r="BJ40" s="38"/>
      <c r="BK40" s="38"/>
      <c r="BL40" s="112"/>
    </row>
    <row r="41" spans="1:64" outlineLevel="1">
      <c r="AI41" t="s">
        <v>421</v>
      </c>
      <c r="BD41" s="38"/>
      <c r="BE41" s="38"/>
      <c r="BF41" s="38"/>
      <c r="BG41" s="38"/>
      <c r="BH41" s="38"/>
      <c r="BI41" s="38"/>
      <c r="BJ41" s="38"/>
      <c r="BK41" s="38"/>
      <c r="BL41" s="112"/>
    </row>
    <row r="42" spans="1:64" outlineLevel="1">
      <c r="A42" t="s">
        <v>274</v>
      </c>
      <c r="B42" s="51" t="s">
        <v>297</v>
      </c>
      <c r="C42" s="101">
        <f>C24*C36</f>
        <v>1514603.3992981189</v>
      </c>
      <c r="D42" s="101">
        <f t="shared" ref="D42:AG42" si="25">D24*D36</f>
        <v>1494459.1740874539</v>
      </c>
      <c r="E42" s="101">
        <f t="shared" si="25"/>
        <v>1474314.9488767891</v>
      </c>
      <c r="F42" s="101">
        <f t="shared" si="25"/>
        <v>1454170.723666124</v>
      </c>
      <c r="G42" s="101">
        <f t="shared" si="25"/>
        <v>1434026.498455459</v>
      </c>
      <c r="H42" s="101">
        <f t="shared" si="25"/>
        <v>1413882.273244794</v>
      </c>
      <c r="I42" s="101">
        <f t="shared" si="25"/>
        <v>1393738.048034129</v>
      </c>
      <c r="J42" s="101">
        <f t="shared" si="25"/>
        <v>1373593.8228234642</v>
      </c>
      <c r="K42" s="101">
        <f t="shared" si="25"/>
        <v>1353449.5976127991</v>
      </c>
      <c r="L42" s="101">
        <f t="shared" si="25"/>
        <v>1333305.3724021341</v>
      </c>
      <c r="M42" s="101">
        <f t="shared" si="25"/>
        <v>1313161.1471914693</v>
      </c>
      <c r="N42" s="101">
        <f t="shared" si="25"/>
        <v>1277361.9812456586</v>
      </c>
      <c r="O42" s="101">
        <f t="shared" si="25"/>
        <v>1246877.5586279854</v>
      </c>
      <c r="P42" s="101">
        <f t="shared" si="25"/>
        <v>1210528.5916482299</v>
      </c>
      <c r="Q42" s="101">
        <f t="shared" si="25"/>
        <v>1174179.6246684743</v>
      </c>
      <c r="R42" s="101">
        <f t="shared" si="25"/>
        <v>1137830.6576887188</v>
      </c>
      <c r="S42" s="101">
        <f t="shared" si="25"/>
        <v>1101481.6907089634</v>
      </c>
      <c r="T42" s="101">
        <f t="shared" si="25"/>
        <v>1065132.7237292076</v>
      </c>
      <c r="U42" s="101">
        <f t="shared" si="25"/>
        <v>1028783.7567494522</v>
      </c>
      <c r="V42" s="101">
        <f t="shared" si="25"/>
        <v>992434.78976969689</v>
      </c>
      <c r="W42" s="101">
        <f t="shared" si="25"/>
        <v>956085.82278994098</v>
      </c>
      <c r="X42" s="101">
        <f t="shared" si="25"/>
        <v>902123.53287974757</v>
      </c>
      <c r="Y42" s="101">
        <f t="shared" si="25"/>
        <v>864996.059752753</v>
      </c>
      <c r="Z42" s="101">
        <f t="shared" si="25"/>
        <v>827868.58662575798</v>
      </c>
      <c r="AA42" s="101">
        <f t="shared" si="25"/>
        <v>790741.11349876341</v>
      </c>
      <c r="AB42" s="101">
        <f t="shared" si="25"/>
        <v>753613.64037176862</v>
      </c>
      <c r="AC42" s="101">
        <f t="shared" si="25"/>
        <v>716486.16724477382</v>
      </c>
      <c r="AD42" s="101">
        <f t="shared" si="25"/>
        <v>679358.69411777903</v>
      </c>
      <c r="AE42" s="101">
        <f t="shared" si="25"/>
        <v>642231.22099078423</v>
      </c>
      <c r="AF42" s="101">
        <f t="shared" si="25"/>
        <v>605103.74786378944</v>
      </c>
      <c r="AG42" s="101">
        <f t="shared" si="25"/>
        <v>567976.27473679464</v>
      </c>
      <c r="AI42" s="197" t="s">
        <v>281</v>
      </c>
      <c r="AJ42" s="198" t="s">
        <v>422</v>
      </c>
      <c r="BD42" s="38"/>
      <c r="BE42" s="38"/>
      <c r="BF42" s="38"/>
      <c r="BG42" s="38"/>
      <c r="BH42" s="38"/>
      <c r="BI42" s="38"/>
      <c r="BJ42" s="38"/>
      <c r="BK42" s="38"/>
      <c r="BL42" s="112"/>
    </row>
    <row r="43" spans="1:64" outlineLevel="1">
      <c r="A43" t="s">
        <v>275</v>
      </c>
      <c r="B43" s="51" t="s">
        <v>297</v>
      </c>
      <c r="C43" s="101">
        <f>C25*$C$37</f>
        <v>43179.045698095215</v>
      </c>
      <c r="D43" s="101">
        <f t="shared" ref="D43:O43" si="26">D25*$C$37</f>
        <v>43179.045698095215</v>
      </c>
      <c r="E43" s="101">
        <f t="shared" si="26"/>
        <v>43179.045698095215</v>
      </c>
      <c r="F43" s="101">
        <f t="shared" si="26"/>
        <v>43179.045698095215</v>
      </c>
      <c r="G43" s="101">
        <f t="shared" si="26"/>
        <v>43179.045698095215</v>
      </c>
      <c r="H43" s="101">
        <f t="shared" si="26"/>
        <v>43179.045698095215</v>
      </c>
      <c r="I43" s="101">
        <f t="shared" si="26"/>
        <v>43179.045698095215</v>
      </c>
      <c r="J43" s="101">
        <f t="shared" si="26"/>
        <v>43179.045698095215</v>
      </c>
      <c r="K43" s="101">
        <f t="shared" si="26"/>
        <v>43179.045698095215</v>
      </c>
      <c r="L43" s="101">
        <f t="shared" si="26"/>
        <v>43179.045698095215</v>
      </c>
      <c r="M43" s="101">
        <f t="shared" si="26"/>
        <v>43179.045698095215</v>
      </c>
      <c r="N43" s="101">
        <f t="shared" si="26"/>
        <v>43179.045698095215</v>
      </c>
      <c r="O43" s="101">
        <f t="shared" si="26"/>
        <v>43179.045698095215</v>
      </c>
      <c r="P43" s="101">
        <f>D37*P25</f>
        <v>43032.070438276409</v>
      </c>
      <c r="Q43" s="101">
        <f t="shared" ref="Q43:AG43" si="27">E37*Q25</f>
        <v>42884.764563413344</v>
      </c>
      <c r="R43" s="101">
        <f t="shared" si="27"/>
        <v>42737.131664275454</v>
      </c>
      <c r="S43" s="101">
        <f t="shared" si="27"/>
        <v>42589.175331632192</v>
      </c>
      <c r="T43" s="101">
        <f t="shared" si="27"/>
        <v>42440.899156252977</v>
      </c>
      <c r="U43" s="101">
        <f t="shared" si="27"/>
        <v>42292.306728907264</v>
      </c>
      <c r="V43" s="101">
        <f t="shared" si="27"/>
        <v>42143.401640364486</v>
      </c>
      <c r="W43" s="101">
        <f t="shared" si="27"/>
        <v>41994.187481394089</v>
      </c>
      <c r="X43" s="101">
        <f t="shared" si="27"/>
        <v>41844.667842765513</v>
      </c>
      <c r="Y43" s="101">
        <f t="shared" si="27"/>
        <v>41694.846315248185</v>
      </c>
      <c r="Z43" s="101">
        <f t="shared" si="27"/>
        <v>41203.407860365151</v>
      </c>
      <c r="AA43" s="101">
        <f t="shared" si="27"/>
        <v>40710.72860810702</v>
      </c>
      <c r="AB43" s="101">
        <f t="shared" si="27"/>
        <v>40216.889350786216</v>
      </c>
      <c r="AC43" s="101">
        <f t="shared" si="27"/>
        <v>39721.97088071514</v>
      </c>
      <c r="AD43" s="101">
        <f t="shared" si="27"/>
        <v>39226.053990206186</v>
      </c>
      <c r="AE43" s="101">
        <f t="shared" si="27"/>
        <v>38729.219471571778</v>
      </c>
      <c r="AF43" s="101">
        <f t="shared" si="27"/>
        <v>38231.548117124308</v>
      </c>
      <c r="AG43" s="101">
        <f t="shared" si="27"/>
        <v>37733.120719176193</v>
      </c>
      <c r="AI43" s="197" t="s">
        <v>282</v>
      </c>
      <c r="AJ43" s="198" t="s">
        <v>422</v>
      </c>
      <c r="BD43" s="38"/>
      <c r="BE43" s="38"/>
      <c r="BF43" s="38"/>
      <c r="BG43" s="38"/>
      <c r="BH43" s="38"/>
      <c r="BI43" s="38"/>
      <c r="BJ43" s="38"/>
      <c r="BK43" s="38"/>
      <c r="BL43" s="112"/>
    </row>
    <row r="44" spans="1:64" outlineLevel="1">
      <c r="A44" t="s">
        <v>276</v>
      </c>
      <c r="B44" s="51" t="s">
        <v>297</v>
      </c>
      <c r="C44" s="101">
        <f>C26</f>
        <v>94796.125276685067</v>
      </c>
      <c r="D44" s="101">
        <f t="shared" ref="D44:AG44" si="28">D26</f>
        <v>94796.125276685067</v>
      </c>
      <c r="E44" s="101">
        <f t="shared" si="28"/>
        <v>94796.125276685067</v>
      </c>
      <c r="F44" s="101">
        <f t="shared" si="28"/>
        <v>94796.125276685067</v>
      </c>
      <c r="G44" s="101">
        <f t="shared" si="28"/>
        <v>94796.125276685067</v>
      </c>
      <c r="H44" s="101">
        <f t="shared" si="28"/>
        <v>94796.125276685067</v>
      </c>
      <c r="I44" s="101">
        <f t="shared" si="28"/>
        <v>94796.125276685067</v>
      </c>
      <c r="J44" s="101">
        <f t="shared" si="28"/>
        <v>94796.125276685067</v>
      </c>
      <c r="K44" s="101">
        <f t="shared" si="28"/>
        <v>94796.125276685067</v>
      </c>
      <c r="L44" s="101">
        <f t="shared" si="28"/>
        <v>94796.125276685067</v>
      </c>
      <c r="M44" s="101">
        <f t="shared" si="28"/>
        <v>94796.125276685067</v>
      </c>
      <c r="N44" s="101">
        <f t="shared" si="28"/>
        <v>94796.125276685067</v>
      </c>
      <c r="O44" s="101">
        <f t="shared" si="28"/>
        <v>94796.125276685067</v>
      </c>
      <c r="P44" s="101">
        <f t="shared" si="28"/>
        <v>94796.125276685067</v>
      </c>
      <c r="Q44" s="101">
        <f t="shared" si="28"/>
        <v>94796.125276685067</v>
      </c>
      <c r="R44" s="101">
        <f t="shared" si="28"/>
        <v>94796.125276685067</v>
      </c>
      <c r="S44" s="101">
        <f t="shared" si="28"/>
        <v>94796.125276685067</v>
      </c>
      <c r="T44" s="101">
        <f t="shared" si="28"/>
        <v>94796.125276685067</v>
      </c>
      <c r="U44" s="101">
        <f t="shared" si="28"/>
        <v>94796.125276685067</v>
      </c>
      <c r="V44" s="101">
        <f t="shared" si="28"/>
        <v>94796.125276685067</v>
      </c>
      <c r="W44" s="101">
        <f t="shared" si="28"/>
        <v>94796.125276685067</v>
      </c>
      <c r="X44" s="101">
        <f t="shared" si="28"/>
        <v>94796.125276685067</v>
      </c>
      <c r="Y44" s="101">
        <f t="shared" si="28"/>
        <v>94796.125276685067</v>
      </c>
      <c r="Z44" s="101">
        <f t="shared" si="28"/>
        <v>94796.125276685067</v>
      </c>
      <c r="AA44" s="101">
        <f t="shared" si="28"/>
        <v>94796.125276685067</v>
      </c>
      <c r="AB44" s="101">
        <f t="shared" si="28"/>
        <v>94796.125276685067</v>
      </c>
      <c r="AC44" s="101">
        <f t="shared" si="28"/>
        <v>94796.125276685067</v>
      </c>
      <c r="AD44" s="101">
        <f t="shared" si="28"/>
        <v>94796.125276685067</v>
      </c>
      <c r="AE44" s="101">
        <f t="shared" si="28"/>
        <v>94796.125276685067</v>
      </c>
      <c r="AF44" s="101">
        <f t="shared" si="28"/>
        <v>94796.125276685067</v>
      </c>
      <c r="AG44" s="101">
        <f t="shared" si="28"/>
        <v>94796.125276685067</v>
      </c>
      <c r="AI44" s="197" t="s">
        <v>283</v>
      </c>
      <c r="AJ44" s="198" t="s">
        <v>422</v>
      </c>
      <c r="BD44" s="38"/>
      <c r="BE44" s="38"/>
      <c r="BF44" s="38"/>
      <c r="BG44" s="38"/>
      <c r="BH44" s="38"/>
      <c r="BI44" s="38"/>
      <c r="BJ44" s="38"/>
      <c r="BK44" s="38"/>
      <c r="BL44" s="112"/>
    </row>
    <row r="45" spans="1:64" outlineLevel="1">
      <c r="A45" t="s">
        <v>277</v>
      </c>
      <c r="B45" s="51" t="s">
        <v>297</v>
      </c>
      <c r="C45" s="101">
        <f>C27*$C$39</f>
        <v>85596.363643166362</v>
      </c>
      <c r="D45" s="101">
        <f t="shared" ref="D45:H45" si="29">D27*$C$39</f>
        <v>85596.363643166362</v>
      </c>
      <c r="E45" s="101">
        <f t="shared" si="29"/>
        <v>85596.363643166362</v>
      </c>
      <c r="F45" s="101">
        <f t="shared" si="29"/>
        <v>85596.363643166362</v>
      </c>
      <c r="G45" s="101">
        <f t="shared" si="29"/>
        <v>85596.363643166362</v>
      </c>
      <c r="H45" s="101">
        <f t="shared" si="29"/>
        <v>85596.363643166362</v>
      </c>
      <c r="I45" s="101">
        <f>I27*D39</f>
        <v>82951.436006592514</v>
      </c>
      <c r="J45" s="101">
        <f t="shared" ref="J45:AG45" si="30">J27*E39</f>
        <v>80306.508370018681</v>
      </c>
      <c r="K45" s="101">
        <f t="shared" si="30"/>
        <v>77661.580733444833</v>
      </c>
      <c r="L45" s="101">
        <f t="shared" si="30"/>
        <v>75016.653096870999</v>
      </c>
      <c r="M45" s="101">
        <f t="shared" si="30"/>
        <v>72371.725460297152</v>
      </c>
      <c r="N45" s="101">
        <f t="shared" si="30"/>
        <v>69726.797823723318</v>
      </c>
      <c r="O45" s="101">
        <f t="shared" si="30"/>
        <v>67081.87018714947</v>
      </c>
      <c r="P45" s="101">
        <f t="shared" si="30"/>
        <v>64436.942550575637</v>
      </c>
      <c r="Q45" s="101">
        <f t="shared" si="30"/>
        <v>61792.014914001797</v>
      </c>
      <c r="R45" s="101">
        <f t="shared" si="30"/>
        <v>59147.087277427963</v>
      </c>
      <c r="S45" s="101">
        <f t="shared" si="30"/>
        <v>57281.086550006934</v>
      </c>
      <c r="T45" s="101">
        <f t="shared" si="30"/>
        <v>55415.085822585912</v>
      </c>
      <c r="U45" s="101">
        <f t="shared" si="30"/>
        <v>53549.085095164868</v>
      </c>
      <c r="V45" s="101">
        <f t="shared" si="30"/>
        <v>51683.084367743846</v>
      </c>
      <c r="W45" s="101">
        <f t="shared" si="30"/>
        <v>49817.083640322817</v>
      </c>
      <c r="X45" s="101">
        <f t="shared" si="30"/>
        <v>47951.082912901802</v>
      </c>
      <c r="Y45" s="101">
        <f t="shared" si="30"/>
        <v>46085.082185480765</v>
      </c>
      <c r="Z45" s="101">
        <f t="shared" si="30"/>
        <v>44219.081458059736</v>
      </c>
      <c r="AA45" s="101">
        <f t="shared" si="30"/>
        <v>42353.080730638714</v>
      </c>
      <c r="AB45" s="101">
        <f t="shared" si="30"/>
        <v>40487.080003217685</v>
      </c>
      <c r="AC45" s="101">
        <f t="shared" si="30"/>
        <v>38235.895639402421</v>
      </c>
      <c r="AD45" s="101">
        <f t="shared" si="30"/>
        <v>35984.711275587135</v>
      </c>
      <c r="AE45" s="101">
        <f t="shared" si="30"/>
        <v>33733.526911771864</v>
      </c>
      <c r="AF45" s="101">
        <f t="shared" si="30"/>
        <v>31482.342547956585</v>
      </c>
      <c r="AG45" s="101">
        <f t="shared" si="30"/>
        <v>29231.15818414131</v>
      </c>
      <c r="AI45" s="197" t="s">
        <v>284</v>
      </c>
      <c r="AJ45" s="198" t="s">
        <v>422</v>
      </c>
      <c r="AL45" s="5"/>
      <c r="AM45" s="103"/>
      <c r="AN45" s="103"/>
      <c r="AO45" s="103"/>
      <c r="BC45" s="1"/>
      <c r="BD45" s="112"/>
      <c r="BE45" s="112"/>
      <c r="BF45" s="112"/>
      <c r="BG45" s="112"/>
      <c r="BH45" s="112"/>
      <c r="BI45" s="112"/>
      <c r="BJ45" s="112"/>
      <c r="BK45" s="112"/>
      <c r="BL45" s="112"/>
    </row>
    <row r="46" spans="1:64" outlineLevel="1">
      <c r="A46" s="169" t="s">
        <v>302</v>
      </c>
      <c r="B46" s="165" t="s">
        <v>297</v>
      </c>
      <c r="C46" s="101">
        <f>C28*$C$40</f>
        <v>423517.63920713891</v>
      </c>
      <c r="D46" s="101">
        <f t="shared" ref="D46:H46" si="31">D28*$C$40</f>
        <v>423517.63920713891</v>
      </c>
      <c r="E46" s="101">
        <f t="shared" si="31"/>
        <v>423517.63920713891</v>
      </c>
      <c r="F46" s="101">
        <f t="shared" si="31"/>
        <v>423517.63920713891</v>
      </c>
      <c r="G46" s="101">
        <f t="shared" si="31"/>
        <v>423517.63920713891</v>
      </c>
      <c r="H46" s="101">
        <f t="shared" si="31"/>
        <v>423517.63920713891</v>
      </c>
      <c r="I46" s="101">
        <f>I28*D40</f>
        <v>420722.42278837174</v>
      </c>
      <c r="J46" s="101">
        <f t="shared" ref="J46" si="32">J28*E40</f>
        <v>417927.20636960468</v>
      </c>
      <c r="K46" s="101">
        <f t="shared" ref="K46" si="33">K28*F40</f>
        <v>415131.98995083757</v>
      </c>
      <c r="L46" s="101">
        <f t="shared" ref="L46" si="34">L28*G40</f>
        <v>412336.77353207045</v>
      </c>
      <c r="M46" s="101">
        <f t="shared" ref="M46" si="35">M28*H40</f>
        <v>409541.55711330334</v>
      </c>
      <c r="N46" s="101">
        <f t="shared" ref="N46" si="36">N28*I40</f>
        <v>406746.34069453622</v>
      </c>
      <c r="O46" s="101">
        <f t="shared" ref="O46" si="37">O28*J40</f>
        <v>403951.12427576911</v>
      </c>
      <c r="P46" s="101">
        <f t="shared" ref="P46" si="38">P28*K40</f>
        <v>401155.90785700193</v>
      </c>
      <c r="Q46" s="101">
        <f t="shared" ref="Q46" si="39">Q28*L40</f>
        <v>398360.69143823488</v>
      </c>
      <c r="R46" s="101">
        <f t="shared" ref="R46" si="40">R28*M40</f>
        <v>395565.4750194677</v>
      </c>
      <c r="S46" s="101">
        <f t="shared" ref="S46" si="41">S28*N40</f>
        <v>392770.25860070065</v>
      </c>
      <c r="T46" s="101">
        <f t="shared" ref="T46" si="42">T28*O40</f>
        <v>389975.04218193342</v>
      </c>
      <c r="U46" s="101">
        <f t="shared" ref="U46" si="43">U28*P40</f>
        <v>387179.82576316636</v>
      </c>
      <c r="V46" s="101">
        <f t="shared" ref="V46" si="44">V28*Q40</f>
        <v>384384.60934439924</v>
      </c>
      <c r="W46" s="101">
        <f t="shared" ref="W46" si="45">W28*R40</f>
        <v>381589.39292563213</v>
      </c>
      <c r="X46" s="101">
        <f t="shared" ref="X46" si="46">X28*S40</f>
        <v>378794.17650686501</v>
      </c>
      <c r="Y46" s="101">
        <f t="shared" ref="Y46" si="47">Y28*T40</f>
        <v>375998.96008809801</v>
      </c>
      <c r="Z46" s="101">
        <f t="shared" ref="Z46" si="48">Z28*U40</f>
        <v>373203.74366933078</v>
      </c>
      <c r="AA46" s="101">
        <f t="shared" ref="AA46" si="49">AA28*V40</f>
        <v>370408.52725056367</v>
      </c>
      <c r="AB46" s="101">
        <f t="shared" ref="AB46" si="50">AB28*W40</f>
        <v>367613.31083179661</v>
      </c>
      <c r="AC46" s="101">
        <f t="shared" ref="AC46" si="51">AC28*X40</f>
        <v>364733.39088518801</v>
      </c>
      <c r="AD46" s="101">
        <f t="shared" ref="AD46" si="52">AD28*Y40</f>
        <v>361853.47093857953</v>
      </c>
      <c r="AE46" s="101">
        <f t="shared" ref="AE46" si="53">AE28*Z40</f>
        <v>358973.55099197099</v>
      </c>
      <c r="AF46" s="101">
        <f t="shared" ref="AF46" si="54">AF28*AA40</f>
        <v>356093.63104536239</v>
      </c>
      <c r="AG46" s="101">
        <f t="shared" ref="AG46" si="55">AG28*AB40</f>
        <v>353213.71109875391</v>
      </c>
      <c r="AI46" s="197" t="s">
        <v>284</v>
      </c>
      <c r="AJ46" s="198" t="s">
        <v>422</v>
      </c>
      <c r="AL46" s="102"/>
      <c r="AM46" s="2"/>
      <c r="AN46" s="2"/>
      <c r="AO46" s="2"/>
    </row>
    <row r="47" spans="1:64" s="1" customFormat="1" ht="15.5" thickBot="1">
      <c r="A47" s="187" t="s">
        <v>435</v>
      </c>
      <c r="B47" s="202" t="s">
        <v>297</v>
      </c>
      <c r="C47" s="203">
        <f>SUM(C42:C46)</f>
        <v>2161692.5731232045</v>
      </c>
      <c r="D47" s="203">
        <f t="shared" ref="D47:AF47" si="56">SUM(D42:D46)</f>
        <v>2141548.3479125393</v>
      </c>
      <c r="E47" s="203">
        <f t="shared" si="56"/>
        <v>2121404.1227018745</v>
      </c>
      <c r="F47" s="203">
        <f t="shared" si="56"/>
        <v>2101259.8974912092</v>
      </c>
      <c r="G47" s="203">
        <f t="shared" si="56"/>
        <v>2081115.6722805444</v>
      </c>
      <c r="H47" s="203">
        <f t="shared" si="56"/>
        <v>2060971.4470698794</v>
      </c>
      <c r="I47" s="203">
        <f t="shared" si="56"/>
        <v>2035387.0778038735</v>
      </c>
      <c r="J47" s="203">
        <f t="shared" si="56"/>
        <v>2009802.7085378675</v>
      </c>
      <c r="K47" s="203">
        <f t="shared" si="56"/>
        <v>1984218.3392718616</v>
      </c>
      <c r="L47" s="203">
        <f t="shared" si="56"/>
        <v>1958633.9700058557</v>
      </c>
      <c r="M47" s="203">
        <f t="shared" si="56"/>
        <v>1933049.60073985</v>
      </c>
      <c r="N47" s="203">
        <f t="shared" si="56"/>
        <v>1891810.2907386983</v>
      </c>
      <c r="O47" s="203">
        <f t="shared" si="56"/>
        <v>1855885.724065684</v>
      </c>
      <c r="P47" s="203">
        <f t="shared" si="56"/>
        <v>1813949.637770769</v>
      </c>
      <c r="Q47" s="203">
        <f t="shared" si="56"/>
        <v>1772013.2208608093</v>
      </c>
      <c r="R47" s="203">
        <f t="shared" si="56"/>
        <v>1730076.4769265749</v>
      </c>
      <c r="S47" s="203">
        <f t="shared" si="56"/>
        <v>1688918.3364679881</v>
      </c>
      <c r="T47" s="203">
        <f t="shared" si="56"/>
        <v>1647759.876166665</v>
      </c>
      <c r="U47" s="203">
        <f t="shared" si="56"/>
        <v>1606601.0996133757</v>
      </c>
      <c r="V47" s="203">
        <f t="shared" si="56"/>
        <v>1565442.0103988897</v>
      </c>
      <c r="W47" s="203">
        <f t="shared" si="56"/>
        <v>1524282.612113975</v>
      </c>
      <c r="X47" s="203">
        <f t="shared" si="56"/>
        <v>1465509.585418965</v>
      </c>
      <c r="Y47" s="203">
        <f t="shared" si="56"/>
        <v>1423571.0736182651</v>
      </c>
      <c r="Z47" s="203">
        <f t="shared" si="56"/>
        <v>1381290.9448901988</v>
      </c>
      <c r="AA47" s="203">
        <f t="shared" si="56"/>
        <v>1339009.5753647578</v>
      </c>
      <c r="AB47" s="203">
        <f t="shared" si="56"/>
        <v>1296727.0458342542</v>
      </c>
      <c r="AC47" s="203">
        <f t="shared" si="56"/>
        <v>1253973.5499267646</v>
      </c>
      <c r="AD47" s="203">
        <f t="shared" si="56"/>
        <v>1211219.0555988369</v>
      </c>
      <c r="AE47" s="203">
        <f t="shared" si="56"/>
        <v>1168463.6436427839</v>
      </c>
      <c r="AF47" s="203">
        <f t="shared" si="56"/>
        <v>1125707.3948509179</v>
      </c>
      <c r="AG47" s="203">
        <f>SUM(AG42:AG46)</f>
        <v>1082950.3900155511</v>
      </c>
      <c r="AJ47" s="151"/>
      <c r="AL47" s="207"/>
      <c r="AM47" s="118"/>
      <c r="AN47" s="118"/>
      <c r="AO47" s="118"/>
    </row>
    <row r="48" spans="1:64" ht="15.5" thickTop="1">
      <c r="B48" s="165"/>
      <c r="C48" s="196"/>
      <c r="D48" s="196"/>
      <c r="E48" s="196"/>
      <c r="F48" s="196"/>
      <c r="G48" s="196"/>
      <c r="H48" s="196"/>
      <c r="I48" s="196"/>
      <c r="J48" s="196"/>
      <c r="K48" s="196"/>
      <c r="L48" s="196"/>
      <c r="M48" s="196"/>
      <c r="N48" s="196"/>
      <c r="O48" s="196"/>
      <c r="P48" s="196"/>
      <c r="Q48" s="196"/>
      <c r="R48" s="196"/>
      <c r="S48" s="196"/>
      <c r="T48" s="196"/>
      <c r="U48" s="196"/>
      <c r="V48" s="196"/>
      <c r="W48" s="196"/>
      <c r="X48" s="196"/>
      <c r="Y48" s="196"/>
      <c r="Z48" s="196"/>
      <c r="AA48" s="196"/>
      <c r="AB48" s="196"/>
      <c r="AC48" s="196"/>
      <c r="AD48" s="196"/>
      <c r="AE48" s="196"/>
      <c r="AF48" s="196"/>
      <c r="AG48" s="196"/>
      <c r="AL48" s="102"/>
      <c r="AM48" s="2"/>
      <c r="AN48" s="2"/>
      <c r="AO48" s="2"/>
    </row>
    <row r="49" spans="1:63" s="187" customFormat="1" ht="15.5" thickBot="1">
      <c r="A49" s="187" t="s">
        <v>431</v>
      </c>
      <c r="B49" s="202" t="s">
        <v>126</v>
      </c>
      <c r="C49" s="208">
        <f>C52</f>
        <v>0.14200000000000002</v>
      </c>
      <c r="D49" s="208">
        <f t="shared" ref="D49:AG49" si="57">D52</f>
        <v>0.14849999999999999</v>
      </c>
      <c r="E49" s="208">
        <f t="shared" si="57"/>
        <v>0.155</v>
      </c>
      <c r="F49" s="208">
        <f t="shared" si="57"/>
        <v>0.16149999999999998</v>
      </c>
      <c r="G49" s="208">
        <f t="shared" si="57"/>
        <v>0.16800000000000001</v>
      </c>
      <c r="H49" s="208">
        <f t="shared" si="57"/>
        <v>0.17449999999999999</v>
      </c>
      <c r="I49" s="208">
        <f t="shared" si="57"/>
        <v>0.18099999999999999</v>
      </c>
      <c r="J49" s="208">
        <f t="shared" si="57"/>
        <v>0.1875</v>
      </c>
      <c r="K49" s="208">
        <f t="shared" si="57"/>
        <v>0.19400000000000001</v>
      </c>
      <c r="L49" s="208">
        <f t="shared" si="57"/>
        <v>0.20050000000000001</v>
      </c>
      <c r="M49" s="208">
        <f t="shared" si="57"/>
        <v>0.20700000000000002</v>
      </c>
      <c r="N49" s="208">
        <f t="shared" si="57"/>
        <v>0.22070000000000001</v>
      </c>
      <c r="O49" s="208">
        <f t="shared" si="57"/>
        <v>0.2344</v>
      </c>
      <c r="P49" s="208">
        <f t="shared" si="57"/>
        <v>0.24809999999999999</v>
      </c>
      <c r="Q49" s="208">
        <f t="shared" si="57"/>
        <v>0.26179999999999998</v>
      </c>
      <c r="R49" s="208">
        <f t="shared" si="57"/>
        <v>0.27549999999999997</v>
      </c>
      <c r="S49" s="208">
        <f t="shared" si="57"/>
        <v>0.28920000000000001</v>
      </c>
      <c r="T49" s="208">
        <f t="shared" si="57"/>
        <v>0.3029</v>
      </c>
      <c r="U49" s="208">
        <f t="shared" si="57"/>
        <v>0.31659999999999999</v>
      </c>
      <c r="V49" s="208">
        <f t="shared" si="57"/>
        <v>0.33030000000000004</v>
      </c>
      <c r="W49" s="208">
        <f t="shared" si="57"/>
        <v>0.34399999999999997</v>
      </c>
      <c r="X49" s="208">
        <f t="shared" si="57"/>
        <v>0.36692262658227848</v>
      </c>
      <c r="Y49" s="208">
        <f t="shared" si="57"/>
        <v>0.38984525316455698</v>
      </c>
      <c r="Z49" s="208">
        <f t="shared" si="57"/>
        <v>0.41276787974683543</v>
      </c>
      <c r="AA49" s="208">
        <f t="shared" si="57"/>
        <v>0.43569050632911388</v>
      </c>
      <c r="AB49" s="208">
        <f t="shared" si="57"/>
        <v>0.45861313291139238</v>
      </c>
      <c r="AC49" s="208">
        <f t="shared" si="57"/>
        <v>0.48153575949367089</v>
      </c>
      <c r="AD49" s="208">
        <f t="shared" si="57"/>
        <v>0.50445838607594939</v>
      </c>
      <c r="AE49" s="208">
        <f t="shared" si="57"/>
        <v>0.5273810126582279</v>
      </c>
      <c r="AF49" s="208">
        <f t="shared" si="57"/>
        <v>0.55030363924050629</v>
      </c>
      <c r="AG49" s="208">
        <f t="shared" si="57"/>
        <v>0.5732262658227848</v>
      </c>
      <c r="AJ49" s="217" t="s">
        <v>473</v>
      </c>
      <c r="AL49" s="204"/>
      <c r="AM49" s="205"/>
      <c r="AN49" s="205"/>
      <c r="AO49" s="205"/>
    </row>
    <row r="50" spans="1:63" ht="15.5" outlineLevel="1" thickTop="1">
      <c r="A50" t="s">
        <v>423</v>
      </c>
      <c r="B50" s="51" t="s">
        <v>126</v>
      </c>
      <c r="C50" s="107">
        <v>4.7E-2</v>
      </c>
      <c r="D50" s="104">
        <f>$C50+($M50-$C50)/10*(D$1-$C$1)</f>
        <v>5.0200000000000002E-2</v>
      </c>
      <c r="E50" s="104">
        <f t="shared" ref="E50:L51" si="58">$C50+($M50-$C50)/10*(E$1-$C$1)</f>
        <v>5.3400000000000003E-2</v>
      </c>
      <c r="F50" s="104">
        <f t="shared" si="58"/>
        <v>5.6599999999999998E-2</v>
      </c>
      <c r="G50" s="104">
        <f t="shared" si="58"/>
        <v>5.9799999999999999E-2</v>
      </c>
      <c r="H50" s="104">
        <f t="shared" si="58"/>
        <v>6.3E-2</v>
      </c>
      <c r="I50" s="104">
        <f t="shared" si="58"/>
        <v>6.6200000000000009E-2</v>
      </c>
      <c r="J50" s="104">
        <f t="shared" si="58"/>
        <v>6.9400000000000003E-2</v>
      </c>
      <c r="K50" s="104">
        <f t="shared" si="58"/>
        <v>7.2599999999999998E-2</v>
      </c>
      <c r="L50" s="104">
        <f t="shared" si="58"/>
        <v>7.5800000000000006E-2</v>
      </c>
      <c r="M50" s="107">
        <v>7.9000000000000001E-2</v>
      </c>
      <c r="N50" s="104">
        <f>$M50+($W50-$M50)/10*(N$1-$M$1)</f>
        <v>8.5100000000000009E-2</v>
      </c>
      <c r="O50" s="104">
        <f t="shared" ref="O50:U51" si="59">$M50+($W50-$M50)/10*(O$1-$M$1)</f>
        <v>9.1200000000000003E-2</v>
      </c>
      <c r="P50" s="104">
        <f t="shared" si="59"/>
        <v>9.7299999999999998E-2</v>
      </c>
      <c r="Q50" s="104">
        <f t="shared" si="59"/>
        <v>0.10340000000000001</v>
      </c>
      <c r="R50" s="104">
        <f t="shared" si="59"/>
        <v>0.10950000000000001</v>
      </c>
      <c r="S50" s="104">
        <f t="shared" si="59"/>
        <v>0.11560000000000001</v>
      </c>
      <c r="T50" s="104">
        <f t="shared" si="59"/>
        <v>0.1217</v>
      </c>
      <c r="U50" s="104">
        <f t="shared" si="59"/>
        <v>0.12780000000000002</v>
      </c>
      <c r="V50" s="104">
        <f>$M50+($W50-$M50)/10*(V$1-$M$1)</f>
        <v>0.13390000000000002</v>
      </c>
      <c r="W50" s="107">
        <v>0.14000000000000001</v>
      </c>
      <c r="X50" s="104">
        <f>$W50+($AG50-$W50)/10*(X$1-$W$1)</f>
        <v>0.15081012658227849</v>
      </c>
      <c r="Y50" s="104">
        <f t="shared" ref="Y50:AF51" si="60">$W50+($AG50-$W50)/10*(Y$1-$W$1)</f>
        <v>0.16162025316455697</v>
      </c>
      <c r="Z50" s="104">
        <f t="shared" si="60"/>
        <v>0.17243037974683545</v>
      </c>
      <c r="AA50" s="104">
        <f t="shared" si="60"/>
        <v>0.18324050632911396</v>
      </c>
      <c r="AB50" s="104">
        <f t="shared" si="60"/>
        <v>0.19405063291139243</v>
      </c>
      <c r="AC50" s="104">
        <f t="shared" si="60"/>
        <v>0.20486075949367091</v>
      </c>
      <c r="AD50" s="104">
        <f t="shared" si="60"/>
        <v>0.21567088607594942</v>
      </c>
      <c r="AE50" s="104">
        <f t="shared" si="60"/>
        <v>0.2264810126582279</v>
      </c>
      <c r="AF50" s="104">
        <f t="shared" si="60"/>
        <v>0.23729113924050638</v>
      </c>
      <c r="AG50" s="104">
        <f>(W50/M50)*W50</f>
        <v>0.24810126582278486</v>
      </c>
      <c r="AI50" s="126"/>
      <c r="AJ50" s="198" t="s">
        <v>484</v>
      </c>
      <c r="AL50" s="102"/>
      <c r="AM50" s="2"/>
      <c r="AN50" s="2"/>
      <c r="AO50" s="2"/>
      <c r="AV50" s="38"/>
    </row>
    <row r="51" spans="1:63" outlineLevel="1">
      <c r="A51" t="s">
        <v>425</v>
      </c>
      <c r="B51" s="51" t="s">
        <v>126</v>
      </c>
      <c r="C51" s="107">
        <v>9.5000000000000001E-2</v>
      </c>
      <c r="D51" s="104">
        <f>$C51+($M51-$C51)/10*(D$1-$C$1)</f>
        <v>9.8299999999999998E-2</v>
      </c>
      <c r="E51" s="104">
        <f t="shared" si="58"/>
        <v>0.1016</v>
      </c>
      <c r="F51" s="104">
        <f t="shared" si="58"/>
        <v>0.10489999999999999</v>
      </c>
      <c r="G51" s="104">
        <f t="shared" si="58"/>
        <v>0.1082</v>
      </c>
      <c r="H51" s="104">
        <f t="shared" si="58"/>
        <v>0.1115</v>
      </c>
      <c r="I51" s="104">
        <f t="shared" si="58"/>
        <v>0.1148</v>
      </c>
      <c r="J51" s="104">
        <f t="shared" si="58"/>
        <v>0.1181</v>
      </c>
      <c r="K51" s="104">
        <f t="shared" si="58"/>
        <v>0.12140000000000001</v>
      </c>
      <c r="L51" s="104">
        <f t="shared" si="58"/>
        <v>0.12470000000000001</v>
      </c>
      <c r="M51" s="107">
        <v>0.128</v>
      </c>
      <c r="N51" s="104">
        <f>$M51+($W51-$M51)/10*(N$1-$M$1)</f>
        <v>0.1356</v>
      </c>
      <c r="O51" s="104">
        <f t="shared" si="59"/>
        <v>0.14319999999999999</v>
      </c>
      <c r="P51" s="104">
        <f t="shared" si="59"/>
        <v>0.15079999999999999</v>
      </c>
      <c r="Q51" s="104">
        <f t="shared" si="59"/>
        <v>0.15839999999999999</v>
      </c>
      <c r="R51" s="104">
        <f t="shared" si="59"/>
        <v>0.16599999999999998</v>
      </c>
      <c r="S51" s="104">
        <f t="shared" si="59"/>
        <v>0.17359999999999998</v>
      </c>
      <c r="T51" s="104">
        <f t="shared" si="59"/>
        <v>0.1812</v>
      </c>
      <c r="U51" s="104">
        <f t="shared" si="59"/>
        <v>0.1888</v>
      </c>
      <c r="V51" s="104">
        <f>$M51+($W51-$M51)/10*(V$1-$M$1)</f>
        <v>0.19639999999999999</v>
      </c>
      <c r="W51" s="107">
        <v>0.20399999999999999</v>
      </c>
      <c r="X51" s="104">
        <f>$W51+($AG51-$W51)/10*(X$1-$W$1)</f>
        <v>0.21611249999999999</v>
      </c>
      <c r="Y51" s="104">
        <f t="shared" si="60"/>
        <v>0.22822499999999998</v>
      </c>
      <c r="Z51" s="104">
        <f t="shared" si="60"/>
        <v>0.24033749999999998</v>
      </c>
      <c r="AA51" s="104">
        <f t="shared" si="60"/>
        <v>0.25244999999999995</v>
      </c>
      <c r="AB51" s="104">
        <f t="shared" si="60"/>
        <v>0.26456249999999998</v>
      </c>
      <c r="AC51" s="104">
        <f t="shared" si="60"/>
        <v>0.27667499999999995</v>
      </c>
      <c r="AD51" s="104">
        <f t="shared" si="60"/>
        <v>0.28878749999999997</v>
      </c>
      <c r="AE51" s="104">
        <f t="shared" si="60"/>
        <v>0.30089999999999995</v>
      </c>
      <c r="AF51" s="104">
        <f t="shared" si="60"/>
        <v>0.31301249999999992</v>
      </c>
      <c r="AG51" s="104">
        <f>(W51/M51)*W51</f>
        <v>0.32512499999999994</v>
      </c>
      <c r="AI51" s="126"/>
      <c r="AJ51" s="198" t="s">
        <v>484</v>
      </c>
      <c r="AL51" s="102"/>
      <c r="AM51" s="2"/>
      <c r="AN51" s="2"/>
      <c r="AO51" s="2"/>
      <c r="AV51" s="38"/>
    </row>
    <row r="52" spans="1:63" outlineLevel="1">
      <c r="A52" t="s">
        <v>424</v>
      </c>
      <c r="B52" s="165" t="s">
        <v>126</v>
      </c>
      <c r="C52" s="104">
        <f t="shared" ref="C52:AF52" si="61">C50+C51</f>
        <v>0.14200000000000002</v>
      </c>
      <c r="D52" s="104">
        <f t="shared" si="61"/>
        <v>0.14849999999999999</v>
      </c>
      <c r="E52" s="104">
        <f t="shared" si="61"/>
        <v>0.155</v>
      </c>
      <c r="F52" s="104">
        <f t="shared" si="61"/>
        <v>0.16149999999999998</v>
      </c>
      <c r="G52" s="104">
        <f t="shared" si="61"/>
        <v>0.16800000000000001</v>
      </c>
      <c r="H52" s="104">
        <f t="shared" si="61"/>
        <v>0.17449999999999999</v>
      </c>
      <c r="I52" s="104">
        <f t="shared" si="61"/>
        <v>0.18099999999999999</v>
      </c>
      <c r="J52" s="104">
        <f t="shared" si="61"/>
        <v>0.1875</v>
      </c>
      <c r="K52" s="104">
        <f t="shared" si="61"/>
        <v>0.19400000000000001</v>
      </c>
      <c r="L52" s="104">
        <f t="shared" si="61"/>
        <v>0.20050000000000001</v>
      </c>
      <c r="M52" s="104">
        <f t="shared" si="61"/>
        <v>0.20700000000000002</v>
      </c>
      <c r="N52" s="104">
        <f t="shared" si="61"/>
        <v>0.22070000000000001</v>
      </c>
      <c r="O52" s="104">
        <f t="shared" si="61"/>
        <v>0.2344</v>
      </c>
      <c r="P52" s="104">
        <f t="shared" si="61"/>
        <v>0.24809999999999999</v>
      </c>
      <c r="Q52" s="104">
        <f t="shared" si="61"/>
        <v>0.26179999999999998</v>
      </c>
      <c r="R52" s="104">
        <f t="shared" si="61"/>
        <v>0.27549999999999997</v>
      </c>
      <c r="S52" s="104">
        <f t="shared" si="61"/>
        <v>0.28920000000000001</v>
      </c>
      <c r="T52" s="104">
        <f t="shared" si="61"/>
        <v>0.3029</v>
      </c>
      <c r="U52" s="104">
        <f t="shared" si="61"/>
        <v>0.31659999999999999</v>
      </c>
      <c r="V52" s="104">
        <f t="shared" si="61"/>
        <v>0.33030000000000004</v>
      </c>
      <c r="W52" s="104">
        <f t="shared" si="61"/>
        <v>0.34399999999999997</v>
      </c>
      <c r="X52" s="104">
        <f t="shared" si="61"/>
        <v>0.36692262658227848</v>
      </c>
      <c r="Y52" s="104">
        <f t="shared" si="61"/>
        <v>0.38984525316455698</v>
      </c>
      <c r="Z52" s="104">
        <f t="shared" si="61"/>
        <v>0.41276787974683543</v>
      </c>
      <c r="AA52" s="104">
        <f t="shared" si="61"/>
        <v>0.43569050632911388</v>
      </c>
      <c r="AB52" s="104">
        <f t="shared" si="61"/>
        <v>0.45861313291139238</v>
      </c>
      <c r="AC52" s="104">
        <f t="shared" si="61"/>
        <v>0.48153575949367089</v>
      </c>
      <c r="AD52" s="104">
        <f t="shared" si="61"/>
        <v>0.50445838607594939</v>
      </c>
      <c r="AE52" s="104">
        <f t="shared" si="61"/>
        <v>0.5273810126582279</v>
      </c>
      <c r="AF52" s="104">
        <f t="shared" si="61"/>
        <v>0.55030363924050629</v>
      </c>
      <c r="AG52" s="104">
        <f>AG50+AG51</f>
        <v>0.5732262658227848</v>
      </c>
      <c r="AI52" s="126"/>
      <c r="AJ52" s="198"/>
      <c r="AL52" s="102"/>
      <c r="AM52" s="2"/>
      <c r="AN52" s="2"/>
      <c r="AO52" s="2"/>
    </row>
    <row r="53" spans="1:63" outlineLevel="1">
      <c r="C53" s="107"/>
      <c r="D53" s="104"/>
      <c r="E53" s="104"/>
      <c r="F53" s="104"/>
      <c r="G53" s="104"/>
      <c r="H53" s="104"/>
      <c r="I53" s="104"/>
      <c r="J53" s="104"/>
      <c r="K53" s="104"/>
      <c r="L53" s="104"/>
      <c r="M53" s="107"/>
      <c r="N53" s="104"/>
      <c r="O53" s="104"/>
      <c r="P53" s="104"/>
      <c r="Q53" s="104"/>
      <c r="R53" s="104"/>
      <c r="S53" s="104"/>
      <c r="T53" s="104"/>
      <c r="U53" s="104"/>
      <c r="V53" s="104"/>
      <c r="W53" s="107"/>
      <c r="X53" s="104"/>
      <c r="Y53" s="104"/>
      <c r="Z53" s="104"/>
      <c r="AA53" s="104"/>
      <c r="AB53" s="104"/>
      <c r="AC53" s="104"/>
      <c r="AD53" s="104"/>
      <c r="AE53" s="104"/>
      <c r="AF53" s="104"/>
      <c r="AG53" s="107"/>
      <c r="AI53" s="126"/>
      <c r="AJ53" s="198"/>
      <c r="AL53" s="102"/>
      <c r="AM53" s="2"/>
      <c r="AN53" s="2"/>
      <c r="AO53" s="2"/>
      <c r="AV53" s="38"/>
    </row>
    <row r="54" spans="1:63" outlineLevel="1">
      <c r="A54" t="s">
        <v>438</v>
      </c>
      <c r="B54" s="51" t="s">
        <v>126</v>
      </c>
      <c r="C54" s="104">
        <f>'Ethylene recycling rates'!W28</f>
        <v>0.11499935012302656</v>
      </c>
      <c r="D54" s="115">
        <f t="shared" ref="D54:AF54" si="62">C54-($C$54-$AG$54)/($AG$1-$C$1)</f>
        <v>0.11283270511892568</v>
      </c>
      <c r="E54" s="115">
        <f t="shared" si="62"/>
        <v>0.1106660601148248</v>
      </c>
      <c r="F54" s="115">
        <f t="shared" si="62"/>
        <v>0.10849941511072392</v>
      </c>
      <c r="G54" s="115">
        <f t="shared" si="62"/>
        <v>0.10633277010662304</v>
      </c>
      <c r="H54" s="115">
        <f t="shared" si="62"/>
        <v>0.10416612510252216</v>
      </c>
      <c r="I54" s="115">
        <f t="shared" si="62"/>
        <v>0.10199948009842127</v>
      </c>
      <c r="J54" s="115">
        <f t="shared" si="62"/>
        <v>9.9832835094320393E-2</v>
      </c>
      <c r="K54" s="115">
        <f t="shared" si="62"/>
        <v>9.7666190090219512E-2</v>
      </c>
      <c r="L54" s="115">
        <f t="shared" si="62"/>
        <v>9.5499545086118631E-2</v>
      </c>
      <c r="M54" s="115">
        <f t="shared" si="62"/>
        <v>9.333290008201775E-2</v>
      </c>
      <c r="N54" s="115">
        <f t="shared" si="62"/>
        <v>9.1166255077916869E-2</v>
      </c>
      <c r="O54" s="115">
        <f t="shared" si="62"/>
        <v>8.8999610073815988E-2</v>
      </c>
      <c r="P54" s="115">
        <f t="shared" si="62"/>
        <v>8.6832965069715107E-2</v>
      </c>
      <c r="Q54" s="115">
        <f t="shared" si="62"/>
        <v>8.4666320065614226E-2</v>
      </c>
      <c r="R54" s="115">
        <f t="shared" si="62"/>
        <v>8.2499675061513345E-2</v>
      </c>
      <c r="S54" s="115">
        <f t="shared" si="62"/>
        <v>8.0333030057412463E-2</v>
      </c>
      <c r="T54" s="115">
        <f t="shared" si="62"/>
        <v>7.8166385053311582E-2</v>
      </c>
      <c r="U54" s="115">
        <f t="shared" si="62"/>
        <v>7.5999740049210701E-2</v>
      </c>
      <c r="V54" s="115">
        <f t="shared" si="62"/>
        <v>7.383309504510982E-2</v>
      </c>
      <c r="W54" s="115">
        <f t="shared" si="62"/>
        <v>7.1666450041008939E-2</v>
      </c>
      <c r="X54" s="115">
        <f t="shared" si="62"/>
        <v>6.9499805036908058E-2</v>
      </c>
      <c r="Y54" s="115">
        <f t="shared" si="62"/>
        <v>6.7333160032807177E-2</v>
      </c>
      <c r="Z54" s="115">
        <f t="shared" si="62"/>
        <v>6.5166515028706296E-2</v>
      </c>
      <c r="AA54" s="115">
        <f t="shared" si="62"/>
        <v>6.2999870024605414E-2</v>
      </c>
      <c r="AB54" s="115">
        <f t="shared" si="62"/>
        <v>6.0833225020504526E-2</v>
      </c>
      <c r="AC54" s="115">
        <f t="shared" si="62"/>
        <v>5.8666580016403638E-2</v>
      </c>
      <c r="AD54" s="115">
        <f t="shared" si="62"/>
        <v>5.649993501230275E-2</v>
      </c>
      <c r="AE54" s="115">
        <f t="shared" si="62"/>
        <v>5.4333290008201862E-2</v>
      </c>
      <c r="AF54" s="115">
        <f t="shared" si="62"/>
        <v>5.2166645004100974E-2</v>
      </c>
      <c r="AG54" s="201">
        <v>0.05</v>
      </c>
      <c r="AI54" s="126"/>
      <c r="AJ54" s="198" t="s">
        <v>832</v>
      </c>
      <c r="AL54" s="102"/>
      <c r="AM54" s="2"/>
      <c r="AN54" s="2"/>
      <c r="AO54" s="2"/>
      <c r="AV54" s="38"/>
    </row>
    <row r="55" spans="1:63" outlineLevel="1">
      <c r="A55" t="s">
        <v>439</v>
      </c>
      <c r="C55" s="104">
        <f>'Ethylene recycling rates'!Z28</f>
        <v>0.13791632052401978</v>
      </c>
      <c r="D55" s="104">
        <f t="shared" ref="D55:S56" si="63">C55</f>
        <v>0.13791632052401978</v>
      </c>
      <c r="E55" s="104">
        <f t="shared" si="63"/>
        <v>0.13791632052401978</v>
      </c>
      <c r="F55" s="104">
        <f t="shared" si="63"/>
        <v>0.13791632052401978</v>
      </c>
      <c r="G55" s="104">
        <f t="shared" si="63"/>
        <v>0.13791632052401978</v>
      </c>
      <c r="H55" s="104">
        <f t="shared" si="63"/>
        <v>0.13791632052401978</v>
      </c>
      <c r="I55" s="104">
        <f t="shared" si="63"/>
        <v>0.13791632052401978</v>
      </c>
      <c r="J55" s="104">
        <f t="shared" si="63"/>
        <v>0.13791632052401978</v>
      </c>
      <c r="K55" s="104">
        <f t="shared" si="63"/>
        <v>0.13791632052401978</v>
      </c>
      <c r="L55" s="104">
        <f t="shared" si="63"/>
        <v>0.13791632052401978</v>
      </c>
      <c r="M55" s="104">
        <f t="shared" si="63"/>
        <v>0.13791632052401978</v>
      </c>
      <c r="N55" s="104">
        <f t="shared" si="63"/>
        <v>0.13791632052401978</v>
      </c>
      <c r="O55" s="104">
        <f t="shared" si="63"/>
        <v>0.13791632052401978</v>
      </c>
      <c r="P55" s="104">
        <f t="shared" si="63"/>
        <v>0.13791632052401978</v>
      </c>
      <c r="Q55" s="104">
        <f t="shared" si="63"/>
        <v>0.13791632052401978</v>
      </c>
      <c r="R55" s="104">
        <f t="shared" si="63"/>
        <v>0.13791632052401978</v>
      </c>
      <c r="S55" s="104">
        <f t="shared" si="63"/>
        <v>0.13791632052401978</v>
      </c>
      <c r="T55" s="104">
        <f t="shared" ref="E55:AG56" si="64">S55</f>
        <v>0.13791632052401978</v>
      </c>
      <c r="U55" s="104">
        <f t="shared" si="64"/>
        <v>0.13791632052401978</v>
      </c>
      <c r="V55" s="104">
        <f t="shared" si="64"/>
        <v>0.13791632052401978</v>
      </c>
      <c r="W55" s="104">
        <f t="shared" si="64"/>
        <v>0.13791632052401978</v>
      </c>
      <c r="X55" s="104">
        <f t="shared" si="64"/>
        <v>0.13791632052401978</v>
      </c>
      <c r="Y55" s="104">
        <f t="shared" si="64"/>
        <v>0.13791632052401978</v>
      </c>
      <c r="Z55" s="104">
        <f t="shared" si="64"/>
        <v>0.13791632052401978</v>
      </c>
      <c r="AA55" s="104">
        <f t="shared" si="64"/>
        <v>0.13791632052401978</v>
      </c>
      <c r="AB55" s="104">
        <f t="shared" si="64"/>
        <v>0.13791632052401978</v>
      </c>
      <c r="AC55" s="104">
        <f t="shared" si="64"/>
        <v>0.13791632052401978</v>
      </c>
      <c r="AD55" s="104">
        <f t="shared" si="64"/>
        <v>0.13791632052401978</v>
      </c>
      <c r="AE55" s="104">
        <f t="shared" si="64"/>
        <v>0.13791632052401978</v>
      </c>
      <c r="AF55" s="104">
        <f t="shared" si="64"/>
        <v>0.13791632052401978</v>
      </c>
      <c r="AG55" s="104">
        <f t="shared" si="64"/>
        <v>0.13791632052401978</v>
      </c>
      <c r="AI55" s="126"/>
      <c r="AJ55" s="198" t="s">
        <v>832</v>
      </c>
      <c r="AL55" s="102"/>
      <c r="AM55" s="2"/>
      <c r="AN55" s="2"/>
      <c r="AO55" s="2"/>
      <c r="AV55" s="38"/>
    </row>
    <row r="56" spans="1:63" outlineLevel="1">
      <c r="A56" t="s">
        <v>831</v>
      </c>
      <c r="B56" s="51" t="s">
        <v>126</v>
      </c>
      <c r="C56" s="104">
        <f>'Ethylene recycling rates'!X28</f>
        <v>0.10855071452136934</v>
      </c>
      <c r="D56" s="104">
        <f t="shared" si="63"/>
        <v>0.10855071452136934</v>
      </c>
      <c r="E56" s="104">
        <f t="shared" si="64"/>
        <v>0.10855071452136934</v>
      </c>
      <c r="F56" s="104">
        <f t="shared" si="64"/>
        <v>0.10855071452136934</v>
      </c>
      <c r="G56" s="104">
        <f t="shared" si="64"/>
        <v>0.10855071452136934</v>
      </c>
      <c r="H56" s="104">
        <f t="shared" si="64"/>
        <v>0.10855071452136934</v>
      </c>
      <c r="I56" s="104">
        <f t="shared" si="64"/>
        <v>0.10855071452136934</v>
      </c>
      <c r="J56" s="104">
        <f t="shared" si="64"/>
        <v>0.10855071452136934</v>
      </c>
      <c r="K56" s="104">
        <f t="shared" si="64"/>
        <v>0.10855071452136934</v>
      </c>
      <c r="L56" s="104">
        <f t="shared" si="64"/>
        <v>0.10855071452136934</v>
      </c>
      <c r="M56" s="104">
        <f t="shared" si="64"/>
        <v>0.10855071452136934</v>
      </c>
      <c r="N56" s="104">
        <f t="shared" si="64"/>
        <v>0.10855071452136934</v>
      </c>
      <c r="O56" s="104">
        <f t="shared" si="64"/>
        <v>0.10855071452136934</v>
      </c>
      <c r="P56" s="104">
        <f t="shared" si="64"/>
        <v>0.10855071452136934</v>
      </c>
      <c r="Q56" s="104">
        <f t="shared" si="64"/>
        <v>0.10855071452136934</v>
      </c>
      <c r="R56" s="104">
        <f t="shared" si="64"/>
        <v>0.10855071452136934</v>
      </c>
      <c r="S56" s="104">
        <f t="shared" si="64"/>
        <v>0.10855071452136934</v>
      </c>
      <c r="T56" s="104">
        <f t="shared" si="64"/>
        <v>0.10855071452136934</v>
      </c>
      <c r="U56" s="104">
        <f t="shared" si="64"/>
        <v>0.10855071452136934</v>
      </c>
      <c r="V56" s="104">
        <f t="shared" si="64"/>
        <v>0.10855071452136934</v>
      </c>
      <c r="W56" s="104">
        <f t="shared" si="64"/>
        <v>0.10855071452136934</v>
      </c>
      <c r="X56" s="104">
        <f t="shared" si="64"/>
        <v>0.10855071452136934</v>
      </c>
      <c r="Y56" s="104">
        <f t="shared" si="64"/>
        <v>0.10855071452136934</v>
      </c>
      <c r="Z56" s="104">
        <f t="shared" si="64"/>
        <v>0.10855071452136934</v>
      </c>
      <c r="AA56" s="104">
        <f t="shared" si="64"/>
        <v>0.10855071452136934</v>
      </c>
      <c r="AB56" s="104">
        <f t="shared" si="64"/>
        <v>0.10855071452136934</v>
      </c>
      <c r="AC56" s="104">
        <f t="shared" si="64"/>
        <v>0.10855071452136934</v>
      </c>
      <c r="AD56" s="104">
        <f t="shared" si="64"/>
        <v>0.10855071452136934</v>
      </c>
      <c r="AE56" s="104">
        <f t="shared" si="64"/>
        <v>0.10855071452136934</v>
      </c>
      <c r="AF56" s="104">
        <f t="shared" si="64"/>
        <v>0.10855071452136934</v>
      </c>
      <c r="AG56" s="104">
        <f t="shared" si="64"/>
        <v>0.10855071452136934</v>
      </c>
      <c r="AI56" s="126"/>
      <c r="AJ56" s="198" t="s">
        <v>832</v>
      </c>
      <c r="AL56" s="102"/>
      <c r="AM56" s="2"/>
      <c r="AN56" s="2"/>
      <c r="AO56" s="2"/>
      <c r="AV56" s="38"/>
    </row>
    <row r="57" spans="1:63" outlineLevel="1">
      <c r="A57" t="s">
        <v>440</v>
      </c>
      <c r="B57" s="51" t="s">
        <v>126</v>
      </c>
      <c r="C57" s="104">
        <f>1-C56-C55-C54</f>
        <v>0.63853361483158433</v>
      </c>
      <c r="D57" s="104">
        <f t="shared" ref="D57:AG57" si="65">1-D56-D55-D54</f>
        <v>0.64070025983568524</v>
      </c>
      <c r="E57" s="104">
        <f t="shared" si="65"/>
        <v>0.64286690483978604</v>
      </c>
      <c r="F57" s="104">
        <f t="shared" si="65"/>
        <v>0.64503354984388694</v>
      </c>
      <c r="G57" s="104">
        <f t="shared" si="65"/>
        <v>0.64720019484798785</v>
      </c>
      <c r="H57" s="104">
        <f t="shared" si="65"/>
        <v>0.64936683985208865</v>
      </c>
      <c r="I57" s="104">
        <f t="shared" si="65"/>
        <v>0.65153348485618956</v>
      </c>
      <c r="J57" s="104">
        <f t="shared" si="65"/>
        <v>0.65370012986029047</v>
      </c>
      <c r="K57" s="104">
        <f t="shared" si="65"/>
        <v>0.65586677486439138</v>
      </c>
      <c r="L57" s="104">
        <f t="shared" si="65"/>
        <v>0.65803341986849229</v>
      </c>
      <c r="M57" s="104">
        <f t="shared" si="65"/>
        <v>0.66020006487259308</v>
      </c>
      <c r="N57" s="104">
        <f t="shared" si="65"/>
        <v>0.66236670987669399</v>
      </c>
      <c r="O57" s="104">
        <f t="shared" si="65"/>
        <v>0.6645333548807949</v>
      </c>
      <c r="P57" s="104">
        <f t="shared" si="65"/>
        <v>0.6666999998848957</v>
      </c>
      <c r="Q57" s="104">
        <f t="shared" si="65"/>
        <v>0.66886664488899661</v>
      </c>
      <c r="R57" s="104">
        <f t="shared" si="65"/>
        <v>0.67103328989309752</v>
      </c>
      <c r="S57" s="104">
        <f t="shared" si="65"/>
        <v>0.67319993489719843</v>
      </c>
      <c r="T57" s="104">
        <f t="shared" si="65"/>
        <v>0.67536657990129934</v>
      </c>
      <c r="U57" s="104">
        <f t="shared" si="65"/>
        <v>0.67753322490540013</v>
      </c>
      <c r="V57" s="104">
        <f t="shared" si="65"/>
        <v>0.67969986990950104</v>
      </c>
      <c r="W57" s="104">
        <f t="shared" si="65"/>
        <v>0.68186651491360195</v>
      </c>
      <c r="X57" s="104">
        <f t="shared" si="65"/>
        <v>0.68403315991770275</v>
      </c>
      <c r="Y57" s="104">
        <f t="shared" si="65"/>
        <v>0.68619980492180366</v>
      </c>
      <c r="Z57" s="104">
        <f t="shared" si="65"/>
        <v>0.68836644992590457</v>
      </c>
      <c r="AA57" s="104">
        <f t="shared" si="65"/>
        <v>0.69053309493000548</v>
      </c>
      <c r="AB57" s="104">
        <f t="shared" si="65"/>
        <v>0.69269973993410638</v>
      </c>
      <c r="AC57" s="104">
        <f t="shared" si="65"/>
        <v>0.69486638493820718</v>
      </c>
      <c r="AD57" s="104">
        <f t="shared" si="65"/>
        <v>0.69703302994230809</v>
      </c>
      <c r="AE57" s="104">
        <f t="shared" si="65"/>
        <v>0.699199674946409</v>
      </c>
      <c r="AF57" s="104">
        <f t="shared" si="65"/>
        <v>0.70136631995050991</v>
      </c>
      <c r="AG57" s="104">
        <f t="shared" si="65"/>
        <v>0.70353296495461082</v>
      </c>
      <c r="AI57" s="126"/>
      <c r="AJ57" s="198" t="s">
        <v>832</v>
      </c>
      <c r="AL57" s="102"/>
      <c r="AM57" s="2"/>
      <c r="AN57" s="2"/>
      <c r="AO57" s="2"/>
      <c r="AV57" s="38"/>
    </row>
    <row r="58" spans="1:63" outlineLevel="1">
      <c r="A58" t="s">
        <v>438</v>
      </c>
      <c r="B58" s="51" t="s">
        <v>126</v>
      </c>
      <c r="C58" s="104">
        <f>C$51*C54</f>
        <v>1.0924938261687523E-2</v>
      </c>
      <c r="D58" s="104">
        <f t="shared" ref="D58:AG61" si="66">D$51*D54</f>
        <v>1.1091454913190394E-2</v>
      </c>
      <c r="E58" s="104">
        <f t="shared" si="66"/>
        <v>1.1243671707666198E-2</v>
      </c>
      <c r="F58" s="104">
        <f t="shared" si="66"/>
        <v>1.1381588645114939E-2</v>
      </c>
      <c r="G58" s="104">
        <f t="shared" si="66"/>
        <v>1.1505205725536613E-2</v>
      </c>
      <c r="H58" s="104">
        <f t="shared" si="66"/>
        <v>1.161452294893122E-2</v>
      </c>
      <c r="I58" s="104">
        <f t="shared" si="66"/>
        <v>1.1709540315298762E-2</v>
      </c>
      <c r="J58" s="104">
        <f t="shared" si="66"/>
        <v>1.1790257824639237E-2</v>
      </c>
      <c r="K58" s="104">
        <f t="shared" si="66"/>
        <v>1.185667547695265E-2</v>
      </c>
      <c r="L58" s="104">
        <f t="shared" si="66"/>
        <v>1.1908793272238994E-2</v>
      </c>
      <c r="M58" s="104">
        <f t="shared" si="66"/>
        <v>1.1946611210498273E-2</v>
      </c>
      <c r="N58" s="104">
        <f t="shared" si="66"/>
        <v>1.2362144188565528E-2</v>
      </c>
      <c r="O58" s="104">
        <f t="shared" si="66"/>
        <v>1.2744744162570449E-2</v>
      </c>
      <c r="P58" s="104">
        <f t="shared" si="66"/>
        <v>1.3094411132513037E-2</v>
      </c>
      <c r="Q58" s="104">
        <f t="shared" si="66"/>
        <v>1.3411145098393293E-2</v>
      </c>
      <c r="R58" s="104">
        <f t="shared" si="66"/>
        <v>1.3694946060211214E-2</v>
      </c>
      <c r="S58" s="104">
        <f t="shared" si="66"/>
        <v>1.3945814017966802E-2</v>
      </c>
      <c r="T58" s="104">
        <f t="shared" si="66"/>
        <v>1.4163748971660058E-2</v>
      </c>
      <c r="U58" s="104">
        <f t="shared" si="66"/>
        <v>1.434875092129098E-2</v>
      </c>
      <c r="V58" s="104">
        <f t="shared" si="66"/>
        <v>1.4500819866859568E-2</v>
      </c>
      <c r="W58" s="104">
        <f t="shared" si="66"/>
        <v>1.4619955808365823E-2</v>
      </c>
      <c r="X58" s="104">
        <f t="shared" si="66"/>
        <v>1.5019776616038791E-2</v>
      </c>
      <c r="Y58" s="104">
        <f t="shared" si="66"/>
        <v>1.5367110448487417E-2</v>
      </c>
      <c r="Z58" s="104">
        <f t="shared" si="66"/>
        <v>1.56619573057117E-2</v>
      </c>
      <c r="AA58" s="104">
        <f t="shared" si="66"/>
        <v>1.5904317187711636E-2</v>
      </c>
      <c r="AB58" s="104">
        <f t="shared" si="66"/>
        <v>1.6094190094487228E-2</v>
      </c>
      <c r="AC58" s="104">
        <f t="shared" si="66"/>
        <v>1.6231576026038474E-2</v>
      </c>
      <c r="AD58" s="104">
        <f t="shared" si="66"/>
        <v>1.6316474982365377E-2</v>
      </c>
      <c r="AE58" s="104">
        <f t="shared" si="66"/>
        <v>1.6348886963467937E-2</v>
      </c>
      <c r="AF58" s="104">
        <f t="shared" si="66"/>
        <v>1.6328811969346151E-2</v>
      </c>
      <c r="AG58" s="104">
        <f>AG$51*AG54</f>
        <v>1.6256249999999996E-2</v>
      </c>
      <c r="AH58" s="252"/>
      <c r="AI58" s="126"/>
      <c r="AJ58" s="198"/>
      <c r="AL58" s="102"/>
      <c r="AM58" s="2"/>
      <c r="AN58" s="2"/>
      <c r="AO58" s="2"/>
    </row>
    <row r="59" spans="1:63" outlineLevel="1">
      <c r="A59" t="s">
        <v>439</v>
      </c>
      <c r="B59" s="51" t="s">
        <v>126</v>
      </c>
      <c r="C59" s="104">
        <f>C$51*C55</f>
        <v>1.3102050449781879E-2</v>
      </c>
      <c r="D59" s="104">
        <f t="shared" ref="C59:R61" si="67">D$51*D55</f>
        <v>1.3557174307511145E-2</v>
      </c>
      <c r="E59" s="104">
        <f t="shared" si="67"/>
        <v>1.4012298165240409E-2</v>
      </c>
      <c r="F59" s="104">
        <f t="shared" si="67"/>
        <v>1.4467422022969674E-2</v>
      </c>
      <c r="G59" s="104">
        <f t="shared" si="67"/>
        <v>1.4922545880698941E-2</v>
      </c>
      <c r="H59" s="104">
        <f t="shared" si="67"/>
        <v>1.5377669738428206E-2</v>
      </c>
      <c r="I59" s="104">
        <f t="shared" si="67"/>
        <v>1.5832793596157472E-2</v>
      </c>
      <c r="J59" s="104">
        <f t="shared" si="67"/>
        <v>1.6287917453886736E-2</v>
      </c>
      <c r="K59" s="104">
        <f t="shared" si="67"/>
        <v>1.6743041311616004E-2</v>
      </c>
      <c r="L59" s="104">
        <f t="shared" si="67"/>
        <v>1.7198165169345268E-2</v>
      </c>
      <c r="M59" s="104">
        <f t="shared" si="67"/>
        <v>1.7653289027074533E-2</v>
      </c>
      <c r="N59" s="104">
        <f t="shared" si="67"/>
        <v>1.8701453063057084E-2</v>
      </c>
      <c r="O59" s="104">
        <f t="shared" si="67"/>
        <v>1.9749617099039631E-2</v>
      </c>
      <c r="P59" s="104">
        <f t="shared" si="67"/>
        <v>2.0797781135022182E-2</v>
      </c>
      <c r="Q59" s="104">
        <f t="shared" si="67"/>
        <v>2.184594517100473E-2</v>
      </c>
      <c r="R59" s="104">
        <f t="shared" si="67"/>
        <v>2.2894109206987281E-2</v>
      </c>
      <c r="S59" s="104">
        <f t="shared" si="66"/>
        <v>2.3942273242969832E-2</v>
      </c>
      <c r="T59" s="104">
        <f t="shared" si="66"/>
        <v>2.4990437278952383E-2</v>
      </c>
      <c r="U59" s="104">
        <f t="shared" si="66"/>
        <v>2.6038601314934934E-2</v>
      </c>
      <c r="V59" s="104">
        <f t="shared" si="66"/>
        <v>2.7086765350917485E-2</v>
      </c>
      <c r="W59" s="104">
        <f t="shared" si="66"/>
        <v>2.8134929386900032E-2</v>
      </c>
      <c r="X59" s="104">
        <f t="shared" si="66"/>
        <v>2.9805440819247221E-2</v>
      </c>
      <c r="Y59" s="104">
        <f t="shared" si="66"/>
        <v>3.1475952251594413E-2</v>
      </c>
      <c r="Z59" s="104">
        <f t="shared" si="66"/>
        <v>3.3146463683941599E-2</v>
      </c>
      <c r="AA59" s="104">
        <f t="shared" si="66"/>
        <v>3.4816975116288784E-2</v>
      </c>
      <c r="AB59" s="104">
        <f t="shared" si="66"/>
        <v>3.6487486548635983E-2</v>
      </c>
      <c r="AC59" s="104">
        <f t="shared" si="66"/>
        <v>3.8157997980983169E-2</v>
      </c>
      <c r="AD59" s="104">
        <f t="shared" si="66"/>
        <v>3.9828509413330361E-2</v>
      </c>
      <c r="AE59" s="104">
        <f t="shared" si="66"/>
        <v>4.1499020845677546E-2</v>
      </c>
      <c r="AF59" s="104">
        <f t="shared" si="66"/>
        <v>4.3169532278024732E-2</v>
      </c>
      <c r="AG59" s="104">
        <f t="shared" si="66"/>
        <v>4.4840043710371924E-2</v>
      </c>
      <c r="AH59" s="252"/>
      <c r="AJ59" s="198"/>
      <c r="AL59" s="102"/>
      <c r="AM59" s="2"/>
      <c r="AN59" s="2"/>
      <c r="AO59" s="2"/>
      <c r="BC59" s="1"/>
      <c r="BD59" s="2"/>
      <c r="BE59" s="2"/>
      <c r="BF59" s="2"/>
      <c r="BG59" s="2"/>
      <c r="BH59" s="2"/>
      <c r="BI59" s="2"/>
      <c r="BJ59" s="2"/>
      <c r="BK59" s="2"/>
    </row>
    <row r="60" spans="1:63" outlineLevel="1">
      <c r="A60" t="s">
        <v>831</v>
      </c>
      <c r="C60" s="104">
        <f t="shared" si="67"/>
        <v>1.0312317879530087E-2</v>
      </c>
      <c r="D60" s="104">
        <f t="shared" si="66"/>
        <v>1.0670535237450606E-2</v>
      </c>
      <c r="E60" s="104">
        <f t="shared" si="66"/>
        <v>1.1028752595371125E-2</v>
      </c>
      <c r="F60" s="104">
        <f t="shared" si="66"/>
        <v>1.1386969953291644E-2</v>
      </c>
      <c r="G60" s="104">
        <f t="shared" si="66"/>
        <v>1.1745187311212163E-2</v>
      </c>
      <c r="H60" s="104">
        <f t="shared" si="66"/>
        <v>1.2103404669132681E-2</v>
      </c>
      <c r="I60" s="104">
        <f t="shared" si="66"/>
        <v>1.24616220270532E-2</v>
      </c>
      <c r="J60" s="104">
        <f t="shared" si="66"/>
        <v>1.2819839384973719E-2</v>
      </c>
      <c r="K60" s="104">
        <f t="shared" si="66"/>
        <v>1.317805674289424E-2</v>
      </c>
      <c r="L60" s="104">
        <f t="shared" si="66"/>
        <v>1.3536274100814759E-2</v>
      </c>
      <c r="M60" s="104">
        <f t="shared" si="66"/>
        <v>1.3894491458735276E-2</v>
      </c>
      <c r="N60" s="104">
        <f t="shared" si="66"/>
        <v>1.4719476889097683E-2</v>
      </c>
      <c r="O60" s="104">
        <f t="shared" si="66"/>
        <v>1.5544462319460089E-2</v>
      </c>
      <c r="P60" s="104">
        <f t="shared" si="66"/>
        <v>1.6369447749822495E-2</v>
      </c>
      <c r="Q60" s="104">
        <f t="shared" si="66"/>
        <v>1.7194433180184904E-2</v>
      </c>
      <c r="R60" s="104">
        <f t="shared" si="66"/>
        <v>1.8019418610547309E-2</v>
      </c>
      <c r="S60" s="104">
        <f t="shared" si="66"/>
        <v>1.8844404040909715E-2</v>
      </c>
      <c r="T60" s="104">
        <f t="shared" si="66"/>
        <v>1.9669389471272124E-2</v>
      </c>
      <c r="U60" s="104">
        <f t="shared" si="66"/>
        <v>2.049437490163453E-2</v>
      </c>
      <c r="V60" s="104">
        <f t="shared" si="66"/>
        <v>2.1319360331996939E-2</v>
      </c>
      <c r="W60" s="104">
        <f t="shared" si="66"/>
        <v>2.2144345762359345E-2</v>
      </c>
      <c r="X60" s="104">
        <f t="shared" si="66"/>
        <v>2.3459166291999432E-2</v>
      </c>
      <c r="Y60" s="104">
        <f t="shared" si="66"/>
        <v>2.4773986821639518E-2</v>
      </c>
      <c r="Z60" s="104">
        <f t="shared" si="66"/>
        <v>2.6088807351279601E-2</v>
      </c>
      <c r="AA60" s="104">
        <f t="shared" si="66"/>
        <v>2.7403627880919684E-2</v>
      </c>
      <c r="AB60" s="104">
        <f t="shared" si="66"/>
        <v>2.8718448410559774E-2</v>
      </c>
      <c r="AC60" s="104">
        <f t="shared" si="66"/>
        <v>3.0033268940199857E-2</v>
      </c>
      <c r="AD60" s="104">
        <f t="shared" si="66"/>
        <v>3.1348089469839947E-2</v>
      </c>
      <c r="AE60" s="104">
        <f t="shared" si="66"/>
        <v>3.266290999948003E-2</v>
      </c>
      <c r="AF60" s="104">
        <f t="shared" si="66"/>
        <v>3.3977730529120113E-2</v>
      </c>
      <c r="AG60" s="104">
        <f t="shared" si="66"/>
        <v>3.5292551058760203E-2</v>
      </c>
      <c r="AH60" s="252"/>
      <c r="AJ60" s="198"/>
      <c r="AL60" s="102"/>
      <c r="AM60" s="2"/>
      <c r="AN60" s="2"/>
      <c r="AO60" s="2"/>
      <c r="BC60" s="1"/>
      <c r="BD60" s="2"/>
      <c r="BE60" s="2"/>
      <c r="BF60" s="2"/>
      <c r="BG60" s="2"/>
      <c r="BH60" s="2"/>
      <c r="BI60" s="2"/>
      <c r="BJ60" s="2"/>
      <c r="BK60" s="2"/>
    </row>
    <row r="61" spans="1:63" outlineLevel="1">
      <c r="A61" t="s">
        <v>440</v>
      </c>
      <c r="B61" s="51" t="s">
        <v>126</v>
      </c>
      <c r="C61" s="104">
        <f t="shared" si="67"/>
        <v>6.0660693409000509E-2</v>
      </c>
      <c r="D61" s="104">
        <f t="shared" si="66"/>
        <v>6.2980835541847857E-2</v>
      </c>
      <c r="E61" s="104">
        <f t="shared" si="66"/>
        <v>6.5315277531722254E-2</v>
      </c>
      <c r="F61" s="104">
        <f t="shared" si="66"/>
        <v>6.7664019378623735E-2</v>
      </c>
      <c r="G61" s="104">
        <f t="shared" si="66"/>
        <v>7.0027061082552286E-2</v>
      </c>
      <c r="H61" s="104">
        <f t="shared" si="66"/>
        <v>7.2404402643507892E-2</v>
      </c>
      <c r="I61" s="104">
        <f t="shared" si="66"/>
        <v>7.4796044061490555E-2</v>
      </c>
      <c r="J61" s="104">
        <f t="shared" si="66"/>
        <v>7.7201985336500301E-2</v>
      </c>
      <c r="K61" s="104">
        <f t="shared" si="66"/>
        <v>7.9622226468537116E-2</v>
      </c>
      <c r="L61" s="104">
        <f t="shared" si="66"/>
        <v>8.2056767457600988E-2</v>
      </c>
      <c r="M61" s="104">
        <f t="shared" si="66"/>
        <v>8.4505608303691915E-2</v>
      </c>
      <c r="N61" s="104">
        <f t="shared" si="66"/>
        <v>8.9816925859279709E-2</v>
      </c>
      <c r="O61" s="104">
        <f t="shared" si="66"/>
        <v>9.5161176418929821E-2</v>
      </c>
      <c r="P61" s="104">
        <f t="shared" si="66"/>
        <v>0.10053835998264227</v>
      </c>
      <c r="Q61" s="104">
        <f t="shared" si="66"/>
        <v>0.10594847655041706</v>
      </c>
      <c r="R61" s="104">
        <f t="shared" si="66"/>
        <v>0.11139152612225417</v>
      </c>
      <c r="S61" s="104">
        <f t="shared" si="66"/>
        <v>0.11686750869815363</v>
      </c>
      <c r="T61" s="104">
        <f t="shared" si="66"/>
        <v>0.12237642427811544</v>
      </c>
      <c r="U61" s="104">
        <f t="shared" si="66"/>
        <v>0.12791827286213955</v>
      </c>
      <c r="V61" s="104">
        <f t="shared" si="66"/>
        <v>0.133493054450226</v>
      </c>
      <c r="W61" s="104">
        <f t="shared" si="66"/>
        <v>0.13910076904237478</v>
      </c>
      <c r="X61" s="104">
        <f t="shared" si="66"/>
        <v>0.14782811627271453</v>
      </c>
      <c r="Y61" s="104">
        <f t="shared" si="66"/>
        <v>0.15660795047827863</v>
      </c>
      <c r="Z61" s="104">
        <f t="shared" si="66"/>
        <v>0.16544027165906708</v>
      </c>
      <c r="AA61" s="104">
        <f t="shared" si="66"/>
        <v>0.17432507981507986</v>
      </c>
      <c r="AB61" s="104">
        <f t="shared" si="66"/>
        <v>0.183262374946317</v>
      </c>
      <c r="AC61" s="104">
        <f t="shared" si="66"/>
        <v>0.19225215705277843</v>
      </c>
      <c r="AD61" s="104">
        <f t="shared" si="66"/>
        <v>0.20129442613446427</v>
      </c>
      <c r="AE61" s="104">
        <f t="shared" si="66"/>
        <v>0.21038918219137442</v>
      </c>
      <c r="AF61" s="104">
        <f t="shared" si="66"/>
        <v>0.21953642522350891</v>
      </c>
      <c r="AG61" s="104">
        <f t="shared" si="66"/>
        <v>0.22873615523086779</v>
      </c>
      <c r="AH61" s="252"/>
      <c r="AI61" s="126"/>
      <c r="AJ61" s="198"/>
      <c r="AL61" s="102"/>
      <c r="AM61" s="2"/>
      <c r="AN61" s="2"/>
      <c r="AO61" s="2"/>
      <c r="BC61" s="1"/>
      <c r="BD61" s="2"/>
      <c r="BE61" s="2"/>
      <c r="BF61" s="2"/>
      <c r="BG61" s="2"/>
      <c r="BH61" s="2"/>
      <c r="BI61" s="2"/>
      <c r="BJ61" s="2"/>
      <c r="BK61" s="2"/>
    </row>
    <row r="62" spans="1:63" outlineLevel="1">
      <c r="C62" s="104"/>
      <c r="D62" s="104"/>
      <c r="E62" s="104"/>
      <c r="F62" s="104"/>
      <c r="G62" s="104"/>
      <c r="H62" s="104"/>
      <c r="I62" s="104"/>
      <c r="J62" s="104"/>
      <c r="K62" s="104"/>
      <c r="L62" s="104"/>
      <c r="M62" s="104"/>
      <c r="N62" s="104"/>
      <c r="O62" s="104"/>
      <c r="P62" s="104"/>
      <c r="Q62" s="104"/>
      <c r="R62" s="104"/>
      <c r="S62" s="104"/>
      <c r="T62" s="104"/>
      <c r="U62" s="104"/>
      <c r="V62" s="104"/>
      <c r="W62" s="104"/>
      <c r="X62" s="104"/>
      <c r="Y62" s="104"/>
      <c r="Z62" s="104"/>
      <c r="AA62" s="104"/>
      <c r="AB62" s="104"/>
      <c r="AC62" s="104"/>
      <c r="AD62" s="104"/>
      <c r="AE62" s="104"/>
      <c r="AF62" s="104"/>
      <c r="AG62" s="104"/>
      <c r="AI62" s="126"/>
      <c r="AJ62" s="198"/>
      <c r="AL62" s="102"/>
      <c r="AM62" s="2"/>
      <c r="AN62" s="2"/>
      <c r="AO62" s="2"/>
      <c r="BC62" s="1"/>
      <c r="BD62" s="2"/>
      <c r="BE62" s="2"/>
      <c r="BF62" s="2"/>
      <c r="BG62" s="2"/>
      <c r="BH62" s="2"/>
      <c r="BI62" s="2"/>
      <c r="BJ62" s="2"/>
      <c r="BK62" s="2"/>
    </row>
    <row r="63" spans="1:63" outlineLevel="1">
      <c r="A63" t="s">
        <v>468</v>
      </c>
      <c r="C63" s="357">
        <f>'Overall recycling rates'!C84</f>
        <v>1.0611968246527019</v>
      </c>
      <c r="D63" s="357">
        <f t="shared" ref="D63:AF63" si="68">C63-($C$63-$AG$63)/($AG$1-$C$1)</f>
        <v>1.0591569304976118</v>
      </c>
      <c r="E63" s="357">
        <f t="shared" si="68"/>
        <v>1.0571170363425217</v>
      </c>
      <c r="F63" s="357">
        <f t="shared" si="68"/>
        <v>1.0550771421874316</v>
      </c>
      <c r="G63" s="357">
        <f t="shared" si="68"/>
        <v>1.0530372480323416</v>
      </c>
      <c r="H63" s="357">
        <f t="shared" si="68"/>
        <v>1.0509973538772515</v>
      </c>
      <c r="I63" s="357">
        <f t="shared" si="68"/>
        <v>1.0489574597221614</v>
      </c>
      <c r="J63" s="357">
        <f t="shared" si="68"/>
        <v>1.0469175655670713</v>
      </c>
      <c r="K63" s="357">
        <f t="shared" si="68"/>
        <v>1.0448776714119812</v>
      </c>
      <c r="L63" s="357">
        <f t="shared" si="68"/>
        <v>1.0428377772568911</v>
      </c>
      <c r="M63" s="357">
        <f t="shared" si="68"/>
        <v>1.040797883101801</v>
      </c>
      <c r="N63" s="357">
        <f t="shared" si="68"/>
        <v>1.0387579889467109</v>
      </c>
      <c r="O63" s="357">
        <f t="shared" si="68"/>
        <v>1.0367180947916208</v>
      </c>
      <c r="P63" s="357">
        <f t="shared" si="68"/>
        <v>1.0346782006365307</v>
      </c>
      <c r="Q63" s="357">
        <f t="shared" si="68"/>
        <v>1.0326383064814406</v>
      </c>
      <c r="R63" s="357">
        <f t="shared" si="68"/>
        <v>1.0305984123263505</v>
      </c>
      <c r="S63" s="357">
        <f t="shared" si="68"/>
        <v>1.0285585181712604</v>
      </c>
      <c r="T63" s="357">
        <f t="shared" si="68"/>
        <v>1.0265186240161703</v>
      </c>
      <c r="U63" s="357">
        <f t="shared" si="68"/>
        <v>1.0244787298610802</v>
      </c>
      <c r="V63" s="357">
        <f t="shared" si="68"/>
        <v>1.0224388357059901</v>
      </c>
      <c r="W63" s="357">
        <f t="shared" si="68"/>
        <v>1.0203989415509001</v>
      </c>
      <c r="X63" s="357">
        <f t="shared" si="68"/>
        <v>1.01835904739581</v>
      </c>
      <c r="Y63" s="357">
        <f t="shared" si="68"/>
        <v>1.0163191532407199</v>
      </c>
      <c r="Z63" s="357">
        <f t="shared" si="68"/>
        <v>1.0142792590856298</v>
      </c>
      <c r="AA63" s="357">
        <f t="shared" si="68"/>
        <v>1.0122393649305397</v>
      </c>
      <c r="AB63" s="357">
        <f t="shared" si="68"/>
        <v>1.0101994707754496</v>
      </c>
      <c r="AC63" s="357">
        <f t="shared" si="68"/>
        <v>1.0081595766203595</v>
      </c>
      <c r="AD63" s="357">
        <f t="shared" si="68"/>
        <v>1.0061196824652694</v>
      </c>
      <c r="AE63" s="357">
        <f t="shared" si="68"/>
        <v>1.0040797883101793</v>
      </c>
      <c r="AF63" s="357">
        <f t="shared" si="68"/>
        <v>1.0020398941550892</v>
      </c>
      <c r="AG63" s="357">
        <f>'Overall recycling rates'!C93</f>
        <v>1</v>
      </c>
      <c r="AI63" s="126"/>
      <c r="AJ63" s="198"/>
      <c r="AL63" s="102"/>
      <c r="AM63" s="2"/>
      <c r="AN63" s="2"/>
      <c r="AO63" s="2"/>
      <c r="BC63" s="1"/>
      <c r="BD63" s="2"/>
      <c r="BE63" s="2"/>
      <c r="BF63" s="2"/>
      <c r="BG63" s="2"/>
      <c r="BH63" s="2"/>
      <c r="BI63" s="2"/>
      <c r="BJ63" s="2"/>
      <c r="BK63" s="2"/>
    </row>
    <row r="64" spans="1:63" outlineLevel="1">
      <c r="A64" t="s">
        <v>485</v>
      </c>
      <c r="B64" s="51" t="s">
        <v>126</v>
      </c>
      <c r="C64" s="104">
        <f t="shared" ref="C64:AG64" si="69">C50*C$63</f>
        <v>4.9876250758676993E-2</v>
      </c>
      <c r="D64" s="104">
        <f t="shared" si="69"/>
        <v>5.3169677910980116E-2</v>
      </c>
      <c r="E64" s="104">
        <f t="shared" si="69"/>
        <v>5.6450049740690664E-2</v>
      </c>
      <c r="F64" s="104">
        <f t="shared" si="69"/>
        <v>5.9717366247808629E-2</v>
      </c>
      <c r="G64" s="104">
        <f t="shared" si="69"/>
        <v>6.2971627432334018E-2</v>
      </c>
      <c r="H64" s="104">
        <f t="shared" si="69"/>
        <v>6.6212833294266846E-2</v>
      </c>
      <c r="I64" s="104">
        <f t="shared" si="69"/>
        <v>6.9440983833607098E-2</v>
      </c>
      <c r="J64" s="104">
        <f t="shared" si="69"/>
        <v>7.2656079050354747E-2</v>
      </c>
      <c r="K64" s="104">
        <f t="shared" si="69"/>
        <v>7.5858118944509834E-2</v>
      </c>
      <c r="L64" s="104">
        <f t="shared" si="69"/>
        <v>7.9047103516072345E-2</v>
      </c>
      <c r="M64" s="104">
        <f t="shared" si="69"/>
        <v>8.2223032765042281E-2</v>
      </c>
      <c r="N64" s="104">
        <f t="shared" si="69"/>
        <v>8.8398304859365104E-2</v>
      </c>
      <c r="O64" s="104">
        <f t="shared" si="69"/>
        <v>9.454869024499582E-2</v>
      </c>
      <c r="P64" s="104">
        <f t="shared" si="69"/>
        <v>0.10067418892193443</v>
      </c>
      <c r="Q64" s="104">
        <f t="shared" si="69"/>
        <v>0.10677480089018096</v>
      </c>
      <c r="R64" s="104">
        <f t="shared" si="69"/>
        <v>0.1128505261497354</v>
      </c>
      <c r="S64" s="104">
        <f t="shared" si="69"/>
        <v>0.11890136470059771</v>
      </c>
      <c r="T64" s="104">
        <f t="shared" si="69"/>
        <v>0.12492731654276794</v>
      </c>
      <c r="U64" s="104">
        <f t="shared" si="69"/>
        <v>0.13092838167624607</v>
      </c>
      <c r="V64" s="104">
        <f t="shared" si="69"/>
        <v>0.13690456010103211</v>
      </c>
      <c r="W64" s="104">
        <f t="shared" si="69"/>
        <v>0.14285585181712601</v>
      </c>
      <c r="X64" s="104">
        <f t="shared" si="69"/>
        <v>0.15357885684397063</v>
      </c>
      <c r="Y64" s="104">
        <f t="shared" si="69"/>
        <v>0.16425775884275332</v>
      </c>
      <c r="Z64" s="104">
        <f t="shared" si="69"/>
        <v>0.17489255781347404</v>
      </c>
      <c r="AA64" s="104">
        <f t="shared" si="69"/>
        <v>0.18548325375613284</v>
      </c>
      <c r="AB64" s="104">
        <f t="shared" si="69"/>
        <v>0.19602984667072967</v>
      </c>
      <c r="AC64" s="104">
        <f t="shared" si="69"/>
        <v>0.20653233655726455</v>
      </c>
      <c r="AD64" s="104">
        <f t="shared" si="69"/>
        <v>0.21699072341573752</v>
      </c>
      <c r="AE64" s="104">
        <f t="shared" si="69"/>
        <v>0.22740500724614851</v>
      </c>
      <c r="AF64" s="104">
        <f t="shared" si="69"/>
        <v>0.23777518804849754</v>
      </c>
      <c r="AG64" s="104">
        <f t="shared" si="69"/>
        <v>0.24810126582278486</v>
      </c>
      <c r="AI64" s="126"/>
      <c r="AJ64" s="198"/>
      <c r="AL64" s="102"/>
      <c r="AM64" s="2"/>
      <c r="AN64" s="2"/>
      <c r="AO64" s="2"/>
      <c r="AV64" s="38"/>
    </row>
    <row r="65" spans="1:63" outlineLevel="1">
      <c r="A65" t="s">
        <v>486</v>
      </c>
      <c r="B65" s="51" t="s">
        <v>126</v>
      </c>
      <c r="C65" s="104">
        <f t="shared" ref="C65:AG65" si="70">C51*C$63</f>
        <v>0.10081369834200668</v>
      </c>
      <c r="D65" s="104">
        <f t="shared" si="70"/>
        <v>0.10411512626791525</v>
      </c>
      <c r="E65" s="104">
        <f t="shared" si="70"/>
        <v>0.1074030908924002</v>
      </c>
      <c r="F65" s="104">
        <f t="shared" si="70"/>
        <v>0.11067759221546157</v>
      </c>
      <c r="G65" s="104">
        <f t="shared" si="70"/>
        <v>0.11393863023709937</v>
      </c>
      <c r="H65" s="104">
        <f t="shared" si="70"/>
        <v>0.11718620495731354</v>
      </c>
      <c r="I65" s="104">
        <f t="shared" si="70"/>
        <v>0.12042031637610412</v>
      </c>
      <c r="J65" s="104">
        <f t="shared" si="70"/>
        <v>0.12364096449347112</v>
      </c>
      <c r="K65" s="104">
        <f t="shared" si="70"/>
        <v>0.12684814930941452</v>
      </c>
      <c r="L65" s="104">
        <f t="shared" si="70"/>
        <v>0.13004187082393431</v>
      </c>
      <c r="M65" s="104">
        <f t="shared" si="70"/>
        <v>0.13322212903703054</v>
      </c>
      <c r="N65" s="104">
        <f t="shared" si="70"/>
        <v>0.14085558330117401</v>
      </c>
      <c r="O65" s="104">
        <f t="shared" si="70"/>
        <v>0.14845803117416009</v>
      </c>
      <c r="P65" s="104">
        <f t="shared" si="70"/>
        <v>0.15602947265598882</v>
      </c>
      <c r="Q65" s="104">
        <f t="shared" si="70"/>
        <v>0.16356990774666016</v>
      </c>
      <c r="R65" s="104">
        <f t="shared" si="70"/>
        <v>0.17107933644617418</v>
      </c>
      <c r="S65" s="104">
        <f t="shared" si="70"/>
        <v>0.17855775875453078</v>
      </c>
      <c r="T65" s="104">
        <f t="shared" si="70"/>
        <v>0.18600517467173006</v>
      </c>
      <c r="U65" s="104">
        <f t="shared" si="70"/>
        <v>0.19342158419777195</v>
      </c>
      <c r="V65" s="104">
        <f t="shared" si="70"/>
        <v>0.20080698733265645</v>
      </c>
      <c r="W65" s="104">
        <f t="shared" si="70"/>
        <v>0.2081613840763836</v>
      </c>
      <c r="X65" s="104">
        <f t="shared" si="70"/>
        <v>0.22008011963032698</v>
      </c>
      <c r="Y65" s="104">
        <f t="shared" si="70"/>
        <v>0.23194943874836327</v>
      </c>
      <c r="Z65" s="104">
        <f t="shared" si="70"/>
        <v>0.24376934143049253</v>
      </c>
      <c r="AA65" s="104">
        <f t="shared" si="70"/>
        <v>0.25553982767671468</v>
      </c>
      <c r="AB65" s="104">
        <f t="shared" si="70"/>
        <v>0.26726089748702986</v>
      </c>
      <c r="AC65" s="104">
        <f t="shared" si="70"/>
        <v>0.27893255086143792</v>
      </c>
      <c r="AD65" s="104">
        <f t="shared" si="70"/>
        <v>0.29055478779993898</v>
      </c>
      <c r="AE65" s="104">
        <f t="shared" si="70"/>
        <v>0.30212760830253288</v>
      </c>
      <c r="AF65" s="104">
        <f t="shared" si="70"/>
        <v>0.31365101236921977</v>
      </c>
      <c r="AG65" s="104">
        <f t="shared" si="70"/>
        <v>0.32512499999999994</v>
      </c>
      <c r="AH65" s="230"/>
      <c r="AI65" s="126"/>
      <c r="AJ65" s="198"/>
      <c r="AL65" s="102"/>
      <c r="AM65" s="2"/>
      <c r="AN65" s="2"/>
      <c r="AO65" s="2"/>
      <c r="AV65" s="38"/>
    </row>
    <row r="66" spans="1:63" outlineLevel="1">
      <c r="A66" t="s">
        <v>487</v>
      </c>
      <c r="B66" s="165" t="s">
        <v>126</v>
      </c>
      <c r="C66" s="104">
        <f>SUM(C64:C65)</f>
        <v>0.15068994910068367</v>
      </c>
      <c r="D66" s="104">
        <f t="shared" ref="D66:AG66" si="71">SUM(D64:D65)</f>
        <v>0.15728480417889537</v>
      </c>
      <c r="E66" s="104">
        <f t="shared" si="71"/>
        <v>0.16385314063309087</v>
      </c>
      <c r="F66" s="104">
        <f t="shared" si="71"/>
        <v>0.17039495846327019</v>
      </c>
      <c r="G66" s="104">
        <f t="shared" si="71"/>
        <v>0.17691025766943339</v>
      </c>
      <c r="H66" s="104">
        <f t="shared" si="71"/>
        <v>0.18339903825158038</v>
      </c>
      <c r="I66" s="104">
        <f t="shared" si="71"/>
        <v>0.1898613002097112</v>
      </c>
      <c r="J66" s="104">
        <f t="shared" si="71"/>
        <v>0.19629704354382588</v>
      </c>
      <c r="K66" s="104">
        <f t="shared" si="71"/>
        <v>0.20270626825392435</v>
      </c>
      <c r="L66" s="104">
        <f t="shared" si="71"/>
        <v>0.20908897434000667</v>
      </c>
      <c r="M66" s="104">
        <f t="shared" si="71"/>
        <v>0.21544516180207282</v>
      </c>
      <c r="N66" s="104">
        <f t="shared" si="71"/>
        <v>0.2292538881605391</v>
      </c>
      <c r="O66" s="104">
        <f t="shared" si="71"/>
        <v>0.24300672141915591</v>
      </c>
      <c r="P66" s="104">
        <f t="shared" si="71"/>
        <v>0.25670366157792324</v>
      </c>
      <c r="Q66" s="104">
        <f t="shared" si="71"/>
        <v>0.27034470863684112</v>
      </c>
      <c r="R66" s="104">
        <f t="shared" si="71"/>
        <v>0.28392986259590958</v>
      </c>
      <c r="S66" s="104">
        <f t="shared" si="71"/>
        <v>0.29745912345512848</v>
      </c>
      <c r="T66" s="104">
        <f t="shared" si="71"/>
        <v>0.31093249121449801</v>
      </c>
      <c r="U66" s="104">
        <f t="shared" si="71"/>
        <v>0.32434996587401799</v>
      </c>
      <c r="V66" s="104">
        <f t="shared" si="71"/>
        <v>0.33771154743368859</v>
      </c>
      <c r="W66" s="104">
        <f t="shared" si="71"/>
        <v>0.35101723589350964</v>
      </c>
      <c r="X66" s="104">
        <f t="shared" si="71"/>
        <v>0.37365897647429758</v>
      </c>
      <c r="Y66" s="104">
        <f t="shared" si="71"/>
        <v>0.39620719759111656</v>
      </c>
      <c r="Z66" s="104">
        <f t="shared" si="71"/>
        <v>0.41866189924396657</v>
      </c>
      <c r="AA66" s="104">
        <f t="shared" si="71"/>
        <v>0.44102308143284752</v>
      </c>
      <c r="AB66" s="104">
        <f t="shared" si="71"/>
        <v>0.4632907441577595</v>
      </c>
      <c r="AC66" s="104">
        <f t="shared" si="71"/>
        <v>0.48546488741870247</v>
      </c>
      <c r="AD66" s="104">
        <f t="shared" si="71"/>
        <v>0.50754551121567648</v>
      </c>
      <c r="AE66" s="104">
        <f t="shared" si="71"/>
        <v>0.52953261554868136</v>
      </c>
      <c r="AF66" s="104">
        <f t="shared" si="71"/>
        <v>0.55142620041771728</v>
      </c>
      <c r="AG66" s="104">
        <f t="shared" si="71"/>
        <v>0.5732262658227848</v>
      </c>
      <c r="AI66" s="126"/>
      <c r="AJ66" s="198"/>
      <c r="AL66" s="102"/>
      <c r="AM66" s="2"/>
      <c r="AN66" s="2"/>
      <c r="AO66" s="2"/>
    </row>
    <row r="67" spans="1:63" outlineLevel="1">
      <c r="A67" t="s">
        <v>488</v>
      </c>
      <c r="B67" s="51" t="s">
        <v>126</v>
      </c>
      <c r="C67" s="104">
        <f>C$65*C54</f>
        <v>1.1593509792829609E-2</v>
      </c>
      <c r="D67" s="104">
        <f t="shared" ref="D67:AG70" si="72">D$65*D54</f>
        <v>1.1747591340607395E-2</v>
      </c>
      <c r="E67" s="104">
        <f t="shared" si="72"/>
        <v>1.1885876913216353E-2</v>
      </c>
      <c r="F67" s="104">
        <f t="shared" si="72"/>
        <v>1.200845402124079E-2</v>
      </c>
      <c r="G67" s="104">
        <f t="shared" si="72"/>
        <v>1.2115410175265014E-2</v>
      </c>
      <c r="H67" s="104">
        <f t="shared" si="72"/>
        <v>1.2206832885873323E-2</v>
      </c>
      <c r="I67" s="104">
        <f t="shared" si="72"/>
        <v>1.2282809663650026E-2</v>
      </c>
      <c r="J67" s="104">
        <f t="shared" si="72"/>
        <v>1.2343428019179425E-2</v>
      </c>
      <c r="K67" s="104">
        <f t="shared" si="72"/>
        <v>1.2388775463045825E-2</v>
      </c>
      <c r="L67" s="104">
        <f t="shared" si="72"/>
        <v>1.241893950583353E-2</v>
      </c>
      <c r="M67" s="104">
        <f t="shared" si="72"/>
        <v>1.2434007658126847E-2</v>
      </c>
      <c r="N67" s="104">
        <f t="shared" si="72"/>
        <v>1.2841276036383598E-2</v>
      </c>
      <c r="O67" s="104">
        <f t="shared" si="72"/>
        <v>1.3212706886826667E-2</v>
      </c>
      <c r="P67" s="104">
        <f t="shared" si="72"/>
        <v>1.3548501748983546E-2</v>
      </c>
      <c r="Q67" s="104">
        <f t="shared" si="72"/>
        <v>1.3848862162381721E-2</v>
      </c>
      <c r="R67" s="104">
        <f t="shared" si="72"/>
        <v>1.4113989666548686E-2</v>
      </c>
      <c r="S67" s="104">
        <f t="shared" si="72"/>
        <v>1.4344085801011925E-2</v>
      </c>
      <c r="T67" s="104">
        <f t="shared" si="72"/>
        <v>1.4539352105298929E-2</v>
      </c>
      <c r="U67" s="104">
        <f t="shared" si="72"/>
        <v>1.4699990118937188E-2</v>
      </c>
      <c r="V67" s="104">
        <f t="shared" si="72"/>
        <v>1.4826201381454187E-2</v>
      </c>
      <c r="W67" s="104">
        <f t="shared" si="72"/>
        <v>1.4918187432377418E-2</v>
      </c>
      <c r="X67" s="104">
        <f t="shared" si="72"/>
        <v>1.5295525406807127E-2</v>
      </c>
      <c r="Y67" s="104">
        <f t="shared" si="72"/>
        <v>1.5617888678763349E-2</v>
      </c>
      <c r="Z67" s="104">
        <f t="shared" si="72"/>
        <v>1.5885598451868026E-2</v>
      </c>
      <c r="AA67" s="104">
        <f t="shared" si="72"/>
        <v>1.609897592974309E-2</v>
      </c>
      <c r="AB67" s="104">
        <f t="shared" si="72"/>
        <v>1.625834231601048E-2</v>
      </c>
      <c r="AC67" s="104">
        <f t="shared" si="72"/>
        <v>1.6364018814292124E-2</v>
      </c>
      <c r="AD67" s="104">
        <f t="shared" si="72"/>
        <v>1.6416326628209969E-2</v>
      </c>
      <c r="AE67" s="104">
        <f t="shared" si="72"/>
        <v>1.6415586961385936E-2</v>
      </c>
      <c r="AF67" s="104">
        <f t="shared" si="72"/>
        <v>1.6362121017441972E-2</v>
      </c>
      <c r="AG67" s="104">
        <f t="shared" si="72"/>
        <v>1.6256249999999996E-2</v>
      </c>
      <c r="AI67" s="126"/>
      <c r="AJ67" s="198"/>
      <c r="AL67" s="102"/>
      <c r="AM67" s="2"/>
      <c r="AN67" s="2"/>
      <c r="AO67" s="2"/>
    </row>
    <row r="68" spans="1:63" outlineLevel="1">
      <c r="A68" t="s">
        <v>489</v>
      </c>
      <c r="B68" s="51" t="s">
        <v>126</v>
      </c>
      <c r="C68" s="104">
        <f t="shared" ref="C68:R70" si="73">C$65*C55</f>
        <v>1.3903854333748035E-2</v>
      </c>
      <c r="D68" s="104">
        <f t="shared" si="73"/>
        <v>1.4359175125764592E-2</v>
      </c>
      <c r="E68" s="104">
        <f t="shared" si="73"/>
        <v>1.4812639108786696E-2</v>
      </c>
      <c r="F68" s="104">
        <f t="shared" si="73"/>
        <v>1.5264246282814354E-2</v>
      </c>
      <c r="G68" s="104">
        <f t="shared" si="73"/>
        <v>1.5713996647847568E-2</v>
      </c>
      <c r="H68" s="104">
        <f t="shared" si="73"/>
        <v>1.616189020388633E-2</v>
      </c>
      <c r="I68" s="104">
        <f t="shared" si="73"/>
        <v>1.6607926950930645E-2</v>
      </c>
      <c r="J68" s="104">
        <f t="shared" si="73"/>
        <v>1.7052106888980512E-2</v>
      </c>
      <c r="K68" s="104">
        <f t="shared" si="73"/>
        <v>1.7494430018035932E-2</v>
      </c>
      <c r="L68" s="104">
        <f t="shared" si="73"/>
        <v>1.79348963380969E-2</v>
      </c>
      <c r="M68" s="104">
        <f t="shared" si="73"/>
        <v>1.8373505849163425E-2</v>
      </c>
      <c r="N68" s="104">
        <f t="shared" si="73"/>
        <v>1.9426283774162483E-2</v>
      </c>
      <c r="O68" s="104">
        <f t="shared" si="73"/>
        <v>2.0474785411780383E-2</v>
      </c>
      <c r="P68" s="104">
        <f t="shared" si="73"/>
        <v>2.1519010762017135E-2</v>
      </c>
      <c r="Q68" s="104">
        <f t="shared" si="73"/>
        <v>2.2558959824872729E-2</v>
      </c>
      <c r="R68" s="104">
        <f t="shared" si="73"/>
        <v>2.3594632600347179E-2</v>
      </c>
      <c r="S68" s="104">
        <f t="shared" si="72"/>
        <v>2.4626029088440467E-2</v>
      </c>
      <c r="T68" s="104">
        <f t="shared" si="72"/>
        <v>2.5653149289152608E-2</v>
      </c>
      <c r="U68" s="104">
        <f t="shared" si="72"/>
        <v>2.6675993202483594E-2</v>
      </c>
      <c r="V68" s="104">
        <f t="shared" si="72"/>
        <v>2.7694560828433426E-2</v>
      </c>
      <c r="W68" s="104">
        <f t="shared" si="72"/>
        <v>2.8708852167002107E-2</v>
      </c>
      <c r="X68" s="104">
        <f t="shared" si="72"/>
        <v>3.0352640319900794E-2</v>
      </c>
      <c r="Y68" s="104">
        <f t="shared" si="72"/>
        <v>3.1989613139785759E-2</v>
      </c>
      <c r="Z68" s="104">
        <f t="shared" si="72"/>
        <v>3.3619770626657025E-2</v>
      </c>
      <c r="AA68" s="104">
        <f t="shared" si="72"/>
        <v>3.5243112780514563E-2</v>
      </c>
      <c r="AB68" s="104">
        <f t="shared" si="72"/>
        <v>3.68596396013584E-2</v>
      </c>
      <c r="AC68" s="104">
        <f t="shared" si="72"/>
        <v>3.8469351089188523E-2</v>
      </c>
      <c r="AD68" s="104">
        <f t="shared" si="72"/>
        <v>4.007224724400494E-2</v>
      </c>
      <c r="AE68" s="104">
        <f t="shared" si="72"/>
        <v>4.1668328065807628E-2</v>
      </c>
      <c r="AF68" s="104">
        <f t="shared" si="72"/>
        <v>4.3257593554596609E-2</v>
      </c>
      <c r="AG68" s="104">
        <f t="shared" si="72"/>
        <v>4.4840043710371924E-2</v>
      </c>
      <c r="AI68" s="126"/>
      <c r="AJ68" s="198"/>
      <c r="AL68" s="102"/>
      <c r="AM68" s="2"/>
      <c r="AN68" s="2"/>
      <c r="AO68" s="2"/>
      <c r="BC68" s="1"/>
      <c r="BD68" s="2"/>
      <c r="BE68" s="2"/>
      <c r="BF68" s="2"/>
      <c r="BG68" s="2"/>
      <c r="BH68" s="2"/>
      <c r="BI68" s="2"/>
      <c r="BJ68" s="2"/>
      <c r="BK68" s="2"/>
    </row>
    <row r="69" spans="1:63" outlineLevel="1">
      <c r="A69" t="s">
        <v>833</v>
      </c>
      <c r="C69" s="104">
        <f t="shared" si="73"/>
        <v>1.0943398988566612E-2</v>
      </c>
      <c r="D69" s="104">
        <f t="shared" si="72"/>
        <v>1.130177134886479E-2</v>
      </c>
      <c r="E69" s="104">
        <f t="shared" si="72"/>
        <v>1.1658682258173618E-2</v>
      </c>
      <c r="F69" s="104">
        <f t="shared" si="72"/>
        <v>1.2014131716493098E-2</v>
      </c>
      <c r="G69" s="104">
        <f t="shared" si="72"/>
        <v>1.2368119723823234E-2</v>
      </c>
      <c r="H69" s="104">
        <f t="shared" si="72"/>
        <v>1.2720646280164019E-2</v>
      </c>
      <c r="I69" s="104">
        <f t="shared" si="72"/>
        <v>1.3071711385515456E-2</v>
      </c>
      <c r="J69" s="104">
        <f t="shared" si="72"/>
        <v>1.3421315039877547E-2</v>
      </c>
      <c r="K69" s="104">
        <f t="shared" si="72"/>
        <v>1.3769457243250289E-2</v>
      </c>
      <c r="L69" s="104">
        <f t="shared" si="72"/>
        <v>1.4116137995633682E-2</v>
      </c>
      <c r="M69" s="104">
        <f t="shared" si="72"/>
        <v>1.4461357297027732E-2</v>
      </c>
      <c r="N69" s="104">
        <f t="shared" si="72"/>
        <v>1.5289974211666699E-2</v>
      </c>
      <c r="O69" s="104">
        <f t="shared" si="72"/>
        <v>1.6115225360390804E-2</v>
      </c>
      <c r="P69" s="104">
        <f t="shared" si="72"/>
        <v>1.6937110743200045E-2</v>
      </c>
      <c r="Q69" s="104">
        <f t="shared" si="72"/>
        <v>1.7755630360094428E-2</v>
      </c>
      <c r="R69" s="104">
        <f t="shared" si="72"/>
        <v>1.857078421107395E-2</v>
      </c>
      <c r="S69" s="104">
        <f t="shared" si="72"/>
        <v>1.9382572296138607E-2</v>
      </c>
      <c r="T69" s="104">
        <f t="shared" si="72"/>
        <v>2.0190994615288407E-2</v>
      </c>
      <c r="U69" s="104">
        <f t="shared" si="72"/>
        <v>2.0996051168523346E-2</v>
      </c>
      <c r="V69" s="104">
        <f t="shared" si="72"/>
        <v>2.1797741955843421E-2</v>
      </c>
      <c r="W69" s="104">
        <f t="shared" si="72"/>
        <v>2.2596066977248634E-2</v>
      </c>
      <c r="X69" s="104">
        <f t="shared" si="72"/>
        <v>2.3889854237820436E-2</v>
      </c>
      <c r="Y69" s="104">
        <f t="shared" si="72"/>
        <v>2.5178277308965425E-2</v>
      </c>
      <c r="Z69" s="104">
        <f t="shared" si="72"/>
        <v>2.6461336190683606E-2</v>
      </c>
      <c r="AA69" s="104">
        <f t="shared" si="72"/>
        <v>2.7739030882974972E-2</v>
      </c>
      <c r="AB69" s="104">
        <f t="shared" si="72"/>
        <v>2.9011361385839537E-2</v>
      </c>
      <c r="AC69" s="104">
        <f t="shared" si="72"/>
        <v>3.0278327699277283E-2</v>
      </c>
      <c r="AD69" s="104">
        <f t="shared" si="72"/>
        <v>3.1539929823288224E-2</v>
      </c>
      <c r="AE69" s="104">
        <f t="shared" si="72"/>
        <v>3.2796167757872342E-2</v>
      </c>
      <c r="AF69" s="104">
        <f t="shared" si="72"/>
        <v>3.404704150302966E-2</v>
      </c>
      <c r="AG69" s="104">
        <f t="shared" si="72"/>
        <v>3.5292551058760203E-2</v>
      </c>
      <c r="AI69" s="126"/>
      <c r="AJ69" s="198"/>
      <c r="AL69" s="102"/>
      <c r="AM69" s="2"/>
      <c r="AN69" s="2"/>
      <c r="AO69" s="2"/>
      <c r="BC69" s="1"/>
      <c r="BD69" s="2"/>
      <c r="BE69" s="2"/>
      <c r="BF69" s="2"/>
      <c r="BG69" s="2"/>
      <c r="BH69" s="2"/>
      <c r="BI69" s="2"/>
      <c r="BJ69" s="2"/>
      <c r="BK69" s="2"/>
    </row>
    <row r="70" spans="1:63" outlineLevel="1">
      <c r="A70" t="s">
        <v>490</v>
      </c>
      <c r="B70" s="51" t="s">
        <v>126</v>
      </c>
      <c r="C70" s="104">
        <f t="shared" si="73"/>
        <v>6.4372935226862424E-2</v>
      </c>
      <c r="D70" s="104">
        <f t="shared" si="72"/>
        <v>6.6706588452678475E-2</v>
      </c>
      <c r="E70" s="104">
        <f t="shared" si="72"/>
        <v>6.9045892612223533E-2</v>
      </c>
      <c r="F70" s="104">
        <f t="shared" si="72"/>
        <v>7.1390760194913319E-2</v>
      </c>
      <c r="G70" s="104">
        <f t="shared" si="72"/>
        <v>7.3741103690163554E-2</v>
      </c>
      <c r="H70" s="104">
        <f t="shared" si="72"/>
        <v>7.6096835587389861E-2</v>
      </c>
      <c r="I70" s="104">
        <f t="shared" si="72"/>
        <v>7.8457868376007989E-2</v>
      </c>
      <c r="J70" s="104">
        <f t="shared" si="72"/>
        <v>8.0824114545433631E-2</v>
      </c>
      <c r="K70" s="104">
        <f t="shared" si="72"/>
        <v>8.3195486585082468E-2</v>
      </c>
      <c r="L70" s="104">
        <f t="shared" si="72"/>
        <v>8.5571896984370205E-2</v>
      </c>
      <c r="M70" s="104">
        <f t="shared" si="72"/>
        <v>8.7953258232712536E-2</v>
      </c>
      <c r="N70" s="104">
        <f t="shared" si="72"/>
        <v>9.3298049278961223E-2</v>
      </c>
      <c r="O70" s="104">
        <f t="shared" si="72"/>
        <v>9.8655313515162241E-2</v>
      </c>
      <c r="P70" s="104">
        <f t="shared" si="72"/>
        <v>0.10402484940178808</v>
      </c>
      <c r="Q70" s="104">
        <f t="shared" si="72"/>
        <v>0.10940645539931128</v>
      </c>
      <c r="R70" s="104">
        <f t="shared" si="72"/>
        <v>0.11479992996820436</v>
      </c>
      <c r="S70" s="104">
        <f t="shared" si="72"/>
        <v>0.12020507156893978</v>
      </c>
      <c r="T70" s="104">
        <f t="shared" si="72"/>
        <v>0.12562167866199012</v>
      </c>
      <c r="U70" s="104">
        <f t="shared" si="72"/>
        <v>0.13104954970782781</v>
      </c>
      <c r="V70" s="104">
        <f t="shared" si="72"/>
        <v>0.13648848316692541</v>
      </c>
      <c r="W70" s="104">
        <f t="shared" si="72"/>
        <v>0.14193827749975543</v>
      </c>
      <c r="X70" s="104">
        <f t="shared" si="72"/>
        <v>0.1505420996657986</v>
      </c>
      <c r="Y70" s="104">
        <f t="shared" si="72"/>
        <v>0.15916365962084872</v>
      </c>
      <c r="Z70" s="104">
        <f t="shared" si="72"/>
        <v>0.16780263616128388</v>
      </c>
      <c r="AA70" s="104">
        <f t="shared" si="72"/>
        <v>0.17645870808348205</v>
      </c>
      <c r="AB70" s="104">
        <f t="shared" si="72"/>
        <v>0.18513155418382146</v>
      </c>
      <c r="AC70" s="104">
        <f t="shared" si="72"/>
        <v>0.19382085325867998</v>
      </c>
      <c r="AD70" s="104">
        <f t="shared" si="72"/>
        <v>0.20252628410443585</v>
      </c>
      <c r="AE70" s="104">
        <f t="shared" si="72"/>
        <v>0.21124752551746698</v>
      </c>
      <c r="AF70" s="104">
        <f t="shared" si="72"/>
        <v>0.21998425629415153</v>
      </c>
      <c r="AG70" s="104">
        <f t="shared" si="72"/>
        <v>0.22873615523086779</v>
      </c>
      <c r="AH70" s="230"/>
      <c r="AI70" s="126"/>
      <c r="AJ70" s="198"/>
      <c r="AL70" s="102"/>
      <c r="AM70" s="2"/>
      <c r="AN70" s="2"/>
      <c r="AO70" s="2"/>
      <c r="BC70" s="1"/>
      <c r="BD70" s="2"/>
      <c r="BE70" s="2"/>
      <c r="BF70" s="2"/>
      <c r="BG70" s="2"/>
      <c r="BH70" s="2"/>
      <c r="BI70" s="2"/>
      <c r="BJ70" s="2"/>
      <c r="BK70" s="2"/>
    </row>
    <row r="71" spans="1:63" outlineLevel="1">
      <c r="C71" s="104"/>
      <c r="D71" s="104"/>
      <c r="E71" s="104"/>
      <c r="F71" s="104"/>
      <c r="G71" s="104"/>
      <c r="H71" s="104"/>
      <c r="I71" s="104"/>
      <c r="J71" s="104"/>
      <c r="K71" s="104"/>
      <c r="L71" s="104"/>
      <c r="M71" s="104"/>
      <c r="N71" s="104"/>
      <c r="O71" s="104"/>
      <c r="P71" s="104"/>
      <c r="Q71" s="104"/>
      <c r="R71" s="104"/>
      <c r="S71" s="104"/>
      <c r="T71" s="104"/>
      <c r="U71" s="104"/>
      <c r="V71" s="104"/>
      <c r="W71" s="104"/>
      <c r="X71" s="104"/>
      <c r="Y71" s="104"/>
      <c r="Z71" s="104"/>
      <c r="AA71" s="104"/>
      <c r="AB71" s="104"/>
      <c r="AC71" s="104"/>
      <c r="AD71" s="104"/>
      <c r="AE71" s="104"/>
      <c r="AF71" s="104"/>
      <c r="AG71" s="104"/>
      <c r="AH71" s="230"/>
      <c r="AI71" s="126"/>
      <c r="AJ71" s="198"/>
      <c r="AL71" s="102"/>
      <c r="AM71" s="2"/>
      <c r="AN71" s="2"/>
      <c r="AO71" s="2"/>
      <c r="BC71" s="1"/>
      <c r="BD71" s="2"/>
      <c r="BE71" s="2"/>
      <c r="BF71" s="2"/>
      <c r="BG71" s="2"/>
      <c r="BH71" s="2"/>
      <c r="BI71" s="2"/>
      <c r="BJ71" s="2"/>
      <c r="BK71" s="2"/>
    </row>
    <row r="72" spans="1:63" s="1" customFormat="1" outlineLevel="1">
      <c r="A72" s="1" t="s">
        <v>261</v>
      </c>
      <c r="B72" s="61"/>
      <c r="C72" s="279">
        <f>C64*C42</f>
        <v>75542.73894333755</v>
      </c>
      <c r="D72" s="279">
        <f t="shared" ref="D72:AG72" si="74">D64*D42</f>
        <v>79459.912937339279</v>
      </c>
      <c r="E72" s="279">
        <f t="shared" si="74"/>
        <v>83225.152197538555</v>
      </c>
      <c r="F72" s="279">
        <f t="shared" si="74"/>
        <v>86839.245692010838</v>
      </c>
      <c r="G72" s="279">
        <f t="shared" si="74"/>
        <v>90302.982388831675</v>
      </c>
      <c r="H72" s="279">
        <f t="shared" si="74"/>
        <v>93617.151256076584</v>
      </c>
      <c r="I72" s="279">
        <f t="shared" si="74"/>
        <v>96782.541261821068</v>
      </c>
      <c r="J72" s="279">
        <f t="shared" si="74"/>
        <v>99799.941374140588</v>
      </c>
      <c r="K72" s="279">
        <f t="shared" si="74"/>
        <v>102670.14056111069</v>
      </c>
      <c r="L72" s="279">
        <f t="shared" si="74"/>
        <v>105393.92779080688</v>
      </c>
      <c r="M72" s="279">
        <f t="shared" si="74"/>
        <v>107972.0920313047</v>
      </c>
      <c r="N72" s="279">
        <f t="shared" si="74"/>
        <v>112916.63383391633</v>
      </c>
      <c r="O72" s="279">
        <f t="shared" si="74"/>
        <v>117890.64006415401</v>
      </c>
      <c r="P72" s="279">
        <f t="shared" si="74"/>
        <v>121868.98413099711</v>
      </c>
      <c r="Q72" s="279">
        <f t="shared" si="74"/>
        <v>125372.79563328375</v>
      </c>
      <c r="R72" s="279">
        <f t="shared" si="74"/>
        <v>128404.78838947137</v>
      </c>
      <c r="S72" s="279">
        <f t="shared" si="74"/>
        <v>130967.67621801744</v>
      </c>
      <c r="T72" s="279">
        <f t="shared" si="74"/>
        <v>133064.17293737931</v>
      </c>
      <c r="U72" s="279">
        <f t="shared" si="74"/>
        <v>134696.99236601457</v>
      </c>
      <c r="V72" s="279">
        <f t="shared" si="74"/>
        <v>135868.84832238063</v>
      </c>
      <c r="W72" s="279">
        <f t="shared" si="74"/>
        <v>136582.45462493482</v>
      </c>
      <c r="X72" s="279">
        <f t="shared" si="74"/>
        <v>138547.1009117158</v>
      </c>
      <c r="Y72" s="279">
        <f t="shared" si="74"/>
        <v>142082.31418279954</v>
      </c>
      <c r="Z72" s="279">
        <f t="shared" si="74"/>
        <v>144788.05464840442</v>
      </c>
      <c r="AA72" s="279">
        <f t="shared" si="74"/>
        <v>146669.23461049818</v>
      </c>
      <c r="AB72" s="279">
        <f t="shared" si="74"/>
        <v>147730.76637104823</v>
      </c>
      <c r="AC72" s="279">
        <f t="shared" si="74"/>
        <v>147977.56223202217</v>
      </c>
      <c r="AD72" s="279">
        <f t="shared" si="74"/>
        <v>147414.53449538763</v>
      </c>
      <c r="AE72" s="279">
        <f t="shared" si="74"/>
        <v>146046.59546311208</v>
      </c>
      <c r="AF72" s="279">
        <f t="shared" si="74"/>
        <v>143878.65743716317</v>
      </c>
      <c r="AG72" s="279">
        <f t="shared" si="74"/>
        <v>140915.63271950858</v>
      </c>
      <c r="AH72" s="230">
        <f>AG72-C72</f>
        <v>65372.893776171026</v>
      </c>
      <c r="AI72" s="398"/>
      <c r="AJ72" s="399"/>
      <c r="AL72" s="207"/>
      <c r="AM72" s="118"/>
      <c r="AN72" s="118"/>
      <c r="AO72" s="118"/>
      <c r="BD72" s="118"/>
      <c r="BE72" s="118"/>
      <c r="BF72" s="118"/>
      <c r="BG72" s="118"/>
      <c r="BH72" s="118"/>
      <c r="BI72" s="118"/>
      <c r="BJ72" s="118"/>
      <c r="BK72" s="118"/>
    </row>
    <row r="73" spans="1:63" outlineLevel="1">
      <c r="A73" s="4" t="s">
        <v>141</v>
      </c>
      <c r="C73" s="216">
        <f>C$72*'Ethylene recycling rates'!E43</f>
        <v>70080.371092931658</v>
      </c>
      <c r="D73" s="216">
        <f>D$72*'Ethylene recycling rates'!F43</f>
        <v>73666.292744974344</v>
      </c>
      <c r="E73" s="216">
        <f>E$72*'Ethylene recycling rates'!G43</f>
        <v>77106.716041059539</v>
      </c>
      <c r="F73" s="216">
        <f>F$72*'Ethylene recycling rates'!H43</f>
        <v>80402.646858156688</v>
      </c>
      <c r="G73" s="216">
        <f>G$72*'Ethylene recycling rates'!I43</f>
        <v>83555.08916651964</v>
      </c>
      <c r="H73" s="216">
        <f>H$72*'Ethylene recycling rates'!J43</f>
        <v>86565.045029686677</v>
      </c>
      <c r="I73" s="216">
        <f>I$72*'Ethylene recycling rates'!K43</f>
        <v>89433.514604480442</v>
      </c>
      <c r="J73" s="216">
        <f>J$72*'Ethylene recycling rates'!L43</f>
        <v>92161.496141007941</v>
      </c>
      <c r="K73" s="216">
        <f>K$72*'Ethylene recycling rates'!M43</f>
        <v>94749.985982660655</v>
      </c>
      <c r="L73" s="216">
        <f>L$72*'Ethylene recycling rates'!N43</f>
        <v>97199.978566114456</v>
      </c>
      <c r="M73" s="216">
        <f>M$72*'Ethylene recycling rates'!O43</f>
        <v>99512.466421329591</v>
      </c>
      <c r="N73" s="216">
        <f>N$72*'Ethylene recycling rates'!P43</f>
        <v>104001.38081916008</v>
      </c>
      <c r="O73" s="216">
        <f>O$72*'Ethylene recycling rates'!Q43</f>
        <v>108511.44071109555</v>
      </c>
      <c r="P73" s="216">
        <f>P$72*'Ethylene recycling rates'!R43</f>
        <v>112099.64296848064</v>
      </c>
      <c r="Q73" s="216">
        <f>Q$72*'Ethylene recycling rates'!S43</f>
        <v>115246.83188056995</v>
      </c>
      <c r="R73" s="216">
        <f>R$72*'Ethylene recycling rates'!T43</f>
        <v>117956.36054921894</v>
      </c>
      <c r="S73" s="216">
        <f>S$72*'Ethylene recycling rates'!U43</f>
        <v>120231.57551774137</v>
      </c>
      <c r="T73" s="216">
        <f>T$72*'Ethylene recycling rates'!V43</f>
        <v>122075.8167709093</v>
      </c>
      <c r="U73" s="216">
        <f>U$72*'Ethylene recycling rates'!W43</f>
        <v>123492.4177349533</v>
      </c>
      <c r="V73" s="216">
        <f>V$72*'Ethylene recycling rates'!X43</f>
        <v>124484.70527756214</v>
      </c>
      <c r="W73" s="216">
        <f>W$72*'Ethylene recycling rates'!Y43</f>
        <v>125055.9997078829</v>
      </c>
      <c r="X73" s="216">
        <f>X$72*'Ethylene recycling rates'!Z43</f>
        <v>126771.13831505484</v>
      </c>
      <c r="Y73" s="216">
        <f>Y$72*'Ethylene recycling rates'!AA43</f>
        <v>129920.02893909178</v>
      </c>
      <c r="Z73" s="216">
        <f>Z$72*'Ethylene recycling rates'!AB43</f>
        <v>132306.67919759545</v>
      </c>
      <c r="AA73" s="216">
        <f>AA$72*'Ethylene recycling rates'!AC43</f>
        <v>133937.07841546924</v>
      </c>
      <c r="AB73" s="216">
        <f>AB$72*'Ethylene recycling rates'!AD43</f>
        <v>134817.20404595364</v>
      </c>
      <c r="AC73" s="216">
        <f>AC$72*'Ethylene recycling rates'!AE43</f>
        <v>134953.02167062671</v>
      </c>
      <c r="AD73" s="216">
        <f>AD$72*'Ethylene recycling rates'!AF43</f>
        <v>134350.48499940391</v>
      </c>
      <c r="AE73" s="216">
        <f>AE$72*'Ethylene recycling rates'!AG43</f>
        <v>133015.53587053801</v>
      </c>
      <c r="AF73" s="216">
        <f>AF$72*'Ethylene recycling rates'!AH43</f>
        <v>130954.10425061932</v>
      </c>
      <c r="AG73" s="216">
        <f>AG$72*'Ethylene recycling rates'!AI43</f>
        <v>128172.10823457541</v>
      </c>
      <c r="AH73" s="230">
        <f>AG73-C73</f>
        <v>58091.737141643753</v>
      </c>
      <c r="AI73" s="126"/>
      <c r="AJ73" s="198"/>
      <c r="AL73" s="102"/>
      <c r="AM73" s="2"/>
      <c r="AN73" s="2"/>
      <c r="AO73" s="2"/>
      <c r="BC73" s="1"/>
      <c r="BD73" s="2"/>
      <c r="BE73" s="2"/>
      <c r="BF73" s="2"/>
      <c r="BG73" s="2"/>
      <c r="BH73" s="2"/>
      <c r="BI73" s="2"/>
      <c r="BJ73" s="2"/>
      <c r="BK73" s="2"/>
    </row>
    <row r="74" spans="1:63" outlineLevel="1">
      <c r="A74" s="4" t="s">
        <v>74</v>
      </c>
      <c r="C74" s="216">
        <f>C$72*'Ethylene recycling rates'!E44</f>
        <v>0</v>
      </c>
      <c r="D74" s="216">
        <f>D$72*'Ethylene recycling rates'!F44</f>
        <v>48.434496971963405</v>
      </c>
      <c r="E74" s="216">
        <f>E$72*'Ethylene recycling rates'!G44</f>
        <v>101.4591693620814</v>
      </c>
      <c r="F74" s="216">
        <f>F$72*'Ethylene recycling rates'!H44</f>
        <v>158.79762613762526</v>
      </c>
      <c r="G74" s="216">
        <f>G$72*'Ethylene recycling rates'!I44</f>
        <v>220.1753999161927</v>
      </c>
      <c r="H74" s="216">
        <f>H$72*'Ethylene recycling rates'!J44</f>
        <v>285.31994696570786</v>
      </c>
      <c r="I74" s="216">
        <f>I$72*'Ethylene recycling rates'!K44</f>
        <v>353.96064720442121</v>
      </c>
      <c r="J74" s="216">
        <f>J$72*'Ethylene recycling rates'!L44</f>
        <v>425.82880420090953</v>
      </c>
      <c r="K74" s="216">
        <f>K$72*'Ethylene recycling rates'!M44</f>
        <v>500.65764517407604</v>
      </c>
      <c r="L74" s="216">
        <f>L$72*'Ethylene recycling rates'!N44</f>
        <v>578.18232099315048</v>
      </c>
      <c r="M74" s="216">
        <f>M$72*'Ethylene recycling rates'!O44</f>
        <v>658.139906177689</v>
      </c>
      <c r="N74" s="216">
        <f>N$72*'Ethylene recycling rates'!P44</f>
        <v>757.10709627992173</v>
      </c>
      <c r="O74" s="216">
        <f>O$72*'Ethylene recycling rates'!Q44</f>
        <v>862.31766003260771</v>
      </c>
      <c r="P74" s="216">
        <f>P$72*'Ethylene recycling rates'!R44</f>
        <v>965.70226949290839</v>
      </c>
      <c r="Q74" s="216">
        <f>Q$72*'Ethylene recycling rates'!S44</f>
        <v>1069.8873548172155</v>
      </c>
      <c r="R74" s="216">
        <f>R$72*'Ethylene recycling rates'!T44</f>
        <v>1174.0299802505117</v>
      </c>
      <c r="S74" s="216">
        <f>S$72*'Ethylene recycling rates'!U44</f>
        <v>1277.2938268299206</v>
      </c>
      <c r="T74" s="216">
        <f>T$72*'Ethylene recycling rates'!V44</f>
        <v>1378.8491923847064</v>
      </c>
      <c r="U74" s="216">
        <f>U$72*'Ethylene recycling rates'!W44</f>
        <v>1477.8729915362758</v>
      </c>
      <c r="V74" s="216">
        <f>V$72*'Ethylene recycling rates'!X44</f>
        <v>1573.548755698175</v>
      </c>
      <c r="W74" s="216">
        <f>W$72*'Ethylene recycling rates'!Y44</f>
        <v>1665.0666330760898</v>
      </c>
      <c r="X74" s="216">
        <f>X$72*'Ethylene recycling rates'!Z44</f>
        <v>1773.4683656445209</v>
      </c>
      <c r="Y74" s="216">
        <f>Y$72*'Ethylene recycling rates'!AA44</f>
        <v>1905.3265169397941</v>
      </c>
      <c r="Z74" s="216">
        <f>Z$72*'Ethylene recycling rates'!AB44</f>
        <v>2029.8655725865076</v>
      </c>
      <c r="AA74" s="216">
        <f>AA$72*'Ethylene recycling rates'!AC44</f>
        <v>2145.6405889266985</v>
      </c>
      <c r="AB74" s="216">
        <f>AB$72*'Ethylene recycling rates'!AD44</f>
        <v>2251.2185994046117</v>
      </c>
      <c r="AC74" s="216">
        <f>AC$72*'Ethylene recycling rates'!AE44</f>
        <v>2345.1786145667088</v>
      </c>
      <c r="AD74" s="216">
        <f>AD$72*'Ethylene recycling rates'!AF44</f>
        <v>2426.1116220616641</v>
      </c>
      <c r="AE74" s="216">
        <f>AE$72*'Ethylene recycling rates'!AG44</f>
        <v>2492.6205866403629</v>
      </c>
      <c r="AF74" s="216">
        <f>AF$72*'Ethylene recycling rates'!AH44</f>
        <v>2543.3204501559067</v>
      </c>
      <c r="AG74" s="216">
        <f>AG$72*'Ethylene recycling rates'!AI44</f>
        <v>2576.8381315636084</v>
      </c>
      <c r="AH74" s="230">
        <f t="shared" ref="AH74:AH83" si="75">AG74-C74</f>
        <v>2576.8381315636084</v>
      </c>
      <c r="AI74" s="126"/>
      <c r="AJ74" s="198"/>
      <c r="AL74" s="102"/>
      <c r="AM74" s="2"/>
      <c r="AN74" s="2"/>
      <c r="AO74" s="2"/>
      <c r="BC74" s="1"/>
      <c r="BD74" s="2"/>
      <c r="BE74" s="2"/>
      <c r="BF74" s="2"/>
      <c r="BG74" s="2"/>
      <c r="BH74" s="2"/>
      <c r="BI74" s="2"/>
      <c r="BJ74" s="2"/>
      <c r="BK74" s="2"/>
    </row>
    <row r="75" spans="1:63" outlineLevel="1">
      <c r="A75" s="4" t="s">
        <v>34</v>
      </c>
      <c r="C75" s="216">
        <f>C$72*'Ethylene recycling rates'!E45</f>
        <v>0</v>
      </c>
      <c r="D75" s="216">
        <f>D$72*'Ethylene recycling rates'!F45</f>
        <v>59.085360989017609</v>
      </c>
      <c r="E75" s="216">
        <f>E$72*'Ethylene recycling rates'!G45</f>
        <v>123.7702881661918</v>
      </c>
      <c r="F75" s="216">
        <f>F$72*'Ethylene recycling rates'!H45</f>
        <v>193.71761143657235</v>
      </c>
      <c r="G75" s="216">
        <f>G$72*'Ethylene recycling rates'!I45</f>
        <v>268.59250737093402</v>
      </c>
      <c r="H75" s="216">
        <f>H$72*'Ethylene recycling rates'!J45</f>
        <v>348.0624992057767</v>
      </c>
      <c r="I75" s="216">
        <f>I$72*'Ethylene recycling rates'!K45</f>
        <v>431.79745684332516</v>
      </c>
      <c r="J75" s="216">
        <f>J$72*'Ethylene recycling rates'!L45</f>
        <v>519.46959685152899</v>
      </c>
      <c r="K75" s="216">
        <f>K$72*'Ethylene recycling rates'!M45</f>
        <v>610.75348246406304</v>
      </c>
      <c r="L75" s="216">
        <f>L$72*'Ethylene recycling rates'!N45</f>
        <v>705.32602358032705</v>
      </c>
      <c r="M75" s="216">
        <f>M$72*'Ethylene recycling rates'!O45</f>
        <v>802.86647676544612</v>
      </c>
      <c r="N75" s="216">
        <f>N$72*'Ethylene recycling rates'!P45</f>
        <v>923.5967933545503</v>
      </c>
      <c r="O75" s="216">
        <f>O$72*'Ethylene recycling rates'!Q45</f>
        <v>1051.9434166875831</v>
      </c>
      <c r="P75" s="216">
        <f>P$72*'Ethylene recycling rates'!R45</f>
        <v>1178.0625539257881</v>
      </c>
      <c r="Q75" s="216">
        <f>Q$72*'Ethylene recycling rates'!S45</f>
        <v>1305.1581936228745</v>
      </c>
      <c r="R75" s="216">
        <f>R$72*'Ethylene recycling rates'!T45</f>
        <v>1432.2020363953559</v>
      </c>
      <c r="S75" s="216">
        <f>S$72*'Ethylene recycling rates'!U45</f>
        <v>1558.1738547006173</v>
      </c>
      <c r="T75" s="216">
        <f>T$72*'Ethylene recycling rates'!V45</f>
        <v>1682.0614928369141</v>
      </c>
      <c r="U75" s="216">
        <f>U$72*'Ethylene recycling rates'!W45</f>
        <v>1802.860866943375</v>
      </c>
      <c r="V75" s="216">
        <f>V$72*'Ethylene recycling rates'!X45</f>
        <v>1919.575964999998</v>
      </c>
      <c r="W75" s="216">
        <f>W$72*'Ethylene recycling rates'!Y45</f>
        <v>2031.2188468276513</v>
      </c>
      <c r="X75" s="216">
        <f>X$72*'Ethylene recycling rates'!Z45</f>
        <v>2163.4583847823501</v>
      </c>
      <c r="Y75" s="216">
        <f>Y$72*'Ethylene recycling rates'!AA45</f>
        <v>2324.312465152701</v>
      </c>
      <c r="Z75" s="216">
        <f>Z$72*'Ethylene recycling rates'!AB45</f>
        <v>2476.2379628899207</v>
      </c>
      <c r="AA75" s="216">
        <f>AA$72*'Ethylene recycling rates'!AC45</f>
        <v>2617.4721877014081</v>
      </c>
      <c r="AB75" s="216">
        <f>AB$72*'Ethylene recycling rates'!AD45</f>
        <v>2746.2670601907571</v>
      </c>
      <c r="AC75" s="216">
        <f>AC$72*'Ethylene recycling rates'!AE45</f>
        <v>2860.8891118577676</v>
      </c>
      <c r="AD75" s="216">
        <f>AD$72*'Ethylene recycling rates'!AF45</f>
        <v>2959.619485098443</v>
      </c>
      <c r="AE75" s="216">
        <f>AE$72*'Ethylene recycling rates'!AG45</f>
        <v>3040.7539332049846</v>
      </c>
      <c r="AF75" s="216">
        <f>AF$72*'Ethylene recycling rates'!AH45</f>
        <v>3102.6028203658002</v>
      </c>
      <c r="AG75" s="216">
        <f>AG$72*'Ethylene recycling rates'!AI45</f>
        <v>3143.4911216654987</v>
      </c>
      <c r="AH75" s="230">
        <f t="shared" si="75"/>
        <v>3143.4911216654987</v>
      </c>
      <c r="AI75" s="126"/>
      <c r="AJ75" s="198"/>
      <c r="AL75" s="102"/>
      <c r="AM75" s="2"/>
      <c r="AN75" s="2"/>
      <c r="AO75" s="2"/>
      <c r="BC75" s="1"/>
      <c r="BD75" s="2"/>
      <c r="BE75" s="2"/>
      <c r="BF75" s="2"/>
      <c r="BG75" s="2"/>
      <c r="BH75" s="2"/>
      <c r="BI75" s="2"/>
      <c r="BJ75" s="2"/>
      <c r="BK75" s="2"/>
    </row>
    <row r="76" spans="1:63" outlineLevel="1">
      <c r="A76" s="4" t="s">
        <v>35</v>
      </c>
      <c r="C76" s="216">
        <f>C$72*'Ethylene recycling rates'!E46</f>
        <v>5462.367850405878</v>
      </c>
      <c r="D76" s="216">
        <f>D$72*'Ethylene recycling rates'!F46</f>
        <v>5683.4625950740856</v>
      </c>
      <c r="E76" s="216">
        <f>E$72*'Ethylene recycling rates'!G46</f>
        <v>5887.6812396576015</v>
      </c>
      <c r="F76" s="216">
        <f>F$72*'Ethylene recycling rates'!H46</f>
        <v>6075.435488626541</v>
      </c>
      <c r="G76" s="216">
        <f>G$72*'Ethylene recycling rates'!I46</f>
        <v>6247.1345780887104</v>
      </c>
      <c r="H76" s="216">
        <f>H$72*'Ethylene recycling rates'!J46</f>
        <v>6403.1852757896013</v>
      </c>
      <c r="I76" s="216">
        <f>I$72*'Ethylene recycling rates'!K46</f>
        <v>6543.9918811123871</v>
      </c>
      <c r="J76" s="216">
        <f>J$72*'Ethylene recycling rates'!L46</f>
        <v>6669.9562250779263</v>
      </c>
      <c r="K76" s="216">
        <f>K$72*'Ethylene recycling rates'!M46</f>
        <v>6781.4776703447678</v>
      </c>
      <c r="L76" s="216">
        <f>L$72*'Ethylene recycling rates'!N46</f>
        <v>6878.9531112091418</v>
      </c>
      <c r="M76" s="216">
        <f>M$72*'Ethylene recycling rates'!O46</f>
        <v>6962.7769736049704</v>
      </c>
      <c r="N76" s="216">
        <f>N$72*'Ethylene recycling rates'!P46</f>
        <v>7193.3171254184963</v>
      </c>
      <c r="O76" s="216">
        <f>O$72*'Ethylene recycling rates'!Q46</f>
        <v>7417.9765166647594</v>
      </c>
      <c r="P76" s="216">
        <f>P$72*'Ethylene recycling rates'!R46</f>
        <v>7572.984260797577</v>
      </c>
      <c r="Q76" s="216">
        <f>Q$72*'Ethylene recycling rates'!S46</f>
        <v>7692.6522134870356</v>
      </c>
      <c r="R76" s="216">
        <f>R$72*'Ethylene recycling rates'!T46</f>
        <v>7778.2582326961347</v>
      </c>
      <c r="S76" s="216">
        <f>S$72*'Ethylene recycling rates'!U46</f>
        <v>7831.0716859464774</v>
      </c>
      <c r="T76" s="216">
        <f>T$72*'Ethylene recycling rates'!V46</f>
        <v>7852.3534503182655</v>
      </c>
      <c r="U76" s="216">
        <f>U$72*'Ethylene recycling rates'!W46</f>
        <v>7843.3559124503199</v>
      </c>
      <c r="V76" s="216">
        <f>V$72*'Ethylene recycling rates'!X46</f>
        <v>7805.322968540052</v>
      </c>
      <c r="W76" s="216">
        <f>W$72*'Ethylene recycling rates'!Y46</f>
        <v>7739.490024343474</v>
      </c>
      <c r="X76" s="216">
        <f>X$72*'Ethylene recycling rates'!Z46</f>
        <v>7742.4528826278538</v>
      </c>
      <c r="Y76" s="216">
        <f>Y$72*'Ethylene recycling rates'!AA46</f>
        <v>7828.8823122782287</v>
      </c>
      <c r="Z76" s="216">
        <f>Z$72*'Ethylene recycling rates'!AB46</f>
        <v>7864.725577703668</v>
      </c>
      <c r="AA76" s="216">
        <f>AA$72*'Ethylene recycling rates'!AC46</f>
        <v>7852.1919814500197</v>
      </c>
      <c r="AB76" s="216">
        <f>AB$72*'Ethylene recycling rates'!AD46</f>
        <v>7793.4754574551407</v>
      </c>
      <c r="AC76" s="216">
        <f>AC$72*'Ethylene recycling rates'!AE46</f>
        <v>7690.7545710489294</v>
      </c>
      <c r="AD76" s="216">
        <f>AD$72*'Ethylene recycling rates'!AF46</f>
        <v>7546.1925189533131</v>
      </c>
      <c r="AE76" s="216">
        <f>AE$72*'Ethylene recycling rates'!AG46</f>
        <v>7361.9371292822434</v>
      </c>
      <c r="AF76" s="216">
        <f>AF$72*'Ethylene recycling rates'!AH46</f>
        <v>7140.1208615417081</v>
      </c>
      <c r="AG76" s="216">
        <f>AG$72*'Ethylene recycling rates'!AI46</f>
        <v>6882.860806629712</v>
      </c>
      <c r="AH76" s="230">
        <f t="shared" si="75"/>
        <v>1420.492956223834</v>
      </c>
      <c r="AI76" s="126"/>
      <c r="AJ76" s="198"/>
      <c r="AL76" s="102"/>
      <c r="AM76" s="2"/>
      <c r="AN76" s="2"/>
      <c r="AO76" s="2"/>
      <c r="BC76" s="1"/>
      <c r="BD76" s="2"/>
      <c r="BE76" s="2"/>
      <c r="BF76" s="2"/>
      <c r="BG76" s="2"/>
      <c r="BH76" s="2"/>
      <c r="BI76" s="2"/>
      <c r="BJ76" s="2"/>
      <c r="BK76" s="2"/>
    </row>
    <row r="77" spans="1:63" outlineLevel="1">
      <c r="A77" s="4" t="s">
        <v>27</v>
      </c>
      <c r="C77" s="216">
        <f>C$72*'Ethylene recycling rates'!E47</f>
        <v>0</v>
      </c>
      <c r="D77" s="216">
        <f>D$72*'Ethylene recycling rates'!F47</f>
        <v>2.6377393298668572</v>
      </c>
      <c r="E77" s="216">
        <f>E$72*'Ethylene recycling rates'!G47</f>
        <v>5.5254592931335624</v>
      </c>
      <c r="F77" s="216">
        <f>F$72*'Ethylene recycling rates'!H47</f>
        <v>8.6481076534184069</v>
      </c>
      <c r="G77" s="216">
        <f>G$72*'Ethylene recycling rates'!I47</f>
        <v>11.990736936202412</v>
      </c>
      <c r="H77" s="216">
        <f>H$72*'Ethylene recycling rates'!J47</f>
        <v>15.538504428829318</v>
      </c>
      <c r="I77" s="216">
        <f>I$72*'Ethylene recycling rates'!K47</f>
        <v>19.276672180505592</v>
      </c>
      <c r="J77" s="216">
        <f>J$72*'Ethylene recycling rates'!L47</f>
        <v>23.190607002300407</v>
      </c>
      <c r="K77" s="216">
        <f>K$72*'Ethylene recycling rates'!M47</f>
        <v>27.265780467145674</v>
      </c>
      <c r="L77" s="216">
        <f>L$72*'Ethylene recycling rates'!N47</f>
        <v>31.487768909836035</v>
      </c>
      <c r="M77" s="216">
        <f>M$72*'Ethylene recycling rates'!O47</f>
        <v>35.842253427028851</v>
      </c>
      <c r="N77" s="216">
        <f>N$72*'Ethylene recycling rates'!P47</f>
        <v>41.23199970332815</v>
      </c>
      <c r="O77" s="216">
        <f>O$72*'Ethylene recycling rates'!Q47</f>
        <v>46.96175967355282</v>
      </c>
      <c r="P77" s="216">
        <f>P$72*'Ethylene recycling rates'!R47</f>
        <v>52.592078300258407</v>
      </c>
      <c r="Q77" s="216">
        <f>Q$72*'Ethylene recycling rates'!S47</f>
        <v>58.265990786735472</v>
      </c>
      <c r="R77" s="216">
        <f>R$72*'Ethylene recycling rates'!T47</f>
        <v>63.937590910506955</v>
      </c>
      <c r="S77" s="216">
        <f>S$72*'Ethylene recycling rates'!U47</f>
        <v>69.561332799134689</v>
      </c>
      <c r="T77" s="216">
        <f>T$72*'Ethylene recycling rates'!V47</f>
        <v>75.092030930219352</v>
      </c>
      <c r="U77" s="216">
        <f>U$72*'Ethylene recycling rates'!W47</f>
        <v>80.484860131400637</v>
      </c>
      <c r="V77" s="216">
        <f>V$72*'Ethylene recycling rates'!X47</f>
        <v>85.695355580357003</v>
      </c>
      <c r="W77" s="216">
        <f>W$72*'Ethylene recycling rates'!Y47</f>
        <v>90.679412804805807</v>
      </c>
      <c r="X77" s="216">
        <f>X$72*'Ethylene recycling rates'!Z47</f>
        <v>96.582963606354838</v>
      </c>
      <c r="Y77" s="216">
        <f>Y$72*'Ethylene recycling rates'!AA47</f>
        <v>103.76394933717407</v>
      </c>
      <c r="Z77" s="216">
        <f>Z$72*'Ethylene recycling rates'!AB47</f>
        <v>110.54633762901423</v>
      </c>
      <c r="AA77" s="216">
        <f>AA$72*'Ethylene recycling rates'!AC47</f>
        <v>116.85143695095563</v>
      </c>
      <c r="AB77" s="216">
        <f>AB$72*'Ethylene recycling rates'!AD47</f>
        <v>122.60120804423012</v>
      </c>
      <c r="AC77" s="216">
        <f>AC$72*'Ethylene recycling rates'!AE47</f>
        <v>127.71826392222167</v>
      </c>
      <c r="AD77" s="216">
        <f>AD$72*'Ethylene recycling rates'!AF47</f>
        <v>132.12586987046606</v>
      </c>
      <c r="AE77" s="216">
        <f>AE$72*'Ethylene recycling rates'!AG47</f>
        <v>135.74794344665096</v>
      </c>
      <c r="AF77" s="216">
        <f>AF$72*'Ethylene recycling rates'!AH47</f>
        <v>138.50905448061593</v>
      </c>
      <c r="AG77" s="216">
        <f>AG$72*'Ethylene recycling rates'!AI47</f>
        <v>140.33442507435265</v>
      </c>
      <c r="AH77" s="230">
        <f t="shared" si="75"/>
        <v>140.33442507435265</v>
      </c>
      <c r="AI77" s="126"/>
      <c r="AJ77" s="198"/>
      <c r="AL77" s="102"/>
      <c r="AM77" s="2"/>
      <c r="AN77" s="2"/>
      <c r="AO77" s="2"/>
      <c r="BC77" s="1"/>
      <c r="BD77" s="2"/>
      <c r="BE77" s="2"/>
      <c r="BF77" s="2"/>
      <c r="BG77" s="2"/>
      <c r="BH77" s="2"/>
      <c r="BI77" s="2"/>
      <c r="BJ77" s="2"/>
      <c r="BK77" s="2"/>
    </row>
    <row r="78" spans="1:63" s="1" customFormat="1" outlineLevel="1">
      <c r="A78" s="1" t="s">
        <v>814</v>
      </c>
      <c r="B78" s="61"/>
      <c r="C78" s="279">
        <f>C67*C42</f>
        <v>17559.569342015755</v>
      </c>
      <c r="D78" s="279">
        <f t="shared" ref="D78:AG78" si="76">D67*D42</f>
        <v>17556.295652401051</v>
      </c>
      <c r="E78" s="279">
        <f t="shared" si="76"/>
        <v>17523.526013664374</v>
      </c>
      <c r="F78" s="279">
        <f t="shared" si="76"/>
        <v>17462.342274179096</v>
      </c>
      <c r="G78" s="279">
        <f t="shared" si="76"/>
        <v>17373.819230986926</v>
      </c>
      <c r="H78" s="279">
        <f t="shared" si="76"/>
        <v>17259.024629797885</v>
      </c>
      <c r="I78" s="279">
        <f t="shared" si="76"/>
        <v>17119.019164990324</v>
      </c>
      <c r="J78" s="279">
        <f t="shared" si="76"/>
        <v>16954.856479610928</v>
      </c>
      <c r="K78" s="279">
        <f t="shared" si="76"/>
        <v>16767.58316537469</v>
      </c>
      <c r="L78" s="279">
        <f t="shared" si="76"/>
        <v>16558.238762664951</v>
      </c>
      <c r="M78" s="279">
        <f t="shared" si="76"/>
        <v>16327.855760533364</v>
      </c>
      <c r="N78" s="279">
        <f t="shared" si="76"/>
        <v>16402.957799557349</v>
      </c>
      <c r="O78" s="279">
        <f t="shared" si="76"/>
        <v>16474.627705913605</v>
      </c>
      <c r="P78" s="279">
        <f t="shared" si="76"/>
        <v>16400.848741140631</v>
      </c>
      <c r="Q78" s="279">
        <f t="shared" si="76"/>
        <v>16261.051775910804</v>
      </c>
      <c r="R78" s="279">
        <f t="shared" si="76"/>
        <v>16059.330144900872</v>
      </c>
      <c r="S78" s="279">
        <f t="shared" si="76"/>
        <v>15799.747879773051</v>
      </c>
      <c r="T78" s="279">
        <f t="shared" si="76"/>
        <v>15486.339709175038</v>
      </c>
      <c r="U78" s="279">
        <f t="shared" si="76"/>
        <v>15123.111058740027</v>
      </c>
      <c r="V78" s="279">
        <f t="shared" si="76"/>
        <v>14714.038051086674</v>
      </c>
      <c r="W78" s="279">
        <f t="shared" si="76"/>
        <v>14263.067505819121</v>
      </c>
      <c r="X78" s="279">
        <f t="shared" si="76"/>
        <v>13798.453417240784</v>
      </c>
      <c r="Y78" s="279">
        <f t="shared" si="76"/>
        <v>13509.412168787427</v>
      </c>
      <c r="Z78" s="279">
        <f t="shared" si="76"/>
        <v>13151.187938052311</v>
      </c>
      <c r="AA78" s="279">
        <f t="shared" si="76"/>
        <v>12730.122152874841</v>
      </c>
      <c r="AB78" s="279">
        <f t="shared" si="76"/>
        <v>12252.508539179029</v>
      </c>
      <c r="AC78" s="279">
        <f t="shared" si="76"/>
        <v>11724.593120973532</v>
      </c>
      <c r="AD78" s="279">
        <f t="shared" si="76"/>
        <v>11152.574220351647</v>
      </c>
      <c r="AE78" s="279">
        <f t="shared" si="76"/>
        <v>10542.602457491286</v>
      </c>
      <c r="AF78" s="279">
        <f t="shared" si="76"/>
        <v>9900.7807506550162</v>
      </c>
      <c r="AG78" s="279">
        <f t="shared" si="76"/>
        <v>9233.1643161900156</v>
      </c>
      <c r="AH78" s="230">
        <f t="shared" si="75"/>
        <v>-8326.4050258257394</v>
      </c>
      <c r="AI78" s="398"/>
      <c r="AJ78" s="399"/>
      <c r="AL78" s="207"/>
      <c r="AM78" s="118"/>
      <c r="AN78" s="118"/>
      <c r="AO78" s="118"/>
      <c r="BD78" s="118"/>
      <c r="BE78" s="118"/>
      <c r="BF78" s="118"/>
      <c r="BG78" s="118"/>
      <c r="BH78" s="118"/>
      <c r="BI78" s="118"/>
      <c r="BJ78" s="118"/>
      <c r="BK78" s="118"/>
    </row>
    <row r="79" spans="1:63" outlineLevel="1">
      <c r="A79" s="4" t="s">
        <v>141</v>
      </c>
      <c r="C79" s="216">
        <f>C$78*'Ethylene recycling rates'!E48</f>
        <v>0</v>
      </c>
      <c r="D79" s="216">
        <f>D$78*'Ethylene recycling rates'!F48</f>
        <v>0</v>
      </c>
      <c r="E79" s="216">
        <f>E$78*'Ethylene recycling rates'!G48</f>
        <v>0</v>
      </c>
      <c r="F79" s="216">
        <f>F$78*'Ethylene recycling rates'!H48</f>
        <v>0</v>
      </c>
      <c r="G79" s="216">
        <f>G$78*'Ethylene recycling rates'!I48</f>
        <v>0</v>
      </c>
      <c r="H79" s="216">
        <f>H$78*'Ethylene recycling rates'!J48</f>
        <v>0</v>
      </c>
      <c r="I79" s="216">
        <f>I$78*'Ethylene recycling rates'!K48</f>
        <v>0</v>
      </c>
      <c r="J79" s="216">
        <f>J$78*'Ethylene recycling rates'!L48</f>
        <v>0</v>
      </c>
      <c r="K79" s="216">
        <f>K$78*'Ethylene recycling rates'!M48</f>
        <v>0</v>
      </c>
      <c r="L79" s="216">
        <f>L$78*'Ethylene recycling rates'!N48</f>
        <v>0</v>
      </c>
      <c r="M79" s="216">
        <f>M$78*'Ethylene recycling rates'!O48</f>
        <v>0</v>
      </c>
      <c r="N79" s="216">
        <f>N$78*'Ethylene recycling rates'!P48</f>
        <v>0</v>
      </c>
      <c r="O79" s="216">
        <f>O$78*'Ethylene recycling rates'!Q48</f>
        <v>0</v>
      </c>
      <c r="P79" s="216">
        <f>P$78*'Ethylene recycling rates'!R48</f>
        <v>0</v>
      </c>
      <c r="Q79" s="216">
        <f>Q$78*'Ethylene recycling rates'!S48</f>
        <v>0</v>
      </c>
      <c r="R79" s="216">
        <f>R$78*'Ethylene recycling rates'!T48</f>
        <v>0</v>
      </c>
      <c r="S79" s="216">
        <f>S$78*'Ethylene recycling rates'!U48</f>
        <v>0</v>
      </c>
      <c r="T79" s="216">
        <f>T$78*'Ethylene recycling rates'!V48</f>
        <v>0</v>
      </c>
      <c r="U79" s="216">
        <f>U$78*'Ethylene recycling rates'!W48</f>
        <v>0</v>
      </c>
      <c r="V79" s="216">
        <f>V$78*'Ethylene recycling rates'!X48</f>
        <v>0</v>
      </c>
      <c r="W79" s="216">
        <f>W$78*'Ethylene recycling rates'!Y48</f>
        <v>0</v>
      </c>
      <c r="X79" s="216">
        <f>X$78*'Ethylene recycling rates'!Z48</f>
        <v>0</v>
      </c>
      <c r="Y79" s="216">
        <f>Y$78*'Ethylene recycling rates'!AA48</f>
        <v>0</v>
      </c>
      <c r="Z79" s="216">
        <f>Z$78*'Ethylene recycling rates'!AB48</f>
        <v>0</v>
      </c>
      <c r="AA79" s="216">
        <f>AA$78*'Ethylene recycling rates'!AC48</f>
        <v>0</v>
      </c>
      <c r="AB79" s="216">
        <f>AB$78*'Ethylene recycling rates'!AD48</f>
        <v>0</v>
      </c>
      <c r="AC79" s="216">
        <f>AC$78*'Ethylene recycling rates'!AE48</f>
        <v>0</v>
      </c>
      <c r="AD79" s="216">
        <f>AD$78*'Ethylene recycling rates'!AF48</f>
        <v>0</v>
      </c>
      <c r="AE79" s="216">
        <f>AE$78*'Ethylene recycling rates'!AG48</f>
        <v>0</v>
      </c>
      <c r="AF79" s="216">
        <f>AF$78*'Ethylene recycling rates'!AH48</f>
        <v>0</v>
      </c>
      <c r="AG79" s="216">
        <f>AG$78*'Ethylene recycling rates'!AI48</f>
        <v>0</v>
      </c>
      <c r="AH79" s="230">
        <f t="shared" si="75"/>
        <v>0</v>
      </c>
      <c r="AI79" s="126"/>
      <c r="AJ79" s="198"/>
      <c r="AL79" s="102"/>
      <c r="AM79" s="2"/>
      <c r="AN79" s="2"/>
      <c r="AO79" s="2"/>
      <c r="BC79" s="1"/>
      <c r="BD79" s="2"/>
      <c r="BE79" s="2"/>
      <c r="BF79" s="2"/>
      <c r="BG79" s="2"/>
      <c r="BH79" s="2"/>
      <c r="BI79" s="2"/>
      <c r="BJ79" s="2"/>
      <c r="BK79" s="2"/>
    </row>
    <row r="80" spans="1:63" outlineLevel="1">
      <c r="A80" s="4" t="s">
        <v>74</v>
      </c>
      <c r="C80" s="216">
        <f>C$78*'Ethylene recycling rates'!E49</f>
        <v>0</v>
      </c>
      <c r="D80" s="216">
        <f>D$78*'Ethylene recycling rates'!F49</f>
        <v>0</v>
      </c>
      <c r="E80" s="216">
        <f>E$78*'Ethylene recycling rates'!G49</f>
        <v>0</v>
      </c>
      <c r="F80" s="216">
        <f>F$78*'Ethylene recycling rates'!H49</f>
        <v>0</v>
      </c>
      <c r="G80" s="216">
        <f>G$78*'Ethylene recycling rates'!I49</f>
        <v>0</v>
      </c>
      <c r="H80" s="216">
        <f>H$78*'Ethylene recycling rates'!J49</f>
        <v>0</v>
      </c>
      <c r="I80" s="216">
        <f>I$78*'Ethylene recycling rates'!K49</f>
        <v>0</v>
      </c>
      <c r="J80" s="216">
        <f>J$78*'Ethylene recycling rates'!L49</f>
        <v>0</v>
      </c>
      <c r="K80" s="216">
        <f>K$78*'Ethylene recycling rates'!M49</f>
        <v>0</v>
      </c>
      <c r="L80" s="216">
        <f>L$78*'Ethylene recycling rates'!N49</f>
        <v>0</v>
      </c>
      <c r="M80" s="216">
        <f>M$78*'Ethylene recycling rates'!O49</f>
        <v>0</v>
      </c>
      <c r="N80" s="216">
        <f>N$78*'Ethylene recycling rates'!P49</f>
        <v>0</v>
      </c>
      <c r="O80" s="216">
        <f>O$78*'Ethylene recycling rates'!Q49</f>
        <v>0</v>
      </c>
      <c r="P80" s="216">
        <f>P$78*'Ethylene recycling rates'!R49</f>
        <v>0</v>
      </c>
      <c r="Q80" s="216">
        <f>Q$78*'Ethylene recycling rates'!S49</f>
        <v>0</v>
      </c>
      <c r="R80" s="216">
        <f>R$78*'Ethylene recycling rates'!T49</f>
        <v>0</v>
      </c>
      <c r="S80" s="216">
        <f>S$78*'Ethylene recycling rates'!U49</f>
        <v>0</v>
      </c>
      <c r="T80" s="216">
        <f>T$78*'Ethylene recycling rates'!V49</f>
        <v>0</v>
      </c>
      <c r="U80" s="216">
        <f>U$78*'Ethylene recycling rates'!W49</f>
        <v>0</v>
      </c>
      <c r="V80" s="216">
        <f>V$78*'Ethylene recycling rates'!X49</f>
        <v>0</v>
      </c>
      <c r="W80" s="216">
        <f>W$78*'Ethylene recycling rates'!Y49</f>
        <v>0</v>
      </c>
      <c r="X80" s="216">
        <f>X$78*'Ethylene recycling rates'!Z49</f>
        <v>0</v>
      </c>
      <c r="Y80" s="216">
        <f>Y$78*'Ethylene recycling rates'!AA49</f>
        <v>0</v>
      </c>
      <c r="Z80" s="216">
        <f>Z$78*'Ethylene recycling rates'!AB49</f>
        <v>0</v>
      </c>
      <c r="AA80" s="216">
        <f>AA$78*'Ethylene recycling rates'!AC49</f>
        <v>0</v>
      </c>
      <c r="AB80" s="216">
        <f>AB$78*'Ethylene recycling rates'!AD49</f>
        <v>0</v>
      </c>
      <c r="AC80" s="216">
        <f>AC$78*'Ethylene recycling rates'!AE49</f>
        <v>0</v>
      </c>
      <c r="AD80" s="216">
        <f>AD$78*'Ethylene recycling rates'!AF49</f>
        <v>0</v>
      </c>
      <c r="AE80" s="216">
        <f>AE$78*'Ethylene recycling rates'!AG49</f>
        <v>0</v>
      </c>
      <c r="AF80" s="216">
        <f>AF$78*'Ethylene recycling rates'!AH49</f>
        <v>0</v>
      </c>
      <c r="AG80" s="216">
        <f>AG$78*'Ethylene recycling rates'!AI49</f>
        <v>0</v>
      </c>
      <c r="AH80" s="230">
        <f t="shared" si="75"/>
        <v>0</v>
      </c>
      <c r="AI80" s="126"/>
      <c r="AJ80" s="198"/>
      <c r="AL80" s="102"/>
      <c r="AM80" s="2"/>
      <c r="AN80" s="2"/>
      <c r="AO80" s="2"/>
      <c r="BC80" s="1"/>
      <c r="BD80" s="2"/>
      <c r="BE80" s="2"/>
      <c r="BF80" s="2"/>
      <c r="BG80" s="2"/>
      <c r="BH80" s="2"/>
      <c r="BI80" s="2"/>
      <c r="BJ80" s="2"/>
      <c r="BK80" s="2"/>
    </row>
    <row r="81" spans="1:63" outlineLevel="1">
      <c r="A81" s="4" t="s">
        <v>34</v>
      </c>
      <c r="C81" s="216">
        <f>C$78*'Ethylene recycling rates'!E50</f>
        <v>0</v>
      </c>
      <c r="D81" s="216">
        <f>D$78*'Ethylene recycling rates'!F50</f>
        <v>0</v>
      </c>
      <c r="E81" s="216">
        <f>E$78*'Ethylene recycling rates'!G50</f>
        <v>0</v>
      </c>
      <c r="F81" s="216">
        <f>F$78*'Ethylene recycling rates'!H50</f>
        <v>0</v>
      </c>
      <c r="G81" s="216">
        <f>G$78*'Ethylene recycling rates'!I50</f>
        <v>0</v>
      </c>
      <c r="H81" s="216">
        <f>H$78*'Ethylene recycling rates'!J50</f>
        <v>0</v>
      </c>
      <c r="I81" s="216">
        <f>I$78*'Ethylene recycling rates'!K50</f>
        <v>0</v>
      </c>
      <c r="J81" s="216">
        <f>J$78*'Ethylene recycling rates'!L50</f>
        <v>0</v>
      </c>
      <c r="K81" s="216">
        <f>K$78*'Ethylene recycling rates'!M50</f>
        <v>0</v>
      </c>
      <c r="L81" s="216">
        <f>L$78*'Ethylene recycling rates'!N50</f>
        <v>0</v>
      </c>
      <c r="M81" s="216">
        <f>M$78*'Ethylene recycling rates'!O50</f>
        <v>0</v>
      </c>
      <c r="N81" s="216">
        <f>N$78*'Ethylene recycling rates'!P50</f>
        <v>0</v>
      </c>
      <c r="O81" s="216">
        <f>O$78*'Ethylene recycling rates'!Q50</f>
        <v>0</v>
      </c>
      <c r="P81" s="216">
        <f>P$78*'Ethylene recycling rates'!R50</f>
        <v>0</v>
      </c>
      <c r="Q81" s="216">
        <f>Q$78*'Ethylene recycling rates'!S50</f>
        <v>0</v>
      </c>
      <c r="R81" s="216">
        <f>R$78*'Ethylene recycling rates'!T50</f>
        <v>0</v>
      </c>
      <c r="S81" s="216">
        <f>S$78*'Ethylene recycling rates'!U50</f>
        <v>0</v>
      </c>
      <c r="T81" s="216">
        <f>T$78*'Ethylene recycling rates'!V50</f>
        <v>0</v>
      </c>
      <c r="U81" s="216">
        <f>U$78*'Ethylene recycling rates'!W50</f>
        <v>0</v>
      </c>
      <c r="V81" s="216">
        <f>V$78*'Ethylene recycling rates'!X50</f>
        <v>0</v>
      </c>
      <c r="W81" s="216">
        <f>W$78*'Ethylene recycling rates'!Y50</f>
        <v>0</v>
      </c>
      <c r="X81" s="216">
        <f>X$78*'Ethylene recycling rates'!Z50</f>
        <v>0</v>
      </c>
      <c r="Y81" s="216">
        <f>Y$78*'Ethylene recycling rates'!AA50</f>
        <v>0</v>
      </c>
      <c r="Z81" s="216">
        <f>Z$78*'Ethylene recycling rates'!AB50</f>
        <v>0</v>
      </c>
      <c r="AA81" s="216">
        <f>AA$78*'Ethylene recycling rates'!AC50</f>
        <v>0</v>
      </c>
      <c r="AB81" s="216">
        <f>AB$78*'Ethylene recycling rates'!AD50</f>
        <v>0</v>
      </c>
      <c r="AC81" s="216">
        <f>AC$78*'Ethylene recycling rates'!AE50</f>
        <v>0</v>
      </c>
      <c r="AD81" s="216">
        <f>AD$78*'Ethylene recycling rates'!AF50</f>
        <v>0</v>
      </c>
      <c r="AE81" s="216">
        <f>AE$78*'Ethylene recycling rates'!AG50</f>
        <v>0</v>
      </c>
      <c r="AF81" s="216">
        <f>AF$78*'Ethylene recycling rates'!AH50</f>
        <v>0</v>
      </c>
      <c r="AG81" s="216">
        <f>AG$78*'Ethylene recycling rates'!AI50</f>
        <v>0</v>
      </c>
      <c r="AH81" s="230">
        <f t="shared" si="75"/>
        <v>0</v>
      </c>
      <c r="AI81" s="126"/>
      <c r="AJ81" s="198"/>
      <c r="AL81" s="102"/>
      <c r="AM81" s="2"/>
      <c r="AN81" s="2"/>
      <c r="AO81" s="2"/>
      <c r="BC81" s="1"/>
      <c r="BD81" s="2"/>
      <c r="BE81" s="2"/>
      <c r="BF81" s="2"/>
      <c r="BG81" s="2"/>
      <c r="BH81" s="2"/>
      <c r="BI81" s="2"/>
      <c r="BJ81" s="2"/>
      <c r="BK81" s="2"/>
    </row>
    <row r="82" spans="1:63" outlineLevel="1">
      <c r="A82" s="4" t="s">
        <v>35</v>
      </c>
      <c r="C82" s="216">
        <f>C$78*'Ethylene recycling rates'!E51</f>
        <v>17559.569342015755</v>
      </c>
      <c r="D82" s="216">
        <f>D$78*'Ethylene recycling rates'!F51</f>
        <v>17556.295652401051</v>
      </c>
      <c r="E82" s="216">
        <f>E$78*'Ethylene recycling rates'!G51</f>
        <v>17523.526013664374</v>
      </c>
      <c r="F82" s="216">
        <f>F$78*'Ethylene recycling rates'!H51</f>
        <v>17462.342274179096</v>
      </c>
      <c r="G82" s="216">
        <f>G$78*'Ethylene recycling rates'!I51</f>
        <v>17373.819230986926</v>
      </c>
      <c r="H82" s="216">
        <f>H$78*'Ethylene recycling rates'!J51</f>
        <v>17259.024629797885</v>
      </c>
      <c r="I82" s="216">
        <f>I$78*'Ethylene recycling rates'!K51</f>
        <v>17119.019164990324</v>
      </c>
      <c r="J82" s="216">
        <f>J$78*'Ethylene recycling rates'!L51</f>
        <v>16954.856479610928</v>
      </c>
      <c r="K82" s="216">
        <f>K$78*'Ethylene recycling rates'!M51</f>
        <v>16767.58316537469</v>
      </c>
      <c r="L82" s="216">
        <f>L$78*'Ethylene recycling rates'!N51</f>
        <v>16558.238762664951</v>
      </c>
      <c r="M82" s="216">
        <f>M$78*'Ethylene recycling rates'!O51</f>
        <v>16327.855760533364</v>
      </c>
      <c r="N82" s="216">
        <f>N$78*'Ethylene recycling rates'!P51</f>
        <v>16402.957799557349</v>
      </c>
      <c r="O82" s="216">
        <f>O$78*'Ethylene recycling rates'!Q51</f>
        <v>16474.627705913605</v>
      </c>
      <c r="P82" s="216">
        <f>P$78*'Ethylene recycling rates'!R51</f>
        <v>16400.848741140631</v>
      </c>
      <c r="Q82" s="216">
        <f>Q$78*'Ethylene recycling rates'!S51</f>
        <v>16261.051775910804</v>
      </c>
      <c r="R82" s="216">
        <f>R$78*'Ethylene recycling rates'!T51</f>
        <v>16059.330144900872</v>
      </c>
      <c r="S82" s="216">
        <f>S$78*'Ethylene recycling rates'!U51</f>
        <v>15799.747879773051</v>
      </c>
      <c r="T82" s="216">
        <f>T$78*'Ethylene recycling rates'!V51</f>
        <v>15486.339709175038</v>
      </c>
      <c r="U82" s="216">
        <f>U$78*'Ethylene recycling rates'!W51</f>
        <v>15123.111058740027</v>
      </c>
      <c r="V82" s="216">
        <f>V$78*'Ethylene recycling rates'!X51</f>
        <v>14714.038051086674</v>
      </c>
      <c r="W82" s="216">
        <f>W$78*'Ethylene recycling rates'!Y51</f>
        <v>14263.067505819121</v>
      </c>
      <c r="X82" s="216">
        <f>X$78*'Ethylene recycling rates'!Z51</f>
        <v>13798.453417240784</v>
      </c>
      <c r="Y82" s="216">
        <f>Y$78*'Ethylene recycling rates'!AA51</f>
        <v>13509.412168787427</v>
      </c>
      <c r="Z82" s="216">
        <f>Z$78*'Ethylene recycling rates'!AB51</f>
        <v>13151.187938052311</v>
      </c>
      <c r="AA82" s="216">
        <f>AA$78*'Ethylene recycling rates'!AC51</f>
        <v>12730.122152874841</v>
      </c>
      <c r="AB82" s="216">
        <f>AB$78*'Ethylene recycling rates'!AD51</f>
        <v>12252.508539179029</v>
      </c>
      <c r="AC82" s="216">
        <f>AC$78*'Ethylene recycling rates'!AE51</f>
        <v>11724.593120973532</v>
      </c>
      <c r="AD82" s="216">
        <f>AD$78*'Ethylene recycling rates'!AF51</f>
        <v>11152.574220351647</v>
      </c>
      <c r="AE82" s="216">
        <f>AE$78*'Ethylene recycling rates'!AG51</f>
        <v>10542.602457491286</v>
      </c>
      <c r="AF82" s="216">
        <f>AF$78*'Ethylene recycling rates'!AH51</f>
        <v>9900.7807506550162</v>
      </c>
      <c r="AG82" s="216">
        <f>AG$78*'Ethylene recycling rates'!AI51</f>
        <v>9233.1643161900156</v>
      </c>
      <c r="AH82" s="230">
        <f t="shared" si="75"/>
        <v>-8326.4050258257394</v>
      </c>
      <c r="AI82" s="126"/>
      <c r="AJ82" s="198"/>
      <c r="AL82" s="102"/>
      <c r="AM82" s="2"/>
      <c r="AN82" s="2"/>
      <c r="AO82" s="2"/>
      <c r="BC82" s="1"/>
      <c r="BD82" s="2"/>
      <c r="BE82" s="2"/>
      <c r="BF82" s="2"/>
      <c r="BG82" s="2"/>
      <c r="BH82" s="2"/>
      <c r="BI82" s="2"/>
      <c r="BJ82" s="2"/>
      <c r="BK82" s="2"/>
    </row>
    <row r="83" spans="1:63" outlineLevel="1">
      <c r="A83" s="4" t="s">
        <v>27</v>
      </c>
      <c r="C83" s="216">
        <f>C$78*'Ethylene recycling rates'!E52</f>
        <v>0</v>
      </c>
      <c r="D83" s="216">
        <f>D$78*'Ethylene recycling rates'!F52</f>
        <v>0.58279615238978677</v>
      </c>
      <c r="E83" s="216">
        <f>E$78*'Ethylene recycling rates'!G52</f>
        <v>1.1634166727727921</v>
      </c>
      <c r="F83" s="216">
        <f>F$78*'Ethylene recycling rates'!H52</f>
        <v>1.7390318704925536</v>
      </c>
      <c r="G83" s="216">
        <f>G$78*'Ethylene recycling rates'!I52</f>
        <v>2.3069547700969788</v>
      </c>
      <c r="H83" s="216">
        <f>H$78*'Ethylene recycling rates'!J52</f>
        <v>2.8646399409636114</v>
      </c>
      <c r="I83" s="216">
        <f>I$78*'Ethylene recycling rates'!K52</f>
        <v>3.4096823269248984</v>
      </c>
      <c r="J83" s="216">
        <f>J$78*'Ethylene recycling rates'!L52</f>
        <v>3.9398160758934564</v>
      </c>
      <c r="K83" s="216">
        <f>K$78*'Ethylene recycling rates'!M52</f>
        <v>4.4529133694873364</v>
      </c>
      <c r="L83" s="216">
        <f>L$78*'Ethylene recycling rates'!N52</f>
        <v>4.946983252655297</v>
      </c>
      <c r="M83" s="216">
        <f>M$78*'Ethylene recycling rates'!O52</f>
        <v>5.4201704633020631</v>
      </c>
      <c r="N83" s="216">
        <f>N$78*'Ethylene recycling rates'!P52</f>
        <v>5.989611345657269</v>
      </c>
      <c r="O83" s="216">
        <f>O$78*'Ethylene recycling rates'!Q52</f>
        <v>6.5626711892932965</v>
      </c>
      <c r="P83" s="216">
        <f>P$78*'Ethylene recycling rates'!R52</f>
        <v>7.0777214345005248</v>
      </c>
      <c r="Q83" s="216">
        <f>Q$78*'Ethylene recycling rates'!S52</f>
        <v>7.5571920381291688</v>
      </c>
      <c r="R83" s="216">
        <f>R$78*'Ethylene recycling rates'!T52</f>
        <v>7.9965466551529092</v>
      </c>
      <c r="S83" s="216">
        <f>S$78*'Ethylene recycling rates'!U52</f>
        <v>8.3917769036213343</v>
      </c>
      <c r="T83" s="216">
        <f>T$78*'Ethylene recycling rates'!V52</f>
        <v>8.7393975009676215</v>
      </c>
      <c r="U83" s="216">
        <f>U$78*'Ethylene recycling rates'!W52</f>
        <v>9.0364414003161997</v>
      </c>
      <c r="V83" s="216">
        <f>V$78*'Ethylene recycling rates'!X52</f>
        <v>9.2804549267904068</v>
      </c>
      <c r="W83" s="216">
        <f>W$78*'Ethylene recycling rates'!Y52</f>
        <v>9.4694929138201616</v>
      </c>
      <c r="X83" s="216">
        <f>X$78*'Ethylene recycling rates'!Z52</f>
        <v>9.6190791106524998</v>
      </c>
      <c r="Y83" s="216">
        <f>Y$78*'Ethylene recycling rates'!AA52</f>
        <v>9.8660411601513864</v>
      </c>
      <c r="Z83" s="216">
        <f>Z$78*'Ethylene recycling rates'!AB52</f>
        <v>10.040991748614337</v>
      </c>
      <c r="AA83" s="216">
        <f>AA$78*'Ethylene recycling rates'!AC52</f>
        <v>10.142093330445078</v>
      </c>
      <c r="AB83" s="216">
        <f>AB$78*'Ethylene recycling rates'!AD52</f>
        <v>10.168310808749617</v>
      </c>
      <c r="AC83" s="216">
        <f>AC$78*'Ethylene recycling rates'!AE52</f>
        <v>10.119403617808192</v>
      </c>
      <c r="AD83" s="216">
        <f>AD$78*'Ethylene recycling rates'!AF52</f>
        <v>9.9959178055471956</v>
      </c>
      <c r="AE83" s="216">
        <f>AE$78*'Ethylene recycling rates'!AG52</f>
        <v>9.7991781160110758</v>
      </c>
      <c r="AF83" s="216">
        <f>AF$78*'Ethylene recycling rates'!AH52</f>
        <v>9.5312800718343134</v>
      </c>
      <c r="AG83" s="216">
        <f>AG$78*'Ethylene recycling rates'!AI52</f>
        <v>9.1950820567132947</v>
      </c>
      <c r="AH83" s="230">
        <f t="shared" si="75"/>
        <v>9.1950820567132947</v>
      </c>
      <c r="AI83" s="126"/>
      <c r="AJ83" s="198"/>
      <c r="AL83" s="102"/>
      <c r="AM83" s="2"/>
      <c r="AN83" s="2"/>
      <c r="AO83" s="2"/>
      <c r="BC83" s="1"/>
      <c r="BD83" s="2"/>
      <c r="BE83" s="2"/>
      <c r="BF83" s="2"/>
      <c r="BG83" s="2"/>
      <c r="BH83" s="2"/>
      <c r="BI83" s="2"/>
      <c r="BJ83" s="2"/>
      <c r="BK83" s="2"/>
    </row>
    <row r="84" spans="1:63" s="1" customFormat="1" outlineLevel="1">
      <c r="A84" s="1" t="s">
        <v>828</v>
      </c>
      <c r="B84" s="61"/>
      <c r="C84" s="279">
        <f>C68*C42</f>
        <v>21058.825037240655</v>
      </c>
      <c r="D84" s="279">
        <f t="shared" ref="D84:AG84" si="77">D68*D42</f>
        <v>21459.200999027264</v>
      </c>
      <c r="E84" s="279">
        <f t="shared" si="77"/>
        <v>21838.495270401185</v>
      </c>
      <c r="F84" s="279">
        <f t="shared" si="77"/>
        <v>22196.820063298092</v>
      </c>
      <c r="G84" s="279">
        <f t="shared" si="77"/>
        <v>22534.287589653668</v>
      </c>
      <c r="H84" s="279">
        <f t="shared" si="77"/>
        <v>22851.010061403569</v>
      </c>
      <c r="I84" s="279">
        <f t="shared" si="77"/>
        <v>23147.099690483479</v>
      </c>
      <c r="J84" s="279">
        <f t="shared" si="77"/>
        <v>23422.668688829071</v>
      </c>
      <c r="K84" s="279">
        <f t="shared" si="77"/>
        <v>23677.829268376008</v>
      </c>
      <c r="L84" s="279">
        <f t="shared" si="77"/>
        <v>23912.693641059959</v>
      </c>
      <c r="M84" s="279">
        <f t="shared" si="77"/>
        <v>24127.374018816616</v>
      </c>
      <c r="N84" s="279">
        <f t="shared" si="77"/>
        <v>24814.39633000458</v>
      </c>
      <c r="O84" s="279">
        <f t="shared" si="77"/>
        <v>25529.550447672616</v>
      </c>
      <c r="P84" s="279">
        <f t="shared" si="77"/>
        <v>26049.377791407704</v>
      </c>
      <c r="Q84" s="279">
        <f t="shared" si="77"/>
        <v>26488.270980080251</v>
      </c>
      <c r="R84" s="279">
        <f t="shared" si="77"/>
        <v>26846.696329576716</v>
      </c>
      <c r="S84" s="279">
        <f t="shared" si="77"/>
        <v>27125.120155783519</v>
      </c>
      <c r="T84" s="279">
        <f t="shared" si="77"/>
        <v>27324.008774587106</v>
      </c>
      <c r="U84" s="279">
        <f t="shared" si="77"/>
        <v>27443.828501873923</v>
      </c>
      <c r="V84" s="279">
        <f t="shared" si="77"/>
        <v>27485.045653530411</v>
      </c>
      <c r="W84" s="279">
        <f t="shared" si="77"/>
        <v>27448.126545442989</v>
      </c>
      <c r="X84" s="279">
        <f t="shared" si="77"/>
        <v>27381.831117617174</v>
      </c>
      <c r="Y84" s="279">
        <f t="shared" si="77"/>
        <v>27670.889318929574</v>
      </c>
      <c r="Z84" s="279">
        <f t="shared" si="77"/>
        <v>27832.751991372726</v>
      </c>
      <c r="AA84" s="279">
        <f t="shared" si="77"/>
        <v>27868.178243226586</v>
      </c>
      <c r="AB84" s="279">
        <f t="shared" si="77"/>
        <v>27777.927182771109</v>
      </c>
      <c r="AC84" s="279">
        <f t="shared" si="77"/>
        <v>27562.75791828625</v>
      </c>
      <c r="AD84" s="279">
        <f t="shared" si="77"/>
        <v>27223.429558051965</v>
      </c>
      <c r="AE84" s="279">
        <f t="shared" si="77"/>
        <v>26760.701210348194</v>
      </c>
      <c r="AF84" s="279">
        <f t="shared" si="77"/>
        <v>26175.331983454911</v>
      </c>
      <c r="AG84" s="279">
        <f t="shared" si="77"/>
        <v>25468.080985652086</v>
      </c>
      <c r="AH84" s="230">
        <f>AG84-C84</f>
        <v>4409.2559484114317</v>
      </c>
      <c r="AI84" s="398"/>
      <c r="AJ84" s="399"/>
      <c r="AL84" s="207"/>
      <c r="AM84" s="118"/>
      <c r="AN84" s="118"/>
      <c r="AO84" s="118"/>
      <c r="BD84" s="118"/>
      <c r="BE84" s="118"/>
      <c r="BF84" s="118"/>
      <c r="BG84" s="118"/>
      <c r="BH84" s="118"/>
      <c r="BI84" s="118"/>
      <c r="BJ84" s="118"/>
      <c r="BK84" s="118"/>
    </row>
    <row r="85" spans="1:63" outlineLevel="1">
      <c r="A85" s="4" t="s">
        <v>141</v>
      </c>
      <c r="C85" s="216">
        <f>C$84*'Ethylene recycling rates'!E53</f>
        <v>21058.825037240655</v>
      </c>
      <c r="D85" s="216">
        <f>D$84*'Ethylene recycling rates'!F53</f>
        <v>21459.200999027264</v>
      </c>
      <c r="E85" s="216">
        <f>E$84*'Ethylene recycling rates'!G53</f>
        <v>21838.495270401185</v>
      </c>
      <c r="F85" s="216">
        <f>F$84*'Ethylene recycling rates'!H53</f>
        <v>22196.820063298092</v>
      </c>
      <c r="G85" s="216">
        <f>G$84*'Ethylene recycling rates'!I53</f>
        <v>22534.287589653668</v>
      </c>
      <c r="H85" s="216">
        <f>H$84*'Ethylene recycling rates'!J53</f>
        <v>22851.010061403569</v>
      </c>
      <c r="I85" s="216">
        <f>I$84*'Ethylene recycling rates'!K53</f>
        <v>23147.099690483479</v>
      </c>
      <c r="J85" s="216">
        <f>J$84*'Ethylene recycling rates'!L53</f>
        <v>23422.668688829071</v>
      </c>
      <c r="K85" s="216">
        <f>K$84*'Ethylene recycling rates'!M53</f>
        <v>23677.829268376008</v>
      </c>
      <c r="L85" s="216">
        <f>L$84*'Ethylene recycling rates'!N53</f>
        <v>23912.693641059959</v>
      </c>
      <c r="M85" s="216">
        <f>M$84*'Ethylene recycling rates'!O53</f>
        <v>24127.374018816616</v>
      </c>
      <c r="N85" s="216">
        <f>N$84*'Ethylene recycling rates'!P53</f>
        <v>24814.39633000458</v>
      </c>
      <c r="O85" s="216">
        <f>O$84*'Ethylene recycling rates'!Q53</f>
        <v>25529.550447672616</v>
      </c>
      <c r="P85" s="216">
        <f>P$84*'Ethylene recycling rates'!R53</f>
        <v>26049.377791407704</v>
      </c>
      <c r="Q85" s="216">
        <f>Q$84*'Ethylene recycling rates'!S53</f>
        <v>26488.270980080251</v>
      </c>
      <c r="R85" s="216">
        <f>R$84*'Ethylene recycling rates'!T53</f>
        <v>26846.696329576716</v>
      </c>
      <c r="S85" s="216">
        <f>S$84*'Ethylene recycling rates'!U53</f>
        <v>27125.120155783519</v>
      </c>
      <c r="T85" s="216">
        <f>T$84*'Ethylene recycling rates'!V53</f>
        <v>27324.008774587106</v>
      </c>
      <c r="U85" s="216">
        <f>U$84*'Ethylene recycling rates'!W53</f>
        <v>27443.828501873923</v>
      </c>
      <c r="V85" s="216">
        <f>V$84*'Ethylene recycling rates'!X53</f>
        <v>27485.045653530411</v>
      </c>
      <c r="W85" s="216">
        <f>W$84*'Ethylene recycling rates'!Y53</f>
        <v>27448.126545442989</v>
      </c>
      <c r="X85" s="216">
        <f>X$84*'Ethylene recycling rates'!Z53</f>
        <v>27381.831117617174</v>
      </c>
      <c r="Y85" s="216">
        <f>Y$84*'Ethylene recycling rates'!AA53</f>
        <v>27670.889318929574</v>
      </c>
      <c r="Z85" s="216">
        <f>Z$84*'Ethylene recycling rates'!AB53</f>
        <v>27832.751991372726</v>
      </c>
      <c r="AA85" s="216">
        <f>AA$84*'Ethylene recycling rates'!AC53</f>
        <v>27868.178243226586</v>
      </c>
      <c r="AB85" s="216">
        <f>AB$84*'Ethylene recycling rates'!AD53</f>
        <v>27777.927182771109</v>
      </c>
      <c r="AC85" s="216">
        <f>AC$84*'Ethylene recycling rates'!AE53</f>
        <v>27562.75791828625</v>
      </c>
      <c r="AD85" s="216">
        <f>AD$84*'Ethylene recycling rates'!AF53</f>
        <v>27223.429558051965</v>
      </c>
      <c r="AE85" s="216">
        <f>AE$84*'Ethylene recycling rates'!AG53</f>
        <v>26760.701210348194</v>
      </c>
      <c r="AF85" s="216">
        <f>AF$84*'Ethylene recycling rates'!AH53</f>
        <v>26175.331983454911</v>
      </c>
      <c r="AG85" s="216">
        <f>AG$84*'Ethylene recycling rates'!AI53</f>
        <v>25468.080985652086</v>
      </c>
      <c r="AH85" s="230">
        <f>AG85-C85</f>
        <v>4409.2559484114317</v>
      </c>
      <c r="AI85" s="126"/>
      <c r="AJ85" s="198"/>
      <c r="AL85" s="102"/>
      <c r="AM85" s="2"/>
      <c r="AN85" s="2"/>
      <c r="AO85" s="2"/>
      <c r="BC85" s="1"/>
      <c r="BD85" s="2"/>
      <c r="BE85" s="2"/>
      <c r="BF85" s="2"/>
      <c r="BG85" s="2"/>
      <c r="BH85" s="2"/>
      <c r="BI85" s="2"/>
      <c r="BJ85" s="2"/>
      <c r="BK85" s="2"/>
    </row>
    <row r="86" spans="1:63" outlineLevel="1">
      <c r="A86" s="4" t="s">
        <v>74</v>
      </c>
      <c r="C86" s="216">
        <f>C$84*'Ethylene recycling rates'!E54</f>
        <v>0</v>
      </c>
      <c r="D86" s="216">
        <f>D$84*'Ethylene recycling rates'!F54</f>
        <v>0</v>
      </c>
      <c r="E86" s="216">
        <f>E$84*'Ethylene recycling rates'!G54</f>
        <v>0</v>
      </c>
      <c r="F86" s="216">
        <f>F$84*'Ethylene recycling rates'!H54</f>
        <v>0</v>
      </c>
      <c r="G86" s="216">
        <f>G$84*'Ethylene recycling rates'!I54</f>
        <v>0</v>
      </c>
      <c r="H86" s="216">
        <f>H$84*'Ethylene recycling rates'!J54</f>
        <v>0</v>
      </c>
      <c r="I86" s="216">
        <f>I$84*'Ethylene recycling rates'!K54</f>
        <v>0</v>
      </c>
      <c r="J86" s="216">
        <f>J$84*'Ethylene recycling rates'!L54</f>
        <v>0</v>
      </c>
      <c r="K86" s="216">
        <f>K$84*'Ethylene recycling rates'!M54</f>
        <v>0</v>
      </c>
      <c r="L86" s="216">
        <f>L$84*'Ethylene recycling rates'!N54</f>
        <v>0</v>
      </c>
      <c r="M86" s="216">
        <f>M$84*'Ethylene recycling rates'!O54</f>
        <v>0</v>
      </c>
      <c r="N86" s="216">
        <f>N$84*'Ethylene recycling rates'!P54</f>
        <v>0</v>
      </c>
      <c r="O86" s="216">
        <f>O$84*'Ethylene recycling rates'!Q54</f>
        <v>0</v>
      </c>
      <c r="P86" s="216">
        <f>P$84*'Ethylene recycling rates'!R54</f>
        <v>0</v>
      </c>
      <c r="Q86" s="216">
        <f>Q$84*'Ethylene recycling rates'!S54</f>
        <v>0</v>
      </c>
      <c r="R86" s="216">
        <f>R$84*'Ethylene recycling rates'!T54</f>
        <v>0</v>
      </c>
      <c r="S86" s="216">
        <f>S$84*'Ethylene recycling rates'!U54</f>
        <v>0</v>
      </c>
      <c r="T86" s="216">
        <f>T$84*'Ethylene recycling rates'!V54</f>
        <v>0</v>
      </c>
      <c r="U86" s="216">
        <f>U$84*'Ethylene recycling rates'!W54</f>
        <v>0</v>
      </c>
      <c r="V86" s="216">
        <f>V$84*'Ethylene recycling rates'!X54</f>
        <v>0</v>
      </c>
      <c r="W86" s="216">
        <f>W$84*'Ethylene recycling rates'!Y54</f>
        <v>0</v>
      </c>
      <c r="X86" s="216">
        <f>X$84*'Ethylene recycling rates'!Z54</f>
        <v>0</v>
      </c>
      <c r="Y86" s="216">
        <f>Y$84*'Ethylene recycling rates'!AA54</f>
        <v>0</v>
      </c>
      <c r="Z86" s="216">
        <f>Z$84*'Ethylene recycling rates'!AB54</f>
        <v>0</v>
      </c>
      <c r="AA86" s="216">
        <f>AA$84*'Ethylene recycling rates'!AC54</f>
        <v>0</v>
      </c>
      <c r="AB86" s="216">
        <f>AB$84*'Ethylene recycling rates'!AD54</f>
        <v>0</v>
      </c>
      <c r="AC86" s="216">
        <f>AC$84*'Ethylene recycling rates'!AE54</f>
        <v>0</v>
      </c>
      <c r="AD86" s="216">
        <f>AD$84*'Ethylene recycling rates'!AF54</f>
        <v>0</v>
      </c>
      <c r="AE86" s="216">
        <f>AE$84*'Ethylene recycling rates'!AG54</f>
        <v>0</v>
      </c>
      <c r="AF86" s="216">
        <f>AF$84*'Ethylene recycling rates'!AH54</f>
        <v>0</v>
      </c>
      <c r="AG86" s="216">
        <f>AG$84*'Ethylene recycling rates'!AI54</f>
        <v>0</v>
      </c>
      <c r="AH86" s="230">
        <f t="shared" ref="AH86:AH89" si="78">AG86-C86</f>
        <v>0</v>
      </c>
      <c r="AI86" s="126"/>
      <c r="AJ86" s="198"/>
      <c r="AL86" s="102"/>
      <c r="AM86" s="2"/>
      <c r="AN86" s="2"/>
      <c r="AO86" s="2"/>
      <c r="BC86" s="1"/>
      <c r="BD86" s="2"/>
      <c r="BE86" s="2"/>
      <c r="BF86" s="2"/>
      <c r="BG86" s="2"/>
      <c r="BH86" s="2"/>
      <c r="BI86" s="2"/>
      <c r="BJ86" s="2"/>
      <c r="BK86" s="2"/>
    </row>
    <row r="87" spans="1:63" outlineLevel="1">
      <c r="A87" s="4" t="s">
        <v>34</v>
      </c>
      <c r="C87" s="216">
        <f>C$84*'Ethylene recycling rates'!E55</f>
        <v>0</v>
      </c>
      <c r="D87" s="216">
        <f>D$84*'Ethylene recycling rates'!F55</f>
        <v>0</v>
      </c>
      <c r="E87" s="216">
        <f>E$84*'Ethylene recycling rates'!G55</f>
        <v>0</v>
      </c>
      <c r="F87" s="216">
        <f>F$84*'Ethylene recycling rates'!H55</f>
        <v>0</v>
      </c>
      <c r="G87" s="216">
        <f>G$84*'Ethylene recycling rates'!I55</f>
        <v>0</v>
      </c>
      <c r="H87" s="216">
        <f>H$84*'Ethylene recycling rates'!J55</f>
        <v>0</v>
      </c>
      <c r="I87" s="216">
        <f>I$84*'Ethylene recycling rates'!K55</f>
        <v>0</v>
      </c>
      <c r="J87" s="216">
        <f>J$84*'Ethylene recycling rates'!L55</f>
        <v>0</v>
      </c>
      <c r="K87" s="216">
        <f>K$84*'Ethylene recycling rates'!M55</f>
        <v>0</v>
      </c>
      <c r="L87" s="216">
        <f>L$84*'Ethylene recycling rates'!N55</f>
        <v>0</v>
      </c>
      <c r="M87" s="216">
        <f>M$84*'Ethylene recycling rates'!O55</f>
        <v>0</v>
      </c>
      <c r="N87" s="216">
        <f>N$84*'Ethylene recycling rates'!P55</f>
        <v>0</v>
      </c>
      <c r="O87" s="216">
        <f>O$84*'Ethylene recycling rates'!Q55</f>
        <v>0</v>
      </c>
      <c r="P87" s="216">
        <f>P$84*'Ethylene recycling rates'!R55</f>
        <v>0</v>
      </c>
      <c r="Q87" s="216">
        <f>Q$84*'Ethylene recycling rates'!S55</f>
        <v>0</v>
      </c>
      <c r="R87" s="216">
        <f>R$84*'Ethylene recycling rates'!T55</f>
        <v>0</v>
      </c>
      <c r="S87" s="216">
        <f>S$84*'Ethylene recycling rates'!U55</f>
        <v>0</v>
      </c>
      <c r="T87" s="216">
        <f>T$84*'Ethylene recycling rates'!V55</f>
        <v>0</v>
      </c>
      <c r="U87" s="216">
        <f>U$84*'Ethylene recycling rates'!W55</f>
        <v>0</v>
      </c>
      <c r="V87" s="216">
        <f>V$84*'Ethylene recycling rates'!X55</f>
        <v>0</v>
      </c>
      <c r="W87" s="216">
        <f>W$84*'Ethylene recycling rates'!Y55</f>
        <v>0</v>
      </c>
      <c r="X87" s="216">
        <f>X$84*'Ethylene recycling rates'!Z55</f>
        <v>0</v>
      </c>
      <c r="Y87" s="216">
        <f>Y$84*'Ethylene recycling rates'!AA55</f>
        <v>0</v>
      </c>
      <c r="Z87" s="216">
        <f>Z$84*'Ethylene recycling rates'!AB55</f>
        <v>0</v>
      </c>
      <c r="AA87" s="216">
        <f>AA$84*'Ethylene recycling rates'!AC55</f>
        <v>0</v>
      </c>
      <c r="AB87" s="216">
        <f>AB$84*'Ethylene recycling rates'!AD55</f>
        <v>0</v>
      </c>
      <c r="AC87" s="216">
        <f>AC$84*'Ethylene recycling rates'!AE55</f>
        <v>0</v>
      </c>
      <c r="AD87" s="216">
        <f>AD$84*'Ethylene recycling rates'!AF55</f>
        <v>0</v>
      </c>
      <c r="AE87" s="216">
        <f>AE$84*'Ethylene recycling rates'!AG55</f>
        <v>0</v>
      </c>
      <c r="AF87" s="216">
        <f>AF$84*'Ethylene recycling rates'!AH55</f>
        <v>0</v>
      </c>
      <c r="AG87" s="216">
        <f>AG$84*'Ethylene recycling rates'!AI55</f>
        <v>0</v>
      </c>
      <c r="AH87" s="230">
        <f t="shared" si="78"/>
        <v>0</v>
      </c>
      <c r="AI87" s="126"/>
      <c r="AJ87" s="198"/>
      <c r="AL87" s="102"/>
      <c r="AM87" s="2"/>
      <c r="AN87" s="2"/>
      <c r="AO87" s="2"/>
      <c r="BC87" s="1"/>
      <c r="BD87" s="2"/>
      <c r="BE87" s="2"/>
      <c r="BF87" s="2"/>
      <c r="BG87" s="2"/>
      <c r="BH87" s="2"/>
      <c r="BI87" s="2"/>
      <c r="BJ87" s="2"/>
      <c r="BK87" s="2"/>
    </row>
    <row r="88" spans="1:63" outlineLevel="1">
      <c r="A88" s="4" t="s">
        <v>35</v>
      </c>
      <c r="C88" s="216">
        <f>C$84*'Ethylene recycling rates'!E56</f>
        <v>0</v>
      </c>
      <c r="D88" s="216">
        <f>D$84*'Ethylene recycling rates'!F56</f>
        <v>0</v>
      </c>
      <c r="E88" s="216">
        <f>E$84*'Ethylene recycling rates'!G56</f>
        <v>0</v>
      </c>
      <c r="F88" s="216">
        <f>F$84*'Ethylene recycling rates'!H56</f>
        <v>0</v>
      </c>
      <c r="G88" s="216">
        <f>G$84*'Ethylene recycling rates'!I56</f>
        <v>0</v>
      </c>
      <c r="H88" s="216">
        <f>H$84*'Ethylene recycling rates'!J56</f>
        <v>0</v>
      </c>
      <c r="I88" s="216">
        <f>I$84*'Ethylene recycling rates'!K56</f>
        <v>0</v>
      </c>
      <c r="J88" s="216">
        <f>J$84*'Ethylene recycling rates'!L56</f>
        <v>0</v>
      </c>
      <c r="K88" s="216">
        <f>K$84*'Ethylene recycling rates'!M56</f>
        <v>0</v>
      </c>
      <c r="L88" s="216">
        <f>L$84*'Ethylene recycling rates'!N56</f>
        <v>0</v>
      </c>
      <c r="M88" s="216">
        <f>M$84*'Ethylene recycling rates'!O56</f>
        <v>0</v>
      </c>
      <c r="N88" s="216">
        <f>N$84*'Ethylene recycling rates'!P56</f>
        <v>0</v>
      </c>
      <c r="O88" s="216">
        <f>O$84*'Ethylene recycling rates'!Q56</f>
        <v>0</v>
      </c>
      <c r="P88" s="216">
        <f>P$84*'Ethylene recycling rates'!R56</f>
        <v>0</v>
      </c>
      <c r="Q88" s="216">
        <f>Q$84*'Ethylene recycling rates'!S56</f>
        <v>0</v>
      </c>
      <c r="R88" s="216">
        <f>R$84*'Ethylene recycling rates'!T56</f>
        <v>0</v>
      </c>
      <c r="S88" s="216">
        <f>S$84*'Ethylene recycling rates'!U56</f>
        <v>0</v>
      </c>
      <c r="T88" s="216">
        <f>T$84*'Ethylene recycling rates'!V56</f>
        <v>0</v>
      </c>
      <c r="U88" s="216">
        <f>U$84*'Ethylene recycling rates'!W56</f>
        <v>0</v>
      </c>
      <c r="V88" s="216">
        <f>V$84*'Ethylene recycling rates'!X56</f>
        <v>0</v>
      </c>
      <c r="W88" s="216">
        <f>W$84*'Ethylene recycling rates'!Y56</f>
        <v>0</v>
      </c>
      <c r="X88" s="216">
        <f>X$84*'Ethylene recycling rates'!Z56</f>
        <v>0</v>
      </c>
      <c r="Y88" s="216">
        <f>Y$84*'Ethylene recycling rates'!AA56</f>
        <v>0</v>
      </c>
      <c r="Z88" s="216">
        <f>Z$84*'Ethylene recycling rates'!AB56</f>
        <v>0</v>
      </c>
      <c r="AA88" s="216">
        <f>AA$84*'Ethylene recycling rates'!AC56</f>
        <v>0</v>
      </c>
      <c r="AB88" s="216">
        <f>AB$84*'Ethylene recycling rates'!AD56</f>
        <v>0</v>
      </c>
      <c r="AC88" s="216">
        <f>AC$84*'Ethylene recycling rates'!AE56</f>
        <v>0</v>
      </c>
      <c r="AD88" s="216">
        <f>AD$84*'Ethylene recycling rates'!AF56</f>
        <v>0</v>
      </c>
      <c r="AE88" s="216">
        <f>AE$84*'Ethylene recycling rates'!AG56</f>
        <v>0</v>
      </c>
      <c r="AF88" s="216">
        <f>AF$84*'Ethylene recycling rates'!AH56</f>
        <v>0</v>
      </c>
      <c r="AG88" s="216">
        <f>AG$84*'Ethylene recycling rates'!AI56</f>
        <v>0</v>
      </c>
      <c r="AH88" s="230">
        <f t="shared" si="78"/>
        <v>0</v>
      </c>
      <c r="AI88" s="126"/>
      <c r="AJ88" s="198"/>
      <c r="AL88" s="102"/>
      <c r="AM88" s="2"/>
      <c r="AN88" s="2"/>
      <c r="AO88" s="2"/>
      <c r="BC88" s="1"/>
      <c r="BD88" s="2"/>
      <c r="BE88" s="2"/>
      <c r="BF88" s="2"/>
      <c r="BG88" s="2"/>
      <c r="BH88" s="2"/>
      <c r="BI88" s="2"/>
      <c r="BJ88" s="2"/>
      <c r="BK88" s="2"/>
    </row>
    <row r="89" spans="1:63" outlineLevel="1">
      <c r="A89" s="4" t="s">
        <v>27</v>
      </c>
      <c r="C89" s="216">
        <f>C$84*'Ethylene recycling rates'!E57</f>
        <v>0</v>
      </c>
      <c r="D89" s="216">
        <f>D$84*'Ethylene recycling rates'!F57</f>
        <v>0</v>
      </c>
      <c r="E89" s="216">
        <f>E$84*'Ethylene recycling rates'!G57</f>
        <v>0</v>
      </c>
      <c r="F89" s="216">
        <f>F$84*'Ethylene recycling rates'!H57</f>
        <v>0</v>
      </c>
      <c r="G89" s="216">
        <f>G$84*'Ethylene recycling rates'!I57</f>
        <v>0</v>
      </c>
      <c r="H89" s="216">
        <f>H$84*'Ethylene recycling rates'!J57</f>
        <v>0</v>
      </c>
      <c r="I89" s="216">
        <f>I$84*'Ethylene recycling rates'!K57</f>
        <v>0</v>
      </c>
      <c r="J89" s="216">
        <f>J$84*'Ethylene recycling rates'!L57</f>
        <v>0</v>
      </c>
      <c r="K89" s="216">
        <f>K$84*'Ethylene recycling rates'!M57</f>
        <v>0</v>
      </c>
      <c r="L89" s="216">
        <f>L$84*'Ethylene recycling rates'!N57</f>
        <v>0</v>
      </c>
      <c r="M89" s="216">
        <f>M$84*'Ethylene recycling rates'!O57</f>
        <v>0</v>
      </c>
      <c r="N89" s="216">
        <f>N$84*'Ethylene recycling rates'!P57</f>
        <v>0</v>
      </c>
      <c r="O89" s="216">
        <f>O$84*'Ethylene recycling rates'!Q57</f>
        <v>0</v>
      </c>
      <c r="P89" s="216">
        <f>P$84*'Ethylene recycling rates'!R57</f>
        <v>0</v>
      </c>
      <c r="Q89" s="216">
        <f>Q$84*'Ethylene recycling rates'!S57</f>
        <v>0</v>
      </c>
      <c r="R89" s="216">
        <f>R$84*'Ethylene recycling rates'!T57</f>
        <v>0</v>
      </c>
      <c r="S89" s="216">
        <f>S$84*'Ethylene recycling rates'!U57</f>
        <v>0</v>
      </c>
      <c r="T89" s="216">
        <f>T$84*'Ethylene recycling rates'!V57</f>
        <v>0</v>
      </c>
      <c r="U89" s="216">
        <f>U$84*'Ethylene recycling rates'!W57</f>
        <v>0</v>
      </c>
      <c r="V89" s="216">
        <f>V$84*'Ethylene recycling rates'!X57</f>
        <v>0</v>
      </c>
      <c r="W89" s="216">
        <f>W$84*'Ethylene recycling rates'!Y57</f>
        <v>0</v>
      </c>
      <c r="X89" s="216">
        <f>X$84*'Ethylene recycling rates'!Z57</f>
        <v>0</v>
      </c>
      <c r="Y89" s="216">
        <f>Y$84*'Ethylene recycling rates'!AA57</f>
        <v>0</v>
      </c>
      <c r="Z89" s="216">
        <f>Z$84*'Ethylene recycling rates'!AB57</f>
        <v>0</v>
      </c>
      <c r="AA89" s="216">
        <f>AA$84*'Ethylene recycling rates'!AC57</f>
        <v>0</v>
      </c>
      <c r="AB89" s="216">
        <f>AB$84*'Ethylene recycling rates'!AD57</f>
        <v>0</v>
      </c>
      <c r="AC89" s="216">
        <f>AC$84*'Ethylene recycling rates'!AE57</f>
        <v>0</v>
      </c>
      <c r="AD89" s="216">
        <f>AD$84*'Ethylene recycling rates'!AF57</f>
        <v>0</v>
      </c>
      <c r="AE89" s="216">
        <f>AE$84*'Ethylene recycling rates'!AG57</f>
        <v>0</v>
      </c>
      <c r="AF89" s="216">
        <f>AF$84*'Ethylene recycling rates'!AH57</f>
        <v>0</v>
      </c>
      <c r="AG89" s="216">
        <f>AG$84*'Ethylene recycling rates'!AI57</f>
        <v>0</v>
      </c>
      <c r="AH89" s="230">
        <f t="shared" si="78"/>
        <v>0</v>
      </c>
      <c r="AI89" s="126"/>
      <c r="AJ89" s="198"/>
      <c r="AL89" s="102"/>
      <c r="AM89" s="2"/>
      <c r="AN89" s="2"/>
      <c r="AO89" s="2"/>
      <c r="BC89" s="1"/>
      <c r="BD89" s="2"/>
      <c r="BE89" s="2"/>
      <c r="BF89" s="2"/>
      <c r="BG89" s="2"/>
      <c r="BH89" s="2"/>
      <c r="BI89" s="2"/>
      <c r="BJ89" s="2"/>
      <c r="BK89" s="2"/>
    </row>
    <row r="90" spans="1:63" s="1" customFormat="1" outlineLevel="1">
      <c r="A90" s="1" t="s">
        <v>829</v>
      </c>
      <c r="B90" s="61"/>
      <c r="C90" s="279">
        <f>C70*C42</f>
        <v>97499.466517403445</v>
      </c>
      <c r="D90" s="279">
        <f t="shared" ref="D90:AG90" si="79">D70*D42</f>
        <v>99690.273085181558</v>
      </c>
      <c r="E90" s="279">
        <f t="shared" si="79"/>
        <v>101795.39163674261</v>
      </c>
      <c r="F90" s="279">
        <f t="shared" si="79"/>
        <v>103814.35341571183</v>
      </c>
      <c r="G90" s="279">
        <f t="shared" si="79"/>
        <v>105746.69671704617</v>
      </c>
      <c r="H90" s="279">
        <f t="shared" si="79"/>
        <v>107591.96688703411</v>
      </c>
      <c r="I90" s="279">
        <f t="shared" si="79"/>
        <v>109349.71632329599</v>
      </c>
      <c r="J90" s="279">
        <f t="shared" si="79"/>
        <v>111019.50447478374</v>
      </c>
      <c r="K90" s="279">
        <f t="shared" si="79"/>
        <v>112600.8978417809</v>
      </c>
      <c r="L90" s="279">
        <f t="shared" si="79"/>
        <v>114093.46997590277</v>
      </c>
      <c r="M90" s="279">
        <f t="shared" si="79"/>
        <v>115496.80148009634</v>
      </c>
      <c r="N90" s="279">
        <f t="shared" si="79"/>
        <v>119175.381073329</v>
      </c>
      <c r="O90" s="279">
        <f t="shared" si="79"/>
        <v>123011.096461464</v>
      </c>
      <c r="P90" s="279">
        <f t="shared" si="79"/>
        <v>125925.05444276573</v>
      </c>
      <c r="Q90" s="279">
        <f t="shared" si="79"/>
        <v>128462.83073707149</v>
      </c>
      <c r="R90" s="279">
        <f t="shared" si="79"/>
        <v>130622.87981834082</v>
      </c>
      <c r="S90" s="279">
        <f t="shared" si="79"/>
        <v>132403.68546354774</v>
      </c>
      <c r="T90" s="279">
        <f t="shared" si="79"/>
        <v>133803.76075268083</v>
      </c>
      <c r="U90" s="279">
        <f t="shared" si="79"/>
        <v>134821.64806874318</v>
      </c>
      <c r="V90" s="279">
        <f t="shared" si="79"/>
        <v>135455.91909775243</v>
      </c>
      <c r="W90" s="279">
        <f t="shared" si="79"/>
        <v>135705.17482874065</v>
      </c>
      <c r="X90" s="279">
        <f t="shared" si="79"/>
        <v>135807.57079764528</v>
      </c>
      <c r="Y90" s="279">
        <f t="shared" si="79"/>
        <v>137675.93842786251</v>
      </c>
      <c r="Z90" s="279">
        <f t="shared" si="79"/>
        <v>138918.53123091839</v>
      </c>
      <c r="AA90" s="279">
        <f t="shared" si="79"/>
        <v>139533.15531648585</v>
      </c>
      <c r="AB90" s="279">
        <f t="shared" si="79"/>
        <v>139517.66449615301</v>
      </c>
      <c r="AC90" s="279">
        <f t="shared" si="79"/>
        <v>138869.96028342334</v>
      </c>
      <c r="AD90" s="279">
        <f t="shared" si="79"/>
        <v>137587.99189371584</v>
      </c>
      <c r="AE90" s="279">
        <f t="shared" si="79"/>
        <v>135669.75624436466</v>
      </c>
      <c r="AF90" s="279">
        <f t="shared" si="79"/>
        <v>133113.29795461951</v>
      </c>
      <c r="AG90" s="279">
        <f t="shared" si="79"/>
        <v>129916.70934564547</v>
      </c>
      <c r="AH90" s="397"/>
      <c r="AI90" s="398"/>
      <c r="AJ90" s="399"/>
      <c r="AL90" s="207"/>
      <c r="AM90" s="118"/>
      <c r="AN90" s="118"/>
      <c r="AO90" s="118"/>
      <c r="BD90" s="118"/>
      <c r="BE90" s="118"/>
      <c r="BF90" s="118"/>
      <c r="BG90" s="118"/>
      <c r="BH90" s="118"/>
      <c r="BI90" s="118"/>
      <c r="BJ90" s="118"/>
      <c r="BK90" s="118"/>
    </row>
    <row r="91" spans="1:63" outlineLevel="1">
      <c r="A91" s="4" t="s">
        <v>141</v>
      </c>
      <c r="C91" s="216">
        <f>C$90*'Ethylene recycling rates'!E58</f>
        <v>97499.466517403445</v>
      </c>
      <c r="D91" s="216">
        <f>D$90*'Ethylene recycling rates'!F58</f>
        <v>98527.219899187767</v>
      </c>
      <c r="E91" s="216">
        <f>E$90*'Ethylene recycling rates'!G58</f>
        <v>99420.165831885271</v>
      </c>
      <c r="F91" s="216">
        <f>F$90*'Ethylene recycling rates'!H58</f>
        <v>100180.8510461619</v>
      </c>
      <c r="G91" s="216">
        <f>G$90*'Ethylene recycling rates'!I58</f>
        <v>100811.85087025067</v>
      </c>
      <c r="H91" s="216">
        <f>H$90*'Ethylene recycling rates'!J58</f>
        <v>101315.76881862376</v>
      </c>
      <c r="I91" s="216">
        <f>I$90*'Ethylene recycling rates'!K58</f>
        <v>101695.23618066523</v>
      </c>
      <c r="J91" s="216">
        <f>J$90*'Ethylene recycling rates'!L58</f>
        <v>101952.91160934303</v>
      </c>
      <c r="K91" s="216">
        <f>K$90*'Ethylene recycling rates'!M58</f>
        <v>102091.4807098813</v>
      </c>
      <c r="L91" s="216">
        <f>L$90*'Ethylene recycling rates'!N58</f>
        <v>102113.65562843293</v>
      </c>
      <c r="M91" s="216">
        <f>M$90*'Ethylene recycling rates'!O58</f>
        <v>102022.17464075172</v>
      </c>
      <c r="N91" s="216">
        <f>N$90*'Ethylene recycling rates'!P58</f>
        <v>103881.20716891838</v>
      </c>
      <c r="O91" s="216">
        <f>O$90*'Ethylene recycling rates'!Q58</f>
        <v>105789.54295685896</v>
      </c>
      <c r="P91" s="216">
        <f>P$90*'Ethylene recycling rates'!R58</f>
        <v>106826.42118561285</v>
      </c>
      <c r="Q91" s="216">
        <f>Q$90*'Ethylene recycling rates'!S58</f>
        <v>107480.56838334973</v>
      </c>
      <c r="R91" s="216">
        <f>R$90*'Ethylene recycling rates'!T58</f>
        <v>107763.87585013108</v>
      </c>
      <c r="S91" s="216">
        <f>S$90*'Ethylene recycling rates'!U58</f>
        <v>107688.3308436854</v>
      </c>
      <c r="T91" s="216">
        <f>T$90*'Ethylene recycling rates'!V58</f>
        <v>107266.01487006569</v>
      </c>
      <c r="U91" s="216">
        <f>U$90*'Ethylene recycling rates'!W58</f>
        <v>106509.10197430699</v>
      </c>
      <c r="V91" s="216">
        <f>V$90*'Ethylene recycling rates'!X58</f>
        <v>105429.85703108385</v>
      </c>
      <c r="W91" s="216">
        <f>W$90*'Ethylene recycling rates'!Y58</f>
        <v>104040.63403536771</v>
      </c>
      <c r="X91" s="216">
        <f>X$90*'Ethylene recycling rates'!Z58</f>
        <v>102534.71595222206</v>
      </c>
      <c r="Y91" s="216">
        <f>Y$90*'Ethylene recycling rates'!AA58</f>
        <v>102339.11423137765</v>
      </c>
      <c r="Z91" s="216">
        <f>Z$90*'Ethylene recycling rates'!AB58</f>
        <v>101642.05868395514</v>
      </c>
      <c r="AA91" s="216">
        <f>AA$90*'Ethylene recycling rates'!AC58</f>
        <v>100463.87182786965</v>
      </c>
      <c r="AB91" s="216">
        <f>AB$90*'Ethylene recycling rates'!AD58</f>
        <v>98825.012351441546</v>
      </c>
      <c r="AC91" s="216">
        <f>AC$90*'Ethylene recycling rates'!AE58</f>
        <v>96746.072330784751</v>
      </c>
      <c r="AD91" s="216">
        <f>AD$90*'Ethylene recycling rates'!AF58</f>
        <v>94247.774447195174</v>
      </c>
      <c r="AE91" s="216">
        <f>AE$90*'Ethylene recycling rates'!AG58</f>
        <v>91350.969204538691</v>
      </c>
      <c r="AF91" s="216">
        <f>AF$90*'Ethylene recycling rates'!AH58</f>
        <v>88076.632146639735</v>
      </c>
      <c r="AG91" s="216">
        <f>AG$90*'Ethylene recycling rates'!AI58</f>
        <v>84445.861074669563</v>
      </c>
      <c r="AH91" s="230"/>
      <c r="AI91" s="126"/>
      <c r="AJ91" s="198"/>
      <c r="AL91" s="102"/>
      <c r="AM91" s="2"/>
      <c r="AN91" s="2"/>
      <c r="AO91" s="2"/>
      <c r="BC91" s="1"/>
      <c r="BD91" s="2"/>
      <c r="BE91" s="2"/>
      <c r="BF91" s="2"/>
      <c r="BG91" s="2"/>
      <c r="BH91" s="2"/>
      <c r="BI91" s="2"/>
      <c r="BJ91" s="2"/>
      <c r="BK91" s="2"/>
    </row>
    <row r="92" spans="1:63" outlineLevel="1">
      <c r="A92" s="4" t="s">
        <v>74</v>
      </c>
      <c r="C92" s="216">
        <f>C$90*'Ethylene recycling rates'!E59</f>
        <v>0</v>
      </c>
      <c r="D92" s="216">
        <f>D$90*'Ethylene recycling rates'!F59</f>
        <v>332.30091028393855</v>
      </c>
      <c r="E92" s="216">
        <f>E$90*'Ethylene recycling rates'!G59</f>
        <v>678.63594424495079</v>
      </c>
      <c r="F92" s="216">
        <f>F$90*'Ethylene recycling rates'!H59</f>
        <v>1038.1435341571182</v>
      </c>
      <c r="G92" s="216">
        <f>G$90*'Ethylene recycling rates'!I59</f>
        <v>1409.9559562272823</v>
      </c>
      <c r="H92" s="216">
        <f>H$90*'Ethylene recycling rates'!J59</f>
        <v>1793.1994481172351</v>
      </c>
      <c r="I92" s="216">
        <f>I$90*'Ethylene recycling rates'!K59</f>
        <v>2186.9943264659196</v>
      </c>
      <c r="J92" s="216">
        <f>J$90*'Ethylene recycling rates'!L59</f>
        <v>2590.4551044116206</v>
      </c>
      <c r="K92" s="216">
        <f>K$90*'Ethylene recycling rates'!M59</f>
        <v>3002.6906091141573</v>
      </c>
      <c r="L92" s="216">
        <f>L$90*'Ethylene recycling rates'!N59</f>
        <v>3422.8040992770834</v>
      </c>
      <c r="M92" s="216">
        <f>M$90*'Ethylene recycling rates'!O59</f>
        <v>3849.8933826698781</v>
      </c>
      <c r="N92" s="216">
        <f>N$90*'Ethylene recycling rates'!P59</f>
        <v>4369.7639726887301</v>
      </c>
      <c r="O92" s="216">
        <f>O$90*'Ethylene recycling rates'!Q59</f>
        <v>4920.4438584585596</v>
      </c>
      <c r="P92" s="216">
        <f>P$90*'Ethylene recycling rates'!R59</f>
        <v>5456.7523591865147</v>
      </c>
      <c r="Q92" s="216">
        <f>Q$90*'Ethylene recycling rates'!S59</f>
        <v>5994.9321010633366</v>
      </c>
      <c r="R92" s="216">
        <f>R$90*'Ethylene recycling rates'!T59</f>
        <v>6531.1439909170413</v>
      </c>
      <c r="S92" s="216">
        <f>S$90*'Ethylene recycling rates'!U59</f>
        <v>7061.5298913892129</v>
      </c>
      <c r="T92" s="216">
        <f>T$90*'Ethylene recycling rates'!V59</f>
        <v>7582.2131093185808</v>
      </c>
      <c r="U92" s="216">
        <f>U$90*'Ethylene recycling rates'!W59</f>
        <v>8089.2988841245915</v>
      </c>
      <c r="V92" s="216">
        <f>V$90*'Ethylene recycling rates'!X59</f>
        <v>8578.8748761909883</v>
      </c>
      <c r="W92" s="216">
        <f>W$90*'Ethylene recycling rates'!Y59</f>
        <v>9047.0116552493764</v>
      </c>
      <c r="X92" s="216">
        <f>X$90*'Ethylene recycling rates'!Z59</f>
        <v>9506.5299558351689</v>
      </c>
      <c r="Y92" s="216">
        <f>Y$90*'Ethylene recycling rates'!AA59</f>
        <v>10096.235484709916</v>
      </c>
      <c r="Z92" s="216">
        <f>Z$90*'Ethylene recycling rates'!AB59</f>
        <v>10650.42072770374</v>
      </c>
      <c r="AA92" s="216">
        <f>AA$90*'Ethylene recycling rates'!AC59</f>
        <v>11162.652425318864</v>
      </c>
      <c r="AB92" s="216">
        <f>AB$90*'Ethylene recycling rates'!AD59</f>
        <v>11626.47204134608</v>
      </c>
      <c r="AC92" s="216">
        <f>AC$90*'Ethylene recycling rates'!AE59</f>
        <v>12035.396557896684</v>
      </c>
      <c r="AD92" s="216">
        <f>AD$90*'Ethylene recycling rates'!AF59</f>
        <v>12382.919270434419</v>
      </c>
      <c r="AE92" s="216">
        <f>AE$90*'Ethylene recycling rates'!AG59</f>
        <v>12662.510582807361</v>
      </c>
      <c r="AF92" s="216">
        <f>AF$90*'Ethylene recycling rates'!AH59</f>
        <v>12867.618802279878</v>
      </c>
      <c r="AG92" s="216">
        <f>AG$90*'Ethylene recycling rates'!AI59</f>
        <v>12991.670934564549</v>
      </c>
      <c r="AH92" s="230"/>
      <c r="AI92" s="126"/>
      <c r="AJ92" s="198"/>
      <c r="AL92" s="102"/>
      <c r="AM92" s="2"/>
      <c r="AN92" s="2"/>
      <c r="AO92" s="2"/>
      <c r="BC92" s="1"/>
      <c r="BD92" s="2"/>
      <c r="BE92" s="2"/>
      <c r="BF92" s="2"/>
      <c r="BG92" s="2"/>
      <c r="BH92" s="2"/>
      <c r="BI92" s="2"/>
      <c r="BJ92" s="2"/>
      <c r="BK92" s="2"/>
    </row>
    <row r="93" spans="1:63" outlineLevel="1">
      <c r="A93" s="4" t="s">
        <v>34</v>
      </c>
      <c r="C93" s="216">
        <f>C$90*'Ethylene recycling rates'!E60</f>
        <v>0</v>
      </c>
      <c r="D93" s="216">
        <f>D$90*'Ethylene recycling rates'!F60</f>
        <v>498.4513654259078</v>
      </c>
      <c r="E93" s="216">
        <f>E$90*'Ethylene recycling rates'!G60</f>
        <v>1017.9539163674261</v>
      </c>
      <c r="F93" s="216">
        <f>F$90*'Ethylene recycling rates'!H60</f>
        <v>1557.2153012356773</v>
      </c>
      <c r="G93" s="216">
        <f>G$90*'Ethylene recycling rates'!I60</f>
        <v>2114.9339343409233</v>
      </c>
      <c r="H93" s="216">
        <f>H$90*'Ethylene recycling rates'!J60</f>
        <v>2689.7991721758531</v>
      </c>
      <c r="I93" s="216">
        <f>I$90*'Ethylene recycling rates'!K60</f>
        <v>3280.4914896988798</v>
      </c>
      <c r="J93" s="216">
        <f>J$90*'Ethylene recycling rates'!L60</f>
        <v>3885.6826566174313</v>
      </c>
      <c r="K93" s="216">
        <f>K$90*'Ethylene recycling rates'!M60</f>
        <v>4504.0359136712359</v>
      </c>
      <c r="L93" s="216">
        <f>L$90*'Ethylene recycling rates'!N60</f>
        <v>5134.2061489156249</v>
      </c>
      <c r="M93" s="216">
        <f>M$90*'Ethylene recycling rates'!O60</f>
        <v>5774.8400740048164</v>
      </c>
      <c r="N93" s="216">
        <f>N$90*'Ethylene recycling rates'!P60</f>
        <v>6554.6459590330942</v>
      </c>
      <c r="O93" s="216">
        <f>O$90*'Ethylene recycling rates'!Q60</f>
        <v>7380.6657876878389</v>
      </c>
      <c r="P93" s="216">
        <f>P$90*'Ethylene recycling rates'!R60</f>
        <v>8185.1285387797707</v>
      </c>
      <c r="Q93" s="216">
        <f>Q$90*'Ethylene recycling rates'!S60</f>
        <v>8992.3981515950036</v>
      </c>
      <c r="R93" s="216">
        <f>R$90*'Ethylene recycling rates'!T60</f>
        <v>9796.7159863755605</v>
      </c>
      <c r="S93" s="216">
        <f>S$90*'Ethylene recycling rates'!U60</f>
        <v>10592.294837083818</v>
      </c>
      <c r="T93" s="216">
        <f>T$90*'Ethylene recycling rates'!V60</f>
        <v>11373.319663977871</v>
      </c>
      <c r="U93" s="216">
        <f>U$90*'Ethylene recycling rates'!W60</f>
        <v>12133.948326186888</v>
      </c>
      <c r="V93" s="216">
        <f>V$90*'Ethylene recycling rates'!X60</f>
        <v>12868.312314286482</v>
      </c>
      <c r="W93" s="216">
        <f>W$90*'Ethylene recycling rates'!Y60</f>
        <v>13570.517482874067</v>
      </c>
      <c r="X93" s="216">
        <f>X$90*'Ethylene recycling rates'!Z60</f>
        <v>14259.794933752759</v>
      </c>
      <c r="Y93" s="216">
        <f>Y$90*'Ethylene recycling rates'!AA60</f>
        <v>15144.353227064879</v>
      </c>
      <c r="Z93" s="216">
        <f>Z$90*'Ethylene recycling rates'!AB60</f>
        <v>15975.631091555621</v>
      </c>
      <c r="AA93" s="216">
        <f>AA$90*'Ethylene recycling rates'!AC60</f>
        <v>16743.978637978307</v>
      </c>
      <c r="AB93" s="216">
        <f>AB$90*'Ethylene recycling rates'!AD60</f>
        <v>17439.70806201913</v>
      </c>
      <c r="AC93" s="216">
        <f>AC$90*'Ethylene recycling rates'!AE60</f>
        <v>18053.094836845037</v>
      </c>
      <c r="AD93" s="216">
        <f>AD$90*'Ethylene recycling rates'!AF60</f>
        <v>18574.378905651643</v>
      </c>
      <c r="AE93" s="216">
        <f>AE$90*'Ethylene recycling rates'!AG60</f>
        <v>18993.765874211058</v>
      </c>
      <c r="AF93" s="216">
        <f>AF$90*'Ethylene recycling rates'!AH60</f>
        <v>19301.428203419837</v>
      </c>
      <c r="AG93" s="216">
        <f>AG$90*'Ethylene recycling rates'!AI60</f>
        <v>19487.506401846822</v>
      </c>
      <c r="AH93" s="230"/>
      <c r="AI93" s="126"/>
      <c r="AJ93" s="198"/>
      <c r="AL93" s="102"/>
      <c r="AM93" s="2"/>
      <c r="AN93" s="2"/>
      <c r="AO93" s="2"/>
      <c r="BC93" s="1"/>
      <c r="BD93" s="2"/>
      <c r="BE93" s="2"/>
      <c r="BF93" s="2"/>
      <c r="BG93" s="2"/>
      <c r="BH93" s="2"/>
      <c r="BI93" s="2"/>
      <c r="BJ93" s="2"/>
      <c r="BK93" s="2"/>
    </row>
    <row r="94" spans="1:63" outlineLevel="1">
      <c r="A94" s="4" t="s">
        <v>35</v>
      </c>
      <c r="C94" s="216">
        <f>C$90*'Ethylene recycling rates'!E61</f>
        <v>0</v>
      </c>
      <c r="D94" s="216">
        <f>D$90*'Ethylene recycling rates'!F61</f>
        <v>166.15045514196927</v>
      </c>
      <c r="E94" s="216">
        <f>E$90*'Ethylene recycling rates'!G61</f>
        <v>339.3179721224754</v>
      </c>
      <c r="F94" s="216">
        <f>F$90*'Ethylene recycling rates'!H61</f>
        <v>519.07176707855911</v>
      </c>
      <c r="G94" s="216">
        <f>G$90*'Ethylene recycling rates'!I61</f>
        <v>704.97797811364114</v>
      </c>
      <c r="H94" s="216">
        <f>H$90*'Ethylene recycling rates'!J61</f>
        <v>896.59972405861754</v>
      </c>
      <c r="I94" s="216">
        <f>I$90*'Ethylene recycling rates'!K61</f>
        <v>1093.4971632329598</v>
      </c>
      <c r="J94" s="216">
        <f>J$90*'Ethylene recycling rates'!L61</f>
        <v>1295.2275522058103</v>
      </c>
      <c r="K94" s="216">
        <f>K$90*'Ethylene recycling rates'!M61</f>
        <v>1501.3453045570786</v>
      </c>
      <c r="L94" s="216">
        <f>L$90*'Ethylene recycling rates'!N61</f>
        <v>1711.4020496385417</v>
      </c>
      <c r="M94" s="216">
        <f>M$90*'Ethylene recycling rates'!O61</f>
        <v>1924.946691334939</v>
      </c>
      <c r="N94" s="216">
        <f>N$90*'Ethylene recycling rates'!P61</f>
        <v>2184.881986344365</v>
      </c>
      <c r="O94" s="216">
        <f>O$90*'Ethylene recycling rates'!Q61</f>
        <v>2460.2219292292798</v>
      </c>
      <c r="P94" s="216">
        <f>P$90*'Ethylene recycling rates'!R61</f>
        <v>2728.3761795932573</v>
      </c>
      <c r="Q94" s="216">
        <f>Q$90*'Ethylene recycling rates'!S61</f>
        <v>2997.4660505316683</v>
      </c>
      <c r="R94" s="216">
        <f>R$90*'Ethylene recycling rates'!T61</f>
        <v>3265.5719954585206</v>
      </c>
      <c r="S94" s="216">
        <f>S$90*'Ethylene recycling rates'!U61</f>
        <v>3530.7649456946065</v>
      </c>
      <c r="T94" s="216">
        <f>T$90*'Ethylene recycling rates'!V61</f>
        <v>3791.1065546592904</v>
      </c>
      <c r="U94" s="216">
        <f>U$90*'Ethylene recycling rates'!W61</f>
        <v>4044.6494420622957</v>
      </c>
      <c r="V94" s="216">
        <f>V$90*'Ethylene recycling rates'!X61</f>
        <v>4289.4374380954941</v>
      </c>
      <c r="W94" s="216">
        <f>W$90*'Ethylene recycling rates'!Y61</f>
        <v>4523.5058276246882</v>
      </c>
      <c r="X94" s="216">
        <f>X$90*'Ethylene recycling rates'!Z61</f>
        <v>4753.2649779175845</v>
      </c>
      <c r="Y94" s="216">
        <f>Y$90*'Ethylene recycling rates'!AA61</f>
        <v>5048.117742354958</v>
      </c>
      <c r="Z94" s="216">
        <f>Z$90*'Ethylene recycling rates'!AB61</f>
        <v>5325.2103638518702</v>
      </c>
      <c r="AA94" s="216">
        <f>AA$90*'Ethylene recycling rates'!AC61</f>
        <v>5581.3262126594318</v>
      </c>
      <c r="AB94" s="216">
        <f>AB$90*'Ethylene recycling rates'!AD61</f>
        <v>5813.23602067304</v>
      </c>
      <c r="AC94" s="216">
        <f>AC$90*'Ethylene recycling rates'!AE61</f>
        <v>6017.6982789483418</v>
      </c>
      <c r="AD94" s="216">
        <f>AD$90*'Ethylene recycling rates'!AF61</f>
        <v>6191.4596352172093</v>
      </c>
      <c r="AE94" s="216">
        <f>AE$90*'Ethylene recycling rates'!AG61</f>
        <v>6331.2552914036805</v>
      </c>
      <c r="AF94" s="216">
        <f>AF$90*'Ethylene recycling rates'!AH61</f>
        <v>6433.8094011399389</v>
      </c>
      <c r="AG94" s="216">
        <f>AG$90*'Ethylene recycling rates'!AI61</f>
        <v>6495.8354672822743</v>
      </c>
      <c r="AH94" s="230"/>
      <c r="AI94" s="126"/>
      <c r="AJ94" s="198"/>
      <c r="AL94" s="102"/>
      <c r="AM94" s="2"/>
      <c r="AN94" s="2"/>
      <c r="AO94" s="2"/>
      <c r="BC94" s="1"/>
      <c r="BD94" s="2"/>
      <c r="BE94" s="2"/>
      <c r="BF94" s="2"/>
      <c r="BG94" s="2"/>
      <c r="BH94" s="2"/>
      <c r="BI94" s="2"/>
      <c r="BJ94" s="2"/>
      <c r="BK94" s="2"/>
    </row>
    <row r="95" spans="1:63" outlineLevel="1">
      <c r="A95" s="4" t="s">
        <v>27</v>
      </c>
      <c r="C95" s="216">
        <f>C$90*'Ethylene recycling rates'!E62</f>
        <v>0</v>
      </c>
      <c r="D95" s="216">
        <f>D$90*'Ethylene recycling rates'!F62</f>
        <v>166.15045514196927</v>
      </c>
      <c r="E95" s="216">
        <f>E$90*'Ethylene recycling rates'!G62</f>
        <v>339.3179721224754</v>
      </c>
      <c r="F95" s="216">
        <f>F$90*'Ethylene recycling rates'!H62</f>
        <v>519.07176707855911</v>
      </c>
      <c r="G95" s="216">
        <f>G$90*'Ethylene recycling rates'!I62</f>
        <v>704.97797811364114</v>
      </c>
      <c r="H95" s="216">
        <f>H$90*'Ethylene recycling rates'!J62</f>
        <v>896.59972405861754</v>
      </c>
      <c r="I95" s="216">
        <f>I$90*'Ethylene recycling rates'!K62</f>
        <v>1093.4971632329598</v>
      </c>
      <c r="J95" s="216">
        <f>J$90*'Ethylene recycling rates'!L62</f>
        <v>1295.2275522058103</v>
      </c>
      <c r="K95" s="216">
        <f>K$90*'Ethylene recycling rates'!M62</f>
        <v>1501.3453045570786</v>
      </c>
      <c r="L95" s="216">
        <f>L$90*'Ethylene recycling rates'!N62</f>
        <v>1711.4020496385417</v>
      </c>
      <c r="M95" s="216">
        <f>M$90*'Ethylene recycling rates'!O62</f>
        <v>1924.946691334939</v>
      </c>
      <c r="N95" s="216">
        <f>N$90*'Ethylene recycling rates'!P62</f>
        <v>2184.881986344365</v>
      </c>
      <c r="O95" s="216">
        <f>O$90*'Ethylene recycling rates'!Q62</f>
        <v>2460.2219292292798</v>
      </c>
      <c r="P95" s="216">
        <f>P$90*'Ethylene recycling rates'!R62</f>
        <v>2728.3761795932573</v>
      </c>
      <c r="Q95" s="216">
        <f>Q$90*'Ethylene recycling rates'!S62</f>
        <v>2997.4660505316683</v>
      </c>
      <c r="R95" s="216">
        <f>R$90*'Ethylene recycling rates'!T62</f>
        <v>3265.5719954585206</v>
      </c>
      <c r="S95" s="216">
        <f>S$90*'Ethylene recycling rates'!U62</f>
        <v>3530.7649456946065</v>
      </c>
      <c r="T95" s="216">
        <f>T$90*'Ethylene recycling rates'!V62</f>
        <v>3791.1065546592904</v>
      </c>
      <c r="U95" s="216">
        <f>U$90*'Ethylene recycling rates'!W62</f>
        <v>4044.6494420622957</v>
      </c>
      <c r="V95" s="216">
        <f>V$90*'Ethylene recycling rates'!X62</f>
        <v>4289.4374380954941</v>
      </c>
      <c r="W95" s="216">
        <f>W$90*'Ethylene recycling rates'!Y62</f>
        <v>4523.5058276246882</v>
      </c>
      <c r="X95" s="216">
        <f>X$90*'Ethylene recycling rates'!Z62</f>
        <v>4753.2649779175845</v>
      </c>
      <c r="Y95" s="216">
        <f>Y$90*'Ethylene recycling rates'!AA62</f>
        <v>5048.117742354958</v>
      </c>
      <c r="Z95" s="216">
        <f>Z$90*'Ethylene recycling rates'!AB62</f>
        <v>5325.2103638518702</v>
      </c>
      <c r="AA95" s="216">
        <f>AA$90*'Ethylene recycling rates'!AC62</f>
        <v>5581.3262126594318</v>
      </c>
      <c r="AB95" s="216">
        <f>AB$90*'Ethylene recycling rates'!AD62</f>
        <v>5813.23602067304</v>
      </c>
      <c r="AC95" s="216">
        <f>AC$90*'Ethylene recycling rates'!AE62</f>
        <v>6017.6982789483418</v>
      </c>
      <c r="AD95" s="216">
        <f>AD$90*'Ethylene recycling rates'!AF62</f>
        <v>6191.4596352172093</v>
      </c>
      <c r="AE95" s="216">
        <f>AE$90*'Ethylene recycling rates'!AG62</f>
        <v>6331.2552914036805</v>
      </c>
      <c r="AF95" s="216">
        <f>AF$90*'Ethylene recycling rates'!AH62</f>
        <v>6433.8094011399389</v>
      </c>
      <c r="AG95" s="216">
        <f>AG$90*'Ethylene recycling rates'!AI62</f>
        <v>6495.8354672822743</v>
      </c>
      <c r="AH95" s="230"/>
      <c r="AI95" s="126"/>
      <c r="AJ95" s="198"/>
      <c r="AL95" s="102"/>
      <c r="AM95" s="2"/>
      <c r="AN95" s="2"/>
      <c r="AO95" s="2"/>
      <c r="BC95" s="1"/>
      <c r="BD95" s="2"/>
      <c r="BE95" s="2"/>
      <c r="BF95" s="2"/>
      <c r="BG95" s="2"/>
      <c r="BH95" s="2"/>
      <c r="BI95" s="2"/>
      <c r="BJ95" s="2"/>
      <c r="BK95" s="2"/>
    </row>
    <row r="96" spans="1:63" s="1" customFormat="1" outlineLevel="1">
      <c r="A96" s="1" t="s">
        <v>830</v>
      </c>
      <c r="B96" s="61"/>
      <c r="C96" s="279">
        <f>C69*C42</f>
        <v>16574.909307958587</v>
      </c>
      <c r="D96" s="279">
        <f t="shared" ref="D96:AG96" si="80">D69*D42</f>
        <v>16890.035875749723</v>
      </c>
      <c r="E96" s="279">
        <f t="shared" si="80"/>
        <v>17188.569537429965</v>
      </c>
      <c r="F96" s="279">
        <f t="shared" si="80"/>
        <v>17470.598612392903</v>
      </c>
      <c r="G96" s="279">
        <f t="shared" si="80"/>
        <v>17736.21142003213</v>
      </c>
      <c r="H96" s="279">
        <f t="shared" si="80"/>
        <v>17985.496279741237</v>
      </c>
      <c r="I96" s="279">
        <f t="shared" si="80"/>
        <v>18218.541510913812</v>
      </c>
      <c r="J96" s="279">
        <f t="shared" si="80"/>
        <v>18435.435432943454</v>
      </c>
      <c r="K96" s="279">
        <f t="shared" si="80"/>
        <v>18636.266365223746</v>
      </c>
      <c r="L96" s="279">
        <f t="shared" si="80"/>
        <v>18821.122627148281</v>
      </c>
      <c r="M96" s="279">
        <f t="shared" si="80"/>
        <v>18990.092538110661</v>
      </c>
      <c r="N96" s="279">
        <f t="shared" si="80"/>
        <v>19530.8317522096</v>
      </c>
      <c r="O96" s="279">
        <f t="shared" si="80"/>
        <v>20093.712854103884</v>
      </c>
      <c r="P96" s="279">
        <f t="shared" si="80"/>
        <v>20502.856814556053</v>
      </c>
      <c r="Q96" s="279">
        <f t="shared" si="80"/>
        <v>20848.299391967841</v>
      </c>
      <c r="R96" s="279">
        <f t="shared" si="80"/>
        <v>21130.407612681545</v>
      </c>
      <c r="S96" s="279">
        <f t="shared" si="80"/>
        <v>21349.54850303947</v>
      </c>
      <c r="T96" s="279">
        <f t="shared" si="80"/>
        <v>21506.089089383906</v>
      </c>
      <c r="U96" s="279">
        <f t="shared" si="80"/>
        <v>21600.396398057175</v>
      </c>
      <c r="V96" s="279">
        <f t="shared" si="80"/>
        <v>21632.837455401568</v>
      </c>
      <c r="W96" s="279">
        <f t="shared" si="80"/>
        <v>21603.779287759375</v>
      </c>
      <c r="X96" s="279">
        <f t="shared" si="80"/>
        <v>21551.599705004781</v>
      </c>
      <c r="Y96" s="279">
        <f t="shared" si="80"/>
        <v>21779.110663617241</v>
      </c>
      <c r="Z96" s="279">
        <f t="shared" si="80"/>
        <v>21906.508992410254</v>
      </c>
      <c r="AA96" s="279">
        <f t="shared" si="80"/>
        <v>21934.392167780217</v>
      </c>
      <c r="AB96" s="279">
        <f t="shared" si="80"/>
        <v>21863.357666123491</v>
      </c>
      <c r="AC96" s="279">
        <f t="shared" si="80"/>
        <v>21694.00296383645</v>
      </c>
      <c r="AD96" s="279">
        <f t="shared" si="80"/>
        <v>21426.925537315481</v>
      </c>
      <c r="AE96" s="279">
        <f t="shared" si="80"/>
        <v>21062.722862956944</v>
      </c>
      <c r="AF96" s="279">
        <f t="shared" si="80"/>
        <v>20601.992417157235</v>
      </c>
      <c r="AG96" s="279">
        <f t="shared" si="80"/>
        <v>20045.331676312737</v>
      </c>
      <c r="AH96" s="397"/>
      <c r="AI96" s="398"/>
      <c r="AJ96" s="399"/>
      <c r="AL96" s="207"/>
      <c r="AM96" s="118"/>
      <c r="AN96" s="118"/>
      <c r="AO96" s="118"/>
      <c r="BD96" s="118"/>
      <c r="BE96" s="118"/>
      <c r="BF96" s="118"/>
      <c r="BG96" s="118"/>
      <c r="BH96" s="118"/>
      <c r="BI96" s="118"/>
      <c r="BJ96" s="118"/>
      <c r="BK96" s="118"/>
    </row>
    <row r="97" spans="1:63" outlineLevel="1">
      <c r="A97" s="4" t="s">
        <v>141</v>
      </c>
      <c r="C97" s="216">
        <f>C$96*'Ethylene recycling rates'!E63</f>
        <v>11894.630678472507</v>
      </c>
      <c r="D97" s="216">
        <f>D$96*'Ethylene recycling rates'!F63</f>
        <v>12228.835635387348</v>
      </c>
      <c r="E97" s="216">
        <f>E$96*'Ethylene recycling rates'!G63</f>
        <v>12554.953035156526</v>
      </c>
      <c r="F97" s="216">
        <f>F$96*'Ethylene recycling rates'!H63</f>
        <v>12872.729473269972</v>
      </c>
      <c r="G97" s="216">
        <f>G$96*'Ethylene recycling rates'!I63</f>
        <v>13181.913805459029</v>
      </c>
      <c r="H97" s="216">
        <f>H$96*'Ethylene recycling rates'!J63</f>
        <v>13482.257147696455</v>
      </c>
      <c r="I97" s="216">
        <f>I$96*'Ethylene recycling rates'!K63</f>
        <v>13773.512876196413</v>
      </c>
      <c r="J97" s="216">
        <f>J$96*'Ethylene recycling rates'!L63</f>
        <v>14055.436627414498</v>
      </c>
      <c r="K97" s="216">
        <f>K$96*'Ethylene recycling rates'!M63</f>
        <v>14327.786298047697</v>
      </c>
      <c r="L97" s="216">
        <f>L$96*'Ethylene recycling rates'!N63</f>
        <v>14590.322045034422</v>
      </c>
      <c r="M97" s="216">
        <f>M$96*'Ethylene recycling rates'!O63</f>
        <v>14842.806285554503</v>
      </c>
      <c r="N97" s="216">
        <f>N$96*'Ethylene recycling rates'!P63</f>
        <v>15390.40901084434</v>
      </c>
      <c r="O97" s="216">
        <f>O$96*'Ethylene recycling rates'!Q63</f>
        <v>15962.520546219048</v>
      </c>
      <c r="P97" s="216">
        <f>P$96*'Ethylene recycling rates'!R63</f>
        <v>16418.721660098818</v>
      </c>
      <c r="Q97" s="216">
        <f>Q$96*'Ethylene recycling rates'!S63</f>
        <v>16828.738384821449</v>
      </c>
      <c r="R97" s="216">
        <f>R$96*'Ethylene recycling rates'!T63</f>
        <v>17191.646663173822</v>
      </c>
      <c r="S97" s="216">
        <f>S$96*'Ethylene recycling rates'!U63</f>
        <v>17506.531830762506</v>
      </c>
      <c r="T97" s="216">
        <f>T$96*'Ethylene recycling rates'!V63</f>
        <v>17772.488616013743</v>
      </c>
      <c r="U97" s="216">
        <f>U$96*'Ethylene recycling rates'!W63</f>
        <v>17988.621140173491</v>
      </c>
      <c r="V97" s="216">
        <f>V$96*'Ethylene recycling rates'!X63</f>
        <v>18154.042917307361</v>
      </c>
      <c r="W97" s="216">
        <f>W$96*'Ethylene recycling rates'!Y63</f>
        <v>18267.876854300655</v>
      </c>
      <c r="X97" s="216">
        <f>X$96*'Ethylene recycling rates'!Z63</f>
        <v>18361.639868607825</v>
      </c>
      <c r="Y97" s="216">
        <f>Y$96*'Ethylene recycling rates'!AA63</f>
        <v>18694.816787313062</v>
      </c>
      <c r="Z97" s="216">
        <f>Z$96*'Ethylene recycling rates'!AB63</f>
        <v>18944.329414655382</v>
      </c>
      <c r="AA97" s="216">
        <f>AA$96*'Ethylene recycling rates'!AC63</f>
        <v>19108.776721803737</v>
      </c>
      <c r="AB97" s="216">
        <f>AB$96*'Ethylene recycling rates'!AD63</f>
        <v>19186.772970350143</v>
      </c>
      <c r="AC97" s="216">
        <f>AC$96*'Ethylene recycling rates'!AE63</f>
        <v>19176.947712309699</v>
      </c>
      <c r="AD97" s="216">
        <f>AD$96*'Ethylene recycling rates'!AF63</f>
        <v>19077.945790120611</v>
      </c>
      <c r="AE97" s="216">
        <f>AE$96*'Ethylene recycling rates'!AG63</f>
        <v>18888.427336644148</v>
      </c>
      <c r="AF97" s="216">
        <f>AF$96*'Ethylene recycling rates'!AH63</f>
        <v>18607.067775164687</v>
      </c>
      <c r="AG97" s="216">
        <f>AG$96*'Ethylene recycling rates'!AI63</f>
        <v>18232.557819389673</v>
      </c>
      <c r="AH97" s="230"/>
      <c r="AI97" s="126"/>
      <c r="AJ97" s="198"/>
      <c r="AL97" s="102"/>
      <c r="AM97" s="2"/>
      <c r="AN97" s="2"/>
      <c r="AO97" s="2"/>
      <c r="BC97" s="1"/>
      <c r="BD97" s="2"/>
      <c r="BE97" s="2"/>
      <c r="BF97" s="2"/>
      <c r="BG97" s="2"/>
      <c r="BH97" s="2"/>
      <c r="BI97" s="2"/>
      <c r="BJ97" s="2"/>
      <c r="BK97" s="2"/>
    </row>
    <row r="98" spans="1:63" outlineLevel="1">
      <c r="A98" s="4" t="s">
        <v>74</v>
      </c>
      <c r="C98" s="216">
        <f>C$96*'Ethylene recycling rates'!E64</f>
        <v>4318.9524364489225</v>
      </c>
      <c r="D98" s="216">
        <f>D$96*'Ethylene recycling rates'!F64</f>
        <v>4264.6585802185864</v>
      </c>
      <c r="E98" s="216">
        <f>E$96*'Ethylene recycling rates'!G64</f>
        <v>4201.2190605286905</v>
      </c>
      <c r="F98" s="216">
        <f>F$96*'Ethylene recycling rates'!H64</f>
        <v>4129.0567728204533</v>
      </c>
      <c r="G98" s="216">
        <f>G$96*'Ethylene recycling rates'!I64</f>
        <v>4048.5917594027633</v>
      </c>
      <c r="H98" s="216">
        <f>H$96*'Ethylene recycling rates'!J64</f>
        <v>3960.2412094521824</v>
      </c>
      <c r="I98" s="216">
        <f>I$96*'Ethylene recycling rates'!K64</f>
        <v>3864.4194590129437</v>
      </c>
      <c r="J98" s="216">
        <f>J$96*'Ethylene recycling rates'!L64</f>
        <v>3761.5379909969538</v>
      </c>
      <c r="K98" s="216">
        <f>K$96*'Ethylene recycling rates'!M64</f>
        <v>3652.0054351837903</v>
      </c>
      <c r="L98" s="216">
        <f>L$96*'Ethylene recycling rates'!N64</f>
        <v>3536.2275682207028</v>
      </c>
      <c r="M98" s="216">
        <f>M$96*'Ethylene recycling rates'!O64</f>
        <v>3414.6073136226155</v>
      </c>
      <c r="N98" s="216">
        <f>N$96*'Ethylene recycling rates'!P64</f>
        <v>3354.1031366991351</v>
      </c>
      <c r="O98" s="216">
        <f>O$96*'Ethylene recycling rates'!Q64</f>
        <v>3288.4884360319907</v>
      </c>
      <c r="P98" s="216">
        <f>P$96*'Ethylene recycling rates'!R64</f>
        <v>3189.8632399626799</v>
      </c>
      <c r="Q98" s="216">
        <f>Q$96*'Ethylene recycling rates'!S64</f>
        <v>3075.233118641549</v>
      </c>
      <c r="R98" s="216">
        <f>R$96*'Ethylene recycling rates'!T64</f>
        <v>2946.1926371941254</v>
      </c>
      <c r="S98" s="216">
        <f>S$96*'Ethylene recycling rates'!U64</f>
        <v>2804.3245040666766</v>
      </c>
      <c r="T98" s="216">
        <f>T$96*'Ethylene recycling rates'!V64</f>
        <v>2651.1995710262067</v>
      </c>
      <c r="U98" s="216">
        <f>U$96*'Ethylene recycling rates'!W64</f>
        <v>2488.3768331604615</v>
      </c>
      <c r="V98" s="216">
        <f>V$96*'Ethylene recycling rates'!X64</f>
        <v>2317.4034288779226</v>
      </c>
      <c r="W98" s="216">
        <f>W$96*'Ethylene recycling rates'!Y64</f>
        <v>2139.8146399078082</v>
      </c>
      <c r="X98" s="216">
        <f>X$96*'Ethylene recycling rates'!Z64</f>
        <v>1960.5918077340436</v>
      </c>
      <c r="Y98" s="216">
        <f>Y$96*'Ethylene recycling rates'!AA64</f>
        <v>1805.3969720502355</v>
      </c>
      <c r="Z98" s="216">
        <f>Z$96*'Ethylene recycling rates'!AB64</f>
        <v>1639.0369087129643</v>
      </c>
      <c r="AA98" s="216">
        <f>AA$96*'Ethylene recycling rates'!AC64</f>
        <v>1463.9770774062811</v>
      </c>
      <c r="AB98" s="216">
        <f>AB$96*'Ethylene recycling rates'!AD64</f>
        <v>1282.6636365129875</v>
      </c>
      <c r="AC98" s="216">
        <f>AC$96*'Ethylene recycling rates'!AE64</f>
        <v>1097.5234431146403</v>
      </c>
      <c r="AD98" s="216">
        <f>AD$96*'Ethylene recycling rates'!AF64</f>
        <v>910.96405299154947</v>
      </c>
      <c r="AE98" s="216">
        <f>AE$96*'Ethylene recycling rates'!AG64</f>
        <v>725.37372062277825</v>
      </c>
      <c r="AF98" s="216">
        <f>AF$96*'Ethylene recycling rates'!AH64</f>
        <v>543.12139918614412</v>
      </c>
      <c r="AG98" s="216">
        <f>AG$96*'Ethylene recycling rates'!AI64</f>
        <v>366.55674055822146</v>
      </c>
      <c r="AH98" s="230"/>
      <c r="AI98" s="126"/>
      <c r="AJ98" s="198"/>
      <c r="AL98" s="102"/>
      <c r="AM98" s="2"/>
      <c r="AN98" s="2"/>
      <c r="AO98" s="2"/>
      <c r="BC98" s="1"/>
      <c r="BD98" s="2"/>
      <c r="BE98" s="2"/>
      <c r="BF98" s="2"/>
      <c r="BG98" s="2"/>
      <c r="BH98" s="2"/>
      <c r="BI98" s="2"/>
      <c r="BJ98" s="2"/>
      <c r="BK98" s="2"/>
    </row>
    <row r="99" spans="1:63" outlineLevel="1">
      <c r="A99" s="4" t="s">
        <v>34</v>
      </c>
      <c r="C99" s="216">
        <f>C$96*'Ethylene recycling rates'!E65</f>
        <v>0</v>
      </c>
      <c r="D99" s="216">
        <f>D$96*'Ethylene recycling rates'!F65</f>
        <v>12.559211682286888</v>
      </c>
      <c r="E99" s="216">
        <f>E$96*'Ethylene recycling rates'!G65</f>
        <v>25.562394884695127</v>
      </c>
      <c r="F99" s="216">
        <f>F$96*'Ethylene recycling rates'!H65</f>
        <v>38.972731817167407</v>
      </c>
      <c r="G99" s="216">
        <f>G$96*'Ethylene recycling rates'!I65</f>
        <v>52.753667382270137</v>
      </c>
      <c r="H99" s="216">
        <f>H$96*'Ethylene recycling rates'!J65</f>
        <v>66.868909175193465</v>
      </c>
      <c r="I99" s="216">
        <f>I$96*'Ethylene recycling rates'!K65</f>
        <v>81.282427483751263</v>
      </c>
      <c r="J99" s="216">
        <f>J$96*'Ethylene recycling rates'!L65</f>
        <v>95.958455288381145</v>
      </c>
      <c r="K99" s="216">
        <f>K$96*'Ethylene recycling rates'!M65</f>
        <v>110.86148826214441</v>
      </c>
      <c r="L99" s="216">
        <f>L$96*'Ethylene recycling rates'!N65</f>
        <v>125.95628477072611</v>
      </c>
      <c r="M99" s="216">
        <f>M$96*'Ethylene recycling rates'!O65</f>
        <v>141.20786587243512</v>
      </c>
      <c r="N99" s="216">
        <f>N$96*'Ethylene recycling rates'!P65</f>
        <v>159.75160581230355</v>
      </c>
      <c r="O99" s="216">
        <f>O$96*'Ethylene recycling rates'!Q65</f>
        <v>179.29709213710791</v>
      </c>
      <c r="P99" s="216">
        <f>P$96*'Ethylene recycling rates'!R65</f>
        <v>198.19356035468277</v>
      </c>
      <c r="Q99" s="216">
        <f>Q$96*'Ethylene recycling rates'!S65</f>
        <v>217.03535154564162</v>
      </c>
      <c r="R99" s="216">
        <f>R$96*'Ethylene recycling rates'!T65</f>
        <v>235.68445688297925</v>
      </c>
      <c r="S99" s="216">
        <f>S$96*'Ethylene recycling rates'!U65</f>
        <v>254.00395920380777</v>
      </c>
      <c r="T99" s="216">
        <f>T$96*'Ethylene recycling rates'!V65</f>
        <v>271.85803300935635</v>
      </c>
      <c r="U99" s="216">
        <f>U$96*'Ethylene recycling rates'!W65</f>
        <v>289.1119444649716</v>
      </c>
      <c r="V99" s="216">
        <f>V$96*'Ethylene recycling rates'!X65</f>
        <v>305.63205140011723</v>
      </c>
      <c r="W99" s="216">
        <f>W$96*'Ethylene recycling rates'!Y65</f>
        <v>321.28580330837377</v>
      </c>
      <c r="X99" s="216">
        <f>X$96*'Ethylene recycling rates'!Z65</f>
        <v>336.53529218901639</v>
      </c>
      <c r="Y99" s="216">
        <f>Y$96*'Ethylene recycling rates'!AA65</f>
        <v>356.28261466981292</v>
      </c>
      <c r="Z99" s="216">
        <f>Z$96*'Ethylene recycling rates'!AB65</f>
        <v>374.65610911841537</v>
      </c>
      <c r="AA99" s="216">
        <f>AA$96*'Ethylene recycling rates'!AC65</f>
        <v>391.44311079121752</v>
      </c>
      <c r="AB99" s="216">
        <f>AB$96*'Ethylene recycling rates'!AD65</f>
        <v>406.43273204741837</v>
      </c>
      <c r="AC99" s="216">
        <f>AC$96*'Ethylene recycling rates'!AE65</f>
        <v>419.41586234902331</v>
      </c>
      <c r="AD99" s="216">
        <f>AD$96*'Ethylene recycling rates'!AF65</f>
        <v>430.18516826084402</v>
      </c>
      <c r="AE99" s="216">
        <f>AE$96*'Ethylene recycling rates'!AG65</f>
        <v>438.53509345049758</v>
      </c>
      <c r="AF99" s="216">
        <f>AF$96*'Ethylene recycling rates'!AH65</f>
        <v>444.2618586884081</v>
      </c>
      <c r="AG99" s="216">
        <f>AG$96*'Ethylene recycling rates'!AI65</f>
        <v>447.16346184780502</v>
      </c>
      <c r="AH99" s="230"/>
      <c r="AI99" s="126"/>
      <c r="AJ99" s="198"/>
      <c r="AL99" s="102"/>
      <c r="AM99" s="2"/>
      <c r="AN99" s="2"/>
      <c r="AO99" s="2"/>
      <c r="BC99" s="1"/>
      <c r="BD99" s="2"/>
      <c r="BE99" s="2"/>
      <c r="BF99" s="2"/>
      <c r="BG99" s="2"/>
      <c r="BH99" s="2"/>
      <c r="BI99" s="2"/>
      <c r="BJ99" s="2"/>
      <c r="BK99" s="2"/>
    </row>
    <row r="100" spans="1:63" outlineLevel="1">
      <c r="A100" s="4" t="s">
        <v>35</v>
      </c>
      <c r="C100" s="216">
        <f>C$96*'Ethylene recycling rates'!E66</f>
        <v>361.32619303715694</v>
      </c>
      <c r="D100" s="216">
        <f>D$96*'Ethylene recycling rates'!F66</f>
        <v>383.42176936854349</v>
      </c>
      <c r="E100" s="216">
        <f>E$96*'Ethylene recycling rates'!G66</f>
        <v>405.69386851698675</v>
      </c>
      <c r="F100" s="216">
        <f>F$96*'Ethylene recycling rates'!H66</f>
        <v>428.09978038633051</v>
      </c>
      <c r="G100" s="216">
        <f>G$96*'Ethylene recycling rates'!I66</f>
        <v>450.59711335135995</v>
      </c>
      <c r="H100" s="216">
        <f>H$96*'Ethylene recycling rates'!J66</f>
        <v>473.14379425780163</v>
      </c>
      <c r="I100" s="216">
        <f>I$96*'Ethylene recycling rates'!K66</f>
        <v>495.69806842232344</v>
      </c>
      <c r="J100" s="216">
        <f>J$96*'Ethylene recycling rates'!L66</f>
        <v>518.21849963253476</v>
      </c>
      <c r="K100" s="216">
        <f>K$96*'Ethylene recycling rates'!M66</f>
        <v>540.66397014698623</v>
      </c>
      <c r="L100" s="216">
        <f>L$96*'Ethylene recycling rates'!N66</f>
        <v>562.99368069516993</v>
      </c>
      <c r="M100" s="216">
        <f>M$96*'Ethylene recycling rates'!O66</f>
        <v>585.16715047751961</v>
      </c>
      <c r="N100" s="216">
        <f>N$96*'Ethylene recycling rates'!P66</f>
        <v>619.43623073720516</v>
      </c>
      <c r="O100" s="216">
        <f>O$96*'Ethylene recycling rates'!Q66</f>
        <v>655.40244524533421</v>
      </c>
      <c r="P100" s="216">
        <f>P$96*'Ethylene recycling rates'!R66</f>
        <v>687.23042733832813</v>
      </c>
      <c r="Q100" s="216">
        <f>Q$96*'Ethylene recycling rates'!S66</f>
        <v>717.60345876520398</v>
      </c>
      <c r="R100" s="216">
        <f>R$96*'Ethylene recycling rates'!T66</f>
        <v>746.36222789120563</v>
      </c>
      <c r="S100" s="216">
        <f>S$96*'Ethylene recycling rates'!U66</f>
        <v>773.34874654203111</v>
      </c>
      <c r="T100" s="216">
        <f>T$96*'Ethylene recycling rates'!V66</f>
        <v>798.40635000383224</v>
      </c>
      <c r="U100" s="216">
        <f>U$96*'Ethylene recycling rates'!W66</f>
        <v>821.37969702321584</v>
      </c>
      <c r="V100" s="216">
        <f>V$96*'Ethylene recycling rates'!X66</f>
        <v>842.11476980724171</v>
      </c>
      <c r="W100" s="216">
        <f>W$96*'Ethylene recycling rates'!Y66</f>
        <v>860.45887402342362</v>
      </c>
      <c r="X100" s="216">
        <f>X$96*'Ethylene recycling rates'!Z66</f>
        <v>877.8088395011797</v>
      </c>
      <c r="Y100" s="216">
        <f>Y$96*'Ethylene recycling rates'!AA66</f>
        <v>906.70881571495033</v>
      </c>
      <c r="Z100" s="216">
        <f>Z$96*'Ethylene recycling rates'!AB66</f>
        <v>931.76084076643008</v>
      </c>
      <c r="AA100" s="216">
        <f>AA$96*'Ethylene recycling rates'!AC66</f>
        <v>952.72011890438353</v>
      </c>
      <c r="AB100" s="216">
        <f>AB$96*'Ethylene recycling rates'!AD66</f>
        <v>969.34400881798183</v>
      </c>
      <c r="AC100" s="216">
        <f>AC$96*'Ethylene recycling rates'!AE66</f>
        <v>981.39202363680533</v>
      </c>
      <c r="AD100" s="216">
        <f>AD$96*'Ethylene recycling rates'!AF66</f>
        <v>988.62583093084356</v>
      </c>
      <c r="AE100" s="216">
        <f>AE$96*'Ethylene recycling rates'!AG66</f>
        <v>990.8092527104933</v>
      </c>
      <c r="AF100" s="216">
        <f>AF$96*'Ethylene recycling rates'!AH66</f>
        <v>987.70826542656118</v>
      </c>
      <c r="AG100" s="216">
        <f>AG$96*'Ethylene recycling rates'!AI66</f>
        <v>979.09099997026328</v>
      </c>
      <c r="AH100" s="230"/>
      <c r="AI100" s="126"/>
      <c r="AJ100" s="198"/>
      <c r="AL100" s="102"/>
      <c r="AM100" s="2"/>
      <c r="AN100" s="2"/>
      <c r="AO100" s="2"/>
      <c r="BC100" s="1"/>
      <c r="BD100" s="2"/>
      <c r="BE100" s="2"/>
      <c r="BF100" s="2"/>
      <c r="BG100" s="2"/>
      <c r="BH100" s="2"/>
      <c r="BI100" s="2"/>
      <c r="BJ100" s="2"/>
      <c r="BK100" s="2"/>
    </row>
    <row r="101" spans="1:63" outlineLevel="1">
      <c r="A101" s="4" t="s">
        <v>27</v>
      </c>
      <c r="C101" s="216">
        <f>C$96*'Ethylene recycling rates'!E67</f>
        <v>0</v>
      </c>
      <c r="D101" s="216">
        <f>D$96*'Ethylene recycling rates'!F67</f>
        <v>0.56067909295923601</v>
      </c>
      <c r="E101" s="216">
        <f>E$96*'Ethylene recycling rates'!G67</f>
        <v>1.1411783430667466</v>
      </c>
      <c r="F101" s="216">
        <f>F$96*'Ethylene recycling rates'!H67</f>
        <v>1.7398540989806874</v>
      </c>
      <c r="G101" s="216">
        <f>G$96*'Ethylene recycling rates'!I67</f>
        <v>2.3550744367084882</v>
      </c>
      <c r="H101" s="216">
        <f>H$96*'Ethylene recycling rates'!J67</f>
        <v>2.9852191596068516</v>
      </c>
      <c r="I101" s="216">
        <f>I$96*'Ethylene recycling rates'!K67</f>
        <v>3.6286797983817531</v>
      </c>
      <c r="J101" s="216">
        <f>J$96*'Ethylene recycling rates'!L67</f>
        <v>4.2838596110884444</v>
      </c>
      <c r="K101" s="216">
        <f>K$96*'Ethylene recycling rates'!M67</f>
        <v>4.9491735831314472</v>
      </c>
      <c r="L101" s="216">
        <f>L$96*'Ethylene recycling rates'!N67</f>
        <v>5.6230484272645596</v>
      </c>
      <c r="M101" s="216">
        <f>M$96*'Ethylene recycling rates'!O67</f>
        <v>6.3039225835908548</v>
      </c>
      <c r="N101" s="216">
        <f>N$96*'Ethylene recycling rates'!P67</f>
        <v>7.1317681166206963</v>
      </c>
      <c r="O101" s="216">
        <f>O$96*'Ethylene recycling rates'!Q67</f>
        <v>8.0043344704066044</v>
      </c>
      <c r="P101" s="216">
        <f>P$96*'Ethylene recycling rates'!R67</f>
        <v>8.8479268015483399</v>
      </c>
      <c r="Q101" s="216">
        <f>Q$96*'Ethylene recycling rates'!S67</f>
        <v>9.6890781940018584</v>
      </c>
      <c r="R101" s="216">
        <f>R$96*'Ethylene recycling rates'!T67</f>
        <v>10.521627539418716</v>
      </c>
      <c r="S101" s="216">
        <f>S$96*'Ethylene recycling rates'!U67</f>
        <v>11.339462464455702</v>
      </c>
      <c r="T101" s="216">
        <f>T$96*'Ethylene recycling rates'!V67</f>
        <v>12.136519330774831</v>
      </c>
      <c r="U101" s="216">
        <f>U$96*'Ethylene recycling rates'!W67</f>
        <v>12.90678323504337</v>
      </c>
      <c r="V101" s="216">
        <f>V$96*'Ethylene recycling rates'!X67</f>
        <v>13.644288008933797</v>
      </c>
      <c r="W101" s="216">
        <f>W$96*'Ethylene recycling rates'!Y67</f>
        <v>14.343116219123822</v>
      </c>
      <c r="X101" s="216">
        <f>X$96*'Ethylene recycling rates'!Z67</f>
        <v>15.023896972723936</v>
      </c>
      <c r="Y101" s="216">
        <f>Y$96*'Ethylene recycling rates'!AA67</f>
        <v>15.905473869188064</v>
      </c>
      <c r="Z101" s="216">
        <f>Z$96*'Ethylene recycling rates'!AB67</f>
        <v>16.725719157072103</v>
      </c>
      <c r="AA101" s="216">
        <f>AA$96*'Ethylene recycling rates'!AC67</f>
        <v>17.475138874607911</v>
      </c>
      <c r="AB101" s="216">
        <f>AB$96*'Ethylene recycling rates'!AD67</f>
        <v>18.144318394974018</v>
      </c>
      <c r="AC101" s="216">
        <f>AC$96*'Ethylene recycling rates'!AE67</f>
        <v>18.723922426295665</v>
      </c>
      <c r="AD101" s="216">
        <f>AD$96*'Ethylene recycling rates'!AF67</f>
        <v>19.204695011644802</v>
      </c>
      <c r="AE101" s="216">
        <f>AE$96*'Ethylene recycling rates'!AG67</f>
        <v>19.577459529040052</v>
      </c>
      <c r="AF101" s="216">
        <f>AF$96*'Ethylene recycling rates'!AH67</f>
        <v>19.833118691446771</v>
      </c>
      <c r="AG101" s="216">
        <f>AG$96*'Ethylene recycling rates'!AI67</f>
        <v>19.962654546777014</v>
      </c>
      <c r="AH101" s="230"/>
      <c r="AI101" s="126"/>
      <c r="AJ101" s="198"/>
      <c r="AL101" s="102"/>
      <c r="AM101" s="2"/>
      <c r="AN101" s="2"/>
      <c r="AO101" s="2"/>
      <c r="BC101" s="1"/>
      <c r="BD101" s="2"/>
      <c r="BE101" s="2"/>
      <c r="BF101" s="2"/>
      <c r="BG101" s="2"/>
      <c r="BH101" s="2"/>
      <c r="BI101" s="2"/>
      <c r="BJ101" s="2"/>
      <c r="BK101" s="2"/>
    </row>
    <row r="102" spans="1:63" outlineLevel="1"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  <c r="AA102" s="22"/>
      <c r="AB102" s="22"/>
      <c r="AC102" s="22"/>
      <c r="AD102" s="22"/>
      <c r="AE102" s="22"/>
      <c r="AF102" s="22"/>
      <c r="AG102" s="22"/>
      <c r="AI102" s="127"/>
      <c r="AJ102" s="198"/>
      <c r="AL102" s="102"/>
      <c r="AM102" s="125"/>
      <c r="AN102" s="2"/>
      <c r="AO102" s="2"/>
    </row>
    <row r="103" spans="1:63" s="187" customFormat="1" ht="15.5" thickBot="1">
      <c r="A103" s="187" t="s">
        <v>436</v>
      </c>
      <c r="B103" s="202"/>
      <c r="C103" s="208">
        <f>C104</f>
        <v>2.5000000000000001E-2</v>
      </c>
      <c r="D103" s="208">
        <f t="shared" ref="D103:AG103" si="81">D104</f>
        <v>3.1603638194750427E-2</v>
      </c>
      <c r="E103" s="208">
        <f t="shared" si="81"/>
        <v>3.8207276389500847E-2</v>
      </c>
      <c r="F103" s="208">
        <f t="shared" si="81"/>
        <v>4.4810914584251273E-2</v>
      </c>
      <c r="G103" s="208">
        <f t="shared" si="81"/>
        <v>5.1414552779001699E-2</v>
      </c>
      <c r="H103" s="208">
        <f t="shared" si="81"/>
        <v>5.8018190973752125E-2</v>
      </c>
      <c r="I103" s="208">
        <f t="shared" si="81"/>
        <v>6.4621829168502537E-2</v>
      </c>
      <c r="J103" s="208">
        <f t="shared" si="81"/>
        <v>7.122546736325297E-2</v>
      </c>
      <c r="K103" s="208">
        <f t="shared" si="81"/>
        <v>7.7829105558003403E-2</v>
      </c>
      <c r="L103" s="208">
        <f t="shared" si="81"/>
        <v>8.4432743752753822E-2</v>
      </c>
      <c r="M103" s="208">
        <f t="shared" si="81"/>
        <v>9.1036381947504241E-2</v>
      </c>
      <c r="N103" s="208">
        <f t="shared" si="81"/>
        <v>0.10362456725624723</v>
      </c>
      <c r="O103" s="208">
        <f t="shared" si="81"/>
        <v>0.11621275256499022</v>
      </c>
      <c r="P103" s="208">
        <f t="shared" si="81"/>
        <v>0.12880093787373323</v>
      </c>
      <c r="Q103" s="208">
        <f t="shared" si="81"/>
        <v>0.14138912318247621</v>
      </c>
      <c r="R103" s="208">
        <f t="shared" si="81"/>
        <v>0.15397730849121921</v>
      </c>
      <c r="S103" s="208">
        <f t="shared" si="81"/>
        <v>0.16656549379996222</v>
      </c>
      <c r="T103" s="208">
        <f t="shared" si="81"/>
        <v>0.17915367910870522</v>
      </c>
      <c r="U103" s="208">
        <f t="shared" si="81"/>
        <v>0.1917418644174482</v>
      </c>
      <c r="V103" s="208">
        <f t="shared" si="81"/>
        <v>0.20433004972619118</v>
      </c>
      <c r="W103" s="208">
        <f t="shared" si="81"/>
        <v>0.21691823503493418</v>
      </c>
      <c r="X103" s="208">
        <f t="shared" si="81"/>
        <v>0.23922641153144075</v>
      </c>
      <c r="Y103" s="208">
        <f t="shared" si="81"/>
        <v>0.26153458802794732</v>
      </c>
      <c r="Z103" s="208">
        <f t="shared" si="81"/>
        <v>0.28384276452445389</v>
      </c>
      <c r="AA103" s="208">
        <f t="shared" si="81"/>
        <v>0.30615094102096052</v>
      </c>
      <c r="AB103" s="208">
        <f t="shared" si="81"/>
        <v>0.32845911751746709</v>
      </c>
      <c r="AC103" s="208">
        <f t="shared" si="81"/>
        <v>0.35076729401397366</v>
      </c>
      <c r="AD103" s="208">
        <f t="shared" si="81"/>
        <v>0.37307547051048029</v>
      </c>
      <c r="AE103" s="208">
        <f t="shared" si="81"/>
        <v>0.3953836470069868</v>
      </c>
      <c r="AF103" s="208">
        <f t="shared" si="81"/>
        <v>0.41769182350349343</v>
      </c>
      <c r="AG103" s="208">
        <f t="shared" si="81"/>
        <v>0.44</v>
      </c>
      <c r="AJ103" s="217" t="s">
        <v>472</v>
      </c>
      <c r="AL103" s="204"/>
      <c r="AM103" s="205"/>
      <c r="AN103" s="205"/>
      <c r="AO103" s="205"/>
    </row>
    <row r="104" spans="1:63" ht="15.5" outlineLevel="1" thickTop="1">
      <c r="A104" t="s">
        <v>428</v>
      </c>
      <c r="B104" s="51" t="s">
        <v>126</v>
      </c>
      <c r="C104" s="201">
        <v>2.5000000000000001E-2</v>
      </c>
      <c r="D104" s="104">
        <f>$C104+($M104-$C104)/10*(D$1-$C$1)</f>
        <v>3.1603638194750427E-2</v>
      </c>
      <c r="E104" s="104">
        <f t="shared" ref="E104:L104" si="82">$C104+($M104-$C104)/10*(E$1-$C$1)</f>
        <v>3.8207276389500847E-2</v>
      </c>
      <c r="F104" s="104">
        <f t="shared" si="82"/>
        <v>4.4810914584251273E-2</v>
      </c>
      <c r="G104" s="104">
        <f t="shared" si="82"/>
        <v>5.1414552779001699E-2</v>
      </c>
      <c r="H104" s="104">
        <f t="shared" si="82"/>
        <v>5.8018190973752125E-2</v>
      </c>
      <c r="I104" s="104">
        <f t="shared" si="82"/>
        <v>6.4621829168502537E-2</v>
      </c>
      <c r="J104" s="104">
        <f t="shared" si="82"/>
        <v>7.122546736325297E-2</v>
      </c>
      <c r="K104" s="104">
        <f t="shared" si="82"/>
        <v>7.7829105558003403E-2</v>
      </c>
      <c r="L104" s="104">
        <f t="shared" si="82"/>
        <v>8.4432743752753822E-2</v>
      </c>
      <c r="M104" s="115">
        <f>(M$50-$C$50)/($AG$50-$C$50)*($AG104-$C104)+$C104</f>
        <v>9.1036381947504241E-2</v>
      </c>
      <c r="N104" s="115">
        <f>$M104+($W104-$M104)/10*(N$1-$M$1)</f>
        <v>0.10362456725624723</v>
      </c>
      <c r="O104" s="115">
        <f t="shared" ref="O104:U104" si="83">$M104+($W104-$M104)/10*(O$1-$M$1)</f>
        <v>0.11621275256499022</v>
      </c>
      <c r="P104" s="115">
        <f t="shared" si="83"/>
        <v>0.12880093787373323</v>
      </c>
      <c r="Q104" s="115">
        <f t="shared" si="83"/>
        <v>0.14138912318247621</v>
      </c>
      <c r="R104" s="115">
        <f t="shared" si="83"/>
        <v>0.15397730849121921</v>
      </c>
      <c r="S104" s="115">
        <f t="shared" si="83"/>
        <v>0.16656549379996222</v>
      </c>
      <c r="T104" s="115">
        <f t="shared" si="83"/>
        <v>0.17915367910870522</v>
      </c>
      <c r="U104" s="115">
        <f t="shared" si="83"/>
        <v>0.1917418644174482</v>
      </c>
      <c r="V104" s="115">
        <f>$M104+($W104-$M104)/10*(V$1-$M$1)</f>
        <v>0.20433004972619118</v>
      </c>
      <c r="W104" s="115">
        <f>(W$50-$C$50)/($AG$50-$C$50)*($AG104-$C104)+$C104</f>
        <v>0.21691823503493418</v>
      </c>
      <c r="X104" s="104">
        <f>$W104+($AG104-$W104)/10*(X$1-$W$1)</f>
        <v>0.23922641153144075</v>
      </c>
      <c r="Y104" s="104">
        <f t="shared" ref="Y104:AF104" si="84">$W104+($AG104-$W104)/10*(Y$1-$W$1)</f>
        <v>0.26153458802794732</v>
      </c>
      <c r="Z104" s="104">
        <f t="shared" si="84"/>
        <v>0.28384276452445389</v>
      </c>
      <c r="AA104" s="104">
        <f t="shared" si="84"/>
        <v>0.30615094102096052</v>
      </c>
      <c r="AB104" s="104">
        <f t="shared" si="84"/>
        <v>0.32845911751746709</v>
      </c>
      <c r="AC104" s="104">
        <f t="shared" si="84"/>
        <v>0.35076729401397366</v>
      </c>
      <c r="AD104" s="104">
        <f t="shared" si="84"/>
        <v>0.37307547051048029</v>
      </c>
      <c r="AE104" s="104">
        <f t="shared" si="84"/>
        <v>0.3953836470069868</v>
      </c>
      <c r="AF104" s="104">
        <f t="shared" si="84"/>
        <v>0.41769182350349343</v>
      </c>
      <c r="AG104" s="201">
        <v>0.44</v>
      </c>
      <c r="AJ104" s="198" t="s">
        <v>427</v>
      </c>
    </row>
    <row r="105" spans="1:63" outlineLevel="1">
      <c r="A105" t="s">
        <v>429</v>
      </c>
      <c r="B105" s="51" t="s">
        <v>126</v>
      </c>
      <c r="C105" s="201">
        <v>0.08</v>
      </c>
      <c r="D105" s="104">
        <f t="shared" ref="D105:AF105" si="85">C105-($C$108-$AG$108)/($AG$1-$C$1)</f>
        <v>8.2166666666666666E-2</v>
      </c>
      <c r="E105" s="104">
        <f t="shared" si="85"/>
        <v>8.433333333333333E-2</v>
      </c>
      <c r="F105" s="104">
        <f t="shared" si="85"/>
        <v>8.6499999999999994E-2</v>
      </c>
      <c r="G105" s="104">
        <f t="shared" si="85"/>
        <v>8.8666666666666658E-2</v>
      </c>
      <c r="H105" s="104">
        <f t="shared" si="85"/>
        <v>9.0833333333333321E-2</v>
      </c>
      <c r="I105" s="104">
        <f t="shared" si="85"/>
        <v>9.2999999999999985E-2</v>
      </c>
      <c r="J105" s="104">
        <f t="shared" si="85"/>
        <v>9.5166666666666649E-2</v>
      </c>
      <c r="K105" s="104">
        <f t="shared" si="85"/>
        <v>9.7333333333333313E-2</v>
      </c>
      <c r="L105" s="104">
        <f t="shared" si="85"/>
        <v>9.9499999999999977E-2</v>
      </c>
      <c r="M105" s="104">
        <f t="shared" si="85"/>
        <v>0.10166666666666664</v>
      </c>
      <c r="N105" s="104">
        <f t="shared" si="85"/>
        <v>0.10383333333333331</v>
      </c>
      <c r="O105" s="104">
        <f t="shared" si="85"/>
        <v>0.10599999999999997</v>
      </c>
      <c r="P105" s="104">
        <f t="shared" si="85"/>
        <v>0.10816666666666663</v>
      </c>
      <c r="Q105" s="104">
        <f t="shared" si="85"/>
        <v>0.1103333333333333</v>
      </c>
      <c r="R105" s="104">
        <f t="shared" si="85"/>
        <v>0.11249999999999996</v>
      </c>
      <c r="S105" s="104">
        <f t="shared" si="85"/>
        <v>0.11466666666666663</v>
      </c>
      <c r="T105" s="104">
        <f t="shared" si="85"/>
        <v>0.11683333333333329</v>
      </c>
      <c r="U105" s="104">
        <f t="shared" si="85"/>
        <v>0.11899999999999995</v>
      </c>
      <c r="V105" s="104">
        <f t="shared" si="85"/>
        <v>0.12116666666666662</v>
      </c>
      <c r="W105" s="104">
        <f t="shared" si="85"/>
        <v>0.12333333333333328</v>
      </c>
      <c r="X105" s="104">
        <f t="shared" si="85"/>
        <v>0.12549999999999994</v>
      </c>
      <c r="Y105" s="104">
        <f t="shared" si="85"/>
        <v>0.12766666666666662</v>
      </c>
      <c r="Z105" s="104">
        <f t="shared" si="85"/>
        <v>0.1298333333333333</v>
      </c>
      <c r="AA105" s="104">
        <f t="shared" si="85"/>
        <v>0.13199999999999998</v>
      </c>
      <c r="AB105" s="104">
        <f t="shared" si="85"/>
        <v>0.13416666666666666</v>
      </c>
      <c r="AC105" s="104">
        <f t="shared" si="85"/>
        <v>0.13633333333333333</v>
      </c>
      <c r="AD105" s="104">
        <f t="shared" si="85"/>
        <v>0.13850000000000001</v>
      </c>
      <c r="AE105" s="104">
        <f t="shared" si="85"/>
        <v>0.14066666666666669</v>
      </c>
      <c r="AF105" s="104">
        <f t="shared" si="85"/>
        <v>0.14283333333333337</v>
      </c>
      <c r="AG105" s="201">
        <v>0.8</v>
      </c>
      <c r="AI105" s="127"/>
      <c r="AJ105" s="198" t="s">
        <v>459</v>
      </c>
      <c r="AL105" s="51" t="s">
        <v>294</v>
      </c>
    </row>
    <row r="106" spans="1:63" outlineLevel="1">
      <c r="A106" t="s">
        <v>430</v>
      </c>
      <c r="B106" s="165" t="s">
        <v>126</v>
      </c>
      <c r="C106" s="104">
        <f>1-C105</f>
        <v>0.92</v>
      </c>
      <c r="D106" s="104">
        <f t="shared" ref="D106:AG106" si="86">1-D105</f>
        <v>0.91783333333333328</v>
      </c>
      <c r="E106" s="104">
        <f t="shared" si="86"/>
        <v>0.91566666666666663</v>
      </c>
      <c r="F106" s="104">
        <f t="shared" si="86"/>
        <v>0.91349999999999998</v>
      </c>
      <c r="G106" s="104">
        <f t="shared" si="86"/>
        <v>0.91133333333333333</v>
      </c>
      <c r="H106" s="104">
        <f t="shared" si="86"/>
        <v>0.90916666666666668</v>
      </c>
      <c r="I106" s="104">
        <f t="shared" si="86"/>
        <v>0.90700000000000003</v>
      </c>
      <c r="J106" s="104">
        <f t="shared" si="86"/>
        <v>0.90483333333333338</v>
      </c>
      <c r="K106" s="104">
        <f t="shared" si="86"/>
        <v>0.90266666666666673</v>
      </c>
      <c r="L106" s="104">
        <f t="shared" si="86"/>
        <v>0.90050000000000008</v>
      </c>
      <c r="M106" s="104">
        <f t="shared" si="86"/>
        <v>0.89833333333333332</v>
      </c>
      <c r="N106" s="104">
        <f t="shared" si="86"/>
        <v>0.89616666666666667</v>
      </c>
      <c r="O106" s="104">
        <f t="shared" si="86"/>
        <v>0.89400000000000002</v>
      </c>
      <c r="P106" s="104">
        <f t="shared" si="86"/>
        <v>0.89183333333333337</v>
      </c>
      <c r="Q106" s="104">
        <f t="shared" si="86"/>
        <v>0.88966666666666672</v>
      </c>
      <c r="R106" s="104">
        <f t="shared" si="86"/>
        <v>0.88750000000000007</v>
      </c>
      <c r="S106" s="104">
        <f t="shared" si="86"/>
        <v>0.88533333333333342</v>
      </c>
      <c r="T106" s="104">
        <f t="shared" si="86"/>
        <v>0.88316666666666666</v>
      </c>
      <c r="U106" s="104">
        <f t="shared" si="86"/>
        <v>0.88100000000000001</v>
      </c>
      <c r="V106" s="104">
        <f t="shared" si="86"/>
        <v>0.87883333333333336</v>
      </c>
      <c r="W106" s="104">
        <f t="shared" si="86"/>
        <v>0.87666666666666671</v>
      </c>
      <c r="X106" s="104">
        <f t="shared" si="86"/>
        <v>0.87450000000000006</v>
      </c>
      <c r="Y106" s="104">
        <f t="shared" si="86"/>
        <v>0.8723333333333334</v>
      </c>
      <c r="Z106" s="104">
        <f t="shared" si="86"/>
        <v>0.87016666666666675</v>
      </c>
      <c r="AA106" s="104">
        <f t="shared" si="86"/>
        <v>0.86799999999999999</v>
      </c>
      <c r="AB106" s="104">
        <f t="shared" si="86"/>
        <v>0.86583333333333334</v>
      </c>
      <c r="AC106" s="104">
        <f t="shared" si="86"/>
        <v>0.86366666666666669</v>
      </c>
      <c r="AD106" s="104">
        <f t="shared" si="86"/>
        <v>0.86149999999999993</v>
      </c>
      <c r="AE106" s="104">
        <f t="shared" si="86"/>
        <v>0.85933333333333328</v>
      </c>
      <c r="AF106" s="104">
        <f t="shared" si="86"/>
        <v>0.85716666666666663</v>
      </c>
      <c r="AG106" s="104">
        <f t="shared" si="86"/>
        <v>0.19999999999999996</v>
      </c>
      <c r="AI106" s="127"/>
      <c r="AJ106" s="198"/>
      <c r="BD106" s="687"/>
      <c r="BE106" s="687"/>
    </row>
    <row r="107" spans="1:63" outlineLevel="1">
      <c r="A107" t="s">
        <v>493</v>
      </c>
      <c r="B107" s="51" t="s">
        <v>126</v>
      </c>
      <c r="C107" s="104">
        <f>C104*C105</f>
        <v>2E-3</v>
      </c>
      <c r="D107" s="104">
        <f t="shared" ref="D107:AG107" si="87">D104*D105</f>
        <v>2.5967656050019934E-3</v>
      </c>
      <c r="E107" s="104">
        <f t="shared" si="87"/>
        <v>3.2221469755145714E-3</v>
      </c>
      <c r="F107" s="104">
        <f t="shared" si="87"/>
        <v>3.876144111537735E-3</v>
      </c>
      <c r="G107" s="104">
        <f t="shared" si="87"/>
        <v>4.5587570130714832E-3</v>
      </c>
      <c r="H107" s="104">
        <f t="shared" si="87"/>
        <v>5.2699856801158174E-3</v>
      </c>
      <c r="I107" s="104">
        <f t="shared" si="87"/>
        <v>6.0098301126707346E-3</v>
      </c>
      <c r="J107" s="104">
        <f t="shared" si="87"/>
        <v>6.7782903107362399E-3</v>
      </c>
      <c r="K107" s="104">
        <f t="shared" si="87"/>
        <v>7.5753662743123298E-3</v>
      </c>
      <c r="L107" s="104">
        <f t="shared" si="87"/>
        <v>8.4010580033990027E-3</v>
      </c>
      <c r="M107" s="104">
        <f t="shared" si="87"/>
        <v>9.2553654979962621E-3</v>
      </c>
      <c r="N107" s="104">
        <f t="shared" si="87"/>
        <v>1.0759684233440335E-2</v>
      </c>
      <c r="O107" s="104">
        <f t="shared" si="87"/>
        <v>1.231855177188896E-2</v>
      </c>
      <c r="P107" s="104">
        <f t="shared" si="87"/>
        <v>1.3931968113342141E-2</v>
      </c>
      <c r="Q107" s="104">
        <f t="shared" si="87"/>
        <v>1.559993325779987E-2</v>
      </c>
      <c r="R107" s="104">
        <f t="shared" si="87"/>
        <v>1.7322447205262156E-2</v>
      </c>
      <c r="S107" s="104">
        <f t="shared" si="87"/>
        <v>1.9099509955728993E-2</v>
      </c>
      <c r="T107" s="104">
        <f t="shared" si="87"/>
        <v>2.0931121509200387E-2</v>
      </c>
      <c r="U107" s="104">
        <f t="shared" si="87"/>
        <v>2.2817281865676328E-2</v>
      </c>
      <c r="V107" s="104">
        <f t="shared" si="87"/>
        <v>2.4757991025156821E-2</v>
      </c>
      <c r="W107" s="104">
        <f t="shared" si="87"/>
        <v>2.6753248987641871E-2</v>
      </c>
      <c r="X107" s="104">
        <f t="shared" si="87"/>
        <v>3.0022914647195802E-2</v>
      </c>
      <c r="Y107" s="104">
        <f t="shared" si="87"/>
        <v>3.3389249071567928E-2</v>
      </c>
      <c r="Z107" s="104">
        <f t="shared" si="87"/>
        <v>3.6852252260758257E-2</v>
      </c>
      <c r="AA107" s="104">
        <f t="shared" si="87"/>
        <v>4.0411924214766783E-2</v>
      </c>
      <c r="AB107" s="104">
        <f t="shared" si="87"/>
        <v>4.4068264933593497E-2</v>
      </c>
      <c r="AC107" s="104">
        <f t="shared" si="87"/>
        <v>4.7821274417238407E-2</v>
      </c>
      <c r="AD107" s="104">
        <f t="shared" si="87"/>
        <v>5.1670952665701528E-2</v>
      </c>
      <c r="AE107" s="104">
        <f t="shared" si="87"/>
        <v>5.5617299678982816E-2</v>
      </c>
      <c r="AF107" s="104">
        <f t="shared" si="87"/>
        <v>5.9660315457082329E-2</v>
      </c>
      <c r="AG107" s="104">
        <f t="shared" si="87"/>
        <v>0.35200000000000004</v>
      </c>
      <c r="AI107" s="127"/>
      <c r="AJ107" s="198"/>
      <c r="BD107" s="190"/>
      <c r="BE107" s="190"/>
    </row>
    <row r="108" spans="1:63" outlineLevel="1">
      <c r="A108" t="s">
        <v>494</v>
      </c>
      <c r="B108" s="51" t="s">
        <v>126</v>
      </c>
      <c r="C108" s="104">
        <f>C104*C106</f>
        <v>2.3000000000000003E-2</v>
      </c>
      <c r="D108" s="104">
        <f t="shared" ref="D108:AG108" si="88">D104*D106</f>
        <v>2.9006872589748434E-2</v>
      </c>
      <c r="E108" s="104">
        <f t="shared" si="88"/>
        <v>3.4985129413986273E-2</v>
      </c>
      <c r="F108" s="104">
        <f t="shared" si="88"/>
        <v>4.0934770472713537E-2</v>
      </c>
      <c r="G108" s="104">
        <f t="shared" si="88"/>
        <v>4.6855795765930214E-2</v>
      </c>
      <c r="H108" s="104">
        <f t="shared" si="88"/>
        <v>5.2748205293636309E-2</v>
      </c>
      <c r="I108" s="104">
        <f t="shared" si="88"/>
        <v>5.8611999055831802E-2</v>
      </c>
      <c r="J108" s="104">
        <f t="shared" si="88"/>
        <v>6.4447177052516735E-2</v>
      </c>
      <c r="K108" s="104">
        <f t="shared" si="88"/>
        <v>7.025373928369108E-2</v>
      </c>
      <c r="L108" s="104">
        <f t="shared" si="88"/>
        <v>7.603168574935483E-2</v>
      </c>
      <c r="M108" s="104">
        <f t="shared" si="88"/>
        <v>8.1781016449507971E-2</v>
      </c>
      <c r="N108" s="104">
        <f t="shared" si="88"/>
        <v>9.2864883022806891E-2</v>
      </c>
      <c r="O108" s="104">
        <f t="shared" si="88"/>
        <v>0.10389420079310126</v>
      </c>
      <c r="P108" s="104">
        <f t="shared" si="88"/>
        <v>0.11486896976039108</v>
      </c>
      <c r="Q108" s="104">
        <f t="shared" si="88"/>
        <v>0.12578918992467633</v>
      </c>
      <c r="R108" s="104">
        <f t="shared" si="88"/>
        <v>0.13665486128595705</v>
      </c>
      <c r="S108" s="104">
        <f t="shared" si="88"/>
        <v>0.14746598384423323</v>
      </c>
      <c r="T108" s="104">
        <f t="shared" si="88"/>
        <v>0.15822255759950482</v>
      </c>
      <c r="U108" s="104">
        <f t="shared" si="88"/>
        <v>0.16892458255177187</v>
      </c>
      <c r="V108" s="104">
        <f t="shared" si="88"/>
        <v>0.17957205870103435</v>
      </c>
      <c r="W108" s="104">
        <f t="shared" si="88"/>
        <v>0.19016498604729232</v>
      </c>
      <c r="X108" s="104">
        <f t="shared" si="88"/>
        <v>0.20920349688424494</v>
      </c>
      <c r="Y108" s="104">
        <f t="shared" si="88"/>
        <v>0.2281453389563794</v>
      </c>
      <c r="Z108" s="104">
        <f t="shared" si="88"/>
        <v>0.24699051226369564</v>
      </c>
      <c r="AA108" s="104">
        <f t="shared" si="88"/>
        <v>0.26573901680619372</v>
      </c>
      <c r="AB108" s="104">
        <f t="shared" si="88"/>
        <v>0.28439085258387359</v>
      </c>
      <c r="AC108" s="104">
        <f t="shared" si="88"/>
        <v>0.30294601959673528</v>
      </c>
      <c r="AD108" s="104">
        <f t="shared" si="88"/>
        <v>0.32140451784477875</v>
      </c>
      <c r="AE108" s="104">
        <f t="shared" si="88"/>
        <v>0.33976634732800398</v>
      </c>
      <c r="AF108" s="104">
        <f t="shared" si="88"/>
        <v>0.3580315080464111</v>
      </c>
      <c r="AG108" s="104">
        <f t="shared" si="88"/>
        <v>8.7999999999999981E-2</v>
      </c>
      <c r="AI108" s="127"/>
      <c r="AJ108" s="198"/>
      <c r="BD108" s="190"/>
      <c r="BE108" s="190"/>
    </row>
    <row r="109" spans="1:63" outlineLevel="1">
      <c r="B109" s="165"/>
      <c r="C109" s="104"/>
      <c r="D109" s="104"/>
      <c r="E109" s="104"/>
      <c r="F109" s="104"/>
      <c r="G109" s="104"/>
      <c r="H109" s="104"/>
      <c r="I109" s="104"/>
      <c r="J109" s="104"/>
      <c r="K109" s="104"/>
      <c r="L109" s="104"/>
      <c r="M109" s="104"/>
      <c r="N109" s="104"/>
      <c r="O109" s="104"/>
      <c r="P109" s="104"/>
      <c r="Q109" s="104"/>
      <c r="R109" s="104"/>
      <c r="S109" s="104"/>
      <c r="T109" s="104"/>
      <c r="U109" s="104"/>
      <c r="V109" s="104"/>
      <c r="W109" s="104"/>
      <c r="X109" s="104"/>
      <c r="Y109" s="104"/>
      <c r="Z109" s="104"/>
      <c r="AA109" s="104"/>
      <c r="AB109" s="104"/>
      <c r="AC109" s="104"/>
      <c r="AD109" s="104"/>
      <c r="AE109" s="104"/>
      <c r="AF109" s="104"/>
      <c r="AG109" s="104"/>
      <c r="AI109" s="127"/>
      <c r="AJ109" s="198"/>
      <c r="BD109" s="190"/>
      <c r="BE109" s="190"/>
    </row>
    <row r="110" spans="1:63" outlineLevel="1">
      <c r="A110" t="s">
        <v>437</v>
      </c>
      <c r="B110" s="51" t="s">
        <v>126</v>
      </c>
      <c r="C110" s="201">
        <v>0.52</v>
      </c>
      <c r="D110" s="104">
        <f>C110</f>
        <v>0.52</v>
      </c>
      <c r="E110" s="104">
        <f t="shared" ref="E110:AG112" si="89">D110</f>
        <v>0.52</v>
      </c>
      <c r="F110" s="104">
        <f t="shared" si="89"/>
        <v>0.52</v>
      </c>
      <c r="G110" s="104">
        <f t="shared" si="89"/>
        <v>0.52</v>
      </c>
      <c r="H110" s="104">
        <f t="shared" si="89"/>
        <v>0.52</v>
      </c>
      <c r="I110" s="104">
        <f t="shared" si="89"/>
        <v>0.52</v>
      </c>
      <c r="J110" s="104">
        <f t="shared" si="89"/>
        <v>0.52</v>
      </c>
      <c r="K110" s="104">
        <f t="shared" si="89"/>
        <v>0.52</v>
      </c>
      <c r="L110" s="104">
        <f t="shared" si="89"/>
        <v>0.52</v>
      </c>
      <c r="M110" s="104">
        <f t="shared" si="89"/>
        <v>0.52</v>
      </c>
      <c r="N110" s="104">
        <f t="shared" si="89"/>
        <v>0.52</v>
      </c>
      <c r="O110" s="104">
        <f t="shared" si="89"/>
        <v>0.52</v>
      </c>
      <c r="P110" s="104">
        <f t="shared" si="89"/>
        <v>0.52</v>
      </c>
      <c r="Q110" s="104">
        <f t="shared" si="89"/>
        <v>0.52</v>
      </c>
      <c r="R110" s="104">
        <f t="shared" si="89"/>
        <v>0.52</v>
      </c>
      <c r="S110" s="104">
        <f t="shared" si="89"/>
        <v>0.52</v>
      </c>
      <c r="T110" s="104">
        <f t="shared" si="89"/>
        <v>0.52</v>
      </c>
      <c r="U110" s="104">
        <f t="shared" si="89"/>
        <v>0.52</v>
      </c>
      <c r="V110" s="104">
        <f t="shared" si="89"/>
        <v>0.52</v>
      </c>
      <c r="W110" s="104">
        <f t="shared" si="89"/>
        <v>0.52</v>
      </c>
      <c r="X110" s="104">
        <f t="shared" si="89"/>
        <v>0.52</v>
      </c>
      <c r="Y110" s="104">
        <f t="shared" si="89"/>
        <v>0.52</v>
      </c>
      <c r="Z110" s="104">
        <f t="shared" si="89"/>
        <v>0.52</v>
      </c>
      <c r="AA110" s="104">
        <f t="shared" si="89"/>
        <v>0.52</v>
      </c>
      <c r="AB110" s="104">
        <f t="shared" si="89"/>
        <v>0.52</v>
      </c>
      <c r="AC110" s="104">
        <f t="shared" si="89"/>
        <v>0.52</v>
      </c>
      <c r="AD110" s="104">
        <f t="shared" si="89"/>
        <v>0.52</v>
      </c>
      <c r="AE110" s="104">
        <f t="shared" si="89"/>
        <v>0.52</v>
      </c>
      <c r="AF110" s="104">
        <f t="shared" si="89"/>
        <v>0.52</v>
      </c>
      <c r="AG110" s="104">
        <f t="shared" si="89"/>
        <v>0.52</v>
      </c>
      <c r="AI110" s="126" t="s">
        <v>446</v>
      </c>
      <c r="AJ110" s="218" t="s">
        <v>458</v>
      </c>
      <c r="BD110" s="190"/>
      <c r="BE110" s="190"/>
    </row>
    <row r="111" spans="1:63" outlineLevel="1">
      <c r="A111" t="s">
        <v>444</v>
      </c>
      <c r="B111" s="51" t="s">
        <v>126</v>
      </c>
      <c r="C111" s="201">
        <v>0.12</v>
      </c>
      <c r="D111" s="104">
        <f t="shared" ref="D111:S112" si="90">C111</f>
        <v>0.12</v>
      </c>
      <c r="E111" s="104">
        <f t="shared" si="90"/>
        <v>0.12</v>
      </c>
      <c r="F111" s="104">
        <f t="shared" si="90"/>
        <v>0.12</v>
      </c>
      <c r="G111" s="104">
        <f t="shared" si="90"/>
        <v>0.12</v>
      </c>
      <c r="H111" s="104">
        <f t="shared" si="90"/>
        <v>0.12</v>
      </c>
      <c r="I111" s="104">
        <f t="shared" si="90"/>
        <v>0.12</v>
      </c>
      <c r="J111" s="104">
        <f t="shared" si="90"/>
        <v>0.12</v>
      </c>
      <c r="K111" s="104">
        <f t="shared" si="90"/>
        <v>0.12</v>
      </c>
      <c r="L111" s="104">
        <f t="shared" si="90"/>
        <v>0.12</v>
      </c>
      <c r="M111" s="104">
        <f t="shared" si="90"/>
        <v>0.12</v>
      </c>
      <c r="N111" s="104">
        <f t="shared" si="90"/>
        <v>0.12</v>
      </c>
      <c r="O111" s="104">
        <f t="shared" si="90"/>
        <v>0.12</v>
      </c>
      <c r="P111" s="104">
        <f t="shared" si="90"/>
        <v>0.12</v>
      </c>
      <c r="Q111" s="104">
        <f t="shared" si="90"/>
        <v>0.12</v>
      </c>
      <c r="R111" s="104">
        <f t="shared" si="90"/>
        <v>0.12</v>
      </c>
      <c r="S111" s="104">
        <f t="shared" si="90"/>
        <v>0.12</v>
      </c>
      <c r="T111" s="104">
        <f t="shared" si="89"/>
        <v>0.12</v>
      </c>
      <c r="U111" s="104">
        <f t="shared" si="89"/>
        <v>0.12</v>
      </c>
      <c r="V111" s="104">
        <f t="shared" si="89"/>
        <v>0.12</v>
      </c>
      <c r="W111" s="104">
        <f t="shared" si="89"/>
        <v>0.12</v>
      </c>
      <c r="X111" s="104">
        <f t="shared" si="89"/>
        <v>0.12</v>
      </c>
      <c r="Y111" s="104">
        <f t="shared" si="89"/>
        <v>0.12</v>
      </c>
      <c r="Z111" s="104">
        <f t="shared" si="89"/>
        <v>0.12</v>
      </c>
      <c r="AA111" s="104">
        <f t="shared" si="89"/>
        <v>0.12</v>
      </c>
      <c r="AB111" s="104">
        <f t="shared" si="89"/>
        <v>0.12</v>
      </c>
      <c r="AC111" s="104">
        <f t="shared" si="89"/>
        <v>0.12</v>
      </c>
      <c r="AD111" s="104">
        <f t="shared" si="89"/>
        <v>0.12</v>
      </c>
      <c r="AE111" s="104">
        <f t="shared" si="89"/>
        <v>0.12</v>
      </c>
      <c r="AF111" s="104">
        <f t="shared" si="89"/>
        <v>0.12</v>
      </c>
      <c r="AG111" s="104">
        <f t="shared" si="89"/>
        <v>0.12</v>
      </c>
      <c r="AI111" s="126" t="s">
        <v>446</v>
      </c>
      <c r="AJ111" s="218" t="s">
        <v>458</v>
      </c>
      <c r="AL111" s="1"/>
      <c r="BC111" s="1"/>
      <c r="BD111" s="697"/>
      <c r="BE111" s="687"/>
      <c r="BF111" s="6"/>
      <c r="BG111" s="6"/>
      <c r="BH111" s="6"/>
      <c r="BI111" s="6"/>
      <c r="BJ111" s="6"/>
    </row>
    <row r="112" spans="1:63" outlineLevel="1">
      <c r="A112" t="s">
        <v>445</v>
      </c>
      <c r="B112" s="51" t="s">
        <v>126</v>
      </c>
      <c r="C112" s="115">
        <f>1-C110-C111</f>
        <v>0.36</v>
      </c>
      <c r="D112" s="104">
        <f t="shared" si="90"/>
        <v>0.36</v>
      </c>
      <c r="E112" s="104">
        <f t="shared" si="89"/>
        <v>0.36</v>
      </c>
      <c r="F112" s="104">
        <f t="shared" si="89"/>
        <v>0.36</v>
      </c>
      <c r="G112" s="104">
        <f t="shared" si="89"/>
        <v>0.36</v>
      </c>
      <c r="H112" s="104">
        <f t="shared" si="89"/>
        <v>0.36</v>
      </c>
      <c r="I112" s="104">
        <f t="shared" si="89"/>
        <v>0.36</v>
      </c>
      <c r="J112" s="104">
        <f t="shared" si="89"/>
        <v>0.36</v>
      </c>
      <c r="K112" s="104">
        <f t="shared" si="89"/>
        <v>0.36</v>
      </c>
      <c r="L112" s="104">
        <f t="shared" si="89"/>
        <v>0.36</v>
      </c>
      <c r="M112" s="104">
        <f t="shared" si="89"/>
        <v>0.36</v>
      </c>
      <c r="N112" s="104">
        <f t="shared" si="89"/>
        <v>0.36</v>
      </c>
      <c r="O112" s="104">
        <f t="shared" si="89"/>
        <v>0.36</v>
      </c>
      <c r="P112" s="104">
        <f t="shared" si="89"/>
        <v>0.36</v>
      </c>
      <c r="Q112" s="104">
        <f t="shared" si="89"/>
        <v>0.36</v>
      </c>
      <c r="R112" s="104">
        <f t="shared" si="89"/>
        <v>0.36</v>
      </c>
      <c r="S112" s="104">
        <f t="shared" si="89"/>
        <v>0.36</v>
      </c>
      <c r="T112" s="104">
        <f t="shared" si="89"/>
        <v>0.36</v>
      </c>
      <c r="U112" s="104">
        <f t="shared" si="89"/>
        <v>0.36</v>
      </c>
      <c r="V112" s="104">
        <f t="shared" si="89"/>
        <v>0.36</v>
      </c>
      <c r="W112" s="104">
        <f t="shared" si="89"/>
        <v>0.36</v>
      </c>
      <c r="X112" s="104">
        <f t="shared" si="89"/>
        <v>0.36</v>
      </c>
      <c r="Y112" s="104">
        <f t="shared" si="89"/>
        <v>0.36</v>
      </c>
      <c r="Z112" s="104">
        <f t="shared" si="89"/>
        <v>0.36</v>
      </c>
      <c r="AA112" s="104">
        <f t="shared" si="89"/>
        <v>0.36</v>
      </c>
      <c r="AB112" s="104">
        <f t="shared" si="89"/>
        <v>0.36</v>
      </c>
      <c r="AC112" s="104">
        <f t="shared" si="89"/>
        <v>0.36</v>
      </c>
      <c r="AD112" s="104">
        <f t="shared" si="89"/>
        <v>0.36</v>
      </c>
      <c r="AE112" s="104">
        <f t="shared" si="89"/>
        <v>0.36</v>
      </c>
      <c r="AF112" s="104">
        <f t="shared" si="89"/>
        <v>0.36</v>
      </c>
      <c r="AG112" s="104">
        <f t="shared" si="89"/>
        <v>0.36</v>
      </c>
      <c r="AI112" s="126"/>
      <c r="AJ112" s="209"/>
      <c r="BC112" s="1"/>
      <c r="BD112" s="38"/>
      <c r="BF112" s="6"/>
      <c r="BG112" s="6"/>
      <c r="BH112" s="6"/>
      <c r="BI112" s="6"/>
      <c r="BJ112" s="6"/>
    </row>
    <row r="113" spans="1:63" outlineLevel="1">
      <c r="A113" t="s">
        <v>433</v>
      </c>
      <c r="B113" s="51" t="s">
        <v>126</v>
      </c>
      <c r="C113" s="104">
        <f>SUM(C110:C112)</f>
        <v>1</v>
      </c>
      <c r="D113" s="104">
        <f t="shared" ref="D113:AG113" si="91">SUM(D110:D112)</f>
        <v>1</v>
      </c>
      <c r="E113" s="104">
        <f t="shared" si="91"/>
        <v>1</v>
      </c>
      <c r="F113" s="104">
        <f t="shared" si="91"/>
        <v>1</v>
      </c>
      <c r="G113" s="104">
        <f t="shared" si="91"/>
        <v>1</v>
      </c>
      <c r="H113" s="104">
        <f t="shared" si="91"/>
        <v>1</v>
      </c>
      <c r="I113" s="104">
        <f t="shared" si="91"/>
        <v>1</v>
      </c>
      <c r="J113" s="104">
        <f t="shared" si="91"/>
        <v>1</v>
      </c>
      <c r="K113" s="104">
        <f t="shared" si="91"/>
        <v>1</v>
      </c>
      <c r="L113" s="104">
        <f t="shared" si="91"/>
        <v>1</v>
      </c>
      <c r="M113" s="104">
        <f t="shared" si="91"/>
        <v>1</v>
      </c>
      <c r="N113" s="104">
        <f t="shared" si="91"/>
        <v>1</v>
      </c>
      <c r="O113" s="104">
        <f t="shared" si="91"/>
        <v>1</v>
      </c>
      <c r="P113" s="104">
        <f t="shared" si="91"/>
        <v>1</v>
      </c>
      <c r="Q113" s="104">
        <f t="shared" si="91"/>
        <v>1</v>
      </c>
      <c r="R113" s="104">
        <f t="shared" si="91"/>
        <v>1</v>
      </c>
      <c r="S113" s="104">
        <f t="shared" si="91"/>
        <v>1</v>
      </c>
      <c r="T113" s="104">
        <f t="shared" si="91"/>
        <v>1</v>
      </c>
      <c r="U113" s="104">
        <f t="shared" si="91"/>
        <v>1</v>
      </c>
      <c r="V113" s="104">
        <f t="shared" si="91"/>
        <v>1</v>
      </c>
      <c r="W113" s="104">
        <f t="shared" si="91"/>
        <v>1</v>
      </c>
      <c r="X113" s="104">
        <f t="shared" si="91"/>
        <v>1</v>
      </c>
      <c r="Y113" s="104">
        <f t="shared" si="91"/>
        <v>1</v>
      </c>
      <c r="Z113" s="104">
        <f t="shared" si="91"/>
        <v>1</v>
      </c>
      <c r="AA113" s="104">
        <f t="shared" si="91"/>
        <v>1</v>
      </c>
      <c r="AB113" s="104">
        <f t="shared" si="91"/>
        <v>1</v>
      </c>
      <c r="AC113" s="104">
        <f t="shared" si="91"/>
        <v>1</v>
      </c>
      <c r="AD113" s="104">
        <f t="shared" si="91"/>
        <v>1</v>
      </c>
      <c r="AE113" s="104">
        <f t="shared" si="91"/>
        <v>1</v>
      </c>
      <c r="AF113" s="104">
        <f t="shared" si="91"/>
        <v>1</v>
      </c>
      <c r="AG113" s="104">
        <f t="shared" si="91"/>
        <v>1</v>
      </c>
      <c r="AI113" s="126"/>
      <c r="AJ113" s="198"/>
      <c r="BC113" s="1"/>
      <c r="BD113" s="38"/>
      <c r="BF113" s="6"/>
      <c r="BG113" s="6"/>
      <c r="BH113" s="6"/>
      <c r="BI113" s="6"/>
      <c r="BJ113" s="6"/>
    </row>
    <row r="114" spans="1:63" outlineLevel="1">
      <c r="C114" s="201"/>
      <c r="D114" s="104"/>
      <c r="E114" s="104"/>
      <c r="F114" s="104"/>
      <c r="G114" s="104"/>
      <c r="H114" s="104"/>
      <c r="I114" s="104"/>
      <c r="J114" s="104"/>
      <c r="K114" s="104"/>
      <c r="L114" s="104"/>
      <c r="M114" s="104"/>
      <c r="N114" s="104"/>
      <c r="O114" s="104"/>
      <c r="P114" s="104"/>
      <c r="Q114" s="104"/>
      <c r="R114" s="104"/>
      <c r="S114" s="104"/>
      <c r="T114" s="104"/>
      <c r="U114" s="104"/>
      <c r="V114" s="104"/>
      <c r="W114" s="104"/>
      <c r="X114" s="104"/>
      <c r="Y114" s="104"/>
      <c r="Z114" s="104"/>
      <c r="AA114" s="104"/>
      <c r="AB114" s="104"/>
      <c r="AC114" s="104"/>
      <c r="AD114" s="104"/>
      <c r="AE114" s="104"/>
      <c r="AF114" s="104"/>
      <c r="AG114" s="104"/>
      <c r="AI114" s="126"/>
      <c r="AJ114" s="198"/>
      <c r="BC114" s="1"/>
      <c r="BD114" s="38"/>
      <c r="BF114" s="6"/>
      <c r="BG114" s="6"/>
      <c r="BH114" s="6"/>
      <c r="BI114" s="6"/>
      <c r="BJ114" s="6"/>
    </row>
    <row r="115" spans="1:63" outlineLevel="1">
      <c r="A115" t="s">
        <v>441</v>
      </c>
      <c r="B115" s="51" t="s">
        <v>126</v>
      </c>
      <c r="C115" s="104">
        <f>C110*C108</f>
        <v>1.1960000000000002E-2</v>
      </c>
      <c r="D115" s="104">
        <f t="shared" ref="D115:AG115" si="92">D110*D108</f>
        <v>1.5083573746669186E-2</v>
      </c>
      <c r="E115" s="104">
        <f t="shared" si="92"/>
        <v>1.8192267295272863E-2</v>
      </c>
      <c r="F115" s="104">
        <f t="shared" si="92"/>
        <v>2.1286080645811039E-2</v>
      </c>
      <c r="G115" s="104">
        <f t="shared" si="92"/>
        <v>2.4365013798283711E-2</v>
      </c>
      <c r="H115" s="104">
        <f t="shared" si="92"/>
        <v>2.742906675269088E-2</v>
      </c>
      <c r="I115" s="104">
        <f t="shared" si="92"/>
        <v>3.0478239509032539E-2</v>
      </c>
      <c r="J115" s="104">
        <f t="shared" si="92"/>
        <v>3.3512532067308705E-2</v>
      </c>
      <c r="K115" s="104">
        <f t="shared" si="92"/>
        <v>3.6531944427519364E-2</v>
      </c>
      <c r="L115" s="104">
        <f t="shared" si="92"/>
        <v>3.9536476589664513E-2</v>
      </c>
      <c r="M115" s="104">
        <f t="shared" si="92"/>
        <v>4.2526128553744144E-2</v>
      </c>
      <c r="N115" s="104">
        <f t="shared" si="92"/>
        <v>4.8289739171859587E-2</v>
      </c>
      <c r="O115" s="104">
        <f t="shared" si="92"/>
        <v>5.4024984412412658E-2</v>
      </c>
      <c r="P115" s="104">
        <f t="shared" si="92"/>
        <v>5.9731864275403369E-2</v>
      </c>
      <c r="Q115" s="104">
        <f t="shared" si="92"/>
        <v>6.5410378760831694E-2</v>
      </c>
      <c r="R115" s="104">
        <f t="shared" si="92"/>
        <v>7.1060527868697668E-2</v>
      </c>
      <c r="S115" s="104">
        <f t="shared" si="92"/>
        <v>7.6682311599001282E-2</v>
      </c>
      <c r="T115" s="104">
        <f t="shared" si="92"/>
        <v>8.227572995174251E-2</v>
      </c>
      <c r="U115" s="104">
        <f t="shared" si="92"/>
        <v>8.7840782926921379E-2</v>
      </c>
      <c r="V115" s="104">
        <f t="shared" si="92"/>
        <v>9.3377470524537862E-2</v>
      </c>
      <c r="W115" s="104">
        <f t="shared" si="92"/>
        <v>9.8885792744592013E-2</v>
      </c>
      <c r="X115" s="104">
        <f t="shared" si="92"/>
        <v>0.10878581837980737</v>
      </c>
      <c r="Y115" s="104">
        <f t="shared" si="92"/>
        <v>0.11863557625731729</v>
      </c>
      <c r="Z115" s="104">
        <f t="shared" si="92"/>
        <v>0.12843506637712174</v>
      </c>
      <c r="AA115" s="104">
        <f t="shared" si="92"/>
        <v>0.13818428873922073</v>
      </c>
      <c r="AB115" s="104">
        <f t="shared" si="92"/>
        <v>0.14788324334361427</v>
      </c>
      <c r="AC115" s="104">
        <f t="shared" si="92"/>
        <v>0.15753193019030234</v>
      </c>
      <c r="AD115" s="104">
        <f t="shared" si="92"/>
        <v>0.16713034927928497</v>
      </c>
      <c r="AE115" s="104">
        <f t="shared" si="92"/>
        <v>0.17667850061056209</v>
      </c>
      <c r="AF115" s="104">
        <f t="shared" si="92"/>
        <v>0.18617638418413376</v>
      </c>
      <c r="AG115" s="104">
        <f t="shared" si="92"/>
        <v>4.5759999999999995E-2</v>
      </c>
      <c r="AI115" s="126"/>
      <c r="AJ115" s="198"/>
      <c r="BD115" s="190"/>
      <c r="BE115" s="190"/>
    </row>
    <row r="116" spans="1:63" outlineLevel="1">
      <c r="A116" t="s">
        <v>442</v>
      </c>
      <c r="B116" s="51" t="s">
        <v>126</v>
      </c>
      <c r="C116" s="104">
        <f>C108*C111</f>
        <v>2.7600000000000003E-3</v>
      </c>
      <c r="D116" s="104">
        <f t="shared" ref="D116:AG116" si="93">D108*D111</f>
        <v>3.4808247107698119E-3</v>
      </c>
      <c r="E116" s="104">
        <f t="shared" si="93"/>
        <v>4.1982155296783523E-3</v>
      </c>
      <c r="F116" s="104">
        <f t="shared" si="93"/>
        <v>4.9121724567256246E-3</v>
      </c>
      <c r="G116" s="104">
        <f t="shared" si="93"/>
        <v>5.6226954919116256E-3</v>
      </c>
      <c r="H116" s="104">
        <f t="shared" si="93"/>
        <v>6.3297846352363572E-3</v>
      </c>
      <c r="I116" s="104">
        <f t="shared" si="93"/>
        <v>7.0334398866998158E-3</v>
      </c>
      <c r="J116" s="104">
        <f t="shared" si="93"/>
        <v>7.7336612463020076E-3</v>
      </c>
      <c r="K116" s="104">
        <f t="shared" si="93"/>
        <v>8.4304487140429291E-3</v>
      </c>
      <c r="L116" s="104">
        <f t="shared" si="93"/>
        <v>9.1238022899225793E-3</v>
      </c>
      <c r="M116" s="104">
        <f t="shared" si="93"/>
        <v>9.8137219739409566E-3</v>
      </c>
      <c r="N116" s="104">
        <f t="shared" si="93"/>
        <v>1.1143785962736826E-2</v>
      </c>
      <c r="O116" s="104">
        <f t="shared" si="93"/>
        <v>1.246730409517215E-2</v>
      </c>
      <c r="P116" s="104">
        <f t="shared" si="93"/>
        <v>1.3784276371246929E-2</v>
      </c>
      <c r="Q116" s="104">
        <f t="shared" si="93"/>
        <v>1.5094702790961159E-2</v>
      </c>
      <c r="R116" s="104">
        <f t="shared" si="93"/>
        <v>1.6398583354314846E-2</v>
      </c>
      <c r="S116" s="104">
        <f t="shared" si="93"/>
        <v>1.7695918061307988E-2</v>
      </c>
      <c r="T116" s="104">
        <f t="shared" si="93"/>
        <v>1.8986706911940578E-2</v>
      </c>
      <c r="U116" s="104">
        <f t="shared" si="93"/>
        <v>2.0270949906212622E-2</v>
      </c>
      <c r="V116" s="104">
        <f t="shared" si="93"/>
        <v>2.1548647044124122E-2</v>
      </c>
      <c r="W116" s="104">
        <f t="shared" si="93"/>
        <v>2.2819798325675076E-2</v>
      </c>
      <c r="X116" s="104">
        <f t="shared" si="93"/>
        <v>2.5104419626109393E-2</v>
      </c>
      <c r="Y116" s="104">
        <f t="shared" si="93"/>
        <v>2.7377440674765528E-2</v>
      </c>
      <c r="Z116" s="104">
        <f t="shared" si="93"/>
        <v>2.9638861471643477E-2</v>
      </c>
      <c r="AA116" s="104">
        <f t="shared" si="93"/>
        <v>3.1888682016743247E-2</v>
      </c>
      <c r="AB116" s="104">
        <f t="shared" si="93"/>
        <v>3.4126902310064829E-2</v>
      </c>
      <c r="AC116" s="104">
        <f t="shared" si="93"/>
        <v>3.6353522351608235E-2</v>
      </c>
      <c r="AD116" s="104">
        <f t="shared" si="93"/>
        <v>3.8568542141373445E-2</v>
      </c>
      <c r="AE116" s="104">
        <f t="shared" si="93"/>
        <v>4.0771961679360473E-2</v>
      </c>
      <c r="AF116" s="104">
        <f t="shared" si="93"/>
        <v>4.2963780965569333E-2</v>
      </c>
      <c r="AG116" s="104">
        <f t="shared" si="93"/>
        <v>1.0559999999999996E-2</v>
      </c>
      <c r="AI116" s="126"/>
      <c r="AJ116" s="198"/>
      <c r="AL116" s="1"/>
      <c r="BC116" s="1"/>
      <c r="BD116" s="697"/>
      <c r="BE116" s="687"/>
      <c r="BF116" s="6"/>
      <c r="BG116" s="6"/>
      <c r="BH116" s="6"/>
      <c r="BI116" s="6"/>
      <c r="BJ116" s="6"/>
    </row>
    <row r="117" spans="1:63" outlineLevel="1">
      <c r="A117" t="s">
        <v>443</v>
      </c>
      <c r="B117" s="51" t="s">
        <v>126</v>
      </c>
      <c r="C117" s="104">
        <f>C108*C112</f>
        <v>8.2800000000000009E-3</v>
      </c>
      <c r="D117" s="104">
        <f t="shared" ref="D117:AG117" si="94">D108*D112</f>
        <v>1.0442474132309436E-2</v>
      </c>
      <c r="E117" s="104">
        <f t="shared" si="94"/>
        <v>1.2594646589035058E-2</v>
      </c>
      <c r="F117" s="104">
        <f t="shared" si="94"/>
        <v>1.4736517370176873E-2</v>
      </c>
      <c r="G117" s="104">
        <f t="shared" si="94"/>
        <v>1.6868086475734876E-2</v>
      </c>
      <c r="H117" s="104">
        <f t="shared" si="94"/>
        <v>1.8989353905709071E-2</v>
      </c>
      <c r="I117" s="104">
        <f t="shared" si="94"/>
        <v>2.1100319660099447E-2</v>
      </c>
      <c r="J117" s="104">
        <f t="shared" si="94"/>
        <v>2.3200983738906025E-2</v>
      </c>
      <c r="K117" s="104">
        <f t="shared" si="94"/>
        <v>2.5291346142128787E-2</v>
      </c>
      <c r="L117" s="104">
        <f t="shared" si="94"/>
        <v>2.7371406869767738E-2</v>
      </c>
      <c r="M117" s="104">
        <f t="shared" si="94"/>
        <v>2.944116592182287E-2</v>
      </c>
      <c r="N117" s="104">
        <f t="shared" si="94"/>
        <v>3.3431357888210479E-2</v>
      </c>
      <c r="O117" s="104">
        <f t="shared" si="94"/>
        <v>3.7401912285516453E-2</v>
      </c>
      <c r="P117" s="104">
        <f t="shared" si="94"/>
        <v>4.1352829113740788E-2</v>
      </c>
      <c r="Q117" s="104">
        <f t="shared" si="94"/>
        <v>4.5284108372883478E-2</v>
      </c>
      <c r="R117" s="104">
        <f t="shared" si="94"/>
        <v>4.9195750062944535E-2</v>
      </c>
      <c r="S117" s="104">
        <f t="shared" si="94"/>
        <v>5.308775418392396E-2</v>
      </c>
      <c r="T117" s="104">
        <f t="shared" si="94"/>
        <v>5.6960120735821733E-2</v>
      </c>
      <c r="U117" s="104">
        <f t="shared" si="94"/>
        <v>6.0812849718637874E-2</v>
      </c>
      <c r="V117" s="104">
        <f t="shared" si="94"/>
        <v>6.4645941132372362E-2</v>
      </c>
      <c r="W117" s="104">
        <f t="shared" si="94"/>
        <v>6.8459394977025231E-2</v>
      </c>
      <c r="X117" s="104">
        <f t="shared" si="94"/>
        <v>7.5313258878328182E-2</v>
      </c>
      <c r="Y117" s="104">
        <f t="shared" si="94"/>
        <v>8.2132322024296586E-2</v>
      </c>
      <c r="Z117" s="104">
        <f t="shared" si="94"/>
        <v>8.891658441493043E-2</v>
      </c>
      <c r="AA117" s="104">
        <f t="shared" si="94"/>
        <v>9.5666046050229742E-2</v>
      </c>
      <c r="AB117" s="104">
        <f t="shared" si="94"/>
        <v>0.10238070693019449</v>
      </c>
      <c r="AC117" s="104">
        <f t="shared" si="94"/>
        <v>0.1090605670548247</v>
      </c>
      <c r="AD117" s="104">
        <f t="shared" si="94"/>
        <v>0.11570562642412034</v>
      </c>
      <c r="AE117" s="104">
        <f t="shared" si="94"/>
        <v>0.12231588503808143</v>
      </c>
      <c r="AF117" s="104">
        <f t="shared" si="94"/>
        <v>0.12889134289670798</v>
      </c>
      <c r="AG117" s="104">
        <f t="shared" si="94"/>
        <v>3.1679999999999993E-2</v>
      </c>
      <c r="AI117" s="127"/>
      <c r="AJ117" s="198"/>
      <c r="BC117" s="1"/>
      <c r="BD117" s="38"/>
      <c r="BF117" s="6"/>
      <c r="BG117" s="6"/>
      <c r="BH117" s="6"/>
      <c r="BI117" s="6"/>
      <c r="BJ117" s="6"/>
    </row>
    <row r="118" spans="1:63" outlineLevel="1">
      <c r="C118" s="104"/>
      <c r="D118" s="104"/>
      <c r="E118" s="104"/>
      <c r="F118" s="104"/>
      <c r="G118" s="104"/>
      <c r="H118" s="104"/>
      <c r="I118" s="104"/>
      <c r="J118" s="104"/>
      <c r="K118" s="104"/>
      <c r="L118" s="104"/>
      <c r="M118" s="104"/>
      <c r="N118" s="104"/>
      <c r="O118" s="104"/>
      <c r="P118" s="104"/>
      <c r="Q118" s="104"/>
      <c r="R118" s="104"/>
      <c r="S118" s="104"/>
      <c r="T118" s="104"/>
      <c r="U118" s="104"/>
      <c r="V118" s="104"/>
      <c r="W118" s="104"/>
      <c r="X118" s="104"/>
      <c r="Y118" s="104"/>
      <c r="Z118" s="104"/>
      <c r="AA118" s="104"/>
      <c r="AB118" s="104"/>
      <c r="AC118" s="104"/>
      <c r="AD118" s="104"/>
      <c r="AE118" s="104"/>
      <c r="AF118" s="104"/>
      <c r="AG118" s="104"/>
      <c r="AI118" s="127"/>
      <c r="AJ118" s="198"/>
      <c r="BC118" s="1"/>
      <c r="BD118" s="38"/>
      <c r="BF118" s="6"/>
      <c r="BG118" s="6"/>
      <c r="BH118" s="6"/>
      <c r="BI118" s="6"/>
      <c r="BJ118" s="6"/>
    </row>
    <row r="119" spans="1:63" outlineLevel="1">
      <c r="A119" t="s">
        <v>835</v>
      </c>
      <c r="C119" s="357">
        <f>'Overall recycling rates'!C86</f>
        <v>0.89882863314578798</v>
      </c>
      <c r="D119" s="357">
        <f t="shared" ref="D119:AF119" si="95">C119-($C119-$AG119)/($AG1-$C1)</f>
        <v>0.8988676787075951</v>
      </c>
      <c r="E119" s="357">
        <f t="shared" si="95"/>
        <v>0.89890672426940221</v>
      </c>
      <c r="F119" s="357">
        <f t="shared" si="95"/>
        <v>0.89894576983120933</v>
      </c>
      <c r="G119" s="357">
        <f t="shared" si="95"/>
        <v>0.89898481539301645</v>
      </c>
      <c r="H119" s="357">
        <f t="shared" si="95"/>
        <v>0.89902386095482356</v>
      </c>
      <c r="I119" s="357">
        <f t="shared" si="95"/>
        <v>0.89906290651663068</v>
      </c>
      <c r="J119" s="357">
        <f t="shared" si="95"/>
        <v>0.89910195207843779</v>
      </c>
      <c r="K119" s="357">
        <f t="shared" si="95"/>
        <v>0.89914099764024491</v>
      </c>
      <c r="L119" s="357">
        <f t="shared" si="95"/>
        <v>0.89918004320205203</v>
      </c>
      <c r="M119" s="357">
        <f t="shared" si="95"/>
        <v>0.89921908876385914</v>
      </c>
      <c r="N119" s="357">
        <f t="shared" si="95"/>
        <v>0.89925813432566626</v>
      </c>
      <c r="O119" s="357">
        <f t="shared" si="95"/>
        <v>0.89929717988747337</v>
      </c>
      <c r="P119" s="357">
        <f t="shared" si="95"/>
        <v>0.89933622544928049</v>
      </c>
      <c r="Q119" s="357">
        <f t="shared" si="95"/>
        <v>0.89937527101108761</v>
      </c>
      <c r="R119" s="357">
        <f t="shared" si="95"/>
        <v>0.89941431657289472</v>
      </c>
      <c r="S119" s="357">
        <f t="shared" si="95"/>
        <v>0.89945336213470184</v>
      </c>
      <c r="T119" s="357">
        <f t="shared" si="95"/>
        <v>0.89949240769650896</v>
      </c>
      <c r="U119" s="357">
        <f t="shared" si="95"/>
        <v>0.89953145325831607</v>
      </c>
      <c r="V119" s="357">
        <f t="shared" si="95"/>
        <v>0.89957049882012319</v>
      </c>
      <c r="W119" s="357">
        <f t="shared" si="95"/>
        <v>0.8996095443819303</v>
      </c>
      <c r="X119" s="357">
        <f t="shared" si="95"/>
        <v>0.89964858994373742</v>
      </c>
      <c r="Y119" s="357">
        <f t="shared" si="95"/>
        <v>0.89968763550554454</v>
      </c>
      <c r="Z119" s="357">
        <f t="shared" si="95"/>
        <v>0.89972668106735165</v>
      </c>
      <c r="AA119" s="357">
        <f t="shared" si="95"/>
        <v>0.89976572662915877</v>
      </c>
      <c r="AB119" s="357">
        <f t="shared" si="95"/>
        <v>0.89980477219096588</v>
      </c>
      <c r="AC119" s="357">
        <f t="shared" si="95"/>
        <v>0.899843817752773</v>
      </c>
      <c r="AD119" s="357">
        <f t="shared" si="95"/>
        <v>0.89988286331458012</v>
      </c>
      <c r="AE119" s="357">
        <f t="shared" si="95"/>
        <v>0.89992190887638723</v>
      </c>
      <c r="AF119" s="357">
        <f t="shared" si="95"/>
        <v>0.89996095443819435</v>
      </c>
      <c r="AG119" s="357">
        <f>'Overall recycling rates'!C95</f>
        <v>0.9</v>
      </c>
      <c r="AI119" s="127"/>
      <c r="AJ119" s="198"/>
      <c r="BC119" s="1"/>
      <c r="BD119" s="38"/>
      <c r="BF119" s="6"/>
      <c r="BG119" s="6"/>
      <c r="BH119" s="6"/>
      <c r="BI119" s="6"/>
      <c r="BJ119" s="6"/>
    </row>
    <row r="120" spans="1:63" outlineLevel="1">
      <c r="A120" t="s">
        <v>836</v>
      </c>
      <c r="B120" s="51" t="s">
        <v>126</v>
      </c>
      <c r="C120" s="104">
        <f>C107*C119</f>
        <v>1.7976572662915761E-3</v>
      </c>
      <c r="D120" s="104">
        <f t="shared" ref="D120:AG120" si="96">D107*D119</f>
        <v>2.3341486715158658E-3</v>
      </c>
      <c r="E120" s="104">
        <f t="shared" si="96"/>
        <v>2.8964095828743651E-3</v>
      </c>
      <c r="F120" s="104">
        <f t="shared" si="96"/>
        <v>3.4844433523229983E-3</v>
      </c>
      <c r="G120" s="104">
        <f t="shared" si="96"/>
        <v>4.0982533318176867E-3</v>
      </c>
      <c r="H120" s="104">
        <f t="shared" si="96"/>
        <v>4.7378428733143539E-3</v>
      </c>
      <c r="I120" s="104">
        <f t="shared" si="96"/>
        <v>5.4032153287689203E-3</v>
      </c>
      <c r="J120" s="104">
        <f t="shared" si="96"/>
        <v>6.0943740501373141E-3</v>
      </c>
      <c r="K120" s="104">
        <f t="shared" si="96"/>
        <v>6.8113223893754536E-3</v>
      </c>
      <c r="L120" s="104">
        <f t="shared" si="96"/>
        <v>7.5540636984392602E-3</v>
      </c>
      <c r="M120" s="104">
        <f t="shared" si="96"/>
        <v>8.322601329284661E-3</v>
      </c>
      <c r="N120" s="104">
        <f t="shared" si="96"/>
        <v>9.6757335696968424E-3</v>
      </c>
      <c r="O120" s="104">
        <f t="shared" si="96"/>
        <v>1.107803886875758E-2</v>
      </c>
      <c r="P120" s="104">
        <f t="shared" si="96"/>
        <v>1.2529523616132854E-2</v>
      </c>
      <c r="Q120" s="104">
        <f t="shared" si="96"/>
        <v>1.4030194201488638E-2</v>
      </c>
      <c r="R120" s="104">
        <f t="shared" si="96"/>
        <v>1.5580057014490912E-2</v>
      </c>
      <c r="S120" s="104">
        <f t="shared" si="96"/>
        <v>1.7179118444805654E-2</v>
      </c>
      <c r="T120" s="104">
        <f t="shared" si="96"/>
        <v>1.8827384882098841E-2</v>
      </c>
      <c r="U120" s="104">
        <f t="shared" si="96"/>
        <v>2.0524862716036447E-2</v>
      </c>
      <c r="V120" s="104">
        <f t="shared" si="96"/>
        <v>2.2271558336284455E-2</v>
      </c>
      <c r="W120" s="104">
        <f t="shared" si="96"/>
        <v>2.406747813250884E-2</v>
      </c>
      <c r="X120" s="104">
        <f t="shared" si="96"/>
        <v>2.7010072828350884E-2</v>
      </c>
      <c r="Y120" s="104">
        <f t="shared" si="96"/>
        <v>3.0039894548504649E-2</v>
      </c>
      <c r="Z120" s="104">
        <f t="shared" si="96"/>
        <v>3.3156954616428834E-2</v>
      </c>
      <c r="AA120" s="104">
        <f t="shared" si="96"/>
        <v>3.636126435558213E-2</v>
      </c>
      <c r="AB120" s="104">
        <f t="shared" si="96"/>
        <v>3.965283508942323E-2</v>
      </c>
      <c r="AC120" s="104">
        <f t="shared" si="96"/>
        <v>4.3031678141410824E-2</v>
      </c>
      <c r="AD120" s="104">
        <f t="shared" si="96"/>
        <v>4.6497804835003625E-2</v>
      </c>
      <c r="AE120" s="104">
        <f t="shared" si="96"/>
        <v>5.0051226493660297E-2</v>
      </c>
      <c r="AF120" s="104">
        <f t="shared" si="96"/>
        <v>5.3691954440839573E-2</v>
      </c>
      <c r="AG120" s="104">
        <f t="shared" si="96"/>
        <v>0.31680000000000003</v>
      </c>
      <c r="AI120" s="127"/>
      <c r="AJ120" s="198"/>
      <c r="BC120" s="1"/>
      <c r="BD120" s="38"/>
      <c r="BF120" s="6"/>
      <c r="BG120" s="6"/>
      <c r="BH120" s="6"/>
      <c r="BI120" s="6"/>
      <c r="BJ120" s="6"/>
    </row>
    <row r="121" spans="1:63" outlineLevel="1">
      <c r="A121" t="s">
        <v>837</v>
      </c>
      <c r="B121" s="51" t="s">
        <v>126</v>
      </c>
      <c r="C121" s="104">
        <f>C108*C119</f>
        <v>2.0673058562353127E-2</v>
      </c>
      <c r="D121" s="104">
        <f t="shared" ref="D121:AG121" si="97">D108*D119</f>
        <v>2.6073340231314142E-2</v>
      </c>
      <c r="E121" s="104">
        <f t="shared" si="97"/>
        <v>3.1448368079667513E-2</v>
      </c>
      <c r="F121" s="104">
        <f t="shared" si="97"/>
        <v>3.679813875545733E-2</v>
      </c>
      <c r="G121" s="104">
        <f t="shared" si="97"/>
        <v>4.2122648906727657E-2</v>
      </c>
      <c r="H121" s="104">
        <f t="shared" si="97"/>
        <v>4.742189518152258E-2</v>
      </c>
      <c r="I121" s="104">
        <f t="shared" si="97"/>
        <v>5.2695874227886151E-2</v>
      </c>
      <c r="J121" s="104">
        <f t="shared" si="97"/>
        <v>5.7944582693862497E-2</v>
      </c>
      <c r="K121" s="104">
        <f t="shared" si="97"/>
        <v>6.3168017227495668E-2</v>
      </c>
      <c r="L121" s="104">
        <f t="shared" si="97"/>
        <v>6.8366174476829716E-2</v>
      </c>
      <c r="M121" s="104">
        <f t="shared" si="97"/>
        <v>7.3539051089908727E-2</v>
      </c>
      <c r="N121" s="104">
        <f t="shared" si="97"/>
        <v>8.3509501451460563E-2</v>
      </c>
      <c r="O121" s="104">
        <f t="shared" si="97"/>
        <v>9.3431761779898856E-2</v>
      </c>
      <c r="P121" s="104">
        <f t="shared" si="97"/>
        <v>0.10330582568555766</v>
      </c>
      <c r="Q121" s="104">
        <f t="shared" si="97"/>
        <v>0.11313168677877095</v>
      </c>
      <c r="R121" s="104">
        <f t="shared" si="97"/>
        <v>0.12290933866987279</v>
      </c>
      <c r="S121" s="104">
        <f t="shared" si="97"/>
        <v>0.13263877496919721</v>
      </c>
      <c r="T121" s="104">
        <f t="shared" si="97"/>
        <v>0.14231998928707817</v>
      </c>
      <c r="U121" s="104">
        <f t="shared" si="97"/>
        <v>0.15195297523384974</v>
      </c>
      <c r="V121" s="104">
        <f t="shared" si="97"/>
        <v>0.1615377264198459</v>
      </c>
      <c r="W121" s="104">
        <f t="shared" si="97"/>
        <v>0.17107423645540076</v>
      </c>
      <c r="X121" s="104">
        <f t="shared" si="97"/>
        <v>0.18820963098321003</v>
      </c>
      <c r="Y121" s="104">
        <f t="shared" si="97"/>
        <v>0.20525954055727597</v>
      </c>
      <c r="Z121" s="104">
        <f t="shared" si="97"/>
        <v>0.2222239538541399</v>
      </c>
      <c r="AA121" s="104">
        <f t="shared" si="97"/>
        <v>0.23910285955034313</v>
      </c>
      <c r="AB121" s="104">
        <f t="shared" si="97"/>
        <v>0.25589624632242691</v>
      </c>
      <c r="AC121" s="104">
        <f t="shared" si="97"/>
        <v>0.27260410284693265</v>
      </c>
      <c r="AD121" s="104">
        <f t="shared" si="97"/>
        <v>0.28922641780040154</v>
      </c>
      <c r="AE121" s="104">
        <f t="shared" si="97"/>
        <v>0.30576317985937496</v>
      </c>
      <c r="AF121" s="104">
        <f t="shared" si="97"/>
        <v>0.32221437770039418</v>
      </c>
      <c r="AG121" s="104">
        <f t="shared" si="97"/>
        <v>7.9199999999999979E-2</v>
      </c>
      <c r="AI121" s="127"/>
      <c r="AJ121" s="198"/>
      <c r="BC121" s="1"/>
      <c r="BD121" s="38"/>
      <c r="BF121" s="6"/>
      <c r="BG121" s="6"/>
      <c r="BH121" s="6"/>
      <c r="BI121" s="6"/>
      <c r="BJ121" s="6"/>
    </row>
    <row r="122" spans="1:63" outlineLevel="1">
      <c r="A122" t="s">
        <v>838</v>
      </c>
      <c r="B122" s="51" t="s">
        <v>126</v>
      </c>
      <c r="C122" s="104">
        <f>C104*C119</f>
        <v>2.24707158286447E-2</v>
      </c>
      <c r="D122" s="104">
        <f t="shared" ref="D122:AG122" si="98">D104*D119</f>
        <v>2.8407488902830007E-2</v>
      </c>
      <c r="E122" s="104">
        <f t="shared" si="98"/>
        <v>3.4344777662541875E-2</v>
      </c>
      <c r="F122" s="104">
        <f t="shared" si="98"/>
        <v>4.0282582107780324E-2</v>
      </c>
      <c r="G122" s="104">
        <f t="shared" si="98"/>
        <v>4.6220902238545344E-2</v>
      </c>
      <c r="H122" s="104">
        <f t="shared" si="98"/>
        <v>5.2159738054836931E-2</v>
      </c>
      <c r="I122" s="104">
        <f t="shared" si="98"/>
        <v>5.8099089556655076E-2</v>
      </c>
      <c r="J122" s="104">
        <f t="shared" si="98"/>
        <v>6.40389567439998E-2</v>
      </c>
      <c r="K122" s="104">
        <f t="shared" si="98"/>
        <v>6.9979339616871111E-2</v>
      </c>
      <c r="L122" s="104">
        <f t="shared" si="98"/>
        <v>7.5920238175268967E-2</v>
      </c>
      <c r="M122" s="104">
        <f t="shared" si="98"/>
        <v>8.1861652419193395E-2</v>
      </c>
      <c r="N122" s="104">
        <f t="shared" si="98"/>
        <v>9.3185235021157414E-2</v>
      </c>
      <c r="O122" s="104">
        <f t="shared" si="98"/>
        <v>0.10450980064865645</v>
      </c>
      <c r="P122" s="104">
        <f t="shared" si="98"/>
        <v>0.11583534930169052</v>
      </c>
      <c r="Q122" s="104">
        <f t="shared" si="98"/>
        <v>0.1271618809802596</v>
      </c>
      <c r="R122" s="104">
        <f t="shared" si="98"/>
        <v>0.13848939568436372</v>
      </c>
      <c r="S122" s="104">
        <f t="shared" si="98"/>
        <v>0.14981789341400284</v>
      </c>
      <c r="T122" s="104">
        <f t="shared" si="98"/>
        <v>0.16114737416917702</v>
      </c>
      <c r="U122" s="104">
        <f t="shared" si="98"/>
        <v>0.17247783794988619</v>
      </c>
      <c r="V122" s="104">
        <f t="shared" si="98"/>
        <v>0.18380928475613037</v>
      </c>
      <c r="W122" s="104">
        <f t="shared" si="98"/>
        <v>0.1951417145879096</v>
      </c>
      <c r="X122" s="104">
        <f t="shared" si="98"/>
        <v>0.21521970381156091</v>
      </c>
      <c r="Y122" s="104">
        <f t="shared" si="98"/>
        <v>0.23529943510578064</v>
      </c>
      <c r="Z122" s="104">
        <f t="shared" si="98"/>
        <v>0.25538090847056871</v>
      </c>
      <c r="AA122" s="104">
        <f t="shared" si="98"/>
        <v>0.27546412390592528</v>
      </c>
      <c r="AB122" s="104">
        <f t="shared" si="98"/>
        <v>0.29554908141185016</v>
      </c>
      <c r="AC122" s="104">
        <f t="shared" si="98"/>
        <v>0.31563578098834344</v>
      </c>
      <c r="AD122" s="104">
        <f t="shared" si="98"/>
        <v>0.33572422263540519</v>
      </c>
      <c r="AE122" s="104">
        <f t="shared" si="98"/>
        <v>0.35581440635303524</v>
      </c>
      <c r="AF122" s="104">
        <f t="shared" si="98"/>
        <v>0.37590633214123376</v>
      </c>
      <c r="AG122" s="104">
        <f t="shared" si="98"/>
        <v>0.39600000000000002</v>
      </c>
      <c r="AI122" s="127"/>
      <c r="AJ122" s="198"/>
      <c r="BC122" s="1"/>
      <c r="BD122" s="38"/>
      <c r="BF122" s="6"/>
      <c r="BG122" s="6"/>
      <c r="BH122" s="6"/>
      <c r="BI122" s="6"/>
      <c r="BJ122" s="6"/>
    </row>
    <row r="123" spans="1:63" outlineLevel="1">
      <c r="A123" t="s">
        <v>839</v>
      </c>
      <c r="B123" s="51" t="s">
        <v>126</v>
      </c>
      <c r="C123" s="104">
        <f>C115*C119</f>
        <v>1.0749990452423626E-2</v>
      </c>
      <c r="D123" s="104">
        <f t="shared" ref="D123:AG123" si="99">D115*D119</f>
        <v>1.3558136920283355E-2</v>
      </c>
      <c r="E123" s="104">
        <f t="shared" si="99"/>
        <v>1.6353151401427107E-2</v>
      </c>
      <c r="F123" s="104">
        <f t="shared" si="99"/>
        <v>1.9135032152837812E-2</v>
      </c>
      <c r="G123" s="104">
        <f t="shared" si="99"/>
        <v>2.1903777431498381E-2</v>
      </c>
      <c r="H123" s="104">
        <f t="shared" si="99"/>
        <v>2.4659385494391738E-2</v>
      </c>
      <c r="I123" s="104">
        <f t="shared" si="99"/>
        <v>2.7401854598500801E-2</v>
      </c>
      <c r="J123" s="104">
        <f t="shared" si="99"/>
        <v>3.0131183000808501E-2</v>
      </c>
      <c r="K123" s="104">
        <f t="shared" si="99"/>
        <v>3.2847368958297748E-2</v>
      </c>
      <c r="L123" s="104">
        <f t="shared" si="99"/>
        <v>3.5550410727951454E-2</v>
      </c>
      <c r="M123" s="104">
        <f t="shared" si="99"/>
        <v>3.8240306566752542E-2</v>
      </c>
      <c r="N123" s="104">
        <f t="shared" si="99"/>
        <v>4.3424940754759493E-2</v>
      </c>
      <c r="O123" s="104">
        <f t="shared" si="99"/>
        <v>4.8584516125547414E-2</v>
      </c>
      <c r="P123" s="104">
        <f t="shared" si="99"/>
        <v>5.3719029356489985E-2</v>
      </c>
      <c r="Q123" s="104">
        <f t="shared" si="99"/>
        <v>5.8828477124960893E-2</v>
      </c>
      <c r="R123" s="104">
        <f t="shared" si="99"/>
        <v>6.3912856108333846E-2</v>
      </c>
      <c r="S123" s="104">
        <f t="shared" si="99"/>
        <v>6.8972162983982552E-2</v>
      </c>
      <c r="T123" s="104">
        <f t="shared" si="99"/>
        <v>7.4006394429280642E-2</v>
      </c>
      <c r="U123" s="104">
        <f t="shared" si="99"/>
        <v>7.9015547121601873E-2</v>
      </c>
      <c r="V123" s="104">
        <f t="shared" si="99"/>
        <v>8.3999617738319876E-2</v>
      </c>
      <c r="W123" s="104">
        <f t="shared" si="99"/>
        <v>8.8958602956808408E-2</v>
      </c>
      <c r="X123" s="104">
        <f t="shared" si="99"/>
        <v>9.786900811126921E-2</v>
      </c>
      <c r="Y123" s="104">
        <f t="shared" si="99"/>
        <v>0.1067349610897835</v>
      </c>
      <c r="Z123" s="104">
        <f t="shared" si="99"/>
        <v>0.11555645600415275</v>
      </c>
      <c r="AA123" s="104">
        <f t="shared" si="99"/>
        <v>0.12433348696617842</v>
      </c>
      <c r="AB123" s="104">
        <f t="shared" si="99"/>
        <v>0.13306604808766201</v>
      </c>
      <c r="AC123" s="104">
        <f t="shared" si="99"/>
        <v>0.14175413348040497</v>
      </c>
      <c r="AD123" s="104">
        <f t="shared" si="99"/>
        <v>0.15039773725620884</v>
      </c>
      <c r="AE123" s="104">
        <f t="shared" si="99"/>
        <v>0.15899685352687498</v>
      </c>
      <c r="AF123" s="104">
        <f t="shared" si="99"/>
        <v>0.16755147640420498</v>
      </c>
      <c r="AG123" s="104">
        <f t="shared" si="99"/>
        <v>4.1183999999999998E-2</v>
      </c>
      <c r="AI123" s="127"/>
      <c r="AJ123" s="198"/>
      <c r="BC123" s="1"/>
      <c r="BD123" s="38"/>
      <c r="BF123" s="6"/>
      <c r="BG123" s="6"/>
      <c r="BH123" s="6"/>
      <c r="BI123" s="6"/>
      <c r="BJ123" s="6"/>
    </row>
    <row r="124" spans="1:63" outlineLevel="1">
      <c r="A124" t="s">
        <v>840</v>
      </c>
      <c r="B124" s="51" t="s">
        <v>126</v>
      </c>
      <c r="C124" s="104">
        <f>C116*C119</f>
        <v>2.4807670274823749E-3</v>
      </c>
      <c r="D124" s="104">
        <f t="shared" ref="D124:AG124" si="100">D116*D119</f>
        <v>3.1288008277576967E-3</v>
      </c>
      <c r="E124" s="104">
        <f t="shared" si="100"/>
        <v>3.7738041695601012E-3</v>
      </c>
      <c r="F124" s="104">
        <f t="shared" si="100"/>
        <v>4.4157766506548795E-3</v>
      </c>
      <c r="G124" s="104">
        <f t="shared" si="100"/>
        <v>5.0547178688073189E-3</v>
      </c>
      <c r="H124" s="104">
        <f t="shared" si="100"/>
        <v>5.6906274217827096E-3</v>
      </c>
      <c r="I124" s="104">
        <f t="shared" si="100"/>
        <v>6.3235049073463376E-3</v>
      </c>
      <c r="J124" s="104">
        <f t="shared" si="100"/>
        <v>6.9533499232634988E-3</v>
      </c>
      <c r="K124" s="104">
        <f t="shared" si="100"/>
        <v>7.580162067299479E-3</v>
      </c>
      <c r="L124" s="104">
        <f t="shared" si="100"/>
        <v>8.2039409372195657E-3</v>
      </c>
      <c r="M124" s="104">
        <f t="shared" si="100"/>
        <v>8.824686130789048E-3</v>
      </c>
      <c r="N124" s="104">
        <f t="shared" si="100"/>
        <v>1.0021140174175266E-2</v>
      </c>
      <c r="O124" s="104">
        <f t="shared" si="100"/>
        <v>1.1211811413587862E-2</v>
      </c>
      <c r="P124" s="104">
        <f t="shared" si="100"/>
        <v>1.2396699082266918E-2</v>
      </c>
      <c r="Q124" s="104">
        <f t="shared" si="100"/>
        <v>1.3575802413452513E-2</v>
      </c>
      <c r="R124" s="104">
        <f t="shared" si="100"/>
        <v>1.4749120640384734E-2</v>
      </c>
      <c r="S124" s="104">
        <f t="shared" si="100"/>
        <v>1.5916652996303664E-2</v>
      </c>
      <c r="T124" s="104">
        <f t="shared" si="100"/>
        <v>1.707839871444938E-2</v>
      </c>
      <c r="U124" s="104">
        <f t="shared" si="100"/>
        <v>1.8234357028061966E-2</v>
      </c>
      <c r="V124" s="104">
        <f t="shared" si="100"/>
        <v>1.938452717038151E-2</v>
      </c>
      <c r="W124" s="104">
        <f t="shared" si="100"/>
        <v>2.0528908374648092E-2</v>
      </c>
      <c r="X124" s="104">
        <f t="shared" si="100"/>
        <v>2.2585155717985202E-2</v>
      </c>
      <c r="Y124" s="104">
        <f t="shared" si="100"/>
        <v>2.4631144866873116E-2</v>
      </c>
      <c r="Z124" s="104">
        <f t="shared" si="100"/>
        <v>2.6666874462496788E-2</v>
      </c>
      <c r="AA124" s="104">
        <f t="shared" si="100"/>
        <v>2.8692343146041174E-2</v>
      </c>
      <c r="AB124" s="104">
        <f t="shared" si="100"/>
        <v>3.0707549558691229E-2</v>
      </c>
      <c r="AC124" s="104">
        <f t="shared" si="100"/>
        <v>3.271249234163192E-2</v>
      </c>
      <c r="AD124" s="104">
        <f t="shared" si="100"/>
        <v>3.4707170136048182E-2</v>
      </c>
      <c r="AE124" s="104">
        <f t="shared" si="100"/>
        <v>3.6691581583124987E-2</v>
      </c>
      <c r="AF124" s="104">
        <f t="shared" si="100"/>
        <v>3.8665725324047301E-2</v>
      </c>
      <c r="AG124" s="104">
        <f t="shared" si="100"/>
        <v>9.5039999999999968E-3</v>
      </c>
      <c r="AI124" s="127"/>
      <c r="AJ124" s="198"/>
      <c r="BC124" s="1"/>
      <c r="BD124" s="38"/>
      <c r="BF124" s="6"/>
      <c r="BG124" s="6"/>
      <c r="BH124" s="6"/>
      <c r="BI124" s="6"/>
      <c r="BJ124" s="6"/>
    </row>
    <row r="125" spans="1:63" outlineLevel="1">
      <c r="A125" t="s">
        <v>841</v>
      </c>
      <c r="B125" s="51" t="s">
        <v>126</v>
      </c>
      <c r="C125" s="104">
        <f>C117*C119</f>
        <v>7.4423010824471256E-3</v>
      </c>
      <c r="D125" s="104">
        <f t="shared" ref="D125:AG125" si="101">D117*D119</f>
        <v>9.386402483273092E-3</v>
      </c>
      <c r="E125" s="104">
        <f t="shared" si="101"/>
        <v>1.1321412508680304E-2</v>
      </c>
      <c r="F125" s="104">
        <f t="shared" si="101"/>
        <v>1.3247329951964638E-2</v>
      </c>
      <c r="G125" s="104">
        <f t="shared" si="101"/>
        <v>1.5164153606421956E-2</v>
      </c>
      <c r="H125" s="104">
        <f t="shared" si="101"/>
        <v>1.7071882265348129E-2</v>
      </c>
      <c r="I125" s="104">
        <f t="shared" si="101"/>
        <v>1.8970514722039013E-2</v>
      </c>
      <c r="J125" s="104">
        <f t="shared" si="101"/>
        <v>2.0860049769790501E-2</v>
      </c>
      <c r="K125" s="104">
        <f t="shared" si="101"/>
        <v>2.2740486201898436E-2</v>
      </c>
      <c r="L125" s="104">
        <f t="shared" si="101"/>
        <v>2.4611822811658697E-2</v>
      </c>
      <c r="M125" s="104">
        <f t="shared" si="101"/>
        <v>2.6474058392367144E-2</v>
      </c>
      <c r="N125" s="104">
        <f t="shared" si="101"/>
        <v>3.0063420522525801E-2</v>
      </c>
      <c r="O125" s="104">
        <f t="shared" si="101"/>
        <v>3.3635434240763588E-2</v>
      </c>
      <c r="P125" s="104">
        <f t="shared" si="101"/>
        <v>3.7190097246800759E-2</v>
      </c>
      <c r="Q125" s="104">
        <f t="shared" si="101"/>
        <v>4.072740724035754E-2</v>
      </c>
      <c r="R125" s="104">
        <f t="shared" si="101"/>
        <v>4.42473619211542E-2</v>
      </c>
      <c r="S125" s="104">
        <f t="shared" si="101"/>
        <v>4.774995898891099E-2</v>
      </c>
      <c r="T125" s="104">
        <f t="shared" si="101"/>
        <v>5.1235196143348136E-2</v>
      </c>
      <c r="U125" s="104">
        <f t="shared" si="101"/>
        <v>5.4703071084185907E-2</v>
      </c>
      <c r="V125" s="104">
        <f t="shared" si="101"/>
        <v>5.8153581511144525E-2</v>
      </c>
      <c r="W125" s="104">
        <f t="shared" si="101"/>
        <v>6.1586725123944273E-2</v>
      </c>
      <c r="X125" s="104">
        <f t="shared" si="101"/>
        <v>6.7755467153955612E-2</v>
      </c>
      <c r="Y125" s="104">
        <f t="shared" si="101"/>
        <v>7.3893434600619354E-2</v>
      </c>
      <c r="Z125" s="104">
        <f t="shared" si="101"/>
        <v>8.0000623387490366E-2</v>
      </c>
      <c r="AA125" s="104">
        <f t="shared" si="101"/>
        <v>8.6077029438123523E-2</v>
      </c>
      <c r="AB125" s="104">
        <f t="shared" si="101"/>
        <v>9.2122648676073698E-2</v>
      </c>
      <c r="AC125" s="104">
        <f t="shared" si="101"/>
        <v>9.8137477024895753E-2</v>
      </c>
      <c r="AD125" s="104">
        <f t="shared" si="101"/>
        <v>0.10412151040814456</v>
      </c>
      <c r="AE125" s="104">
        <f t="shared" si="101"/>
        <v>0.11007474474937497</v>
      </c>
      <c r="AF125" s="104">
        <f t="shared" si="101"/>
        <v>0.11599717597214189</v>
      </c>
      <c r="AG125" s="104">
        <f t="shared" si="101"/>
        <v>2.8511999999999996E-2</v>
      </c>
      <c r="AI125" s="127"/>
      <c r="AJ125" s="198"/>
      <c r="BC125" s="1"/>
      <c r="BD125" s="38"/>
      <c r="BF125" s="6"/>
      <c r="BG125" s="6"/>
      <c r="BH125" s="6"/>
      <c r="BI125" s="6"/>
      <c r="BJ125" s="6"/>
    </row>
    <row r="126" spans="1:63" outlineLevel="1">
      <c r="C126" s="104"/>
      <c r="D126" s="104"/>
      <c r="E126" s="104"/>
      <c r="F126" s="104"/>
      <c r="G126" s="104"/>
      <c r="H126" s="104"/>
      <c r="I126" s="104"/>
      <c r="J126" s="104"/>
      <c r="K126" s="104"/>
      <c r="L126" s="104"/>
      <c r="M126" s="104"/>
      <c r="N126" s="104"/>
      <c r="O126" s="104"/>
      <c r="P126" s="104"/>
      <c r="Q126" s="104"/>
      <c r="R126" s="104"/>
      <c r="S126" s="104"/>
      <c r="T126" s="104"/>
      <c r="U126" s="104"/>
      <c r="V126" s="104"/>
      <c r="W126" s="104"/>
      <c r="X126" s="104"/>
      <c r="Y126" s="104"/>
      <c r="Z126" s="104"/>
      <c r="AA126" s="104"/>
      <c r="AB126" s="104"/>
      <c r="AC126" s="104"/>
      <c r="AD126" s="104"/>
      <c r="AE126" s="104"/>
      <c r="AF126" s="104"/>
      <c r="AG126" s="104"/>
      <c r="AI126" s="127"/>
      <c r="AJ126" s="198"/>
      <c r="BC126" s="1"/>
      <c r="BD126" s="38"/>
      <c r="BF126" s="6"/>
      <c r="BG126" s="6"/>
      <c r="BH126" s="6"/>
      <c r="BI126" s="6"/>
      <c r="BJ126" s="6"/>
    </row>
    <row r="127" spans="1:63" s="1" customFormat="1" outlineLevel="1">
      <c r="A127" s="1" t="s">
        <v>261</v>
      </c>
      <c r="B127" s="61"/>
      <c r="C127" s="279">
        <f>C120*C43</f>
        <v>77.621125250716887</v>
      </c>
      <c r="D127" s="279">
        <f t="shared" ref="D127:AG127" si="102">D120*D43</f>
        <v>100.78631215353181</v>
      </c>
      <c r="E127" s="279">
        <f t="shared" si="102"/>
        <v>125.06420173933311</v>
      </c>
      <c r="F127" s="279">
        <f t="shared" si="102"/>
        <v>150.45493874237883</v>
      </c>
      <c r="G127" s="279">
        <f t="shared" si="102"/>
        <v>176.95866789692687</v>
      </c>
      <c r="H127" s="279">
        <f t="shared" si="102"/>
        <v>204.57553393723524</v>
      </c>
      <c r="I127" s="279">
        <f t="shared" si="102"/>
        <v>233.30568159756177</v>
      </c>
      <c r="J127" s="279">
        <f t="shared" si="102"/>
        <v>263.14925561216472</v>
      </c>
      <c r="K127" s="279">
        <f t="shared" si="102"/>
        <v>294.10640071530179</v>
      </c>
      <c r="L127" s="279">
        <f t="shared" si="102"/>
        <v>326.17726164123098</v>
      </c>
      <c r="M127" s="279">
        <f t="shared" si="102"/>
        <v>359.36198312421038</v>
      </c>
      <c r="N127" s="279">
        <f t="shared" si="102"/>
        <v>417.78894196853389</v>
      </c>
      <c r="O127" s="279">
        <f t="shared" si="102"/>
        <v>478.33914655935854</v>
      </c>
      <c r="P127" s="279">
        <f t="shared" si="102"/>
        <v>539.17134280747666</v>
      </c>
      <c r="Q127" s="279">
        <f t="shared" si="102"/>
        <v>601.68157510980734</v>
      </c>
      <c r="R127" s="279">
        <f t="shared" si="102"/>
        <v>665.84694796521637</v>
      </c>
      <c r="S127" s="279">
        <f t="shared" si="102"/>
        <v>731.64448748870461</v>
      </c>
      <c r="T127" s="279">
        <f t="shared" si="102"/>
        <v>799.05114315711876</v>
      </c>
      <c r="U127" s="279">
        <f t="shared" si="102"/>
        <v>868.04378955532604</v>
      </c>
      <c r="V127" s="279">
        <f t="shared" si="102"/>
        <v>938.59922812284367</v>
      </c>
      <c r="W127" s="279">
        <f t="shared" si="102"/>
        <v>1010.6941889009287</v>
      </c>
      <c r="X127" s="279">
        <f t="shared" si="102"/>
        <v>1130.2275259112489</v>
      </c>
      <c r="Y127" s="279">
        <f t="shared" si="102"/>
        <v>1252.508786526163</v>
      </c>
      <c r="Z127" s="279">
        <f t="shared" si="102"/>
        <v>1366.1795244683344</v>
      </c>
      <c r="AA127" s="279">
        <f t="shared" si="102"/>
        <v>1480.2935650277395</v>
      </c>
      <c r="AB127" s="279">
        <f t="shared" si="102"/>
        <v>1594.7136812363071</v>
      </c>
      <c r="AC127" s="279">
        <f t="shared" si="102"/>
        <v>1709.303066081427</v>
      </c>
      <c r="AD127" s="279">
        <f t="shared" si="102"/>
        <v>1823.9254028839225</v>
      </c>
      <c r="AE127" s="279">
        <f t="shared" si="102"/>
        <v>1938.4449356943176</v>
      </c>
      <c r="AF127" s="279">
        <f t="shared" si="102"/>
        <v>2052.7265397074043</v>
      </c>
      <c r="AG127" s="279">
        <f t="shared" si="102"/>
        <v>11953.852643835018</v>
      </c>
      <c r="AH127" s="230">
        <f>AG127-C127</f>
        <v>11876.231518584302</v>
      </c>
      <c r="AI127" s="398"/>
      <c r="AJ127" s="399"/>
      <c r="AL127" s="207"/>
      <c r="AM127" s="118"/>
      <c r="AN127" s="118"/>
      <c r="AO127" s="118"/>
      <c r="BD127" s="118"/>
      <c r="BE127" s="118"/>
      <c r="BF127" s="118"/>
      <c r="BG127" s="118"/>
      <c r="BH127" s="118"/>
      <c r="BI127" s="118"/>
      <c r="BJ127" s="118"/>
      <c r="BK127" s="118"/>
    </row>
    <row r="128" spans="1:63" outlineLevel="1">
      <c r="A128" s="4" t="s">
        <v>141</v>
      </c>
      <c r="C128" s="216">
        <f>C$127*'Ethylene recycling rates'!E68</f>
        <v>62.627658743594672</v>
      </c>
      <c r="D128" s="216">
        <f>D$127*'Ethylene recycling rates'!F68</f>
        <v>81.017987438994993</v>
      </c>
      <c r="E128" s="216">
        <f>E$127*'Ethylene recycling rates'!G68</f>
        <v>100.16144987534985</v>
      </c>
      <c r="F128" s="216">
        <f>F$127*'Ethylene recycling rates'!H68</f>
        <v>120.04821805567009</v>
      </c>
      <c r="G128" s="216">
        <f>G$127*'Ethylene recycling rates'!I68</f>
        <v>140.66846225844199</v>
      </c>
      <c r="H128" s="216">
        <f>H$127*'Ethylene recycling rates'!J68</f>
        <v>162.01235103762733</v>
      </c>
      <c r="I128" s="216">
        <f>I$127*'Ethylene recycling rates'!K68</f>
        <v>184.07005122266327</v>
      </c>
      <c r="J128" s="216">
        <f>J$127*'Ethylene recycling rates'!L68</f>
        <v>206.83172791846278</v>
      </c>
      <c r="K128" s="216">
        <f>K$127*'Ethylene recycling rates'!M68</f>
        <v>230.28754450541385</v>
      </c>
      <c r="L128" s="216">
        <f>L$127*'Ethylene recycling rates'!N68</f>
        <v>254.4276626393802</v>
      </c>
      <c r="M128" s="216">
        <f>M$127*'Ethylene recycling rates'!O68</f>
        <v>279.24224225170116</v>
      </c>
      <c r="N128" s="216">
        <f>N$127*'Ethylene recycling rates'!P68</f>
        <v>323.39841253852501</v>
      </c>
      <c r="O128" s="216">
        <f>O$127*'Ethylene recycling rates'!Q68</f>
        <v>368.84371985438906</v>
      </c>
      <c r="P128" s="216">
        <f>P$127*'Ethylene recycling rates'!R68</f>
        <v>414.14489767021888</v>
      </c>
      <c r="Q128" s="216">
        <f>Q$127*'Ethylene recycling rates'!S68</f>
        <v>460.3675883433333</v>
      </c>
      <c r="R128" s="216">
        <f>R$127*'Ethylene recycling rates'!T68</f>
        <v>507.4793464393307</v>
      </c>
      <c r="S128" s="216">
        <f>S$127*'Ethylene recycling rates'!U68</f>
        <v>555.4479398189543</v>
      </c>
      <c r="T128" s="216">
        <f>T$127*'Ethylene recycling rates'!V68</f>
        <v>604.24135212563624</v>
      </c>
      <c r="U128" s="216">
        <f>U$127*'Ethylene recycling rates'!W68</f>
        <v>653.82778524219134</v>
      </c>
      <c r="V128" s="216">
        <f>V$127*'Ethylene recycling rates'!X68</f>
        <v>704.17566171664248</v>
      </c>
      <c r="W128" s="216">
        <f>W$127*'Ethylene recycling rates'!Y68</f>
        <v>755.25362715717381</v>
      </c>
      <c r="X128" s="216">
        <f>X$127*'Ethylene recycling rates'!Z68</f>
        <v>841.20968295666887</v>
      </c>
      <c r="Y128" s="216">
        <f>Y$127*'Ethylene recycling rates'!AA68</f>
        <v>928.49066106813098</v>
      </c>
      <c r="Z128" s="216">
        <f>Z$127*'Ethylene recycling rates'!AB68</f>
        <v>1008.6857697080472</v>
      </c>
      <c r="AA128" s="216">
        <f>AA$127*'Ethylene recycling rates'!AC68</f>
        <v>1088.529660025469</v>
      </c>
      <c r="AB128" s="216">
        <f>AB$127*'Ethylene recycling rates'!AD68</f>
        <v>1167.9178698291732</v>
      </c>
      <c r="AC128" s="216">
        <f>AC$127*'Ethylene recycling rates'!AE68</f>
        <v>1246.7478783134231</v>
      </c>
      <c r="AD128" s="216">
        <f>AD$127*'Ethylene recycling rates'!AF68</f>
        <v>1324.9191509265197</v>
      </c>
      <c r="AE128" s="216">
        <f>AE$127*'Ethylene recycling rates'!AG68</f>
        <v>1402.3331829947458</v>
      </c>
      <c r="AF128" s="216">
        <f>AF$127*'Ethylene recycling rates'!AH68</f>
        <v>1478.8935421013275</v>
      </c>
      <c r="AG128" s="216">
        <f>AG$127*'Ethylene recycling rates'!AI68</f>
        <v>8576.5843267311193</v>
      </c>
      <c r="AH128" s="230">
        <f>AG128-C128</f>
        <v>8513.9566679875243</v>
      </c>
      <c r="AI128" s="126"/>
      <c r="AJ128" s="198"/>
      <c r="AL128" s="102"/>
      <c r="AM128" s="2"/>
      <c r="AN128" s="2"/>
      <c r="AO128" s="2"/>
      <c r="BC128" s="1"/>
      <c r="BD128" s="2"/>
      <c r="BE128" s="2"/>
      <c r="BF128" s="2"/>
      <c r="BG128" s="2"/>
      <c r="BH128" s="2"/>
      <c r="BI128" s="2"/>
      <c r="BJ128" s="2"/>
      <c r="BK128" s="2"/>
    </row>
    <row r="129" spans="1:63" outlineLevel="1">
      <c r="A129" s="4" t="s">
        <v>74</v>
      </c>
      <c r="C129" s="216">
        <f>C$127*'Ethylene recycling rates'!E69</f>
        <v>7.7671981905535983</v>
      </c>
      <c r="D129" s="216">
        <f>D$127*'Ethylene recycling rates'!F69</f>
        <v>9.7490601547046065</v>
      </c>
      <c r="E129" s="216">
        <f>E$127*'Ethylene recycling rates'!G69</f>
        <v>11.680306648834016</v>
      </c>
      <c r="F129" s="216">
        <f>F$127*'Ethylene recycling rates'!H69</f>
        <v>13.549816390403047</v>
      </c>
      <c r="G129" s="216">
        <f>G$127*'Ethylene recycling rates'!I69</f>
        <v>15.34646616581842</v>
      </c>
      <c r="H129" s="216">
        <f>H$127*'Ethylene recycling rates'!J69</f>
        <v>17.05913083043238</v>
      </c>
      <c r="I129" s="216">
        <f>I$127*'Ethylene recycling rates'!K69</f>
        <v>18.676683308542671</v>
      </c>
      <c r="J129" s="216">
        <f>J$127*'Ethylene recycling rates'!L69</f>
        <v>20.187994593392581</v>
      </c>
      <c r="K129" s="216">
        <f>K$127*'Ethylene recycling rates'!M69</f>
        <v>21.581933747170865</v>
      </c>
      <c r="L129" s="216">
        <f>L$127*'Ethylene recycling rates'!N69</f>
        <v>22.847367901011818</v>
      </c>
      <c r="M129" s="216">
        <f>M$127*'Ethylene recycling rates'!O69</f>
        <v>23.973162254995255</v>
      </c>
      <c r="N129" s="216">
        <f>N$127*'Ethylene recycling rates'!P69</f>
        <v>26.477302653792346</v>
      </c>
      <c r="O129" s="216">
        <f>O$127*'Ethylene recycling rates'!Q69</f>
        <v>28.719153000883498</v>
      </c>
      <c r="P129" s="216">
        <f>P$127*'Ethylene recycling rates'!R69</f>
        <v>30.573060834636809</v>
      </c>
      <c r="Q129" s="216">
        <f>Q$127*'Ethylene recycling rates'!S69</f>
        <v>32.110708874762466</v>
      </c>
      <c r="R129" s="216">
        <f>R$127*'Ethylene recycling rates'!T69</f>
        <v>33.314160241275914</v>
      </c>
      <c r="S129" s="216">
        <f>S$127*'Ethylene recycling rates'!U69</f>
        <v>34.165779867243074</v>
      </c>
      <c r="T129" s="216">
        <f>T$127*'Ethylene recycling rates'!V69</f>
        <v>34.648235881731019</v>
      </c>
      <c r="U129" s="216">
        <f>U$127*'Ethylene recycling rates'!W69</f>
        <v>34.744500957840174</v>
      </c>
      <c r="V129" s="216">
        <f>V$127*'Ethylene recycling rates'!X69</f>
        <v>34.437853625806859</v>
      </c>
      <c r="W129" s="216">
        <f>W$127*'Ethylene recycling rates'!Y69</f>
        <v>33.711879551165623</v>
      </c>
      <c r="X129" s="216">
        <f>X$127*'Ethylene recycling rates'!Z69</f>
        <v>33.929041220994044</v>
      </c>
      <c r="Y129" s="216">
        <f>Y$127*'Ethylene recycling rates'!AA69</f>
        <v>33.422117836900384</v>
      </c>
      <c r="Z129" s="216">
        <f>Z$127*'Ethylene recycling rates'!AB69</f>
        <v>31.898408100040893</v>
      </c>
      <c r="AA129" s="216">
        <f>AA$127*'Ethylene recycling rates'!AC69</f>
        <v>29.625268797982006</v>
      </c>
      <c r="AB129" s="216">
        <f>AB$127*'Ethylene recycling rates'!AD69</f>
        <v>26.595975385440784</v>
      </c>
      <c r="AC129" s="216">
        <f>AC$127*'Ethylene recycling rates'!AE69</f>
        <v>22.80563981191488</v>
      </c>
      <c r="AD129" s="216">
        <f>AD$127*'Ethylene recycling rates'!AF69</f>
        <v>18.251204222079824</v>
      </c>
      <c r="AE129" s="216">
        <f>AE$127*'Ethylene recycling rates'!AG69</f>
        <v>12.931433247826716</v>
      </c>
      <c r="AF129" s="216">
        <f>AF$127*'Ethylene recycling rates'!AH69</f>
        <v>6.8469048915131197</v>
      </c>
      <c r="AG129" s="216">
        <f>AG$127*'Ethylene recycling rates'!AI69</f>
        <v>0</v>
      </c>
      <c r="AH129" s="230">
        <f t="shared" ref="AH129:AH132" si="103">AG129-C129</f>
        <v>-7.7671981905535983</v>
      </c>
      <c r="AI129" s="126"/>
      <c r="AJ129" s="198"/>
      <c r="AL129" s="102"/>
      <c r="AM129" s="2"/>
      <c r="AN129" s="2"/>
      <c r="AO129" s="2"/>
      <c r="BC129" s="1"/>
      <c r="BD129" s="2"/>
      <c r="BE129" s="2"/>
      <c r="BF129" s="2"/>
      <c r="BG129" s="2"/>
      <c r="BH129" s="2"/>
      <c r="BI129" s="2"/>
      <c r="BJ129" s="2"/>
      <c r="BK129" s="2"/>
    </row>
    <row r="130" spans="1:63" outlineLevel="1">
      <c r="A130" s="4" t="s">
        <v>34</v>
      </c>
      <c r="C130" s="216">
        <f>C$127*'Ethylene recycling rates'!E70</f>
        <v>0</v>
      </c>
      <c r="D130" s="216">
        <f>D$127*'Ethylene recycling rates'!F70</f>
        <v>0.3599511148340423</v>
      </c>
      <c r="E130" s="216">
        <f>E$127*'Ethylene recycling rates'!G70</f>
        <v>0.89331572670952253</v>
      </c>
      <c r="F130" s="216">
        <f>F$127*'Ethylene recycling rates'!H70</f>
        <v>1.6120172008112024</v>
      </c>
      <c r="G130" s="216">
        <f>G$127*'Ethylene recycling rates'!I70</f>
        <v>2.5279809699560989</v>
      </c>
      <c r="H130" s="216">
        <f>H$127*'Ethylene recycling rates'!J70</f>
        <v>3.6531345345934874</v>
      </c>
      <c r="I130" s="216">
        <f>I$127*'Ethylene recycling rates'!K70</f>
        <v>4.9994074628048972</v>
      </c>
      <c r="J130" s="216">
        <f>J$127*'Ethylene recycling rates'!L70</f>
        <v>6.57873139030412</v>
      </c>
      <c r="K130" s="216">
        <f>K$127*'Ethylene recycling rates'!M70</f>
        <v>8.4030400204371976</v>
      </c>
      <c r="L130" s="216">
        <f>L$127*'Ethylene recycling rates'!N70</f>
        <v>10.484269124182427</v>
      </c>
      <c r="M130" s="216">
        <f>M$127*'Ethylene recycling rates'!O70</f>
        <v>12.834356540150376</v>
      </c>
      <c r="N130" s="216">
        <f>N$127*'Ethylene recycling rates'!P70</f>
        <v>16.413137005906695</v>
      </c>
      <c r="O130" s="216">
        <f>O$127*'Ethylene recycling rates'!Q70</f>
        <v>20.50024913825823</v>
      </c>
      <c r="P130" s="216">
        <f>P$127*'Ethylene recycling rates'!R70</f>
        <v>25.03295520177571</v>
      </c>
      <c r="Q130" s="216">
        <f>Q$127*'Ethylene recycling rates'!S70</f>
        <v>30.084078755490378</v>
      </c>
      <c r="R130" s="216">
        <f>R$127*'Ethylene recycling rates'!T70</f>
        <v>35.670372212422315</v>
      </c>
      <c r="S130" s="216">
        <f>S$127*'Ethylene recycling rates'!U70</f>
        <v>41.80825642792599</v>
      </c>
      <c r="T130" s="216">
        <f>T$127*'Ethylene recycling rates'!V70</f>
        <v>48.513819405967944</v>
      </c>
      <c r="U130" s="216">
        <f>U$127*'Ethylene recycling rates'!W70</f>
        <v>55.802815042842404</v>
      </c>
      <c r="V130" s="216">
        <f>V$127*'Ethylene recycling rates'!X70</f>
        <v>63.690661908335841</v>
      </c>
      <c r="W130" s="216">
        <f>W$127*'Ethylene recycling rates'!Y70</f>
        <v>72.192442064352079</v>
      </c>
      <c r="X130" s="216">
        <f>X$127*'Ethylene recycling rates'!Z70</f>
        <v>84.767064443343699</v>
      </c>
      <c r="Y130" s="216">
        <f>Y$127*'Ethylene recycling rates'!AA70</f>
        <v>98.411404655627123</v>
      </c>
      <c r="Z130" s="216">
        <f>Z$127*'Ethylene recycling rates'!AB70</f>
        <v>112.22188950989893</v>
      </c>
      <c r="AA130" s="216">
        <f>AA$127*'Ethylene recycling rates'!AC70</f>
        <v>126.88230557380629</v>
      </c>
      <c r="AB130" s="216">
        <f>AB$127*'Ethylene recycling rates'!AD70</f>
        <v>142.38515011038461</v>
      </c>
      <c r="AC130" s="216">
        <f>AC$127*'Ethylene recycling rates'!AE70</f>
        <v>158.72099899327543</v>
      </c>
      <c r="AD130" s="216">
        <f>AD$127*'Ethylene recycling rates'!AF70</f>
        <v>175.8785209923783</v>
      </c>
      <c r="AE130" s="216">
        <f>AE$127*'Ethylene recycling rates'!AG70</f>
        <v>193.84449356943182</v>
      </c>
      <c r="AF130" s="216">
        <f>AF$127*'Ethylene recycling rates'!AH70</f>
        <v>212.60382018398124</v>
      </c>
      <c r="AG130" s="216">
        <f>AG$127*'Ethylene recycling rates'!AI70</f>
        <v>1280.769926125181</v>
      </c>
      <c r="AH130" s="230">
        <f t="shared" si="103"/>
        <v>1280.769926125181</v>
      </c>
      <c r="AI130" s="126"/>
      <c r="AJ130" s="198"/>
      <c r="AL130" s="102"/>
      <c r="AM130" s="2"/>
      <c r="AN130" s="2"/>
      <c r="AO130" s="2"/>
      <c r="BC130" s="1"/>
      <c r="BD130" s="2"/>
      <c r="BE130" s="2"/>
      <c r="BF130" s="2"/>
      <c r="BG130" s="2"/>
      <c r="BH130" s="2"/>
      <c r="BI130" s="2"/>
      <c r="BJ130" s="2"/>
      <c r="BK130" s="2"/>
    </row>
    <row r="131" spans="1:63" outlineLevel="1">
      <c r="A131" s="4" t="s">
        <v>35</v>
      </c>
      <c r="C131" s="216">
        <f>C$127*'Ethylene recycling rates'!E71</f>
        <v>0</v>
      </c>
      <c r="D131" s="216">
        <f>D$127*'Ethylene recycling rates'!F71</f>
        <v>0</v>
      </c>
      <c r="E131" s="216">
        <f>E$127*'Ethylene recycling rates'!G71</f>
        <v>0</v>
      </c>
      <c r="F131" s="216">
        <f>F$127*'Ethylene recycling rates'!H71</f>
        <v>0</v>
      </c>
      <c r="G131" s="216">
        <f>G$127*'Ethylene recycling rates'!I71</f>
        <v>0</v>
      </c>
      <c r="H131" s="216">
        <f>H$127*'Ethylene recycling rates'!J71</f>
        <v>0</v>
      </c>
      <c r="I131" s="216">
        <f>I$127*'Ethylene recycling rates'!K71</f>
        <v>0</v>
      </c>
      <c r="J131" s="216">
        <f>J$127*'Ethylene recycling rates'!L71</f>
        <v>0</v>
      </c>
      <c r="K131" s="216">
        <f>K$127*'Ethylene recycling rates'!M71</f>
        <v>0</v>
      </c>
      <c r="L131" s="216">
        <f>L$127*'Ethylene recycling rates'!N71</f>
        <v>0</v>
      </c>
      <c r="M131" s="216">
        <f>M$127*'Ethylene recycling rates'!O71</f>
        <v>0</v>
      </c>
      <c r="N131" s="216">
        <f>N$127*'Ethylene recycling rates'!P71</f>
        <v>0</v>
      </c>
      <c r="O131" s="216">
        <f>O$127*'Ethylene recycling rates'!Q71</f>
        <v>0</v>
      </c>
      <c r="P131" s="216">
        <f>P$127*'Ethylene recycling rates'!R71</f>
        <v>0</v>
      </c>
      <c r="Q131" s="216">
        <f>Q$127*'Ethylene recycling rates'!S71</f>
        <v>0</v>
      </c>
      <c r="R131" s="216">
        <f>R$127*'Ethylene recycling rates'!T71</f>
        <v>0</v>
      </c>
      <c r="S131" s="216">
        <f>S$127*'Ethylene recycling rates'!U71</f>
        <v>0</v>
      </c>
      <c r="T131" s="216">
        <f>T$127*'Ethylene recycling rates'!V71</f>
        <v>0</v>
      </c>
      <c r="U131" s="216">
        <f>U$127*'Ethylene recycling rates'!W71</f>
        <v>0</v>
      </c>
      <c r="V131" s="216">
        <f>V$127*'Ethylene recycling rates'!X71</f>
        <v>0</v>
      </c>
      <c r="W131" s="216">
        <f>W$127*'Ethylene recycling rates'!Y71</f>
        <v>0</v>
      </c>
      <c r="X131" s="216">
        <f>X$127*'Ethylene recycling rates'!Z71</f>
        <v>0</v>
      </c>
      <c r="Y131" s="216">
        <f>Y$127*'Ethylene recycling rates'!AA71</f>
        <v>0</v>
      </c>
      <c r="Z131" s="216">
        <f>Z$127*'Ethylene recycling rates'!AB71</f>
        <v>0</v>
      </c>
      <c r="AA131" s="216">
        <f>AA$127*'Ethylene recycling rates'!AC71</f>
        <v>0</v>
      </c>
      <c r="AB131" s="216">
        <f>AB$127*'Ethylene recycling rates'!AD71</f>
        <v>0</v>
      </c>
      <c r="AC131" s="216">
        <f>AC$127*'Ethylene recycling rates'!AE71</f>
        <v>0</v>
      </c>
      <c r="AD131" s="216">
        <f>AD$127*'Ethylene recycling rates'!AF71</f>
        <v>0</v>
      </c>
      <c r="AE131" s="216">
        <f>AE$127*'Ethylene recycling rates'!AG71</f>
        <v>0</v>
      </c>
      <c r="AF131" s="216">
        <f>AF$127*'Ethylene recycling rates'!AH71</f>
        <v>0</v>
      </c>
      <c r="AG131" s="216">
        <f>AG$127*'Ethylene recycling rates'!AI71</f>
        <v>0</v>
      </c>
      <c r="AH131" s="230">
        <f t="shared" si="103"/>
        <v>0</v>
      </c>
      <c r="AI131" s="126"/>
      <c r="AJ131" s="198"/>
      <c r="AL131" s="102"/>
      <c r="AM131" s="2"/>
      <c r="AN131" s="2"/>
      <c r="AO131" s="2"/>
      <c r="BC131" s="1"/>
      <c r="BD131" s="2"/>
      <c r="BE131" s="2"/>
      <c r="BF131" s="2"/>
      <c r="BG131" s="2"/>
      <c r="BH131" s="2"/>
      <c r="BI131" s="2"/>
      <c r="BJ131" s="2"/>
      <c r="BK131" s="2"/>
    </row>
    <row r="132" spans="1:63" outlineLevel="1">
      <c r="A132" s="4" t="s">
        <v>27</v>
      </c>
      <c r="C132" s="216">
        <f>C$127*'Ethylene recycling rates'!E72</f>
        <v>7.226268316568615</v>
      </c>
      <c r="D132" s="216">
        <f>D$127*'Ethylene recycling rates'!F72</f>
        <v>9.6593134449981637</v>
      </c>
      <c r="E132" s="216">
        <f>E$127*'Ethylene recycling rates'!G72</f>
        <v>12.329129488439733</v>
      </c>
      <c r="F132" s="216">
        <f>F$127*'Ethylene recycling rates'!H72</f>
        <v>15.244887095494503</v>
      </c>
      <c r="G132" s="216">
        <f>G$127*'Ethylene recycling rates'!I72</f>
        <v>18.415758502710393</v>
      </c>
      <c r="H132" s="216">
        <f>H$127*'Ethylene recycling rates'!J72</f>
        <v>21.850917534582081</v>
      </c>
      <c r="I132" s="216">
        <f>I$127*'Ethylene recycling rates'!K72</f>
        <v>25.559539603550984</v>
      </c>
      <c r="J132" s="216">
        <f>J$127*'Ethylene recycling rates'!L72</f>
        <v>29.550801710005313</v>
      </c>
      <c r="K132" s="216">
        <f>K$127*'Ethylene recycling rates'!M72</f>
        <v>33.833882442279965</v>
      </c>
      <c r="L132" s="216">
        <f>L$127*'Ethylene recycling rates'!N72</f>
        <v>38.417961976656628</v>
      </c>
      <c r="M132" s="216">
        <f>M$127*'Ethylene recycling rates'!O72</f>
        <v>43.312222077363749</v>
      </c>
      <c r="N132" s="216">
        <f>N$127*'Ethylene recycling rates'!P72</f>
        <v>51.500089770310019</v>
      </c>
      <c r="O132" s="216">
        <f>O$127*'Ethylene recycling rates'!Q72</f>
        <v>60.276024565827989</v>
      </c>
      <c r="P132" s="216">
        <f>P$127*'Ethylene recycling rates'!R72</f>
        <v>69.420429100845553</v>
      </c>
      <c r="Q132" s="216">
        <f>Q$127*'Ethylene recycling rates'!S72</f>
        <v>79.119199136221582</v>
      </c>
      <c r="R132" s="216">
        <f>R$127*'Ethylene recycling rates'!T72</f>
        <v>89.383069072187865</v>
      </c>
      <c r="S132" s="216">
        <f>S$127*'Ethylene recycling rates'!U72</f>
        <v>100.22251137458179</v>
      </c>
      <c r="T132" s="216">
        <f>T$127*'Ethylene recycling rates'!V72</f>
        <v>111.64773574378418</v>
      </c>
      <c r="U132" s="216">
        <f>U$127*'Ethylene recycling rates'!W72</f>
        <v>123.66868831245287</v>
      </c>
      <c r="V132" s="216">
        <f>V$127*'Ethylene recycling rates'!X72</f>
        <v>136.29505087205936</v>
      </c>
      <c r="W132" s="216">
        <f>W$127*'Ethylene recycling rates'!Y72</f>
        <v>149.53624012823815</v>
      </c>
      <c r="X132" s="216">
        <f>X$127*'Ethylene recycling rates'!Z72</f>
        <v>170.32173729024339</v>
      </c>
      <c r="Y132" s="216">
        <f>Y$127*'Ethylene recycling rates'!AA72</f>
        <v>192.18460296550595</v>
      </c>
      <c r="Z132" s="216">
        <f>Z$127*'Ethylene recycling rates'!AB72</f>
        <v>213.37345715034888</v>
      </c>
      <c r="AA132" s="216">
        <f>AA$127*'Ethylene recycling rates'!AC72</f>
        <v>235.25633063048411</v>
      </c>
      <c r="AB132" s="216">
        <f>AB$127*'Ethylene recycling rates'!AD72</f>
        <v>257.81468591131062</v>
      </c>
      <c r="AC132" s="216">
        <f>AC$127*'Ethylene recycling rates'!AE72</f>
        <v>281.02854896281582</v>
      </c>
      <c r="AD132" s="216">
        <f>AD$127*'Ethylene recycling rates'!AF72</f>
        <v>304.87652674294725</v>
      </c>
      <c r="AE132" s="216">
        <f>AE$127*'Ethylene recycling rates'!AG72</f>
        <v>329.33582588231604</v>
      </c>
      <c r="AF132" s="216">
        <f>AF$127*'Ethylene recycling rates'!AH72</f>
        <v>354.38227253058557</v>
      </c>
      <c r="AG132" s="216">
        <f>AG$127*'Ethylene recycling rates'!AI72</f>
        <v>2096.4983909787184</v>
      </c>
      <c r="AH132" s="230">
        <f t="shared" si="103"/>
        <v>2089.2721226621497</v>
      </c>
      <c r="AI132" s="126"/>
      <c r="AJ132" s="198"/>
      <c r="AL132" s="102"/>
      <c r="AM132" s="2"/>
      <c r="AN132" s="2"/>
      <c r="AO132" s="2"/>
      <c r="BC132" s="1"/>
      <c r="BD132" s="2"/>
      <c r="BE132" s="2"/>
      <c r="BF132" s="2"/>
      <c r="BG132" s="2"/>
      <c r="BH132" s="2"/>
      <c r="BI132" s="2"/>
      <c r="BJ132" s="2"/>
      <c r="BK132" s="2"/>
    </row>
    <row r="133" spans="1:63" s="1" customFormat="1" outlineLevel="1">
      <c r="A133" s="1" t="s">
        <v>829</v>
      </c>
      <c r="B133" s="61"/>
      <c r="C133" s="279">
        <f>C123*C43</f>
        <v>464.17432899928696</v>
      </c>
      <c r="D133" s="279">
        <f t="shared" ref="D133:AG133" si="104">D123*D43</f>
        <v>585.42741366194684</v>
      </c>
      <c r="E133" s="279">
        <f t="shared" si="104"/>
        <v>706.1134716700908</v>
      </c>
      <c r="F133" s="279">
        <f t="shared" si="104"/>
        <v>826.23242776190511</v>
      </c>
      <c r="G133" s="279">
        <f t="shared" si="104"/>
        <v>945.78420667557521</v>
      </c>
      <c r="H133" s="279">
        <f t="shared" si="104"/>
        <v>1064.7687331492871</v>
      </c>
      <c r="I133" s="279">
        <f t="shared" si="104"/>
        <v>1183.1859319212265</v>
      </c>
      <c r="J133" s="279">
        <f t="shared" si="104"/>
        <v>1301.03572772958</v>
      </c>
      <c r="K133" s="279">
        <f t="shared" si="104"/>
        <v>1418.3180453125326</v>
      </c>
      <c r="L133" s="279">
        <f t="shared" si="104"/>
        <v>1535.0328094082702</v>
      </c>
      <c r="M133" s="279">
        <f t="shared" si="104"/>
        <v>1651.1799447549786</v>
      </c>
      <c r="N133" s="279">
        <f t="shared" si="104"/>
        <v>1875.0475012868374</v>
      </c>
      <c r="O133" s="279">
        <f t="shared" si="104"/>
        <v>2097.8330420048555</v>
      </c>
      <c r="P133" s="279">
        <f t="shared" si="104"/>
        <v>2311.641055144315</v>
      </c>
      <c r="Q133" s="279">
        <f t="shared" si="104"/>
        <v>2522.8453911280953</v>
      </c>
      <c r="R133" s="279">
        <f t="shared" si="104"/>
        <v>2731.4521465417552</v>
      </c>
      <c r="S133" s="279">
        <f t="shared" si="104"/>
        <v>2937.4675423267445</v>
      </c>
      <c r="T133" s="279">
        <f t="shared" si="104"/>
        <v>3140.897922890982</v>
      </c>
      <c r="U133" s="279">
        <f t="shared" si="104"/>
        <v>3341.7497552192117</v>
      </c>
      <c r="V133" s="279">
        <f t="shared" si="104"/>
        <v>3540.0296279830995</v>
      </c>
      <c r="W133" s="279">
        <f t="shared" si="104"/>
        <v>3735.7442506511106</v>
      </c>
      <c r="X133" s="279">
        <f t="shared" si="104"/>
        <v>4095.296136516984</v>
      </c>
      <c r="Y133" s="279">
        <f t="shared" si="104"/>
        <v>4450.2977991025182</v>
      </c>
      <c r="Z133" s="279">
        <f t="shared" si="104"/>
        <v>4761.319787637447</v>
      </c>
      <c r="AA133" s="279">
        <f t="shared" si="104"/>
        <v>5061.706844779701</v>
      </c>
      <c r="AB133" s="279">
        <f t="shared" si="104"/>
        <v>5351.502532287901</v>
      </c>
      <c r="AC133" s="279">
        <f t="shared" si="104"/>
        <v>5630.7535623296535</v>
      </c>
      <c r="AD133" s="279">
        <f t="shared" si="104"/>
        <v>5899.5097616168923</v>
      </c>
      <c r="AE133" s="279">
        <f t="shared" si="104"/>
        <v>6157.8240355316921</v>
      </c>
      <c r="AF133" s="279">
        <f t="shared" si="104"/>
        <v>6405.7523322425805</v>
      </c>
      <c r="AG133" s="279">
        <f t="shared" si="104"/>
        <v>1554.0008436985522</v>
      </c>
      <c r="AH133" s="397"/>
      <c r="AI133" s="398"/>
      <c r="AJ133" s="399"/>
      <c r="AL133" s="207"/>
      <c r="AM133" s="118"/>
      <c r="AN133" s="118"/>
      <c r="AO133" s="118"/>
      <c r="BD133" s="118"/>
      <c r="BE133" s="118"/>
      <c r="BF133" s="118"/>
      <c r="BG133" s="118"/>
      <c r="BH133" s="118"/>
      <c r="BI133" s="118"/>
      <c r="BJ133" s="118"/>
      <c r="BK133" s="118"/>
    </row>
    <row r="134" spans="1:63" outlineLevel="1">
      <c r="A134" s="4" t="s">
        <v>141</v>
      </c>
      <c r="C134" s="216">
        <f>C$133*'Ethylene recycling rates'!E73</f>
        <v>374.51339928669609</v>
      </c>
      <c r="D134" s="216">
        <f>D$133*'Ethylene recycling rates'!F73</f>
        <v>470.60111470548395</v>
      </c>
      <c r="E134" s="216">
        <f>E$133*'Ethylene recycling rates'!G73</f>
        <v>565.51233778634275</v>
      </c>
      <c r="F134" s="216">
        <f>F$133*'Ethylene recycling rates'!H73</f>
        <v>659.25207561623586</v>
      </c>
      <c r="G134" s="216">
        <f>G$133*'Ethylene recycling rates'!I73</f>
        <v>751.82533617887896</v>
      </c>
      <c r="H134" s="216">
        <f>H$133*'Ethylene recycling rates'!J73</f>
        <v>843.23712835474066</v>
      </c>
      <c r="I134" s="216">
        <f>I$133*'Ethylene recycling rates'!K73</f>
        <v>933.49246192104215</v>
      </c>
      <c r="J134" s="216">
        <f>J$133*'Ethylene recycling rates'!L73</f>
        <v>1022.5963475517584</v>
      </c>
      <c r="K134" s="216">
        <f>K$133*'Ethylene recycling rates'!M73</f>
        <v>1110.5537968176154</v>
      </c>
      <c r="L134" s="216">
        <f>L$133*'Ethylene recycling rates'!N73</f>
        <v>1197.3698221860927</v>
      </c>
      <c r="M134" s="216">
        <f>M$133*'Ethylene recycling rates'!O73</f>
        <v>1283.0494370214228</v>
      </c>
      <c r="N134" s="216">
        <f>N$133*'Ethylene recycling rates'!P73</f>
        <v>1451.4203810501085</v>
      </c>
      <c r="O134" s="216">
        <f>O$133*'Ethylene recycling rates'!Q73</f>
        <v>1617.6232876029098</v>
      </c>
      <c r="P134" s="216">
        <f>P$133*'Ethylene recycling rates'!R73</f>
        <v>1775.6031751391954</v>
      </c>
      <c r="Q134" s="216">
        <f>Q$133*'Ethylene recycling rates'!S73</f>
        <v>1930.3171254076904</v>
      </c>
      <c r="R134" s="216">
        <f>R$133*'Ethylene recycling rates'!T73</f>
        <v>2081.793052282233</v>
      </c>
      <c r="S134" s="216">
        <f>S$133*'Ethylene recycling rates'!U73</f>
        <v>2230.058891403356</v>
      </c>
      <c r="T134" s="216">
        <f>T$133*'Ethylene recycling rates'!V73</f>
        <v>2375.1425976535647</v>
      </c>
      <c r="U134" s="216">
        <f>U$133*'Ethylene recycling rates'!W73</f>
        <v>2517.0721426483433</v>
      </c>
      <c r="V134" s="216">
        <f>V$133*'Ethylene recycling rates'!X73</f>
        <v>2655.8755122428688</v>
      </c>
      <c r="W134" s="216">
        <f>W$133*'Ethylene recycling rates'!Y73</f>
        <v>2791.5807040544637</v>
      </c>
      <c r="X134" s="216">
        <f>X$133*'Ethylene recycling rates'!Z73</f>
        <v>3048.061284682994</v>
      </c>
      <c r="Y134" s="216">
        <f>Y$133*'Ethylene recycling rates'!AA73</f>
        <v>3299.0267133366992</v>
      </c>
      <c r="Z134" s="216">
        <f>Z$133*'Ethylene recycling rates'!AB73</f>
        <v>3515.4058663617102</v>
      </c>
      <c r="AA134" s="216">
        <f>AA$133*'Ethylene recycling rates'!AC73</f>
        <v>3722.1117223416336</v>
      </c>
      <c r="AB134" s="216">
        <f>AB$133*'Ethylene recycling rates'!AD73</f>
        <v>3919.271221809352</v>
      </c>
      <c r="AC134" s="216">
        <f>AC$133*'Ethylene recycling rates'!AE73</f>
        <v>4107.0130841301743</v>
      </c>
      <c r="AD134" s="216">
        <f>AD$133*'Ethylene recycling rates'!AF73</f>
        <v>4285.467734527525</v>
      </c>
      <c r="AE134" s="216">
        <f>AE$133*'Ethylene recycling rates'!AG73</f>
        <v>4454.7672317427396</v>
      </c>
      <c r="AF134" s="216">
        <f>AF$133*'Ethylene recycling rates'!AH73</f>
        <v>4615.0451963291771</v>
      </c>
      <c r="AG134" s="216">
        <f>AG$133*'Ethylene recycling rates'!AI73</f>
        <v>1114.9559624750455</v>
      </c>
      <c r="AH134" s="230"/>
      <c r="AI134" s="126"/>
      <c r="AJ134" s="198"/>
      <c r="AL134" s="102"/>
      <c r="AM134" s="2"/>
      <c r="AN134" s="2"/>
      <c r="AO134" s="2"/>
      <c r="BC134" s="1"/>
      <c r="BD134" s="2"/>
      <c r="BE134" s="2"/>
      <c r="BF134" s="2"/>
      <c r="BG134" s="2"/>
      <c r="BH134" s="2"/>
      <c r="BI134" s="2"/>
      <c r="BJ134" s="2"/>
      <c r="BK134" s="2"/>
    </row>
    <row r="135" spans="1:63" outlineLevel="1">
      <c r="A135" s="4" t="s">
        <v>74</v>
      </c>
      <c r="C135" s="216">
        <f>C$133*'Ethylene recycling rates'!E74</f>
        <v>46.447845179510516</v>
      </c>
      <c r="D135" s="216">
        <f>D$133*'Ethylene recycling rates'!F74</f>
        <v>56.628394769611148</v>
      </c>
      <c r="E135" s="216">
        <f>E$133*'Ethylene recycling rates'!G74</f>
        <v>65.947103673756757</v>
      </c>
      <c r="F135" s="216">
        <f>F$133*'Ethylene recycling rates'!H74</f>
        <v>74.409639095598322</v>
      </c>
      <c r="G135" s="216">
        <f>G$133*'Ethylene recycling rates'!I74</f>
        <v>82.02166924293509</v>
      </c>
      <c r="H135" s="216">
        <f>H$133*'Ethylene recycling rates'!J74</f>
        <v>88.788863327714665</v>
      </c>
      <c r="I135" s="216">
        <f>I$133*'Ethylene recycling rates'!K74</f>
        <v>94.716891566032984</v>
      </c>
      <c r="J135" s="216">
        <f>J$133*'Ethylene recycling rates'!L74</f>
        <v>99.8114251781344</v>
      </c>
      <c r="K135" s="216">
        <f>K$133*'Ethylene recycling rates'!M74</f>
        <v>104.07813638841142</v>
      </c>
      <c r="L135" s="216">
        <f>L$133*'Ethylene recycling rates'!N74</f>
        <v>107.52269842540501</v>
      </c>
      <c r="M135" s="216">
        <f>M$133*'Ethylene recycling rates'!O74</f>
        <v>110.15078552180444</v>
      </c>
      <c r="N135" s="216">
        <f>N$133*'Ethylene recycling rates'!P74</f>
        <v>118.83081430515179</v>
      </c>
      <c r="O135" s="216">
        <f>O$133*'Ethylene recycling rates'!Q74</f>
        <v>125.952451387271</v>
      </c>
      <c r="P135" s="216">
        <f>P$133*'Ethylene recycling rates'!R74</f>
        <v>131.07881854174676</v>
      </c>
      <c r="Q135" s="216">
        <f>Q$133*'Ethylene recycling rates'!S74</f>
        <v>134.63991127826384</v>
      </c>
      <c r="R135" s="216">
        <f>R$133*'Ethylene recycling rates'!T74</f>
        <v>136.66208845643413</v>
      </c>
      <c r="S135" s="216">
        <f>S$133*'Ethylene recycling rates'!U74</f>
        <v>137.17163340188017</v>
      </c>
      <c r="T135" s="216">
        <f>T$133*'Ethylene recycling rates'!V74</f>
        <v>136.19475179371216</v>
      </c>
      <c r="U135" s="216">
        <f>U$133*'Ethylene recycling rates'!W74</f>
        <v>133.75756956979623</v>
      </c>
      <c r="V135" s="216">
        <f>V$133*'Ethylene recycling rates'!X74</f>
        <v>129.88613084981762</v>
      </c>
      <c r="W135" s="216">
        <f>W$133*'Ethylene recycling rates'!Y74</f>
        <v>124.60639587614632</v>
      </c>
      <c r="X135" s="216">
        <f>X$133*'Ethylene recycling rates'!Z74</f>
        <v>122.93938011820588</v>
      </c>
      <c r="Y135" s="216">
        <f>Y$133*'Ethylene recycling rates'!AA74</f>
        <v>118.75236249913196</v>
      </c>
      <c r="Z135" s="216">
        <f>Z$133*'Ethylene recycling rates'!AB74</f>
        <v>111.17025175733382</v>
      </c>
      <c r="AA135" s="216">
        <f>AA$133*'Ethylene recycling rates'!AC74</f>
        <v>101.30046458073605</v>
      </c>
      <c r="AB135" s="216">
        <f>AB$133*'Ethylene recycling rates'!AD74</f>
        <v>89.250146467366136</v>
      </c>
      <c r="AC135" s="216">
        <f>AC$133*'Ethylene recycling rates'!AE74</f>
        <v>75.12590374422777</v>
      </c>
      <c r="AD135" s="216">
        <f>AD$133*'Ethylene recycling rates'!AF74</f>
        <v>59.033750667200863</v>
      </c>
      <c r="AE135" s="216">
        <f>AE$133*'Ethylene recycling rates'!AG74</f>
        <v>41.079057238641184</v>
      </c>
      <c r="AF135" s="216">
        <f>AF$133*'Ethylene recycling rates'!AH74</f>
        <v>21.366497742902006</v>
      </c>
      <c r="AG135" s="216">
        <f>AG$133*'Ethylene recycling rates'!AI74</f>
        <v>0</v>
      </c>
      <c r="AH135" s="230"/>
      <c r="AI135" s="126"/>
      <c r="AJ135" s="198"/>
      <c r="AL135" s="102"/>
      <c r="AM135" s="2"/>
      <c r="AN135" s="2"/>
      <c r="AO135" s="2"/>
      <c r="BC135" s="1"/>
      <c r="BD135" s="2"/>
      <c r="BE135" s="2"/>
      <c r="BF135" s="2"/>
      <c r="BG135" s="2"/>
      <c r="BH135" s="2"/>
      <c r="BI135" s="2"/>
      <c r="BJ135" s="2"/>
      <c r="BK135" s="2"/>
    </row>
    <row r="136" spans="1:63" outlineLevel="1">
      <c r="A136" s="4" t="s">
        <v>34</v>
      </c>
      <c r="C136" s="216">
        <f>C$133*'Ethylene recycling rates'!E75</f>
        <v>0</v>
      </c>
      <c r="D136" s="216">
        <f>D$133*'Ethylene recycling rates'!F75</f>
        <v>2.0908121916498108</v>
      </c>
      <c r="E136" s="216">
        <f>E$133*'Ethylene recycling rates'!G75</f>
        <v>5.0436676547863648</v>
      </c>
      <c r="F136" s="216">
        <f>F$133*'Ethylene recycling rates'!H75</f>
        <v>8.8524902974489859</v>
      </c>
      <c r="G136" s="216">
        <f>G$133*'Ethylene recycling rates'!I75</f>
        <v>13.511202952508222</v>
      </c>
      <c r="H136" s="216">
        <f>H$133*'Ethylene recycling rates'!J75</f>
        <v>19.013727377665848</v>
      </c>
      <c r="I136" s="216">
        <f>I$133*'Ethylene recycling rates'!K75</f>
        <v>25.353984255454861</v>
      </c>
      <c r="J136" s="216">
        <f>J$133*'Ethylene recycling rates'!L75</f>
        <v>32.525893193239511</v>
      </c>
      <c r="K136" s="216">
        <f>K$133*'Ethylene recycling rates'!M75</f>
        <v>40.523372723215232</v>
      </c>
      <c r="L136" s="216">
        <f>L$133*'Ethylene recycling rates'!N75</f>
        <v>49.340340302408698</v>
      </c>
      <c r="M136" s="216">
        <f>M$133*'Ethylene recycling rates'!O75</f>
        <v>58.970712312677826</v>
      </c>
      <c r="N136" s="216">
        <f>N$133*'Ethylene recycling rates'!P75</f>
        <v>73.662580407697206</v>
      </c>
      <c r="O136" s="216">
        <f>O$133*'Ethylene recycling rates'!Q75</f>
        <v>89.907130371636697</v>
      </c>
      <c r="P136" s="216">
        <f>P$133*'Ethylene recycling rates'!R75</f>
        <v>107.32619184598609</v>
      </c>
      <c r="Q136" s="216">
        <f>Q$133*'Ethylene recycling rates'!S75</f>
        <v>126.14226955640481</v>
      </c>
      <c r="R136" s="216">
        <f>R$133*'Ethylene recycling rates'!T75</f>
        <v>146.32779356473694</v>
      </c>
      <c r="S136" s="216">
        <f>S$133*'Ethylene recycling rates'!U75</f>
        <v>167.85528813295687</v>
      </c>
      <c r="T136" s="216">
        <f>T$133*'Ethylene recycling rates'!V75</f>
        <v>190.69737388980968</v>
      </c>
      <c r="U136" s="216">
        <f>U$133*'Ethylene recycling rates'!W75</f>
        <v>214.82676997837797</v>
      </c>
      <c r="V136" s="216">
        <f>V$133*'Ethylene recycling rates'!X75</f>
        <v>240.21629618456754</v>
      </c>
      <c r="W136" s="216">
        <f>W$133*'Ethylene recycling rates'!Y75</f>
        <v>266.83887504650801</v>
      </c>
      <c r="X136" s="216">
        <f>X$133*'Ethylene recycling rates'!Z75</f>
        <v>307.14721023877388</v>
      </c>
      <c r="Y136" s="216">
        <f>Y$133*'Ethylene recycling rates'!AA75</f>
        <v>349.66625564376938</v>
      </c>
      <c r="Z136" s="216">
        <f>Z$133*'Ethylene recycling rates'!AB75</f>
        <v>391.10841112736188</v>
      </c>
      <c r="AA136" s="216">
        <f>AA$133*'Ethylene recycling rates'!AC75</f>
        <v>433.86058669540307</v>
      </c>
      <c r="AB136" s="216">
        <f>AB$133*'Ethylene recycling rates'!AD75</f>
        <v>477.8127260971342</v>
      </c>
      <c r="AC136" s="216">
        <f>AC$133*'Ethylene recycling rates'!AE75</f>
        <v>522.85568793061088</v>
      </c>
      <c r="AD136" s="216">
        <f>AD$133*'Ethylene recycling rates'!AF75</f>
        <v>568.88129844162904</v>
      </c>
      <c r="AE136" s="216">
        <f>AE$133*'Ethylene recycling rates'!AG75</f>
        <v>615.78240355316939</v>
      </c>
      <c r="AF136" s="216">
        <f>AF$133*'Ethylene recycling rates'!AH75</f>
        <v>663.45292012512459</v>
      </c>
      <c r="AG136" s="216">
        <f>AG$133*'Ethylene recycling rates'!AI75</f>
        <v>166.50009039627352</v>
      </c>
      <c r="AH136" s="230"/>
      <c r="AI136" s="126"/>
      <c r="AJ136" s="198"/>
      <c r="AL136" s="102"/>
      <c r="AM136" s="2"/>
      <c r="AN136" s="2"/>
      <c r="AO136" s="2"/>
      <c r="BC136" s="1"/>
      <c r="BD136" s="2"/>
      <c r="BE136" s="2"/>
      <c r="BF136" s="2"/>
      <c r="BG136" s="2"/>
      <c r="BH136" s="2"/>
      <c r="BI136" s="2"/>
      <c r="BJ136" s="2"/>
      <c r="BK136" s="2"/>
    </row>
    <row r="137" spans="1:63" outlineLevel="1">
      <c r="A137" s="4" t="s">
        <v>35</v>
      </c>
      <c r="C137" s="216">
        <f>C$133*'Ethylene recycling rates'!E76</f>
        <v>0</v>
      </c>
      <c r="D137" s="216">
        <f>D$133*'Ethylene recycling rates'!F76</f>
        <v>0</v>
      </c>
      <c r="E137" s="216">
        <f>E$133*'Ethylene recycling rates'!G76</f>
        <v>0</v>
      </c>
      <c r="F137" s="216">
        <f>F$133*'Ethylene recycling rates'!H76</f>
        <v>0</v>
      </c>
      <c r="G137" s="216">
        <f>G$133*'Ethylene recycling rates'!I76</f>
        <v>0</v>
      </c>
      <c r="H137" s="216">
        <f>H$133*'Ethylene recycling rates'!J76</f>
        <v>0</v>
      </c>
      <c r="I137" s="216">
        <f>I$133*'Ethylene recycling rates'!K76</f>
        <v>0</v>
      </c>
      <c r="J137" s="216">
        <f>J$133*'Ethylene recycling rates'!L76</f>
        <v>0</v>
      </c>
      <c r="K137" s="216">
        <f>K$133*'Ethylene recycling rates'!M76</f>
        <v>0</v>
      </c>
      <c r="L137" s="216">
        <f>L$133*'Ethylene recycling rates'!N76</f>
        <v>0</v>
      </c>
      <c r="M137" s="216">
        <f>M$133*'Ethylene recycling rates'!O76</f>
        <v>0</v>
      </c>
      <c r="N137" s="216">
        <f>N$133*'Ethylene recycling rates'!P76</f>
        <v>0</v>
      </c>
      <c r="O137" s="216">
        <f>O$133*'Ethylene recycling rates'!Q76</f>
        <v>0</v>
      </c>
      <c r="P137" s="216">
        <f>P$133*'Ethylene recycling rates'!R76</f>
        <v>0</v>
      </c>
      <c r="Q137" s="216">
        <f>Q$133*'Ethylene recycling rates'!S76</f>
        <v>0</v>
      </c>
      <c r="R137" s="216">
        <f>R$133*'Ethylene recycling rates'!T76</f>
        <v>0</v>
      </c>
      <c r="S137" s="216">
        <f>S$133*'Ethylene recycling rates'!U76</f>
        <v>0</v>
      </c>
      <c r="T137" s="216">
        <f>T$133*'Ethylene recycling rates'!V76</f>
        <v>0</v>
      </c>
      <c r="U137" s="216">
        <f>U$133*'Ethylene recycling rates'!W76</f>
        <v>0</v>
      </c>
      <c r="V137" s="216">
        <f>V$133*'Ethylene recycling rates'!X76</f>
        <v>0</v>
      </c>
      <c r="W137" s="216">
        <f>W$133*'Ethylene recycling rates'!Y76</f>
        <v>0</v>
      </c>
      <c r="X137" s="216">
        <f>X$133*'Ethylene recycling rates'!Z76</f>
        <v>0</v>
      </c>
      <c r="Y137" s="216">
        <f>Y$133*'Ethylene recycling rates'!AA76</f>
        <v>0</v>
      </c>
      <c r="Z137" s="216">
        <f>Z$133*'Ethylene recycling rates'!AB76</f>
        <v>0</v>
      </c>
      <c r="AA137" s="216">
        <f>AA$133*'Ethylene recycling rates'!AC76</f>
        <v>0</v>
      </c>
      <c r="AB137" s="216">
        <f>AB$133*'Ethylene recycling rates'!AD76</f>
        <v>0</v>
      </c>
      <c r="AC137" s="216">
        <f>AC$133*'Ethylene recycling rates'!AE76</f>
        <v>0</v>
      </c>
      <c r="AD137" s="216">
        <f>AD$133*'Ethylene recycling rates'!AF76</f>
        <v>0</v>
      </c>
      <c r="AE137" s="216">
        <f>AE$133*'Ethylene recycling rates'!AG76</f>
        <v>0</v>
      </c>
      <c r="AF137" s="216">
        <f>AF$133*'Ethylene recycling rates'!AH76</f>
        <v>0</v>
      </c>
      <c r="AG137" s="216">
        <f>AG$133*'Ethylene recycling rates'!AI76</f>
        <v>0</v>
      </c>
      <c r="AH137" s="230"/>
      <c r="AI137" s="126"/>
      <c r="AJ137" s="198"/>
      <c r="AL137" s="102"/>
      <c r="AM137" s="2"/>
      <c r="AN137" s="2"/>
      <c r="AO137" s="2"/>
      <c r="BC137" s="1"/>
      <c r="BD137" s="2"/>
      <c r="BE137" s="2"/>
      <c r="BF137" s="2"/>
      <c r="BG137" s="2"/>
      <c r="BH137" s="2"/>
      <c r="BI137" s="2"/>
      <c r="BJ137" s="2"/>
      <c r="BK137" s="2"/>
    </row>
    <row r="138" spans="1:63" outlineLevel="1">
      <c r="A138" s="4" t="s">
        <v>27</v>
      </c>
      <c r="C138" s="216">
        <f>C$133*'Ethylene recycling rates'!E77</f>
        <v>43.213084533080313</v>
      </c>
      <c r="D138" s="216">
        <f>D$133*'Ethylene recycling rates'!F77</f>
        <v>56.107091995201905</v>
      </c>
      <c r="E138" s="216">
        <f>E$133*'Ethylene recycling rates'!G77</f>
        <v>69.610362555204944</v>
      </c>
      <c r="F138" s="216">
        <f>F$133*'Ethylene recycling rates'!H77</f>
        <v>83.718222752621955</v>
      </c>
      <c r="G138" s="216">
        <f>G$133*'Ethylene recycling rates'!I77</f>
        <v>98.425998301253045</v>
      </c>
      <c r="H138" s="216">
        <f>H$133*'Ethylene recycling rates'!J77</f>
        <v>113.72901408916611</v>
      </c>
      <c r="I138" s="216">
        <f>I$133*'Ethylene recycling rates'!K77</f>
        <v>129.62259417869666</v>
      </c>
      <c r="J138" s="216">
        <f>J$133*'Ethylene recycling rates'!L77</f>
        <v>146.10206180644801</v>
      </c>
      <c r="K138" s="216">
        <f>K$133*'Ethylene recycling rates'!M77</f>
        <v>163.16273938329101</v>
      </c>
      <c r="L138" s="216">
        <f>L$133*'Ethylene recycling rates'!N77</f>
        <v>180.79994849436423</v>
      </c>
      <c r="M138" s="216">
        <f>M$133*'Ethylene recycling rates'!O77</f>
        <v>199.00900989907399</v>
      </c>
      <c r="N138" s="216">
        <f>N$133*'Ethylene recycling rates'!P77</f>
        <v>231.13372552388063</v>
      </c>
      <c r="O138" s="216">
        <f>O$133*'Ethylene recycling rates'!Q77</f>
        <v>264.35017264303895</v>
      </c>
      <c r="P138" s="216">
        <f>P$133*'Ethylene recycling rates'!R77</f>
        <v>297.632869617388</v>
      </c>
      <c r="Q138" s="216">
        <f>Q$133*'Ethylene recycling rates'!S77</f>
        <v>331.74608488573784</v>
      </c>
      <c r="R138" s="216">
        <f>R$133*'Ethylene recycling rates'!T77</f>
        <v>366.66921223835305</v>
      </c>
      <c r="S138" s="216">
        <f>S$133*'Ethylene recycling rates'!U77</f>
        <v>402.38172938855365</v>
      </c>
      <c r="T138" s="216">
        <f>T$133*'Ethylene recycling rates'!V77</f>
        <v>438.86319955389808</v>
      </c>
      <c r="U138" s="216">
        <f>U$133*'Ethylene recycling rates'!W77</f>
        <v>476.09327302269702</v>
      </c>
      <c r="V138" s="216">
        <f>V$133*'Ethylene recycling rates'!X77</f>
        <v>514.05168870584873</v>
      </c>
      <c r="W138" s="216">
        <f>W$133*'Ethylene recycling rates'!Y77</f>
        <v>552.71827567399635</v>
      </c>
      <c r="X138" s="216">
        <f>X$133*'Ethylene recycling rates'!Z77</f>
        <v>617.14826147701444</v>
      </c>
      <c r="Y138" s="216">
        <f>Y$133*'Ethylene recycling rates'!AA77</f>
        <v>682.85246762292229</v>
      </c>
      <c r="Z138" s="216">
        <f>Z$133*'Ethylene recycling rates'!AB77</f>
        <v>743.63525839104659</v>
      </c>
      <c r="AA138" s="216">
        <f>AA$133*'Ethylene recycling rates'!AC77</f>
        <v>804.43407116193418</v>
      </c>
      <c r="AB138" s="216">
        <f>AB$133*'Ethylene recycling rates'!AD77</f>
        <v>865.16843791405529</v>
      </c>
      <c r="AC138" s="216">
        <f>AC$133*'Ethylene recycling rates'!AE77</f>
        <v>925.75888652464801</v>
      </c>
      <c r="AD138" s="216">
        <f>AD$133*'Ethylene recycling rates'!AF77</f>
        <v>986.12697798054512</v>
      </c>
      <c r="AE138" s="216">
        <f>AE$133*'Ethylene recycling rates'!AG77</f>
        <v>1046.1953429971506</v>
      </c>
      <c r="AF138" s="216">
        <f>AF$133*'Ethylene recycling rates'!AH77</f>
        <v>1105.8877180453867</v>
      </c>
      <c r="AG138" s="216">
        <f>AG$133*'Ethylene recycling rates'!AI77</f>
        <v>272.54479082723338</v>
      </c>
      <c r="AH138" s="230"/>
      <c r="AI138" s="126"/>
      <c r="AJ138" s="198"/>
      <c r="AL138" s="102"/>
      <c r="AM138" s="2"/>
      <c r="AN138" s="2"/>
      <c r="AO138" s="2"/>
      <c r="BC138" s="1"/>
      <c r="BD138" s="2"/>
      <c r="BE138" s="2"/>
      <c r="BF138" s="2"/>
      <c r="BG138" s="2"/>
      <c r="BH138" s="2"/>
      <c r="BI138" s="2"/>
      <c r="BJ138" s="2"/>
      <c r="BK138" s="2"/>
    </row>
    <row r="139" spans="1:63" s="1" customFormat="1" outlineLevel="1">
      <c r="A139" s="1" t="s">
        <v>834</v>
      </c>
      <c r="B139" s="61"/>
      <c r="C139" s="279">
        <f>C124*C43</f>
        <v>107.1171528459893</v>
      </c>
      <c r="D139" s="279">
        <f t="shared" ref="D139:AF139" si="105">D124*D43</f>
        <v>135.09863392198773</v>
      </c>
      <c r="E139" s="279">
        <f t="shared" si="105"/>
        <v>162.94926269309786</v>
      </c>
      <c r="F139" s="279">
        <f t="shared" si="105"/>
        <v>190.66902179120888</v>
      </c>
      <c r="G139" s="279">
        <f t="shared" si="105"/>
        <v>218.25789384820968</v>
      </c>
      <c r="H139" s="279">
        <f t="shared" si="105"/>
        <v>245.71586149598937</v>
      </c>
      <c r="I139" s="279">
        <f t="shared" si="105"/>
        <v>273.04290736643685</v>
      </c>
      <c r="J139" s="279">
        <f t="shared" si="105"/>
        <v>300.23901409144145</v>
      </c>
      <c r="K139" s="279">
        <f t="shared" si="105"/>
        <v>327.3041643028921</v>
      </c>
      <c r="L139" s="279">
        <f t="shared" si="105"/>
        <v>354.2383406326777</v>
      </c>
      <c r="M139" s="279">
        <f t="shared" si="105"/>
        <v>381.04152571268736</v>
      </c>
      <c r="N139" s="279">
        <f t="shared" si="105"/>
        <v>432.70326952773166</v>
      </c>
      <c r="O139" s="279">
        <f t="shared" si="105"/>
        <v>484.11531738573581</v>
      </c>
      <c r="P139" s="279">
        <f t="shared" si="105"/>
        <v>533.45562811022648</v>
      </c>
      <c r="Q139" s="279">
        <f t="shared" si="105"/>
        <v>582.19509026032972</v>
      </c>
      <c r="R139" s="279">
        <f t="shared" si="105"/>
        <v>630.33511074040507</v>
      </c>
      <c r="S139" s="279">
        <f t="shared" si="105"/>
        <v>677.87712515232568</v>
      </c>
      <c r="T139" s="279">
        <f t="shared" si="105"/>
        <v>724.82259759022656</v>
      </c>
      <c r="U139" s="279">
        <f t="shared" si="105"/>
        <v>771.17302043520249</v>
      </c>
      <c r="V139" s="279">
        <f t="shared" si="105"/>
        <v>816.92991414994606</v>
      </c>
      <c r="W139" s="279">
        <f t="shared" si="105"/>
        <v>862.09482707333314</v>
      </c>
      <c r="X139" s="279">
        <f t="shared" si="105"/>
        <v>945.06833919622704</v>
      </c>
      <c r="Y139" s="279">
        <f t="shared" si="105"/>
        <v>1026.9917997928887</v>
      </c>
      <c r="Z139" s="279">
        <f t="shared" si="105"/>
        <v>1098.7661048394109</v>
      </c>
      <c r="AA139" s="279">
        <f t="shared" si="105"/>
        <v>1168.0861949491618</v>
      </c>
      <c r="AB139" s="279">
        <f t="shared" si="105"/>
        <v>1234.9621228356693</v>
      </c>
      <c r="AC139" s="279">
        <f t="shared" si="105"/>
        <v>1299.4046682299202</v>
      </c>
      <c r="AD139" s="279">
        <f t="shared" si="105"/>
        <v>1361.4253296038978</v>
      </c>
      <c r="AE139" s="279">
        <f t="shared" si="105"/>
        <v>1421.0363158919288</v>
      </c>
      <c r="AF139" s="279">
        <f t="shared" si="105"/>
        <v>1478.2505382098263</v>
      </c>
      <c r="AG139" s="279">
        <f>AG124*AG43</f>
        <v>358.61557931505041</v>
      </c>
      <c r="AH139" s="397"/>
      <c r="AI139" s="398"/>
      <c r="AJ139" s="399"/>
      <c r="AL139" s="207"/>
      <c r="AM139" s="118"/>
      <c r="AN139" s="118"/>
      <c r="AO139" s="118"/>
      <c r="BD139" s="118"/>
      <c r="BE139" s="118"/>
      <c r="BF139" s="118"/>
      <c r="BG139" s="118"/>
      <c r="BH139" s="118"/>
      <c r="BI139" s="118"/>
      <c r="BJ139" s="118"/>
      <c r="BK139" s="118"/>
    </row>
    <row r="140" spans="1:63" outlineLevel="1">
      <c r="A140" s="4" t="s">
        <v>141</v>
      </c>
      <c r="C140" s="216">
        <f>C$139*'Ethylene recycling rates'!E78</f>
        <v>86.426169066160639</v>
      </c>
      <c r="D140" s="216">
        <f>D$139*'Ethylene recycling rates'!F78</f>
        <v>108.60025723972707</v>
      </c>
      <c r="E140" s="216">
        <f>E$139*'Ethylene recycling rates'!G78</f>
        <v>130.50284718146369</v>
      </c>
      <c r="F140" s="216">
        <f>F$139*'Ethylene recycling rates'!H78</f>
        <v>152.13509437297753</v>
      </c>
      <c r="G140" s="216">
        <f>G$139*'Ethylene recycling rates'!I78</f>
        <v>173.49815450281824</v>
      </c>
      <c r="H140" s="216">
        <f>H$139*'Ethylene recycling rates'!J78</f>
        <v>194.59318346647865</v>
      </c>
      <c r="I140" s="216">
        <f>I$139*'Ethylene recycling rates'!K78</f>
        <v>215.42133736639434</v>
      </c>
      <c r="J140" s="216">
        <f>J$139*'Ethylene recycling rates'!L78</f>
        <v>235.98377251194418</v>
      </c>
      <c r="K140" s="216">
        <f>K$139*'Ethylene recycling rates'!M78</f>
        <v>256.28164541944966</v>
      </c>
      <c r="L140" s="216">
        <f>L$139*'Ethylene recycling rates'!N78</f>
        <v>276.31611281217522</v>
      </c>
      <c r="M140" s="216">
        <f>M$139*'Ethylene recycling rates'!O78</f>
        <v>296.08833162032835</v>
      </c>
      <c r="N140" s="216">
        <f>N$139*'Ethylene recycling rates'!P78</f>
        <v>334.94316485771731</v>
      </c>
      <c r="O140" s="216">
        <f>O$139*'Ethylene recycling rates'!Q78</f>
        <v>373.29768175451761</v>
      </c>
      <c r="P140" s="216">
        <f>P$139*'Ethylene recycling rates'!R78</f>
        <v>409.75457887827582</v>
      </c>
      <c r="Q140" s="216">
        <f>Q$139*'Ethylene recycling rates'!S78</f>
        <v>445.45779817100549</v>
      </c>
      <c r="R140" s="216">
        <f>R$139*'Ethylene recycling rates'!T78</f>
        <v>480.41378129589992</v>
      </c>
      <c r="S140" s="216">
        <f>S$139*'Ethylene recycling rates'!U78</f>
        <v>514.62897493923595</v>
      </c>
      <c r="T140" s="216">
        <f>T$139*'Ethylene recycling rates'!V78</f>
        <v>548.10983022774565</v>
      </c>
      <c r="U140" s="216">
        <f>U$139*'Ethylene recycling rates'!W78</f>
        <v>580.86280214961755</v>
      </c>
      <c r="V140" s="216">
        <f>V$139*'Ethylene recycling rates'!X78</f>
        <v>612.89434897912361</v>
      </c>
      <c r="W140" s="216">
        <f>W$139*'Ethylene recycling rates'!Y78</f>
        <v>644.2109317048762</v>
      </c>
      <c r="X140" s="216">
        <f>X$139*'Ethylene recycling rates'!Z78</f>
        <v>703.39875800376785</v>
      </c>
      <c r="Y140" s="216">
        <f>Y$139*'Ethylene recycling rates'!AA78</f>
        <v>761.31385692385368</v>
      </c>
      <c r="Z140" s="216">
        <f>Z$139*'Ethylene recycling rates'!AB78</f>
        <v>811.24750762193321</v>
      </c>
      <c r="AA140" s="216">
        <f>AA$139*'Ethylene recycling rates'!AC78</f>
        <v>858.94885900191548</v>
      </c>
      <c r="AB140" s="216">
        <f>AB$139*'Ethylene recycling rates'!AD78</f>
        <v>904.44720503292729</v>
      </c>
      <c r="AC140" s="216">
        <f>AC$139*'Ethylene recycling rates'!AE78</f>
        <v>947.77225018388651</v>
      </c>
      <c r="AD140" s="216">
        <f>AD$139*'Ethylene recycling rates'!AF78</f>
        <v>988.95409258327481</v>
      </c>
      <c r="AE140" s="216">
        <f>AE$139*'Ethylene recycling rates'!AG78</f>
        <v>1028.0232073252475</v>
      </c>
      <c r="AF140" s="216">
        <f>AF$139*'Ethylene recycling rates'!AH78</f>
        <v>1065.0104299221177</v>
      </c>
      <c r="AG140" s="216">
        <f>AG$139*'Ethylene recycling rates'!AI78</f>
        <v>257.29752980193348</v>
      </c>
      <c r="AH140" s="230"/>
      <c r="AI140" s="671"/>
      <c r="AJ140" s="198"/>
      <c r="AL140" s="102"/>
      <c r="AM140" s="2"/>
      <c r="AN140" s="2"/>
      <c r="AO140" s="2"/>
      <c r="BC140" s="1"/>
      <c r="BD140" s="2"/>
      <c r="BE140" s="2"/>
      <c r="BF140" s="2"/>
      <c r="BG140" s="2"/>
      <c r="BH140" s="2"/>
      <c r="BI140" s="2"/>
      <c r="BJ140" s="2"/>
      <c r="BK140" s="2"/>
    </row>
    <row r="141" spans="1:63" outlineLevel="1">
      <c r="A141" s="4" t="s">
        <v>74</v>
      </c>
      <c r="C141" s="216">
        <f>C$139*'Ethylene recycling rates'!E79</f>
        <v>10.718733502963966</v>
      </c>
      <c r="D141" s="216">
        <f>D$139*'Ethylene recycling rates'!F79</f>
        <v>13.068091100679496</v>
      </c>
      <c r="E141" s="216">
        <f>E$139*'Ethylene recycling rates'!G79</f>
        <v>15.218562386251559</v>
      </c>
      <c r="F141" s="216">
        <f>F$139*'Ethylene recycling rates'!H79</f>
        <v>17.171455175907308</v>
      </c>
      <c r="G141" s="216">
        <f>G$139*'Ethylene recycling rates'!I79</f>
        <v>18.928077517600407</v>
      </c>
      <c r="H141" s="216">
        <f>H$139*'Ethylene recycling rates'!J79</f>
        <v>20.489737691011079</v>
      </c>
      <c r="I141" s="216">
        <f>I$139*'Ethylene recycling rates'!K79</f>
        <v>21.857744207546073</v>
      </c>
      <c r="J141" s="216">
        <f>J$139*'Ethylene recycling rates'!L79</f>
        <v>23.033405810338699</v>
      </c>
      <c r="K141" s="216">
        <f>K$139*'Ethylene recycling rates'!M79</f>
        <v>24.018031474248787</v>
      </c>
      <c r="L141" s="216">
        <f>L$139*'Ethylene recycling rates'!N79</f>
        <v>24.812930405862694</v>
      </c>
      <c r="M141" s="216">
        <f>M$139*'Ethylene recycling rates'!O79</f>
        <v>25.419412043493331</v>
      </c>
      <c r="N141" s="216">
        <f>N$139*'Ethylene recycling rates'!P79</f>
        <v>27.422495608881182</v>
      </c>
      <c r="O141" s="216">
        <f>O$139*'Ethylene recycling rates'!Q79</f>
        <v>29.065950320139457</v>
      </c>
      <c r="P141" s="216">
        <f>P$139*'Ethylene recycling rates'!R79</f>
        <v>30.248958125018479</v>
      </c>
      <c r="Q141" s="216">
        <f>Q$139*'Ethylene recycling rates'!S79</f>
        <v>31.070748756522427</v>
      </c>
      <c r="R141" s="216">
        <f>R$139*'Ethylene recycling rates'!T79</f>
        <v>31.537405028407878</v>
      </c>
      <c r="S141" s="216">
        <f>S$139*'Ethylene recycling rates'!U79</f>
        <v>31.654992323510807</v>
      </c>
      <c r="T141" s="216">
        <f>T$139*'Ethylene recycling rates'!V79</f>
        <v>31.429558106241263</v>
      </c>
      <c r="U141" s="216">
        <f>U$139*'Ethylene recycling rates'!W79</f>
        <v>30.867131439183733</v>
      </c>
      <c r="V141" s="216">
        <f>V$139*'Ethylene recycling rates'!X79</f>
        <v>29.973722503804066</v>
      </c>
      <c r="W141" s="216">
        <f>W$139*'Ethylene recycling rates'!Y79</f>
        <v>28.755322125264534</v>
      </c>
      <c r="X141" s="216">
        <f>X$139*'Ethylene recycling rates'!Z79</f>
        <v>28.370626181124432</v>
      </c>
      <c r="Y141" s="216">
        <f>Y$139*'Ethylene recycling rates'!AA79</f>
        <v>27.404391345953528</v>
      </c>
      <c r="Z141" s="216">
        <f>Z$139*'Ethylene recycling rates'!AB79</f>
        <v>25.65467348246165</v>
      </c>
      <c r="AA141" s="216">
        <f>AA$139*'Ethylene recycling rates'!AC79</f>
        <v>23.377030287862166</v>
      </c>
      <c r="AB141" s="216">
        <f>AB$139*'Ethylene recycling rates'!AD79</f>
        <v>20.596187646315261</v>
      </c>
      <c r="AC141" s="216">
        <f>AC$139*'Ethylene recycling rates'!AE79</f>
        <v>17.336747017898716</v>
      </c>
      <c r="AD141" s="216">
        <f>AD$139*'Ethylene recycling rates'!AF79</f>
        <v>13.623173230892503</v>
      </c>
      <c r="AE141" s="216">
        <f>AE$139*'Ethylene recycling rates'!AG79</f>
        <v>9.4797824396864261</v>
      </c>
      <c r="AF141" s="216">
        <f>AF$139*'Ethylene recycling rates'!AH79</f>
        <v>4.9307302483620017</v>
      </c>
      <c r="AG141" s="216">
        <f>AG$139*'Ethylene recycling rates'!AI79</f>
        <v>0</v>
      </c>
      <c r="AH141" s="230"/>
      <c r="AI141" s="126"/>
      <c r="AJ141" s="198"/>
      <c r="AL141" s="102"/>
      <c r="AM141" s="2"/>
      <c r="AN141" s="2"/>
      <c r="AO141" s="2"/>
      <c r="BC141" s="1"/>
      <c r="BD141" s="2"/>
      <c r="BE141" s="2"/>
      <c r="BF141" s="2"/>
      <c r="BG141" s="2"/>
      <c r="BH141" s="2"/>
      <c r="BI141" s="2"/>
      <c r="BJ141" s="2"/>
      <c r="BK141" s="2"/>
    </row>
    <row r="142" spans="1:63" outlineLevel="1">
      <c r="A142" s="4" t="s">
        <v>34</v>
      </c>
      <c r="C142" s="216">
        <f>C$139*'Ethylene recycling rates'!E80</f>
        <v>0</v>
      </c>
      <c r="D142" s="216">
        <f>D$139*'Ethylene recycling rates'!F80</f>
        <v>0.48249512114995635</v>
      </c>
      <c r="E142" s="216">
        <f>E$139*'Ethylene recycling rates'!G80</f>
        <v>1.1639233049506994</v>
      </c>
      <c r="F142" s="216">
        <f>F$139*'Ethylene recycling rates'!H80</f>
        <v>2.0428823763343815</v>
      </c>
      <c r="G142" s="216">
        <f>G$139*'Ethylene recycling rates'!I80</f>
        <v>3.1179699121172821</v>
      </c>
      <c r="H142" s="216">
        <f>H$139*'Ethylene recycling rates'!J80</f>
        <v>4.3877832409998119</v>
      </c>
      <c r="I142" s="216">
        <f>I$139*'Ethylene recycling rates'!K80</f>
        <v>5.8509194435665055</v>
      </c>
      <c r="J142" s="216">
        <f>J$139*'Ethylene recycling rates'!L80</f>
        <v>7.5059753522860388</v>
      </c>
      <c r="K142" s="216">
        <f>K$139*'Ethylene recycling rates'!M80</f>
        <v>9.3515475515112065</v>
      </c>
      <c r="L142" s="216">
        <f>L$139*'Ethylene recycling rates'!N80</f>
        <v>11.38623237747893</v>
      </c>
      <c r="M142" s="216">
        <f>M$139*'Ethylene recycling rates'!O80</f>
        <v>13.608625918310267</v>
      </c>
      <c r="N142" s="216">
        <f>N$139*'Ethylene recycling rates'!P80</f>
        <v>16.999057017160894</v>
      </c>
      <c r="O142" s="216">
        <f>O$139*'Ethylene recycling rates'!Q80</f>
        <v>20.747799316531541</v>
      </c>
      <c r="P142" s="216">
        <f>P$139*'Ethylene recycling rates'!R80</f>
        <v>24.767582733689096</v>
      </c>
      <c r="Q142" s="216">
        <f>Q$139*'Ethylene recycling rates'!S80</f>
        <v>29.109754513016497</v>
      </c>
      <c r="R142" s="216">
        <f>R$139*'Ethylene recycling rates'!T80</f>
        <v>33.767952361093137</v>
      </c>
      <c r="S142" s="216">
        <f>S$139*'Ethylene recycling rates'!U80</f>
        <v>38.735835722990053</v>
      </c>
      <c r="T142" s="216">
        <f>T$139*'Ethylene recycling rates'!V80</f>
        <v>44.007086282263771</v>
      </c>
      <c r="U142" s="216">
        <f>U$139*'Ethylene recycling rates'!W80</f>
        <v>49.57540845654875</v>
      </c>
      <c r="V142" s="216">
        <f>V$139*'Ethylene recycling rates'!X80</f>
        <v>55.434529888746361</v>
      </c>
      <c r="W142" s="216">
        <f>W$139*'Ethylene recycling rates'!Y80</f>
        <v>61.578201933809531</v>
      </c>
      <c r="X142" s="216">
        <f>X$139*'Ethylene recycling rates'!Z80</f>
        <v>70.880125439717048</v>
      </c>
      <c r="Y142" s="216">
        <f>Y$139*'Ethylene recycling rates'!AA80</f>
        <v>80.692212840869857</v>
      </c>
      <c r="Z142" s="216">
        <f>Z$139*'Ethylene recycling rates'!AB80</f>
        <v>90.255787183237359</v>
      </c>
      <c r="AA142" s="216">
        <f>AA$139*'Ethylene recycling rates'!AC80</f>
        <v>100.12167385278534</v>
      </c>
      <c r="AB142" s="216">
        <f>AB$139*'Ethylene recycling rates'!AD80</f>
        <v>110.2644752531848</v>
      </c>
      <c r="AC142" s="216">
        <f>AC$139*'Ethylene recycling rates'!AE80</f>
        <v>120.65900490706406</v>
      </c>
      <c r="AD142" s="216">
        <f>AD$139*'Ethylene recycling rates'!AF80</f>
        <v>131.28029964037592</v>
      </c>
      <c r="AE142" s="216">
        <f>AE$139*'Ethylene recycling rates'!AG80</f>
        <v>142.10363158919293</v>
      </c>
      <c r="AF142" s="216">
        <f>AF$139*'Ethylene recycling rates'!AH80</f>
        <v>153.10452002887493</v>
      </c>
      <c r="AG142" s="216">
        <f>AG$139*'Ethylene recycling rates'!AI80</f>
        <v>38.423097783755416</v>
      </c>
      <c r="AH142" s="230"/>
      <c r="AI142" s="126"/>
      <c r="AJ142" s="198"/>
      <c r="AL142" s="102"/>
      <c r="AM142" s="2"/>
      <c r="AN142" s="2"/>
      <c r="AO142" s="2"/>
      <c r="BC142" s="1"/>
      <c r="BD142" s="2"/>
      <c r="BE142" s="2"/>
      <c r="BF142" s="2"/>
      <c r="BG142" s="2"/>
      <c r="BH142" s="2"/>
      <c r="BI142" s="2"/>
      <c r="BJ142" s="2"/>
      <c r="BK142" s="2"/>
    </row>
    <row r="143" spans="1:63" outlineLevel="1">
      <c r="A143" s="4" t="s">
        <v>35</v>
      </c>
      <c r="C143" s="216">
        <f>C$139*'Ethylene recycling rates'!E81</f>
        <v>0</v>
      </c>
      <c r="D143" s="216">
        <f>D$139*'Ethylene recycling rates'!F81</f>
        <v>0</v>
      </c>
      <c r="E143" s="216">
        <f>E$139*'Ethylene recycling rates'!G81</f>
        <v>0</v>
      </c>
      <c r="F143" s="216">
        <f>F$139*'Ethylene recycling rates'!H81</f>
        <v>0</v>
      </c>
      <c r="G143" s="216">
        <f>G$139*'Ethylene recycling rates'!I81</f>
        <v>0</v>
      </c>
      <c r="H143" s="216">
        <f>H$139*'Ethylene recycling rates'!J81</f>
        <v>0</v>
      </c>
      <c r="I143" s="216">
        <f>I$139*'Ethylene recycling rates'!K81</f>
        <v>0</v>
      </c>
      <c r="J143" s="216">
        <f>J$139*'Ethylene recycling rates'!L81</f>
        <v>0</v>
      </c>
      <c r="K143" s="216">
        <f>K$139*'Ethylene recycling rates'!M81</f>
        <v>0</v>
      </c>
      <c r="L143" s="216">
        <f>L$139*'Ethylene recycling rates'!N81</f>
        <v>0</v>
      </c>
      <c r="M143" s="216">
        <f>M$139*'Ethylene recycling rates'!O81</f>
        <v>0</v>
      </c>
      <c r="N143" s="216">
        <f>N$139*'Ethylene recycling rates'!P81</f>
        <v>0</v>
      </c>
      <c r="O143" s="216">
        <f>O$139*'Ethylene recycling rates'!Q81</f>
        <v>0</v>
      </c>
      <c r="P143" s="216">
        <f>P$139*'Ethylene recycling rates'!R81</f>
        <v>0</v>
      </c>
      <c r="Q143" s="216">
        <f>Q$139*'Ethylene recycling rates'!S81</f>
        <v>0</v>
      </c>
      <c r="R143" s="216">
        <f>R$139*'Ethylene recycling rates'!T81</f>
        <v>0</v>
      </c>
      <c r="S143" s="216">
        <f>S$139*'Ethylene recycling rates'!U81</f>
        <v>0</v>
      </c>
      <c r="T143" s="216">
        <f>T$139*'Ethylene recycling rates'!V81</f>
        <v>0</v>
      </c>
      <c r="U143" s="216">
        <f>U$139*'Ethylene recycling rates'!W81</f>
        <v>0</v>
      </c>
      <c r="V143" s="216">
        <f>V$139*'Ethylene recycling rates'!X81</f>
        <v>0</v>
      </c>
      <c r="W143" s="216">
        <f>W$139*'Ethylene recycling rates'!Y81</f>
        <v>0</v>
      </c>
      <c r="X143" s="216">
        <f>X$139*'Ethylene recycling rates'!Z81</f>
        <v>0</v>
      </c>
      <c r="Y143" s="216">
        <f>Y$139*'Ethylene recycling rates'!AA81</f>
        <v>0</v>
      </c>
      <c r="Z143" s="216">
        <f>Z$139*'Ethylene recycling rates'!AB81</f>
        <v>0</v>
      </c>
      <c r="AA143" s="216">
        <f>AA$139*'Ethylene recycling rates'!AC81</f>
        <v>0</v>
      </c>
      <c r="AB143" s="216">
        <f>AB$139*'Ethylene recycling rates'!AD81</f>
        <v>0</v>
      </c>
      <c r="AC143" s="216">
        <f>AC$139*'Ethylene recycling rates'!AE81</f>
        <v>0</v>
      </c>
      <c r="AD143" s="216">
        <f>AD$139*'Ethylene recycling rates'!AF81</f>
        <v>0</v>
      </c>
      <c r="AE143" s="216">
        <f>AE$139*'Ethylene recycling rates'!AG81</f>
        <v>0</v>
      </c>
      <c r="AF143" s="216">
        <f>AF$139*'Ethylene recycling rates'!AH81</f>
        <v>0</v>
      </c>
      <c r="AG143" s="216">
        <f>AG$139*'Ethylene recycling rates'!AI81</f>
        <v>0</v>
      </c>
      <c r="AH143" s="230"/>
      <c r="AI143" s="126"/>
      <c r="AJ143" s="198"/>
      <c r="AL143" s="102"/>
      <c r="AM143" s="2"/>
      <c r="AN143" s="2"/>
      <c r="AO143" s="2"/>
      <c r="BC143" s="1"/>
      <c r="BD143" s="2"/>
      <c r="BE143" s="2"/>
      <c r="BF143" s="2"/>
      <c r="BG143" s="2"/>
      <c r="BH143" s="2"/>
      <c r="BI143" s="2"/>
      <c r="BJ143" s="2"/>
      <c r="BK143" s="2"/>
    </row>
    <row r="144" spans="1:63" outlineLevel="1">
      <c r="A144" s="4" t="s">
        <v>27</v>
      </c>
      <c r="C144" s="216">
        <f>C$139*'Ethylene recycling rates'!E82</f>
        <v>9.9722502768646883</v>
      </c>
      <c r="D144" s="216">
        <f>D$139*'Ethylene recycling rates'!F82</f>
        <v>12.947790460431207</v>
      </c>
      <c r="E144" s="216">
        <f>E$139*'Ethylene recycling rates'!G82</f>
        <v>16.063929820431909</v>
      </c>
      <c r="F144" s="216">
        <f>F$139*'Ethylene recycling rates'!H82</f>
        <v>19.319589865989681</v>
      </c>
      <c r="G144" s="216">
        <f>G$139*'Ethylene recycling rates'!I82</f>
        <v>22.713691915673781</v>
      </c>
      <c r="H144" s="216">
        <f>H$139*'Ethylene recycling rates'!J82</f>
        <v>26.245157097499877</v>
      </c>
      <c r="I144" s="216">
        <f>I$139*'Ethylene recycling rates'!K82</f>
        <v>29.912906348929994</v>
      </c>
      <c r="J144" s="216">
        <f>J$139*'Ethylene recycling rates'!L82</f>
        <v>33.715860416872609</v>
      </c>
      <c r="K144" s="216">
        <f>K$139*'Ethylene recycling rates'!M82</f>
        <v>37.652939857682533</v>
      </c>
      <c r="L144" s="216">
        <f>L$139*'Ethylene recycling rates'!N82</f>
        <v>41.723065037160971</v>
      </c>
      <c r="M144" s="216">
        <f>M$139*'Ethylene recycling rates'!O82</f>
        <v>45.925156130555536</v>
      </c>
      <c r="N144" s="216">
        <f>N$139*'Ethylene recycling rates'!P82</f>
        <v>53.338552043972449</v>
      </c>
      <c r="O144" s="216">
        <f>O$139*'Ethylene recycling rates'!Q82</f>
        <v>61.003885994547431</v>
      </c>
      <c r="P144" s="216">
        <f>P$139*'Ethylene recycling rates'!R82</f>
        <v>68.684508373243375</v>
      </c>
      <c r="Q144" s="216">
        <f>Q$139*'Ethylene recycling rates'!S82</f>
        <v>76.556788819785666</v>
      </c>
      <c r="R144" s="216">
        <f>R$139*'Ethylene recycling rates'!T82</f>
        <v>84.615972055004548</v>
      </c>
      <c r="S144" s="216">
        <f>S$139*'Ethylene recycling rates'!U82</f>
        <v>92.857322166589313</v>
      </c>
      <c r="T144" s="216">
        <f>T$139*'Ethylene recycling rates'!V82</f>
        <v>101.27612297397647</v>
      </c>
      <c r="U144" s="216">
        <f>U$139*'Ethylene recycling rates'!W82</f>
        <v>109.86767838985313</v>
      </c>
      <c r="V144" s="216">
        <f>V$139*'Ethylene recycling rates'!X82</f>
        <v>118.62731277827278</v>
      </c>
      <c r="W144" s="216">
        <f>W$139*'Ethylene recycling rates'!Y82</f>
        <v>127.55037130938375</v>
      </c>
      <c r="X144" s="216">
        <f>X$139*'Ethylene recycling rates'!Z82</f>
        <v>142.41882957161872</v>
      </c>
      <c r="Y144" s="216">
        <f>Y$139*'Ethylene recycling rates'!AA82</f>
        <v>157.58133868221282</v>
      </c>
      <c r="Z144" s="216">
        <f>Z$139*'Ethylene recycling rates'!AB82</f>
        <v>171.60813655177998</v>
      </c>
      <c r="AA144" s="216">
        <f>AA$139*'Ethylene recycling rates'!AC82</f>
        <v>185.63863180660022</v>
      </c>
      <c r="AB144" s="216">
        <f>AB$139*'Ethylene recycling rates'!AD82</f>
        <v>199.6542549032435</v>
      </c>
      <c r="AC144" s="216">
        <f>AC$139*'Ethylene recycling rates'!AE82</f>
        <v>213.63666612107264</v>
      </c>
      <c r="AD144" s="216">
        <f>AD$139*'Ethylene recycling rates'!AF82</f>
        <v>227.56776414935649</v>
      </c>
      <c r="AE144" s="216">
        <f>AE$139*'Ethylene recycling rates'!AG82</f>
        <v>241.42969453780395</v>
      </c>
      <c r="AF144" s="216">
        <f>AF$139*'Ethylene recycling rates'!AH82</f>
        <v>255.20485801047386</v>
      </c>
      <c r="AG144" s="216">
        <f>AG$139*'Ethylene recycling rates'!AI82</f>
        <v>62.89495172936153</v>
      </c>
      <c r="AH144" s="230"/>
      <c r="AI144" s="126"/>
      <c r="AJ144" s="198"/>
      <c r="AL144" s="102"/>
      <c r="AM144" s="2"/>
      <c r="AN144" s="2"/>
      <c r="AO144" s="2"/>
      <c r="BC144" s="1"/>
      <c r="BD144" s="2"/>
      <c r="BE144" s="2"/>
      <c r="BF144" s="2"/>
      <c r="BG144" s="2"/>
      <c r="BH144" s="2"/>
      <c r="BI144" s="2"/>
      <c r="BJ144" s="2"/>
      <c r="BK144" s="2"/>
    </row>
    <row r="145" spans="1:63" s="1" customFormat="1" outlineLevel="1">
      <c r="A145" s="1" t="s">
        <v>830</v>
      </c>
      <c r="B145" s="61"/>
      <c r="C145" s="279">
        <f>C43*C125</f>
        <v>321.35145853796791</v>
      </c>
      <c r="D145" s="279">
        <f t="shared" ref="D145:AG145" si="106">D43*D125</f>
        <v>405.29590176596327</v>
      </c>
      <c r="E145" s="279">
        <f t="shared" si="106"/>
        <v>488.84778807929365</v>
      </c>
      <c r="F145" s="279">
        <f t="shared" si="106"/>
        <v>572.00706537362657</v>
      </c>
      <c r="G145" s="279">
        <f t="shared" si="106"/>
        <v>654.77368154462897</v>
      </c>
      <c r="H145" s="279">
        <f t="shared" si="106"/>
        <v>737.14758448796817</v>
      </c>
      <c r="I145" s="279">
        <f t="shared" si="106"/>
        <v>819.12872209931061</v>
      </c>
      <c r="J145" s="279">
        <f t="shared" si="106"/>
        <v>900.71704227432463</v>
      </c>
      <c r="K145" s="279">
        <f t="shared" si="106"/>
        <v>981.91249290867631</v>
      </c>
      <c r="L145" s="279">
        <f t="shared" si="106"/>
        <v>1062.7150218980332</v>
      </c>
      <c r="M145" s="279">
        <f t="shared" si="106"/>
        <v>1143.124577138062</v>
      </c>
      <c r="N145" s="279">
        <f t="shared" si="106"/>
        <v>1298.109808583195</v>
      </c>
      <c r="O145" s="279">
        <f t="shared" si="106"/>
        <v>1452.3459521572074</v>
      </c>
      <c r="P145" s="279">
        <f t="shared" si="106"/>
        <v>1600.3668843306798</v>
      </c>
      <c r="Q145" s="279">
        <f t="shared" si="106"/>
        <v>1746.585270780989</v>
      </c>
      <c r="R145" s="279">
        <f t="shared" si="106"/>
        <v>1891.0053322212152</v>
      </c>
      <c r="S145" s="279">
        <f t="shared" si="106"/>
        <v>2033.6313754569767</v>
      </c>
      <c r="T145" s="279">
        <f t="shared" si="106"/>
        <v>2174.4677927706798</v>
      </c>
      <c r="U145" s="279">
        <f t="shared" si="106"/>
        <v>2313.5190613056079</v>
      </c>
      <c r="V145" s="279">
        <f t="shared" si="106"/>
        <v>2450.7897424498378</v>
      </c>
      <c r="W145" s="279">
        <f t="shared" si="106"/>
        <v>2586.2844812199992</v>
      </c>
      <c r="X145" s="279">
        <f t="shared" si="106"/>
        <v>2835.2050175886816</v>
      </c>
      <c r="Y145" s="279">
        <f t="shared" si="106"/>
        <v>3080.9753993786667</v>
      </c>
      <c r="Z145" s="279">
        <f t="shared" si="106"/>
        <v>3296.2983145182325</v>
      </c>
      <c r="AA145" s="279">
        <f t="shared" si="106"/>
        <v>3504.2585848474855</v>
      </c>
      <c r="AB145" s="279">
        <f t="shared" si="106"/>
        <v>3704.8863685070082</v>
      </c>
      <c r="AC145" s="279">
        <f t="shared" si="106"/>
        <v>3898.2140046897603</v>
      </c>
      <c r="AD145" s="279">
        <f t="shared" si="106"/>
        <v>4084.2759888116939</v>
      </c>
      <c r="AE145" s="279">
        <f t="shared" si="106"/>
        <v>4263.1089476757861</v>
      </c>
      <c r="AF145" s="279">
        <f t="shared" si="106"/>
        <v>4434.7516146294784</v>
      </c>
      <c r="AG145" s="279">
        <f t="shared" si="106"/>
        <v>1075.8467379451515</v>
      </c>
      <c r="AH145" s="397"/>
      <c r="AI145" s="398"/>
      <c r="AJ145" s="399"/>
      <c r="AL145" s="207"/>
      <c r="AM145" s="118"/>
      <c r="AN145" s="118"/>
      <c r="AO145" s="118"/>
      <c r="BD145" s="118"/>
      <c r="BE145" s="118"/>
      <c r="BF145" s="118"/>
      <c r="BG145" s="118"/>
      <c r="BH145" s="118"/>
      <c r="BI145" s="118"/>
      <c r="BJ145" s="118"/>
      <c r="BK145" s="118"/>
    </row>
    <row r="146" spans="1:63" outlineLevel="1">
      <c r="A146" s="4" t="s">
        <v>141</v>
      </c>
      <c r="C146" s="216">
        <f>C$145*'Ethylene recycling rates'!E83</f>
        <v>259.27850719848192</v>
      </c>
      <c r="D146" s="216">
        <f>D$145*'Ethylene recycling rates'!F83</f>
        <v>325.80077171918128</v>
      </c>
      <c r="E146" s="216">
        <f>E$145*'Ethylene recycling rates'!G83</f>
        <v>391.50854154439116</v>
      </c>
      <c r="F146" s="216">
        <f>F$145*'Ethylene recycling rates'!H83</f>
        <v>456.40528311893252</v>
      </c>
      <c r="G146" s="216">
        <f>G$145*'Ethylene recycling rates'!I83</f>
        <v>520.4944635084546</v>
      </c>
      <c r="H146" s="216">
        <f>H$145*'Ethylene recycling rates'!J83</f>
        <v>583.77955039943595</v>
      </c>
      <c r="I146" s="216">
        <f>I$145*'Ethylene recycling rates'!K83</f>
        <v>646.26401209918299</v>
      </c>
      <c r="J146" s="216">
        <f>J$145*'Ethylene recycling rates'!L83</f>
        <v>707.95131753583269</v>
      </c>
      <c r="K146" s="216">
        <f>K$145*'Ethylene recycling rates'!M83</f>
        <v>768.84493625834898</v>
      </c>
      <c r="L146" s="216">
        <f>L$145*'Ethylene recycling rates'!N83</f>
        <v>828.94833843652577</v>
      </c>
      <c r="M146" s="216">
        <f>M$145*'Ethylene recycling rates'!O83</f>
        <v>888.2649948609851</v>
      </c>
      <c r="N146" s="216">
        <f>N$145*'Ethylene recycling rates'!P83</f>
        <v>1004.8294945731519</v>
      </c>
      <c r="O146" s="216">
        <f>O$145*'Ethylene recycling rates'!Q83</f>
        <v>1119.8930452635527</v>
      </c>
      <c r="P146" s="216">
        <f>P$145*'Ethylene recycling rates'!R83</f>
        <v>1229.2637366348276</v>
      </c>
      <c r="Q146" s="216">
        <f>Q$145*'Ethylene recycling rates'!S83</f>
        <v>1336.3733945130164</v>
      </c>
      <c r="R146" s="216">
        <f>R$145*'Ethylene recycling rates'!T83</f>
        <v>1441.2413438876997</v>
      </c>
      <c r="S146" s="216">
        <f>S$145*'Ethylene recycling rates'!U83</f>
        <v>1543.8869248177077</v>
      </c>
      <c r="T146" s="216">
        <f>T$145*'Ethylene recycling rates'!V83</f>
        <v>1644.3294906832371</v>
      </c>
      <c r="U146" s="216">
        <f>U$145*'Ethylene recycling rates'!W83</f>
        <v>1742.588406448853</v>
      </c>
      <c r="V146" s="216">
        <f>V$145*'Ethylene recycling rates'!X83</f>
        <v>1838.6830469373706</v>
      </c>
      <c r="W146" s="216">
        <f>W$145*'Ethylene recycling rates'!Y83</f>
        <v>1932.6327951146284</v>
      </c>
      <c r="X146" s="216">
        <f>X$145*'Ethylene recycling rates'!Z83</f>
        <v>2110.196274011304</v>
      </c>
      <c r="Y146" s="216">
        <f>Y$145*'Ethylene recycling rates'!AA83</f>
        <v>2283.9415707715611</v>
      </c>
      <c r="Z146" s="216">
        <f>Z$145*'Ethylene recycling rates'!AB83</f>
        <v>2433.7425228657994</v>
      </c>
      <c r="AA146" s="216">
        <f>AA$145*'Ethylene recycling rates'!AC83</f>
        <v>2576.8465770057464</v>
      </c>
      <c r="AB146" s="216">
        <f>AB$145*'Ethylene recycling rates'!AD83</f>
        <v>2713.3416150987823</v>
      </c>
      <c r="AC146" s="216">
        <f>AC$145*'Ethylene recycling rates'!AE83</f>
        <v>2843.3167505516594</v>
      </c>
      <c r="AD146" s="216">
        <f>AD$145*'Ethylene recycling rates'!AF83</f>
        <v>2966.8622777498244</v>
      </c>
      <c r="AE146" s="216">
        <f>AE$145*'Ethylene recycling rates'!AG83</f>
        <v>3084.0696219757424</v>
      </c>
      <c r="AF146" s="216">
        <f>AF$145*'Ethylene recycling rates'!AH83</f>
        <v>3195.031289766353</v>
      </c>
      <c r="AG146" s="216">
        <f>AG$145*'Ethylene recycling rates'!AI83</f>
        <v>771.89258940580066</v>
      </c>
      <c r="AH146" s="230"/>
      <c r="AI146" s="126"/>
      <c r="AJ146" s="198"/>
      <c r="AL146" s="102"/>
      <c r="AM146" s="2"/>
      <c r="AN146" s="2"/>
      <c r="AO146" s="2"/>
      <c r="BC146" s="1"/>
      <c r="BD146" s="2"/>
      <c r="BE146" s="2"/>
      <c r="BF146" s="2"/>
      <c r="BG146" s="2"/>
      <c r="BH146" s="2"/>
      <c r="BI146" s="2"/>
      <c r="BJ146" s="2"/>
      <c r="BK146" s="2"/>
    </row>
    <row r="147" spans="1:63" outlineLevel="1">
      <c r="A147" s="4" t="s">
        <v>74</v>
      </c>
      <c r="C147" s="216">
        <f>C$145*'Ethylene recycling rates'!E84</f>
        <v>32.156200508891899</v>
      </c>
      <c r="D147" s="216">
        <f>D$145*'Ethylene recycling rates'!F84</f>
        <v>39.204273302038494</v>
      </c>
      <c r="E147" s="216">
        <f>E$145*'Ethylene recycling rates'!G84</f>
        <v>45.655687158754681</v>
      </c>
      <c r="F147" s="216">
        <f>F$145*'Ethylene recycling rates'!H84</f>
        <v>51.514365527721914</v>
      </c>
      <c r="G147" s="216">
        <f>G$145*'Ethylene recycling rates'!I84</f>
        <v>56.784232552801214</v>
      </c>
      <c r="H147" s="216">
        <f>H$145*'Ethylene recycling rates'!J84</f>
        <v>61.469213073033245</v>
      </c>
      <c r="I147" s="216">
        <f>I$145*'Ethylene recycling rates'!K84</f>
        <v>65.573232622638216</v>
      </c>
      <c r="J147" s="216">
        <f>J$145*'Ethylene recycling rates'!L84</f>
        <v>69.100217431016119</v>
      </c>
      <c r="K147" s="216">
        <f>K$145*'Ethylene recycling rates'!M84</f>
        <v>72.05409442274636</v>
      </c>
      <c r="L147" s="216">
        <f>L$145*'Ethylene recycling rates'!N84</f>
        <v>74.43879121758809</v>
      </c>
      <c r="M147" s="216">
        <f>M$145*'Ethylene recycling rates'!O84</f>
        <v>76.25823613048</v>
      </c>
      <c r="N147" s="216">
        <f>N$145*'Ethylene recycling rates'!P84</f>
        <v>82.267486826643548</v>
      </c>
      <c r="O147" s="216">
        <f>O$145*'Ethylene recycling rates'!Q84</f>
        <v>87.197850960418364</v>
      </c>
      <c r="P147" s="216">
        <f>P$145*'Ethylene recycling rates'!R84</f>
        <v>90.746874375055455</v>
      </c>
      <c r="Q147" s="216">
        <f>Q$145*'Ethylene recycling rates'!S84</f>
        <v>93.212246269567274</v>
      </c>
      <c r="R147" s="216">
        <f>R$145*'Ethylene recycling rates'!T84</f>
        <v>94.612215085223639</v>
      </c>
      <c r="S147" s="216">
        <f>S$145*'Ethylene recycling rates'!U84</f>
        <v>94.964976970532405</v>
      </c>
      <c r="T147" s="216">
        <f>T$145*'Ethylene recycling rates'!V84</f>
        <v>94.288674318723793</v>
      </c>
      <c r="U147" s="216">
        <f>U$145*'Ethylene recycling rates'!W84</f>
        <v>92.601394317551225</v>
      </c>
      <c r="V147" s="216">
        <f>V$145*'Ethylene recycling rates'!X84</f>
        <v>89.921167511412179</v>
      </c>
      <c r="W147" s="216">
        <f>W$145*'Ethylene recycling rates'!Y84</f>
        <v>86.265966375793596</v>
      </c>
      <c r="X147" s="216">
        <f>X$145*'Ethylene recycling rates'!Z84</f>
        <v>85.111878543373308</v>
      </c>
      <c r="Y147" s="216">
        <f>Y$145*'Ethylene recycling rates'!AA84</f>
        <v>82.213174037860597</v>
      </c>
      <c r="Z147" s="216">
        <f>Z$145*'Ethylene recycling rates'!AB84</f>
        <v>76.964020447384939</v>
      </c>
      <c r="AA147" s="216">
        <f>AA$145*'Ethylene recycling rates'!AC84</f>
        <v>70.131090863586493</v>
      </c>
      <c r="AB147" s="216">
        <f>AB$145*'Ethylene recycling rates'!AD84</f>
        <v>61.78856293894578</v>
      </c>
      <c r="AC147" s="216">
        <f>AC$145*'Ethylene recycling rates'!AE84</f>
        <v>52.010241053696149</v>
      </c>
      <c r="AD147" s="216">
        <f>AD$145*'Ethylene recycling rates'!AF84</f>
        <v>40.869519692677514</v>
      </c>
      <c r="AE147" s="216">
        <f>AE$145*'Ethylene recycling rates'!AG84</f>
        <v>28.439347319059276</v>
      </c>
      <c r="AF147" s="216">
        <f>AF$145*'Ethylene recycling rates'!AH84</f>
        <v>14.792190745086002</v>
      </c>
      <c r="AG147" s="216">
        <f>AG$145*'Ethylene recycling rates'!AI84</f>
        <v>0</v>
      </c>
      <c r="AH147" s="230"/>
      <c r="AI147" s="126"/>
      <c r="AJ147" s="198"/>
      <c r="AL147" s="102"/>
      <c r="AM147" s="2"/>
      <c r="AN147" s="2"/>
      <c r="AO147" s="2"/>
      <c r="BC147" s="1"/>
      <c r="BD147" s="2"/>
      <c r="BE147" s="2"/>
      <c r="BF147" s="2"/>
      <c r="BG147" s="2"/>
      <c r="BH147" s="2"/>
      <c r="BI147" s="2"/>
      <c r="BJ147" s="2"/>
      <c r="BK147" s="2"/>
    </row>
    <row r="148" spans="1:63" outlineLevel="1">
      <c r="A148" s="4" t="s">
        <v>34</v>
      </c>
      <c r="C148" s="216">
        <f>C$145*'Ethylene recycling rates'!E85</f>
        <v>0</v>
      </c>
      <c r="D148" s="216">
        <f>D$145*'Ethylene recycling rates'!F85</f>
        <v>1.4474853634498692</v>
      </c>
      <c r="E148" s="216">
        <f>E$145*'Ethylene recycling rates'!G85</f>
        <v>3.4917699148520986</v>
      </c>
      <c r="F148" s="216">
        <f>F$145*'Ethylene recycling rates'!H85</f>
        <v>6.1286471290031441</v>
      </c>
      <c r="G148" s="216">
        <f>G$145*'Ethylene recycling rates'!I85</f>
        <v>9.3539097363518451</v>
      </c>
      <c r="H148" s="216">
        <f>H$145*'Ethylene recycling rates'!J85</f>
        <v>13.163349722999437</v>
      </c>
      <c r="I148" s="216">
        <f>I$145*'Ethylene recycling rates'!K85</f>
        <v>17.552758330699518</v>
      </c>
      <c r="J148" s="216">
        <f>J$145*'Ethylene recycling rates'!L85</f>
        <v>22.517926056858123</v>
      </c>
      <c r="K148" s="216">
        <f>K$145*'Ethylene recycling rates'!M85</f>
        <v>28.05464265453362</v>
      </c>
      <c r="L148" s="216">
        <f>L$145*'Ethylene recycling rates'!N85</f>
        <v>34.158697132436792</v>
      </c>
      <c r="M148" s="216">
        <f>M$145*'Ethylene recycling rates'!O85</f>
        <v>40.825877754930801</v>
      </c>
      <c r="N148" s="216">
        <f>N$145*'Ethylene recycling rates'!P85</f>
        <v>50.997171051482674</v>
      </c>
      <c r="O148" s="216">
        <f>O$145*'Ethylene recycling rates'!Q85</f>
        <v>62.243397949594623</v>
      </c>
      <c r="P148" s="216">
        <f>P$145*'Ethylene recycling rates'!R85</f>
        <v>74.302748201067303</v>
      </c>
      <c r="Q148" s="216">
        <f>Q$145*'Ethylene recycling rates'!S85</f>
        <v>87.329263539049478</v>
      </c>
      <c r="R148" s="216">
        <f>R$145*'Ethylene recycling rates'!T85</f>
        <v>101.30385708327942</v>
      </c>
      <c r="S148" s="216">
        <f>S$145*'Ethylene recycling rates'!U85</f>
        <v>116.20750716897014</v>
      </c>
      <c r="T148" s="216">
        <f>T$145*'Ethylene recycling rates'!V85</f>
        <v>132.02125884679131</v>
      </c>
      <c r="U148" s="216">
        <f>U$145*'Ethylene recycling rates'!W85</f>
        <v>148.72622536964627</v>
      </c>
      <c r="V148" s="216">
        <f>V$145*'Ethylene recycling rates'!X85</f>
        <v>166.30358966623905</v>
      </c>
      <c r="W148" s="216">
        <f>W$145*'Ethylene recycling rates'!Y85</f>
        <v>184.73460580142859</v>
      </c>
      <c r="X148" s="216">
        <f>X$145*'Ethylene recycling rates'!Z85</f>
        <v>212.64037631915119</v>
      </c>
      <c r="Y148" s="216">
        <f>Y$145*'Ethylene recycling rates'!AA85</f>
        <v>242.07663852260961</v>
      </c>
      <c r="Z148" s="216">
        <f>Z$145*'Ethylene recycling rates'!AB85</f>
        <v>270.76736154971206</v>
      </c>
      <c r="AA148" s="216">
        <f>AA$145*'Ethylene recycling rates'!AC85</f>
        <v>300.36502155835598</v>
      </c>
      <c r="AB148" s="216">
        <f>AB$145*'Ethylene recycling rates'!AD85</f>
        <v>330.7934257595544</v>
      </c>
      <c r="AC148" s="216">
        <f>AC$145*'Ethylene recycling rates'!AE85</f>
        <v>361.97701472119212</v>
      </c>
      <c r="AD148" s="216">
        <f>AD$145*'Ethylene recycling rates'!AF85</f>
        <v>393.84089892112775</v>
      </c>
      <c r="AE148" s="216">
        <f>AE$145*'Ethylene recycling rates'!AG85</f>
        <v>426.31089476757876</v>
      </c>
      <c r="AF148" s="216">
        <f>AF$145*'Ethylene recycling rates'!AH85</f>
        <v>459.3135600866247</v>
      </c>
      <c r="AG148" s="216">
        <f>AG$145*'Ethylene recycling rates'!AI85</f>
        <v>115.26929335126627</v>
      </c>
      <c r="AH148" s="230"/>
      <c r="AI148" s="126"/>
      <c r="AJ148" s="198"/>
      <c r="AL148" s="102"/>
      <c r="AM148" s="2"/>
      <c r="AN148" s="2"/>
      <c r="AO148" s="2"/>
      <c r="BC148" s="1"/>
      <c r="BD148" s="2"/>
      <c r="BE148" s="2"/>
      <c r="BF148" s="2"/>
      <c r="BG148" s="2"/>
      <c r="BH148" s="2"/>
      <c r="BI148" s="2"/>
      <c r="BJ148" s="2"/>
      <c r="BK148" s="2"/>
    </row>
    <row r="149" spans="1:63" outlineLevel="1">
      <c r="A149" s="4" t="s">
        <v>35</v>
      </c>
      <c r="C149" s="216">
        <f>C$145*'Ethylene recycling rates'!E86</f>
        <v>0</v>
      </c>
      <c r="D149" s="216">
        <f>D$145*'Ethylene recycling rates'!F86</f>
        <v>0</v>
      </c>
      <c r="E149" s="216">
        <f>E$145*'Ethylene recycling rates'!G86</f>
        <v>0</v>
      </c>
      <c r="F149" s="216">
        <f>F$145*'Ethylene recycling rates'!H86</f>
        <v>0</v>
      </c>
      <c r="G149" s="216">
        <f>G$145*'Ethylene recycling rates'!I86</f>
        <v>0</v>
      </c>
      <c r="H149" s="216">
        <f>H$145*'Ethylene recycling rates'!J86</f>
        <v>0</v>
      </c>
      <c r="I149" s="216">
        <f>I$145*'Ethylene recycling rates'!K86</f>
        <v>0</v>
      </c>
      <c r="J149" s="216">
        <f>J$145*'Ethylene recycling rates'!L86</f>
        <v>0</v>
      </c>
      <c r="K149" s="216">
        <f>K$145*'Ethylene recycling rates'!M86</f>
        <v>0</v>
      </c>
      <c r="L149" s="216">
        <f>L$145*'Ethylene recycling rates'!N86</f>
        <v>0</v>
      </c>
      <c r="M149" s="216">
        <f>M$145*'Ethylene recycling rates'!O86</f>
        <v>0</v>
      </c>
      <c r="N149" s="216">
        <f>N$145*'Ethylene recycling rates'!P86</f>
        <v>0</v>
      </c>
      <c r="O149" s="216">
        <f>O$145*'Ethylene recycling rates'!Q86</f>
        <v>0</v>
      </c>
      <c r="P149" s="216">
        <f>P$145*'Ethylene recycling rates'!R86</f>
        <v>0</v>
      </c>
      <c r="Q149" s="216">
        <f>Q$145*'Ethylene recycling rates'!S86</f>
        <v>0</v>
      </c>
      <c r="R149" s="216">
        <f>R$145*'Ethylene recycling rates'!T86</f>
        <v>0</v>
      </c>
      <c r="S149" s="216">
        <f>S$145*'Ethylene recycling rates'!U86</f>
        <v>0</v>
      </c>
      <c r="T149" s="216">
        <f>T$145*'Ethylene recycling rates'!V86</f>
        <v>0</v>
      </c>
      <c r="U149" s="216">
        <f>U$145*'Ethylene recycling rates'!W86</f>
        <v>0</v>
      </c>
      <c r="V149" s="216">
        <f>V$145*'Ethylene recycling rates'!X86</f>
        <v>0</v>
      </c>
      <c r="W149" s="216">
        <f>W$145*'Ethylene recycling rates'!Y86</f>
        <v>0</v>
      </c>
      <c r="X149" s="216">
        <f>X$145*'Ethylene recycling rates'!Z86</f>
        <v>0</v>
      </c>
      <c r="Y149" s="216">
        <f>Y$145*'Ethylene recycling rates'!AA86</f>
        <v>0</v>
      </c>
      <c r="Z149" s="216">
        <f>Z$145*'Ethylene recycling rates'!AB86</f>
        <v>0</v>
      </c>
      <c r="AA149" s="216">
        <f>AA$145*'Ethylene recycling rates'!AC86</f>
        <v>0</v>
      </c>
      <c r="AB149" s="216">
        <f>AB$145*'Ethylene recycling rates'!AD86</f>
        <v>0</v>
      </c>
      <c r="AC149" s="216">
        <f>AC$145*'Ethylene recycling rates'!AE86</f>
        <v>0</v>
      </c>
      <c r="AD149" s="216">
        <f>AD$145*'Ethylene recycling rates'!AF86</f>
        <v>0</v>
      </c>
      <c r="AE149" s="216">
        <f>AE$145*'Ethylene recycling rates'!AG86</f>
        <v>0</v>
      </c>
      <c r="AF149" s="216">
        <f>AF$145*'Ethylene recycling rates'!AH86</f>
        <v>0</v>
      </c>
      <c r="AG149" s="216">
        <f>AG$145*'Ethylene recycling rates'!AI86</f>
        <v>0</v>
      </c>
      <c r="AH149" s="230"/>
      <c r="AI149" s="126"/>
      <c r="AJ149" s="198"/>
      <c r="AL149" s="102"/>
      <c r="AM149" s="2"/>
      <c r="AN149" s="2"/>
      <c r="AO149" s="2"/>
      <c r="BC149" s="1"/>
      <c r="BD149" s="2"/>
      <c r="BE149" s="2"/>
      <c r="BF149" s="2"/>
      <c r="BG149" s="2"/>
      <c r="BH149" s="2"/>
      <c r="BI149" s="2"/>
      <c r="BJ149" s="2"/>
      <c r="BK149" s="2"/>
    </row>
    <row r="150" spans="1:63" outlineLevel="1">
      <c r="A150" s="4" t="s">
        <v>27</v>
      </c>
      <c r="C150" s="216">
        <f>C$145*'Ethylene recycling rates'!E87</f>
        <v>29.916750830594065</v>
      </c>
      <c r="D150" s="216">
        <f>D$145*'Ethylene recycling rates'!F87</f>
        <v>38.843371381293629</v>
      </c>
      <c r="E150" s="216">
        <f>E$145*'Ethylene recycling rates'!G87</f>
        <v>48.191789461295727</v>
      </c>
      <c r="F150" s="216">
        <f>F$145*'Ethylene recycling rates'!H87</f>
        <v>57.958769597969038</v>
      </c>
      <c r="G150" s="216">
        <f>G$145*'Ethylene recycling rates'!I87</f>
        <v>68.141075747021347</v>
      </c>
      <c r="H150" s="216">
        <f>H$145*'Ethylene recycling rates'!J87</f>
        <v>78.735471292499639</v>
      </c>
      <c r="I150" s="216">
        <f>I$145*'Ethylene recycling rates'!K87</f>
        <v>89.738719046789996</v>
      </c>
      <c r="J150" s="216">
        <f>J$145*'Ethylene recycling rates'!L87</f>
        <v>101.14758125061786</v>
      </c>
      <c r="K150" s="216">
        <f>K$145*'Ethylene recycling rates'!M87</f>
        <v>112.95881957304761</v>
      </c>
      <c r="L150" s="216">
        <f>L$145*'Ethylene recycling rates'!N87</f>
        <v>125.16919511148292</v>
      </c>
      <c r="M150" s="216">
        <f>M$145*'Ethylene recycling rates'!O87</f>
        <v>137.77546839166661</v>
      </c>
      <c r="N150" s="216">
        <f>N$145*'Ethylene recycling rates'!P87</f>
        <v>160.01565613191735</v>
      </c>
      <c r="O150" s="216">
        <f>O$145*'Ethylene recycling rates'!Q87</f>
        <v>183.01165798364229</v>
      </c>
      <c r="P150" s="216">
        <f>P$145*'Ethylene recycling rates'!R87</f>
        <v>206.05352511973018</v>
      </c>
      <c r="Q150" s="216">
        <f>Q$145*'Ethylene recycling rates'!S87</f>
        <v>229.67036645935696</v>
      </c>
      <c r="R150" s="216">
        <f>R$145*'Ethylene recycling rates'!T87</f>
        <v>253.84791616501366</v>
      </c>
      <c r="S150" s="216">
        <f>S$145*'Ethylene recycling rates'!U87</f>
        <v>278.57196649976788</v>
      </c>
      <c r="T150" s="216">
        <f>T$145*'Ethylene recycling rates'!V87</f>
        <v>303.82836892192944</v>
      </c>
      <c r="U150" s="216">
        <f>U$145*'Ethylene recycling rates'!W87</f>
        <v>329.60303516955946</v>
      </c>
      <c r="V150" s="216">
        <f>V$145*'Ethylene recycling rates'!X87</f>
        <v>355.8819383348183</v>
      </c>
      <c r="W150" s="216">
        <f>W$145*'Ethylene recycling rates'!Y87</f>
        <v>382.65111392815123</v>
      </c>
      <c r="X150" s="216">
        <f>X$145*'Ethylene recycling rates'!Z87</f>
        <v>427.25648871485618</v>
      </c>
      <c r="Y150" s="216">
        <f>Y$145*'Ethylene recycling rates'!AA87</f>
        <v>472.74401604663854</v>
      </c>
      <c r="Z150" s="216">
        <f>Z$145*'Ethylene recycling rates'!AB87</f>
        <v>514.82440965533988</v>
      </c>
      <c r="AA150" s="216">
        <f>AA$145*'Ethylene recycling rates'!AC87</f>
        <v>556.91589541980068</v>
      </c>
      <c r="AB150" s="216">
        <f>AB$145*'Ethylene recycling rates'!AD87</f>
        <v>598.96276470973055</v>
      </c>
      <c r="AC150" s="216">
        <f>AC$145*'Ethylene recycling rates'!AE87</f>
        <v>640.90999836321782</v>
      </c>
      <c r="AD150" s="216">
        <f>AD$145*'Ethylene recycling rates'!AF87</f>
        <v>682.70329244806953</v>
      </c>
      <c r="AE150" s="216">
        <f>AE$145*'Ethylene recycling rates'!AG87</f>
        <v>724.28908361341189</v>
      </c>
      <c r="AF150" s="216">
        <f>AF$145*'Ethylene recycling rates'!AH87</f>
        <v>765.61457403142151</v>
      </c>
      <c r="AG150" s="216">
        <f>AG$145*'Ethylene recycling rates'!AI87</f>
        <v>188.68485518808464</v>
      </c>
      <c r="AH150" s="230"/>
      <c r="AI150" s="126"/>
      <c r="AJ150" s="198"/>
      <c r="AL150" s="102"/>
      <c r="AM150" s="2"/>
      <c r="AN150" s="2"/>
      <c r="AO150" s="2"/>
      <c r="BC150" s="1"/>
      <c r="BD150" s="2"/>
      <c r="BE150" s="2"/>
      <c r="BF150" s="2"/>
      <c r="BG150" s="2"/>
      <c r="BH150" s="2"/>
      <c r="BI150" s="2"/>
      <c r="BJ150" s="2"/>
      <c r="BK150" s="2"/>
    </row>
    <row r="151" spans="1:63" outlineLevel="1">
      <c r="C151" s="104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J151" s="198"/>
      <c r="AM151" s="117"/>
      <c r="AN151" s="117"/>
    </row>
    <row r="152" spans="1:63" s="187" customFormat="1" ht="15.5" thickBot="1">
      <c r="A152" s="187" t="s">
        <v>447</v>
      </c>
      <c r="B152" s="202"/>
      <c r="C152" s="210">
        <f>C153</f>
        <v>0.13</v>
      </c>
      <c r="D152" s="210">
        <f t="shared" ref="D152:AG152" si="107">D153</f>
        <v>0.1358875810411028</v>
      </c>
      <c r="E152" s="210">
        <f t="shared" si="107"/>
        <v>0.14177516208220559</v>
      </c>
      <c r="F152" s="210">
        <f t="shared" si="107"/>
        <v>0.14766274312330838</v>
      </c>
      <c r="G152" s="210">
        <f t="shared" si="107"/>
        <v>0.15355032416441117</v>
      </c>
      <c r="H152" s="210">
        <f t="shared" si="107"/>
        <v>0.15943790520551393</v>
      </c>
      <c r="I152" s="210">
        <f t="shared" si="107"/>
        <v>0.16532548624661675</v>
      </c>
      <c r="J152" s="210">
        <f t="shared" si="107"/>
        <v>0.17121306728771951</v>
      </c>
      <c r="K152" s="210">
        <f t="shared" si="107"/>
        <v>0.1771006483288223</v>
      </c>
      <c r="L152" s="210">
        <f t="shared" si="107"/>
        <v>0.18298822936992509</v>
      </c>
      <c r="M152" s="210">
        <f t="shared" si="107"/>
        <v>0.18887581041102788</v>
      </c>
      <c r="N152" s="210">
        <f t="shared" si="107"/>
        <v>0.20009901177063008</v>
      </c>
      <c r="O152" s="210">
        <f t="shared" si="107"/>
        <v>0.21132221313023225</v>
      </c>
      <c r="P152" s="210">
        <f t="shared" si="107"/>
        <v>0.22254541448983445</v>
      </c>
      <c r="Q152" s="210">
        <f t="shared" si="107"/>
        <v>0.23376861584943665</v>
      </c>
      <c r="R152" s="210">
        <f t="shared" si="107"/>
        <v>0.24499181720903884</v>
      </c>
      <c r="S152" s="210">
        <f t="shared" si="107"/>
        <v>0.25621501856864104</v>
      </c>
      <c r="T152" s="210">
        <f t="shared" si="107"/>
        <v>0.26743821992824324</v>
      </c>
      <c r="U152" s="210">
        <f t="shared" si="107"/>
        <v>0.27866142128784538</v>
      </c>
      <c r="V152" s="210">
        <f t="shared" si="107"/>
        <v>0.28988462264744758</v>
      </c>
      <c r="W152" s="210">
        <f t="shared" si="107"/>
        <v>0.30110782400704977</v>
      </c>
      <c r="X152" s="210">
        <f t="shared" si="107"/>
        <v>0.32099704160634479</v>
      </c>
      <c r="Y152" s="210">
        <f t="shared" si="107"/>
        <v>0.34088625920563981</v>
      </c>
      <c r="Z152" s="210">
        <f t="shared" si="107"/>
        <v>0.36077547680493482</v>
      </c>
      <c r="AA152" s="210">
        <f t="shared" si="107"/>
        <v>0.3806646944042299</v>
      </c>
      <c r="AB152" s="210">
        <f t="shared" si="107"/>
        <v>0.40055391200352486</v>
      </c>
      <c r="AC152" s="210">
        <f t="shared" si="107"/>
        <v>0.42044312960281993</v>
      </c>
      <c r="AD152" s="210">
        <f t="shared" si="107"/>
        <v>0.44033234720211495</v>
      </c>
      <c r="AE152" s="210">
        <f t="shared" si="107"/>
        <v>0.46022156480140997</v>
      </c>
      <c r="AF152" s="210">
        <f t="shared" si="107"/>
        <v>0.48011078240070498</v>
      </c>
      <c r="AG152" s="210">
        <f t="shared" si="107"/>
        <v>0.5</v>
      </c>
      <c r="AJ152" s="217" t="s">
        <v>471</v>
      </c>
      <c r="AL152" s="204"/>
      <c r="AM152" s="211"/>
      <c r="AN152" s="211"/>
      <c r="AO152" s="211"/>
    </row>
    <row r="153" spans="1:63" ht="15.5" outlineLevel="1" thickTop="1">
      <c r="A153" t="s">
        <v>448</v>
      </c>
      <c r="B153" s="51" t="s">
        <v>126</v>
      </c>
      <c r="C153" s="201">
        <v>0.13</v>
      </c>
      <c r="D153" s="104">
        <f>$C153+($M153-$C153)/10*(D$1-$C$1)</f>
        <v>0.1358875810411028</v>
      </c>
      <c r="E153" s="104">
        <f t="shared" ref="E153:L153" si="108">$C153+($M153-$C153)/10*(E$1-$C$1)</f>
        <v>0.14177516208220559</v>
      </c>
      <c r="F153" s="104">
        <f t="shared" si="108"/>
        <v>0.14766274312330838</v>
      </c>
      <c r="G153" s="104">
        <f t="shared" si="108"/>
        <v>0.15355032416441117</v>
      </c>
      <c r="H153" s="104">
        <f t="shared" si="108"/>
        <v>0.15943790520551393</v>
      </c>
      <c r="I153" s="104">
        <f t="shared" si="108"/>
        <v>0.16532548624661675</v>
      </c>
      <c r="J153" s="104">
        <f t="shared" si="108"/>
        <v>0.17121306728771951</v>
      </c>
      <c r="K153" s="104">
        <f t="shared" si="108"/>
        <v>0.1771006483288223</v>
      </c>
      <c r="L153" s="104">
        <f t="shared" si="108"/>
        <v>0.18298822936992509</v>
      </c>
      <c r="M153" s="115">
        <f>(M$50-$C$50)/($AG$50-$C$50)*($AG153-$C153)+$C153</f>
        <v>0.18887581041102788</v>
      </c>
      <c r="N153" s="115">
        <f>$M153+($W153-$M153)/10*(N$1-$M$1)</f>
        <v>0.20009901177063008</v>
      </c>
      <c r="O153" s="115">
        <f t="shared" ref="O153:U153" si="109">$M153+($W153-$M153)/10*(O$1-$M$1)</f>
        <v>0.21132221313023225</v>
      </c>
      <c r="P153" s="115">
        <f t="shared" si="109"/>
        <v>0.22254541448983445</v>
      </c>
      <c r="Q153" s="115">
        <f t="shared" si="109"/>
        <v>0.23376861584943665</v>
      </c>
      <c r="R153" s="115">
        <f t="shared" si="109"/>
        <v>0.24499181720903884</v>
      </c>
      <c r="S153" s="115">
        <f t="shared" si="109"/>
        <v>0.25621501856864104</v>
      </c>
      <c r="T153" s="115">
        <f t="shared" si="109"/>
        <v>0.26743821992824324</v>
      </c>
      <c r="U153" s="115">
        <f t="shared" si="109"/>
        <v>0.27866142128784538</v>
      </c>
      <c r="V153" s="115">
        <f>$M153+($W153-$M153)/10*(V$1-$M$1)</f>
        <v>0.28988462264744758</v>
      </c>
      <c r="W153" s="115">
        <f>(W$50-$C$50)/($AG$50-$C$50)*($AG153-$C153)+$C153</f>
        <v>0.30110782400704977</v>
      </c>
      <c r="X153" s="104">
        <f>$W153+($AG153-$W153)/10*(X$1-$W$1)</f>
        <v>0.32099704160634479</v>
      </c>
      <c r="Y153" s="104">
        <f t="shared" ref="Y153:AF153" si="110">$W153+($AG153-$W153)/10*(Y$1-$W$1)</f>
        <v>0.34088625920563981</v>
      </c>
      <c r="Z153" s="104">
        <f t="shared" si="110"/>
        <v>0.36077547680493482</v>
      </c>
      <c r="AA153" s="104">
        <f t="shared" si="110"/>
        <v>0.3806646944042299</v>
      </c>
      <c r="AB153" s="104">
        <f t="shared" si="110"/>
        <v>0.40055391200352486</v>
      </c>
      <c r="AC153" s="104">
        <f t="shared" si="110"/>
        <v>0.42044312960281993</v>
      </c>
      <c r="AD153" s="104">
        <f t="shared" si="110"/>
        <v>0.44033234720211495</v>
      </c>
      <c r="AE153" s="104">
        <f t="shared" si="110"/>
        <v>0.46022156480140997</v>
      </c>
      <c r="AF153" s="104">
        <f t="shared" si="110"/>
        <v>0.48011078240070498</v>
      </c>
      <c r="AG153" s="201">
        <v>0.5</v>
      </c>
      <c r="AJ153" s="198" t="s">
        <v>453</v>
      </c>
    </row>
    <row r="154" spans="1:63" outlineLevel="1">
      <c r="A154" t="s">
        <v>449</v>
      </c>
      <c r="B154" s="51" t="s">
        <v>126</v>
      </c>
      <c r="C154" s="201">
        <v>0.05</v>
      </c>
      <c r="D154" s="104">
        <f t="shared" ref="D154:AF154" si="111">C154-($C$157-$AG$157)/($AG$1-$C$1)</f>
        <v>5.7550000000000004E-2</v>
      </c>
      <c r="E154" s="104">
        <f t="shared" si="111"/>
        <v>6.5100000000000005E-2</v>
      </c>
      <c r="F154" s="104">
        <f t="shared" si="111"/>
        <v>7.2650000000000006E-2</v>
      </c>
      <c r="G154" s="104">
        <f t="shared" si="111"/>
        <v>8.0200000000000007E-2</v>
      </c>
      <c r="H154" s="104">
        <f t="shared" si="111"/>
        <v>8.7750000000000009E-2</v>
      </c>
      <c r="I154" s="104">
        <f t="shared" si="111"/>
        <v>9.530000000000001E-2</v>
      </c>
      <c r="J154" s="104">
        <f t="shared" si="111"/>
        <v>0.10285000000000001</v>
      </c>
      <c r="K154" s="104">
        <f t="shared" si="111"/>
        <v>0.11040000000000001</v>
      </c>
      <c r="L154" s="104">
        <f t="shared" si="111"/>
        <v>0.11795000000000001</v>
      </c>
      <c r="M154" s="104">
        <f t="shared" si="111"/>
        <v>0.1255</v>
      </c>
      <c r="N154" s="104">
        <f t="shared" si="111"/>
        <v>0.13305</v>
      </c>
      <c r="O154" s="104">
        <f t="shared" si="111"/>
        <v>0.1406</v>
      </c>
      <c r="P154" s="104">
        <f t="shared" si="111"/>
        <v>0.14815</v>
      </c>
      <c r="Q154" s="104">
        <f t="shared" si="111"/>
        <v>0.15570000000000001</v>
      </c>
      <c r="R154" s="104">
        <f t="shared" si="111"/>
        <v>0.16325000000000001</v>
      </c>
      <c r="S154" s="104">
        <f t="shared" si="111"/>
        <v>0.17080000000000001</v>
      </c>
      <c r="T154" s="104">
        <f t="shared" si="111"/>
        <v>0.17835000000000001</v>
      </c>
      <c r="U154" s="104">
        <f t="shared" si="111"/>
        <v>0.18590000000000001</v>
      </c>
      <c r="V154" s="104">
        <f t="shared" si="111"/>
        <v>0.19345000000000001</v>
      </c>
      <c r="W154" s="104">
        <f t="shared" si="111"/>
        <v>0.20100000000000001</v>
      </c>
      <c r="X154" s="104">
        <f t="shared" si="111"/>
        <v>0.20855000000000001</v>
      </c>
      <c r="Y154" s="104">
        <f t="shared" si="111"/>
        <v>0.21610000000000001</v>
      </c>
      <c r="Z154" s="104">
        <f t="shared" si="111"/>
        <v>0.22365000000000002</v>
      </c>
      <c r="AA154" s="104">
        <f t="shared" si="111"/>
        <v>0.23120000000000002</v>
      </c>
      <c r="AB154" s="104">
        <f t="shared" si="111"/>
        <v>0.23875000000000002</v>
      </c>
      <c r="AC154" s="104">
        <f t="shared" si="111"/>
        <v>0.24630000000000002</v>
      </c>
      <c r="AD154" s="104">
        <f t="shared" si="111"/>
        <v>0.25385000000000002</v>
      </c>
      <c r="AE154" s="104">
        <f t="shared" si="111"/>
        <v>0.26140000000000002</v>
      </c>
      <c r="AF154" s="104">
        <f t="shared" si="111"/>
        <v>0.26895000000000002</v>
      </c>
      <c r="AG154" s="201">
        <v>0.3</v>
      </c>
      <c r="AI154" s="128"/>
      <c r="AJ154" s="198" t="s">
        <v>645</v>
      </c>
      <c r="AM154" s="117"/>
      <c r="AN154" s="117"/>
    </row>
    <row r="155" spans="1:63" ht="14.5" customHeight="1" outlineLevel="1">
      <c r="A155" t="s">
        <v>450</v>
      </c>
      <c r="B155" s="165" t="s">
        <v>126</v>
      </c>
      <c r="C155" s="104">
        <f>1-C154</f>
        <v>0.95</v>
      </c>
      <c r="D155" s="104">
        <f t="shared" ref="D155" si="112">1-D154</f>
        <v>0.94245000000000001</v>
      </c>
      <c r="E155" s="104">
        <f t="shared" ref="E155" si="113">1-E154</f>
        <v>0.93489999999999995</v>
      </c>
      <c r="F155" s="104">
        <f t="shared" ref="F155" si="114">1-F154</f>
        <v>0.92735000000000001</v>
      </c>
      <c r="G155" s="104">
        <f t="shared" ref="G155" si="115">1-G154</f>
        <v>0.91979999999999995</v>
      </c>
      <c r="H155" s="104">
        <f t="shared" ref="H155" si="116">1-H154</f>
        <v>0.91225000000000001</v>
      </c>
      <c r="I155" s="104">
        <f t="shared" ref="I155" si="117">1-I154</f>
        <v>0.90469999999999995</v>
      </c>
      <c r="J155" s="104">
        <f t="shared" ref="J155" si="118">1-J154</f>
        <v>0.89715</v>
      </c>
      <c r="K155" s="104">
        <f t="shared" ref="K155" si="119">1-K154</f>
        <v>0.88959999999999995</v>
      </c>
      <c r="L155" s="104">
        <f t="shared" ref="L155" si="120">1-L154</f>
        <v>0.88205</v>
      </c>
      <c r="M155" s="104">
        <f t="shared" ref="M155" si="121">1-M154</f>
        <v>0.87450000000000006</v>
      </c>
      <c r="N155" s="104">
        <f t="shared" ref="N155" si="122">1-N154</f>
        <v>0.86695</v>
      </c>
      <c r="O155" s="104">
        <f t="shared" ref="O155" si="123">1-O154</f>
        <v>0.85939999999999994</v>
      </c>
      <c r="P155" s="104">
        <f t="shared" ref="P155" si="124">1-P154</f>
        <v>0.85185</v>
      </c>
      <c r="Q155" s="104">
        <f t="shared" ref="Q155" si="125">1-Q154</f>
        <v>0.84430000000000005</v>
      </c>
      <c r="R155" s="104">
        <f t="shared" ref="R155" si="126">1-R154</f>
        <v>0.83674999999999999</v>
      </c>
      <c r="S155" s="104">
        <f t="shared" ref="S155" si="127">1-S154</f>
        <v>0.82919999999999994</v>
      </c>
      <c r="T155" s="104">
        <f t="shared" ref="T155" si="128">1-T154</f>
        <v>0.82164999999999999</v>
      </c>
      <c r="U155" s="104">
        <f t="shared" ref="U155" si="129">1-U154</f>
        <v>0.81410000000000005</v>
      </c>
      <c r="V155" s="104">
        <f t="shared" ref="V155" si="130">1-V154</f>
        <v>0.80654999999999999</v>
      </c>
      <c r="W155" s="104">
        <f t="shared" ref="W155" si="131">1-W154</f>
        <v>0.79899999999999993</v>
      </c>
      <c r="X155" s="104">
        <f t="shared" ref="X155" si="132">1-X154</f>
        <v>0.79144999999999999</v>
      </c>
      <c r="Y155" s="104">
        <f t="shared" ref="Y155" si="133">1-Y154</f>
        <v>0.78390000000000004</v>
      </c>
      <c r="Z155" s="104">
        <f t="shared" ref="Z155" si="134">1-Z154</f>
        <v>0.77634999999999998</v>
      </c>
      <c r="AA155" s="104">
        <f t="shared" ref="AA155" si="135">1-AA154</f>
        <v>0.76879999999999993</v>
      </c>
      <c r="AB155" s="104">
        <f t="shared" ref="AB155" si="136">1-AB154</f>
        <v>0.76124999999999998</v>
      </c>
      <c r="AC155" s="104">
        <f t="shared" ref="AC155" si="137">1-AC154</f>
        <v>0.75370000000000004</v>
      </c>
      <c r="AD155" s="104">
        <f t="shared" ref="AD155" si="138">1-AD154</f>
        <v>0.74614999999999998</v>
      </c>
      <c r="AE155" s="104">
        <f t="shared" ref="AE155" si="139">1-AE154</f>
        <v>0.73859999999999992</v>
      </c>
      <c r="AF155" s="104">
        <f t="shared" ref="AF155" si="140">1-AF154</f>
        <v>0.73104999999999998</v>
      </c>
      <c r="AG155" s="104">
        <f t="shared" ref="AG155" si="141">1-AG154</f>
        <v>0.7</v>
      </c>
      <c r="AI155" s="128" t="s">
        <v>285</v>
      </c>
      <c r="AJ155" s="198"/>
    </row>
    <row r="156" spans="1:63" outlineLevel="1">
      <c r="A156" t="s">
        <v>451</v>
      </c>
      <c r="B156" s="51" t="s">
        <v>126</v>
      </c>
      <c r="C156" s="104">
        <f>C153*C154</f>
        <v>6.5000000000000006E-3</v>
      </c>
      <c r="D156" s="104">
        <f t="shared" ref="D156:AG156" si="142">D153*D154</f>
        <v>7.8203302889154665E-3</v>
      </c>
      <c r="E156" s="104">
        <f t="shared" si="142"/>
        <v>9.2295630515515838E-3</v>
      </c>
      <c r="F156" s="104">
        <f t="shared" si="142"/>
        <v>1.0727698287908354E-2</v>
      </c>
      <c r="G156" s="104">
        <f t="shared" si="142"/>
        <v>1.2314735997985776E-2</v>
      </c>
      <c r="H156" s="104">
        <f t="shared" si="142"/>
        <v>1.3990676181783849E-2</v>
      </c>
      <c r="I156" s="104">
        <f t="shared" si="142"/>
        <v>1.5755518839302578E-2</v>
      </c>
      <c r="J156" s="104">
        <f t="shared" si="142"/>
        <v>1.7609263970541952E-2</v>
      </c>
      <c r="K156" s="104">
        <f t="shared" si="142"/>
        <v>1.9551911575501985E-2</v>
      </c>
      <c r="L156" s="104">
        <f t="shared" si="142"/>
        <v>2.1583461654182668E-2</v>
      </c>
      <c r="M156" s="104">
        <f t="shared" si="142"/>
        <v>2.3703914206583999E-2</v>
      </c>
      <c r="N156" s="104">
        <f t="shared" si="142"/>
        <v>2.6623173516082333E-2</v>
      </c>
      <c r="O156" s="104">
        <f t="shared" si="142"/>
        <v>2.9711903166110654E-2</v>
      </c>
      <c r="P156" s="104">
        <f t="shared" si="142"/>
        <v>3.2970103156668977E-2</v>
      </c>
      <c r="Q156" s="104">
        <f t="shared" si="142"/>
        <v>3.6397773487757287E-2</v>
      </c>
      <c r="R156" s="104">
        <f t="shared" si="142"/>
        <v>3.9994914159375596E-2</v>
      </c>
      <c r="S156" s="104">
        <f t="shared" si="142"/>
        <v>4.3761525171523895E-2</v>
      </c>
      <c r="T156" s="104">
        <f t="shared" si="142"/>
        <v>4.7697606524202185E-2</v>
      </c>
      <c r="U156" s="104">
        <f t="shared" si="142"/>
        <v>5.180315821741046E-2</v>
      </c>
      <c r="V156" s="104">
        <f t="shared" si="142"/>
        <v>5.6078180251148739E-2</v>
      </c>
      <c r="W156" s="104">
        <f t="shared" si="142"/>
        <v>6.0522672625417009E-2</v>
      </c>
      <c r="X156" s="104">
        <f t="shared" si="142"/>
        <v>6.6943933027003216E-2</v>
      </c>
      <c r="Y156" s="104">
        <f t="shared" si="142"/>
        <v>7.3665520614338773E-2</v>
      </c>
      <c r="Z156" s="104">
        <f t="shared" si="142"/>
        <v>8.0687435387423678E-2</v>
      </c>
      <c r="AA156" s="104">
        <f t="shared" si="142"/>
        <v>8.8009677346257961E-2</v>
      </c>
      <c r="AB156" s="104">
        <f t="shared" si="142"/>
        <v>9.5632246490841566E-2</v>
      </c>
      <c r="AC156" s="104">
        <f t="shared" si="142"/>
        <v>0.10355514282117456</v>
      </c>
      <c r="AD156" s="104">
        <f t="shared" si="142"/>
        <v>0.11177836633725689</v>
      </c>
      <c r="AE156" s="104">
        <f t="shared" si="142"/>
        <v>0.12030191703908857</v>
      </c>
      <c r="AF156" s="104">
        <f t="shared" si="142"/>
        <v>0.12912579492666962</v>
      </c>
      <c r="AG156" s="104">
        <f t="shared" si="142"/>
        <v>0.15</v>
      </c>
      <c r="AI156" s="127"/>
      <c r="AJ156" s="198"/>
      <c r="BD156" s="190"/>
      <c r="BE156" s="190"/>
    </row>
    <row r="157" spans="1:63" outlineLevel="1">
      <c r="A157" t="s">
        <v>452</v>
      </c>
      <c r="B157" s="51" t="s">
        <v>126</v>
      </c>
      <c r="C157" s="104">
        <f>C153*C155</f>
        <v>0.1235</v>
      </c>
      <c r="D157" s="104">
        <f t="shared" ref="D157:AG157" si="143">D153*D155</f>
        <v>0.12806725075218733</v>
      </c>
      <c r="E157" s="104">
        <f t="shared" si="143"/>
        <v>0.13254559903065399</v>
      </c>
      <c r="F157" s="104">
        <f t="shared" si="143"/>
        <v>0.13693504483540003</v>
      </c>
      <c r="G157" s="104">
        <f t="shared" si="143"/>
        <v>0.1412355881664254</v>
      </c>
      <c r="H157" s="104">
        <f t="shared" si="143"/>
        <v>0.14544722902373008</v>
      </c>
      <c r="I157" s="104">
        <f t="shared" si="143"/>
        <v>0.14956996740731415</v>
      </c>
      <c r="J157" s="104">
        <f t="shared" si="143"/>
        <v>0.15360380331717757</v>
      </c>
      <c r="K157" s="104">
        <f t="shared" si="143"/>
        <v>0.15754873675332032</v>
      </c>
      <c r="L157" s="104">
        <f t="shared" si="143"/>
        <v>0.16140476771574244</v>
      </c>
      <c r="M157" s="104">
        <f t="shared" si="143"/>
        <v>0.16517189620444389</v>
      </c>
      <c r="N157" s="104">
        <f t="shared" si="143"/>
        <v>0.17347583825454774</v>
      </c>
      <c r="O157" s="104">
        <f t="shared" si="143"/>
        <v>0.18161030996412159</v>
      </c>
      <c r="P157" s="104">
        <f t="shared" si="143"/>
        <v>0.18957531133316546</v>
      </c>
      <c r="Q157" s="104">
        <f t="shared" si="143"/>
        <v>0.19737084236167937</v>
      </c>
      <c r="R157" s="104">
        <f t="shared" si="143"/>
        <v>0.20499690304966325</v>
      </c>
      <c r="S157" s="104">
        <f t="shared" si="143"/>
        <v>0.21245349339711714</v>
      </c>
      <c r="T157" s="104">
        <f t="shared" si="143"/>
        <v>0.21974061340404105</v>
      </c>
      <c r="U157" s="104">
        <f t="shared" si="143"/>
        <v>0.22685826307043494</v>
      </c>
      <c r="V157" s="104">
        <f t="shared" si="143"/>
        <v>0.23380644239629883</v>
      </c>
      <c r="W157" s="104">
        <f t="shared" si="143"/>
        <v>0.24058515138163275</v>
      </c>
      <c r="X157" s="104">
        <f t="shared" si="143"/>
        <v>0.2540531085793416</v>
      </c>
      <c r="Y157" s="104">
        <f t="shared" si="143"/>
        <v>0.26722073859130108</v>
      </c>
      <c r="Z157" s="104">
        <f t="shared" si="143"/>
        <v>0.28008804141751115</v>
      </c>
      <c r="AA157" s="104">
        <f t="shared" si="143"/>
        <v>0.29265501705797192</v>
      </c>
      <c r="AB157" s="104">
        <f t="shared" si="143"/>
        <v>0.30492166551268329</v>
      </c>
      <c r="AC157" s="104">
        <f t="shared" si="143"/>
        <v>0.31688798678164543</v>
      </c>
      <c r="AD157" s="104">
        <f t="shared" si="143"/>
        <v>0.32855398086485804</v>
      </c>
      <c r="AE157" s="104">
        <f t="shared" si="143"/>
        <v>0.33991964776232136</v>
      </c>
      <c r="AF157" s="104">
        <f t="shared" si="143"/>
        <v>0.35098498747403539</v>
      </c>
      <c r="AG157" s="104">
        <f t="shared" si="143"/>
        <v>0.35</v>
      </c>
      <c r="AI157" s="127"/>
      <c r="AJ157" s="198"/>
      <c r="BD157" s="190"/>
      <c r="BE157" s="190"/>
    </row>
    <row r="158" spans="1:63" outlineLevel="1">
      <c r="C158" s="104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  <c r="AF158" s="22"/>
      <c r="AG158" s="22"/>
      <c r="AJ158" s="198"/>
    </row>
    <row r="159" spans="1:63" outlineLevel="1">
      <c r="A159" t="s">
        <v>437</v>
      </c>
      <c r="B159" s="51" t="s">
        <v>126</v>
      </c>
      <c r="C159" s="201">
        <v>0.5</v>
      </c>
      <c r="D159" s="104">
        <f>C159</f>
        <v>0.5</v>
      </c>
      <c r="E159" s="104">
        <f t="shared" ref="E159:AG159" si="144">D159</f>
        <v>0.5</v>
      </c>
      <c r="F159" s="104">
        <f t="shared" si="144"/>
        <v>0.5</v>
      </c>
      <c r="G159" s="104">
        <f t="shared" si="144"/>
        <v>0.5</v>
      </c>
      <c r="H159" s="104">
        <f t="shared" si="144"/>
        <v>0.5</v>
      </c>
      <c r="I159" s="104">
        <f t="shared" si="144"/>
        <v>0.5</v>
      </c>
      <c r="J159" s="104">
        <f t="shared" si="144"/>
        <v>0.5</v>
      </c>
      <c r="K159" s="104">
        <f t="shared" si="144"/>
        <v>0.5</v>
      </c>
      <c r="L159" s="104">
        <f t="shared" si="144"/>
        <v>0.5</v>
      </c>
      <c r="M159" s="104">
        <f t="shared" si="144"/>
        <v>0.5</v>
      </c>
      <c r="N159" s="104">
        <f t="shared" si="144"/>
        <v>0.5</v>
      </c>
      <c r="O159" s="104">
        <f t="shared" si="144"/>
        <v>0.5</v>
      </c>
      <c r="P159" s="104">
        <f t="shared" si="144"/>
        <v>0.5</v>
      </c>
      <c r="Q159" s="104">
        <f t="shared" si="144"/>
        <v>0.5</v>
      </c>
      <c r="R159" s="104">
        <f t="shared" si="144"/>
        <v>0.5</v>
      </c>
      <c r="S159" s="104">
        <f t="shared" si="144"/>
        <v>0.5</v>
      </c>
      <c r="T159" s="104">
        <f t="shared" si="144"/>
        <v>0.5</v>
      </c>
      <c r="U159" s="104">
        <f t="shared" si="144"/>
        <v>0.5</v>
      </c>
      <c r="V159" s="104">
        <f t="shared" si="144"/>
        <v>0.5</v>
      </c>
      <c r="W159" s="104">
        <f t="shared" si="144"/>
        <v>0.5</v>
      </c>
      <c r="X159" s="104">
        <f t="shared" si="144"/>
        <v>0.5</v>
      </c>
      <c r="Y159" s="104">
        <f t="shared" si="144"/>
        <v>0.5</v>
      </c>
      <c r="Z159" s="104">
        <f t="shared" si="144"/>
        <v>0.5</v>
      </c>
      <c r="AA159" s="104">
        <f t="shared" si="144"/>
        <v>0.5</v>
      </c>
      <c r="AB159" s="104">
        <f t="shared" si="144"/>
        <v>0.5</v>
      </c>
      <c r="AC159" s="104">
        <f t="shared" si="144"/>
        <v>0.5</v>
      </c>
      <c r="AD159" s="104">
        <f t="shared" si="144"/>
        <v>0.5</v>
      </c>
      <c r="AE159" s="104">
        <f t="shared" si="144"/>
        <v>0.5</v>
      </c>
      <c r="AF159" s="104">
        <f t="shared" si="144"/>
        <v>0.5</v>
      </c>
      <c r="AG159" s="104">
        <f t="shared" si="144"/>
        <v>0.5</v>
      </c>
      <c r="AI159" s="51"/>
      <c r="AJ159" s="198" t="s">
        <v>460</v>
      </c>
    </row>
    <row r="160" spans="1:63" outlineLevel="1">
      <c r="A160" t="s">
        <v>445</v>
      </c>
      <c r="B160" s="51" t="s">
        <v>126</v>
      </c>
      <c r="C160" s="115">
        <f>1-C159</f>
        <v>0.5</v>
      </c>
      <c r="D160" s="104">
        <f t="shared" ref="D160:AG160" si="145">C160</f>
        <v>0.5</v>
      </c>
      <c r="E160" s="104">
        <f t="shared" si="145"/>
        <v>0.5</v>
      </c>
      <c r="F160" s="104">
        <f t="shared" si="145"/>
        <v>0.5</v>
      </c>
      <c r="G160" s="104">
        <f t="shared" si="145"/>
        <v>0.5</v>
      </c>
      <c r="H160" s="104">
        <f t="shared" si="145"/>
        <v>0.5</v>
      </c>
      <c r="I160" s="104">
        <f t="shared" si="145"/>
        <v>0.5</v>
      </c>
      <c r="J160" s="104">
        <f t="shared" si="145"/>
        <v>0.5</v>
      </c>
      <c r="K160" s="104">
        <f t="shared" si="145"/>
        <v>0.5</v>
      </c>
      <c r="L160" s="104">
        <f t="shared" si="145"/>
        <v>0.5</v>
      </c>
      <c r="M160" s="104">
        <f t="shared" si="145"/>
        <v>0.5</v>
      </c>
      <c r="N160" s="104">
        <f t="shared" si="145"/>
        <v>0.5</v>
      </c>
      <c r="O160" s="104">
        <f t="shared" si="145"/>
        <v>0.5</v>
      </c>
      <c r="P160" s="104">
        <f t="shared" si="145"/>
        <v>0.5</v>
      </c>
      <c r="Q160" s="104">
        <f t="shared" si="145"/>
        <v>0.5</v>
      </c>
      <c r="R160" s="104">
        <f t="shared" si="145"/>
        <v>0.5</v>
      </c>
      <c r="S160" s="104">
        <f t="shared" si="145"/>
        <v>0.5</v>
      </c>
      <c r="T160" s="104">
        <f t="shared" si="145"/>
        <v>0.5</v>
      </c>
      <c r="U160" s="104">
        <f t="shared" si="145"/>
        <v>0.5</v>
      </c>
      <c r="V160" s="104">
        <f t="shared" si="145"/>
        <v>0.5</v>
      </c>
      <c r="W160" s="104">
        <f t="shared" si="145"/>
        <v>0.5</v>
      </c>
      <c r="X160" s="104">
        <f t="shared" si="145"/>
        <v>0.5</v>
      </c>
      <c r="Y160" s="104">
        <f t="shared" si="145"/>
        <v>0.5</v>
      </c>
      <c r="Z160" s="104">
        <f t="shared" si="145"/>
        <v>0.5</v>
      </c>
      <c r="AA160" s="104">
        <f t="shared" si="145"/>
        <v>0.5</v>
      </c>
      <c r="AB160" s="104">
        <f t="shared" si="145"/>
        <v>0.5</v>
      </c>
      <c r="AC160" s="104">
        <f t="shared" si="145"/>
        <v>0.5</v>
      </c>
      <c r="AD160" s="104">
        <f t="shared" si="145"/>
        <v>0.5</v>
      </c>
      <c r="AE160" s="104">
        <f t="shared" si="145"/>
        <v>0.5</v>
      </c>
      <c r="AF160" s="104">
        <f t="shared" si="145"/>
        <v>0.5</v>
      </c>
      <c r="AG160" s="104">
        <f t="shared" si="145"/>
        <v>0.5</v>
      </c>
      <c r="AJ160" s="209"/>
    </row>
    <row r="161" spans="1:63" outlineLevel="1">
      <c r="A161" t="s">
        <v>433</v>
      </c>
      <c r="B161" s="51" t="s">
        <v>126</v>
      </c>
      <c r="C161" s="104">
        <f t="shared" ref="C161:AG161" si="146">SUM(C159:C160)</f>
        <v>1</v>
      </c>
      <c r="D161" s="104">
        <f t="shared" si="146"/>
        <v>1</v>
      </c>
      <c r="E161" s="104">
        <f t="shared" si="146"/>
        <v>1</v>
      </c>
      <c r="F161" s="104">
        <f t="shared" si="146"/>
        <v>1</v>
      </c>
      <c r="G161" s="104">
        <f t="shared" si="146"/>
        <v>1</v>
      </c>
      <c r="H161" s="104">
        <f t="shared" si="146"/>
        <v>1</v>
      </c>
      <c r="I161" s="104">
        <f t="shared" si="146"/>
        <v>1</v>
      </c>
      <c r="J161" s="104">
        <f t="shared" si="146"/>
        <v>1</v>
      </c>
      <c r="K161" s="104">
        <f t="shared" si="146"/>
        <v>1</v>
      </c>
      <c r="L161" s="104">
        <f t="shared" si="146"/>
        <v>1</v>
      </c>
      <c r="M161" s="104">
        <f t="shared" si="146"/>
        <v>1</v>
      </c>
      <c r="N161" s="104">
        <f t="shared" si="146"/>
        <v>1</v>
      </c>
      <c r="O161" s="104">
        <f t="shared" si="146"/>
        <v>1</v>
      </c>
      <c r="P161" s="104">
        <f t="shared" si="146"/>
        <v>1</v>
      </c>
      <c r="Q161" s="104">
        <f t="shared" si="146"/>
        <v>1</v>
      </c>
      <c r="R161" s="104">
        <f t="shared" si="146"/>
        <v>1</v>
      </c>
      <c r="S161" s="104">
        <f t="shared" si="146"/>
        <v>1</v>
      </c>
      <c r="T161" s="104">
        <f t="shared" si="146"/>
        <v>1</v>
      </c>
      <c r="U161" s="104">
        <f t="shared" si="146"/>
        <v>1</v>
      </c>
      <c r="V161" s="104">
        <f t="shared" si="146"/>
        <v>1</v>
      </c>
      <c r="W161" s="104">
        <f t="shared" si="146"/>
        <v>1</v>
      </c>
      <c r="X161" s="104">
        <f t="shared" si="146"/>
        <v>1</v>
      </c>
      <c r="Y161" s="104">
        <f t="shared" si="146"/>
        <v>1</v>
      </c>
      <c r="Z161" s="104">
        <f t="shared" si="146"/>
        <v>1</v>
      </c>
      <c r="AA161" s="104">
        <f t="shared" si="146"/>
        <v>1</v>
      </c>
      <c r="AB161" s="104">
        <f t="shared" si="146"/>
        <v>1</v>
      </c>
      <c r="AC161" s="104">
        <f t="shared" si="146"/>
        <v>1</v>
      </c>
      <c r="AD161" s="104">
        <f t="shared" si="146"/>
        <v>1</v>
      </c>
      <c r="AE161" s="104">
        <f t="shared" si="146"/>
        <v>1</v>
      </c>
      <c r="AF161" s="104">
        <f t="shared" si="146"/>
        <v>1</v>
      </c>
      <c r="AG161" s="104">
        <f t="shared" si="146"/>
        <v>1</v>
      </c>
      <c r="AH161" s="124"/>
      <c r="AI161" s="51"/>
      <c r="AJ161" s="209"/>
    </row>
    <row r="162" spans="1:63" outlineLevel="1">
      <c r="C162" s="201"/>
      <c r="D162" s="104"/>
      <c r="E162" s="104"/>
      <c r="F162" s="104"/>
      <c r="G162" s="104"/>
      <c r="H162" s="104"/>
      <c r="I162" s="104"/>
      <c r="J162" s="104"/>
      <c r="K162" s="104"/>
      <c r="L162" s="104"/>
      <c r="M162" s="104"/>
      <c r="N162" s="104"/>
      <c r="O162" s="104"/>
      <c r="P162" s="104"/>
      <c r="Q162" s="104"/>
      <c r="R162" s="104"/>
      <c r="S162" s="104"/>
      <c r="T162" s="104"/>
      <c r="U162" s="104"/>
      <c r="V162" s="104"/>
      <c r="W162" s="104"/>
      <c r="X162" s="104"/>
      <c r="Y162" s="104"/>
      <c r="Z162" s="104"/>
      <c r="AA162" s="104"/>
      <c r="AB162" s="104"/>
      <c r="AC162" s="104"/>
      <c r="AD162" s="104"/>
      <c r="AE162" s="104"/>
      <c r="AF162" s="104"/>
      <c r="AG162" s="104"/>
      <c r="AH162" s="124"/>
      <c r="AI162" s="124"/>
      <c r="AJ162" s="209"/>
    </row>
    <row r="163" spans="1:63" outlineLevel="1">
      <c r="A163" t="s">
        <v>455</v>
      </c>
      <c r="B163" s="51" t="s">
        <v>126</v>
      </c>
      <c r="C163" s="104">
        <f>C159*C157</f>
        <v>6.1749999999999999E-2</v>
      </c>
      <c r="D163" s="104">
        <f t="shared" ref="D163:AG163" si="147">D159*D157</f>
        <v>6.4033625376093667E-2</v>
      </c>
      <c r="E163" s="104">
        <f t="shared" si="147"/>
        <v>6.6272799515326997E-2</v>
      </c>
      <c r="F163" s="104">
        <f t="shared" si="147"/>
        <v>6.8467522417700016E-2</v>
      </c>
      <c r="G163" s="104">
        <f t="shared" si="147"/>
        <v>7.0617794083212698E-2</v>
      </c>
      <c r="H163" s="104">
        <f t="shared" si="147"/>
        <v>7.2723614511865042E-2</v>
      </c>
      <c r="I163" s="104">
        <f t="shared" si="147"/>
        <v>7.4784983703657076E-2</v>
      </c>
      <c r="J163" s="104">
        <f t="shared" si="147"/>
        <v>7.6801901658588786E-2</v>
      </c>
      <c r="K163" s="104">
        <f t="shared" si="147"/>
        <v>7.8774368376660159E-2</v>
      </c>
      <c r="L163" s="104">
        <f t="shared" si="147"/>
        <v>8.0702383857871221E-2</v>
      </c>
      <c r="M163" s="104">
        <f t="shared" si="147"/>
        <v>8.2585948102221945E-2</v>
      </c>
      <c r="N163" s="104">
        <f t="shared" si="147"/>
        <v>8.6737919127273869E-2</v>
      </c>
      <c r="O163" s="104">
        <f t="shared" si="147"/>
        <v>9.0805154982060793E-2</v>
      </c>
      <c r="P163" s="104">
        <f t="shared" si="147"/>
        <v>9.4787655666582732E-2</v>
      </c>
      <c r="Q163" s="104">
        <f t="shared" si="147"/>
        <v>9.8685421180839686E-2</v>
      </c>
      <c r="R163" s="104">
        <f t="shared" si="147"/>
        <v>0.10249845152483163</v>
      </c>
      <c r="S163" s="104">
        <f t="shared" si="147"/>
        <v>0.10622674669855857</v>
      </c>
      <c r="T163" s="104">
        <f t="shared" si="147"/>
        <v>0.10987030670202053</v>
      </c>
      <c r="U163" s="104">
        <f t="shared" si="147"/>
        <v>0.11342913153521747</v>
      </c>
      <c r="V163" s="104">
        <f t="shared" si="147"/>
        <v>0.11690322119814942</v>
      </c>
      <c r="W163" s="104">
        <f t="shared" si="147"/>
        <v>0.12029257569081638</v>
      </c>
      <c r="X163" s="104">
        <f t="shared" si="147"/>
        <v>0.1270265542896708</v>
      </c>
      <c r="Y163" s="104">
        <f t="shared" si="147"/>
        <v>0.13361036929565054</v>
      </c>
      <c r="Z163" s="104">
        <f t="shared" si="147"/>
        <v>0.14004402070875557</v>
      </c>
      <c r="AA163" s="104">
        <f t="shared" si="147"/>
        <v>0.14632750852898596</v>
      </c>
      <c r="AB163" s="104">
        <f t="shared" si="147"/>
        <v>0.15246083275634165</v>
      </c>
      <c r="AC163" s="104">
        <f t="shared" si="147"/>
        <v>0.15844399339082271</v>
      </c>
      <c r="AD163" s="104">
        <f t="shared" si="147"/>
        <v>0.16427699043242902</v>
      </c>
      <c r="AE163" s="104">
        <f t="shared" si="147"/>
        <v>0.16995982388116068</v>
      </c>
      <c r="AF163" s="104">
        <f t="shared" si="147"/>
        <v>0.1754924937370177</v>
      </c>
      <c r="AG163" s="104">
        <f t="shared" si="147"/>
        <v>0.17499999999999999</v>
      </c>
      <c r="AH163" s="124"/>
      <c r="AI163" s="124"/>
      <c r="AJ163" s="198"/>
    </row>
    <row r="164" spans="1:63" outlineLevel="1">
      <c r="A164" t="s">
        <v>531</v>
      </c>
      <c r="B164" s="51" t="s">
        <v>126</v>
      </c>
      <c r="C164" s="104">
        <f>C157*C160</f>
        <v>6.1749999999999999E-2</v>
      </c>
      <c r="D164" s="104">
        <f t="shared" ref="D164:AG164" si="148">D157*D160</f>
        <v>6.4033625376093667E-2</v>
      </c>
      <c r="E164" s="104">
        <f t="shared" si="148"/>
        <v>6.6272799515326997E-2</v>
      </c>
      <c r="F164" s="104">
        <f t="shared" si="148"/>
        <v>6.8467522417700016E-2</v>
      </c>
      <c r="G164" s="104">
        <f t="shared" si="148"/>
        <v>7.0617794083212698E-2</v>
      </c>
      <c r="H164" s="104">
        <f t="shared" si="148"/>
        <v>7.2723614511865042E-2</v>
      </c>
      <c r="I164" s="104">
        <f t="shared" si="148"/>
        <v>7.4784983703657076E-2</v>
      </c>
      <c r="J164" s="104">
        <f t="shared" si="148"/>
        <v>7.6801901658588786E-2</v>
      </c>
      <c r="K164" s="104">
        <f t="shared" si="148"/>
        <v>7.8774368376660159E-2</v>
      </c>
      <c r="L164" s="104">
        <f t="shared" si="148"/>
        <v>8.0702383857871221E-2</v>
      </c>
      <c r="M164" s="104">
        <f t="shared" si="148"/>
        <v>8.2585948102221945E-2</v>
      </c>
      <c r="N164" s="104">
        <f t="shared" si="148"/>
        <v>8.6737919127273869E-2</v>
      </c>
      <c r="O164" s="104">
        <f t="shared" si="148"/>
        <v>9.0805154982060793E-2</v>
      </c>
      <c r="P164" s="104">
        <f t="shared" si="148"/>
        <v>9.4787655666582732E-2</v>
      </c>
      <c r="Q164" s="104">
        <f t="shared" si="148"/>
        <v>9.8685421180839686E-2</v>
      </c>
      <c r="R164" s="104">
        <f t="shared" si="148"/>
        <v>0.10249845152483163</v>
      </c>
      <c r="S164" s="104">
        <f t="shared" si="148"/>
        <v>0.10622674669855857</v>
      </c>
      <c r="T164" s="104">
        <f t="shared" si="148"/>
        <v>0.10987030670202053</v>
      </c>
      <c r="U164" s="104">
        <f t="shared" si="148"/>
        <v>0.11342913153521747</v>
      </c>
      <c r="V164" s="104">
        <f t="shared" si="148"/>
        <v>0.11690322119814942</v>
      </c>
      <c r="W164" s="104">
        <f t="shared" si="148"/>
        <v>0.12029257569081638</v>
      </c>
      <c r="X164" s="104">
        <f t="shared" si="148"/>
        <v>0.1270265542896708</v>
      </c>
      <c r="Y164" s="104">
        <f t="shared" si="148"/>
        <v>0.13361036929565054</v>
      </c>
      <c r="Z164" s="104">
        <f t="shared" si="148"/>
        <v>0.14004402070875557</v>
      </c>
      <c r="AA164" s="104">
        <f t="shared" si="148"/>
        <v>0.14632750852898596</v>
      </c>
      <c r="AB164" s="104">
        <f t="shared" si="148"/>
        <v>0.15246083275634165</v>
      </c>
      <c r="AC164" s="104">
        <f t="shared" si="148"/>
        <v>0.15844399339082271</v>
      </c>
      <c r="AD164" s="104">
        <f t="shared" si="148"/>
        <v>0.16427699043242902</v>
      </c>
      <c r="AE164" s="104">
        <f t="shared" si="148"/>
        <v>0.16995982388116068</v>
      </c>
      <c r="AF164" s="104">
        <f t="shared" si="148"/>
        <v>0.1754924937370177</v>
      </c>
      <c r="AG164" s="104">
        <f t="shared" si="148"/>
        <v>0.17499999999999999</v>
      </c>
      <c r="AJ164" s="198"/>
    </row>
    <row r="165" spans="1:63" outlineLevel="1">
      <c r="C165" s="104"/>
      <c r="D165" s="104"/>
      <c r="E165" s="104"/>
      <c r="F165" s="104"/>
      <c r="G165" s="104"/>
      <c r="H165" s="104"/>
      <c r="I165" s="104"/>
      <c r="J165" s="104"/>
      <c r="K165" s="104"/>
      <c r="L165" s="104"/>
      <c r="M165" s="104"/>
      <c r="N165" s="104"/>
      <c r="O165" s="104"/>
      <c r="P165" s="104"/>
      <c r="Q165" s="104"/>
      <c r="R165" s="104"/>
      <c r="S165" s="104"/>
      <c r="T165" s="104"/>
      <c r="U165" s="104"/>
      <c r="V165" s="104"/>
      <c r="W165" s="104"/>
      <c r="X165" s="104"/>
      <c r="Y165" s="104"/>
      <c r="Z165" s="104"/>
      <c r="AA165" s="104"/>
      <c r="AB165" s="104"/>
      <c r="AC165" s="104"/>
      <c r="AD165" s="104"/>
      <c r="AE165" s="104"/>
      <c r="AF165" s="104"/>
      <c r="AG165" s="104"/>
      <c r="AI165" s="127"/>
      <c r="AJ165" s="198"/>
      <c r="BC165" s="1"/>
      <c r="BD165" s="38"/>
      <c r="BF165" s="6"/>
      <c r="BG165" s="6"/>
      <c r="BH165" s="6"/>
      <c r="BI165" s="6"/>
      <c r="BJ165" s="6"/>
    </row>
    <row r="166" spans="1:63" outlineLevel="1">
      <c r="A166" t="s">
        <v>835</v>
      </c>
      <c r="C166" s="357">
        <f>'Overall recycling rates'!C87</f>
        <v>1</v>
      </c>
      <c r="D166" s="357">
        <f t="shared" ref="D166:AF166" si="149">C166-($C166-$AG166)/($AG1-$C1)</f>
        <v>1</v>
      </c>
      <c r="E166" s="357">
        <f t="shared" si="149"/>
        <v>1</v>
      </c>
      <c r="F166" s="357">
        <f t="shared" si="149"/>
        <v>1</v>
      </c>
      <c r="G166" s="357">
        <f t="shared" si="149"/>
        <v>1</v>
      </c>
      <c r="H166" s="357">
        <f t="shared" si="149"/>
        <v>1</v>
      </c>
      <c r="I166" s="357">
        <f t="shared" si="149"/>
        <v>1</v>
      </c>
      <c r="J166" s="357">
        <f t="shared" si="149"/>
        <v>1</v>
      </c>
      <c r="K166" s="357">
        <f t="shared" si="149"/>
        <v>1</v>
      </c>
      <c r="L166" s="357">
        <f t="shared" si="149"/>
        <v>1</v>
      </c>
      <c r="M166" s="357">
        <f t="shared" si="149"/>
        <v>1</v>
      </c>
      <c r="N166" s="357">
        <f t="shared" si="149"/>
        <v>1</v>
      </c>
      <c r="O166" s="357">
        <f t="shared" si="149"/>
        <v>1</v>
      </c>
      <c r="P166" s="357">
        <f t="shared" si="149"/>
        <v>1</v>
      </c>
      <c r="Q166" s="357">
        <f t="shared" si="149"/>
        <v>1</v>
      </c>
      <c r="R166" s="357">
        <f t="shared" si="149"/>
        <v>1</v>
      </c>
      <c r="S166" s="357">
        <f t="shared" si="149"/>
        <v>1</v>
      </c>
      <c r="T166" s="357">
        <f t="shared" si="149"/>
        <v>1</v>
      </c>
      <c r="U166" s="357">
        <f t="shared" si="149"/>
        <v>1</v>
      </c>
      <c r="V166" s="357">
        <f t="shared" si="149"/>
        <v>1</v>
      </c>
      <c r="W166" s="357">
        <f t="shared" si="149"/>
        <v>1</v>
      </c>
      <c r="X166" s="357">
        <f t="shared" si="149"/>
        <v>1</v>
      </c>
      <c r="Y166" s="357">
        <f t="shared" si="149"/>
        <v>1</v>
      </c>
      <c r="Z166" s="357">
        <f t="shared" si="149"/>
        <v>1</v>
      </c>
      <c r="AA166" s="357">
        <f t="shared" si="149"/>
        <v>1</v>
      </c>
      <c r="AB166" s="357">
        <f t="shared" si="149"/>
        <v>1</v>
      </c>
      <c r="AC166" s="357">
        <f t="shared" si="149"/>
        <v>1</v>
      </c>
      <c r="AD166" s="357">
        <f t="shared" si="149"/>
        <v>1</v>
      </c>
      <c r="AE166" s="357">
        <f t="shared" si="149"/>
        <v>1</v>
      </c>
      <c r="AF166" s="357">
        <f t="shared" si="149"/>
        <v>1</v>
      </c>
      <c r="AG166" s="357">
        <f>'Overall recycling rates'!C96</f>
        <v>1</v>
      </c>
      <c r="AI166" s="127"/>
      <c r="AJ166" s="198"/>
      <c r="BC166" s="1"/>
      <c r="BD166" s="38"/>
      <c r="BF166" s="6"/>
      <c r="BG166" s="6"/>
      <c r="BH166" s="6"/>
      <c r="BI166" s="6"/>
      <c r="BJ166" s="6"/>
    </row>
    <row r="167" spans="1:63" outlineLevel="1">
      <c r="A167" t="s">
        <v>836</v>
      </c>
      <c r="B167" s="51" t="s">
        <v>126</v>
      </c>
      <c r="C167" s="104">
        <f>C156*C166</f>
        <v>6.5000000000000006E-3</v>
      </c>
      <c r="D167" s="104">
        <f t="shared" ref="D167:AG167" si="150">D156*D166</f>
        <v>7.8203302889154665E-3</v>
      </c>
      <c r="E167" s="104">
        <f t="shared" si="150"/>
        <v>9.2295630515515838E-3</v>
      </c>
      <c r="F167" s="104">
        <f t="shared" si="150"/>
        <v>1.0727698287908354E-2</v>
      </c>
      <c r="G167" s="104">
        <f t="shared" si="150"/>
        <v>1.2314735997985776E-2</v>
      </c>
      <c r="H167" s="104">
        <f t="shared" si="150"/>
        <v>1.3990676181783849E-2</v>
      </c>
      <c r="I167" s="104">
        <f t="shared" si="150"/>
        <v>1.5755518839302578E-2</v>
      </c>
      <c r="J167" s="104">
        <f t="shared" si="150"/>
        <v>1.7609263970541952E-2</v>
      </c>
      <c r="K167" s="104">
        <f t="shared" si="150"/>
        <v>1.9551911575501985E-2</v>
      </c>
      <c r="L167" s="104">
        <f t="shared" si="150"/>
        <v>2.1583461654182668E-2</v>
      </c>
      <c r="M167" s="104">
        <f t="shared" si="150"/>
        <v>2.3703914206583999E-2</v>
      </c>
      <c r="N167" s="104">
        <f t="shared" si="150"/>
        <v>2.6623173516082333E-2</v>
      </c>
      <c r="O167" s="104">
        <f t="shared" si="150"/>
        <v>2.9711903166110654E-2</v>
      </c>
      <c r="P167" s="104">
        <f t="shared" si="150"/>
        <v>3.2970103156668977E-2</v>
      </c>
      <c r="Q167" s="104">
        <f t="shared" si="150"/>
        <v>3.6397773487757287E-2</v>
      </c>
      <c r="R167" s="104">
        <f t="shared" si="150"/>
        <v>3.9994914159375596E-2</v>
      </c>
      <c r="S167" s="104">
        <f t="shared" si="150"/>
        <v>4.3761525171523895E-2</v>
      </c>
      <c r="T167" s="104">
        <f t="shared" si="150"/>
        <v>4.7697606524202185E-2</v>
      </c>
      <c r="U167" s="104">
        <f t="shared" si="150"/>
        <v>5.180315821741046E-2</v>
      </c>
      <c r="V167" s="104">
        <f t="shared" si="150"/>
        <v>5.6078180251148739E-2</v>
      </c>
      <c r="W167" s="104">
        <f t="shared" si="150"/>
        <v>6.0522672625417009E-2</v>
      </c>
      <c r="X167" s="104">
        <f t="shared" si="150"/>
        <v>6.6943933027003216E-2</v>
      </c>
      <c r="Y167" s="104">
        <f t="shared" si="150"/>
        <v>7.3665520614338773E-2</v>
      </c>
      <c r="Z167" s="104">
        <f t="shared" si="150"/>
        <v>8.0687435387423678E-2</v>
      </c>
      <c r="AA167" s="104">
        <f t="shared" si="150"/>
        <v>8.8009677346257961E-2</v>
      </c>
      <c r="AB167" s="104">
        <f t="shared" si="150"/>
        <v>9.5632246490841566E-2</v>
      </c>
      <c r="AC167" s="104">
        <f t="shared" si="150"/>
        <v>0.10355514282117456</v>
      </c>
      <c r="AD167" s="104">
        <f t="shared" si="150"/>
        <v>0.11177836633725689</v>
      </c>
      <c r="AE167" s="104">
        <f t="shared" si="150"/>
        <v>0.12030191703908857</v>
      </c>
      <c r="AF167" s="104">
        <f t="shared" si="150"/>
        <v>0.12912579492666962</v>
      </c>
      <c r="AG167" s="104">
        <f t="shared" si="150"/>
        <v>0.15</v>
      </c>
      <c r="AI167" s="127"/>
      <c r="AJ167" s="198"/>
      <c r="BC167" s="1"/>
      <c r="BD167" s="38"/>
      <c r="BF167" s="6"/>
      <c r="BG167" s="6"/>
      <c r="BH167" s="6"/>
      <c r="BI167" s="6"/>
      <c r="BJ167" s="6"/>
    </row>
    <row r="168" spans="1:63" outlineLevel="1">
      <c r="A168" t="s">
        <v>837</v>
      </c>
      <c r="B168" s="51" t="s">
        <v>126</v>
      </c>
      <c r="C168" s="104">
        <f>C157*C166</f>
        <v>0.1235</v>
      </c>
      <c r="D168" s="104">
        <f t="shared" ref="D168:AG168" si="151">D157*D166</f>
        <v>0.12806725075218733</v>
      </c>
      <c r="E168" s="104">
        <f t="shared" si="151"/>
        <v>0.13254559903065399</v>
      </c>
      <c r="F168" s="104">
        <f t="shared" si="151"/>
        <v>0.13693504483540003</v>
      </c>
      <c r="G168" s="104">
        <f t="shared" si="151"/>
        <v>0.1412355881664254</v>
      </c>
      <c r="H168" s="104">
        <f t="shared" si="151"/>
        <v>0.14544722902373008</v>
      </c>
      <c r="I168" s="104">
        <f t="shared" si="151"/>
        <v>0.14956996740731415</v>
      </c>
      <c r="J168" s="104">
        <f t="shared" si="151"/>
        <v>0.15360380331717757</v>
      </c>
      <c r="K168" s="104">
        <f t="shared" si="151"/>
        <v>0.15754873675332032</v>
      </c>
      <c r="L168" s="104">
        <f t="shared" si="151"/>
        <v>0.16140476771574244</v>
      </c>
      <c r="M168" s="104">
        <f t="shared" si="151"/>
        <v>0.16517189620444389</v>
      </c>
      <c r="N168" s="104">
        <f t="shared" si="151"/>
        <v>0.17347583825454774</v>
      </c>
      <c r="O168" s="104">
        <f t="shared" si="151"/>
        <v>0.18161030996412159</v>
      </c>
      <c r="P168" s="104">
        <f t="shared" si="151"/>
        <v>0.18957531133316546</v>
      </c>
      <c r="Q168" s="104">
        <f t="shared" si="151"/>
        <v>0.19737084236167937</v>
      </c>
      <c r="R168" s="104">
        <f t="shared" si="151"/>
        <v>0.20499690304966325</v>
      </c>
      <c r="S168" s="104">
        <f t="shared" si="151"/>
        <v>0.21245349339711714</v>
      </c>
      <c r="T168" s="104">
        <f t="shared" si="151"/>
        <v>0.21974061340404105</v>
      </c>
      <c r="U168" s="104">
        <f t="shared" si="151"/>
        <v>0.22685826307043494</v>
      </c>
      <c r="V168" s="104">
        <f t="shared" si="151"/>
        <v>0.23380644239629883</v>
      </c>
      <c r="W168" s="104">
        <f t="shared" si="151"/>
        <v>0.24058515138163275</v>
      </c>
      <c r="X168" s="104">
        <f t="shared" si="151"/>
        <v>0.2540531085793416</v>
      </c>
      <c r="Y168" s="104">
        <f t="shared" si="151"/>
        <v>0.26722073859130108</v>
      </c>
      <c r="Z168" s="104">
        <f t="shared" si="151"/>
        <v>0.28008804141751115</v>
      </c>
      <c r="AA168" s="104">
        <f t="shared" si="151"/>
        <v>0.29265501705797192</v>
      </c>
      <c r="AB168" s="104">
        <f t="shared" si="151"/>
        <v>0.30492166551268329</v>
      </c>
      <c r="AC168" s="104">
        <f t="shared" si="151"/>
        <v>0.31688798678164543</v>
      </c>
      <c r="AD168" s="104">
        <f t="shared" si="151"/>
        <v>0.32855398086485804</v>
      </c>
      <c r="AE168" s="104">
        <f t="shared" si="151"/>
        <v>0.33991964776232136</v>
      </c>
      <c r="AF168" s="104">
        <f t="shared" si="151"/>
        <v>0.35098498747403539</v>
      </c>
      <c r="AG168" s="104">
        <f t="shared" si="151"/>
        <v>0.35</v>
      </c>
      <c r="AI168" s="127"/>
      <c r="AJ168" s="198"/>
      <c r="BC168" s="1"/>
      <c r="BD168" s="38"/>
      <c r="BF168" s="6"/>
      <c r="BG168" s="6"/>
      <c r="BH168" s="6"/>
      <c r="BI168" s="6"/>
      <c r="BJ168" s="6"/>
    </row>
    <row r="169" spans="1:63" outlineLevel="1">
      <c r="A169" t="s">
        <v>838</v>
      </c>
      <c r="B169" s="51" t="s">
        <v>126</v>
      </c>
      <c r="C169" s="104">
        <f>C153*C166</f>
        <v>0.13</v>
      </c>
      <c r="D169" s="104">
        <f t="shared" ref="D169:AG169" si="152">D153*D166</f>
        <v>0.1358875810411028</v>
      </c>
      <c r="E169" s="104">
        <f t="shared" si="152"/>
        <v>0.14177516208220559</v>
      </c>
      <c r="F169" s="104">
        <f t="shared" si="152"/>
        <v>0.14766274312330838</v>
      </c>
      <c r="G169" s="104">
        <f t="shared" si="152"/>
        <v>0.15355032416441117</v>
      </c>
      <c r="H169" s="104">
        <f t="shared" si="152"/>
        <v>0.15943790520551393</v>
      </c>
      <c r="I169" s="104">
        <f t="shared" si="152"/>
        <v>0.16532548624661675</v>
      </c>
      <c r="J169" s="104">
        <f t="shared" si="152"/>
        <v>0.17121306728771951</v>
      </c>
      <c r="K169" s="104">
        <f t="shared" si="152"/>
        <v>0.1771006483288223</v>
      </c>
      <c r="L169" s="104">
        <f t="shared" si="152"/>
        <v>0.18298822936992509</v>
      </c>
      <c r="M169" s="104">
        <f t="shared" si="152"/>
        <v>0.18887581041102788</v>
      </c>
      <c r="N169" s="104">
        <f t="shared" si="152"/>
        <v>0.20009901177063008</v>
      </c>
      <c r="O169" s="104">
        <f t="shared" si="152"/>
        <v>0.21132221313023225</v>
      </c>
      <c r="P169" s="104">
        <f t="shared" si="152"/>
        <v>0.22254541448983445</v>
      </c>
      <c r="Q169" s="104">
        <f t="shared" si="152"/>
        <v>0.23376861584943665</v>
      </c>
      <c r="R169" s="104">
        <f t="shared" si="152"/>
        <v>0.24499181720903884</v>
      </c>
      <c r="S169" s="104">
        <f t="shared" si="152"/>
        <v>0.25621501856864104</v>
      </c>
      <c r="T169" s="104">
        <f t="shared" si="152"/>
        <v>0.26743821992824324</v>
      </c>
      <c r="U169" s="104">
        <f t="shared" si="152"/>
        <v>0.27866142128784538</v>
      </c>
      <c r="V169" s="104">
        <f t="shared" si="152"/>
        <v>0.28988462264744758</v>
      </c>
      <c r="W169" s="104">
        <f t="shared" si="152"/>
        <v>0.30110782400704977</v>
      </c>
      <c r="X169" s="104">
        <f t="shared" si="152"/>
        <v>0.32099704160634479</v>
      </c>
      <c r="Y169" s="104">
        <f t="shared" si="152"/>
        <v>0.34088625920563981</v>
      </c>
      <c r="Z169" s="104">
        <f t="shared" si="152"/>
        <v>0.36077547680493482</v>
      </c>
      <c r="AA169" s="104">
        <f t="shared" si="152"/>
        <v>0.3806646944042299</v>
      </c>
      <c r="AB169" s="104">
        <f t="shared" si="152"/>
        <v>0.40055391200352486</v>
      </c>
      <c r="AC169" s="104">
        <f t="shared" si="152"/>
        <v>0.42044312960281993</v>
      </c>
      <c r="AD169" s="104">
        <f t="shared" si="152"/>
        <v>0.44033234720211495</v>
      </c>
      <c r="AE169" s="104">
        <f t="shared" si="152"/>
        <v>0.46022156480140997</v>
      </c>
      <c r="AF169" s="104">
        <f t="shared" si="152"/>
        <v>0.48011078240070498</v>
      </c>
      <c r="AG169" s="104">
        <f t="shared" si="152"/>
        <v>0.5</v>
      </c>
      <c r="AI169" s="127"/>
      <c r="AJ169" s="198"/>
      <c r="BC169" s="1"/>
      <c r="BD169" s="38"/>
      <c r="BF169" s="6"/>
      <c r="BG169" s="6"/>
      <c r="BH169" s="6"/>
      <c r="BI169" s="6"/>
      <c r="BJ169" s="6"/>
    </row>
    <row r="170" spans="1:63" outlineLevel="1">
      <c r="A170" t="s">
        <v>839</v>
      </c>
      <c r="B170" s="51" t="s">
        <v>126</v>
      </c>
      <c r="C170" s="104">
        <f>C163*C166</f>
        <v>6.1749999999999999E-2</v>
      </c>
      <c r="D170" s="104">
        <f t="shared" ref="D170:AG170" si="153">D163*D166</f>
        <v>6.4033625376093667E-2</v>
      </c>
      <c r="E170" s="104">
        <f t="shared" si="153"/>
        <v>6.6272799515326997E-2</v>
      </c>
      <c r="F170" s="104">
        <f t="shared" si="153"/>
        <v>6.8467522417700016E-2</v>
      </c>
      <c r="G170" s="104">
        <f t="shared" si="153"/>
        <v>7.0617794083212698E-2</v>
      </c>
      <c r="H170" s="104">
        <f t="shared" si="153"/>
        <v>7.2723614511865042E-2</v>
      </c>
      <c r="I170" s="104">
        <f t="shared" si="153"/>
        <v>7.4784983703657076E-2</v>
      </c>
      <c r="J170" s="104">
        <f t="shared" si="153"/>
        <v>7.6801901658588786E-2</v>
      </c>
      <c r="K170" s="104">
        <f t="shared" si="153"/>
        <v>7.8774368376660159E-2</v>
      </c>
      <c r="L170" s="104">
        <f t="shared" si="153"/>
        <v>8.0702383857871221E-2</v>
      </c>
      <c r="M170" s="104">
        <f t="shared" si="153"/>
        <v>8.2585948102221945E-2</v>
      </c>
      <c r="N170" s="104">
        <f t="shared" si="153"/>
        <v>8.6737919127273869E-2</v>
      </c>
      <c r="O170" s="104">
        <f t="shared" si="153"/>
        <v>9.0805154982060793E-2</v>
      </c>
      <c r="P170" s="104">
        <f t="shared" si="153"/>
        <v>9.4787655666582732E-2</v>
      </c>
      <c r="Q170" s="104">
        <f t="shared" si="153"/>
        <v>9.8685421180839686E-2</v>
      </c>
      <c r="R170" s="104">
        <f t="shared" si="153"/>
        <v>0.10249845152483163</v>
      </c>
      <c r="S170" s="104">
        <f t="shared" si="153"/>
        <v>0.10622674669855857</v>
      </c>
      <c r="T170" s="104">
        <f t="shared" si="153"/>
        <v>0.10987030670202053</v>
      </c>
      <c r="U170" s="104">
        <f t="shared" si="153"/>
        <v>0.11342913153521747</v>
      </c>
      <c r="V170" s="104">
        <f t="shared" si="153"/>
        <v>0.11690322119814942</v>
      </c>
      <c r="W170" s="104">
        <f t="shared" si="153"/>
        <v>0.12029257569081638</v>
      </c>
      <c r="X170" s="104">
        <f t="shared" si="153"/>
        <v>0.1270265542896708</v>
      </c>
      <c r="Y170" s="104">
        <f t="shared" si="153"/>
        <v>0.13361036929565054</v>
      </c>
      <c r="Z170" s="104">
        <f t="shared" si="153"/>
        <v>0.14004402070875557</v>
      </c>
      <c r="AA170" s="104">
        <f t="shared" si="153"/>
        <v>0.14632750852898596</v>
      </c>
      <c r="AB170" s="104">
        <f t="shared" si="153"/>
        <v>0.15246083275634165</v>
      </c>
      <c r="AC170" s="104">
        <f t="shared" si="153"/>
        <v>0.15844399339082271</v>
      </c>
      <c r="AD170" s="104">
        <f t="shared" si="153"/>
        <v>0.16427699043242902</v>
      </c>
      <c r="AE170" s="104">
        <f t="shared" si="153"/>
        <v>0.16995982388116068</v>
      </c>
      <c r="AF170" s="104">
        <f t="shared" si="153"/>
        <v>0.1754924937370177</v>
      </c>
      <c r="AG170" s="104">
        <f t="shared" si="153"/>
        <v>0.17499999999999999</v>
      </c>
      <c r="AI170" s="127"/>
      <c r="AJ170" s="198"/>
      <c r="BC170" s="1"/>
      <c r="BD170" s="38"/>
      <c r="BF170" s="6"/>
      <c r="BG170" s="6"/>
      <c r="BH170" s="6"/>
      <c r="BI170" s="6"/>
      <c r="BJ170" s="6"/>
    </row>
    <row r="171" spans="1:63" outlineLevel="1">
      <c r="A171" t="s">
        <v>841</v>
      </c>
      <c r="B171" s="51" t="s">
        <v>126</v>
      </c>
      <c r="C171" s="104">
        <f>C164*C166</f>
        <v>6.1749999999999999E-2</v>
      </c>
      <c r="D171" s="104">
        <f t="shared" ref="D171:AG171" si="154">D164*D166</f>
        <v>6.4033625376093667E-2</v>
      </c>
      <c r="E171" s="104">
        <f t="shared" si="154"/>
        <v>6.6272799515326997E-2</v>
      </c>
      <c r="F171" s="104">
        <f t="shared" si="154"/>
        <v>6.8467522417700016E-2</v>
      </c>
      <c r="G171" s="104">
        <f t="shared" si="154"/>
        <v>7.0617794083212698E-2</v>
      </c>
      <c r="H171" s="104">
        <f t="shared" si="154"/>
        <v>7.2723614511865042E-2</v>
      </c>
      <c r="I171" s="104">
        <f t="shared" si="154"/>
        <v>7.4784983703657076E-2</v>
      </c>
      <c r="J171" s="104">
        <f t="shared" si="154"/>
        <v>7.6801901658588786E-2</v>
      </c>
      <c r="K171" s="104">
        <f t="shared" si="154"/>
        <v>7.8774368376660159E-2</v>
      </c>
      <c r="L171" s="104">
        <f t="shared" si="154"/>
        <v>8.0702383857871221E-2</v>
      </c>
      <c r="M171" s="104">
        <f t="shared" si="154"/>
        <v>8.2585948102221945E-2</v>
      </c>
      <c r="N171" s="104">
        <f t="shared" si="154"/>
        <v>8.6737919127273869E-2</v>
      </c>
      <c r="O171" s="104">
        <f t="shared" si="154"/>
        <v>9.0805154982060793E-2</v>
      </c>
      <c r="P171" s="104">
        <f t="shared" si="154"/>
        <v>9.4787655666582732E-2</v>
      </c>
      <c r="Q171" s="104">
        <f t="shared" si="154"/>
        <v>9.8685421180839686E-2</v>
      </c>
      <c r="R171" s="104">
        <f t="shared" si="154"/>
        <v>0.10249845152483163</v>
      </c>
      <c r="S171" s="104">
        <f t="shared" si="154"/>
        <v>0.10622674669855857</v>
      </c>
      <c r="T171" s="104">
        <f t="shared" si="154"/>
        <v>0.10987030670202053</v>
      </c>
      <c r="U171" s="104">
        <f t="shared" si="154"/>
        <v>0.11342913153521747</v>
      </c>
      <c r="V171" s="104">
        <f t="shared" si="154"/>
        <v>0.11690322119814942</v>
      </c>
      <c r="W171" s="104">
        <f t="shared" si="154"/>
        <v>0.12029257569081638</v>
      </c>
      <c r="X171" s="104">
        <f t="shared" si="154"/>
        <v>0.1270265542896708</v>
      </c>
      <c r="Y171" s="104">
        <f t="shared" si="154"/>
        <v>0.13361036929565054</v>
      </c>
      <c r="Z171" s="104">
        <f t="shared" si="154"/>
        <v>0.14004402070875557</v>
      </c>
      <c r="AA171" s="104">
        <f t="shared" si="154"/>
        <v>0.14632750852898596</v>
      </c>
      <c r="AB171" s="104">
        <f t="shared" si="154"/>
        <v>0.15246083275634165</v>
      </c>
      <c r="AC171" s="104">
        <f t="shared" si="154"/>
        <v>0.15844399339082271</v>
      </c>
      <c r="AD171" s="104">
        <f t="shared" si="154"/>
        <v>0.16427699043242902</v>
      </c>
      <c r="AE171" s="104">
        <f t="shared" si="154"/>
        <v>0.16995982388116068</v>
      </c>
      <c r="AF171" s="104">
        <f t="shared" si="154"/>
        <v>0.1754924937370177</v>
      </c>
      <c r="AG171" s="104">
        <f t="shared" si="154"/>
        <v>0.17499999999999999</v>
      </c>
      <c r="AI171" s="127"/>
      <c r="AJ171" s="198"/>
      <c r="BC171" s="1"/>
      <c r="BD171" s="38"/>
      <c r="BF171" s="6"/>
      <c r="BG171" s="6"/>
      <c r="BH171" s="6"/>
      <c r="BI171" s="6"/>
      <c r="BJ171" s="6"/>
    </row>
    <row r="172" spans="1:63" outlineLevel="1">
      <c r="C172" s="104"/>
      <c r="D172" s="104"/>
      <c r="E172" s="104"/>
      <c r="F172" s="104"/>
      <c r="G172" s="104"/>
      <c r="H172" s="104"/>
      <c r="I172" s="104"/>
      <c r="J172" s="104"/>
      <c r="K172" s="104"/>
      <c r="L172" s="104"/>
      <c r="M172" s="104"/>
      <c r="N172" s="104"/>
      <c r="O172" s="104"/>
      <c r="P172" s="104"/>
      <c r="Q172" s="104"/>
      <c r="R172" s="104"/>
      <c r="S172" s="104"/>
      <c r="T172" s="104"/>
      <c r="U172" s="104"/>
      <c r="V172" s="104"/>
      <c r="W172" s="104"/>
      <c r="X172" s="104"/>
      <c r="Y172" s="104"/>
      <c r="Z172" s="104"/>
      <c r="AA172" s="104"/>
      <c r="AB172" s="104"/>
      <c r="AC172" s="104"/>
      <c r="AD172" s="104"/>
      <c r="AE172" s="104"/>
      <c r="AF172" s="104"/>
      <c r="AG172" s="104"/>
      <c r="AI172" s="127"/>
      <c r="AJ172" s="198"/>
      <c r="BC172" s="1"/>
      <c r="BD172" s="38"/>
      <c r="BF172" s="6"/>
      <c r="BG172" s="6"/>
      <c r="BH172" s="6"/>
      <c r="BI172" s="6"/>
      <c r="BJ172" s="6"/>
    </row>
    <row r="173" spans="1:63" s="1" customFormat="1" outlineLevel="1">
      <c r="A173" s="1" t="s">
        <v>261</v>
      </c>
      <c r="B173" s="61"/>
      <c r="C173" s="279">
        <f>C167*C45</f>
        <v>556.37636368058145</v>
      </c>
      <c r="D173" s="279">
        <f t="shared" ref="D173:AG173" si="155">D167*D45</f>
        <v>669.39183521967652</v>
      </c>
      <c r="E173" s="279">
        <f t="shared" si="155"/>
        <v>790.01703522814159</v>
      </c>
      <c r="F173" s="279">
        <f t="shared" si="155"/>
        <v>918.25196370597666</v>
      </c>
      <c r="G173" s="279">
        <f t="shared" si="155"/>
        <v>1054.0966206531816</v>
      </c>
      <c r="H173" s="279">
        <f t="shared" si="155"/>
        <v>1197.5510060697566</v>
      </c>
      <c r="I173" s="279">
        <f t="shared" si="155"/>
        <v>1306.9429127490705</v>
      </c>
      <c r="J173" s="279">
        <f t="shared" si="155"/>
        <v>1414.1385044401957</v>
      </c>
      <c r="K173" s="279">
        <f t="shared" si="155"/>
        <v>1518.4323593140218</v>
      </c>
      <c r="L173" s="279">
        <f t="shared" si="155"/>
        <v>1619.1190555414387</v>
      </c>
      <c r="M173" s="279">
        <f t="shared" si="155"/>
        <v>1715.4931712933346</v>
      </c>
      <c r="N173" s="279">
        <f t="shared" si="155"/>
        <v>1856.3486371817778</v>
      </c>
      <c r="O173" s="279">
        <f t="shared" si="155"/>
        <v>1993.1300312021904</v>
      </c>
      <c r="P173" s="279">
        <f t="shared" si="155"/>
        <v>2124.4926429928314</v>
      </c>
      <c r="Q173" s="279">
        <f t="shared" si="155"/>
        <v>2249.0917621919575</v>
      </c>
      <c r="R173" s="279">
        <f t="shared" si="155"/>
        <v>2365.5826784378278</v>
      </c>
      <c r="S173" s="279">
        <f t="shared" si="155"/>
        <v>2506.707710910367</v>
      </c>
      <c r="T173" s="279">
        <f t="shared" si="155"/>
        <v>2643.1669590705978</v>
      </c>
      <c r="U173" s="279">
        <f t="shared" si="155"/>
        <v>2774.0117275824018</v>
      </c>
      <c r="V173" s="279">
        <f t="shared" si="155"/>
        <v>2898.293321109667</v>
      </c>
      <c r="W173" s="279">
        <f t="shared" si="155"/>
        <v>3015.0630443162754</v>
      </c>
      <c r="X173" s="279">
        <f t="shared" si="155"/>
        <v>3210.0340830935766</v>
      </c>
      <c r="Y173" s="279">
        <f t="shared" si="155"/>
        <v>3394.8815717480297</v>
      </c>
      <c r="Z173" s="279">
        <f t="shared" si="155"/>
        <v>3567.9242780384193</v>
      </c>
      <c r="AA173" s="279">
        <f t="shared" si="155"/>
        <v>3727.4809697235287</v>
      </c>
      <c r="AB173" s="279">
        <f t="shared" si="155"/>
        <v>3871.8704145621364</v>
      </c>
      <c r="AC173" s="279">
        <f t="shared" si="155"/>
        <v>3959.5236338338432</v>
      </c>
      <c r="AD173" s="279">
        <f t="shared" si="155"/>
        <v>4022.3122395029977</v>
      </c>
      <c r="AE173" s="279">
        <f t="shared" si="155"/>
        <v>4058.2079559758404</v>
      </c>
      <c r="AF173" s="279">
        <f t="shared" si="155"/>
        <v>4065.1825076586074</v>
      </c>
      <c r="AG173" s="279">
        <f t="shared" si="155"/>
        <v>4384.6737276211961</v>
      </c>
      <c r="AH173" s="397">
        <f>AG173-C173</f>
        <v>3828.2973639406146</v>
      </c>
      <c r="AI173" s="398"/>
      <c r="AJ173" s="399"/>
      <c r="AL173" s="207"/>
      <c r="AM173" s="118"/>
      <c r="AN173" s="118"/>
      <c r="AO173" s="118"/>
      <c r="BD173" s="118"/>
      <c r="BE173" s="118"/>
      <c r="BF173" s="118"/>
      <c r="BG173" s="118"/>
      <c r="BH173" s="118"/>
      <c r="BI173" s="118"/>
      <c r="BJ173" s="118"/>
      <c r="BK173" s="118"/>
    </row>
    <row r="174" spans="1:63" outlineLevel="1">
      <c r="A174" s="4" t="s">
        <v>141</v>
      </c>
      <c r="C174" s="216">
        <f>C$173*'Ethylene recycling rates'!E88</f>
        <v>0</v>
      </c>
      <c r="D174" s="216">
        <f>D$173*'Ethylene recycling rates'!F88</f>
        <v>0</v>
      </c>
      <c r="E174" s="216">
        <f>E$173*'Ethylene recycling rates'!G88</f>
        <v>0</v>
      </c>
      <c r="F174" s="216">
        <f>F$173*'Ethylene recycling rates'!H88</f>
        <v>0</v>
      </c>
      <c r="G174" s="216">
        <f>G$173*'Ethylene recycling rates'!I88</f>
        <v>0</v>
      </c>
      <c r="H174" s="216">
        <f>H$173*'Ethylene recycling rates'!J88</f>
        <v>0</v>
      </c>
      <c r="I174" s="216">
        <f>I$173*'Ethylene recycling rates'!K88</f>
        <v>0</v>
      </c>
      <c r="J174" s="216">
        <f>J$173*'Ethylene recycling rates'!L88</f>
        <v>0</v>
      </c>
      <c r="K174" s="216">
        <f>K$173*'Ethylene recycling rates'!M88</f>
        <v>0</v>
      </c>
      <c r="L174" s="216">
        <f>L$173*'Ethylene recycling rates'!N88</f>
        <v>0</v>
      </c>
      <c r="M174" s="216">
        <f>M$173*'Ethylene recycling rates'!O88</f>
        <v>0</v>
      </c>
      <c r="N174" s="216">
        <f>N$173*'Ethylene recycling rates'!P88</f>
        <v>0</v>
      </c>
      <c r="O174" s="216">
        <f>O$173*'Ethylene recycling rates'!Q88</f>
        <v>0</v>
      </c>
      <c r="P174" s="216">
        <f>P$173*'Ethylene recycling rates'!R88</f>
        <v>0</v>
      </c>
      <c r="Q174" s="216">
        <f>Q$173*'Ethylene recycling rates'!S88</f>
        <v>0</v>
      </c>
      <c r="R174" s="216">
        <f>R$173*'Ethylene recycling rates'!T88</f>
        <v>0</v>
      </c>
      <c r="S174" s="216">
        <f>S$173*'Ethylene recycling rates'!U88</f>
        <v>0</v>
      </c>
      <c r="T174" s="216">
        <f>T$173*'Ethylene recycling rates'!V88</f>
        <v>0</v>
      </c>
      <c r="U174" s="216">
        <f>U$173*'Ethylene recycling rates'!W88</f>
        <v>0</v>
      </c>
      <c r="V174" s="216">
        <f>V$173*'Ethylene recycling rates'!X88</f>
        <v>0</v>
      </c>
      <c r="W174" s="216">
        <f>W$173*'Ethylene recycling rates'!Y88</f>
        <v>0</v>
      </c>
      <c r="X174" s="216">
        <f>X$173*'Ethylene recycling rates'!Z88</f>
        <v>0</v>
      </c>
      <c r="Y174" s="216">
        <f>Y$173*'Ethylene recycling rates'!AA88</f>
        <v>0</v>
      </c>
      <c r="Z174" s="216">
        <f>Z$173*'Ethylene recycling rates'!AB88</f>
        <v>0</v>
      </c>
      <c r="AA174" s="216">
        <f>AA$173*'Ethylene recycling rates'!AC88</f>
        <v>0</v>
      </c>
      <c r="AB174" s="216">
        <f>AB$173*'Ethylene recycling rates'!AD88</f>
        <v>0</v>
      </c>
      <c r="AC174" s="216">
        <f>AC$173*'Ethylene recycling rates'!AE88</f>
        <v>0</v>
      </c>
      <c r="AD174" s="216">
        <f>AD$173*'Ethylene recycling rates'!AF88</f>
        <v>0</v>
      </c>
      <c r="AE174" s="216">
        <f>AE$173*'Ethylene recycling rates'!AG88</f>
        <v>0</v>
      </c>
      <c r="AF174" s="216">
        <f>AF$173*'Ethylene recycling rates'!AH88</f>
        <v>0</v>
      </c>
      <c r="AG174" s="216">
        <f>AG$173*'Ethylene recycling rates'!AI88</f>
        <v>0</v>
      </c>
      <c r="AH174" s="397">
        <f t="shared" ref="AH174:AH178" si="156">AG174-C174</f>
        <v>0</v>
      </c>
      <c r="AI174" s="126"/>
      <c r="AJ174" s="198"/>
      <c r="AL174" s="102"/>
      <c r="AM174" s="2"/>
      <c r="AN174" s="2"/>
      <c r="AO174" s="2"/>
      <c r="BC174" s="1"/>
      <c r="BD174" s="2"/>
      <c r="BE174" s="2"/>
      <c r="BF174" s="2"/>
      <c r="BG174" s="2"/>
      <c r="BH174" s="2"/>
      <c r="BI174" s="2"/>
      <c r="BJ174" s="2"/>
      <c r="BK174" s="2"/>
    </row>
    <row r="175" spans="1:63" outlineLevel="1">
      <c r="A175" s="4" t="s">
        <v>74</v>
      </c>
      <c r="C175" s="216">
        <f>C$173*'Ethylene recycling rates'!E89</f>
        <v>0</v>
      </c>
      <c r="D175" s="216">
        <f>D$173*'Ethylene recycling rates'!F89</f>
        <v>0</v>
      </c>
      <c r="E175" s="216">
        <f>E$173*'Ethylene recycling rates'!G89</f>
        <v>0</v>
      </c>
      <c r="F175" s="216">
        <f>F$173*'Ethylene recycling rates'!H89</f>
        <v>0</v>
      </c>
      <c r="G175" s="216">
        <f>G$173*'Ethylene recycling rates'!I89</f>
        <v>0</v>
      </c>
      <c r="H175" s="216">
        <f>H$173*'Ethylene recycling rates'!J89</f>
        <v>0</v>
      </c>
      <c r="I175" s="216">
        <f>I$173*'Ethylene recycling rates'!K89</f>
        <v>0</v>
      </c>
      <c r="J175" s="216">
        <f>J$173*'Ethylene recycling rates'!L89</f>
        <v>0</v>
      </c>
      <c r="K175" s="216">
        <f>K$173*'Ethylene recycling rates'!M89</f>
        <v>0</v>
      </c>
      <c r="L175" s="216">
        <f>L$173*'Ethylene recycling rates'!N89</f>
        <v>0</v>
      </c>
      <c r="M175" s="216">
        <f>M$173*'Ethylene recycling rates'!O89</f>
        <v>0</v>
      </c>
      <c r="N175" s="216">
        <f>N$173*'Ethylene recycling rates'!P89</f>
        <v>0</v>
      </c>
      <c r="O175" s="216">
        <f>O$173*'Ethylene recycling rates'!Q89</f>
        <v>0</v>
      </c>
      <c r="P175" s="216">
        <f>P$173*'Ethylene recycling rates'!R89</f>
        <v>0</v>
      </c>
      <c r="Q175" s="216">
        <f>Q$173*'Ethylene recycling rates'!S89</f>
        <v>0</v>
      </c>
      <c r="R175" s="216">
        <f>R$173*'Ethylene recycling rates'!T89</f>
        <v>0</v>
      </c>
      <c r="S175" s="216">
        <f>S$173*'Ethylene recycling rates'!U89</f>
        <v>0</v>
      </c>
      <c r="T175" s="216">
        <f>T$173*'Ethylene recycling rates'!V89</f>
        <v>0</v>
      </c>
      <c r="U175" s="216">
        <f>U$173*'Ethylene recycling rates'!W89</f>
        <v>0</v>
      </c>
      <c r="V175" s="216">
        <f>V$173*'Ethylene recycling rates'!X89</f>
        <v>0</v>
      </c>
      <c r="W175" s="216">
        <f>W$173*'Ethylene recycling rates'!Y89</f>
        <v>0</v>
      </c>
      <c r="X175" s="216">
        <f>X$173*'Ethylene recycling rates'!Z89</f>
        <v>0</v>
      </c>
      <c r="Y175" s="216">
        <f>Y$173*'Ethylene recycling rates'!AA89</f>
        <v>0</v>
      </c>
      <c r="Z175" s="216">
        <f>Z$173*'Ethylene recycling rates'!AB89</f>
        <v>0</v>
      </c>
      <c r="AA175" s="216">
        <f>AA$173*'Ethylene recycling rates'!AC89</f>
        <v>0</v>
      </c>
      <c r="AB175" s="216">
        <f>AB$173*'Ethylene recycling rates'!AD89</f>
        <v>0</v>
      </c>
      <c r="AC175" s="216">
        <f>AC$173*'Ethylene recycling rates'!AE89</f>
        <v>0</v>
      </c>
      <c r="AD175" s="216">
        <f>AD$173*'Ethylene recycling rates'!AF89</f>
        <v>0</v>
      </c>
      <c r="AE175" s="216">
        <f>AE$173*'Ethylene recycling rates'!AG89</f>
        <v>0</v>
      </c>
      <c r="AF175" s="216">
        <f>AF$173*'Ethylene recycling rates'!AH89</f>
        <v>0</v>
      </c>
      <c r="AG175" s="216">
        <f>AG$173*'Ethylene recycling rates'!AI89</f>
        <v>0</v>
      </c>
      <c r="AH175" s="397">
        <f t="shared" si="156"/>
        <v>0</v>
      </c>
      <c r="AI175" s="126"/>
      <c r="AJ175" s="198"/>
      <c r="AL175" s="102"/>
      <c r="AM175" s="2"/>
      <c r="AN175" s="2"/>
      <c r="AO175" s="2"/>
      <c r="BC175" s="1"/>
      <c r="BD175" s="2"/>
      <c r="BE175" s="2"/>
      <c r="BF175" s="2"/>
      <c r="BG175" s="2"/>
      <c r="BH175" s="2"/>
      <c r="BI175" s="2"/>
      <c r="BJ175" s="2"/>
      <c r="BK175" s="2"/>
    </row>
    <row r="176" spans="1:63" outlineLevel="1">
      <c r="A176" s="4" t="s">
        <v>34</v>
      </c>
      <c r="C176" s="216">
        <f>C$173*'Ethylene recycling rates'!E90</f>
        <v>0</v>
      </c>
      <c r="D176" s="216">
        <f>D$173*'Ethylene recycling rates'!F90</f>
        <v>0</v>
      </c>
      <c r="E176" s="216">
        <f>E$173*'Ethylene recycling rates'!G90</f>
        <v>0</v>
      </c>
      <c r="F176" s="216">
        <f>F$173*'Ethylene recycling rates'!H90</f>
        <v>0</v>
      </c>
      <c r="G176" s="216">
        <f>G$173*'Ethylene recycling rates'!I90</f>
        <v>0</v>
      </c>
      <c r="H176" s="216">
        <f>H$173*'Ethylene recycling rates'!J90</f>
        <v>0</v>
      </c>
      <c r="I176" s="216">
        <f>I$173*'Ethylene recycling rates'!K90</f>
        <v>0</v>
      </c>
      <c r="J176" s="216">
        <f>J$173*'Ethylene recycling rates'!L90</f>
        <v>0</v>
      </c>
      <c r="K176" s="216">
        <f>K$173*'Ethylene recycling rates'!M90</f>
        <v>0</v>
      </c>
      <c r="L176" s="216">
        <f>L$173*'Ethylene recycling rates'!N90</f>
        <v>0</v>
      </c>
      <c r="M176" s="216">
        <f>M$173*'Ethylene recycling rates'!O90</f>
        <v>0</v>
      </c>
      <c r="N176" s="216">
        <f>N$173*'Ethylene recycling rates'!P90</f>
        <v>0</v>
      </c>
      <c r="O176" s="216">
        <f>O$173*'Ethylene recycling rates'!Q90</f>
        <v>0</v>
      </c>
      <c r="P176" s="216">
        <f>P$173*'Ethylene recycling rates'!R90</f>
        <v>0</v>
      </c>
      <c r="Q176" s="216">
        <f>Q$173*'Ethylene recycling rates'!S90</f>
        <v>0</v>
      </c>
      <c r="R176" s="216">
        <f>R$173*'Ethylene recycling rates'!T90</f>
        <v>0</v>
      </c>
      <c r="S176" s="216">
        <f>S$173*'Ethylene recycling rates'!U90</f>
        <v>0</v>
      </c>
      <c r="T176" s="216">
        <f>T$173*'Ethylene recycling rates'!V90</f>
        <v>0</v>
      </c>
      <c r="U176" s="216">
        <f>U$173*'Ethylene recycling rates'!W90</f>
        <v>0</v>
      </c>
      <c r="V176" s="216">
        <f>V$173*'Ethylene recycling rates'!X90</f>
        <v>0</v>
      </c>
      <c r="W176" s="216">
        <f>W$173*'Ethylene recycling rates'!Y90</f>
        <v>0</v>
      </c>
      <c r="X176" s="216">
        <f>X$173*'Ethylene recycling rates'!Z90</f>
        <v>0</v>
      </c>
      <c r="Y176" s="216">
        <f>Y$173*'Ethylene recycling rates'!AA90</f>
        <v>0</v>
      </c>
      <c r="Z176" s="216">
        <f>Z$173*'Ethylene recycling rates'!AB90</f>
        <v>0</v>
      </c>
      <c r="AA176" s="216">
        <f>AA$173*'Ethylene recycling rates'!AC90</f>
        <v>0</v>
      </c>
      <c r="AB176" s="216">
        <f>AB$173*'Ethylene recycling rates'!AD90</f>
        <v>0</v>
      </c>
      <c r="AC176" s="216">
        <f>AC$173*'Ethylene recycling rates'!AE90</f>
        <v>0</v>
      </c>
      <c r="AD176" s="216">
        <f>AD$173*'Ethylene recycling rates'!AF90</f>
        <v>0</v>
      </c>
      <c r="AE176" s="216">
        <f>AE$173*'Ethylene recycling rates'!AG90</f>
        <v>0</v>
      </c>
      <c r="AF176" s="216">
        <f>AF$173*'Ethylene recycling rates'!AH90</f>
        <v>0</v>
      </c>
      <c r="AG176" s="216">
        <f>AG$173*'Ethylene recycling rates'!AI90</f>
        <v>0</v>
      </c>
      <c r="AH176" s="397">
        <f t="shared" si="156"/>
        <v>0</v>
      </c>
      <c r="AI176" s="126"/>
      <c r="AJ176" s="198"/>
      <c r="AL176" s="102"/>
      <c r="AM176" s="2"/>
      <c r="AN176" s="2"/>
      <c r="AO176" s="2"/>
      <c r="BC176" s="1"/>
      <c r="BD176" s="2"/>
      <c r="BE176" s="2"/>
      <c r="BF176" s="2"/>
      <c r="BG176" s="2"/>
      <c r="BH176" s="2"/>
      <c r="BI176" s="2"/>
      <c r="BJ176" s="2"/>
      <c r="BK176" s="2"/>
    </row>
    <row r="177" spans="1:63" outlineLevel="1">
      <c r="A177" s="4" t="s">
        <v>35</v>
      </c>
      <c r="C177" s="623">
        <f>C$173*'Ethylene recycling rates'!E91</f>
        <v>556.32105161066499</v>
      </c>
      <c r="D177" s="216">
        <f>D$173*'Ethylene recycling rates'!F91</f>
        <v>669.32528773418255</v>
      </c>
      <c r="E177" s="216">
        <f>E$173*'Ethylene recycling rates'!G91</f>
        <v>789.93849580709445</v>
      </c>
      <c r="F177" s="216">
        <f>F$173*'Ethylene recycling rates'!H91</f>
        <v>918.1606758294007</v>
      </c>
      <c r="G177" s="216">
        <f>G$173*'Ethylene recycling rates'!I91</f>
        <v>1053.991827801101</v>
      </c>
      <c r="H177" s="216">
        <f>H$173*'Ethylene recycling rates'!J91</f>
        <v>1197.4319517221957</v>
      </c>
      <c r="I177" s="216">
        <f>I$173*'Ethylene recycling rates'!K91</f>
        <v>1306.8129832220707</v>
      </c>
      <c r="J177" s="216">
        <f>J$173*'Ethylene recycling rates'!L91</f>
        <v>1413.997918080071</v>
      </c>
      <c r="K177" s="216">
        <f>K$173*'Ethylene recycling rates'!M91</f>
        <v>1518.2814045964881</v>
      </c>
      <c r="L177" s="216">
        <f>L$173*'Ethylene recycling rates'!N91</f>
        <v>1618.9580910716134</v>
      </c>
      <c r="M177" s="216">
        <f>M$173*'Ethylene recycling rates'!O91</f>
        <v>1715.3226258057368</v>
      </c>
      <c r="N177" s="216">
        <f>N$173*'Ethylene recycling rates'!P91</f>
        <v>1856.1640885698814</v>
      </c>
      <c r="O177" s="216">
        <f>O$173*'Ethylene recycling rates'!Q91</f>
        <v>1992.9318844892186</v>
      </c>
      <c r="P177" s="216">
        <f>P$173*'Ethylene recycling rates'!R91</f>
        <v>2124.2814368861791</v>
      </c>
      <c r="Q177" s="216">
        <f>Q$173*'Ethylene recycling rates'!S91</f>
        <v>2248.8681690831922</v>
      </c>
      <c r="R177" s="216">
        <f>R$173*'Ethylene recycling rates'!T91</f>
        <v>2365.3475044026882</v>
      </c>
      <c r="S177" s="216">
        <f>S$173*'Ethylene recycling rates'!U91</f>
        <v>2506.458506952009</v>
      </c>
      <c r="T177" s="216">
        <f>T$173*'Ethylene recycling rates'!V91</f>
        <v>2642.904189037245</v>
      </c>
      <c r="U177" s="216">
        <f>U$173*'Ethylene recycling rates'!W91</f>
        <v>2773.735949636678</v>
      </c>
      <c r="V177" s="216">
        <f>V$173*'Ethylene recycling rates'!X91</f>
        <v>2898.005187728595</v>
      </c>
      <c r="W177" s="216">
        <f>W$173*'Ethylene recycling rates'!Y91</f>
        <v>3014.7633022912787</v>
      </c>
      <c r="X177" s="216">
        <f>X$173*'Ethylene recycling rates'!Z91</f>
        <v>3209.7149580529945</v>
      </c>
      <c r="Y177" s="216">
        <f>Y$173*'Ethylene recycling rates'!AA91</f>
        <v>3394.5440701230282</v>
      </c>
      <c r="Z177" s="216">
        <f>Z$173*'Ethylene recycling rates'!AB91</f>
        <v>3567.5695733996058</v>
      </c>
      <c r="AA177" s="216">
        <f>AA$173*'Ethylene recycling rates'!AC91</f>
        <v>3727.1104027809542</v>
      </c>
      <c r="AB177" s="216">
        <f>AB$173*'Ethylene recycling rates'!AD91</f>
        <v>3871.4854931652944</v>
      </c>
      <c r="AC177" s="216">
        <f>AC$173*'Ethylene recycling rates'!AE91</f>
        <v>3959.1299984057996</v>
      </c>
      <c r="AD177" s="216">
        <f>AD$173*'Ethylene recycling rates'!AF91</f>
        <v>4021.9123619554584</v>
      </c>
      <c r="AE177" s="216">
        <f>AE$173*'Ethylene recycling rates'!AG91</f>
        <v>4057.8045098612147</v>
      </c>
      <c r="AF177" s="216">
        <f>AF$173*'Ethylene recycling rates'!AH91</f>
        <v>4064.7783681700075</v>
      </c>
      <c r="AG177" s="216">
        <f>AG$173*'Ethylene recycling rates'!AI91</f>
        <v>4384.2378259625084</v>
      </c>
      <c r="AH177" s="397">
        <f t="shared" si="156"/>
        <v>3827.9167743518433</v>
      </c>
      <c r="AI177" s="126"/>
      <c r="AJ177" s="198"/>
      <c r="AL177" s="102"/>
      <c r="AM177" s="2"/>
      <c r="AN177" s="2"/>
      <c r="AO177" s="2"/>
      <c r="BC177" s="1"/>
      <c r="BD177" s="2"/>
      <c r="BE177" s="2"/>
      <c r="BF177" s="2"/>
      <c r="BG177" s="2"/>
      <c r="BH177" s="2"/>
      <c r="BI177" s="2"/>
      <c r="BJ177" s="2"/>
      <c r="BK177" s="2"/>
    </row>
    <row r="178" spans="1:63" outlineLevel="1">
      <c r="A178" s="4" t="s">
        <v>27</v>
      </c>
      <c r="C178" s="216">
        <f>C$173*'Ethylene recycling rates'!E92</f>
        <v>5.5312069916467407E-2</v>
      </c>
      <c r="D178" s="216">
        <f>D$173*'Ethylene recycling rates'!F92</f>
        <v>6.6547485493901534E-2</v>
      </c>
      <c r="E178" s="216">
        <f>E$173*'Ethylene recycling rates'!G92</f>
        <v>7.8539421047056218E-2</v>
      </c>
      <c r="F178" s="216">
        <f>F$173*'Ethylene recycling rates'!H92</f>
        <v>9.1287876575931459E-2</v>
      </c>
      <c r="G178" s="216">
        <f>G$173*'Ethylene recycling rates'!I92</f>
        <v>0.10479285208052724</v>
      </c>
      <c r="H178" s="216">
        <f>H$173*'Ethylene recycling rates'!J92</f>
        <v>0.1190543475608436</v>
      </c>
      <c r="I178" s="216">
        <f>I$173*'Ethylene recycling rates'!K92</f>
        <v>0.1299295269996589</v>
      </c>
      <c r="J178" s="216">
        <f>J$173*'Ethylene recycling rates'!L92</f>
        <v>0.14058636012451214</v>
      </c>
      <c r="K178" s="216">
        <f>K$173*'Ethylene recycling rates'!M92</f>
        <v>0.15095471753365403</v>
      </c>
      <c r="L178" s="216">
        <f>L$173*'Ethylene recycling rates'!N92</f>
        <v>0.1609644698253353</v>
      </c>
      <c r="M178" s="216">
        <f>M$173*'Ethylene recycling rates'!O92</f>
        <v>0.17054548759780658</v>
      </c>
      <c r="N178" s="216">
        <f>N$173*'Ethylene recycling rates'!P92</f>
        <v>0.1845486118962554</v>
      </c>
      <c r="O178" s="216">
        <f>O$173*'Ethylene recycling rates'!Q92</f>
        <v>0.19814671297172171</v>
      </c>
      <c r="P178" s="216">
        <f>P$173*'Ethylene recycling rates'!R92</f>
        <v>0.21120610665212095</v>
      </c>
      <c r="Q178" s="216">
        <f>Q$173*'Ethylene recycling rates'!S92</f>
        <v>0.22359310876536845</v>
      </c>
      <c r="R178" s="216">
        <f>R$173*'Ethylene recycling rates'!T92</f>
        <v>0.23517403513937971</v>
      </c>
      <c r="S178" s="216">
        <f>S$173*'Ethylene recycling rates'!U92</f>
        <v>0.24920395835798403</v>
      </c>
      <c r="T178" s="216">
        <f>T$173*'Ethylene recycling rates'!V92</f>
        <v>0.26277003335271637</v>
      </c>
      <c r="U178" s="216">
        <f>U$173*'Ethylene recycling rates'!W92</f>
        <v>0.27577794572385345</v>
      </c>
      <c r="V178" s="216">
        <f>V$173*'Ethylene recycling rates'!X92</f>
        <v>0.28813338107167252</v>
      </c>
      <c r="W178" s="216">
        <f>W$173*'Ethylene recycling rates'!Y92</f>
        <v>0.2997420249964502</v>
      </c>
      <c r="X178" s="216">
        <f>X$173*'Ethylene recycling rates'!Z92</f>
        <v>0.3191250405817917</v>
      </c>
      <c r="Y178" s="216">
        <f>Y$173*'Ethylene recycling rates'!AA92</f>
        <v>0.3375016250015575</v>
      </c>
      <c r="Z178" s="216">
        <f>Z$173*'Ethylene recycling rates'!AB92</f>
        <v>0.35470463881320052</v>
      </c>
      <c r="AA178" s="216">
        <f>AA$173*'Ethylene recycling rates'!AC92</f>
        <v>0.37056694257417361</v>
      </c>
      <c r="AB178" s="216">
        <f>AB$173*'Ethylene recycling rates'!AD92</f>
        <v>0.38492139684192905</v>
      </c>
      <c r="AC178" s="216">
        <f>AC$173*'Ethylene recycling rates'!AE92</f>
        <v>0.39363542804319612</v>
      </c>
      <c r="AD178" s="216">
        <f>AD$173*'Ethylene recycling rates'!AF92</f>
        <v>0.39987754753899057</v>
      </c>
      <c r="AE178" s="216">
        <f>AE$173*'Ethylene recycling rates'!AG92</f>
        <v>0.40344611462568913</v>
      </c>
      <c r="AF178" s="216">
        <f>AF$173*'Ethylene recycling rates'!AH92</f>
        <v>0.4041394885996682</v>
      </c>
      <c r="AG178" s="216">
        <f>AG$173*'Ethylene recycling rates'!AI92</f>
        <v>0.43590165868785269</v>
      </c>
      <c r="AH178" s="397">
        <f t="shared" si="156"/>
        <v>0.38058958877138527</v>
      </c>
      <c r="AI178" s="126"/>
      <c r="AJ178" s="198"/>
      <c r="AL178" s="102"/>
      <c r="AM178" s="2"/>
      <c r="AN178" s="2"/>
      <c r="AO178" s="2"/>
      <c r="BC178" s="1"/>
      <c r="BD178" s="2"/>
      <c r="BE178" s="2"/>
      <c r="BF178" s="2"/>
      <c r="BG178" s="2"/>
      <c r="BH178" s="2"/>
      <c r="BI178" s="2"/>
      <c r="BJ178" s="2"/>
      <c r="BK178" s="2"/>
    </row>
    <row r="179" spans="1:63" s="1" customFormat="1" outlineLevel="1">
      <c r="A179" s="1" t="s">
        <v>829</v>
      </c>
      <c r="B179" s="61"/>
      <c r="C179" s="279">
        <f>C170*C45</f>
        <v>5285.575454965523</v>
      </c>
      <c r="D179" s="279">
        <f t="shared" ref="D179:AG179" si="157">D170*D45</f>
        <v>5481.0454830823992</v>
      </c>
      <c r="E179" s="279">
        <f t="shared" si="157"/>
        <v>5672.7106469645887</v>
      </c>
      <c r="F179" s="279">
        <f t="shared" si="157"/>
        <v>5860.5709466120952</v>
      </c>
      <c r="G179" s="279">
        <f t="shared" si="157"/>
        <v>6044.626382024916</v>
      </c>
      <c r="H179" s="279">
        <f t="shared" si="157"/>
        <v>6224.8769532030501</v>
      </c>
      <c r="I179" s="279">
        <f t="shared" si="157"/>
        <v>6203.521789947974</v>
      </c>
      <c r="J179" s="279">
        <f t="shared" si="157"/>
        <v>6167.6925583788116</v>
      </c>
      <c r="K179" s="279">
        <f t="shared" si="157"/>
        <v>6117.7419694101163</v>
      </c>
      <c r="L179" s="279">
        <f t="shared" si="157"/>
        <v>6054.0227339564472</v>
      </c>
      <c r="M179" s="279">
        <f t="shared" si="157"/>
        <v>5976.8875629323556</v>
      </c>
      <c r="N179" s="279">
        <f t="shared" si="157"/>
        <v>6047.9573506378883</v>
      </c>
      <c r="O179" s="279">
        <f t="shared" si="157"/>
        <v>6091.3796188305914</v>
      </c>
      <c r="P179" s="279">
        <f t="shared" si="157"/>
        <v>6107.8267226913367</v>
      </c>
      <c r="Q179" s="279">
        <f t="shared" si="157"/>
        <v>6097.9710174009942</v>
      </c>
      <c r="R179" s="279">
        <f t="shared" si="157"/>
        <v>6062.4848581404358</v>
      </c>
      <c r="S179" s="279">
        <f t="shared" si="157"/>
        <v>6084.7834715657964</v>
      </c>
      <c r="T179" s="279">
        <f t="shared" si="157"/>
        <v>6088.4724752463035</v>
      </c>
      <c r="U179" s="279">
        <f t="shared" si="157"/>
        <v>6074.0262168500094</v>
      </c>
      <c r="V179" s="279">
        <f t="shared" si="157"/>
        <v>6041.9190440449775</v>
      </c>
      <c r="W179" s="279">
        <f t="shared" si="157"/>
        <v>5992.6253044992627</v>
      </c>
      <c r="X179" s="279">
        <f t="shared" si="157"/>
        <v>6091.0608368842268</v>
      </c>
      <c r="Y179" s="279">
        <f t="shared" si="157"/>
        <v>6157.4448498224911</v>
      </c>
      <c r="Z179" s="279">
        <f t="shared" si="157"/>
        <v>6192.6179594346677</v>
      </c>
      <c r="AA179" s="279">
        <f t="shared" si="157"/>
        <v>6197.420781841367</v>
      </c>
      <c r="AB179" s="279">
        <f t="shared" si="157"/>
        <v>6172.6939331631957</v>
      </c>
      <c r="AC179" s="279">
        <f t="shared" si="157"/>
        <v>6058.2479959816637</v>
      </c>
      <c r="AD179" s="279">
        <f t="shared" si="157"/>
        <v>5911.4600699333487</v>
      </c>
      <c r="AE179" s="279">
        <f t="shared" si="157"/>
        <v>5733.3442928151399</v>
      </c>
      <c r="AF179" s="279">
        <f t="shared" si="157"/>
        <v>5524.9148024239166</v>
      </c>
      <c r="AG179" s="279">
        <f t="shared" si="157"/>
        <v>5115.452682224729</v>
      </c>
      <c r="AH179" s="397"/>
      <c r="AI179" s="398"/>
      <c r="AJ179" s="399"/>
      <c r="AL179" s="207"/>
      <c r="AM179" s="118"/>
      <c r="AN179" s="118"/>
      <c r="AO179" s="118"/>
      <c r="BD179" s="118"/>
      <c r="BE179" s="118"/>
      <c r="BF179" s="118"/>
      <c r="BG179" s="118"/>
      <c r="BH179" s="118"/>
      <c r="BI179" s="118"/>
      <c r="BJ179" s="118"/>
      <c r="BK179" s="118"/>
    </row>
    <row r="180" spans="1:63" outlineLevel="1">
      <c r="A180" s="4" t="s">
        <v>141</v>
      </c>
      <c r="C180" s="216">
        <f>C$179*'Ethylene recycling rates'!E93</f>
        <v>0</v>
      </c>
      <c r="D180" s="216">
        <f>D$179*'Ethylene recycling rates'!F93</f>
        <v>0</v>
      </c>
      <c r="E180" s="216">
        <f>E$179*'Ethylene recycling rates'!G93</f>
        <v>0</v>
      </c>
      <c r="F180" s="216">
        <f>F$179*'Ethylene recycling rates'!H93</f>
        <v>0</v>
      </c>
      <c r="G180" s="216">
        <f>G$179*'Ethylene recycling rates'!I93</f>
        <v>0</v>
      </c>
      <c r="H180" s="216">
        <f>H$179*'Ethylene recycling rates'!J93</f>
        <v>0</v>
      </c>
      <c r="I180" s="216">
        <f>I$179*'Ethylene recycling rates'!K93</f>
        <v>0</v>
      </c>
      <c r="J180" s="216">
        <f>J$179*'Ethylene recycling rates'!L93</f>
        <v>0</v>
      </c>
      <c r="K180" s="216">
        <f>K$179*'Ethylene recycling rates'!M93</f>
        <v>0</v>
      </c>
      <c r="L180" s="216">
        <f>L$179*'Ethylene recycling rates'!N93</f>
        <v>0</v>
      </c>
      <c r="M180" s="216">
        <f>M$179*'Ethylene recycling rates'!O93</f>
        <v>0</v>
      </c>
      <c r="N180" s="216">
        <f>N$179*'Ethylene recycling rates'!P93</f>
        <v>0</v>
      </c>
      <c r="O180" s="216">
        <f>O$179*'Ethylene recycling rates'!Q93</f>
        <v>0</v>
      </c>
      <c r="P180" s="216">
        <f>P$179*'Ethylene recycling rates'!R93</f>
        <v>0</v>
      </c>
      <c r="Q180" s="216">
        <f>Q$179*'Ethylene recycling rates'!S93</f>
        <v>0</v>
      </c>
      <c r="R180" s="216">
        <f>R$179*'Ethylene recycling rates'!T93</f>
        <v>0</v>
      </c>
      <c r="S180" s="216">
        <f>S$179*'Ethylene recycling rates'!U93</f>
        <v>0</v>
      </c>
      <c r="T180" s="216">
        <f>T$179*'Ethylene recycling rates'!V93</f>
        <v>0</v>
      </c>
      <c r="U180" s="216">
        <f>U$179*'Ethylene recycling rates'!W93</f>
        <v>0</v>
      </c>
      <c r="V180" s="216">
        <f>V$179*'Ethylene recycling rates'!X93</f>
        <v>0</v>
      </c>
      <c r="W180" s="216">
        <f>W$179*'Ethylene recycling rates'!Y93</f>
        <v>0</v>
      </c>
      <c r="X180" s="216">
        <f>X$179*'Ethylene recycling rates'!Z93</f>
        <v>0</v>
      </c>
      <c r="Y180" s="216">
        <f>Y$179*'Ethylene recycling rates'!AA93</f>
        <v>0</v>
      </c>
      <c r="Z180" s="216">
        <f>Z$179*'Ethylene recycling rates'!AB93</f>
        <v>0</v>
      </c>
      <c r="AA180" s="216">
        <f>AA$179*'Ethylene recycling rates'!AC93</f>
        <v>0</v>
      </c>
      <c r="AB180" s="216">
        <f>AB$179*'Ethylene recycling rates'!AD93</f>
        <v>0</v>
      </c>
      <c r="AC180" s="216">
        <f>AC$179*'Ethylene recycling rates'!AE93</f>
        <v>0</v>
      </c>
      <c r="AD180" s="216">
        <f>AD$179*'Ethylene recycling rates'!AF93</f>
        <v>0</v>
      </c>
      <c r="AE180" s="216">
        <f>AE$179*'Ethylene recycling rates'!AG93</f>
        <v>0</v>
      </c>
      <c r="AF180" s="216">
        <f>AF$179*'Ethylene recycling rates'!AH93</f>
        <v>0</v>
      </c>
      <c r="AG180" s="216">
        <f>AG$179*'Ethylene recycling rates'!AI93</f>
        <v>0</v>
      </c>
      <c r="AH180" s="230"/>
      <c r="AI180" s="126"/>
      <c r="AJ180" s="198"/>
      <c r="AL180" s="102"/>
      <c r="AM180" s="2"/>
      <c r="AN180" s="2"/>
      <c r="AO180" s="2"/>
      <c r="BC180" s="1"/>
      <c r="BD180" s="2"/>
      <c r="BE180" s="2"/>
      <c r="BF180" s="2"/>
      <c r="BG180" s="2"/>
      <c r="BH180" s="2"/>
      <c r="BI180" s="2"/>
      <c r="BJ180" s="2"/>
      <c r="BK180" s="2"/>
    </row>
    <row r="181" spans="1:63" outlineLevel="1">
      <c r="A181" s="4" t="s">
        <v>74</v>
      </c>
      <c r="C181" s="216">
        <f>C$179*'Ethylene recycling rates'!E94</f>
        <v>0</v>
      </c>
      <c r="D181" s="216">
        <f>D$179*'Ethylene recycling rates'!F94</f>
        <v>0</v>
      </c>
      <c r="E181" s="216">
        <f>E$179*'Ethylene recycling rates'!G94</f>
        <v>0</v>
      </c>
      <c r="F181" s="216">
        <f>F$179*'Ethylene recycling rates'!H94</f>
        <v>0</v>
      </c>
      <c r="G181" s="216">
        <f>G$179*'Ethylene recycling rates'!I94</f>
        <v>0</v>
      </c>
      <c r="H181" s="216">
        <f>H$179*'Ethylene recycling rates'!J94</f>
        <v>0</v>
      </c>
      <c r="I181" s="216">
        <f>I$179*'Ethylene recycling rates'!K94</f>
        <v>0</v>
      </c>
      <c r="J181" s="216">
        <f>J$179*'Ethylene recycling rates'!L94</f>
        <v>0</v>
      </c>
      <c r="K181" s="216">
        <f>K$179*'Ethylene recycling rates'!M94</f>
        <v>0</v>
      </c>
      <c r="L181" s="216">
        <f>L$179*'Ethylene recycling rates'!N94</f>
        <v>0</v>
      </c>
      <c r="M181" s="216">
        <f>M$179*'Ethylene recycling rates'!O94</f>
        <v>0</v>
      </c>
      <c r="N181" s="216">
        <f>N$179*'Ethylene recycling rates'!P94</f>
        <v>0</v>
      </c>
      <c r="O181" s="216">
        <f>O$179*'Ethylene recycling rates'!Q94</f>
        <v>0</v>
      </c>
      <c r="P181" s="216">
        <f>P$179*'Ethylene recycling rates'!R94</f>
        <v>0</v>
      </c>
      <c r="Q181" s="216">
        <f>Q$179*'Ethylene recycling rates'!S94</f>
        <v>0</v>
      </c>
      <c r="R181" s="216">
        <f>R$179*'Ethylene recycling rates'!T94</f>
        <v>0</v>
      </c>
      <c r="S181" s="216">
        <f>S$179*'Ethylene recycling rates'!U94</f>
        <v>0</v>
      </c>
      <c r="T181" s="216">
        <f>T$179*'Ethylene recycling rates'!V94</f>
        <v>0</v>
      </c>
      <c r="U181" s="216">
        <f>U$179*'Ethylene recycling rates'!W94</f>
        <v>0</v>
      </c>
      <c r="V181" s="216">
        <f>V$179*'Ethylene recycling rates'!X94</f>
        <v>0</v>
      </c>
      <c r="W181" s="216">
        <f>W$179*'Ethylene recycling rates'!Y94</f>
        <v>0</v>
      </c>
      <c r="X181" s="216">
        <f>X$179*'Ethylene recycling rates'!Z94</f>
        <v>0</v>
      </c>
      <c r="Y181" s="216">
        <f>Y$179*'Ethylene recycling rates'!AA94</f>
        <v>0</v>
      </c>
      <c r="Z181" s="216">
        <f>Z$179*'Ethylene recycling rates'!AB94</f>
        <v>0</v>
      </c>
      <c r="AA181" s="216">
        <f>AA$179*'Ethylene recycling rates'!AC94</f>
        <v>0</v>
      </c>
      <c r="AB181" s="216">
        <f>AB$179*'Ethylene recycling rates'!AD94</f>
        <v>0</v>
      </c>
      <c r="AC181" s="216">
        <f>AC$179*'Ethylene recycling rates'!AE94</f>
        <v>0</v>
      </c>
      <c r="AD181" s="216">
        <f>AD$179*'Ethylene recycling rates'!AF94</f>
        <v>0</v>
      </c>
      <c r="AE181" s="216">
        <f>AE$179*'Ethylene recycling rates'!AG94</f>
        <v>0</v>
      </c>
      <c r="AF181" s="216">
        <f>AF$179*'Ethylene recycling rates'!AH94</f>
        <v>0</v>
      </c>
      <c r="AG181" s="216">
        <f>AG$179*'Ethylene recycling rates'!AI94</f>
        <v>0</v>
      </c>
      <c r="AH181" s="230"/>
      <c r="AI181" s="126"/>
      <c r="AJ181" s="198"/>
      <c r="AL181" s="102"/>
      <c r="AM181" s="2"/>
      <c r="AN181" s="2"/>
      <c r="AO181" s="2"/>
      <c r="BC181" s="1"/>
      <c r="BD181" s="2"/>
      <c r="BE181" s="2"/>
      <c r="BF181" s="2"/>
      <c r="BG181" s="2"/>
      <c r="BH181" s="2"/>
      <c r="BI181" s="2"/>
      <c r="BJ181" s="2"/>
      <c r="BK181" s="2"/>
    </row>
    <row r="182" spans="1:63" outlineLevel="1">
      <c r="A182" s="4" t="s">
        <v>34</v>
      </c>
      <c r="C182" s="216">
        <f>C$179*'Ethylene recycling rates'!E95</f>
        <v>0</v>
      </c>
      <c r="D182" s="216">
        <f>D$179*'Ethylene recycling rates'!F95</f>
        <v>0</v>
      </c>
      <c r="E182" s="216">
        <f>E$179*'Ethylene recycling rates'!G95</f>
        <v>0</v>
      </c>
      <c r="F182" s="216">
        <f>F$179*'Ethylene recycling rates'!H95</f>
        <v>0</v>
      </c>
      <c r="G182" s="216">
        <f>G$179*'Ethylene recycling rates'!I95</f>
        <v>0</v>
      </c>
      <c r="H182" s="216">
        <f>H$179*'Ethylene recycling rates'!J95</f>
        <v>0</v>
      </c>
      <c r="I182" s="216">
        <f>I$179*'Ethylene recycling rates'!K95</f>
        <v>0</v>
      </c>
      <c r="J182" s="216">
        <f>J$179*'Ethylene recycling rates'!L95</f>
        <v>0</v>
      </c>
      <c r="K182" s="216">
        <f>K$179*'Ethylene recycling rates'!M95</f>
        <v>0</v>
      </c>
      <c r="L182" s="216">
        <f>L$179*'Ethylene recycling rates'!N95</f>
        <v>0</v>
      </c>
      <c r="M182" s="216">
        <f>M$179*'Ethylene recycling rates'!O95</f>
        <v>0</v>
      </c>
      <c r="N182" s="216">
        <f>N$179*'Ethylene recycling rates'!P95</f>
        <v>0</v>
      </c>
      <c r="O182" s="216">
        <f>O$179*'Ethylene recycling rates'!Q95</f>
        <v>0</v>
      </c>
      <c r="P182" s="216">
        <f>P$179*'Ethylene recycling rates'!R95</f>
        <v>0</v>
      </c>
      <c r="Q182" s="216">
        <f>Q$179*'Ethylene recycling rates'!S95</f>
        <v>0</v>
      </c>
      <c r="R182" s="216">
        <f>R$179*'Ethylene recycling rates'!T95</f>
        <v>0</v>
      </c>
      <c r="S182" s="216">
        <f>S$179*'Ethylene recycling rates'!U95</f>
        <v>0</v>
      </c>
      <c r="T182" s="216">
        <f>T$179*'Ethylene recycling rates'!V95</f>
        <v>0</v>
      </c>
      <c r="U182" s="216">
        <f>U$179*'Ethylene recycling rates'!W95</f>
        <v>0</v>
      </c>
      <c r="V182" s="216">
        <f>V$179*'Ethylene recycling rates'!X95</f>
        <v>0</v>
      </c>
      <c r="W182" s="216">
        <f>W$179*'Ethylene recycling rates'!Y95</f>
        <v>0</v>
      </c>
      <c r="X182" s="216">
        <f>X$179*'Ethylene recycling rates'!Z95</f>
        <v>0</v>
      </c>
      <c r="Y182" s="216">
        <f>Y$179*'Ethylene recycling rates'!AA95</f>
        <v>0</v>
      </c>
      <c r="Z182" s="216">
        <f>Z$179*'Ethylene recycling rates'!AB95</f>
        <v>0</v>
      </c>
      <c r="AA182" s="216">
        <f>AA$179*'Ethylene recycling rates'!AC95</f>
        <v>0</v>
      </c>
      <c r="AB182" s="216">
        <f>AB$179*'Ethylene recycling rates'!AD95</f>
        <v>0</v>
      </c>
      <c r="AC182" s="216">
        <f>AC$179*'Ethylene recycling rates'!AE95</f>
        <v>0</v>
      </c>
      <c r="AD182" s="216">
        <f>AD$179*'Ethylene recycling rates'!AF95</f>
        <v>0</v>
      </c>
      <c r="AE182" s="216">
        <f>AE$179*'Ethylene recycling rates'!AG95</f>
        <v>0</v>
      </c>
      <c r="AF182" s="216">
        <f>AF$179*'Ethylene recycling rates'!AH95</f>
        <v>0</v>
      </c>
      <c r="AG182" s="216">
        <f>AG$179*'Ethylene recycling rates'!AI95</f>
        <v>0</v>
      </c>
      <c r="AH182" s="230"/>
      <c r="AI182" s="126"/>
      <c r="AJ182" s="198"/>
      <c r="AL182" s="102"/>
      <c r="AM182" s="2"/>
      <c r="AN182" s="2"/>
      <c r="AO182" s="2"/>
      <c r="BC182" s="1"/>
      <c r="BD182" s="2"/>
      <c r="BE182" s="2"/>
      <c r="BF182" s="2"/>
      <c r="BG182" s="2"/>
      <c r="BH182" s="2"/>
      <c r="BI182" s="2"/>
      <c r="BJ182" s="2"/>
      <c r="BK182" s="2"/>
    </row>
    <row r="183" spans="1:63" outlineLevel="1">
      <c r="A183" s="4" t="s">
        <v>35</v>
      </c>
      <c r="C183" s="216">
        <f>C$179*'Ethylene recycling rates'!E96</f>
        <v>5285.049990301316</v>
      </c>
      <c r="D183" s="216">
        <f>D$179*'Ethylene recycling rates'!F96</f>
        <v>5480.5005857956594</v>
      </c>
      <c r="E183" s="216">
        <f>E$179*'Ethylene recycling rates'!G96</f>
        <v>5672.1466953153031</v>
      </c>
      <c r="F183" s="216">
        <f>F$179*'Ethylene recycling rates'!H96</f>
        <v>5859.9883188602525</v>
      </c>
      <c r="G183" s="216">
        <f>G$179*'Ethylene recycling rates'!I96</f>
        <v>6044.0254564305042</v>
      </c>
      <c r="H183" s="216">
        <f>H$179*'Ethylene recycling rates'!J96</f>
        <v>6224.2581080260561</v>
      </c>
      <c r="I183" s="216">
        <f>I$179*'Ethylene recycling rates'!K96</f>
        <v>6202.9050677912237</v>
      </c>
      <c r="J183" s="216">
        <f>J$179*'Ethylene recycling rates'!L96</f>
        <v>6167.0793981795614</v>
      </c>
      <c r="K183" s="216">
        <f>K$179*'Ethylene recycling rates'!M96</f>
        <v>6117.133775040922</v>
      </c>
      <c r="L183" s="216">
        <f>L$179*'Ethylene recycling rates'!N96</f>
        <v>6053.4208742251649</v>
      </c>
      <c r="M183" s="216">
        <f>M$179*'Ethylene recycling rates'!O96</f>
        <v>5976.2933715821391</v>
      </c>
      <c r="N183" s="216">
        <f>N$179*'Ethylene recycling rates'!P96</f>
        <v>6047.356093895748</v>
      </c>
      <c r="O183" s="216">
        <f>O$179*'Ethylene recycling rates'!Q96</f>
        <v>6090.774045270392</v>
      </c>
      <c r="P183" s="216">
        <f>P$179*'Ethylene recycling rates'!R96</f>
        <v>6107.2195140448575</v>
      </c>
      <c r="Q183" s="216">
        <f>Q$179*'Ethylene recycling rates'!S96</f>
        <v>6097.3647885579285</v>
      </c>
      <c r="R183" s="216">
        <f>R$179*'Ethylene recycling rates'!T96</f>
        <v>6061.8821571483895</v>
      </c>
      <c r="S183" s="216">
        <f>S$179*'Ethylene recycling rates'!U96</f>
        <v>6084.1785537605547</v>
      </c>
      <c r="T183" s="216">
        <f>T$179*'Ethylene recycling rates'!V96</f>
        <v>6087.8671906993332</v>
      </c>
      <c r="U183" s="216">
        <f>U$179*'Ethylene recycling rates'!W96</f>
        <v>6073.4223684755771</v>
      </c>
      <c r="V183" s="216">
        <f>V$179*'Ethylene recycling rates'!X96</f>
        <v>6041.3183876001503</v>
      </c>
      <c r="W183" s="216">
        <f>W$179*'Ethylene recycling rates'!Y96</f>
        <v>5992.0295485839088</v>
      </c>
      <c r="X183" s="216">
        <f>X$179*'Ethylene recycling rates'!Z96</f>
        <v>6090.4552950156858</v>
      </c>
      <c r="Y183" s="216">
        <f>Y$179*'Ethylene recycling rates'!AA96</f>
        <v>6156.8327083975973</v>
      </c>
      <c r="Z183" s="216">
        <f>Z$179*'Ethylene recycling rates'!AB96</f>
        <v>6192.0023212805363</v>
      </c>
      <c r="AA183" s="216">
        <f>AA$179*'Ethylene recycling rates'!AC96</f>
        <v>6196.8046662153911</v>
      </c>
      <c r="AB183" s="216">
        <f>AB$179*'Ethylene recycling rates'!AD96</f>
        <v>6172.0802757530464</v>
      </c>
      <c r="AC183" s="216">
        <f>AC$179*'Ethylene recycling rates'!AE96</f>
        <v>6057.6457161966127</v>
      </c>
      <c r="AD183" s="216">
        <f>AD$179*'Ethylene recycling rates'!AF96</f>
        <v>5910.8723830472027</v>
      </c>
      <c r="AE183" s="216">
        <f>AE$179*'Ethylene recycling rates'!AG96</f>
        <v>5732.7743132813548</v>
      </c>
      <c r="AF183" s="216">
        <f>AF$179*'Ethylene recycling rates'!AH96</f>
        <v>5524.3655438755977</v>
      </c>
      <c r="AG183" s="216">
        <f>AG$179*'Ethylene recycling rates'!AI96</f>
        <v>5114.944130289593</v>
      </c>
      <c r="AH183" s="230"/>
      <c r="AI183" s="126"/>
      <c r="AJ183" s="198"/>
      <c r="AL183" s="102"/>
      <c r="AM183" s="2"/>
      <c r="AN183" s="2"/>
      <c r="AO183" s="2"/>
      <c r="BC183" s="1"/>
      <c r="BD183" s="2"/>
      <c r="BE183" s="2"/>
      <c r="BF183" s="2"/>
      <c r="BG183" s="2"/>
      <c r="BH183" s="2"/>
      <c r="BI183" s="2"/>
      <c r="BJ183" s="2"/>
      <c r="BK183" s="2"/>
    </row>
    <row r="184" spans="1:63" outlineLevel="1">
      <c r="A184" s="4" t="s">
        <v>27</v>
      </c>
      <c r="C184" s="216">
        <f>C$179*'Ethylene recycling rates'!E97</f>
        <v>0.52546466420644034</v>
      </c>
      <c r="D184" s="216">
        <f>D$179*'Ethylene recycling rates'!F97</f>
        <v>0.54489728673959603</v>
      </c>
      <c r="E184" s="216">
        <f>E$179*'Ethylene recycling rates'!G97</f>
        <v>0.56395164928489128</v>
      </c>
      <c r="F184" s="216">
        <f>F$179*'Ethylene recycling rates'!H97</f>
        <v>0.58262775184232651</v>
      </c>
      <c r="G184" s="216">
        <f>G$179*'Ethylene recycling rates'!I97</f>
        <v>0.6009255944119013</v>
      </c>
      <c r="H184" s="216">
        <f>H$179*'Ethylene recycling rates'!J97</f>
        <v>0.61884517699361574</v>
      </c>
      <c r="I184" s="216">
        <f>I$179*'Ethylene recycling rates'!K97</f>
        <v>0.61672215675021713</v>
      </c>
      <c r="J184" s="216">
        <f>J$179*'Ethylene recycling rates'!L97</f>
        <v>0.61316019924990794</v>
      </c>
      <c r="K184" s="216">
        <f>K$179*'Ethylene recycling rates'!M97</f>
        <v>0.60819436919356251</v>
      </c>
      <c r="L184" s="216">
        <f>L$179*'Ethylene recycling rates'!N97</f>
        <v>0.60185973128205594</v>
      </c>
      <c r="M184" s="216">
        <f>M$179*'Ethylene recycling rates'!O97</f>
        <v>0.59419135021626246</v>
      </c>
      <c r="N184" s="216">
        <f>N$179*'Ethylene recycling rates'!P97</f>
        <v>0.60125674214001734</v>
      </c>
      <c r="O184" s="216">
        <f>O$179*'Ethylene recycling rates'!Q97</f>
        <v>0.60557356019878239</v>
      </c>
      <c r="P184" s="216">
        <f>P$179*'Ethylene recycling rates'!R97</f>
        <v>0.60720864647860007</v>
      </c>
      <c r="Q184" s="216">
        <f>Q$179*'Ethylene recycling rates'!S97</f>
        <v>0.60622884306551239</v>
      </c>
      <c r="R184" s="216">
        <f>R$179*'Ethylene recycling rates'!T97</f>
        <v>0.60270099204556193</v>
      </c>
      <c r="S184" s="216">
        <f>S$179*'Ethylene recycling rates'!U97</f>
        <v>0.60491780524133587</v>
      </c>
      <c r="T184" s="216">
        <f>T$179*'Ethylene recycling rates'!V97</f>
        <v>0.60528454697016931</v>
      </c>
      <c r="U184" s="216">
        <f>U$179*'Ethylene recycling rates'!W97</f>
        <v>0.60384837443192341</v>
      </c>
      <c r="V184" s="216">
        <f>V$179*'Ethylene recycling rates'!X97</f>
        <v>0.60065644482646019</v>
      </c>
      <c r="W184" s="216">
        <f>W$179*'Ethylene recycling rates'!Y97</f>
        <v>0.59575591535364092</v>
      </c>
      <c r="X184" s="216">
        <f>X$179*'Ethylene recycling rates'!Z97</f>
        <v>0.60554186854101899</v>
      </c>
      <c r="Y184" s="216">
        <f>Y$179*'Ethylene recycling rates'!AA97</f>
        <v>0.61214142489292211</v>
      </c>
      <c r="Z184" s="216">
        <f>Z$179*'Ethylene recycling rates'!AB97</f>
        <v>0.61563815413062428</v>
      </c>
      <c r="AA184" s="216">
        <f>AA$179*'Ethylene recycling rates'!AC97</f>
        <v>0.61611562597539915</v>
      </c>
      <c r="AB184" s="216">
        <f>AB$179*'Ethylene recycling rates'!AD97</f>
        <v>0.61365741014852027</v>
      </c>
      <c r="AC184" s="216">
        <f>AC$179*'Ethylene recycling rates'!AE97</f>
        <v>0.6022797850510696</v>
      </c>
      <c r="AD184" s="216">
        <f>AD$179*'Ethylene recycling rates'!AF97</f>
        <v>0.58768688614579034</v>
      </c>
      <c r="AE184" s="216">
        <f>AE$179*'Ethylene recycling rates'!AG97</f>
        <v>0.56997953378449495</v>
      </c>
      <c r="AF184" s="216">
        <f>AF$179*'Ethylene recycling rates'!AH97</f>
        <v>0.54925854831899501</v>
      </c>
      <c r="AG184" s="216">
        <f>AG$179*'Ethylene recycling rates'!AI97</f>
        <v>0.50855193513582808</v>
      </c>
      <c r="AH184" s="230"/>
      <c r="AI184" s="126"/>
      <c r="AJ184" s="198"/>
      <c r="AL184" s="102"/>
      <c r="AM184" s="2"/>
      <c r="AN184" s="2"/>
      <c r="AO184" s="2"/>
      <c r="BC184" s="1"/>
      <c r="BD184" s="2"/>
      <c r="BE184" s="2"/>
      <c r="BF184" s="2"/>
      <c r="BG184" s="2"/>
      <c r="BH184" s="2"/>
      <c r="BI184" s="2"/>
      <c r="BJ184" s="2"/>
      <c r="BK184" s="2"/>
    </row>
    <row r="185" spans="1:63" s="1" customFormat="1" outlineLevel="1">
      <c r="A185" s="1" t="s">
        <v>830</v>
      </c>
      <c r="B185" s="61"/>
      <c r="C185" s="279">
        <f>C171*C45</f>
        <v>5285.575454965523</v>
      </c>
      <c r="D185" s="279">
        <f t="shared" ref="D185:AG185" si="158">D171*D45</f>
        <v>5481.0454830823992</v>
      </c>
      <c r="E185" s="279">
        <f t="shared" si="158"/>
        <v>5672.7106469645887</v>
      </c>
      <c r="F185" s="279">
        <f t="shared" si="158"/>
        <v>5860.5709466120952</v>
      </c>
      <c r="G185" s="279">
        <f t="shared" si="158"/>
        <v>6044.626382024916</v>
      </c>
      <c r="H185" s="279">
        <f t="shared" si="158"/>
        <v>6224.8769532030501</v>
      </c>
      <c r="I185" s="279">
        <f t="shared" si="158"/>
        <v>6203.521789947974</v>
      </c>
      <c r="J185" s="279">
        <f t="shared" si="158"/>
        <v>6167.6925583788116</v>
      </c>
      <c r="K185" s="279">
        <f t="shared" si="158"/>
        <v>6117.7419694101163</v>
      </c>
      <c r="L185" s="279">
        <f t="shared" si="158"/>
        <v>6054.0227339564472</v>
      </c>
      <c r="M185" s="279">
        <f t="shared" si="158"/>
        <v>5976.8875629323556</v>
      </c>
      <c r="N185" s="279">
        <f t="shared" si="158"/>
        <v>6047.9573506378883</v>
      </c>
      <c r="O185" s="279">
        <f t="shared" si="158"/>
        <v>6091.3796188305914</v>
      </c>
      <c r="P185" s="279">
        <f t="shared" si="158"/>
        <v>6107.8267226913367</v>
      </c>
      <c r="Q185" s="279">
        <f t="shared" si="158"/>
        <v>6097.9710174009942</v>
      </c>
      <c r="R185" s="279">
        <f t="shared" si="158"/>
        <v>6062.4848581404358</v>
      </c>
      <c r="S185" s="279">
        <f t="shared" si="158"/>
        <v>6084.7834715657964</v>
      </c>
      <c r="T185" s="279">
        <f t="shared" si="158"/>
        <v>6088.4724752463035</v>
      </c>
      <c r="U185" s="279">
        <f t="shared" si="158"/>
        <v>6074.0262168500094</v>
      </c>
      <c r="V185" s="279">
        <f t="shared" si="158"/>
        <v>6041.9190440449775</v>
      </c>
      <c r="W185" s="279">
        <f t="shared" si="158"/>
        <v>5992.6253044992627</v>
      </c>
      <c r="X185" s="279">
        <f t="shared" si="158"/>
        <v>6091.0608368842268</v>
      </c>
      <c r="Y185" s="279">
        <f t="shared" si="158"/>
        <v>6157.4448498224911</v>
      </c>
      <c r="Z185" s="279">
        <f t="shared" si="158"/>
        <v>6192.6179594346677</v>
      </c>
      <c r="AA185" s="279">
        <f t="shared" si="158"/>
        <v>6197.420781841367</v>
      </c>
      <c r="AB185" s="279">
        <f t="shared" si="158"/>
        <v>6172.6939331631957</v>
      </c>
      <c r="AC185" s="279">
        <f t="shared" si="158"/>
        <v>6058.2479959816637</v>
      </c>
      <c r="AD185" s="279">
        <f t="shared" si="158"/>
        <v>5911.4600699333487</v>
      </c>
      <c r="AE185" s="279">
        <f t="shared" si="158"/>
        <v>5733.3442928151399</v>
      </c>
      <c r="AF185" s="279">
        <f t="shared" si="158"/>
        <v>5524.9148024239166</v>
      </c>
      <c r="AG185" s="279">
        <f t="shared" si="158"/>
        <v>5115.452682224729</v>
      </c>
      <c r="AH185" s="397"/>
      <c r="AI185" s="398"/>
      <c r="AJ185" s="399"/>
      <c r="AL185" s="207"/>
      <c r="AM185" s="118"/>
      <c r="AN185" s="118"/>
      <c r="AO185" s="118"/>
      <c r="BD185" s="118"/>
      <c r="BE185" s="118"/>
      <c r="BF185" s="118"/>
      <c r="BG185" s="118"/>
      <c r="BH185" s="118"/>
      <c r="BI185" s="118"/>
      <c r="BJ185" s="118"/>
      <c r="BK185" s="118"/>
    </row>
    <row r="186" spans="1:63" outlineLevel="1">
      <c r="A186" s="4" t="s">
        <v>141</v>
      </c>
      <c r="C186" s="216">
        <f>C$185*'Ethylene recycling rates'!E98</f>
        <v>0</v>
      </c>
      <c r="D186" s="216">
        <f>D$185*'Ethylene recycling rates'!F98</f>
        <v>0</v>
      </c>
      <c r="E186" s="216">
        <f>E$185*'Ethylene recycling rates'!G98</f>
        <v>0</v>
      </c>
      <c r="F186" s="216">
        <f>F$185*'Ethylene recycling rates'!H98</f>
        <v>0</v>
      </c>
      <c r="G186" s="216">
        <f>G$185*'Ethylene recycling rates'!I98</f>
        <v>0</v>
      </c>
      <c r="H186" s="216">
        <f>H$185*'Ethylene recycling rates'!J98</f>
        <v>0</v>
      </c>
      <c r="I186" s="216">
        <f>I$185*'Ethylene recycling rates'!K98</f>
        <v>0</v>
      </c>
      <c r="J186" s="216">
        <f>J$185*'Ethylene recycling rates'!L98</f>
        <v>0</v>
      </c>
      <c r="K186" s="216">
        <f>K$185*'Ethylene recycling rates'!M98</f>
        <v>0</v>
      </c>
      <c r="L186" s="216">
        <f>L$185*'Ethylene recycling rates'!N98</f>
        <v>0</v>
      </c>
      <c r="M186" s="216">
        <f>M$185*'Ethylene recycling rates'!O98</f>
        <v>0</v>
      </c>
      <c r="N186" s="216">
        <f>N$185*'Ethylene recycling rates'!P98</f>
        <v>0</v>
      </c>
      <c r="O186" s="216">
        <f>O$185*'Ethylene recycling rates'!Q98</f>
        <v>0</v>
      </c>
      <c r="P186" s="216">
        <f>P$185*'Ethylene recycling rates'!R98</f>
        <v>0</v>
      </c>
      <c r="Q186" s="216">
        <f>Q$185*'Ethylene recycling rates'!S98</f>
        <v>0</v>
      </c>
      <c r="R186" s="216">
        <f>R$185*'Ethylene recycling rates'!T98</f>
        <v>0</v>
      </c>
      <c r="S186" s="216">
        <f>S$185*'Ethylene recycling rates'!U98</f>
        <v>0</v>
      </c>
      <c r="T186" s="216">
        <f>T$185*'Ethylene recycling rates'!V98</f>
        <v>0</v>
      </c>
      <c r="U186" s="216">
        <f>U$185*'Ethylene recycling rates'!W98</f>
        <v>0</v>
      </c>
      <c r="V186" s="216">
        <f>V$185*'Ethylene recycling rates'!X98</f>
        <v>0</v>
      </c>
      <c r="W186" s="216">
        <f>W$185*'Ethylene recycling rates'!Y98</f>
        <v>0</v>
      </c>
      <c r="X186" s="216">
        <f>X$185*'Ethylene recycling rates'!Z98</f>
        <v>0</v>
      </c>
      <c r="Y186" s="216">
        <f>Y$185*'Ethylene recycling rates'!AA98</f>
        <v>0</v>
      </c>
      <c r="Z186" s="216">
        <f>Z$185*'Ethylene recycling rates'!AB98</f>
        <v>0</v>
      </c>
      <c r="AA186" s="216">
        <f>AA$185*'Ethylene recycling rates'!AC98</f>
        <v>0</v>
      </c>
      <c r="AB186" s="216">
        <f>AB$185*'Ethylene recycling rates'!AD98</f>
        <v>0</v>
      </c>
      <c r="AC186" s="216">
        <f>AC$185*'Ethylene recycling rates'!AE98</f>
        <v>0</v>
      </c>
      <c r="AD186" s="216">
        <f>AD$185*'Ethylene recycling rates'!AF98</f>
        <v>0</v>
      </c>
      <c r="AE186" s="216">
        <f>AE$185*'Ethylene recycling rates'!AG98</f>
        <v>0</v>
      </c>
      <c r="AF186" s="216">
        <f>AF$185*'Ethylene recycling rates'!AH98</f>
        <v>0</v>
      </c>
      <c r="AG186" s="216">
        <f>AG$185*'Ethylene recycling rates'!AI98</f>
        <v>0</v>
      </c>
      <c r="AH186" s="230"/>
      <c r="AI186" s="126"/>
      <c r="AJ186" s="198"/>
      <c r="AL186" s="102"/>
      <c r="AM186" s="2"/>
      <c r="AN186" s="2"/>
      <c r="AO186" s="2"/>
      <c r="BC186" s="1"/>
      <c r="BD186" s="2"/>
      <c r="BE186" s="2"/>
      <c r="BF186" s="2"/>
      <c r="BG186" s="2"/>
      <c r="BH186" s="2"/>
      <c r="BI186" s="2"/>
      <c r="BJ186" s="2"/>
      <c r="BK186" s="2"/>
    </row>
    <row r="187" spans="1:63" outlineLevel="1">
      <c r="A187" s="4" t="s">
        <v>74</v>
      </c>
      <c r="C187" s="216">
        <f>C$185*'Ethylene recycling rates'!E99</f>
        <v>0</v>
      </c>
      <c r="D187" s="216">
        <f>D$185*'Ethylene recycling rates'!F99</f>
        <v>0</v>
      </c>
      <c r="E187" s="216">
        <f>E$185*'Ethylene recycling rates'!G99</f>
        <v>0</v>
      </c>
      <c r="F187" s="216">
        <f>F$185*'Ethylene recycling rates'!H99</f>
        <v>0</v>
      </c>
      <c r="G187" s="216">
        <f>G$185*'Ethylene recycling rates'!I99</f>
        <v>0</v>
      </c>
      <c r="H187" s="216">
        <f>H$185*'Ethylene recycling rates'!J99</f>
        <v>0</v>
      </c>
      <c r="I187" s="216">
        <f>I$185*'Ethylene recycling rates'!K99</f>
        <v>0</v>
      </c>
      <c r="J187" s="216">
        <f>J$185*'Ethylene recycling rates'!L99</f>
        <v>0</v>
      </c>
      <c r="K187" s="216">
        <f>K$185*'Ethylene recycling rates'!M99</f>
        <v>0</v>
      </c>
      <c r="L187" s="216">
        <f>L$185*'Ethylene recycling rates'!N99</f>
        <v>0</v>
      </c>
      <c r="M187" s="216">
        <f>M$185*'Ethylene recycling rates'!O99</f>
        <v>0</v>
      </c>
      <c r="N187" s="216">
        <f>N$185*'Ethylene recycling rates'!P99</f>
        <v>0</v>
      </c>
      <c r="O187" s="216">
        <f>O$185*'Ethylene recycling rates'!Q99</f>
        <v>0</v>
      </c>
      <c r="P187" s="216">
        <f>P$185*'Ethylene recycling rates'!R99</f>
        <v>0</v>
      </c>
      <c r="Q187" s="216">
        <f>Q$185*'Ethylene recycling rates'!S99</f>
        <v>0</v>
      </c>
      <c r="R187" s="216">
        <f>R$185*'Ethylene recycling rates'!T99</f>
        <v>0</v>
      </c>
      <c r="S187" s="216">
        <f>S$185*'Ethylene recycling rates'!U99</f>
        <v>0</v>
      </c>
      <c r="T187" s="216">
        <f>T$185*'Ethylene recycling rates'!V99</f>
        <v>0</v>
      </c>
      <c r="U187" s="216">
        <f>U$185*'Ethylene recycling rates'!W99</f>
        <v>0</v>
      </c>
      <c r="V187" s="216">
        <f>V$185*'Ethylene recycling rates'!X99</f>
        <v>0</v>
      </c>
      <c r="W187" s="216">
        <f>W$185*'Ethylene recycling rates'!Y99</f>
        <v>0</v>
      </c>
      <c r="X187" s="216">
        <f>X$185*'Ethylene recycling rates'!Z99</f>
        <v>0</v>
      </c>
      <c r="Y187" s="216">
        <f>Y$185*'Ethylene recycling rates'!AA99</f>
        <v>0</v>
      </c>
      <c r="Z187" s="216">
        <f>Z$185*'Ethylene recycling rates'!AB99</f>
        <v>0</v>
      </c>
      <c r="AA187" s="216">
        <f>AA$185*'Ethylene recycling rates'!AC99</f>
        <v>0</v>
      </c>
      <c r="AB187" s="216">
        <f>AB$185*'Ethylene recycling rates'!AD99</f>
        <v>0</v>
      </c>
      <c r="AC187" s="216">
        <f>AC$185*'Ethylene recycling rates'!AE99</f>
        <v>0</v>
      </c>
      <c r="AD187" s="216">
        <f>AD$185*'Ethylene recycling rates'!AF99</f>
        <v>0</v>
      </c>
      <c r="AE187" s="216">
        <f>AE$185*'Ethylene recycling rates'!AG99</f>
        <v>0</v>
      </c>
      <c r="AF187" s="216">
        <f>AF$185*'Ethylene recycling rates'!AH99</f>
        <v>0</v>
      </c>
      <c r="AG187" s="216">
        <f>AG$185*'Ethylene recycling rates'!AI99</f>
        <v>0</v>
      </c>
      <c r="AH187" s="230"/>
      <c r="AI187" s="126"/>
      <c r="AJ187" s="198"/>
      <c r="AL187" s="102"/>
      <c r="AM187" s="2"/>
      <c r="AN187" s="2"/>
      <c r="AO187" s="2"/>
      <c r="BC187" s="1"/>
      <c r="BD187" s="2"/>
      <c r="BE187" s="2"/>
      <c r="BF187" s="2"/>
      <c r="BG187" s="2"/>
      <c r="BH187" s="2"/>
      <c r="BI187" s="2"/>
      <c r="BJ187" s="2"/>
      <c r="BK187" s="2"/>
    </row>
    <row r="188" spans="1:63" outlineLevel="1">
      <c r="A188" s="4" t="s">
        <v>34</v>
      </c>
      <c r="C188" s="216">
        <f>C$185*'Ethylene recycling rates'!E100</f>
        <v>0</v>
      </c>
      <c r="D188" s="216">
        <f>D$185*'Ethylene recycling rates'!F100</f>
        <v>0</v>
      </c>
      <c r="E188" s="216">
        <f>E$185*'Ethylene recycling rates'!G100</f>
        <v>0</v>
      </c>
      <c r="F188" s="216">
        <f>F$185*'Ethylene recycling rates'!H100</f>
        <v>0</v>
      </c>
      <c r="G188" s="216">
        <f>G$185*'Ethylene recycling rates'!I100</f>
        <v>0</v>
      </c>
      <c r="H188" s="216">
        <f>H$185*'Ethylene recycling rates'!J100</f>
        <v>0</v>
      </c>
      <c r="I188" s="216">
        <f>I$185*'Ethylene recycling rates'!K100</f>
        <v>0</v>
      </c>
      <c r="J188" s="216">
        <f>J$185*'Ethylene recycling rates'!L100</f>
        <v>0</v>
      </c>
      <c r="K188" s="216">
        <f>K$185*'Ethylene recycling rates'!M100</f>
        <v>0</v>
      </c>
      <c r="L188" s="216">
        <f>L$185*'Ethylene recycling rates'!N100</f>
        <v>0</v>
      </c>
      <c r="M188" s="216">
        <f>M$185*'Ethylene recycling rates'!O100</f>
        <v>0</v>
      </c>
      <c r="N188" s="216">
        <f>N$185*'Ethylene recycling rates'!P100</f>
        <v>0</v>
      </c>
      <c r="O188" s="216">
        <f>O$185*'Ethylene recycling rates'!Q100</f>
        <v>0</v>
      </c>
      <c r="P188" s="216">
        <f>P$185*'Ethylene recycling rates'!R100</f>
        <v>0</v>
      </c>
      <c r="Q188" s="216">
        <f>Q$185*'Ethylene recycling rates'!S100</f>
        <v>0</v>
      </c>
      <c r="R188" s="216">
        <f>R$185*'Ethylene recycling rates'!T100</f>
        <v>0</v>
      </c>
      <c r="S188" s="216">
        <f>S$185*'Ethylene recycling rates'!U100</f>
        <v>0</v>
      </c>
      <c r="T188" s="216">
        <f>T$185*'Ethylene recycling rates'!V100</f>
        <v>0</v>
      </c>
      <c r="U188" s="216">
        <f>U$185*'Ethylene recycling rates'!W100</f>
        <v>0</v>
      </c>
      <c r="V188" s="216">
        <f>V$185*'Ethylene recycling rates'!X100</f>
        <v>0</v>
      </c>
      <c r="W188" s="216">
        <f>W$185*'Ethylene recycling rates'!Y100</f>
        <v>0</v>
      </c>
      <c r="X188" s="216">
        <f>X$185*'Ethylene recycling rates'!Z100</f>
        <v>0</v>
      </c>
      <c r="Y188" s="216">
        <f>Y$185*'Ethylene recycling rates'!AA100</f>
        <v>0</v>
      </c>
      <c r="Z188" s="216">
        <f>Z$185*'Ethylene recycling rates'!AB100</f>
        <v>0</v>
      </c>
      <c r="AA188" s="216">
        <f>AA$185*'Ethylene recycling rates'!AC100</f>
        <v>0</v>
      </c>
      <c r="AB188" s="216">
        <f>AB$185*'Ethylene recycling rates'!AD100</f>
        <v>0</v>
      </c>
      <c r="AC188" s="216">
        <f>AC$185*'Ethylene recycling rates'!AE100</f>
        <v>0</v>
      </c>
      <c r="AD188" s="216">
        <f>AD$185*'Ethylene recycling rates'!AF100</f>
        <v>0</v>
      </c>
      <c r="AE188" s="216">
        <f>AE$185*'Ethylene recycling rates'!AG100</f>
        <v>0</v>
      </c>
      <c r="AF188" s="216">
        <f>AF$185*'Ethylene recycling rates'!AH100</f>
        <v>0</v>
      </c>
      <c r="AG188" s="216">
        <f>AG$185*'Ethylene recycling rates'!AI100</f>
        <v>0</v>
      </c>
      <c r="AH188" s="230"/>
      <c r="AI188" s="126"/>
      <c r="AJ188" s="198"/>
      <c r="AL188" s="102"/>
      <c r="AM188" s="2"/>
      <c r="AN188" s="2"/>
      <c r="AO188" s="2"/>
      <c r="BC188" s="1"/>
      <c r="BD188" s="2"/>
      <c r="BE188" s="2"/>
      <c r="BF188" s="2"/>
      <c r="BG188" s="2"/>
      <c r="BH188" s="2"/>
      <c r="BI188" s="2"/>
      <c r="BJ188" s="2"/>
      <c r="BK188" s="2"/>
    </row>
    <row r="189" spans="1:63" outlineLevel="1">
      <c r="A189" s="4" t="s">
        <v>35</v>
      </c>
      <c r="C189" s="216">
        <f>C$185*'Ethylene recycling rates'!E101</f>
        <v>5285.049990301316</v>
      </c>
      <c r="D189" s="216">
        <f>D$185*'Ethylene recycling rates'!F101</f>
        <v>5480.5005857956594</v>
      </c>
      <c r="E189" s="216">
        <f>E$185*'Ethylene recycling rates'!G101</f>
        <v>5672.1466953153031</v>
      </c>
      <c r="F189" s="216">
        <f>F$185*'Ethylene recycling rates'!H101</f>
        <v>5859.9883188602525</v>
      </c>
      <c r="G189" s="216">
        <f>G$185*'Ethylene recycling rates'!I101</f>
        <v>6044.0254564305042</v>
      </c>
      <c r="H189" s="216">
        <f>H$185*'Ethylene recycling rates'!J101</f>
        <v>6224.2581080260561</v>
      </c>
      <c r="I189" s="216">
        <f>I$185*'Ethylene recycling rates'!K101</f>
        <v>6202.9050677912237</v>
      </c>
      <c r="J189" s="216">
        <f>J$185*'Ethylene recycling rates'!L101</f>
        <v>6167.0793981795614</v>
      </c>
      <c r="K189" s="216">
        <f>K$185*'Ethylene recycling rates'!M101</f>
        <v>6117.133775040922</v>
      </c>
      <c r="L189" s="216">
        <f>L$185*'Ethylene recycling rates'!N101</f>
        <v>6053.4208742251649</v>
      </c>
      <c r="M189" s="216">
        <f>M$185*'Ethylene recycling rates'!O101</f>
        <v>5976.2933715821391</v>
      </c>
      <c r="N189" s="216">
        <f>N$185*'Ethylene recycling rates'!P101</f>
        <v>6047.356093895748</v>
      </c>
      <c r="O189" s="216">
        <f>O$185*'Ethylene recycling rates'!Q101</f>
        <v>6090.774045270392</v>
      </c>
      <c r="P189" s="216">
        <f>P$185*'Ethylene recycling rates'!R101</f>
        <v>6107.2195140448575</v>
      </c>
      <c r="Q189" s="216">
        <f>Q$185*'Ethylene recycling rates'!S101</f>
        <v>6097.3647885579285</v>
      </c>
      <c r="R189" s="216">
        <f>R$185*'Ethylene recycling rates'!T101</f>
        <v>6061.8821571483895</v>
      </c>
      <c r="S189" s="216">
        <f>S$185*'Ethylene recycling rates'!U101</f>
        <v>6084.1785537605547</v>
      </c>
      <c r="T189" s="216">
        <f>T$185*'Ethylene recycling rates'!V101</f>
        <v>6087.8671906993332</v>
      </c>
      <c r="U189" s="216">
        <f>U$185*'Ethylene recycling rates'!W101</f>
        <v>6073.4223684755771</v>
      </c>
      <c r="V189" s="216">
        <f>V$185*'Ethylene recycling rates'!X101</f>
        <v>6041.3183876001503</v>
      </c>
      <c r="W189" s="216">
        <f>W$185*'Ethylene recycling rates'!Y101</f>
        <v>5992.0295485839088</v>
      </c>
      <c r="X189" s="216">
        <f>X$185*'Ethylene recycling rates'!Z101</f>
        <v>6090.4552950156858</v>
      </c>
      <c r="Y189" s="216">
        <f>Y$185*'Ethylene recycling rates'!AA101</f>
        <v>6156.8327083975973</v>
      </c>
      <c r="Z189" s="216">
        <f>Z$185*'Ethylene recycling rates'!AB101</f>
        <v>6192.0023212805363</v>
      </c>
      <c r="AA189" s="216">
        <f>AA$185*'Ethylene recycling rates'!AC101</f>
        <v>6196.8046662153911</v>
      </c>
      <c r="AB189" s="216">
        <f>AB$185*'Ethylene recycling rates'!AD101</f>
        <v>6172.0802757530464</v>
      </c>
      <c r="AC189" s="216">
        <f>AC$185*'Ethylene recycling rates'!AE101</f>
        <v>6057.6457161966127</v>
      </c>
      <c r="AD189" s="216">
        <f>AD$185*'Ethylene recycling rates'!AF101</f>
        <v>5910.8723830472027</v>
      </c>
      <c r="AE189" s="216">
        <f>AE$185*'Ethylene recycling rates'!AG101</f>
        <v>5732.7743132813548</v>
      </c>
      <c r="AF189" s="216">
        <f>AF$185*'Ethylene recycling rates'!AH101</f>
        <v>5524.3655438755977</v>
      </c>
      <c r="AG189" s="216">
        <f>AG$185*'Ethylene recycling rates'!AI101</f>
        <v>5114.944130289593</v>
      </c>
      <c r="AH189" s="230"/>
      <c r="AI189" s="126"/>
      <c r="AJ189" s="198"/>
      <c r="AL189" s="102"/>
      <c r="AM189" s="2"/>
      <c r="AN189" s="2"/>
      <c r="AO189" s="2"/>
      <c r="BC189" s="1"/>
      <c r="BD189" s="2"/>
      <c r="BE189" s="2"/>
      <c r="BF189" s="2"/>
      <c r="BG189" s="2"/>
      <c r="BH189" s="2"/>
      <c r="BI189" s="2"/>
      <c r="BJ189" s="2"/>
      <c r="BK189" s="2"/>
    </row>
    <row r="190" spans="1:63" outlineLevel="1">
      <c r="A190" s="4" t="s">
        <v>27</v>
      </c>
      <c r="C190" s="216">
        <f>C$185*'Ethylene recycling rates'!E102</f>
        <v>0.52546466420644034</v>
      </c>
      <c r="D190" s="216">
        <f>D$185*'Ethylene recycling rates'!F102</f>
        <v>0.54489728673959603</v>
      </c>
      <c r="E190" s="216">
        <f>E$185*'Ethylene recycling rates'!G102</f>
        <v>0.56395164928489128</v>
      </c>
      <c r="F190" s="216">
        <f>F$185*'Ethylene recycling rates'!H102</f>
        <v>0.58262775184232651</v>
      </c>
      <c r="G190" s="216">
        <f>G$185*'Ethylene recycling rates'!I102</f>
        <v>0.6009255944119013</v>
      </c>
      <c r="H190" s="216">
        <f>H$185*'Ethylene recycling rates'!J102</f>
        <v>0.61884517699361574</v>
      </c>
      <c r="I190" s="216">
        <f>I$185*'Ethylene recycling rates'!K102</f>
        <v>0.61672215675021713</v>
      </c>
      <c r="J190" s="216">
        <f>J$185*'Ethylene recycling rates'!L102</f>
        <v>0.61316019924990794</v>
      </c>
      <c r="K190" s="216">
        <f>K$185*'Ethylene recycling rates'!M102</f>
        <v>0.60819436919356251</v>
      </c>
      <c r="L190" s="216">
        <f>L$185*'Ethylene recycling rates'!N102</f>
        <v>0.60185973128205594</v>
      </c>
      <c r="M190" s="216">
        <f>M$185*'Ethylene recycling rates'!O102</f>
        <v>0.59419135021626246</v>
      </c>
      <c r="N190" s="216">
        <f>N$185*'Ethylene recycling rates'!P102</f>
        <v>0.60125674214001734</v>
      </c>
      <c r="O190" s="216">
        <f>O$185*'Ethylene recycling rates'!Q102</f>
        <v>0.60557356019878239</v>
      </c>
      <c r="P190" s="216">
        <f>P$185*'Ethylene recycling rates'!R102</f>
        <v>0.60720864647860007</v>
      </c>
      <c r="Q190" s="216">
        <f>Q$185*'Ethylene recycling rates'!S102</f>
        <v>0.60622884306551239</v>
      </c>
      <c r="R190" s="216">
        <f>R$185*'Ethylene recycling rates'!T102</f>
        <v>0.60270099204556193</v>
      </c>
      <c r="S190" s="216">
        <f>S$185*'Ethylene recycling rates'!U102</f>
        <v>0.60491780524133587</v>
      </c>
      <c r="T190" s="216">
        <f>T$185*'Ethylene recycling rates'!V102</f>
        <v>0.60528454697016931</v>
      </c>
      <c r="U190" s="216">
        <f>U$185*'Ethylene recycling rates'!W102</f>
        <v>0.60384837443192341</v>
      </c>
      <c r="V190" s="216">
        <f>V$185*'Ethylene recycling rates'!X102</f>
        <v>0.60065644482646019</v>
      </c>
      <c r="W190" s="216">
        <f>W$185*'Ethylene recycling rates'!Y102</f>
        <v>0.59575591535364092</v>
      </c>
      <c r="X190" s="216">
        <f>X$185*'Ethylene recycling rates'!Z102</f>
        <v>0.60554186854101899</v>
      </c>
      <c r="Y190" s="216">
        <f>Y$185*'Ethylene recycling rates'!AA102</f>
        <v>0.61214142489292211</v>
      </c>
      <c r="Z190" s="216">
        <f>Z$185*'Ethylene recycling rates'!AB102</f>
        <v>0.61563815413062428</v>
      </c>
      <c r="AA190" s="216">
        <f>AA$185*'Ethylene recycling rates'!AC102</f>
        <v>0.61611562597539915</v>
      </c>
      <c r="AB190" s="216">
        <f>AB$185*'Ethylene recycling rates'!AD102</f>
        <v>0.61365741014852027</v>
      </c>
      <c r="AC190" s="216">
        <f>AC$185*'Ethylene recycling rates'!AE102</f>
        <v>0.6022797850510696</v>
      </c>
      <c r="AD190" s="216">
        <f>AD$185*'Ethylene recycling rates'!AF102</f>
        <v>0.58768688614579034</v>
      </c>
      <c r="AE190" s="216">
        <f>AE$185*'Ethylene recycling rates'!AG102</f>
        <v>0.56997953378449495</v>
      </c>
      <c r="AF190" s="216">
        <f>AF$185*'Ethylene recycling rates'!AH102</f>
        <v>0.54925854831899501</v>
      </c>
      <c r="AG190" s="216">
        <f>AG$185*'Ethylene recycling rates'!AI102</f>
        <v>0.50855193513582808</v>
      </c>
      <c r="AH190" s="230"/>
      <c r="AI190" s="126"/>
      <c r="AJ190" s="198"/>
      <c r="AL190" s="102"/>
      <c r="AM190" s="2"/>
      <c r="AN190" s="2"/>
      <c r="AO190" s="2"/>
      <c r="BC190" s="1"/>
      <c r="BD190" s="2"/>
      <c r="BE190" s="2"/>
      <c r="BF190" s="2"/>
      <c r="BG190" s="2"/>
      <c r="BH190" s="2"/>
      <c r="BI190" s="2"/>
      <c r="BJ190" s="2"/>
      <c r="BK190" s="2"/>
    </row>
    <row r="191" spans="1:63" outlineLevel="1">
      <c r="C191" s="104"/>
      <c r="D191" s="104"/>
      <c r="E191" s="104"/>
      <c r="F191" s="104"/>
      <c r="G191" s="104"/>
      <c r="H191" s="104"/>
      <c r="I191" s="104"/>
      <c r="J191" s="104"/>
      <c r="K191" s="104"/>
      <c r="L191" s="104"/>
      <c r="M191" s="104"/>
      <c r="N191" s="104"/>
      <c r="O191" s="104"/>
      <c r="P191" s="104"/>
      <c r="Q191" s="104"/>
      <c r="R191" s="104"/>
      <c r="S191" s="104"/>
      <c r="T191" s="104"/>
      <c r="U191" s="104"/>
      <c r="V191" s="104"/>
      <c r="W191" s="104"/>
      <c r="X191" s="104"/>
      <c r="Y191" s="104"/>
      <c r="Z191" s="104"/>
      <c r="AA191" s="104"/>
      <c r="AB191" s="104"/>
      <c r="AC191" s="104"/>
      <c r="AD191" s="104"/>
      <c r="AE191" s="104"/>
      <c r="AF191" s="104"/>
      <c r="AG191" s="104"/>
      <c r="AJ191" s="198"/>
    </row>
    <row r="192" spans="1:63" s="187" customFormat="1" ht="15.5" thickBot="1">
      <c r="A192" s="187" t="s">
        <v>461</v>
      </c>
      <c r="B192" s="202"/>
      <c r="C192" s="210">
        <f>C193</f>
        <v>1.6E-2</v>
      </c>
      <c r="D192" s="210">
        <f t="shared" ref="D192" si="159">D193</f>
        <v>2.3701592497010131E-2</v>
      </c>
      <c r="E192" s="210">
        <f t="shared" ref="E192" si="160">E193</f>
        <v>3.1403184994020263E-2</v>
      </c>
      <c r="F192" s="210">
        <f t="shared" ref="F192" si="161">F193</f>
        <v>3.9104777491030397E-2</v>
      </c>
      <c r="G192" s="210">
        <f t="shared" ref="G192" si="162">G193</f>
        <v>4.6806369988040525E-2</v>
      </c>
      <c r="H192" s="210">
        <f t="shared" ref="H192" si="163">H193</f>
        <v>5.4507962485050659E-2</v>
      </c>
      <c r="I192" s="210">
        <f t="shared" ref="I192" si="164">I193</f>
        <v>6.2209554982060794E-2</v>
      </c>
      <c r="J192" s="210">
        <f t="shared" ref="J192" si="165">J193</f>
        <v>6.9911147479070929E-2</v>
      </c>
      <c r="K192" s="210">
        <f t="shared" ref="K192" si="166">K193</f>
        <v>7.7612739976081063E-2</v>
      </c>
      <c r="L192" s="210">
        <f t="shared" ref="L192" si="167">L193</f>
        <v>8.5314332473091184E-2</v>
      </c>
      <c r="M192" s="210">
        <f t="shared" ref="M192" si="168">M193</f>
        <v>9.3015924970101319E-2</v>
      </c>
      <c r="N192" s="210">
        <f t="shared" ref="N192" si="169">N193</f>
        <v>0.10769708566752688</v>
      </c>
      <c r="O192" s="210">
        <f t="shared" ref="O192" si="170">O193</f>
        <v>0.12237824636495245</v>
      </c>
      <c r="P192" s="210">
        <f t="shared" ref="P192" si="171">P193</f>
        <v>0.13705940706237801</v>
      </c>
      <c r="Q192" s="210">
        <f t="shared" ref="Q192" si="172">Q193</f>
        <v>0.15174056775980357</v>
      </c>
      <c r="R192" s="210">
        <f t="shared" ref="R192" si="173">R193</f>
        <v>0.16642172845722913</v>
      </c>
      <c r="S192" s="210">
        <f t="shared" ref="S192" si="174">S193</f>
        <v>0.18110288915465472</v>
      </c>
      <c r="T192" s="210">
        <f t="shared" ref="T192" si="175">T193</f>
        <v>0.19578404985208028</v>
      </c>
      <c r="U192" s="210">
        <f t="shared" ref="U192" si="176">U193</f>
        <v>0.21046521054950584</v>
      </c>
      <c r="V192" s="210">
        <f t="shared" ref="V192" si="177">V193</f>
        <v>0.22514637124693143</v>
      </c>
      <c r="W192" s="210">
        <f t="shared" ref="W192" si="178">W193</f>
        <v>0.23982753194435696</v>
      </c>
      <c r="X192" s="210">
        <f t="shared" ref="X192" si="179">X193</f>
        <v>0.2658447787499213</v>
      </c>
      <c r="Y192" s="210">
        <f t="shared" ref="Y192" si="180">Y193</f>
        <v>0.29186202555548557</v>
      </c>
      <c r="Z192" s="210">
        <f t="shared" ref="Z192" si="181">Z193</f>
        <v>0.31787927236104985</v>
      </c>
      <c r="AA192" s="210">
        <f t="shared" ref="AA192" si="182">AA193</f>
        <v>0.34389651916661418</v>
      </c>
      <c r="AB192" s="210">
        <f t="shared" ref="AB192" si="183">AB193</f>
        <v>0.36991376597217851</v>
      </c>
      <c r="AC192" s="210">
        <f t="shared" ref="AC192" si="184">AC193</f>
        <v>0.39593101277774279</v>
      </c>
      <c r="AD192" s="210">
        <f t="shared" ref="AD192" si="185">AD193</f>
        <v>0.42194825958330706</v>
      </c>
      <c r="AE192" s="210">
        <f t="shared" ref="AE192" si="186">AE193</f>
        <v>0.44796550638887139</v>
      </c>
      <c r="AF192" s="210">
        <f t="shared" ref="AF192" si="187">AF193</f>
        <v>0.47398275319443572</v>
      </c>
      <c r="AG192" s="210">
        <f t="shared" ref="AG192" si="188">AG193</f>
        <v>0.5</v>
      </c>
      <c r="AJ192" s="217" t="s">
        <v>473</v>
      </c>
      <c r="AL192" s="204"/>
      <c r="AM192" s="211"/>
      <c r="AN192" s="211"/>
      <c r="AO192" s="211"/>
    </row>
    <row r="193" spans="1:63" ht="15.5" outlineLevel="1" thickTop="1">
      <c r="A193" t="s">
        <v>469</v>
      </c>
      <c r="B193" s="51" t="s">
        <v>126</v>
      </c>
      <c r="C193" s="107">
        <v>1.6E-2</v>
      </c>
      <c r="D193" s="104">
        <f>$C193+($M193-$C193)/10*(D$1-$C$1)</f>
        <v>2.3701592497010131E-2</v>
      </c>
      <c r="E193" s="104">
        <f t="shared" ref="E193:L193" si="189">$C193+($M193-$C193)/10*(E$1-$C$1)</f>
        <v>3.1403184994020263E-2</v>
      </c>
      <c r="F193" s="104">
        <f t="shared" si="189"/>
        <v>3.9104777491030397E-2</v>
      </c>
      <c r="G193" s="104">
        <f t="shared" si="189"/>
        <v>4.6806369988040525E-2</v>
      </c>
      <c r="H193" s="104">
        <f t="shared" si="189"/>
        <v>5.4507962485050659E-2</v>
      </c>
      <c r="I193" s="104">
        <f t="shared" si="189"/>
        <v>6.2209554982060794E-2</v>
      </c>
      <c r="J193" s="104">
        <f t="shared" si="189"/>
        <v>6.9911147479070929E-2</v>
      </c>
      <c r="K193" s="104">
        <f t="shared" si="189"/>
        <v>7.7612739976081063E-2</v>
      </c>
      <c r="L193" s="104">
        <f t="shared" si="189"/>
        <v>8.5314332473091184E-2</v>
      </c>
      <c r="M193" s="115">
        <f>(M$50-$C$50)/($AG$50-$C$50)*($AG193-$C193)+$C193</f>
        <v>9.3015924970101319E-2</v>
      </c>
      <c r="N193" s="115">
        <f>$M193+($W193-$M193)/10*(N$1-$M$1)</f>
        <v>0.10769708566752688</v>
      </c>
      <c r="O193" s="115">
        <f t="shared" ref="O193:U193" si="190">$M193+($W193-$M193)/10*(O$1-$M$1)</f>
        <v>0.12237824636495245</v>
      </c>
      <c r="P193" s="115">
        <f t="shared" si="190"/>
        <v>0.13705940706237801</v>
      </c>
      <c r="Q193" s="115">
        <f t="shared" si="190"/>
        <v>0.15174056775980357</v>
      </c>
      <c r="R193" s="115">
        <f t="shared" si="190"/>
        <v>0.16642172845722913</v>
      </c>
      <c r="S193" s="115">
        <f t="shared" si="190"/>
        <v>0.18110288915465472</v>
      </c>
      <c r="T193" s="115">
        <f t="shared" si="190"/>
        <v>0.19578404985208028</v>
      </c>
      <c r="U193" s="115">
        <f t="shared" si="190"/>
        <v>0.21046521054950584</v>
      </c>
      <c r="V193" s="115">
        <f>$M193+($W193-$M193)/10*(V$1-$M$1)</f>
        <v>0.22514637124693143</v>
      </c>
      <c r="W193" s="115">
        <f>(W$50-$C$50)/($AG$50-$C$50)*($AG193-$C193)+$C193</f>
        <v>0.23982753194435696</v>
      </c>
      <c r="X193" s="22">
        <f t="shared" ref="X193:AF193" si="191">$W193+($AG193-$W193)/10*(X$1-$W$1)</f>
        <v>0.2658447787499213</v>
      </c>
      <c r="Y193" s="22">
        <f t="shared" si="191"/>
        <v>0.29186202555548557</v>
      </c>
      <c r="Z193" s="22">
        <f t="shared" si="191"/>
        <v>0.31787927236104985</v>
      </c>
      <c r="AA193" s="22">
        <f t="shared" si="191"/>
        <v>0.34389651916661418</v>
      </c>
      <c r="AB193" s="22">
        <f t="shared" si="191"/>
        <v>0.36991376597217851</v>
      </c>
      <c r="AC193" s="22">
        <f t="shared" si="191"/>
        <v>0.39593101277774279</v>
      </c>
      <c r="AD193" s="22">
        <f t="shared" si="191"/>
        <v>0.42194825958330706</v>
      </c>
      <c r="AE193" s="22">
        <f t="shared" si="191"/>
        <v>0.44796550638887139</v>
      </c>
      <c r="AF193" s="22">
        <f t="shared" si="191"/>
        <v>0.47398275319443572</v>
      </c>
      <c r="AG193" s="201">
        <v>0.5</v>
      </c>
      <c r="AJ193" s="198" t="s">
        <v>776</v>
      </c>
    </row>
    <row r="194" spans="1:63" outlineLevel="1">
      <c r="C194" s="107"/>
      <c r="D194" s="104"/>
      <c r="E194" s="104"/>
      <c r="F194" s="104"/>
      <c r="G194" s="104"/>
      <c r="H194" s="104"/>
      <c r="I194" s="104"/>
      <c r="J194" s="104"/>
      <c r="K194" s="104"/>
      <c r="L194" s="104"/>
      <c r="M194" s="115"/>
      <c r="N194" s="115"/>
      <c r="O194" s="115"/>
      <c r="P194" s="115"/>
      <c r="Q194" s="115"/>
      <c r="R194" s="115"/>
      <c r="S194" s="115"/>
      <c r="T194" s="115"/>
      <c r="U194" s="115"/>
      <c r="V194" s="115"/>
      <c r="W194" s="115"/>
      <c r="X194" s="22"/>
      <c r="Y194" s="22"/>
      <c r="Z194" s="22"/>
      <c r="AA194" s="22"/>
      <c r="AB194" s="22"/>
      <c r="AC194" s="22"/>
      <c r="AD194" s="22"/>
      <c r="AE194" s="22"/>
      <c r="AF194" s="22"/>
      <c r="AG194" s="100"/>
      <c r="AJ194" s="198"/>
    </row>
    <row r="195" spans="1:63" outlineLevel="1">
      <c r="A195" t="s">
        <v>468</v>
      </c>
      <c r="C195" s="357">
        <f>'Overall recycling rates'!C85</f>
        <v>1.0750214558248332</v>
      </c>
      <c r="D195" s="357">
        <f t="shared" ref="D195:AF195" si="192">C195-($C195-$AG195)/($AG1-$C1)</f>
        <v>1.072520740630672</v>
      </c>
      <c r="E195" s="357">
        <f t="shared" si="192"/>
        <v>1.0700200254365109</v>
      </c>
      <c r="F195" s="357">
        <f t="shared" si="192"/>
        <v>1.0675193102423497</v>
      </c>
      <c r="G195" s="357">
        <f t="shared" si="192"/>
        <v>1.0650185950481885</v>
      </c>
      <c r="H195" s="357">
        <f t="shared" si="192"/>
        <v>1.0625178798540273</v>
      </c>
      <c r="I195" s="357">
        <f t="shared" si="192"/>
        <v>1.0600171646598662</v>
      </c>
      <c r="J195" s="357">
        <f t="shared" si="192"/>
        <v>1.057516449465705</v>
      </c>
      <c r="K195" s="357">
        <f t="shared" si="192"/>
        <v>1.0550157342715438</v>
      </c>
      <c r="L195" s="357">
        <f t="shared" si="192"/>
        <v>1.0525150190773827</v>
      </c>
      <c r="M195" s="357">
        <f t="shared" si="192"/>
        <v>1.0500143038832215</v>
      </c>
      <c r="N195" s="357">
        <f t="shared" si="192"/>
        <v>1.0475135886890603</v>
      </c>
      <c r="O195" s="357">
        <f t="shared" si="192"/>
        <v>1.0450128734948991</v>
      </c>
      <c r="P195" s="357">
        <f t="shared" si="192"/>
        <v>1.042512158300738</v>
      </c>
      <c r="Q195" s="357">
        <f t="shared" si="192"/>
        <v>1.0400114431065768</v>
      </c>
      <c r="R195" s="357">
        <f t="shared" si="192"/>
        <v>1.0375107279124156</v>
      </c>
      <c r="S195" s="357">
        <f t="shared" si="192"/>
        <v>1.0350100127182544</v>
      </c>
      <c r="T195" s="357">
        <f t="shared" si="192"/>
        <v>1.0325092975240933</v>
      </c>
      <c r="U195" s="357">
        <f t="shared" si="192"/>
        <v>1.0300085823299321</v>
      </c>
      <c r="V195" s="357">
        <f t="shared" si="192"/>
        <v>1.0275078671357709</v>
      </c>
      <c r="W195" s="357">
        <f t="shared" si="192"/>
        <v>1.0250071519416097</v>
      </c>
      <c r="X195" s="357">
        <f t="shared" si="192"/>
        <v>1.0225064367474486</v>
      </c>
      <c r="Y195" s="357">
        <f t="shared" si="192"/>
        <v>1.0200057215532874</v>
      </c>
      <c r="Z195" s="357">
        <f t="shared" si="192"/>
        <v>1.0175050063591262</v>
      </c>
      <c r="AA195" s="357">
        <f t="shared" si="192"/>
        <v>1.015004291164965</v>
      </c>
      <c r="AB195" s="357">
        <f t="shared" si="192"/>
        <v>1.0125035759708039</v>
      </c>
      <c r="AC195" s="357">
        <f t="shared" si="192"/>
        <v>1.0100028607766427</v>
      </c>
      <c r="AD195" s="357">
        <f t="shared" si="192"/>
        <v>1.0075021455824815</v>
      </c>
      <c r="AE195" s="357">
        <f t="shared" si="192"/>
        <v>1.0050014303883203</v>
      </c>
      <c r="AF195" s="357">
        <f t="shared" si="192"/>
        <v>1.0025007151941592</v>
      </c>
      <c r="AG195" s="357">
        <f>'Overall recycling rates'!C94</f>
        <v>1</v>
      </c>
      <c r="AI195" s="126"/>
      <c r="AJ195" s="198" t="s">
        <v>491</v>
      </c>
      <c r="AL195" s="102"/>
      <c r="AM195" s="2"/>
      <c r="AN195" s="2"/>
      <c r="AO195" s="2"/>
      <c r="BC195" s="1"/>
      <c r="BD195" s="2"/>
      <c r="BE195" s="2"/>
      <c r="BF195" s="2"/>
      <c r="BG195" s="2"/>
      <c r="BH195" s="2"/>
      <c r="BI195" s="2"/>
      <c r="BJ195" s="2"/>
      <c r="BK195" s="2"/>
    </row>
    <row r="196" spans="1:63" outlineLevel="1">
      <c r="A196" t="s">
        <v>470</v>
      </c>
      <c r="B196" s="51" t="s">
        <v>126</v>
      </c>
      <c r="C196" s="104">
        <f>C193*C195</f>
        <v>1.7200343293197331E-2</v>
      </c>
      <c r="D196" s="104">
        <f t="shared" ref="D196:AG196" si="193">D193*D195</f>
        <v>2.5420449539019684E-2</v>
      </c>
      <c r="E196" s="104">
        <f t="shared" si="193"/>
        <v>3.3602036806089017E-2</v>
      </c>
      <c r="F196" s="104">
        <f t="shared" si="193"/>
        <v>4.1745105094405328E-2</v>
      </c>
      <c r="G196" s="104">
        <f t="shared" si="193"/>
        <v>4.9849654403968616E-2</v>
      </c>
      <c r="H196" s="104">
        <f t="shared" si="193"/>
        <v>5.7915684734778886E-2</v>
      </c>
      <c r="I196" s="104">
        <f t="shared" si="193"/>
        <v>6.5943196086836131E-2</v>
      </c>
      <c r="J196" s="104">
        <f t="shared" si="193"/>
        <v>7.3932188460140366E-2</v>
      </c>
      <c r="K196" s="104">
        <f t="shared" si="193"/>
        <v>8.1882661854691563E-2</v>
      </c>
      <c r="L196" s="104">
        <f t="shared" si="193"/>
        <v>8.9794616270489735E-2</v>
      </c>
      <c r="M196" s="104">
        <f t="shared" si="193"/>
        <v>9.7668051707534898E-2</v>
      </c>
      <c r="N196" s="104">
        <f t="shared" si="193"/>
        <v>0.11281416069894425</v>
      </c>
      <c r="O196" s="104">
        <f t="shared" si="193"/>
        <v>0.12788684288710567</v>
      </c>
      <c r="P196" s="104">
        <f t="shared" si="193"/>
        <v>0.14288609827201912</v>
      </c>
      <c r="Q196" s="104">
        <f t="shared" si="193"/>
        <v>0.15781192685368461</v>
      </c>
      <c r="R196" s="104">
        <f t="shared" si="193"/>
        <v>0.17266432863210218</v>
      </c>
      <c r="S196" s="104">
        <f t="shared" si="193"/>
        <v>0.18744330360727179</v>
      </c>
      <c r="T196" s="104">
        <f t="shared" si="193"/>
        <v>0.20214885177919348</v>
      </c>
      <c r="U196" s="104">
        <f t="shared" si="193"/>
        <v>0.21678097314786718</v>
      </c>
      <c r="V196" s="104">
        <f t="shared" si="193"/>
        <v>0.23133966771329298</v>
      </c>
      <c r="W196" s="104">
        <f t="shared" si="193"/>
        <v>0.24582493547547077</v>
      </c>
      <c r="X196" s="104">
        <f t="shared" si="193"/>
        <v>0.27182799744749586</v>
      </c>
      <c r="Y196" s="104">
        <f t="shared" si="193"/>
        <v>0.29770093597072705</v>
      </c>
      <c r="Z196" s="104">
        <f t="shared" si="193"/>
        <v>0.32344375104516443</v>
      </c>
      <c r="AA196" s="104">
        <f t="shared" si="193"/>
        <v>0.34905644267080804</v>
      </c>
      <c r="AB196" s="104">
        <f t="shared" si="193"/>
        <v>0.37453901084765778</v>
      </c>
      <c r="AC196" s="104">
        <f t="shared" si="193"/>
        <v>0.39989145557571371</v>
      </c>
      <c r="AD196" s="104">
        <f t="shared" si="193"/>
        <v>0.42511377685497576</v>
      </c>
      <c r="AE196" s="104">
        <f t="shared" si="193"/>
        <v>0.45020597468544399</v>
      </c>
      <c r="AF196" s="104">
        <f t="shared" si="193"/>
        <v>0.47516804906711846</v>
      </c>
      <c r="AG196" s="104">
        <f t="shared" si="193"/>
        <v>0.5</v>
      </c>
      <c r="AJ196" s="198" t="s">
        <v>462</v>
      </c>
    </row>
    <row r="197" spans="1:63" outlineLevel="1">
      <c r="C197" s="104"/>
      <c r="D197" s="104"/>
      <c r="E197" s="104"/>
      <c r="F197" s="104"/>
      <c r="G197" s="104"/>
      <c r="H197" s="104"/>
      <c r="I197" s="104"/>
      <c r="J197" s="104"/>
      <c r="K197" s="104"/>
      <c r="L197" s="104"/>
      <c r="M197" s="104"/>
      <c r="N197" s="104"/>
      <c r="O197" s="104"/>
      <c r="P197" s="104"/>
      <c r="Q197" s="104"/>
      <c r="R197" s="104"/>
      <c r="S197" s="104"/>
      <c r="T197" s="104"/>
      <c r="U197" s="104"/>
      <c r="V197" s="104"/>
      <c r="W197" s="104"/>
      <c r="X197" s="104"/>
      <c r="Y197" s="104"/>
      <c r="Z197" s="104"/>
      <c r="AA197" s="104"/>
      <c r="AB197" s="104"/>
      <c r="AC197" s="104"/>
      <c r="AD197" s="104"/>
      <c r="AE197" s="104"/>
      <c r="AF197" s="104"/>
      <c r="AG197" s="104"/>
      <c r="AI197" s="127"/>
      <c r="AJ197" s="198"/>
      <c r="BC197" s="1"/>
      <c r="BD197" s="38"/>
      <c r="BF197" s="6"/>
      <c r="BG197" s="6"/>
      <c r="BH197" s="6"/>
      <c r="BI197" s="6"/>
      <c r="BJ197" s="6"/>
    </row>
    <row r="198" spans="1:63" s="1" customFormat="1" outlineLevel="1">
      <c r="A198" s="1" t="s">
        <v>261</v>
      </c>
      <c r="B198" s="61"/>
      <c r="C198" s="279">
        <f>C196*C44</f>
        <v>1630.525897623924</v>
      </c>
      <c r="D198" s="279">
        <f t="shared" ref="D198:AG198" si="194">D196*D44</f>
        <v>2409.7601190905611</v>
      </c>
      <c r="E198" s="279">
        <f t="shared" si="194"/>
        <v>3185.3428906217969</v>
      </c>
      <c r="F198" s="279">
        <f t="shared" si="194"/>
        <v>3957.2742122176314</v>
      </c>
      <c r="G198" s="279">
        <f t="shared" si="194"/>
        <v>4725.5540838780644</v>
      </c>
      <c r="H198" s="279">
        <f t="shared" si="194"/>
        <v>5490.1825056030966</v>
      </c>
      <c r="I198" s="279">
        <f t="shared" si="194"/>
        <v>6251.1594773927263</v>
      </c>
      <c r="J198" s="279">
        <f t="shared" si="194"/>
        <v>7008.4849992469562</v>
      </c>
      <c r="K198" s="279">
        <f t="shared" si="194"/>
        <v>7762.1590711657827</v>
      </c>
      <c r="L198" s="279">
        <f t="shared" si="194"/>
        <v>8512.1816931492085</v>
      </c>
      <c r="M198" s="279">
        <f t="shared" si="194"/>
        <v>9258.5528651972327</v>
      </c>
      <c r="N198" s="279">
        <f t="shared" si="194"/>
        <v>10694.3453106012</v>
      </c>
      <c r="O198" s="279">
        <f t="shared" si="194"/>
        <v>12123.17717956581</v>
      </c>
      <c r="P198" s="279">
        <f t="shared" si="194"/>
        <v>13545.048472091057</v>
      </c>
      <c r="Q198" s="279">
        <f t="shared" si="194"/>
        <v>14959.959188176947</v>
      </c>
      <c r="R198" s="279">
        <f t="shared" si="194"/>
        <v>16367.90932782348</v>
      </c>
      <c r="S198" s="279">
        <f t="shared" si="194"/>
        <v>17768.898891030651</v>
      </c>
      <c r="T198" s="279">
        <f t="shared" si="194"/>
        <v>19162.927877798465</v>
      </c>
      <c r="U198" s="279">
        <f t="shared" si="194"/>
        <v>20549.99628812692</v>
      </c>
      <c r="V198" s="279">
        <f t="shared" si="194"/>
        <v>21930.104122016015</v>
      </c>
      <c r="W198" s="279">
        <f t="shared" si="194"/>
        <v>23303.25137946575</v>
      </c>
      <c r="X198" s="279">
        <f t="shared" si="194"/>
        <v>25768.240899743247</v>
      </c>
      <c r="Y198" s="279">
        <f t="shared" si="194"/>
        <v>28220.895221267441</v>
      </c>
      <c r="Z198" s="279">
        <f t="shared" si="194"/>
        <v>30661.214344038344</v>
      </c>
      <c r="AA198" s="279">
        <f t="shared" si="194"/>
        <v>33089.198268055959</v>
      </c>
      <c r="AB198" s="279">
        <f t="shared" si="194"/>
        <v>35504.846993320272</v>
      </c>
      <c r="AC198" s="279">
        <f t="shared" si="194"/>
        <v>37908.160519831297</v>
      </c>
      <c r="AD198" s="279">
        <f t="shared" si="194"/>
        <v>40299.13884758902</v>
      </c>
      <c r="AE198" s="279">
        <f t="shared" si="194"/>
        <v>42677.781976593455</v>
      </c>
      <c r="AF198" s="279">
        <f t="shared" si="194"/>
        <v>45044.089906844602</v>
      </c>
      <c r="AG198" s="279">
        <f t="shared" si="194"/>
        <v>47398.062638342533</v>
      </c>
      <c r="AH198" s="397"/>
      <c r="AI198" s="398"/>
      <c r="AJ198" s="399"/>
      <c r="AL198" s="207"/>
      <c r="AM198" s="118"/>
      <c r="AN198" s="118"/>
      <c r="AO198" s="118"/>
      <c r="BD198" s="118"/>
      <c r="BE198" s="118"/>
      <c r="BF198" s="118"/>
      <c r="BG198" s="118"/>
      <c r="BH198" s="118"/>
      <c r="BI198" s="118"/>
      <c r="BJ198" s="118"/>
      <c r="BK198" s="118"/>
    </row>
    <row r="199" spans="1:63" outlineLevel="1">
      <c r="A199" s="4" t="s">
        <v>141</v>
      </c>
      <c r="C199" s="216">
        <f>C$198*'Ethylene recycling rates'!E103</f>
        <v>576.07129644727456</v>
      </c>
      <c r="D199" s="216">
        <f>D$198*'Ethylene recycling rates'!F103</f>
        <v>863.76360425633061</v>
      </c>
      <c r="E199" s="216">
        <f>E$198*'Ethylene recycling rates'!G103</f>
        <v>1158.13856433158</v>
      </c>
      <c r="F199" s="216">
        <f>F$198*'Ethylene recycling rates'!H103</f>
        <v>1459.139873199261</v>
      </c>
      <c r="G199" s="216">
        <f>G$198*'Ethylene recycling rates'!I103</f>
        <v>1766.7112273856119</v>
      </c>
      <c r="H199" s="216">
        <f>H$198*'Ethylene recycling rates'!J103</f>
        <v>2080.7963234168715</v>
      </c>
      <c r="I199" s="216">
        <f>I$198*'Ethylene recycling rates'!K103</f>
        <v>2401.3388578192776</v>
      </c>
      <c r="J199" s="216">
        <f>J$198*'Ethylene recycling rates'!L103</f>
        <v>2728.2825271190691</v>
      </c>
      <c r="K199" s="216">
        <f>K$198*'Ethylene recycling rates'!M103</f>
        <v>3061.5710278424835</v>
      </c>
      <c r="L199" s="216">
        <f>L$198*'Ethylene recycling rates'!N103</f>
        <v>3401.1480565157603</v>
      </c>
      <c r="M199" s="216">
        <f>M$198*'Ethylene recycling rates'!O103</f>
        <v>3746.957309665137</v>
      </c>
      <c r="N199" s="216">
        <f>N$198*'Ethylene recycling rates'!P103</f>
        <v>4382.9928589139354</v>
      </c>
      <c r="O199" s="216">
        <f>O$198*'Ethylene recycling rates'!Q103</f>
        <v>5030.8993471864005</v>
      </c>
      <c r="P199" s="216">
        <f>P$198*'Ethylene recycling rates'!R103</f>
        <v>5690.5694459856722</v>
      </c>
      <c r="Q199" s="216">
        <f>Q$198*'Ethylene recycling rates'!S103</f>
        <v>6361.8958268148954</v>
      </c>
      <c r="R199" s="216">
        <f>R$198*'Ethylene recycling rates'!T103</f>
        <v>7044.771161177212</v>
      </c>
      <c r="S199" s="216">
        <f>S$198*'Ethylene recycling rates'!U103</f>
        <v>7739.0881205757605</v>
      </c>
      <c r="T199" s="216">
        <f>T$198*'Ethylene recycling rates'!V103</f>
        <v>8444.7393765136876</v>
      </c>
      <c r="U199" s="216">
        <f>U$198*'Ethylene recycling rates'!W103</f>
        <v>9161.6176004941317</v>
      </c>
      <c r="V199" s="216">
        <f>V$198*'Ethylene recycling rates'!X103</f>
        <v>9889.6154640202349</v>
      </c>
      <c r="W199" s="216">
        <f>W$198*'Ethylene recycling rates'!Y103</f>
        <v>10628.62563859514</v>
      </c>
      <c r="X199" s="216">
        <f>X$198*'Ethylene recycling rates'!Z103</f>
        <v>11885.353026402154</v>
      </c>
      <c r="Y199" s="216">
        <f>Y$198*'Ethylene recycling rates'!AA103</f>
        <v>13161.666766013537</v>
      </c>
      <c r="Z199" s="216">
        <f>Z$198*'Ethylene recycling rates'!AB103</f>
        <v>14457.376655029797</v>
      </c>
      <c r="AA199" s="216">
        <f>AA$198*'Ethylene recycling rates'!AC103</f>
        <v>15772.292491051441</v>
      </c>
      <c r="AB199" s="216">
        <f>AB$198*'Ethylene recycling rates'!AD103</f>
        <v>17106.224071678967</v>
      </c>
      <c r="AC199" s="216">
        <f>AC$198*'Ethylene recycling rates'!AE103</f>
        <v>18458.981194512889</v>
      </c>
      <c r="AD199" s="216">
        <f>AD$198*'Ethylene recycling rates'!AF103</f>
        <v>19830.373657153701</v>
      </c>
      <c r="AE199" s="216">
        <f>AE$198*'Ethylene recycling rates'!AG103</f>
        <v>21220.211257201918</v>
      </c>
      <c r="AF199" s="216">
        <f>AF$198*'Ethylene recycling rates'!AH103</f>
        <v>22628.303792258041</v>
      </c>
      <c r="AG199" s="216">
        <f>AG$198*'Ethylene recycling rates'!AI103</f>
        <v>24054.461059922593</v>
      </c>
      <c r="AH199" s="230"/>
      <c r="AI199" s="126"/>
      <c r="AJ199" s="198"/>
      <c r="AL199" s="102"/>
      <c r="AM199" s="2"/>
      <c r="AN199" s="2"/>
      <c r="AO199" s="2"/>
      <c r="BC199" s="1"/>
      <c r="BD199" s="2"/>
      <c r="BE199" s="2"/>
      <c r="BF199" s="2"/>
      <c r="BG199" s="2"/>
      <c r="BH199" s="2"/>
      <c r="BI199" s="2"/>
      <c r="BJ199" s="2"/>
      <c r="BK199" s="2"/>
    </row>
    <row r="200" spans="1:63" outlineLevel="1">
      <c r="A200" s="4" t="s">
        <v>74</v>
      </c>
      <c r="C200" s="216">
        <f>C$198*'Ethylene recycling rates'!E104</f>
        <v>29.768928651490643</v>
      </c>
      <c r="D200" s="216">
        <f>D$198*'Ethylene recycling rates'!F104</f>
        <v>48.006152290373535</v>
      </c>
      <c r="E200" s="216">
        <f>E$198*'Ethylene recycling rates'!G104</f>
        <v>68.75830321308419</v>
      </c>
      <c r="F200" s="216">
        <f>F$198*'Ethylene recycling rates'!H104</f>
        <v>92.007150180502776</v>
      </c>
      <c r="G200" s="216">
        <f>G$198*'Ethylene recycling rates'!I104</f>
        <v>117.73446195350945</v>
      </c>
      <c r="H200" s="216">
        <f>H$198*'Ethylene recycling rates'!J104</f>
        <v>145.92200729298443</v>
      </c>
      <c r="I200" s="216">
        <f>I$198*'Ethylene recycling rates'!K104</f>
        <v>176.55155495980782</v>
      </c>
      <c r="J200" s="216">
        <f>J$198*'Ethylene recycling rates'!L104</f>
        <v>209.60487371485985</v>
      </c>
      <c r="K200" s="216">
        <f>K$198*'Ethylene recycling rates'!M104</f>
        <v>245.0637323190206</v>
      </c>
      <c r="L200" s="216">
        <f>L$198*'Ethylene recycling rates'!N104</f>
        <v>282.90989953317035</v>
      </c>
      <c r="M200" s="216">
        <f>M$198*'Ethylene recycling rates'!O104</f>
        <v>323.12514411818916</v>
      </c>
      <c r="N200" s="216">
        <f>N$198*'Ethylene recycling rates'!P104</f>
        <v>391.03307186601972</v>
      </c>
      <c r="O200" s="216">
        <f>O$198*'Ethylene recycling rates'!Q104</f>
        <v>463.45406177285923</v>
      </c>
      <c r="P200" s="216">
        <f>P$198*'Ethylene recycling rates'!R104</f>
        <v>540.35336053913534</v>
      </c>
      <c r="Q200" s="216">
        <f>Q$198*'Ethylene recycling rates'!S104</f>
        <v>621.69621486527615</v>
      </c>
      <c r="R200" s="216">
        <f>R$198*'Ethylene recycling rates'!T104</f>
        <v>707.44787145170937</v>
      </c>
      <c r="S200" s="216">
        <f>S$198*'Ethylene recycling rates'!U104</f>
        <v>797.57357699886268</v>
      </c>
      <c r="T200" s="216">
        <f>T$198*'Ethylene recycling rates'!V104</f>
        <v>892.03857820716416</v>
      </c>
      <c r="U200" s="216">
        <f>U$198*'Ethylene recycling rates'!W104</f>
        <v>990.80812177704149</v>
      </c>
      <c r="V200" s="216">
        <f>V$198*'Ethylene recycling rates'!X104</f>
        <v>1093.8474544089224</v>
      </c>
      <c r="W200" s="216">
        <f>W$198*'Ethylene recycling rates'!Y104</f>
        <v>1201.1218228032349</v>
      </c>
      <c r="X200" s="216">
        <f>X$198*'Ethylene recycling rates'!Z104</f>
        <v>1371.060907610396</v>
      </c>
      <c r="Y200" s="216">
        <f>Y$198*'Ethylene recycling rates'!AA104</f>
        <v>1548.5280650255888</v>
      </c>
      <c r="Z200" s="216">
        <f>Z$198*'Ethylene recycling rates'!AB104</f>
        <v>1733.4617069229894</v>
      </c>
      <c r="AA200" s="216">
        <f>AA$198*'Ethylene recycling rates'!AC104</f>
        <v>1925.8002451767738</v>
      </c>
      <c r="AB200" s="216">
        <f>AB$198*'Ethylene recycling rates'!AD104</f>
        <v>2125.4820916611175</v>
      </c>
      <c r="AC200" s="216">
        <f>AC$198*'Ethylene recycling rates'!AE104</f>
        <v>2332.4456582501971</v>
      </c>
      <c r="AD200" s="216">
        <f>AD$198*'Ethylene recycling rates'!AF104</f>
        <v>2546.6293568181877</v>
      </c>
      <c r="AE200" s="216">
        <f>AE$198*'Ethylene recycling rates'!AG104</f>
        <v>2767.9715992392653</v>
      </c>
      <c r="AF200" s="216">
        <f>AF$198*'Ethylene recycling rates'!AH104</f>
        <v>2996.4107973876062</v>
      </c>
      <c r="AG200" s="216">
        <f>AG$198*'Ethylene recycling rates'!AI104</f>
        <v>3231.8853631373922</v>
      </c>
      <c r="AH200" s="230"/>
      <c r="AI200" s="126"/>
      <c r="AJ200" s="198"/>
      <c r="AL200" s="102"/>
      <c r="AM200" s="2"/>
      <c r="AN200" s="2"/>
      <c r="AO200" s="2"/>
      <c r="BC200" s="1"/>
      <c r="BD200" s="2"/>
      <c r="BE200" s="2"/>
      <c r="BF200" s="2"/>
      <c r="BG200" s="2"/>
      <c r="BH200" s="2"/>
      <c r="BI200" s="2"/>
      <c r="BJ200" s="2"/>
      <c r="BK200" s="2"/>
    </row>
    <row r="201" spans="1:63" outlineLevel="1">
      <c r="A201" s="4" t="s">
        <v>34</v>
      </c>
      <c r="C201" s="216">
        <f>C$198*'Ethylene recycling rates'!E105</f>
        <v>1022.393611663963</v>
      </c>
      <c r="D201" s="216">
        <f>D$198*'Ethylene recycling rates'!F105</f>
        <v>1494.2525935466902</v>
      </c>
      <c r="E201" s="216">
        <f>E$198*'Ethylene recycling rates'!G105</f>
        <v>1953.0421748907722</v>
      </c>
      <c r="F201" s="216">
        <f>F$198*'Ethylene recycling rates'!H105</f>
        <v>2398.8384829208153</v>
      </c>
      <c r="G201" s="216">
        <f>G$198*'Ethylene recycling rates'!I105</f>
        <v>2831.7176448614255</v>
      </c>
      <c r="H201" s="216">
        <f>H$198*'Ethylene recycling rates'!J105</f>
        <v>3251.7557879372102</v>
      </c>
      <c r="I201" s="216">
        <f>I$198*'Ethylene recycling rates'!K105</f>
        <v>3659.0290393727746</v>
      </c>
      <c r="J201" s="216">
        <f>J$198*'Ethylene recycling rates'!L105</f>
        <v>4053.6135263927263</v>
      </c>
      <c r="K201" s="216">
        <f>K$198*'Ethylene recycling rates'!M105</f>
        <v>4435.5853762216693</v>
      </c>
      <c r="L201" s="216">
        <f>L$198*'Ethylene recycling rates'!N105</f>
        <v>4805.0207160842128</v>
      </c>
      <c r="M201" s="216">
        <f>M$198*'Ethylene recycling rates'!O105</f>
        <v>5161.9956732049613</v>
      </c>
      <c r="N201" s="216">
        <f>N$198*'Ethylene recycling rates'!P105</f>
        <v>5888.184294624255</v>
      </c>
      <c r="O201" s="216">
        <f>O$198*'Ethylene recycling rates'!Q105</f>
        <v>6590.6328032216898</v>
      </c>
      <c r="P201" s="216">
        <f>P$198*'Ethylene recycling rates'!R105</f>
        <v>7269.4863165191673</v>
      </c>
      <c r="Q201" s="216">
        <f>Q$198*'Ethylene recycling rates'!S105</f>
        <v>7924.8899520385976</v>
      </c>
      <c r="R201" s="216">
        <f>R$198*'Ethylene recycling rates'!T105</f>
        <v>8556.9888273018878</v>
      </c>
      <c r="S201" s="216">
        <f>S$198*'Ethylene recycling rates'!U105</f>
        <v>9165.9280598309379</v>
      </c>
      <c r="T201" s="216">
        <f>T$198*'Ethylene recycling rates'!V105</f>
        <v>9751.8527671476586</v>
      </c>
      <c r="U201" s="216">
        <f>U$198*'Ethylene recycling rates'!W105</f>
        <v>10314.908066773956</v>
      </c>
      <c r="V201" s="216">
        <f>V$198*'Ethylene recycling rates'!X105</f>
        <v>10855.239076231732</v>
      </c>
      <c r="W201" s="216">
        <f>W$198*'Ethylene recycling rates'!Y105</f>
        <v>11372.990913042895</v>
      </c>
      <c r="X201" s="216">
        <f>X$198*'Ethylene recycling rates'!Z105</f>
        <v>12396.935705166232</v>
      </c>
      <c r="Y201" s="216">
        <f>Y$198*'Ethylene recycling rates'!AA105</f>
        <v>13380.770959457561</v>
      </c>
      <c r="Z201" s="216">
        <f>Z$198*'Ethylene recycling rates'!AB105</f>
        <v>14324.753846208872</v>
      </c>
      <c r="AA201" s="216">
        <f>AA$198*'Ethylene recycling rates'!AC105</f>
        <v>15229.141535712153</v>
      </c>
      <c r="AB201" s="216">
        <f>AB$198*'Ethylene recycling rates'!AD105</f>
        <v>16094.191198259383</v>
      </c>
      <c r="AC201" s="216">
        <f>AC$198*'Ethylene recycling rates'!AE105</f>
        <v>16920.160004142552</v>
      </c>
      <c r="AD201" s="216">
        <f>AD$198*'Ethylene recycling rates'!AF105</f>
        <v>17707.305123653641</v>
      </c>
      <c r="AE201" s="216">
        <f>AE$198*'Ethylene recycling rates'!AG105</f>
        <v>18455.883727084642</v>
      </c>
      <c r="AF201" s="216">
        <f>AF$198*'Ethylene recycling rates'!AH105</f>
        <v>19166.152984727534</v>
      </c>
      <c r="AG201" s="216">
        <f>AG$198*'Ethylene recycling rates'!AI105</f>
        <v>19838.370066874344</v>
      </c>
      <c r="AH201" s="230"/>
      <c r="AI201" s="126"/>
      <c r="AJ201" s="198"/>
      <c r="AL201" s="102"/>
      <c r="AM201" s="2"/>
      <c r="AN201" s="2"/>
      <c r="AO201" s="2"/>
      <c r="BC201" s="1"/>
      <c r="BD201" s="2"/>
      <c r="BE201" s="2"/>
      <c r="BF201" s="2"/>
      <c r="BG201" s="2"/>
      <c r="BH201" s="2"/>
      <c r="BI201" s="2"/>
      <c r="BJ201" s="2"/>
      <c r="BK201" s="2"/>
    </row>
    <row r="202" spans="1:63" outlineLevel="1">
      <c r="A202" s="4" t="s">
        <v>35</v>
      </c>
      <c r="C202" s="216">
        <f>C$198*'Ethylene recycling rates'!E106</f>
        <v>0</v>
      </c>
      <c r="D202" s="216">
        <f>D$198*'Ethylene recycling rates'!F106</f>
        <v>0</v>
      </c>
      <c r="E202" s="216">
        <f>E$198*'Ethylene recycling rates'!G106</f>
        <v>0</v>
      </c>
      <c r="F202" s="216">
        <f>F$198*'Ethylene recycling rates'!H106</f>
        <v>0</v>
      </c>
      <c r="G202" s="216">
        <f>G$198*'Ethylene recycling rates'!I106</f>
        <v>0</v>
      </c>
      <c r="H202" s="216">
        <f>H$198*'Ethylene recycling rates'!J106</f>
        <v>0</v>
      </c>
      <c r="I202" s="216">
        <f>I$198*'Ethylene recycling rates'!K106</f>
        <v>0</v>
      </c>
      <c r="J202" s="216">
        <f>J$198*'Ethylene recycling rates'!L106</f>
        <v>0</v>
      </c>
      <c r="K202" s="216">
        <f>K$198*'Ethylene recycling rates'!M106</f>
        <v>0</v>
      </c>
      <c r="L202" s="216">
        <f>L$198*'Ethylene recycling rates'!N106</f>
        <v>0</v>
      </c>
      <c r="M202" s="216">
        <f>M$198*'Ethylene recycling rates'!O106</f>
        <v>0</v>
      </c>
      <c r="N202" s="216">
        <f>N$198*'Ethylene recycling rates'!P106</f>
        <v>0</v>
      </c>
      <c r="O202" s="216">
        <f>O$198*'Ethylene recycling rates'!Q106</f>
        <v>0</v>
      </c>
      <c r="P202" s="216">
        <f>P$198*'Ethylene recycling rates'!R106</f>
        <v>0</v>
      </c>
      <c r="Q202" s="216">
        <f>Q$198*'Ethylene recycling rates'!S106</f>
        <v>0</v>
      </c>
      <c r="R202" s="216">
        <f>R$198*'Ethylene recycling rates'!T106</f>
        <v>0</v>
      </c>
      <c r="S202" s="216">
        <f>S$198*'Ethylene recycling rates'!U106</f>
        <v>0</v>
      </c>
      <c r="T202" s="216">
        <f>T$198*'Ethylene recycling rates'!V106</f>
        <v>0</v>
      </c>
      <c r="U202" s="216">
        <f>U$198*'Ethylene recycling rates'!W106</f>
        <v>0</v>
      </c>
      <c r="V202" s="216">
        <f>V$198*'Ethylene recycling rates'!X106</f>
        <v>0</v>
      </c>
      <c r="W202" s="216">
        <f>W$198*'Ethylene recycling rates'!Y106</f>
        <v>0</v>
      </c>
      <c r="X202" s="216">
        <f>X$198*'Ethylene recycling rates'!Z106</f>
        <v>0</v>
      </c>
      <c r="Y202" s="216">
        <f>Y$198*'Ethylene recycling rates'!AA106</f>
        <v>0</v>
      </c>
      <c r="Z202" s="216">
        <f>Z$198*'Ethylene recycling rates'!AB106</f>
        <v>0</v>
      </c>
      <c r="AA202" s="216">
        <f>AA$198*'Ethylene recycling rates'!AC106</f>
        <v>0</v>
      </c>
      <c r="AB202" s="216">
        <f>AB$198*'Ethylene recycling rates'!AD106</f>
        <v>0</v>
      </c>
      <c r="AC202" s="216">
        <f>AC$198*'Ethylene recycling rates'!AE106</f>
        <v>0</v>
      </c>
      <c r="AD202" s="216">
        <f>AD$198*'Ethylene recycling rates'!AF106</f>
        <v>0</v>
      </c>
      <c r="AE202" s="216">
        <f>AE$198*'Ethylene recycling rates'!AG106</f>
        <v>0</v>
      </c>
      <c r="AF202" s="216">
        <f>AF$198*'Ethylene recycling rates'!AH106</f>
        <v>0</v>
      </c>
      <c r="AG202" s="216">
        <f>AG$198*'Ethylene recycling rates'!AI106</f>
        <v>0</v>
      </c>
      <c r="AH202" s="230"/>
      <c r="AI202" s="126"/>
      <c r="AJ202" s="198"/>
      <c r="AL202" s="102"/>
      <c r="AM202" s="2"/>
      <c r="AN202" s="2"/>
      <c r="AO202" s="2"/>
      <c r="BC202" s="1"/>
      <c r="BD202" s="2"/>
      <c r="BE202" s="2"/>
      <c r="BF202" s="2"/>
      <c r="BG202" s="2"/>
      <c r="BH202" s="2"/>
      <c r="BI202" s="2"/>
      <c r="BJ202" s="2"/>
      <c r="BK202" s="2"/>
    </row>
    <row r="203" spans="1:63" outlineLevel="1">
      <c r="A203" s="4" t="s">
        <v>27</v>
      </c>
      <c r="C203" s="216">
        <f>C$198*'Ethylene recycling rates'!E107</f>
        <v>2.2920608611960529</v>
      </c>
      <c r="D203" s="216">
        <f>D$198*'Ethylene recycling rates'!F107</f>
        <v>3.7377689971671155</v>
      </c>
      <c r="E203" s="216">
        <f>E$198*'Ethylene recycling rates'!G107</f>
        <v>5.4038481863611123</v>
      </c>
      <c r="F203" s="216">
        <f>F$198*'Ethylene recycling rates'!H107</f>
        <v>7.2887059170531163</v>
      </c>
      <c r="G203" s="216">
        <f>G$198*'Ethylene recycling rates'!I107</f>
        <v>9.3907496775181993</v>
      </c>
      <c r="H203" s="216">
        <f>H$198*'Ethylene recycling rates'!J107</f>
        <v>11.708386956031438</v>
      </c>
      <c r="I203" s="216">
        <f>I$198*'Ethylene recycling rates'!K107</f>
        <v>14.240025240867899</v>
      </c>
      <c r="J203" s="216">
        <f>J$198*'Ethylene recycling rates'!L107</f>
        <v>16.984072020302662</v>
      </c>
      <c r="K203" s="216">
        <f>K$198*'Ethylene recycling rates'!M107</f>
        <v>19.938934782610794</v>
      </c>
      <c r="L203" s="216">
        <f>L$198*'Ethylene recycling rates'!N107</f>
        <v>23.10302101606737</v>
      </c>
      <c r="M203" s="216">
        <f>M$198*'Ethylene recycling rates'!O107</f>
        <v>26.474738208947464</v>
      </c>
      <c r="N203" s="216">
        <f>N$198*'Ethylene recycling rates'!P107</f>
        <v>32.135085196992854</v>
      </c>
      <c r="O203" s="216">
        <f>O$198*'Ethylene recycling rates'!Q107</f>
        <v>38.19096738486413</v>
      </c>
      <c r="P203" s="216">
        <f>P$198*'Ethylene recycling rates'!R107</f>
        <v>44.639349047085631</v>
      </c>
      <c r="Q203" s="216">
        <f>Q$198*'Ethylene recycling rates'!S107</f>
        <v>51.477194458181721</v>
      </c>
      <c r="R203" s="216">
        <f>R$198*'Ethylene recycling rates'!T107</f>
        <v>58.701467892676774</v>
      </c>
      <c r="S203" s="216">
        <f>S$198*'Ethylene recycling rates'!U107</f>
        <v>66.309133625095129</v>
      </c>
      <c r="T203" s="216">
        <f>T$198*'Ethylene recycling rates'!V107</f>
        <v>74.29715592996115</v>
      </c>
      <c r="U203" s="216">
        <f>U$198*'Ethylene recycling rates'!W107</f>
        <v>82.662499081799211</v>
      </c>
      <c r="V203" s="216">
        <f>V$198*'Ethylene recycling rates'!X107</f>
        <v>91.402127355133629</v>
      </c>
      <c r="W203" s="216">
        <f>W$198*'Ethylene recycling rates'!Y107</f>
        <v>100.51300502448878</v>
      </c>
      <c r="X203" s="216">
        <f>X$198*'Ethylene recycling rates'!Z107</f>
        <v>114.89126056447543</v>
      </c>
      <c r="Y203" s="216">
        <f>Y$198*'Ethylene recycling rates'!AA107</f>
        <v>129.92943077076734</v>
      </c>
      <c r="Z203" s="216">
        <f>Z$198*'Ethylene recycling rates'!AB107</f>
        <v>145.62213587669891</v>
      </c>
      <c r="AA203" s="216">
        <f>AA$198*'Ethylene recycling rates'!AC107</f>
        <v>161.9639961156044</v>
      </c>
      <c r="AB203" s="216">
        <f>AB$198*'Ethylene recycling rates'!AD107</f>
        <v>178.94963172081808</v>
      </c>
      <c r="AC203" s="216">
        <f>AC$198*'Ethylene recycling rates'!AE107</f>
        <v>196.57366292567434</v>
      </c>
      <c r="AD203" s="216">
        <f>AD$198*'Ethylene recycling rates'!AF107</f>
        <v>214.83070996350739</v>
      </c>
      <c r="AE203" s="216">
        <f>AE$198*'Ethylene recycling rates'!AG107</f>
        <v>233.7153930676516</v>
      </c>
      <c r="AF203" s="216">
        <f>AF$198*'Ethylene recycling rates'!AH107</f>
        <v>253.22233247144132</v>
      </c>
      <c r="AG203" s="216">
        <f>AG$198*'Ethylene recycling rates'!AI107</f>
        <v>273.34614840821132</v>
      </c>
      <c r="AH203" s="230"/>
      <c r="AI203" s="126"/>
      <c r="AJ203" s="198"/>
      <c r="AL203" s="102"/>
      <c r="AM203" s="2"/>
      <c r="AN203" s="2"/>
      <c r="AO203" s="2"/>
      <c r="BC203" s="1"/>
      <c r="BD203" s="2"/>
      <c r="BE203" s="2"/>
      <c r="BF203" s="2"/>
      <c r="BG203" s="2"/>
      <c r="BH203" s="2"/>
      <c r="BI203" s="2"/>
      <c r="BJ203" s="2"/>
      <c r="BK203" s="2"/>
    </row>
    <row r="204" spans="1:63" outlineLevel="1">
      <c r="AJ204" s="198"/>
    </row>
    <row r="205" spans="1:63" s="187" customFormat="1" ht="15.5" thickBot="1">
      <c r="A205" s="187" t="s">
        <v>463</v>
      </c>
      <c r="B205" s="202"/>
      <c r="C205" s="210">
        <f>C206</f>
        <v>0.05</v>
      </c>
      <c r="D205" s="210">
        <f t="shared" ref="D205:AG205" si="195">D206</f>
        <v>5.2386857178825456E-2</v>
      </c>
      <c r="E205" s="210">
        <f t="shared" si="195"/>
        <v>5.477371435765091E-2</v>
      </c>
      <c r="F205" s="210">
        <f t="shared" si="195"/>
        <v>5.7160571536476371E-2</v>
      </c>
      <c r="G205" s="210">
        <f t="shared" si="195"/>
        <v>5.9547428715301824E-2</v>
      </c>
      <c r="H205" s="210">
        <f t="shared" si="195"/>
        <v>6.1934285894127278E-2</v>
      </c>
      <c r="I205" s="210">
        <f t="shared" si="195"/>
        <v>6.4321143072952724E-2</v>
      </c>
      <c r="J205" s="210">
        <f t="shared" si="195"/>
        <v>6.6708000251778185E-2</v>
      </c>
      <c r="K205" s="210">
        <f t="shared" si="195"/>
        <v>6.9094857430603646E-2</v>
      </c>
      <c r="L205" s="210">
        <f t="shared" si="195"/>
        <v>7.1481714609429092E-2</v>
      </c>
      <c r="M205" s="210">
        <f t="shared" si="195"/>
        <v>7.3868571788254553E-2</v>
      </c>
      <c r="N205" s="210">
        <f t="shared" si="195"/>
        <v>7.8418518285390579E-2</v>
      </c>
      <c r="O205" s="210">
        <f t="shared" si="195"/>
        <v>8.2968464782526605E-2</v>
      </c>
      <c r="P205" s="210">
        <f t="shared" si="195"/>
        <v>8.7518411279662617E-2</v>
      </c>
      <c r="Q205" s="210">
        <f t="shared" si="195"/>
        <v>9.2068357776798643E-2</v>
      </c>
      <c r="R205" s="210">
        <f t="shared" si="195"/>
        <v>9.6618304273934669E-2</v>
      </c>
      <c r="S205" s="210">
        <f t="shared" si="195"/>
        <v>0.10116825077107069</v>
      </c>
      <c r="T205" s="210">
        <f t="shared" si="195"/>
        <v>0.10571819726820672</v>
      </c>
      <c r="U205" s="210">
        <f t="shared" si="195"/>
        <v>0.11026814376534275</v>
      </c>
      <c r="V205" s="210">
        <f t="shared" si="195"/>
        <v>0.11481809026247877</v>
      </c>
      <c r="W205" s="210">
        <f t="shared" si="195"/>
        <v>0.11936803675961478</v>
      </c>
      <c r="X205" s="210">
        <f t="shared" si="195"/>
        <v>0.12743123308365331</v>
      </c>
      <c r="Y205" s="210">
        <f t="shared" si="195"/>
        <v>0.13549442940769182</v>
      </c>
      <c r="Z205" s="210">
        <f t="shared" si="195"/>
        <v>0.14355762573173037</v>
      </c>
      <c r="AA205" s="210">
        <f t="shared" si="195"/>
        <v>0.15162082205576888</v>
      </c>
      <c r="AB205" s="210">
        <f t="shared" si="195"/>
        <v>0.15968401837980739</v>
      </c>
      <c r="AC205" s="210">
        <f t="shared" si="195"/>
        <v>0.16774721470384593</v>
      </c>
      <c r="AD205" s="210">
        <f t="shared" si="195"/>
        <v>0.17581041102788444</v>
      </c>
      <c r="AE205" s="210">
        <f t="shared" si="195"/>
        <v>0.18387360735192299</v>
      </c>
      <c r="AF205" s="210">
        <f t="shared" si="195"/>
        <v>0.1919368036759615</v>
      </c>
      <c r="AG205" s="210">
        <f t="shared" si="195"/>
        <v>0.2</v>
      </c>
      <c r="AJ205" s="217" t="s">
        <v>472</v>
      </c>
      <c r="AL205" s="204"/>
      <c r="AM205" s="211"/>
      <c r="AN205" s="211"/>
      <c r="AO205" s="211"/>
    </row>
    <row r="206" spans="1:63" ht="15.5" outlineLevel="2" thickTop="1">
      <c r="A206" t="s">
        <v>464</v>
      </c>
      <c r="B206" s="51" t="s">
        <v>126</v>
      </c>
      <c r="C206" s="107">
        <v>0.05</v>
      </c>
      <c r="D206" s="104">
        <f>$C206+($M206-$C206)/10*(D$1-$C$1)</f>
        <v>5.2386857178825456E-2</v>
      </c>
      <c r="E206" s="104">
        <f t="shared" ref="E206:L206" si="196">$C206+($M206-$C206)/10*(E$1-$C$1)</f>
        <v>5.477371435765091E-2</v>
      </c>
      <c r="F206" s="104">
        <f t="shared" si="196"/>
        <v>5.7160571536476371E-2</v>
      </c>
      <c r="G206" s="104">
        <f t="shared" si="196"/>
        <v>5.9547428715301824E-2</v>
      </c>
      <c r="H206" s="104">
        <f t="shared" si="196"/>
        <v>6.1934285894127278E-2</v>
      </c>
      <c r="I206" s="104">
        <f t="shared" si="196"/>
        <v>6.4321143072952724E-2</v>
      </c>
      <c r="J206" s="104">
        <f t="shared" si="196"/>
        <v>6.6708000251778185E-2</v>
      </c>
      <c r="K206" s="104">
        <f t="shared" si="196"/>
        <v>6.9094857430603646E-2</v>
      </c>
      <c r="L206" s="104">
        <f t="shared" si="196"/>
        <v>7.1481714609429092E-2</v>
      </c>
      <c r="M206" s="115">
        <f>(M$50-$C$50)/($AG$50-$C$50)*($AG206-$C206)+$C206</f>
        <v>7.3868571788254553E-2</v>
      </c>
      <c r="N206" s="115">
        <f>$M206+($W206-$M206)/10*(N$1-$M$1)</f>
        <v>7.8418518285390579E-2</v>
      </c>
      <c r="O206" s="115">
        <f t="shared" ref="O206:U206" si="197">$M206+($W206-$M206)/10*(O$1-$M$1)</f>
        <v>8.2968464782526605E-2</v>
      </c>
      <c r="P206" s="115">
        <f t="shared" si="197"/>
        <v>8.7518411279662617E-2</v>
      </c>
      <c r="Q206" s="115">
        <f t="shared" si="197"/>
        <v>9.2068357776798643E-2</v>
      </c>
      <c r="R206" s="115">
        <f t="shared" si="197"/>
        <v>9.6618304273934669E-2</v>
      </c>
      <c r="S206" s="115">
        <f t="shared" si="197"/>
        <v>0.10116825077107069</v>
      </c>
      <c r="T206" s="115">
        <f t="shared" si="197"/>
        <v>0.10571819726820672</v>
      </c>
      <c r="U206" s="115">
        <f t="shared" si="197"/>
        <v>0.11026814376534275</v>
      </c>
      <c r="V206" s="115">
        <f>$M206+($W206-$M206)/10*(V$1-$M$1)</f>
        <v>0.11481809026247877</v>
      </c>
      <c r="W206" s="115">
        <f>(W$50-$C$50)/($AG$50-$C$50)*($AG206-$C206)+$C206</f>
        <v>0.11936803675961478</v>
      </c>
      <c r="X206" s="22">
        <f t="shared" ref="X206:AF206" si="198">$W206+($AG206-$W206)/10*(X$1-$W$1)</f>
        <v>0.12743123308365331</v>
      </c>
      <c r="Y206" s="22">
        <f t="shared" si="198"/>
        <v>0.13549442940769182</v>
      </c>
      <c r="Z206" s="22">
        <f t="shared" si="198"/>
        <v>0.14355762573173037</v>
      </c>
      <c r="AA206" s="22">
        <f t="shared" si="198"/>
        <v>0.15162082205576888</v>
      </c>
      <c r="AB206" s="22">
        <f t="shared" si="198"/>
        <v>0.15968401837980739</v>
      </c>
      <c r="AC206" s="22">
        <f t="shared" si="198"/>
        <v>0.16774721470384593</v>
      </c>
      <c r="AD206" s="22">
        <f t="shared" si="198"/>
        <v>0.17581041102788444</v>
      </c>
      <c r="AE206" s="22">
        <f t="shared" si="198"/>
        <v>0.18387360735192299</v>
      </c>
      <c r="AF206" s="22">
        <f t="shared" si="198"/>
        <v>0.1919368036759615</v>
      </c>
      <c r="AG206" s="201">
        <v>0.2</v>
      </c>
      <c r="AJ206" s="198" t="s">
        <v>465</v>
      </c>
    </row>
    <row r="207" spans="1:63" outlineLevel="1">
      <c r="C207" s="107"/>
      <c r="D207" s="104"/>
      <c r="E207" s="104"/>
      <c r="F207" s="104"/>
      <c r="G207" s="104"/>
      <c r="H207" s="104"/>
      <c r="I207" s="104"/>
      <c r="J207" s="104"/>
      <c r="K207" s="104"/>
      <c r="L207" s="104"/>
      <c r="M207" s="115"/>
      <c r="N207" s="115"/>
      <c r="O207" s="115"/>
      <c r="P207" s="115"/>
      <c r="Q207" s="115"/>
      <c r="R207" s="115"/>
      <c r="S207" s="115"/>
      <c r="T207" s="115"/>
      <c r="U207" s="115"/>
      <c r="V207" s="115"/>
      <c r="W207" s="115"/>
      <c r="X207" s="22"/>
      <c r="Y207" s="22"/>
      <c r="Z207" s="22"/>
      <c r="AA207" s="22"/>
      <c r="AB207" s="22"/>
      <c r="AC207" s="22"/>
      <c r="AD207" s="22"/>
      <c r="AE207" s="22"/>
      <c r="AF207" s="22"/>
      <c r="AG207" s="100"/>
      <c r="AJ207" s="198"/>
    </row>
    <row r="208" spans="1:63" outlineLevel="1">
      <c r="A208" t="s">
        <v>468</v>
      </c>
      <c r="C208" s="357">
        <f>'Overall recycling rates'!C88</f>
        <v>1.0000000000000002</v>
      </c>
      <c r="D208" s="357">
        <f t="shared" ref="D208:AF208" si="199">C208-($C208-$AG208)/($AG1-$C1)</f>
        <v>1.0000000000000002</v>
      </c>
      <c r="E208" s="357">
        <f t="shared" si="199"/>
        <v>1.0000000000000002</v>
      </c>
      <c r="F208" s="357">
        <f t="shared" si="199"/>
        <v>1.0000000000000002</v>
      </c>
      <c r="G208" s="357">
        <f t="shared" si="199"/>
        <v>1.0000000000000002</v>
      </c>
      <c r="H208" s="357">
        <f t="shared" si="199"/>
        <v>1.0000000000000002</v>
      </c>
      <c r="I208" s="357">
        <f t="shared" si="199"/>
        <v>1.0000000000000002</v>
      </c>
      <c r="J208" s="357">
        <f t="shared" si="199"/>
        <v>1.0000000000000002</v>
      </c>
      <c r="K208" s="357">
        <f t="shared" si="199"/>
        <v>1.0000000000000002</v>
      </c>
      <c r="L208" s="357">
        <f t="shared" si="199"/>
        <v>1.0000000000000002</v>
      </c>
      <c r="M208" s="357">
        <f t="shared" si="199"/>
        <v>1.0000000000000002</v>
      </c>
      <c r="N208" s="357">
        <f t="shared" si="199"/>
        <v>1.0000000000000002</v>
      </c>
      <c r="O208" s="357">
        <f t="shared" si="199"/>
        <v>1.0000000000000002</v>
      </c>
      <c r="P208" s="357">
        <f t="shared" si="199"/>
        <v>1.0000000000000002</v>
      </c>
      <c r="Q208" s="357">
        <f t="shared" si="199"/>
        <v>1.0000000000000002</v>
      </c>
      <c r="R208" s="357">
        <f t="shared" si="199"/>
        <v>1.0000000000000002</v>
      </c>
      <c r="S208" s="357">
        <f t="shared" si="199"/>
        <v>1.0000000000000002</v>
      </c>
      <c r="T208" s="357">
        <f t="shared" si="199"/>
        <v>1.0000000000000002</v>
      </c>
      <c r="U208" s="357">
        <f t="shared" si="199"/>
        <v>1.0000000000000002</v>
      </c>
      <c r="V208" s="357">
        <f t="shared" si="199"/>
        <v>1.0000000000000002</v>
      </c>
      <c r="W208" s="357">
        <f t="shared" si="199"/>
        <v>1.0000000000000002</v>
      </c>
      <c r="X208" s="357">
        <f t="shared" si="199"/>
        <v>1.0000000000000002</v>
      </c>
      <c r="Y208" s="357">
        <f t="shared" si="199"/>
        <v>1.0000000000000002</v>
      </c>
      <c r="Z208" s="357">
        <f t="shared" si="199"/>
        <v>1.0000000000000002</v>
      </c>
      <c r="AA208" s="357">
        <f t="shared" si="199"/>
        <v>1.0000000000000002</v>
      </c>
      <c r="AB208" s="357">
        <f t="shared" si="199"/>
        <v>1.0000000000000002</v>
      </c>
      <c r="AC208" s="357">
        <f t="shared" si="199"/>
        <v>1.0000000000000002</v>
      </c>
      <c r="AD208" s="357">
        <f t="shared" si="199"/>
        <v>1.0000000000000002</v>
      </c>
      <c r="AE208" s="357">
        <f t="shared" si="199"/>
        <v>1.0000000000000002</v>
      </c>
      <c r="AF208" s="357">
        <f t="shared" si="199"/>
        <v>1.0000000000000002</v>
      </c>
      <c r="AG208" s="357">
        <f>'Overall recycling rates'!C97</f>
        <v>1</v>
      </c>
      <c r="AI208" s="126"/>
      <c r="AJ208" s="198" t="s">
        <v>491</v>
      </c>
      <c r="AL208" s="102"/>
      <c r="AM208" s="2"/>
      <c r="AN208" s="2"/>
      <c r="AO208" s="2"/>
      <c r="BC208" s="1"/>
      <c r="BD208" s="2"/>
      <c r="BE208" s="2"/>
      <c r="BF208" s="2"/>
      <c r="BG208" s="2"/>
      <c r="BH208" s="2"/>
      <c r="BI208" s="2"/>
      <c r="BJ208" s="2"/>
      <c r="BK208" s="2"/>
    </row>
    <row r="209" spans="1:63" outlineLevel="1">
      <c r="A209" t="s">
        <v>470</v>
      </c>
      <c r="B209" s="51" t="s">
        <v>126</v>
      </c>
      <c r="C209" s="104">
        <f>C206*C208</f>
        <v>5.0000000000000017E-2</v>
      </c>
      <c r="D209" s="104">
        <f t="shared" ref="D209:AG209" si="200">D206*D208</f>
        <v>5.238685717882547E-2</v>
      </c>
      <c r="E209" s="104">
        <f t="shared" si="200"/>
        <v>5.4773714357650924E-2</v>
      </c>
      <c r="F209" s="104">
        <f t="shared" si="200"/>
        <v>5.7160571536476384E-2</v>
      </c>
      <c r="G209" s="104">
        <f t="shared" si="200"/>
        <v>5.9547428715301838E-2</v>
      </c>
      <c r="H209" s="104">
        <f t="shared" si="200"/>
        <v>6.1934285894127292E-2</v>
      </c>
      <c r="I209" s="104">
        <f t="shared" si="200"/>
        <v>6.4321143072952738E-2</v>
      </c>
      <c r="J209" s="104">
        <f t="shared" si="200"/>
        <v>6.6708000251778199E-2</v>
      </c>
      <c r="K209" s="104">
        <f t="shared" si="200"/>
        <v>6.9094857430603659E-2</v>
      </c>
      <c r="L209" s="104">
        <f t="shared" si="200"/>
        <v>7.1481714609429106E-2</v>
      </c>
      <c r="M209" s="104">
        <f t="shared" si="200"/>
        <v>7.3868571788254567E-2</v>
      </c>
      <c r="N209" s="104">
        <f t="shared" si="200"/>
        <v>7.8418518285390593E-2</v>
      </c>
      <c r="O209" s="104">
        <f t="shared" si="200"/>
        <v>8.2968464782526619E-2</v>
      </c>
      <c r="P209" s="104">
        <f t="shared" si="200"/>
        <v>8.7518411279662631E-2</v>
      </c>
      <c r="Q209" s="104">
        <f t="shared" si="200"/>
        <v>9.2068357776798657E-2</v>
      </c>
      <c r="R209" s="104">
        <f t="shared" si="200"/>
        <v>9.6618304273934696E-2</v>
      </c>
      <c r="S209" s="104">
        <f t="shared" si="200"/>
        <v>0.10116825077107072</v>
      </c>
      <c r="T209" s="104">
        <f t="shared" si="200"/>
        <v>0.10571819726820675</v>
      </c>
      <c r="U209" s="104">
        <f t="shared" si="200"/>
        <v>0.11026814376534277</v>
      </c>
      <c r="V209" s="104">
        <f t="shared" si="200"/>
        <v>0.1148180902624788</v>
      </c>
      <c r="W209" s="104">
        <f t="shared" si="200"/>
        <v>0.11936803675961481</v>
      </c>
      <c r="X209" s="104">
        <f t="shared" si="200"/>
        <v>0.12743123308365334</v>
      </c>
      <c r="Y209" s="104">
        <f t="shared" si="200"/>
        <v>0.13549442940769185</v>
      </c>
      <c r="Z209" s="104">
        <f t="shared" si="200"/>
        <v>0.14355762573173039</v>
      </c>
      <c r="AA209" s="104">
        <f t="shared" si="200"/>
        <v>0.15162082205576891</v>
      </c>
      <c r="AB209" s="104">
        <f t="shared" si="200"/>
        <v>0.15968401837980742</v>
      </c>
      <c r="AC209" s="104">
        <f t="shared" si="200"/>
        <v>0.16774721470384596</v>
      </c>
      <c r="AD209" s="104">
        <f t="shared" si="200"/>
        <v>0.17581041102788447</v>
      </c>
      <c r="AE209" s="104">
        <f t="shared" si="200"/>
        <v>0.18387360735192301</v>
      </c>
      <c r="AF209" s="104">
        <f t="shared" si="200"/>
        <v>0.19193680367596155</v>
      </c>
      <c r="AG209" s="104">
        <f t="shared" si="200"/>
        <v>0.2</v>
      </c>
      <c r="AJ209" s="198" t="s">
        <v>462</v>
      </c>
    </row>
    <row r="210" spans="1:63" outlineLevel="2">
      <c r="C210" s="107"/>
      <c r="D210" s="104"/>
      <c r="E210" s="104"/>
      <c r="F210" s="104"/>
      <c r="G210" s="104"/>
      <c r="H210" s="104"/>
      <c r="I210" s="104"/>
      <c r="J210" s="104"/>
      <c r="K210" s="104"/>
      <c r="L210" s="104"/>
      <c r="M210" s="115"/>
      <c r="N210" s="115"/>
      <c r="O210" s="115"/>
      <c r="P210" s="115"/>
      <c r="Q210" s="115"/>
      <c r="R210" s="115"/>
      <c r="S210" s="115"/>
      <c r="T210" s="115"/>
      <c r="U210" s="115"/>
      <c r="V210" s="115"/>
      <c r="W210" s="115"/>
      <c r="X210" s="22"/>
      <c r="Y210" s="22"/>
      <c r="Z210" s="22"/>
      <c r="AA210" s="22"/>
      <c r="AB210" s="22"/>
      <c r="AC210" s="22"/>
      <c r="AD210" s="22"/>
      <c r="AE210" s="22"/>
      <c r="AF210" s="22"/>
      <c r="AG210" s="100"/>
      <c r="AJ210" s="198"/>
    </row>
    <row r="211" spans="1:63" s="1" customFormat="1" outlineLevel="1">
      <c r="A211" s="1" t="s">
        <v>261</v>
      </c>
      <c r="B211" s="61"/>
      <c r="C211" s="279">
        <f>C209*C46</f>
        <v>21175.881960356954</v>
      </c>
      <c r="D211" s="279">
        <f t="shared" ref="D211:AF211" si="201">D209*D46</f>
        <v>22186.758077857721</v>
      </c>
      <c r="E211" s="279">
        <f t="shared" si="201"/>
        <v>23197.634195358489</v>
      </c>
      <c r="F211" s="279">
        <f t="shared" si="201"/>
        <v>24208.51031285926</v>
      </c>
      <c r="G211" s="279">
        <f t="shared" si="201"/>
        <v>25219.386430360028</v>
      </c>
      <c r="H211" s="279">
        <f t="shared" si="201"/>
        <v>26230.262547860795</v>
      </c>
      <c r="I211" s="279">
        <f t="shared" si="201"/>
        <v>27061.347150170172</v>
      </c>
      <c r="J211" s="279">
        <f t="shared" si="201"/>
        <v>27879.08818772855</v>
      </c>
      <c r="K211" s="279">
        <f t="shared" si="201"/>
        <v>28683.485660535913</v>
      </c>
      <c r="L211" s="279">
        <f t="shared" si="201"/>
        <v>29474.539568592259</v>
      </c>
      <c r="M211" s="279">
        <f t="shared" si="201"/>
        <v>30252.249911897605</v>
      </c>
      <c r="N211" s="279">
        <f t="shared" si="201"/>
        <v>31896.4453552702</v>
      </c>
      <c r="O211" s="279">
        <f t="shared" si="201"/>
        <v>33515.204628336185</v>
      </c>
      <c r="P211" s="279">
        <f t="shared" si="201"/>
        <v>35108.527731095543</v>
      </c>
      <c r="Q211" s="279">
        <f t="shared" si="201"/>
        <v>36676.414663548305</v>
      </c>
      <c r="R211" s="279">
        <f t="shared" si="201"/>
        <v>38218.865425694443</v>
      </c>
      <c r="S211" s="279">
        <f t="shared" si="201"/>
        <v>39735.880017533978</v>
      </c>
      <c r="T211" s="279">
        <f t="shared" si="201"/>
        <v>41227.458439066882</v>
      </c>
      <c r="U211" s="279">
        <f t="shared" si="201"/>
        <v>42693.600690293191</v>
      </c>
      <c r="V211" s="279">
        <f t="shared" si="201"/>
        <v>44134.306771212883</v>
      </c>
      <c r="W211" s="279">
        <f t="shared" si="201"/>
        <v>45549.576681825958</v>
      </c>
      <c r="X211" s="279">
        <f t="shared" si="201"/>
        <v>48270.208997176836</v>
      </c>
      <c r="Y211" s="279">
        <f t="shared" si="201"/>
        <v>50945.764555022346</v>
      </c>
      <c r="Z211" s="279">
        <f t="shared" si="201"/>
        <v>53576.243355362436</v>
      </c>
      <c r="AA211" s="279">
        <f t="shared" si="201"/>
        <v>56161.645398197143</v>
      </c>
      <c r="AB211" s="279">
        <f t="shared" si="201"/>
        <v>58701.970683526466</v>
      </c>
      <c r="AC211" s="279">
        <f t="shared" si="201"/>
        <v>61183.010430479408</v>
      </c>
      <c r="AD211" s="279">
        <f t="shared" si="201"/>
        <v>63617.607457578313</v>
      </c>
      <c r="AE211" s="279">
        <f t="shared" si="201"/>
        <v>66005.761764823183</v>
      </c>
      <c r="AF211" s="279">
        <f t="shared" si="201"/>
        <v>68347.473352214016</v>
      </c>
      <c r="AG211" s="279">
        <f>AG209*AG46</f>
        <v>70642.742219750784</v>
      </c>
      <c r="AH211" s="397"/>
      <c r="AI211" s="398"/>
      <c r="AJ211" s="399"/>
      <c r="AL211" s="207"/>
      <c r="AM211" s="118"/>
      <c r="AN211" s="118"/>
      <c r="AO211" s="118"/>
      <c r="BD211" s="118"/>
      <c r="BE211" s="118"/>
      <c r="BF211" s="118"/>
      <c r="BG211" s="118"/>
      <c r="BH211" s="118"/>
      <c r="BI211" s="118"/>
      <c r="BJ211" s="118"/>
      <c r="BK211" s="118"/>
    </row>
    <row r="212" spans="1:63" outlineLevel="1">
      <c r="A212" s="4" t="s">
        <v>141</v>
      </c>
      <c r="C212" s="216">
        <f>C$211*'Ethylene recycling rates'!E108</f>
        <v>15198.824934281774</v>
      </c>
      <c r="D212" s="216">
        <f>D$211*'Ethylene recycling rates'!F108</f>
        <v>15924.373422363809</v>
      </c>
      <c r="E212" s="216">
        <f>E$211*'Ethylene recycling rates'!G108</f>
        <v>16649.921910445843</v>
      </c>
      <c r="F212" s="216">
        <f>F$211*'Ethylene recycling rates'!H108</f>
        <v>17375.470398527879</v>
      </c>
      <c r="G212" s="216">
        <f>G$211*'Ethylene recycling rates'!I108</f>
        <v>18101.018886609916</v>
      </c>
      <c r="H212" s="216">
        <f>H$211*'Ethylene recycling rates'!J108</f>
        <v>18826.567374691949</v>
      </c>
      <c r="I212" s="216">
        <f>I$211*'Ethylene recycling rates'!K108</f>
        <v>19423.071898079674</v>
      </c>
      <c r="J212" s="216">
        <f>J$211*'Ethylene recycling rates'!L108</f>
        <v>20009.999181424722</v>
      </c>
      <c r="K212" s="216">
        <f>K$211*'Ethylene recycling rates'!M108</f>
        <v>20587.349224727084</v>
      </c>
      <c r="L212" s="216">
        <f>L$211*'Ethylene recycling rates'!N108</f>
        <v>21155.122027986759</v>
      </c>
      <c r="M212" s="216">
        <f>M$211*'Ethylene recycling rates'!O108</f>
        <v>21713.317591203755</v>
      </c>
      <c r="N212" s="216">
        <f>N$211*'Ethylene recycling rates'!P108</f>
        <v>22893.426110336371</v>
      </c>
      <c r="O212" s="216">
        <f>O$211*'Ethylene recycling rates'!Q108</f>
        <v>24055.278015637621</v>
      </c>
      <c r="P212" s="216">
        <f>P$211*'Ethylene recycling rates'!R108</f>
        <v>25198.8733071075</v>
      </c>
      <c r="Q212" s="216">
        <f>Q$211*'Ethylene recycling rates'!S108</f>
        <v>26324.211984746027</v>
      </c>
      <c r="R212" s="216">
        <f>R$211*'Ethylene recycling rates'!T108</f>
        <v>27431.29404855318</v>
      </c>
      <c r="S212" s="216">
        <f>S$211*'Ethylene recycling rates'!U108</f>
        <v>28520.119498528977</v>
      </c>
      <c r="T212" s="216">
        <f>T$211*'Ethylene recycling rates'!V108</f>
        <v>29590.688334673396</v>
      </c>
      <c r="U212" s="216">
        <f>U$211*'Ethylene recycling rates'!W108</f>
        <v>30643.000556986462</v>
      </c>
      <c r="V212" s="216">
        <f>V$211*'Ethylene recycling rates'!X108</f>
        <v>31677.056165468166</v>
      </c>
      <c r="W212" s="216">
        <f>W$211*'Ethylene recycling rates'!Y108</f>
        <v>32692.855160118499</v>
      </c>
      <c r="X212" s="216">
        <f>X$211*'Ethylene recycling rates'!Z108</f>
        <v>34645.567890052451</v>
      </c>
      <c r="Y212" s="216">
        <f>Y$211*'Ethylene recycling rates'!AA108</f>
        <v>36565.927127120704</v>
      </c>
      <c r="Z212" s="216">
        <f>Z$211*'Ethylene recycling rates'!AB108</f>
        <v>38453.932871323232</v>
      </c>
      <c r="AA212" s="216">
        <f>AA$211*'Ethylene recycling rates'!AC108</f>
        <v>40309.58512266005</v>
      </c>
      <c r="AB212" s="216">
        <f>AB$211*'Ethylene recycling rates'!AD108</f>
        <v>42132.883881131173</v>
      </c>
      <c r="AC212" s="216">
        <f>AC$211*'Ethylene recycling rates'!AE108</f>
        <v>43913.630904538586</v>
      </c>
      <c r="AD212" s="216">
        <f>AD$211*'Ethylene recycling rates'!AF108</f>
        <v>45661.044026205585</v>
      </c>
      <c r="AE212" s="216">
        <f>AE$211*'Ethylene recycling rates'!AG108</f>
        <v>47375.123246132149</v>
      </c>
      <c r="AF212" s="216">
        <f>AF$211*'Ethylene recycling rates'!AH108</f>
        <v>49055.868564318291</v>
      </c>
      <c r="AG212" s="216">
        <f>AG$211*'Ethylene recycling rates'!AI108</f>
        <v>50703.279980763989</v>
      </c>
      <c r="AH212" s="230"/>
      <c r="AI212" s="126"/>
      <c r="AJ212" s="198"/>
      <c r="AL212" s="102"/>
      <c r="AM212" s="2"/>
      <c r="AN212" s="2"/>
      <c r="AO212" s="2"/>
      <c r="BC212" s="1"/>
      <c r="BD212" s="2"/>
      <c r="BE212" s="2"/>
      <c r="BF212" s="2"/>
      <c r="BG212" s="2"/>
      <c r="BH212" s="2"/>
      <c r="BI212" s="2"/>
      <c r="BJ212" s="2"/>
      <c r="BK212" s="2"/>
    </row>
    <row r="213" spans="1:63" outlineLevel="1">
      <c r="A213" s="4" t="s">
        <v>74</v>
      </c>
      <c r="C213" s="216">
        <f>C$211*'Ethylene recycling rates'!E109</f>
        <v>1474.8273288757111</v>
      </c>
      <c r="D213" s="216">
        <f>D$211*'Ethylene recycling rates'!F109</f>
        <v>1545.2313728248103</v>
      </c>
      <c r="E213" s="216">
        <f>E$211*'Ethylene recycling rates'!G109</f>
        <v>1615.6354167739094</v>
      </c>
      <c r="F213" s="216">
        <f>F$211*'Ethylene recycling rates'!H109</f>
        <v>1686.0394607230087</v>
      </c>
      <c r="G213" s="216">
        <f>G$211*'Ethylene recycling rates'!I109</f>
        <v>1756.4435046721078</v>
      </c>
      <c r="H213" s="216">
        <f>H$211*'Ethylene recycling rates'!J109</f>
        <v>1826.8475486212069</v>
      </c>
      <c r="I213" s="216">
        <f>I$211*'Ethylene recycling rates'!K109</f>
        <v>1884.7297320593418</v>
      </c>
      <c r="J213" s="216">
        <f>J$211*'Ethylene recycling rates'!L109</f>
        <v>1941.6825821173493</v>
      </c>
      <c r="K213" s="216">
        <f>K$211*'Ethylene recycling rates'!M109</f>
        <v>1997.7060987952282</v>
      </c>
      <c r="L213" s="216">
        <f>L$211*'Ethylene recycling rates'!N109</f>
        <v>2052.8002820929787</v>
      </c>
      <c r="M213" s="216">
        <f>M$211*'Ethylene recycling rates'!O109</f>
        <v>2106.9651320106018</v>
      </c>
      <c r="N213" s="216">
        <f>N$211*'Ethylene recycling rates'!P109</f>
        <v>2221.4776882497445</v>
      </c>
      <c r="O213" s="216">
        <f>O$211*'Ethylene recycling rates'!Q109</f>
        <v>2334.2187027330178</v>
      </c>
      <c r="P213" s="216">
        <f>P$211*'Ethylene recycling rates'!R109</f>
        <v>2445.188175460421</v>
      </c>
      <c r="Q213" s="216">
        <f>Q$211*'Ethylene recycling rates'!S109</f>
        <v>2554.3861064319567</v>
      </c>
      <c r="R213" s="216">
        <f>R$211*'Ethylene recycling rates'!T109</f>
        <v>2661.8124956476222</v>
      </c>
      <c r="S213" s="216">
        <f>S$211*'Ethylene recycling rates'!U109</f>
        <v>2767.4673431074189</v>
      </c>
      <c r="T213" s="216">
        <f>T$211*'Ethylene recycling rates'!V109</f>
        <v>2871.3506488113453</v>
      </c>
      <c r="U213" s="216">
        <f>U$211*'Ethylene recycling rates'!W109</f>
        <v>2973.4624127594038</v>
      </c>
      <c r="V213" s="216">
        <f>V$211*'Ethylene recycling rates'!X109</f>
        <v>3073.8026349515926</v>
      </c>
      <c r="W213" s="216">
        <f>W$211*'Ethylene recycling rates'!Y109</f>
        <v>3172.3713153879121</v>
      </c>
      <c r="X213" s="216">
        <f>X$211*'Ethylene recycling rates'!Z109</f>
        <v>3361.8539965821856</v>
      </c>
      <c r="Y213" s="216">
        <f>Y$211*'Ethylene recycling rates'!AA109</f>
        <v>3548.1972366901095</v>
      </c>
      <c r="Z213" s="216">
        <f>Z$211*'Ethylene recycling rates'!AB109</f>
        <v>3731.4010357116813</v>
      </c>
      <c r="AA213" s="216">
        <f>AA$211*'Ethylene recycling rates'!AC109</f>
        <v>3911.4653936469031</v>
      </c>
      <c r="AB213" s="216">
        <f>AB$211*'Ethylene recycling rates'!AD109</f>
        <v>4088.3903104957744</v>
      </c>
      <c r="AC213" s="216">
        <f>AC$211*'Ethylene recycling rates'!AE109</f>
        <v>4261.1861935519437</v>
      </c>
      <c r="AD213" s="216">
        <f>AD$211*'Ethylene recycling rates'!AF109</f>
        <v>4430.7475009433874</v>
      </c>
      <c r="AE213" s="216">
        <f>AE$211*'Ethylene recycling rates'!AG109</f>
        <v>4597.0742326701074</v>
      </c>
      <c r="AF213" s="216">
        <f>AF$211*'Ethylene recycling rates'!AH109</f>
        <v>4760.1663887321029</v>
      </c>
      <c r="AG213" s="216">
        <f>AG$211*'Ethylene recycling rates'!AI109</f>
        <v>4920.0239691293709</v>
      </c>
      <c r="AH213" s="230"/>
      <c r="AI213" s="126"/>
      <c r="AJ213" s="198"/>
      <c r="AL213" s="102"/>
      <c r="AM213" s="2"/>
      <c r="AN213" s="2"/>
      <c r="AO213" s="2"/>
      <c r="BC213" s="1"/>
      <c r="BD213" s="2"/>
      <c r="BE213" s="2"/>
      <c r="BF213" s="2"/>
      <c r="BG213" s="2"/>
      <c r="BH213" s="2"/>
      <c r="BI213" s="2"/>
      <c r="BJ213" s="2"/>
      <c r="BK213" s="2"/>
    </row>
    <row r="214" spans="1:63" outlineLevel="1">
      <c r="A214" s="4" t="s">
        <v>34</v>
      </c>
      <c r="C214" s="216">
        <f>C$211*'Ethylene recycling rates'!E110</f>
        <v>3404.5367852791182</v>
      </c>
      <c r="D214" s="216">
        <f>D$211*'Ethylene recycling rates'!F110</f>
        <v>3567.0596466094944</v>
      </c>
      <c r="E214" s="216">
        <f>E$211*'Ethylene recycling rates'!G110</f>
        <v>3729.5825079398701</v>
      </c>
      <c r="F214" s="216">
        <f>F$211*'Ethylene recycling rates'!H110</f>
        <v>3892.1053692702462</v>
      </c>
      <c r="G214" s="216">
        <f>G$211*'Ethylene recycling rates'!I110</f>
        <v>4054.6282306006224</v>
      </c>
      <c r="H214" s="216">
        <f>H$211*'Ethylene recycling rates'!J110</f>
        <v>4217.1510919309976</v>
      </c>
      <c r="I214" s="216">
        <f>I$211*'Ethylene recycling rates'!K110</f>
        <v>4350.7681051698482</v>
      </c>
      <c r="J214" s="216">
        <f>J$211*'Ethylene recycling rates'!L110</f>
        <v>4482.2398166391386</v>
      </c>
      <c r="K214" s="216">
        <f>K$211*'Ethylene recycling rates'!M110</f>
        <v>4611.5662263388676</v>
      </c>
      <c r="L214" s="216">
        <f>L$211*'Ethylene recycling rates'!N110</f>
        <v>4738.7473342690355</v>
      </c>
      <c r="M214" s="216">
        <f>M$211*'Ethylene recycling rates'!O110</f>
        <v>4863.783140429643</v>
      </c>
      <c r="N214" s="216">
        <f>N$211*'Ethylene recycling rates'!P110</f>
        <v>5128.1274487153487</v>
      </c>
      <c r="O214" s="216">
        <f>O$211*'Ethylene recycling rates'!Q110</f>
        <v>5388.3822755028286</v>
      </c>
      <c r="P214" s="216">
        <f>P$211*'Ethylene recycling rates'!R110</f>
        <v>5644.547620792081</v>
      </c>
      <c r="Q214" s="216">
        <f>Q$211*'Ethylene recycling rates'!S110</f>
        <v>5896.6234845831113</v>
      </c>
      <c r="R214" s="216">
        <f>R$211*'Ethylene recycling rates'!T110</f>
        <v>6144.6098668759132</v>
      </c>
      <c r="S214" s="216">
        <f>S$211*'Ethylene recycling rates'!U110</f>
        <v>6388.5067676704921</v>
      </c>
      <c r="T214" s="216">
        <f>T$211*'Ethylene recycling rates'!V110</f>
        <v>6628.3141869668425</v>
      </c>
      <c r="U214" s="216">
        <f>U$211*'Ethylene recycling rates'!W110</f>
        <v>6864.0321247649699</v>
      </c>
      <c r="V214" s="216">
        <f>V$211*'Ethylene recycling rates'!X110</f>
        <v>7095.6605810648707</v>
      </c>
      <c r="W214" s="216">
        <f>W$211*'Ethylene recycling rates'!Y110</f>
        <v>7323.1995558665458</v>
      </c>
      <c r="X214" s="216">
        <f>X$211*'Ethylene recycling rates'!Z110</f>
        <v>7760.6072073717505</v>
      </c>
      <c r="Y214" s="216">
        <f>Y$211*'Ethylene recycling rates'!AA110</f>
        <v>8190.7676764750395</v>
      </c>
      <c r="Z214" s="216">
        <f>Z$211*'Ethylene recycling rates'!AB110</f>
        <v>8613.6809631764063</v>
      </c>
      <c r="AA214" s="216">
        <f>AA$211*'Ethylene recycling rates'!AC110</f>
        <v>9029.3470674758537</v>
      </c>
      <c r="AB214" s="216">
        <f>AB$211*'Ethylene recycling rates'!AD110</f>
        <v>9437.7659893733835</v>
      </c>
      <c r="AC214" s="216">
        <f>AC$211*'Ethylene recycling rates'!AE110</f>
        <v>9836.6533226166466</v>
      </c>
      <c r="AD214" s="216">
        <f>AD$211*'Ethylene recycling rates'!AF110</f>
        <v>10228.073861870052</v>
      </c>
      <c r="AE214" s="216">
        <f>AE$211*'Ethylene recycling rates'!AG110</f>
        <v>10612.027607133605</v>
      </c>
      <c r="AF214" s="216">
        <f>AF$211*'Ethylene recycling rates'!AH110</f>
        <v>10988.5145584073</v>
      </c>
      <c r="AG214" s="216">
        <f>AG$211*'Ethylene recycling rates'!AI110</f>
        <v>11357.534715691139</v>
      </c>
      <c r="AH214" s="230"/>
      <c r="AI214" s="126"/>
      <c r="AJ214" s="198"/>
      <c r="AL214" s="102"/>
      <c r="AM214" s="2"/>
      <c r="AN214" s="2"/>
      <c r="AO214" s="2"/>
      <c r="BC214" s="1"/>
      <c r="BD214" s="2"/>
      <c r="BE214" s="2"/>
      <c r="BF214" s="2"/>
      <c r="BG214" s="2"/>
      <c r="BH214" s="2"/>
      <c r="BI214" s="2"/>
      <c r="BJ214" s="2"/>
      <c r="BK214" s="2"/>
    </row>
    <row r="215" spans="1:63" outlineLevel="1">
      <c r="A215" s="4" t="s">
        <v>35</v>
      </c>
      <c r="C215" s="216">
        <f>C$211*'Ethylene recycling rates'!E111</f>
        <v>0</v>
      </c>
      <c r="D215" s="216">
        <f>D$211*'Ethylene recycling rates'!F111</f>
        <v>0</v>
      </c>
      <c r="E215" s="216">
        <f>E$211*'Ethylene recycling rates'!G111</f>
        <v>0</v>
      </c>
      <c r="F215" s="216">
        <f>F$211*'Ethylene recycling rates'!H111</f>
        <v>0</v>
      </c>
      <c r="G215" s="216">
        <f>G$211*'Ethylene recycling rates'!I111</f>
        <v>0</v>
      </c>
      <c r="H215" s="216">
        <f>H$211*'Ethylene recycling rates'!J111</f>
        <v>0</v>
      </c>
      <c r="I215" s="216">
        <f>I$211*'Ethylene recycling rates'!K111</f>
        <v>0</v>
      </c>
      <c r="J215" s="216">
        <f>J$211*'Ethylene recycling rates'!L111</f>
        <v>0</v>
      </c>
      <c r="K215" s="216">
        <f>K$211*'Ethylene recycling rates'!M111</f>
        <v>0</v>
      </c>
      <c r="L215" s="216">
        <f>L$211*'Ethylene recycling rates'!N111</f>
        <v>0</v>
      </c>
      <c r="M215" s="216">
        <f>M$211*'Ethylene recycling rates'!O111</f>
        <v>0</v>
      </c>
      <c r="N215" s="216">
        <f>N$211*'Ethylene recycling rates'!P111</f>
        <v>0</v>
      </c>
      <c r="O215" s="216">
        <f>O$211*'Ethylene recycling rates'!Q111</f>
        <v>0</v>
      </c>
      <c r="P215" s="216">
        <f>P$211*'Ethylene recycling rates'!R111</f>
        <v>0</v>
      </c>
      <c r="Q215" s="216">
        <f>Q$211*'Ethylene recycling rates'!S111</f>
        <v>0</v>
      </c>
      <c r="R215" s="216">
        <f>R$211*'Ethylene recycling rates'!T111</f>
        <v>0</v>
      </c>
      <c r="S215" s="216">
        <f>S$211*'Ethylene recycling rates'!U111</f>
        <v>0</v>
      </c>
      <c r="T215" s="216">
        <f>T$211*'Ethylene recycling rates'!V111</f>
        <v>0</v>
      </c>
      <c r="U215" s="216">
        <f>U$211*'Ethylene recycling rates'!W111</f>
        <v>0</v>
      </c>
      <c r="V215" s="216">
        <f>V$211*'Ethylene recycling rates'!X111</f>
        <v>0</v>
      </c>
      <c r="W215" s="216">
        <f>W$211*'Ethylene recycling rates'!Y111</f>
        <v>0</v>
      </c>
      <c r="X215" s="216">
        <f>X$211*'Ethylene recycling rates'!Z111</f>
        <v>0</v>
      </c>
      <c r="Y215" s="216">
        <f>Y$211*'Ethylene recycling rates'!AA111</f>
        <v>0</v>
      </c>
      <c r="Z215" s="216">
        <f>Z$211*'Ethylene recycling rates'!AB111</f>
        <v>0</v>
      </c>
      <c r="AA215" s="216">
        <f>AA$211*'Ethylene recycling rates'!AC111</f>
        <v>0</v>
      </c>
      <c r="AB215" s="216">
        <f>AB$211*'Ethylene recycling rates'!AD111</f>
        <v>0</v>
      </c>
      <c r="AC215" s="216">
        <f>AC$211*'Ethylene recycling rates'!AE111</f>
        <v>0</v>
      </c>
      <c r="AD215" s="216">
        <f>AD$211*'Ethylene recycling rates'!AF111</f>
        <v>0</v>
      </c>
      <c r="AE215" s="216">
        <f>AE$211*'Ethylene recycling rates'!AG111</f>
        <v>0</v>
      </c>
      <c r="AF215" s="216">
        <f>AF$211*'Ethylene recycling rates'!AH111</f>
        <v>0</v>
      </c>
      <c r="AG215" s="216">
        <f>AG$211*'Ethylene recycling rates'!AI111</f>
        <v>0</v>
      </c>
      <c r="AH215" s="230"/>
      <c r="AI215" s="126"/>
      <c r="AJ215" s="198"/>
      <c r="AL215" s="102"/>
      <c r="AM215" s="2"/>
      <c r="AN215" s="2"/>
      <c r="AO215" s="2"/>
      <c r="BC215" s="1"/>
      <c r="BD215" s="2"/>
      <c r="BE215" s="2"/>
      <c r="BF215" s="2"/>
      <c r="BG215" s="2"/>
      <c r="BH215" s="2"/>
      <c r="BI215" s="2"/>
      <c r="BJ215" s="2"/>
      <c r="BK215" s="2"/>
    </row>
    <row r="216" spans="1:63" outlineLevel="1">
      <c r="A216" s="4" t="s">
        <v>27</v>
      </c>
      <c r="C216" s="216">
        <f>C$211*'Ethylene recycling rates'!E112</f>
        <v>1097.6929119203508</v>
      </c>
      <c r="D216" s="216">
        <f>D$211*'Ethylene recycling rates'!F112</f>
        <v>1150.0936360596088</v>
      </c>
      <c r="E216" s="216">
        <f>E$211*'Ethylene recycling rates'!G112</f>
        <v>1202.4943601988668</v>
      </c>
      <c r="F216" s="216">
        <f>F$211*'Ethylene recycling rates'!H112</f>
        <v>1254.8950843381251</v>
      </c>
      <c r="G216" s="216">
        <f>G$211*'Ethylene recycling rates'!I112</f>
        <v>1307.2958084773832</v>
      </c>
      <c r="H216" s="216">
        <f>H$211*'Ethylene recycling rates'!J112</f>
        <v>1359.6965326166412</v>
      </c>
      <c r="I216" s="216">
        <f>I$211*'Ethylene recycling rates'!K112</f>
        <v>1402.77741486131</v>
      </c>
      <c r="J216" s="216">
        <f>J$211*'Ethylene recycling rates'!L112</f>
        <v>1445.1666075473413</v>
      </c>
      <c r="K216" s="216">
        <f>K$211*'Ethylene recycling rates'!M112</f>
        <v>1486.8641106747343</v>
      </c>
      <c r="L216" s="216">
        <f>L$211*'Ethylene recycling rates'!N112</f>
        <v>1527.8699242434884</v>
      </c>
      <c r="M216" s="216">
        <f>M$211*'Ethylene recycling rates'!O112</f>
        <v>1568.1840482536049</v>
      </c>
      <c r="N216" s="216">
        <f>N$211*'Ethylene recycling rates'!P112</f>
        <v>1653.4141079687383</v>
      </c>
      <c r="O216" s="216">
        <f>O$211*'Ethylene recycling rates'!Q112</f>
        <v>1737.3256344627175</v>
      </c>
      <c r="P216" s="216">
        <f>P$211*'Ethylene recycling rates'!R112</f>
        <v>1819.918627735542</v>
      </c>
      <c r="Q216" s="216">
        <f>Q$211*'Ethylene recycling rates'!S112</f>
        <v>1901.1930877872135</v>
      </c>
      <c r="R216" s="216">
        <f>R$211*'Ethylene recycling rates'!T112</f>
        <v>1981.14901461773</v>
      </c>
      <c r="S216" s="216">
        <f>S$211*'Ethylene recycling rates'!U112</f>
        <v>2059.786408227093</v>
      </c>
      <c r="T216" s="216">
        <f>T$211*'Ethylene recycling rates'!V112</f>
        <v>2137.1052686153012</v>
      </c>
      <c r="U216" s="216">
        <f>U$211*'Ethylene recycling rates'!W112</f>
        <v>2213.1055957823564</v>
      </c>
      <c r="V216" s="216">
        <f>V$211*'Ethylene recycling rates'!X112</f>
        <v>2287.787389728257</v>
      </c>
      <c r="W216" s="216">
        <f>W$211*'Ethylene recycling rates'!Y112</f>
        <v>2361.1506504530034</v>
      </c>
      <c r="X216" s="216">
        <f>X$211*'Ethylene recycling rates'!Z112</f>
        <v>2502.1799031704554</v>
      </c>
      <c r="Y216" s="216">
        <f>Y$211*'Ethylene recycling rates'!AA112</f>
        <v>2640.8725147364958</v>
      </c>
      <c r="Z216" s="216">
        <f>Z$211*'Ethylene recycling rates'!AB112</f>
        <v>2777.2284851511226</v>
      </c>
      <c r="AA216" s="216">
        <f>AA$211*'Ethylene recycling rates'!AC112</f>
        <v>2911.2478144143379</v>
      </c>
      <c r="AB216" s="216">
        <f>AB$211*'Ethylene recycling rates'!AD112</f>
        <v>3042.9305025261406</v>
      </c>
      <c r="AC216" s="216">
        <f>AC$211*'Ethylene recycling rates'!AE112</f>
        <v>3171.5400097722322</v>
      </c>
      <c r="AD216" s="216">
        <f>AD$211*'Ethylene recycling rates'!AF112</f>
        <v>3297.7420685592929</v>
      </c>
      <c r="AE216" s="216">
        <f>AE$211*'Ethylene recycling rates'!AG112</f>
        <v>3421.536678887323</v>
      </c>
      <c r="AF216" s="216">
        <f>AF$211*'Ethylene recycling rates'!AH112</f>
        <v>3542.9238407563221</v>
      </c>
      <c r="AG216" s="216">
        <f>AG$211*'Ethylene recycling rates'!AI112</f>
        <v>3661.9035541662893</v>
      </c>
      <c r="AH216" s="230"/>
      <c r="AI216" s="126"/>
      <c r="AJ216" s="198"/>
      <c r="AL216" s="102"/>
      <c r="AM216" s="2"/>
      <c r="AN216" s="2"/>
      <c r="AO216" s="2"/>
      <c r="BC216" s="1"/>
      <c r="BD216" s="2"/>
      <c r="BE216" s="2"/>
      <c r="BF216" s="2"/>
      <c r="BG216" s="2"/>
      <c r="BH216" s="2"/>
      <c r="BI216" s="2"/>
      <c r="BJ216" s="2"/>
      <c r="BK216" s="2"/>
    </row>
    <row r="217" spans="1:63" outlineLevel="2">
      <c r="C217" s="107"/>
      <c r="D217" s="104"/>
      <c r="E217" s="104"/>
      <c r="F217" s="104"/>
      <c r="G217" s="104"/>
      <c r="H217" s="104"/>
      <c r="I217" s="104"/>
      <c r="J217" s="104"/>
      <c r="K217" s="104"/>
      <c r="L217" s="104"/>
      <c r="M217" s="115"/>
      <c r="N217" s="115"/>
      <c r="O217" s="115"/>
      <c r="P217" s="115"/>
      <c r="Q217" s="115"/>
      <c r="R217" s="115"/>
      <c r="S217" s="115"/>
      <c r="T217" s="115"/>
      <c r="U217" s="115"/>
      <c r="V217" s="115"/>
      <c r="W217" s="115"/>
      <c r="X217" s="22"/>
      <c r="Y217" s="22"/>
      <c r="Z217" s="22"/>
      <c r="AA217" s="22"/>
      <c r="AB217" s="22"/>
      <c r="AC217" s="22"/>
      <c r="AD217" s="22"/>
      <c r="AE217" s="22"/>
      <c r="AF217" s="22"/>
      <c r="AG217" s="100"/>
      <c r="AJ217" s="198"/>
    </row>
    <row r="218" spans="1:63" s="187" customFormat="1" ht="15.5" thickBot="1">
      <c r="A218" s="213" t="s">
        <v>466</v>
      </c>
      <c r="B218" s="214"/>
      <c r="C218" s="215">
        <f t="shared" ref="C218:AG218" si="202">(C42*C66+C43*C103+C45*C152+C44*C196+C46*C205)/C47</f>
        <v>0.12177907427496035</v>
      </c>
      <c r="D218" s="215">
        <f t="shared" si="202"/>
        <v>0.12731364890810476</v>
      </c>
      <c r="E218" s="215">
        <f t="shared" si="202"/>
        <v>0.1328079363988913</v>
      </c>
      <c r="F218" s="215">
        <f t="shared" si="202"/>
        <v>0.13826154076184291</v>
      </c>
      <c r="G218" s="215">
        <f t="shared" si="202"/>
        <v>0.14367405067966657</v>
      </c>
      <c r="H218" s="215">
        <f t="shared" si="202"/>
        <v>0.14904503875397671</v>
      </c>
      <c r="I218" s="215">
        <f t="shared" si="202"/>
        <v>0.1544835001732148</v>
      </c>
      <c r="J218" s="215">
        <f t="shared" si="202"/>
        <v>0.1598888038131891</v>
      </c>
      <c r="K218" s="215">
        <f t="shared" si="202"/>
        <v>0.1652604747406807</v>
      </c>
      <c r="L218" s="215">
        <f t="shared" si="202"/>
        <v>0.17059801320748838</v>
      </c>
      <c r="M218" s="215">
        <f t="shared" si="202"/>
        <v>0.17590089300826781</v>
      </c>
      <c r="N218" s="215">
        <f t="shared" si="202"/>
        <v>0.18704711907459665</v>
      </c>
      <c r="O218" s="215">
        <f t="shared" si="202"/>
        <v>0.198197469593101</v>
      </c>
      <c r="P218" s="215">
        <f t="shared" si="202"/>
        <v>0.2090925830276322</v>
      </c>
      <c r="Q218" s="215">
        <f t="shared" si="202"/>
        <v>0.21985055802083231</v>
      </c>
      <c r="R218" s="215">
        <f t="shared" si="202"/>
        <v>0.23046494375660473</v>
      </c>
      <c r="S218" s="215">
        <f t="shared" si="202"/>
        <v>0.24093569832002773</v>
      </c>
      <c r="T218" s="215">
        <f t="shared" si="202"/>
        <v>0.25124917696216831</v>
      </c>
      <c r="U218" s="215">
        <f t="shared" si="202"/>
        <v>0.26139708442681209</v>
      </c>
      <c r="V218" s="215">
        <f t="shared" si="202"/>
        <v>0.27137025288285194</v>
      </c>
      <c r="W218" s="215">
        <f t="shared" si="202"/>
        <v>0.28115852410277875</v>
      </c>
      <c r="X218" s="215">
        <f t="shared" si="202"/>
        <v>0.29786738734155721</v>
      </c>
      <c r="Y218" s="215">
        <f t="shared" si="202"/>
        <v>0.31505187803773282</v>
      </c>
      <c r="Z218" s="215">
        <f t="shared" si="202"/>
        <v>0.33192351226832006</v>
      </c>
      <c r="AA218" s="215">
        <f t="shared" si="202"/>
        <v>0.34844551162858389</v>
      </c>
      <c r="AB218" s="215">
        <f t="shared" si="202"/>
        <v>0.36459168929749963</v>
      </c>
      <c r="AC218" s="215">
        <f t="shared" si="202"/>
        <v>0.38033436619236022</v>
      </c>
      <c r="AD218" s="215">
        <f t="shared" si="202"/>
        <v>0.39563587670035782</v>
      </c>
      <c r="AE218" s="215">
        <f t="shared" si="202"/>
        <v>0.41045668914994643</v>
      </c>
      <c r="AF218" s="215">
        <f t="shared" si="202"/>
        <v>0.42475126587077355</v>
      </c>
      <c r="AG218" s="215">
        <f t="shared" si="202"/>
        <v>0.43846687760377623</v>
      </c>
      <c r="AJ218" s="217"/>
      <c r="AL218" s="204"/>
      <c r="AM218" s="211"/>
      <c r="AN218" s="211"/>
      <c r="AO218" s="211"/>
    </row>
    <row r="219" spans="1:63" s="187" customFormat="1" ht="16.25" thickTop="1" thickBot="1">
      <c r="A219" s="213" t="s">
        <v>467</v>
      </c>
      <c r="B219" s="214"/>
      <c r="C219" s="215">
        <f t="shared" ref="C219:AG219" si="203">(C11*C49+C103*C12+C14*C152+C192*C13+C205*C15)/C16</f>
        <v>0.10391498889855581</v>
      </c>
      <c r="D219" s="215">
        <f t="shared" si="203"/>
        <v>0.10923769390727826</v>
      </c>
      <c r="E219" s="215">
        <f t="shared" si="203"/>
        <v>0.11456039891600076</v>
      </c>
      <c r="F219" s="215">
        <f t="shared" si="203"/>
        <v>0.11988310392472323</v>
      </c>
      <c r="G219" s="215">
        <f t="shared" si="203"/>
        <v>0.12520580893344577</v>
      </c>
      <c r="H219" s="215">
        <f t="shared" si="203"/>
        <v>0.13052851394216822</v>
      </c>
      <c r="I219" s="215">
        <f t="shared" si="203"/>
        <v>0.13585121895089072</v>
      </c>
      <c r="J219" s="215">
        <f t="shared" si="203"/>
        <v>0.1411739239596132</v>
      </c>
      <c r="K219" s="215">
        <f t="shared" si="203"/>
        <v>0.14649662896833568</v>
      </c>
      <c r="L219" s="215">
        <f t="shared" si="203"/>
        <v>0.15181933397705816</v>
      </c>
      <c r="M219" s="215">
        <f t="shared" si="203"/>
        <v>0.15714203898578066</v>
      </c>
      <c r="N219" s="215">
        <f t="shared" si="203"/>
        <v>0.16797867316086407</v>
      </c>
      <c r="O219" s="215">
        <f t="shared" si="203"/>
        <v>0.1788153073359475</v>
      </c>
      <c r="P219" s="215">
        <f t="shared" si="203"/>
        <v>0.18965194151103085</v>
      </c>
      <c r="Q219" s="215">
        <f t="shared" si="203"/>
        <v>0.20048857568611428</v>
      </c>
      <c r="R219" s="215">
        <f t="shared" si="203"/>
        <v>0.21132520986119768</v>
      </c>
      <c r="S219" s="215">
        <f t="shared" si="203"/>
        <v>0.22216184403628111</v>
      </c>
      <c r="T219" s="215">
        <f t="shared" si="203"/>
        <v>0.23299847821136455</v>
      </c>
      <c r="U219" s="215">
        <f t="shared" si="203"/>
        <v>0.24383511238644792</v>
      </c>
      <c r="V219" s="215">
        <f t="shared" si="203"/>
        <v>0.25467174656153135</v>
      </c>
      <c r="W219" s="215">
        <f t="shared" si="203"/>
        <v>0.26550838073661476</v>
      </c>
      <c r="X219" s="215">
        <f t="shared" si="203"/>
        <v>0.28399781351132769</v>
      </c>
      <c r="Y219" s="215">
        <f t="shared" si="203"/>
        <v>0.30248724628604073</v>
      </c>
      <c r="Z219" s="215">
        <f t="shared" si="203"/>
        <v>0.32097667906075367</v>
      </c>
      <c r="AA219" s="215">
        <f t="shared" si="203"/>
        <v>0.3394661118354666</v>
      </c>
      <c r="AB219" s="215">
        <f t="shared" si="203"/>
        <v>0.35795554461017959</v>
      </c>
      <c r="AC219" s="215">
        <f t="shared" si="203"/>
        <v>0.37644497738489258</v>
      </c>
      <c r="AD219" s="215">
        <f t="shared" si="203"/>
        <v>0.39493441015960556</v>
      </c>
      <c r="AE219" s="215">
        <f t="shared" si="203"/>
        <v>0.41342384293431855</v>
      </c>
      <c r="AF219" s="215">
        <f t="shared" si="203"/>
        <v>0.43191327570903149</v>
      </c>
      <c r="AG219" s="215">
        <f t="shared" si="203"/>
        <v>0.45040270848374447</v>
      </c>
      <c r="AJ219" s="212"/>
      <c r="AL219" s="204"/>
      <c r="AM219" s="211"/>
      <c r="AN219" s="211"/>
      <c r="AO219" s="211"/>
    </row>
    <row r="220" spans="1:63" ht="15.5" thickTop="1">
      <c r="A220" t="s">
        <v>232</v>
      </c>
      <c r="B220" s="123"/>
      <c r="C220" s="216">
        <f>C211+C198+C185+C179+C173+C145+C139+C133+C127+C96+C90+C84+C78+C72</f>
        <v>263139.70834518247</v>
      </c>
      <c r="D220" s="216">
        <f t="shared" ref="D220:AG220" si="204">D211+D198+D185+D179+D173+D145+D139+D133+D127+D96+D90+D84+D78+D72</f>
        <v>272510.32780953508</v>
      </c>
      <c r="E220" s="216">
        <f t="shared" si="204"/>
        <v>281572.52479509613</v>
      </c>
      <c r="F220" s="216">
        <f t="shared" si="204"/>
        <v>290327.90189326892</v>
      </c>
      <c r="G220" s="216">
        <f t="shared" si="204"/>
        <v>298778.06169545697</v>
      </c>
      <c r="H220" s="216">
        <f t="shared" si="204"/>
        <v>306924.60679306358</v>
      </c>
      <c r="I220" s="216">
        <f t="shared" si="204"/>
        <v>314152.07431469712</v>
      </c>
      <c r="J220" s="216">
        <f t="shared" si="204"/>
        <v>321034.64429818862</v>
      </c>
      <c r="K220" s="216">
        <f t="shared" si="204"/>
        <v>327573.91933494137</v>
      </c>
      <c r="L220" s="216">
        <f t="shared" si="204"/>
        <v>333771.50201635883</v>
      </c>
      <c r="M220" s="216">
        <f t="shared" si="204"/>
        <v>339628.99493384454</v>
      </c>
      <c r="N220" s="216">
        <f t="shared" si="204"/>
        <v>353406.9043147121</v>
      </c>
      <c r="O220" s="216">
        <f t="shared" si="204"/>
        <v>367326.53206818062</v>
      </c>
      <c r="P220" s="216">
        <f t="shared" si="204"/>
        <v>378725.479122822</v>
      </c>
      <c r="Q220" s="216">
        <f t="shared" si="204"/>
        <v>388967.96349431254</v>
      </c>
      <c r="R220" s="216">
        <f t="shared" si="204"/>
        <v>398060.06898067653</v>
      </c>
      <c r="S220" s="216">
        <f t="shared" si="204"/>
        <v>406207.45231319254</v>
      </c>
      <c r="T220" s="216">
        <f t="shared" si="204"/>
        <v>413234.10894604377</v>
      </c>
      <c r="U220" s="216">
        <f t="shared" si="204"/>
        <v>419146.12315964676</v>
      </c>
      <c r="V220" s="216">
        <f t="shared" si="204"/>
        <v>423949.57939528592</v>
      </c>
      <c r="W220" s="216">
        <f t="shared" si="204"/>
        <v>427650.56225514889</v>
      </c>
      <c r="X220" s="216">
        <f t="shared" si="204"/>
        <v>435522.95862221904</v>
      </c>
      <c r="Y220" s="216">
        <f t="shared" si="204"/>
        <v>447404.86959447939</v>
      </c>
      <c r="Z220" s="216">
        <f t="shared" si="204"/>
        <v>457310.21642893</v>
      </c>
      <c r="AA220" s="216">
        <f t="shared" si="204"/>
        <v>465322.59388012916</v>
      </c>
      <c r="AB220" s="216">
        <f t="shared" si="204"/>
        <v>471452.36491787707</v>
      </c>
      <c r="AC220" s="216">
        <f t="shared" si="204"/>
        <v>475533.7423959804</v>
      </c>
      <c r="AD220" s="216">
        <f t="shared" si="204"/>
        <v>477736.57087227603</v>
      </c>
      <c r="AE220" s="216">
        <f t="shared" si="204"/>
        <v>478071.23275608965</v>
      </c>
      <c r="AF220" s="216">
        <f t="shared" si="204"/>
        <v>476548.11693940416</v>
      </c>
      <c r="AG220" s="216">
        <f t="shared" si="204"/>
        <v>473177.61879826675</v>
      </c>
    </row>
    <row r="221" spans="1:63">
      <c r="A221" t="s">
        <v>674</v>
      </c>
      <c r="B221" s="123"/>
      <c r="C221" s="216">
        <f>(C42*C66+C43*C122+C44*C196+C45*C169+C46*C209)</f>
        <v>263139.70834518247</v>
      </c>
      <c r="D221" s="216">
        <f t="shared" ref="D221:AG221" si="205">(D42*D66+D43*D122+D44*D196+D45*D169+D46*D209)</f>
        <v>272510.32780953503</v>
      </c>
      <c r="E221" s="216">
        <f t="shared" si="205"/>
        <v>281572.52479509613</v>
      </c>
      <c r="F221" s="216">
        <f t="shared" si="205"/>
        <v>290327.90189326892</v>
      </c>
      <c r="G221" s="216">
        <f t="shared" si="205"/>
        <v>298778.06169545703</v>
      </c>
      <c r="H221" s="216">
        <f t="shared" si="205"/>
        <v>306924.60679306363</v>
      </c>
      <c r="I221" s="216">
        <f t="shared" si="205"/>
        <v>314152.07431469712</v>
      </c>
      <c r="J221" s="216">
        <f t="shared" si="205"/>
        <v>321034.64429818862</v>
      </c>
      <c r="K221" s="216">
        <f t="shared" si="205"/>
        <v>327573.91933494137</v>
      </c>
      <c r="L221" s="216">
        <f t="shared" si="205"/>
        <v>333771.50201635883</v>
      </c>
      <c r="M221" s="216">
        <f t="shared" si="205"/>
        <v>339628.99493384454</v>
      </c>
      <c r="N221" s="216">
        <f t="shared" si="205"/>
        <v>353406.90431471204</v>
      </c>
      <c r="O221" s="216">
        <f t="shared" si="205"/>
        <v>367326.53206818068</v>
      </c>
      <c r="P221" s="216">
        <f t="shared" si="205"/>
        <v>378725.479122822</v>
      </c>
      <c r="Q221" s="216">
        <f t="shared" si="205"/>
        <v>388967.9634943126</v>
      </c>
      <c r="R221" s="216">
        <f t="shared" si="205"/>
        <v>398060.06898067659</v>
      </c>
      <c r="S221" s="216">
        <f t="shared" si="205"/>
        <v>406207.45231319254</v>
      </c>
      <c r="T221" s="216">
        <f t="shared" si="205"/>
        <v>413234.10894604371</v>
      </c>
      <c r="U221" s="216">
        <f t="shared" si="205"/>
        <v>419146.12315964676</v>
      </c>
      <c r="V221" s="216">
        <f t="shared" si="205"/>
        <v>423949.57939528598</v>
      </c>
      <c r="W221" s="216">
        <f t="shared" si="205"/>
        <v>427650.56225514883</v>
      </c>
      <c r="X221" s="216">
        <f t="shared" si="205"/>
        <v>435522.95862221904</v>
      </c>
      <c r="Y221" s="216">
        <f t="shared" si="205"/>
        <v>447404.86959447927</v>
      </c>
      <c r="Z221" s="216">
        <f t="shared" si="205"/>
        <v>457310.21642893011</v>
      </c>
      <c r="AA221" s="216">
        <f t="shared" si="205"/>
        <v>465322.59388012916</v>
      </c>
      <c r="AB221" s="216">
        <f t="shared" si="205"/>
        <v>471452.36491787701</v>
      </c>
      <c r="AC221" s="216">
        <f t="shared" si="205"/>
        <v>475533.7423959804</v>
      </c>
      <c r="AD221" s="216">
        <f t="shared" si="205"/>
        <v>477736.57087227597</v>
      </c>
      <c r="AE221" s="216">
        <f t="shared" si="205"/>
        <v>478071.23275608965</v>
      </c>
      <c r="AF221" s="216">
        <f t="shared" si="205"/>
        <v>476548.11693940416</v>
      </c>
      <c r="AG221" s="216">
        <f t="shared" si="205"/>
        <v>473177.61879826663</v>
      </c>
      <c r="AI221" s="22">
        <f>(AG221/C221)^(1/30)-1</f>
        <v>1.97520651791947E-2</v>
      </c>
    </row>
    <row r="222" spans="1:63">
      <c r="A222" t="s">
        <v>675</v>
      </c>
      <c r="B222" s="123"/>
      <c r="C222" s="216">
        <f>C221</f>
        <v>263139.70834518247</v>
      </c>
      <c r="D222" s="216">
        <f>C222*(1+$AI$222)</f>
        <v>267534.14147454698</v>
      </c>
      <c r="E222" s="216">
        <f t="shared" ref="E222:AG222" si="206">D222*(1+$AI$222)</f>
        <v>272001.96163717192</v>
      </c>
      <c r="F222" s="216">
        <f t="shared" si="206"/>
        <v>276544.39439651265</v>
      </c>
      <c r="G222" s="216">
        <f t="shared" si="206"/>
        <v>281162.68578293442</v>
      </c>
      <c r="H222" s="216">
        <f t="shared" si="206"/>
        <v>285858.10263550939</v>
      </c>
      <c r="I222" s="216">
        <f t="shared" si="206"/>
        <v>290631.93294952239</v>
      </c>
      <c r="J222" s="216">
        <f t="shared" si="206"/>
        <v>295485.48622977937</v>
      </c>
      <c r="K222" s="216">
        <f t="shared" si="206"/>
        <v>300420.09384981665</v>
      </c>
      <c r="L222" s="216">
        <f t="shared" si="206"/>
        <v>305437.10941710859</v>
      </c>
      <c r="M222" s="216">
        <f>L222*(1+$AI$222)</f>
        <v>310537.90914437431</v>
      </c>
      <c r="N222" s="216">
        <f t="shared" si="206"/>
        <v>315723.89222708537</v>
      </c>
      <c r="O222" s="216">
        <f t="shared" si="206"/>
        <v>320996.48122727766</v>
      </c>
      <c r="P222" s="216">
        <f t="shared" si="206"/>
        <v>326357.12246377318</v>
      </c>
      <c r="Q222" s="216">
        <f t="shared" si="206"/>
        <v>331807.28640891815</v>
      </c>
      <c r="R222" s="216">
        <f t="shared" si="206"/>
        <v>337348.46809194708</v>
      </c>
      <c r="S222" s="216">
        <f t="shared" si="206"/>
        <v>342982.18750908261</v>
      </c>
      <c r="T222" s="216">
        <f t="shared" si="206"/>
        <v>348709.99004048429</v>
      </c>
      <c r="U222" s="216">
        <f t="shared" si="206"/>
        <v>354533.44687416038</v>
      </c>
      <c r="V222" s="216">
        <f t="shared" si="206"/>
        <v>360454.15543695883</v>
      </c>
      <c r="W222" s="216">
        <f t="shared" si="206"/>
        <v>366473.73983275599</v>
      </c>
      <c r="X222" s="216">
        <f t="shared" si="206"/>
        <v>372593.85128796299</v>
      </c>
      <c r="Y222" s="216">
        <f t="shared" si="206"/>
        <v>378816.16860447195</v>
      </c>
      <c r="Z222" s="216">
        <f t="shared" si="206"/>
        <v>385142.39862016658</v>
      </c>
      <c r="AA222" s="216">
        <f t="shared" si="206"/>
        <v>391574.27667712333</v>
      </c>
      <c r="AB222" s="216">
        <f t="shared" si="206"/>
        <v>398113.56709763128</v>
      </c>
      <c r="AC222" s="216">
        <f t="shared" si="206"/>
        <v>404762.06366816169</v>
      </c>
      <c r="AD222" s="216">
        <f t="shared" si="206"/>
        <v>411521.59013141994</v>
      </c>
      <c r="AE222" s="216">
        <f t="shared" si="206"/>
        <v>418394.00068661466</v>
      </c>
      <c r="AF222" s="216">
        <f t="shared" si="206"/>
        <v>425381.18049808108</v>
      </c>
      <c r="AG222" s="216">
        <f t="shared" si="206"/>
        <v>432485.04621239903</v>
      </c>
      <c r="AI222" s="201">
        <v>1.67E-2</v>
      </c>
      <c r="AJ222" s="3" t="s">
        <v>676</v>
      </c>
    </row>
    <row r="223" spans="1:63">
      <c r="B223" s="123"/>
      <c r="C223" s="216"/>
      <c r="D223" s="216"/>
      <c r="E223" s="216"/>
      <c r="F223" s="216"/>
      <c r="G223" s="216"/>
      <c r="H223" s="216"/>
      <c r="I223" s="216"/>
      <c r="J223" s="216"/>
      <c r="K223" s="216"/>
      <c r="L223" s="216"/>
      <c r="M223" s="216"/>
      <c r="N223" s="216"/>
      <c r="O223" s="216"/>
      <c r="P223" s="216"/>
      <c r="Q223" s="216"/>
      <c r="R223" s="216"/>
      <c r="S223" s="216"/>
      <c r="T223" s="216"/>
      <c r="U223" s="216"/>
      <c r="V223" s="216"/>
      <c r="W223" s="216"/>
      <c r="X223" s="216"/>
      <c r="Y223" s="216"/>
      <c r="Z223" s="216"/>
      <c r="AA223" s="216"/>
      <c r="AB223" s="216"/>
      <c r="AC223" s="216"/>
      <c r="AD223" s="216"/>
      <c r="AE223" s="216"/>
      <c r="AF223" s="216"/>
      <c r="AG223" s="216"/>
      <c r="AI223" s="201"/>
    </row>
    <row r="224" spans="1:63" s="55" customFormat="1">
      <c r="A224" s="55" t="s">
        <v>703</v>
      </c>
      <c r="B224" s="282"/>
      <c r="C224" s="283"/>
      <c r="D224" s="283"/>
      <c r="E224" s="283"/>
      <c r="F224" s="283"/>
      <c r="G224" s="283"/>
      <c r="H224" s="283"/>
      <c r="I224" s="283"/>
      <c r="J224" s="283"/>
      <c r="K224" s="283"/>
      <c r="L224" s="283"/>
      <c r="M224" s="283"/>
      <c r="N224" s="283"/>
      <c r="O224" s="283"/>
      <c r="P224" s="283"/>
      <c r="Q224" s="283"/>
      <c r="R224" s="283"/>
      <c r="S224" s="283"/>
      <c r="T224" s="283"/>
      <c r="U224" s="283"/>
      <c r="V224" s="283"/>
      <c r="W224" s="283"/>
      <c r="X224" s="283"/>
      <c r="Y224" s="283"/>
      <c r="Z224" s="283"/>
      <c r="AA224" s="283"/>
      <c r="AB224" s="283"/>
      <c r="AC224" s="283"/>
      <c r="AD224" s="283"/>
      <c r="AE224" s="283"/>
      <c r="AF224" s="283"/>
      <c r="AG224" s="283"/>
      <c r="AI224" s="284"/>
      <c r="AJ224" s="285"/>
    </row>
    <row r="225" spans="1:36" s="178" customFormat="1" outlineLevel="1">
      <c r="A225" s="321" t="s">
        <v>706</v>
      </c>
      <c r="B225" s="297" t="s">
        <v>126</v>
      </c>
      <c r="C225" s="678">
        <v>0.84</v>
      </c>
      <c r="D225" s="298">
        <f>-($C225-$AG225)/30+C225</f>
        <v>0.83566666666666667</v>
      </c>
      <c r="E225" s="298">
        <f t="shared" ref="E225:AF231" si="207">-($C225-$AG225)/30+D225</f>
        <v>0.83133333333333337</v>
      </c>
      <c r="F225" s="298">
        <f t="shared" si="207"/>
        <v>0.82700000000000007</v>
      </c>
      <c r="G225" s="298">
        <f t="shared" si="207"/>
        <v>0.82266666666666677</v>
      </c>
      <c r="H225" s="298">
        <f t="shared" si="207"/>
        <v>0.81833333333333347</v>
      </c>
      <c r="I225" s="298">
        <f t="shared" si="207"/>
        <v>0.81400000000000017</v>
      </c>
      <c r="J225" s="298">
        <f t="shared" si="207"/>
        <v>0.80966666666666687</v>
      </c>
      <c r="K225" s="298">
        <f t="shared" si="207"/>
        <v>0.80533333333333357</v>
      </c>
      <c r="L225" s="298">
        <f t="shared" si="207"/>
        <v>0.80100000000000027</v>
      </c>
      <c r="M225" s="298">
        <f t="shared" si="207"/>
        <v>0.79666666666666697</v>
      </c>
      <c r="N225" s="298">
        <f t="shared" si="207"/>
        <v>0.79233333333333367</v>
      </c>
      <c r="O225" s="298">
        <f t="shared" si="207"/>
        <v>0.78800000000000037</v>
      </c>
      <c r="P225" s="298">
        <f t="shared" si="207"/>
        <v>0.78366666666666707</v>
      </c>
      <c r="Q225" s="298">
        <f t="shared" si="207"/>
        <v>0.77933333333333377</v>
      </c>
      <c r="R225" s="298">
        <f t="shared" si="207"/>
        <v>0.77500000000000047</v>
      </c>
      <c r="S225" s="298">
        <f t="shared" si="207"/>
        <v>0.77066666666666717</v>
      </c>
      <c r="T225" s="298">
        <f t="shared" si="207"/>
        <v>0.76633333333333387</v>
      </c>
      <c r="U225" s="298">
        <f t="shared" si="207"/>
        <v>0.76200000000000057</v>
      </c>
      <c r="V225" s="298">
        <f t="shared" si="207"/>
        <v>0.75766666666666727</v>
      </c>
      <c r="W225" s="298">
        <f t="shared" si="207"/>
        <v>0.75333333333333397</v>
      </c>
      <c r="X225" s="298">
        <f t="shared" si="207"/>
        <v>0.74900000000000067</v>
      </c>
      <c r="Y225" s="298">
        <f t="shared" si="207"/>
        <v>0.74466666666666737</v>
      </c>
      <c r="Z225" s="298">
        <f t="shared" si="207"/>
        <v>0.74033333333333406</v>
      </c>
      <c r="AA225" s="298">
        <f t="shared" si="207"/>
        <v>0.73600000000000076</v>
      </c>
      <c r="AB225" s="298">
        <f t="shared" si="207"/>
        <v>0.73166666666666746</v>
      </c>
      <c r="AC225" s="298">
        <f t="shared" si="207"/>
        <v>0.72733333333333416</v>
      </c>
      <c r="AD225" s="298">
        <f t="shared" si="207"/>
        <v>0.72300000000000086</v>
      </c>
      <c r="AE225" s="298">
        <f t="shared" si="207"/>
        <v>0.71866666666666756</v>
      </c>
      <c r="AF225" s="298">
        <f t="shared" si="207"/>
        <v>0.71433333333333426</v>
      </c>
      <c r="AG225" s="678">
        <v>0.71</v>
      </c>
      <c r="AI225" s="299"/>
      <c r="AJ225" t="s">
        <v>1614</v>
      </c>
    </row>
    <row r="226" spans="1:36" outlineLevel="1">
      <c r="A226" s="3" t="s">
        <v>698</v>
      </c>
      <c r="B226" s="281" t="s">
        <v>126</v>
      </c>
      <c r="C226" s="275">
        <v>0.16</v>
      </c>
      <c r="D226" s="296">
        <f t="shared" ref="D226:S231" si="208">-($C226-$AG226)/30+C226</f>
        <v>0.16206666666666666</v>
      </c>
      <c r="E226" s="296">
        <f t="shared" si="208"/>
        <v>0.16413333333333333</v>
      </c>
      <c r="F226" s="296">
        <f t="shared" si="208"/>
        <v>0.16619999999999999</v>
      </c>
      <c r="G226" s="296">
        <f t="shared" si="208"/>
        <v>0.16826666666666665</v>
      </c>
      <c r="H226" s="296">
        <f t="shared" si="208"/>
        <v>0.17033333333333331</v>
      </c>
      <c r="I226" s="296">
        <f t="shared" si="208"/>
        <v>0.17239999999999997</v>
      </c>
      <c r="J226" s="296">
        <f t="shared" si="208"/>
        <v>0.17446666666666663</v>
      </c>
      <c r="K226" s="296">
        <f t="shared" si="208"/>
        <v>0.17653333333333329</v>
      </c>
      <c r="L226" s="296">
        <f t="shared" si="208"/>
        <v>0.17859999999999995</v>
      </c>
      <c r="M226" s="296">
        <f t="shared" si="208"/>
        <v>0.18066666666666661</v>
      </c>
      <c r="N226" s="296">
        <f t="shared" si="208"/>
        <v>0.18273333333333328</v>
      </c>
      <c r="O226" s="296">
        <f t="shared" si="208"/>
        <v>0.18479999999999994</v>
      </c>
      <c r="P226" s="296">
        <f t="shared" si="208"/>
        <v>0.1868666666666666</v>
      </c>
      <c r="Q226" s="296">
        <f t="shared" si="208"/>
        <v>0.18893333333333326</v>
      </c>
      <c r="R226" s="296">
        <f t="shared" si="208"/>
        <v>0.19099999999999992</v>
      </c>
      <c r="S226" s="296">
        <f t="shared" si="208"/>
        <v>0.19306666666666658</v>
      </c>
      <c r="T226" s="296">
        <f t="shared" si="207"/>
        <v>0.19513333333333324</v>
      </c>
      <c r="U226" s="296">
        <f t="shared" si="207"/>
        <v>0.1971999999999999</v>
      </c>
      <c r="V226" s="296">
        <f t="shared" si="207"/>
        <v>0.19926666666666656</v>
      </c>
      <c r="W226" s="296">
        <f t="shared" si="207"/>
        <v>0.20133333333333323</v>
      </c>
      <c r="X226" s="296">
        <f t="shared" si="207"/>
        <v>0.20339999999999989</v>
      </c>
      <c r="Y226" s="296">
        <f t="shared" si="207"/>
        <v>0.20546666666666655</v>
      </c>
      <c r="Z226" s="296">
        <f t="shared" si="207"/>
        <v>0.20753333333333321</v>
      </c>
      <c r="AA226" s="296">
        <f t="shared" si="207"/>
        <v>0.20959999999999987</v>
      </c>
      <c r="AB226" s="296">
        <f t="shared" si="207"/>
        <v>0.21166666666666653</v>
      </c>
      <c r="AC226" s="296">
        <f t="shared" si="207"/>
        <v>0.21373333333333319</v>
      </c>
      <c r="AD226" s="296">
        <f t="shared" si="207"/>
        <v>0.21579999999999985</v>
      </c>
      <c r="AE226" s="296">
        <f t="shared" si="207"/>
        <v>0.21786666666666651</v>
      </c>
      <c r="AF226" s="296">
        <f t="shared" si="207"/>
        <v>0.21993333333333318</v>
      </c>
      <c r="AG226" s="275">
        <v>0.222</v>
      </c>
      <c r="AI226" s="201"/>
      <c r="AJ226" t="s">
        <v>1614</v>
      </c>
    </row>
    <row r="227" spans="1:36" outlineLevel="1">
      <c r="A227" s="3" t="s">
        <v>697</v>
      </c>
      <c r="B227" s="281" t="s">
        <v>126</v>
      </c>
      <c r="C227" s="275">
        <v>0.37</v>
      </c>
      <c r="D227" s="296">
        <f t="shared" si="208"/>
        <v>0.36270000000000002</v>
      </c>
      <c r="E227" s="296">
        <f t="shared" si="208"/>
        <v>0.35540000000000005</v>
      </c>
      <c r="F227" s="296">
        <f t="shared" si="208"/>
        <v>0.34810000000000008</v>
      </c>
      <c r="G227" s="296">
        <f t="shared" si="208"/>
        <v>0.3408000000000001</v>
      </c>
      <c r="H227" s="296">
        <f t="shared" si="208"/>
        <v>0.33350000000000013</v>
      </c>
      <c r="I227" s="296">
        <f t="shared" si="208"/>
        <v>0.32620000000000016</v>
      </c>
      <c r="J227" s="296">
        <f t="shared" si="208"/>
        <v>0.31890000000000018</v>
      </c>
      <c r="K227" s="296">
        <f t="shared" si="208"/>
        <v>0.31160000000000021</v>
      </c>
      <c r="L227" s="296">
        <f t="shared" si="208"/>
        <v>0.30430000000000024</v>
      </c>
      <c r="M227" s="296">
        <f t="shared" si="208"/>
        <v>0.29700000000000026</v>
      </c>
      <c r="N227" s="296">
        <f t="shared" si="208"/>
        <v>0.28970000000000029</v>
      </c>
      <c r="O227" s="296">
        <f t="shared" si="208"/>
        <v>0.28240000000000032</v>
      </c>
      <c r="P227" s="296">
        <f t="shared" si="208"/>
        <v>0.27510000000000034</v>
      </c>
      <c r="Q227" s="296">
        <f t="shared" si="208"/>
        <v>0.26780000000000037</v>
      </c>
      <c r="R227" s="296">
        <f t="shared" si="208"/>
        <v>0.2605000000000004</v>
      </c>
      <c r="S227" s="296">
        <f t="shared" si="208"/>
        <v>0.25320000000000042</v>
      </c>
      <c r="T227" s="296">
        <f t="shared" si="207"/>
        <v>0.24590000000000042</v>
      </c>
      <c r="U227" s="296">
        <f t="shared" si="207"/>
        <v>0.23860000000000042</v>
      </c>
      <c r="V227" s="296">
        <f t="shared" si="207"/>
        <v>0.23130000000000042</v>
      </c>
      <c r="W227" s="296">
        <f t="shared" si="207"/>
        <v>0.22400000000000042</v>
      </c>
      <c r="X227" s="296">
        <f t="shared" si="207"/>
        <v>0.21670000000000042</v>
      </c>
      <c r="Y227" s="296">
        <f t="shared" si="207"/>
        <v>0.20940000000000042</v>
      </c>
      <c r="Z227" s="296">
        <f t="shared" si="207"/>
        <v>0.20210000000000042</v>
      </c>
      <c r="AA227" s="296">
        <f t="shared" si="207"/>
        <v>0.19480000000000042</v>
      </c>
      <c r="AB227" s="296">
        <f t="shared" si="207"/>
        <v>0.18750000000000042</v>
      </c>
      <c r="AC227" s="296">
        <f t="shared" si="207"/>
        <v>0.18020000000000042</v>
      </c>
      <c r="AD227" s="296">
        <f t="shared" si="207"/>
        <v>0.17290000000000041</v>
      </c>
      <c r="AE227" s="296">
        <f t="shared" si="207"/>
        <v>0.16560000000000041</v>
      </c>
      <c r="AF227" s="296">
        <f t="shared" si="207"/>
        <v>0.15830000000000041</v>
      </c>
      <c r="AG227" s="275">
        <v>0.151</v>
      </c>
      <c r="AI227" s="201"/>
      <c r="AJ227" t="s">
        <v>1614</v>
      </c>
    </row>
    <row r="228" spans="1:36" outlineLevel="1">
      <c r="A228" s="3" t="s">
        <v>699</v>
      </c>
      <c r="B228" s="281" t="s">
        <v>126</v>
      </c>
      <c r="C228" s="275">
        <v>0.08</v>
      </c>
      <c r="D228" s="296">
        <f t="shared" si="208"/>
        <v>8.0100000000000005E-2</v>
      </c>
      <c r="E228" s="296">
        <f t="shared" si="208"/>
        <v>8.0200000000000007E-2</v>
      </c>
      <c r="F228" s="296">
        <f t="shared" si="208"/>
        <v>8.030000000000001E-2</v>
      </c>
      <c r="G228" s="296">
        <f t="shared" si="208"/>
        <v>8.0400000000000013E-2</v>
      </c>
      <c r="H228" s="296">
        <f t="shared" si="208"/>
        <v>8.0500000000000016E-2</v>
      </c>
      <c r="I228" s="296">
        <f t="shared" si="208"/>
        <v>8.0600000000000019E-2</v>
      </c>
      <c r="J228" s="296">
        <f t="shared" si="208"/>
        <v>8.0700000000000022E-2</v>
      </c>
      <c r="K228" s="296">
        <f t="shared" si="208"/>
        <v>8.0800000000000025E-2</v>
      </c>
      <c r="L228" s="296">
        <f t="shared" si="208"/>
        <v>8.0900000000000027E-2</v>
      </c>
      <c r="M228" s="296">
        <f t="shared" si="208"/>
        <v>8.100000000000003E-2</v>
      </c>
      <c r="N228" s="296">
        <f t="shared" si="208"/>
        <v>8.1100000000000033E-2</v>
      </c>
      <c r="O228" s="296">
        <f t="shared" si="208"/>
        <v>8.1200000000000036E-2</v>
      </c>
      <c r="P228" s="296">
        <f t="shared" si="208"/>
        <v>8.1300000000000039E-2</v>
      </c>
      <c r="Q228" s="296">
        <f t="shared" si="208"/>
        <v>8.1400000000000042E-2</v>
      </c>
      <c r="R228" s="296">
        <f t="shared" si="208"/>
        <v>8.1500000000000045E-2</v>
      </c>
      <c r="S228" s="296">
        <f t="shared" si="208"/>
        <v>8.1600000000000047E-2</v>
      </c>
      <c r="T228" s="296">
        <f t="shared" si="207"/>
        <v>8.170000000000005E-2</v>
      </c>
      <c r="U228" s="296">
        <f t="shared" si="207"/>
        <v>8.1800000000000053E-2</v>
      </c>
      <c r="V228" s="296">
        <f t="shared" si="207"/>
        <v>8.1900000000000056E-2</v>
      </c>
      <c r="W228" s="296">
        <f t="shared" si="207"/>
        <v>8.2000000000000059E-2</v>
      </c>
      <c r="X228" s="296">
        <f t="shared" si="207"/>
        <v>8.2100000000000062E-2</v>
      </c>
      <c r="Y228" s="296">
        <f t="shared" si="207"/>
        <v>8.2200000000000065E-2</v>
      </c>
      <c r="Z228" s="296">
        <f t="shared" si="207"/>
        <v>8.2300000000000068E-2</v>
      </c>
      <c r="AA228" s="296">
        <f t="shared" si="207"/>
        <v>8.240000000000007E-2</v>
      </c>
      <c r="AB228" s="296">
        <f t="shared" si="207"/>
        <v>8.2500000000000073E-2</v>
      </c>
      <c r="AC228" s="296">
        <f t="shared" si="207"/>
        <v>8.2600000000000076E-2</v>
      </c>
      <c r="AD228" s="296">
        <f t="shared" si="207"/>
        <v>8.2700000000000079E-2</v>
      </c>
      <c r="AE228" s="296">
        <f t="shared" si="207"/>
        <v>8.2800000000000082E-2</v>
      </c>
      <c r="AF228" s="296">
        <f t="shared" si="207"/>
        <v>8.2900000000000085E-2</v>
      </c>
      <c r="AG228" s="275">
        <v>8.3000000000000004E-2</v>
      </c>
      <c r="AI228" s="201"/>
      <c r="AJ228" t="s">
        <v>1614</v>
      </c>
    </row>
    <row r="229" spans="1:36" outlineLevel="1">
      <c r="A229" s="3" t="s">
        <v>700</v>
      </c>
      <c r="B229" s="281" t="s">
        <v>126</v>
      </c>
      <c r="C229" s="275">
        <v>0.27</v>
      </c>
      <c r="D229" s="296">
        <f t="shared" si="208"/>
        <v>0.27313333333333334</v>
      </c>
      <c r="E229" s="296">
        <f t="shared" si="208"/>
        <v>0.27626666666666666</v>
      </c>
      <c r="F229" s="296">
        <f t="shared" si="208"/>
        <v>0.27939999999999998</v>
      </c>
      <c r="G229" s="296">
        <f t="shared" si="208"/>
        <v>0.2825333333333333</v>
      </c>
      <c r="H229" s="296">
        <f t="shared" si="208"/>
        <v>0.28566666666666662</v>
      </c>
      <c r="I229" s="296">
        <f t="shared" si="208"/>
        <v>0.28879999999999995</v>
      </c>
      <c r="J229" s="296">
        <f t="shared" si="208"/>
        <v>0.29193333333333327</v>
      </c>
      <c r="K229" s="296">
        <f t="shared" si="208"/>
        <v>0.29506666666666659</v>
      </c>
      <c r="L229" s="296">
        <f t="shared" si="208"/>
        <v>0.29819999999999991</v>
      </c>
      <c r="M229" s="296">
        <f t="shared" si="208"/>
        <v>0.30133333333333323</v>
      </c>
      <c r="N229" s="296">
        <f t="shared" si="208"/>
        <v>0.30446666666666655</v>
      </c>
      <c r="O229" s="296">
        <f t="shared" si="208"/>
        <v>0.30759999999999987</v>
      </c>
      <c r="P229" s="296">
        <f t="shared" si="208"/>
        <v>0.31073333333333319</v>
      </c>
      <c r="Q229" s="296">
        <f t="shared" si="208"/>
        <v>0.31386666666666652</v>
      </c>
      <c r="R229" s="296">
        <f t="shared" si="208"/>
        <v>0.31699999999999984</v>
      </c>
      <c r="S229" s="296">
        <f t="shared" si="208"/>
        <v>0.32013333333333316</v>
      </c>
      <c r="T229" s="296">
        <f t="shared" si="207"/>
        <v>0.32326666666666648</v>
      </c>
      <c r="U229" s="296">
        <f t="shared" si="207"/>
        <v>0.3263999999999998</v>
      </c>
      <c r="V229" s="296">
        <f t="shared" si="207"/>
        <v>0.32953333333333312</v>
      </c>
      <c r="W229" s="296">
        <f t="shared" si="207"/>
        <v>0.33266666666666644</v>
      </c>
      <c r="X229" s="296">
        <f t="shared" si="207"/>
        <v>0.33579999999999977</v>
      </c>
      <c r="Y229" s="296">
        <f t="shared" si="207"/>
        <v>0.33893333333333309</v>
      </c>
      <c r="Z229" s="296">
        <f t="shared" si="207"/>
        <v>0.34206666666666641</v>
      </c>
      <c r="AA229" s="296">
        <f t="shared" si="207"/>
        <v>0.34519999999999973</v>
      </c>
      <c r="AB229" s="296">
        <f t="shared" si="207"/>
        <v>0.34833333333333305</v>
      </c>
      <c r="AC229" s="296">
        <f t="shared" si="207"/>
        <v>0.35146666666666637</v>
      </c>
      <c r="AD229" s="296">
        <f t="shared" si="207"/>
        <v>0.35459999999999969</v>
      </c>
      <c r="AE229" s="296">
        <f t="shared" si="207"/>
        <v>0.35773333333333301</v>
      </c>
      <c r="AF229" s="296">
        <f t="shared" si="207"/>
        <v>0.36086666666666634</v>
      </c>
      <c r="AG229" s="275">
        <v>0.36399999999999999</v>
      </c>
      <c r="AI229" s="201"/>
      <c r="AJ229" t="s">
        <v>1614</v>
      </c>
    </row>
    <row r="230" spans="1:36" outlineLevel="1">
      <c r="A230" s="3" t="s">
        <v>701</v>
      </c>
      <c r="B230" s="281" t="s">
        <v>126</v>
      </c>
      <c r="C230" s="275">
        <v>7.0000000000000007E-2</v>
      </c>
      <c r="D230" s="296">
        <f t="shared" si="208"/>
        <v>7.1266666666666673E-2</v>
      </c>
      <c r="E230" s="296">
        <f t="shared" si="208"/>
        <v>7.2533333333333339E-2</v>
      </c>
      <c r="F230" s="296">
        <f t="shared" si="208"/>
        <v>7.3800000000000004E-2</v>
      </c>
      <c r="G230" s="296">
        <f t="shared" si="208"/>
        <v>7.506666666666667E-2</v>
      </c>
      <c r="H230" s="296">
        <f t="shared" si="208"/>
        <v>7.6333333333333336E-2</v>
      </c>
      <c r="I230" s="296">
        <f t="shared" si="208"/>
        <v>7.7600000000000002E-2</v>
      </c>
      <c r="J230" s="296">
        <f t="shared" si="208"/>
        <v>7.8866666666666668E-2</v>
      </c>
      <c r="K230" s="296">
        <f t="shared" si="208"/>
        <v>8.0133333333333334E-2</v>
      </c>
      <c r="L230" s="296">
        <f t="shared" si="208"/>
        <v>8.14E-2</v>
      </c>
      <c r="M230" s="296">
        <f t="shared" si="208"/>
        <v>8.2666666666666666E-2</v>
      </c>
      <c r="N230" s="296">
        <f t="shared" si="208"/>
        <v>8.3933333333333332E-2</v>
      </c>
      <c r="O230" s="296">
        <f t="shared" si="208"/>
        <v>8.5199999999999998E-2</v>
      </c>
      <c r="P230" s="296">
        <f t="shared" si="208"/>
        <v>8.6466666666666664E-2</v>
      </c>
      <c r="Q230" s="296">
        <f t="shared" si="208"/>
        <v>8.773333333333333E-2</v>
      </c>
      <c r="R230" s="296">
        <f t="shared" si="208"/>
        <v>8.8999999999999996E-2</v>
      </c>
      <c r="S230" s="296">
        <f t="shared" si="208"/>
        <v>9.0266666666666662E-2</v>
      </c>
      <c r="T230" s="296">
        <f t="shared" si="207"/>
        <v>9.1533333333333328E-2</v>
      </c>
      <c r="U230" s="296">
        <f t="shared" si="207"/>
        <v>9.2799999999999994E-2</v>
      </c>
      <c r="V230" s="296">
        <f t="shared" si="207"/>
        <v>9.406666666666666E-2</v>
      </c>
      <c r="W230" s="296">
        <f t="shared" si="207"/>
        <v>9.5333333333333325E-2</v>
      </c>
      <c r="X230" s="296">
        <f t="shared" si="207"/>
        <v>9.6599999999999991E-2</v>
      </c>
      <c r="Y230" s="296">
        <f t="shared" si="207"/>
        <v>9.7866666666666657E-2</v>
      </c>
      <c r="Z230" s="296">
        <f t="shared" si="207"/>
        <v>9.9133333333333323E-2</v>
      </c>
      <c r="AA230" s="296">
        <f t="shared" si="207"/>
        <v>0.10039999999999999</v>
      </c>
      <c r="AB230" s="296">
        <f t="shared" si="207"/>
        <v>0.10166666666666666</v>
      </c>
      <c r="AC230" s="296">
        <f t="shared" si="207"/>
        <v>0.10293333333333332</v>
      </c>
      <c r="AD230" s="296">
        <f t="shared" si="207"/>
        <v>0.10419999999999999</v>
      </c>
      <c r="AE230" s="296">
        <f t="shared" si="207"/>
        <v>0.10546666666666665</v>
      </c>
      <c r="AF230" s="296">
        <f t="shared" si="207"/>
        <v>0.10673333333333332</v>
      </c>
      <c r="AG230" s="275">
        <v>0.108</v>
      </c>
      <c r="AI230" s="201"/>
      <c r="AJ230" t="s">
        <v>1614</v>
      </c>
    </row>
    <row r="231" spans="1:36" outlineLevel="1">
      <c r="A231" s="3" t="s">
        <v>702</v>
      </c>
      <c r="B231" s="281" t="s">
        <v>126</v>
      </c>
      <c r="C231" s="275">
        <v>0.05</v>
      </c>
      <c r="D231" s="296">
        <f t="shared" si="208"/>
        <v>5.0733333333333339E-2</v>
      </c>
      <c r="E231" s="296">
        <f t="shared" si="208"/>
        <v>5.1466666666666674E-2</v>
      </c>
      <c r="F231" s="296">
        <f t="shared" si="208"/>
        <v>5.220000000000001E-2</v>
      </c>
      <c r="G231" s="296">
        <f t="shared" si="208"/>
        <v>5.2933333333333346E-2</v>
      </c>
      <c r="H231" s="296">
        <f t="shared" si="208"/>
        <v>5.3666666666666682E-2</v>
      </c>
      <c r="I231" s="296">
        <f t="shared" si="208"/>
        <v>5.4400000000000018E-2</v>
      </c>
      <c r="J231" s="296">
        <f t="shared" si="208"/>
        <v>5.5133333333333354E-2</v>
      </c>
      <c r="K231" s="296">
        <f t="shared" si="208"/>
        <v>5.5866666666666689E-2</v>
      </c>
      <c r="L231" s="296">
        <f t="shared" si="208"/>
        <v>5.6600000000000025E-2</v>
      </c>
      <c r="M231" s="296">
        <f t="shared" si="208"/>
        <v>5.7333333333333361E-2</v>
      </c>
      <c r="N231" s="296">
        <f t="shared" si="208"/>
        <v>5.8066666666666697E-2</v>
      </c>
      <c r="O231" s="296">
        <f t="shared" si="208"/>
        <v>5.8800000000000033E-2</v>
      </c>
      <c r="P231" s="296">
        <f t="shared" si="208"/>
        <v>5.9533333333333369E-2</v>
      </c>
      <c r="Q231" s="296">
        <f t="shared" si="208"/>
        <v>6.0266666666666704E-2</v>
      </c>
      <c r="R231" s="296">
        <f t="shared" si="208"/>
        <v>6.100000000000004E-2</v>
      </c>
      <c r="S231" s="296">
        <f t="shared" si="208"/>
        <v>6.1733333333333376E-2</v>
      </c>
      <c r="T231" s="296">
        <f t="shared" si="207"/>
        <v>6.2466666666666712E-2</v>
      </c>
      <c r="U231" s="296">
        <f t="shared" si="207"/>
        <v>6.3200000000000048E-2</v>
      </c>
      <c r="V231" s="296">
        <f t="shared" si="207"/>
        <v>6.3933333333333384E-2</v>
      </c>
      <c r="W231" s="296">
        <f t="shared" si="207"/>
        <v>6.4666666666666719E-2</v>
      </c>
      <c r="X231" s="296">
        <f t="shared" si="207"/>
        <v>6.5400000000000055E-2</v>
      </c>
      <c r="Y231" s="296">
        <f t="shared" si="207"/>
        <v>6.6133333333333391E-2</v>
      </c>
      <c r="Z231" s="296">
        <f t="shared" si="207"/>
        <v>6.6866666666666727E-2</v>
      </c>
      <c r="AA231" s="296">
        <f t="shared" si="207"/>
        <v>6.7600000000000063E-2</v>
      </c>
      <c r="AB231" s="296">
        <f t="shared" si="207"/>
        <v>6.8333333333333399E-2</v>
      </c>
      <c r="AC231" s="296">
        <f t="shared" si="207"/>
        <v>6.9066666666666734E-2</v>
      </c>
      <c r="AD231" s="296">
        <f t="shared" si="207"/>
        <v>6.980000000000007E-2</v>
      </c>
      <c r="AE231" s="296">
        <f t="shared" si="207"/>
        <v>7.0533333333333406E-2</v>
      </c>
      <c r="AF231" s="296">
        <f t="shared" si="207"/>
        <v>7.1266666666666742E-2</v>
      </c>
      <c r="AG231" s="275">
        <v>7.1999999999999995E-2</v>
      </c>
      <c r="AI231" s="201"/>
      <c r="AJ231" t="s">
        <v>1614</v>
      </c>
    </row>
    <row r="232" spans="1:36" s="55" customFormat="1" outlineLevel="1">
      <c r="A232" s="285" t="s">
        <v>704</v>
      </c>
      <c r="B232" s="282"/>
      <c r="C232" s="283"/>
      <c r="D232" s="283"/>
      <c r="E232" s="283"/>
      <c r="F232" s="283"/>
      <c r="G232" s="283"/>
      <c r="H232" s="283"/>
      <c r="I232" s="283"/>
      <c r="J232" s="283"/>
      <c r="K232" s="283"/>
      <c r="L232" s="283"/>
      <c r="M232" s="283"/>
      <c r="N232" s="283"/>
      <c r="O232" s="283"/>
      <c r="P232" s="283"/>
      <c r="Q232" s="283"/>
      <c r="R232" s="283"/>
      <c r="S232" s="283"/>
      <c r="T232" s="283"/>
      <c r="U232" s="283"/>
      <c r="V232" s="283"/>
      <c r="W232" s="283"/>
      <c r="X232" s="283"/>
      <c r="Y232" s="283"/>
      <c r="Z232" s="283"/>
      <c r="AA232" s="283"/>
      <c r="AB232" s="283"/>
      <c r="AC232" s="283"/>
      <c r="AD232" s="283"/>
      <c r="AE232" s="283"/>
      <c r="AF232" s="283"/>
      <c r="AG232" s="283"/>
      <c r="AI232" s="284"/>
      <c r="AJ232" s="285"/>
    </row>
    <row r="233" spans="1:36" s="55" customFormat="1" outlineLevel="1">
      <c r="A233" s="286" t="s">
        <v>732</v>
      </c>
      <c r="B233" s="287" t="s">
        <v>126</v>
      </c>
      <c r="C233" s="314">
        <v>0.84</v>
      </c>
      <c r="D233" s="315">
        <f>-($C233-$AG233)/30+C233</f>
        <v>0.84399999999999997</v>
      </c>
      <c r="E233" s="315">
        <f t="shared" ref="E233:AF234" si="209">-($C233-$AG233)/30+D233</f>
        <v>0.84799999999999998</v>
      </c>
      <c r="F233" s="315">
        <f t="shared" si="209"/>
        <v>0.85199999999999998</v>
      </c>
      <c r="G233" s="315">
        <f t="shared" si="209"/>
        <v>0.85599999999999998</v>
      </c>
      <c r="H233" s="315">
        <f t="shared" si="209"/>
        <v>0.86</v>
      </c>
      <c r="I233" s="315">
        <f t="shared" si="209"/>
        <v>0.86399999999999999</v>
      </c>
      <c r="J233" s="315">
        <f t="shared" si="209"/>
        <v>0.86799999999999999</v>
      </c>
      <c r="K233" s="315">
        <f t="shared" si="209"/>
        <v>0.872</v>
      </c>
      <c r="L233" s="315">
        <f t="shared" si="209"/>
        <v>0.876</v>
      </c>
      <c r="M233" s="315">
        <f t="shared" si="209"/>
        <v>0.88</v>
      </c>
      <c r="N233" s="315">
        <f t="shared" si="209"/>
        <v>0.88400000000000001</v>
      </c>
      <c r="O233" s="315">
        <f t="shared" si="209"/>
        <v>0.88800000000000001</v>
      </c>
      <c r="P233" s="315">
        <f t="shared" si="209"/>
        <v>0.89200000000000002</v>
      </c>
      <c r="Q233" s="315">
        <f t="shared" si="209"/>
        <v>0.89600000000000002</v>
      </c>
      <c r="R233" s="315">
        <f t="shared" si="209"/>
        <v>0.9</v>
      </c>
      <c r="S233" s="315">
        <f t="shared" si="209"/>
        <v>0.90400000000000003</v>
      </c>
      <c r="T233" s="315">
        <f t="shared" si="209"/>
        <v>0.90800000000000003</v>
      </c>
      <c r="U233" s="315">
        <f t="shared" si="209"/>
        <v>0.91200000000000003</v>
      </c>
      <c r="V233" s="315">
        <f t="shared" si="209"/>
        <v>0.91600000000000004</v>
      </c>
      <c r="W233" s="315">
        <f t="shared" si="209"/>
        <v>0.92</v>
      </c>
      <c r="X233" s="315">
        <f t="shared" si="209"/>
        <v>0.92400000000000004</v>
      </c>
      <c r="Y233" s="315">
        <f t="shared" si="209"/>
        <v>0.92800000000000005</v>
      </c>
      <c r="Z233" s="315">
        <f t="shared" si="209"/>
        <v>0.93200000000000005</v>
      </c>
      <c r="AA233" s="315">
        <f t="shared" si="209"/>
        <v>0.93600000000000005</v>
      </c>
      <c r="AB233" s="315">
        <f t="shared" si="209"/>
        <v>0.94000000000000006</v>
      </c>
      <c r="AC233" s="315">
        <f t="shared" si="209"/>
        <v>0.94400000000000006</v>
      </c>
      <c r="AD233" s="315">
        <f t="shared" si="209"/>
        <v>0.94800000000000006</v>
      </c>
      <c r="AE233" s="315">
        <f t="shared" si="209"/>
        <v>0.95200000000000007</v>
      </c>
      <c r="AF233" s="315">
        <f t="shared" si="209"/>
        <v>0.95600000000000007</v>
      </c>
      <c r="AG233" s="314">
        <v>0.96</v>
      </c>
      <c r="AI233" s="284"/>
      <c r="AJ233" s="316" t="s">
        <v>1614</v>
      </c>
    </row>
    <row r="234" spans="1:36" s="55" customFormat="1" outlineLevel="1">
      <c r="A234" s="286" t="s">
        <v>743</v>
      </c>
      <c r="B234" s="287" t="s">
        <v>126</v>
      </c>
      <c r="C234" s="314">
        <v>0.22</v>
      </c>
      <c r="D234" s="315">
        <f>-($C234-$AG234)/30+C234</f>
        <v>0.22666666666666666</v>
      </c>
      <c r="E234" s="315">
        <f t="shared" si="209"/>
        <v>0.23333333333333331</v>
      </c>
      <c r="F234" s="315">
        <f t="shared" si="209"/>
        <v>0.23999999999999996</v>
      </c>
      <c r="G234" s="315">
        <f t="shared" si="209"/>
        <v>0.24666666666666662</v>
      </c>
      <c r="H234" s="315">
        <f t="shared" si="209"/>
        <v>0.2533333333333333</v>
      </c>
      <c r="I234" s="315">
        <f t="shared" si="209"/>
        <v>0.25999999999999995</v>
      </c>
      <c r="J234" s="315">
        <f t="shared" si="209"/>
        <v>0.26666666666666661</v>
      </c>
      <c r="K234" s="315">
        <f t="shared" si="209"/>
        <v>0.27333333333333326</v>
      </c>
      <c r="L234" s="315">
        <f t="shared" si="209"/>
        <v>0.27999999999999992</v>
      </c>
      <c r="M234" s="315">
        <f t="shared" si="209"/>
        <v>0.28666666666666657</v>
      </c>
      <c r="N234" s="315">
        <f t="shared" si="209"/>
        <v>0.29333333333333322</v>
      </c>
      <c r="O234" s="315">
        <f t="shared" si="209"/>
        <v>0.29999999999999988</v>
      </c>
      <c r="P234" s="315">
        <f t="shared" si="209"/>
        <v>0.30666666666666653</v>
      </c>
      <c r="Q234" s="315">
        <f t="shared" si="209"/>
        <v>0.31333333333333319</v>
      </c>
      <c r="R234" s="315">
        <f t="shared" si="209"/>
        <v>0.31999999999999984</v>
      </c>
      <c r="S234" s="315">
        <f t="shared" si="209"/>
        <v>0.32666666666666649</v>
      </c>
      <c r="T234" s="315">
        <f t="shared" si="209"/>
        <v>0.33333333333333315</v>
      </c>
      <c r="U234" s="315">
        <f t="shared" si="209"/>
        <v>0.3399999999999998</v>
      </c>
      <c r="V234" s="315">
        <f t="shared" si="209"/>
        <v>0.34666666666666646</v>
      </c>
      <c r="W234" s="315">
        <f t="shared" si="209"/>
        <v>0.35333333333333311</v>
      </c>
      <c r="X234" s="315">
        <f t="shared" si="209"/>
        <v>0.35999999999999976</v>
      </c>
      <c r="Y234" s="315">
        <f t="shared" si="209"/>
        <v>0.36666666666666642</v>
      </c>
      <c r="Z234" s="315">
        <f t="shared" si="209"/>
        <v>0.37333333333333307</v>
      </c>
      <c r="AA234" s="315">
        <f t="shared" si="209"/>
        <v>0.37999999999999973</v>
      </c>
      <c r="AB234" s="315">
        <f t="shared" si="209"/>
        <v>0.38666666666666638</v>
      </c>
      <c r="AC234" s="315">
        <f t="shared" si="209"/>
        <v>0.39333333333333304</v>
      </c>
      <c r="AD234" s="315">
        <f t="shared" si="209"/>
        <v>0.39999999999999969</v>
      </c>
      <c r="AE234" s="315">
        <f t="shared" si="209"/>
        <v>0.40666666666666634</v>
      </c>
      <c r="AF234" s="315">
        <f t="shared" si="209"/>
        <v>0.413333333333333</v>
      </c>
      <c r="AG234" s="314">
        <v>0.42</v>
      </c>
      <c r="AI234" s="284"/>
      <c r="AJ234" s="316" t="s">
        <v>1614</v>
      </c>
    </row>
    <row r="235" spans="1:36" s="59" customFormat="1" outlineLevel="1">
      <c r="A235" s="290" t="s">
        <v>744</v>
      </c>
      <c r="B235" s="291" t="s">
        <v>126</v>
      </c>
      <c r="C235" s="317">
        <f>1-C234</f>
        <v>0.78</v>
      </c>
      <c r="D235" s="317">
        <f t="shared" ref="D235:AG235" si="210">1-D234</f>
        <v>0.77333333333333332</v>
      </c>
      <c r="E235" s="317">
        <f t="shared" si="210"/>
        <v>0.76666666666666672</v>
      </c>
      <c r="F235" s="317">
        <f t="shared" si="210"/>
        <v>0.76</v>
      </c>
      <c r="G235" s="317">
        <f t="shared" si="210"/>
        <v>0.75333333333333341</v>
      </c>
      <c r="H235" s="317">
        <f t="shared" si="210"/>
        <v>0.7466666666666667</v>
      </c>
      <c r="I235" s="317">
        <f t="shared" si="210"/>
        <v>0.74</v>
      </c>
      <c r="J235" s="317">
        <f t="shared" si="210"/>
        <v>0.73333333333333339</v>
      </c>
      <c r="K235" s="317">
        <f t="shared" si="210"/>
        <v>0.72666666666666679</v>
      </c>
      <c r="L235" s="317">
        <f t="shared" si="210"/>
        <v>0.72000000000000008</v>
      </c>
      <c r="M235" s="317">
        <f t="shared" si="210"/>
        <v>0.71333333333333337</v>
      </c>
      <c r="N235" s="317">
        <f t="shared" si="210"/>
        <v>0.70666666666666678</v>
      </c>
      <c r="O235" s="317">
        <f t="shared" si="210"/>
        <v>0.70000000000000018</v>
      </c>
      <c r="P235" s="317">
        <f t="shared" si="210"/>
        <v>0.69333333333333347</v>
      </c>
      <c r="Q235" s="317">
        <f t="shared" si="210"/>
        <v>0.68666666666666676</v>
      </c>
      <c r="R235" s="317">
        <f t="shared" si="210"/>
        <v>0.68000000000000016</v>
      </c>
      <c r="S235" s="317">
        <f t="shared" si="210"/>
        <v>0.67333333333333356</v>
      </c>
      <c r="T235" s="317">
        <f t="shared" si="210"/>
        <v>0.66666666666666685</v>
      </c>
      <c r="U235" s="317">
        <f t="shared" si="210"/>
        <v>0.66000000000000014</v>
      </c>
      <c r="V235" s="317">
        <f t="shared" si="210"/>
        <v>0.65333333333333354</v>
      </c>
      <c r="W235" s="317">
        <f t="shared" si="210"/>
        <v>0.64666666666666694</v>
      </c>
      <c r="X235" s="317">
        <f t="shared" si="210"/>
        <v>0.64000000000000024</v>
      </c>
      <c r="Y235" s="317">
        <f t="shared" si="210"/>
        <v>0.63333333333333353</v>
      </c>
      <c r="Z235" s="317">
        <f t="shared" si="210"/>
        <v>0.62666666666666693</v>
      </c>
      <c r="AA235" s="317">
        <f t="shared" si="210"/>
        <v>0.62000000000000033</v>
      </c>
      <c r="AB235" s="317">
        <f t="shared" si="210"/>
        <v>0.61333333333333362</v>
      </c>
      <c r="AC235" s="317">
        <f t="shared" si="210"/>
        <v>0.60666666666666691</v>
      </c>
      <c r="AD235" s="317">
        <f t="shared" si="210"/>
        <v>0.60000000000000031</v>
      </c>
      <c r="AE235" s="317">
        <f t="shared" si="210"/>
        <v>0.59333333333333371</v>
      </c>
      <c r="AF235" s="317">
        <f t="shared" si="210"/>
        <v>0.586666666666667</v>
      </c>
      <c r="AG235" s="317">
        <f t="shared" si="210"/>
        <v>0.58000000000000007</v>
      </c>
      <c r="AI235" s="319"/>
      <c r="AJ235" s="318" t="s">
        <v>1614</v>
      </c>
    </row>
    <row r="236" spans="1:36" s="1" customFormat="1" outlineLevel="1">
      <c r="A236" t="s">
        <v>725</v>
      </c>
      <c r="B236" s="281" t="s">
        <v>126</v>
      </c>
      <c r="C236" s="275">
        <v>0.85</v>
      </c>
      <c r="D236" s="296">
        <f t="shared" ref="D236:S251" si="211">-($C236-$AG236)/30+C236</f>
        <v>0.84833333333333327</v>
      </c>
      <c r="E236" s="296">
        <f t="shared" si="211"/>
        <v>0.84666666666666657</v>
      </c>
      <c r="F236" s="296">
        <f t="shared" si="211"/>
        <v>0.84499999999999986</v>
      </c>
      <c r="G236" s="296">
        <f t="shared" si="211"/>
        <v>0.84333333333333316</v>
      </c>
      <c r="H236" s="296">
        <f t="shared" si="211"/>
        <v>0.84166666666666645</v>
      </c>
      <c r="I236" s="296">
        <f t="shared" si="211"/>
        <v>0.83999999999999975</v>
      </c>
      <c r="J236" s="296">
        <f t="shared" si="211"/>
        <v>0.83833333333333304</v>
      </c>
      <c r="K236" s="296">
        <f t="shared" si="211"/>
        <v>0.83666666666666634</v>
      </c>
      <c r="L236" s="296">
        <f t="shared" si="211"/>
        <v>0.83499999999999963</v>
      </c>
      <c r="M236" s="296">
        <f t="shared" si="211"/>
        <v>0.83333333333333293</v>
      </c>
      <c r="N236" s="296">
        <f t="shared" si="211"/>
        <v>0.83166666666666622</v>
      </c>
      <c r="O236" s="296">
        <f t="shared" si="211"/>
        <v>0.82999999999999952</v>
      </c>
      <c r="P236" s="296">
        <f t="shared" si="211"/>
        <v>0.82833333333333281</v>
      </c>
      <c r="Q236" s="296">
        <f t="shared" si="211"/>
        <v>0.82666666666666611</v>
      </c>
      <c r="R236" s="296">
        <f t="shared" si="211"/>
        <v>0.8249999999999994</v>
      </c>
      <c r="S236" s="296">
        <f t="shared" si="211"/>
        <v>0.8233333333333327</v>
      </c>
      <c r="T236" s="296">
        <f t="shared" ref="T236:AF250" si="212">-($C236-$AG236)/30+S236</f>
        <v>0.82166666666666599</v>
      </c>
      <c r="U236" s="296">
        <f t="shared" si="212"/>
        <v>0.81999999999999929</v>
      </c>
      <c r="V236" s="296">
        <f t="shared" si="212"/>
        <v>0.81833333333333258</v>
      </c>
      <c r="W236" s="296">
        <f t="shared" si="212"/>
        <v>0.81666666666666587</v>
      </c>
      <c r="X236" s="296">
        <f t="shared" si="212"/>
        <v>0.81499999999999917</v>
      </c>
      <c r="Y236" s="296">
        <f t="shared" si="212"/>
        <v>0.81333333333333246</v>
      </c>
      <c r="Z236" s="296">
        <f t="shared" si="212"/>
        <v>0.81166666666666576</v>
      </c>
      <c r="AA236" s="296">
        <f t="shared" si="212"/>
        <v>0.80999999999999905</v>
      </c>
      <c r="AB236" s="296">
        <f t="shared" si="212"/>
        <v>0.80833333333333235</v>
      </c>
      <c r="AC236" s="296">
        <f t="shared" si="212"/>
        <v>0.80666666666666564</v>
      </c>
      <c r="AD236" s="296">
        <f t="shared" si="212"/>
        <v>0.80499999999999894</v>
      </c>
      <c r="AE236" s="296">
        <f t="shared" si="212"/>
        <v>0.80333333333333223</v>
      </c>
      <c r="AF236" s="296">
        <f t="shared" si="212"/>
        <v>0.80166666666666553</v>
      </c>
      <c r="AG236" s="275">
        <v>0.8</v>
      </c>
      <c r="AI236" s="295"/>
      <c r="AJ236" s="198" t="s">
        <v>1614</v>
      </c>
    </row>
    <row r="237" spans="1:36" s="1" customFormat="1" outlineLevel="1">
      <c r="A237" t="s">
        <v>731</v>
      </c>
      <c r="B237" s="281" t="s">
        <v>126</v>
      </c>
      <c r="C237" s="275">
        <v>0.15</v>
      </c>
      <c r="D237" s="296">
        <f t="shared" si="211"/>
        <v>0.15166666666666667</v>
      </c>
      <c r="E237" s="296">
        <f t="shared" si="211"/>
        <v>0.15333333333333335</v>
      </c>
      <c r="F237" s="296">
        <f t="shared" si="211"/>
        <v>0.15500000000000003</v>
      </c>
      <c r="G237" s="296">
        <f t="shared" si="211"/>
        <v>0.1566666666666667</v>
      </c>
      <c r="H237" s="296">
        <f t="shared" si="211"/>
        <v>0.15833333333333338</v>
      </c>
      <c r="I237" s="296">
        <f t="shared" si="211"/>
        <v>0.16000000000000006</v>
      </c>
      <c r="J237" s="296">
        <f t="shared" si="211"/>
        <v>0.16166666666666674</v>
      </c>
      <c r="K237" s="296">
        <f t="shared" si="211"/>
        <v>0.16333333333333341</v>
      </c>
      <c r="L237" s="296">
        <f t="shared" si="211"/>
        <v>0.16500000000000009</v>
      </c>
      <c r="M237" s="296">
        <f t="shared" si="211"/>
        <v>0.16666666666666677</v>
      </c>
      <c r="N237" s="296">
        <f t="shared" si="211"/>
        <v>0.16833333333333345</v>
      </c>
      <c r="O237" s="296">
        <f t="shared" si="211"/>
        <v>0.17000000000000012</v>
      </c>
      <c r="P237" s="296">
        <f t="shared" si="211"/>
        <v>0.1716666666666668</v>
      </c>
      <c r="Q237" s="296">
        <f t="shared" si="211"/>
        <v>0.17333333333333348</v>
      </c>
      <c r="R237" s="296">
        <f t="shared" si="211"/>
        <v>0.17500000000000016</v>
      </c>
      <c r="S237" s="296">
        <f t="shared" si="211"/>
        <v>0.17666666666666683</v>
      </c>
      <c r="T237" s="296">
        <f t="shared" si="212"/>
        <v>0.17833333333333351</v>
      </c>
      <c r="U237" s="296">
        <f t="shared" si="212"/>
        <v>0.18000000000000019</v>
      </c>
      <c r="V237" s="296">
        <f t="shared" si="212"/>
        <v>0.18166666666666687</v>
      </c>
      <c r="W237" s="296">
        <f t="shared" si="212"/>
        <v>0.18333333333333354</v>
      </c>
      <c r="X237" s="296">
        <f t="shared" si="212"/>
        <v>0.18500000000000022</v>
      </c>
      <c r="Y237" s="296">
        <f t="shared" si="212"/>
        <v>0.1866666666666669</v>
      </c>
      <c r="Z237" s="296">
        <f t="shared" si="212"/>
        <v>0.18833333333333357</v>
      </c>
      <c r="AA237" s="296">
        <f t="shared" si="212"/>
        <v>0.19000000000000025</v>
      </c>
      <c r="AB237" s="296">
        <f t="shared" si="212"/>
        <v>0.19166666666666693</v>
      </c>
      <c r="AC237" s="296">
        <f t="shared" si="212"/>
        <v>0.19333333333333361</v>
      </c>
      <c r="AD237" s="296">
        <f t="shared" si="212"/>
        <v>0.19500000000000028</v>
      </c>
      <c r="AE237" s="296">
        <f t="shared" si="212"/>
        <v>0.19666666666666696</v>
      </c>
      <c r="AF237" s="296">
        <f t="shared" si="212"/>
        <v>0.19833333333333364</v>
      </c>
      <c r="AG237" s="275">
        <v>0.2</v>
      </c>
      <c r="AI237" s="295"/>
      <c r="AJ237" s="198" t="s">
        <v>1614</v>
      </c>
    </row>
    <row r="238" spans="1:36" s="1" customFormat="1" outlineLevel="1">
      <c r="A238" t="s">
        <v>726</v>
      </c>
      <c r="B238" s="281" t="s">
        <v>126</v>
      </c>
      <c r="C238" s="275">
        <v>0.15</v>
      </c>
      <c r="D238" s="296">
        <f t="shared" si="211"/>
        <v>0.15633333333333332</v>
      </c>
      <c r="E238" s="296">
        <f t="shared" si="211"/>
        <v>0.16266666666666665</v>
      </c>
      <c r="F238" s="296">
        <f t="shared" si="211"/>
        <v>0.16899999999999998</v>
      </c>
      <c r="G238" s="296">
        <f t="shared" si="211"/>
        <v>0.17533333333333331</v>
      </c>
      <c r="H238" s="296">
        <f t="shared" si="211"/>
        <v>0.18166666666666664</v>
      </c>
      <c r="I238" s="296">
        <f t="shared" si="211"/>
        <v>0.18799999999999997</v>
      </c>
      <c r="J238" s="296">
        <f t="shared" si="211"/>
        <v>0.1943333333333333</v>
      </c>
      <c r="K238" s="296">
        <f t="shared" si="211"/>
        <v>0.20066666666666663</v>
      </c>
      <c r="L238" s="296">
        <f t="shared" si="211"/>
        <v>0.20699999999999996</v>
      </c>
      <c r="M238" s="296">
        <f t="shared" si="211"/>
        <v>0.21333333333333329</v>
      </c>
      <c r="N238" s="296">
        <f t="shared" si="211"/>
        <v>0.21966666666666662</v>
      </c>
      <c r="O238" s="296">
        <f t="shared" si="211"/>
        <v>0.22599999999999995</v>
      </c>
      <c r="P238" s="296">
        <f t="shared" si="211"/>
        <v>0.23233333333333328</v>
      </c>
      <c r="Q238" s="296">
        <f t="shared" si="211"/>
        <v>0.23866666666666661</v>
      </c>
      <c r="R238" s="296">
        <f t="shared" si="211"/>
        <v>0.24499999999999994</v>
      </c>
      <c r="S238" s="296">
        <f t="shared" si="211"/>
        <v>0.2513333333333333</v>
      </c>
      <c r="T238" s="296">
        <f t="shared" si="212"/>
        <v>0.25766666666666665</v>
      </c>
      <c r="U238" s="296">
        <f t="shared" si="212"/>
        <v>0.26400000000000001</v>
      </c>
      <c r="V238" s="296">
        <f t="shared" si="212"/>
        <v>0.27033333333333337</v>
      </c>
      <c r="W238" s="296">
        <f t="shared" si="212"/>
        <v>0.27666666666666673</v>
      </c>
      <c r="X238" s="296">
        <f t="shared" si="212"/>
        <v>0.28300000000000008</v>
      </c>
      <c r="Y238" s="296">
        <f t="shared" si="212"/>
        <v>0.28933333333333344</v>
      </c>
      <c r="Z238" s="296">
        <f t="shared" si="212"/>
        <v>0.2956666666666668</v>
      </c>
      <c r="AA238" s="296">
        <f t="shared" si="212"/>
        <v>0.30200000000000016</v>
      </c>
      <c r="AB238" s="296">
        <f t="shared" si="212"/>
        <v>0.30833333333333351</v>
      </c>
      <c r="AC238" s="296">
        <f t="shared" si="212"/>
        <v>0.31466666666666687</v>
      </c>
      <c r="AD238" s="296">
        <f t="shared" si="212"/>
        <v>0.32100000000000023</v>
      </c>
      <c r="AE238" s="296">
        <f t="shared" si="212"/>
        <v>0.32733333333333359</v>
      </c>
      <c r="AF238" s="296">
        <f t="shared" si="212"/>
        <v>0.33366666666666694</v>
      </c>
      <c r="AG238" s="275">
        <v>0.34</v>
      </c>
      <c r="AI238" s="295"/>
      <c r="AJ238" s="198" t="s">
        <v>1614</v>
      </c>
    </row>
    <row r="239" spans="1:36" s="1" customFormat="1" outlineLevel="1">
      <c r="A239" t="s">
        <v>727</v>
      </c>
      <c r="B239" s="281" t="s">
        <v>126</v>
      </c>
      <c r="C239" s="275">
        <v>0.85</v>
      </c>
      <c r="D239" s="296">
        <f t="shared" si="211"/>
        <v>0.84366666666666668</v>
      </c>
      <c r="E239" s="296">
        <f t="shared" si="211"/>
        <v>0.83733333333333337</v>
      </c>
      <c r="F239" s="296">
        <f t="shared" si="211"/>
        <v>0.83100000000000007</v>
      </c>
      <c r="G239" s="296">
        <f t="shared" si="211"/>
        <v>0.82466666666666677</v>
      </c>
      <c r="H239" s="296">
        <f t="shared" si="211"/>
        <v>0.81833333333333347</v>
      </c>
      <c r="I239" s="296">
        <f t="shared" si="211"/>
        <v>0.81200000000000017</v>
      </c>
      <c r="J239" s="296">
        <f t="shared" si="211"/>
        <v>0.80566666666666686</v>
      </c>
      <c r="K239" s="296">
        <f t="shared" si="211"/>
        <v>0.79933333333333356</v>
      </c>
      <c r="L239" s="296">
        <f t="shared" si="211"/>
        <v>0.79300000000000026</v>
      </c>
      <c r="M239" s="296">
        <f t="shared" si="211"/>
        <v>0.78666666666666696</v>
      </c>
      <c r="N239" s="296">
        <f t="shared" si="211"/>
        <v>0.78033333333333366</v>
      </c>
      <c r="O239" s="296">
        <f t="shared" si="211"/>
        <v>0.77400000000000035</v>
      </c>
      <c r="P239" s="296">
        <f t="shared" si="211"/>
        <v>0.76766666666666705</v>
      </c>
      <c r="Q239" s="296">
        <f t="shared" si="211"/>
        <v>0.76133333333333375</v>
      </c>
      <c r="R239" s="296">
        <f t="shared" si="211"/>
        <v>0.75500000000000045</v>
      </c>
      <c r="S239" s="296">
        <f t="shared" si="211"/>
        <v>0.74866666666666715</v>
      </c>
      <c r="T239" s="296">
        <f t="shared" si="212"/>
        <v>0.74233333333333384</v>
      </c>
      <c r="U239" s="296">
        <f t="shared" si="212"/>
        <v>0.73600000000000054</v>
      </c>
      <c r="V239" s="296">
        <f t="shared" si="212"/>
        <v>0.72966666666666724</v>
      </c>
      <c r="W239" s="296">
        <f t="shared" si="212"/>
        <v>0.72333333333333394</v>
      </c>
      <c r="X239" s="296">
        <f t="shared" si="212"/>
        <v>0.71700000000000064</v>
      </c>
      <c r="Y239" s="296">
        <f t="shared" si="212"/>
        <v>0.71066666666666733</v>
      </c>
      <c r="Z239" s="296">
        <f t="shared" si="212"/>
        <v>0.70433333333333403</v>
      </c>
      <c r="AA239" s="296">
        <f t="shared" si="212"/>
        <v>0.69800000000000073</v>
      </c>
      <c r="AB239" s="296">
        <f t="shared" si="212"/>
        <v>0.69166666666666743</v>
      </c>
      <c r="AC239" s="296">
        <f t="shared" si="212"/>
        <v>0.68533333333333413</v>
      </c>
      <c r="AD239" s="296">
        <f t="shared" si="212"/>
        <v>0.67900000000000083</v>
      </c>
      <c r="AE239" s="296">
        <f t="shared" si="212"/>
        <v>0.67266666666666752</v>
      </c>
      <c r="AF239" s="296">
        <f t="shared" si="212"/>
        <v>0.66633333333333422</v>
      </c>
      <c r="AG239" s="275">
        <v>0.66</v>
      </c>
      <c r="AI239" s="295"/>
      <c r="AJ239" s="198" t="s">
        <v>1614</v>
      </c>
    </row>
    <row r="240" spans="1:36" s="1" customFormat="1" outlineLevel="1">
      <c r="A240" t="s">
        <v>730</v>
      </c>
      <c r="B240" s="281" t="s">
        <v>126</v>
      </c>
      <c r="C240" s="275">
        <v>0</v>
      </c>
      <c r="D240" s="296">
        <f t="shared" si="211"/>
        <v>0</v>
      </c>
      <c r="E240" s="296">
        <f t="shared" si="211"/>
        <v>0</v>
      </c>
      <c r="F240" s="296">
        <f t="shared" si="211"/>
        <v>0</v>
      </c>
      <c r="G240" s="296">
        <f t="shared" si="211"/>
        <v>0</v>
      </c>
      <c r="H240" s="296">
        <f t="shared" si="211"/>
        <v>0</v>
      </c>
      <c r="I240" s="296">
        <f t="shared" si="211"/>
        <v>0</v>
      </c>
      <c r="J240" s="296">
        <f t="shared" si="211"/>
        <v>0</v>
      </c>
      <c r="K240" s="296">
        <f t="shared" si="211"/>
        <v>0</v>
      </c>
      <c r="L240" s="296">
        <f t="shared" si="211"/>
        <v>0</v>
      </c>
      <c r="M240" s="296">
        <f t="shared" si="211"/>
        <v>0</v>
      </c>
      <c r="N240" s="296">
        <f t="shared" si="211"/>
        <v>0</v>
      </c>
      <c r="O240" s="296">
        <f t="shared" si="211"/>
        <v>0</v>
      </c>
      <c r="P240" s="296">
        <f t="shared" si="211"/>
        <v>0</v>
      </c>
      <c r="Q240" s="296">
        <f t="shared" si="211"/>
        <v>0</v>
      </c>
      <c r="R240" s="296">
        <f t="shared" si="211"/>
        <v>0</v>
      </c>
      <c r="S240" s="296">
        <f t="shared" si="211"/>
        <v>0</v>
      </c>
      <c r="T240" s="296">
        <f t="shared" si="212"/>
        <v>0</v>
      </c>
      <c r="U240" s="296">
        <f t="shared" si="212"/>
        <v>0</v>
      </c>
      <c r="V240" s="296">
        <f t="shared" si="212"/>
        <v>0</v>
      </c>
      <c r="W240" s="296">
        <f t="shared" si="212"/>
        <v>0</v>
      </c>
      <c r="X240" s="296">
        <f t="shared" si="212"/>
        <v>0</v>
      </c>
      <c r="Y240" s="296">
        <f t="shared" si="212"/>
        <v>0</v>
      </c>
      <c r="Z240" s="296">
        <f t="shared" si="212"/>
        <v>0</v>
      </c>
      <c r="AA240" s="296">
        <f t="shared" si="212"/>
        <v>0</v>
      </c>
      <c r="AB240" s="296">
        <f t="shared" si="212"/>
        <v>0</v>
      </c>
      <c r="AC240" s="296">
        <f t="shared" si="212"/>
        <v>0</v>
      </c>
      <c r="AD240" s="296">
        <f t="shared" si="212"/>
        <v>0</v>
      </c>
      <c r="AE240" s="296">
        <f t="shared" si="212"/>
        <v>0</v>
      </c>
      <c r="AF240" s="296">
        <f t="shared" si="212"/>
        <v>0</v>
      </c>
      <c r="AG240" s="275">
        <v>0</v>
      </c>
      <c r="AI240" s="295"/>
      <c r="AJ240" s="198" t="s">
        <v>1615</v>
      </c>
    </row>
    <row r="241" spans="1:36" s="1" customFormat="1" outlineLevel="1">
      <c r="A241" t="s">
        <v>741</v>
      </c>
      <c r="B241" s="281" t="s">
        <v>126</v>
      </c>
      <c r="C241" s="275">
        <v>1</v>
      </c>
      <c r="D241" s="296">
        <f t="shared" si="211"/>
        <v>1</v>
      </c>
      <c r="E241" s="296">
        <f t="shared" si="211"/>
        <v>1</v>
      </c>
      <c r="F241" s="296">
        <f t="shared" si="211"/>
        <v>1</v>
      </c>
      <c r="G241" s="296">
        <f t="shared" si="211"/>
        <v>1</v>
      </c>
      <c r="H241" s="296">
        <f t="shared" si="211"/>
        <v>1</v>
      </c>
      <c r="I241" s="296">
        <f t="shared" si="211"/>
        <v>1</v>
      </c>
      <c r="J241" s="296">
        <f t="shared" si="211"/>
        <v>1</v>
      </c>
      <c r="K241" s="296">
        <f t="shared" si="211"/>
        <v>1</v>
      </c>
      <c r="L241" s="296">
        <f t="shared" si="211"/>
        <v>1</v>
      </c>
      <c r="M241" s="296">
        <f t="shared" si="211"/>
        <v>1</v>
      </c>
      <c r="N241" s="296">
        <f t="shared" si="211"/>
        <v>1</v>
      </c>
      <c r="O241" s="296">
        <f t="shared" si="211"/>
        <v>1</v>
      </c>
      <c r="P241" s="296">
        <f t="shared" si="211"/>
        <v>1</v>
      </c>
      <c r="Q241" s="296">
        <f t="shared" si="211"/>
        <v>1</v>
      </c>
      <c r="R241" s="296">
        <f t="shared" si="211"/>
        <v>1</v>
      </c>
      <c r="S241" s="296">
        <f t="shared" si="211"/>
        <v>1</v>
      </c>
      <c r="T241" s="296">
        <f t="shared" si="212"/>
        <v>1</v>
      </c>
      <c r="U241" s="296">
        <f t="shared" si="212"/>
        <v>1</v>
      </c>
      <c r="V241" s="296">
        <f t="shared" si="212"/>
        <v>1</v>
      </c>
      <c r="W241" s="296">
        <f t="shared" si="212"/>
        <v>1</v>
      </c>
      <c r="X241" s="296">
        <f t="shared" si="212"/>
        <v>1</v>
      </c>
      <c r="Y241" s="296">
        <f t="shared" si="212"/>
        <v>1</v>
      </c>
      <c r="Z241" s="296">
        <f t="shared" si="212"/>
        <v>1</v>
      </c>
      <c r="AA241" s="296">
        <f t="shared" si="212"/>
        <v>1</v>
      </c>
      <c r="AB241" s="296">
        <f t="shared" si="212"/>
        <v>1</v>
      </c>
      <c r="AC241" s="296">
        <f t="shared" si="212"/>
        <v>1</v>
      </c>
      <c r="AD241" s="296">
        <f t="shared" si="212"/>
        <v>1</v>
      </c>
      <c r="AE241" s="296">
        <f t="shared" si="212"/>
        <v>1</v>
      </c>
      <c r="AF241" s="296">
        <f t="shared" si="212"/>
        <v>1</v>
      </c>
      <c r="AG241" s="275">
        <v>1</v>
      </c>
      <c r="AI241" s="295"/>
      <c r="AJ241" s="198" t="s">
        <v>1616</v>
      </c>
    </row>
    <row r="242" spans="1:36" s="1" customFormat="1" outlineLevel="1">
      <c r="A242" t="s">
        <v>728</v>
      </c>
      <c r="B242" s="281" t="s">
        <v>126</v>
      </c>
      <c r="C242" s="275">
        <v>0.8</v>
      </c>
      <c r="D242" s="296">
        <f t="shared" si="211"/>
        <v>0.80333333333333334</v>
      </c>
      <c r="E242" s="296">
        <f t="shared" si="211"/>
        <v>0.80666666666666664</v>
      </c>
      <c r="F242" s="296">
        <f t="shared" si="211"/>
        <v>0.80999999999999994</v>
      </c>
      <c r="G242" s="296">
        <f t="shared" si="211"/>
        <v>0.81333333333333324</v>
      </c>
      <c r="H242" s="296">
        <f t="shared" si="211"/>
        <v>0.81666666666666654</v>
      </c>
      <c r="I242" s="296">
        <f t="shared" si="211"/>
        <v>0.81999999999999984</v>
      </c>
      <c r="J242" s="296">
        <f t="shared" si="211"/>
        <v>0.82333333333333314</v>
      </c>
      <c r="K242" s="296">
        <f t="shared" si="211"/>
        <v>0.82666666666666644</v>
      </c>
      <c r="L242" s="296">
        <f t="shared" si="211"/>
        <v>0.82999999999999974</v>
      </c>
      <c r="M242" s="296">
        <f t="shared" si="211"/>
        <v>0.83333333333333304</v>
      </c>
      <c r="N242" s="296">
        <f t="shared" si="211"/>
        <v>0.83666666666666634</v>
      </c>
      <c r="O242" s="296">
        <f t="shared" si="211"/>
        <v>0.83999999999999964</v>
      </c>
      <c r="P242" s="296">
        <f t="shared" si="211"/>
        <v>0.84333333333333294</v>
      </c>
      <c r="Q242" s="296">
        <f t="shared" si="211"/>
        <v>0.84666666666666623</v>
      </c>
      <c r="R242" s="296">
        <f t="shared" si="211"/>
        <v>0.84999999999999953</v>
      </c>
      <c r="S242" s="296">
        <f t="shared" si="211"/>
        <v>0.85333333333333283</v>
      </c>
      <c r="T242" s="296">
        <f t="shared" si="212"/>
        <v>0.85666666666666613</v>
      </c>
      <c r="U242" s="296">
        <f t="shared" si="212"/>
        <v>0.85999999999999943</v>
      </c>
      <c r="V242" s="296">
        <f t="shared" si="212"/>
        <v>0.86333333333333273</v>
      </c>
      <c r="W242" s="296">
        <f t="shared" si="212"/>
        <v>0.86666666666666603</v>
      </c>
      <c r="X242" s="296">
        <f t="shared" si="212"/>
        <v>0.86999999999999933</v>
      </c>
      <c r="Y242" s="296">
        <f t="shared" si="212"/>
        <v>0.87333333333333263</v>
      </c>
      <c r="Z242" s="296">
        <f t="shared" si="212"/>
        <v>0.87666666666666593</v>
      </c>
      <c r="AA242" s="296">
        <f t="shared" si="212"/>
        <v>0.87999999999999923</v>
      </c>
      <c r="AB242" s="296">
        <f t="shared" si="212"/>
        <v>0.88333333333333253</v>
      </c>
      <c r="AC242" s="296">
        <f t="shared" si="212"/>
        <v>0.88666666666666583</v>
      </c>
      <c r="AD242" s="296">
        <f t="shared" si="212"/>
        <v>0.88999999999999913</v>
      </c>
      <c r="AE242" s="296">
        <f t="shared" si="212"/>
        <v>0.89333333333333242</v>
      </c>
      <c r="AF242" s="296">
        <f t="shared" si="212"/>
        <v>0.89666666666666572</v>
      </c>
      <c r="AG242" s="275">
        <v>0.9</v>
      </c>
      <c r="AI242" s="295"/>
      <c r="AJ242" s="198" t="s">
        <v>1617</v>
      </c>
    </row>
    <row r="243" spans="1:36" s="1" customFormat="1" outlineLevel="1">
      <c r="A243" t="s">
        <v>729</v>
      </c>
      <c r="B243" s="281" t="s">
        <v>126</v>
      </c>
      <c r="C243" s="275">
        <v>0.2</v>
      </c>
      <c r="D243" s="296">
        <f t="shared" si="211"/>
        <v>0.19666666666666668</v>
      </c>
      <c r="E243" s="296">
        <f t="shared" si="211"/>
        <v>0.19333333333333336</v>
      </c>
      <c r="F243" s="296">
        <f t="shared" si="211"/>
        <v>0.19000000000000003</v>
      </c>
      <c r="G243" s="296">
        <f t="shared" si="211"/>
        <v>0.1866666666666667</v>
      </c>
      <c r="H243" s="296">
        <f t="shared" si="211"/>
        <v>0.18333333333333338</v>
      </c>
      <c r="I243" s="296">
        <f t="shared" si="211"/>
        <v>0.18000000000000005</v>
      </c>
      <c r="J243" s="296">
        <f t="shared" si="211"/>
        <v>0.17666666666666672</v>
      </c>
      <c r="K243" s="296">
        <f t="shared" si="211"/>
        <v>0.17333333333333339</v>
      </c>
      <c r="L243" s="296">
        <f t="shared" si="211"/>
        <v>0.17000000000000007</v>
      </c>
      <c r="M243" s="296">
        <f t="shared" si="211"/>
        <v>0.16666666666666674</v>
      </c>
      <c r="N243" s="296">
        <f t="shared" si="211"/>
        <v>0.16333333333333341</v>
      </c>
      <c r="O243" s="296">
        <f t="shared" si="211"/>
        <v>0.16000000000000009</v>
      </c>
      <c r="P243" s="296">
        <f t="shared" si="211"/>
        <v>0.15666666666666676</v>
      </c>
      <c r="Q243" s="296">
        <f t="shared" si="211"/>
        <v>0.15333333333333343</v>
      </c>
      <c r="R243" s="296">
        <f t="shared" si="211"/>
        <v>0.15000000000000011</v>
      </c>
      <c r="S243" s="296">
        <f t="shared" si="211"/>
        <v>0.14666666666666678</v>
      </c>
      <c r="T243" s="296">
        <f t="shared" si="212"/>
        <v>0.14333333333333345</v>
      </c>
      <c r="U243" s="296">
        <f t="shared" si="212"/>
        <v>0.14000000000000012</v>
      </c>
      <c r="V243" s="296">
        <f t="shared" si="212"/>
        <v>0.1366666666666668</v>
      </c>
      <c r="W243" s="296">
        <f t="shared" si="212"/>
        <v>0.13333333333333347</v>
      </c>
      <c r="X243" s="296">
        <f t="shared" si="212"/>
        <v>0.13000000000000014</v>
      </c>
      <c r="Y243" s="296">
        <f t="shared" si="212"/>
        <v>0.12666666666666682</v>
      </c>
      <c r="Z243" s="296">
        <f t="shared" si="212"/>
        <v>0.12333333333333349</v>
      </c>
      <c r="AA243" s="296">
        <f t="shared" si="212"/>
        <v>0.12000000000000016</v>
      </c>
      <c r="AB243" s="296">
        <f t="shared" si="212"/>
        <v>0.11666666666666684</v>
      </c>
      <c r="AC243" s="296">
        <f t="shared" si="212"/>
        <v>0.11333333333333351</v>
      </c>
      <c r="AD243" s="296">
        <f t="shared" si="212"/>
        <v>0.11000000000000018</v>
      </c>
      <c r="AE243" s="296">
        <f t="shared" si="212"/>
        <v>0.10666666666666685</v>
      </c>
      <c r="AF243" s="296">
        <f t="shared" si="212"/>
        <v>0.10333333333333353</v>
      </c>
      <c r="AG243" s="275">
        <v>0.1</v>
      </c>
      <c r="AI243" s="295"/>
      <c r="AJ243" s="198" t="s">
        <v>1618</v>
      </c>
    </row>
    <row r="244" spans="1:36" s="1" customFormat="1" outlineLevel="1">
      <c r="A244" t="s">
        <v>739</v>
      </c>
      <c r="B244" s="281" t="s">
        <v>126</v>
      </c>
      <c r="C244" s="275">
        <v>0.95</v>
      </c>
      <c r="D244" s="296">
        <f t="shared" si="211"/>
        <v>0.94866666666666666</v>
      </c>
      <c r="E244" s="296">
        <f t="shared" si="211"/>
        <v>0.94733333333333336</v>
      </c>
      <c r="F244" s="296">
        <f t="shared" si="211"/>
        <v>0.94600000000000006</v>
      </c>
      <c r="G244" s="296">
        <f t="shared" si="211"/>
        <v>0.94466666666666677</v>
      </c>
      <c r="H244" s="296">
        <f t="shared" si="211"/>
        <v>0.94333333333333347</v>
      </c>
      <c r="I244" s="296">
        <f t="shared" si="211"/>
        <v>0.94200000000000017</v>
      </c>
      <c r="J244" s="296">
        <f t="shared" si="211"/>
        <v>0.94066666666666687</v>
      </c>
      <c r="K244" s="296">
        <f t="shared" si="211"/>
        <v>0.93933333333333358</v>
      </c>
      <c r="L244" s="296">
        <f t="shared" si="211"/>
        <v>0.93800000000000028</v>
      </c>
      <c r="M244" s="296">
        <f t="shared" si="211"/>
        <v>0.93666666666666698</v>
      </c>
      <c r="N244" s="296">
        <f t="shared" si="211"/>
        <v>0.93533333333333368</v>
      </c>
      <c r="O244" s="296">
        <f t="shared" si="211"/>
        <v>0.93400000000000039</v>
      </c>
      <c r="P244" s="296">
        <f t="shared" si="211"/>
        <v>0.93266666666666709</v>
      </c>
      <c r="Q244" s="296">
        <f t="shared" si="211"/>
        <v>0.93133333333333379</v>
      </c>
      <c r="R244" s="296">
        <f t="shared" si="211"/>
        <v>0.93000000000000049</v>
      </c>
      <c r="S244" s="296">
        <f t="shared" si="211"/>
        <v>0.9286666666666672</v>
      </c>
      <c r="T244" s="296">
        <f t="shared" si="212"/>
        <v>0.9273333333333339</v>
      </c>
      <c r="U244" s="296">
        <f t="shared" si="212"/>
        <v>0.9260000000000006</v>
      </c>
      <c r="V244" s="296">
        <f t="shared" si="212"/>
        <v>0.9246666666666673</v>
      </c>
      <c r="W244" s="296">
        <f t="shared" si="212"/>
        <v>0.92333333333333401</v>
      </c>
      <c r="X244" s="296">
        <f t="shared" si="212"/>
        <v>0.92200000000000071</v>
      </c>
      <c r="Y244" s="296">
        <f t="shared" si="212"/>
        <v>0.92066666666666741</v>
      </c>
      <c r="Z244" s="296">
        <f t="shared" si="212"/>
        <v>0.91933333333333411</v>
      </c>
      <c r="AA244" s="296">
        <f t="shared" si="212"/>
        <v>0.91800000000000082</v>
      </c>
      <c r="AB244" s="296">
        <f t="shared" si="212"/>
        <v>0.91666666666666752</v>
      </c>
      <c r="AC244" s="296">
        <f t="shared" si="212"/>
        <v>0.91533333333333422</v>
      </c>
      <c r="AD244" s="296">
        <f t="shared" si="212"/>
        <v>0.91400000000000092</v>
      </c>
      <c r="AE244" s="296">
        <f t="shared" si="212"/>
        <v>0.91266666666666763</v>
      </c>
      <c r="AF244" s="296">
        <f t="shared" si="212"/>
        <v>0.91133333333333433</v>
      </c>
      <c r="AG244" s="275">
        <v>0.91</v>
      </c>
      <c r="AI244" s="295"/>
      <c r="AJ244" s="198" t="s">
        <v>1619</v>
      </c>
    </row>
    <row r="245" spans="1:36" s="1" customFormat="1" outlineLevel="1">
      <c r="A245" t="s">
        <v>740</v>
      </c>
      <c r="B245" s="281" t="s">
        <v>126</v>
      </c>
      <c r="C245" s="275">
        <v>0.05</v>
      </c>
      <c r="D245" s="296">
        <f t="shared" si="211"/>
        <v>5.1333333333333335E-2</v>
      </c>
      <c r="E245" s="296">
        <f t="shared" si="211"/>
        <v>5.2666666666666667E-2</v>
      </c>
      <c r="F245" s="296">
        <f t="shared" si="211"/>
        <v>5.3999999999999999E-2</v>
      </c>
      <c r="G245" s="296">
        <f t="shared" si="211"/>
        <v>5.5333333333333332E-2</v>
      </c>
      <c r="H245" s="296">
        <f t="shared" si="211"/>
        <v>5.6666666666666664E-2</v>
      </c>
      <c r="I245" s="296">
        <f t="shared" si="211"/>
        <v>5.7999999999999996E-2</v>
      </c>
      <c r="J245" s="296">
        <f t="shared" si="211"/>
        <v>5.9333333333333328E-2</v>
      </c>
      <c r="K245" s="296">
        <f t="shared" si="211"/>
        <v>6.066666666666666E-2</v>
      </c>
      <c r="L245" s="296">
        <f t="shared" si="211"/>
        <v>6.1999999999999993E-2</v>
      </c>
      <c r="M245" s="296">
        <f t="shared" si="211"/>
        <v>6.3333333333333325E-2</v>
      </c>
      <c r="N245" s="296">
        <f t="shared" si="211"/>
        <v>6.4666666666666664E-2</v>
      </c>
      <c r="O245" s="296">
        <f t="shared" si="211"/>
        <v>6.6000000000000003E-2</v>
      </c>
      <c r="P245" s="296">
        <f t="shared" si="211"/>
        <v>6.7333333333333342E-2</v>
      </c>
      <c r="Q245" s="296">
        <f t="shared" si="211"/>
        <v>6.8666666666666681E-2</v>
      </c>
      <c r="R245" s="296">
        <f t="shared" si="211"/>
        <v>7.0000000000000021E-2</v>
      </c>
      <c r="S245" s="296">
        <f t="shared" si="211"/>
        <v>7.133333333333336E-2</v>
      </c>
      <c r="T245" s="296">
        <f t="shared" si="212"/>
        <v>7.2666666666666699E-2</v>
      </c>
      <c r="U245" s="296">
        <f t="shared" si="212"/>
        <v>7.4000000000000038E-2</v>
      </c>
      <c r="V245" s="296">
        <f t="shared" si="212"/>
        <v>7.5333333333333377E-2</v>
      </c>
      <c r="W245" s="296">
        <f t="shared" si="212"/>
        <v>7.6666666666666716E-2</v>
      </c>
      <c r="X245" s="296">
        <f t="shared" si="212"/>
        <v>7.8000000000000055E-2</v>
      </c>
      <c r="Y245" s="296">
        <f t="shared" si="212"/>
        <v>7.9333333333333395E-2</v>
      </c>
      <c r="Z245" s="296">
        <f t="shared" si="212"/>
        <v>8.0666666666666734E-2</v>
      </c>
      <c r="AA245" s="296">
        <f t="shared" si="212"/>
        <v>8.2000000000000073E-2</v>
      </c>
      <c r="AB245" s="296">
        <f t="shared" si="212"/>
        <v>8.3333333333333412E-2</v>
      </c>
      <c r="AC245" s="296">
        <f t="shared" si="212"/>
        <v>8.4666666666666751E-2</v>
      </c>
      <c r="AD245" s="296">
        <f t="shared" si="212"/>
        <v>8.600000000000009E-2</v>
      </c>
      <c r="AE245" s="296">
        <f t="shared" si="212"/>
        <v>8.7333333333333429E-2</v>
      </c>
      <c r="AF245" s="296">
        <f t="shared" si="212"/>
        <v>8.8666666666666769E-2</v>
      </c>
      <c r="AG245" s="275">
        <v>0.09</v>
      </c>
      <c r="AI245" s="295"/>
      <c r="AJ245" s="198" t="s">
        <v>1620</v>
      </c>
    </row>
    <row r="246" spans="1:36" s="1" customFormat="1" outlineLevel="1">
      <c r="A246" t="s">
        <v>742</v>
      </c>
      <c r="B246" s="281"/>
      <c r="C246" s="275">
        <v>0.27</v>
      </c>
      <c r="D246" s="296">
        <f t="shared" si="211"/>
        <v>0.26600000000000001</v>
      </c>
      <c r="E246" s="296">
        <f t="shared" si="211"/>
        <v>0.26200000000000001</v>
      </c>
      <c r="F246" s="296">
        <f t="shared" si="211"/>
        <v>0.25800000000000001</v>
      </c>
      <c r="G246" s="296">
        <f t="shared" si="211"/>
        <v>0.254</v>
      </c>
      <c r="H246" s="296">
        <f t="shared" si="211"/>
        <v>0.25</v>
      </c>
      <c r="I246" s="296">
        <f t="shared" si="211"/>
        <v>0.246</v>
      </c>
      <c r="J246" s="296">
        <f t="shared" si="211"/>
        <v>0.24199999999999999</v>
      </c>
      <c r="K246" s="296">
        <f t="shared" si="211"/>
        <v>0.23799999999999999</v>
      </c>
      <c r="L246" s="296">
        <f t="shared" si="211"/>
        <v>0.23399999999999999</v>
      </c>
      <c r="M246" s="296">
        <f t="shared" si="211"/>
        <v>0.22999999999999998</v>
      </c>
      <c r="N246" s="296">
        <f t="shared" si="211"/>
        <v>0.22599999999999998</v>
      </c>
      <c r="O246" s="296">
        <f t="shared" si="211"/>
        <v>0.22199999999999998</v>
      </c>
      <c r="P246" s="296">
        <f t="shared" si="211"/>
        <v>0.21799999999999997</v>
      </c>
      <c r="Q246" s="296">
        <f t="shared" si="211"/>
        <v>0.21399999999999997</v>
      </c>
      <c r="R246" s="296">
        <f t="shared" si="211"/>
        <v>0.20999999999999996</v>
      </c>
      <c r="S246" s="296">
        <f t="shared" si="211"/>
        <v>0.20599999999999996</v>
      </c>
      <c r="T246" s="296">
        <f t="shared" si="212"/>
        <v>0.20199999999999996</v>
      </c>
      <c r="U246" s="296">
        <f t="shared" si="212"/>
        <v>0.19799999999999995</v>
      </c>
      <c r="V246" s="296">
        <f t="shared" si="212"/>
        <v>0.19399999999999995</v>
      </c>
      <c r="W246" s="296">
        <f t="shared" si="212"/>
        <v>0.18999999999999995</v>
      </c>
      <c r="X246" s="296">
        <f t="shared" si="212"/>
        <v>0.18599999999999994</v>
      </c>
      <c r="Y246" s="296">
        <f t="shared" si="212"/>
        <v>0.18199999999999994</v>
      </c>
      <c r="Z246" s="296">
        <f t="shared" si="212"/>
        <v>0.17799999999999994</v>
      </c>
      <c r="AA246" s="296">
        <f t="shared" si="212"/>
        <v>0.17399999999999993</v>
      </c>
      <c r="AB246" s="296">
        <f t="shared" si="212"/>
        <v>0.16999999999999993</v>
      </c>
      <c r="AC246" s="296">
        <f t="shared" si="212"/>
        <v>0.16599999999999993</v>
      </c>
      <c r="AD246" s="296">
        <f t="shared" si="212"/>
        <v>0.16199999999999992</v>
      </c>
      <c r="AE246" s="296">
        <f t="shared" si="212"/>
        <v>0.15799999999999992</v>
      </c>
      <c r="AF246" s="296">
        <f t="shared" si="212"/>
        <v>0.15399999999999991</v>
      </c>
      <c r="AG246" s="275">
        <v>0.15</v>
      </c>
      <c r="AI246" s="295"/>
      <c r="AJ246" s="198"/>
    </row>
    <row r="247" spans="1:36" s="62" customFormat="1" outlineLevel="1">
      <c r="A247" s="322" t="s">
        <v>733</v>
      </c>
      <c r="B247" s="287" t="s">
        <v>126</v>
      </c>
      <c r="C247" s="314">
        <v>0.16</v>
      </c>
      <c r="D247" s="315">
        <f t="shared" si="211"/>
        <v>0.16533333333333333</v>
      </c>
      <c r="E247" s="315">
        <f t="shared" si="211"/>
        <v>0.17066666666666666</v>
      </c>
      <c r="F247" s="315">
        <f t="shared" si="211"/>
        <v>0.17599999999999999</v>
      </c>
      <c r="G247" s="315">
        <f t="shared" si="211"/>
        <v>0.18133333333333332</v>
      </c>
      <c r="H247" s="315">
        <f t="shared" si="211"/>
        <v>0.18666666666666665</v>
      </c>
      <c r="I247" s="315">
        <f t="shared" si="211"/>
        <v>0.19199999999999998</v>
      </c>
      <c r="J247" s="315">
        <f t="shared" si="211"/>
        <v>0.19733333333333331</v>
      </c>
      <c r="K247" s="315">
        <f t="shared" si="211"/>
        <v>0.20266666666666663</v>
      </c>
      <c r="L247" s="315">
        <f t="shared" si="211"/>
        <v>0.20799999999999996</v>
      </c>
      <c r="M247" s="315">
        <f t="shared" si="211"/>
        <v>0.21333333333333329</v>
      </c>
      <c r="N247" s="315">
        <f t="shared" si="211"/>
        <v>0.21866666666666662</v>
      </c>
      <c r="O247" s="315">
        <f t="shared" si="211"/>
        <v>0.22399999999999995</v>
      </c>
      <c r="P247" s="315">
        <f t="shared" si="211"/>
        <v>0.22933333333333328</v>
      </c>
      <c r="Q247" s="315">
        <f t="shared" si="211"/>
        <v>0.23466666666666661</v>
      </c>
      <c r="R247" s="315">
        <f t="shared" si="211"/>
        <v>0.23999999999999994</v>
      </c>
      <c r="S247" s="315">
        <f t="shared" si="211"/>
        <v>0.24533333333333326</v>
      </c>
      <c r="T247" s="315">
        <f t="shared" si="212"/>
        <v>0.25066666666666659</v>
      </c>
      <c r="U247" s="315">
        <f t="shared" si="212"/>
        <v>0.25599999999999995</v>
      </c>
      <c r="V247" s="315">
        <f t="shared" si="212"/>
        <v>0.26133333333333331</v>
      </c>
      <c r="W247" s="315">
        <f t="shared" si="212"/>
        <v>0.26666666666666666</v>
      </c>
      <c r="X247" s="315">
        <f t="shared" si="212"/>
        <v>0.27200000000000002</v>
      </c>
      <c r="Y247" s="315">
        <f t="shared" si="212"/>
        <v>0.27733333333333338</v>
      </c>
      <c r="Z247" s="315">
        <f t="shared" si="212"/>
        <v>0.28266666666666673</v>
      </c>
      <c r="AA247" s="315">
        <f t="shared" si="212"/>
        <v>0.28800000000000009</v>
      </c>
      <c r="AB247" s="315">
        <f t="shared" si="212"/>
        <v>0.29333333333333345</v>
      </c>
      <c r="AC247" s="315">
        <f t="shared" si="212"/>
        <v>0.2986666666666668</v>
      </c>
      <c r="AD247" s="315">
        <f t="shared" si="212"/>
        <v>0.30400000000000016</v>
      </c>
      <c r="AE247" s="315">
        <f t="shared" si="212"/>
        <v>0.30933333333333352</v>
      </c>
      <c r="AF247" s="315">
        <f t="shared" si="212"/>
        <v>0.31466666666666687</v>
      </c>
      <c r="AG247" s="314">
        <v>0.32</v>
      </c>
      <c r="AI247" s="314"/>
      <c r="AJ247" s="316" t="s">
        <v>1620</v>
      </c>
    </row>
    <row r="248" spans="1:36" outlineLevel="1">
      <c r="A248" s="323" t="s">
        <v>734</v>
      </c>
      <c r="B248" s="281" t="s">
        <v>126</v>
      </c>
      <c r="C248" s="275">
        <v>0.37</v>
      </c>
      <c r="D248" s="296">
        <f t="shared" si="211"/>
        <v>0.37166666666666665</v>
      </c>
      <c r="E248" s="296">
        <f t="shared" si="211"/>
        <v>0.37333333333333329</v>
      </c>
      <c r="F248" s="296">
        <f t="shared" si="211"/>
        <v>0.37499999999999994</v>
      </c>
      <c r="G248" s="296">
        <f t="shared" si="211"/>
        <v>0.37666666666666659</v>
      </c>
      <c r="H248" s="296">
        <f t="shared" si="211"/>
        <v>0.37833333333333324</v>
      </c>
      <c r="I248" s="296">
        <f t="shared" si="211"/>
        <v>0.37999999999999989</v>
      </c>
      <c r="J248" s="296">
        <f t="shared" si="211"/>
        <v>0.38166666666666654</v>
      </c>
      <c r="K248" s="296">
        <f t="shared" si="211"/>
        <v>0.38333333333333319</v>
      </c>
      <c r="L248" s="296">
        <f t="shared" si="211"/>
        <v>0.38499999999999984</v>
      </c>
      <c r="M248" s="296">
        <f t="shared" si="211"/>
        <v>0.38666666666666649</v>
      </c>
      <c r="N248" s="296">
        <f t="shared" si="211"/>
        <v>0.38833333333333314</v>
      </c>
      <c r="O248" s="296">
        <f t="shared" si="211"/>
        <v>0.38999999999999979</v>
      </c>
      <c r="P248" s="296">
        <f t="shared" si="211"/>
        <v>0.39166666666666644</v>
      </c>
      <c r="Q248" s="296">
        <f t="shared" si="211"/>
        <v>0.39333333333333309</v>
      </c>
      <c r="R248" s="296">
        <f t="shared" si="211"/>
        <v>0.39499999999999974</v>
      </c>
      <c r="S248" s="296">
        <f t="shared" si="211"/>
        <v>0.39666666666666639</v>
      </c>
      <c r="T248" s="296">
        <f t="shared" si="212"/>
        <v>0.39833333333333304</v>
      </c>
      <c r="U248" s="296">
        <f t="shared" si="212"/>
        <v>0.39999999999999969</v>
      </c>
      <c r="V248" s="296">
        <f t="shared" si="212"/>
        <v>0.40166666666666634</v>
      </c>
      <c r="W248" s="296">
        <f t="shared" si="212"/>
        <v>0.40333333333333299</v>
      </c>
      <c r="X248" s="296">
        <f t="shared" si="212"/>
        <v>0.40499999999999964</v>
      </c>
      <c r="Y248" s="296">
        <f t="shared" si="212"/>
        <v>0.40666666666666629</v>
      </c>
      <c r="Z248" s="296">
        <f t="shared" si="212"/>
        <v>0.40833333333333294</v>
      </c>
      <c r="AA248" s="296">
        <f t="shared" si="212"/>
        <v>0.40999999999999959</v>
      </c>
      <c r="AB248" s="296">
        <f t="shared" si="212"/>
        <v>0.41166666666666624</v>
      </c>
      <c r="AC248" s="296">
        <f t="shared" si="212"/>
        <v>0.41333333333333289</v>
      </c>
      <c r="AD248" s="296">
        <f t="shared" si="212"/>
        <v>0.41499999999999954</v>
      </c>
      <c r="AE248" s="296">
        <f t="shared" si="212"/>
        <v>0.41666666666666619</v>
      </c>
      <c r="AF248" s="296">
        <f t="shared" si="212"/>
        <v>0.41833333333333284</v>
      </c>
      <c r="AG248" s="275">
        <v>0.42</v>
      </c>
      <c r="AI248" s="275"/>
      <c r="AJ248" s="198" t="s">
        <v>1621</v>
      </c>
    </row>
    <row r="249" spans="1:36" outlineLevel="1">
      <c r="A249" s="323" t="s">
        <v>735</v>
      </c>
      <c r="B249" s="281" t="s">
        <v>126</v>
      </c>
      <c r="C249" s="275">
        <v>0.08</v>
      </c>
      <c r="D249" s="296">
        <f t="shared" si="211"/>
        <v>7.7666666666666662E-2</v>
      </c>
      <c r="E249" s="296">
        <f t="shared" si="211"/>
        <v>7.5333333333333322E-2</v>
      </c>
      <c r="F249" s="296">
        <f t="shared" si="211"/>
        <v>7.2999999999999982E-2</v>
      </c>
      <c r="G249" s="296">
        <f t="shared" si="211"/>
        <v>7.0666666666666642E-2</v>
      </c>
      <c r="H249" s="296">
        <f t="shared" si="211"/>
        <v>6.8333333333333302E-2</v>
      </c>
      <c r="I249" s="296">
        <f t="shared" si="211"/>
        <v>6.5999999999999961E-2</v>
      </c>
      <c r="J249" s="296">
        <f t="shared" si="211"/>
        <v>6.3666666666666621E-2</v>
      </c>
      <c r="K249" s="296">
        <f t="shared" si="211"/>
        <v>6.1333333333333288E-2</v>
      </c>
      <c r="L249" s="296">
        <f t="shared" si="211"/>
        <v>5.8999999999999955E-2</v>
      </c>
      <c r="M249" s="296">
        <f t="shared" si="211"/>
        <v>5.6666666666666622E-2</v>
      </c>
      <c r="N249" s="296">
        <f t="shared" si="211"/>
        <v>5.4333333333333289E-2</v>
      </c>
      <c r="O249" s="296">
        <f t="shared" si="211"/>
        <v>5.1999999999999956E-2</v>
      </c>
      <c r="P249" s="296">
        <f t="shared" si="211"/>
        <v>4.9666666666666623E-2</v>
      </c>
      <c r="Q249" s="296">
        <f t="shared" si="211"/>
        <v>4.733333333333329E-2</v>
      </c>
      <c r="R249" s="296">
        <f t="shared" si="211"/>
        <v>4.4999999999999957E-2</v>
      </c>
      <c r="S249" s="296">
        <f t="shared" si="211"/>
        <v>4.2666666666666624E-2</v>
      </c>
      <c r="T249" s="296">
        <f t="shared" si="212"/>
        <v>4.0333333333333291E-2</v>
      </c>
      <c r="U249" s="296">
        <f t="shared" si="212"/>
        <v>3.7999999999999957E-2</v>
      </c>
      <c r="V249" s="296">
        <f t="shared" si="212"/>
        <v>3.5666666666666624E-2</v>
      </c>
      <c r="W249" s="296">
        <f t="shared" si="212"/>
        <v>3.3333333333333291E-2</v>
      </c>
      <c r="X249" s="296">
        <f t="shared" si="212"/>
        <v>3.0999999999999958E-2</v>
      </c>
      <c r="Y249" s="296">
        <f t="shared" si="212"/>
        <v>2.8666666666666625E-2</v>
      </c>
      <c r="Z249" s="296">
        <f t="shared" si="212"/>
        <v>2.6333333333333292E-2</v>
      </c>
      <c r="AA249" s="296">
        <f t="shared" si="212"/>
        <v>2.3999999999999959E-2</v>
      </c>
      <c r="AB249" s="296">
        <f t="shared" si="212"/>
        <v>2.1666666666666626E-2</v>
      </c>
      <c r="AC249" s="296">
        <f t="shared" si="212"/>
        <v>1.9333333333333293E-2</v>
      </c>
      <c r="AD249" s="296">
        <f t="shared" si="212"/>
        <v>1.699999999999996E-2</v>
      </c>
      <c r="AE249" s="296">
        <f t="shared" si="212"/>
        <v>1.4666666666666626E-2</v>
      </c>
      <c r="AF249" s="296">
        <f t="shared" si="212"/>
        <v>1.2333333333333293E-2</v>
      </c>
      <c r="AG249" s="275">
        <v>0.01</v>
      </c>
      <c r="AI249" s="275"/>
      <c r="AJ249" s="198" t="s">
        <v>1622</v>
      </c>
    </row>
    <row r="250" spans="1:36" outlineLevel="1">
      <c r="A250" s="323" t="s">
        <v>736</v>
      </c>
      <c r="B250" s="281" t="s">
        <v>126</v>
      </c>
      <c r="C250" s="275">
        <v>0.27</v>
      </c>
      <c r="D250" s="296">
        <f t="shared" si="211"/>
        <v>0.26633333333333337</v>
      </c>
      <c r="E250" s="296">
        <f t="shared" si="211"/>
        <v>0.26266666666666671</v>
      </c>
      <c r="F250" s="296">
        <f t="shared" si="211"/>
        <v>0.25900000000000006</v>
      </c>
      <c r="G250" s="296">
        <f t="shared" si="211"/>
        <v>0.25533333333333341</v>
      </c>
      <c r="H250" s="296">
        <f t="shared" si="211"/>
        <v>0.25166666666666676</v>
      </c>
      <c r="I250" s="296">
        <f t="shared" si="211"/>
        <v>0.24800000000000008</v>
      </c>
      <c r="J250" s="296">
        <f t="shared" si="211"/>
        <v>0.2443333333333334</v>
      </c>
      <c r="K250" s="296">
        <f t="shared" si="211"/>
        <v>0.24066666666666672</v>
      </c>
      <c r="L250" s="296">
        <f t="shared" si="211"/>
        <v>0.23700000000000004</v>
      </c>
      <c r="M250" s="296">
        <f t="shared" si="211"/>
        <v>0.23333333333333336</v>
      </c>
      <c r="N250" s="296">
        <f t="shared" si="211"/>
        <v>0.22966666666666669</v>
      </c>
      <c r="O250" s="296">
        <f t="shared" si="211"/>
        <v>0.22600000000000001</v>
      </c>
      <c r="P250" s="296">
        <f t="shared" si="211"/>
        <v>0.22233333333333333</v>
      </c>
      <c r="Q250" s="296">
        <f t="shared" si="211"/>
        <v>0.21866666666666665</v>
      </c>
      <c r="R250" s="296">
        <f t="shared" si="211"/>
        <v>0.21499999999999997</v>
      </c>
      <c r="S250" s="296">
        <f t="shared" si="211"/>
        <v>0.21133333333333329</v>
      </c>
      <c r="T250" s="296">
        <f t="shared" si="212"/>
        <v>0.20766666666666661</v>
      </c>
      <c r="U250" s="296">
        <f t="shared" si="212"/>
        <v>0.20399999999999993</v>
      </c>
      <c r="V250" s="296">
        <f t="shared" si="212"/>
        <v>0.20033333333333325</v>
      </c>
      <c r="W250" s="296">
        <f t="shared" si="212"/>
        <v>0.19666666666666657</v>
      </c>
      <c r="X250" s="296">
        <f t="shared" si="212"/>
        <v>0.19299999999999989</v>
      </c>
      <c r="Y250" s="296">
        <f t="shared" si="212"/>
        <v>0.18933333333333321</v>
      </c>
      <c r="Z250" s="296">
        <f t="shared" si="212"/>
        <v>0.18566666666666654</v>
      </c>
      <c r="AA250" s="296">
        <f t="shared" si="212"/>
        <v>0.18199999999999986</v>
      </c>
      <c r="AB250" s="296">
        <f t="shared" si="212"/>
        <v>0.17833333333333318</v>
      </c>
      <c r="AC250" s="296">
        <f t="shared" si="212"/>
        <v>0.1746666666666665</v>
      </c>
      <c r="AD250" s="296">
        <f t="shared" si="212"/>
        <v>0.17099999999999982</v>
      </c>
      <c r="AE250" s="296">
        <f t="shared" si="212"/>
        <v>0.16733333333333314</v>
      </c>
      <c r="AF250" s="296">
        <f t="shared" si="212"/>
        <v>0.16366666666666646</v>
      </c>
      <c r="AG250" s="275">
        <v>0.16</v>
      </c>
      <c r="AI250" s="275"/>
      <c r="AJ250" s="198" t="s">
        <v>1623</v>
      </c>
    </row>
    <row r="251" spans="1:36" outlineLevel="1">
      <c r="A251" s="323" t="s">
        <v>737</v>
      </c>
      <c r="B251" s="281" t="s">
        <v>126</v>
      </c>
      <c r="C251" s="275">
        <v>7.0000000000000007E-2</v>
      </c>
      <c r="D251" s="296">
        <f t="shared" si="211"/>
        <v>6.9666666666666668E-2</v>
      </c>
      <c r="E251" s="296">
        <f t="shared" si="211"/>
        <v>6.933333333333333E-2</v>
      </c>
      <c r="F251" s="296">
        <f t="shared" si="211"/>
        <v>6.8999999999999992E-2</v>
      </c>
      <c r="G251" s="296">
        <f t="shared" si="211"/>
        <v>6.8666666666666654E-2</v>
      </c>
      <c r="H251" s="296">
        <f t="shared" si="211"/>
        <v>6.8333333333333315E-2</v>
      </c>
      <c r="I251" s="296">
        <f t="shared" si="211"/>
        <v>6.7999999999999977E-2</v>
      </c>
      <c r="J251" s="296">
        <f t="shared" si="211"/>
        <v>6.7666666666666639E-2</v>
      </c>
      <c r="K251" s="296">
        <f t="shared" si="211"/>
        <v>6.7333333333333301E-2</v>
      </c>
      <c r="L251" s="296">
        <f t="shared" si="211"/>
        <v>6.6999999999999962E-2</v>
      </c>
      <c r="M251" s="296">
        <f t="shared" si="211"/>
        <v>6.6666666666666624E-2</v>
      </c>
      <c r="N251" s="296">
        <f t="shared" si="211"/>
        <v>6.6333333333333286E-2</v>
      </c>
      <c r="O251" s="296">
        <f t="shared" si="211"/>
        <v>6.5999999999999948E-2</v>
      </c>
      <c r="P251" s="296">
        <f t="shared" si="211"/>
        <v>6.5666666666666609E-2</v>
      </c>
      <c r="Q251" s="296">
        <f t="shared" si="211"/>
        <v>6.5333333333333271E-2</v>
      </c>
      <c r="R251" s="296">
        <f t="shared" si="211"/>
        <v>6.4999999999999933E-2</v>
      </c>
      <c r="S251" s="296">
        <f t="shared" ref="S251:AF251" si="213">-($C251-$AG251)/30+R251</f>
        <v>6.4666666666666595E-2</v>
      </c>
      <c r="T251" s="296">
        <f t="shared" si="213"/>
        <v>6.4333333333333256E-2</v>
      </c>
      <c r="U251" s="296">
        <f t="shared" si="213"/>
        <v>6.3999999999999918E-2</v>
      </c>
      <c r="V251" s="296">
        <f t="shared" si="213"/>
        <v>6.366666666666658E-2</v>
      </c>
      <c r="W251" s="296">
        <f t="shared" si="213"/>
        <v>6.3333333333333242E-2</v>
      </c>
      <c r="X251" s="296">
        <f t="shared" si="213"/>
        <v>6.2999999999999903E-2</v>
      </c>
      <c r="Y251" s="296">
        <f t="shared" si="213"/>
        <v>6.2666666666666565E-2</v>
      </c>
      <c r="Z251" s="296">
        <f t="shared" si="213"/>
        <v>6.2333333333333234E-2</v>
      </c>
      <c r="AA251" s="296">
        <f t="shared" si="213"/>
        <v>6.1999999999999902E-2</v>
      </c>
      <c r="AB251" s="296">
        <f t="shared" si="213"/>
        <v>6.1666666666666571E-2</v>
      </c>
      <c r="AC251" s="296">
        <f t="shared" si="213"/>
        <v>6.133333333333324E-2</v>
      </c>
      <c r="AD251" s="296">
        <f t="shared" si="213"/>
        <v>6.0999999999999908E-2</v>
      </c>
      <c r="AE251" s="296">
        <f t="shared" si="213"/>
        <v>6.0666666666666577E-2</v>
      </c>
      <c r="AF251" s="296">
        <f t="shared" si="213"/>
        <v>6.0333333333333246E-2</v>
      </c>
      <c r="AG251" s="275">
        <v>0.06</v>
      </c>
      <c r="AI251" s="275"/>
      <c r="AJ251" s="198" t="s">
        <v>1624</v>
      </c>
    </row>
    <row r="252" spans="1:36" s="63" customFormat="1" outlineLevel="1">
      <c r="A252" s="324" t="s">
        <v>738</v>
      </c>
      <c r="B252" s="291" t="s">
        <v>126</v>
      </c>
      <c r="C252" s="293">
        <v>0.05</v>
      </c>
      <c r="D252" s="317">
        <f t="shared" ref="D252:AF252" si="214">-($C252-$AG252)/30+C252</f>
        <v>4.9333333333333333E-2</v>
      </c>
      <c r="E252" s="317">
        <f t="shared" si="214"/>
        <v>4.8666666666666664E-2</v>
      </c>
      <c r="F252" s="317">
        <f t="shared" si="214"/>
        <v>4.7999999999999994E-2</v>
      </c>
      <c r="G252" s="317">
        <f t="shared" si="214"/>
        <v>4.7333333333333324E-2</v>
      </c>
      <c r="H252" s="317">
        <f t="shared" si="214"/>
        <v>4.6666666666666655E-2</v>
      </c>
      <c r="I252" s="317">
        <f t="shared" si="214"/>
        <v>4.5999999999999985E-2</v>
      </c>
      <c r="J252" s="317">
        <f t="shared" si="214"/>
        <v>4.5333333333333316E-2</v>
      </c>
      <c r="K252" s="317">
        <f t="shared" si="214"/>
        <v>4.4666666666666646E-2</v>
      </c>
      <c r="L252" s="317">
        <f t="shared" si="214"/>
        <v>4.3999999999999977E-2</v>
      </c>
      <c r="M252" s="317">
        <f t="shared" si="214"/>
        <v>4.3333333333333307E-2</v>
      </c>
      <c r="N252" s="317">
        <f t="shared" si="214"/>
        <v>4.2666666666666637E-2</v>
      </c>
      <c r="O252" s="317">
        <f t="shared" si="214"/>
        <v>4.1999999999999968E-2</v>
      </c>
      <c r="P252" s="317">
        <f t="shared" si="214"/>
        <v>4.1333333333333298E-2</v>
      </c>
      <c r="Q252" s="317">
        <f t="shared" si="214"/>
        <v>4.0666666666666629E-2</v>
      </c>
      <c r="R252" s="317">
        <f t="shared" si="214"/>
        <v>3.9999999999999959E-2</v>
      </c>
      <c r="S252" s="317">
        <f t="shared" si="214"/>
        <v>3.933333333333329E-2</v>
      </c>
      <c r="T252" s="317">
        <f t="shared" si="214"/>
        <v>3.866666666666662E-2</v>
      </c>
      <c r="U252" s="317">
        <f t="shared" si="214"/>
        <v>3.799999999999995E-2</v>
      </c>
      <c r="V252" s="317">
        <f t="shared" si="214"/>
        <v>3.7333333333333281E-2</v>
      </c>
      <c r="W252" s="317">
        <f t="shared" si="214"/>
        <v>3.6666666666666611E-2</v>
      </c>
      <c r="X252" s="317">
        <f t="shared" si="214"/>
        <v>3.5999999999999942E-2</v>
      </c>
      <c r="Y252" s="317">
        <f t="shared" si="214"/>
        <v>3.5333333333333272E-2</v>
      </c>
      <c r="Z252" s="317">
        <f t="shared" si="214"/>
        <v>3.4666666666666603E-2</v>
      </c>
      <c r="AA252" s="317">
        <f t="shared" si="214"/>
        <v>3.3999999999999933E-2</v>
      </c>
      <c r="AB252" s="317">
        <f t="shared" si="214"/>
        <v>3.3333333333333263E-2</v>
      </c>
      <c r="AC252" s="317">
        <f t="shared" si="214"/>
        <v>3.2666666666666594E-2</v>
      </c>
      <c r="AD252" s="317">
        <f t="shared" si="214"/>
        <v>3.1999999999999924E-2</v>
      </c>
      <c r="AE252" s="317">
        <f t="shared" si="214"/>
        <v>3.1333333333333255E-2</v>
      </c>
      <c r="AF252" s="317">
        <f t="shared" si="214"/>
        <v>3.0666666666666589E-2</v>
      </c>
      <c r="AG252" s="293">
        <v>0.03</v>
      </c>
      <c r="AI252" s="293"/>
      <c r="AJ252" s="318" t="s">
        <v>1625</v>
      </c>
    </row>
    <row r="253" spans="1:36" s="55" customFormat="1" outlineLevel="1">
      <c r="A253" s="55" t="s">
        <v>703</v>
      </c>
      <c r="B253" s="282"/>
      <c r="C253" s="611">
        <f t="shared" ref="C253:AG253" si="215">C29</f>
        <v>2161692.5731232045</v>
      </c>
      <c r="D253" s="611">
        <f t="shared" si="215"/>
        <v>2161692.5731232045</v>
      </c>
      <c r="E253" s="611">
        <f t="shared" si="215"/>
        <v>2161692.5731232045</v>
      </c>
      <c r="F253" s="611">
        <f t="shared" si="215"/>
        <v>2161692.5731232045</v>
      </c>
      <c r="G253" s="611">
        <f t="shared" si="215"/>
        <v>2161692.5731232045</v>
      </c>
      <c r="H253" s="611">
        <f t="shared" si="215"/>
        <v>2161692.5731232045</v>
      </c>
      <c r="I253" s="611">
        <f t="shared" si="215"/>
        <v>2161692.5731232045</v>
      </c>
      <c r="J253" s="611">
        <f t="shared" si="215"/>
        <v>2161692.5731232045</v>
      </c>
      <c r="K253" s="611">
        <f t="shared" si="215"/>
        <v>2161692.5731232045</v>
      </c>
      <c r="L253" s="611">
        <f t="shared" si="215"/>
        <v>2161692.5731232045</v>
      </c>
      <c r="M253" s="611">
        <f t="shared" si="215"/>
        <v>2161692.5731232045</v>
      </c>
      <c r="N253" s="611">
        <f t="shared" si="215"/>
        <v>2161692.5731232045</v>
      </c>
      <c r="O253" s="611">
        <f t="shared" si="215"/>
        <v>2161692.5731232045</v>
      </c>
      <c r="P253" s="611">
        <f t="shared" si="215"/>
        <v>2161692.5731232045</v>
      </c>
      <c r="Q253" s="611">
        <f t="shared" si="215"/>
        <v>2161692.5731232045</v>
      </c>
      <c r="R253" s="611">
        <f t="shared" si="215"/>
        <v>2161692.5731232045</v>
      </c>
      <c r="S253" s="611">
        <f t="shared" si="215"/>
        <v>2161692.5731232045</v>
      </c>
      <c r="T253" s="611">
        <f t="shared" si="215"/>
        <v>2161692.5731232045</v>
      </c>
      <c r="U253" s="611">
        <f t="shared" si="215"/>
        <v>2161692.5731232045</v>
      </c>
      <c r="V253" s="611">
        <f t="shared" si="215"/>
        <v>2161692.5731232045</v>
      </c>
      <c r="W253" s="611">
        <f t="shared" si="215"/>
        <v>2161692.5731232045</v>
      </c>
      <c r="X253" s="611">
        <f t="shared" si="215"/>
        <v>2161692.5731232045</v>
      </c>
      <c r="Y253" s="611">
        <f t="shared" si="215"/>
        <v>2161692.5731232045</v>
      </c>
      <c r="Z253" s="611">
        <f t="shared" si="215"/>
        <v>2161692.5731232045</v>
      </c>
      <c r="AA253" s="611">
        <f t="shared" si="215"/>
        <v>2161692.5731232045</v>
      </c>
      <c r="AB253" s="611">
        <f t="shared" si="215"/>
        <v>2161692.5731232045</v>
      </c>
      <c r="AC253" s="611">
        <f t="shared" si="215"/>
        <v>2161692.5731232045</v>
      </c>
      <c r="AD253" s="611">
        <f t="shared" si="215"/>
        <v>2161692.5731232045</v>
      </c>
      <c r="AE253" s="611">
        <f t="shared" si="215"/>
        <v>2161692.5731232045</v>
      </c>
      <c r="AF253" s="611">
        <f t="shared" si="215"/>
        <v>2161692.5731232045</v>
      </c>
      <c r="AG253" s="611">
        <f t="shared" si="215"/>
        <v>2161692.5731232045</v>
      </c>
      <c r="AI253" s="284"/>
      <c r="AJ253" s="285"/>
    </row>
    <row r="254" spans="1:36" s="55" customFormat="1" outlineLevel="1">
      <c r="A254" s="286" t="s">
        <v>173</v>
      </c>
      <c r="B254" s="287" t="s">
        <v>127</v>
      </c>
      <c r="C254" s="614">
        <v>0</v>
      </c>
      <c r="D254" s="614">
        <v>0</v>
      </c>
      <c r="E254" s="614">
        <v>0</v>
      </c>
      <c r="F254" s="614">
        <v>0</v>
      </c>
      <c r="G254" s="614">
        <v>0</v>
      </c>
      <c r="H254" s="614">
        <v>0</v>
      </c>
      <c r="I254" s="614">
        <v>0</v>
      </c>
      <c r="J254" s="614">
        <v>0</v>
      </c>
      <c r="K254" s="614">
        <v>0</v>
      </c>
      <c r="L254" s="614">
        <v>0</v>
      </c>
      <c r="M254" s="614">
        <v>0</v>
      </c>
      <c r="N254" s="614">
        <v>0</v>
      </c>
      <c r="O254" s="614">
        <v>0</v>
      </c>
      <c r="P254" s="614">
        <v>0</v>
      </c>
      <c r="Q254" s="614">
        <v>0</v>
      </c>
      <c r="R254" s="614">
        <v>0</v>
      </c>
      <c r="S254" s="614">
        <v>0</v>
      </c>
      <c r="T254" s="614">
        <v>0</v>
      </c>
      <c r="U254" s="614">
        <v>0</v>
      </c>
      <c r="V254" s="614">
        <v>0</v>
      </c>
      <c r="W254" s="614">
        <v>0</v>
      </c>
      <c r="X254" s="614">
        <v>0</v>
      </c>
      <c r="Y254" s="614">
        <v>0</v>
      </c>
      <c r="Z254" s="614">
        <v>0</v>
      </c>
      <c r="AA254" s="614">
        <v>0</v>
      </c>
      <c r="AB254" s="614">
        <v>0</v>
      </c>
      <c r="AC254" s="614">
        <v>0</v>
      </c>
      <c r="AD254" s="614">
        <v>0</v>
      </c>
      <c r="AE254" s="614">
        <v>0</v>
      </c>
      <c r="AF254" s="614">
        <v>0</v>
      </c>
      <c r="AG254" s="614">
        <v>0</v>
      </c>
      <c r="AI254" s="284"/>
      <c r="AJ254" s="285"/>
    </row>
    <row r="255" spans="1:36" outlineLevel="1">
      <c r="A255" s="289" t="s">
        <v>696</v>
      </c>
      <c r="B255" s="281" t="s">
        <v>127</v>
      </c>
      <c r="C255" s="613">
        <f t="shared" ref="C255:AG255" si="216">C222</f>
        <v>263139.70834518247</v>
      </c>
      <c r="D255" s="613">
        <f t="shared" si="216"/>
        <v>267534.14147454698</v>
      </c>
      <c r="E255" s="613">
        <f t="shared" si="216"/>
        <v>272001.96163717192</v>
      </c>
      <c r="F255" s="613">
        <f t="shared" si="216"/>
        <v>276544.39439651265</v>
      </c>
      <c r="G255" s="613">
        <f t="shared" si="216"/>
        <v>281162.68578293442</v>
      </c>
      <c r="H255" s="613">
        <f t="shared" si="216"/>
        <v>285858.10263550939</v>
      </c>
      <c r="I255" s="613">
        <f t="shared" si="216"/>
        <v>290631.93294952239</v>
      </c>
      <c r="J255" s="613">
        <f t="shared" si="216"/>
        <v>295485.48622977937</v>
      </c>
      <c r="K255" s="613">
        <f t="shared" si="216"/>
        <v>300420.09384981665</v>
      </c>
      <c r="L255" s="613">
        <f t="shared" si="216"/>
        <v>305437.10941710859</v>
      </c>
      <c r="M255" s="613">
        <f t="shared" si="216"/>
        <v>310537.90914437431</v>
      </c>
      <c r="N255" s="613">
        <f t="shared" si="216"/>
        <v>315723.89222708537</v>
      </c>
      <c r="O255" s="613">
        <f t="shared" si="216"/>
        <v>320996.48122727766</v>
      </c>
      <c r="P255" s="613">
        <f t="shared" si="216"/>
        <v>326357.12246377318</v>
      </c>
      <c r="Q255" s="613">
        <f t="shared" si="216"/>
        <v>331807.28640891815</v>
      </c>
      <c r="R255" s="613">
        <f t="shared" si="216"/>
        <v>337348.46809194708</v>
      </c>
      <c r="S255" s="613">
        <f t="shared" si="216"/>
        <v>342982.18750908261</v>
      </c>
      <c r="T255" s="613">
        <f t="shared" si="216"/>
        <v>348709.99004048429</v>
      </c>
      <c r="U255" s="613">
        <f t="shared" si="216"/>
        <v>354533.44687416038</v>
      </c>
      <c r="V255" s="613">
        <f t="shared" si="216"/>
        <v>360454.15543695883</v>
      </c>
      <c r="W255" s="613">
        <f t="shared" si="216"/>
        <v>366473.73983275599</v>
      </c>
      <c r="X255" s="613">
        <f t="shared" si="216"/>
        <v>372593.85128796299</v>
      </c>
      <c r="Y255" s="613">
        <f t="shared" si="216"/>
        <v>378816.16860447195</v>
      </c>
      <c r="Z255" s="613">
        <f t="shared" si="216"/>
        <v>385142.39862016658</v>
      </c>
      <c r="AA255" s="613">
        <f t="shared" si="216"/>
        <v>391574.27667712333</v>
      </c>
      <c r="AB255" s="613">
        <f t="shared" si="216"/>
        <v>398113.56709763128</v>
      </c>
      <c r="AC255" s="613">
        <f t="shared" si="216"/>
        <v>404762.06366816169</v>
      </c>
      <c r="AD255" s="613">
        <f t="shared" si="216"/>
        <v>411521.59013141994</v>
      </c>
      <c r="AE255" s="613">
        <f t="shared" si="216"/>
        <v>418394.00068661466</v>
      </c>
      <c r="AF255" s="613">
        <f t="shared" si="216"/>
        <v>425381.18049808108</v>
      </c>
      <c r="AG255" s="613">
        <f t="shared" si="216"/>
        <v>432485.04621239903</v>
      </c>
      <c r="AI255" s="275"/>
    </row>
    <row r="256" spans="1:36" s="63" customFormat="1" outlineLevel="1">
      <c r="A256" s="290" t="s">
        <v>705</v>
      </c>
      <c r="B256" s="291" t="s">
        <v>127</v>
      </c>
      <c r="C256" s="615">
        <f>C253-C254-C255</f>
        <v>1898552.864778022</v>
      </c>
      <c r="D256" s="615">
        <f t="shared" ref="D256:AG256" si="217">D253-D254-D255</f>
        <v>1894158.4316486577</v>
      </c>
      <c r="E256" s="615">
        <f t="shared" si="217"/>
        <v>1889690.6114860326</v>
      </c>
      <c r="F256" s="615">
        <f t="shared" si="217"/>
        <v>1885148.1787266918</v>
      </c>
      <c r="G256" s="615">
        <f t="shared" si="217"/>
        <v>1880529.88734027</v>
      </c>
      <c r="H256" s="615">
        <f t="shared" si="217"/>
        <v>1875834.4704876952</v>
      </c>
      <c r="I256" s="615">
        <f t="shared" si="217"/>
        <v>1871060.640173682</v>
      </c>
      <c r="J256" s="615">
        <f t="shared" si="217"/>
        <v>1866207.0868934251</v>
      </c>
      <c r="K256" s="615">
        <f t="shared" si="217"/>
        <v>1861272.4792733879</v>
      </c>
      <c r="L256" s="615">
        <f t="shared" si="217"/>
        <v>1856255.4637060959</v>
      </c>
      <c r="M256" s="615">
        <f t="shared" si="217"/>
        <v>1851154.6639788302</v>
      </c>
      <c r="N256" s="615">
        <f t="shared" si="217"/>
        <v>1845968.6808961192</v>
      </c>
      <c r="O256" s="615">
        <f t="shared" si="217"/>
        <v>1840696.0918959267</v>
      </c>
      <c r="P256" s="615">
        <f t="shared" si="217"/>
        <v>1835335.4506594313</v>
      </c>
      <c r="Q256" s="615">
        <f t="shared" si="217"/>
        <v>1829885.2867142863</v>
      </c>
      <c r="R256" s="615">
        <f t="shared" si="217"/>
        <v>1824344.1050312575</v>
      </c>
      <c r="S256" s="615">
        <f t="shared" si="217"/>
        <v>1818710.3856141218</v>
      </c>
      <c r="T256" s="615">
        <f t="shared" si="217"/>
        <v>1812982.5830827202</v>
      </c>
      <c r="U256" s="615">
        <f t="shared" si="217"/>
        <v>1807159.1262490442</v>
      </c>
      <c r="V256" s="615">
        <f t="shared" si="217"/>
        <v>1801238.4176862456</v>
      </c>
      <c r="W256" s="615">
        <f t="shared" si="217"/>
        <v>1795218.8332904484</v>
      </c>
      <c r="X256" s="615">
        <f t="shared" si="217"/>
        <v>1789098.7218352417</v>
      </c>
      <c r="Y256" s="615">
        <f t="shared" si="217"/>
        <v>1782876.4045187326</v>
      </c>
      <c r="Z256" s="615">
        <f t="shared" si="217"/>
        <v>1776550.1745030379</v>
      </c>
      <c r="AA256" s="615">
        <f t="shared" si="217"/>
        <v>1770118.2964460813</v>
      </c>
      <c r="AB256" s="615">
        <f t="shared" si="217"/>
        <v>1763579.0060255732</v>
      </c>
      <c r="AC256" s="615">
        <f t="shared" si="217"/>
        <v>1756930.5094550429</v>
      </c>
      <c r="AD256" s="615">
        <f t="shared" si="217"/>
        <v>1750170.9829917846</v>
      </c>
      <c r="AE256" s="615">
        <f t="shared" si="217"/>
        <v>1743298.5724365897</v>
      </c>
      <c r="AF256" s="615">
        <f t="shared" si="217"/>
        <v>1736311.3926251235</v>
      </c>
      <c r="AG256" s="615">
        <f t="shared" si="217"/>
        <v>1729207.5269108056</v>
      </c>
      <c r="AI256" s="293"/>
      <c r="AJ256" s="294"/>
    </row>
    <row r="257" spans="1:36" outlineLevel="1">
      <c r="A257" s="106" t="s">
        <v>698</v>
      </c>
      <c r="B257" s="281" t="s">
        <v>127</v>
      </c>
      <c r="C257" s="122">
        <f t="shared" ref="C257:AG257" si="218">C226*C$256</f>
        <v>303768.45836448355</v>
      </c>
      <c r="D257" s="122">
        <f t="shared" si="218"/>
        <v>306979.94315585913</v>
      </c>
      <c r="E257" s="122">
        <f t="shared" si="218"/>
        <v>310161.21903190744</v>
      </c>
      <c r="F257" s="122">
        <f t="shared" si="218"/>
        <v>313311.62730437616</v>
      </c>
      <c r="G257" s="122">
        <f t="shared" si="218"/>
        <v>316430.49570978939</v>
      </c>
      <c r="H257" s="122">
        <f t="shared" si="218"/>
        <v>319517.13813973736</v>
      </c>
      <c r="I257" s="122">
        <f t="shared" si="218"/>
        <v>322570.85436594271</v>
      </c>
      <c r="J257" s="122">
        <f t="shared" si="218"/>
        <v>325590.92976000614</v>
      </c>
      <c r="K257" s="122">
        <f t="shared" si="218"/>
        <v>328576.63500772865</v>
      </c>
      <c r="L257" s="122">
        <f t="shared" si="218"/>
        <v>331527.22581790865</v>
      </c>
      <c r="M257" s="122">
        <f t="shared" si="218"/>
        <v>334441.94262550859</v>
      </c>
      <c r="N257" s="122">
        <f t="shared" si="218"/>
        <v>337320.01028908405</v>
      </c>
      <c r="O257" s="122">
        <f t="shared" si="218"/>
        <v>340160.63778236712</v>
      </c>
      <c r="P257" s="122">
        <f t="shared" si="218"/>
        <v>342963.01787989226</v>
      </c>
      <c r="Q257" s="122">
        <f t="shared" si="218"/>
        <v>345726.32683655235</v>
      </c>
      <c r="R257" s="122">
        <f t="shared" si="218"/>
        <v>348449.72406097001</v>
      </c>
      <c r="S257" s="122">
        <f t="shared" si="218"/>
        <v>351132.35178256629</v>
      </c>
      <c r="T257" s="122">
        <f t="shared" si="218"/>
        <v>353773.33471220796</v>
      </c>
      <c r="U257" s="122">
        <f t="shared" si="218"/>
        <v>356371.77969631134</v>
      </c>
      <c r="V257" s="122">
        <f t="shared" si="218"/>
        <v>358926.77536427905</v>
      </c>
      <c r="W257" s="122">
        <f t="shared" si="218"/>
        <v>361437.3917691434</v>
      </c>
      <c r="X257" s="122">
        <f t="shared" si="218"/>
        <v>363902.68002128793</v>
      </c>
      <c r="Y257" s="122">
        <f t="shared" si="218"/>
        <v>366321.67191511538</v>
      </c>
      <c r="Z257" s="122">
        <f t="shared" si="218"/>
        <v>368693.37954853027</v>
      </c>
      <c r="AA257" s="122">
        <f t="shared" si="218"/>
        <v>371016.79493509838</v>
      </c>
      <c r="AB257" s="122">
        <f t="shared" si="218"/>
        <v>373290.8896087461</v>
      </c>
      <c r="AC257" s="122">
        <f t="shared" si="218"/>
        <v>375514.61422085756</v>
      </c>
      <c r="AD257" s="122">
        <f t="shared" si="218"/>
        <v>377686.89812962688</v>
      </c>
      <c r="AE257" s="122">
        <f t="shared" si="218"/>
        <v>379806.64898151811</v>
      </c>
      <c r="AF257" s="122">
        <f t="shared" si="218"/>
        <v>381872.75228468521</v>
      </c>
      <c r="AG257" s="122">
        <f t="shared" si="218"/>
        <v>383884.07097419887</v>
      </c>
      <c r="AI257" s="201"/>
    </row>
    <row r="258" spans="1:36" outlineLevel="1">
      <c r="A258" s="106" t="s">
        <v>697</v>
      </c>
      <c r="B258" s="281" t="s">
        <v>127</v>
      </c>
      <c r="C258" s="122">
        <f t="shared" ref="C258:AG258" si="219">C227*C$256</f>
        <v>702464.55996786815</v>
      </c>
      <c r="D258" s="122">
        <f t="shared" si="219"/>
        <v>687011.26315896818</v>
      </c>
      <c r="E258" s="122">
        <f t="shared" si="219"/>
        <v>671596.04332213604</v>
      </c>
      <c r="F258" s="122">
        <f t="shared" si="219"/>
        <v>656220.08101476158</v>
      </c>
      <c r="G258" s="122">
        <f t="shared" si="219"/>
        <v>640884.58560556418</v>
      </c>
      <c r="H258" s="122">
        <f t="shared" si="219"/>
        <v>625590.79590764653</v>
      </c>
      <c r="I258" s="122">
        <f t="shared" si="219"/>
        <v>610339.98082465539</v>
      </c>
      <c r="J258" s="122">
        <f t="shared" si="219"/>
        <v>595133.44001031364</v>
      </c>
      <c r="K258" s="122">
        <f t="shared" si="219"/>
        <v>579972.50454158802</v>
      </c>
      <c r="L258" s="122">
        <f t="shared" si="219"/>
        <v>564858.53760576539</v>
      </c>
      <c r="M258" s="122">
        <f t="shared" si="219"/>
        <v>549792.93520171312</v>
      </c>
      <c r="N258" s="122">
        <f t="shared" si="219"/>
        <v>534777.12685560633</v>
      </c>
      <c r="O258" s="122">
        <f t="shared" si="219"/>
        <v>519812.5763514103</v>
      </c>
      <c r="P258" s="122">
        <f t="shared" si="219"/>
        <v>504900.78247641015</v>
      </c>
      <c r="Q258" s="122">
        <f t="shared" si="219"/>
        <v>490043.27978208655</v>
      </c>
      <c r="R258" s="122">
        <f t="shared" si="219"/>
        <v>475241.63936064328</v>
      </c>
      <c r="S258" s="122">
        <f t="shared" si="219"/>
        <v>460497.4696374964</v>
      </c>
      <c r="T258" s="122">
        <f t="shared" si="219"/>
        <v>445812.41718004167</v>
      </c>
      <c r="U258" s="122">
        <f t="shared" si="219"/>
        <v>431188.16752302268</v>
      </c>
      <c r="V258" s="122">
        <f t="shared" si="219"/>
        <v>416626.44601082936</v>
      </c>
      <c r="W258" s="122">
        <f t="shared" si="219"/>
        <v>402129.01865706121</v>
      </c>
      <c r="X258" s="122">
        <f t="shared" si="219"/>
        <v>387697.69302169763</v>
      </c>
      <c r="Y258" s="122">
        <f t="shared" si="219"/>
        <v>373334.31910622335</v>
      </c>
      <c r="Z258" s="122">
        <f t="shared" si="219"/>
        <v>359040.7902670647</v>
      </c>
      <c r="AA258" s="122">
        <f t="shared" si="219"/>
        <v>344819.04414769739</v>
      </c>
      <c r="AB258" s="122">
        <f t="shared" si="219"/>
        <v>330671.06362979574</v>
      </c>
      <c r="AC258" s="122">
        <f t="shared" si="219"/>
        <v>316598.87780379946</v>
      </c>
      <c r="AD258" s="122">
        <f t="shared" si="219"/>
        <v>302604.56295928027</v>
      </c>
      <c r="AE258" s="122">
        <f t="shared" si="219"/>
        <v>288690.24359550001</v>
      </c>
      <c r="AF258" s="122">
        <f t="shared" si="219"/>
        <v>274858.09345255775</v>
      </c>
      <c r="AG258" s="122">
        <f t="shared" si="219"/>
        <v>261110.33656353163</v>
      </c>
      <c r="AI258" s="201"/>
    </row>
    <row r="259" spans="1:36" outlineLevel="1">
      <c r="A259" s="106" t="s">
        <v>699</v>
      </c>
      <c r="B259" s="281" t="s">
        <v>127</v>
      </c>
      <c r="C259" s="122">
        <f t="shared" ref="C259:AG259" si="220">C228*C$256</f>
        <v>151884.22918224178</v>
      </c>
      <c r="D259" s="122">
        <f t="shared" si="220"/>
        <v>151722.09037505748</v>
      </c>
      <c r="E259" s="122">
        <f t="shared" si="220"/>
        <v>151553.18704117983</v>
      </c>
      <c r="F259" s="122">
        <f t="shared" si="220"/>
        <v>151377.39875175335</v>
      </c>
      <c r="G259" s="122">
        <f t="shared" si="220"/>
        <v>151194.60294215774</v>
      </c>
      <c r="H259" s="122">
        <f t="shared" si="220"/>
        <v>151004.67487425948</v>
      </c>
      <c r="I259" s="122">
        <f t="shared" si="220"/>
        <v>150807.48759799881</v>
      </c>
      <c r="J259" s="122">
        <f t="shared" si="220"/>
        <v>150602.91191229946</v>
      </c>
      <c r="K259" s="122">
        <f t="shared" si="220"/>
        <v>150390.81632528978</v>
      </c>
      <c r="L259" s="122">
        <f t="shared" si="220"/>
        <v>150171.06701382322</v>
      </c>
      <c r="M259" s="122">
        <f t="shared" si="220"/>
        <v>149943.52778228529</v>
      </c>
      <c r="N259" s="122">
        <f t="shared" si="220"/>
        <v>149708.06002067533</v>
      </c>
      <c r="O259" s="122">
        <f t="shared" si="220"/>
        <v>149464.5226619493</v>
      </c>
      <c r="P259" s="122">
        <f t="shared" si="220"/>
        <v>149212.77213861182</v>
      </c>
      <c r="Q259" s="122">
        <f t="shared" si="220"/>
        <v>148952.66233854298</v>
      </c>
      <c r="R259" s="122">
        <f t="shared" si="220"/>
        <v>148684.04456004757</v>
      </c>
      <c r="S259" s="122">
        <f t="shared" si="220"/>
        <v>148406.76746611242</v>
      </c>
      <c r="T259" s="122">
        <f t="shared" si="220"/>
        <v>148120.67703785832</v>
      </c>
      <c r="U259" s="122">
        <f t="shared" si="220"/>
        <v>147825.61652717192</v>
      </c>
      <c r="V259" s="122">
        <f t="shared" si="220"/>
        <v>147521.42640850361</v>
      </c>
      <c r="W259" s="122">
        <f t="shared" si="220"/>
        <v>147207.94432981688</v>
      </c>
      <c r="X259" s="122">
        <f t="shared" si="220"/>
        <v>146885.00506267344</v>
      </c>
      <c r="Y259" s="122">
        <f t="shared" si="220"/>
        <v>146552.44045143994</v>
      </c>
      <c r="Z259" s="122">
        <f t="shared" si="220"/>
        <v>146210.07936160013</v>
      </c>
      <c r="AA259" s="122">
        <f t="shared" si="220"/>
        <v>145857.74762715722</v>
      </c>
      <c r="AB259" s="122">
        <f t="shared" si="220"/>
        <v>145495.26799710991</v>
      </c>
      <c r="AC259" s="122">
        <f t="shared" si="220"/>
        <v>145122.46008098667</v>
      </c>
      <c r="AD259" s="122">
        <f t="shared" si="220"/>
        <v>144739.14029342073</v>
      </c>
      <c r="AE259" s="122">
        <f t="shared" si="220"/>
        <v>144345.12179774977</v>
      </c>
      <c r="AF259" s="122">
        <f t="shared" si="220"/>
        <v>143940.21444862289</v>
      </c>
      <c r="AG259" s="122">
        <f t="shared" si="220"/>
        <v>143524.22473359687</v>
      </c>
      <c r="AI259" s="201"/>
    </row>
    <row r="260" spans="1:36" outlineLevel="1">
      <c r="A260" s="106" t="s">
        <v>700</v>
      </c>
      <c r="B260" s="281" t="s">
        <v>127</v>
      </c>
      <c r="C260" s="122">
        <f t="shared" ref="C260:AG260" si="221">C229*C$256</f>
        <v>512609.273490066</v>
      </c>
      <c r="D260" s="122">
        <f t="shared" si="221"/>
        <v>517357.80629763671</v>
      </c>
      <c r="E260" s="122">
        <f t="shared" si="221"/>
        <v>522058.52626654127</v>
      </c>
      <c r="F260" s="122">
        <f t="shared" si="221"/>
        <v>526710.40113623766</v>
      </c>
      <c r="G260" s="122">
        <f t="shared" si="221"/>
        <v>531312.37750320428</v>
      </c>
      <c r="H260" s="122">
        <f t="shared" si="221"/>
        <v>535863.3804026515</v>
      </c>
      <c r="I260" s="122">
        <f t="shared" si="221"/>
        <v>540362.31288215925</v>
      </c>
      <c r="J260" s="122">
        <f t="shared" si="221"/>
        <v>544808.05556708714</v>
      </c>
      <c r="K260" s="122">
        <f t="shared" si="221"/>
        <v>549199.46621760086</v>
      </c>
      <c r="L260" s="122">
        <f t="shared" si="221"/>
        <v>553535.3792771576</v>
      </c>
      <c r="M260" s="122">
        <f t="shared" si="221"/>
        <v>557814.60541228729</v>
      </c>
      <c r="N260" s="122">
        <f t="shared" si="221"/>
        <v>562035.93104350485</v>
      </c>
      <c r="O260" s="122">
        <f t="shared" si="221"/>
        <v>566198.11786718678</v>
      </c>
      <c r="P260" s="122">
        <f t="shared" si="221"/>
        <v>570299.90236824041</v>
      </c>
      <c r="Q260" s="122">
        <f t="shared" si="221"/>
        <v>574339.99532339035</v>
      </c>
      <c r="R260" s="122">
        <f t="shared" si="221"/>
        <v>578317.0812949083</v>
      </c>
      <c r="S260" s="122">
        <f t="shared" si="221"/>
        <v>582229.81811460049</v>
      </c>
      <c r="T260" s="122">
        <f t="shared" si="221"/>
        <v>586076.83635787363</v>
      </c>
      <c r="U260" s="122">
        <f t="shared" si="221"/>
        <v>589856.73880768765</v>
      </c>
      <c r="V260" s="122">
        <f t="shared" si="221"/>
        <v>593568.09990820708</v>
      </c>
      <c r="W260" s="122">
        <f t="shared" si="221"/>
        <v>597209.46520795545</v>
      </c>
      <c r="X260" s="122">
        <f t="shared" si="221"/>
        <v>600779.35079227376</v>
      </c>
      <c r="Y260" s="122">
        <f t="shared" si="221"/>
        <v>604276.24270488194</v>
      </c>
      <c r="Z260" s="122">
        <f t="shared" si="221"/>
        <v>607698.59635833872</v>
      </c>
      <c r="AA260" s="122">
        <f t="shared" si="221"/>
        <v>611044.83593318681</v>
      </c>
      <c r="AB260" s="122">
        <f t="shared" si="221"/>
        <v>614313.35376557417</v>
      </c>
      <c r="AC260" s="122">
        <f t="shared" si="221"/>
        <v>617502.50972313189</v>
      </c>
      <c r="AD260" s="122">
        <f t="shared" si="221"/>
        <v>620610.63056888629</v>
      </c>
      <c r="AE260" s="122">
        <f t="shared" si="221"/>
        <v>623636.00931298221</v>
      </c>
      <c r="AF260" s="122">
        <f t="shared" si="221"/>
        <v>626576.90455198567</v>
      </c>
      <c r="AG260" s="122">
        <f t="shared" si="221"/>
        <v>629431.53979553317</v>
      </c>
      <c r="AI260" s="201"/>
    </row>
    <row r="261" spans="1:36" outlineLevel="1">
      <c r="A261" s="106" t="s">
        <v>701</v>
      </c>
      <c r="B261" s="281" t="s">
        <v>127</v>
      </c>
      <c r="C261" s="122">
        <f t="shared" ref="C261:AG261" si="222">C230*C$256</f>
        <v>132898.70053446156</v>
      </c>
      <c r="D261" s="122">
        <f t="shared" si="222"/>
        <v>134990.35756216102</v>
      </c>
      <c r="E261" s="122">
        <f t="shared" si="222"/>
        <v>137065.55901978692</v>
      </c>
      <c r="F261" s="122">
        <f t="shared" si="222"/>
        <v>139123.93559002987</v>
      </c>
      <c r="G261" s="122">
        <f t="shared" si="222"/>
        <v>141165.11020967626</v>
      </c>
      <c r="H261" s="122">
        <f t="shared" si="222"/>
        <v>143188.69791389408</v>
      </c>
      <c r="I261" s="122">
        <f t="shared" si="222"/>
        <v>145194.30567747774</v>
      </c>
      <c r="J261" s="122">
        <f t="shared" si="222"/>
        <v>147181.5322529948</v>
      </c>
      <c r="K261" s="122">
        <f t="shared" si="222"/>
        <v>149149.96800577416</v>
      </c>
      <c r="L261" s="122">
        <f t="shared" si="222"/>
        <v>151099.19474567621</v>
      </c>
      <c r="M261" s="122">
        <f t="shared" si="222"/>
        <v>153028.78555558331</v>
      </c>
      <c r="N261" s="122">
        <f t="shared" si="222"/>
        <v>154938.3046165476</v>
      </c>
      <c r="O261" s="122">
        <f t="shared" si="222"/>
        <v>156827.30702953297</v>
      </c>
      <c r="P261" s="122">
        <f t="shared" si="222"/>
        <v>158695.33863368549</v>
      </c>
      <c r="Q261" s="122">
        <f t="shared" si="222"/>
        <v>160541.93582106673</v>
      </c>
      <c r="R261" s="122">
        <f t="shared" si="222"/>
        <v>162366.6253477819</v>
      </c>
      <c r="S261" s="122">
        <f t="shared" si="222"/>
        <v>164168.92414143472</v>
      </c>
      <c r="T261" s="122">
        <f t="shared" si="222"/>
        <v>165948.33910483832</v>
      </c>
      <c r="U261" s="122">
        <f t="shared" si="222"/>
        <v>167704.36691591129</v>
      </c>
      <c r="V261" s="122">
        <f t="shared" si="222"/>
        <v>169436.49382368615</v>
      </c>
      <c r="W261" s="122">
        <f t="shared" si="222"/>
        <v>171144.19544035607</v>
      </c>
      <c r="X261" s="122">
        <f t="shared" si="222"/>
        <v>172826.93652928431</v>
      </c>
      <c r="Y261" s="122">
        <f t="shared" si="222"/>
        <v>174484.17078889994</v>
      </c>
      <c r="Z261" s="122">
        <f t="shared" si="222"/>
        <v>176115.34063240114</v>
      </c>
      <c r="AA261" s="122">
        <f t="shared" si="222"/>
        <v>177719.87696318654</v>
      </c>
      <c r="AB261" s="122">
        <f t="shared" si="222"/>
        <v>179297.19894593325</v>
      </c>
      <c r="AC261" s="122">
        <f t="shared" si="222"/>
        <v>180846.71377323905</v>
      </c>
      <c r="AD261" s="122">
        <f t="shared" si="222"/>
        <v>182367.81642774394</v>
      </c>
      <c r="AE261" s="122">
        <f t="shared" si="222"/>
        <v>183859.88943964563</v>
      </c>
      <c r="AF261" s="122">
        <f t="shared" si="222"/>
        <v>185322.30263952148</v>
      </c>
      <c r="AG261" s="122">
        <f t="shared" si="222"/>
        <v>186754.41290636701</v>
      </c>
      <c r="AI261" s="201"/>
    </row>
    <row r="262" spans="1:36" outlineLevel="1">
      <c r="A262" s="106" t="s">
        <v>702</v>
      </c>
      <c r="B262" s="281" t="s">
        <v>127</v>
      </c>
      <c r="C262" s="122">
        <f t="shared" ref="C262:AG262" si="223">C231*C$256</f>
        <v>94927.643238901102</v>
      </c>
      <c r="D262" s="122">
        <f t="shared" si="223"/>
        <v>96096.971098975235</v>
      </c>
      <c r="E262" s="122">
        <f t="shared" si="223"/>
        <v>97256.076804481156</v>
      </c>
      <c r="F262" s="122">
        <f t="shared" si="223"/>
        <v>98404.734929533326</v>
      </c>
      <c r="G262" s="122">
        <f t="shared" si="223"/>
        <v>99542.715369878322</v>
      </c>
      <c r="H262" s="122">
        <f t="shared" si="223"/>
        <v>100669.78324950633</v>
      </c>
      <c r="I262" s="122">
        <f t="shared" si="223"/>
        <v>101785.69882544833</v>
      </c>
      <c r="J262" s="122">
        <f t="shared" si="223"/>
        <v>102890.21739072421</v>
      </c>
      <c r="K262" s="122">
        <f t="shared" si="223"/>
        <v>103983.08917540665</v>
      </c>
      <c r="L262" s="122">
        <f t="shared" si="223"/>
        <v>105064.05924576508</v>
      </c>
      <c r="M262" s="122">
        <f t="shared" si="223"/>
        <v>106132.86740145298</v>
      </c>
      <c r="N262" s="122">
        <f t="shared" si="223"/>
        <v>107189.24807070137</v>
      </c>
      <c r="O262" s="122">
        <f t="shared" si="223"/>
        <v>108232.93020348056</v>
      </c>
      <c r="P262" s="122">
        <f t="shared" si="223"/>
        <v>109263.63716259153</v>
      </c>
      <c r="Q262" s="122">
        <f t="shared" si="223"/>
        <v>110281.08661264772</v>
      </c>
      <c r="R262" s="122">
        <f t="shared" si="223"/>
        <v>111284.99040690679</v>
      </c>
      <c r="S262" s="122">
        <f t="shared" si="223"/>
        <v>112275.05447191186</v>
      </c>
      <c r="T262" s="122">
        <f t="shared" si="223"/>
        <v>113250.97868990067</v>
      </c>
      <c r="U262" s="122">
        <f t="shared" si="223"/>
        <v>114212.45677893968</v>
      </c>
      <c r="V262" s="122">
        <f t="shared" si="223"/>
        <v>115159.17617074073</v>
      </c>
      <c r="W262" s="122">
        <f t="shared" si="223"/>
        <v>116090.81788611576</v>
      </c>
      <c r="X262" s="122">
        <f t="shared" si="223"/>
        <v>117007.0564080249</v>
      </c>
      <c r="Y262" s="122">
        <f t="shared" si="223"/>
        <v>117907.55955217229</v>
      </c>
      <c r="Z262" s="122">
        <f t="shared" si="223"/>
        <v>118791.98833510325</v>
      </c>
      <c r="AA262" s="122">
        <f t="shared" si="223"/>
        <v>119659.9968397552</v>
      </c>
      <c r="AB262" s="122">
        <f t="shared" si="223"/>
        <v>120511.23207841428</v>
      </c>
      <c r="AC262" s="122">
        <f t="shared" si="223"/>
        <v>121345.33385302841</v>
      </c>
      <c r="AD262" s="122">
        <f t="shared" si="223"/>
        <v>122161.93461282669</v>
      </c>
      <c r="AE262" s="122">
        <f t="shared" si="223"/>
        <v>122960.65930919426</v>
      </c>
      <c r="AF262" s="122">
        <f t="shared" si="223"/>
        <v>123741.12524775059</v>
      </c>
      <c r="AG262" s="122">
        <f t="shared" si="223"/>
        <v>124502.941937578</v>
      </c>
      <c r="AI262" s="201"/>
    </row>
    <row r="263" spans="1:36" s="55" customFormat="1">
      <c r="A263" s="55" t="s">
        <v>704</v>
      </c>
      <c r="B263" s="282"/>
      <c r="C263" s="611">
        <f t="shared" ref="C263:AG263" si="224">C47</f>
        <v>2161692.5731232045</v>
      </c>
      <c r="D263" s="611">
        <f t="shared" si="224"/>
        <v>2141548.3479125393</v>
      </c>
      <c r="E263" s="611">
        <f t="shared" si="224"/>
        <v>2121404.1227018745</v>
      </c>
      <c r="F263" s="611">
        <f t="shared" si="224"/>
        <v>2101259.8974912092</v>
      </c>
      <c r="G263" s="611">
        <f t="shared" si="224"/>
        <v>2081115.6722805444</v>
      </c>
      <c r="H263" s="611">
        <f t="shared" si="224"/>
        <v>2060971.4470698794</v>
      </c>
      <c r="I263" s="611">
        <f t="shared" si="224"/>
        <v>2035387.0778038735</v>
      </c>
      <c r="J263" s="611">
        <f t="shared" si="224"/>
        <v>2009802.7085378675</v>
      </c>
      <c r="K263" s="611">
        <f t="shared" si="224"/>
        <v>1984218.3392718616</v>
      </c>
      <c r="L263" s="611">
        <f t="shared" si="224"/>
        <v>1958633.9700058557</v>
      </c>
      <c r="M263" s="611">
        <f t="shared" si="224"/>
        <v>1933049.60073985</v>
      </c>
      <c r="N263" s="611">
        <f t="shared" si="224"/>
        <v>1891810.2907386983</v>
      </c>
      <c r="O263" s="611">
        <f t="shared" si="224"/>
        <v>1855885.724065684</v>
      </c>
      <c r="P263" s="611">
        <f t="shared" si="224"/>
        <v>1813949.637770769</v>
      </c>
      <c r="Q263" s="611">
        <f t="shared" si="224"/>
        <v>1772013.2208608093</v>
      </c>
      <c r="R263" s="611">
        <f t="shared" si="224"/>
        <v>1730076.4769265749</v>
      </c>
      <c r="S263" s="611">
        <f t="shared" si="224"/>
        <v>1688918.3364679881</v>
      </c>
      <c r="T263" s="611">
        <f t="shared" si="224"/>
        <v>1647759.876166665</v>
      </c>
      <c r="U263" s="611">
        <f t="shared" si="224"/>
        <v>1606601.0996133757</v>
      </c>
      <c r="V263" s="611">
        <f t="shared" si="224"/>
        <v>1565442.0103988897</v>
      </c>
      <c r="W263" s="611">
        <f t="shared" si="224"/>
        <v>1524282.612113975</v>
      </c>
      <c r="X263" s="611">
        <f t="shared" si="224"/>
        <v>1465509.585418965</v>
      </c>
      <c r="Y263" s="611">
        <f t="shared" si="224"/>
        <v>1423571.0736182651</v>
      </c>
      <c r="Z263" s="611">
        <f t="shared" si="224"/>
        <v>1381290.9448901988</v>
      </c>
      <c r="AA263" s="611">
        <f t="shared" si="224"/>
        <v>1339009.5753647578</v>
      </c>
      <c r="AB263" s="611">
        <f t="shared" si="224"/>
        <v>1296727.0458342542</v>
      </c>
      <c r="AC263" s="611">
        <f t="shared" si="224"/>
        <v>1253973.5499267646</v>
      </c>
      <c r="AD263" s="611">
        <f t="shared" si="224"/>
        <v>1211219.0555988369</v>
      </c>
      <c r="AE263" s="611">
        <f t="shared" si="224"/>
        <v>1168463.6436427839</v>
      </c>
      <c r="AF263" s="611">
        <f t="shared" si="224"/>
        <v>1125707.3948509179</v>
      </c>
      <c r="AG263" s="611">
        <f t="shared" si="224"/>
        <v>1082950.3900155511</v>
      </c>
      <c r="AI263" s="284"/>
      <c r="AJ263" s="285"/>
    </row>
    <row r="264" spans="1:36" s="55" customFormat="1">
      <c r="A264" s="286" t="s">
        <v>173</v>
      </c>
      <c r="B264" s="287" t="s">
        <v>127</v>
      </c>
      <c r="C264" s="614">
        <f t="shared" ref="C264:AG264" si="225">C47-C29</f>
        <v>0</v>
      </c>
      <c r="D264" s="614">
        <f t="shared" si="225"/>
        <v>-20144.22521066526</v>
      </c>
      <c r="E264" s="614">
        <f t="shared" si="225"/>
        <v>-40288.450421330053</v>
      </c>
      <c r="F264" s="614">
        <f t="shared" si="225"/>
        <v>-60432.675631995313</v>
      </c>
      <c r="G264" s="614">
        <f t="shared" si="225"/>
        <v>-80576.900842660107</v>
      </c>
      <c r="H264" s="614">
        <f t="shared" si="225"/>
        <v>-100721.12605332513</v>
      </c>
      <c r="I264" s="614">
        <f t="shared" si="225"/>
        <v>-126305.49531933106</v>
      </c>
      <c r="J264" s="614">
        <f t="shared" si="225"/>
        <v>-151889.864585337</v>
      </c>
      <c r="K264" s="614">
        <f t="shared" si="225"/>
        <v>-177474.23385134293</v>
      </c>
      <c r="L264" s="614">
        <f t="shared" si="225"/>
        <v>-203058.60311734886</v>
      </c>
      <c r="M264" s="614">
        <f t="shared" si="225"/>
        <v>-228642.97238335456</v>
      </c>
      <c r="N264" s="614">
        <f t="shared" si="225"/>
        <v>-269882.28238450619</v>
      </c>
      <c r="O264" s="614">
        <f t="shared" si="225"/>
        <v>-305806.84905752051</v>
      </c>
      <c r="P264" s="614">
        <f t="shared" si="225"/>
        <v>-347742.93535243557</v>
      </c>
      <c r="Q264" s="614">
        <f t="shared" si="225"/>
        <v>-389679.3522623952</v>
      </c>
      <c r="R264" s="614">
        <f t="shared" si="225"/>
        <v>-431616.09619662957</v>
      </c>
      <c r="S264" s="614">
        <f t="shared" si="225"/>
        <v>-472774.23665521643</v>
      </c>
      <c r="T264" s="614">
        <f t="shared" si="225"/>
        <v>-513932.69695653953</v>
      </c>
      <c r="U264" s="614">
        <f t="shared" si="225"/>
        <v>-555091.47350982879</v>
      </c>
      <c r="V264" s="614">
        <f t="shared" si="225"/>
        <v>-596250.56272431486</v>
      </c>
      <c r="W264" s="614">
        <f t="shared" si="225"/>
        <v>-637409.96100922953</v>
      </c>
      <c r="X264" s="614">
        <f t="shared" si="225"/>
        <v>-696182.98770423955</v>
      </c>
      <c r="Y264" s="614">
        <f t="shared" si="225"/>
        <v>-738121.49950493942</v>
      </c>
      <c r="Z264" s="614">
        <f t="shared" si="225"/>
        <v>-780401.62823300576</v>
      </c>
      <c r="AA264" s="614">
        <f t="shared" si="225"/>
        <v>-822682.99775844673</v>
      </c>
      <c r="AB264" s="614">
        <f t="shared" si="225"/>
        <v>-864965.52728895028</v>
      </c>
      <c r="AC264" s="614">
        <f t="shared" si="225"/>
        <v>-907719.02319643996</v>
      </c>
      <c r="AD264" s="614">
        <f t="shared" si="225"/>
        <v>-950473.51752436766</v>
      </c>
      <c r="AE264" s="614">
        <f t="shared" si="225"/>
        <v>-993228.92948042066</v>
      </c>
      <c r="AF264" s="614">
        <f t="shared" si="225"/>
        <v>-1035985.1782722867</v>
      </c>
      <c r="AG264" s="614">
        <f t="shared" si="225"/>
        <v>-1078742.1831076534</v>
      </c>
      <c r="AI264" s="284"/>
      <c r="AJ264" s="285"/>
    </row>
    <row r="265" spans="1:36">
      <c r="A265" s="289" t="s">
        <v>696</v>
      </c>
      <c r="B265" s="281" t="s">
        <v>127</v>
      </c>
      <c r="C265" s="613">
        <f t="shared" ref="C265:AG265" si="226">C221</f>
        <v>263139.70834518247</v>
      </c>
      <c r="D265" s="613">
        <f t="shared" si="226"/>
        <v>272510.32780953503</v>
      </c>
      <c r="E265" s="613">
        <f t="shared" si="226"/>
        <v>281572.52479509613</v>
      </c>
      <c r="F265" s="613">
        <f t="shared" si="226"/>
        <v>290327.90189326892</v>
      </c>
      <c r="G265" s="613">
        <f t="shared" si="226"/>
        <v>298778.06169545703</v>
      </c>
      <c r="H265" s="613">
        <f t="shared" si="226"/>
        <v>306924.60679306363</v>
      </c>
      <c r="I265" s="613">
        <f t="shared" si="226"/>
        <v>314152.07431469712</v>
      </c>
      <c r="J265" s="613">
        <f t="shared" si="226"/>
        <v>321034.64429818862</v>
      </c>
      <c r="K265" s="613">
        <f t="shared" si="226"/>
        <v>327573.91933494137</v>
      </c>
      <c r="L265" s="613">
        <f t="shared" si="226"/>
        <v>333771.50201635883</v>
      </c>
      <c r="M265" s="613">
        <f t="shared" si="226"/>
        <v>339628.99493384454</v>
      </c>
      <c r="N265" s="613">
        <f t="shared" si="226"/>
        <v>353406.90431471204</v>
      </c>
      <c r="O265" s="613">
        <f t="shared" si="226"/>
        <v>367326.53206818068</v>
      </c>
      <c r="P265" s="613">
        <f t="shared" si="226"/>
        <v>378725.479122822</v>
      </c>
      <c r="Q265" s="613">
        <f t="shared" si="226"/>
        <v>388967.9634943126</v>
      </c>
      <c r="R265" s="613">
        <f t="shared" si="226"/>
        <v>398060.06898067659</v>
      </c>
      <c r="S265" s="613">
        <f t="shared" si="226"/>
        <v>406207.45231319254</v>
      </c>
      <c r="T265" s="613">
        <f t="shared" si="226"/>
        <v>413234.10894604371</v>
      </c>
      <c r="U265" s="613">
        <f t="shared" si="226"/>
        <v>419146.12315964676</v>
      </c>
      <c r="V265" s="613">
        <f t="shared" si="226"/>
        <v>423949.57939528598</v>
      </c>
      <c r="W265" s="613">
        <f t="shared" si="226"/>
        <v>427650.56225514883</v>
      </c>
      <c r="X265" s="613">
        <f t="shared" si="226"/>
        <v>435522.95862221904</v>
      </c>
      <c r="Y265" s="613">
        <f t="shared" si="226"/>
        <v>447404.86959447927</v>
      </c>
      <c r="Z265" s="613">
        <f t="shared" si="226"/>
        <v>457310.21642893011</v>
      </c>
      <c r="AA265" s="613">
        <f t="shared" si="226"/>
        <v>465322.59388012916</v>
      </c>
      <c r="AB265" s="613">
        <f t="shared" si="226"/>
        <v>471452.36491787701</v>
      </c>
      <c r="AC265" s="613">
        <f t="shared" si="226"/>
        <v>475533.7423959804</v>
      </c>
      <c r="AD265" s="613">
        <f t="shared" si="226"/>
        <v>477736.57087227597</v>
      </c>
      <c r="AE265" s="613">
        <f t="shared" si="226"/>
        <v>478071.23275608965</v>
      </c>
      <c r="AF265" s="613">
        <f t="shared" si="226"/>
        <v>476548.11693940416</v>
      </c>
      <c r="AG265" s="613">
        <f t="shared" si="226"/>
        <v>473177.61879826663</v>
      </c>
      <c r="AI265" s="275"/>
    </row>
    <row r="266" spans="1:36" s="63" customFormat="1">
      <c r="A266" s="290" t="s">
        <v>705</v>
      </c>
      <c r="B266" s="291" t="s">
        <v>127</v>
      </c>
      <c r="C266" s="615">
        <f>C263-C265</f>
        <v>1898552.864778022</v>
      </c>
      <c r="D266" s="615">
        <f t="shared" ref="D266:AG266" si="227">D263-D265</f>
        <v>1869038.0201030043</v>
      </c>
      <c r="E266" s="615">
        <f t="shared" si="227"/>
        <v>1839831.5979067783</v>
      </c>
      <c r="F266" s="615">
        <f t="shared" si="227"/>
        <v>1810931.9955979404</v>
      </c>
      <c r="G266" s="615">
        <f t="shared" si="227"/>
        <v>1782337.6105850874</v>
      </c>
      <c r="H266" s="615">
        <f t="shared" si="227"/>
        <v>1754046.8402768157</v>
      </c>
      <c r="I266" s="615">
        <f t="shared" si="227"/>
        <v>1721235.0034891763</v>
      </c>
      <c r="J266" s="615">
        <f t="shared" si="227"/>
        <v>1688768.0642396789</v>
      </c>
      <c r="K266" s="615">
        <f t="shared" si="227"/>
        <v>1656644.4199369203</v>
      </c>
      <c r="L266" s="615">
        <f t="shared" si="227"/>
        <v>1624862.4679894969</v>
      </c>
      <c r="M266" s="615">
        <f t="shared" si="227"/>
        <v>1593420.6058060054</v>
      </c>
      <c r="N266" s="615">
        <f t="shared" si="227"/>
        <v>1538403.3864239864</v>
      </c>
      <c r="O266" s="615">
        <f t="shared" si="227"/>
        <v>1488559.1919975034</v>
      </c>
      <c r="P266" s="615">
        <f t="shared" si="227"/>
        <v>1435224.158647947</v>
      </c>
      <c r="Q266" s="615">
        <f t="shared" si="227"/>
        <v>1383045.2573664966</v>
      </c>
      <c r="R266" s="615">
        <f t="shared" si="227"/>
        <v>1332016.4079458984</v>
      </c>
      <c r="S266" s="615">
        <f t="shared" si="227"/>
        <v>1282710.8841547957</v>
      </c>
      <c r="T266" s="615">
        <f t="shared" si="227"/>
        <v>1234525.7672206212</v>
      </c>
      <c r="U266" s="615">
        <f t="shared" si="227"/>
        <v>1187454.976453729</v>
      </c>
      <c r="V266" s="615">
        <f t="shared" si="227"/>
        <v>1141492.4310036036</v>
      </c>
      <c r="W266" s="615">
        <f t="shared" si="227"/>
        <v>1096632.0498588262</v>
      </c>
      <c r="X266" s="615">
        <f t="shared" si="227"/>
        <v>1029986.6267967459</v>
      </c>
      <c r="Y266" s="615">
        <f t="shared" si="227"/>
        <v>976166.20402378589</v>
      </c>
      <c r="Z266" s="615">
        <f t="shared" si="227"/>
        <v>923980.72846126859</v>
      </c>
      <c r="AA266" s="615">
        <f t="shared" si="227"/>
        <v>873686.98148462863</v>
      </c>
      <c r="AB266" s="615">
        <f t="shared" si="227"/>
        <v>825274.68091637723</v>
      </c>
      <c r="AC266" s="615">
        <f t="shared" si="227"/>
        <v>778439.80753078416</v>
      </c>
      <c r="AD266" s="615">
        <f t="shared" si="227"/>
        <v>733482.48472656088</v>
      </c>
      <c r="AE266" s="615">
        <f t="shared" si="227"/>
        <v>690392.41088669421</v>
      </c>
      <c r="AF266" s="615">
        <f t="shared" si="227"/>
        <v>649159.27791151369</v>
      </c>
      <c r="AG266" s="615">
        <f t="shared" si="227"/>
        <v>609772.77121728449</v>
      </c>
      <c r="AI266" s="293"/>
      <c r="AJ266" s="294"/>
    </row>
    <row r="267" spans="1:36" s="55" customFormat="1" outlineLevel="1">
      <c r="A267" s="286" t="s">
        <v>732</v>
      </c>
      <c r="B267" s="287" t="s">
        <v>126</v>
      </c>
      <c r="C267" s="614">
        <f t="shared" ref="C267:AF267" si="228">C47*C233</f>
        <v>1815821.7614234916</v>
      </c>
      <c r="D267" s="614">
        <f t="shared" si="228"/>
        <v>1807466.8056381831</v>
      </c>
      <c r="E267" s="614">
        <f t="shared" si="228"/>
        <v>1798950.6960511894</v>
      </c>
      <c r="F267" s="614">
        <f t="shared" si="228"/>
        <v>1790273.4326625103</v>
      </c>
      <c r="G267" s="614">
        <f t="shared" si="228"/>
        <v>1781435.015472146</v>
      </c>
      <c r="H267" s="614">
        <f t="shared" si="228"/>
        <v>1772435.4444800962</v>
      </c>
      <c r="I267" s="614">
        <f t="shared" si="228"/>
        <v>1758574.4352225466</v>
      </c>
      <c r="J267" s="614">
        <f t="shared" si="228"/>
        <v>1744508.7510108689</v>
      </c>
      <c r="K267" s="614">
        <f t="shared" si="228"/>
        <v>1730238.3918450633</v>
      </c>
      <c r="L267" s="614">
        <f t="shared" si="228"/>
        <v>1715763.3577251295</v>
      </c>
      <c r="M267" s="614">
        <f t="shared" si="228"/>
        <v>1701083.6486510679</v>
      </c>
      <c r="N267" s="614">
        <f t="shared" si="228"/>
        <v>1672360.2970130094</v>
      </c>
      <c r="O267" s="614">
        <f t="shared" si="228"/>
        <v>1648026.5229703274</v>
      </c>
      <c r="P267" s="614">
        <f t="shared" si="228"/>
        <v>1618043.0768915259</v>
      </c>
      <c r="Q267" s="614">
        <f t="shared" si="228"/>
        <v>1587723.8458912852</v>
      </c>
      <c r="R267" s="614">
        <f t="shared" si="228"/>
        <v>1557068.8292339174</v>
      </c>
      <c r="S267" s="614">
        <f t="shared" si="228"/>
        <v>1526782.1761670613</v>
      </c>
      <c r="T267" s="614">
        <f t="shared" si="228"/>
        <v>1496165.9675593318</v>
      </c>
      <c r="U267" s="614">
        <f t="shared" si="228"/>
        <v>1465220.2028473988</v>
      </c>
      <c r="V267" s="614">
        <f t="shared" si="228"/>
        <v>1433944.8815253831</v>
      </c>
      <c r="W267" s="614">
        <f t="shared" si="228"/>
        <v>1402340.003144857</v>
      </c>
      <c r="X267" s="614">
        <f t="shared" si="228"/>
        <v>1354130.8569271236</v>
      </c>
      <c r="Y267" s="614">
        <f t="shared" si="228"/>
        <v>1321073.95631775</v>
      </c>
      <c r="Z267" s="614">
        <f t="shared" si="228"/>
        <v>1287363.1606376653</v>
      </c>
      <c r="AA267" s="614">
        <f t="shared" si="228"/>
        <v>1253312.9625414133</v>
      </c>
      <c r="AB267" s="614">
        <f t="shared" si="228"/>
        <v>1218923.423084199</v>
      </c>
      <c r="AC267" s="614">
        <f t="shared" si="228"/>
        <v>1183751.0311308659</v>
      </c>
      <c r="AD267" s="614">
        <f t="shared" si="228"/>
        <v>1148235.6647076975</v>
      </c>
      <c r="AE267" s="614">
        <f t="shared" si="228"/>
        <v>1112377.3887479303</v>
      </c>
      <c r="AF267" s="614">
        <f t="shared" si="228"/>
        <v>1076176.2694774775</v>
      </c>
      <c r="AG267" s="614">
        <f>AG47*AG233</f>
        <v>1039632.3744149291</v>
      </c>
      <c r="AI267" s="284"/>
      <c r="AJ267" s="316" t="s">
        <v>1624</v>
      </c>
    </row>
    <row r="268" spans="1:36" s="55" customFormat="1" outlineLevel="1">
      <c r="A268" s="286" t="s">
        <v>743</v>
      </c>
      <c r="B268" s="287" t="s">
        <v>126</v>
      </c>
      <c r="C268" s="614">
        <f>C267*C234</f>
        <v>399480.78751316818</v>
      </c>
      <c r="D268" s="614">
        <f t="shared" ref="D268:AG268" si="229">D267*D234</f>
        <v>409692.47594465484</v>
      </c>
      <c r="E268" s="614">
        <f t="shared" si="229"/>
        <v>419755.16241194418</v>
      </c>
      <c r="F268" s="614">
        <f t="shared" si="229"/>
        <v>429665.62383900239</v>
      </c>
      <c r="G268" s="614">
        <f t="shared" si="229"/>
        <v>439420.63714979595</v>
      </c>
      <c r="H268" s="614">
        <f t="shared" si="229"/>
        <v>449016.97926829098</v>
      </c>
      <c r="I268" s="614">
        <f t="shared" si="229"/>
        <v>457229.35315786203</v>
      </c>
      <c r="J268" s="614">
        <f t="shared" si="229"/>
        <v>465202.33360289829</v>
      </c>
      <c r="K268" s="614">
        <f t="shared" si="229"/>
        <v>472931.8271043172</v>
      </c>
      <c r="L268" s="614">
        <f t="shared" si="229"/>
        <v>480413.7401630361</v>
      </c>
      <c r="M268" s="614">
        <f t="shared" si="229"/>
        <v>487643.97927997261</v>
      </c>
      <c r="N268" s="614">
        <f t="shared" si="229"/>
        <v>490559.02045714925</v>
      </c>
      <c r="O268" s="614">
        <f t="shared" si="229"/>
        <v>494407.956891098</v>
      </c>
      <c r="P268" s="614">
        <f t="shared" si="229"/>
        <v>496199.87691340107</v>
      </c>
      <c r="Q268" s="614">
        <f t="shared" si="229"/>
        <v>497486.80504593579</v>
      </c>
      <c r="R268" s="614">
        <f t="shared" si="229"/>
        <v>498262.02535485331</v>
      </c>
      <c r="S268" s="614">
        <f t="shared" si="229"/>
        <v>498748.8442145731</v>
      </c>
      <c r="T268" s="614">
        <f t="shared" si="229"/>
        <v>498721.98918644368</v>
      </c>
      <c r="U268" s="614">
        <f t="shared" si="229"/>
        <v>498174.8689681153</v>
      </c>
      <c r="V268" s="614">
        <f t="shared" si="229"/>
        <v>497100.89226213249</v>
      </c>
      <c r="W268" s="614">
        <f t="shared" si="229"/>
        <v>495493.46777784918</v>
      </c>
      <c r="X268" s="614">
        <f t="shared" si="229"/>
        <v>487487.10849376419</v>
      </c>
      <c r="Y268" s="614">
        <f t="shared" si="229"/>
        <v>484393.78398317471</v>
      </c>
      <c r="Z268" s="614">
        <f t="shared" si="229"/>
        <v>480615.57997139473</v>
      </c>
      <c r="AA268" s="614">
        <f t="shared" si="229"/>
        <v>476258.92576573667</v>
      </c>
      <c r="AB268" s="614">
        <f t="shared" si="229"/>
        <v>471317.05692588992</v>
      </c>
      <c r="AC268" s="614">
        <f t="shared" si="229"/>
        <v>465608.7389114736</v>
      </c>
      <c r="AD268" s="614">
        <f t="shared" si="229"/>
        <v>459294.26588307862</v>
      </c>
      <c r="AE268" s="614">
        <f t="shared" si="229"/>
        <v>452366.80475749128</v>
      </c>
      <c r="AF268" s="614">
        <f t="shared" si="229"/>
        <v>444819.52471735701</v>
      </c>
      <c r="AG268" s="614">
        <f t="shared" si="229"/>
        <v>436645.59725427022</v>
      </c>
      <c r="AI268" s="284"/>
      <c r="AJ268" s="316" t="s">
        <v>1625</v>
      </c>
    </row>
    <row r="269" spans="1:36" s="59" customFormat="1" outlineLevel="1">
      <c r="A269" s="290" t="s">
        <v>744</v>
      </c>
      <c r="B269" s="291" t="s">
        <v>126</v>
      </c>
      <c r="C269" s="615">
        <f>C267*C235</f>
        <v>1416340.9739103236</v>
      </c>
      <c r="D269" s="615">
        <f t="shared" ref="D269:AG269" si="230">D267*D235</f>
        <v>1397774.3296935284</v>
      </c>
      <c r="E269" s="615">
        <f t="shared" si="230"/>
        <v>1379195.5336392454</v>
      </c>
      <c r="F269" s="615">
        <f t="shared" si="230"/>
        <v>1360607.8088235077</v>
      </c>
      <c r="G269" s="615">
        <f t="shared" si="230"/>
        <v>1342014.3783223501</v>
      </c>
      <c r="H269" s="615">
        <f t="shared" si="230"/>
        <v>1323418.4652118052</v>
      </c>
      <c r="I269" s="615">
        <f t="shared" si="230"/>
        <v>1301345.0820646845</v>
      </c>
      <c r="J269" s="615">
        <f t="shared" si="230"/>
        <v>1279306.4174079706</v>
      </c>
      <c r="K269" s="615">
        <f t="shared" si="230"/>
        <v>1257306.5647407463</v>
      </c>
      <c r="L269" s="615">
        <f t="shared" si="230"/>
        <v>1235349.6175620933</v>
      </c>
      <c r="M269" s="615">
        <f t="shared" si="230"/>
        <v>1213439.6693710953</v>
      </c>
      <c r="N269" s="615">
        <f t="shared" si="230"/>
        <v>1181801.2765558602</v>
      </c>
      <c r="O269" s="615">
        <f t="shared" si="230"/>
        <v>1153618.5660792296</v>
      </c>
      <c r="P269" s="615">
        <f t="shared" si="230"/>
        <v>1121843.1999781248</v>
      </c>
      <c r="Q269" s="615">
        <f t="shared" si="230"/>
        <v>1090237.0408453494</v>
      </c>
      <c r="R269" s="615">
        <f t="shared" si="230"/>
        <v>1058806.803879064</v>
      </c>
      <c r="S269" s="615">
        <f t="shared" si="230"/>
        <v>1028033.3319524883</v>
      </c>
      <c r="T269" s="615">
        <f t="shared" si="230"/>
        <v>997443.97837288817</v>
      </c>
      <c r="U269" s="615">
        <f t="shared" si="230"/>
        <v>967045.3338792834</v>
      </c>
      <c r="V269" s="615">
        <f t="shared" si="230"/>
        <v>936843.98926325061</v>
      </c>
      <c r="W269" s="615">
        <f t="shared" si="230"/>
        <v>906846.53536700795</v>
      </c>
      <c r="X269" s="615">
        <f t="shared" si="230"/>
        <v>866643.74843335943</v>
      </c>
      <c r="Y269" s="615">
        <f t="shared" si="230"/>
        <v>836680.17233457533</v>
      </c>
      <c r="Z269" s="615">
        <f t="shared" si="230"/>
        <v>806747.58066627057</v>
      </c>
      <c r="AA269" s="615">
        <f t="shared" si="230"/>
        <v>777054.03677567665</v>
      </c>
      <c r="AB269" s="615">
        <f t="shared" si="230"/>
        <v>747606.36615830904</v>
      </c>
      <c r="AC269" s="615">
        <f t="shared" si="230"/>
        <v>718142.29221939226</v>
      </c>
      <c r="AD269" s="615">
        <f t="shared" si="230"/>
        <v>688941.39882461878</v>
      </c>
      <c r="AE269" s="615">
        <f t="shared" si="230"/>
        <v>660010.58399043907</v>
      </c>
      <c r="AF269" s="615">
        <f t="shared" si="230"/>
        <v>631356.74476012052</v>
      </c>
      <c r="AG269" s="615">
        <f t="shared" si="230"/>
        <v>602986.77716065897</v>
      </c>
      <c r="AI269" s="319"/>
      <c r="AJ269" s="318" t="s">
        <v>1626</v>
      </c>
    </row>
    <row r="270" spans="1:36" s="1" customFormat="1" outlineLevel="1">
      <c r="A270" t="s">
        <v>725</v>
      </c>
      <c r="B270" s="281" t="s">
        <v>127</v>
      </c>
      <c r="C270" s="613">
        <f>C236*C267</f>
        <v>1543448.4972099678</v>
      </c>
      <c r="D270" s="613">
        <f t="shared" ref="D270:AG270" si="231">D236*D267</f>
        <v>1533334.3401163919</v>
      </c>
      <c r="E270" s="613">
        <f t="shared" si="231"/>
        <v>1523111.5893233402</v>
      </c>
      <c r="F270" s="613">
        <f t="shared" si="231"/>
        <v>1512781.0505998209</v>
      </c>
      <c r="G270" s="613">
        <f t="shared" si="231"/>
        <v>1502343.5297148428</v>
      </c>
      <c r="H270" s="613">
        <f t="shared" si="231"/>
        <v>1491799.832437414</v>
      </c>
      <c r="I270" s="613">
        <f t="shared" si="231"/>
        <v>1477202.5255869387</v>
      </c>
      <c r="J270" s="613">
        <f t="shared" si="231"/>
        <v>1462479.8362641113</v>
      </c>
      <c r="K270" s="613">
        <f t="shared" si="231"/>
        <v>1447632.7878437024</v>
      </c>
      <c r="L270" s="613">
        <f t="shared" si="231"/>
        <v>1432662.4037004826</v>
      </c>
      <c r="M270" s="613">
        <f t="shared" si="231"/>
        <v>1417569.7072092225</v>
      </c>
      <c r="N270" s="613">
        <f t="shared" si="231"/>
        <v>1390846.3136824854</v>
      </c>
      <c r="O270" s="613">
        <f t="shared" si="231"/>
        <v>1367862.0140653709</v>
      </c>
      <c r="P270" s="613">
        <f t="shared" si="231"/>
        <v>1340279.0153584797</v>
      </c>
      <c r="Q270" s="613">
        <f t="shared" si="231"/>
        <v>1312518.3792701282</v>
      </c>
      <c r="R270" s="613">
        <f t="shared" si="231"/>
        <v>1284581.7841179809</v>
      </c>
      <c r="S270" s="613">
        <f t="shared" si="231"/>
        <v>1257050.6583775461</v>
      </c>
      <c r="T270" s="613">
        <f t="shared" si="231"/>
        <v>1229349.7033445833</v>
      </c>
      <c r="U270" s="613">
        <f t="shared" si="231"/>
        <v>1201480.566334866</v>
      </c>
      <c r="V270" s="613">
        <f t="shared" si="231"/>
        <v>1173444.8947149373</v>
      </c>
      <c r="W270" s="613">
        <f t="shared" si="231"/>
        <v>1145244.3359016322</v>
      </c>
      <c r="X270" s="613">
        <f t="shared" si="231"/>
        <v>1103616.6483956047</v>
      </c>
      <c r="Y270" s="613">
        <f t="shared" si="231"/>
        <v>1074473.4844717688</v>
      </c>
      <c r="Z270" s="613">
        <f t="shared" si="231"/>
        <v>1044909.7653842372</v>
      </c>
      <c r="AA270" s="613">
        <f t="shared" si="231"/>
        <v>1015183.4996585435</v>
      </c>
      <c r="AB270" s="613">
        <f t="shared" si="231"/>
        <v>985296.43365972629</v>
      </c>
      <c r="AC270" s="613">
        <f t="shared" si="231"/>
        <v>954892.49844556395</v>
      </c>
      <c r="AD270" s="613">
        <f t="shared" si="231"/>
        <v>924329.71008969529</v>
      </c>
      <c r="AE270" s="613">
        <f t="shared" si="231"/>
        <v>893609.83562750276</v>
      </c>
      <c r="AF270" s="613">
        <f t="shared" si="231"/>
        <v>862734.64269777655</v>
      </c>
      <c r="AG270" s="613">
        <f t="shared" si="231"/>
        <v>831705.89953194326</v>
      </c>
      <c r="AI270" s="295"/>
      <c r="AJ270" s="198" t="s">
        <v>1627</v>
      </c>
    </row>
    <row r="271" spans="1:36" s="1" customFormat="1" outlineLevel="1">
      <c r="A271" t="s">
        <v>731</v>
      </c>
      <c r="B271" s="281" t="s">
        <v>127</v>
      </c>
      <c r="C271" s="613">
        <f>C237*C267</f>
        <v>272373.26421352371</v>
      </c>
      <c r="D271" s="613">
        <f t="shared" ref="D271:AG271" si="232">D237*D267</f>
        <v>274132.46552179113</v>
      </c>
      <c r="E271" s="613">
        <f t="shared" si="232"/>
        <v>275839.10672784905</v>
      </c>
      <c r="F271" s="613">
        <f t="shared" si="232"/>
        <v>277492.38206268917</v>
      </c>
      <c r="G271" s="613">
        <f t="shared" si="232"/>
        <v>279091.48575730296</v>
      </c>
      <c r="H271" s="613">
        <f t="shared" si="232"/>
        <v>280635.61204268201</v>
      </c>
      <c r="I271" s="613">
        <f t="shared" si="232"/>
        <v>281371.90963560756</v>
      </c>
      <c r="J271" s="613">
        <f t="shared" si="232"/>
        <v>282028.91474675725</v>
      </c>
      <c r="K271" s="613">
        <f t="shared" si="232"/>
        <v>282605.60400136048</v>
      </c>
      <c r="L271" s="613">
        <f t="shared" si="232"/>
        <v>283100.95402464649</v>
      </c>
      <c r="M271" s="613">
        <f t="shared" si="232"/>
        <v>283513.9414418448</v>
      </c>
      <c r="N271" s="613">
        <f t="shared" si="232"/>
        <v>281513.98333052342</v>
      </c>
      <c r="O271" s="613">
        <f t="shared" si="232"/>
        <v>280164.50890495587</v>
      </c>
      <c r="P271" s="613">
        <f t="shared" si="232"/>
        <v>277764.06153304549</v>
      </c>
      <c r="Q271" s="613">
        <f t="shared" si="232"/>
        <v>275205.46662115632</v>
      </c>
      <c r="R271" s="613">
        <f t="shared" si="232"/>
        <v>272487.04511593579</v>
      </c>
      <c r="S271" s="613">
        <f t="shared" si="232"/>
        <v>269731.51778951444</v>
      </c>
      <c r="T271" s="613">
        <f t="shared" si="232"/>
        <v>266816.26421474776</v>
      </c>
      <c r="U271" s="613">
        <f t="shared" si="232"/>
        <v>263739.63651253207</v>
      </c>
      <c r="V271" s="613">
        <f t="shared" si="232"/>
        <v>260499.98681044488</v>
      </c>
      <c r="W271" s="613">
        <f t="shared" si="232"/>
        <v>257095.66724322407</v>
      </c>
      <c r="X271" s="613">
        <f t="shared" si="232"/>
        <v>250514.20853151818</v>
      </c>
      <c r="Y271" s="613">
        <f t="shared" si="232"/>
        <v>246600.47184598033</v>
      </c>
      <c r="Z271" s="613">
        <f t="shared" si="232"/>
        <v>242453.39525342727</v>
      </c>
      <c r="AA271" s="613">
        <f t="shared" si="232"/>
        <v>238129.46288286883</v>
      </c>
      <c r="AB271" s="613">
        <f t="shared" si="232"/>
        <v>233626.9894244718</v>
      </c>
      <c r="AC271" s="613">
        <f t="shared" si="232"/>
        <v>228858.53268530106</v>
      </c>
      <c r="AD271" s="613">
        <f t="shared" si="232"/>
        <v>223905.95461800133</v>
      </c>
      <c r="AE271" s="613">
        <f t="shared" si="232"/>
        <v>218767.55312042663</v>
      </c>
      <c r="AF271" s="613">
        <f t="shared" si="232"/>
        <v>213441.62677970005</v>
      </c>
      <c r="AG271" s="613">
        <f t="shared" si="232"/>
        <v>207926.47488298581</v>
      </c>
      <c r="AI271" s="295"/>
      <c r="AJ271" s="198" t="s">
        <v>1628</v>
      </c>
    </row>
    <row r="272" spans="1:36" s="1" customFormat="1" outlineLevel="1">
      <c r="A272" t="s">
        <v>726</v>
      </c>
      <c r="B272" s="281" t="s">
        <v>127</v>
      </c>
      <c r="C272" s="613">
        <f>C270*C238</f>
        <v>231517.27458149518</v>
      </c>
      <c r="D272" s="613">
        <f t="shared" ref="D272:AG272" si="233">D270*D238</f>
        <v>239711.26850486259</v>
      </c>
      <c r="E272" s="613">
        <f t="shared" si="233"/>
        <v>247759.48519659665</v>
      </c>
      <c r="F272" s="613">
        <f t="shared" si="233"/>
        <v>255659.99755136971</v>
      </c>
      <c r="G272" s="613">
        <f t="shared" si="233"/>
        <v>263410.89887666906</v>
      </c>
      <c r="H272" s="613">
        <f t="shared" si="233"/>
        <v>271010.30289279681</v>
      </c>
      <c r="I272" s="613">
        <f t="shared" si="233"/>
        <v>277714.07481034443</v>
      </c>
      <c r="J272" s="613">
        <f t="shared" si="233"/>
        <v>284208.58151399228</v>
      </c>
      <c r="K272" s="613">
        <f t="shared" si="233"/>
        <v>290491.64609396958</v>
      </c>
      <c r="L272" s="613">
        <f t="shared" si="233"/>
        <v>296561.11756599986</v>
      </c>
      <c r="M272" s="613">
        <f t="shared" si="233"/>
        <v>302414.87087130075</v>
      </c>
      <c r="N272" s="613">
        <f t="shared" si="233"/>
        <v>305522.57357225253</v>
      </c>
      <c r="O272" s="613">
        <f t="shared" si="233"/>
        <v>309136.81517877377</v>
      </c>
      <c r="P272" s="613">
        <f t="shared" si="233"/>
        <v>311391.4912349534</v>
      </c>
      <c r="Q272" s="613">
        <f t="shared" si="233"/>
        <v>313254.38651913719</v>
      </c>
      <c r="R272" s="613">
        <f t="shared" si="233"/>
        <v>314722.53710890521</v>
      </c>
      <c r="S272" s="613">
        <f t="shared" si="233"/>
        <v>315938.7321388899</v>
      </c>
      <c r="T272" s="613">
        <f t="shared" si="233"/>
        <v>316762.4402284543</v>
      </c>
      <c r="U272" s="613">
        <f t="shared" si="233"/>
        <v>317190.86951240466</v>
      </c>
      <c r="V272" s="613">
        <f t="shared" si="233"/>
        <v>317221.26987127145</v>
      </c>
      <c r="W272" s="613">
        <f t="shared" si="233"/>
        <v>316850.93293278496</v>
      </c>
      <c r="X272" s="613">
        <f t="shared" si="233"/>
        <v>312323.51149595622</v>
      </c>
      <c r="Y272" s="613">
        <f t="shared" si="233"/>
        <v>310880.99484049855</v>
      </c>
      <c r="Z272" s="613">
        <f t="shared" si="233"/>
        <v>308944.98729860625</v>
      </c>
      <c r="AA272" s="613">
        <f t="shared" si="233"/>
        <v>306585.41689688031</v>
      </c>
      <c r="AB272" s="613">
        <f t="shared" si="233"/>
        <v>303799.73371174914</v>
      </c>
      <c r="AC272" s="613">
        <f t="shared" si="233"/>
        <v>300472.83951087098</v>
      </c>
      <c r="AD272" s="613">
        <f t="shared" si="233"/>
        <v>296709.83693879237</v>
      </c>
      <c r="AE272" s="613">
        <f t="shared" si="233"/>
        <v>292508.28619540279</v>
      </c>
      <c r="AF272" s="613">
        <f t="shared" si="233"/>
        <v>287865.79244682501</v>
      </c>
      <c r="AG272" s="613">
        <f t="shared" si="233"/>
        <v>282780.00584086071</v>
      </c>
      <c r="AI272" s="295"/>
      <c r="AJ272" s="198" t="s">
        <v>1629</v>
      </c>
    </row>
    <row r="273" spans="1:36" s="1" customFormat="1" outlineLevel="1">
      <c r="A273" t="s">
        <v>727</v>
      </c>
      <c r="B273" s="281" t="s">
        <v>127</v>
      </c>
      <c r="C273" s="613">
        <f>C270*C239</f>
        <v>1311931.2226284726</v>
      </c>
      <c r="D273" s="613">
        <f t="shared" ref="D273:AG273" si="234">D270*D239</f>
        <v>1293623.0716115292</v>
      </c>
      <c r="E273" s="613">
        <f t="shared" si="234"/>
        <v>1275352.1041267435</v>
      </c>
      <c r="F273" s="613">
        <f t="shared" si="234"/>
        <v>1257121.0530484512</v>
      </c>
      <c r="G273" s="613">
        <f t="shared" si="234"/>
        <v>1238932.6308381739</v>
      </c>
      <c r="H273" s="613">
        <f t="shared" si="234"/>
        <v>1220789.5295446173</v>
      </c>
      <c r="I273" s="613">
        <f t="shared" si="234"/>
        <v>1199488.4507765945</v>
      </c>
      <c r="J273" s="613">
        <f t="shared" si="234"/>
        <v>1178271.2547501193</v>
      </c>
      <c r="K273" s="613">
        <f t="shared" si="234"/>
        <v>1157141.1417497331</v>
      </c>
      <c r="L273" s="613">
        <f t="shared" si="234"/>
        <v>1136101.2861344831</v>
      </c>
      <c r="M273" s="613">
        <f t="shared" si="234"/>
        <v>1115154.8363379221</v>
      </c>
      <c r="N273" s="613">
        <f t="shared" si="234"/>
        <v>1085323.7401102332</v>
      </c>
      <c r="O273" s="613">
        <f t="shared" si="234"/>
        <v>1058725.1988865975</v>
      </c>
      <c r="P273" s="613">
        <f t="shared" si="234"/>
        <v>1028887.5241235268</v>
      </c>
      <c r="Q273" s="613">
        <f t="shared" si="234"/>
        <v>999263.99275099149</v>
      </c>
      <c r="R273" s="613">
        <f t="shared" si="234"/>
        <v>969859.24700907618</v>
      </c>
      <c r="S273" s="613">
        <f t="shared" si="234"/>
        <v>941111.92623865674</v>
      </c>
      <c r="T273" s="613">
        <f t="shared" si="234"/>
        <v>912587.26311612956</v>
      </c>
      <c r="U273" s="613">
        <f t="shared" si="234"/>
        <v>884289.69682246202</v>
      </c>
      <c r="V273" s="613">
        <f t="shared" si="234"/>
        <v>856223.62484366656</v>
      </c>
      <c r="W273" s="613">
        <f t="shared" si="234"/>
        <v>828393.40296884801</v>
      </c>
      <c r="X273" s="613">
        <f t="shared" si="234"/>
        <v>791293.13689964928</v>
      </c>
      <c r="Y273" s="613">
        <f t="shared" si="234"/>
        <v>763592.48963127111</v>
      </c>
      <c r="Z273" s="613">
        <f t="shared" si="234"/>
        <v>735964.77808563178</v>
      </c>
      <c r="AA273" s="613">
        <f t="shared" si="234"/>
        <v>708598.08276166406</v>
      </c>
      <c r="AB273" s="613">
        <f t="shared" si="234"/>
        <v>681496.69994797814</v>
      </c>
      <c r="AC273" s="613">
        <f t="shared" si="234"/>
        <v>654419.6589346939</v>
      </c>
      <c r="AD273" s="613">
        <f t="shared" si="234"/>
        <v>627619.87315090385</v>
      </c>
      <c r="AE273" s="613">
        <f t="shared" si="234"/>
        <v>601101.54943210096</v>
      </c>
      <c r="AF273" s="613">
        <f t="shared" si="234"/>
        <v>574868.85025095253</v>
      </c>
      <c r="AG273" s="613">
        <f t="shared" si="234"/>
        <v>548925.8936910826</v>
      </c>
      <c r="AI273" s="295"/>
      <c r="AJ273" s="198" t="s">
        <v>1630</v>
      </c>
    </row>
    <row r="274" spans="1:36" s="1" customFormat="1" outlineLevel="1">
      <c r="A274" t="s">
        <v>730</v>
      </c>
      <c r="B274" s="281" t="s">
        <v>127</v>
      </c>
      <c r="C274" s="613">
        <f>C240*C273</f>
        <v>0</v>
      </c>
      <c r="D274" s="613">
        <f t="shared" ref="D274:AG274" si="235">D240*D273</f>
        <v>0</v>
      </c>
      <c r="E274" s="613">
        <f t="shared" si="235"/>
        <v>0</v>
      </c>
      <c r="F274" s="613">
        <f t="shared" si="235"/>
        <v>0</v>
      </c>
      <c r="G274" s="613">
        <f t="shared" si="235"/>
        <v>0</v>
      </c>
      <c r="H274" s="613">
        <f t="shared" si="235"/>
        <v>0</v>
      </c>
      <c r="I274" s="613">
        <f t="shared" si="235"/>
        <v>0</v>
      </c>
      <c r="J274" s="613">
        <f t="shared" si="235"/>
        <v>0</v>
      </c>
      <c r="K274" s="613">
        <f t="shared" si="235"/>
        <v>0</v>
      </c>
      <c r="L274" s="613">
        <f t="shared" si="235"/>
        <v>0</v>
      </c>
      <c r="M274" s="613">
        <f t="shared" si="235"/>
        <v>0</v>
      </c>
      <c r="N274" s="613">
        <f t="shared" si="235"/>
        <v>0</v>
      </c>
      <c r="O274" s="613">
        <f t="shared" si="235"/>
        <v>0</v>
      </c>
      <c r="P274" s="613">
        <f t="shared" si="235"/>
        <v>0</v>
      </c>
      <c r="Q274" s="613">
        <f t="shared" si="235"/>
        <v>0</v>
      </c>
      <c r="R274" s="613">
        <f t="shared" si="235"/>
        <v>0</v>
      </c>
      <c r="S274" s="613">
        <f t="shared" si="235"/>
        <v>0</v>
      </c>
      <c r="T274" s="613">
        <f t="shared" si="235"/>
        <v>0</v>
      </c>
      <c r="U274" s="613">
        <f t="shared" si="235"/>
        <v>0</v>
      </c>
      <c r="V274" s="613">
        <f t="shared" si="235"/>
        <v>0</v>
      </c>
      <c r="W274" s="613">
        <f t="shared" si="235"/>
        <v>0</v>
      </c>
      <c r="X274" s="613">
        <f t="shared" si="235"/>
        <v>0</v>
      </c>
      <c r="Y274" s="613">
        <f t="shared" si="235"/>
        <v>0</v>
      </c>
      <c r="Z274" s="613">
        <f t="shared" si="235"/>
        <v>0</v>
      </c>
      <c r="AA274" s="613">
        <f t="shared" si="235"/>
        <v>0</v>
      </c>
      <c r="AB274" s="613">
        <f t="shared" si="235"/>
        <v>0</v>
      </c>
      <c r="AC274" s="613">
        <f t="shared" si="235"/>
        <v>0</v>
      </c>
      <c r="AD274" s="613">
        <f t="shared" si="235"/>
        <v>0</v>
      </c>
      <c r="AE274" s="613">
        <f t="shared" si="235"/>
        <v>0</v>
      </c>
      <c r="AF274" s="613">
        <f t="shared" si="235"/>
        <v>0</v>
      </c>
      <c r="AG274" s="613">
        <f t="shared" si="235"/>
        <v>0</v>
      </c>
      <c r="AI274" s="295"/>
      <c r="AJ274" s="198" t="s">
        <v>1631</v>
      </c>
    </row>
    <row r="275" spans="1:36" s="1" customFormat="1" outlineLevel="1">
      <c r="A275" t="s">
        <v>758</v>
      </c>
      <c r="B275" s="281" t="s">
        <v>127</v>
      </c>
      <c r="C275" s="613">
        <f>C241*C273</f>
        <v>1311931.2226284726</v>
      </c>
      <c r="D275" s="613">
        <f t="shared" ref="D275:AG275" si="236">D241*D273</f>
        <v>1293623.0716115292</v>
      </c>
      <c r="E275" s="613">
        <f t="shared" si="236"/>
        <v>1275352.1041267435</v>
      </c>
      <c r="F275" s="613">
        <f t="shared" si="236"/>
        <v>1257121.0530484512</v>
      </c>
      <c r="G275" s="613">
        <f t="shared" si="236"/>
        <v>1238932.6308381739</v>
      </c>
      <c r="H275" s="613">
        <f t="shared" si="236"/>
        <v>1220789.5295446173</v>
      </c>
      <c r="I275" s="613">
        <f t="shared" si="236"/>
        <v>1199488.4507765945</v>
      </c>
      <c r="J275" s="613">
        <f t="shared" si="236"/>
        <v>1178271.2547501193</v>
      </c>
      <c r="K275" s="613">
        <f t="shared" si="236"/>
        <v>1157141.1417497331</v>
      </c>
      <c r="L275" s="613">
        <f t="shared" si="236"/>
        <v>1136101.2861344831</v>
      </c>
      <c r="M275" s="613">
        <f t="shared" si="236"/>
        <v>1115154.8363379221</v>
      </c>
      <c r="N275" s="613">
        <f t="shared" si="236"/>
        <v>1085323.7401102332</v>
      </c>
      <c r="O275" s="613">
        <f t="shared" si="236"/>
        <v>1058725.1988865975</v>
      </c>
      <c r="P275" s="613">
        <f t="shared" si="236"/>
        <v>1028887.5241235268</v>
      </c>
      <c r="Q275" s="613">
        <f t="shared" si="236"/>
        <v>999263.99275099149</v>
      </c>
      <c r="R275" s="613">
        <f t="shared" si="236"/>
        <v>969859.24700907618</v>
      </c>
      <c r="S275" s="613">
        <f t="shared" si="236"/>
        <v>941111.92623865674</v>
      </c>
      <c r="T275" s="613">
        <f t="shared" si="236"/>
        <v>912587.26311612956</v>
      </c>
      <c r="U275" s="613">
        <f t="shared" si="236"/>
        <v>884289.69682246202</v>
      </c>
      <c r="V275" s="613">
        <f t="shared" si="236"/>
        <v>856223.62484366656</v>
      </c>
      <c r="W275" s="613">
        <f t="shared" si="236"/>
        <v>828393.40296884801</v>
      </c>
      <c r="X275" s="613">
        <f t="shared" si="236"/>
        <v>791293.13689964928</v>
      </c>
      <c r="Y275" s="613">
        <f t="shared" si="236"/>
        <v>763592.48963127111</v>
      </c>
      <c r="Z275" s="613">
        <f t="shared" si="236"/>
        <v>735964.77808563178</v>
      </c>
      <c r="AA275" s="613">
        <f t="shared" si="236"/>
        <v>708598.08276166406</v>
      </c>
      <c r="AB275" s="613">
        <f t="shared" si="236"/>
        <v>681496.69994797814</v>
      </c>
      <c r="AC275" s="613">
        <f t="shared" si="236"/>
        <v>654419.6589346939</v>
      </c>
      <c r="AD275" s="613">
        <f t="shared" si="236"/>
        <v>627619.87315090385</v>
      </c>
      <c r="AE275" s="613">
        <f t="shared" si="236"/>
        <v>601101.54943210096</v>
      </c>
      <c r="AF275" s="613">
        <f t="shared" si="236"/>
        <v>574868.85025095253</v>
      </c>
      <c r="AG275" s="613">
        <f t="shared" si="236"/>
        <v>548925.8936910826</v>
      </c>
      <c r="AI275" s="295"/>
      <c r="AJ275" s="198" t="s">
        <v>1632</v>
      </c>
    </row>
    <row r="276" spans="1:36" s="1" customFormat="1" outlineLevel="1">
      <c r="A276" t="s">
        <v>728</v>
      </c>
      <c r="B276" s="281" t="s">
        <v>127</v>
      </c>
      <c r="C276" s="613">
        <f>C242*(C274+C272)</f>
        <v>185213.81966519615</v>
      </c>
      <c r="D276" s="613">
        <f t="shared" ref="D276:AG276" si="237">D242*(D274+D272)</f>
        <v>192568.05236557295</v>
      </c>
      <c r="E276" s="613">
        <f t="shared" si="237"/>
        <v>199859.31805858796</v>
      </c>
      <c r="F276" s="613">
        <f t="shared" si="237"/>
        <v>207084.59801660947</v>
      </c>
      <c r="G276" s="613">
        <f t="shared" si="237"/>
        <v>214240.8644196908</v>
      </c>
      <c r="H276" s="613">
        <f t="shared" si="237"/>
        <v>221325.08069578404</v>
      </c>
      <c r="I276" s="613">
        <f t="shared" si="237"/>
        <v>227725.54134448239</v>
      </c>
      <c r="J276" s="613">
        <f t="shared" si="237"/>
        <v>233998.3987798536</v>
      </c>
      <c r="K276" s="613">
        <f t="shared" si="237"/>
        <v>240139.76077101479</v>
      </c>
      <c r="L276" s="613">
        <f t="shared" si="237"/>
        <v>246145.72757977981</v>
      </c>
      <c r="M276" s="613">
        <f t="shared" si="237"/>
        <v>252012.39239275054</v>
      </c>
      <c r="N276" s="613">
        <f t="shared" si="237"/>
        <v>255620.55322211786</v>
      </c>
      <c r="O276" s="613">
        <f t="shared" si="237"/>
        <v>259674.92475016986</v>
      </c>
      <c r="P276" s="613">
        <f t="shared" si="237"/>
        <v>262606.82427481055</v>
      </c>
      <c r="Q276" s="613">
        <f t="shared" si="237"/>
        <v>265222.04725286935</v>
      </c>
      <c r="R276" s="613">
        <f t="shared" si="237"/>
        <v>267514.15654256928</v>
      </c>
      <c r="S276" s="613">
        <f t="shared" si="237"/>
        <v>269601.05142518587</v>
      </c>
      <c r="T276" s="613">
        <f t="shared" si="237"/>
        <v>271359.823795709</v>
      </c>
      <c r="U276" s="613">
        <f t="shared" si="237"/>
        <v>272784.14778066782</v>
      </c>
      <c r="V276" s="613">
        <f t="shared" si="237"/>
        <v>273867.6963221975</v>
      </c>
      <c r="W276" s="613">
        <f t="shared" si="237"/>
        <v>274604.14187508007</v>
      </c>
      <c r="X276" s="613">
        <f t="shared" si="237"/>
        <v>271721.45500148169</v>
      </c>
      <c r="Y276" s="613">
        <f t="shared" si="237"/>
        <v>271502.73549403518</v>
      </c>
      <c r="Z276" s="613">
        <f t="shared" si="237"/>
        <v>270841.77219844458</v>
      </c>
      <c r="AA276" s="613">
        <f t="shared" si="237"/>
        <v>269795.16686925443</v>
      </c>
      <c r="AB276" s="613">
        <f t="shared" si="237"/>
        <v>268356.43144537817</v>
      </c>
      <c r="AC276" s="613">
        <f t="shared" si="237"/>
        <v>266419.25103297201</v>
      </c>
      <c r="AD276" s="613">
        <f t="shared" si="237"/>
        <v>264071.75487552496</v>
      </c>
      <c r="AE276" s="613">
        <f t="shared" si="237"/>
        <v>261307.40233455956</v>
      </c>
      <c r="AF276" s="613">
        <f t="shared" si="237"/>
        <v>258119.66056065282</v>
      </c>
      <c r="AG276" s="613">
        <f t="shared" si="237"/>
        <v>254502.00525677466</v>
      </c>
      <c r="AH276" s="234"/>
      <c r="AI276" s="295"/>
      <c r="AJ276" s="198" t="s">
        <v>1633</v>
      </c>
    </row>
    <row r="277" spans="1:36" s="1" customFormat="1" outlineLevel="1">
      <c r="A277" t="s">
        <v>729</v>
      </c>
      <c r="B277" s="281" t="s">
        <v>127</v>
      </c>
      <c r="C277" s="613">
        <f>C243*(C274+C272)</f>
        <v>46303.454916299037</v>
      </c>
      <c r="D277" s="613">
        <f t="shared" ref="D277:AG277" si="238">D243*(D274+D272)</f>
        <v>47143.216139289645</v>
      </c>
      <c r="E277" s="613">
        <f t="shared" si="238"/>
        <v>47900.167138008692</v>
      </c>
      <c r="F277" s="613">
        <f t="shared" si="238"/>
        <v>48575.399534760254</v>
      </c>
      <c r="G277" s="613">
        <f t="shared" si="238"/>
        <v>49170.034456978232</v>
      </c>
      <c r="H277" s="613">
        <f t="shared" si="238"/>
        <v>49685.222197012758</v>
      </c>
      <c r="I277" s="613">
        <f t="shared" si="238"/>
        <v>49988.533465862012</v>
      </c>
      <c r="J277" s="613">
        <f t="shared" si="238"/>
        <v>50210.182734138652</v>
      </c>
      <c r="K277" s="613">
        <f t="shared" si="238"/>
        <v>50351.885322954746</v>
      </c>
      <c r="L277" s="613">
        <f t="shared" si="238"/>
        <v>50415.389986219998</v>
      </c>
      <c r="M277" s="613">
        <f t="shared" si="238"/>
        <v>50402.478478550147</v>
      </c>
      <c r="N277" s="613">
        <f t="shared" si="238"/>
        <v>49902.020350134604</v>
      </c>
      <c r="O277" s="613">
        <f t="shared" si="238"/>
        <v>49461.890428603831</v>
      </c>
      <c r="P277" s="613">
        <f t="shared" si="238"/>
        <v>48784.666960142727</v>
      </c>
      <c r="Q277" s="613">
        <f t="shared" si="238"/>
        <v>48032.339266267736</v>
      </c>
      <c r="R277" s="613">
        <f t="shared" si="238"/>
        <v>47208.380566335814</v>
      </c>
      <c r="S277" s="613">
        <f t="shared" si="238"/>
        <v>46337.680713703885</v>
      </c>
      <c r="T277" s="613">
        <f t="shared" si="238"/>
        <v>45402.616432745155</v>
      </c>
      <c r="U277" s="613">
        <f t="shared" si="238"/>
        <v>44406.721731736696</v>
      </c>
      <c r="V277" s="613">
        <f t="shared" si="238"/>
        <v>43353.573549073808</v>
      </c>
      <c r="W277" s="613">
        <f t="shared" si="238"/>
        <v>42246.791057704701</v>
      </c>
      <c r="X277" s="613">
        <f t="shared" si="238"/>
        <v>40602.056494474353</v>
      </c>
      <c r="Y277" s="613">
        <f t="shared" si="238"/>
        <v>39378.259346463194</v>
      </c>
      <c r="Z277" s="613">
        <f t="shared" si="238"/>
        <v>38103.215100161484</v>
      </c>
      <c r="AA277" s="613">
        <f t="shared" si="238"/>
        <v>36790.250027625691</v>
      </c>
      <c r="AB277" s="613">
        <f t="shared" si="238"/>
        <v>35443.302266370782</v>
      </c>
      <c r="AC277" s="613">
        <f t="shared" si="238"/>
        <v>34053.58847789876</v>
      </c>
      <c r="AD277" s="613">
        <f t="shared" si="238"/>
        <v>32638.082063267215</v>
      </c>
      <c r="AE277" s="613">
        <f t="shared" si="238"/>
        <v>31200.88386084302</v>
      </c>
      <c r="AF277" s="613">
        <f t="shared" si="238"/>
        <v>29746.131886171974</v>
      </c>
      <c r="AG277" s="613">
        <f t="shared" si="238"/>
        <v>28278.000584086072</v>
      </c>
      <c r="AI277" s="295"/>
      <c r="AJ277" s="198" t="s">
        <v>1634</v>
      </c>
    </row>
    <row r="278" spans="1:36" s="1" customFormat="1" outlineLevel="1">
      <c r="A278" t="s">
        <v>739</v>
      </c>
      <c r="B278" s="281" t="s">
        <v>127</v>
      </c>
      <c r="C278" s="613">
        <f>C271*C244</f>
        <v>258754.60100284751</v>
      </c>
      <c r="D278" s="613">
        <f t="shared" ref="D278:AG278" si="239">D271*D244</f>
        <v>260060.33229167253</v>
      </c>
      <c r="E278" s="613">
        <f t="shared" si="239"/>
        <v>261311.58044018236</v>
      </c>
      <c r="F278" s="613">
        <f t="shared" si="239"/>
        <v>262507.79343130399</v>
      </c>
      <c r="G278" s="613">
        <f t="shared" si="239"/>
        <v>263648.42354539887</v>
      </c>
      <c r="H278" s="613">
        <f t="shared" si="239"/>
        <v>264732.92736026342</v>
      </c>
      <c r="I278" s="613">
        <f t="shared" si="239"/>
        <v>265052.33887674235</v>
      </c>
      <c r="J278" s="613">
        <f t="shared" si="239"/>
        <v>265295.19913844974</v>
      </c>
      <c r="K278" s="613">
        <f t="shared" si="239"/>
        <v>265460.86402527802</v>
      </c>
      <c r="L278" s="613">
        <f t="shared" si="239"/>
        <v>265548.6948751185</v>
      </c>
      <c r="M278" s="613">
        <f t="shared" si="239"/>
        <v>265558.05848386139</v>
      </c>
      <c r="N278" s="613">
        <f t="shared" si="239"/>
        <v>263309.41240848298</v>
      </c>
      <c r="O278" s="613">
        <f t="shared" si="239"/>
        <v>261673.65131722888</v>
      </c>
      <c r="P278" s="613">
        <f t="shared" si="239"/>
        <v>259061.28138982053</v>
      </c>
      <c r="Q278" s="613">
        <f t="shared" si="239"/>
        <v>256308.02457983705</v>
      </c>
      <c r="R278" s="613">
        <f t="shared" si="239"/>
        <v>253412.95195782042</v>
      </c>
      <c r="S278" s="613">
        <f t="shared" si="239"/>
        <v>250490.66952052922</v>
      </c>
      <c r="T278" s="613">
        <f t="shared" si="239"/>
        <v>247427.61568180958</v>
      </c>
      <c r="U278" s="613">
        <f t="shared" si="239"/>
        <v>244222.90341060486</v>
      </c>
      <c r="V278" s="613">
        <f t="shared" si="239"/>
        <v>240875.65447072487</v>
      </c>
      <c r="W278" s="613">
        <f t="shared" si="239"/>
        <v>237384.99942124373</v>
      </c>
      <c r="X278" s="613">
        <f t="shared" si="239"/>
        <v>230974.10026605995</v>
      </c>
      <c r="Y278" s="613">
        <f t="shared" si="239"/>
        <v>227036.83441286607</v>
      </c>
      <c r="Z278" s="613">
        <f t="shared" si="239"/>
        <v>222895.48803631766</v>
      </c>
      <c r="AA278" s="613">
        <f t="shared" si="239"/>
        <v>218602.84692647378</v>
      </c>
      <c r="AB278" s="613">
        <f t="shared" si="239"/>
        <v>214158.07363909934</v>
      </c>
      <c r="AC278" s="613">
        <f t="shared" si="239"/>
        <v>209481.84358461245</v>
      </c>
      <c r="AD278" s="613">
        <f t="shared" si="239"/>
        <v>204650.04252085343</v>
      </c>
      <c r="AE278" s="613">
        <f t="shared" si="239"/>
        <v>199661.85348124293</v>
      </c>
      <c r="AF278" s="613">
        <f t="shared" si="239"/>
        <v>194516.46920523353</v>
      </c>
      <c r="AG278" s="613">
        <f t="shared" si="239"/>
        <v>189213.0921435171</v>
      </c>
      <c r="AI278" s="295"/>
      <c r="AJ278" s="198" t="s">
        <v>1635</v>
      </c>
    </row>
    <row r="279" spans="1:36" s="1" customFormat="1" outlineLevel="1">
      <c r="A279" t="s">
        <v>759</v>
      </c>
      <c r="B279" s="281" t="s">
        <v>127</v>
      </c>
      <c r="C279" s="613">
        <f>C271*C245</f>
        <v>13618.663210676186</v>
      </c>
      <c r="D279" s="613">
        <f t="shared" ref="D279:AG279" si="240">D271*D245</f>
        <v>14072.133230118612</v>
      </c>
      <c r="E279" s="613">
        <f t="shared" si="240"/>
        <v>14527.526287666717</v>
      </c>
      <c r="F279" s="613">
        <f t="shared" si="240"/>
        <v>14984.588631385215</v>
      </c>
      <c r="G279" s="613">
        <f t="shared" si="240"/>
        <v>15443.062211904096</v>
      </c>
      <c r="H279" s="613">
        <f t="shared" si="240"/>
        <v>15902.684682418647</v>
      </c>
      <c r="I279" s="613">
        <f t="shared" si="240"/>
        <v>16319.570758865237</v>
      </c>
      <c r="J279" s="613">
        <f t="shared" si="240"/>
        <v>16733.715608307597</v>
      </c>
      <c r="K279" s="613">
        <f t="shared" si="240"/>
        <v>17144.739976082536</v>
      </c>
      <c r="L279" s="613">
        <f t="shared" si="240"/>
        <v>17552.259149528079</v>
      </c>
      <c r="M279" s="613">
        <f t="shared" si="240"/>
        <v>17955.8829579835</v>
      </c>
      <c r="N279" s="613">
        <f t="shared" si="240"/>
        <v>18204.570922040515</v>
      </c>
      <c r="O279" s="613">
        <f t="shared" si="240"/>
        <v>18490.857587727089</v>
      </c>
      <c r="P279" s="613">
        <f t="shared" si="240"/>
        <v>18702.780143225067</v>
      </c>
      <c r="Q279" s="613">
        <f t="shared" si="240"/>
        <v>18897.442041319406</v>
      </c>
      <c r="R279" s="613">
        <f t="shared" si="240"/>
        <v>19074.093158115509</v>
      </c>
      <c r="S279" s="613">
        <f t="shared" si="240"/>
        <v>19240.84826898537</v>
      </c>
      <c r="T279" s="613">
        <f t="shared" si="240"/>
        <v>19388.648532938347</v>
      </c>
      <c r="U279" s="613">
        <f t="shared" si="240"/>
        <v>19516.733101927384</v>
      </c>
      <c r="V279" s="613">
        <f t="shared" si="240"/>
        <v>19624.332339720193</v>
      </c>
      <c r="W279" s="613">
        <f t="shared" si="240"/>
        <v>19710.667821980525</v>
      </c>
      <c r="X279" s="613">
        <f t="shared" si="240"/>
        <v>19540.108265458432</v>
      </c>
      <c r="Y279" s="613">
        <f t="shared" si="240"/>
        <v>19563.637433114454</v>
      </c>
      <c r="Z279" s="613">
        <f t="shared" si="240"/>
        <v>19557.907217109816</v>
      </c>
      <c r="AA279" s="613">
        <f t="shared" si="240"/>
        <v>19526.615956395261</v>
      </c>
      <c r="AB279" s="613">
        <f t="shared" si="240"/>
        <v>19468.915785372668</v>
      </c>
      <c r="AC279" s="613">
        <f t="shared" si="240"/>
        <v>19376.689100688844</v>
      </c>
      <c r="AD279" s="613">
        <f t="shared" si="240"/>
        <v>19255.912097148135</v>
      </c>
      <c r="AE279" s="613">
        <f t="shared" si="240"/>
        <v>19105.699639183946</v>
      </c>
      <c r="AF279" s="613">
        <f t="shared" si="240"/>
        <v>18925.157574466761</v>
      </c>
      <c r="AG279" s="613">
        <f t="shared" si="240"/>
        <v>18713.382739468721</v>
      </c>
      <c r="AI279" s="295"/>
      <c r="AJ279" s="198" t="s">
        <v>1636</v>
      </c>
    </row>
    <row r="280" spans="1:36" s="1" customFormat="1" outlineLevel="1">
      <c r="A280" t="s">
        <v>742</v>
      </c>
      <c r="B280" s="281" t="s">
        <v>127</v>
      </c>
      <c r="C280" s="613">
        <f t="shared" ref="C280:AG280" si="241">C276*C246</f>
        <v>50007.731309602961</v>
      </c>
      <c r="D280" s="613">
        <f t="shared" si="241"/>
        <v>51223.10192924241</v>
      </c>
      <c r="E280" s="613">
        <f t="shared" si="241"/>
        <v>52363.141331350045</v>
      </c>
      <c r="F280" s="613">
        <f t="shared" si="241"/>
        <v>53427.826288285243</v>
      </c>
      <c r="G280" s="613">
        <f t="shared" si="241"/>
        <v>54417.179562601465</v>
      </c>
      <c r="H280" s="613">
        <f t="shared" si="241"/>
        <v>55331.27017394601</v>
      </c>
      <c r="I280" s="613">
        <f t="shared" si="241"/>
        <v>56020.483170742671</v>
      </c>
      <c r="J280" s="613">
        <f t="shared" si="241"/>
        <v>56627.612504724566</v>
      </c>
      <c r="K280" s="613">
        <f t="shared" si="241"/>
        <v>57153.263063501516</v>
      </c>
      <c r="L280" s="613">
        <f t="shared" si="241"/>
        <v>57598.100253668468</v>
      </c>
      <c r="M280" s="613">
        <f t="shared" si="241"/>
        <v>57962.850250332616</v>
      </c>
      <c r="N280" s="613">
        <f t="shared" si="241"/>
        <v>57770.245028198631</v>
      </c>
      <c r="O280" s="613">
        <f t="shared" si="241"/>
        <v>57647.833294537704</v>
      </c>
      <c r="P280" s="613">
        <f t="shared" si="241"/>
        <v>57248.287691908692</v>
      </c>
      <c r="Q280" s="613">
        <f t="shared" si="241"/>
        <v>56757.518112114034</v>
      </c>
      <c r="R280" s="613">
        <f t="shared" si="241"/>
        <v>56177.972873939543</v>
      </c>
      <c r="S280" s="613">
        <f t="shared" si="241"/>
        <v>55537.816593588279</v>
      </c>
      <c r="T280" s="613">
        <f t="shared" si="241"/>
        <v>54814.684406733206</v>
      </c>
      <c r="U280" s="613">
        <f t="shared" si="241"/>
        <v>54011.261260572217</v>
      </c>
      <c r="V280" s="613">
        <f t="shared" si="241"/>
        <v>53130.333086506304</v>
      </c>
      <c r="W280" s="613">
        <f t="shared" si="241"/>
        <v>52174.786956265198</v>
      </c>
      <c r="X280" s="613">
        <f t="shared" si="241"/>
        <v>50540.190630275581</v>
      </c>
      <c r="Y280" s="613">
        <f t="shared" si="241"/>
        <v>49413.497859914387</v>
      </c>
      <c r="Z280" s="613">
        <f t="shared" si="241"/>
        <v>48209.835451323117</v>
      </c>
      <c r="AA280" s="613">
        <f t="shared" si="241"/>
        <v>46944.359035250251</v>
      </c>
      <c r="AB280" s="613">
        <f t="shared" si="241"/>
        <v>45620.593345714267</v>
      </c>
      <c r="AC280" s="613">
        <f t="shared" si="241"/>
        <v>44225.595671473333</v>
      </c>
      <c r="AD280" s="613">
        <f t="shared" si="241"/>
        <v>42779.624289835025</v>
      </c>
      <c r="AE280" s="613">
        <f t="shared" si="241"/>
        <v>41286.569568860388</v>
      </c>
      <c r="AF280" s="613">
        <f t="shared" si="241"/>
        <v>39750.427726340509</v>
      </c>
      <c r="AG280" s="613">
        <f t="shared" si="241"/>
        <v>38175.300788516201</v>
      </c>
      <c r="AI280" s="295"/>
      <c r="AJ280" s="198"/>
    </row>
    <row r="281" spans="1:36" s="62" customFormat="1">
      <c r="A281" s="322" t="s">
        <v>733</v>
      </c>
      <c r="B281" s="287" t="s">
        <v>127</v>
      </c>
      <c r="C281" s="614">
        <f>C247*C$266</f>
        <v>303768.45836448355</v>
      </c>
      <c r="D281" s="614">
        <f t="shared" ref="D281:AG281" si="242">D247*D$266</f>
        <v>309014.28599036339</v>
      </c>
      <c r="E281" s="614">
        <f t="shared" si="242"/>
        <v>313997.92604275682</v>
      </c>
      <c r="F281" s="614">
        <f t="shared" si="242"/>
        <v>318724.03122523747</v>
      </c>
      <c r="G281" s="614">
        <f t="shared" si="242"/>
        <v>323197.22005276248</v>
      </c>
      <c r="H281" s="614">
        <f t="shared" si="242"/>
        <v>327422.0768516722</v>
      </c>
      <c r="I281" s="614">
        <f t="shared" si="242"/>
        <v>330477.1206699218</v>
      </c>
      <c r="J281" s="614">
        <f t="shared" si="242"/>
        <v>333250.23134329659</v>
      </c>
      <c r="K281" s="614">
        <f t="shared" si="242"/>
        <v>335746.60244054912</v>
      </c>
      <c r="L281" s="614">
        <f t="shared" si="242"/>
        <v>337971.39334181527</v>
      </c>
      <c r="M281" s="614">
        <f t="shared" si="242"/>
        <v>339929.72923861444</v>
      </c>
      <c r="N281" s="614">
        <f t="shared" si="242"/>
        <v>336397.54049804498</v>
      </c>
      <c r="O281" s="614">
        <f t="shared" si="242"/>
        <v>333437.25900744071</v>
      </c>
      <c r="P281" s="614">
        <f t="shared" si="242"/>
        <v>329144.74038326245</v>
      </c>
      <c r="Q281" s="614">
        <f t="shared" si="242"/>
        <v>324554.62039533781</v>
      </c>
      <c r="R281" s="614">
        <f t="shared" si="242"/>
        <v>319683.9379070155</v>
      </c>
      <c r="S281" s="614">
        <f t="shared" si="242"/>
        <v>314691.73691264313</v>
      </c>
      <c r="T281" s="614">
        <f t="shared" si="242"/>
        <v>309454.45898330229</v>
      </c>
      <c r="U281" s="614">
        <f t="shared" si="242"/>
        <v>303988.47397215455</v>
      </c>
      <c r="V281" s="614">
        <f t="shared" si="242"/>
        <v>298310.02196894173</v>
      </c>
      <c r="W281" s="614">
        <f t="shared" si="242"/>
        <v>292435.21329568699</v>
      </c>
      <c r="X281" s="614">
        <f t="shared" si="242"/>
        <v>280156.36248871492</v>
      </c>
      <c r="Y281" s="614">
        <f t="shared" si="242"/>
        <v>270723.42724926333</v>
      </c>
      <c r="Z281" s="614">
        <f t="shared" si="242"/>
        <v>261178.55257838531</v>
      </c>
      <c r="AA281" s="614">
        <f t="shared" si="242"/>
        <v>251621.85066757313</v>
      </c>
      <c r="AB281" s="614">
        <f t="shared" si="242"/>
        <v>242080.57306880408</v>
      </c>
      <c r="AC281" s="614">
        <f t="shared" si="242"/>
        <v>232494.02251586097</v>
      </c>
      <c r="AD281" s="614">
        <f t="shared" si="242"/>
        <v>222978.67535687462</v>
      </c>
      <c r="AE281" s="614">
        <f t="shared" si="242"/>
        <v>213561.38576761752</v>
      </c>
      <c r="AF281" s="614">
        <f t="shared" si="242"/>
        <v>204268.78611615644</v>
      </c>
      <c r="AG281" s="614">
        <f t="shared" si="242"/>
        <v>195127.28678953103</v>
      </c>
      <c r="AI281" s="314"/>
      <c r="AJ281" s="325"/>
    </row>
    <row r="282" spans="1:36">
      <c r="A282" s="323" t="s">
        <v>734</v>
      </c>
      <c r="B282" s="281" t="s">
        <v>127</v>
      </c>
      <c r="C282" s="613">
        <f t="shared" ref="C282:AG282" si="243">C248*C$266</f>
        <v>702464.55996786815</v>
      </c>
      <c r="D282" s="613">
        <f t="shared" si="243"/>
        <v>694659.13080494991</v>
      </c>
      <c r="E282" s="613">
        <f t="shared" si="243"/>
        <v>686870.46321853052</v>
      </c>
      <c r="F282" s="613">
        <f t="shared" si="243"/>
        <v>679099.49834922759</v>
      </c>
      <c r="G282" s="613">
        <f t="shared" si="243"/>
        <v>671347.16665371612</v>
      </c>
      <c r="H282" s="613">
        <f t="shared" si="243"/>
        <v>663614.38790472841</v>
      </c>
      <c r="I282" s="613">
        <f t="shared" si="243"/>
        <v>654069.30132588686</v>
      </c>
      <c r="J282" s="613">
        <f t="shared" si="243"/>
        <v>644546.47785147722</v>
      </c>
      <c r="K282" s="613">
        <f t="shared" si="243"/>
        <v>635047.02764248592</v>
      </c>
      <c r="L282" s="613">
        <f t="shared" si="243"/>
        <v>625572.0501759561</v>
      </c>
      <c r="M282" s="613">
        <f t="shared" si="243"/>
        <v>616122.63424498844</v>
      </c>
      <c r="N282" s="613">
        <f t="shared" si="243"/>
        <v>597413.31506131438</v>
      </c>
      <c r="O282" s="613">
        <f t="shared" si="243"/>
        <v>580538.08487902605</v>
      </c>
      <c r="P282" s="613">
        <f t="shared" si="243"/>
        <v>562129.46213711228</v>
      </c>
      <c r="Q282" s="613">
        <f t="shared" si="243"/>
        <v>543997.80123082164</v>
      </c>
      <c r="R282" s="613">
        <f t="shared" si="243"/>
        <v>526146.48113862949</v>
      </c>
      <c r="S282" s="613">
        <f t="shared" si="243"/>
        <v>508808.65071473527</v>
      </c>
      <c r="T282" s="613">
        <f t="shared" si="243"/>
        <v>491752.76394288044</v>
      </c>
      <c r="U282" s="613">
        <f t="shared" si="243"/>
        <v>474981.99058149121</v>
      </c>
      <c r="V282" s="613">
        <f t="shared" si="243"/>
        <v>458499.45978644706</v>
      </c>
      <c r="W282" s="613">
        <f t="shared" si="243"/>
        <v>442308.26010972622</v>
      </c>
      <c r="X282" s="613">
        <f t="shared" si="243"/>
        <v>417144.58385268174</v>
      </c>
      <c r="Y282" s="613">
        <f t="shared" si="243"/>
        <v>396974.25630300591</v>
      </c>
      <c r="Z282" s="613">
        <f t="shared" si="243"/>
        <v>377292.130788351</v>
      </c>
      <c r="AA282" s="613">
        <f t="shared" si="243"/>
        <v>358211.66240869736</v>
      </c>
      <c r="AB282" s="613">
        <f t="shared" si="243"/>
        <v>339738.07697724161</v>
      </c>
      <c r="AC282" s="613">
        <f t="shared" si="243"/>
        <v>321755.12044605712</v>
      </c>
      <c r="AD282" s="613">
        <f t="shared" si="243"/>
        <v>304395.23116152245</v>
      </c>
      <c r="AE282" s="613">
        <f t="shared" si="243"/>
        <v>287663.50453612226</v>
      </c>
      <c r="AF282" s="613">
        <f t="shared" si="243"/>
        <v>271564.9645929829</v>
      </c>
      <c r="AG282" s="613">
        <f t="shared" si="243"/>
        <v>256104.56391125947</v>
      </c>
      <c r="AI282" s="275"/>
    </row>
    <row r="283" spans="1:36">
      <c r="A283" s="323" t="s">
        <v>735</v>
      </c>
      <c r="B283" s="281" t="s">
        <v>127</v>
      </c>
      <c r="C283" s="613">
        <f t="shared" ref="C283:AG283" si="244">C249*C$266</f>
        <v>151884.22918224178</v>
      </c>
      <c r="D283" s="613">
        <f t="shared" si="244"/>
        <v>145161.95289466667</v>
      </c>
      <c r="E283" s="613">
        <f t="shared" si="244"/>
        <v>138600.64704231062</v>
      </c>
      <c r="F283" s="613">
        <f t="shared" si="244"/>
        <v>132198.03567864961</v>
      </c>
      <c r="G283" s="613">
        <f t="shared" si="244"/>
        <v>125951.85781467946</v>
      </c>
      <c r="H283" s="613">
        <f t="shared" si="244"/>
        <v>119859.86741891569</v>
      </c>
      <c r="I283" s="613">
        <f t="shared" si="244"/>
        <v>113601.51023028557</v>
      </c>
      <c r="J283" s="613">
        <f t="shared" si="244"/>
        <v>107518.23342325949</v>
      </c>
      <c r="K283" s="613">
        <f t="shared" si="244"/>
        <v>101607.52442279771</v>
      </c>
      <c r="L283" s="613">
        <f t="shared" si="244"/>
        <v>95866.885611380247</v>
      </c>
      <c r="M283" s="613">
        <f t="shared" si="244"/>
        <v>90293.834329006902</v>
      </c>
      <c r="N283" s="613">
        <f t="shared" si="244"/>
        <v>83586.5839957032</v>
      </c>
      <c r="O283" s="613">
        <f t="shared" si="244"/>
        <v>77405.077983870113</v>
      </c>
      <c r="P283" s="613">
        <f t="shared" si="244"/>
        <v>71282.799879514641</v>
      </c>
      <c r="Q283" s="613">
        <f t="shared" si="244"/>
        <v>65464.142182014111</v>
      </c>
      <c r="R283" s="613">
        <f t="shared" si="244"/>
        <v>59940.738357565366</v>
      </c>
      <c r="S283" s="613">
        <f t="shared" si="244"/>
        <v>54728.997723937893</v>
      </c>
      <c r="T283" s="613">
        <f t="shared" si="244"/>
        <v>49792.539277898337</v>
      </c>
      <c r="U283" s="613">
        <f t="shared" si="244"/>
        <v>45123.289105241653</v>
      </c>
      <c r="V283" s="613">
        <f t="shared" si="244"/>
        <v>40713.230039128481</v>
      </c>
      <c r="W283" s="613">
        <f t="shared" si="244"/>
        <v>36554.40166196083</v>
      </c>
      <c r="X283" s="613">
        <f t="shared" si="244"/>
        <v>31929.58543069908</v>
      </c>
      <c r="Y283" s="613">
        <f t="shared" si="244"/>
        <v>27983.431182015156</v>
      </c>
      <c r="Z283" s="613">
        <f t="shared" si="244"/>
        <v>24331.4925161467</v>
      </c>
      <c r="AA283" s="613">
        <f t="shared" si="244"/>
        <v>20968.487555631051</v>
      </c>
      <c r="AB283" s="613">
        <f t="shared" si="244"/>
        <v>17880.951419854806</v>
      </c>
      <c r="AC283" s="613">
        <f t="shared" si="244"/>
        <v>15049.836278928462</v>
      </c>
      <c r="AD283" s="613">
        <f t="shared" si="244"/>
        <v>12469.202240351506</v>
      </c>
      <c r="AE283" s="613">
        <f t="shared" si="244"/>
        <v>10125.755359671488</v>
      </c>
      <c r="AF283" s="613">
        <f t="shared" si="244"/>
        <v>8006.2977609086429</v>
      </c>
      <c r="AG283" s="613">
        <f t="shared" si="244"/>
        <v>6097.7277121728448</v>
      </c>
      <c r="AI283" s="275"/>
    </row>
    <row r="284" spans="1:36">
      <c r="A284" s="323" t="s">
        <v>736</v>
      </c>
      <c r="B284" s="281" t="s">
        <v>127</v>
      </c>
      <c r="C284" s="613">
        <f t="shared" ref="C284:AG284" si="245">C250*C$266</f>
        <v>512609.273490066</v>
      </c>
      <c r="D284" s="613">
        <f t="shared" si="245"/>
        <v>497787.12602076685</v>
      </c>
      <c r="E284" s="613">
        <f t="shared" si="245"/>
        <v>483262.43305018055</v>
      </c>
      <c r="F284" s="613">
        <f t="shared" si="245"/>
        <v>469031.38685986667</v>
      </c>
      <c r="G284" s="613">
        <f t="shared" si="245"/>
        <v>455090.20323605911</v>
      </c>
      <c r="H284" s="613">
        <f t="shared" si="245"/>
        <v>441435.12146966544</v>
      </c>
      <c r="I284" s="613">
        <f t="shared" si="245"/>
        <v>426866.28086531587</v>
      </c>
      <c r="J284" s="613">
        <f t="shared" si="245"/>
        <v>412622.33036256168</v>
      </c>
      <c r="K284" s="613">
        <f t="shared" si="245"/>
        <v>398699.09039815224</v>
      </c>
      <c r="L284" s="613">
        <f t="shared" si="245"/>
        <v>385092.40491351084</v>
      </c>
      <c r="M284" s="613">
        <f t="shared" si="245"/>
        <v>371798.14135473466</v>
      </c>
      <c r="N284" s="613">
        <f t="shared" si="245"/>
        <v>353319.97774870892</v>
      </c>
      <c r="O284" s="613">
        <f t="shared" si="245"/>
        <v>336414.37739143579</v>
      </c>
      <c r="P284" s="613">
        <f t="shared" si="245"/>
        <v>319098.1712727269</v>
      </c>
      <c r="Q284" s="613">
        <f t="shared" si="245"/>
        <v>302425.89627747389</v>
      </c>
      <c r="R284" s="613">
        <f t="shared" si="245"/>
        <v>286383.52770836808</v>
      </c>
      <c r="S284" s="613">
        <f t="shared" si="245"/>
        <v>271079.56685138011</v>
      </c>
      <c r="T284" s="613">
        <f t="shared" si="245"/>
        <v>256369.8509928156</v>
      </c>
      <c r="U284" s="613">
        <f t="shared" si="245"/>
        <v>242240.81519656064</v>
      </c>
      <c r="V284" s="613">
        <f t="shared" si="245"/>
        <v>228678.98367772184</v>
      </c>
      <c r="W284" s="613">
        <f t="shared" si="245"/>
        <v>215670.96980556904</v>
      </c>
      <c r="X284" s="613">
        <f t="shared" si="245"/>
        <v>198787.41897177187</v>
      </c>
      <c r="Y284" s="613">
        <f t="shared" si="245"/>
        <v>184820.80129517001</v>
      </c>
      <c r="Z284" s="613">
        <f t="shared" si="245"/>
        <v>171552.42191764209</v>
      </c>
      <c r="AA284" s="613">
        <f t="shared" si="245"/>
        <v>159011.03063020229</v>
      </c>
      <c r="AB284" s="613">
        <f t="shared" si="245"/>
        <v>147173.98476342048</v>
      </c>
      <c r="AC284" s="613">
        <f t="shared" si="245"/>
        <v>135967.48638204351</v>
      </c>
      <c r="AD284" s="613">
        <f t="shared" si="245"/>
        <v>125425.50488824178</v>
      </c>
      <c r="AE284" s="613">
        <f t="shared" si="245"/>
        <v>115525.6634217067</v>
      </c>
      <c r="AF284" s="613">
        <f t="shared" si="245"/>
        <v>106245.73515151761</v>
      </c>
      <c r="AG284" s="613">
        <f t="shared" si="245"/>
        <v>97563.643394765517</v>
      </c>
      <c r="AI284" s="275"/>
    </row>
    <row r="285" spans="1:36">
      <c r="A285" s="323" t="s">
        <v>737</v>
      </c>
      <c r="B285" s="281" t="s">
        <v>127</v>
      </c>
      <c r="C285" s="613">
        <f t="shared" ref="C285:AG285" si="246">C251*C$266</f>
        <v>132898.70053446156</v>
      </c>
      <c r="D285" s="613">
        <f t="shared" si="246"/>
        <v>130209.64873384264</v>
      </c>
      <c r="E285" s="613">
        <f t="shared" si="246"/>
        <v>127561.65745486996</v>
      </c>
      <c r="F285" s="613">
        <f t="shared" si="246"/>
        <v>124954.30769625788</v>
      </c>
      <c r="G285" s="613">
        <f t="shared" si="246"/>
        <v>122387.18259350931</v>
      </c>
      <c r="H285" s="613">
        <f t="shared" si="246"/>
        <v>119859.8674189157</v>
      </c>
      <c r="I285" s="613">
        <f t="shared" si="246"/>
        <v>117043.98023726395</v>
      </c>
      <c r="J285" s="613">
        <f t="shared" si="246"/>
        <v>114273.30568021823</v>
      </c>
      <c r="K285" s="613">
        <f t="shared" si="246"/>
        <v>111547.39094241924</v>
      </c>
      <c r="L285" s="613">
        <f t="shared" si="246"/>
        <v>108865.78535529623</v>
      </c>
      <c r="M285" s="613">
        <f t="shared" si="246"/>
        <v>106228.04038706695</v>
      </c>
      <c r="N285" s="613">
        <f t="shared" si="246"/>
        <v>102047.42463279102</v>
      </c>
      <c r="O285" s="613">
        <f t="shared" si="246"/>
        <v>98244.906671835153</v>
      </c>
      <c r="P285" s="613">
        <f t="shared" si="246"/>
        <v>94246.386417881775</v>
      </c>
      <c r="Q285" s="613">
        <f t="shared" si="246"/>
        <v>90358.956814611025</v>
      </c>
      <c r="R285" s="613">
        <f t="shared" si="246"/>
        <v>86581.066516483304</v>
      </c>
      <c r="S285" s="613">
        <f t="shared" si="246"/>
        <v>82948.637175343363</v>
      </c>
      <c r="T285" s="613">
        <f t="shared" si="246"/>
        <v>79421.157691193206</v>
      </c>
      <c r="U285" s="613">
        <f t="shared" si="246"/>
        <v>75997.11849303855</v>
      </c>
      <c r="V285" s="613">
        <f t="shared" si="246"/>
        <v>72675.018107229334</v>
      </c>
      <c r="W285" s="613">
        <f t="shared" si="246"/>
        <v>69453.363157725558</v>
      </c>
      <c r="X285" s="613">
        <f t="shared" si="246"/>
        <v>64889.157488194891</v>
      </c>
      <c r="Y285" s="613">
        <f t="shared" si="246"/>
        <v>61173.082118823819</v>
      </c>
      <c r="Z285" s="613">
        <f t="shared" si="246"/>
        <v>57594.798740752318</v>
      </c>
      <c r="AA285" s="613">
        <f t="shared" si="246"/>
        <v>54168.592852046888</v>
      </c>
      <c r="AB285" s="613">
        <f t="shared" si="246"/>
        <v>50891.938656509847</v>
      </c>
      <c r="AC285" s="613">
        <f t="shared" si="246"/>
        <v>47744.308195221354</v>
      </c>
      <c r="AD285" s="613">
        <f t="shared" si="246"/>
        <v>44742.431568320149</v>
      </c>
      <c r="AE285" s="613">
        <f t="shared" si="246"/>
        <v>41883.806260459387</v>
      </c>
      <c r="AF285" s="613">
        <f t="shared" si="246"/>
        <v>39165.943100661272</v>
      </c>
      <c r="AG285" s="613">
        <f t="shared" si="246"/>
        <v>36586.366273037071</v>
      </c>
      <c r="AI285" s="275"/>
    </row>
    <row r="286" spans="1:36" s="63" customFormat="1">
      <c r="A286" s="324" t="s">
        <v>738</v>
      </c>
      <c r="B286" s="291" t="s">
        <v>127</v>
      </c>
      <c r="C286" s="615">
        <f t="shared" ref="C286:AG286" si="247">C252*C$266</f>
        <v>94927.643238901102</v>
      </c>
      <c r="D286" s="615">
        <f t="shared" si="247"/>
        <v>92205.87565841488</v>
      </c>
      <c r="E286" s="615">
        <f t="shared" si="247"/>
        <v>89538.47109812987</v>
      </c>
      <c r="F286" s="615">
        <f t="shared" si="247"/>
        <v>86924.735788701131</v>
      </c>
      <c r="G286" s="615">
        <f t="shared" si="247"/>
        <v>84363.980234360788</v>
      </c>
      <c r="H286" s="615">
        <f t="shared" si="247"/>
        <v>81855.51921291805</v>
      </c>
      <c r="I286" s="615">
        <f t="shared" si="247"/>
        <v>79176.810160502078</v>
      </c>
      <c r="J286" s="615">
        <f t="shared" si="247"/>
        <v>76557.485578865409</v>
      </c>
      <c r="K286" s="615">
        <f t="shared" si="247"/>
        <v>73996.784090515735</v>
      </c>
      <c r="L286" s="615">
        <f t="shared" si="247"/>
        <v>71493.948591537832</v>
      </c>
      <c r="M286" s="615">
        <f t="shared" si="247"/>
        <v>69048.226251593529</v>
      </c>
      <c r="N286" s="615">
        <f t="shared" si="247"/>
        <v>65638.54448742338</v>
      </c>
      <c r="O286" s="615">
        <f t="shared" si="247"/>
        <v>62519.486063895092</v>
      </c>
      <c r="P286" s="615">
        <f t="shared" si="247"/>
        <v>59322.598557448429</v>
      </c>
      <c r="Q286" s="615">
        <f t="shared" si="247"/>
        <v>56243.840466237474</v>
      </c>
      <c r="R286" s="615">
        <f t="shared" si="247"/>
        <v>53280.656317835877</v>
      </c>
      <c r="S286" s="615">
        <f t="shared" si="247"/>
        <v>50453.29477675524</v>
      </c>
      <c r="T286" s="615">
        <f t="shared" si="247"/>
        <v>47734.996332530631</v>
      </c>
      <c r="U286" s="615">
        <f t="shared" si="247"/>
        <v>45123.289105241645</v>
      </c>
      <c r="V286" s="615">
        <f t="shared" si="247"/>
        <v>42615.717424134476</v>
      </c>
      <c r="W286" s="615">
        <f t="shared" si="247"/>
        <v>40209.841828156903</v>
      </c>
      <c r="X286" s="615">
        <f t="shared" si="247"/>
        <v>37079.518564682796</v>
      </c>
      <c r="Y286" s="615">
        <f t="shared" si="247"/>
        <v>34491.205875507039</v>
      </c>
      <c r="Z286" s="615">
        <f t="shared" si="247"/>
        <v>32031.331919990585</v>
      </c>
      <c r="AA286" s="615">
        <f t="shared" si="247"/>
        <v>29705.357370477315</v>
      </c>
      <c r="AB286" s="615">
        <f t="shared" si="247"/>
        <v>27509.156030545852</v>
      </c>
      <c r="AC286" s="615">
        <f t="shared" si="247"/>
        <v>25429.033712672226</v>
      </c>
      <c r="AD286" s="615">
        <f t="shared" si="247"/>
        <v>23471.439511249893</v>
      </c>
      <c r="AE286" s="615">
        <f t="shared" si="247"/>
        <v>21632.295541116364</v>
      </c>
      <c r="AF286" s="615">
        <f t="shared" si="247"/>
        <v>19907.551189286369</v>
      </c>
      <c r="AG286" s="615">
        <f t="shared" si="247"/>
        <v>18293.183136518535</v>
      </c>
      <c r="AI286" s="293"/>
      <c r="AJ286" s="294"/>
    </row>
    <row r="287" spans="1:36" s="169" customFormat="1">
      <c r="B287" s="165"/>
      <c r="C287" s="624"/>
      <c r="D287" s="624"/>
      <c r="E287" s="624"/>
      <c r="F287" s="624"/>
      <c r="G287" s="624"/>
      <c r="H287" s="624"/>
      <c r="I287" s="624"/>
      <c r="J287" s="624"/>
      <c r="K287" s="624"/>
      <c r="L287" s="624"/>
      <c r="M287" s="624"/>
      <c r="N287" s="624"/>
      <c r="O287" s="624"/>
      <c r="P287" s="624"/>
      <c r="Q287" s="624"/>
      <c r="R287" s="624"/>
      <c r="S287" s="624"/>
      <c r="T287" s="624"/>
      <c r="U287" s="624"/>
      <c r="V287" s="624"/>
      <c r="W287" s="624"/>
      <c r="X287" s="624"/>
      <c r="Y287" s="624"/>
      <c r="Z287" s="624"/>
      <c r="AA287" s="624"/>
      <c r="AB287" s="624"/>
      <c r="AC287" s="624"/>
      <c r="AD287" s="624"/>
      <c r="AE287" s="624"/>
      <c r="AF287" s="624"/>
      <c r="AG287" s="624"/>
      <c r="AJ287" s="300"/>
    </row>
    <row r="288" spans="1:36" s="169" customFormat="1">
      <c r="A288" s="169" t="s">
        <v>752</v>
      </c>
      <c r="B288" s="327" t="s">
        <v>127</v>
      </c>
      <c r="C288" s="122">
        <f>C221</f>
        <v>263139.70834518247</v>
      </c>
      <c r="D288" s="122">
        <f t="shared" ref="D288:AG288" si="248">D221</f>
        <v>272510.32780953503</v>
      </c>
      <c r="E288" s="122">
        <f t="shared" si="248"/>
        <v>281572.52479509613</v>
      </c>
      <c r="F288" s="122">
        <f t="shared" si="248"/>
        <v>290327.90189326892</v>
      </c>
      <c r="G288" s="122">
        <f t="shared" si="248"/>
        <v>298778.06169545703</v>
      </c>
      <c r="H288" s="122">
        <f t="shared" si="248"/>
        <v>306924.60679306363</v>
      </c>
      <c r="I288" s="122">
        <f t="shared" si="248"/>
        <v>314152.07431469712</v>
      </c>
      <c r="J288" s="122">
        <f t="shared" si="248"/>
        <v>321034.64429818862</v>
      </c>
      <c r="K288" s="122">
        <f t="shared" si="248"/>
        <v>327573.91933494137</v>
      </c>
      <c r="L288" s="122">
        <f t="shared" si="248"/>
        <v>333771.50201635883</v>
      </c>
      <c r="M288" s="122">
        <f t="shared" si="248"/>
        <v>339628.99493384454</v>
      </c>
      <c r="N288" s="122">
        <f t="shared" si="248"/>
        <v>353406.90431471204</v>
      </c>
      <c r="O288" s="122">
        <f t="shared" si="248"/>
        <v>367326.53206818068</v>
      </c>
      <c r="P288" s="122">
        <f t="shared" si="248"/>
        <v>378725.479122822</v>
      </c>
      <c r="Q288" s="122">
        <f t="shared" si="248"/>
        <v>388967.9634943126</v>
      </c>
      <c r="R288" s="122">
        <f t="shared" si="248"/>
        <v>398060.06898067659</v>
      </c>
      <c r="S288" s="122">
        <f t="shared" si="248"/>
        <v>406207.45231319254</v>
      </c>
      <c r="T288" s="122">
        <f t="shared" si="248"/>
        <v>413234.10894604371</v>
      </c>
      <c r="U288" s="122">
        <f t="shared" si="248"/>
        <v>419146.12315964676</v>
      </c>
      <c r="V288" s="122">
        <f t="shared" si="248"/>
        <v>423949.57939528598</v>
      </c>
      <c r="W288" s="122">
        <f t="shared" si="248"/>
        <v>427650.56225514883</v>
      </c>
      <c r="X288" s="122">
        <f t="shared" si="248"/>
        <v>435522.95862221904</v>
      </c>
      <c r="Y288" s="122">
        <f t="shared" si="248"/>
        <v>447404.86959447927</v>
      </c>
      <c r="Z288" s="122">
        <f t="shared" si="248"/>
        <v>457310.21642893011</v>
      </c>
      <c r="AA288" s="122">
        <f t="shared" si="248"/>
        <v>465322.59388012916</v>
      </c>
      <c r="AB288" s="122">
        <f t="shared" si="248"/>
        <v>471452.36491787701</v>
      </c>
      <c r="AC288" s="122">
        <f t="shared" si="248"/>
        <v>475533.7423959804</v>
      </c>
      <c r="AD288" s="122">
        <f t="shared" si="248"/>
        <v>477736.57087227597</v>
      </c>
      <c r="AE288" s="122">
        <f t="shared" si="248"/>
        <v>478071.23275608965</v>
      </c>
      <c r="AF288" s="122">
        <f t="shared" si="248"/>
        <v>476548.11693940416</v>
      </c>
      <c r="AG288" s="122">
        <f t="shared" si="248"/>
        <v>473177.61879826663</v>
      </c>
      <c r="AI288" s="698"/>
      <c r="AJ288" s="300"/>
    </row>
    <row r="289" spans="1:37" s="169" customFormat="1">
      <c r="A289" s="169" t="s">
        <v>747</v>
      </c>
      <c r="B289" s="326" t="s">
        <v>127</v>
      </c>
      <c r="C289" s="613">
        <f>C288/(1-C246)</f>
        <v>360465.35389751027</v>
      </c>
      <c r="D289" s="613">
        <f t="shared" ref="D289:AG289" si="249">D288/(1-D246)</f>
        <v>371267.47657974798</v>
      </c>
      <c r="E289" s="613">
        <f t="shared" si="249"/>
        <v>381534.58644321968</v>
      </c>
      <c r="F289" s="613">
        <f t="shared" si="249"/>
        <v>391277.49581303092</v>
      </c>
      <c r="G289" s="613">
        <f t="shared" si="249"/>
        <v>400506.78511455364</v>
      </c>
      <c r="H289" s="613">
        <f t="shared" si="249"/>
        <v>409232.8090574182</v>
      </c>
      <c r="I289" s="613">
        <f t="shared" si="249"/>
        <v>416647.31341471768</v>
      </c>
      <c r="J289" s="613">
        <f t="shared" si="249"/>
        <v>423528.55448309844</v>
      </c>
      <c r="K289" s="613">
        <f t="shared" si="249"/>
        <v>429887.03324795456</v>
      </c>
      <c r="L289" s="613">
        <f t="shared" si="249"/>
        <v>435733.03135294886</v>
      </c>
      <c r="M289" s="613">
        <f t="shared" si="249"/>
        <v>441076.6167972007</v>
      </c>
      <c r="N289" s="613">
        <f t="shared" si="249"/>
        <v>456598.06759006722</v>
      </c>
      <c r="O289" s="613">
        <f t="shared" si="249"/>
        <v>472142.07206707029</v>
      </c>
      <c r="P289" s="613">
        <f t="shared" si="249"/>
        <v>484303.68174273911</v>
      </c>
      <c r="Q289" s="613">
        <f t="shared" si="249"/>
        <v>494870.18256273866</v>
      </c>
      <c r="R289" s="613">
        <f t="shared" si="249"/>
        <v>503873.50503883109</v>
      </c>
      <c r="S289" s="613">
        <f t="shared" si="249"/>
        <v>511596.28754810139</v>
      </c>
      <c r="T289" s="613">
        <f t="shared" si="249"/>
        <v>517837.22925569385</v>
      </c>
      <c r="U289" s="613">
        <f t="shared" si="249"/>
        <v>522626.08872773906</v>
      </c>
      <c r="V289" s="613">
        <f t="shared" si="249"/>
        <v>525992.03398918849</v>
      </c>
      <c r="W289" s="613">
        <f t="shared" si="249"/>
        <v>527963.65710512199</v>
      </c>
      <c r="X289" s="613">
        <f t="shared" si="249"/>
        <v>535040.48970788578</v>
      </c>
      <c r="Y289" s="613">
        <f t="shared" si="249"/>
        <v>546949.71833065921</v>
      </c>
      <c r="Z289" s="613">
        <f t="shared" si="249"/>
        <v>556338.46280891739</v>
      </c>
      <c r="AA289" s="613">
        <f t="shared" si="249"/>
        <v>563344.54464906675</v>
      </c>
      <c r="AB289" s="613">
        <f t="shared" si="249"/>
        <v>568014.89749141806</v>
      </c>
      <c r="AC289" s="613">
        <f t="shared" si="249"/>
        <v>570184.34340045601</v>
      </c>
      <c r="AD289" s="613">
        <f t="shared" si="249"/>
        <v>570091.37335593789</v>
      </c>
      <c r="AE289" s="613">
        <f t="shared" si="249"/>
        <v>567780.56146803987</v>
      </c>
      <c r="AF289" s="613">
        <f t="shared" si="249"/>
        <v>563295.64650047768</v>
      </c>
      <c r="AG289" s="613">
        <f t="shared" si="249"/>
        <v>556679.55152737256</v>
      </c>
      <c r="AI289" s="698"/>
      <c r="AJ289" s="300"/>
    </row>
    <row r="290" spans="1:37" s="169" customFormat="1">
      <c r="A290" s="169" t="s">
        <v>746</v>
      </c>
      <c r="B290" s="326" t="s">
        <v>127</v>
      </c>
      <c r="C290" s="613">
        <f>C278</f>
        <v>258754.60100284751</v>
      </c>
      <c r="D290" s="613">
        <f t="shared" ref="D290:AG290" si="250">D278</f>
        <v>260060.33229167253</v>
      </c>
      <c r="E290" s="613">
        <f t="shared" si="250"/>
        <v>261311.58044018236</v>
      </c>
      <c r="F290" s="613">
        <f t="shared" si="250"/>
        <v>262507.79343130399</v>
      </c>
      <c r="G290" s="613">
        <f t="shared" si="250"/>
        <v>263648.42354539887</v>
      </c>
      <c r="H290" s="613">
        <f t="shared" si="250"/>
        <v>264732.92736026342</v>
      </c>
      <c r="I290" s="613">
        <f t="shared" si="250"/>
        <v>265052.33887674235</v>
      </c>
      <c r="J290" s="613">
        <f t="shared" si="250"/>
        <v>265295.19913844974</v>
      </c>
      <c r="K290" s="613">
        <f t="shared" si="250"/>
        <v>265460.86402527802</v>
      </c>
      <c r="L290" s="613">
        <f t="shared" si="250"/>
        <v>265548.6948751185</v>
      </c>
      <c r="M290" s="613">
        <f t="shared" si="250"/>
        <v>265558.05848386139</v>
      </c>
      <c r="N290" s="613">
        <f t="shared" si="250"/>
        <v>263309.41240848298</v>
      </c>
      <c r="O290" s="613">
        <f t="shared" si="250"/>
        <v>261673.65131722888</v>
      </c>
      <c r="P290" s="613">
        <f t="shared" si="250"/>
        <v>259061.28138982053</v>
      </c>
      <c r="Q290" s="613">
        <f t="shared" si="250"/>
        <v>256308.02457983705</v>
      </c>
      <c r="R290" s="613">
        <f t="shared" si="250"/>
        <v>253412.95195782042</v>
      </c>
      <c r="S290" s="613">
        <f t="shared" si="250"/>
        <v>250490.66952052922</v>
      </c>
      <c r="T290" s="613">
        <f t="shared" si="250"/>
        <v>247427.61568180958</v>
      </c>
      <c r="U290" s="613">
        <f t="shared" si="250"/>
        <v>244222.90341060486</v>
      </c>
      <c r="V290" s="613">
        <f t="shared" si="250"/>
        <v>240875.65447072487</v>
      </c>
      <c r="W290" s="613">
        <f t="shared" si="250"/>
        <v>237384.99942124373</v>
      </c>
      <c r="X290" s="613">
        <f t="shared" si="250"/>
        <v>230974.10026605995</v>
      </c>
      <c r="Y290" s="613">
        <f t="shared" si="250"/>
        <v>227036.83441286607</v>
      </c>
      <c r="Z290" s="613">
        <f t="shared" si="250"/>
        <v>222895.48803631766</v>
      </c>
      <c r="AA290" s="613">
        <f t="shared" si="250"/>
        <v>218602.84692647378</v>
      </c>
      <c r="AB290" s="613">
        <f t="shared" si="250"/>
        <v>214158.07363909934</v>
      </c>
      <c r="AC290" s="613">
        <f t="shared" si="250"/>
        <v>209481.84358461245</v>
      </c>
      <c r="AD290" s="613">
        <f t="shared" si="250"/>
        <v>204650.04252085343</v>
      </c>
      <c r="AE290" s="613">
        <f t="shared" si="250"/>
        <v>199661.85348124293</v>
      </c>
      <c r="AF290" s="613">
        <f t="shared" si="250"/>
        <v>194516.46920523353</v>
      </c>
      <c r="AG290" s="613">
        <f t="shared" si="250"/>
        <v>189213.0921435171</v>
      </c>
      <c r="AI290" s="698"/>
      <c r="AJ290" s="300"/>
    </row>
    <row r="291" spans="1:37" s="169" customFormat="1">
      <c r="A291" s="169" t="s">
        <v>745</v>
      </c>
      <c r="B291" s="326" t="s">
        <v>127</v>
      </c>
      <c r="C291" s="613">
        <f>C289-C290</f>
        <v>101710.75289466276</v>
      </c>
      <c r="D291" s="613">
        <f t="shared" ref="D291:AG291" si="251">D289-D290</f>
        <v>111207.14428807545</v>
      </c>
      <c r="E291" s="613">
        <f t="shared" si="251"/>
        <v>120223.00600303733</v>
      </c>
      <c r="F291" s="613">
        <f t="shared" si="251"/>
        <v>128769.70238172694</v>
      </c>
      <c r="G291" s="613">
        <f t="shared" si="251"/>
        <v>136858.36156915477</v>
      </c>
      <c r="H291" s="613">
        <f t="shared" si="251"/>
        <v>144499.88169715478</v>
      </c>
      <c r="I291" s="613">
        <f t="shared" si="251"/>
        <v>151594.97453797533</v>
      </c>
      <c r="J291" s="613">
        <f t="shared" si="251"/>
        <v>158233.35534464871</v>
      </c>
      <c r="K291" s="613">
        <f t="shared" si="251"/>
        <v>164426.16922267654</v>
      </c>
      <c r="L291" s="613">
        <f t="shared" si="251"/>
        <v>170184.33647783037</v>
      </c>
      <c r="M291" s="613">
        <f t="shared" si="251"/>
        <v>175518.55831333931</v>
      </c>
      <c r="N291" s="613">
        <f t="shared" si="251"/>
        <v>193288.65518158424</v>
      </c>
      <c r="O291" s="613">
        <f t="shared" si="251"/>
        <v>210468.4207498414</v>
      </c>
      <c r="P291" s="613">
        <f t="shared" si="251"/>
        <v>225242.40035291857</v>
      </c>
      <c r="Q291" s="613">
        <f t="shared" si="251"/>
        <v>238562.15798290161</v>
      </c>
      <c r="R291" s="613">
        <f t="shared" si="251"/>
        <v>250460.55308101067</v>
      </c>
      <c r="S291" s="613">
        <f t="shared" si="251"/>
        <v>261105.61802757217</v>
      </c>
      <c r="T291" s="613">
        <f t="shared" si="251"/>
        <v>270409.61357388424</v>
      </c>
      <c r="U291" s="613">
        <f t="shared" si="251"/>
        <v>278403.18531713419</v>
      </c>
      <c r="V291" s="613">
        <f t="shared" si="251"/>
        <v>285116.37951846363</v>
      </c>
      <c r="W291" s="613">
        <f t="shared" si="251"/>
        <v>290578.65768387826</v>
      </c>
      <c r="X291" s="613">
        <f t="shared" si="251"/>
        <v>304066.3894418258</v>
      </c>
      <c r="Y291" s="613">
        <f t="shared" si="251"/>
        <v>319912.88391779317</v>
      </c>
      <c r="Z291" s="613">
        <f t="shared" si="251"/>
        <v>333442.97477259976</v>
      </c>
      <c r="AA291" s="613">
        <f t="shared" si="251"/>
        <v>344741.69772259297</v>
      </c>
      <c r="AB291" s="613">
        <f t="shared" si="251"/>
        <v>353856.82385231869</v>
      </c>
      <c r="AC291" s="613">
        <f t="shared" si="251"/>
        <v>360702.49981584353</v>
      </c>
      <c r="AD291" s="613">
        <f t="shared" si="251"/>
        <v>365441.33083508443</v>
      </c>
      <c r="AE291" s="613">
        <f t="shared" si="251"/>
        <v>368118.70798679697</v>
      </c>
      <c r="AF291" s="613">
        <f t="shared" si="251"/>
        <v>368779.17729524418</v>
      </c>
      <c r="AG291" s="613">
        <f t="shared" si="251"/>
        <v>367466.45938385546</v>
      </c>
      <c r="AI291" s="698"/>
      <c r="AJ291" s="300"/>
    </row>
    <row r="292" spans="1:37" s="169" customFormat="1">
      <c r="A292" s="169" t="s">
        <v>748</v>
      </c>
      <c r="B292" s="326" t="s">
        <v>127</v>
      </c>
      <c r="C292" s="613">
        <f>(C291)/(1-C243)</f>
        <v>127138.44111832844</v>
      </c>
      <c r="D292" s="613">
        <f t="shared" ref="D292:AG292" si="252">(D289-D278)/(1-D243)</f>
        <v>138432.12981918105</v>
      </c>
      <c r="E292" s="613">
        <f t="shared" si="252"/>
        <v>149036.78430128595</v>
      </c>
      <c r="F292" s="613">
        <f t="shared" si="252"/>
        <v>158974.94121200856</v>
      </c>
      <c r="G292" s="613">
        <f t="shared" si="252"/>
        <v>168268.47733912474</v>
      </c>
      <c r="H292" s="613">
        <f t="shared" si="252"/>
        <v>176938.63064957727</v>
      </c>
      <c r="I292" s="613">
        <f t="shared" si="252"/>
        <v>184871.92016826262</v>
      </c>
      <c r="J292" s="613">
        <f t="shared" si="252"/>
        <v>192186.26155220493</v>
      </c>
      <c r="K292" s="613">
        <f t="shared" si="252"/>
        <v>198902.62405968938</v>
      </c>
      <c r="L292" s="613">
        <f t="shared" si="252"/>
        <v>205041.36925039804</v>
      </c>
      <c r="M292" s="613">
        <f t="shared" si="252"/>
        <v>210622.2699760072</v>
      </c>
      <c r="N292" s="613">
        <f t="shared" si="252"/>
        <v>231022.297029782</v>
      </c>
      <c r="O292" s="613">
        <f t="shared" si="252"/>
        <v>250557.64374981125</v>
      </c>
      <c r="P292" s="613">
        <f t="shared" si="252"/>
        <v>267085.85022085207</v>
      </c>
      <c r="Q292" s="613">
        <f t="shared" si="252"/>
        <v>281766.32832626178</v>
      </c>
      <c r="R292" s="613">
        <f t="shared" si="252"/>
        <v>294659.47421295376</v>
      </c>
      <c r="S292" s="613">
        <f t="shared" si="252"/>
        <v>305983.14612606115</v>
      </c>
      <c r="T292" s="613">
        <f t="shared" si="252"/>
        <v>315653.24541698553</v>
      </c>
      <c r="U292" s="613">
        <f t="shared" si="252"/>
        <v>323724.63408969098</v>
      </c>
      <c r="V292" s="613">
        <f t="shared" si="252"/>
        <v>330250.63264686911</v>
      </c>
      <c r="W292" s="613">
        <f t="shared" si="252"/>
        <v>335283.06655832112</v>
      </c>
      <c r="X292" s="613">
        <f t="shared" si="252"/>
        <v>349501.5970595699</v>
      </c>
      <c r="Y292" s="613">
        <f t="shared" si="252"/>
        <v>366312.46250128996</v>
      </c>
      <c r="Z292" s="613">
        <f t="shared" si="252"/>
        <v>380353.2031626614</v>
      </c>
      <c r="AA292" s="613">
        <f t="shared" si="252"/>
        <v>391751.92923021934</v>
      </c>
      <c r="AB292" s="613">
        <f t="shared" si="252"/>
        <v>400592.63077620987</v>
      </c>
      <c r="AC292" s="613">
        <f t="shared" si="252"/>
        <v>406807.33061937249</v>
      </c>
      <c r="AD292" s="613">
        <f t="shared" si="252"/>
        <v>410608.2368933534</v>
      </c>
      <c r="AE292" s="613">
        <f t="shared" si="252"/>
        <v>412073.18058223551</v>
      </c>
      <c r="AF292" s="613">
        <f t="shared" si="252"/>
        <v>411277.89289432444</v>
      </c>
      <c r="AG292" s="613">
        <f t="shared" si="252"/>
        <v>408296.06598206161</v>
      </c>
      <c r="AI292" s="698"/>
      <c r="AJ292" s="300"/>
    </row>
    <row r="293" spans="1:37" s="169" customFormat="1">
      <c r="A293" s="169" t="s">
        <v>750</v>
      </c>
      <c r="B293" s="326" t="s">
        <v>127</v>
      </c>
      <c r="C293" s="613">
        <f>IF(C272&gt;C292,C292,C272)</f>
        <v>127138.44111832844</v>
      </c>
      <c r="D293" s="613">
        <f t="shared" ref="D293:AG293" si="253">IF(D272&gt;D292,D292,D272)</f>
        <v>138432.12981918105</v>
      </c>
      <c r="E293" s="613">
        <f t="shared" si="253"/>
        <v>149036.78430128595</v>
      </c>
      <c r="F293" s="613">
        <f t="shared" si="253"/>
        <v>158974.94121200856</v>
      </c>
      <c r="G293" s="613">
        <f t="shared" si="253"/>
        <v>168268.47733912474</v>
      </c>
      <c r="H293" s="613">
        <f t="shared" si="253"/>
        <v>176938.63064957727</v>
      </c>
      <c r="I293" s="613">
        <f t="shared" si="253"/>
        <v>184871.92016826262</v>
      </c>
      <c r="J293" s="613">
        <f t="shared" si="253"/>
        <v>192186.26155220493</v>
      </c>
      <c r="K293" s="613">
        <f t="shared" si="253"/>
        <v>198902.62405968938</v>
      </c>
      <c r="L293" s="613">
        <f t="shared" si="253"/>
        <v>205041.36925039804</v>
      </c>
      <c r="M293" s="613">
        <f t="shared" si="253"/>
        <v>210622.2699760072</v>
      </c>
      <c r="N293" s="613">
        <f t="shared" si="253"/>
        <v>231022.297029782</v>
      </c>
      <c r="O293" s="613">
        <f t="shared" si="253"/>
        <v>250557.64374981125</v>
      </c>
      <c r="P293" s="613">
        <f t="shared" si="253"/>
        <v>267085.85022085207</v>
      </c>
      <c r="Q293" s="613">
        <f t="shared" si="253"/>
        <v>281766.32832626178</v>
      </c>
      <c r="R293" s="613">
        <f t="shared" si="253"/>
        <v>294659.47421295376</v>
      </c>
      <c r="S293" s="613">
        <f t="shared" si="253"/>
        <v>305983.14612606115</v>
      </c>
      <c r="T293" s="613">
        <f t="shared" si="253"/>
        <v>315653.24541698553</v>
      </c>
      <c r="U293" s="613">
        <f t="shared" si="253"/>
        <v>317190.86951240466</v>
      </c>
      <c r="V293" s="613">
        <f t="shared" si="253"/>
        <v>317221.26987127145</v>
      </c>
      <c r="W293" s="613">
        <f t="shared" si="253"/>
        <v>316850.93293278496</v>
      </c>
      <c r="X293" s="613">
        <f t="shared" si="253"/>
        <v>312323.51149595622</v>
      </c>
      <c r="Y293" s="613">
        <f t="shared" si="253"/>
        <v>310880.99484049855</v>
      </c>
      <c r="Z293" s="613">
        <f t="shared" si="253"/>
        <v>308944.98729860625</v>
      </c>
      <c r="AA293" s="613">
        <f t="shared" si="253"/>
        <v>306585.41689688031</v>
      </c>
      <c r="AB293" s="613">
        <f t="shared" si="253"/>
        <v>303799.73371174914</v>
      </c>
      <c r="AC293" s="613">
        <f t="shared" si="253"/>
        <v>300472.83951087098</v>
      </c>
      <c r="AD293" s="613">
        <f t="shared" si="253"/>
        <v>296709.83693879237</v>
      </c>
      <c r="AE293" s="613">
        <f t="shared" si="253"/>
        <v>292508.28619540279</v>
      </c>
      <c r="AF293" s="613">
        <f t="shared" si="253"/>
        <v>287865.79244682501</v>
      </c>
      <c r="AG293" s="613">
        <f t="shared" si="253"/>
        <v>282780.00584086071</v>
      </c>
      <c r="AI293" s="698"/>
      <c r="AJ293" s="300"/>
    </row>
    <row r="294" spans="1:37" s="169" customFormat="1">
      <c r="A294" s="169" t="s">
        <v>749</v>
      </c>
      <c r="B294" s="326" t="s">
        <v>127</v>
      </c>
      <c r="C294" s="613">
        <f>IF(C292-C293&lt;0,0,C292-C293)</f>
        <v>0</v>
      </c>
      <c r="D294" s="613">
        <f t="shared" ref="D294:AG294" si="254">IF(D292-D293&lt;0,0,D292-D293)</f>
        <v>0</v>
      </c>
      <c r="E294" s="613">
        <f t="shared" si="254"/>
        <v>0</v>
      </c>
      <c r="F294" s="613">
        <f t="shared" si="254"/>
        <v>0</v>
      </c>
      <c r="G294" s="613">
        <f t="shared" si="254"/>
        <v>0</v>
      </c>
      <c r="H294" s="613">
        <f t="shared" si="254"/>
        <v>0</v>
      </c>
      <c r="I294" s="613">
        <f t="shared" si="254"/>
        <v>0</v>
      </c>
      <c r="J294" s="613">
        <f t="shared" si="254"/>
        <v>0</v>
      </c>
      <c r="K294" s="613">
        <f t="shared" si="254"/>
        <v>0</v>
      </c>
      <c r="L294" s="613">
        <f t="shared" si="254"/>
        <v>0</v>
      </c>
      <c r="M294" s="613">
        <f t="shared" si="254"/>
        <v>0</v>
      </c>
      <c r="N294" s="613">
        <f t="shared" si="254"/>
        <v>0</v>
      </c>
      <c r="O294" s="613">
        <f t="shared" si="254"/>
        <v>0</v>
      </c>
      <c r="P294" s="613">
        <f t="shared" si="254"/>
        <v>0</v>
      </c>
      <c r="Q294" s="613">
        <f t="shared" si="254"/>
        <v>0</v>
      </c>
      <c r="R294" s="613">
        <f t="shared" si="254"/>
        <v>0</v>
      </c>
      <c r="S294" s="613">
        <f t="shared" si="254"/>
        <v>0</v>
      </c>
      <c r="T294" s="613">
        <f t="shared" si="254"/>
        <v>0</v>
      </c>
      <c r="U294" s="613">
        <f t="shared" si="254"/>
        <v>6533.7645772863179</v>
      </c>
      <c r="V294" s="613">
        <f t="shared" si="254"/>
        <v>13029.362775597663</v>
      </c>
      <c r="W294" s="613">
        <f t="shared" si="254"/>
        <v>18432.133625536168</v>
      </c>
      <c r="X294" s="613">
        <f t="shared" si="254"/>
        <v>37178.085563613684</v>
      </c>
      <c r="Y294" s="613">
        <f t="shared" si="254"/>
        <v>55431.467660791415</v>
      </c>
      <c r="Z294" s="613">
        <f t="shared" si="254"/>
        <v>71408.21586405515</v>
      </c>
      <c r="AA294" s="613">
        <f t="shared" si="254"/>
        <v>85166.512333339022</v>
      </c>
      <c r="AB294" s="613">
        <f t="shared" si="254"/>
        <v>96792.897064460733</v>
      </c>
      <c r="AC294" s="613">
        <f t="shared" si="254"/>
        <v>106334.4911085015</v>
      </c>
      <c r="AD294" s="613">
        <f t="shared" si="254"/>
        <v>113898.39995456103</v>
      </c>
      <c r="AE294" s="613">
        <f t="shared" si="254"/>
        <v>119564.89438683272</v>
      </c>
      <c r="AF294" s="613">
        <f t="shared" si="254"/>
        <v>123412.10044749943</v>
      </c>
      <c r="AG294" s="613">
        <f t="shared" si="254"/>
        <v>125516.0601412009</v>
      </c>
      <c r="AI294" s="698"/>
      <c r="AJ294" s="300"/>
    </row>
    <row r="295" spans="1:37" s="169" customFormat="1">
      <c r="A295" s="169" t="s">
        <v>751</v>
      </c>
      <c r="B295" s="326" t="s">
        <v>127</v>
      </c>
      <c r="C295" s="613">
        <f>C289*C246+C243*C292+C279+IF(C272&gt;C292,C272-C292,0)</f>
        <v>240750.83044983639</v>
      </c>
      <c r="D295" s="613">
        <f t="shared" ref="D295:AG295" si="255">D289*D246+D243*D292+D279+IF(D272&gt;D292,D272-D292,0)</f>
        <v>241333.40621711873</v>
      </c>
      <c r="E295" s="613">
        <f t="shared" si="255"/>
        <v>242026.0671293496</v>
      </c>
      <c r="F295" s="613">
        <f t="shared" si="255"/>
        <v>242824.47772078999</v>
      </c>
      <c r="G295" s="613">
        <f t="shared" si="255"/>
        <v>243724.32293851499</v>
      </c>
      <c r="H295" s="613">
        <f t="shared" si="255"/>
        <v>244721.30814241525</v>
      </c>
      <c r="I295" s="613">
        <f t="shared" si="255"/>
        <v>244933.9101312549</v>
      </c>
      <c r="J295" s="613">
        <f t="shared" si="255"/>
        <v>245202.85196256099</v>
      </c>
      <c r="K295" s="613">
        <f t="shared" si="255"/>
        <v>245523.33076038878</v>
      </c>
      <c r="L295" s="613">
        <f t="shared" si="255"/>
        <v>245890.5695742876</v>
      </c>
      <c r="M295" s="613">
        <f t="shared" si="255"/>
        <v>246299.81737930109</v>
      </c>
      <c r="N295" s="613">
        <f t="shared" si="255"/>
        <v>233629.65258806397</v>
      </c>
      <c r="O295" s="613">
        <f t="shared" si="255"/>
        <v>221974.79201554903</v>
      </c>
      <c r="P295" s="613">
        <f t="shared" si="255"/>
        <v>210430.07364517704</v>
      </c>
      <c r="Q295" s="613">
        <f t="shared" si="255"/>
        <v>199491.88964598105</v>
      </c>
      <c r="R295" s="613">
        <f t="shared" si="255"/>
        <v>189149.51324416455</v>
      </c>
      <c r="S295" s="613">
        <f t="shared" si="255"/>
        <v>179462.79761521198</v>
      </c>
      <c r="T295" s="613">
        <f t="shared" si="255"/>
        <v>170344.59549715856</v>
      </c>
      <c r="U295" s="613">
        <f t="shared" si="255"/>
        <v>168318.14744257648</v>
      </c>
      <c r="V295" s="613">
        <f t="shared" si="255"/>
        <v>166801.04006202822</v>
      </c>
      <c r="W295" s="613">
        <f t="shared" si="255"/>
        <v>164728.17154639654</v>
      </c>
      <c r="X295" s="613">
        <f t="shared" si="255"/>
        <v>164492.84696886927</v>
      </c>
      <c r="Y295" s="613">
        <f t="shared" si="255"/>
        <v>165508.06475279119</v>
      </c>
      <c r="Z295" s="613">
        <f t="shared" si="255"/>
        <v>165496.3819871587</v>
      </c>
      <c r="AA295" s="613">
        <f t="shared" si="255"/>
        <v>164558.79823295921</v>
      </c>
      <c r="AB295" s="613">
        <f t="shared" si="255"/>
        <v>162767.25528280492</v>
      </c>
      <c r="AC295" s="613">
        <f t="shared" si="255"/>
        <v>160132.12090869347</v>
      </c>
      <c r="AD295" s="613">
        <f t="shared" si="255"/>
        <v>156777.62063907899</v>
      </c>
      <c r="AE295" s="613">
        <f t="shared" si="255"/>
        <v>152769.50094657272</v>
      </c>
      <c r="AF295" s="613">
        <f t="shared" si="255"/>
        <v>148171.40273462055</v>
      </c>
      <c r="AG295" s="613">
        <f t="shared" si="255"/>
        <v>143044.92206678077</v>
      </c>
      <c r="AI295" s="698"/>
      <c r="AJ295" s="300"/>
    </row>
    <row r="296" spans="1:37" s="169" customFormat="1">
      <c r="A296" s="169" t="s">
        <v>760</v>
      </c>
      <c r="B296" s="326" t="s">
        <v>127</v>
      </c>
      <c r="C296" s="613">
        <f>C275-C294</f>
        <v>1311931.2226284726</v>
      </c>
      <c r="D296" s="613">
        <f t="shared" ref="D296:AG296" si="256">D275-D294</f>
        <v>1293623.0716115292</v>
      </c>
      <c r="E296" s="613">
        <f t="shared" si="256"/>
        <v>1275352.1041267435</v>
      </c>
      <c r="F296" s="613">
        <f t="shared" si="256"/>
        <v>1257121.0530484512</v>
      </c>
      <c r="G296" s="613">
        <f t="shared" si="256"/>
        <v>1238932.6308381739</v>
      </c>
      <c r="H296" s="613">
        <f t="shared" si="256"/>
        <v>1220789.5295446173</v>
      </c>
      <c r="I296" s="613">
        <f t="shared" si="256"/>
        <v>1199488.4507765945</v>
      </c>
      <c r="J296" s="613">
        <f t="shared" si="256"/>
        <v>1178271.2547501193</v>
      </c>
      <c r="K296" s="613">
        <f t="shared" si="256"/>
        <v>1157141.1417497331</v>
      </c>
      <c r="L296" s="613">
        <f t="shared" si="256"/>
        <v>1136101.2861344831</v>
      </c>
      <c r="M296" s="613">
        <f t="shared" si="256"/>
        <v>1115154.8363379221</v>
      </c>
      <c r="N296" s="613">
        <f t="shared" si="256"/>
        <v>1085323.7401102332</v>
      </c>
      <c r="O296" s="613">
        <f t="shared" si="256"/>
        <v>1058725.1988865975</v>
      </c>
      <c r="P296" s="613">
        <f t="shared" si="256"/>
        <v>1028887.5241235268</v>
      </c>
      <c r="Q296" s="613">
        <f t="shared" si="256"/>
        <v>999263.99275099149</v>
      </c>
      <c r="R296" s="613">
        <f t="shared" si="256"/>
        <v>969859.24700907618</v>
      </c>
      <c r="S296" s="613">
        <f t="shared" si="256"/>
        <v>941111.92623865674</v>
      </c>
      <c r="T296" s="613">
        <f t="shared" si="256"/>
        <v>912587.26311612956</v>
      </c>
      <c r="U296" s="613">
        <f t="shared" si="256"/>
        <v>877755.9322451757</v>
      </c>
      <c r="V296" s="613">
        <f t="shared" si="256"/>
        <v>843194.26206806884</v>
      </c>
      <c r="W296" s="613">
        <f t="shared" si="256"/>
        <v>809961.2693433119</v>
      </c>
      <c r="X296" s="613">
        <f t="shared" si="256"/>
        <v>754115.0513360356</v>
      </c>
      <c r="Y296" s="613">
        <f t="shared" si="256"/>
        <v>708161.02197047975</v>
      </c>
      <c r="Z296" s="613">
        <f t="shared" si="256"/>
        <v>664556.56222157669</v>
      </c>
      <c r="AA296" s="613">
        <f t="shared" si="256"/>
        <v>623431.5704283251</v>
      </c>
      <c r="AB296" s="613">
        <f t="shared" si="256"/>
        <v>584703.80288351746</v>
      </c>
      <c r="AC296" s="613">
        <f t="shared" si="256"/>
        <v>548085.16782619245</v>
      </c>
      <c r="AD296" s="613">
        <f t="shared" si="256"/>
        <v>513721.47319634282</v>
      </c>
      <c r="AE296" s="613">
        <f t="shared" si="256"/>
        <v>481536.65504526824</v>
      </c>
      <c r="AF296" s="613">
        <f t="shared" si="256"/>
        <v>451456.7498034531</v>
      </c>
      <c r="AG296" s="613">
        <f t="shared" si="256"/>
        <v>423409.8335498817</v>
      </c>
      <c r="AI296" s="698"/>
      <c r="AJ296" s="300"/>
    </row>
    <row r="297" spans="1:37" s="169" customFormat="1">
      <c r="B297" s="327"/>
      <c r="C297" s="613"/>
      <c r="D297" s="613"/>
      <c r="E297" s="613"/>
      <c r="F297" s="613"/>
      <c r="G297" s="613"/>
      <c r="H297" s="613"/>
      <c r="I297" s="613"/>
      <c r="J297" s="613"/>
      <c r="K297" s="613"/>
      <c r="L297" s="613"/>
      <c r="M297" s="613"/>
      <c r="N297" s="613"/>
      <c r="O297" s="613"/>
      <c r="P297" s="613"/>
      <c r="Q297" s="613"/>
      <c r="R297" s="613"/>
      <c r="S297" s="613"/>
      <c r="T297" s="613"/>
      <c r="U297" s="613"/>
      <c r="V297" s="613"/>
      <c r="W297" s="613"/>
      <c r="X297" s="613"/>
      <c r="Y297" s="613"/>
      <c r="Z297" s="613"/>
      <c r="AA297" s="613"/>
      <c r="AB297" s="613"/>
      <c r="AC297" s="613"/>
      <c r="AD297" s="613"/>
      <c r="AE297" s="613"/>
      <c r="AF297" s="613"/>
      <c r="AG297" s="613"/>
      <c r="AJ297" s="300"/>
    </row>
    <row r="298" spans="1:37" s="169" customFormat="1">
      <c r="A298" s="169" t="s">
        <v>753</v>
      </c>
      <c r="B298" s="327" t="s">
        <v>126</v>
      </c>
      <c r="C298" s="309">
        <v>0.8</v>
      </c>
      <c r="D298" s="306">
        <f>C298</f>
        <v>0.8</v>
      </c>
      <c r="E298" s="306">
        <f t="shared" ref="E298:AG298" si="257">D298</f>
        <v>0.8</v>
      </c>
      <c r="F298" s="306">
        <f t="shared" si="257"/>
        <v>0.8</v>
      </c>
      <c r="G298" s="306">
        <f t="shared" si="257"/>
        <v>0.8</v>
      </c>
      <c r="H298" s="306">
        <f t="shared" si="257"/>
        <v>0.8</v>
      </c>
      <c r="I298" s="306">
        <f t="shared" si="257"/>
        <v>0.8</v>
      </c>
      <c r="J298" s="306">
        <f t="shared" si="257"/>
        <v>0.8</v>
      </c>
      <c r="K298" s="306">
        <f t="shared" si="257"/>
        <v>0.8</v>
      </c>
      <c r="L298" s="306">
        <f t="shared" si="257"/>
        <v>0.8</v>
      </c>
      <c r="M298" s="306">
        <f t="shared" si="257"/>
        <v>0.8</v>
      </c>
      <c r="N298" s="306">
        <f t="shared" si="257"/>
        <v>0.8</v>
      </c>
      <c r="O298" s="306">
        <f t="shared" si="257"/>
        <v>0.8</v>
      </c>
      <c r="P298" s="306">
        <f t="shared" si="257"/>
        <v>0.8</v>
      </c>
      <c r="Q298" s="306">
        <f t="shared" si="257"/>
        <v>0.8</v>
      </c>
      <c r="R298" s="306">
        <f t="shared" si="257"/>
        <v>0.8</v>
      </c>
      <c r="S298" s="306">
        <f t="shared" si="257"/>
        <v>0.8</v>
      </c>
      <c r="T298" s="306">
        <f t="shared" si="257"/>
        <v>0.8</v>
      </c>
      <c r="U298" s="306">
        <f t="shared" si="257"/>
        <v>0.8</v>
      </c>
      <c r="V298" s="306">
        <f t="shared" si="257"/>
        <v>0.8</v>
      </c>
      <c r="W298" s="306">
        <f t="shared" si="257"/>
        <v>0.8</v>
      </c>
      <c r="X298" s="306">
        <f t="shared" si="257"/>
        <v>0.8</v>
      </c>
      <c r="Y298" s="306">
        <f t="shared" si="257"/>
        <v>0.8</v>
      </c>
      <c r="Z298" s="306">
        <f t="shared" si="257"/>
        <v>0.8</v>
      </c>
      <c r="AA298" s="306">
        <f t="shared" si="257"/>
        <v>0.8</v>
      </c>
      <c r="AB298" s="306">
        <f t="shared" si="257"/>
        <v>0.8</v>
      </c>
      <c r="AC298" s="306">
        <f t="shared" si="257"/>
        <v>0.8</v>
      </c>
      <c r="AD298" s="306">
        <f t="shared" si="257"/>
        <v>0.8</v>
      </c>
      <c r="AE298" s="306">
        <f t="shared" si="257"/>
        <v>0.8</v>
      </c>
      <c r="AF298" s="306">
        <f t="shared" si="257"/>
        <v>0.8</v>
      </c>
      <c r="AG298" s="306">
        <f t="shared" si="257"/>
        <v>0.8</v>
      </c>
      <c r="AJ298" s="300" t="s">
        <v>754</v>
      </c>
    </row>
    <row r="299" spans="1:37" s="169" customFormat="1">
      <c r="B299" s="327"/>
      <c r="C299" s="613"/>
      <c r="D299" s="613"/>
      <c r="E299" s="613"/>
      <c r="F299" s="613"/>
      <c r="G299" s="613"/>
      <c r="H299" s="613"/>
      <c r="I299" s="613"/>
      <c r="J299" s="613"/>
      <c r="K299" s="613"/>
      <c r="L299" s="613"/>
      <c r="M299" s="613"/>
      <c r="N299" s="613"/>
      <c r="O299" s="613"/>
      <c r="P299" s="613"/>
      <c r="Q299" s="613"/>
      <c r="R299" s="613"/>
      <c r="S299" s="613"/>
      <c r="T299" s="613"/>
      <c r="U299" s="613"/>
      <c r="V299" s="613"/>
      <c r="W299" s="613"/>
      <c r="X299" s="613"/>
      <c r="Y299" s="613"/>
      <c r="Z299" s="613"/>
      <c r="AA299" s="613"/>
      <c r="AB299" s="613"/>
      <c r="AC299" s="613"/>
      <c r="AD299" s="613"/>
      <c r="AE299" s="613"/>
      <c r="AF299" s="613"/>
      <c r="AG299" s="613"/>
      <c r="AJ299" s="300"/>
    </row>
    <row r="300" spans="1:37" s="169" customFormat="1">
      <c r="A300" s="169" t="s">
        <v>710</v>
      </c>
      <c r="B300" s="327" t="s">
        <v>127</v>
      </c>
      <c r="C300" s="613">
        <f>C234*C295*C298</f>
        <v>42372.146159171207</v>
      </c>
      <c r="D300" s="613">
        <f t="shared" ref="D300:AG300" si="258">D234*D295*D298</f>
        <v>43761.790994037525</v>
      </c>
      <c r="E300" s="613">
        <f t="shared" si="258"/>
        <v>45178.199197478592</v>
      </c>
      <c r="F300" s="613">
        <f t="shared" si="258"/>
        <v>46622.299722391675</v>
      </c>
      <c r="G300" s="613">
        <f t="shared" si="258"/>
        <v>48094.933059866948</v>
      </c>
      <c r="H300" s="613">
        <f t="shared" si="258"/>
        <v>49596.851783529484</v>
      </c>
      <c r="I300" s="613">
        <f t="shared" si="258"/>
        <v>50946.253307301013</v>
      </c>
      <c r="J300" s="613">
        <f t="shared" si="258"/>
        <v>52309.941752013001</v>
      </c>
      <c r="K300" s="613">
        <f t="shared" si="258"/>
        <v>53687.768326271667</v>
      </c>
      <c r="L300" s="613">
        <f t="shared" si="258"/>
        <v>55079.487584640403</v>
      </c>
      <c r="M300" s="613">
        <f t="shared" si="258"/>
        <v>56484.758118986363</v>
      </c>
      <c r="N300" s="613">
        <f t="shared" si="258"/>
        <v>54825.091807332326</v>
      </c>
      <c r="O300" s="613">
        <f t="shared" si="258"/>
        <v>53273.950083731746</v>
      </c>
      <c r="P300" s="613">
        <f t="shared" si="258"/>
        <v>51625.511400950083</v>
      </c>
      <c r="Q300" s="613">
        <f t="shared" si="258"/>
        <v>50005.96700459256</v>
      </c>
      <c r="R300" s="613">
        <f t="shared" si="258"/>
        <v>48422.275390506104</v>
      </c>
      <c r="S300" s="613">
        <f t="shared" si="258"/>
        <v>46899.611110108708</v>
      </c>
      <c r="T300" s="613">
        <f t="shared" si="258"/>
        <v>45425.22546590893</v>
      </c>
      <c r="U300" s="613">
        <f t="shared" si="258"/>
        <v>45782.536104380779</v>
      </c>
      <c r="V300" s="613">
        <f t="shared" si="258"/>
        <v>46259.488443869137</v>
      </c>
      <c r="W300" s="613">
        <f t="shared" si="258"/>
        <v>46563.16315711473</v>
      </c>
      <c r="X300" s="613">
        <f t="shared" si="258"/>
        <v>47373.93992703432</v>
      </c>
      <c r="Y300" s="613">
        <f t="shared" si="258"/>
        <v>48549.032327485387</v>
      </c>
      <c r="Z300" s="613">
        <f t="shared" si="258"/>
        <v>49428.252753498033</v>
      </c>
      <c r="AA300" s="613">
        <f t="shared" si="258"/>
        <v>50025.874662819566</v>
      </c>
      <c r="AB300" s="613">
        <f t="shared" si="258"/>
        <v>50349.337634147618</v>
      </c>
      <c r="AC300" s="613">
        <f t="shared" si="258"/>
        <v>50388.240712602179</v>
      </c>
      <c r="AD300" s="613">
        <f t="shared" si="258"/>
        <v>50168.838604505239</v>
      </c>
      <c r="AE300" s="613">
        <f t="shared" si="258"/>
        <v>49701.010974618286</v>
      </c>
      <c r="AF300" s="613">
        <f t="shared" si="258"/>
        <v>48995.34383758116</v>
      </c>
      <c r="AG300" s="613">
        <f t="shared" si="258"/>
        <v>48063.09381443834</v>
      </c>
      <c r="AJ300" s="300"/>
    </row>
    <row r="301" spans="1:37" s="169" customFormat="1">
      <c r="A301" s="169" t="s">
        <v>715</v>
      </c>
      <c r="B301" s="327" t="s">
        <v>127</v>
      </c>
      <c r="C301" s="613">
        <f>C295*C298-C300</f>
        <v>150228.5182006979</v>
      </c>
      <c r="D301" s="613">
        <f t="shared" ref="D301:AG301" si="259">D295*D298-D300</f>
        <v>149304.93397965748</v>
      </c>
      <c r="E301" s="613">
        <f t="shared" si="259"/>
        <v>148442.6545060011</v>
      </c>
      <c r="F301" s="613">
        <f t="shared" si="259"/>
        <v>147637.28245424034</v>
      </c>
      <c r="G301" s="613">
        <f t="shared" si="259"/>
        <v>146884.52529094505</v>
      </c>
      <c r="H301" s="613">
        <f t="shared" si="259"/>
        <v>146180.19473040273</v>
      </c>
      <c r="I301" s="613">
        <f t="shared" si="259"/>
        <v>145000.87479770294</v>
      </c>
      <c r="J301" s="613">
        <f t="shared" si="259"/>
        <v>143852.33981803581</v>
      </c>
      <c r="K301" s="613">
        <f t="shared" si="259"/>
        <v>142730.89628203935</v>
      </c>
      <c r="L301" s="613">
        <f t="shared" si="259"/>
        <v>141632.96807478968</v>
      </c>
      <c r="M301" s="613">
        <f t="shared" si="259"/>
        <v>140555.09578445452</v>
      </c>
      <c r="N301" s="613">
        <f t="shared" si="259"/>
        <v>132078.63026311886</v>
      </c>
      <c r="O301" s="613">
        <f t="shared" si="259"/>
        <v>124305.88352870748</v>
      </c>
      <c r="P301" s="613">
        <f t="shared" si="259"/>
        <v>116718.54751519155</v>
      </c>
      <c r="Q301" s="613">
        <f t="shared" si="259"/>
        <v>109587.54471219229</v>
      </c>
      <c r="R301" s="613">
        <f t="shared" si="259"/>
        <v>102897.33520482553</v>
      </c>
      <c r="S301" s="613">
        <f t="shared" si="259"/>
        <v>96670.626982060901</v>
      </c>
      <c r="T301" s="613">
        <f t="shared" si="259"/>
        <v>90850.450931817904</v>
      </c>
      <c r="U301" s="613">
        <f t="shared" si="259"/>
        <v>88871.981849680407</v>
      </c>
      <c r="V301" s="613">
        <f t="shared" si="259"/>
        <v>87181.343605753442</v>
      </c>
      <c r="W301" s="613">
        <f t="shared" si="259"/>
        <v>85219.374080002512</v>
      </c>
      <c r="X301" s="613">
        <f t="shared" si="259"/>
        <v>84220.337648061104</v>
      </c>
      <c r="Y301" s="613">
        <f t="shared" si="259"/>
        <v>83857.419474747585</v>
      </c>
      <c r="Z301" s="613">
        <f t="shared" si="259"/>
        <v>82968.852836228936</v>
      </c>
      <c r="AA301" s="613">
        <f t="shared" si="259"/>
        <v>81621.163923547792</v>
      </c>
      <c r="AB301" s="613">
        <f t="shared" si="259"/>
        <v>79864.466592096316</v>
      </c>
      <c r="AC301" s="613">
        <f t="shared" si="259"/>
        <v>77717.456014352589</v>
      </c>
      <c r="AD301" s="613">
        <f t="shared" si="259"/>
        <v>75253.257906757965</v>
      </c>
      <c r="AE301" s="613">
        <f t="shared" si="259"/>
        <v>72514.589782639901</v>
      </c>
      <c r="AF301" s="613">
        <f t="shared" si="259"/>
        <v>69541.778350115288</v>
      </c>
      <c r="AG301" s="613">
        <f t="shared" si="259"/>
        <v>66372.843838986286</v>
      </c>
      <c r="AJ301" s="300"/>
    </row>
    <row r="302" spans="1:37" s="169" customFormat="1">
      <c r="B302" s="165"/>
      <c r="C302" s="613"/>
      <c r="D302" s="613"/>
      <c r="E302" s="613"/>
      <c r="F302" s="613"/>
      <c r="G302" s="613"/>
      <c r="H302" s="613"/>
      <c r="I302" s="613"/>
      <c r="J302" s="613"/>
      <c r="K302" s="613"/>
      <c r="L302" s="613"/>
      <c r="M302" s="613"/>
      <c r="N302" s="613"/>
      <c r="O302" s="613"/>
      <c r="P302" s="613"/>
      <c r="Q302" s="613"/>
      <c r="R302" s="613"/>
      <c r="S302" s="613"/>
      <c r="T302" s="613"/>
      <c r="U302" s="613"/>
      <c r="V302" s="613"/>
      <c r="W302" s="613"/>
      <c r="X302" s="613"/>
      <c r="Y302" s="613"/>
      <c r="Z302" s="613"/>
      <c r="AA302" s="613"/>
      <c r="AB302" s="613"/>
      <c r="AC302" s="613"/>
      <c r="AD302" s="613"/>
      <c r="AE302" s="613"/>
      <c r="AF302" s="613"/>
      <c r="AG302" s="613"/>
      <c r="AJ302" s="300"/>
    </row>
    <row r="303" spans="1:37" s="169" customFormat="1">
      <c r="B303" s="197" t="s">
        <v>709</v>
      </c>
      <c r="C303" s="616">
        <v>0</v>
      </c>
      <c r="D303" s="616">
        <f>C303+1</f>
        <v>1</v>
      </c>
      <c r="E303" s="616">
        <f t="shared" ref="E303:AG303" si="260">D303+1</f>
        <v>2</v>
      </c>
      <c r="F303" s="616">
        <f t="shared" si="260"/>
        <v>3</v>
      </c>
      <c r="G303" s="616">
        <f t="shared" si="260"/>
        <v>4</v>
      </c>
      <c r="H303" s="616">
        <f t="shared" si="260"/>
        <v>5</v>
      </c>
      <c r="I303" s="616">
        <f t="shared" si="260"/>
        <v>6</v>
      </c>
      <c r="J303" s="616">
        <f t="shared" si="260"/>
        <v>7</v>
      </c>
      <c r="K303" s="616">
        <f t="shared" si="260"/>
        <v>8</v>
      </c>
      <c r="L303" s="616">
        <f t="shared" si="260"/>
        <v>9</v>
      </c>
      <c r="M303" s="616">
        <f t="shared" si="260"/>
        <v>10</v>
      </c>
      <c r="N303" s="616">
        <f t="shared" si="260"/>
        <v>11</v>
      </c>
      <c r="O303" s="616">
        <f t="shared" si="260"/>
        <v>12</v>
      </c>
      <c r="P303" s="616">
        <f t="shared" si="260"/>
        <v>13</v>
      </c>
      <c r="Q303" s="616">
        <f t="shared" si="260"/>
        <v>14</v>
      </c>
      <c r="R303" s="616">
        <f t="shared" si="260"/>
        <v>15</v>
      </c>
      <c r="S303" s="616">
        <f t="shared" si="260"/>
        <v>16</v>
      </c>
      <c r="T303" s="616">
        <f t="shared" si="260"/>
        <v>17</v>
      </c>
      <c r="U303" s="616">
        <f t="shared" si="260"/>
        <v>18</v>
      </c>
      <c r="V303" s="616">
        <f t="shared" si="260"/>
        <v>19</v>
      </c>
      <c r="W303" s="616">
        <f t="shared" si="260"/>
        <v>20</v>
      </c>
      <c r="X303" s="616">
        <f t="shared" si="260"/>
        <v>21</v>
      </c>
      <c r="Y303" s="616">
        <f t="shared" si="260"/>
        <v>22</v>
      </c>
      <c r="Z303" s="616">
        <f t="shared" si="260"/>
        <v>23</v>
      </c>
      <c r="AA303" s="616">
        <f t="shared" si="260"/>
        <v>24</v>
      </c>
      <c r="AB303" s="616">
        <f t="shared" si="260"/>
        <v>25</v>
      </c>
      <c r="AC303" s="616">
        <f t="shared" si="260"/>
        <v>26</v>
      </c>
      <c r="AD303" s="616">
        <f t="shared" si="260"/>
        <v>27</v>
      </c>
      <c r="AE303" s="616">
        <f t="shared" si="260"/>
        <v>28</v>
      </c>
      <c r="AF303" s="616">
        <f t="shared" si="260"/>
        <v>29</v>
      </c>
      <c r="AG303" s="616">
        <f t="shared" si="260"/>
        <v>30</v>
      </c>
      <c r="AJ303" s="300" t="s">
        <v>717</v>
      </c>
      <c r="AK303" s="48">
        <v>1.9</v>
      </c>
    </row>
    <row r="304" spans="1:37" s="169" customFormat="1">
      <c r="A304" s="169" t="s">
        <v>761</v>
      </c>
      <c r="B304" s="165"/>
      <c r="C304" s="626">
        <f>$AK$305/((1+EXP(-$AK$304*(C303-$AK$306)))^$AK$303)</f>
        <v>4.6088632748610021E-5</v>
      </c>
      <c r="D304" s="626">
        <f t="shared" ref="D304:AG304" si="261">$AK$305/((1+EXP(-$AK$304*(D303-$AK$306)))^$AK$303)</f>
        <v>8.924759460408035E-5</v>
      </c>
      <c r="E304" s="626">
        <f t="shared" si="261"/>
        <v>1.7252431976790472E-4</v>
      </c>
      <c r="F304" s="626">
        <f t="shared" si="261"/>
        <v>3.3269643715580369E-4</v>
      </c>
      <c r="G304" s="626">
        <f t="shared" si="261"/>
        <v>6.393827369910735E-4</v>
      </c>
      <c r="H304" s="626">
        <f t="shared" si="261"/>
        <v>1.2229053771654547E-3</v>
      </c>
      <c r="I304" s="626">
        <f t="shared" si="261"/>
        <v>2.3234018804222717E-3</v>
      </c>
      <c r="J304" s="626">
        <f t="shared" si="261"/>
        <v>4.3736281679830789E-3</v>
      </c>
      <c r="K304" s="626">
        <f t="shared" si="261"/>
        <v>8.1294184230466908E-3</v>
      </c>
      <c r="L304" s="626">
        <f t="shared" si="261"/>
        <v>1.4853985082038716E-2</v>
      </c>
      <c r="M304" s="626">
        <f t="shared" si="261"/>
        <v>2.6531412096832362E-2</v>
      </c>
      <c r="N304" s="626">
        <f t="shared" si="261"/>
        <v>4.6014759335105015E-2</v>
      </c>
      <c r="O304" s="626">
        <f t="shared" si="261"/>
        <v>7.6910635328419796E-2</v>
      </c>
      <c r="P304" s="626">
        <f t="shared" si="261"/>
        <v>0.12294065829885638</v>
      </c>
      <c r="Q304" s="626">
        <f t="shared" si="261"/>
        <v>0.18666754187878853</v>
      </c>
      <c r="R304" s="626">
        <f t="shared" si="261"/>
        <v>0.26794336563407328</v>
      </c>
      <c r="S304" s="626">
        <f t="shared" si="261"/>
        <v>0.36297326582455031</v>
      </c>
      <c r="T304" s="626">
        <f t="shared" si="261"/>
        <v>0.46484396312424381</v>
      </c>
      <c r="U304" s="626">
        <f t="shared" si="261"/>
        <v>0.56546260593861253</v>
      </c>
      <c r="V304" s="626">
        <f t="shared" si="261"/>
        <v>0.6578403022607352</v>
      </c>
      <c r="W304" s="626">
        <f t="shared" si="261"/>
        <v>0.73754668886795227</v>
      </c>
      <c r="X304" s="626">
        <f t="shared" si="261"/>
        <v>0.80293052021410605</v>
      </c>
      <c r="Y304" s="626">
        <f t="shared" si="261"/>
        <v>0.85447682949112158</v>
      </c>
      <c r="Z304" s="626">
        <f t="shared" si="261"/>
        <v>0.89389910336617451</v>
      </c>
      <c r="AA304" s="626">
        <f t="shared" si="261"/>
        <v>0.92337223319290385</v>
      </c>
      <c r="AB304" s="626">
        <f t="shared" si="261"/>
        <v>0.94504210708611314</v>
      </c>
      <c r="AC304" s="626">
        <f t="shared" si="261"/>
        <v>0.96078240575184182</v>
      </c>
      <c r="AD304" s="626">
        <f t="shared" si="261"/>
        <v>0.97211605463477313</v>
      </c>
      <c r="AE304" s="626">
        <f t="shared" si="261"/>
        <v>0.98022577885232642</v>
      </c>
      <c r="AF304" s="626">
        <f t="shared" si="261"/>
        <v>0.98600279580400285</v>
      </c>
      <c r="AG304" s="626">
        <f t="shared" si="261"/>
        <v>0.9901050637460882</v>
      </c>
      <c r="AI304" s="165" t="s">
        <v>716</v>
      </c>
      <c r="AJ304" s="300" t="s">
        <v>718</v>
      </c>
      <c r="AK304" s="48">
        <v>0.35</v>
      </c>
    </row>
    <row r="305" spans="1:37" s="169" customFormat="1">
      <c r="B305" s="165"/>
      <c r="C305" s="625">
        <v>0</v>
      </c>
      <c r="D305" s="625">
        <v>0</v>
      </c>
      <c r="E305" s="625">
        <v>0</v>
      </c>
      <c r="F305" s="625">
        <v>0</v>
      </c>
      <c r="G305" s="625">
        <v>0</v>
      </c>
      <c r="H305" s="625">
        <v>0</v>
      </c>
      <c r="I305" s="625">
        <v>0</v>
      </c>
      <c r="J305" s="625">
        <v>0</v>
      </c>
      <c r="K305" s="625">
        <v>0</v>
      </c>
      <c r="L305" s="625">
        <v>0</v>
      </c>
      <c r="M305" s="625">
        <f>C304</f>
        <v>4.6088632748610021E-5</v>
      </c>
      <c r="N305" s="625">
        <v>0</v>
      </c>
      <c r="O305" s="625">
        <v>0</v>
      </c>
      <c r="P305" s="625">
        <v>0</v>
      </c>
      <c r="Q305" s="625">
        <v>0</v>
      </c>
      <c r="R305" s="625">
        <f t="shared" ref="R305:AG305" si="262">C304</f>
        <v>4.6088632748610021E-5</v>
      </c>
      <c r="S305" s="625">
        <f t="shared" si="262"/>
        <v>8.924759460408035E-5</v>
      </c>
      <c r="T305" s="625">
        <f t="shared" si="262"/>
        <v>1.7252431976790472E-4</v>
      </c>
      <c r="U305" s="625">
        <f t="shared" si="262"/>
        <v>3.3269643715580369E-4</v>
      </c>
      <c r="V305" s="625">
        <f t="shared" si="262"/>
        <v>6.393827369910735E-4</v>
      </c>
      <c r="W305" s="625">
        <f t="shared" si="262"/>
        <v>1.2229053771654547E-3</v>
      </c>
      <c r="X305" s="625">
        <f t="shared" si="262"/>
        <v>2.3234018804222717E-3</v>
      </c>
      <c r="Y305" s="625">
        <f t="shared" si="262"/>
        <v>4.3736281679830789E-3</v>
      </c>
      <c r="Z305" s="625">
        <f t="shared" si="262"/>
        <v>8.1294184230466908E-3</v>
      </c>
      <c r="AA305" s="625">
        <f t="shared" si="262"/>
        <v>1.4853985082038716E-2</v>
      </c>
      <c r="AB305" s="625">
        <f t="shared" si="262"/>
        <v>2.6531412096832362E-2</v>
      </c>
      <c r="AC305" s="625">
        <f t="shared" si="262"/>
        <v>4.6014759335105015E-2</v>
      </c>
      <c r="AD305" s="625">
        <f t="shared" si="262"/>
        <v>7.6910635328419796E-2</v>
      </c>
      <c r="AE305" s="625">
        <f t="shared" si="262"/>
        <v>0.12294065829885638</v>
      </c>
      <c r="AF305" s="625">
        <f t="shared" si="262"/>
        <v>0.18666754187878853</v>
      </c>
      <c r="AG305" s="625">
        <f t="shared" si="262"/>
        <v>0.26794336563407328</v>
      </c>
      <c r="AI305" s="165" t="s">
        <v>762</v>
      </c>
      <c r="AJ305" s="300" t="s">
        <v>719</v>
      </c>
      <c r="AK305" s="48">
        <v>1</v>
      </c>
    </row>
    <row r="306" spans="1:37" s="169" customFormat="1">
      <c r="B306" s="165"/>
      <c r="C306" s="613"/>
      <c r="D306" s="613"/>
      <c r="E306" s="613"/>
      <c r="F306" s="613"/>
      <c r="G306" s="613"/>
      <c r="H306" s="613"/>
      <c r="I306" s="613"/>
      <c r="J306" s="613"/>
      <c r="K306" s="613"/>
      <c r="L306" s="613"/>
      <c r="M306" s="613"/>
      <c r="N306" s="613"/>
      <c r="O306" s="613"/>
      <c r="P306" s="613"/>
      <c r="Q306" s="613"/>
      <c r="R306" s="613"/>
      <c r="S306" s="613"/>
      <c r="T306" s="613"/>
      <c r="U306" s="613"/>
      <c r="V306" s="613"/>
      <c r="W306" s="613"/>
      <c r="X306" s="613"/>
      <c r="Y306" s="613"/>
      <c r="Z306" s="613"/>
      <c r="AA306" s="613"/>
      <c r="AB306" s="613"/>
      <c r="AC306" s="613"/>
      <c r="AD306" s="613"/>
      <c r="AE306" s="613"/>
      <c r="AF306" s="613"/>
      <c r="AG306" s="613"/>
      <c r="AJ306" s="300" t="s">
        <v>720</v>
      </c>
      <c r="AK306" s="48">
        <v>15</v>
      </c>
    </row>
    <row r="307" spans="1:37" s="169" customFormat="1">
      <c r="A307" s="169" t="s">
        <v>842</v>
      </c>
      <c r="B307" s="165" t="s">
        <v>126</v>
      </c>
      <c r="C307" s="613">
        <f>('Overall recycling rates'!G12+'Overall recycling rates'!G15)*'Overall recycling rates'!G57/(SUMPRODUCT('Overall recycling rates'!C57:I57,'Overall recycling rates'!C12:I12)+SUMPRODUCT('Overall recycling rates'!C15:I15,'Overall recycling rates'!C57:I57))</f>
        <v>9.3753800180177274E-2</v>
      </c>
      <c r="D307" s="613">
        <f>C307</f>
        <v>9.3753800180177274E-2</v>
      </c>
      <c r="E307" s="613">
        <f t="shared" ref="E307:AG307" si="263">D307</f>
        <v>9.3753800180177274E-2</v>
      </c>
      <c r="F307" s="613">
        <f t="shared" si="263"/>
        <v>9.3753800180177274E-2</v>
      </c>
      <c r="G307" s="613">
        <f t="shared" si="263"/>
        <v>9.3753800180177274E-2</v>
      </c>
      <c r="H307" s="613">
        <f t="shared" si="263"/>
        <v>9.3753800180177274E-2</v>
      </c>
      <c r="I307" s="613">
        <f t="shared" si="263"/>
        <v>9.3753800180177274E-2</v>
      </c>
      <c r="J307" s="613">
        <f t="shared" si="263"/>
        <v>9.3753800180177274E-2</v>
      </c>
      <c r="K307" s="613">
        <f t="shared" si="263"/>
        <v>9.3753800180177274E-2</v>
      </c>
      <c r="L307" s="613">
        <f t="shared" si="263"/>
        <v>9.3753800180177274E-2</v>
      </c>
      <c r="M307" s="613">
        <f t="shared" si="263"/>
        <v>9.3753800180177274E-2</v>
      </c>
      <c r="N307" s="613">
        <f t="shared" si="263"/>
        <v>9.3753800180177274E-2</v>
      </c>
      <c r="O307" s="613">
        <f t="shared" si="263"/>
        <v>9.3753800180177274E-2</v>
      </c>
      <c r="P307" s="613">
        <f t="shared" si="263"/>
        <v>9.3753800180177274E-2</v>
      </c>
      <c r="Q307" s="613">
        <f t="shared" si="263"/>
        <v>9.3753800180177274E-2</v>
      </c>
      <c r="R307" s="613">
        <f t="shared" si="263"/>
        <v>9.3753800180177274E-2</v>
      </c>
      <c r="S307" s="613">
        <f t="shared" si="263"/>
        <v>9.3753800180177274E-2</v>
      </c>
      <c r="T307" s="613">
        <f t="shared" si="263"/>
        <v>9.3753800180177274E-2</v>
      </c>
      <c r="U307" s="613">
        <f t="shared" si="263"/>
        <v>9.3753800180177274E-2</v>
      </c>
      <c r="V307" s="613">
        <f t="shared" si="263"/>
        <v>9.3753800180177274E-2</v>
      </c>
      <c r="W307" s="613">
        <f t="shared" si="263"/>
        <v>9.3753800180177274E-2</v>
      </c>
      <c r="X307" s="613">
        <f t="shared" si="263"/>
        <v>9.3753800180177274E-2</v>
      </c>
      <c r="Y307" s="613">
        <f t="shared" si="263"/>
        <v>9.3753800180177274E-2</v>
      </c>
      <c r="Z307" s="613">
        <f t="shared" si="263"/>
        <v>9.3753800180177274E-2</v>
      </c>
      <c r="AA307" s="613">
        <f t="shared" si="263"/>
        <v>9.3753800180177274E-2</v>
      </c>
      <c r="AB307" s="613">
        <f t="shared" si="263"/>
        <v>9.3753800180177274E-2</v>
      </c>
      <c r="AC307" s="613">
        <f t="shared" si="263"/>
        <v>9.3753800180177274E-2</v>
      </c>
      <c r="AD307" s="613">
        <f t="shared" si="263"/>
        <v>9.3753800180177274E-2</v>
      </c>
      <c r="AE307" s="613">
        <f t="shared" si="263"/>
        <v>9.3753800180177274E-2</v>
      </c>
      <c r="AF307" s="613">
        <f t="shared" si="263"/>
        <v>9.3753800180177274E-2</v>
      </c>
      <c r="AG307" s="613">
        <f t="shared" si="263"/>
        <v>9.3753800180177274E-2</v>
      </c>
      <c r="AJ307" s="300"/>
    </row>
    <row r="308" spans="1:37" s="279" customFormat="1" ht="15.5" thickBot="1">
      <c r="A308" s="311" t="s">
        <v>707</v>
      </c>
      <c r="B308" s="312" t="s">
        <v>127</v>
      </c>
      <c r="C308" s="618">
        <f>C307*(C300*C304+C301*C305)</f>
        <v>0.18308938531480826</v>
      </c>
      <c r="D308" s="618">
        <f t="shared" ref="D308:AG308" si="264">D307*(D300*D304+D301*D305)</f>
        <v>0.36616808415740071</v>
      </c>
      <c r="E308" s="618">
        <f t="shared" si="264"/>
        <v>0.73074881534695013</v>
      </c>
      <c r="F308" s="618">
        <f t="shared" si="264"/>
        <v>1.4542220395268413</v>
      </c>
      <c r="G308" s="618">
        <f t="shared" si="264"/>
        <v>2.8830296660332908</v>
      </c>
      <c r="H308" s="618">
        <f t="shared" si="264"/>
        <v>5.6863795585559087</v>
      </c>
      <c r="I308" s="618">
        <f t="shared" si="264"/>
        <v>11.097508015959804</v>
      </c>
      <c r="J308" s="618">
        <f t="shared" si="264"/>
        <v>21.449391425578458</v>
      </c>
      <c r="K308" s="618">
        <f t="shared" si="264"/>
        <v>40.918877301514996</v>
      </c>
      <c r="L308" s="618">
        <f t="shared" si="264"/>
        <v>76.704661014662136</v>
      </c>
      <c r="M308" s="618">
        <f t="shared" si="264"/>
        <v>141.10869342961277</v>
      </c>
      <c r="N308" s="618">
        <f t="shared" si="264"/>
        <v>236.51865617793078</v>
      </c>
      <c r="O308" s="618">
        <f t="shared" si="264"/>
        <v>384.14057192318501</v>
      </c>
      <c r="P308" s="618">
        <f t="shared" si="264"/>
        <v>595.04359020186018</v>
      </c>
      <c r="Q308" s="618">
        <f t="shared" si="264"/>
        <v>875.1439983742257</v>
      </c>
      <c r="R308" s="618">
        <f t="shared" si="264"/>
        <v>1216.8464954294236</v>
      </c>
      <c r="S308" s="618">
        <f t="shared" si="264"/>
        <v>1596.8084086125675</v>
      </c>
      <c r="T308" s="618">
        <f t="shared" si="264"/>
        <v>1981.1411537728072</v>
      </c>
      <c r="U308" s="618">
        <f t="shared" si="264"/>
        <v>2429.8997017171055</v>
      </c>
      <c r="V308" s="618">
        <f t="shared" si="264"/>
        <v>2858.2813039437992</v>
      </c>
      <c r="W308" s="618">
        <f t="shared" si="264"/>
        <v>3229.5110950517674</v>
      </c>
      <c r="X308" s="618">
        <f t="shared" si="264"/>
        <v>3584.5509123965471</v>
      </c>
      <c r="Y308" s="618">
        <f t="shared" si="264"/>
        <v>3923.670077080068</v>
      </c>
      <c r="Z308" s="618">
        <f t="shared" si="264"/>
        <v>4205.6416577942946</v>
      </c>
      <c r="AA308" s="618">
        <f t="shared" si="264"/>
        <v>4444.3898180609376</v>
      </c>
      <c r="AB308" s="618">
        <f t="shared" si="264"/>
        <v>4659.6727361688681</v>
      </c>
      <c r="AC308" s="618">
        <f t="shared" si="264"/>
        <v>4874.0992993595464</v>
      </c>
      <c r="AD308" s="618">
        <f t="shared" si="264"/>
        <v>5114.9925784344841</v>
      </c>
      <c r="AE308" s="618">
        <f t="shared" si="264"/>
        <v>5403.3318537290334</v>
      </c>
      <c r="AF308" s="618">
        <f t="shared" si="264"/>
        <v>5746.2396809503398</v>
      </c>
      <c r="AG308" s="618">
        <f t="shared" si="264"/>
        <v>6128.8430238245246</v>
      </c>
      <c r="AJ308" s="303"/>
    </row>
    <row r="309" spans="1:37" s="216" customFormat="1">
      <c r="A309" s="302" t="s">
        <v>713</v>
      </c>
      <c r="B309" s="301" t="s">
        <v>126</v>
      </c>
      <c r="C309" s="53">
        <v>0.5</v>
      </c>
      <c r="D309" s="53">
        <v>0.5</v>
      </c>
      <c r="E309" s="53">
        <v>0.5</v>
      </c>
      <c r="F309" s="53">
        <v>0.5</v>
      </c>
      <c r="G309" s="53">
        <v>0.5</v>
      </c>
      <c r="H309" s="53">
        <v>0.5</v>
      </c>
      <c r="I309" s="53">
        <v>0.5</v>
      </c>
      <c r="J309" s="53">
        <v>0.5</v>
      </c>
      <c r="K309" s="53">
        <v>0.5</v>
      </c>
      <c r="L309" s="53">
        <v>0.5</v>
      </c>
      <c r="M309" s="53">
        <v>0.5</v>
      </c>
      <c r="N309" s="53">
        <v>0.5</v>
      </c>
      <c r="O309" s="53">
        <v>0.5</v>
      </c>
      <c r="P309" s="53">
        <v>0.5</v>
      </c>
      <c r="Q309" s="53">
        <v>0.5</v>
      </c>
      <c r="R309" s="53">
        <v>0.5</v>
      </c>
      <c r="S309" s="53">
        <v>0.5</v>
      </c>
      <c r="T309" s="53">
        <v>0.5</v>
      </c>
      <c r="U309" s="53">
        <v>0.5</v>
      </c>
      <c r="V309" s="53">
        <v>0.5</v>
      </c>
      <c r="W309" s="53">
        <v>0.5</v>
      </c>
      <c r="X309" s="53">
        <v>0.5</v>
      </c>
      <c r="Y309" s="53">
        <v>0.5</v>
      </c>
      <c r="Z309" s="53">
        <v>0.5</v>
      </c>
      <c r="AA309" s="53">
        <v>0.5</v>
      </c>
      <c r="AB309" s="53">
        <v>0.5</v>
      </c>
      <c r="AC309" s="53">
        <v>0.5</v>
      </c>
      <c r="AD309" s="53">
        <v>0.5</v>
      </c>
      <c r="AE309" s="53">
        <v>0.5</v>
      </c>
      <c r="AF309" s="53">
        <v>0.5</v>
      </c>
      <c r="AG309" s="53">
        <v>0.5</v>
      </c>
      <c r="AJ309" s="216" t="s">
        <v>757</v>
      </c>
    </row>
    <row r="310" spans="1:37" s="216" customFormat="1" ht="15.5" thickBot="1">
      <c r="A310" s="280" t="s">
        <v>708</v>
      </c>
      <c r="B310" s="312" t="s">
        <v>127</v>
      </c>
      <c r="C310" s="618">
        <f>C309*(C300*C304+C301*C305)</f>
        <v>0.9764371415502342</v>
      </c>
      <c r="D310" s="618">
        <f t="shared" ref="D310:AG310" si="265">D309*(D300*D304+D301*D305)</f>
        <v>1.9528172908921777</v>
      </c>
      <c r="E310" s="618">
        <f t="shared" si="265"/>
        <v>3.8971690424419463</v>
      </c>
      <c r="F310" s="618">
        <f t="shared" si="265"/>
        <v>7.755536504824863</v>
      </c>
      <c r="G310" s="618">
        <f t="shared" si="265"/>
        <v>15.375534967610097</v>
      </c>
      <c r="H310" s="618">
        <f t="shared" si="265"/>
        <v>30.326128368278141</v>
      </c>
      <c r="I310" s="618">
        <f t="shared" si="265"/>
        <v>59.184310367326276</v>
      </c>
      <c r="J310" s="618">
        <f t="shared" si="265"/>
        <v>114.3921173560791</v>
      </c>
      <c r="K310" s="618">
        <f t="shared" si="265"/>
        <v>218.22516646192776</v>
      </c>
      <c r="L310" s="618">
        <f t="shared" si="265"/>
        <v>409.07494345429262</v>
      </c>
      <c r="M310" s="618">
        <f t="shared" si="265"/>
        <v>752.54919351764011</v>
      </c>
      <c r="N310" s="618">
        <f t="shared" si="265"/>
        <v>1261.3817025197172</v>
      </c>
      <c r="O310" s="618">
        <f t="shared" si="265"/>
        <v>2048.6666736971656</v>
      </c>
      <c r="P310" s="618">
        <f t="shared" si="265"/>
        <v>3173.4371783239594</v>
      </c>
      <c r="Q310" s="618">
        <f t="shared" si="265"/>
        <v>4667.2454700095495</v>
      </c>
      <c r="R310" s="618">
        <f t="shared" si="265"/>
        <v>6489.5849186426158</v>
      </c>
      <c r="S310" s="618">
        <f t="shared" si="265"/>
        <v>8515.9663157322702</v>
      </c>
      <c r="T310" s="618">
        <f t="shared" si="265"/>
        <v>10565.657871816526</v>
      </c>
      <c r="U310" s="618">
        <f t="shared" si="265"/>
        <v>12958.939781893067</v>
      </c>
      <c r="V310" s="618">
        <f t="shared" si="265"/>
        <v>15243.549053215533</v>
      </c>
      <c r="W310" s="618">
        <f t="shared" si="265"/>
        <v>17223.361020274649</v>
      </c>
      <c r="X310" s="618">
        <f t="shared" si="265"/>
        <v>19116.829960533389</v>
      </c>
      <c r="Y310" s="618">
        <f t="shared" si="265"/>
        <v>20925.392194980406</v>
      </c>
      <c r="Z310" s="618">
        <f t="shared" si="265"/>
        <v>22429.179669047215</v>
      </c>
      <c r="AA310" s="618">
        <f t="shared" si="265"/>
        <v>23702.45157806751</v>
      </c>
      <c r="AB310" s="618">
        <f t="shared" si="265"/>
        <v>24850.580601606805</v>
      </c>
      <c r="AC310" s="618">
        <f t="shared" si="265"/>
        <v>25994.142584046935</v>
      </c>
      <c r="AD310" s="618">
        <f t="shared" si="265"/>
        <v>27278.854662981259</v>
      </c>
      <c r="AE310" s="618">
        <f t="shared" si="265"/>
        <v>28816.601798246254</v>
      </c>
      <c r="AF310" s="618">
        <f t="shared" si="265"/>
        <v>30645.369413864511</v>
      </c>
      <c r="AG310" s="618">
        <f t="shared" si="265"/>
        <v>32685.837864950721</v>
      </c>
      <c r="AJ310" s="302"/>
    </row>
    <row r="311" spans="1:37" s="216" customFormat="1">
      <c r="A311" s="303"/>
      <c r="B311" s="301"/>
      <c r="C311" s="122"/>
      <c r="D311" s="122"/>
      <c r="E311" s="122"/>
      <c r="F311" s="122"/>
      <c r="G311" s="122"/>
      <c r="H311" s="122"/>
      <c r="I311" s="122"/>
      <c r="J311" s="122"/>
      <c r="K311" s="122"/>
      <c r="L311" s="122"/>
      <c r="M311" s="122"/>
      <c r="N311" s="122"/>
      <c r="O311" s="122"/>
      <c r="P311" s="122"/>
      <c r="Q311" s="122"/>
      <c r="R311" s="122"/>
      <c r="S311" s="122"/>
      <c r="T311" s="122"/>
      <c r="U311" s="122"/>
      <c r="V311" s="122"/>
      <c r="W311" s="122"/>
      <c r="X311" s="122"/>
      <c r="Y311" s="122"/>
      <c r="Z311" s="122"/>
      <c r="AA311" s="122"/>
      <c r="AB311" s="122"/>
      <c r="AC311" s="122"/>
      <c r="AD311" s="122"/>
      <c r="AE311" s="122"/>
      <c r="AF311" s="122"/>
      <c r="AG311" s="122"/>
      <c r="AJ311" s="302"/>
    </row>
    <row r="312" spans="1:37" s="216" customFormat="1">
      <c r="A312" s="303" t="s">
        <v>711</v>
      </c>
      <c r="B312" s="301" t="s">
        <v>127</v>
      </c>
      <c r="C312" s="122">
        <f t="shared" ref="C312:AF312" si="266">SUM(C281:C282)-SUM(C308,C310)</f>
        <v>1006231.8588058249</v>
      </c>
      <c r="D312" s="122">
        <f t="shared" si="266"/>
        <v>1003671.0978099384</v>
      </c>
      <c r="E312" s="122">
        <f t="shared" si="266"/>
        <v>1000863.7613434296</v>
      </c>
      <c r="F312" s="122">
        <f t="shared" si="266"/>
        <v>997814.31981592067</v>
      </c>
      <c r="G312" s="122">
        <f t="shared" si="266"/>
        <v>994526.12814184499</v>
      </c>
      <c r="H312" s="122">
        <f t="shared" si="266"/>
        <v>991000.45224847377</v>
      </c>
      <c r="I312" s="122">
        <f t="shared" si="266"/>
        <v>984476.14017742535</v>
      </c>
      <c r="J312" s="122">
        <f t="shared" si="266"/>
        <v>977660.86768599215</v>
      </c>
      <c r="K312" s="122">
        <f t="shared" si="266"/>
        <v>970534.48603927158</v>
      </c>
      <c r="L312" s="122">
        <f t="shared" si="266"/>
        <v>963057.66391330236</v>
      </c>
      <c r="M312" s="122">
        <f t="shared" si="266"/>
        <v>955158.70559665561</v>
      </c>
      <c r="N312" s="122">
        <f t="shared" si="266"/>
        <v>932312.95520066167</v>
      </c>
      <c r="O312" s="122">
        <f t="shared" si="266"/>
        <v>911542.5366408464</v>
      </c>
      <c r="P312" s="122">
        <f t="shared" si="266"/>
        <v>887505.72175184882</v>
      </c>
      <c r="Q312" s="122">
        <f t="shared" si="266"/>
        <v>863010.03215777571</v>
      </c>
      <c r="R312" s="122">
        <f t="shared" si="266"/>
        <v>838123.98763157299</v>
      </c>
      <c r="S312" s="122">
        <f t="shared" si="266"/>
        <v>813387.6129030335</v>
      </c>
      <c r="T312" s="122">
        <f t="shared" si="266"/>
        <v>788660.42390059331</v>
      </c>
      <c r="U312" s="122">
        <f t="shared" si="266"/>
        <v>763581.62507003569</v>
      </c>
      <c r="V312" s="122">
        <f t="shared" si="266"/>
        <v>738707.65139822941</v>
      </c>
      <c r="W312" s="122">
        <f t="shared" si="266"/>
        <v>714290.60129008675</v>
      </c>
      <c r="X312" s="122">
        <f t="shared" si="266"/>
        <v>674599.56546846672</v>
      </c>
      <c r="Y312" s="122">
        <f t="shared" si="266"/>
        <v>642848.62128020881</v>
      </c>
      <c r="Z312" s="122">
        <f t="shared" si="266"/>
        <v>611835.8620398948</v>
      </c>
      <c r="AA312" s="122">
        <f t="shared" si="266"/>
        <v>581686.67168014206</v>
      </c>
      <c r="AB312" s="122">
        <f t="shared" si="266"/>
        <v>552308.39670826995</v>
      </c>
      <c r="AC312" s="122">
        <f t="shared" si="266"/>
        <v>523380.90107851167</v>
      </c>
      <c r="AD312" s="122">
        <f t="shared" si="266"/>
        <v>494980.05927698128</v>
      </c>
      <c r="AE312" s="122">
        <f t="shared" si="266"/>
        <v>467004.95665176451</v>
      </c>
      <c r="AF312" s="122">
        <f t="shared" si="266"/>
        <v>439442.14161432447</v>
      </c>
      <c r="AG312" s="122">
        <f>SUM(AG281:AG282)-SUM(AG308,AG310)</f>
        <v>412417.16981201526</v>
      </c>
      <c r="AJ312" s="302"/>
    </row>
    <row r="313" spans="1:37" s="216" customFormat="1">
      <c r="A313" s="303"/>
      <c r="B313" s="301"/>
      <c r="C313" s="122"/>
      <c r="D313" s="122"/>
      <c r="E313" s="122"/>
      <c r="F313" s="122"/>
      <c r="G313" s="122"/>
      <c r="H313" s="122"/>
      <c r="I313" s="122"/>
      <c r="J313" s="122"/>
      <c r="K313" s="122"/>
      <c r="L313" s="122"/>
      <c r="M313" s="122"/>
      <c r="N313" s="122"/>
      <c r="O313" s="122"/>
      <c r="P313" s="122"/>
      <c r="Q313" s="122"/>
      <c r="R313" s="122"/>
      <c r="S313" s="122"/>
      <c r="T313" s="122"/>
      <c r="U313" s="122"/>
      <c r="V313" s="122"/>
      <c r="W313" s="122"/>
      <c r="X313" s="122"/>
      <c r="Y313" s="122"/>
      <c r="Z313" s="122"/>
      <c r="AA313" s="122"/>
      <c r="AB313" s="122"/>
      <c r="AC313" s="122"/>
      <c r="AD313" s="122"/>
      <c r="AE313" s="122"/>
      <c r="AF313" s="122"/>
      <c r="AG313" s="122"/>
      <c r="AJ313" s="302"/>
    </row>
    <row r="314" spans="1:37" s="216" customFormat="1">
      <c r="A314" s="302" t="s">
        <v>722</v>
      </c>
      <c r="B314" s="301" t="s">
        <v>127</v>
      </c>
      <c r="C314" s="613">
        <f>C234*C233*C47</f>
        <v>399480.78751316818</v>
      </c>
      <c r="D314" s="613">
        <f t="shared" ref="D314:AG314" si="267">D234*D233*D47</f>
        <v>409692.47594465484</v>
      </c>
      <c r="E314" s="613">
        <f t="shared" si="267"/>
        <v>419755.16241194418</v>
      </c>
      <c r="F314" s="613">
        <f t="shared" si="267"/>
        <v>429665.62383900239</v>
      </c>
      <c r="G314" s="613">
        <f t="shared" si="267"/>
        <v>439420.63714979595</v>
      </c>
      <c r="H314" s="613">
        <f t="shared" si="267"/>
        <v>449016.97926829098</v>
      </c>
      <c r="I314" s="613">
        <f t="shared" si="267"/>
        <v>457229.35315786203</v>
      </c>
      <c r="J314" s="613">
        <f t="shared" si="267"/>
        <v>465202.33360289835</v>
      </c>
      <c r="K314" s="613">
        <f t="shared" si="267"/>
        <v>472931.82710431714</v>
      </c>
      <c r="L314" s="613">
        <f t="shared" si="267"/>
        <v>480413.7401630361</v>
      </c>
      <c r="M314" s="613">
        <f t="shared" si="267"/>
        <v>487643.97927997267</v>
      </c>
      <c r="N314" s="613">
        <f t="shared" si="267"/>
        <v>490559.02045714925</v>
      </c>
      <c r="O314" s="613">
        <f t="shared" si="267"/>
        <v>494407.95689109806</v>
      </c>
      <c r="P314" s="613">
        <f t="shared" si="267"/>
        <v>496199.87691340107</v>
      </c>
      <c r="Q314" s="613">
        <f t="shared" si="267"/>
        <v>497486.80504593579</v>
      </c>
      <c r="R314" s="613">
        <f t="shared" si="267"/>
        <v>498262.02535485337</v>
      </c>
      <c r="S314" s="613">
        <f t="shared" si="267"/>
        <v>498748.84421457304</v>
      </c>
      <c r="T314" s="613">
        <f t="shared" si="267"/>
        <v>498721.98918644374</v>
      </c>
      <c r="U314" s="613">
        <f t="shared" si="267"/>
        <v>498174.8689681153</v>
      </c>
      <c r="V314" s="613">
        <f t="shared" si="267"/>
        <v>497100.89226213243</v>
      </c>
      <c r="W314" s="613">
        <f t="shared" si="267"/>
        <v>495493.46777784912</v>
      </c>
      <c r="X314" s="613">
        <f t="shared" si="267"/>
        <v>487487.10849376424</v>
      </c>
      <c r="Y314" s="613">
        <f t="shared" si="267"/>
        <v>484393.78398317465</v>
      </c>
      <c r="Z314" s="613">
        <f t="shared" si="267"/>
        <v>480615.57997139473</v>
      </c>
      <c r="AA314" s="613">
        <f t="shared" si="267"/>
        <v>476258.92576573673</v>
      </c>
      <c r="AB314" s="613">
        <f t="shared" si="267"/>
        <v>471317.05692588998</v>
      </c>
      <c r="AC314" s="613">
        <f t="shared" si="267"/>
        <v>465608.73891147354</v>
      </c>
      <c r="AD314" s="613">
        <f t="shared" si="267"/>
        <v>459294.26588307857</v>
      </c>
      <c r="AE314" s="613">
        <f t="shared" si="267"/>
        <v>452366.80475749128</v>
      </c>
      <c r="AF314" s="613">
        <f t="shared" si="267"/>
        <v>444819.52471735701</v>
      </c>
      <c r="AG314" s="613">
        <f t="shared" si="267"/>
        <v>436645.59725427016</v>
      </c>
      <c r="AJ314" s="302"/>
    </row>
    <row r="315" spans="1:37" s="216" customFormat="1">
      <c r="A315" s="216" t="s">
        <v>721</v>
      </c>
      <c r="B315" s="301" t="s">
        <v>127</v>
      </c>
      <c r="C315" s="613">
        <f t="shared" ref="C315:AG315" si="268">C235*C233*C47</f>
        <v>1416340.9739103236</v>
      </c>
      <c r="D315" s="613">
        <f t="shared" si="268"/>
        <v>1397774.3296935284</v>
      </c>
      <c r="E315" s="613">
        <f t="shared" si="268"/>
        <v>1379195.5336392454</v>
      </c>
      <c r="F315" s="613">
        <f t="shared" si="268"/>
        <v>1360607.8088235077</v>
      </c>
      <c r="G315" s="613">
        <f t="shared" si="268"/>
        <v>1342014.3783223501</v>
      </c>
      <c r="H315" s="613">
        <f t="shared" si="268"/>
        <v>1323418.4652118052</v>
      </c>
      <c r="I315" s="613">
        <f t="shared" si="268"/>
        <v>1301345.0820646847</v>
      </c>
      <c r="J315" s="613">
        <f t="shared" si="268"/>
        <v>1279306.4174079706</v>
      </c>
      <c r="K315" s="613">
        <f t="shared" si="268"/>
        <v>1257306.564740746</v>
      </c>
      <c r="L315" s="613">
        <f t="shared" si="268"/>
        <v>1235349.6175620933</v>
      </c>
      <c r="M315" s="613">
        <f t="shared" si="268"/>
        <v>1213439.6693710953</v>
      </c>
      <c r="N315" s="613">
        <f t="shared" si="268"/>
        <v>1181801.2765558602</v>
      </c>
      <c r="O315" s="613">
        <f t="shared" si="268"/>
        <v>1153618.5660792296</v>
      </c>
      <c r="P315" s="613">
        <f t="shared" si="268"/>
        <v>1121843.1999781248</v>
      </c>
      <c r="Q315" s="613">
        <f t="shared" si="268"/>
        <v>1090237.0408453492</v>
      </c>
      <c r="R315" s="613">
        <f t="shared" si="268"/>
        <v>1058806.8038790643</v>
      </c>
      <c r="S315" s="613">
        <f t="shared" si="268"/>
        <v>1028033.3319524883</v>
      </c>
      <c r="T315" s="613">
        <f t="shared" si="268"/>
        <v>997443.97837288817</v>
      </c>
      <c r="U315" s="613">
        <f t="shared" si="268"/>
        <v>967045.33387928328</v>
      </c>
      <c r="V315" s="613">
        <f t="shared" si="268"/>
        <v>936843.98926325049</v>
      </c>
      <c r="W315" s="613">
        <f t="shared" si="268"/>
        <v>906846.53536700795</v>
      </c>
      <c r="X315" s="613">
        <f t="shared" si="268"/>
        <v>866643.74843335943</v>
      </c>
      <c r="Y315" s="613">
        <f t="shared" si="268"/>
        <v>836680.17233457533</v>
      </c>
      <c r="Z315" s="613">
        <f t="shared" si="268"/>
        <v>806747.58066627069</v>
      </c>
      <c r="AA315" s="613">
        <f t="shared" si="268"/>
        <v>777054.03677567677</v>
      </c>
      <c r="AB315" s="613">
        <f t="shared" si="268"/>
        <v>747606.36615830916</v>
      </c>
      <c r="AC315" s="613">
        <f t="shared" si="268"/>
        <v>718142.29221939226</v>
      </c>
      <c r="AD315" s="613">
        <f t="shared" si="268"/>
        <v>688941.39882461878</v>
      </c>
      <c r="AE315" s="613">
        <f t="shared" si="268"/>
        <v>660010.58399043907</v>
      </c>
      <c r="AF315" s="613">
        <f t="shared" si="268"/>
        <v>631356.74476012052</v>
      </c>
      <c r="AG315" s="613">
        <f t="shared" si="268"/>
        <v>602986.77716065897</v>
      </c>
      <c r="AJ315" s="302"/>
    </row>
    <row r="316" spans="1:37" s="216" customFormat="1">
      <c r="B316" s="301"/>
      <c r="C316" s="625"/>
      <c r="D316" s="625"/>
      <c r="E316" s="625"/>
      <c r="F316" s="625"/>
      <c r="G316" s="625"/>
      <c r="H316" s="625"/>
      <c r="I316" s="625"/>
      <c r="J316" s="625"/>
      <c r="K316" s="625"/>
      <c r="L316" s="625"/>
      <c r="M316" s="625"/>
      <c r="N316" s="625"/>
      <c r="O316" s="625"/>
      <c r="P316" s="625"/>
      <c r="Q316" s="625"/>
      <c r="R316" s="625"/>
      <c r="S316" s="625"/>
      <c r="T316" s="625"/>
      <c r="U316" s="625"/>
      <c r="V316" s="625"/>
      <c r="W316" s="625"/>
      <c r="X316" s="625"/>
      <c r="Y316" s="625"/>
      <c r="Z316" s="625"/>
      <c r="AA316" s="625"/>
      <c r="AB316" s="625"/>
      <c r="AC316" s="625"/>
      <c r="AD316" s="625"/>
      <c r="AE316" s="625"/>
      <c r="AF316" s="625"/>
      <c r="AG316" s="625"/>
      <c r="AJ316" s="302"/>
    </row>
    <row r="317" spans="1:37" s="216" customFormat="1">
      <c r="A317" s="328" t="s">
        <v>723</v>
      </c>
      <c r="B317" s="329" t="s">
        <v>127</v>
      </c>
      <c r="C317" s="611">
        <f t="shared" ref="C317:AG317" si="269">C295-C308-C310</f>
        <v>240749.67092330955</v>
      </c>
      <c r="D317" s="611">
        <f t="shared" si="269"/>
        <v>241331.08723174367</v>
      </c>
      <c r="E317" s="611">
        <f t="shared" si="269"/>
        <v>242021.43921149182</v>
      </c>
      <c r="F317" s="611">
        <f t="shared" si="269"/>
        <v>242815.26796224565</v>
      </c>
      <c r="G317" s="611">
        <f t="shared" si="269"/>
        <v>243706.06437388135</v>
      </c>
      <c r="H317" s="611">
        <f t="shared" si="269"/>
        <v>244685.29563448843</v>
      </c>
      <c r="I317" s="611">
        <f t="shared" si="269"/>
        <v>244863.62831287162</v>
      </c>
      <c r="J317" s="611">
        <f t="shared" si="269"/>
        <v>245067.01045377934</v>
      </c>
      <c r="K317" s="611">
        <f t="shared" si="269"/>
        <v>245264.18671662535</v>
      </c>
      <c r="L317" s="611">
        <f t="shared" si="269"/>
        <v>245404.78996981864</v>
      </c>
      <c r="M317" s="611">
        <f t="shared" si="269"/>
        <v>245406.15949235382</v>
      </c>
      <c r="N317" s="611">
        <f t="shared" si="269"/>
        <v>232131.75222936631</v>
      </c>
      <c r="O317" s="611">
        <f t="shared" si="269"/>
        <v>219541.98476992868</v>
      </c>
      <c r="P317" s="611">
        <f t="shared" si="269"/>
        <v>206661.59287665124</v>
      </c>
      <c r="Q317" s="611">
        <f t="shared" si="269"/>
        <v>193949.50017759728</v>
      </c>
      <c r="R317" s="611">
        <f t="shared" si="269"/>
        <v>181443.0818300925</v>
      </c>
      <c r="S317" s="611">
        <f t="shared" si="269"/>
        <v>169350.02289086714</v>
      </c>
      <c r="T317" s="611">
        <f t="shared" si="269"/>
        <v>157797.79647156922</v>
      </c>
      <c r="U317" s="611">
        <f t="shared" si="269"/>
        <v>152929.3079589663</v>
      </c>
      <c r="V317" s="611">
        <f t="shared" si="269"/>
        <v>148699.20970486887</v>
      </c>
      <c r="W317" s="611">
        <f t="shared" si="269"/>
        <v>144275.2994310701</v>
      </c>
      <c r="X317" s="611">
        <f t="shared" si="269"/>
        <v>141791.46609593934</v>
      </c>
      <c r="Y317" s="611">
        <f t="shared" si="269"/>
        <v>140659.00248073071</v>
      </c>
      <c r="Z317" s="611">
        <f t="shared" si="269"/>
        <v>138861.56066031719</v>
      </c>
      <c r="AA317" s="611">
        <f t="shared" si="269"/>
        <v>136411.95683683077</v>
      </c>
      <c r="AB317" s="611">
        <f t="shared" si="269"/>
        <v>133257.00194502925</v>
      </c>
      <c r="AC317" s="611">
        <f t="shared" si="269"/>
        <v>129263.87902528699</v>
      </c>
      <c r="AD317" s="611">
        <f t="shared" si="269"/>
        <v>124383.77339766323</v>
      </c>
      <c r="AE317" s="611">
        <f t="shared" si="269"/>
        <v>118549.56729459744</v>
      </c>
      <c r="AF317" s="611">
        <f t="shared" si="269"/>
        <v>111779.79363980572</v>
      </c>
      <c r="AG317" s="619">
        <f t="shared" si="269"/>
        <v>104230.24117800551</v>
      </c>
      <c r="AI317" s="216" t="s">
        <v>755</v>
      </c>
      <c r="AJ317" s="302"/>
    </row>
    <row r="318" spans="1:37" s="216" customFormat="1">
      <c r="A318" s="332" t="s">
        <v>724</v>
      </c>
      <c r="B318" s="333" t="s">
        <v>127</v>
      </c>
      <c r="C318" s="620">
        <f>C296+C317</f>
        <v>1552680.8935517822</v>
      </c>
      <c r="D318" s="620">
        <f t="shared" ref="D318:AF318" si="270">D296+D317</f>
        <v>1534954.1588432728</v>
      </c>
      <c r="E318" s="620">
        <f t="shared" si="270"/>
        <v>1517373.5433382352</v>
      </c>
      <c r="F318" s="620">
        <f t="shared" si="270"/>
        <v>1499936.3210106969</v>
      </c>
      <c r="G318" s="620">
        <f t="shared" si="270"/>
        <v>1482638.6952120552</v>
      </c>
      <c r="H318" s="620">
        <f t="shared" si="270"/>
        <v>1465474.8251791056</v>
      </c>
      <c r="I318" s="620">
        <f t="shared" si="270"/>
        <v>1444352.079089466</v>
      </c>
      <c r="J318" s="620">
        <f t="shared" si="270"/>
        <v>1423338.2652038985</v>
      </c>
      <c r="K318" s="620">
        <f t="shared" si="270"/>
        <v>1402405.3284663586</v>
      </c>
      <c r="L318" s="620">
        <f t="shared" si="270"/>
        <v>1381506.0761043017</v>
      </c>
      <c r="M318" s="620">
        <f t="shared" si="270"/>
        <v>1360560.995830276</v>
      </c>
      <c r="N318" s="620">
        <f t="shared" si="270"/>
        <v>1317455.4923395994</v>
      </c>
      <c r="O318" s="620">
        <f t="shared" si="270"/>
        <v>1278267.1836565263</v>
      </c>
      <c r="P318" s="620">
        <f t="shared" si="270"/>
        <v>1235549.117000178</v>
      </c>
      <c r="Q318" s="620">
        <f t="shared" si="270"/>
        <v>1193213.4929285888</v>
      </c>
      <c r="R318" s="620">
        <f t="shared" si="270"/>
        <v>1151302.3288391687</v>
      </c>
      <c r="S318" s="620">
        <f t="shared" si="270"/>
        <v>1110461.9491295239</v>
      </c>
      <c r="T318" s="620">
        <f t="shared" si="270"/>
        <v>1070385.0595876989</v>
      </c>
      <c r="U318" s="620">
        <f t="shared" si="270"/>
        <v>1030685.2402041419</v>
      </c>
      <c r="V318" s="620">
        <f t="shared" si="270"/>
        <v>991893.47177293769</v>
      </c>
      <c r="W318" s="620">
        <f t="shared" si="270"/>
        <v>954236.568774382</v>
      </c>
      <c r="X318" s="620">
        <f t="shared" si="270"/>
        <v>895906.51743197488</v>
      </c>
      <c r="Y318" s="620">
        <f t="shared" si="270"/>
        <v>848820.0244512104</v>
      </c>
      <c r="Z318" s="620">
        <f t="shared" si="270"/>
        <v>803418.12288189388</v>
      </c>
      <c r="AA318" s="620">
        <f t="shared" si="270"/>
        <v>759843.52726515592</v>
      </c>
      <c r="AB318" s="620">
        <f t="shared" si="270"/>
        <v>717960.80482854671</v>
      </c>
      <c r="AC318" s="620">
        <f t="shared" si="270"/>
        <v>677349.04685147945</v>
      </c>
      <c r="AD318" s="620">
        <f t="shared" si="270"/>
        <v>638105.24659400608</v>
      </c>
      <c r="AE318" s="620">
        <f t="shared" si="270"/>
        <v>600086.22233986564</v>
      </c>
      <c r="AF318" s="620">
        <f t="shared" si="270"/>
        <v>563236.54344325885</v>
      </c>
      <c r="AG318" s="621">
        <f>AG296+AG317</f>
        <v>527640.07472788717</v>
      </c>
      <c r="AI318" s="216" t="s">
        <v>756</v>
      </c>
      <c r="AJ318" s="302"/>
    </row>
    <row r="319" spans="1:37" s="216" customFormat="1">
      <c r="B319" s="301"/>
      <c r="C319" s="296"/>
      <c r="D319" s="296"/>
      <c r="E319" s="296"/>
      <c r="F319" s="296"/>
      <c r="G319" s="296"/>
      <c r="H319" s="296"/>
      <c r="I319" s="296"/>
      <c r="J319" s="296"/>
      <c r="K319" s="296"/>
      <c r="L319" s="296"/>
      <c r="M319" s="296"/>
      <c r="N319" s="296"/>
      <c r="O319" s="296"/>
      <c r="P319" s="296"/>
      <c r="Q319" s="296"/>
      <c r="R319" s="296"/>
      <c r="S319" s="296"/>
      <c r="T319" s="296"/>
      <c r="U319" s="296"/>
      <c r="V319" s="296"/>
      <c r="W319" s="296"/>
      <c r="X319" s="296"/>
      <c r="Y319" s="296"/>
      <c r="Z319" s="296"/>
      <c r="AA319" s="296"/>
      <c r="AB319" s="296"/>
      <c r="AC319" s="296"/>
      <c r="AD319" s="296"/>
      <c r="AE319" s="296"/>
      <c r="AF319" s="296"/>
      <c r="AG319" s="296"/>
      <c r="AJ319" s="302"/>
    </row>
    <row r="320" spans="1:37" s="169" customFormat="1">
      <c r="B320" s="165"/>
      <c r="C320" s="104"/>
      <c r="D320" s="104"/>
      <c r="E320" s="104"/>
      <c r="F320" s="104"/>
      <c r="G320" s="104"/>
      <c r="H320" s="104"/>
      <c r="I320" s="104"/>
      <c r="J320" s="104"/>
      <c r="K320" s="104"/>
      <c r="L320" s="104"/>
      <c r="M320" s="104"/>
      <c r="N320" s="104"/>
      <c r="O320" s="104"/>
      <c r="P320" s="104"/>
      <c r="Q320" s="104"/>
      <c r="R320" s="104"/>
      <c r="S320" s="104"/>
      <c r="T320" s="104"/>
      <c r="U320" s="104"/>
      <c r="V320" s="104"/>
      <c r="W320" s="104"/>
      <c r="X320" s="104"/>
      <c r="Y320" s="104"/>
      <c r="Z320" s="104"/>
      <c r="AA320" s="104"/>
      <c r="AB320" s="104"/>
      <c r="AC320" s="104"/>
      <c r="AD320" s="104"/>
      <c r="AE320" s="104"/>
      <c r="AF320" s="104"/>
      <c r="AG320" s="220"/>
      <c r="AJ320" s="300"/>
    </row>
    <row r="321" spans="1:34" ht="15.5" thickBot="1">
      <c r="A321" s="187"/>
      <c r="B321" s="221"/>
      <c r="C321" s="222"/>
      <c r="D321" s="208"/>
      <c r="E321" s="208"/>
      <c r="F321" s="208"/>
      <c r="G321" s="208"/>
      <c r="H321" s="208"/>
      <c r="I321" s="208"/>
      <c r="J321" s="208"/>
      <c r="K321" s="208"/>
      <c r="L321" s="208"/>
      <c r="M321" s="223"/>
      <c r="N321" s="104"/>
      <c r="O321" s="104"/>
      <c r="P321" s="104"/>
      <c r="Q321" s="104"/>
      <c r="R321" s="104"/>
      <c r="S321" s="104"/>
      <c r="T321" s="104"/>
      <c r="U321" s="104"/>
      <c r="V321" s="104"/>
      <c r="W321" s="120"/>
      <c r="X321" s="104"/>
      <c r="Y321" s="104"/>
      <c r="Z321" s="104"/>
      <c r="AA321" s="104"/>
      <c r="AB321" s="104"/>
      <c r="AC321" s="104"/>
      <c r="AD321" s="104"/>
      <c r="AE321" s="104"/>
      <c r="AF321" s="104"/>
      <c r="AG321" s="104"/>
    </row>
    <row r="322" spans="1:34" ht="15.5" hidden="1" thickTop="1">
      <c r="A322" s="169"/>
      <c r="B322" s="123"/>
      <c r="C322" s="220"/>
      <c r="D322" s="219"/>
      <c r="E322" s="219"/>
      <c r="F322" s="219"/>
      <c r="G322" s="219"/>
      <c r="H322" s="219"/>
      <c r="I322" s="219"/>
      <c r="J322" s="219"/>
      <c r="K322" s="219"/>
      <c r="L322" s="219"/>
      <c r="M322" s="121"/>
      <c r="N322" s="104"/>
      <c r="O322" s="104"/>
      <c r="P322" s="104"/>
      <c r="Q322" s="104"/>
      <c r="R322" s="104"/>
      <c r="S322" s="104"/>
      <c r="T322" s="104"/>
      <c r="U322" s="104"/>
      <c r="V322" s="104"/>
      <c r="W322" s="100"/>
      <c r="X322" s="104"/>
      <c r="Y322" s="104"/>
      <c r="Z322" s="104"/>
      <c r="AA322" s="104"/>
      <c r="AB322" s="104"/>
      <c r="AC322" s="104"/>
      <c r="AD322" s="104"/>
      <c r="AE322" s="104"/>
      <c r="AF322" s="104"/>
      <c r="AG322" s="53"/>
    </row>
    <row r="323" spans="1:34" hidden="1">
      <c r="C323" s="220"/>
      <c r="D323" s="220"/>
      <c r="E323" s="220"/>
      <c r="F323" s="220"/>
      <c r="G323" s="220"/>
      <c r="H323" s="220"/>
      <c r="I323" s="220"/>
      <c r="J323" s="220"/>
      <c r="K323" s="220"/>
      <c r="L323" s="220"/>
      <c r="M323" s="121"/>
      <c r="AG323" s="53"/>
    </row>
    <row r="324" spans="1:34" hidden="1">
      <c r="C324" s="220"/>
      <c r="D324" s="220"/>
      <c r="E324" s="220"/>
      <c r="F324" s="220"/>
      <c r="G324" s="220"/>
      <c r="H324" s="220"/>
      <c r="I324" s="220"/>
      <c r="J324" s="220"/>
      <c r="K324" s="220"/>
      <c r="L324" s="220"/>
      <c r="M324" s="121"/>
      <c r="AG324" s="53"/>
    </row>
    <row r="325" spans="1:34" hidden="1">
      <c r="C325" s="220"/>
      <c r="D325" s="220"/>
      <c r="E325" s="220"/>
      <c r="F325" s="220"/>
      <c r="G325" s="220"/>
      <c r="H325" s="220"/>
      <c r="I325" s="220"/>
      <c r="J325" s="220"/>
      <c r="K325" s="220"/>
      <c r="L325" s="220"/>
      <c r="M325" s="121"/>
      <c r="AG325" s="53"/>
    </row>
    <row r="326" spans="1:34" hidden="1">
      <c r="B326"/>
      <c r="C326" s="220"/>
      <c r="D326" s="220"/>
      <c r="E326" s="220"/>
      <c r="F326" s="220"/>
      <c r="G326" s="220"/>
      <c r="H326" s="220"/>
      <c r="I326" s="220"/>
      <c r="J326" s="220"/>
      <c r="K326" s="220"/>
      <c r="L326" s="220"/>
      <c r="M326" s="121"/>
      <c r="AG326" s="53"/>
    </row>
    <row r="327" spans="1:34" hidden="1">
      <c r="B327" s="48"/>
      <c r="C327" s="219"/>
      <c r="D327" s="220"/>
      <c r="E327" s="220"/>
      <c r="F327" s="220"/>
      <c r="G327" s="220"/>
      <c r="H327" s="220"/>
      <c r="I327" s="220"/>
      <c r="J327" s="220"/>
      <c r="K327" s="220"/>
      <c r="L327" s="220"/>
      <c r="M327" s="220"/>
    </row>
    <row r="328" spans="1:34" hidden="1">
      <c r="B328" s="169"/>
      <c r="C328" s="220"/>
      <c r="D328" s="220"/>
      <c r="E328" s="220"/>
      <c r="F328" s="220"/>
      <c r="G328" s="220"/>
      <c r="H328" s="220"/>
      <c r="I328" s="220"/>
      <c r="J328" s="220"/>
      <c r="K328" s="220"/>
      <c r="L328" s="220"/>
      <c r="M328" s="220"/>
    </row>
    <row r="329" spans="1:34" ht="15.5" thickTop="1">
      <c r="B329" s="48"/>
    </row>
    <row r="330" spans="1:34">
      <c r="B330" s="48"/>
    </row>
    <row r="331" spans="1:34">
      <c r="B331" s="48"/>
    </row>
    <row r="332" spans="1:34">
      <c r="A332" s="230"/>
      <c r="B332" s="258"/>
    </row>
    <row r="333" spans="1:34">
      <c r="A333" s="106"/>
      <c r="B333"/>
      <c r="C333" s="2"/>
      <c r="AG333" s="2"/>
    </row>
    <row r="334" spans="1:34">
      <c r="C334" s="2"/>
      <c r="AG334" s="2"/>
      <c r="AH334" s="230"/>
    </row>
    <row r="335" spans="1:34">
      <c r="C335" s="2"/>
      <c r="AG335" s="2"/>
    </row>
    <row r="336" spans="1:34">
      <c r="C336" s="2"/>
      <c r="AG336" s="2"/>
    </row>
    <row r="337" spans="3:33">
      <c r="C337" s="2"/>
      <c r="AG337" s="2"/>
    </row>
    <row r="338" spans="3:33">
      <c r="C338" s="2"/>
      <c r="AG338" s="2"/>
    </row>
  </sheetData>
  <mergeCells count="4">
    <mergeCell ref="BD116:BE116"/>
    <mergeCell ref="BD106:BE106"/>
    <mergeCell ref="BD111:BE111"/>
    <mergeCell ref="AI288:AI296"/>
  </mergeCells>
  <hyperlinks>
    <hyperlink ref="AJ110" r:id="rId1" xr:uid="{D8AB2709-857C-422C-A3AC-7C781BC300EC}"/>
    <hyperlink ref="AJ111" r:id="rId2" xr:uid="{D7778EEE-F00F-459A-AB60-035BCA437FBE}"/>
  </hyperlinks>
  <pageMargins left="0.7" right="0.7" top="0.75" bottom="0.75" header="0.3" footer="0.3"/>
  <pageSetup orientation="portrait" r:id="rId3"/>
  <drawing r:id="rId4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A28A3-6961-4768-9D36-6787C1C64686}">
  <sheetPr>
    <tabColor theme="4"/>
  </sheetPr>
  <dimension ref="A1:BL197"/>
  <sheetViews>
    <sheetView topLeftCell="A178" zoomScale="70" zoomScaleNormal="70" workbookViewId="0">
      <selection activeCell="AI194" sqref="AI194"/>
    </sheetView>
  </sheetViews>
  <sheetFormatPr defaultRowHeight="14.75" outlineLevelRow="2" outlineLevelCol="1"/>
  <cols>
    <col min="1" max="1" width="56.7265625" customWidth="1"/>
    <col min="2" max="2" width="15.36328125" style="51" bestFit="1" customWidth="1"/>
    <col min="3" max="3" width="12.76953125" style="101" bestFit="1" customWidth="1"/>
    <col min="4" max="12" width="8.81640625" style="101" hidden="1" customWidth="1" outlineLevel="1"/>
    <col min="13" max="13" width="10.36328125" style="101" customWidth="1" collapsed="1"/>
    <col min="14" max="22" width="8.81640625" style="101" hidden="1" customWidth="1" outlineLevel="1"/>
    <col min="23" max="23" width="12.76953125" style="101" bestFit="1" customWidth="1" collapsed="1"/>
    <col min="24" max="32" width="8.81640625" style="101" hidden="1" customWidth="1" outlineLevel="1"/>
    <col min="33" max="33" width="12.76953125" style="101" bestFit="1" customWidth="1" collapsed="1"/>
    <col min="35" max="35" width="52.81640625" bestFit="1" customWidth="1"/>
    <col min="36" max="36" width="30.36328125" style="3" customWidth="1"/>
    <col min="37" max="37" width="13.26953125" customWidth="1"/>
    <col min="38" max="38" width="20.36328125" bestFit="1" customWidth="1"/>
    <col min="41" max="41" width="17.81640625" customWidth="1"/>
    <col min="42" max="42" width="18.08984375" customWidth="1"/>
    <col min="44" max="44" width="10.36328125" customWidth="1"/>
    <col min="47" max="47" width="20.08984375" bestFit="1" customWidth="1"/>
    <col min="55" max="55" width="49" bestFit="1" customWidth="1"/>
    <col min="56" max="56" width="8.81640625" customWidth="1"/>
  </cols>
  <sheetData>
    <row r="1" spans="1:47">
      <c r="C1" s="113">
        <v>2020</v>
      </c>
      <c r="D1" s="113">
        <f>C1+1</f>
        <v>2021</v>
      </c>
      <c r="E1" s="113">
        <f t="shared" ref="E1:L1" si="0">D1+1</f>
        <v>2022</v>
      </c>
      <c r="F1" s="113">
        <f t="shared" si="0"/>
        <v>2023</v>
      </c>
      <c r="G1" s="113">
        <f t="shared" si="0"/>
        <v>2024</v>
      </c>
      <c r="H1" s="113">
        <f t="shared" si="0"/>
        <v>2025</v>
      </c>
      <c r="I1" s="113">
        <f t="shared" si="0"/>
        <v>2026</v>
      </c>
      <c r="J1" s="113">
        <f t="shared" si="0"/>
        <v>2027</v>
      </c>
      <c r="K1" s="113">
        <f t="shared" si="0"/>
        <v>2028</v>
      </c>
      <c r="L1" s="113">
        <f t="shared" si="0"/>
        <v>2029</v>
      </c>
      <c r="M1" s="113">
        <v>2030</v>
      </c>
      <c r="N1" s="113">
        <f>M1+1</f>
        <v>2031</v>
      </c>
      <c r="O1" s="113">
        <f t="shared" ref="O1:V1" si="1">N1+1</f>
        <v>2032</v>
      </c>
      <c r="P1" s="113">
        <f t="shared" si="1"/>
        <v>2033</v>
      </c>
      <c r="Q1" s="113">
        <f t="shared" si="1"/>
        <v>2034</v>
      </c>
      <c r="R1" s="113">
        <f t="shared" si="1"/>
        <v>2035</v>
      </c>
      <c r="S1" s="113">
        <f t="shared" si="1"/>
        <v>2036</v>
      </c>
      <c r="T1" s="113">
        <f t="shared" si="1"/>
        <v>2037</v>
      </c>
      <c r="U1" s="113">
        <f t="shared" si="1"/>
        <v>2038</v>
      </c>
      <c r="V1" s="113">
        <f t="shared" si="1"/>
        <v>2039</v>
      </c>
      <c r="W1" s="113">
        <v>2040</v>
      </c>
      <c r="X1" s="113">
        <f>W1+1</f>
        <v>2041</v>
      </c>
      <c r="Y1" s="113">
        <f t="shared" ref="Y1:AF1" si="2">X1+1</f>
        <v>2042</v>
      </c>
      <c r="Z1" s="113">
        <f t="shared" si="2"/>
        <v>2043</v>
      </c>
      <c r="AA1" s="113">
        <f t="shared" si="2"/>
        <v>2044</v>
      </c>
      <c r="AB1" s="113">
        <f t="shared" si="2"/>
        <v>2045</v>
      </c>
      <c r="AC1" s="113">
        <f t="shared" si="2"/>
        <v>2046</v>
      </c>
      <c r="AD1" s="113">
        <f t="shared" si="2"/>
        <v>2047</v>
      </c>
      <c r="AE1" s="113">
        <f t="shared" si="2"/>
        <v>2048</v>
      </c>
      <c r="AF1" s="113">
        <f t="shared" si="2"/>
        <v>2049</v>
      </c>
      <c r="AG1" s="113">
        <v>2050</v>
      </c>
      <c r="AI1" s="1" t="s">
        <v>67</v>
      </c>
      <c r="AJ1" s="151" t="s">
        <v>60</v>
      </c>
      <c r="AO1" s="1"/>
    </row>
    <row r="2" spans="1:47" ht="15.5" thickBot="1">
      <c r="A2" s="187" t="str">
        <f>'Ethylene Recycling HC'!A2</f>
        <v>Plastic waste generation</v>
      </c>
      <c r="B2" s="187" t="str">
        <f>'Ethylene Recycling HC'!B2</f>
        <v>mT</v>
      </c>
      <c r="C2" s="186">
        <f>SUM('Yearly Demand - Eth-Prop'!L3,'Yearly Demand - Eth-Prop'!L4,'Yearly Demand - C4'!O3,'Yearly Demand - BTX'!N3)*0.8</f>
        <v>5301378.929236711</v>
      </c>
      <c r="D2" s="186">
        <f>SUM('Yearly Demand - Eth-Prop'!M3,'Yearly Demand - Eth-Prop'!M4,'Yearly Demand - C4'!P3,'Yearly Demand - BTX'!O3)*0.8</f>
        <v>5301378.929236711</v>
      </c>
      <c r="E2" s="186">
        <f>SUM('Yearly Demand - Eth-Prop'!N3,'Yearly Demand - Eth-Prop'!N4,'Yearly Demand - C4'!Q3,'Yearly Demand - BTX'!P3)*0.8</f>
        <v>5301378.929236711</v>
      </c>
      <c r="F2" s="186">
        <f>SUM('Yearly Demand - Eth-Prop'!O3,'Yearly Demand - Eth-Prop'!O4,'Yearly Demand - C4'!R3,'Yearly Demand - BTX'!Q3)*0.8</f>
        <v>5301378.929236711</v>
      </c>
      <c r="G2" s="186">
        <f>SUM('Yearly Demand - Eth-Prop'!P3,'Yearly Demand - Eth-Prop'!P4,'Yearly Demand - C4'!S3,'Yearly Demand - BTX'!R3)*0.8</f>
        <v>5301378.929236711</v>
      </c>
      <c r="H2" s="186">
        <f>SUM('Yearly Demand - Eth-Prop'!Q3,'Yearly Demand - Eth-Prop'!Q4,'Yearly Demand - C4'!T3,'Yearly Demand - BTX'!S3)*0.8</f>
        <v>5301378.929236711</v>
      </c>
      <c r="I2" s="186">
        <f>SUM('Yearly Demand - Eth-Prop'!R3,'Yearly Demand - Eth-Prop'!R4,'Yearly Demand - C4'!U3,'Yearly Demand - BTX'!T3)*0.8</f>
        <v>5301378.929236711</v>
      </c>
      <c r="J2" s="186">
        <f>SUM('Yearly Demand - Eth-Prop'!S3,'Yearly Demand - Eth-Prop'!S4,'Yearly Demand - C4'!V3,'Yearly Demand - BTX'!U3)*0.8</f>
        <v>5301378.929236711</v>
      </c>
      <c r="K2" s="186">
        <f>SUM('Yearly Demand - Eth-Prop'!T3,'Yearly Demand - Eth-Prop'!T4,'Yearly Demand - C4'!W3,'Yearly Demand - BTX'!V3)*0.8</f>
        <v>5301378.929236711</v>
      </c>
      <c r="L2" s="186">
        <f>SUM('Yearly Demand - Eth-Prop'!U3,'Yearly Demand - Eth-Prop'!U4,'Yearly Demand - C4'!X3,'Yearly Demand - BTX'!W3)*0.8</f>
        <v>5301378.929236711</v>
      </c>
      <c r="M2" s="186">
        <f>SUM('Yearly Demand - Eth-Prop'!V3,'Yearly Demand - Eth-Prop'!V4,'Yearly Demand - C4'!Y3,'Yearly Demand - BTX'!X3)*0.8</f>
        <v>5301378.929236711</v>
      </c>
      <c r="N2" s="186">
        <f>SUM('Yearly Demand - Eth-Prop'!W3,'Yearly Demand - Eth-Prop'!W4,'Yearly Demand - C4'!Z3,'Yearly Demand - BTX'!Y3)*0.8</f>
        <v>5301378.929236711</v>
      </c>
      <c r="O2" s="186">
        <f>SUM('Yearly Demand - Eth-Prop'!X3,'Yearly Demand - Eth-Prop'!X4,'Yearly Demand - C4'!AA3,'Yearly Demand - BTX'!Z3)*0.8</f>
        <v>5301378.929236711</v>
      </c>
      <c r="P2" s="186">
        <f>SUM('Yearly Demand - Eth-Prop'!Y3,'Yearly Demand - Eth-Prop'!Y4,'Yearly Demand - C4'!AB3,'Yearly Demand - BTX'!AA3)*0.8</f>
        <v>5301378.929236711</v>
      </c>
      <c r="Q2" s="186">
        <f>SUM('Yearly Demand - Eth-Prop'!Z3,'Yearly Demand - Eth-Prop'!Z4,'Yearly Demand - C4'!AC3,'Yearly Demand - BTX'!AB3)*0.8</f>
        <v>5301378.929236711</v>
      </c>
      <c r="R2" s="186">
        <f>SUM('Yearly Demand - Eth-Prop'!AA3,'Yearly Demand - Eth-Prop'!AA4,'Yearly Demand - C4'!AD3,'Yearly Demand - BTX'!AC3)*0.8</f>
        <v>5301378.929236711</v>
      </c>
      <c r="S2" s="186">
        <f>SUM('Yearly Demand - Eth-Prop'!AB3,'Yearly Demand - Eth-Prop'!AB4,'Yearly Demand - C4'!AE3,'Yearly Demand - BTX'!AD3)*0.8</f>
        <v>5301378.929236711</v>
      </c>
      <c r="T2" s="186">
        <f>SUM('Yearly Demand - Eth-Prop'!AC3,'Yearly Demand - Eth-Prop'!AC4,'Yearly Demand - C4'!AF3,'Yearly Demand - BTX'!AE3)*0.8</f>
        <v>5301378.929236711</v>
      </c>
      <c r="U2" s="186">
        <f>SUM('Yearly Demand - Eth-Prop'!AD3,'Yearly Demand - Eth-Prop'!AD4,'Yearly Demand - C4'!AG3,'Yearly Demand - BTX'!AF3)*0.8</f>
        <v>5301378.929236711</v>
      </c>
      <c r="V2" s="186">
        <f>SUM('Yearly Demand - Eth-Prop'!AE3,'Yearly Demand - Eth-Prop'!AE4,'Yearly Demand - C4'!AH3,'Yearly Demand - BTX'!AG3)*0.8</f>
        <v>5301378.929236711</v>
      </c>
      <c r="W2" s="186">
        <f>SUM('Yearly Demand - Eth-Prop'!AF3,'Yearly Demand - Eth-Prop'!AF4,'Yearly Demand - C4'!AI3,'Yearly Demand - BTX'!AH3)*0.8</f>
        <v>5301378.929236711</v>
      </c>
      <c r="X2" s="186">
        <f>SUM('Yearly Demand - Eth-Prop'!AG3,'Yearly Demand - Eth-Prop'!AG4,'Yearly Demand - C4'!AJ3,'Yearly Demand - BTX'!AI3)*0.8</f>
        <v>5301378.929236711</v>
      </c>
      <c r="Y2" s="186">
        <f>SUM('Yearly Demand - Eth-Prop'!AH3,'Yearly Demand - Eth-Prop'!AH4,'Yearly Demand - C4'!AK3,'Yearly Demand - BTX'!AJ3)*0.8</f>
        <v>5301378.929236711</v>
      </c>
      <c r="Z2" s="186">
        <f>SUM('Yearly Demand - Eth-Prop'!AI3,'Yearly Demand - Eth-Prop'!AI4,'Yearly Demand - C4'!AL3,'Yearly Demand - BTX'!AK3)*0.8</f>
        <v>5301378.929236711</v>
      </c>
      <c r="AA2" s="186">
        <f>SUM('Yearly Demand - Eth-Prop'!AJ3,'Yearly Demand - Eth-Prop'!AJ4,'Yearly Demand - C4'!AM3,'Yearly Demand - BTX'!AL3)*0.8</f>
        <v>5301378.929236711</v>
      </c>
      <c r="AB2" s="186">
        <f>SUM('Yearly Demand - Eth-Prop'!AK3,'Yearly Demand - Eth-Prop'!AK4,'Yearly Demand - C4'!AN3,'Yearly Demand - BTX'!AM3)*0.8</f>
        <v>5301378.929236711</v>
      </c>
      <c r="AC2" s="186">
        <f>SUM('Yearly Demand - Eth-Prop'!AL3,'Yearly Demand - Eth-Prop'!AL4,'Yearly Demand - C4'!AO3,'Yearly Demand - BTX'!AN3)*0.8</f>
        <v>5301378.929236711</v>
      </c>
      <c r="AD2" s="186">
        <f>SUM('Yearly Demand - Eth-Prop'!AM3,'Yearly Demand - Eth-Prop'!AM4,'Yearly Demand - C4'!AP3,'Yearly Demand - BTX'!AO3)*0.8</f>
        <v>5301378.929236711</v>
      </c>
      <c r="AE2" s="186">
        <f>SUM('Yearly Demand - Eth-Prop'!AN3,'Yearly Demand - Eth-Prop'!AN4,'Yearly Demand - C4'!AQ3,'Yearly Demand - BTX'!AP3)*0.8</f>
        <v>5301378.929236711</v>
      </c>
      <c r="AF2" s="186">
        <f>SUM('Yearly Demand - Eth-Prop'!AO3,'Yearly Demand - Eth-Prop'!AO4,'Yearly Demand - C4'!AR3,'Yearly Demand - BTX'!AQ3)*0.8</f>
        <v>5301378.929236711</v>
      </c>
      <c r="AG2" s="186">
        <f>SUM('Yearly Demand - Eth-Prop'!AP3,'Yearly Demand - Eth-Prop'!AP4,'Yearly Demand - C4'!AS3,'Yearly Demand - BTX'!AR3)*0.8</f>
        <v>5301378.929236711</v>
      </c>
      <c r="AH2" s="676"/>
      <c r="AI2" s="677">
        <f>(AG2/C2)^(1/30)-1</f>
        <v>0</v>
      </c>
      <c r="AJ2" s="199" t="s">
        <v>397</v>
      </c>
      <c r="AR2" s="1"/>
      <c r="AU2" s="22"/>
    </row>
    <row r="3" spans="1:47" ht="15.5" outlineLevel="1" thickTop="1">
      <c r="C3" s="105"/>
      <c r="D3" s="105"/>
      <c r="E3" s="105"/>
      <c r="F3" s="105"/>
      <c r="G3" s="105"/>
      <c r="H3" s="105"/>
      <c r="I3" s="105"/>
      <c r="J3" s="105"/>
      <c r="K3" s="105"/>
      <c r="L3" s="105"/>
      <c r="N3" s="105"/>
      <c r="O3" s="105"/>
      <c r="P3" s="105"/>
      <c r="Q3" s="105"/>
      <c r="R3" s="105"/>
      <c r="S3" s="105"/>
      <c r="T3" s="105"/>
      <c r="U3" s="105"/>
      <c r="V3" s="105"/>
      <c r="X3" s="105"/>
      <c r="Y3" s="105"/>
      <c r="Z3" s="105"/>
      <c r="AA3" s="105"/>
      <c r="AB3" s="105"/>
      <c r="AC3" s="105"/>
      <c r="AD3" s="105"/>
      <c r="AE3" s="105"/>
      <c r="AF3" s="105"/>
      <c r="AI3" s="52"/>
      <c r="AJ3" s="200"/>
    </row>
    <row r="4" spans="1:47" outlineLevel="1">
      <c r="A4" t="s">
        <v>401</v>
      </c>
      <c r="B4" s="51" t="s">
        <v>126</v>
      </c>
      <c r="C4" s="104">
        <f>'Waste gen. - Industry shares'!C18+'Waste gen. - Industry shares'!C22</f>
        <v>0.52761781690498222</v>
      </c>
      <c r="D4" s="22">
        <f>C4</f>
        <v>0.52761781690498222</v>
      </c>
      <c r="E4" s="22">
        <f t="shared" ref="E4:T8" si="3">D4</f>
        <v>0.52761781690498222</v>
      </c>
      <c r="F4" s="22">
        <f t="shared" si="3"/>
        <v>0.52761781690498222</v>
      </c>
      <c r="G4" s="22">
        <f t="shared" si="3"/>
        <v>0.52761781690498222</v>
      </c>
      <c r="H4" s="22">
        <f t="shared" si="3"/>
        <v>0.52761781690498222</v>
      </c>
      <c r="I4" s="22">
        <f t="shared" si="3"/>
        <v>0.52761781690498222</v>
      </c>
      <c r="J4" s="22">
        <f t="shared" si="3"/>
        <v>0.52761781690498222</v>
      </c>
      <c r="K4" s="22">
        <f t="shared" si="3"/>
        <v>0.52761781690498222</v>
      </c>
      <c r="L4" s="22">
        <f t="shared" si="3"/>
        <v>0.52761781690498222</v>
      </c>
      <c r="M4" s="22">
        <f t="shared" si="3"/>
        <v>0.52761781690498222</v>
      </c>
      <c r="N4" s="22">
        <f t="shared" si="3"/>
        <v>0.52761781690498222</v>
      </c>
      <c r="O4" s="22">
        <f t="shared" si="3"/>
        <v>0.52761781690498222</v>
      </c>
      <c r="P4" s="22">
        <f t="shared" si="3"/>
        <v>0.52761781690498222</v>
      </c>
      <c r="Q4" s="22">
        <f t="shared" si="3"/>
        <v>0.52761781690498222</v>
      </c>
      <c r="R4" s="22">
        <f t="shared" si="3"/>
        <v>0.52761781690498222</v>
      </c>
      <c r="S4" s="22">
        <f t="shared" si="3"/>
        <v>0.52761781690498222</v>
      </c>
      <c r="T4" s="22">
        <f t="shared" si="3"/>
        <v>0.52761781690498222</v>
      </c>
      <c r="U4" s="22">
        <f t="shared" ref="T4:AG8" si="4">T4</f>
        <v>0.52761781690498222</v>
      </c>
      <c r="V4" s="22">
        <f t="shared" si="4"/>
        <v>0.52761781690498222</v>
      </c>
      <c r="W4" s="22">
        <f t="shared" si="4"/>
        <v>0.52761781690498222</v>
      </c>
      <c r="X4" s="22">
        <f t="shared" si="4"/>
        <v>0.52761781690498222</v>
      </c>
      <c r="Y4" s="22">
        <f t="shared" si="4"/>
        <v>0.52761781690498222</v>
      </c>
      <c r="Z4" s="22">
        <f t="shared" si="4"/>
        <v>0.52761781690498222</v>
      </c>
      <c r="AA4" s="22">
        <f t="shared" si="4"/>
        <v>0.52761781690498222</v>
      </c>
      <c r="AB4" s="22">
        <f t="shared" si="4"/>
        <v>0.52761781690498222</v>
      </c>
      <c r="AC4" s="22">
        <f t="shared" si="4"/>
        <v>0.52761781690498222</v>
      </c>
      <c r="AD4" s="22">
        <f t="shared" si="4"/>
        <v>0.52761781690498222</v>
      </c>
      <c r="AE4" s="22">
        <f t="shared" si="4"/>
        <v>0.52761781690498222</v>
      </c>
      <c r="AF4" s="22">
        <f t="shared" si="4"/>
        <v>0.52761781690498222</v>
      </c>
      <c r="AG4" s="22">
        <f t="shared" si="4"/>
        <v>0.52761781690498222</v>
      </c>
      <c r="AI4" s="51" t="s">
        <v>268</v>
      </c>
      <c r="AJ4" s="198"/>
    </row>
    <row r="5" spans="1:47" outlineLevel="1">
      <c r="A5" t="s">
        <v>286</v>
      </c>
      <c r="B5" s="51" t="s">
        <v>126</v>
      </c>
      <c r="C5" s="104">
        <f>'Waste gen. - Industry shares'!C20</f>
        <v>4.980376521164729E-2</v>
      </c>
      <c r="D5" s="22">
        <f>C5</f>
        <v>4.980376521164729E-2</v>
      </c>
      <c r="E5" s="22">
        <f t="shared" si="3"/>
        <v>4.980376521164729E-2</v>
      </c>
      <c r="F5" s="22">
        <f t="shared" si="3"/>
        <v>4.980376521164729E-2</v>
      </c>
      <c r="G5" s="22">
        <f t="shared" si="3"/>
        <v>4.980376521164729E-2</v>
      </c>
      <c r="H5" s="22">
        <f t="shared" si="3"/>
        <v>4.980376521164729E-2</v>
      </c>
      <c r="I5" s="22">
        <f t="shared" si="3"/>
        <v>4.980376521164729E-2</v>
      </c>
      <c r="J5" s="22">
        <f t="shared" si="3"/>
        <v>4.980376521164729E-2</v>
      </c>
      <c r="K5" s="22">
        <f t="shared" si="3"/>
        <v>4.980376521164729E-2</v>
      </c>
      <c r="L5" s="22">
        <f t="shared" si="3"/>
        <v>4.980376521164729E-2</v>
      </c>
      <c r="M5" s="22">
        <f t="shared" si="3"/>
        <v>4.980376521164729E-2</v>
      </c>
      <c r="N5" s="22">
        <f t="shared" si="3"/>
        <v>4.980376521164729E-2</v>
      </c>
      <c r="O5" s="22">
        <f t="shared" si="3"/>
        <v>4.980376521164729E-2</v>
      </c>
      <c r="P5" s="22">
        <f t="shared" si="3"/>
        <v>4.980376521164729E-2</v>
      </c>
      <c r="Q5" s="22">
        <f t="shared" si="3"/>
        <v>4.980376521164729E-2</v>
      </c>
      <c r="R5" s="22">
        <f t="shared" si="3"/>
        <v>4.980376521164729E-2</v>
      </c>
      <c r="S5" s="22">
        <f t="shared" si="3"/>
        <v>4.980376521164729E-2</v>
      </c>
      <c r="T5" s="22">
        <f t="shared" si="4"/>
        <v>4.980376521164729E-2</v>
      </c>
      <c r="U5" s="22">
        <f t="shared" si="4"/>
        <v>4.980376521164729E-2</v>
      </c>
      <c r="V5" s="22">
        <f t="shared" si="4"/>
        <v>4.980376521164729E-2</v>
      </c>
      <c r="W5" s="22">
        <f t="shared" si="4"/>
        <v>4.980376521164729E-2</v>
      </c>
      <c r="X5" s="22">
        <f t="shared" si="4"/>
        <v>4.980376521164729E-2</v>
      </c>
      <c r="Y5" s="22">
        <f t="shared" si="4"/>
        <v>4.980376521164729E-2</v>
      </c>
      <c r="Z5" s="22">
        <f t="shared" si="4"/>
        <v>4.980376521164729E-2</v>
      </c>
      <c r="AA5" s="22">
        <f t="shared" si="4"/>
        <v>4.980376521164729E-2</v>
      </c>
      <c r="AB5" s="22">
        <f t="shared" si="4"/>
        <v>4.980376521164729E-2</v>
      </c>
      <c r="AC5" s="22">
        <f t="shared" si="4"/>
        <v>4.980376521164729E-2</v>
      </c>
      <c r="AD5" s="22">
        <f t="shared" si="4"/>
        <v>4.980376521164729E-2</v>
      </c>
      <c r="AE5" s="22">
        <f t="shared" si="4"/>
        <v>4.980376521164729E-2</v>
      </c>
      <c r="AF5" s="22">
        <f t="shared" si="4"/>
        <v>4.980376521164729E-2</v>
      </c>
      <c r="AG5" s="22">
        <f>AF5</f>
        <v>4.980376521164729E-2</v>
      </c>
      <c r="AI5" s="51" t="s">
        <v>268</v>
      </c>
      <c r="AJ5" s="198"/>
    </row>
    <row r="6" spans="1:47" outlineLevel="1">
      <c r="A6" t="s">
        <v>287</v>
      </c>
      <c r="B6" s="51" t="s">
        <v>126</v>
      </c>
      <c r="C6" s="104">
        <f>'Waste gen. - Industry shares'!C19</f>
        <v>3.9181884245312638E-2</v>
      </c>
      <c r="D6" s="22">
        <f t="shared" ref="D6:D7" si="5">C6</f>
        <v>3.9181884245312638E-2</v>
      </c>
      <c r="E6" s="22">
        <f t="shared" si="3"/>
        <v>3.9181884245312638E-2</v>
      </c>
      <c r="F6" s="22">
        <f t="shared" si="3"/>
        <v>3.9181884245312638E-2</v>
      </c>
      <c r="G6" s="22">
        <f t="shared" si="3"/>
        <v>3.9181884245312638E-2</v>
      </c>
      <c r="H6" s="22">
        <f t="shared" si="3"/>
        <v>3.9181884245312638E-2</v>
      </c>
      <c r="I6" s="22">
        <f t="shared" si="3"/>
        <v>3.9181884245312638E-2</v>
      </c>
      <c r="J6" s="22">
        <f t="shared" si="3"/>
        <v>3.9181884245312638E-2</v>
      </c>
      <c r="K6" s="22">
        <f t="shared" si="3"/>
        <v>3.9181884245312638E-2</v>
      </c>
      <c r="L6" s="22">
        <f t="shared" si="3"/>
        <v>3.9181884245312638E-2</v>
      </c>
      <c r="M6" s="22">
        <f t="shared" si="3"/>
        <v>3.9181884245312638E-2</v>
      </c>
      <c r="N6" s="22">
        <f t="shared" si="3"/>
        <v>3.9181884245312638E-2</v>
      </c>
      <c r="O6" s="22">
        <f t="shared" si="3"/>
        <v>3.9181884245312638E-2</v>
      </c>
      <c r="P6" s="22">
        <f t="shared" si="3"/>
        <v>3.9181884245312638E-2</v>
      </c>
      <c r="Q6" s="22">
        <f t="shared" si="3"/>
        <v>3.9181884245312638E-2</v>
      </c>
      <c r="R6" s="22">
        <f t="shared" si="3"/>
        <v>3.9181884245312638E-2</v>
      </c>
      <c r="S6" s="22">
        <f t="shared" si="3"/>
        <v>3.9181884245312638E-2</v>
      </c>
      <c r="T6" s="22">
        <f t="shared" si="3"/>
        <v>3.9181884245312638E-2</v>
      </c>
      <c r="U6" s="22">
        <f t="shared" si="4"/>
        <v>3.9181884245312638E-2</v>
      </c>
      <c r="V6" s="22">
        <f t="shared" si="4"/>
        <v>3.9181884245312638E-2</v>
      </c>
      <c r="W6" s="22">
        <f t="shared" si="4"/>
        <v>3.9181884245312638E-2</v>
      </c>
      <c r="X6" s="22">
        <f t="shared" si="4"/>
        <v>3.9181884245312638E-2</v>
      </c>
      <c r="Y6" s="22">
        <f t="shared" si="4"/>
        <v>3.9181884245312638E-2</v>
      </c>
      <c r="Z6" s="22">
        <f t="shared" si="4"/>
        <v>3.9181884245312638E-2</v>
      </c>
      <c r="AA6" s="22">
        <f t="shared" si="4"/>
        <v>3.9181884245312638E-2</v>
      </c>
      <c r="AB6" s="22">
        <f t="shared" si="4"/>
        <v>3.9181884245312638E-2</v>
      </c>
      <c r="AC6" s="22">
        <f t="shared" si="4"/>
        <v>3.9181884245312638E-2</v>
      </c>
      <c r="AD6" s="22">
        <f t="shared" si="4"/>
        <v>3.9181884245312638E-2</v>
      </c>
      <c r="AE6" s="22">
        <f t="shared" si="4"/>
        <v>3.9181884245312638E-2</v>
      </c>
      <c r="AF6" s="22">
        <f t="shared" si="4"/>
        <v>3.9181884245312638E-2</v>
      </c>
      <c r="AG6" s="22">
        <f t="shared" si="4"/>
        <v>3.9181884245312638E-2</v>
      </c>
      <c r="AI6" s="51" t="s">
        <v>268</v>
      </c>
      <c r="AJ6" s="198"/>
      <c r="AR6" s="22"/>
    </row>
    <row r="7" spans="1:47" outlineLevel="1">
      <c r="A7" t="s">
        <v>410</v>
      </c>
      <c r="B7" s="51" t="s">
        <v>126</v>
      </c>
      <c r="C7" s="104">
        <f>'Waste gen. - Industry shares'!C23</f>
        <v>0.1</v>
      </c>
      <c r="D7" s="22">
        <f t="shared" si="5"/>
        <v>0.1</v>
      </c>
      <c r="E7" s="22">
        <f t="shared" si="3"/>
        <v>0.1</v>
      </c>
      <c r="F7" s="22">
        <f t="shared" si="3"/>
        <v>0.1</v>
      </c>
      <c r="G7" s="22">
        <f t="shared" si="3"/>
        <v>0.1</v>
      </c>
      <c r="H7" s="22">
        <f t="shared" si="3"/>
        <v>0.1</v>
      </c>
      <c r="I7" s="22">
        <f t="shared" si="3"/>
        <v>0.1</v>
      </c>
      <c r="J7" s="22">
        <f t="shared" si="3"/>
        <v>0.1</v>
      </c>
      <c r="K7" s="22">
        <f t="shared" si="3"/>
        <v>0.1</v>
      </c>
      <c r="L7" s="22">
        <f t="shared" si="3"/>
        <v>0.1</v>
      </c>
      <c r="M7" s="22">
        <f>L7</f>
        <v>0.1</v>
      </c>
      <c r="N7" s="22">
        <f t="shared" si="3"/>
        <v>0.1</v>
      </c>
      <c r="O7" s="22">
        <f t="shared" si="3"/>
        <v>0.1</v>
      </c>
      <c r="P7" s="22">
        <f t="shared" si="3"/>
        <v>0.1</v>
      </c>
      <c r="Q7" s="22">
        <f t="shared" si="3"/>
        <v>0.1</v>
      </c>
      <c r="R7" s="22">
        <f t="shared" si="3"/>
        <v>0.1</v>
      </c>
      <c r="S7" s="22">
        <f t="shared" si="3"/>
        <v>0.1</v>
      </c>
      <c r="T7" s="22">
        <f t="shared" si="3"/>
        <v>0.1</v>
      </c>
      <c r="U7" s="22">
        <f t="shared" si="4"/>
        <v>0.1</v>
      </c>
      <c r="V7" s="22">
        <f t="shared" si="4"/>
        <v>0.1</v>
      </c>
      <c r="W7" s="22">
        <f t="shared" si="4"/>
        <v>0.1</v>
      </c>
      <c r="X7" s="22">
        <f t="shared" si="4"/>
        <v>0.1</v>
      </c>
      <c r="Y7" s="22">
        <f t="shared" si="4"/>
        <v>0.1</v>
      </c>
      <c r="Z7" s="22">
        <f t="shared" si="4"/>
        <v>0.1</v>
      </c>
      <c r="AA7" s="22">
        <f t="shared" si="4"/>
        <v>0.1</v>
      </c>
      <c r="AB7" s="22">
        <f t="shared" si="4"/>
        <v>0.1</v>
      </c>
      <c r="AC7" s="22">
        <f t="shared" si="4"/>
        <v>0.1</v>
      </c>
      <c r="AD7" s="22">
        <f t="shared" si="4"/>
        <v>0.1</v>
      </c>
      <c r="AE7" s="22">
        <f t="shared" si="4"/>
        <v>0.1</v>
      </c>
      <c r="AF7" s="22">
        <f t="shared" si="4"/>
        <v>0.1</v>
      </c>
      <c r="AG7" s="22">
        <f t="shared" si="4"/>
        <v>0.1</v>
      </c>
      <c r="AI7" s="51" t="s">
        <v>268</v>
      </c>
      <c r="AJ7" s="198"/>
    </row>
    <row r="8" spans="1:47" outlineLevel="1">
      <c r="A8" t="s">
        <v>402</v>
      </c>
      <c r="B8" s="51" t="s">
        <v>126</v>
      </c>
      <c r="C8" s="104">
        <f>'Waste gen. - Industry shares'!C24+'Waste gen. - Industry shares'!C21</f>
        <v>0.28429743453895867</v>
      </c>
      <c r="D8" s="119">
        <f>C8</f>
        <v>0.28429743453895867</v>
      </c>
      <c r="E8" s="119">
        <f t="shared" si="3"/>
        <v>0.28429743453895867</v>
      </c>
      <c r="F8" s="119">
        <f t="shared" si="3"/>
        <v>0.28429743453895867</v>
      </c>
      <c r="G8" s="119">
        <f t="shared" si="3"/>
        <v>0.28429743453895867</v>
      </c>
      <c r="H8" s="119">
        <f t="shared" si="3"/>
        <v>0.28429743453895867</v>
      </c>
      <c r="I8" s="119">
        <f t="shared" si="3"/>
        <v>0.28429743453895867</v>
      </c>
      <c r="J8" s="119">
        <f t="shared" si="3"/>
        <v>0.28429743453895867</v>
      </c>
      <c r="K8" s="119">
        <f t="shared" si="3"/>
        <v>0.28429743453895867</v>
      </c>
      <c r="L8" s="119">
        <f t="shared" si="3"/>
        <v>0.28429743453895867</v>
      </c>
      <c r="M8" s="121">
        <f t="shared" si="3"/>
        <v>0.28429743453895867</v>
      </c>
      <c r="N8" s="121">
        <f t="shared" si="3"/>
        <v>0.28429743453895867</v>
      </c>
      <c r="O8" s="121">
        <f t="shared" si="3"/>
        <v>0.28429743453895867</v>
      </c>
      <c r="P8" s="121">
        <f t="shared" si="3"/>
        <v>0.28429743453895867</v>
      </c>
      <c r="Q8" s="121">
        <f t="shared" si="3"/>
        <v>0.28429743453895867</v>
      </c>
      <c r="R8" s="121">
        <f t="shared" si="3"/>
        <v>0.28429743453895867</v>
      </c>
      <c r="S8" s="121">
        <f t="shared" si="3"/>
        <v>0.28429743453895867</v>
      </c>
      <c r="T8" s="121">
        <f t="shared" si="3"/>
        <v>0.28429743453895867</v>
      </c>
      <c r="U8" s="121">
        <f t="shared" si="4"/>
        <v>0.28429743453895867</v>
      </c>
      <c r="V8" s="121">
        <f t="shared" si="4"/>
        <v>0.28429743453895867</v>
      </c>
      <c r="W8" s="121">
        <f t="shared" si="4"/>
        <v>0.28429743453895867</v>
      </c>
      <c r="X8" s="121">
        <f t="shared" si="4"/>
        <v>0.28429743453895867</v>
      </c>
      <c r="Y8" s="121">
        <f t="shared" si="4"/>
        <v>0.28429743453895867</v>
      </c>
      <c r="Z8" s="121">
        <f t="shared" si="4"/>
        <v>0.28429743453895867</v>
      </c>
      <c r="AA8" s="121">
        <f t="shared" si="4"/>
        <v>0.28429743453895867</v>
      </c>
      <c r="AB8" s="121">
        <f t="shared" si="4"/>
        <v>0.28429743453895867</v>
      </c>
      <c r="AC8" s="121">
        <f t="shared" si="4"/>
        <v>0.28429743453895867</v>
      </c>
      <c r="AD8" s="121">
        <f t="shared" si="4"/>
        <v>0.28429743453895867</v>
      </c>
      <c r="AE8" s="121">
        <f t="shared" si="4"/>
        <v>0.28429743453895867</v>
      </c>
      <c r="AF8" s="121">
        <f t="shared" si="4"/>
        <v>0.28429743453895867</v>
      </c>
      <c r="AG8" s="121">
        <f t="shared" si="4"/>
        <v>0.28429743453895867</v>
      </c>
      <c r="AI8" s="51" t="s">
        <v>268</v>
      </c>
      <c r="AJ8" s="198"/>
    </row>
    <row r="9" spans="1:47" ht="15.5" outlineLevel="1" thickBot="1">
      <c r="A9" s="182" t="s">
        <v>433</v>
      </c>
      <c r="B9" s="183"/>
      <c r="C9" s="184">
        <f t="shared" ref="C9:AG9" si="6">SUM(C4:C8)</f>
        <v>1.0009009009009009</v>
      </c>
      <c r="D9" s="184">
        <f t="shared" si="6"/>
        <v>1.0009009009009009</v>
      </c>
      <c r="E9" s="184">
        <f t="shared" si="6"/>
        <v>1.0009009009009009</v>
      </c>
      <c r="F9" s="184">
        <f t="shared" si="6"/>
        <v>1.0009009009009009</v>
      </c>
      <c r="G9" s="184">
        <f t="shared" si="6"/>
        <v>1.0009009009009009</v>
      </c>
      <c r="H9" s="184">
        <f t="shared" si="6"/>
        <v>1.0009009009009009</v>
      </c>
      <c r="I9" s="184">
        <f t="shared" si="6"/>
        <v>1.0009009009009009</v>
      </c>
      <c r="J9" s="184">
        <f t="shared" si="6"/>
        <v>1.0009009009009009</v>
      </c>
      <c r="K9" s="184">
        <f t="shared" si="6"/>
        <v>1.0009009009009009</v>
      </c>
      <c r="L9" s="184">
        <f t="shared" si="6"/>
        <v>1.0009009009009009</v>
      </c>
      <c r="M9" s="184">
        <f t="shared" si="6"/>
        <v>1.0009009009009009</v>
      </c>
      <c r="N9" s="184">
        <f t="shared" si="6"/>
        <v>1.0009009009009009</v>
      </c>
      <c r="O9" s="184">
        <f t="shared" si="6"/>
        <v>1.0009009009009009</v>
      </c>
      <c r="P9" s="184">
        <f t="shared" si="6"/>
        <v>1.0009009009009009</v>
      </c>
      <c r="Q9" s="184">
        <f t="shared" si="6"/>
        <v>1.0009009009009009</v>
      </c>
      <c r="R9" s="184">
        <f t="shared" si="6"/>
        <v>1.0009009009009009</v>
      </c>
      <c r="S9" s="184">
        <f t="shared" si="6"/>
        <v>1.0009009009009009</v>
      </c>
      <c r="T9" s="184">
        <f t="shared" si="6"/>
        <v>1.0009009009009009</v>
      </c>
      <c r="U9" s="184">
        <f t="shared" si="6"/>
        <v>1.0009009009009009</v>
      </c>
      <c r="V9" s="184">
        <f t="shared" si="6"/>
        <v>1.0009009009009009</v>
      </c>
      <c r="W9" s="184">
        <f t="shared" si="6"/>
        <v>1.0009009009009009</v>
      </c>
      <c r="X9" s="184">
        <f t="shared" si="6"/>
        <v>1.0009009009009009</v>
      </c>
      <c r="Y9" s="184">
        <f t="shared" si="6"/>
        <v>1.0009009009009009</v>
      </c>
      <c r="Z9" s="184">
        <f t="shared" si="6"/>
        <v>1.0009009009009009</v>
      </c>
      <c r="AA9" s="184">
        <f t="shared" si="6"/>
        <v>1.0009009009009009</v>
      </c>
      <c r="AB9" s="184">
        <f t="shared" si="6"/>
        <v>1.0009009009009009</v>
      </c>
      <c r="AC9" s="184">
        <f t="shared" si="6"/>
        <v>1.0009009009009009</v>
      </c>
      <c r="AD9" s="184">
        <f t="shared" si="6"/>
        <v>1.0009009009009009</v>
      </c>
      <c r="AE9" s="184">
        <f t="shared" si="6"/>
        <v>1.0009009009009009</v>
      </c>
      <c r="AF9" s="184">
        <f t="shared" si="6"/>
        <v>1.0009009009009009</v>
      </c>
      <c r="AG9" s="184">
        <f t="shared" si="6"/>
        <v>1.0009009009009009</v>
      </c>
      <c r="AM9" s="24"/>
      <c r="AN9" s="2"/>
      <c r="AO9" s="24"/>
      <c r="AR9" s="2"/>
    </row>
    <row r="10" spans="1:47" ht="15.5" outlineLevel="1" thickTop="1">
      <c r="AM10" s="24"/>
      <c r="AN10" s="2"/>
      <c r="AO10" s="24"/>
      <c r="AR10" s="2"/>
    </row>
    <row r="11" spans="1:47" outlineLevel="1">
      <c r="A11" t="s">
        <v>413</v>
      </c>
      <c r="B11" s="51" t="s">
        <v>296</v>
      </c>
      <c r="C11" s="101">
        <f t="shared" ref="C11:AG15" si="7">C$2*C4</f>
        <v>2797101.9772299458</v>
      </c>
      <c r="D11" s="101">
        <f t="shared" si="7"/>
        <v>2797101.9772299458</v>
      </c>
      <c r="E11" s="101">
        <f t="shared" si="7"/>
        <v>2797101.9772299458</v>
      </c>
      <c r="F11" s="101">
        <f t="shared" si="7"/>
        <v>2797101.9772299458</v>
      </c>
      <c r="G11" s="101">
        <f t="shared" si="7"/>
        <v>2797101.9772299458</v>
      </c>
      <c r="H11" s="101">
        <f t="shared" si="7"/>
        <v>2797101.9772299458</v>
      </c>
      <c r="I11" s="101">
        <f t="shared" si="7"/>
        <v>2797101.9772299458</v>
      </c>
      <c r="J11" s="101">
        <f t="shared" si="7"/>
        <v>2797101.9772299458</v>
      </c>
      <c r="K11" s="101">
        <f t="shared" si="7"/>
        <v>2797101.9772299458</v>
      </c>
      <c r="L11" s="101">
        <f t="shared" si="7"/>
        <v>2797101.9772299458</v>
      </c>
      <c r="M11" s="101">
        <f t="shared" si="7"/>
        <v>2797101.9772299458</v>
      </c>
      <c r="N11" s="101">
        <f t="shared" si="7"/>
        <v>2797101.9772299458</v>
      </c>
      <c r="O11" s="101">
        <f t="shared" si="7"/>
        <v>2797101.9772299458</v>
      </c>
      <c r="P11" s="101">
        <f t="shared" si="7"/>
        <v>2797101.9772299458</v>
      </c>
      <c r="Q11" s="101">
        <f t="shared" si="7"/>
        <v>2797101.9772299458</v>
      </c>
      <c r="R11" s="101">
        <f t="shared" si="7"/>
        <v>2797101.9772299458</v>
      </c>
      <c r="S11" s="101">
        <f t="shared" si="7"/>
        <v>2797101.9772299458</v>
      </c>
      <c r="T11" s="101">
        <f t="shared" si="7"/>
        <v>2797101.9772299458</v>
      </c>
      <c r="U11" s="101">
        <f t="shared" si="7"/>
        <v>2797101.9772299458</v>
      </c>
      <c r="V11" s="101">
        <f t="shared" si="7"/>
        <v>2797101.9772299458</v>
      </c>
      <c r="W11" s="101">
        <f t="shared" si="7"/>
        <v>2797101.9772299458</v>
      </c>
      <c r="X11" s="101">
        <f t="shared" si="7"/>
        <v>2797101.9772299458</v>
      </c>
      <c r="Y11" s="101">
        <f t="shared" si="7"/>
        <v>2797101.9772299458</v>
      </c>
      <c r="Z11" s="101">
        <f t="shared" si="7"/>
        <v>2797101.9772299458</v>
      </c>
      <c r="AA11" s="101">
        <f t="shared" si="7"/>
        <v>2797101.9772299458</v>
      </c>
      <c r="AB11" s="101">
        <f t="shared" si="7"/>
        <v>2797101.9772299458</v>
      </c>
      <c r="AC11" s="101">
        <f t="shared" si="7"/>
        <v>2797101.9772299458</v>
      </c>
      <c r="AD11" s="101">
        <f t="shared" si="7"/>
        <v>2797101.9772299458</v>
      </c>
      <c r="AE11" s="101">
        <f t="shared" si="7"/>
        <v>2797101.9772299458</v>
      </c>
      <c r="AF11" s="101">
        <f t="shared" si="7"/>
        <v>2797101.9772299458</v>
      </c>
      <c r="AG11" s="101">
        <f t="shared" si="7"/>
        <v>2797101.9772299458</v>
      </c>
      <c r="AM11" s="24"/>
      <c r="AN11" s="2"/>
      <c r="AO11" s="24"/>
      <c r="AR11" s="2"/>
    </row>
    <row r="12" spans="1:47" outlineLevel="1">
      <c r="A12" t="s">
        <v>269</v>
      </c>
      <c r="B12" s="51" t="s">
        <v>296</v>
      </c>
      <c r="C12" s="101">
        <f t="shared" si="7"/>
        <v>264028.63148967928</v>
      </c>
      <c r="D12" s="101">
        <f t="shared" si="7"/>
        <v>264028.63148967928</v>
      </c>
      <c r="E12" s="101">
        <f t="shared" si="7"/>
        <v>264028.63148967928</v>
      </c>
      <c r="F12" s="101">
        <f t="shared" si="7"/>
        <v>264028.63148967928</v>
      </c>
      <c r="G12" s="101">
        <f t="shared" si="7"/>
        <v>264028.63148967928</v>
      </c>
      <c r="H12" s="101">
        <f t="shared" si="7"/>
        <v>264028.63148967928</v>
      </c>
      <c r="I12" s="101">
        <f t="shared" si="7"/>
        <v>264028.63148967928</v>
      </c>
      <c r="J12" s="101">
        <f t="shared" si="7"/>
        <v>264028.63148967928</v>
      </c>
      <c r="K12" s="101">
        <f t="shared" si="7"/>
        <v>264028.63148967928</v>
      </c>
      <c r="L12" s="101">
        <f t="shared" si="7"/>
        <v>264028.63148967928</v>
      </c>
      <c r="M12" s="101">
        <f t="shared" si="7"/>
        <v>264028.63148967928</v>
      </c>
      <c r="N12" s="101">
        <f t="shared" si="7"/>
        <v>264028.63148967928</v>
      </c>
      <c r="O12" s="101">
        <f t="shared" si="7"/>
        <v>264028.63148967928</v>
      </c>
      <c r="P12" s="101">
        <f t="shared" si="7"/>
        <v>264028.63148967928</v>
      </c>
      <c r="Q12" s="101">
        <f t="shared" si="7"/>
        <v>264028.63148967928</v>
      </c>
      <c r="R12" s="101">
        <f t="shared" si="7"/>
        <v>264028.63148967928</v>
      </c>
      <c r="S12" s="101">
        <f t="shared" si="7"/>
        <v>264028.63148967928</v>
      </c>
      <c r="T12" s="101">
        <f t="shared" si="7"/>
        <v>264028.63148967928</v>
      </c>
      <c r="U12" s="101">
        <f t="shared" si="7"/>
        <v>264028.63148967928</v>
      </c>
      <c r="V12" s="101">
        <f t="shared" si="7"/>
        <v>264028.63148967928</v>
      </c>
      <c r="W12" s="101">
        <f t="shared" si="7"/>
        <v>264028.63148967928</v>
      </c>
      <c r="X12" s="101">
        <f t="shared" si="7"/>
        <v>264028.63148967928</v>
      </c>
      <c r="Y12" s="101">
        <f t="shared" si="7"/>
        <v>264028.63148967928</v>
      </c>
      <c r="Z12" s="101">
        <f t="shared" si="7"/>
        <v>264028.63148967928</v>
      </c>
      <c r="AA12" s="101">
        <f t="shared" si="7"/>
        <v>264028.63148967928</v>
      </c>
      <c r="AB12" s="101">
        <f t="shared" si="7"/>
        <v>264028.63148967928</v>
      </c>
      <c r="AC12" s="101">
        <f t="shared" si="7"/>
        <v>264028.63148967928</v>
      </c>
      <c r="AD12" s="101">
        <f t="shared" si="7"/>
        <v>264028.63148967928</v>
      </c>
      <c r="AE12" s="101">
        <f t="shared" si="7"/>
        <v>264028.63148967928</v>
      </c>
      <c r="AF12" s="101">
        <f t="shared" si="7"/>
        <v>264028.63148967928</v>
      </c>
      <c r="AG12" s="101">
        <f t="shared" si="7"/>
        <v>264028.63148967928</v>
      </c>
      <c r="AM12" s="24"/>
      <c r="AN12" s="2"/>
      <c r="AO12" s="24"/>
      <c r="AR12" s="2"/>
    </row>
    <row r="13" spans="1:47" outlineLevel="1">
      <c r="A13" t="s">
        <v>270</v>
      </c>
      <c r="B13" s="51" t="s">
        <v>296</v>
      </c>
      <c r="C13" s="101">
        <f t="shared" si="7"/>
        <v>207718.01554589227</v>
      </c>
      <c r="D13" s="101">
        <f t="shared" si="7"/>
        <v>207718.01554589227</v>
      </c>
      <c r="E13" s="101">
        <f t="shared" si="7"/>
        <v>207718.01554589227</v>
      </c>
      <c r="F13" s="101">
        <f t="shared" si="7"/>
        <v>207718.01554589227</v>
      </c>
      <c r="G13" s="101">
        <f t="shared" si="7"/>
        <v>207718.01554589227</v>
      </c>
      <c r="H13" s="101">
        <f t="shared" si="7"/>
        <v>207718.01554589227</v>
      </c>
      <c r="I13" s="101">
        <f t="shared" si="7"/>
        <v>207718.01554589227</v>
      </c>
      <c r="J13" s="101">
        <f t="shared" si="7"/>
        <v>207718.01554589227</v>
      </c>
      <c r="K13" s="101">
        <f t="shared" si="7"/>
        <v>207718.01554589227</v>
      </c>
      <c r="L13" s="101">
        <f t="shared" si="7"/>
        <v>207718.01554589227</v>
      </c>
      <c r="M13" s="101">
        <f t="shared" si="7"/>
        <v>207718.01554589227</v>
      </c>
      <c r="N13" s="101">
        <f t="shared" si="7"/>
        <v>207718.01554589227</v>
      </c>
      <c r="O13" s="101">
        <f t="shared" si="7"/>
        <v>207718.01554589227</v>
      </c>
      <c r="P13" s="101">
        <f t="shared" si="7"/>
        <v>207718.01554589227</v>
      </c>
      <c r="Q13" s="101">
        <f t="shared" si="7"/>
        <v>207718.01554589227</v>
      </c>
      <c r="R13" s="101">
        <f t="shared" si="7"/>
        <v>207718.01554589227</v>
      </c>
      <c r="S13" s="101">
        <f t="shared" si="7"/>
        <v>207718.01554589227</v>
      </c>
      <c r="T13" s="101">
        <f t="shared" si="7"/>
        <v>207718.01554589227</v>
      </c>
      <c r="U13" s="101">
        <f t="shared" si="7"/>
        <v>207718.01554589227</v>
      </c>
      <c r="V13" s="101">
        <f t="shared" si="7"/>
        <v>207718.01554589227</v>
      </c>
      <c r="W13" s="101">
        <f t="shared" si="7"/>
        <v>207718.01554589227</v>
      </c>
      <c r="X13" s="101">
        <f t="shared" si="7"/>
        <v>207718.01554589227</v>
      </c>
      <c r="Y13" s="101">
        <f t="shared" si="7"/>
        <v>207718.01554589227</v>
      </c>
      <c r="Z13" s="101">
        <f t="shared" si="7"/>
        <v>207718.01554589227</v>
      </c>
      <c r="AA13" s="101">
        <f t="shared" si="7"/>
        <v>207718.01554589227</v>
      </c>
      <c r="AB13" s="101">
        <f t="shared" si="7"/>
        <v>207718.01554589227</v>
      </c>
      <c r="AC13" s="101">
        <f t="shared" si="7"/>
        <v>207718.01554589227</v>
      </c>
      <c r="AD13" s="101">
        <f t="shared" si="7"/>
        <v>207718.01554589227</v>
      </c>
      <c r="AE13" s="101">
        <f t="shared" si="7"/>
        <v>207718.01554589227</v>
      </c>
      <c r="AF13" s="101">
        <f t="shared" si="7"/>
        <v>207718.01554589227</v>
      </c>
      <c r="AG13" s="101">
        <f t="shared" si="7"/>
        <v>207718.01554589227</v>
      </c>
      <c r="AM13" s="24"/>
      <c r="AN13" s="2"/>
      <c r="AO13" s="24"/>
      <c r="AR13" s="2"/>
    </row>
    <row r="14" spans="1:47" outlineLevel="1">
      <c r="A14" t="s">
        <v>411</v>
      </c>
      <c r="B14" s="51" t="s">
        <v>296</v>
      </c>
      <c r="C14" s="101">
        <f t="shared" si="7"/>
        <v>530137.89292367117</v>
      </c>
      <c r="D14" s="101">
        <f t="shared" si="7"/>
        <v>530137.89292367117</v>
      </c>
      <c r="E14" s="101">
        <f t="shared" si="7"/>
        <v>530137.89292367117</v>
      </c>
      <c r="F14" s="101">
        <f t="shared" si="7"/>
        <v>530137.89292367117</v>
      </c>
      <c r="G14" s="101">
        <f t="shared" si="7"/>
        <v>530137.89292367117</v>
      </c>
      <c r="H14" s="101">
        <f t="shared" si="7"/>
        <v>530137.89292367117</v>
      </c>
      <c r="I14" s="101">
        <f t="shared" si="7"/>
        <v>530137.89292367117</v>
      </c>
      <c r="J14" s="101">
        <f t="shared" si="7"/>
        <v>530137.89292367117</v>
      </c>
      <c r="K14" s="101">
        <f t="shared" si="7"/>
        <v>530137.89292367117</v>
      </c>
      <c r="L14" s="101">
        <f t="shared" si="7"/>
        <v>530137.89292367117</v>
      </c>
      <c r="M14" s="101">
        <f t="shared" si="7"/>
        <v>530137.89292367117</v>
      </c>
      <c r="N14" s="101">
        <f t="shared" si="7"/>
        <v>530137.89292367117</v>
      </c>
      <c r="O14" s="101">
        <f t="shared" si="7"/>
        <v>530137.89292367117</v>
      </c>
      <c r="P14" s="101">
        <f t="shared" si="7"/>
        <v>530137.89292367117</v>
      </c>
      <c r="Q14" s="101">
        <f t="shared" si="7"/>
        <v>530137.89292367117</v>
      </c>
      <c r="R14" s="101">
        <f t="shared" si="7"/>
        <v>530137.89292367117</v>
      </c>
      <c r="S14" s="101">
        <f t="shared" si="7"/>
        <v>530137.89292367117</v>
      </c>
      <c r="T14" s="101">
        <f t="shared" si="7"/>
        <v>530137.89292367117</v>
      </c>
      <c r="U14" s="101">
        <f t="shared" si="7"/>
        <v>530137.89292367117</v>
      </c>
      <c r="V14" s="101">
        <f t="shared" si="7"/>
        <v>530137.89292367117</v>
      </c>
      <c r="W14" s="101">
        <f t="shared" si="7"/>
        <v>530137.89292367117</v>
      </c>
      <c r="X14" s="101">
        <f t="shared" si="7"/>
        <v>530137.89292367117</v>
      </c>
      <c r="Y14" s="101">
        <f t="shared" si="7"/>
        <v>530137.89292367117</v>
      </c>
      <c r="Z14" s="101">
        <f t="shared" si="7"/>
        <v>530137.89292367117</v>
      </c>
      <c r="AA14" s="101">
        <f t="shared" si="7"/>
        <v>530137.89292367117</v>
      </c>
      <c r="AB14" s="101">
        <f t="shared" si="7"/>
        <v>530137.89292367117</v>
      </c>
      <c r="AC14" s="101">
        <f t="shared" si="7"/>
        <v>530137.89292367117</v>
      </c>
      <c r="AD14" s="101">
        <f t="shared" si="7"/>
        <v>530137.89292367117</v>
      </c>
      <c r="AE14" s="101">
        <f t="shared" si="7"/>
        <v>530137.89292367117</v>
      </c>
      <c r="AF14" s="101">
        <f t="shared" si="7"/>
        <v>530137.89292367117</v>
      </c>
      <c r="AG14" s="101">
        <f t="shared" si="7"/>
        <v>530137.89292367117</v>
      </c>
      <c r="AM14" s="24"/>
      <c r="AN14" s="2"/>
      <c r="AO14" s="24"/>
      <c r="AR14" s="2"/>
    </row>
    <row r="15" spans="1:47" outlineLevel="1">
      <c r="A15" t="s">
        <v>271</v>
      </c>
      <c r="B15" s="51" t="s">
        <v>296</v>
      </c>
      <c r="C15" s="122">
        <f t="shared" si="7"/>
        <v>1507168.4291008885</v>
      </c>
      <c r="D15" s="122">
        <f t="shared" si="7"/>
        <v>1507168.4291008885</v>
      </c>
      <c r="E15" s="122">
        <f t="shared" si="7"/>
        <v>1507168.4291008885</v>
      </c>
      <c r="F15" s="122">
        <f t="shared" si="7"/>
        <v>1507168.4291008885</v>
      </c>
      <c r="G15" s="122">
        <f t="shared" si="7"/>
        <v>1507168.4291008885</v>
      </c>
      <c r="H15" s="122">
        <f t="shared" si="7"/>
        <v>1507168.4291008885</v>
      </c>
      <c r="I15" s="122">
        <f t="shared" si="7"/>
        <v>1507168.4291008885</v>
      </c>
      <c r="J15" s="122">
        <f t="shared" si="7"/>
        <v>1507168.4291008885</v>
      </c>
      <c r="K15" s="122">
        <f t="shared" si="7"/>
        <v>1507168.4291008885</v>
      </c>
      <c r="L15" s="122">
        <f t="shared" si="7"/>
        <v>1507168.4291008885</v>
      </c>
      <c r="M15" s="122">
        <f t="shared" si="7"/>
        <v>1507168.4291008885</v>
      </c>
      <c r="N15" s="122">
        <f t="shared" si="7"/>
        <v>1507168.4291008885</v>
      </c>
      <c r="O15" s="122">
        <f t="shared" si="7"/>
        <v>1507168.4291008885</v>
      </c>
      <c r="P15" s="122">
        <f t="shared" si="7"/>
        <v>1507168.4291008885</v>
      </c>
      <c r="Q15" s="122">
        <f t="shared" si="7"/>
        <v>1507168.4291008885</v>
      </c>
      <c r="R15" s="122">
        <f t="shared" si="7"/>
        <v>1507168.4291008885</v>
      </c>
      <c r="S15" s="122">
        <f t="shared" si="7"/>
        <v>1507168.4291008885</v>
      </c>
      <c r="T15" s="122">
        <f t="shared" si="7"/>
        <v>1507168.4291008885</v>
      </c>
      <c r="U15" s="122">
        <f t="shared" si="7"/>
        <v>1507168.4291008885</v>
      </c>
      <c r="V15" s="122">
        <f t="shared" si="7"/>
        <v>1507168.4291008885</v>
      </c>
      <c r="W15" s="122">
        <f t="shared" si="7"/>
        <v>1507168.4291008885</v>
      </c>
      <c r="X15" s="122">
        <f t="shared" si="7"/>
        <v>1507168.4291008885</v>
      </c>
      <c r="Y15" s="122">
        <f t="shared" si="7"/>
        <v>1507168.4291008885</v>
      </c>
      <c r="Z15" s="122">
        <f t="shared" si="7"/>
        <v>1507168.4291008885</v>
      </c>
      <c r="AA15" s="122">
        <f t="shared" si="7"/>
        <v>1507168.4291008885</v>
      </c>
      <c r="AB15" s="122">
        <f t="shared" si="7"/>
        <v>1507168.4291008885</v>
      </c>
      <c r="AC15" s="122">
        <f t="shared" si="7"/>
        <v>1507168.4291008885</v>
      </c>
      <c r="AD15" s="122">
        <f t="shared" si="7"/>
        <v>1507168.4291008885</v>
      </c>
      <c r="AE15" s="122">
        <f t="shared" si="7"/>
        <v>1507168.4291008885</v>
      </c>
      <c r="AF15" s="122">
        <f t="shared" si="7"/>
        <v>1507168.4291008885</v>
      </c>
      <c r="AG15" s="122">
        <f t="shared" si="7"/>
        <v>1507168.4291008885</v>
      </c>
    </row>
    <row r="16" spans="1:47" ht="15.5" outlineLevel="1" thickBot="1">
      <c r="A16" s="187" t="s">
        <v>432</v>
      </c>
      <c r="B16" s="185"/>
      <c r="C16" s="186">
        <f t="shared" ref="C16:AG16" si="8">SUM(C11:C15)</f>
        <v>5306154.9462900767</v>
      </c>
      <c r="D16" s="186">
        <f t="shared" si="8"/>
        <v>5306154.9462900767</v>
      </c>
      <c r="E16" s="186">
        <f t="shared" si="8"/>
        <v>5306154.9462900767</v>
      </c>
      <c r="F16" s="186">
        <f t="shared" si="8"/>
        <v>5306154.9462900767</v>
      </c>
      <c r="G16" s="186">
        <f t="shared" si="8"/>
        <v>5306154.9462900767</v>
      </c>
      <c r="H16" s="186">
        <f t="shared" si="8"/>
        <v>5306154.9462900767</v>
      </c>
      <c r="I16" s="186">
        <f t="shared" si="8"/>
        <v>5306154.9462900767</v>
      </c>
      <c r="J16" s="186">
        <f t="shared" si="8"/>
        <v>5306154.9462900767</v>
      </c>
      <c r="K16" s="186">
        <f t="shared" si="8"/>
        <v>5306154.9462900767</v>
      </c>
      <c r="L16" s="186">
        <f t="shared" si="8"/>
        <v>5306154.9462900767</v>
      </c>
      <c r="M16" s="186">
        <f t="shared" si="8"/>
        <v>5306154.9462900767</v>
      </c>
      <c r="N16" s="186">
        <f t="shared" si="8"/>
        <v>5306154.9462900767</v>
      </c>
      <c r="O16" s="186">
        <f t="shared" si="8"/>
        <v>5306154.9462900767</v>
      </c>
      <c r="P16" s="186">
        <f t="shared" si="8"/>
        <v>5306154.9462900767</v>
      </c>
      <c r="Q16" s="186">
        <f t="shared" si="8"/>
        <v>5306154.9462900767</v>
      </c>
      <c r="R16" s="186">
        <f t="shared" si="8"/>
        <v>5306154.9462900767</v>
      </c>
      <c r="S16" s="186">
        <f t="shared" si="8"/>
        <v>5306154.9462900767</v>
      </c>
      <c r="T16" s="186">
        <f t="shared" si="8"/>
        <v>5306154.9462900767</v>
      </c>
      <c r="U16" s="186">
        <f t="shared" si="8"/>
        <v>5306154.9462900767</v>
      </c>
      <c r="V16" s="186">
        <f t="shared" si="8"/>
        <v>5306154.9462900767</v>
      </c>
      <c r="W16" s="186">
        <f t="shared" si="8"/>
        <v>5306154.9462900767</v>
      </c>
      <c r="X16" s="186">
        <f t="shared" si="8"/>
        <v>5306154.9462900767</v>
      </c>
      <c r="Y16" s="186">
        <f t="shared" si="8"/>
        <v>5306154.9462900767</v>
      </c>
      <c r="Z16" s="186">
        <f t="shared" si="8"/>
        <v>5306154.9462900767</v>
      </c>
      <c r="AA16" s="186">
        <f t="shared" si="8"/>
        <v>5306154.9462900767</v>
      </c>
      <c r="AB16" s="186">
        <f t="shared" si="8"/>
        <v>5306154.9462900767</v>
      </c>
      <c r="AC16" s="186">
        <f t="shared" si="8"/>
        <v>5306154.9462900767</v>
      </c>
      <c r="AD16" s="186">
        <f t="shared" si="8"/>
        <v>5306154.9462900767</v>
      </c>
      <c r="AE16" s="186">
        <f t="shared" si="8"/>
        <v>5306154.9462900767</v>
      </c>
      <c r="AF16" s="186">
        <f t="shared" si="8"/>
        <v>5306154.9462900767</v>
      </c>
      <c r="AG16" s="186">
        <f t="shared" si="8"/>
        <v>5306154.9462900767</v>
      </c>
    </row>
    <row r="17" spans="1:64" ht="15.5" outlineLevel="1" thickTop="1">
      <c r="AL17" s="108"/>
      <c r="AM17" s="109"/>
      <c r="AN17" s="109"/>
      <c r="AO17" s="109"/>
      <c r="AP17" s="109"/>
      <c r="AQ17" s="109"/>
    </row>
    <row r="18" spans="1:64" outlineLevel="1">
      <c r="A18" t="s">
        <v>495</v>
      </c>
      <c r="B18" s="51" t="s">
        <v>126</v>
      </c>
      <c r="C18" s="104">
        <f>'Overall recycling rates'!D76</f>
        <v>0.21323123102933009</v>
      </c>
      <c r="D18" s="104">
        <f>C18</f>
        <v>0.21323123102933009</v>
      </c>
      <c r="E18" s="104">
        <f t="shared" ref="E18:T18" si="9">D18</f>
        <v>0.21323123102933009</v>
      </c>
      <c r="F18" s="104">
        <f t="shared" si="9"/>
        <v>0.21323123102933009</v>
      </c>
      <c r="G18" s="104">
        <f t="shared" si="9"/>
        <v>0.21323123102933009</v>
      </c>
      <c r="H18" s="104">
        <f t="shared" si="9"/>
        <v>0.21323123102933009</v>
      </c>
      <c r="I18" s="104">
        <f t="shared" si="9"/>
        <v>0.21323123102933009</v>
      </c>
      <c r="J18" s="104">
        <f t="shared" si="9"/>
        <v>0.21323123102933009</v>
      </c>
      <c r="K18" s="104">
        <f t="shared" si="9"/>
        <v>0.21323123102933009</v>
      </c>
      <c r="L18" s="104">
        <f t="shared" si="9"/>
        <v>0.21323123102933009</v>
      </c>
      <c r="M18" s="104">
        <f t="shared" si="9"/>
        <v>0.21323123102933009</v>
      </c>
      <c r="N18" s="104">
        <f t="shared" si="9"/>
        <v>0.21323123102933009</v>
      </c>
      <c r="O18" s="104">
        <f t="shared" si="9"/>
        <v>0.21323123102933009</v>
      </c>
      <c r="P18" s="104">
        <f t="shared" si="9"/>
        <v>0.21323123102933009</v>
      </c>
      <c r="Q18" s="104">
        <f t="shared" si="9"/>
        <v>0.21323123102933009</v>
      </c>
      <c r="R18" s="104">
        <f t="shared" si="9"/>
        <v>0.21323123102933009</v>
      </c>
      <c r="S18" s="104">
        <f t="shared" si="9"/>
        <v>0.21323123102933009</v>
      </c>
      <c r="T18" s="104">
        <f t="shared" si="9"/>
        <v>0.21323123102933009</v>
      </c>
      <c r="U18" s="104">
        <f t="shared" ref="T18:AG22" si="10">T18</f>
        <v>0.21323123102933009</v>
      </c>
      <c r="V18" s="104">
        <f t="shared" si="10"/>
        <v>0.21323123102933009</v>
      </c>
      <c r="W18" s="104">
        <f t="shared" si="10"/>
        <v>0.21323123102933009</v>
      </c>
      <c r="X18" s="104">
        <f t="shared" si="10"/>
        <v>0.21323123102933009</v>
      </c>
      <c r="Y18" s="104">
        <f t="shared" si="10"/>
        <v>0.21323123102933009</v>
      </c>
      <c r="Z18" s="104">
        <f t="shared" si="10"/>
        <v>0.21323123102933009</v>
      </c>
      <c r="AA18" s="104">
        <f t="shared" si="10"/>
        <v>0.21323123102933009</v>
      </c>
      <c r="AB18" s="104">
        <f t="shared" si="10"/>
        <v>0.21323123102933009</v>
      </c>
      <c r="AC18" s="104">
        <f t="shared" si="10"/>
        <v>0.21323123102933009</v>
      </c>
      <c r="AD18" s="104">
        <f t="shared" si="10"/>
        <v>0.21323123102933009</v>
      </c>
      <c r="AE18" s="104">
        <f t="shared" si="10"/>
        <v>0.21323123102933009</v>
      </c>
      <c r="AF18" s="104">
        <f t="shared" si="10"/>
        <v>0.21323123102933009</v>
      </c>
      <c r="AG18" s="104">
        <f>AF18</f>
        <v>0.21323123102933009</v>
      </c>
      <c r="AI18" s="51" t="s">
        <v>268</v>
      </c>
      <c r="AJ18" s="198"/>
      <c r="AM18" s="109"/>
      <c r="AN18" s="109"/>
      <c r="AO18" s="109"/>
      <c r="AP18" s="109"/>
      <c r="AQ18" s="109"/>
    </row>
    <row r="19" spans="1:64" outlineLevel="1">
      <c r="A19" t="s">
        <v>312</v>
      </c>
      <c r="B19" s="51" t="s">
        <v>126</v>
      </c>
      <c r="C19" s="104">
        <f>'Overall recycling rates'!D78</f>
        <v>0.41552293513037142</v>
      </c>
      <c r="D19" s="104">
        <f t="shared" ref="D19:S22" si="11">C19</f>
        <v>0.41552293513037142</v>
      </c>
      <c r="E19" s="104">
        <f t="shared" si="11"/>
        <v>0.41552293513037142</v>
      </c>
      <c r="F19" s="104">
        <f t="shared" si="11"/>
        <v>0.41552293513037142</v>
      </c>
      <c r="G19" s="104">
        <f t="shared" si="11"/>
        <v>0.41552293513037142</v>
      </c>
      <c r="H19" s="104">
        <f t="shared" si="11"/>
        <v>0.41552293513037142</v>
      </c>
      <c r="I19" s="104">
        <f t="shared" si="11"/>
        <v>0.41552293513037142</v>
      </c>
      <c r="J19" s="104">
        <f t="shared" si="11"/>
        <v>0.41552293513037142</v>
      </c>
      <c r="K19" s="104">
        <f t="shared" si="11"/>
        <v>0.41552293513037142</v>
      </c>
      <c r="L19" s="104">
        <f t="shared" si="11"/>
        <v>0.41552293513037142</v>
      </c>
      <c r="M19" s="104">
        <f t="shared" si="11"/>
        <v>0.41552293513037142</v>
      </c>
      <c r="N19" s="104">
        <f t="shared" si="11"/>
        <v>0.41552293513037142</v>
      </c>
      <c r="O19" s="104">
        <f t="shared" si="11"/>
        <v>0.41552293513037142</v>
      </c>
      <c r="P19" s="104">
        <f t="shared" si="11"/>
        <v>0.41552293513037142</v>
      </c>
      <c r="Q19" s="104">
        <f t="shared" si="11"/>
        <v>0.41552293513037142</v>
      </c>
      <c r="R19" s="104">
        <f t="shared" si="11"/>
        <v>0.41552293513037142</v>
      </c>
      <c r="S19" s="104">
        <f t="shared" si="11"/>
        <v>0.41552293513037142</v>
      </c>
      <c r="T19" s="104">
        <f t="shared" si="10"/>
        <v>0.41552293513037142</v>
      </c>
      <c r="U19" s="104">
        <f t="shared" si="10"/>
        <v>0.41552293513037142</v>
      </c>
      <c r="V19" s="104">
        <f t="shared" si="10"/>
        <v>0.41552293513037142</v>
      </c>
      <c r="W19" s="104">
        <f t="shared" si="10"/>
        <v>0.41552293513037142</v>
      </c>
      <c r="X19" s="104">
        <f t="shared" si="10"/>
        <v>0.41552293513037142</v>
      </c>
      <c r="Y19" s="104">
        <f t="shared" si="10"/>
        <v>0.41552293513037142</v>
      </c>
      <c r="Z19" s="104">
        <f t="shared" si="10"/>
        <v>0.41552293513037142</v>
      </c>
      <c r="AA19" s="104">
        <f t="shared" si="10"/>
        <v>0.41552293513037142</v>
      </c>
      <c r="AB19" s="104">
        <f t="shared" si="10"/>
        <v>0.41552293513037142</v>
      </c>
      <c r="AC19" s="104">
        <f t="shared" si="10"/>
        <v>0.41552293513037142</v>
      </c>
      <c r="AD19" s="104">
        <f t="shared" si="10"/>
        <v>0.41552293513037142</v>
      </c>
      <c r="AE19" s="104">
        <f t="shared" si="10"/>
        <v>0.41552293513037142</v>
      </c>
      <c r="AF19" s="104">
        <f t="shared" si="10"/>
        <v>0.41552293513037142</v>
      </c>
      <c r="AG19" s="104">
        <f t="shared" si="10"/>
        <v>0.41552293513037142</v>
      </c>
      <c r="AI19" s="51" t="s">
        <v>268</v>
      </c>
      <c r="AJ19" s="198"/>
      <c r="AM19" s="114"/>
      <c r="AN19" s="109"/>
      <c r="AO19" s="110"/>
      <c r="AP19" s="111"/>
      <c r="AQ19" s="110"/>
    </row>
    <row r="20" spans="1:64" outlineLevel="1">
      <c r="A20" t="s">
        <v>313</v>
      </c>
      <c r="B20" s="51" t="s">
        <v>126</v>
      </c>
      <c r="C20" s="104">
        <f>'Overall recycling rates'!D77</f>
        <v>7.6204364468477032E-2</v>
      </c>
      <c r="D20" s="104">
        <f t="shared" si="11"/>
        <v>7.6204364468477032E-2</v>
      </c>
      <c r="E20" s="104">
        <f t="shared" si="11"/>
        <v>7.6204364468477032E-2</v>
      </c>
      <c r="F20" s="104">
        <f t="shared" si="11"/>
        <v>7.6204364468477032E-2</v>
      </c>
      <c r="G20" s="104">
        <f t="shared" si="11"/>
        <v>7.6204364468477032E-2</v>
      </c>
      <c r="H20" s="104">
        <f t="shared" si="11"/>
        <v>7.6204364468477032E-2</v>
      </c>
      <c r="I20" s="104">
        <f t="shared" si="11"/>
        <v>7.6204364468477032E-2</v>
      </c>
      <c r="J20" s="104">
        <f t="shared" si="11"/>
        <v>7.6204364468477032E-2</v>
      </c>
      <c r="K20" s="104">
        <f t="shared" si="11"/>
        <v>7.6204364468477032E-2</v>
      </c>
      <c r="L20" s="104">
        <f t="shared" si="11"/>
        <v>7.6204364468477032E-2</v>
      </c>
      <c r="M20" s="104">
        <f t="shared" si="11"/>
        <v>7.6204364468477032E-2</v>
      </c>
      <c r="N20" s="104">
        <f t="shared" si="11"/>
        <v>7.6204364468477032E-2</v>
      </c>
      <c r="O20" s="104">
        <f t="shared" si="11"/>
        <v>7.6204364468477032E-2</v>
      </c>
      <c r="P20" s="104">
        <f t="shared" si="11"/>
        <v>7.6204364468477032E-2</v>
      </c>
      <c r="Q20" s="104">
        <f t="shared" si="11"/>
        <v>7.6204364468477032E-2</v>
      </c>
      <c r="R20" s="104">
        <f t="shared" si="11"/>
        <v>7.6204364468477032E-2</v>
      </c>
      <c r="S20" s="104">
        <f t="shared" si="11"/>
        <v>7.6204364468477032E-2</v>
      </c>
      <c r="T20" s="104">
        <f t="shared" si="10"/>
        <v>7.6204364468477032E-2</v>
      </c>
      <c r="U20" s="104">
        <f t="shared" si="10"/>
        <v>7.6204364468477032E-2</v>
      </c>
      <c r="V20" s="104">
        <f t="shared" si="10"/>
        <v>7.6204364468477032E-2</v>
      </c>
      <c r="W20" s="104">
        <f t="shared" si="10"/>
        <v>7.6204364468477032E-2</v>
      </c>
      <c r="X20" s="104">
        <f t="shared" si="10"/>
        <v>7.6204364468477032E-2</v>
      </c>
      <c r="Y20" s="104">
        <f t="shared" si="10"/>
        <v>7.6204364468477032E-2</v>
      </c>
      <c r="Z20" s="104">
        <f t="shared" si="10"/>
        <v>7.6204364468477032E-2</v>
      </c>
      <c r="AA20" s="104">
        <f t="shared" si="10"/>
        <v>7.6204364468477032E-2</v>
      </c>
      <c r="AB20" s="104">
        <f t="shared" si="10"/>
        <v>7.6204364468477032E-2</v>
      </c>
      <c r="AC20" s="104">
        <f t="shared" si="10"/>
        <v>7.6204364468477032E-2</v>
      </c>
      <c r="AD20" s="104">
        <f t="shared" si="10"/>
        <v>7.6204364468477032E-2</v>
      </c>
      <c r="AE20" s="104">
        <f t="shared" si="10"/>
        <v>7.6204364468477032E-2</v>
      </c>
      <c r="AF20" s="104">
        <f t="shared" si="10"/>
        <v>7.6204364468477032E-2</v>
      </c>
      <c r="AG20" s="104">
        <f t="shared" si="10"/>
        <v>7.6204364468477032E-2</v>
      </c>
      <c r="AI20" s="51" t="s">
        <v>268</v>
      </c>
      <c r="AJ20" s="198"/>
      <c r="AM20" s="114"/>
      <c r="AN20" s="109"/>
      <c r="AO20" s="110"/>
      <c r="AP20" s="111"/>
      <c r="AQ20" s="110"/>
    </row>
    <row r="21" spans="1:64" outlineLevel="1">
      <c r="A21" t="s">
        <v>496</v>
      </c>
      <c r="B21" s="51" t="s">
        <v>126</v>
      </c>
      <c r="C21" s="104">
        <f>'Overall recycling rates'!D79</f>
        <v>1.4482254150985984E-5</v>
      </c>
      <c r="D21" s="104">
        <f t="shared" si="11"/>
        <v>1.4482254150985984E-5</v>
      </c>
      <c r="E21" s="104">
        <f t="shared" si="11"/>
        <v>1.4482254150985984E-5</v>
      </c>
      <c r="F21" s="104">
        <f t="shared" si="11"/>
        <v>1.4482254150985984E-5</v>
      </c>
      <c r="G21" s="104">
        <f t="shared" si="11"/>
        <v>1.4482254150985984E-5</v>
      </c>
      <c r="H21" s="104">
        <f t="shared" si="11"/>
        <v>1.4482254150985984E-5</v>
      </c>
      <c r="I21" s="104">
        <f t="shared" si="11"/>
        <v>1.4482254150985984E-5</v>
      </c>
      <c r="J21" s="104">
        <f t="shared" si="11"/>
        <v>1.4482254150985984E-5</v>
      </c>
      <c r="K21" s="104">
        <f t="shared" si="11"/>
        <v>1.4482254150985984E-5</v>
      </c>
      <c r="L21" s="104">
        <f t="shared" si="11"/>
        <v>1.4482254150985984E-5</v>
      </c>
      <c r="M21" s="104">
        <f t="shared" si="11"/>
        <v>1.4482254150985984E-5</v>
      </c>
      <c r="N21" s="104">
        <f t="shared" si="11"/>
        <v>1.4482254150985984E-5</v>
      </c>
      <c r="O21" s="104">
        <f t="shared" si="11"/>
        <v>1.4482254150985984E-5</v>
      </c>
      <c r="P21" s="104">
        <f t="shared" si="11"/>
        <v>1.4482254150985984E-5</v>
      </c>
      <c r="Q21" s="104">
        <f t="shared" si="11"/>
        <v>1.4482254150985984E-5</v>
      </c>
      <c r="R21" s="104">
        <f t="shared" si="11"/>
        <v>1.4482254150985984E-5</v>
      </c>
      <c r="S21" s="104">
        <f t="shared" si="11"/>
        <v>1.4482254150985984E-5</v>
      </c>
      <c r="T21" s="104">
        <f t="shared" si="10"/>
        <v>1.4482254150985984E-5</v>
      </c>
      <c r="U21" s="104">
        <f t="shared" si="10"/>
        <v>1.4482254150985984E-5</v>
      </c>
      <c r="V21" s="104">
        <f t="shared" si="10"/>
        <v>1.4482254150985984E-5</v>
      </c>
      <c r="W21" s="104">
        <f t="shared" si="10"/>
        <v>1.4482254150985984E-5</v>
      </c>
      <c r="X21" s="104">
        <f t="shared" si="10"/>
        <v>1.4482254150985984E-5</v>
      </c>
      <c r="Y21" s="104">
        <f t="shared" si="10"/>
        <v>1.4482254150985984E-5</v>
      </c>
      <c r="Z21" s="104">
        <f t="shared" si="10"/>
        <v>1.4482254150985984E-5</v>
      </c>
      <c r="AA21" s="104">
        <f t="shared" si="10"/>
        <v>1.4482254150985984E-5</v>
      </c>
      <c r="AB21" s="104">
        <f t="shared" si="10"/>
        <v>1.4482254150985984E-5</v>
      </c>
      <c r="AC21" s="104">
        <f t="shared" si="10"/>
        <v>1.4482254150985984E-5</v>
      </c>
      <c r="AD21" s="104">
        <f t="shared" si="10"/>
        <v>1.4482254150985984E-5</v>
      </c>
      <c r="AE21" s="104">
        <f t="shared" si="10"/>
        <v>1.4482254150985984E-5</v>
      </c>
      <c r="AF21" s="104">
        <f t="shared" si="10"/>
        <v>1.4482254150985984E-5</v>
      </c>
      <c r="AG21" s="104">
        <f t="shared" si="10"/>
        <v>1.4482254150985984E-5</v>
      </c>
      <c r="AI21" s="51" t="s">
        <v>515</v>
      </c>
      <c r="AJ21" s="198"/>
      <c r="AM21" s="114"/>
      <c r="AN21" s="109"/>
      <c r="AO21" s="110"/>
      <c r="AP21" s="111"/>
      <c r="AQ21" s="110"/>
    </row>
    <row r="22" spans="1:64" outlineLevel="1">
      <c r="A22" t="s">
        <v>314</v>
      </c>
      <c r="B22" s="51" t="s">
        <v>126</v>
      </c>
      <c r="C22" s="104">
        <f>'Overall recycling rates'!D80</f>
        <v>0.31426370432419826</v>
      </c>
      <c r="D22" s="104">
        <f>C22</f>
        <v>0.31426370432419826</v>
      </c>
      <c r="E22" s="104">
        <f t="shared" si="11"/>
        <v>0.31426370432419826</v>
      </c>
      <c r="F22" s="104">
        <f t="shared" si="11"/>
        <v>0.31426370432419826</v>
      </c>
      <c r="G22" s="104">
        <f t="shared" si="11"/>
        <v>0.31426370432419826</v>
      </c>
      <c r="H22" s="104">
        <f t="shared" si="11"/>
        <v>0.31426370432419826</v>
      </c>
      <c r="I22" s="104">
        <f t="shared" si="11"/>
        <v>0.31426370432419826</v>
      </c>
      <c r="J22" s="104">
        <f t="shared" si="11"/>
        <v>0.31426370432419826</v>
      </c>
      <c r="K22" s="104">
        <f t="shared" si="11"/>
        <v>0.31426370432419826</v>
      </c>
      <c r="L22" s="104">
        <f t="shared" si="11"/>
        <v>0.31426370432419826</v>
      </c>
      <c r="M22" s="104">
        <f t="shared" si="11"/>
        <v>0.31426370432419826</v>
      </c>
      <c r="N22" s="104">
        <f t="shared" si="11"/>
        <v>0.31426370432419826</v>
      </c>
      <c r="O22" s="104">
        <f t="shared" si="11"/>
        <v>0.31426370432419826</v>
      </c>
      <c r="P22" s="104">
        <f t="shared" si="11"/>
        <v>0.31426370432419826</v>
      </c>
      <c r="Q22" s="104">
        <f t="shared" si="11"/>
        <v>0.31426370432419826</v>
      </c>
      <c r="R22" s="104">
        <f t="shared" si="11"/>
        <v>0.31426370432419826</v>
      </c>
      <c r="S22" s="104">
        <f t="shared" si="11"/>
        <v>0.31426370432419826</v>
      </c>
      <c r="T22" s="104">
        <f t="shared" si="10"/>
        <v>0.31426370432419826</v>
      </c>
      <c r="U22" s="104">
        <f t="shared" si="10"/>
        <v>0.31426370432419826</v>
      </c>
      <c r="V22" s="104">
        <f t="shared" si="10"/>
        <v>0.31426370432419826</v>
      </c>
      <c r="W22" s="104">
        <f t="shared" si="10"/>
        <v>0.31426370432419826</v>
      </c>
      <c r="X22" s="104">
        <f t="shared" si="10"/>
        <v>0.31426370432419826</v>
      </c>
      <c r="Y22" s="104">
        <f t="shared" si="10"/>
        <v>0.31426370432419826</v>
      </c>
      <c r="Z22" s="104">
        <f t="shared" si="10"/>
        <v>0.31426370432419826</v>
      </c>
      <c r="AA22" s="104">
        <f t="shared" si="10"/>
        <v>0.31426370432419826</v>
      </c>
      <c r="AB22" s="104">
        <f t="shared" si="10"/>
        <v>0.31426370432419826</v>
      </c>
      <c r="AC22" s="104">
        <f t="shared" si="10"/>
        <v>0.31426370432419826</v>
      </c>
      <c r="AD22" s="104">
        <f t="shared" si="10"/>
        <v>0.31426370432419826</v>
      </c>
      <c r="AE22" s="104">
        <f t="shared" si="10"/>
        <v>0.31426370432419826</v>
      </c>
      <c r="AF22" s="104">
        <f t="shared" si="10"/>
        <v>0.31426370432419826</v>
      </c>
      <c r="AG22" s="104">
        <f t="shared" si="10"/>
        <v>0.31426370432419826</v>
      </c>
      <c r="AI22" s="51" t="s">
        <v>268</v>
      </c>
      <c r="AJ22" s="198"/>
      <c r="AM22" s="114"/>
      <c r="AN22" s="109"/>
      <c r="AO22" s="110"/>
      <c r="AP22" s="111"/>
      <c r="AQ22" s="110"/>
    </row>
    <row r="23" spans="1:64" outlineLevel="1">
      <c r="AI23" s="51"/>
      <c r="AM23" s="114"/>
      <c r="AN23" s="109"/>
      <c r="AO23" s="110"/>
      <c r="AP23" s="111"/>
      <c r="AQ23" s="110"/>
      <c r="BD23" s="22"/>
      <c r="BE23" s="22"/>
      <c r="BF23" s="22"/>
      <c r="BG23" s="22"/>
      <c r="BH23" s="22"/>
      <c r="BI23" s="22"/>
      <c r="BJ23" s="22"/>
      <c r="BK23" s="22"/>
      <c r="BL23" s="22"/>
    </row>
    <row r="24" spans="1:64" outlineLevel="1">
      <c r="A24" t="s">
        <v>497</v>
      </c>
      <c r="B24" s="51" t="s">
        <v>315</v>
      </c>
      <c r="C24" s="191">
        <f>C11*C18</f>
        <v>596429.49791931454</v>
      </c>
      <c r="D24" s="191">
        <f t="shared" ref="D24:AF24" si="12">D11*D18</f>
        <v>596429.49791931454</v>
      </c>
      <c r="E24" s="191">
        <f t="shared" si="12"/>
        <v>596429.49791931454</v>
      </c>
      <c r="F24" s="191">
        <f t="shared" si="12"/>
        <v>596429.49791931454</v>
      </c>
      <c r="G24" s="191">
        <f t="shared" si="12"/>
        <v>596429.49791931454</v>
      </c>
      <c r="H24" s="191">
        <f t="shared" si="12"/>
        <v>596429.49791931454</v>
      </c>
      <c r="I24" s="191">
        <f t="shared" si="12"/>
        <v>596429.49791931454</v>
      </c>
      <c r="J24" s="191">
        <f t="shared" si="12"/>
        <v>596429.49791931454</v>
      </c>
      <c r="K24" s="191">
        <f t="shared" si="12"/>
        <v>596429.49791931454</v>
      </c>
      <c r="L24" s="191">
        <f t="shared" si="12"/>
        <v>596429.49791931454</v>
      </c>
      <c r="M24" s="191">
        <f t="shared" si="12"/>
        <v>596429.49791931454</v>
      </c>
      <c r="N24" s="191">
        <f t="shared" si="12"/>
        <v>596429.49791931454</v>
      </c>
      <c r="O24" s="191">
        <f t="shared" si="12"/>
        <v>596429.49791931454</v>
      </c>
      <c r="P24" s="191">
        <f t="shared" si="12"/>
        <v>596429.49791931454</v>
      </c>
      <c r="Q24" s="191">
        <f t="shared" si="12"/>
        <v>596429.49791931454</v>
      </c>
      <c r="R24" s="191">
        <f t="shared" si="12"/>
        <v>596429.49791931454</v>
      </c>
      <c r="S24" s="191">
        <f t="shared" si="12"/>
        <v>596429.49791931454</v>
      </c>
      <c r="T24" s="191">
        <f t="shared" si="12"/>
        <v>596429.49791931454</v>
      </c>
      <c r="U24" s="191">
        <f t="shared" si="12"/>
        <v>596429.49791931454</v>
      </c>
      <c r="V24" s="191">
        <f t="shared" si="12"/>
        <v>596429.49791931454</v>
      </c>
      <c r="W24" s="191">
        <f t="shared" si="12"/>
        <v>596429.49791931454</v>
      </c>
      <c r="X24" s="191">
        <f t="shared" si="12"/>
        <v>596429.49791931454</v>
      </c>
      <c r="Y24" s="191">
        <f t="shared" si="12"/>
        <v>596429.49791931454</v>
      </c>
      <c r="Z24" s="191">
        <f t="shared" si="12"/>
        <v>596429.49791931454</v>
      </c>
      <c r="AA24" s="191">
        <f t="shared" si="12"/>
        <v>596429.49791931454</v>
      </c>
      <c r="AB24" s="191">
        <f t="shared" si="12"/>
        <v>596429.49791931454</v>
      </c>
      <c r="AC24" s="191">
        <f t="shared" si="12"/>
        <v>596429.49791931454</v>
      </c>
      <c r="AD24" s="191">
        <f t="shared" si="12"/>
        <v>596429.49791931454</v>
      </c>
      <c r="AE24" s="191">
        <f t="shared" si="12"/>
        <v>596429.49791931454</v>
      </c>
      <c r="AF24" s="191">
        <f t="shared" si="12"/>
        <v>596429.49791931454</v>
      </c>
      <c r="AG24" s="191">
        <f>AG11*AG18</f>
        <v>596429.49791931454</v>
      </c>
      <c r="AM24" s="114"/>
      <c r="AN24" s="109"/>
      <c r="AO24" s="109"/>
      <c r="AP24" s="109"/>
      <c r="AQ24" s="109"/>
      <c r="BD24" s="192"/>
      <c r="BE24" s="192"/>
      <c r="BF24" s="192"/>
      <c r="BG24" s="192"/>
      <c r="BH24" s="192"/>
      <c r="BI24" s="192"/>
      <c r="BJ24" s="192"/>
      <c r="BK24" s="192"/>
      <c r="BL24" s="192"/>
    </row>
    <row r="25" spans="1:64" outlineLevel="1">
      <c r="A25" t="s">
        <v>316</v>
      </c>
      <c r="B25" s="51" t="s">
        <v>315</v>
      </c>
      <c r="C25" s="191">
        <f t="shared" ref="C25:AG28" si="13">C12*C19</f>
        <v>109709.95191504674</v>
      </c>
      <c r="D25" s="191">
        <f t="shared" si="13"/>
        <v>109709.95191504674</v>
      </c>
      <c r="E25" s="191">
        <f t="shared" si="13"/>
        <v>109709.95191504674</v>
      </c>
      <c r="F25" s="191">
        <f t="shared" si="13"/>
        <v>109709.95191504674</v>
      </c>
      <c r="G25" s="191">
        <f t="shared" si="13"/>
        <v>109709.95191504674</v>
      </c>
      <c r="H25" s="191">
        <f t="shared" si="13"/>
        <v>109709.95191504674</v>
      </c>
      <c r="I25" s="191">
        <f t="shared" si="13"/>
        <v>109709.95191504674</v>
      </c>
      <c r="J25" s="191">
        <f t="shared" si="13"/>
        <v>109709.95191504674</v>
      </c>
      <c r="K25" s="191">
        <f t="shared" si="13"/>
        <v>109709.95191504674</v>
      </c>
      <c r="L25" s="191">
        <f t="shared" si="13"/>
        <v>109709.95191504674</v>
      </c>
      <c r="M25" s="191">
        <f t="shared" si="13"/>
        <v>109709.95191504674</v>
      </c>
      <c r="N25" s="191">
        <f t="shared" si="13"/>
        <v>109709.95191504674</v>
      </c>
      <c r="O25" s="191">
        <f t="shared" si="13"/>
        <v>109709.95191504674</v>
      </c>
      <c r="P25" s="191">
        <f t="shared" si="13"/>
        <v>109709.95191504674</v>
      </c>
      <c r="Q25" s="191">
        <f t="shared" si="13"/>
        <v>109709.95191504674</v>
      </c>
      <c r="R25" s="191">
        <f t="shared" si="13"/>
        <v>109709.95191504674</v>
      </c>
      <c r="S25" s="191">
        <f t="shared" si="13"/>
        <v>109709.95191504674</v>
      </c>
      <c r="T25" s="191">
        <f t="shared" si="13"/>
        <v>109709.95191504674</v>
      </c>
      <c r="U25" s="191">
        <f t="shared" si="13"/>
        <v>109709.95191504674</v>
      </c>
      <c r="V25" s="191">
        <f t="shared" si="13"/>
        <v>109709.95191504674</v>
      </c>
      <c r="W25" s="191">
        <f t="shared" si="13"/>
        <v>109709.95191504674</v>
      </c>
      <c r="X25" s="191">
        <f t="shared" si="13"/>
        <v>109709.95191504674</v>
      </c>
      <c r="Y25" s="191">
        <f t="shared" si="13"/>
        <v>109709.95191504674</v>
      </c>
      <c r="Z25" s="191">
        <f t="shared" si="13"/>
        <v>109709.95191504674</v>
      </c>
      <c r="AA25" s="191">
        <f t="shared" si="13"/>
        <v>109709.95191504674</v>
      </c>
      <c r="AB25" s="191">
        <f t="shared" si="13"/>
        <v>109709.95191504674</v>
      </c>
      <c r="AC25" s="191">
        <f t="shared" si="13"/>
        <v>109709.95191504674</v>
      </c>
      <c r="AD25" s="191">
        <f t="shared" si="13"/>
        <v>109709.95191504674</v>
      </c>
      <c r="AE25" s="191">
        <f t="shared" si="13"/>
        <v>109709.95191504674</v>
      </c>
      <c r="AF25" s="191">
        <f t="shared" si="13"/>
        <v>109709.95191504674</v>
      </c>
      <c r="AG25" s="191">
        <f t="shared" si="13"/>
        <v>109709.95191504674</v>
      </c>
      <c r="AM25" s="193"/>
      <c r="BD25" s="192"/>
      <c r="BE25" s="192"/>
      <c r="BF25" s="192"/>
      <c r="BG25" s="192"/>
      <c r="BH25" s="192"/>
      <c r="BI25" s="192"/>
      <c r="BJ25" s="192"/>
      <c r="BK25" s="192"/>
      <c r="BL25" s="192"/>
    </row>
    <row r="26" spans="1:64" outlineLevel="1">
      <c r="A26" t="s">
        <v>317</v>
      </c>
      <c r="B26" s="51" t="s">
        <v>315</v>
      </c>
      <c r="C26" s="191">
        <f t="shared" si="13"/>
        <v>15829.019363327952</v>
      </c>
      <c r="D26" s="191">
        <f t="shared" si="13"/>
        <v>15829.019363327952</v>
      </c>
      <c r="E26" s="191">
        <f t="shared" si="13"/>
        <v>15829.019363327952</v>
      </c>
      <c r="F26" s="191">
        <f t="shared" si="13"/>
        <v>15829.019363327952</v>
      </c>
      <c r="G26" s="191">
        <f t="shared" si="13"/>
        <v>15829.019363327952</v>
      </c>
      <c r="H26" s="191">
        <f t="shared" si="13"/>
        <v>15829.019363327952</v>
      </c>
      <c r="I26" s="191">
        <f t="shared" si="13"/>
        <v>15829.019363327952</v>
      </c>
      <c r="J26" s="191">
        <f t="shared" si="13"/>
        <v>15829.019363327952</v>
      </c>
      <c r="K26" s="191">
        <f t="shared" si="13"/>
        <v>15829.019363327952</v>
      </c>
      <c r="L26" s="191">
        <f t="shared" si="13"/>
        <v>15829.019363327952</v>
      </c>
      <c r="M26" s="191">
        <f t="shared" si="13"/>
        <v>15829.019363327952</v>
      </c>
      <c r="N26" s="191">
        <f t="shared" si="13"/>
        <v>15829.019363327952</v>
      </c>
      <c r="O26" s="191">
        <f t="shared" si="13"/>
        <v>15829.019363327952</v>
      </c>
      <c r="P26" s="191">
        <f t="shared" si="13"/>
        <v>15829.019363327952</v>
      </c>
      <c r="Q26" s="191">
        <f t="shared" si="13"/>
        <v>15829.019363327952</v>
      </c>
      <c r="R26" s="191">
        <f t="shared" si="13"/>
        <v>15829.019363327952</v>
      </c>
      <c r="S26" s="191">
        <f t="shared" si="13"/>
        <v>15829.019363327952</v>
      </c>
      <c r="T26" s="191">
        <f t="shared" si="13"/>
        <v>15829.019363327952</v>
      </c>
      <c r="U26" s="191">
        <f t="shared" si="13"/>
        <v>15829.019363327952</v>
      </c>
      <c r="V26" s="191">
        <f t="shared" si="13"/>
        <v>15829.019363327952</v>
      </c>
      <c r="W26" s="191">
        <f t="shared" si="13"/>
        <v>15829.019363327952</v>
      </c>
      <c r="X26" s="191">
        <f t="shared" si="13"/>
        <v>15829.019363327952</v>
      </c>
      <c r="Y26" s="191">
        <f t="shared" si="13"/>
        <v>15829.019363327952</v>
      </c>
      <c r="Z26" s="191">
        <f t="shared" si="13"/>
        <v>15829.019363327952</v>
      </c>
      <c r="AA26" s="191">
        <f t="shared" si="13"/>
        <v>15829.019363327952</v>
      </c>
      <c r="AB26" s="191">
        <f t="shared" si="13"/>
        <v>15829.019363327952</v>
      </c>
      <c r="AC26" s="191">
        <f t="shared" si="13"/>
        <v>15829.019363327952</v>
      </c>
      <c r="AD26" s="191">
        <f t="shared" si="13"/>
        <v>15829.019363327952</v>
      </c>
      <c r="AE26" s="191">
        <f t="shared" si="13"/>
        <v>15829.019363327952</v>
      </c>
      <c r="AF26" s="191">
        <f t="shared" si="13"/>
        <v>15829.019363327952</v>
      </c>
      <c r="AG26" s="191">
        <f t="shared" si="13"/>
        <v>15829.019363327952</v>
      </c>
      <c r="BD26" s="192"/>
      <c r="BE26" s="192"/>
      <c r="BF26" s="192"/>
      <c r="BG26" s="192"/>
      <c r="BH26" s="192"/>
      <c r="BI26" s="192"/>
      <c r="BJ26" s="192"/>
      <c r="BK26" s="192"/>
      <c r="BL26" s="192"/>
    </row>
    <row r="27" spans="1:64" outlineLevel="1">
      <c r="A27" t="s">
        <v>498</v>
      </c>
      <c r="B27" s="51" t="s">
        <v>315</v>
      </c>
      <c r="C27" s="191">
        <f t="shared" si="13"/>
        <v>7.6775917003887999</v>
      </c>
      <c r="D27" s="191">
        <f t="shared" si="13"/>
        <v>7.6775917003887999</v>
      </c>
      <c r="E27" s="191">
        <f t="shared" si="13"/>
        <v>7.6775917003887999</v>
      </c>
      <c r="F27" s="191">
        <f t="shared" si="13"/>
        <v>7.6775917003887999</v>
      </c>
      <c r="G27" s="191">
        <f t="shared" si="13"/>
        <v>7.6775917003887999</v>
      </c>
      <c r="H27" s="191">
        <f t="shared" si="13"/>
        <v>7.6775917003887999</v>
      </c>
      <c r="I27" s="191">
        <f t="shared" si="13"/>
        <v>7.6775917003887999</v>
      </c>
      <c r="J27" s="191">
        <f t="shared" si="13"/>
        <v>7.6775917003887999</v>
      </c>
      <c r="K27" s="191">
        <f t="shared" si="13"/>
        <v>7.6775917003887999</v>
      </c>
      <c r="L27" s="191">
        <f t="shared" si="13"/>
        <v>7.6775917003887999</v>
      </c>
      <c r="M27" s="191">
        <f t="shared" si="13"/>
        <v>7.6775917003887999</v>
      </c>
      <c r="N27" s="191">
        <f t="shared" si="13"/>
        <v>7.6775917003887999</v>
      </c>
      <c r="O27" s="191">
        <f t="shared" si="13"/>
        <v>7.6775917003887999</v>
      </c>
      <c r="P27" s="191">
        <f t="shared" si="13"/>
        <v>7.6775917003887999</v>
      </c>
      <c r="Q27" s="191">
        <f t="shared" si="13"/>
        <v>7.6775917003887999</v>
      </c>
      <c r="R27" s="191">
        <f t="shared" si="13"/>
        <v>7.6775917003887999</v>
      </c>
      <c r="S27" s="191">
        <f t="shared" si="13"/>
        <v>7.6775917003887999</v>
      </c>
      <c r="T27" s="191">
        <f t="shared" si="13"/>
        <v>7.6775917003887999</v>
      </c>
      <c r="U27" s="191">
        <f t="shared" si="13"/>
        <v>7.6775917003887999</v>
      </c>
      <c r="V27" s="191">
        <f t="shared" si="13"/>
        <v>7.6775917003887999</v>
      </c>
      <c r="W27" s="191">
        <f t="shared" si="13"/>
        <v>7.6775917003887999</v>
      </c>
      <c r="X27" s="191">
        <f t="shared" si="13"/>
        <v>7.6775917003887999</v>
      </c>
      <c r="Y27" s="191">
        <f t="shared" si="13"/>
        <v>7.6775917003887999</v>
      </c>
      <c r="Z27" s="191">
        <f t="shared" si="13"/>
        <v>7.6775917003887999</v>
      </c>
      <c r="AA27" s="191">
        <f t="shared" si="13"/>
        <v>7.6775917003887999</v>
      </c>
      <c r="AB27" s="191">
        <f t="shared" si="13"/>
        <v>7.6775917003887999</v>
      </c>
      <c r="AC27" s="191">
        <f t="shared" si="13"/>
        <v>7.6775917003887999</v>
      </c>
      <c r="AD27" s="191">
        <f t="shared" si="13"/>
        <v>7.6775917003887999</v>
      </c>
      <c r="AE27" s="191">
        <f t="shared" si="13"/>
        <v>7.6775917003887999</v>
      </c>
      <c r="AF27" s="191">
        <f t="shared" si="13"/>
        <v>7.6775917003887999</v>
      </c>
      <c r="AG27" s="191">
        <f t="shared" si="13"/>
        <v>7.6775917003887999</v>
      </c>
      <c r="BD27" s="192"/>
      <c r="BE27" s="192"/>
      <c r="BF27" s="192"/>
      <c r="BG27" s="192"/>
      <c r="BH27" s="192"/>
      <c r="BI27" s="192"/>
      <c r="BJ27" s="192"/>
      <c r="BK27" s="192"/>
      <c r="BL27" s="192"/>
    </row>
    <row r="28" spans="1:64" outlineLevel="1">
      <c r="A28" s="169" t="s">
        <v>318</v>
      </c>
      <c r="B28" s="165" t="s">
        <v>315</v>
      </c>
      <c r="C28" s="191">
        <f t="shared" si="13"/>
        <v>473648.33356972801</v>
      </c>
      <c r="D28" s="191">
        <f t="shared" si="13"/>
        <v>473648.33356972801</v>
      </c>
      <c r="E28" s="191">
        <f t="shared" si="13"/>
        <v>473648.33356972801</v>
      </c>
      <c r="F28" s="191">
        <f t="shared" si="13"/>
        <v>473648.33356972801</v>
      </c>
      <c r="G28" s="191">
        <f t="shared" si="13"/>
        <v>473648.33356972801</v>
      </c>
      <c r="H28" s="191">
        <f t="shared" si="13"/>
        <v>473648.33356972801</v>
      </c>
      <c r="I28" s="191">
        <f t="shared" si="13"/>
        <v>473648.33356972801</v>
      </c>
      <c r="J28" s="191">
        <f t="shared" si="13"/>
        <v>473648.33356972801</v>
      </c>
      <c r="K28" s="191">
        <f t="shared" si="13"/>
        <v>473648.33356972801</v>
      </c>
      <c r="L28" s="191">
        <f t="shared" si="13"/>
        <v>473648.33356972801</v>
      </c>
      <c r="M28" s="191">
        <f t="shared" si="13"/>
        <v>473648.33356972801</v>
      </c>
      <c r="N28" s="191">
        <f t="shared" si="13"/>
        <v>473648.33356972801</v>
      </c>
      <c r="O28" s="191">
        <f t="shared" si="13"/>
        <v>473648.33356972801</v>
      </c>
      <c r="P28" s="191">
        <f t="shared" si="13"/>
        <v>473648.33356972801</v>
      </c>
      <c r="Q28" s="191">
        <f t="shared" si="13"/>
        <v>473648.33356972801</v>
      </c>
      <c r="R28" s="191">
        <f t="shared" si="13"/>
        <v>473648.33356972801</v>
      </c>
      <c r="S28" s="191">
        <f t="shared" si="13"/>
        <v>473648.33356972801</v>
      </c>
      <c r="T28" s="191">
        <f t="shared" si="13"/>
        <v>473648.33356972801</v>
      </c>
      <c r="U28" s="191">
        <f t="shared" si="13"/>
        <v>473648.33356972801</v>
      </c>
      <c r="V28" s="191">
        <f t="shared" si="13"/>
        <v>473648.33356972801</v>
      </c>
      <c r="W28" s="191">
        <f t="shared" si="13"/>
        <v>473648.33356972801</v>
      </c>
      <c r="X28" s="191">
        <f t="shared" si="13"/>
        <v>473648.33356972801</v>
      </c>
      <c r="Y28" s="191">
        <f t="shared" si="13"/>
        <v>473648.33356972801</v>
      </c>
      <c r="Z28" s="191">
        <f t="shared" si="13"/>
        <v>473648.33356972801</v>
      </c>
      <c r="AA28" s="191">
        <f t="shared" si="13"/>
        <v>473648.33356972801</v>
      </c>
      <c r="AB28" s="191">
        <f t="shared" si="13"/>
        <v>473648.33356972801</v>
      </c>
      <c r="AC28" s="191">
        <f t="shared" si="13"/>
        <v>473648.33356972801</v>
      </c>
      <c r="AD28" s="191">
        <f t="shared" si="13"/>
        <v>473648.33356972801</v>
      </c>
      <c r="AE28" s="191">
        <f t="shared" si="13"/>
        <v>473648.33356972801</v>
      </c>
      <c r="AF28" s="191">
        <f t="shared" si="13"/>
        <v>473648.33356972801</v>
      </c>
      <c r="AG28" s="191">
        <f t="shared" si="13"/>
        <v>473648.33356972801</v>
      </c>
      <c r="AL28" s="102"/>
      <c r="AM28" s="194"/>
      <c r="AN28" s="194"/>
      <c r="AO28" s="194"/>
    </row>
    <row r="29" spans="1:64" s="1" customFormat="1" ht="15.5" thickBot="1">
      <c r="A29" s="187" t="s">
        <v>499</v>
      </c>
      <c r="B29" s="206" t="s">
        <v>315</v>
      </c>
      <c r="C29" s="203">
        <f>SUM(C24:C28)</f>
        <v>1195624.4803591177</v>
      </c>
      <c r="D29" s="203">
        <f t="shared" ref="D29:AG29" si="14">SUM(D24:D28)</f>
        <v>1195624.4803591177</v>
      </c>
      <c r="E29" s="203">
        <f t="shared" si="14"/>
        <v>1195624.4803591177</v>
      </c>
      <c r="F29" s="203">
        <f t="shared" si="14"/>
        <v>1195624.4803591177</v>
      </c>
      <c r="G29" s="203">
        <f t="shared" si="14"/>
        <v>1195624.4803591177</v>
      </c>
      <c r="H29" s="203">
        <f t="shared" si="14"/>
        <v>1195624.4803591177</v>
      </c>
      <c r="I29" s="203">
        <f t="shared" si="14"/>
        <v>1195624.4803591177</v>
      </c>
      <c r="J29" s="203">
        <f t="shared" si="14"/>
        <v>1195624.4803591177</v>
      </c>
      <c r="K29" s="203">
        <f t="shared" si="14"/>
        <v>1195624.4803591177</v>
      </c>
      <c r="L29" s="203">
        <f t="shared" si="14"/>
        <v>1195624.4803591177</v>
      </c>
      <c r="M29" s="203">
        <f t="shared" si="14"/>
        <v>1195624.4803591177</v>
      </c>
      <c r="N29" s="203">
        <f t="shared" si="14"/>
        <v>1195624.4803591177</v>
      </c>
      <c r="O29" s="203">
        <f t="shared" si="14"/>
        <v>1195624.4803591177</v>
      </c>
      <c r="P29" s="203">
        <f t="shared" si="14"/>
        <v>1195624.4803591177</v>
      </c>
      <c r="Q29" s="203">
        <f t="shared" si="14"/>
        <v>1195624.4803591177</v>
      </c>
      <c r="R29" s="203">
        <f t="shared" si="14"/>
        <v>1195624.4803591177</v>
      </c>
      <c r="S29" s="203">
        <f t="shared" si="14"/>
        <v>1195624.4803591177</v>
      </c>
      <c r="T29" s="203">
        <f t="shared" si="14"/>
        <v>1195624.4803591177</v>
      </c>
      <c r="U29" s="203">
        <f t="shared" si="14"/>
        <v>1195624.4803591177</v>
      </c>
      <c r="V29" s="203">
        <f t="shared" si="14"/>
        <v>1195624.4803591177</v>
      </c>
      <c r="W29" s="203">
        <f t="shared" si="14"/>
        <v>1195624.4803591177</v>
      </c>
      <c r="X29" s="203">
        <f t="shared" si="14"/>
        <v>1195624.4803591177</v>
      </c>
      <c r="Y29" s="203">
        <f t="shared" si="14"/>
        <v>1195624.4803591177</v>
      </c>
      <c r="Z29" s="203">
        <f t="shared" si="14"/>
        <v>1195624.4803591177</v>
      </c>
      <c r="AA29" s="203">
        <f t="shared" si="14"/>
        <v>1195624.4803591177</v>
      </c>
      <c r="AB29" s="203">
        <f t="shared" si="14"/>
        <v>1195624.4803591177</v>
      </c>
      <c r="AC29" s="203">
        <f t="shared" si="14"/>
        <v>1195624.4803591177</v>
      </c>
      <c r="AD29" s="203">
        <f t="shared" si="14"/>
        <v>1195624.4803591177</v>
      </c>
      <c r="AE29" s="203">
        <f t="shared" si="14"/>
        <v>1195624.4803591177</v>
      </c>
      <c r="AF29" s="203">
        <f t="shared" si="14"/>
        <v>1195624.4803591177</v>
      </c>
      <c r="AG29" s="203">
        <f t="shared" si="14"/>
        <v>1195624.4803591177</v>
      </c>
      <c r="AJ29" s="151"/>
      <c r="AL29" s="207"/>
      <c r="AM29" s="118"/>
      <c r="AN29" s="118"/>
      <c r="AO29" s="118"/>
    </row>
    <row r="30" spans="1:64" ht="15.5" outlineLevel="1" thickTop="1">
      <c r="AL30" s="102"/>
      <c r="AM30" s="2"/>
      <c r="AN30" s="2"/>
      <c r="AO30" s="2"/>
    </row>
    <row r="31" spans="1:64" outlineLevel="1">
      <c r="A31" t="s">
        <v>517</v>
      </c>
      <c r="B31" s="165" t="s">
        <v>315</v>
      </c>
      <c r="C31" s="101">
        <f>C29</f>
        <v>1195624.4803591177</v>
      </c>
      <c r="D31" s="101">
        <f t="shared" ref="D31:AG31" si="15">D29</f>
        <v>1195624.4803591177</v>
      </c>
      <c r="E31" s="101">
        <f t="shared" si="15"/>
        <v>1195624.4803591177</v>
      </c>
      <c r="F31" s="101">
        <f t="shared" si="15"/>
        <v>1195624.4803591177</v>
      </c>
      <c r="G31" s="101">
        <f t="shared" si="15"/>
        <v>1195624.4803591177</v>
      </c>
      <c r="H31" s="101">
        <f t="shared" si="15"/>
        <v>1195624.4803591177</v>
      </c>
      <c r="I31" s="101">
        <f t="shared" si="15"/>
        <v>1195624.4803591177</v>
      </c>
      <c r="J31" s="101">
        <f t="shared" si="15"/>
        <v>1195624.4803591177</v>
      </c>
      <c r="K31" s="101">
        <f t="shared" si="15"/>
        <v>1195624.4803591177</v>
      </c>
      <c r="L31" s="101">
        <f t="shared" si="15"/>
        <v>1195624.4803591177</v>
      </c>
      <c r="M31" s="101">
        <f t="shared" si="15"/>
        <v>1195624.4803591177</v>
      </c>
      <c r="N31" s="101">
        <f t="shared" si="15"/>
        <v>1195624.4803591177</v>
      </c>
      <c r="O31" s="101">
        <f t="shared" si="15"/>
        <v>1195624.4803591177</v>
      </c>
      <c r="P31" s="101">
        <f t="shared" si="15"/>
        <v>1195624.4803591177</v>
      </c>
      <c r="Q31" s="101">
        <f t="shared" si="15"/>
        <v>1195624.4803591177</v>
      </c>
      <c r="R31" s="101">
        <f t="shared" si="15"/>
        <v>1195624.4803591177</v>
      </c>
      <c r="S31" s="101">
        <f t="shared" si="15"/>
        <v>1195624.4803591177</v>
      </c>
      <c r="T31" s="101">
        <f t="shared" si="15"/>
        <v>1195624.4803591177</v>
      </c>
      <c r="U31" s="101">
        <f t="shared" si="15"/>
        <v>1195624.4803591177</v>
      </c>
      <c r="V31" s="101">
        <f t="shared" si="15"/>
        <v>1195624.4803591177</v>
      </c>
      <c r="W31" s="101">
        <f t="shared" si="15"/>
        <v>1195624.4803591177</v>
      </c>
      <c r="X31" s="101">
        <f t="shared" si="15"/>
        <v>1195624.4803591177</v>
      </c>
      <c r="Y31" s="101">
        <f t="shared" si="15"/>
        <v>1195624.4803591177</v>
      </c>
      <c r="Z31" s="101">
        <f t="shared" si="15"/>
        <v>1195624.4803591177</v>
      </c>
      <c r="AA31" s="101">
        <f t="shared" si="15"/>
        <v>1195624.4803591177</v>
      </c>
      <c r="AB31" s="101">
        <f t="shared" si="15"/>
        <v>1195624.4803591177</v>
      </c>
      <c r="AC31" s="101">
        <f t="shared" si="15"/>
        <v>1195624.4803591177</v>
      </c>
      <c r="AD31" s="101">
        <f t="shared" si="15"/>
        <v>1195624.4803591177</v>
      </c>
      <c r="AE31" s="101">
        <f t="shared" si="15"/>
        <v>1195624.4803591177</v>
      </c>
      <c r="AF31" s="101">
        <f t="shared" si="15"/>
        <v>1195624.4803591177</v>
      </c>
      <c r="AG31" s="101">
        <f t="shared" si="15"/>
        <v>1195624.4803591177</v>
      </c>
      <c r="AL31" s="102"/>
      <c r="AM31" s="2"/>
      <c r="AN31" s="2"/>
      <c r="AO31" s="2"/>
    </row>
    <row r="32" spans="1:64" outlineLevel="1">
      <c r="A32" t="s">
        <v>500</v>
      </c>
      <c r="B32" s="165" t="s">
        <v>315</v>
      </c>
      <c r="C32" s="101">
        <f>'Yearly Demand - Eth-Prop'!L3</f>
        <v>1049369.6122000003</v>
      </c>
      <c r="D32" s="101">
        <f>'Yearly Demand - Eth-Prop'!M3</f>
        <v>1049369.6122000003</v>
      </c>
      <c r="E32" s="101">
        <f>'Yearly Demand - Eth-Prop'!N3</f>
        <v>1049369.6122000003</v>
      </c>
      <c r="F32" s="101">
        <f>'Yearly Demand - Eth-Prop'!O3</f>
        <v>1049369.6122000003</v>
      </c>
      <c r="G32" s="101">
        <f>'Yearly Demand - Eth-Prop'!P3</f>
        <v>1049369.6122000003</v>
      </c>
      <c r="H32" s="101">
        <f>'Yearly Demand - Eth-Prop'!Q3</f>
        <v>1049369.6122000003</v>
      </c>
      <c r="I32" s="101">
        <f>'Yearly Demand - Eth-Prop'!R3</f>
        <v>1049369.6122000003</v>
      </c>
      <c r="J32" s="101">
        <f>'Yearly Demand - Eth-Prop'!S3</f>
        <v>1049369.6122000003</v>
      </c>
      <c r="K32" s="101">
        <f>'Yearly Demand - Eth-Prop'!T3</f>
        <v>1049369.6122000003</v>
      </c>
      <c r="L32" s="101">
        <f>'Yearly Demand - Eth-Prop'!U3</f>
        <v>1049369.6122000003</v>
      </c>
      <c r="M32" s="101">
        <f>'Yearly Demand - Eth-Prop'!V3</f>
        <v>1049369.6122000003</v>
      </c>
      <c r="N32" s="101">
        <f>'Yearly Demand - Eth-Prop'!W3</f>
        <v>1049369.6122000003</v>
      </c>
      <c r="O32" s="101">
        <f>'Yearly Demand - Eth-Prop'!X3</f>
        <v>1049369.6122000003</v>
      </c>
      <c r="P32" s="101">
        <f>'Yearly Demand - Eth-Prop'!Y3</f>
        <v>1049369.6122000003</v>
      </c>
      <c r="Q32" s="101">
        <f>'Yearly Demand - Eth-Prop'!Z3</f>
        <v>1049369.6122000003</v>
      </c>
      <c r="R32" s="101">
        <f>'Yearly Demand - Eth-Prop'!AA3</f>
        <v>1049369.6122000003</v>
      </c>
      <c r="S32" s="101">
        <f>'Yearly Demand - Eth-Prop'!AB3</f>
        <v>1049369.6122000003</v>
      </c>
      <c r="T32" s="101">
        <f>'Yearly Demand - Eth-Prop'!AC3</f>
        <v>1049369.6122000003</v>
      </c>
      <c r="U32" s="101">
        <f>'Yearly Demand - Eth-Prop'!AD3</f>
        <v>1049369.6122000003</v>
      </c>
      <c r="V32" s="101">
        <f>'Yearly Demand - Eth-Prop'!AE3</f>
        <v>1049369.6122000003</v>
      </c>
      <c r="W32" s="101">
        <f>'Yearly Demand - Eth-Prop'!AF3</f>
        <v>1049369.6122000003</v>
      </c>
      <c r="X32" s="101">
        <f>'Yearly Demand - Eth-Prop'!AG3</f>
        <v>1049369.6122000003</v>
      </c>
      <c r="Y32" s="101">
        <f>'Yearly Demand - Eth-Prop'!AH3</f>
        <v>1049369.6122000003</v>
      </c>
      <c r="Z32" s="101">
        <f>'Yearly Demand - Eth-Prop'!AI3</f>
        <v>1049369.6122000003</v>
      </c>
      <c r="AA32" s="101">
        <f>'Yearly Demand - Eth-Prop'!AJ3</f>
        <v>1049369.6122000003</v>
      </c>
      <c r="AB32" s="101">
        <f>'Yearly Demand - Eth-Prop'!AK3</f>
        <v>1049369.6122000003</v>
      </c>
      <c r="AC32" s="101">
        <f>'Yearly Demand - Eth-Prop'!AL3</f>
        <v>1049369.6122000003</v>
      </c>
      <c r="AD32" s="101">
        <f>'Yearly Demand - Eth-Prop'!AM3</f>
        <v>1049369.6122000003</v>
      </c>
      <c r="AE32" s="101">
        <f>'Yearly Demand - Eth-Prop'!AN3</f>
        <v>1049369.6122000003</v>
      </c>
      <c r="AF32" s="101">
        <f>'Yearly Demand - Eth-Prop'!AO3</f>
        <v>1049369.6122000003</v>
      </c>
      <c r="AG32" s="101">
        <f>'Yearly Demand - Eth-Prop'!AP3</f>
        <v>1049369.6122000003</v>
      </c>
      <c r="AL32" s="102"/>
      <c r="AM32" s="2"/>
      <c r="AN32" s="2"/>
      <c r="AO32" s="2"/>
    </row>
    <row r="33" spans="1:64" outlineLevel="1">
      <c r="A33" t="s">
        <v>501</v>
      </c>
      <c r="B33" s="165" t="s">
        <v>315</v>
      </c>
      <c r="C33" s="101">
        <f>C32-C31</f>
        <v>-146254.86815911741</v>
      </c>
      <c r="D33" s="101">
        <f t="shared" ref="D33:AG33" si="16">D32-D31</f>
        <v>-146254.86815911741</v>
      </c>
      <c r="E33" s="101">
        <f t="shared" si="16"/>
        <v>-146254.86815911741</v>
      </c>
      <c r="F33" s="101">
        <f t="shared" si="16"/>
        <v>-146254.86815911741</v>
      </c>
      <c r="G33" s="101">
        <f t="shared" si="16"/>
        <v>-146254.86815911741</v>
      </c>
      <c r="H33" s="101">
        <f t="shared" si="16"/>
        <v>-146254.86815911741</v>
      </c>
      <c r="I33" s="101">
        <f t="shared" si="16"/>
        <v>-146254.86815911741</v>
      </c>
      <c r="J33" s="101">
        <f t="shared" si="16"/>
        <v>-146254.86815911741</v>
      </c>
      <c r="K33" s="101">
        <f t="shared" si="16"/>
        <v>-146254.86815911741</v>
      </c>
      <c r="L33" s="101">
        <f t="shared" si="16"/>
        <v>-146254.86815911741</v>
      </c>
      <c r="M33" s="101">
        <f t="shared" si="16"/>
        <v>-146254.86815911741</v>
      </c>
      <c r="N33" s="101">
        <f t="shared" si="16"/>
        <v>-146254.86815911741</v>
      </c>
      <c r="O33" s="101">
        <f t="shared" si="16"/>
        <v>-146254.86815911741</v>
      </c>
      <c r="P33" s="101">
        <f t="shared" si="16"/>
        <v>-146254.86815911741</v>
      </c>
      <c r="Q33" s="101">
        <f t="shared" si="16"/>
        <v>-146254.86815911741</v>
      </c>
      <c r="R33" s="101">
        <f t="shared" si="16"/>
        <v>-146254.86815911741</v>
      </c>
      <c r="S33" s="101">
        <f t="shared" si="16"/>
        <v>-146254.86815911741</v>
      </c>
      <c r="T33" s="101">
        <f t="shared" si="16"/>
        <v>-146254.86815911741</v>
      </c>
      <c r="U33" s="101">
        <f t="shared" si="16"/>
        <v>-146254.86815911741</v>
      </c>
      <c r="V33" s="101">
        <f t="shared" si="16"/>
        <v>-146254.86815911741</v>
      </c>
      <c r="W33" s="101">
        <f t="shared" si="16"/>
        <v>-146254.86815911741</v>
      </c>
      <c r="X33" s="101">
        <f t="shared" si="16"/>
        <v>-146254.86815911741</v>
      </c>
      <c r="Y33" s="101">
        <f t="shared" si="16"/>
        <v>-146254.86815911741</v>
      </c>
      <c r="Z33" s="101">
        <f t="shared" si="16"/>
        <v>-146254.86815911741</v>
      </c>
      <c r="AA33" s="101">
        <f t="shared" si="16"/>
        <v>-146254.86815911741</v>
      </c>
      <c r="AB33" s="101">
        <f t="shared" si="16"/>
        <v>-146254.86815911741</v>
      </c>
      <c r="AC33" s="101">
        <f t="shared" si="16"/>
        <v>-146254.86815911741</v>
      </c>
      <c r="AD33" s="101">
        <f t="shared" si="16"/>
        <v>-146254.86815911741</v>
      </c>
      <c r="AE33" s="101">
        <f t="shared" si="16"/>
        <v>-146254.86815911741</v>
      </c>
      <c r="AF33" s="101">
        <f t="shared" si="16"/>
        <v>-146254.86815911741</v>
      </c>
      <c r="AG33" s="101">
        <f t="shared" si="16"/>
        <v>-146254.86815911741</v>
      </c>
      <c r="AL33" s="102"/>
      <c r="AM33" s="2"/>
      <c r="AN33" s="2"/>
      <c r="AO33" s="2"/>
    </row>
    <row r="34" spans="1:64" outlineLevel="1">
      <c r="A34" t="s">
        <v>418</v>
      </c>
      <c r="B34" s="51" t="s">
        <v>126</v>
      </c>
      <c r="C34" s="2">
        <f>C31/C32</f>
        <v>1.1393740265191161</v>
      </c>
      <c r="D34" s="2">
        <f t="shared" ref="D34:AG34" si="17">D31/D32</f>
        <v>1.1393740265191161</v>
      </c>
      <c r="E34" s="2">
        <f t="shared" si="17"/>
        <v>1.1393740265191161</v>
      </c>
      <c r="F34" s="2">
        <f t="shared" si="17"/>
        <v>1.1393740265191161</v>
      </c>
      <c r="G34" s="2">
        <f t="shared" si="17"/>
        <v>1.1393740265191161</v>
      </c>
      <c r="H34" s="2">
        <f t="shared" si="17"/>
        <v>1.1393740265191161</v>
      </c>
      <c r="I34" s="2">
        <f t="shared" si="17"/>
        <v>1.1393740265191161</v>
      </c>
      <c r="J34" s="2">
        <f t="shared" si="17"/>
        <v>1.1393740265191161</v>
      </c>
      <c r="K34" s="2">
        <f t="shared" si="17"/>
        <v>1.1393740265191161</v>
      </c>
      <c r="L34" s="2">
        <f t="shared" si="17"/>
        <v>1.1393740265191161</v>
      </c>
      <c r="M34" s="2">
        <f t="shared" si="17"/>
        <v>1.1393740265191161</v>
      </c>
      <c r="N34" s="2">
        <f t="shared" si="17"/>
        <v>1.1393740265191161</v>
      </c>
      <c r="O34" s="2">
        <f t="shared" si="17"/>
        <v>1.1393740265191161</v>
      </c>
      <c r="P34" s="2">
        <f t="shared" si="17"/>
        <v>1.1393740265191161</v>
      </c>
      <c r="Q34" s="2">
        <f t="shared" si="17"/>
        <v>1.1393740265191161</v>
      </c>
      <c r="R34" s="2">
        <f t="shared" si="17"/>
        <v>1.1393740265191161</v>
      </c>
      <c r="S34" s="2">
        <f t="shared" si="17"/>
        <v>1.1393740265191161</v>
      </c>
      <c r="T34" s="2">
        <f t="shared" si="17"/>
        <v>1.1393740265191161</v>
      </c>
      <c r="U34" s="2">
        <f t="shared" si="17"/>
        <v>1.1393740265191161</v>
      </c>
      <c r="V34" s="2">
        <f t="shared" si="17"/>
        <v>1.1393740265191161</v>
      </c>
      <c r="W34" s="2">
        <f t="shared" si="17"/>
        <v>1.1393740265191161</v>
      </c>
      <c r="X34" s="2">
        <f t="shared" si="17"/>
        <v>1.1393740265191161</v>
      </c>
      <c r="Y34" s="2">
        <f t="shared" si="17"/>
        <v>1.1393740265191161</v>
      </c>
      <c r="Z34" s="2">
        <f t="shared" si="17"/>
        <v>1.1393740265191161</v>
      </c>
      <c r="AA34" s="2">
        <f t="shared" si="17"/>
        <v>1.1393740265191161</v>
      </c>
      <c r="AB34" s="2">
        <f t="shared" si="17"/>
        <v>1.1393740265191161</v>
      </c>
      <c r="AC34" s="2">
        <f t="shared" si="17"/>
        <v>1.1393740265191161</v>
      </c>
      <c r="AD34" s="2">
        <f t="shared" si="17"/>
        <v>1.1393740265191161</v>
      </c>
      <c r="AE34" s="2">
        <f t="shared" si="17"/>
        <v>1.1393740265191161</v>
      </c>
      <c r="AF34" s="2">
        <f t="shared" si="17"/>
        <v>1.1393740265191161</v>
      </c>
      <c r="AG34" s="2">
        <f t="shared" si="17"/>
        <v>1.1393740265191161</v>
      </c>
      <c r="AI34" s="195"/>
      <c r="AL34" s="102"/>
      <c r="AM34" s="2"/>
      <c r="AN34" s="2"/>
      <c r="AO34" s="2"/>
    </row>
    <row r="35" spans="1:64" outlineLevel="1">
      <c r="AL35" s="102"/>
      <c r="AM35" s="2"/>
      <c r="AN35" s="2"/>
      <c r="AO35" s="2"/>
    </row>
    <row r="36" spans="1:64" outlineLevel="1">
      <c r="A36" t="s">
        <v>319</v>
      </c>
      <c r="B36" s="51" t="s">
        <v>126</v>
      </c>
      <c r="C36" s="22">
        <f>'Yearly LC Propylene'!D21/'Yearly LC Propylene'!D14</f>
        <v>1</v>
      </c>
      <c r="D36" s="22">
        <f>'Yearly LC Propylene'!E21/'Yearly LC Propylene'!E14</f>
        <v>0.99596490999999998</v>
      </c>
      <c r="E36" s="22">
        <f>'Yearly LC Propylene'!F21/'Yearly LC Propylene'!F14</f>
        <v>0.99192981999999996</v>
      </c>
      <c r="F36" s="22">
        <f>'Yearly LC Propylene'!G21/'Yearly LC Propylene'!G14</f>
        <v>0.98789472999999994</v>
      </c>
      <c r="G36" s="22">
        <f>'Yearly LC Propylene'!H21/'Yearly LC Propylene'!H14</f>
        <v>0.98385964000000004</v>
      </c>
      <c r="H36" s="22">
        <f>'Yearly LC Propylene'!I21/'Yearly LC Propylene'!I14</f>
        <v>0.97982455000000002</v>
      </c>
      <c r="I36" s="22">
        <f>'Yearly LC Propylene'!J21/'Yearly LC Propylene'!J14</f>
        <v>0.97578946</v>
      </c>
      <c r="J36" s="22">
        <f>'Yearly LC Propylene'!K21/'Yearly LC Propylene'!K14</f>
        <v>0.97175437000000009</v>
      </c>
      <c r="K36" s="22">
        <f>'Yearly LC Propylene'!L21/'Yearly LC Propylene'!L14</f>
        <v>0.96771927999999996</v>
      </c>
      <c r="L36" s="22">
        <f>'Yearly LC Propylene'!M21/'Yearly LC Propylene'!M14</f>
        <v>0.96368418999999994</v>
      </c>
      <c r="M36" s="22">
        <f>'Yearly LC Propylene'!N21/'Yearly LC Propylene'!N14</f>
        <v>0.95964909999999992</v>
      </c>
      <c r="N36" s="22">
        <f>'Yearly LC Propylene'!O21/'Yearly LC Propylene'!O14</f>
        <v>0.95313076000000008</v>
      </c>
      <c r="O36" s="22">
        <f>'Yearly LC Propylene'!P21/'Yearly LC Propylene'!P14</f>
        <v>0.94709401999999987</v>
      </c>
      <c r="P36" s="22">
        <f>'Yearly LC Propylene'!Q21/'Yearly LC Propylene'!Q14</f>
        <v>0.94035896000000008</v>
      </c>
      <c r="Q36" s="22">
        <f>'Yearly LC Propylene'!R21/'Yearly LC Propylene'!R14</f>
        <v>0.93362390000000006</v>
      </c>
      <c r="R36" s="22">
        <f>'Yearly LC Propylene'!S21/'Yearly LC Propylene'!S14</f>
        <v>0.92688883999999994</v>
      </c>
      <c r="S36" s="22">
        <f>'Yearly LC Propylene'!T21/'Yearly LC Propylene'!T14</f>
        <v>0.92015377999999992</v>
      </c>
      <c r="T36" s="22">
        <f>'Yearly LC Propylene'!U21/'Yearly LC Propylene'!U14</f>
        <v>0.91341872000000002</v>
      </c>
      <c r="U36" s="22">
        <f>'Yearly LC Propylene'!V21/'Yearly LC Propylene'!V14</f>
        <v>0.90668366000000011</v>
      </c>
      <c r="V36" s="22">
        <f>'Yearly LC Propylene'!W21/'Yearly LC Propylene'!W14</f>
        <v>0.89994859999999999</v>
      </c>
      <c r="W36" s="22">
        <f>'Yearly LC Propylene'!X21/'Yearly LC Propylene'!X14</f>
        <v>0.89321353999999997</v>
      </c>
      <c r="X36" s="22">
        <f>'Yearly LC Propylene'!Y21/'Yearly LC Propylene'!Y14</f>
        <v>0.88238548999999988</v>
      </c>
      <c r="Y36" s="22">
        <f>'Yearly LC Propylene'!Z21/'Yearly LC Propylene'!Z14</f>
        <v>0.87577488000000003</v>
      </c>
      <c r="Z36" s="22">
        <f>'Yearly LC Propylene'!AA21/'Yearly LC Propylene'!AA14</f>
        <v>0.86916426999999996</v>
      </c>
      <c r="AA36" s="22">
        <f>'Yearly LC Propylene'!AB21/'Yearly LC Propylene'!AB14</f>
        <v>0.86255366</v>
      </c>
      <c r="AB36" s="22">
        <f>'Yearly LC Propylene'!AC21/'Yearly LC Propylene'!AC14</f>
        <v>0.85594304999999993</v>
      </c>
      <c r="AC36" s="22">
        <f>'Yearly LC Propylene'!AD21/'Yearly LC Propylene'!AD14</f>
        <v>0.84933243999999997</v>
      </c>
      <c r="AD36" s="22">
        <f>'Yearly LC Propylene'!AE21/'Yearly LC Propylene'!AE14</f>
        <v>0.84272183000000001</v>
      </c>
      <c r="AE36" s="22">
        <f>'Yearly LC Propylene'!AF21/'Yearly LC Propylene'!AF14</f>
        <v>0.83611122000000004</v>
      </c>
      <c r="AF36" s="22">
        <f>'Yearly LC Propylene'!AG21/'Yearly LC Propylene'!AG14</f>
        <v>0.82950060999999997</v>
      </c>
      <c r="AG36" s="22">
        <f>'Yearly LC Propylene'!AH21/'Yearly LC Propylene'!AH14</f>
        <v>0.82289000000000001</v>
      </c>
      <c r="AL36" s="102"/>
      <c r="AM36" s="2"/>
      <c r="AN36" s="2"/>
      <c r="AO36" s="2"/>
      <c r="BC36" s="1"/>
      <c r="BD36" s="116"/>
      <c r="BE36" s="116"/>
      <c r="BF36" s="116"/>
      <c r="BG36" s="116"/>
      <c r="BH36" s="116"/>
      <c r="BI36" s="116"/>
      <c r="BJ36" s="116"/>
      <c r="BK36" s="116"/>
    </row>
    <row r="37" spans="1:64" outlineLevel="1">
      <c r="A37" t="s">
        <v>320</v>
      </c>
      <c r="B37" s="51" t="s">
        <v>126</v>
      </c>
      <c r="C37" s="22">
        <f>'Yearly LC Propylene'!D13/'Yearly LC Propylene'!D6</f>
        <v>1</v>
      </c>
      <c r="D37" s="22">
        <f>'Yearly LC Propylene'!E13/'Yearly LC Propylene'!E6</f>
        <v>0.99829903423249999</v>
      </c>
      <c r="E37" s="22">
        <f>'Yearly LC Propylene'!F13/'Yearly LC Propylene'!F6</f>
        <v>0.99659614386000006</v>
      </c>
      <c r="F37" s="22">
        <f>'Yearly LC Propylene'!G13/'Yearly LC Propylene'!G6</f>
        <v>0.99489133927750006</v>
      </c>
      <c r="G37" s="22">
        <f>'Yearly LC Propylene'!H13/'Yearly LC Propylene'!H6</f>
        <v>0.99318463087999986</v>
      </c>
      <c r="H37" s="22">
        <f>'Yearly LC Propylene'!I13/'Yearly LC Propylene'!I6</f>
        <v>0.99147602906249988</v>
      </c>
      <c r="I37" s="22">
        <f>'Yearly LC Propylene'!J13/'Yearly LC Propylene'!J6</f>
        <v>0.98976554421999996</v>
      </c>
      <c r="J37" s="22">
        <f>'Yearly LC Propylene'!K13/'Yearly LC Propylene'!K6</f>
        <v>0.98805318674749998</v>
      </c>
      <c r="K37" s="22">
        <f>'Yearly LC Propylene'!L13/'Yearly LC Propylene'!L6</f>
        <v>0.98633896704000001</v>
      </c>
      <c r="L37" s="22">
        <f>'Yearly LC Propylene'!M13/'Yearly LC Propylene'!M6</f>
        <v>0.98462289549250004</v>
      </c>
      <c r="M37" s="22">
        <f>'Yearly LC Propylene'!N13/'Yearly LC Propylene'!N6</f>
        <v>0.98290498250000002</v>
      </c>
      <c r="N37" s="22">
        <f>'Yearly LC Propylene'!O13/'Yearly LC Propylene'!O6</f>
        <v>0.97870549159499998</v>
      </c>
      <c r="O37" s="22">
        <f>'Yearly LC Propylene'!P13/'Yearly LC Propylene'!P6</f>
        <v>0.97447390335999995</v>
      </c>
      <c r="P37" s="22">
        <f>'Yearly LC Propylene'!Q13/'Yearly LC Propylene'!Q6</f>
        <v>0.97021059201500004</v>
      </c>
      <c r="Q37" s="22">
        <f>'Yearly LC Propylene'!R13/'Yearly LC Propylene'!R6</f>
        <v>0.96591593178000001</v>
      </c>
      <c r="R37" s="22">
        <f>'Yearly LC Propylene'!S13/'Yearly LC Propylene'!S6</f>
        <v>0.96159029687499997</v>
      </c>
      <c r="S37" s="22">
        <f>'Yearly LC Propylene'!T13/'Yearly LC Propylene'!T6</f>
        <v>0.95723406152000001</v>
      </c>
      <c r="T37" s="22">
        <f>'Yearly LC Propylene'!U13/'Yearly LC Propylene'!U6</f>
        <v>0.95284759993500001</v>
      </c>
      <c r="U37" s="22">
        <f>'Yearly LC Propylene'!V13/'Yearly LC Propylene'!V6</f>
        <v>0.94843128634000007</v>
      </c>
      <c r="V37" s="22">
        <f>'Yearly LC Propylene'!W13/'Yearly LC Propylene'!W6</f>
        <v>0.94398549495500006</v>
      </c>
      <c r="W37" s="22">
        <f>'Yearly LC Propylene'!X13/'Yearly LC Propylene'!X6</f>
        <v>0.93951060000000008</v>
      </c>
      <c r="X37" s="22">
        <f>'Yearly LC Propylene'!Y13/'Yearly LC Propylene'!Y6</f>
        <v>0.92783659834999999</v>
      </c>
      <c r="Y37" s="22">
        <f>'Yearly LC Propylene'!Z13/'Yearly LC Propylene'!Z6</f>
        <v>0.91614176079999998</v>
      </c>
      <c r="Z37" s="22">
        <f>'Yearly LC Propylene'!AA13/'Yearly LC Propylene'!AA6</f>
        <v>0.90442795845000001</v>
      </c>
      <c r="AA37" s="22">
        <f>'Yearly LC Propylene'!AB13/'Yearly LC Propylene'!AB6</f>
        <v>0.89269706239999991</v>
      </c>
      <c r="AB37" s="22">
        <f>'Yearly LC Propylene'!AC13/'Yearly LC Propylene'!AC6</f>
        <v>0.88095094375000005</v>
      </c>
      <c r="AC37" s="22">
        <f>'Yearly LC Propylene'!AD13/'Yearly LC Propylene'!AD6</f>
        <v>0.86919147360000004</v>
      </c>
      <c r="AD37" s="22">
        <f>'Yearly LC Propylene'!AE13/'Yearly LC Propylene'!AE6</f>
        <v>0.85742052305000005</v>
      </c>
      <c r="AE37" s="22">
        <f>'Yearly LC Propylene'!AF13/'Yearly LC Propylene'!AF6</f>
        <v>0.84563996320000001</v>
      </c>
      <c r="AF37" s="22">
        <f>'Yearly LC Propylene'!AG13/'Yearly LC Propylene'!AG6</f>
        <v>0.83385166514999998</v>
      </c>
      <c r="AG37" s="22">
        <f>'Yearly LC Propylene'!AH13/'Yearly LC Propylene'!AH6</f>
        <v>0.8220575</v>
      </c>
      <c r="AL37" s="102"/>
      <c r="AM37" s="2"/>
      <c r="AN37" s="2"/>
      <c r="AO37" s="2"/>
      <c r="BL37" s="1"/>
    </row>
    <row r="38" spans="1:64" outlineLevel="1">
      <c r="A38" t="s">
        <v>321</v>
      </c>
      <c r="B38" s="51" t="s">
        <v>126</v>
      </c>
      <c r="C38" s="22">
        <f>'Yearly LC Propylene'!D25/'Yearly LC Propylene'!D22</f>
        <v>1</v>
      </c>
      <c r="D38" s="22">
        <f>'Yearly LC Propylene'!E25/'Yearly LC Propylene'!E22</f>
        <v>0.99274000000000007</v>
      </c>
      <c r="E38" s="22">
        <f>'Yearly LC Propylene'!F25/'Yearly LC Propylene'!F22</f>
        <v>0.98548000000000002</v>
      </c>
      <c r="F38" s="22">
        <f>'Yearly LC Propylene'!G25/'Yearly LC Propylene'!G22</f>
        <v>0.97822000000000009</v>
      </c>
      <c r="G38" s="22">
        <f>'Yearly LC Propylene'!H25/'Yearly LC Propylene'!H22</f>
        <v>0.97095999999999993</v>
      </c>
      <c r="H38" s="22">
        <f>'Yearly LC Propylene'!I25/'Yearly LC Propylene'!I22</f>
        <v>0.9637</v>
      </c>
      <c r="I38" s="22">
        <f>'Yearly LC Propylene'!J25/'Yearly LC Propylene'!J22</f>
        <v>0.95643999999999996</v>
      </c>
      <c r="J38" s="22">
        <f>'Yearly LC Propylene'!K25/'Yearly LC Propylene'!K22</f>
        <v>0.94918000000000002</v>
      </c>
      <c r="K38" s="22">
        <f>'Yearly LC Propylene'!L25/'Yearly LC Propylene'!L22</f>
        <v>0.94191999999999998</v>
      </c>
      <c r="L38" s="22">
        <f>'Yearly LC Propylene'!M25/'Yearly LC Propylene'!M22</f>
        <v>0.93466000000000005</v>
      </c>
      <c r="M38" s="22">
        <f>'Yearly LC Propylene'!N25/'Yearly LC Propylene'!N22</f>
        <v>0.9274</v>
      </c>
      <c r="N38" s="22">
        <f>'Yearly LC Propylene'!O25/'Yearly LC Propylene'!O22</f>
        <v>0.92013999999999996</v>
      </c>
      <c r="O38" s="22">
        <f>'Yearly LC Propylene'!P25/'Yearly LC Propylene'!P22</f>
        <v>0.91288000000000002</v>
      </c>
      <c r="P38" s="22">
        <f>'Yearly LC Propylene'!Q25/'Yearly LC Propylene'!Q22</f>
        <v>0.90561999999999998</v>
      </c>
      <c r="Q38" s="22">
        <f>'Yearly LC Propylene'!R25/'Yearly LC Propylene'!R22</f>
        <v>0.89835999999999994</v>
      </c>
      <c r="R38" s="22">
        <f>'Yearly LC Propylene'!S25/'Yearly LC Propylene'!S22</f>
        <v>0.8911</v>
      </c>
      <c r="S38" s="22">
        <f>'Yearly LC Propylene'!T25/'Yearly LC Propylene'!T22</f>
        <v>0.88383999999999996</v>
      </c>
      <c r="T38" s="22">
        <f>'Yearly LC Propylene'!U25/'Yearly LC Propylene'!U22</f>
        <v>0.87657999999999991</v>
      </c>
      <c r="U38" s="22">
        <f>'Yearly LC Propylene'!V25/'Yearly LC Propylene'!V22</f>
        <v>0.86931999999999998</v>
      </c>
      <c r="V38" s="22">
        <f>'Yearly LC Propylene'!W25/'Yearly LC Propylene'!W22</f>
        <v>0.86206000000000005</v>
      </c>
      <c r="W38" s="22">
        <f>'Yearly LC Propylene'!X25/'Yearly LC Propylene'!X22</f>
        <v>0.8548</v>
      </c>
      <c r="X38" s="22">
        <f>'Yearly LC Propylene'!Y25/'Yearly LC Propylene'!Y22</f>
        <v>0.84731999999999996</v>
      </c>
      <c r="Y38" s="22">
        <f>'Yearly LC Propylene'!Z25/'Yearly LC Propylene'!Z22</f>
        <v>0.83984000000000003</v>
      </c>
      <c r="Z38" s="22">
        <f>'Yearly LC Propylene'!AA25/'Yearly LC Propylene'!AA22</f>
        <v>0.83235999999999999</v>
      </c>
      <c r="AA38" s="22">
        <f>'Yearly LC Propylene'!AB25/'Yearly LC Propylene'!AB22</f>
        <v>0.82488000000000006</v>
      </c>
      <c r="AB38" s="22">
        <f>'Yearly LC Propylene'!AC25/'Yearly LC Propylene'!AC22</f>
        <v>0.8173999999999999</v>
      </c>
      <c r="AC38" s="22">
        <f>'Yearly LC Propylene'!AD25/'Yearly LC Propylene'!AD22</f>
        <v>0.80991999999999997</v>
      </c>
      <c r="AD38" s="22">
        <f>'Yearly LC Propylene'!AE25/'Yearly LC Propylene'!AE22</f>
        <v>0.80243999999999993</v>
      </c>
      <c r="AE38" s="22">
        <f>'Yearly LC Propylene'!AF25/'Yearly LC Propylene'!AF22</f>
        <v>0.79496</v>
      </c>
      <c r="AF38" s="22">
        <f>'Yearly LC Propylene'!AG25/'Yearly LC Propylene'!AG22</f>
        <v>0.78747999999999996</v>
      </c>
      <c r="AG38" s="22">
        <f>'Yearly LC Propylene'!AH25/'Yearly LC Propylene'!AH22</f>
        <v>0.78</v>
      </c>
      <c r="AL38" s="102"/>
      <c r="AM38" s="2"/>
      <c r="AN38" s="2"/>
      <c r="AO38" s="2"/>
      <c r="BD38" s="38"/>
      <c r="BE38" s="38"/>
      <c r="BF38" s="38"/>
      <c r="BG38" s="38"/>
      <c r="BH38" s="38"/>
      <c r="BI38" s="38"/>
      <c r="BJ38" s="38"/>
      <c r="BK38" s="38"/>
      <c r="BL38" s="112"/>
    </row>
    <row r="39" spans="1:64" outlineLevel="1">
      <c r="A39" t="s">
        <v>502</v>
      </c>
      <c r="B39" s="51" t="s">
        <v>126</v>
      </c>
      <c r="C39" s="22" t="s">
        <v>519</v>
      </c>
      <c r="D39" s="22" t="s">
        <v>519</v>
      </c>
      <c r="E39" s="22" t="s">
        <v>519</v>
      </c>
      <c r="F39" s="22" t="s">
        <v>519</v>
      </c>
      <c r="G39" s="22" t="s">
        <v>519</v>
      </c>
      <c r="H39" s="22" t="s">
        <v>519</v>
      </c>
      <c r="I39" s="22" t="s">
        <v>519</v>
      </c>
      <c r="J39" s="22" t="s">
        <v>519</v>
      </c>
      <c r="K39" s="22" t="s">
        <v>519</v>
      </c>
      <c r="L39" s="22" t="s">
        <v>519</v>
      </c>
      <c r="M39" s="22" t="s">
        <v>519</v>
      </c>
      <c r="N39" s="22" t="s">
        <v>519</v>
      </c>
      <c r="O39" s="22" t="s">
        <v>519</v>
      </c>
      <c r="P39" s="22" t="s">
        <v>519</v>
      </c>
      <c r="Q39" s="22" t="s">
        <v>519</v>
      </c>
      <c r="R39" s="22" t="s">
        <v>519</v>
      </c>
      <c r="S39" s="22" t="s">
        <v>519</v>
      </c>
      <c r="T39" s="22" t="s">
        <v>519</v>
      </c>
      <c r="U39" s="22" t="s">
        <v>519</v>
      </c>
      <c r="V39" s="22" t="s">
        <v>519</v>
      </c>
      <c r="W39" s="22" t="s">
        <v>519</v>
      </c>
      <c r="X39" s="22" t="s">
        <v>519</v>
      </c>
      <c r="Y39" s="22" t="s">
        <v>519</v>
      </c>
      <c r="Z39" s="22" t="s">
        <v>519</v>
      </c>
      <c r="AA39" s="22" t="s">
        <v>519</v>
      </c>
      <c r="AB39" s="22" t="s">
        <v>519</v>
      </c>
      <c r="AC39" s="22" t="s">
        <v>519</v>
      </c>
      <c r="AD39" s="22" t="s">
        <v>519</v>
      </c>
      <c r="AE39" s="22" t="s">
        <v>519</v>
      </c>
      <c r="AF39" s="22" t="s">
        <v>519</v>
      </c>
      <c r="AG39" s="22" t="s">
        <v>519</v>
      </c>
      <c r="AL39" s="102"/>
      <c r="AM39" s="2"/>
      <c r="AN39" s="2"/>
      <c r="AO39" s="2"/>
      <c r="BD39" s="38"/>
      <c r="BE39" s="38"/>
      <c r="BF39" s="38"/>
      <c r="BG39" s="38"/>
      <c r="BH39" s="38"/>
      <c r="BI39" s="38"/>
      <c r="BJ39" s="38"/>
      <c r="BK39" s="38"/>
      <c r="BL39" s="112"/>
    </row>
    <row r="40" spans="1:64" outlineLevel="1">
      <c r="A40" t="s">
        <v>322</v>
      </c>
      <c r="B40" s="165" t="s">
        <v>126</v>
      </c>
      <c r="C40" s="104">
        <f>'Yearly LC Propylene'!D35/'Yearly LC Propylene'!D32</f>
        <v>1</v>
      </c>
      <c r="D40" s="104">
        <f>'Yearly LC Propylene'!E35/'Yearly LC Propylene'!E32</f>
        <v>0.99669999999999992</v>
      </c>
      <c r="E40" s="104">
        <f>'Yearly LC Propylene'!F35/'Yearly LC Propylene'!F32</f>
        <v>0.99339999999999995</v>
      </c>
      <c r="F40" s="104">
        <f>'Yearly LC Propylene'!G35/'Yearly LC Propylene'!G32</f>
        <v>0.99010000000000009</v>
      </c>
      <c r="G40" s="104">
        <f>'Yearly LC Propylene'!H35/'Yearly LC Propylene'!H32</f>
        <v>0.98680000000000012</v>
      </c>
      <c r="H40" s="104">
        <f>'Yearly LC Propylene'!I35/'Yearly LC Propylene'!I32</f>
        <v>0.98349999999999993</v>
      </c>
      <c r="I40" s="104">
        <f>'Yearly LC Propylene'!J35/'Yearly LC Propylene'!J32</f>
        <v>0.98020000000000018</v>
      </c>
      <c r="J40" s="104">
        <f>'Yearly LC Propylene'!K35/'Yearly LC Propylene'!K32</f>
        <v>0.9769000000000001</v>
      </c>
      <c r="K40" s="104">
        <f>'Yearly LC Propylene'!L35/'Yearly LC Propylene'!L32</f>
        <v>0.9735999999999998</v>
      </c>
      <c r="L40" s="104">
        <f>'Yearly LC Propylene'!M35/'Yearly LC Propylene'!M32</f>
        <v>0.97029999999999994</v>
      </c>
      <c r="M40" s="104">
        <f>'Yearly LC Propylene'!N35/'Yearly LC Propylene'!N32</f>
        <v>0.96699999999999986</v>
      </c>
      <c r="N40" s="104">
        <f>'Yearly LC Propylene'!O35/'Yearly LC Propylene'!O32</f>
        <v>0.9637</v>
      </c>
      <c r="O40" s="104">
        <f>'Yearly LC Propylene'!P35/'Yearly LC Propylene'!P32</f>
        <v>0.96040000000000014</v>
      </c>
      <c r="P40" s="104">
        <f>'Yearly LC Propylene'!Q35/'Yearly LC Propylene'!Q32</f>
        <v>0.95709999999999995</v>
      </c>
      <c r="Q40" s="104">
        <f>'Yearly LC Propylene'!R35/'Yearly LC Propylene'!R32</f>
        <v>0.95380000000000009</v>
      </c>
      <c r="R40" s="104">
        <f>'Yearly LC Propylene'!S35/'Yearly LC Propylene'!S32</f>
        <v>0.9504999999999999</v>
      </c>
      <c r="S40" s="104">
        <f>'Yearly LC Propylene'!T35/'Yearly LC Propylene'!T32</f>
        <v>0.94719999999999993</v>
      </c>
      <c r="T40" s="104">
        <f>'Yearly LC Propylene'!U35/'Yearly LC Propylene'!U32</f>
        <v>0.94389999999999985</v>
      </c>
      <c r="U40" s="104">
        <f>'Yearly LC Propylene'!V35/'Yearly LC Propylene'!V32</f>
        <v>0.94059999999999988</v>
      </c>
      <c r="V40" s="104">
        <f>'Yearly LC Propylene'!W35/'Yearly LC Propylene'!W32</f>
        <v>0.93729999999999991</v>
      </c>
      <c r="W40" s="104">
        <f>'Yearly LC Propylene'!X35/'Yearly LC Propylene'!X32</f>
        <v>0.93400000000000005</v>
      </c>
      <c r="X40" s="104">
        <f>'Yearly LC Propylene'!Y35/'Yearly LC Propylene'!Y32</f>
        <v>0.93060000000000009</v>
      </c>
      <c r="Y40" s="104">
        <f>'Yearly LC Propylene'!Z35/'Yearly LC Propylene'!Z32</f>
        <v>0.92720000000000002</v>
      </c>
      <c r="Z40" s="104">
        <f>'Yearly LC Propylene'!AA35/'Yearly LC Propylene'!AA32</f>
        <v>0.92380000000000007</v>
      </c>
      <c r="AA40" s="104">
        <f>'Yearly LC Propylene'!AB35/'Yearly LC Propylene'!AB32</f>
        <v>0.9204</v>
      </c>
      <c r="AB40" s="104">
        <f>'Yearly LC Propylene'!AC35/'Yearly LC Propylene'!AC32</f>
        <v>0.91700000000000004</v>
      </c>
      <c r="AC40" s="104">
        <f>'Yearly LC Propylene'!AD35/'Yearly LC Propylene'!AD32</f>
        <v>0.91359999999999997</v>
      </c>
      <c r="AD40" s="104">
        <f>'Yearly LC Propylene'!AE35/'Yearly LC Propylene'!AE32</f>
        <v>0.9101999999999999</v>
      </c>
      <c r="AE40" s="104">
        <f>'Yearly LC Propylene'!AF35/'Yearly LC Propylene'!AF32</f>
        <v>0.90679999999999994</v>
      </c>
      <c r="AF40" s="104">
        <f>'Yearly LC Propylene'!AG35/'Yearly LC Propylene'!AG32</f>
        <v>0.90339999999999998</v>
      </c>
      <c r="AG40" s="104">
        <f>'Yearly LC Propylene'!AH35/'Yearly LC Propylene'!AH32</f>
        <v>0.89999999999999991</v>
      </c>
      <c r="AI40" s="124"/>
      <c r="AL40" s="102"/>
      <c r="AM40" s="2"/>
      <c r="AN40" s="2"/>
      <c r="AO40" s="2"/>
      <c r="BD40" s="38"/>
      <c r="BE40" s="38"/>
      <c r="BF40" s="38"/>
      <c r="BG40" s="38"/>
      <c r="BH40" s="38"/>
      <c r="BI40" s="38"/>
      <c r="BJ40" s="38"/>
      <c r="BK40" s="38"/>
      <c r="BL40" s="112"/>
    </row>
    <row r="41" spans="1:64" outlineLevel="1">
      <c r="AI41" t="s">
        <v>421</v>
      </c>
      <c r="BD41" s="38"/>
      <c r="BE41" s="38"/>
      <c r="BF41" s="38"/>
      <c r="BG41" s="38"/>
      <c r="BH41" s="38"/>
      <c r="BI41" s="38"/>
      <c r="BJ41" s="38"/>
      <c r="BK41" s="38"/>
      <c r="BL41" s="112"/>
    </row>
    <row r="42" spans="1:64" outlineLevel="1">
      <c r="A42" t="s">
        <v>323</v>
      </c>
      <c r="B42" s="51" t="s">
        <v>315</v>
      </c>
      <c r="C42" s="101">
        <f>C24*C36</f>
        <v>596429.49791931454</v>
      </c>
      <c r="D42" s="101">
        <f t="shared" ref="D42:AF42" si="18">D24*D36</f>
        <v>594022.85121655534</v>
      </c>
      <c r="E42" s="101">
        <f t="shared" si="18"/>
        <v>591616.20451379602</v>
      </c>
      <c r="F42" s="101">
        <f t="shared" si="18"/>
        <v>589209.55781103682</v>
      </c>
      <c r="G42" s="101">
        <f t="shared" si="18"/>
        <v>586802.91110827762</v>
      </c>
      <c r="H42" s="101">
        <f t="shared" si="18"/>
        <v>584396.2644055183</v>
      </c>
      <c r="I42" s="101">
        <f t="shared" si="18"/>
        <v>581989.6177027591</v>
      </c>
      <c r="J42" s="101">
        <f t="shared" si="18"/>
        <v>579582.9709999999</v>
      </c>
      <c r="K42" s="101">
        <f t="shared" si="18"/>
        <v>577176.32429724059</v>
      </c>
      <c r="L42" s="101">
        <f t="shared" si="18"/>
        <v>574769.67759448127</v>
      </c>
      <c r="M42" s="101">
        <f t="shared" si="18"/>
        <v>572363.03089172207</v>
      </c>
      <c r="N42" s="101">
        <f t="shared" si="18"/>
        <v>568475.30063825473</v>
      </c>
      <c r="O42" s="101">
        <f t="shared" si="18"/>
        <v>564874.8108309852</v>
      </c>
      <c r="P42" s="101">
        <f t="shared" si="18"/>
        <v>560857.82237672887</v>
      </c>
      <c r="Q42" s="101">
        <f t="shared" si="18"/>
        <v>556840.83392247232</v>
      </c>
      <c r="R42" s="101">
        <f t="shared" si="18"/>
        <v>552823.84546821588</v>
      </c>
      <c r="S42" s="101">
        <f t="shared" si="18"/>
        <v>548806.85701395932</v>
      </c>
      <c r="T42" s="101">
        <f t="shared" si="18"/>
        <v>544789.868559703</v>
      </c>
      <c r="U42" s="101">
        <f t="shared" si="18"/>
        <v>540772.88010544656</v>
      </c>
      <c r="V42" s="101">
        <f t="shared" si="18"/>
        <v>536755.89165119</v>
      </c>
      <c r="W42" s="101">
        <f t="shared" si="18"/>
        <v>532738.90319693356</v>
      </c>
      <c r="X42" s="101">
        <f t="shared" si="18"/>
        <v>526280.73477198824</v>
      </c>
      <c r="Y42" s="101">
        <f t="shared" si="18"/>
        <v>522337.97196874797</v>
      </c>
      <c r="Z42" s="101">
        <f t="shared" si="18"/>
        <v>518395.20916550752</v>
      </c>
      <c r="AA42" s="101">
        <f t="shared" si="18"/>
        <v>514452.44636226713</v>
      </c>
      <c r="AB42" s="101">
        <f t="shared" si="18"/>
        <v>510509.68355902669</v>
      </c>
      <c r="AC42" s="101">
        <f t="shared" si="18"/>
        <v>506566.9207557863</v>
      </c>
      <c r="AD42" s="101">
        <f t="shared" si="18"/>
        <v>502624.15795254597</v>
      </c>
      <c r="AE42" s="101">
        <f t="shared" si="18"/>
        <v>498681.39514930558</v>
      </c>
      <c r="AF42" s="101">
        <f t="shared" si="18"/>
        <v>494738.63234606513</v>
      </c>
      <c r="AG42" s="101">
        <f>AG24*AG36</f>
        <v>490795.86954282474</v>
      </c>
      <c r="AI42" s="197" t="s">
        <v>281</v>
      </c>
      <c r="AJ42" s="198" t="s">
        <v>422</v>
      </c>
      <c r="BD42" s="38"/>
      <c r="BE42" s="38"/>
      <c r="BF42" s="38"/>
      <c r="BG42" s="38"/>
      <c r="BH42" s="38"/>
      <c r="BI42" s="38"/>
      <c r="BJ42" s="38"/>
      <c r="BK42" s="38"/>
      <c r="BL42" s="112"/>
    </row>
    <row r="43" spans="1:64" outlineLevel="1">
      <c r="A43" t="s">
        <v>324</v>
      </c>
      <c r="B43" s="51" t="s">
        <v>315</v>
      </c>
      <c r="C43" s="101">
        <f>C25*$C$37</f>
        <v>109709.95191504674</v>
      </c>
      <c r="D43" s="101">
        <f t="shared" ref="D43:O43" si="19">D25*$C$37</f>
        <v>109709.95191504674</v>
      </c>
      <c r="E43" s="101">
        <f t="shared" si="19"/>
        <v>109709.95191504674</v>
      </c>
      <c r="F43" s="101">
        <f t="shared" si="19"/>
        <v>109709.95191504674</v>
      </c>
      <c r="G43" s="101">
        <f t="shared" si="19"/>
        <v>109709.95191504674</v>
      </c>
      <c r="H43" s="101">
        <f t="shared" si="19"/>
        <v>109709.95191504674</v>
      </c>
      <c r="I43" s="101">
        <f t="shared" si="19"/>
        <v>109709.95191504674</v>
      </c>
      <c r="J43" s="101">
        <f t="shared" si="19"/>
        <v>109709.95191504674</v>
      </c>
      <c r="K43" s="101">
        <f t="shared" si="19"/>
        <v>109709.95191504674</v>
      </c>
      <c r="L43" s="101">
        <f t="shared" si="19"/>
        <v>109709.95191504674</v>
      </c>
      <c r="M43" s="101">
        <f t="shared" si="19"/>
        <v>109709.95191504674</v>
      </c>
      <c r="N43" s="101">
        <f t="shared" si="19"/>
        <v>109709.95191504674</v>
      </c>
      <c r="O43" s="101">
        <f t="shared" si="19"/>
        <v>109709.95191504674</v>
      </c>
      <c r="P43" s="101">
        <f>D37*P25</f>
        <v>109523.33904248517</v>
      </c>
      <c r="Q43" s="101">
        <f t="shared" ref="Q43:AG43" si="20">E37*Q25</f>
        <v>109336.5150216016</v>
      </c>
      <c r="R43" s="101">
        <f t="shared" si="20"/>
        <v>109149.48099283098</v>
      </c>
      <c r="S43" s="101">
        <f t="shared" si="20"/>
        <v>108962.23809660823</v>
      </c>
      <c r="T43" s="101">
        <f t="shared" si="20"/>
        <v>108774.78747336834</v>
      </c>
      <c r="U43" s="101">
        <f t="shared" si="20"/>
        <v>108587.13026354626</v>
      </c>
      <c r="V43" s="101">
        <f t="shared" si="20"/>
        <v>108399.26760757691</v>
      </c>
      <c r="W43" s="101">
        <f t="shared" si="20"/>
        <v>108211.20064589527</v>
      </c>
      <c r="X43" s="101">
        <f t="shared" si="20"/>
        <v>108022.93051893626</v>
      </c>
      <c r="Y43" s="101">
        <f t="shared" si="20"/>
        <v>107834.45836713485</v>
      </c>
      <c r="Z43" s="101">
        <f t="shared" si="20"/>
        <v>107373.73242187963</v>
      </c>
      <c r="AA43" s="101">
        <f t="shared" si="20"/>
        <v>106909.48508009349</v>
      </c>
      <c r="AB43" s="101">
        <f t="shared" si="20"/>
        <v>106441.75739743469</v>
      </c>
      <c r="AC43" s="101">
        <f t="shared" si="20"/>
        <v>105970.59042956137</v>
      </c>
      <c r="AD43" s="101">
        <f t="shared" si="20"/>
        <v>105496.02523213177</v>
      </c>
      <c r="AE43" s="101">
        <f t="shared" si="20"/>
        <v>105018.10286080409</v>
      </c>
      <c r="AF43" s="101">
        <f t="shared" si="20"/>
        <v>104536.86437123654</v>
      </c>
      <c r="AG43" s="101">
        <f t="shared" si="20"/>
        <v>104052.35081908733</v>
      </c>
      <c r="AI43" s="197" t="s">
        <v>282</v>
      </c>
      <c r="AJ43" s="198" t="s">
        <v>422</v>
      </c>
      <c r="BD43" s="38"/>
      <c r="BE43" s="38"/>
      <c r="BF43" s="38"/>
      <c r="BG43" s="38"/>
      <c r="BH43" s="38"/>
      <c r="BI43" s="38"/>
      <c r="BJ43" s="38"/>
      <c r="BK43" s="38"/>
      <c r="BL43" s="112"/>
    </row>
    <row r="44" spans="1:64" outlineLevel="1">
      <c r="A44" t="s">
        <v>325</v>
      </c>
      <c r="B44" s="51" t="s">
        <v>315</v>
      </c>
      <c r="C44" s="101">
        <f>C26</f>
        <v>15829.019363327952</v>
      </c>
      <c r="D44" s="101">
        <f t="shared" ref="D44:AG44" si="21">D26</f>
        <v>15829.019363327952</v>
      </c>
      <c r="E44" s="101">
        <f t="shared" si="21"/>
        <v>15829.019363327952</v>
      </c>
      <c r="F44" s="101">
        <f t="shared" si="21"/>
        <v>15829.019363327952</v>
      </c>
      <c r="G44" s="101">
        <f t="shared" si="21"/>
        <v>15829.019363327952</v>
      </c>
      <c r="H44" s="101">
        <f t="shared" si="21"/>
        <v>15829.019363327952</v>
      </c>
      <c r="I44" s="101">
        <f t="shared" si="21"/>
        <v>15829.019363327952</v>
      </c>
      <c r="J44" s="101">
        <f t="shared" si="21"/>
        <v>15829.019363327952</v>
      </c>
      <c r="K44" s="101">
        <f t="shared" si="21"/>
        <v>15829.019363327952</v>
      </c>
      <c r="L44" s="101">
        <f t="shared" si="21"/>
        <v>15829.019363327952</v>
      </c>
      <c r="M44" s="101">
        <f t="shared" si="21"/>
        <v>15829.019363327952</v>
      </c>
      <c r="N44" s="101">
        <f t="shared" si="21"/>
        <v>15829.019363327952</v>
      </c>
      <c r="O44" s="101">
        <f t="shared" si="21"/>
        <v>15829.019363327952</v>
      </c>
      <c r="P44" s="101">
        <f t="shared" si="21"/>
        <v>15829.019363327952</v>
      </c>
      <c r="Q44" s="101">
        <f t="shared" si="21"/>
        <v>15829.019363327952</v>
      </c>
      <c r="R44" s="101">
        <f t="shared" si="21"/>
        <v>15829.019363327952</v>
      </c>
      <c r="S44" s="101">
        <f t="shared" si="21"/>
        <v>15829.019363327952</v>
      </c>
      <c r="T44" s="101">
        <f t="shared" si="21"/>
        <v>15829.019363327952</v>
      </c>
      <c r="U44" s="101">
        <f t="shared" si="21"/>
        <v>15829.019363327952</v>
      </c>
      <c r="V44" s="101">
        <f t="shared" si="21"/>
        <v>15829.019363327952</v>
      </c>
      <c r="W44" s="101">
        <f t="shared" si="21"/>
        <v>15829.019363327952</v>
      </c>
      <c r="X44" s="101">
        <f t="shared" si="21"/>
        <v>15829.019363327952</v>
      </c>
      <c r="Y44" s="101">
        <f t="shared" si="21"/>
        <v>15829.019363327952</v>
      </c>
      <c r="Z44" s="101">
        <f t="shared" si="21"/>
        <v>15829.019363327952</v>
      </c>
      <c r="AA44" s="101">
        <f t="shared" si="21"/>
        <v>15829.019363327952</v>
      </c>
      <c r="AB44" s="101">
        <f t="shared" si="21"/>
        <v>15829.019363327952</v>
      </c>
      <c r="AC44" s="101">
        <f t="shared" si="21"/>
        <v>15829.019363327952</v>
      </c>
      <c r="AD44" s="101">
        <f t="shared" si="21"/>
        <v>15829.019363327952</v>
      </c>
      <c r="AE44" s="101">
        <f t="shared" si="21"/>
        <v>15829.019363327952</v>
      </c>
      <c r="AF44" s="101">
        <f t="shared" si="21"/>
        <v>15829.019363327952</v>
      </c>
      <c r="AG44" s="101">
        <f t="shared" si="21"/>
        <v>15829.019363327952</v>
      </c>
      <c r="AI44" s="197" t="s">
        <v>283</v>
      </c>
      <c r="AJ44" s="198" t="s">
        <v>422</v>
      </c>
      <c r="BD44" s="38"/>
      <c r="BE44" s="38"/>
      <c r="BF44" s="38"/>
      <c r="BG44" s="38"/>
      <c r="BH44" s="38"/>
      <c r="BI44" s="38"/>
      <c r="BJ44" s="38"/>
      <c r="BK44" s="38"/>
      <c r="BL44" s="112"/>
    </row>
    <row r="45" spans="1:64" outlineLevel="1">
      <c r="A45" t="s">
        <v>326</v>
      </c>
      <c r="B45" s="51" t="s">
        <v>315</v>
      </c>
      <c r="C45" s="79">
        <v>0</v>
      </c>
      <c r="D45" s="79">
        <v>0</v>
      </c>
      <c r="E45" s="79">
        <v>0</v>
      </c>
      <c r="F45" s="79">
        <v>0</v>
      </c>
      <c r="G45" s="79">
        <v>0</v>
      </c>
      <c r="H45" s="79">
        <v>0</v>
      </c>
      <c r="I45" s="79">
        <v>0</v>
      </c>
      <c r="J45" s="79">
        <v>0</v>
      </c>
      <c r="K45" s="79">
        <v>0</v>
      </c>
      <c r="L45" s="79">
        <v>0</v>
      </c>
      <c r="M45" s="79">
        <v>0</v>
      </c>
      <c r="N45" s="79">
        <v>0</v>
      </c>
      <c r="O45" s="79">
        <v>0</v>
      </c>
      <c r="P45" s="79">
        <v>0</v>
      </c>
      <c r="Q45" s="79">
        <v>0</v>
      </c>
      <c r="R45" s="79">
        <v>0</v>
      </c>
      <c r="S45" s="79">
        <v>0</v>
      </c>
      <c r="T45" s="79">
        <v>0</v>
      </c>
      <c r="U45" s="79">
        <v>0</v>
      </c>
      <c r="V45" s="79">
        <v>0</v>
      </c>
      <c r="W45" s="79">
        <v>0</v>
      </c>
      <c r="X45" s="79">
        <v>0</v>
      </c>
      <c r="Y45" s="79">
        <v>0</v>
      </c>
      <c r="Z45" s="79">
        <v>0</v>
      </c>
      <c r="AA45" s="79">
        <v>0</v>
      </c>
      <c r="AB45" s="79">
        <v>0</v>
      </c>
      <c r="AC45" s="79">
        <v>0</v>
      </c>
      <c r="AD45" s="79">
        <v>0</v>
      </c>
      <c r="AE45" s="79">
        <v>0</v>
      </c>
      <c r="AF45" s="79">
        <v>0</v>
      </c>
      <c r="AG45" s="79">
        <v>0</v>
      </c>
      <c r="AI45" s="197" t="s">
        <v>284</v>
      </c>
      <c r="AJ45" s="198" t="s">
        <v>422</v>
      </c>
      <c r="AL45" s="5"/>
      <c r="AM45" s="103"/>
      <c r="AN45" s="103"/>
      <c r="AO45" s="103"/>
      <c r="BC45" s="1"/>
      <c r="BD45" s="112"/>
      <c r="BE45" s="112"/>
      <c r="BF45" s="112"/>
      <c r="BG45" s="112"/>
      <c r="BH45" s="112"/>
      <c r="BI45" s="112"/>
      <c r="BJ45" s="112"/>
      <c r="BK45" s="112"/>
      <c r="BL45" s="112"/>
    </row>
    <row r="46" spans="1:64" outlineLevel="1">
      <c r="A46" s="169" t="s">
        <v>327</v>
      </c>
      <c r="B46" s="165" t="s">
        <v>315</v>
      </c>
      <c r="C46" s="101">
        <f>(C28+C27)*$C$40</f>
        <v>473656.01116142841</v>
      </c>
      <c r="D46" s="101">
        <f t="shared" ref="D46:H46" si="22">(D28+D27)*$C$40</f>
        <v>473656.01116142841</v>
      </c>
      <c r="E46" s="101">
        <f t="shared" si="22"/>
        <v>473656.01116142841</v>
      </c>
      <c r="F46" s="101">
        <f t="shared" si="22"/>
        <v>473656.01116142841</v>
      </c>
      <c r="G46" s="101">
        <f t="shared" si="22"/>
        <v>473656.01116142841</v>
      </c>
      <c r="H46" s="101">
        <f t="shared" si="22"/>
        <v>473656.01116142841</v>
      </c>
      <c r="I46" s="101">
        <f>(I28+I27)*D40</f>
        <v>472092.94632459566</v>
      </c>
      <c r="J46" s="101">
        <f t="shared" ref="J46:AG46" si="23">(J28+J27)*E40</f>
        <v>470529.88148776296</v>
      </c>
      <c r="K46" s="101">
        <f t="shared" si="23"/>
        <v>468966.81665093033</v>
      </c>
      <c r="L46" s="101">
        <f t="shared" si="23"/>
        <v>467403.75181409763</v>
      </c>
      <c r="M46" s="101">
        <f t="shared" si="23"/>
        <v>465840.68697726482</v>
      </c>
      <c r="N46" s="101">
        <f t="shared" si="23"/>
        <v>464277.62214043224</v>
      </c>
      <c r="O46" s="101">
        <f t="shared" si="23"/>
        <v>462714.55730359949</v>
      </c>
      <c r="P46" s="101">
        <f t="shared" si="23"/>
        <v>461151.49246676662</v>
      </c>
      <c r="Q46" s="101">
        <f t="shared" si="23"/>
        <v>459588.42762993398</v>
      </c>
      <c r="R46" s="101">
        <f t="shared" si="23"/>
        <v>458025.36279310123</v>
      </c>
      <c r="S46" s="101">
        <f t="shared" si="23"/>
        <v>456462.29795626854</v>
      </c>
      <c r="T46" s="101">
        <f t="shared" si="23"/>
        <v>454899.2331194359</v>
      </c>
      <c r="U46" s="101">
        <f t="shared" si="23"/>
        <v>453336.16828260309</v>
      </c>
      <c r="V46" s="101">
        <f t="shared" si="23"/>
        <v>451773.10344577045</v>
      </c>
      <c r="W46" s="101">
        <f t="shared" si="23"/>
        <v>450210.03860893764</v>
      </c>
      <c r="X46" s="101">
        <f t="shared" si="23"/>
        <v>448646.97377210495</v>
      </c>
      <c r="Y46" s="101">
        <f t="shared" si="23"/>
        <v>447083.90893527219</v>
      </c>
      <c r="Z46" s="101">
        <f t="shared" si="23"/>
        <v>445520.8440984395</v>
      </c>
      <c r="AA46" s="101">
        <f t="shared" si="23"/>
        <v>443957.7792616068</v>
      </c>
      <c r="AB46" s="101">
        <f t="shared" si="23"/>
        <v>442394.71442477417</v>
      </c>
      <c r="AC46" s="101">
        <f t="shared" si="23"/>
        <v>440784.28398682532</v>
      </c>
      <c r="AD46" s="101">
        <f t="shared" si="23"/>
        <v>439173.85354887642</v>
      </c>
      <c r="AE46" s="101">
        <f t="shared" si="23"/>
        <v>437563.42311092757</v>
      </c>
      <c r="AF46" s="101">
        <f t="shared" si="23"/>
        <v>435952.99267297873</v>
      </c>
      <c r="AG46" s="101">
        <f t="shared" si="23"/>
        <v>434342.56223502988</v>
      </c>
      <c r="AI46" s="197" t="s">
        <v>284</v>
      </c>
      <c r="AJ46" s="198" t="s">
        <v>422</v>
      </c>
      <c r="AL46" s="102"/>
      <c r="AM46" s="2"/>
      <c r="AN46" s="2"/>
      <c r="AO46" s="2"/>
    </row>
    <row r="47" spans="1:64" s="1" customFormat="1" ht="15.5" thickBot="1">
      <c r="A47" s="187" t="s">
        <v>503</v>
      </c>
      <c r="B47" s="202" t="s">
        <v>315</v>
      </c>
      <c r="C47" s="203">
        <f>SUM(C42:C46)</f>
        <v>1195624.4803591177</v>
      </c>
      <c r="D47" s="203">
        <f t="shared" ref="D47:AF47" si="24">SUM(D42:D46)</f>
        <v>1193217.8336563585</v>
      </c>
      <c r="E47" s="203">
        <f t="shared" si="24"/>
        <v>1190811.1869535991</v>
      </c>
      <c r="F47" s="203">
        <f t="shared" si="24"/>
        <v>1188404.5402508401</v>
      </c>
      <c r="G47" s="203">
        <f t="shared" si="24"/>
        <v>1185997.8935480807</v>
      </c>
      <c r="H47" s="203">
        <f t="shared" si="24"/>
        <v>1183591.2468453215</v>
      </c>
      <c r="I47" s="203">
        <f t="shared" si="24"/>
        <v>1179621.5353057296</v>
      </c>
      <c r="J47" s="203">
        <f t="shared" si="24"/>
        <v>1175651.8237661377</v>
      </c>
      <c r="K47" s="203">
        <f t="shared" si="24"/>
        <v>1171682.1122265458</v>
      </c>
      <c r="L47" s="203">
        <f t="shared" si="24"/>
        <v>1167712.4006869537</v>
      </c>
      <c r="M47" s="203">
        <f t="shared" si="24"/>
        <v>1163742.6891473616</v>
      </c>
      <c r="N47" s="203">
        <f t="shared" si="24"/>
        <v>1158291.8940570618</v>
      </c>
      <c r="O47" s="203">
        <f t="shared" si="24"/>
        <v>1153128.3394129595</v>
      </c>
      <c r="P47" s="203">
        <f t="shared" si="24"/>
        <v>1147361.6732493085</v>
      </c>
      <c r="Q47" s="203">
        <f t="shared" si="24"/>
        <v>1141594.7959373358</v>
      </c>
      <c r="R47" s="203">
        <f t="shared" si="24"/>
        <v>1135827.708617476</v>
      </c>
      <c r="S47" s="203">
        <f t="shared" si="24"/>
        <v>1130060.4124301639</v>
      </c>
      <c r="T47" s="203">
        <f t="shared" si="24"/>
        <v>1124292.9085158352</v>
      </c>
      <c r="U47" s="203">
        <f t="shared" si="24"/>
        <v>1118525.1980149238</v>
      </c>
      <c r="V47" s="203">
        <f t="shared" si="24"/>
        <v>1112757.2820678654</v>
      </c>
      <c r="W47" s="203">
        <f t="shared" si="24"/>
        <v>1106989.1618150945</v>
      </c>
      <c r="X47" s="203">
        <f t="shared" si="24"/>
        <v>1098779.6584263574</v>
      </c>
      <c r="Y47" s="203">
        <f t="shared" si="24"/>
        <v>1093085.3586344831</v>
      </c>
      <c r="Z47" s="203">
        <f t="shared" si="24"/>
        <v>1087118.8050491547</v>
      </c>
      <c r="AA47" s="203">
        <f t="shared" si="24"/>
        <v>1081148.7300672955</v>
      </c>
      <c r="AB47" s="203">
        <f t="shared" si="24"/>
        <v>1075175.1747445636</v>
      </c>
      <c r="AC47" s="203">
        <f t="shared" si="24"/>
        <v>1069150.8145355009</v>
      </c>
      <c r="AD47" s="203">
        <f t="shared" si="24"/>
        <v>1063123.0560968821</v>
      </c>
      <c r="AE47" s="203">
        <f t="shared" si="24"/>
        <v>1057091.9404843652</v>
      </c>
      <c r="AF47" s="203">
        <f t="shared" si="24"/>
        <v>1051057.5087536084</v>
      </c>
      <c r="AG47" s="203">
        <f>SUM(AG42:AG46)</f>
        <v>1045019.8019602699</v>
      </c>
      <c r="AJ47" s="151"/>
      <c r="AL47" s="207"/>
      <c r="AM47" s="118"/>
      <c r="AN47" s="118"/>
      <c r="AO47" s="118"/>
    </row>
    <row r="48" spans="1:64" ht="15.5" thickTop="1">
      <c r="B48" s="165"/>
      <c r="C48" s="196"/>
      <c r="D48" s="196"/>
      <c r="E48" s="196"/>
      <c r="F48" s="196"/>
      <c r="G48" s="196"/>
      <c r="H48" s="196"/>
      <c r="I48" s="196"/>
      <c r="J48" s="196"/>
      <c r="K48" s="196"/>
      <c r="L48" s="196"/>
      <c r="M48" s="196"/>
      <c r="N48" s="196"/>
      <c r="O48" s="196"/>
      <c r="P48" s="196"/>
      <c r="Q48" s="196"/>
      <c r="R48" s="196"/>
      <c r="S48" s="196"/>
      <c r="T48" s="196"/>
      <c r="U48" s="196"/>
      <c r="V48" s="196"/>
      <c r="W48" s="196"/>
      <c r="X48" s="196"/>
      <c r="Y48" s="196"/>
      <c r="Z48" s="196"/>
      <c r="AA48" s="196"/>
      <c r="AB48" s="196"/>
      <c r="AC48" s="196"/>
      <c r="AD48" s="196"/>
      <c r="AE48" s="196"/>
      <c r="AF48" s="196"/>
      <c r="AG48" s="196"/>
      <c r="AL48" s="102"/>
      <c r="AM48" s="2"/>
      <c r="AN48" s="2"/>
      <c r="AO48" s="2"/>
    </row>
    <row r="49" spans="1:63" s="187" customFormat="1" ht="15.5" thickBot="1">
      <c r="A49" s="187" t="s">
        <v>431</v>
      </c>
      <c r="B49" s="202" t="s">
        <v>126</v>
      </c>
      <c r="C49" s="208">
        <f>C52</f>
        <v>0.14200000000000002</v>
      </c>
      <c r="D49" s="208">
        <f t="shared" ref="D49:AG49" si="25">D52</f>
        <v>0.14835061357733981</v>
      </c>
      <c r="E49" s="208">
        <f t="shared" si="25"/>
        <v>0.15468688097309144</v>
      </c>
      <c r="F49" s="208">
        <f t="shared" si="25"/>
        <v>0.16100862639483865</v>
      </c>
      <c r="G49" s="208">
        <f t="shared" si="25"/>
        <v>0.16731567116626517</v>
      </c>
      <c r="H49" s="208">
        <f t="shared" si="25"/>
        <v>0.17360783366777247</v>
      </c>
      <c r="I49" s="208">
        <f t="shared" si="25"/>
        <v>0.17988492927562466</v>
      </c>
      <c r="J49" s="208">
        <f t="shared" si="25"/>
        <v>0.1861467702995768</v>
      </c>
      <c r="K49" s="208">
        <f t="shared" si="25"/>
        <v>0.19239316591894295</v>
      </c>
      <c r="L49" s="208">
        <f t="shared" si="25"/>
        <v>0.1986239221170579</v>
      </c>
      <c r="M49" s="208">
        <f t="shared" si="25"/>
        <v>0.20483884161408583</v>
      </c>
      <c r="N49" s="208">
        <f t="shared" si="25"/>
        <v>0.21797630117403827</v>
      </c>
      <c r="O49" s="208">
        <f t="shared" si="25"/>
        <v>0.23107664685708812</v>
      </c>
      <c r="P49" s="208">
        <f t="shared" si="25"/>
        <v>0.2440878653402738</v>
      </c>
      <c r="Q49" s="208">
        <f t="shared" si="25"/>
        <v>0.25703693789329934</v>
      </c>
      <c r="R49" s="208">
        <f t="shared" si="25"/>
        <v>0.26992250980171467</v>
      </c>
      <c r="S49" s="208">
        <f t="shared" si="25"/>
        <v>0.28274318668777298</v>
      </c>
      <c r="T49" s="208">
        <f t="shared" si="25"/>
        <v>0.29549753304815118</v>
      </c>
      <c r="U49" s="208">
        <f t="shared" si="25"/>
        <v>0.30818407072649789</v>
      </c>
      <c r="V49" s="208">
        <f t="shared" si="25"/>
        <v>0.3208012773173935</v>
      </c>
      <c r="W49" s="208">
        <f t="shared" si="25"/>
        <v>0.33334758449810331</v>
      </c>
      <c r="X49" s="208">
        <f t="shared" si="25"/>
        <v>0.3544059306739929</v>
      </c>
      <c r="Y49" s="208">
        <f t="shared" si="25"/>
        <v>0.37566526919638632</v>
      </c>
      <c r="Z49" s="208">
        <f t="shared" si="25"/>
        <v>0.39680676906089007</v>
      </c>
      <c r="AA49" s="208">
        <f t="shared" si="25"/>
        <v>0.41782772092159426</v>
      </c>
      <c r="AB49" s="208">
        <f t="shared" si="25"/>
        <v>0.43872533173342654</v>
      </c>
      <c r="AC49" s="208">
        <f t="shared" si="25"/>
        <v>0.45949672149487258</v>
      </c>
      <c r="AD49" s="208">
        <f t="shared" si="25"/>
        <v>0.48013891983738999</v>
      </c>
      <c r="AE49" s="208">
        <f t="shared" si="25"/>
        <v>0.50064886245303009</v>
      </c>
      <c r="AF49" s="208">
        <f t="shared" si="25"/>
        <v>0.52102338735124043</v>
      </c>
      <c r="AG49" s="208">
        <f t="shared" si="25"/>
        <v>0.54125923093524508</v>
      </c>
      <c r="AJ49" s="217" t="s">
        <v>504</v>
      </c>
      <c r="AL49" s="204"/>
      <c r="AM49" s="205"/>
      <c r="AN49" s="205"/>
      <c r="AO49" s="205"/>
    </row>
    <row r="50" spans="1:63" ht="15.5" outlineLevel="1" thickTop="1">
      <c r="A50" t="s">
        <v>423</v>
      </c>
      <c r="B50" s="51" t="s">
        <v>126</v>
      </c>
      <c r="C50" s="104">
        <f>'Propylene Recycling HC'!C50*'Propylene Recycling HC'!C$42/'Propylene Recycling LC'!C$42</f>
        <v>4.7E-2</v>
      </c>
      <c r="D50" s="104">
        <f>'Propylene Recycling HC'!D50*'Propylene Recycling HC'!D$42/'Propylene Recycling LC'!D$42</f>
        <v>5.0149500347356615E-2</v>
      </c>
      <c r="E50" s="104">
        <f>'Propylene Recycling HC'!E50*'Propylene Recycling HC'!E$42/'Propylene Recycling LC'!E$42</f>
        <v>5.3292125444923122E-2</v>
      </c>
      <c r="F50" s="104">
        <f>'Propylene Recycling HC'!F50*'Propylene Recycling HC'!F$42/'Propylene Recycling LC'!F$42</f>
        <v>5.6427791046116831E-2</v>
      </c>
      <c r="G50" s="104">
        <f>'Propylene Recycling HC'!G50*'Propylene Recycling HC'!G$42/'Propylene Recycling LC'!G$42</f>
        <v>5.9556411522277711E-2</v>
      </c>
      <c r="H50" s="104">
        <f>'Propylene Recycling HC'!H50*'Propylene Recycling HC'!H$42/'Propylene Recycling LC'!H$42</f>
        <v>6.2677899834210113E-2</v>
      </c>
      <c r="I50" s="104">
        <f>'Propylene Recycling HC'!I50*'Propylene Recycling HC'!I$42/'Propylene Recycling LC'!I$42</f>
        <v>6.5792167503018528E-2</v>
      </c>
      <c r="J50" s="104">
        <f>'Propylene Recycling HC'!J50*'Propylene Recycling HC'!J$42/'Propylene Recycling LC'!J$42</f>
        <v>6.8899124580216686E-2</v>
      </c>
      <c r="K50" s="104">
        <f>'Propylene Recycling HC'!K50*'Propylene Recycling HC'!K$42/'Propylene Recycling LC'!K$42</f>
        <v>7.1998679617088945E-2</v>
      </c>
      <c r="L50" s="104">
        <f>'Propylene Recycling HC'!L50*'Propylene Recycling HC'!L$42/'Propylene Recycling LC'!L$42</f>
        <v>7.5090739633281736E-2</v>
      </c>
      <c r="M50" s="104">
        <f>'Propylene Recycling HC'!M50*'Propylene Recycling HC'!M$42/'Propylene Recycling LC'!M$42</f>
        <v>7.8175210084602806E-2</v>
      </c>
      <c r="N50" s="104">
        <f>'Propylene Recycling HC'!N50*'Propylene Recycling HC'!N$42/'Propylene Recycling LC'!N$42</f>
        <v>8.4049765427778242E-2</v>
      </c>
      <c r="O50" s="104">
        <f>'Propylene Recycling HC'!O50*'Propylene Recycling HC'!O$42/'Propylene Recycling LC'!O$42</f>
        <v>8.9906954749856827E-2</v>
      </c>
      <c r="P50" s="104">
        <f>'Propylene Recycling HC'!P50*'Propylene Recycling HC'!P$42/'Propylene Recycling LC'!P$42</f>
        <v>9.5726518732803884E-2</v>
      </c>
      <c r="Q50" s="104">
        <f>'Propylene Recycling HC'!Q50*'Propylene Recycling HC'!Q$42/'Propylene Recycling LC'!Q$42</f>
        <v>0.10151879059651323</v>
      </c>
      <c r="R50" s="104">
        <f>'Propylene Recycling HC'!R50*'Propylene Recycling HC'!R$42/'Propylene Recycling LC'!R$42</f>
        <v>0.10728317540213343</v>
      </c>
      <c r="S50" s="104">
        <f>'Propylene Recycling HC'!S50*'Propylene Recycling HC'!S$42/'Propylene Recycling LC'!S$42</f>
        <v>0.11301906079220803</v>
      </c>
      <c r="T50" s="104">
        <f>'Propylene Recycling HC'!T50*'Propylene Recycling HC'!T$42/'Propylene Recycling LC'!T$42</f>
        <v>0.11872581634849787</v>
      </c>
      <c r="U50" s="104">
        <f>'Propylene Recycling HC'!U50*'Propylene Recycling HC'!U$42/'Propylene Recycling LC'!U$42</f>
        <v>0.12440279292118268</v>
      </c>
      <c r="V50" s="104">
        <f>'Propylene Recycling HC'!V50*'Propylene Recycling HC'!V$42/'Propylene Recycling LC'!V$42</f>
        <v>0.13004932192794125</v>
      </c>
      <c r="W50" s="104">
        <f>'Propylene Recycling HC'!W50*'Propylene Recycling HC'!W$42/'Propylene Recycling LC'!W$42</f>
        <v>0.13566471462132113</v>
      </c>
      <c r="X50" s="104">
        <f>'Propylene Recycling HC'!X50*'Propylene Recycling HC'!X$42/'Propylene Recycling LC'!X$42</f>
        <v>0.14566559648910052</v>
      </c>
      <c r="Y50" s="104">
        <f>'Propylene Recycling HC'!Y50*'Propylene Recycling HC'!Y$42/'Propylene Recycling LC'!Y$42</f>
        <v>0.15574158058819054</v>
      </c>
      <c r="Z50" s="104">
        <f>'Propylene Recycling HC'!Z50*'Propylene Recycling HC'!Z$42/'Propylene Recycling LC'!Z$42</f>
        <v>0.16576275730865825</v>
      </c>
      <c r="AA50" s="104">
        <f>'Propylene Recycling HC'!AA50*'Propylene Recycling HC'!AA$42/'Propylene Recycling LC'!AA$42</f>
        <v>0.17572786651949257</v>
      </c>
      <c r="AB50" s="104">
        <f>'Propylene Recycling HC'!AB50*'Propylene Recycling HC'!AB$42/'Propylene Recycling LC'!AB$42</f>
        <v>0.18563560916076241</v>
      </c>
      <c r="AC50" s="104">
        <f>'Propylene Recycling HC'!AC50*'Propylene Recycling HC'!AC$42/'Propylene Recycling LC'!AC$42</f>
        <v>0.19548464572863902</v>
      </c>
      <c r="AD50" s="104">
        <f>'Propylene Recycling HC'!AD50*'Propylene Recycling HC'!AD$42/'Propylene Recycling LC'!AD$42</f>
        <v>0.20527359468911424</v>
      </c>
      <c r="AE50" s="104">
        <f>'Propylene Recycling HC'!AE50*'Propylene Recycling HC'!AE$42/'Propylene Recycling LC'!AE$42</f>
        <v>0.21500103081646865</v>
      </c>
      <c r="AF50" s="104">
        <f>'Propylene Recycling HC'!AF50*'Propylene Recycling HC'!AF$42/'Propylene Recycling LC'!AF$42</f>
        <v>0.22466548345229098</v>
      </c>
      <c r="AG50" s="104">
        <f>'Propylene Recycling HC'!AG50*'Propylene Recycling HC'!AG$42/'Propylene Recycling LC'!AG$42</f>
        <v>0.23426543468058164</v>
      </c>
      <c r="AI50" s="126" t="s">
        <v>492</v>
      </c>
      <c r="AJ50" s="198"/>
      <c r="AL50" s="102"/>
      <c r="AM50" s="2"/>
      <c r="AN50" s="2"/>
      <c r="AO50" s="2"/>
      <c r="AV50" s="38"/>
    </row>
    <row r="51" spans="1:63" outlineLevel="1">
      <c r="A51" t="s">
        <v>425</v>
      </c>
      <c r="B51" s="51" t="s">
        <v>126</v>
      </c>
      <c r="C51" s="104">
        <f>'Propylene Recycling HC'!C51*'Propylene Recycling HC'!C$42/'Propylene Recycling LC'!C$42</f>
        <v>9.5000000000000001E-2</v>
      </c>
      <c r="D51" s="104">
        <f>'Propylene Recycling HC'!D51*'Propylene Recycling HC'!D$42/'Propylene Recycling LC'!D$42</f>
        <v>9.8201113229983178E-2</v>
      </c>
      <c r="E51" s="104">
        <f>'Propylene Recycling HC'!E51*'Propylene Recycling HC'!E$42/'Propylene Recycling LC'!E$42</f>
        <v>0.10139475552816832</v>
      </c>
      <c r="F51" s="104">
        <f>'Propylene Recycling HC'!F51*'Propylene Recycling HC'!F$42/'Propylene Recycling LC'!F$42</f>
        <v>0.10458083534872183</v>
      </c>
      <c r="G51" s="104">
        <f>'Propylene Recycling HC'!G51*'Propylene Recycling HC'!G$42/'Propylene Recycling LC'!G$42</f>
        <v>0.10775925964398743</v>
      </c>
      <c r="H51" s="104">
        <f>'Propylene Recycling HC'!H51*'Propylene Recycling HC'!H$42/'Propylene Recycling LC'!H$42</f>
        <v>0.11092993383356234</v>
      </c>
      <c r="I51" s="104">
        <f>'Propylene Recycling HC'!I51*'Propylene Recycling HC'!I$42/'Propylene Recycling LC'!I$42</f>
        <v>0.11409276177260615</v>
      </c>
      <c r="J51" s="104">
        <f>'Propylene Recycling HC'!J51*'Propylene Recycling HC'!J$42/'Propylene Recycling LC'!J$42</f>
        <v>0.1172476457193601</v>
      </c>
      <c r="K51" s="104">
        <f>'Propylene Recycling HC'!K51*'Propylene Recycling HC'!K$42/'Propylene Recycling LC'!K$42</f>
        <v>0.120394486301854</v>
      </c>
      <c r="L51" s="104">
        <f>'Propylene Recycling HC'!L51*'Propylene Recycling HC'!L$42/'Propylene Recycling LC'!L$42</f>
        <v>0.12353318248377615</v>
      </c>
      <c r="M51" s="104">
        <f>'Propylene Recycling HC'!M51*'Propylene Recycling HC'!M$42/'Propylene Recycling LC'!M$42</f>
        <v>0.12666363152948301</v>
      </c>
      <c r="N51" s="104">
        <f>'Propylene Recycling HC'!N51*'Propylene Recycling HC'!N$42/'Propylene Recycling LC'!N$42</f>
        <v>0.13392653574626001</v>
      </c>
      <c r="O51" s="104">
        <f>'Propylene Recycling HC'!O51*'Propylene Recycling HC'!O$42/'Propylene Recycling LC'!O$42</f>
        <v>0.14116969210723132</v>
      </c>
      <c r="P51" s="104">
        <f>'Propylene Recycling HC'!P51*'Propylene Recycling HC'!P$42/'Propylene Recycling LC'!P$42</f>
        <v>0.14836134660746994</v>
      </c>
      <c r="Q51" s="104">
        <f>'Propylene Recycling HC'!Q51*'Propylene Recycling HC'!Q$42/'Propylene Recycling LC'!Q$42</f>
        <v>0.15551814729678617</v>
      </c>
      <c r="R51" s="104">
        <f>'Propylene Recycling HC'!R51*'Propylene Recycling HC'!R$42/'Propylene Recycling LC'!R$42</f>
        <v>0.16263933439958125</v>
      </c>
      <c r="S51" s="104">
        <f>'Propylene Recycling HC'!S51*'Propylene Recycling HC'!S$42/'Propylene Recycling LC'!S$42</f>
        <v>0.16972412589556493</v>
      </c>
      <c r="T51" s="104">
        <f>'Propylene Recycling HC'!T51*'Propylene Recycling HC'!T$42/'Propylene Recycling LC'!T$42</f>
        <v>0.17677171669965333</v>
      </c>
      <c r="U51" s="104">
        <f>'Propylene Recycling HC'!U51*'Propylene Recycling HC'!U$42/'Propylene Recycling LC'!U$42</f>
        <v>0.18378127780531522</v>
      </c>
      <c r="V51" s="104">
        <f>'Propylene Recycling HC'!V51*'Propylene Recycling HC'!V$42/'Propylene Recycling LC'!V$42</f>
        <v>0.19075195538945222</v>
      </c>
      <c r="W51" s="104">
        <f>'Propylene Recycling HC'!W51*'Propylene Recycling HC'!W$42/'Propylene Recycling LC'!W$42</f>
        <v>0.19768286987678219</v>
      </c>
      <c r="X51" s="104">
        <f>'Propylene Recycling HC'!X51*'Propylene Recycling HC'!X$42/'Propylene Recycling LC'!X$42</f>
        <v>0.20874033418489238</v>
      </c>
      <c r="Y51" s="104">
        <f>'Propylene Recycling HC'!Y51*'Propylene Recycling HC'!Y$42/'Propylene Recycling LC'!Y$42</f>
        <v>0.21992368860819572</v>
      </c>
      <c r="Z51" s="104">
        <f>'Propylene Recycling HC'!Z51*'Propylene Recycling HC'!Z$42/'Propylene Recycling LC'!Z$42</f>
        <v>0.23104401175223183</v>
      </c>
      <c r="AA51" s="104">
        <f>'Propylene Recycling HC'!AA51*'Propylene Recycling HC'!AA$42/'Propylene Recycling LC'!AA$42</f>
        <v>0.24209985440210172</v>
      </c>
      <c r="AB51" s="104">
        <f>'Propylene Recycling HC'!AB51*'Propylene Recycling HC'!AB$42/'Propylene Recycling LC'!AB$42</f>
        <v>0.25308972257266416</v>
      </c>
      <c r="AC51" s="104">
        <f>'Propylene Recycling HC'!AC51*'Propylene Recycling HC'!AC$42/'Propylene Recycling LC'!AC$42</f>
        <v>0.26401207576623353</v>
      </c>
      <c r="AD51" s="104">
        <f>'Propylene Recycling HC'!AD51*'Propylene Recycling HC'!AD$42/'Propylene Recycling LC'!AD$42</f>
        <v>0.27486532514827577</v>
      </c>
      <c r="AE51" s="104">
        <f>'Propylene Recycling HC'!AE51*'Propylene Recycling HC'!AE$42/'Propylene Recycling LC'!AE$42</f>
        <v>0.28564783163656138</v>
      </c>
      <c r="AF51" s="104">
        <f>'Propylene Recycling HC'!AF51*'Propylene Recycling HC'!AF$42/'Propylene Recycling LC'!AF$42</f>
        <v>0.29635790389894945</v>
      </c>
      <c r="AG51" s="104">
        <f>'Propylene Recycling HC'!AG51*'Propylene Recycling HC'!AG$42/'Propylene Recycling LC'!AG$42</f>
        <v>0.30699379625466339</v>
      </c>
      <c r="AI51" s="126" t="s">
        <v>492</v>
      </c>
      <c r="AJ51" s="198"/>
      <c r="AL51" s="102"/>
      <c r="AM51" s="2"/>
      <c r="AN51" s="2"/>
      <c r="AO51" s="2"/>
      <c r="AV51" s="38"/>
    </row>
    <row r="52" spans="1:63" outlineLevel="1">
      <c r="A52" t="s">
        <v>424</v>
      </c>
      <c r="B52" s="165" t="s">
        <v>126</v>
      </c>
      <c r="C52" s="104">
        <f>'Propylene Recycling HC'!C52*'Propylene Recycling HC'!C$42/'Propylene Recycling LC'!C$42</f>
        <v>0.14200000000000002</v>
      </c>
      <c r="D52" s="104">
        <f>'Propylene Recycling HC'!D52*'Propylene Recycling HC'!D$42/'Propylene Recycling LC'!D$42</f>
        <v>0.14835061357733981</v>
      </c>
      <c r="E52" s="104">
        <f>'Propylene Recycling HC'!E52*'Propylene Recycling HC'!E$42/'Propylene Recycling LC'!E$42</f>
        <v>0.15468688097309144</v>
      </c>
      <c r="F52" s="104">
        <f>'Propylene Recycling HC'!F52*'Propylene Recycling HC'!F$42/'Propylene Recycling LC'!F$42</f>
        <v>0.16100862639483865</v>
      </c>
      <c r="G52" s="104">
        <f>'Propylene Recycling HC'!G52*'Propylene Recycling HC'!G$42/'Propylene Recycling LC'!G$42</f>
        <v>0.16731567116626517</v>
      </c>
      <c r="H52" s="104">
        <f>'Propylene Recycling HC'!H52*'Propylene Recycling HC'!H$42/'Propylene Recycling LC'!H$42</f>
        <v>0.17360783366777247</v>
      </c>
      <c r="I52" s="104">
        <f>'Propylene Recycling HC'!I52*'Propylene Recycling HC'!I$42/'Propylene Recycling LC'!I$42</f>
        <v>0.17988492927562466</v>
      </c>
      <c r="J52" s="104">
        <f>'Propylene Recycling HC'!J52*'Propylene Recycling HC'!J$42/'Propylene Recycling LC'!J$42</f>
        <v>0.1861467702995768</v>
      </c>
      <c r="K52" s="104">
        <f>'Propylene Recycling HC'!K52*'Propylene Recycling HC'!K$42/'Propylene Recycling LC'!K$42</f>
        <v>0.19239316591894295</v>
      </c>
      <c r="L52" s="104">
        <f>'Propylene Recycling HC'!L52*'Propylene Recycling HC'!L$42/'Propylene Recycling LC'!L$42</f>
        <v>0.1986239221170579</v>
      </c>
      <c r="M52" s="104">
        <f>'Propylene Recycling HC'!M52*'Propylene Recycling HC'!M$42/'Propylene Recycling LC'!M$42</f>
        <v>0.20483884161408583</v>
      </c>
      <c r="N52" s="104">
        <f>'Propylene Recycling HC'!N52*'Propylene Recycling HC'!N$42/'Propylene Recycling LC'!N$42</f>
        <v>0.21797630117403827</v>
      </c>
      <c r="O52" s="104">
        <f>'Propylene Recycling HC'!O52*'Propylene Recycling HC'!O$42/'Propylene Recycling LC'!O$42</f>
        <v>0.23107664685708812</v>
      </c>
      <c r="P52" s="104">
        <f>'Propylene Recycling HC'!P52*'Propylene Recycling HC'!P$42/'Propylene Recycling LC'!P$42</f>
        <v>0.2440878653402738</v>
      </c>
      <c r="Q52" s="104">
        <f>'Propylene Recycling HC'!Q52*'Propylene Recycling HC'!Q$42/'Propylene Recycling LC'!Q$42</f>
        <v>0.25703693789329934</v>
      </c>
      <c r="R52" s="104">
        <f>'Propylene Recycling HC'!R52*'Propylene Recycling HC'!R$42/'Propylene Recycling LC'!R$42</f>
        <v>0.26992250980171467</v>
      </c>
      <c r="S52" s="104">
        <f>'Propylene Recycling HC'!S52*'Propylene Recycling HC'!S$42/'Propylene Recycling LC'!S$42</f>
        <v>0.28274318668777298</v>
      </c>
      <c r="T52" s="104">
        <f>'Propylene Recycling HC'!T52*'Propylene Recycling HC'!T$42/'Propylene Recycling LC'!T$42</f>
        <v>0.29549753304815118</v>
      </c>
      <c r="U52" s="104">
        <f>'Propylene Recycling HC'!U52*'Propylene Recycling HC'!U$42/'Propylene Recycling LC'!U$42</f>
        <v>0.30818407072649789</v>
      </c>
      <c r="V52" s="104">
        <f>'Propylene Recycling HC'!V52*'Propylene Recycling HC'!V$42/'Propylene Recycling LC'!V$42</f>
        <v>0.3208012773173935</v>
      </c>
      <c r="W52" s="104">
        <f>'Propylene Recycling HC'!W52*'Propylene Recycling HC'!W$42/'Propylene Recycling LC'!W$42</f>
        <v>0.33334758449810331</v>
      </c>
      <c r="X52" s="104">
        <f>'Propylene Recycling HC'!X52*'Propylene Recycling HC'!X$42/'Propylene Recycling LC'!X$42</f>
        <v>0.3544059306739929</v>
      </c>
      <c r="Y52" s="104">
        <f>'Propylene Recycling HC'!Y52*'Propylene Recycling HC'!Y$42/'Propylene Recycling LC'!Y$42</f>
        <v>0.37566526919638632</v>
      </c>
      <c r="Z52" s="104">
        <f>'Propylene Recycling HC'!Z52*'Propylene Recycling HC'!Z$42/'Propylene Recycling LC'!Z$42</f>
        <v>0.39680676906089007</v>
      </c>
      <c r="AA52" s="104">
        <f>'Propylene Recycling HC'!AA52*'Propylene Recycling HC'!AA$42/'Propylene Recycling LC'!AA$42</f>
        <v>0.41782772092159426</v>
      </c>
      <c r="AB52" s="104">
        <f>'Propylene Recycling HC'!AB52*'Propylene Recycling HC'!AB$42/'Propylene Recycling LC'!AB$42</f>
        <v>0.43872533173342654</v>
      </c>
      <c r="AC52" s="104">
        <f>'Propylene Recycling HC'!AC52*'Propylene Recycling HC'!AC$42/'Propylene Recycling LC'!AC$42</f>
        <v>0.45949672149487258</v>
      </c>
      <c r="AD52" s="104">
        <f>'Propylene Recycling HC'!AD52*'Propylene Recycling HC'!AD$42/'Propylene Recycling LC'!AD$42</f>
        <v>0.48013891983738999</v>
      </c>
      <c r="AE52" s="104">
        <f>'Propylene Recycling HC'!AE52*'Propylene Recycling HC'!AE$42/'Propylene Recycling LC'!AE$42</f>
        <v>0.50064886245303009</v>
      </c>
      <c r="AF52" s="104">
        <f>'Propylene Recycling HC'!AF52*'Propylene Recycling HC'!AF$42/'Propylene Recycling LC'!AF$42</f>
        <v>0.52102338735124043</v>
      </c>
      <c r="AG52" s="104">
        <f>'Propylene Recycling HC'!AG52*'Propylene Recycling HC'!AG$42/'Propylene Recycling LC'!AG$42</f>
        <v>0.54125923093524508</v>
      </c>
      <c r="AI52" s="126" t="s">
        <v>492</v>
      </c>
      <c r="AJ52" s="198"/>
      <c r="AL52" s="102"/>
      <c r="AM52" s="2"/>
      <c r="AN52" s="2"/>
      <c r="AO52" s="2"/>
    </row>
    <row r="53" spans="1:63" outlineLevel="1">
      <c r="A53" t="s">
        <v>439</v>
      </c>
      <c r="B53" s="51" t="s">
        <v>126</v>
      </c>
      <c r="C53" s="104">
        <f>'Propylene Recycling HC'!C56*'Propylene Recycling HC'!C$42/'Propylene Recycling LC'!C$42</f>
        <v>1.9000000000000003E-2</v>
      </c>
      <c r="D53" s="104">
        <f>'Propylene Recycling HC'!D56*'Propylene Recycling HC'!D$42/'Propylene Recycling LC'!D$42</f>
        <v>1.9640222645996637E-2</v>
      </c>
      <c r="E53" s="104">
        <f>'Propylene Recycling HC'!E56*'Propylene Recycling HC'!E$42/'Propylene Recycling LC'!E$42</f>
        <v>2.0278951105633665E-2</v>
      </c>
      <c r="F53" s="104">
        <f>'Propylene Recycling HC'!F56*'Propylene Recycling HC'!F$42/'Propylene Recycling LC'!F$42</f>
        <v>2.0916167069744366E-2</v>
      </c>
      <c r="G53" s="104">
        <f>'Propylene Recycling HC'!G56*'Propylene Recycling HC'!G$42/'Propylene Recycling LC'!G$42</f>
        <v>2.1551851928797487E-2</v>
      </c>
      <c r="H53" s="104">
        <f>'Propylene Recycling HC'!H56*'Propylene Recycling HC'!H$42/'Propylene Recycling LC'!H$42</f>
        <v>2.2185986766712469E-2</v>
      </c>
      <c r="I53" s="104">
        <f>'Propylene Recycling HC'!I56*'Propylene Recycling HC'!I$42/'Propylene Recycling LC'!I$42</f>
        <v>2.2818552354521227E-2</v>
      </c>
      <c r="J53" s="104">
        <f>'Propylene Recycling HC'!J56*'Propylene Recycling HC'!J$42/'Propylene Recycling LC'!J$42</f>
        <v>2.3449529143872022E-2</v>
      </c>
      <c r="K53" s="104">
        <f>'Propylene Recycling HC'!K56*'Propylene Recycling HC'!K$42/'Propylene Recycling LC'!K$42</f>
        <v>2.40788972603708E-2</v>
      </c>
      <c r="L53" s="104">
        <f>'Propylene Recycling HC'!L56*'Propylene Recycling HC'!L$42/'Propylene Recycling LC'!L$42</f>
        <v>2.4706636496755231E-2</v>
      </c>
      <c r="M53" s="104">
        <f>'Propylene Recycling HC'!M56*'Propylene Recycling HC'!M$42/'Propylene Recycling LC'!M$42</f>
        <v>2.5332726305896607E-2</v>
      </c>
      <c r="N53" s="104">
        <f>'Propylene Recycling HC'!N56*'Propylene Recycling HC'!N$42/'Propylene Recycling LC'!N$42</f>
        <v>2.6785307149252004E-2</v>
      </c>
      <c r="O53" s="104">
        <f>'Propylene Recycling HC'!O56*'Propylene Recycling HC'!O$42/'Propylene Recycling LC'!O$42</f>
        <v>2.8233938421446263E-2</v>
      </c>
      <c r="P53" s="104">
        <f>'Propylene Recycling HC'!P56*'Propylene Recycling HC'!P$42/'Propylene Recycling LC'!P$42</f>
        <v>2.9672269321493989E-2</v>
      </c>
      <c r="Q53" s="104">
        <f>'Propylene Recycling HC'!Q56*'Propylene Recycling HC'!Q$42/'Propylene Recycling LC'!Q$42</f>
        <v>3.110362945935724E-2</v>
      </c>
      <c r="R53" s="104">
        <f>'Propylene Recycling HC'!R56*'Propylene Recycling HC'!R$42/'Propylene Recycling LC'!R$42</f>
        <v>3.2527866879916253E-2</v>
      </c>
      <c r="S53" s="104">
        <f>'Propylene Recycling HC'!S56*'Propylene Recycling HC'!S$42/'Propylene Recycling LC'!S$42</f>
        <v>3.3944825179112993E-2</v>
      </c>
      <c r="T53" s="104">
        <f>'Propylene Recycling HC'!T56*'Propylene Recycling HC'!T$42/'Propylene Recycling LC'!T$42</f>
        <v>3.535434333993067E-2</v>
      </c>
      <c r="U53" s="104">
        <f>'Propylene Recycling HC'!U56*'Propylene Recycling HC'!U$42/'Propylene Recycling LC'!U$42</f>
        <v>3.6756255561063045E-2</v>
      </c>
      <c r="V53" s="104">
        <f>'Propylene Recycling HC'!V56*'Propylene Recycling HC'!V$42/'Propylene Recycling LC'!V$42</f>
        <v>3.8150391077890457E-2</v>
      </c>
      <c r="W53" s="104">
        <f>'Propylene Recycling HC'!W56*'Propylene Recycling HC'!W$42/'Propylene Recycling LC'!W$42</f>
        <v>3.9536573975356447E-2</v>
      </c>
      <c r="X53" s="104">
        <f>'Propylene Recycling HC'!X56*'Propylene Recycling HC'!X$42/'Propylene Recycling LC'!X$42</f>
        <v>4.174806683697848E-2</v>
      </c>
      <c r="Y53" s="104">
        <f>'Propylene Recycling HC'!Y56*'Propylene Recycling HC'!Y$42/'Propylene Recycling LC'!Y$42</f>
        <v>4.3984737721639147E-2</v>
      </c>
      <c r="Z53" s="104">
        <f>'Propylene Recycling HC'!Z56*'Propylene Recycling HC'!Z$42/'Propylene Recycling LC'!Z$42</f>
        <v>4.6208802350446374E-2</v>
      </c>
      <c r="AA53" s="104">
        <f>'Propylene Recycling HC'!AA56*'Propylene Recycling HC'!AA$42/'Propylene Recycling LC'!AA$42</f>
        <v>4.8419970880420347E-2</v>
      </c>
      <c r="AB53" s="104">
        <f>'Propylene Recycling HC'!AB56*'Propylene Recycling HC'!AB$42/'Propylene Recycling LC'!AB$42</f>
        <v>5.0617944514532838E-2</v>
      </c>
      <c r="AC53" s="104">
        <f>'Propylene Recycling HC'!AC56*'Propylene Recycling HC'!AC$42/'Propylene Recycling LC'!AC$42</f>
        <v>5.2802415153246705E-2</v>
      </c>
      <c r="AD53" s="104">
        <f>'Propylene Recycling HC'!AD56*'Propylene Recycling HC'!AD$42/'Propylene Recycling LC'!AD$42</f>
        <v>5.4973065029655148E-2</v>
      </c>
      <c r="AE53" s="104">
        <f>'Propylene Recycling HC'!AE56*'Propylene Recycling HC'!AE$42/'Propylene Recycling LC'!AE$42</f>
        <v>5.7129566327312274E-2</v>
      </c>
      <c r="AF53" s="104">
        <f>'Propylene Recycling HC'!AF56*'Propylene Recycling HC'!AF$42/'Propylene Recycling LC'!AF$42</f>
        <v>5.927158077978989E-2</v>
      </c>
      <c r="AG53" s="104">
        <f>'Propylene Recycling HC'!AG56*'Propylene Recycling HC'!AG$42/'Propylene Recycling LC'!AG$42</f>
        <v>6.1398759250932682E-2</v>
      </c>
      <c r="AI53" s="126" t="s">
        <v>492</v>
      </c>
      <c r="AJ53" s="198"/>
      <c r="AL53" s="102"/>
      <c r="AM53" s="2"/>
      <c r="AN53" s="2"/>
      <c r="AO53" s="2"/>
      <c r="BC53" s="1"/>
      <c r="BD53" s="2"/>
      <c r="BE53" s="2"/>
      <c r="BF53" s="2"/>
      <c r="BG53" s="2"/>
      <c r="BH53" s="2"/>
      <c r="BI53" s="2"/>
      <c r="BJ53" s="2"/>
      <c r="BK53" s="2"/>
    </row>
    <row r="54" spans="1:63" outlineLevel="1">
      <c r="A54" t="s">
        <v>440</v>
      </c>
      <c r="B54" s="51" t="s">
        <v>126</v>
      </c>
      <c r="C54" s="104">
        <f>'Propylene Recycling HC'!C57*'Propylene Recycling HC'!C$42/'Propylene Recycling LC'!C$42</f>
        <v>7.6000000000000012E-2</v>
      </c>
      <c r="D54" s="104">
        <f>'Propylene Recycling HC'!D57*'Propylene Recycling HC'!D$42/'Propylene Recycling LC'!D$42</f>
        <v>7.8560890583986548E-2</v>
      </c>
      <c r="E54" s="104">
        <f>'Propylene Recycling HC'!E57*'Propylene Recycling HC'!E$42/'Propylene Recycling LC'!E$42</f>
        <v>8.111580442253466E-2</v>
      </c>
      <c r="F54" s="104">
        <f>'Propylene Recycling HC'!F57*'Propylene Recycling HC'!F$42/'Propylene Recycling LC'!F$42</f>
        <v>8.3664668278977464E-2</v>
      </c>
      <c r="G54" s="104">
        <f>'Propylene Recycling HC'!G57*'Propylene Recycling HC'!G$42/'Propylene Recycling LC'!G$42</f>
        <v>8.6207407715189949E-2</v>
      </c>
      <c r="H54" s="104">
        <f>'Propylene Recycling HC'!H57*'Propylene Recycling HC'!H$42/'Propylene Recycling LC'!H$42</f>
        <v>8.8743947066849876E-2</v>
      </c>
      <c r="I54" s="104">
        <f>'Propylene Recycling HC'!I57*'Propylene Recycling HC'!I$42/'Propylene Recycling LC'!I$42</f>
        <v>9.1274209418084909E-2</v>
      </c>
      <c r="J54" s="104">
        <f>'Propylene Recycling HC'!J57*'Propylene Recycling HC'!J$42/'Propylene Recycling LC'!J$42</f>
        <v>9.3798116575488089E-2</v>
      </c>
      <c r="K54" s="104">
        <f>'Propylene Recycling HC'!K57*'Propylene Recycling HC'!K$42/'Propylene Recycling LC'!K$42</f>
        <v>9.6315589041483199E-2</v>
      </c>
      <c r="L54" s="104">
        <f>'Propylene Recycling HC'!L57*'Propylene Recycling HC'!L$42/'Propylene Recycling LC'!L$42</f>
        <v>9.8826545987020925E-2</v>
      </c>
      <c r="M54" s="104">
        <f>'Propylene Recycling HC'!M57*'Propylene Recycling HC'!M$42/'Propylene Recycling LC'!M$42</f>
        <v>0.10133090522358643</v>
      </c>
      <c r="N54" s="104">
        <f>'Propylene Recycling HC'!N57*'Propylene Recycling HC'!N$42/'Propylene Recycling LC'!N$42</f>
        <v>0.10714122859700802</v>
      </c>
      <c r="O54" s="104">
        <f>'Propylene Recycling HC'!O57*'Propylene Recycling HC'!O$42/'Propylene Recycling LC'!O$42</f>
        <v>0.11293575368578505</v>
      </c>
      <c r="P54" s="104">
        <f>'Propylene Recycling HC'!P57*'Propylene Recycling HC'!P$42/'Propylene Recycling LC'!P$42</f>
        <v>0.11868907728597596</v>
      </c>
      <c r="Q54" s="104">
        <f>'Propylene Recycling HC'!Q57*'Propylene Recycling HC'!Q$42/'Propylene Recycling LC'!Q$42</f>
        <v>0.12441451783742896</v>
      </c>
      <c r="R54" s="104">
        <f>'Propylene Recycling HC'!R57*'Propylene Recycling HC'!R$42/'Propylene Recycling LC'!R$42</f>
        <v>0.13011146751966501</v>
      </c>
      <c r="S54" s="104">
        <f>'Propylene Recycling HC'!S57*'Propylene Recycling HC'!S$42/'Propylene Recycling LC'!S$42</f>
        <v>0.13577930071645197</v>
      </c>
      <c r="T54" s="104">
        <f>'Propylene Recycling HC'!T57*'Propylene Recycling HC'!T$42/'Propylene Recycling LC'!T$42</f>
        <v>0.14141737335972268</v>
      </c>
      <c r="U54" s="104">
        <f>'Propylene Recycling HC'!U57*'Propylene Recycling HC'!U$42/'Propylene Recycling LC'!U$42</f>
        <v>0.14702502224425218</v>
      </c>
      <c r="V54" s="104">
        <f>'Propylene Recycling HC'!V57*'Propylene Recycling HC'!V$42/'Propylene Recycling LC'!V$42</f>
        <v>0.15260156431156183</v>
      </c>
      <c r="W54" s="104">
        <f>'Propylene Recycling HC'!W57*'Propylene Recycling HC'!W$42/'Propylene Recycling LC'!W$42</f>
        <v>0.15814629590142579</v>
      </c>
      <c r="X54" s="104">
        <f>'Propylene Recycling HC'!X57*'Propylene Recycling HC'!X$42/'Propylene Recycling LC'!X$42</f>
        <v>0.16699226734791392</v>
      </c>
      <c r="Y54" s="104">
        <f>'Propylene Recycling HC'!Y57*'Propylene Recycling HC'!Y$42/'Propylene Recycling LC'!Y$42</f>
        <v>0.17593895088655659</v>
      </c>
      <c r="Z54" s="104">
        <f>'Propylene Recycling HC'!Z57*'Propylene Recycling HC'!Z$42/'Propylene Recycling LC'!Z$42</f>
        <v>0.18483520940178549</v>
      </c>
      <c r="AA54" s="104">
        <f>'Propylene Recycling HC'!AA57*'Propylene Recycling HC'!AA$42/'Propylene Recycling LC'!AA$42</f>
        <v>0.19367988352168139</v>
      </c>
      <c r="AB54" s="104">
        <f>'Propylene Recycling HC'!AB57*'Propylene Recycling HC'!AB$42/'Propylene Recycling LC'!AB$42</f>
        <v>0.20247177805813135</v>
      </c>
      <c r="AC54" s="104">
        <f>'Propylene Recycling HC'!AC57*'Propylene Recycling HC'!AC$42/'Propylene Recycling LC'!AC$42</f>
        <v>0.21120966061298682</v>
      </c>
      <c r="AD54" s="104">
        <f>'Propylene Recycling HC'!AD57*'Propylene Recycling HC'!AD$42/'Propylene Recycling LC'!AD$42</f>
        <v>0.21989226011862059</v>
      </c>
      <c r="AE54" s="104">
        <f>'Propylene Recycling HC'!AE57*'Propylene Recycling HC'!AE$42/'Propylene Recycling LC'!AE$42</f>
        <v>0.2285182653092491</v>
      </c>
      <c r="AF54" s="104">
        <f>'Propylene Recycling HC'!AF57*'Propylene Recycling HC'!AF$42/'Propylene Recycling LC'!AF$42</f>
        <v>0.23708632311915956</v>
      </c>
      <c r="AG54" s="104">
        <f>'Propylene Recycling HC'!AG57*'Propylene Recycling HC'!AG$42/'Propylene Recycling LC'!AG$42</f>
        <v>0.24559503700373073</v>
      </c>
      <c r="AI54" s="126" t="s">
        <v>492</v>
      </c>
      <c r="AJ54" s="198"/>
      <c r="AL54" s="102"/>
      <c r="AM54" s="2"/>
      <c r="AN54" s="2"/>
      <c r="AO54" s="2"/>
      <c r="BC54" s="1"/>
      <c r="BD54" s="2"/>
      <c r="BE54" s="2"/>
      <c r="BF54" s="2"/>
      <c r="BG54" s="2"/>
      <c r="BH54" s="2"/>
      <c r="BI54" s="2"/>
      <c r="BJ54" s="2"/>
      <c r="BK54" s="2"/>
    </row>
    <row r="55" spans="1:63" outlineLevel="1">
      <c r="C55" s="104"/>
      <c r="D55" s="104"/>
      <c r="E55" s="104"/>
      <c r="F55" s="104"/>
      <c r="G55" s="104"/>
      <c r="H55" s="104"/>
      <c r="I55" s="104"/>
      <c r="J55" s="104"/>
      <c r="K55" s="104"/>
      <c r="L55" s="104"/>
      <c r="M55" s="104"/>
      <c r="N55" s="104"/>
      <c r="O55" s="104"/>
      <c r="P55" s="104"/>
      <c r="Q55" s="104"/>
      <c r="R55" s="104"/>
      <c r="S55" s="104"/>
      <c r="T55" s="104"/>
      <c r="U55" s="104"/>
      <c r="V55" s="104"/>
      <c r="W55" s="104"/>
      <c r="X55" s="104"/>
      <c r="Y55" s="104"/>
      <c r="Z55" s="104"/>
      <c r="AA55" s="104"/>
      <c r="AB55" s="104"/>
      <c r="AC55" s="104"/>
      <c r="AD55" s="104"/>
      <c r="AE55" s="104"/>
      <c r="AF55" s="104"/>
      <c r="AG55" s="104"/>
      <c r="AI55" s="126"/>
      <c r="AJ55" s="198"/>
      <c r="AL55" s="102"/>
      <c r="AM55" s="2"/>
      <c r="AN55" s="2"/>
      <c r="AO55" s="2"/>
      <c r="BC55" s="1"/>
      <c r="BD55" s="2"/>
      <c r="BE55" s="2"/>
      <c r="BF55" s="2"/>
      <c r="BG55" s="2"/>
      <c r="BH55" s="2"/>
      <c r="BI55" s="2"/>
      <c r="BJ55" s="2"/>
      <c r="BK55" s="2"/>
    </row>
    <row r="56" spans="1:63" outlineLevel="1">
      <c r="A56" t="s">
        <v>506</v>
      </c>
      <c r="B56" s="51" t="s">
        <v>126</v>
      </c>
      <c r="C56" s="104">
        <f>'Propylene Recycling HC'!C60*'Propylene Recycling HC'!C$42/'Propylene Recycling LC'!C$42</f>
        <v>2.2041799305438103E-2</v>
      </c>
      <c r="D56" s="104">
        <f>'Propylene Recycling HC'!D60*'Propylene Recycling HC'!D$42/'Propylene Recycling LC'!D$42</f>
        <v>2.4072193367992316E-2</v>
      </c>
      <c r="E56" s="104">
        <f>'Propylene Recycling HC'!E60*'Propylene Recycling HC'!E$42/'Propylene Recycling LC'!E$42</f>
        <v>2.6168715726766358E-2</v>
      </c>
      <c r="F56" s="104">
        <f>'Propylene Recycling HC'!F60*'Propylene Recycling HC'!F$42/'Propylene Recycling LC'!F$42</f>
        <v>2.8331096495156024E-2</v>
      </c>
      <c r="G56" s="104">
        <f>'Propylene Recycling HC'!G60*'Propylene Recycling HC'!G$42/'Propylene Recycling LC'!G$42</f>
        <v>3.0559061359028264E-2</v>
      </c>
      <c r="H56" s="104">
        <f>'Propylene Recycling HC'!H60*'Propylene Recycling HC'!H$42/'Propylene Recycling LC'!H$42</f>
        <v>3.2852331485554449E-2</v>
      </c>
      <c r="I56" s="104">
        <f>'Propylene Recycling HC'!I60*'Propylene Recycling HC'!I$42/'Propylene Recycling LC'!I$42</f>
        <v>3.5210623429781693E-2</v>
      </c>
      <c r="J56" s="104">
        <f>'Propylene Recycling HC'!J60*'Propylene Recycling HC'!J$42/'Propylene Recycling LC'!J$42</f>
        <v>3.7633649038876463E-2</v>
      </c>
      <c r="K56" s="104">
        <f>'Propylene Recycling HC'!K60*'Propylene Recycling HC'!K$42/'Propylene Recycling LC'!K$42</f>
        <v>4.0121115353972614E-2</v>
      </c>
      <c r="L56" s="104">
        <f>'Propylene Recycling HC'!L60*'Propylene Recycling HC'!L$42/'Propylene Recycling LC'!L$42</f>
        <v>4.2672724509553381E-2</v>
      </c>
      <c r="M56" s="104">
        <f>'Propylene Recycling HC'!M60*'Propylene Recycling HC'!M$42/'Propylene Recycling LC'!M$42</f>
        <v>4.5288173630295123E-2</v>
      </c>
      <c r="N56" s="104">
        <f>'Propylene Recycling HC'!N60*'Propylene Recycling HC'!N$42/'Propylene Recycling LC'!N$42</f>
        <v>4.9618819960472016E-2</v>
      </c>
      <c r="O56" s="104">
        <f>'Propylene Recycling HC'!O60*'Propylene Recycling HC'!O$42/'Propylene Recycling LC'!O$42</f>
        <v>5.4068664491351351E-2</v>
      </c>
      <c r="P56" s="104">
        <f>'Propylene Recycling HC'!P60*'Propylene Recycling HC'!P$42/'Propylene Recycling LC'!P$42</f>
        <v>5.8624725174878566E-2</v>
      </c>
      <c r="Q56" s="104">
        <f>'Propylene Recycling HC'!Q60*'Propylene Recycling HC'!Q$42/'Propylene Recycling LC'!Q$42</f>
        <v>6.3292198793582069E-2</v>
      </c>
      <c r="R56" s="104">
        <f>'Propylene Recycling HC'!R60*'Propylene Recycling HC'!R$42/'Propylene Recycling LC'!R$42</f>
        <v>6.8069804427490943E-2</v>
      </c>
      <c r="S56" s="104">
        <f>'Propylene Recycling HC'!S60*'Propylene Recycling HC'!S$42/'Propylene Recycling LC'!S$42</f>
        <v>7.2956223653890498E-2</v>
      </c>
      <c r="T56" s="104">
        <f>'Propylene Recycling HC'!T60*'Propylene Recycling HC'!T$42/'Propylene Recycling LC'!T$42</f>
        <v>7.7950099164696668E-2</v>
      </c>
      <c r="U56" s="104">
        <f>'Propylene Recycling HC'!U60*'Propylene Recycling HC'!U$42/'Propylene Recycling LC'!U$42</f>
        <v>8.3050033322207437E-2</v>
      </c>
      <c r="V56" s="104">
        <f>'Propylene Recycling HC'!V60*'Propylene Recycling HC'!V$42/'Propylene Recycling LC'!V$42</f>
        <v>8.8254586650003519E-2</v>
      </c>
      <c r="W56" s="104">
        <f>'Propylene Recycling HC'!W60*'Propylene Recycling HC'!W$42/'Propylene Recycling LC'!W$42</f>
        <v>9.3562276255574658E-2</v>
      </c>
      <c r="X56" s="104">
        <f>'Propylene Recycling HC'!X60*'Propylene Recycling HC'!X$42/'Propylene Recycling LC'!X$42</f>
        <v>0.1020667670776388</v>
      </c>
      <c r="Y56" s="104">
        <f>'Propylene Recycling HC'!Y60*'Propylene Recycling HC'!Y$42/'Propylene Recycling LC'!Y$42</f>
        <v>0.1108454133086836</v>
      </c>
      <c r="Z56" s="104">
        <f>'Propylene Recycling HC'!Z60*'Propylene Recycling HC'!Z$42/'Propylene Recycling LC'!Z$42</f>
        <v>0.11980680746306512</v>
      </c>
      <c r="AA56" s="104">
        <f>'Propylene Recycling HC'!AA60*'Propylene Recycling HC'!AA$42/'Propylene Recycling LC'!AA$42</f>
        <v>0.12894821059883874</v>
      </c>
      <c r="AB56" s="104">
        <f>'Propylene Recycling HC'!AB60*'Propylene Recycling HC'!AB$42/'Propylene Recycling LC'!AB$42</f>
        <v>0.13826679916059414</v>
      </c>
      <c r="AC56" s="104">
        <f>'Propylene Recycling HC'!AC60*'Propylene Recycling HC'!AC$42/'Propylene Recycling LC'!AC$42</f>
        <v>0.14775966168659466</v>
      </c>
      <c r="AD56" s="104">
        <f>'Propylene Recycling HC'!AD60*'Propylene Recycling HC'!AD$42/'Propylene Recycling LC'!AD$42</f>
        <v>0.15742379536093495</v>
      </c>
      <c r="AE56" s="104">
        <f>'Propylene Recycling HC'!AE60*'Propylene Recycling HC'!AE$42/'Propylene Recycling LC'!AE$42</f>
        <v>0.16725610240213873</v>
      </c>
      <c r="AF56" s="104">
        <f>'Propylene Recycling HC'!AF60*'Propylene Recycling HC'!AF$42/'Propylene Recycling LC'!AF$42</f>
        <v>0.17725338627907253</v>
      </c>
      <c r="AG56" s="104">
        <f>'Propylene Recycling HC'!AG60*'Propylene Recycling HC'!AG$42/'Propylene Recycling LC'!AG$42</f>
        <v>0.18741234774446533</v>
      </c>
      <c r="AI56" s="126" t="s">
        <v>492</v>
      </c>
      <c r="AJ56" s="198"/>
      <c r="AL56" s="102"/>
      <c r="AM56" s="2"/>
      <c r="AN56" s="2"/>
      <c r="AO56" s="2"/>
      <c r="AV56" s="38"/>
    </row>
    <row r="57" spans="1:63" outlineLevel="1">
      <c r="A57" t="s">
        <v>507</v>
      </c>
      <c r="B57" s="51" t="s">
        <v>126</v>
      </c>
      <c r="C57" s="104">
        <f>'Propylene Recycling HC'!C61*'Propylene Recycling HC'!C$42/'Propylene Recycling LC'!C$42</f>
        <v>4.45525730641834E-2</v>
      </c>
      <c r="D57" s="104">
        <f>'Propylene Recycling HC'!D61*'Propylene Recycling HC'!D$42/'Propylene Recycling LC'!D$42</f>
        <v>4.7137382630949097E-2</v>
      </c>
      <c r="E57" s="104">
        <f>'Propylene Recycling HC'!E61*'Propylene Recycling HC'!E$42/'Propylene Recycling LC'!E$42</f>
        <v>4.9789167000738987E-2</v>
      </c>
      <c r="F57" s="104">
        <f>'Propylene Recycling HC'!F61*'Propylene Recycling HC'!F$42/'Propylene Recycling LC'!F$42</f>
        <v>5.2507632903566553E-2</v>
      </c>
      <c r="G57" s="104">
        <f>'Propylene Recycling HC'!G61*'Propylene Recycling HC'!G$42/'Propylene Recycling LC'!G$42</f>
        <v>5.5292482258308663E-2</v>
      </c>
      <c r="H57" s="104">
        <f>'Propylene Recycling HC'!H61*'Propylene Recycling HC'!H$42/'Propylene Recycling LC'!H$42</f>
        <v>5.8143412073640016E-2</v>
      </c>
      <c r="I57" s="104">
        <f>'Propylene Recycling HC'!I61*'Propylene Recycling HC'!I$42/'Propylene Recycling LC'!I$42</f>
        <v>6.1060114346509632E-2</v>
      </c>
      <c r="J57" s="104">
        <f>'Propylene Recycling HC'!J61*'Propylene Recycling HC'!J$42/'Propylene Recycling LC'!J$42</f>
        <v>6.4042275958088035E-2</v>
      </c>
      <c r="K57" s="104">
        <f>'Propylene Recycling HC'!K61*'Propylene Recycling HC'!K$42/'Propylene Recycling LC'!K$42</f>
        <v>6.708957856711123E-2</v>
      </c>
      <c r="L57" s="104">
        <f>'Propylene Recycling HC'!L61*'Propylene Recycling HC'!L$42/'Propylene Recycling LC'!L$42</f>
        <v>7.0201698500544918E-2</v>
      </c>
      <c r="M57" s="104">
        <f>'Propylene Recycling HC'!M61*'Propylene Recycling HC'!M$42/'Propylene Recycling LC'!M$42</f>
        <v>7.3378306641490823E-2</v>
      </c>
      <c r="N57" s="104">
        <f>'Propylene Recycling HC'!N61*'Propylene Recycling HC'!N$42/'Propylene Recycling LC'!N$42</f>
        <v>7.9063595612690996E-2</v>
      </c>
      <c r="O57" s="104">
        <f>'Propylene Recycling HC'!O61*'Propylene Recycling HC'!O$42/'Propylene Recycling LC'!O$42</f>
        <v>8.4897288982034136E-2</v>
      </c>
      <c r="P57" s="104">
        <f>'Propylene Recycling HC'!P61*'Propylene Recycling HC'!P$42/'Propylene Recycling LC'!P$42</f>
        <v>9.08592862936453E-2</v>
      </c>
      <c r="Q57" s="104">
        <f>'Propylene Recycling HC'!Q61*'Propylene Recycling HC'!Q$42/'Propylene Recycling LC'!Q$42</f>
        <v>9.695826198165762E-2</v>
      </c>
      <c r="R57" s="104">
        <f>'Propylene Recycling HC'!R61*'Propylene Recycling HC'!R$42/'Propylene Recycling LC'!R$42</f>
        <v>0.10319258022797713</v>
      </c>
      <c r="S57" s="104">
        <f>'Propylene Recycling HC'!S61*'Propylene Recycling HC'!S$42/'Propylene Recycling LC'!S$42</f>
        <v>0.1095605573210674</v>
      </c>
      <c r="T57" s="104">
        <f>'Propylene Recycling HC'!T61*'Propylene Recycling HC'!T$42/'Propylene Recycling LC'!T$42</f>
        <v>0.11606045989024678</v>
      </c>
      <c r="U57" s="104">
        <f>'Propylene Recycling HC'!U61*'Propylene Recycling HC'!U$42/'Propylene Recycling LC'!U$42</f>
        <v>0.12269050306128922</v>
      </c>
      <c r="V57" s="104">
        <f>'Propylene Recycling HC'!V61*'Propylene Recycling HC'!V$42/'Propylene Recycling LC'!V$42</f>
        <v>0.12944884852920605</v>
      </c>
      <c r="W57" s="104">
        <f>'Propylene Recycling HC'!W61*'Propylene Recycling HC'!W$42/'Propylene Recycling LC'!W$42</f>
        <v>0.13633360254383736</v>
      </c>
      <c r="X57" s="104">
        <f>'Propylene Recycling HC'!X61*'Propylene Recycling HC'!X$42/'Propylene Recycling LC'!X$42</f>
        <v>0.14626275237579575</v>
      </c>
      <c r="Y57" s="104">
        <f>'Propylene Recycling HC'!Y61*'Propylene Recycling HC'!Y$42/'Propylene Recycling LC'!Y$42</f>
        <v>0.15652552175262929</v>
      </c>
      <c r="Z57" s="104">
        <f>'Propylene Recycling HC'!Z61*'Propylene Recycling HC'!Z$42/'Propylene Recycling LC'!Z$42</f>
        <v>0.16698953299836281</v>
      </c>
      <c r="AA57" s="104">
        <f>'Propylene Recycling HC'!AA61*'Propylene Recycling HC'!AA$42/'Propylene Recycling LC'!AA$42</f>
        <v>0.17765163619014018</v>
      </c>
      <c r="AB57" s="104">
        <f>'Propylene Recycling HC'!AB61*'Propylene Recycling HC'!AB$42/'Propylene Recycling LC'!AB$42</f>
        <v>0.18850858409530655</v>
      </c>
      <c r="AC57" s="104">
        <f>'Propylene Recycling HC'!AC61*'Propylene Recycling HC'!AC$42/'Propylene Recycling LC'!AC$42</f>
        <v>0.19955702838445047</v>
      </c>
      <c r="AD57" s="104">
        <f>'Propylene Recycling HC'!AD61*'Propylene Recycling HC'!AD$42/'Propylene Recycling LC'!AD$42</f>
        <v>0.21079351566620982</v>
      </c>
      <c r="AE57" s="104">
        <f>'Propylene Recycling HC'!AE61*'Propylene Recycling HC'!AE$42/'Propylene Recycling LC'!AE$42</f>
        <v>0.22221448333397484</v>
      </c>
      <c r="AF57" s="104">
        <f>'Propylene Recycling HC'!AF61*'Propylene Recycling HC'!AF$42/'Propylene Recycling LC'!AF$42</f>
        <v>0.23381625521399632</v>
      </c>
      <c r="AG57" s="104">
        <f>'Propylene Recycling HC'!AG61*'Propylene Recycling HC'!AG$42/'Propylene Recycling LC'!AG$42</f>
        <v>0.24559503700373073</v>
      </c>
      <c r="AI57" s="126" t="s">
        <v>492</v>
      </c>
      <c r="AJ57" s="198"/>
      <c r="AL57" s="102"/>
      <c r="AM57" s="2"/>
      <c r="AN57" s="2"/>
      <c r="AO57" s="2"/>
      <c r="AV57" s="38"/>
    </row>
    <row r="58" spans="1:63" outlineLevel="1">
      <c r="A58" t="s">
        <v>508</v>
      </c>
      <c r="B58" s="165" t="s">
        <v>126</v>
      </c>
      <c r="C58" s="104">
        <f>'Propylene Recycling HC'!C62*'Propylene Recycling HC'!C$42/'Propylene Recycling LC'!C$42</f>
        <v>6.6594372369621499E-2</v>
      </c>
      <c r="D58" s="104">
        <f>'Propylene Recycling HC'!D62*'Propylene Recycling HC'!D$42/'Propylene Recycling LC'!D$42</f>
        <v>7.1209575998941413E-2</v>
      </c>
      <c r="E58" s="104">
        <f>'Propylene Recycling HC'!E62*'Propylene Recycling HC'!E$42/'Propylene Recycling LC'!E$42</f>
        <v>7.5957882727505352E-2</v>
      </c>
      <c r="F58" s="104">
        <f>'Propylene Recycling HC'!F62*'Propylene Recycling HC'!F$42/'Propylene Recycling LC'!F$42</f>
        <v>8.0838729398722567E-2</v>
      </c>
      <c r="G58" s="104">
        <f>'Propylene Recycling HC'!G62*'Propylene Recycling HC'!G$42/'Propylene Recycling LC'!G$42</f>
        <v>8.585154361733692E-2</v>
      </c>
      <c r="H58" s="104">
        <f>'Propylene Recycling HC'!H62*'Propylene Recycling HC'!H$42/'Propylene Recycling LC'!H$42</f>
        <v>9.0995743559194472E-2</v>
      </c>
      <c r="I58" s="104">
        <f>'Propylene Recycling HC'!I62*'Propylene Recycling HC'!I$42/'Propylene Recycling LC'!I$42</f>
        <v>9.6270737776291318E-2</v>
      </c>
      <c r="J58" s="104">
        <f>'Propylene Recycling HC'!J62*'Propylene Recycling HC'!J$42/'Propylene Recycling LC'!J$42</f>
        <v>0.10167592499696451</v>
      </c>
      <c r="K58" s="104">
        <f>'Propylene Recycling HC'!K62*'Propylene Recycling HC'!K$42/'Propylene Recycling LC'!K$42</f>
        <v>0.10721069392108384</v>
      </c>
      <c r="L58" s="104">
        <f>'Propylene Recycling HC'!L62*'Propylene Recycling HC'!L$42/'Propylene Recycling LC'!L$42</f>
        <v>0.11287442301009831</v>
      </c>
      <c r="M58" s="104">
        <f>'Propylene Recycling HC'!M62*'Propylene Recycling HC'!M$42/'Propylene Recycling LC'!M$42</f>
        <v>0.11866648027178595</v>
      </c>
      <c r="N58" s="104">
        <f>'Propylene Recycling HC'!N62*'Propylene Recycling HC'!N$42/'Propylene Recycling LC'!N$42</f>
        <v>0.12868241557316301</v>
      </c>
      <c r="O58" s="104">
        <f>'Propylene Recycling HC'!O62*'Propylene Recycling HC'!O$42/'Propylene Recycling LC'!O$42</f>
        <v>0.13896595347338547</v>
      </c>
      <c r="P58" s="104">
        <f>'Propylene Recycling HC'!P62*'Propylene Recycling HC'!P$42/'Propylene Recycling LC'!P$42</f>
        <v>0.14948401146852386</v>
      </c>
      <c r="Q58" s="104">
        <f>'Propylene Recycling HC'!Q62*'Propylene Recycling HC'!Q$42/'Propylene Recycling LC'!Q$42</f>
        <v>0.16025046077523972</v>
      </c>
      <c r="R58" s="104">
        <f>'Propylene Recycling HC'!R62*'Propylene Recycling HC'!R$42/'Propylene Recycling LC'!R$42</f>
        <v>0.17126238465546809</v>
      </c>
      <c r="S58" s="104">
        <f>'Propylene Recycling HC'!S62*'Propylene Recycling HC'!S$42/'Propylene Recycling LC'!S$42</f>
        <v>0.18251678097495788</v>
      </c>
      <c r="T58" s="104">
        <f>'Propylene Recycling HC'!T62*'Propylene Recycling HC'!T$42/'Propylene Recycling LC'!T$42</f>
        <v>0.19401055905494344</v>
      </c>
      <c r="U58" s="104">
        <f>'Propylene Recycling HC'!U62*'Propylene Recycling HC'!U$42/'Propylene Recycling LC'!U$42</f>
        <v>0.20574053638349662</v>
      </c>
      <c r="V58" s="104">
        <f>'Propylene Recycling HC'!V62*'Propylene Recycling HC'!V$42/'Propylene Recycling LC'!V$42</f>
        <v>0.21770343517920956</v>
      </c>
      <c r="W58" s="104">
        <f>'Propylene Recycling HC'!W62*'Propylene Recycling HC'!W$42/'Propylene Recycling LC'!W$42</f>
        <v>0.22989587879941201</v>
      </c>
      <c r="X58" s="104">
        <f>'Propylene Recycling HC'!X62*'Propylene Recycling HC'!X$42/'Propylene Recycling LC'!X$42</f>
        <v>0.24832951945343457</v>
      </c>
      <c r="Y58" s="104">
        <f>'Propylene Recycling HC'!Y62*'Propylene Recycling HC'!Y$42/'Propylene Recycling LC'!Y$42</f>
        <v>0.26737093506131282</v>
      </c>
      <c r="Z58" s="104">
        <f>'Propylene Recycling HC'!Z62*'Propylene Recycling HC'!Z$42/'Propylene Recycling LC'!Z$42</f>
        <v>0.28679634046142788</v>
      </c>
      <c r="AA58" s="104">
        <f>'Propylene Recycling HC'!AA62*'Propylene Recycling HC'!AA$42/'Propylene Recycling LC'!AA$42</f>
        <v>0.30659984678897895</v>
      </c>
      <c r="AB58" s="104">
        <f>'Propylene Recycling HC'!AB62*'Propylene Recycling HC'!AB$42/'Propylene Recycling LC'!AB$42</f>
        <v>0.32677538325590072</v>
      </c>
      <c r="AC58" s="104">
        <f>'Propylene Recycling HC'!AC62*'Propylene Recycling HC'!AC$42/'Propylene Recycling LC'!AC$42</f>
        <v>0.34731669007104515</v>
      </c>
      <c r="AD58" s="104">
        <f>'Propylene Recycling HC'!AD62*'Propylene Recycling HC'!AD$42/'Propylene Recycling LC'!AD$42</f>
        <v>0.36821731102714478</v>
      </c>
      <c r="AE58" s="104">
        <f>'Propylene Recycling HC'!AE62*'Propylene Recycling HC'!AE$42/'Propylene Recycling LC'!AE$42</f>
        <v>0.38947058573611359</v>
      </c>
      <c r="AF58" s="104">
        <f>'Propylene Recycling HC'!AF62*'Propylene Recycling HC'!AF$42/'Propylene Recycling LC'!AF$42</f>
        <v>0.4110696414930689</v>
      </c>
      <c r="AG58" s="104">
        <f>'Propylene Recycling HC'!AG62*'Propylene Recycling HC'!AG$42/'Propylene Recycling LC'!AG$42</f>
        <v>0.433007384748196</v>
      </c>
      <c r="AI58" s="126" t="s">
        <v>492</v>
      </c>
      <c r="AJ58" s="198"/>
      <c r="AL58" s="102"/>
      <c r="AM58" s="2"/>
      <c r="AN58" s="2"/>
      <c r="AO58" s="2"/>
    </row>
    <row r="59" spans="1:63" outlineLevel="1">
      <c r="A59" t="s">
        <v>509</v>
      </c>
      <c r="B59" s="51" t="s">
        <v>126</v>
      </c>
      <c r="C59" s="104">
        <f>'Propylene Recycling HC'!C63*'Propylene Recycling HC'!C$42/'Propylene Recycling LC'!C$42</f>
        <v>8.910514612836682E-3</v>
      </c>
      <c r="D59" s="104">
        <f>'Propylene Recycling HC'!D63*'Propylene Recycling HC'!D$42/'Propylene Recycling LC'!D$42</f>
        <v>9.4274765261898198E-3</v>
      </c>
      <c r="E59" s="104">
        <f>'Propylene Recycling HC'!E63*'Propylene Recycling HC'!E$42/'Propylene Recycling LC'!E$42</f>
        <v>9.9578334001477978E-3</v>
      </c>
      <c r="F59" s="104">
        <f>'Propylene Recycling HC'!F63*'Propylene Recycling HC'!F$42/'Propylene Recycling LC'!F$42</f>
        <v>1.0501526580713311E-2</v>
      </c>
      <c r="G59" s="104">
        <f>'Propylene Recycling HC'!G63*'Propylene Recycling HC'!G$42/'Propylene Recycling LC'!G$42</f>
        <v>1.1058496451661735E-2</v>
      </c>
      <c r="H59" s="104">
        <f>'Propylene Recycling HC'!H63*'Propylene Recycling HC'!H$42/'Propylene Recycling LC'!H$42</f>
        <v>1.1628682414728003E-2</v>
      </c>
      <c r="I59" s="104">
        <f>'Propylene Recycling HC'!I63*'Propylene Recycling HC'!I$42/'Propylene Recycling LC'!I$42</f>
        <v>1.2212022869301927E-2</v>
      </c>
      <c r="J59" s="104">
        <f>'Propylene Recycling HC'!J63*'Propylene Recycling HC'!J$42/'Propylene Recycling LC'!J$42</f>
        <v>1.2808455191617611E-2</v>
      </c>
      <c r="K59" s="104">
        <f>'Propylene Recycling HC'!K63*'Propylene Recycling HC'!K$42/'Propylene Recycling LC'!K$42</f>
        <v>1.3417915713422247E-2</v>
      </c>
      <c r="L59" s="104">
        <f>'Propylene Recycling HC'!L63*'Propylene Recycling HC'!L$42/'Propylene Recycling LC'!L$42</f>
        <v>1.4040339700108987E-2</v>
      </c>
      <c r="M59" s="104">
        <f>'Propylene Recycling HC'!M63*'Propylene Recycling HC'!M$42/'Propylene Recycling LC'!M$42</f>
        <v>1.4675661328298166E-2</v>
      </c>
      <c r="N59" s="104">
        <f>'Propylene Recycling HC'!N63*'Propylene Recycling HC'!N$42/'Propylene Recycling LC'!N$42</f>
        <v>1.5812719122538201E-2</v>
      </c>
      <c r="O59" s="104">
        <f>'Propylene Recycling HC'!O63*'Propylene Recycling HC'!O$42/'Propylene Recycling LC'!O$42</f>
        <v>1.6979457796406829E-2</v>
      </c>
      <c r="P59" s="104">
        <f>'Propylene Recycling HC'!P63*'Propylene Recycling HC'!P$42/'Propylene Recycling LC'!P$42</f>
        <v>1.8171857258729055E-2</v>
      </c>
      <c r="Q59" s="104">
        <f>'Propylene Recycling HC'!Q63*'Propylene Recycling HC'!Q$42/'Propylene Recycling LC'!Q$42</f>
        <v>1.9391652396331525E-2</v>
      </c>
      <c r="R59" s="104">
        <f>'Propylene Recycling HC'!R63*'Propylene Recycling HC'!R$42/'Propylene Recycling LC'!R$42</f>
        <v>2.0638516045595426E-2</v>
      </c>
      <c r="S59" s="104">
        <f>'Propylene Recycling HC'!S63*'Propylene Recycling HC'!S$42/'Propylene Recycling LC'!S$42</f>
        <v>2.1912111464213478E-2</v>
      </c>
      <c r="T59" s="104">
        <f>'Propylene Recycling HC'!T63*'Propylene Recycling HC'!T$42/'Propylene Recycling LC'!T$42</f>
        <v>2.3212091978049361E-2</v>
      </c>
      <c r="U59" s="104">
        <f>'Propylene Recycling HC'!U63*'Propylene Recycling HC'!U$42/'Propylene Recycling LC'!U$42</f>
        <v>2.4538100612257845E-2</v>
      </c>
      <c r="V59" s="104">
        <f>'Propylene Recycling HC'!V63*'Propylene Recycling HC'!V$42/'Propylene Recycling LC'!V$42</f>
        <v>2.5889769705841212E-2</v>
      </c>
      <c r="W59" s="104">
        <f>'Propylene Recycling HC'!W63*'Propylene Recycling HC'!W$42/'Propylene Recycling LC'!W$42</f>
        <v>2.726672050876747E-2</v>
      </c>
      <c r="X59" s="104">
        <f>'Propylene Recycling HC'!X63*'Propylene Recycling HC'!X$42/'Propylene Recycling LC'!X$42</f>
        <v>2.9252550475159154E-2</v>
      </c>
      <c r="Y59" s="104">
        <f>'Propylene Recycling HC'!Y63*'Propylene Recycling HC'!Y$42/'Propylene Recycling LC'!Y$42</f>
        <v>3.1305104350525852E-2</v>
      </c>
      <c r="Z59" s="104">
        <f>'Propylene Recycling HC'!Z63*'Propylene Recycling HC'!Z$42/'Propylene Recycling LC'!Z$42</f>
        <v>3.339790659967256E-2</v>
      </c>
      <c r="AA59" s="104">
        <f>'Propylene Recycling HC'!AA63*'Propylene Recycling HC'!AA$42/'Propylene Recycling LC'!AA$42</f>
        <v>3.5530327238028042E-2</v>
      </c>
      <c r="AB59" s="104">
        <f>'Propylene Recycling HC'!AB63*'Propylene Recycling HC'!AB$42/'Propylene Recycling LC'!AB$42</f>
        <v>3.7701716819061308E-2</v>
      </c>
      <c r="AC59" s="104">
        <f>'Propylene Recycling HC'!AC63*'Propylene Recycling HC'!AC$42/'Propylene Recycling LC'!AC$42</f>
        <v>3.9911405676890097E-2</v>
      </c>
      <c r="AD59" s="104">
        <f>'Propylene Recycling HC'!AD63*'Propylene Recycling HC'!AD$42/'Propylene Recycling LC'!AD$42</f>
        <v>4.2158703133241972E-2</v>
      </c>
      <c r="AE59" s="104">
        <f>'Propylene Recycling HC'!AE63*'Propylene Recycling HC'!AE$42/'Propylene Recycling LC'!AE$42</f>
        <v>4.4442896666794969E-2</v>
      </c>
      <c r="AF59" s="104">
        <f>'Propylene Recycling HC'!AF63*'Propylene Recycling HC'!AF$42/'Propylene Recycling LC'!AF$42</f>
        <v>4.676325104279927E-2</v>
      </c>
      <c r="AG59" s="104">
        <f>'Propylene Recycling HC'!AG63*'Propylene Recycling HC'!AG$42/'Propylene Recycling LC'!AG$42</f>
        <v>4.9119007400746144E-2</v>
      </c>
      <c r="AI59" s="126" t="s">
        <v>492</v>
      </c>
      <c r="AJ59" s="198"/>
      <c r="AL59" s="102"/>
      <c r="AM59" s="2"/>
      <c r="AN59" s="2"/>
      <c r="AO59" s="2"/>
      <c r="BC59" s="1"/>
      <c r="BD59" s="2"/>
      <c r="BE59" s="2"/>
      <c r="BF59" s="2"/>
      <c r="BG59" s="2"/>
      <c r="BH59" s="2"/>
      <c r="BI59" s="2"/>
      <c r="BJ59" s="2"/>
      <c r="BK59" s="2"/>
    </row>
    <row r="60" spans="1:63" outlineLevel="1">
      <c r="A60" t="s">
        <v>510</v>
      </c>
      <c r="B60" s="51" t="s">
        <v>126</v>
      </c>
      <c r="C60" s="104">
        <f>'Propylene Recycling HC'!C64*'Propylene Recycling HC'!C$42/'Propylene Recycling LC'!C$42</f>
        <v>3.5642058451346728E-2</v>
      </c>
      <c r="D60" s="104">
        <f>'Propylene Recycling HC'!D64*'Propylene Recycling HC'!D$42/'Propylene Recycling LC'!D$42</f>
        <v>3.7709906104759279E-2</v>
      </c>
      <c r="E60" s="104">
        <f>'Propylene Recycling HC'!E64*'Propylene Recycling HC'!E$42/'Propylene Recycling LC'!E$42</f>
        <v>3.9831333600591191E-2</v>
      </c>
      <c r="F60" s="104">
        <f>'Propylene Recycling HC'!F64*'Propylene Recycling HC'!F$42/'Propylene Recycling LC'!F$42</f>
        <v>4.2006106322853246E-2</v>
      </c>
      <c r="G60" s="104">
        <f>'Propylene Recycling HC'!G64*'Propylene Recycling HC'!G$42/'Propylene Recycling LC'!G$42</f>
        <v>4.423398580664694E-2</v>
      </c>
      <c r="H60" s="104">
        <f>'Propylene Recycling HC'!H64*'Propylene Recycling HC'!H$42/'Propylene Recycling LC'!H$42</f>
        <v>4.6514729658912013E-2</v>
      </c>
      <c r="I60" s="104">
        <f>'Propylene Recycling HC'!I64*'Propylene Recycling HC'!I$42/'Propylene Recycling LC'!I$42</f>
        <v>4.8848091477207707E-2</v>
      </c>
      <c r="J60" s="104">
        <f>'Propylene Recycling HC'!J64*'Propylene Recycling HC'!J$42/'Propylene Recycling LC'!J$42</f>
        <v>5.1233820766470442E-2</v>
      </c>
      <c r="K60" s="104">
        <f>'Propylene Recycling HC'!K64*'Propylene Recycling HC'!K$42/'Propylene Recycling LC'!K$42</f>
        <v>5.3671662853688989E-2</v>
      </c>
      <c r="L60" s="104">
        <f>'Propylene Recycling HC'!L64*'Propylene Recycling HC'!L$42/'Propylene Recycling LC'!L$42</f>
        <v>5.6161358800435948E-2</v>
      </c>
      <c r="M60" s="104">
        <f>'Propylene Recycling HC'!M64*'Propylene Recycling HC'!M$42/'Propylene Recycling LC'!M$42</f>
        <v>5.8702645313192664E-2</v>
      </c>
      <c r="N60" s="104">
        <f>'Propylene Recycling HC'!N64*'Propylene Recycling HC'!N$42/'Propylene Recycling LC'!N$42</f>
        <v>6.3250876490152805E-2</v>
      </c>
      <c r="O60" s="104">
        <f>'Propylene Recycling HC'!O64*'Propylene Recycling HC'!O$42/'Propylene Recycling LC'!O$42</f>
        <v>6.7917831185627317E-2</v>
      </c>
      <c r="P60" s="104">
        <f>'Propylene Recycling HC'!P64*'Propylene Recycling HC'!P$42/'Propylene Recycling LC'!P$42</f>
        <v>7.2687429034916221E-2</v>
      </c>
      <c r="Q60" s="104">
        <f>'Propylene Recycling HC'!Q64*'Propylene Recycling HC'!Q$42/'Propylene Recycling LC'!Q$42</f>
        <v>7.7566609585326102E-2</v>
      </c>
      <c r="R60" s="104">
        <f>'Propylene Recycling HC'!R64*'Propylene Recycling HC'!R$42/'Propylene Recycling LC'!R$42</f>
        <v>8.2554064182381703E-2</v>
      </c>
      <c r="S60" s="104">
        <f>'Propylene Recycling HC'!S64*'Propylene Recycling HC'!S$42/'Propylene Recycling LC'!S$42</f>
        <v>8.7648445856853913E-2</v>
      </c>
      <c r="T60" s="104">
        <f>'Propylene Recycling HC'!T64*'Propylene Recycling HC'!T$42/'Propylene Recycling LC'!T$42</f>
        <v>9.2848367912197444E-2</v>
      </c>
      <c r="U60" s="104">
        <f>'Propylene Recycling HC'!U64*'Propylene Recycling HC'!U$42/'Propylene Recycling LC'!U$42</f>
        <v>9.8152402449031381E-2</v>
      </c>
      <c r="V60" s="104">
        <f>'Propylene Recycling HC'!V64*'Propylene Recycling HC'!V$42/'Propylene Recycling LC'!V$42</f>
        <v>0.10355907882336485</v>
      </c>
      <c r="W60" s="104">
        <f>'Propylene Recycling HC'!W64*'Propylene Recycling HC'!W$42/'Propylene Recycling LC'!W$42</f>
        <v>0.10906688203506988</v>
      </c>
      <c r="X60" s="104">
        <f>'Propylene Recycling HC'!X64*'Propylene Recycling HC'!X$42/'Propylene Recycling LC'!X$42</f>
        <v>0.11701020190063662</v>
      </c>
      <c r="Y60" s="104">
        <f>'Propylene Recycling HC'!Y64*'Propylene Recycling HC'!Y$42/'Propylene Recycling LC'!Y$42</f>
        <v>0.12522041740210341</v>
      </c>
      <c r="Z60" s="104">
        <f>'Propylene Recycling HC'!Z64*'Propylene Recycling HC'!Z$42/'Propylene Recycling LC'!Z$42</f>
        <v>0.13359162639869024</v>
      </c>
      <c r="AA60" s="104">
        <f>'Propylene Recycling HC'!AA64*'Propylene Recycling HC'!AA$42/'Propylene Recycling LC'!AA$42</f>
        <v>0.14212130895211217</v>
      </c>
      <c r="AB60" s="104">
        <f>'Propylene Recycling HC'!AB64*'Propylene Recycling HC'!AB$42/'Propylene Recycling LC'!AB$42</f>
        <v>0.15080686727624523</v>
      </c>
      <c r="AC60" s="104">
        <f>'Propylene Recycling HC'!AC64*'Propylene Recycling HC'!AC$42/'Propylene Recycling LC'!AC$42</f>
        <v>0.15964562270756039</v>
      </c>
      <c r="AD60" s="104">
        <f>'Propylene Recycling HC'!AD64*'Propylene Recycling HC'!AD$42/'Propylene Recycling LC'!AD$42</f>
        <v>0.16863481253296789</v>
      </c>
      <c r="AE60" s="104">
        <f>'Propylene Recycling HC'!AE64*'Propylene Recycling HC'!AE$42/'Propylene Recycling LC'!AE$42</f>
        <v>0.17777158666717988</v>
      </c>
      <c r="AF60" s="104">
        <f>'Propylene Recycling HC'!AF64*'Propylene Recycling HC'!AF$42/'Propylene Recycling LC'!AF$42</f>
        <v>0.18705300417119708</v>
      </c>
      <c r="AG60" s="104">
        <f>'Propylene Recycling HC'!AG64*'Propylene Recycling HC'!AG$42/'Propylene Recycling LC'!AG$42</f>
        <v>0.19647602960298458</v>
      </c>
      <c r="AI60" s="126" t="s">
        <v>492</v>
      </c>
      <c r="AJ60" s="198"/>
      <c r="AL60" s="102"/>
      <c r="AM60" s="2"/>
      <c r="AN60" s="2"/>
      <c r="AO60" s="2"/>
      <c r="BC60" s="1"/>
      <c r="BD60" s="2"/>
      <c r="BE60" s="2"/>
      <c r="BF60" s="2"/>
      <c r="BG60" s="2"/>
      <c r="BH60" s="2"/>
      <c r="BI60" s="2"/>
      <c r="BJ60" s="2"/>
      <c r="BK60" s="2"/>
    </row>
    <row r="61" spans="1:63" outlineLevel="1"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  <c r="AF61" s="22"/>
      <c r="AG61" s="22"/>
      <c r="AI61" s="127"/>
      <c r="AJ61" s="198"/>
      <c r="AL61" s="102"/>
      <c r="AM61" s="125"/>
      <c r="AN61" s="2"/>
      <c r="AO61" s="2"/>
    </row>
    <row r="62" spans="1:63" s="187" customFormat="1" ht="15.5" thickBot="1">
      <c r="A62" s="187" t="s">
        <v>436</v>
      </c>
      <c r="B62" s="202"/>
      <c r="C62" s="208">
        <f>C63</f>
        <v>2.5000000000000001E-2</v>
      </c>
      <c r="D62" s="208">
        <f t="shared" ref="D62:AG62" si="26">D63</f>
        <v>3.1603638194750427E-2</v>
      </c>
      <c r="E62" s="208">
        <f t="shared" si="26"/>
        <v>3.8207276389500847E-2</v>
      </c>
      <c r="F62" s="208">
        <f t="shared" si="26"/>
        <v>4.4810914584251273E-2</v>
      </c>
      <c r="G62" s="208">
        <f t="shared" si="26"/>
        <v>5.1414552779001699E-2</v>
      </c>
      <c r="H62" s="208">
        <f t="shared" si="26"/>
        <v>5.8018190973752125E-2</v>
      </c>
      <c r="I62" s="208">
        <f t="shared" si="26"/>
        <v>6.4621829168502537E-2</v>
      </c>
      <c r="J62" s="208">
        <f t="shared" si="26"/>
        <v>7.122546736325297E-2</v>
      </c>
      <c r="K62" s="208">
        <f t="shared" si="26"/>
        <v>7.7829105558003403E-2</v>
      </c>
      <c r="L62" s="208">
        <f t="shared" si="26"/>
        <v>8.4432743752753822E-2</v>
      </c>
      <c r="M62" s="208">
        <f t="shared" si="26"/>
        <v>9.1036381947504227E-2</v>
      </c>
      <c r="N62" s="208">
        <f t="shared" si="26"/>
        <v>0.10362456725624723</v>
      </c>
      <c r="O62" s="208">
        <f t="shared" si="26"/>
        <v>0.11621275256499022</v>
      </c>
      <c r="P62" s="208">
        <f t="shared" si="26"/>
        <v>0.12858123028156596</v>
      </c>
      <c r="Q62" s="208">
        <f t="shared" si="26"/>
        <v>0.14090512489295884</v>
      </c>
      <c r="R62" s="208">
        <f t="shared" si="26"/>
        <v>0.15318399961850893</v>
      </c>
      <c r="S62" s="208">
        <f t="shared" si="26"/>
        <v>0.16541741786076061</v>
      </c>
      <c r="T62" s="208">
        <f t="shared" si="26"/>
        <v>0.17760494320337444</v>
      </c>
      <c r="U62" s="208">
        <f t="shared" si="26"/>
        <v>0.18974613940911392</v>
      </c>
      <c r="V62" s="208">
        <f t="shared" si="26"/>
        <v>0.2018405704179089</v>
      </c>
      <c r="W62" s="208">
        <f t="shared" si="26"/>
        <v>0.21388780034499505</v>
      </c>
      <c r="X62" s="208">
        <f t="shared" si="26"/>
        <v>0.2354541126617854</v>
      </c>
      <c r="Y62" s="208">
        <f t="shared" si="26"/>
        <v>0.25693716840917569</v>
      </c>
      <c r="Z62" s="208">
        <f t="shared" si="26"/>
        <v>0.27674889808637426</v>
      </c>
      <c r="AA62" s="208">
        <f t="shared" si="26"/>
        <v>0.2962110263417756</v>
      </c>
      <c r="AB62" s="208">
        <f t="shared" si="26"/>
        <v>0.31531944001555551</v>
      </c>
      <c r="AC62" s="208">
        <f t="shared" si="26"/>
        <v>0.33407002687068177</v>
      </c>
      <c r="AD62" s="208">
        <f t="shared" si="26"/>
        <v>0.35245867564927802</v>
      </c>
      <c r="AE62" s="208">
        <f t="shared" si="26"/>
        <v>0.37048127616312909</v>
      </c>
      <c r="AF62" s="208">
        <f t="shared" si="26"/>
        <v>0.38813371941945324</v>
      </c>
      <c r="AG62" s="208">
        <f t="shared" si="26"/>
        <v>0.40541189778313569</v>
      </c>
      <c r="AJ62" s="217" t="s">
        <v>472</v>
      </c>
      <c r="AL62" s="204"/>
      <c r="AM62" s="205"/>
      <c r="AN62" s="205"/>
      <c r="AO62" s="205"/>
    </row>
    <row r="63" spans="1:63" ht="15.5" outlineLevel="1" thickTop="1">
      <c r="A63" t="s">
        <v>428</v>
      </c>
      <c r="B63" s="51" t="s">
        <v>126</v>
      </c>
      <c r="C63" s="104">
        <f>'Propylene Recycling HC'!C67*'Propylene Recycling HC'!C$43/'Propylene Recycling LC'!C$43</f>
        <v>2.5000000000000001E-2</v>
      </c>
      <c r="D63" s="104">
        <f>'Propylene Recycling HC'!D67*'Propylene Recycling HC'!D$43/'Propylene Recycling LC'!D$43</f>
        <v>3.1603638194750427E-2</v>
      </c>
      <c r="E63" s="104">
        <f>'Propylene Recycling HC'!E67*'Propylene Recycling HC'!E$43/'Propylene Recycling LC'!E$43</f>
        <v>3.8207276389500847E-2</v>
      </c>
      <c r="F63" s="104">
        <f>'Propylene Recycling HC'!F67*'Propylene Recycling HC'!F$43/'Propylene Recycling LC'!F$43</f>
        <v>4.4810914584251273E-2</v>
      </c>
      <c r="G63" s="104">
        <f>'Propylene Recycling HC'!G67*'Propylene Recycling HC'!G$43/'Propylene Recycling LC'!G$43</f>
        <v>5.1414552779001699E-2</v>
      </c>
      <c r="H63" s="104">
        <f>'Propylene Recycling HC'!H67*'Propylene Recycling HC'!H$43/'Propylene Recycling LC'!H$43</f>
        <v>5.8018190973752125E-2</v>
      </c>
      <c r="I63" s="104">
        <f>'Propylene Recycling HC'!I67*'Propylene Recycling HC'!I$43/'Propylene Recycling LC'!I$43</f>
        <v>6.4621829168502537E-2</v>
      </c>
      <c r="J63" s="104">
        <f>'Propylene Recycling HC'!J67*'Propylene Recycling HC'!J$43/'Propylene Recycling LC'!J$43</f>
        <v>7.122546736325297E-2</v>
      </c>
      <c r="K63" s="104">
        <f>'Propylene Recycling HC'!K67*'Propylene Recycling HC'!K$43/'Propylene Recycling LC'!K$43</f>
        <v>7.7829105558003403E-2</v>
      </c>
      <c r="L63" s="104">
        <f>'Propylene Recycling HC'!L67*'Propylene Recycling HC'!L$43/'Propylene Recycling LC'!L$43</f>
        <v>8.4432743752753822E-2</v>
      </c>
      <c r="M63" s="104">
        <f>'Propylene Recycling HC'!M67*'Propylene Recycling HC'!M$43/'Propylene Recycling LC'!M$43</f>
        <v>9.1036381947504227E-2</v>
      </c>
      <c r="N63" s="104">
        <f>'Propylene Recycling HC'!N67*'Propylene Recycling HC'!N$43/'Propylene Recycling LC'!N$43</f>
        <v>0.10362456725624723</v>
      </c>
      <c r="O63" s="104">
        <f>'Propylene Recycling HC'!O67*'Propylene Recycling HC'!O$43/'Propylene Recycling LC'!O$43</f>
        <v>0.11621275256499022</v>
      </c>
      <c r="P63" s="104">
        <f>'Propylene Recycling HC'!P67*'Propylene Recycling HC'!P$43/'Propylene Recycling LC'!P$43</f>
        <v>0.12858123028156596</v>
      </c>
      <c r="Q63" s="104">
        <f>'Propylene Recycling HC'!Q67*'Propylene Recycling HC'!Q$43/'Propylene Recycling LC'!Q$43</f>
        <v>0.14090512489295884</v>
      </c>
      <c r="R63" s="104">
        <f>'Propylene Recycling HC'!R67*'Propylene Recycling HC'!R$43/'Propylene Recycling LC'!R$43</f>
        <v>0.15318399961850893</v>
      </c>
      <c r="S63" s="104">
        <f>'Propylene Recycling HC'!S67*'Propylene Recycling HC'!S$43/'Propylene Recycling LC'!S$43</f>
        <v>0.16541741786076061</v>
      </c>
      <c r="T63" s="104">
        <f>'Propylene Recycling HC'!T67*'Propylene Recycling HC'!T$43/'Propylene Recycling LC'!T$43</f>
        <v>0.17760494320337444</v>
      </c>
      <c r="U63" s="104">
        <f>'Propylene Recycling HC'!U67*'Propylene Recycling HC'!U$43/'Propylene Recycling LC'!U$43</f>
        <v>0.18974613940911392</v>
      </c>
      <c r="V63" s="104">
        <f>'Propylene Recycling HC'!V67*'Propylene Recycling HC'!V$43/'Propylene Recycling LC'!V$43</f>
        <v>0.2018405704179089</v>
      </c>
      <c r="W63" s="104">
        <f>'Propylene Recycling HC'!W67*'Propylene Recycling HC'!W$43/'Propylene Recycling LC'!W$43</f>
        <v>0.21388780034499505</v>
      </c>
      <c r="X63" s="104">
        <f>'Propylene Recycling HC'!X67*'Propylene Recycling HC'!X$43/'Propylene Recycling LC'!X$43</f>
        <v>0.2354541126617854</v>
      </c>
      <c r="Y63" s="104">
        <f>'Propylene Recycling HC'!Y67*'Propylene Recycling HC'!Y$43/'Propylene Recycling LC'!Y$43</f>
        <v>0.25693716840917569</v>
      </c>
      <c r="Z63" s="104">
        <f>'Propylene Recycling HC'!Z67*'Propylene Recycling HC'!Z$43/'Propylene Recycling LC'!Z$43</f>
        <v>0.27674889808637426</v>
      </c>
      <c r="AA63" s="104">
        <f>'Propylene Recycling HC'!AA67*'Propylene Recycling HC'!AA$43/'Propylene Recycling LC'!AA$43</f>
        <v>0.2962110263417756</v>
      </c>
      <c r="AB63" s="104">
        <f>'Propylene Recycling HC'!AB67*'Propylene Recycling HC'!AB$43/'Propylene Recycling LC'!AB$43</f>
        <v>0.31531944001555551</v>
      </c>
      <c r="AC63" s="104">
        <f>'Propylene Recycling HC'!AC67*'Propylene Recycling HC'!AC$43/'Propylene Recycling LC'!AC$43</f>
        <v>0.33407002687068177</v>
      </c>
      <c r="AD63" s="104">
        <f>'Propylene Recycling HC'!AD67*'Propylene Recycling HC'!AD$43/'Propylene Recycling LC'!AD$43</f>
        <v>0.35245867564927802</v>
      </c>
      <c r="AE63" s="104">
        <f>'Propylene Recycling HC'!AE67*'Propylene Recycling HC'!AE$43/'Propylene Recycling LC'!AE$43</f>
        <v>0.37048127616312909</v>
      </c>
      <c r="AF63" s="104">
        <f>'Propylene Recycling HC'!AF67*'Propylene Recycling HC'!AF$43/'Propylene Recycling LC'!AF$43</f>
        <v>0.38813371941945324</v>
      </c>
      <c r="AG63" s="104">
        <f>'Propylene Recycling HC'!AG67*'Propylene Recycling HC'!AG$43/'Propylene Recycling LC'!AG$43</f>
        <v>0.40541189778313569</v>
      </c>
      <c r="AI63" s="126" t="s">
        <v>492</v>
      </c>
      <c r="AJ63" s="198"/>
    </row>
    <row r="64" spans="1:63" outlineLevel="1">
      <c r="A64" t="s">
        <v>493</v>
      </c>
      <c r="B64" s="51" t="s">
        <v>126</v>
      </c>
      <c r="C64" s="104">
        <f>'Propylene Recycling HC'!C70*'Propylene Recycling HC'!C$43/'Propylene Recycling LC'!C$43</f>
        <v>2E-3</v>
      </c>
      <c r="D64" s="104">
        <f>'Propylene Recycling HC'!D70*'Propylene Recycling HC'!D$43/'Propylene Recycling LC'!D$43</f>
        <v>2.5967656050019934E-3</v>
      </c>
      <c r="E64" s="104">
        <f>'Propylene Recycling HC'!E70*'Propylene Recycling HC'!E$43/'Propylene Recycling LC'!E$43</f>
        <v>3.2221469755145714E-3</v>
      </c>
      <c r="F64" s="104">
        <f>'Propylene Recycling HC'!F70*'Propylene Recycling HC'!F$43/'Propylene Recycling LC'!F$43</f>
        <v>3.876144111537735E-3</v>
      </c>
      <c r="G64" s="104">
        <f>'Propylene Recycling HC'!G70*'Propylene Recycling HC'!G$43/'Propylene Recycling LC'!G$43</f>
        <v>4.5587570130714832E-3</v>
      </c>
      <c r="H64" s="104">
        <f>'Propylene Recycling HC'!H70*'Propylene Recycling HC'!H$43/'Propylene Recycling LC'!H$43</f>
        <v>5.2699856801158174E-3</v>
      </c>
      <c r="I64" s="104">
        <f>'Propylene Recycling HC'!I70*'Propylene Recycling HC'!I$43/'Propylene Recycling LC'!I$43</f>
        <v>6.0098301126707346E-3</v>
      </c>
      <c r="J64" s="104">
        <f>'Propylene Recycling HC'!J70*'Propylene Recycling HC'!J$43/'Propylene Recycling LC'!J$43</f>
        <v>6.7782903107362399E-3</v>
      </c>
      <c r="K64" s="104">
        <f>'Propylene Recycling HC'!K70*'Propylene Recycling HC'!K$43/'Propylene Recycling LC'!K$43</f>
        <v>7.575366274312329E-3</v>
      </c>
      <c r="L64" s="104">
        <f>'Propylene Recycling HC'!L70*'Propylene Recycling HC'!L$43/'Propylene Recycling LC'!L$43</f>
        <v>8.4010580033990027E-3</v>
      </c>
      <c r="M64" s="104">
        <f>'Propylene Recycling HC'!M70*'Propylene Recycling HC'!M$43/'Propylene Recycling LC'!M$43</f>
        <v>9.2553654979962621E-3</v>
      </c>
      <c r="N64" s="104">
        <f>'Propylene Recycling HC'!N70*'Propylene Recycling HC'!N$43/'Propylene Recycling LC'!N$43</f>
        <v>1.0759684233440333E-2</v>
      </c>
      <c r="O64" s="104">
        <f>'Propylene Recycling HC'!O70*'Propylene Recycling HC'!O$43/'Propylene Recycling LC'!O$43</f>
        <v>1.231855177188896E-2</v>
      </c>
      <c r="P64" s="104">
        <f>'Propylene Recycling HC'!P70*'Propylene Recycling HC'!P$43/'Propylene Recycling LC'!P$43</f>
        <v>1.3908203075456047E-2</v>
      </c>
      <c r="Q64" s="104">
        <f>'Propylene Recycling HC'!Q70*'Propylene Recycling HC'!Q$43/'Propylene Recycling LC'!Q$43</f>
        <v>1.5546532113189787E-2</v>
      </c>
      <c r="R64" s="104">
        <f>'Propylene Recycling HC'!R70*'Propylene Recycling HC'!R$43/'Propylene Recycling LC'!R$43</f>
        <v>1.7233199957082248E-2</v>
      </c>
      <c r="S64" s="104">
        <f>'Propylene Recycling HC'!S70*'Propylene Recycling HC'!S$43/'Propylene Recycling LC'!S$43</f>
        <v>1.8967863914700542E-2</v>
      </c>
      <c r="T64" s="104">
        <f>'Propylene Recycling HC'!T70*'Propylene Recycling HC'!T$43/'Propylene Recycling LC'!T$43</f>
        <v>2.0750177530927574E-2</v>
      </c>
      <c r="U64" s="104">
        <f>'Propylene Recycling HC'!U70*'Propylene Recycling HC'!U$43/'Propylene Recycling LC'!U$43</f>
        <v>2.257979058968455E-2</v>
      </c>
      <c r="V64" s="104">
        <f>'Propylene Recycling HC'!V70*'Propylene Recycling HC'!V$43/'Propylene Recycling LC'!V$43</f>
        <v>2.4456349115636617E-2</v>
      </c>
      <c r="W64" s="104">
        <f>'Propylene Recycling HC'!W70*'Propylene Recycling HC'!W$43/'Propylene Recycling LC'!W$43</f>
        <v>2.6379495375882713E-2</v>
      </c>
      <c r="X64" s="104">
        <f>'Propylene Recycling HC'!X70*'Propylene Recycling HC'!X$43/'Propylene Recycling LC'!X$43</f>
        <v>2.9549491139054054E-2</v>
      </c>
      <c r="Y64" s="104">
        <f>'Propylene Recycling HC'!Y70*'Propylene Recycling HC'!Y$43/'Propylene Recycling LC'!Y$43</f>
        <v>3.2802311833571414E-2</v>
      </c>
      <c r="Z64" s="104">
        <f>'Propylene Recycling HC'!Z70*'Propylene Recycling HC'!Z$43/'Propylene Recycling LC'!Z$43</f>
        <v>3.5931231934880917E-2</v>
      </c>
      <c r="AA64" s="104">
        <f>'Propylene Recycling HC'!AA70*'Propylene Recycling HC'!AA$43/'Propylene Recycling LC'!AA$43</f>
        <v>3.9099855477114372E-2</v>
      </c>
      <c r="AB64" s="104">
        <f>'Propylene Recycling HC'!AB70*'Propylene Recycling HC'!AB$43/'Propylene Recycling LC'!AB$43</f>
        <v>4.2305358202087029E-2</v>
      </c>
      <c r="AC64" s="104">
        <f>'Propylene Recycling HC'!AC70*'Propylene Recycling HC'!AC$43/'Propylene Recycling LC'!AC$43</f>
        <v>4.5544880330036272E-2</v>
      </c>
      <c r="AD64" s="104">
        <f>'Propylene Recycling HC'!AD70*'Propylene Recycling HC'!AD$43/'Propylene Recycling LC'!AD$43</f>
        <v>4.8815526577425009E-2</v>
      </c>
      <c r="AE64" s="104">
        <f>'Propylene Recycling HC'!AE70*'Propylene Recycling HC'!AE$43/'Propylene Recycling LC'!AE$43</f>
        <v>5.2114366180280161E-2</v>
      </c>
      <c r="AF64" s="104">
        <f>'Propylene Recycling HC'!AF70*'Propylene Recycling HC'!AF$43/'Propylene Recycling LC'!AF$43</f>
        <v>5.5438432923745264E-2</v>
      </c>
      <c r="AG64" s="104">
        <f>'Propylene Recycling HC'!AG70*'Propylene Recycling HC'!AG$43/'Propylene Recycling LC'!AG$43</f>
        <v>0.32432951822650863</v>
      </c>
      <c r="AI64" s="126" t="s">
        <v>492</v>
      </c>
      <c r="AJ64" s="198"/>
      <c r="BD64" s="190"/>
      <c r="BE64" s="190"/>
    </row>
    <row r="65" spans="1:63" outlineLevel="1">
      <c r="A65" t="s">
        <v>494</v>
      </c>
      <c r="B65" s="51" t="s">
        <v>126</v>
      </c>
      <c r="C65" s="104">
        <f>'Propylene Recycling HC'!C71*'Propylene Recycling HC'!C$43/'Propylene Recycling LC'!C$43</f>
        <v>2.3000000000000003E-2</v>
      </c>
      <c r="D65" s="104">
        <f>'Propylene Recycling HC'!D71*'Propylene Recycling HC'!D$43/'Propylene Recycling LC'!D$43</f>
        <v>2.9006872589748434E-2</v>
      </c>
      <c r="E65" s="104">
        <f>'Propylene Recycling HC'!E71*'Propylene Recycling HC'!E$43/'Propylene Recycling LC'!E$43</f>
        <v>3.4985129413986273E-2</v>
      </c>
      <c r="F65" s="104">
        <f>'Propylene Recycling HC'!F71*'Propylene Recycling HC'!F$43/'Propylene Recycling LC'!F$43</f>
        <v>4.093477047271353E-2</v>
      </c>
      <c r="G65" s="104">
        <f>'Propylene Recycling HC'!G71*'Propylene Recycling HC'!G$43/'Propylene Recycling LC'!G$43</f>
        <v>4.6855795765930214E-2</v>
      </c>
      <c r="H65" s="104">
        <f>'Propylene Recycling HC'!H71*'Propylene Recycling HC'!H$43/'Propylene Recycling LC'!H$43</f>
        <v>5.2748205293636309E-2</v>
      </c>
      <c r="I65" s="104">
        <f>'Propylene Recycling HC'!I71*'Propylene Recycling HC'!I$43/'Propylene Recycling LC'!I$43</f>
        <v>5.8611999055831802E-2</v>
      </c>
      <c r="J65" s="104">
        <f>'Propylene Recycling HC'!J71*'Propylene Recycling HC'!J$43/'Propylene Recycling LC'!J$43</f>
        <v>6.4447177052516735E-2</v>
      </c>
      <c r="K65" s="104">
        <f>'Propylene Recycling HC'!K71*'Propylene Recycling HC'!K$43/'Propylene Recycling LC'!K$43</f>
        <v>7.025373928369108E-2</v>
      </c>
      <c r="L65" s="104">
        <f>'Propylene Recycling HC'!L71*'Propylene Recycling HC'!L$43/'Propylene Recycling LC'!L$43</f>
        <v>7.603168574935483E-2</v>
      </c>
      <c r="M65" s="104">
        <f>'Propylene Recycling HC'!M71*'Propylene Recycling HC'!M$43/'Propylene Recycling LC'!M$43</f>
        <v>8.1781016449507971E-2</v>
      </c>
      <c r="N65" s="104">
        <f>'Propylene Recycling HC'!N71*'Propylene Recycling HC'!N$43/'Propylene Recycling LC'!N$43</f>
        <v>9.2864883022806877E-2</v>
      </c>
      <c r="O65" s="104">
        <f>'Propylene Recycling HC'!O71*'Propylene Recycling HC'!O$43/'Propylene Recycling LC'!O$43</f>
        <v>0.10389420079310126</v>
      </c>
      <c r="P65" s="104">
        <f>'Propylene Recycling HC'!P71*'Propylene Recycling HC'!P$43/'Propylene Recycling LC'!P$43</f>
        <v>0.1146730272061099</v>
      </c>
      <c r="Q65" s="104">
        <f>'Propylene Recycling HC'!Q71*'Propylene Recycling HC'!Q$43/'Propylene Recycling LC'!Q$43</f>
        <v>0.12535859277976907</v>
      </c>
      <c r="R65" s="104">
        <f>'Propylene Recycling HC'!R71*'Propylene Recycling HC'!R$43/'Propylene Recycling LC'!R$43</f>
        <v>0.13595079966142667</v>
      </c>
      <c r="S65" s="104">
        <f>'Propylene Recycling HC'!S71*'Propylene Recycling HC'!S$43/'Propylene Recycling LC'!S$43</f>
        <v>0.14644955394606007</v>
      </c>
      <c r="T65" s="104">
        <f>'Propylene Recycling HC'!T71*'Propylene Recycling HC'!T$43/'Propylene Recycling LC'!T$43</f>
        <v>0.15685476567244686</v>
      </c>
      <c r="U65" s="104">
        <f>'Propylene Recycling HC'!U71*'Propylene Recycling HC'!U$43/'Propylene Recycling LC'!U$43</f>
        <v>0.16716634881942938</v>
      </c>
      <c r="V65" s="104">
        <f>'Propylene Recycling HC'!V71*'Propylene Recycling HC'!V$43/'Propylene Recycling LC'!V$43</f>
        <v>0.17738422130227227</v>
      </c>
      <c r="W65" s="104">
        <f>'Propylene Recycling HC'!W71*'Propylene Recycling HC'!W$43/'Propylene Recycling LC'!W$43</f>
        <v>0.18750830496911236</v>
      </c>
      <c r="X65" s="104">
        <f>'Propylene Recycling HC'!X71*'Propylene Recycling HC'!X$43/'Propylene Recycling LC'!X$43</f>
        <v>0.20590462152273134</v>
      </c>
      <c r="Y65" s="104">
        <f>'Propylene Recycling HC'!Y71*'Propylene Recycling HC'!Y$43/'Propylene Recycling LC'!Y$43</f>
        <v>0.22413485657560425</v>
      </c>
      <c r="Z65" s="104">
        <f>'Propylene Recycling HC'!Z71*'Propylene Recycling HC'!Z$43/'Propylene Recycling LC'!Z$43</f>
        <v>0.2408176661514933</v>
      </c>
      <c r="AA65" s="104">
        <f>'Propylene Recycling HC'!AA71*'Propylene Recycling HC'!AA$43/'Propylene Recycling LC'!AA$43</f>
        <v>0.25711117086466123</v>
      </c>
      <c r="AB65" s="104">
        <f>'Propylene Recycling HC'!AB71*'Propylene Recycling HC'!AB$43/'Propylene Recycling LC'!AB$43</f>
        <v>0.27301408181346848</v>
      </c>
      <c r="AC65" s="104">
        <f>'Propylene Recycling HC'!AC71*'Propylene Recycling HC'!AC$43/'Propylene Recycling LC'!AC$43</f>
        <v>0.28852514654064548</v>
      </c>
      <c r="AD65" s="104">
        <f>'Propylene Recycling HC'!AD71*'Propylene Recycling HC'!AD$43/'Propylene Recycling LC'!AD$43</f>
        <v>0.30364314907185297</v>
      </c>
      <c r="AE65" s="104">
        <f>'Propylene Recycling HC'!AE71*'Propylene Recycling HC'!AE$43/'Propylene Recycling LC'!AE$43</f>
        <v>0.31836690998284889</v>
      </c>
      <c r="AF65" s="104">
        <f>'Propylene Recycling HC'!AF71*'Propylene Recycling HC'!AF$43/'Propylene Recycling LC'!AF$43</f>
        <v>0.33269528649570801</v>
      </c>
      <c r="AG65" s="104">
        <f>'Propylene Recycling HC'!AG71*'Propylene Recycling HC'!AG$43/'Propylene Recycling LC'!AG$43</f>
        <v>8.1082379556627143E-2</v>
      </c>
      <c r="AI65" s="126" t="s">
        <v>492</v>
      </c>
      <c r="AJ65" s="198"/>
      <c r="BD65" s="190"/>
      <c r="BE65" s="190"/>
    </row>
    <row r="66" spans="1:63" outlineLevel="1">
      <c r="A66" t="s">
        <v>441</v>
      </c>
      <c r="B66" s="51" t="s">
        <v>126</v>
      </c>
      <c r="C66" s="104">
        <f>'Propylene Recycling HC'!C78*'Propylene Recycling HC'!C$43/'Propylene Recycling LC'!C$43</f>
        <v>1.196E-2</v>
      </c>
      <c r="D66" s="104">
        <f>'Propylene Recycling HC'!D78*'Propylene Recycling HC'!D$43/'Propylene Recycling LC'!D$43</f>
        <v>1.5083573746669186E-2</v>
      </c>
      <c r="E66" s="104">
        <f>'Propylene Recycling HC'!E78*'Propylene Recycling HC'!E$43/'Propylene Recycling LC'!E$43</f>
        <v>1.8192267295272863E-2</v>
      </c>
      <c r="F66" s="104">
        <f>'Propylene Recycling HC'!F78*'Propylene Recycling HC'!F$43/'Propylene Recycling LC'!F$43</f>
        <v>2.1286080645811042E-2</v>
      </c>
      <c r="G66" s="104">
        <f>'Propylene Recycling HC'!G78*'Propylene Recycling HC'!G$43/'Propylene Recycling LC'!G$43</f>
        <v>2.4365013798283711E-2</v>
      </c>
      <c r="H66" s="104">
        <f>'Propylene Recycling HC'!H78*'Propylene Recycling HC'!H$43/'Propylene Recycling LC'!H$43</f>
        <v>2.7429066752690884E-2</v>
      </c>
      <c r="I66" s="104">
        <f>'Propylene Recycling HC'!I78*'Propylene Recycling HC'!I$43/'Propylene Recycling LC'!I$43</f>
        <v>3.0478239509032539E-2</v>
      </c>
      <c r="J66" s="104">
        <f>'Propylene Recycling HC'!J78*'Propylene Recycling HC'!J$43/'Propylene Recycling LC'!J$43</f>
        <v>3.3512532067308705E-2</v>
      </c>
      <c r="K66" s="104">
        <f>'Propylene Recycling HC'!K78*'Propylene Recycling HC'!K$43/'Propylene Recycling LC'!K$43</f>
        <v>3.6531944427519364E-2</v>
      </c>
      <c r="L66" s="104">
        <f>'Propylene Recycling HC'!L78*'Propylene Recycling HC'!L$43/'Propylene Recycling LC'!L$43</f>
        <v>3.9536476589664513E-2</v>
      </c>
      <c r="M66" s="104">
        <f>'Propylene Recycling HC'!M78*'Propylene Recycling HC'!M$43/'Propylene Recycling LC'!M$43</f>
        <v>4.2526128553744144E-2</v>
      </c>
      <c r="N66" s="104">
        <f>'Propylene Recycling HC'!N78*'Propylene Recycling HC'!N$43/'Propylene Recycling LC'!N$43</f>
        <v>4.8289739171859587E-2</v>
      </c>
      <c r="O66" s="104">
        <f>'Propylene Recycling HC'!O78*'Propylene Recycling HC'!O$43/'Propylene Recycling LC'!O$43</f>
        <v>5.4024984412412658E-2</v>
      </c>
      <c r="P66" s="104">
        <f>'Propylene Recycling HC'!P78*'Propylene Recycling HC'!P$43/'Propylene Recycling LC'!P$43</f>
        <v>5.9629974147177155E-2</v>
      </c>
      <c r="Q66" s="104">
        <f>'Propylene Recycling HC'!Q78*'Propylene Recycling HC'!Q$43/'Propylene Recycling LC'!Q$43</f>
        <v>6.5186468245479912E-2</v>
      </c>
      <c r="R66" s="104">
        <f>'Propylene Recycling HC'!R78*'Propylene Recycling HC'!R$43/'Propylene Recycling LC'!R$43</f>
        <v>7.069441582394187E-2</v>
      </c>
      <c r="S66" s="104">
        <f>'Propylene Recycling HC'!S78*'Propylene Recycling HC'!S$43/'Propylene Recycling LC'!S$43</f>
        <v>7.6153768051951246E-2</v>
      </c>
      <c r="T66" s="104">
        <f>'Propylene Recycling HC'!T78*'Propylene Recycling HC'!T$43/'Propylene Recycling LC'!T$43</f>
        <v>8.1564478149672368E-2</v>
      </c>
      <c r="U66" s="104">
        <f>'Propylene Recycling HC'!U78*'Propylene Recycling HC'!U$43/'Propylene Recycling LC'!U$43</f>
        <v>8.6926501386103291E-2</v>
      </c>
      <c r="V66" s="104">
        <f>'Propylene Recycling HC'!V78*'Propylene Recycling HC'!V$43/'Propylene Recycling LC'!V$43</f>
        <v>9.223979507718158E-2</v>
      </c>
      <c r="W66" s="104">
        <f>'Propylene Recycling HC'!W78*'Propylene Recycling HC'!W$43/'Propylene Recycling LC'!W$43</f>
        <v>9.7504318583938432E-2</v>
      </c>
      <c r="X66" s="104">
        <f>'Propylene Recycling HC'!X78*'Propylene Recycling HC'!X$43/'Propylene Recycling LC'!X$43</f>
        <v>0.10707040319182029</v>
      </c>
      <c r="Y66" s="104">
        <f>'Propylene Recycling HC'!Y78*'Propylene Recycling HC'!Y$43/'Propylene Recycling LC'!Y$43</f>
        <v>0.11655012541931421</v>
      </c>
      <c r="Z66" s="104">
        <f>'Propylene Recycling HC'!Z78*'Propylene Recycling HC'!Z$43/'Propylene Recycling LC'!Z$43</f>
        <v>0.12522518639877653</v>
      </c>
      <c r="AA66" s="104">
        <f>'Propylene Recycling HC'!AA78*'Propylene Recycling HC'!AA$43/'Propylene Recycling LC'!AA$43</f>
        <v>0.13369780884962384</v>
      </c>
      <c r="AB66" s="104">
        <f>'Propylene Recycling HC'!AB78*'Propylene Recycling HC'!AB$43/'Propylene Recycling LC'!AB$43</f>
        <v>0.14196732254300362</v>
      </c>
      <c r="AC66" s="104">
        <f>'Propylene Recycling HC'!AC78*'Propylene Recycling HC'!AC$43/'Propylene Recycling LC'!AC$43</f>
        <v>0.15003307620113565</v>
      </c>
      <c r="AD66" s="104">
        <f>'Propylene Recycling HC'!AD78*'Propylene Recycling HC'!AD$43/'Propylene Recycling LC'!AD$43</f>
        <v>0.15789443751736357</v>
      </c>
      <c r="AE66" s="104">
        <f>'Propylene Recycling HC'!AE78*'Propylene Recycling HC'!AE$43/'Propylene Recycling LC'!AE$43</f>
        <v>0.16555079319108146</v>
      </c>
      <c r="AF66" s="104">
        <f>'Propylene Recycling HC'!AF78*'Propylene Recycling HC'!AF$43/'Propylene Recycling LC'!AF$43</f>
        <v>0.17300154897776818</v>
      </c>
      <c r="AG66" s="104">
        <f>'Propylene Recycling HC'!AG78*'Propylene Recycling HC'!AG$43/'Propylene Recycling LC'!AG$43</f>
        <v>4.2162837369446114E-2</v>
      </c>
      <c r="AI66" s="126" t="s">
        <v>492</v>
      </c>
      <c r="AJ66" s="198"/>
      <c r="BD66" s="190"/>
      <c r="BE66" s="190"/>
    </row>
    <row r="67" spans="1:63" outlineLevel="1">
      <c r="A67" t="s">
        <v>442</v>
      </c>
      <c r="B67" s="51" t="s">
        <v>126</v>
      </c>
      <c r="C67" s="104">
        <f>'Propylene Recycling HC'!C79*'Propylene Recycling HC'!C$43/'Propylene Recycling LC'!C$43</f>
        <v>2.7600000000000003E-3</v>
      </c>
      <c r="D67" s="104">
        <f>'Propylene Recycling HC'!D79*'Propylene Recycling HC'!D$43/'Propylene Recycling LC'!D$43</f>
        <v>3.4808247107698119E-3</v>
      </c>
      <c r="E67" s="104">
        <f>'Propylene Recycling HC'!E79*'Propylene Recycling HC'!E$43/'Propylene Recycling LC'!E$43</f>
        <v>4.1982155296783523E-3</v>
      </c>
      <c r="F67" s="104">
        <f>'Propylene Recycling HC'!F79*'Propylene Recycling HC'!F$43/'Propylene Recycling LC'!F$43</f>
        <v>4.9121724567256246E-3</v>
      </c>
      <c r="G67" s="104">
        <f>'Propylene Recycling HC'!G79*'Propylene Recycling HC'!G$43/'Propylene Recycling LC'!G$43</f>
        <v>5.6226954919116265E-3</v>
      </c>
      <c r="H67" s="104">
        <f>'Propylene Recycling HC'!H79*'Propylene Recycling HC'!H$43/'Propylene Recycling LC'!H$43</f>
        <v>6.3297846352363572E-3</v>
      </c>
      <c r="I67" s="104">
        <f>'Propylene Recycling HC'!I79*'Propylene Recycling HC'!I$43/'Propylene Recycling LC'!I$43</f>
        <v>7.0334398866998167E-3</v>
      </c>
      <c r="J67" s="104">
        <f>'Propylene Recycling HC'!J79*'Propylene Recycling HC'!J$43/'Propylene Recycling LC'!J$43</f>
        <v>7.7336612463020076E-3</v>
      </c>
      <c r="K67" s="104">
        <f>'Propylene Recycling HC'!K79*'Propylene Recycling HC'!K$43/'Propylene Recycling LC'!K$43</f>
        <v>8.4304487140429291E-3</v>
      </c>
      <c r="L67" s="104">
        <f>'Propylene Recycling HC'!L79*'Propylene Recycling HC'!L$43/'Propylene Recycling LC'!L$43</f>
        <v>9.1238022899225793E-3</v>
      </c>
      <c r="M67" s="104">
        <f>'Propylene Recycling HC'!M79*'Propylene Recycling HC'!M$43/'Propylene Recycling LC'!M$43</f>
        <v>9.8137219739409566E-3</v>
      </c>
      <c r="N67" s="104">
        <f>'Propylene Recycling HC'!N79*'Propylene Recycling HC'!N$43/'Propylene Recycling LC'!N$43</f>
        <v>1.1143785962736826E-2</v>
      </c>
      <c r="O67" s="104">
        <f>'Propylene Recycling HC'!O79*'Propylene Recycling HC'!O$43/'Propylene Recycling LC'!O$43</f>
        <v>1.246730409517215E-2</v>
      </c>
      <c r="P67" s="104">
        <f>'Propylene Recycling HC'!P79*'Propylene Recycling HC'!P$43/'Propylene Recycling LC'!P$43</f>
        <v>1.3760763264733187E-2</v>
      </c>
      <c r="Q67" s="104">
        <f>'Propylene Recycling HC'!Q79*'Propylene Recycling HC'!Q$43/'Propylene Recycling LC'!Q$43</f>
        <v>1.5043031133572287E-2</v>
      </c>
      <c r="R67" s="104">
        <f>'Propylene Recycling HC'!R79*'Propylene Recycling HC'!R$43/'Propylene Recycling LC'!R$43</f>
        <v>1.6314095959371201E-2</v>
      </c>
      <c r="S67" s="104">
        <f>'Propylene Recycling HC'!S79*'Propylene Recycling HC'!S$43/'Propylene Recycling LC'!S$43</f>
        <v>1.7573946473527211E-2</v>
      </c>
      <c r="T67" s="104">
        <f>'Propylene Recycling HC'!T79*'Propylene Recycling HC'!T$43/'Propylene Recycling LC'!T$43</f>
        <v>1.8822571880693622E-2</v>
      </c>
      <c r="U67" s="104">
        <f>'Propylene Recycling HC'!U79*'Propylene Recycling HC'!U$43/'Propylene Recycling LC'!U$43</f>
        <v>2.0059961858331525E-2</v>
      </c>
      <c r="V67" s="104">
        <f>'Propylene Recycling HC'!V79*'Propylene Recycling HC'!V$43/'Propylene Recycling LC'!V$43</f>
        <v>2.1286106556272673E-2</v>
      </c>
      <c r="W67" s="104">
        <f>'Propylene Recycling HC'!W79*'Propylene Recycling HC'!W$43/'Propylene Recycling LC'!W$43</f>
        <v>2.2500996596293479E-2</v>
      </c>
      <c r="X67" s="104">
        <f>'Propylene Recycling HC'!X79*'Propylene Recycling HC'!X$43/'Propylene Recycling LC'!X$43</f>
        <v>2.4708554582727756E-2</v>
      </c>
      <c r="Y67" s="104">
        <f>'Propylene Recycling HC'!Y79*'Propylene Recycling HC'!Y$43/'Propylene Recycling LC'!Y$43</f>
        <v>2.689618278907251E-2</v>
      </c>
      <c r="Z67" s="104">
        <f>'Propylene Recycling HC'!Z79*'Propylene Recycling HC'!Z$43/'Propylene Recycling LC'!Z$43</f>
        <v>2.8898119938179197E-2</v>
      </c>
      <c r="AA67" s="104">
        <f>'Propylene Recycling HC'!AA79*'Propylene Recycling HC'!AA$43/'Propylene Recycling LC'!AA$43</f>
        <v>3.0853340503759347E-2</v>
      </c>
      <c r="AB67" s="104">
        <f>'Propylene Recycling HC'!AB79*'Propylene Recycling HC'!AB$43/'Propylene Recycling LC'!AB$43</f>
        <v>3.2761689817616214E-2</v>
      </c>
      <c r="AC67" s="104">
        <f>'Propylene Recycling HC'!AC79*'Propylene Recycling HC'!AC$43/'Propylene Recycling LC'!AC$43</f>
        <v>3.4623017584877458E-2</v>
      </c>
      <c r="AD67" s="104">
        <f>'Propylene Recycling HC'!AD79*'Propylene Recycling HC'!AD$43/'Propylene Recycling LC'!AD$43</f>
        <v>3.643717788862235E-2</v>
      </c>
      <c r="AE67" s="104">
        <f>'Propylene Recycling HC'!AE79*'Propylene Recycling HC'!AE$43/'Propylene Recycling LC'!AE$43</f>
        <v>3.8204029197941865E-2</v>
      </c>
      <c r="AF67" s="104">
        <f>'Propylene Recycling HC'!AF79*'Propylene Recycling HC'!AF$43/'Propylene Recycling LC'!AF$43</f>
        <v>3.9923434379484965E-2</v>
      </c>
      <c r="AG67" s="104">
        <f>'Propylene Recycling HC'!AG79*'Propylene Recycling HC'!AG$43/'Propylene Recycling LC'!AG$43</f>
        <v>9.7298855467952538E-3</v>
      </c>
      <c r="AI67" s="126" t="s">
        <v>492</v>
      </c>
      <c r="AJ67" s="198"/>
      <c r="AL67" s="1"/>
      <c r="BC67" s="1"/>
      <c r="BD67" s="697"/>
      <c r="BE67" s="687"/>
      <c r="BF67" s="6"/>
      <c r="BG67" s="6"/>
      <c r="BH67" s="6"/>
      <c r="BI67" s="6"/>
      <c r="BJ67" s="6"/>
    </row>
    <row r="68" spans="1:63" outlineLevel="1">
      <c r="A68" t="s">
        <v>443</v>
      </c>
      <c r="B68" s="51" t="s">
        <v>126</v>
      </c>
      <c r="C68" s="104">
        <f>'Propylene Recycling HC'!C80*'Propylene Recycling HC'!C$43/'Propylene Recycling LC'!C$43</f>
        <v>8.2800000000000009E-3</v>
      </c>
      <c r="D68" s="104">
        <f>'Propylene Recycling HC'!D80*'Propylene Recycling HC'!D$43/'Propylene Recycling LC'!D$43</f>
        <v>1.0442474132309436E-2</v>
      </c>
      <c r="E68" s="104">
        <f>'Propylene Recycling HC'!E80*'Propylene Recycling HC'!E$43/'Propylene Recycling LC'!E$43</f>
        <v>1.2594646589035058E-2</v>
      </c>
      <c r="F68" s="104">
        <f>'Propylene Recycling HC'!F80*'Propylene Recycling HC'!F$43/'Propylene Recycling LC'!F$43</f>
        <v>1.4736517370176873E-2</v>
      </c>
      <c r="G68" s="104">
        <f>'Propylene Recycling HC'!G80*'Propylene Recycling HC'!G$43/'Propylene Recycling LC'!G$43</f>
        <v>1.6868086475734876E-2</v>
      </c>
      <c r="H68" s="104">
        <f>'Propylene Recycling HC'!H80*'Propylene Recycling HC'!H$43/'Propylene Recycling LC'!H$43</f>
        <v>1.8989353905709071E-2</v>
      </c>
      <c r="I68" s="104">
        <f>'Propylene Recycling HC'!I80*'Propylene Recycling HC'!I$43/'Propylene Recycling LC'!I$43</f>
        <v>2.1100319660099447E-2</v>
      </c>
      <c r="J68" s="104">
        <f>'Propylene Recycling HC'!J80*'Propylene Recycling HC'!J$43/'Propylene Recycling LC'!J$43</f>
        <v>2.3200983738906025E-2</v>
      </c>
      <c r="K68" s="104">
        <f>'Propylene Recycling HC'!K80*'Propylene Recycling HC'!K$43/'Propylene Recycling LC'!K$43</f>
        <v>2.5291346142128787E-2</v>
      </c>
      <c r="L68" s="104">
        <f>'Propylene Recycling HC'!L80*'Propylene Recycling HC'!L$43/'Propylene Recycling LC'!L$43</f>
        <v>2.7371406869767734E-2</v>
      </c>
      <c r="M68" s="104">
        <f>'Propylene Recycling HC'!M80*'Propylene Recycling HC'!M$43/'Propylene Recycling LC'!M$43</f>
        <v>2.944116592182287E-2</v>
      </c>
      <c r="N68" s="104">
        <f>'Propylene Recycling HC'!N80*'Propylene Recycling HC'!N$43/'Propylene Recycling LC'!N$43</f>
        <v>3.3431357888210479E-2</v>
      </c>
      <c r="O68" s="104">
        <f>'Propylene Recycling HC'!O80*'Propylene Recycling HC'!O$43/'Propylene Recycling LC'!O$43</f>
        <v>3.7401912285516453E-2</v>
      </c>
      <c r="P68" s="104">
        <f>'Propylene Recycling HC'!P80*'Propylene Recycling HC'!P$43/'Propylene Recycling LC'!P$43</f>
        <v>4.128228979419956E-2</v>
      </c>
      <c r="Q68" s="104">
        <f>'Propylene Recycling HC'!Q80*'Propylene Recycling HC'!Q$43/'Propylene Recycling LC'!Q$43</f>
        <v>4.5129093400716858E-2</v>
      </c>
      <c r="R68" s="104">
        <f>'Propylene Recycling HC'!R80*'Propylene Recycling HC'!R$43/'Propylene Recycling LC'!R$43</f>
        <v>4.8942287878113597E-2</v>
      </c>
      <c r="S68" s="104">
        <f>'Propylene Recycling HC'!S80*'Propylene Recycling HC'!S$43/'Propylene Recycling LC'!S$43</f>
        <v>5.2721839420581632E-2</v>
      </c>
      <c r="T68" s="104">
        <f>'Propylene Recycling HC'!T80*'Propylene Recycling HC'!T$43/'Propylene Recycling LC'!T$43</f>
        <v>5.6467715642080869E-2</v>
      </c>
      <c r="U68" s="104">
        <f>'Propylene Recycling HC'!U80*'Propylene Recycling HC'!U$43/'Propylene Recycling LC'!U$43</f>
        <v>6.0179885574994582E-2</v>
      </c>
      <c r="V68" s="104">
        <f>'Propylene Recycling HC'!V80*'Propylene Recycling HC'!V$43/'Propylene Recycling LC'!V$43</f>
        <v>6.3858319668818012E-2</v>
      </c>
      <c r="W68" s="104">
        <f>'Propylene Recycling HC'!W80*'Propylene Recycling HC'!W$43/'Propylene Recycling LC'!W$43</f>
        <v>6.7502989788880446E-2</v>
      </c>
      <c r="X68" s="104">
        <f>'Propylene Recycling HC'!X80*'Propylene Recycling HC'!X$43/'Propylene Recycling LC'!X$43</f>
        <v>7.4125663748183274E-2</v>
      </c>
      <c r="Y68" s="104">
        <f>'Propylene Recycling HC'!Y80*'Propylene Recycling HC'!Y$43/'Propylene Recycling LC'!Y$43</f>
        <v>8.0688548367217533E-2</v>
      </c>
      <c r="Z68" s="104">
        <f>'Propylene Recycling HC'!Z80*'Propylene Recycling HC'!Z$43/'Propylene Recycling LC'!Z$43</f>
        <v>8.6694359814537603E-2</v>
      </c>
      <c r="AA68" s="104">
        <f>'Propylene Recycling HC'!AA80*'Propylene Recycling HC'!AA$43/'Propylene Recycling LC'!AA$43</f>
        <v>9.256002151127804E-2</v>
      </c>
      <c r="AB68" s="104">
        <f>'Propylene Recycling HC'!AB80*'Propylene Recycling HC'!AB$43/'Propylene Recycling LC'!AB$43</f>
        <v>9.828506945284865E-2</v>
      </c>
      <c r="AC68" s="104">
        <f>'Propylene Recycling HC'!AC80*'Propylene Recycling HC'!AC$43/'Propylene Recycling LC'!AC$43</f>
        <v>0.10386905275463237</v>
      </c>
      <c r="AD68" s="104">
        <f>'Propylene Recycling HC'!AD80*'Propylene Recycling HC'!AD$43/'Propylene Recycling LC'!AD$43</f>
        <v>0.10931153366586707</v>
      </c>
      <c r="AE68" s="104">
        <f>'Propylene Recycling HC'!AE80*'Propylene Recycling HC'!AE$43/'Propylene Recycling LC'!AE$43</f>
        <v>0.1146120875938256</v>
      </c>
      <c r="AF68" s="104">
        <f>'Propylene Recycling HC'!AF80*'Propylene Recycling HC'!AF$43/'Propylene Recycling LC'!AF$43</f>
        <v>0.11977030313845487</v>
      </c>
      <c r="AG68" s="104">
        <f>'Propylene Recycling HC'!AG80*'Propylene Recycling HC'!AG$43/'Propylene Recycling LC'!AG$43</f>
        <v>2.9189656640385767E-2</v>
      </c>
      <c r="AI68" s="126" t="s">
        <v>492</v>
      </c>
      <c r="AJ68" s="198"/>
      <c r="BC68" s="1"/>
      <c r="BD68" s="38"/>
      <c r="BF68" s="6"/>
      <c r="BG68" s="6"/>
      <c r="BH68" s="6"/>
      <c r="BI68" s="6"/>
      <c r="BJ68" s="6"/>
    </row>
    <row r="69" spans="1:63" outlineLevel="1">
      <c r="C69" s="104"/>
      <c r="D69" s="104"/>
      <c r="E69" s="104"/>
      <c r="F69" s="104"/>
      <c r="G69" s="104"/>
      <c r="H69" s="104"/>
      <c r="I69" s="104"/>
      <c r="J69" s="104"/>
      <c r="K69" s="104"/>
      <c r="L69" s="104"/>
      <c r="M69" s="104"/>
      <c r="N69" s="104"/>
      <c r="O69" s="104"/>
      <c r="P69" s="104"/>
      <c r="Q69" s="104"/>
      <c r="R69" s="104"/>
      <c r="S69" s="104"/>
      <c r="T69" s="104"/>
      <c r="U69" s="104"/>
      <c r="V69" s="104"/>
      <c r="W69" s="104"/>
      <c r="X69" s="104"/>
      <c r="Y69" s="104"/>
      <c r="Z69" s="104"/>
      <c r="AA69" s="104"/>
      <c r="AB69" s="104"/>
      <c r="AC69" s="104"/>
      <c r="AD69" s="104"/>
      <c r="AE69" s="104"/>
      <c r="AF69" s="104"/>
      <c r="AG69" s="104"/>
      <c r="AI69" s="126"/>
      <c r="AJ69" s="198"/>
      <c r="AL69" s="102"/>
      <c r="AM69" s="2"/>
      <c r="AN69" s="2"/>
      <c r="AO69" s="2"/>
      <c r="BC69" s="1"/>
      <c r="BD69" s="2"/>
      <c r="BE69" s="2"/>
      <c r="BF69" s="2"/>
      <c r="BG69" s="2"/>
      <c r="BH69" s="2"/>
      <c r="BI69" s="2"/>
      <c r="BJ69" s="2"/>
      <c r="BK69" s="2"/>
    </row>
    <row r="70" spans="1:63" outlineLevel="1">
      <c r="A70" t="s">
        <v>528</v>
      </c>
      <c r="B70" s="51" t="s">
        <v>126</v>
      </c>
      <c r="C70" s="104">
        <f>'Propylene Recycling HC'!C83*'Propylene Recycling HC'!C$43/'Propylene Recycling LC'!C$43</f>
        <v>3.9131127374719181E-2</v>
      </c>
      <c r="D70" s="104">
        <f>'Propylene Recycling HC'!D83*'Propylene Recycling HC'!D$43/'Propylene Recycling LC'!D$43</f>
        <v>4.8977325079669197E-2</v>
      </c>
      <c r="E70" s="104">
        <f>'Propylene Recycling HC'!E83*'Propylene Recycling HC'!E$43/'Propylene Recycling LC'!E$43</f>
        <v>5.8618702099339996E-2</v>
      </c>
      <c r="F70" s="104">
        <f>'Propylene Recycling HC'!F83*'Propylene Recycling HC'!F$43/'Propylene Recycling LC'!F$43</f>
        <v>6.8055258433731586E-2</v>
      </c>
      <c r="G70" s="104">
        <f>'Propylene Recycling HC'!G83*'Propylene Recycling HC'!G$43/'Propylene Recycling LC'!G$43</f>
        <v>7.7286994082843966E-2</v>
      </c>
      <c r="H70" s="104">
        <f>'Propylene Recycling HC'!H83*'Propylene Recycling HC'!H$43/'Propylene Recycling LC'!H$43</f>
        <v>8.6313909046677156E-2</v>
      </c>
      <c r="I70" s="104">
        <f>'Propylene Recycling HC'!I83*'Propylene Recycling HC'!I$43/'Propylene Recycling LC'!I$43</f>
        <v>9.5136003325231103E-2</v>
      </c>
      <c r="J70" s="104">
        <f>'Propylene Recycling HC'!J83*'Propylene Recycling HC'!J$43/'Propylene Recycling LC'!J$43</f>
        <v>0.10375327691850587</v>
      </c>
      <c r="K70" s="104">
        <f>'Propylene Recycling HC'!K83*'Propylene Recycling HC'!K$43/'Propylene Recycling LC'!K$43</f>
        <v>0.11216572982650144</v>
      </c>
      <c r="L70" s="104">
        <f>'Propylene Recycling HC'!L83*'Propylene Recycling HC'!L$43/'Propylene Recycling LC'!L$43</f>
        <v>0.12037336204921778</v>
      </c>
      <c r="M70" s="104">
        <f>'Propylene Recycling HC'!M83*'Propylene Recycling HC'!M$43/'Propylene Recycling LC'!M$43</f>
        <v>0.12837617358665493</v>
      </c>
      <c r="N70" s="104">
        <f>'Propylene Recycling HC'!N83*'Propylene Recycling HC'!N$43/'Propylene Recycling LC'!N$43</f>
        <v>0.14452054435153036</v>
      </c>
      <c r="O70" s="104">
        <f>'Propylene Recycling HC'!O83*'Propylene Recycling HC'!O$43/'Propylene Recycling LC'!O$43</f>
        <v>0.16027447568509232</v>
      </c>
      <c r="P70" s="104">
        <f>'Propylene Recycling HC'!P83*'Propylene Recycling HC'!P$43/'Propylene Recycling LC'!P$43</f>
        <v>0.17533836577085712</v>
      </c>
      <c r="Q70" s="104">
        <f>'Propylene Recycling HC'!Q83*'Propylene Recycling HC'!Q$43/'Propylene Recycling LC'!Q$43</f>
        <v>0.1899585270970435</v>
      </c>
      <c r="R70" s="104">
        <f>'Propylene Recycling HC'!R83*'Propylene Recycling HC'!R$43/'Propylene Recycling LC'!R$43</f>
        <v>0.20413645180699613</v>
      </c>
      <c r="S70" s="104">
        <f>'Propylene Recycling HC'!S83*'Propylene Recycling HC'!S$43/'Propylene Recycling LC'!S$43</f>
        <v>0.21787365938003569</v>
      </c>
      <c r="T70" s="104">
        <f>'Propylene Recycling HC'!T83*'Propylene Recycling HC'!T$43/'Propylene Recycling LC'!T$43</f>
        <v>0.23117169661453438</v>
      </c>
      <c r="U70" s="104">
        <f>'Propylene Recycling HC'!U83*'Propylene Recycling HC'!U$43/'Propylene Recycling LC'!U$43</f>
        <v>0.24403213761128351</v>
      </c>
      <c r="V70" s="104">
        <f>'Propylene Recycling HC'!V83*'Propylene Recycling HC'!V$43/'Propylene Recycling LC'!V$43</f>
        <v>0.25645658375714453</v>
      </c>
      <c r="W70" s="104">
        <f>'Propylene Recycling HC'!W83*'Propylene Recycling HC'!W$43/'Propylene Recycling LC'!W$43</f>
        <v>0.26844666370897668</v>
      </c>
      <c r="X70" s="104">
        <f>'Propylene Recycling HC'!X83*'Propylene Recycling HC'!X$43/'Propylene Recycling LC'!X$43</f>
        <v>0.29186268523121262</v>
      </c>
      <c r="Y70" s="104">
        <f>'Propylene Recycling HC'!Y83*'Propylene Recycling HC'!Y$43/'Propylene Recycling LC'!Y$43</f>
        <v>0.31450788720280587</v>
      </c>
      <c r="Z70" s="104">
        <f>'Propylene Recycling HC'!Z83*'Propylene Recycling HC'!Z$43/'Propylene Recycling LC'!Z$43</f>
        <v>0.33446687028326599</v>
      </c>
      <c r="AA70" s="104">
        <f>'Propylene Recycling HC'!AA83*'Propylene Recycling HC'!AA$43/'Propylene Recycling LC'!AA$43</f>
        <v>0.35339427439337334</v>
      </c>
      <c r="AB70" s="104">
        <f>'Propylene Recycling HC'!AB83*'Propylene Recycling HC'!AB$43/'Propylene Recycling LC'!AB$43</f>
        <v>0.37130152115408499</v>
      </c>
      <c r="AC70" s="104">
        <f>'Propylene Recycling HC'!AC83*'Propylene Recycling HC'!AC$43/'Propylene Recycling LC'!AC$43</f>
        <v>0.3882002884089969</v>
      </c>
      <c r="AD70" s="104">
        <f>'Propylene Recycling HC'!AD83*'Propylene Recycling HC'!AD$43/'Propylene Recycling LC'!AD$43</f>
        <v>0.40410251021741245</v>
      </c>
      <c r="AE70" s="104">
        <f>'Propylene Recycling HC'!AE83*'Propylene Recycling HC'!AE$43/'Propylene Recycling LC'!AE$43</f>
        <v>0.41902037688078064</v>
      </c>
      <c r="AF70" s="104">
        <f>'Propylene Recycling HC'!AF83*'Propylene Recycling HC'!AF$43/'Propylene Recycling LC'!AF$43</f>
        <v>0.43296633500005388</v>
      </c>
      <c r="AG70" s="104">
        <f>'Propylene Recycling HC'!AG83*'Propylene Recycling HC'!AG$43/'Propylene Recycling LC'!AG$43</f>
        <v>0.44595308756144936</v>
      </c>
      <c r="AI70" s="126" t="s">
        <v>492</v>
      </c>
      <c r="AJ70" s="198"/>
      <c r="AL70" s="102"/>
      <c r="AM70" s="2"/>
      <c r="AN70" s="2"/>
      <c r="AO70" s="2"/>
      <c r="AV70" s="38"/>
    </row>
    <row r="71" spans="1:63" outlineLevel="1">
      <c r="A71" t="s">
        <v>529</v>
      </c>
      <c r="B71" s="51" t="s">
        <v>126</v>
      </c>
      <c r="C71" s="104">
        <f>'Propylene Recycling HC'!C84*'Propylene Recycling HC'!C$43/'Propylene Recycling LC'!C$43</f>
        <v>3.1304901899775351E-3</v>
      </c>
      <c r="D71" s="104">
        <f>'Propylene Recycling HC'!D84*'Propylene Recycling HC'!D$43/'Propylene Recycling LC'!D$43</f>
        <v>4.0243035440461527E-3</v>
      </c>
      <c r="E71" s="104">
        <f>'Propylene Recycling HC'!E84*'Propylene Recycling HC'!E$43/'Propylene Recycling LC'!E$43</f>
        <v>4.943510543711005E-3</v>
      </c>
      <c r="F71" s="104">
        <f>'Propylene Recycling HC'!F84*'Propylene Recycling HC'!F$43/'Propylene Recycling LC'!F$43</f>
        <v>5.886779854517782E-3</v>
      </c>
      <c r="G71" s="104">
        <f>'Propylene Recycling HC'!G84*'Propylene Recycling HC'!G$43/'Propylene Recycling LC'!G$43</f>
        <v>6.8527801420121635E-3</v>
      </c>
      <c r="H71" s="104">
        <f>'Propylene Recycling HC'!H84*'Propylene Recycling HC'!H$43/'Propylene Recycling LC'!H$43</f>
        <v>7.8401800717398402E-3</v>
      </c>
      <c r="I71" s="104">
        <f>'Propylene Recycling HC'!I84*'Propylene Recycling HC'!I$43/'Propylene Recycling LC'!I$43</f>
        <v>8.8476483092464909E-3</v>
      </c>
      <c r="J71" s="104">
        <f>'Propylene Recycling HC'!J84*'Propylene Recycling HC'!J$43/'Propylene Recycling LC'!J$43</f>
        <v>9.8738535200778056E-3</v>
      </c>
      <c r="K71" s="104">
        <f>'Propylene Recycling HC'!K84*'Propylene Recycling HC'!K$43/'Propylene Recycling LC'!K$43</f>
        <v>1.0917464369779471E-2</v>
      </c>
      <c r="L71" s="104">
        <f>'Propylene Recycling HC'!L84*'Propylene Recycling HC'!L$43/'Propylene Recycling LC'!L$43</f>
        <v>1.1977149523897166E-2</v>
      </c>
      <c r="M71" s="104">
        <f>'Propylene Recycling HC'!M84*'Propylene Recycling HC'!M$43/'Propylene Recycling LC'!M$43</f>
        <v>1.3051577647976582E-2</v>
      </c>
      <c r="N71" s="104">
        <f>'Propylene Recycling HC'!N84*'Propylene Recycling HC'!N$43/'Propylene Recycling LC'!N$43</f>
        <v>1.5006049855167231E-2</v>
      </c>
      <c r="O71" s="104">
        <f>'Propylene Recycling HC'!O84*'Propylene Recycling HC'!O$43/'Propylene Recycling LC'!O$43</f>
        <v>1.6989094422619779E-2</v>
      </c>
      <c r="P71" s="104">
        <f>'Propylene Recycling HC'!P84*'Propylene Recycling HC'!P$43/'Propylene Recycling LC'!P$43</f>
        <v>1.8965766564214372E-2</v>
      </c>
      <c r="Q71" s="104">
        <f>'Propylene Recycling HC'!Q84*'Propylene Recycling HC'!Q$43/'Propylene Recycling LC'!Q$43</f>
        <v>2.095875748970713E-2</v>
      </c>
      <c r="R71" s="104">
        <f>'Propylene Recycling HC'!R84*'Propylene Recycling HC'!R$43/'Propylene Recycling LC'!R$43</f>
        <v>2.2965350828287059E-2</v>
      </c>
      <c r="S71" s="104">
        <f>'Propylene Recycling HC'!S84*'Propylene Recycling HC'!S$43/'Propylene Recycling LC'!S$43</f>
        <v>2.4982846275577415E-2</v>
      </c>
      <c r="T71" s="104">
        <f>'Propylene Recycling HC'!T84*'Propylene Recycling HC'!T$43/'Propylene Recycling LC'!T$43</f>
        <v>2.7008559887798093E-2</v>
      </c>
      <c r="U71" s="104">
        <f>'Propylene Recycling HC'!U84*'Propylene Recycling HC'!U$43/'Propylene Recycling LC'!U$43</f>
        <v>2.9039824375742724E-2</v>
      </c>
      <c r="V71" s="104">
        <f>'Propylene Recycling HC'!V84*'Propylene Recycling HC'!V$43/'Propylene Recycling LC'!V$43</f>
        <v>3.1073989398573997E-2</v>
      </c>
      <c r="W71" s="104">
        <f>'Propylene Recycling HC'!W84*'Propylene Recycling HC'!W$43/'Propylene Recycling LC'!W$43</f>
        <v>3.3108421857440437E-2</v>
      </c>
      <c r="X71" s="104">
        <f>'Propylene Recycling HC'!X84*'Propylene Recycling HC'!X$43/'Propylene Recycling LC'!X$43</f>
        <v>3.6628766996517161E-2</v>
      </c>
      <c r="Y71" s="104">
        <f>'Propylene Recycling HC'!Y84*'Propylene Recycling HC'!Y$43/'Propylene Recycling LC'!Y$43</f>
        <v>4.0152173599558208E-2</v>
      </c>
      <c r="Z71" s="104">
        <f>'Propylene Recycling HC'!Z84*'Propylene Recycling HC'!Z$43/'Propylene Recycling LC'!Z$43</f>
        <v>4.3424948658444026E-2</v>
      </c>
      <c r="AA71" s="104">
        <f>'Propylene Recycling HC'!AA84*'Propylene Recycling HC'!AA$43/'Propylene Recycling LC'!AA$43</f>
        <v>4.6648044219925272E-2</v>
      </c>
      <c r="AB71" s="104">
        <f>'Propylene Recycling HC'!AB84*'Propylene Recycling HC'!AB$43/'Propylene Recycling LC'!AB$43</f>
        <v>4.98162874215064E-2</v>
      </c>
      <c r="AC71" s="104">
        <f>'Propylene Recycling HC'!AC84*'Propylene Recycling HC'!AC$43/'Propylene Recycling LC'!AC$43</f>
        <v>5.2924639319759915E-2</v>
      </c>
      <c r="AD71" s="104">
        <f>'Propylene Recycling HC'!AD84*'Propylene Recycling HC'!AD$43/'Propylene Recycling LC'!AD$43</f>
        <v>5.5968197665111637E-2</v>
      </c>
      <c r="AE71" s="104">
        <f>'Propylene Recycling HC'!AE84*'Propylene Recycling HC'!AE$43/'Propylene Recycling LC'!AE$43</f>
        <v>5.8942199681229816E-2</v>
      </c>
      <c r="AF71" s="104">
        <f>'Propylene Recycling HC'!AF84*'Propylene Recycling HC'!AF$43/'Propylene Recycling LC'!AF$43</f>
        <v>6.1842024849174386E-2</v>
      </c>
      <c r="AG71" s="104">
        <f>'Propylene Recycling HC'!AG84*'Propylene Recycling HC'!AG$43/'Propylene Recycling LC'!AG$43</f>
        <v>0.35676247004915951</v>
      </c>
      <c r="AI71" s="126" t="s">
        <v>492</v>
      </c>
      <c r="AJ71" s="198"/>
      <c r="AL71" s="102"/>
      <c r="AM71" s="2"/>
      <c r="AN71" s="2"/>
      <c r="AO71" s="2"/>
      <c r="AV71" s="38"/>
    </row>
    <row r="72" spans="1:63" outlineLevel="1">
      <c r="A72" t="s">
        <v>530</v>
      </c>
      <c r="B72" s="165" t="s">
        <v>126</v>
      </c>
      <c r="C72" s="104">
        <f>'Propylene Recycling HC'!C85*'Propylene Recycling HC'!C$43/'Propylene Recycling LC'!C$43</f>
        <v>3.6000637184741655E-2</v>
      </c>
      <c r="D72" s="104">
        <f>'Propylene Recycling HC'!D85*'Propylene Recycling HC'!D$43/'Propylene Recycling LC'!D$43</f>
        <v>4.4953021535623049E-2</v>
      </c>
      <c r="E72" s="104">
        <f>'Propylene Recycling HC'!E85*'Propylene Recycling HC'!E$43/'Propylene Recycling LC'!E$43</f>
        <v>5.3675191555628977E-2</v>
      </c>
      <c r="F72" s="104">
        <f>'Propylene Recycling HC'!F85*'Propylene Recycling HC'!F$43/'Propylene Recycling LC'!F$43</f>
        <v>6.2168478579213801E-2</v>
      </c>
      <c r="G72" s="104">
        <f>'Propylene Recycling HC'!G85*'Propylene Recycling HC'!G$43/'Propylene Recycling LC'!G$43</f>
        <v>7.0434213940831797E-2</v>
      </c>
      <c r="H72" s="104">
        <f>'Propylene Recycling HC'!H85*'Propylene Recycling HC'!H$43/'Propylene Recycling LC'!H$43</f>
        <v>7.8473728974937304E-2</v>
      </c>
      <c r="I72" s="104">
        <f>'Propylene Recycling HC'!I85*'Propylene Recycling HC'!I$43/'Propylene Recycling LC'!I$43</f>
        <v>8.6288355015984614E-2</v>
      </c>
      <c r="J72" s="104">
        <f>'Propylene Recycling HC'!J85*'Propylene Recycling HC'!J$43/'Propylene Recycling LC'!J$43</f>
        <v>9.3879423398428058E-2</v>
      </c>
      <c r="K72" s="104">
        <f>'Propylene Recycling HC'!K85*'Propylene Recycling HC'!K$43/'Propylene Recycling LC'!K$43</f>
        <v>0.10124826545672198</v>
      </c>
      <c r="L72" s="104">
        <f>'Propylene Recycling HC'!L85*'Propylene Recycling HC'!L$43/'Propylene Recycling LC'!L$43</f>
        <v>0.10839621252532063</v>
      </c>
      <c r="M72" s="104">
        <f>'Propylene Recycling HC'!M85*'Propylene Recycling HC'!M$43/'Propylene Recycling LC'!M$43</f>
        <v>0.11532459593867832</v>
      </c>
      <c r="N72" s="104">
        <f>'Propylene Recycling HC'!N85*'Propylene Recycling HC'!N$43/'Propylene Recycling LC'!N$43</f>
        <v>0.1295144944963631</v>
      </c>
      <c r="O72" s="104">
        <f>'Propylene Recycling HC'!O85*'Propylene Recycling HC'!O$43/'Propylene Recycling LC'!O$43</f>
        <v>0.14328538126247251</v>
      </c>
      <c r="P72" s="104">
        <f>'Propylene Recycling HC'!P85*'Propylene Recycling HC'!P$43/'Propylene Recycling LC'!P$43</f>
        <v>0.15637259920664273</v>
      </c>
      <c r="Q72" s="104">
        <f>'Propylene Recycling HC'!Q85*'Propylene Recycling HC'!Q$43/'Propylene Recycling LC'!Q$43</f>
        <v>0.16899976960733637</v>
      </c>
      <c r="R72" s="104">
        <f>'Propylene Recycling HC'!R85*'Propylene Recycling HC'!R$43/'Propylene Recycling LC'!R$43</f>
        <v>0.18117110097870909</v>
      </c>
      <c r="S72" s="104">
        <f>'Propylene Recycling HC'!S85*'Propylene Recycling HC'!S$43/'Propylene Recycling LC'!S$43</f>
        <v>0.19289081310445827</v>
      </c>
      <c r="T72" s="104">
        <f>'Propylene Recycling HC'!T85*'Propylene Recycling HC'!T$43/'Propylene Recycling LC'!T$43</f>
        <v>0.20416313672673625</v>
      </c>
      <c r="U72" s="104">
        <f>'Propylene Recycling HC'!U85*'Propylene Recycling HC'!U$43/'Propylene Recycling LC'!U$43</f>
        <v>0.21499231323554074</v>
      </c>
      <c r="V72" s="104">
        <f>'Propylene Recycling HC'!V85*'Propylene Recycling HC'!V$43/'Propylene Recycling LC'!V$43</f>
        <v>0.2253825943585705</v>
      </c>
      <c r="W72" s="104">
        <f>'Propylene Recycling HC'!W85*'Propylene Recycling HC'!W$43/'Propylene Recycling LC'!W$43</f>
        <v>0.23533824185153621</v>
      </c>
      <c r="X72" s="104">
        <f>'Propylene Recycling HC'!X85*'Propylene Recycling HC'!X$43/'Propylene Recycling LC'!X$43</f>
        <v>0.25523391823469543</v>
      </c>
      <c r="Y72" s="104">
        <f>'Propylene Recycling HC'!Y85*'Propylene Recycling HC'!Y$43/'Propylene Recycling LC'!Y$43</f>
        <v>0.27435571360324773</v>
      </c>
      <c r="Z72" s="104">
        <f>'Propylene Recycling HC'!Z85*'Propylene Recycling HC'!Z$43/'Propylene Recycling LC'!Z$43</f>
        <v>0.29104192162482195</v>
      </c>
      <c r="AA72" s="104">
        <f>'Propylene Recycling HC'!AA85*'Propylene Recycling HC'!AA$43/'Propylene Recycling LC'!AA$43</f>
        <v>0.3067462301734481</v>
      </c>
      <c r="AB72" s="104">
        <f>'Propylene Recycling HC'!AB85*'Propylene Recycling HC'!AB$43/'Propylene Recycling LC'!AB$43</f>
        <v>0.32148523373257865</v>
      </c>
      <c r="AC72" s="104">
        <f>'Propylene Recycling HC'!AC85*'Propylene Recycling HC'!AC$43/'Propylene Recycling LC'!AC$43</f>
        <v>0.33527564908923702</v>
      </c>
      <c r="AD72" s="104">
        <f>'Propylene Recycling HC'!AD85*'Propylene Recycling HC'!AD$43/'Propylene Recycling LC'!AD$43</f>
        <v>0.34813431255230082</v>
      </c>
      <c r="AE72" s="104">
        <f>'Propylene Recycling HC'!AE85*'Propylene Recycling HC'!AE$43/'Propylene Recycling LC'!AE$43</f>
        <v>0.36007817719955082</v>
      </c>
      <c r="AF72" s="104">
        <f>'Propylene Recycling HC'!AF85*'Propylene Recycling HC'!AF$43/'Propylene Recycling LC'!AF$43</f>
        <v>0.37112431015087943</v>
      </c>
      <c r="AG72" s="104">
        <f>'Propylene Recycling HC'!AG85*'Propylene Recycling HC'!AG$43/'Propylene Recycling LC'!AG$43</f>
        <v>8.9190617512289835E-2</v>
      </c>
      <c r="AI72" s="126" t="s">
        <v>492</v>
      </c>
      <c r="AJ72" s="198"/>
      <c r="AL72" s="102"/>
      <c r="AM72" s="2"/>
      <c r="AN72" s="2"/>
      <c r="AO72" s="2"/>
    </row>
    <row r="73" spans="1:63" outlineLevel="1">
      <c r="A73" t="s">
        <v>526</v>
      </c>
      <c r="B73" s="51" t="s">
        <v>126</v>
      </c>
      <c r="C73" s="104">
        <f>'Propylene Recycling HC'!C86*'Propylene Recycling HC'!C$43/'Propylene Recycling LC'!C$43</f>
        <v>1.8720331336065661E-2</v>
      </c>
      <c r="D73" s="104">
        <f>'Propylene Recycling HC'!D86*'Propylene Recycling HC'!D$43/'Propylene Recycling LC'!D$43</f>
        <v>2.3375571198523983E-2</v>
      </c>
      <c r="E73" s="104">
        <f>'Propylene Recycling HC'!E86*'Propylene Recycling HC'!E$43/'Propylene Recycling LC'!E$43</f>
        <v>2.791109960892707E-2</v>
      </c>
      <c r="F73" s="104">
        <f>'Propylene Recycling HC'!F86*'Propylene Recycling HC'!F$43/'Propylene Recycling LC'!F$43</f>
        <v>3.2327608861191175E-2</v>
      </c>
      <c r="G73" s="104">
        <f>'Propylene Recycling HC'!G86*'Propylene Recycling HC'!G$43/'Propylene Recycling LC'!G$43</f>
        <v>3.6625791249232535E-2</v>
      </c>
      <c r="H73" s="104">
        <f>'Propylene Recycling HC'!H86*'Propylene Recycling HC'!H$43/'Propylene Recycling LC'!H$43</f>
        <v>4.0806339066967401E-2</v>
      </c>
      <c r="I73" s="104">
        <f>'Propylene Recycling HC'!I86*'Propylene Recycling HC'!I$43/'Propylene Recycling LC'!I$43</f>
        <v>4.4869944608312E-2</v>
      </c>
      <c r="J73" s="104">
        <f>'Propylene Recycling HC'!J86*'Propylene Recycling HC'!J$43/'Propylene Recycling LC'!J$43</f>
        <v>4.8817300167182602E-2</v>
      </c>
      <c r="K73" s="104">
        <f>'Propylene Recycling HC'!K86*'Propylene Recycling HC'!K$43/'Propylene Recycling LC'!K$43</f>
        <v>5.2649098037495436E-2</v>
      </c>
      <c r="L73" s="104">
        <f>'Propylene Recycling HC'!L86*'Propylene Recycling HC'!L$43/'Propylene Recycling LC'!L$43</f>
        <v>5.6366030513166729E-2</v>
      </c>
      <c r="M73" s="104">
        <f>'Propylene Recycling HC'!M86*'Propylene Recycling HC'!M$43/'Propylene Recycling LC'!M$43</f>
        <v>5.9968789888112738E-2</v>
      </c>
      <c r="N73" s="104">
        <f>'Propylene Recycling HC'!N86*'Propylene Recycling HC'!N$43/'Propylene Recycling LC'!N$43</f>
        <v>6.7347537138108829E-2</v>
      </c>
      <c r="O73" s="104">
        <f>'Propylene Recycling HC'!O86*'Propylene Recycling HC'!O$43/'Propylene Recycling LC'!O$43</f>
        <v>7.4508398256485711E-2</v>
      </c>
      <c r="P73" s="104">
        <f>'Propylene Recycling HC'!P86*'Propylene Recycling HC'!P$43/'Propylene Recycling LC'!P$43</f>
        <v>8.1313751587454242E-2</v>
      </c>
      <c r="Q73" s="104">
        <f>'Propylene Recycling HC'!Q86*'Propylene Recycling HC'!Q$43/'Propylene Recycling LC'!Q$43</f>
        <v>8.7879880195814913E-2</v>
      </c>
      <c r="R73" s="104">
        <f>'Propylene Recycling HC'!R86*'Propylene Recycling HC'!R$43/'Propylene Recycling LC'!R$43</f>
        <v>9.4208972508928721E-2</v>
      </c>
      <c r="S73" s="104">
        <f>'Propylene Recycling HC'!S86*'Propylene Recycling HC'!S$43/'Propylene Recycling LC'!S$43</f>
        <v>0.1003032228143183</v>
      </c>
      <c r="T73" s="104">
        <f>'Propylene Recycling HC'!T86*'Propylene Recycling HC'!T$43/'Propylene Recycling LC'!T$43</f>
        <v>0.10616483109790285</v>
      </c>
      <c r="U73" s="104">
        <f>'Propylene Recycling HC'!U86*'Propylene Recycling HC'!U$43/'Propylene Recycling LC'!U$43</f>
        <v>0.11179600288248122</v>
      </c>
      <c r="V73" s="104">
        <f>'Propylene Recycling HC'!V86*'Propylene Recycling HC'!V$43/'Propylene Recycling LC'!V$43</f>
        <v>0.11719894906645666</v>
      </c>
      <c r="W73" s="104">
        <f>'Propylene Recycling HC'!W86*'Propylene Recycling HC'!W$43/'Propylene Recycling LC'!W$43</f>
        <v>0.12237588576279883</v>
      </c>
      <c r="X73" s="104">
        <f>'Propylene Recycling HC'!X86*'Propylene Recycling HC'!X$43/'Propylene Recycling LC'!X$43</f>
        <v>0.13272163748204163</v>
      </c>
      <c r="Y73" s="104">
        <f>'Propylene Recycling HC'!Y86*'Propylene Recycling HC'!Y$43/'Propylene Recycling LC'!Y$43</f>
        <v>0.14266497107368881</v>
      </c>
      <c r="Z73" s="104">
        <f>'Propylene Recycling HC'!Z86*'Propylene Recycling HC'!Z$43/'Propylene Recycling LC'!Z$43</f>
        <v>0.15134179924490743</v>
      </c>
      <c r="AA73" s="104">
        <f>'Propylene Recycling HC'!AA86*'Propylene Recycling HC'!AA$43/'Propylene Recycling LC'!AA$43</f>
        <v>0.15950803969019295</v>
      </c>
      <c r="AB73" s="104">
        <f>'Propylene Recycling HC'!AB86*'Propylene Recycling HC'!AB$43/'Propylene Recycling LC'!AB$43</f>
        <v>0.16717232154094086</v>
      </c>
      <c r="AC73" s="104">
        <f>'Propylene Recycling HC'!AC86*'Propylene Recycling HC'!AC$43/'Propylene Recycling LC'!AC$43</f>
        <v>0.17434333752640327</v>
      </c>
      <c r="AD73" s="104">
        <f>'Propylene Recycling HC'!AD86*'Propylene Recycling HC'!AD$43/'Propylene Recycling LC'!AD$43</f>
        <v>0.18102984252719645</v>
      </c>
      <c r="AE73" s="104">
        <f>'Propylene Recycling HC'!AE86*'Propylene Recycling HC'!AE$43/'Propylene Recycling LC'!AE$43</f>
        <v>0.18724065214376645</v>
      </c>
      <c r="AF73" s="104">
        <f>'Propylene Recycling HC'!AF86*'Propylene Recycling HC'!AF$43/'Propylene Recycling LC'!AF$43</f>
        <v>0.19298464127845733</v>
      </c>
      <c r="AG73" s="104">
        <f>'Propylene Recycling HC'!AG86*'Propylene Recycling HC'!AG$43/'Propylene Recycling LC'!AG$43</f>
        <v>4.6379121106390725E-2</v>
      </c>
      <c r="AI73" s="126" t="s">
        <v>492</v>
      </c>
      <c r="AJ73" s="198"/>
      <c r="AL73" s="102"/>
      <c r="AM73" s="2"/>
      <c r="AN73" s="2"/>
      <c r="AO73" s="2"/>
      <c r="BC73" s="1"/>
      <c r="BD73" s="2"/>
      <c r="BE73" s="2"/>
      <c r="BF73" s="2"/>
      <c r="BG73" s="2"/>
      <c r="BH73" s="2"/>
      <c r="BI73" s="2"/>
      <c r="BJ73" s="2"/>
      <c r="BK73" s="2"/>
    </row>
    <row r="74" spans="1:63" outlineLevel="1">
      <c r="A74" t="s">
        <v>527</v>
      </c>
      <c r="B74" s="51" t="s">
        <v>126</v>
      </c>
      <c r="C74" s="104">
        <f>'Propylene Recycling HC'!C87*'Propylene Recycling HC'!C$43/'Propylene Recycling LC'!C$43</f>
        <v>4.3200764621689992E-3</v>
      </c>
      <c r="D74" s="104">
        <f>'Propylene Recycling HC'!D87*'Propylene Recycling HC'!D$43/'Propylene Recycling LC'!D$43</f>
        <v>5.3943625842747655E-3</v>
      </c>
      <c r="E74" s="104">
        <f>'Propylene Recycling HC'!E87*'Propylene Recycling HC'!E$43/'Propylene Recycling LC'!E$43</f>
        <v>6.4410229866754768E-3</v>
      </c>
      <c r="F74" s="104">
        <f>'Propylene Recycling HC'!F87*'Propylene Recycling HC'!F$43/'Propylene Recycling LC'!F$43</f>
        <v>7.4602174295056558E-3</v>
      </c>
      <c r="G74" s="104">
        <f>'Propylene Recycling HC'!G87*'Propylene Recycling HC'!G$43/'Propylene Recycling LC'!G$43</f>
        <v>8.4521056728998154E-3</v>
      </c>
      <c r="H74" s="104">
        <f>'Propylene Recycling HC'!H87*'Propylene Recycling HC'!H$43/'Propylene Recycling LC'!H$43</f>
        <v>9.4168474769924775E-3</v>
      </c>
      <c r="I74" s="104">
        <f>'Propylene Recycling HC'!I87*'Propylene Recycling HC'!I$43/'Propylene Recycling LC'!I$43</f>
        <v>1.0354602601918152E-2</v>
      </c>
      <c r="J74" s="104">
        <f>'Propylene Recycling HC'!J87*'Propylene Recycling HC'!J$43/'Propylene Recycling LC'!J$43</f>
        <v>1.1265530807811367E-2</v>
      </c>
      <c r="K74" s="104">
        <f>'Propylene Recycling HC'!K87*'Propylene Recycling HC'!K$43/'Propylene Recycling LC'!K$43</f>
        <v>1.2149791854806637E-2</v>
      </c>
      <c r="L74" s="104">
        <f>'Propylene Recycling HC'!L87*'Propylene Recycling HC'!L$43/'Propylene Recycling LC'!L$43</f>
        <v>1.3007545503038478E-2</v>
      </c>
      <c r="M74" s="104">
        <f>'Propylene Recycling HC'!M87*'Propylene Recycling HC'!M$43/'Propylene Recycling LC'!M$43</f>
        <v>1.3838951512641398E-2</v>
      </c>
      <c r="N74" s="104">
        <f>'Propylene Recycling HC'!N87*'Propylene Recycling HC'!N$43/'Propylene Recycling LC'!N$43</f>
        <v>1.5541739339563572E-2</v>
      </c>
      <c r="O74" s="104">
        <f>'Propylene Recycling HC'!O87*'Propylene Recycling HC'!O$43/'Propylene Recycling LC'!O$43</f>
        <v>1.7194245751496699E-2</v>
      </c>
      <c r="P74" s="104">
        <f>'Propylene Recycling HC'!P87*'Propylene Recycling HC'!P$43/'Propylene Recycling LC'!P$43</f>
        <v>1.8764711904797126E-2</v>
      </c>
      <c r="Q74" s="104">
        <f>'Propylene Recycling HC'!Q87*'Propylene Recycling HC'!Q$43/'Propylene Recycling LC'!Q$43</f>
        <v>2.0279972352880361E-2</v>
      </c>
      <c r="R74" s="104">
        <f>'Propylene Recycling HC'!R87*'Propylene Recycling HC'!R$43/'Propylene Recycling LC'!R$43</f>
        <v>2.1740532117445092E-2</v>
      </c>
      <c r="S74" s="104">
        <f>'Propylene Recycling HC'!S87*'Propylene Recycling HC'!S$43/'Propylene Recycling LC'!S$43</f>
        <v>2.3146897572534991E-2</v>
      </c>
      <c r="T74" s="104">
        <f>'Propylene Recycling HC'!T87*'Propylene Recycling HC'!T$43/'Propylene Recycling LC'!T$43</f>
        <v>2.4499576407208349E-2</v>
      </c>
      <c r="U74" s="104">
        <f>'Propylene Recycling HC'!U87*'Propylene Recycling HC'!U$43/'Propylene Recycling LC'!U$43</f>
        <v>2.5799077588264892E-2</v>
      </c>
      <c r="V74" s="104">
        <f>'Propylene Recycling HC'!V87*'Propylene Recycling HC'!V$43/'Propylene Recycling LC'!V$43</f>
        <v>2.7045911323028457E-2</v>
      </c>
      <c r="W74" s="104">
        <f>'Propylene Recycling HC'!W87*'Propylene Recycling HC'!W$43/'Propylene Recycling LC'!W$43</f>
        <v>2.8240589022184341E-2</v>
      </c>
      <c r="X74" s="104">
        <f>'Propylene Recycling HC'!X87*'Propylene Recycling HC'!X$43/'Propylene Recycling LC'!X$43</f>
        <v>3.062807018816345E-2</v>
      </c>
      <c r="Y74" s="104">
        <f>'Propylene Recycling HC'!Y87*'Propylene Recycling HC'!Y$43/'Propylene Recycling LC'!Y$43</f>
        <v>3.2922685632389731E-2</v>
      </c>
      <c r="Z74" s="104">
        <f>'Propylene Recycling HC'!Z87*'Propylene Recycling HC'!Z$43/'Propylene Recycling LC'!Z$43</f>
        <v>3.4925030594978632E-2</v>
      </c>
      <c r="AA74" s="104">
        <f>'Propylene Recycling HC'!AA87*'Propylene Recycling HC'!AA$43/'Propylene Recycling LC'!AA$43</f>
        <v>3.6809547620813766E-2</v>
      </c>
      <c r="AB74" s="104">
        <f>'Propylene Recycling HC'!AB87*'Propylene Recycling HC'!AB$43/'Propylene Recycling LC'!AB$43</f>
        <v>3.8578228047909426E-2</v>
      </c>
      <c r="AC74" s="104">
        <f>'Propylene Recycling HC'!AC87*'Propylene Recycling HC'!AC$43/'Propylene Recycling LC'!AC$43</f>
        <v>4.0233077890708444E-2</v>
      </c>
      <c r="AD74" s="104">
        <f>'Propylene Recycling HC'!AD87*'Propylene Recycling HC'!AD$43/'Propylene Recycling LC'!AD$43</f>
        <v>4.1776117506276092E-2</v>
      </c>
      <c r="AE74" s="104">
        <f>'Propylene Recycling HC'!AE87*'Propylene Recycling HC'!AE$43/'Propylene Recycling LC'!AE$43</f>
        <v>4.3209381263946092E-2</v>
      </c>
      <c r="AF74" s="104">
        <f>'Propylene Recycling HC'!AF87*'Propylene Recycling HC'!AF$43/'Propylene Recycling LC'!AF$43</f>
        <v>4.4534917218105534E-2</v>
      </c>
      <c r="AG74" s="104">
        <f>'Propylene Recycling HC'!AG87*'Propylene Recycling HC'!AG$43/'Propylene Recycling LC'!AG$43</f>
        <v>1.0702874101474781E-2</v>
      </c>
      <c r="AI74" s="126" t="s">
        <v>492</v>
      </c>
      <c r="AJ74" s="198"/>
      <c r="AL74" s="102"/>
      <c r="AM74" s="2"/>
      <c r="AN74" s="2"/>
      <c r="AO74" s="2"/>
      <c r="BC74" s="1"/>
      <c r="BD74" s="2"/>
      <c r="BE74" s="2"/>
      <c r="BF74" s="2"/>
      <c r="BG74" s="2"/>
      <c r="BH74" s="2"/>
      <c r="BI74" s="2"/>
      <c r="BJ74" s="2"/>
      <c r="BK74" s="2"/>
    </row>
    <row r="75" spans="1:63" outlineLevel="1">
      <c r="A75" t="s">
        <v>525</v>
      </c>
      <c r="B75" s="51" t="s">
        <v>126</v>
      </c>
      <c r="C75" s="104">
        <f>'Propylene Recycling HC'!C88*'Propylene Recycling HC'!C$43/'Propylene Recycling LC'!C$43</f>
        <v>1.2960229386506997E-2</v>
      </c>
      <c r="D75" s="104">
        <f>'Propylene Recycling HC'!D88*'Propylene Recycling HC'!D$43/'Propylene Recycling LC'!D$43</f>
        <v>1.6183087752824295E-2</v>
      </c>
      <c r="E75" s="104">
        <f>'Propylene Recycling HC'!E88*'Propylene Recycling HC'!E$43/'Propylene Recycling LC'!E$43</f>
        <v>1.9323068960026432E-2</v>
      </c>
      <c r="F75" s="104">
        <f>'Propylene Recycling HC'!F88*'Propylene Recycling HC'!F$43/'Propylene Recycling LC'!F$43</f>
        <v>2.2380652288516968E-2</v>
      </c>
      <c r="G75" s="104">
        <f>'Propylene Recycling HC'!G88*'Propylene Recycling HC'!G$43/'Propylene Recycling LC'!G$43</f>
        <v>2.5356317018699448E-2</v>
      </c>
      <c r="H75" s="104">
        <f>'Propylene Recycling HC'!H88*'Propylene Recycling HC'!H$43/'Propylene Recycling LC'!H$43</f>
        <v>2.8250542430977427E-2</v>
      </c>
      <c r="I75" s="104">
        <f>'Propylene Recycling HC'!I88*'Propylene Recycling HC'!I$43/'Propylene Recycling LC'!I$43</f>
        <v>3.1063807805754455E-2</v>
      </c>
      <c r="J75" s="104">
        <f>'Propylene Recycling HC'!J88*'Propylene Recycling HC'!J$43/'Propylene Recycling LC'!J$43</f>
        <v>3.3796592423434108E-2</v>
      </c>
      <c r="K75" s="104">
        <f>'Propylene Recycling HC'!K88*'Propylene Recycling HC'!K$43/'Propylene Recycling LC'!K$43</f>
        <v>3.6449375564419913E-2</v>
      </c>
      <c r="L75" s="104">
        <f>'Propylene Recycling HC'!L88*'Propylene Recycling HC'!L$43/'Propylene Recycling LC'!L$43</f>
        <v>3.902263650911543E-2</v>
      </c>
      <c r="M75" s="104">
        <f>'Propylene Recycling HC'!M88*'Propylene Recycling HC'!M$43/'Propylene Recycling LC'!M$43</f>
        <v>4.1516854537924197E-2</v>
      </c>
      <c r="N75" s="104">
        <f>'Propylene Recycling HC'!N88*'Propylene Recycling HC'!N$43/'Propylene Recycling LC'!N$43</f>
        <v>4.6625218018690719E-2</v>
      </c>
      <c r="O75" s="104">
        <f>'Propylene Recycling HC'!O88*'Propylene Recycling HC'!O$43/'Propylene Recycling LC'!O$43</f>
        <v>5.1582737254490106E-2</v>
      </c>
      <c r="P75" s="104">
        <f>'Propylene Recycling HC'!P88*'Propylene Recycling HC'!P$43/'Propylene Recycling LC'!P$43</f>
        <v>5.6294135714391388E-2</v>
      </c>
      <c r="Q75" s="104">
        <f>'Propylene Recycling HC'!Q88*'Propylene Recycling HC'!Q$43/'Propylene Recycling LC'!Q$43</f>
        <v>6.0839917058641085E-2</v>
      </c>
      <c r="R75" s="104">
        <f>'Propylene Recycling HC'!R88*'Propylene Recycling HC'!R$43/'Propylene Recycling LC'!R$43</f>
        <v>6.5221596352335279E-2</v>
      </c>
      <c r="S75" s="104">
        <f>'Propylene Recycling HC'!S88*'Propylene Recycling HC'!S$43/'Propylene Recycling LC'!S$43</f>
        <v>6.9440692717604974E-2</v>
      </c>
      <c r="T75" s="104">
        <f>'Propylene Recycling HC'!T88*'Propylene Recycling HC'!T$43/'Propylene Recycling LC'!T$43</f>
        <v>7.349872922162505E-2</v>
      </c>
      <c r="U75" s="104">
        <f>'Propylene Recycling HC'!U88*'Propylene Recycling HC'!U$43/'Propylene Recycling LC'!U$43</f>
        <v>7.7397232764794682E-2</v>
      </c>
      <c r="V75" s="104">
        <f>'Propylene Recycling HC'!V88*'Propylene Recycling HC'!V$43/'Propylene Recycling LC'!V$43</f>
        <v>8.1137733969085371E-2</v>
      </c>
      <c r="W75" s="104">
        <f>'Propylene Recycling HC'!W88*'Propylene Recycling HC'!W$43/'Propylene Recycling LC'!W$43</f>
        <v>8.472176706655303E-2</v>
      </c>
      <c r="X75" s="104">
        <f>'Propylene Recycling HC'!X88*'Propylene Recycling HC'!X$43/'Propylene Recycling LC'!X$43</f>
        <v>9.1884210564490351E-2</v>
      </c>
      <c r="Y75" s="104">
        <f>'Propylene Recycling HC'!Y88*'Propylene Recycling HC'!Y$43/'Propylene Recycling LC'!Y$43</f>
        <v>9.8768056897169193E-2</v>
      </c>
      <c r="Z75" s="104">
        <f>'Propylene Recycling HC'!Z88*'Propylene Recycling HC'!Z$43/'Propylene Recycling LC'!Z$43</f>
        <v>0.10477509178493591</v>
      </c>
      <c r="AA75" s="104">
        <f>'Propylene Recycling HC'!AA88*'Propylene Recycling HC'!AA$43/'Propylene Recycling LC'!AA$43</f>
        <v>0.11042864286244129</v>
      </c>
      <c r="AB75" s="104">
        <f>'Propylene Recycling HC'!AB88*'Propylene Recycling HC'!AB$43/'Propylene Recycling LC'!AB$43</f>
        <v>0.1157346841437283</v>
      </c>
      <c r="AC75" s="104">
        <f>'Propylene Recycling HC'!AC88*'Propylene Recycling HC'!AC$43/'Propylene Recycling LC'!AC$43</f>
        <v>0.12069923367212533</v>
      </c>
      <c r="AD75" s="104">
        <f>'Propylene Recycling HC'!AD88*'Propylene Recycling HC'!AD$43/'Propylene Recycling LC'!AD$43</f>
        <v>0.12532835251882826</v>
      </c>
      <c r="AE75" s="104">
        <f>'Propylene Recycling HC'!AE88*'Propylene Recycling HC'!AE$43/'Propylene Recycling LC'!AE$43</f>
        <v>0.12962814379183826</v>
      </c>
      <c r="AF75" s="104">
        <f>'Propylene Recycling HC'!AF88*'Propylene Recycling HC'!AF$43/'Propylene Recycling LC'!AF$43</f>
        <v>0.13360475165431659</v>
      </c>
      <c r="AG75" s="104">
        <f>'Propylene Recycling HC'!AG88*'Propylene Recycling HC'!AG$43/'Propylene Recycling LC'!AG$43</f>
        <v>3.210862230442435E-2</v>
      </c>
      <c r="AI75" s="126" t="s">
        <v>492</v>
      </c>
      <c r="AJ75" s="198"/>
      <c r="AL75" s="102"/>
      <c r="AM75" s="2"/>
      <c r="AN75" s="2"/>
      <c r="AO75" s="2"/>
      <c r="BC75" s="1"/>
      <c r="BD75" s="2"/>
      <c r="BE75" s="2"/>
      <c r="BF75" s="2"/>
      <c r="BG75" s="2"/>
      <c r="BH75" s="2"/>
      <c r="BI75" s="2"/>
      <c r="BJ75" s="2"/>
      <c r="BK75" s="2"/>
    </row>
    <row r="76" spans="1:63" outlineLevel="1">
      <c r="C76" s="104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  <c r="AF76" s="22"/>
      <c r="AG76" s="22"/>
      <c r="AJ76" s="198"/>
      <c r="AM76" s="117"/>
      <c r="AN76" s="117"/>
    </row>
    <row r="77" spans="1:63" s="187" customFormat="1" ht="15.5" thickBot="1">
      <c r="A77" s="187" t="s">
        <v>447</v>
      </c>
      <c r="B77" s="202"/>
      <c r="C77" s="210">
        <f>'Propylene Recycling HC'!C90</f>
        <v>0.13</v>
      </c>
      <c r="D77" s="210">
        <f>'Propylene Recycling HC'!D90</f>
        <v>0.1358875810411028</v>
      </c>
      <c r="E77" s="210">
        <f>'Propylene Recycling HC'!E90</f>
        <v>0.14177516208220559</v>
      </c>
      <c r="F77" s="210">
        <f>'Propylene Recycling HC'!F90</f>
        <v>0.14766274312330838</v>
      </c>
      <c r="G77" s="210">
        <f>'Propylene Recycling HC'!G90</f>
        <v>0.15355032416441117</v>
      </c>
      <c r="H77" s="210">
        <f>'Propylene Recycling HC'!H90</f>
        <v>0.15943790520551393</v>
      </c>
      <c r="I77" s="210">
        <f>'Propylene Recycling HC'!I90</f>
        <v>0.16532548624661675</v>
      </c>
      <c r="J77" s="210">
        <f>'Propylene Recycling HC'!J90</f>
        <v>0.17121306728771951</v>
      </c>
      <c r="K77" s="210">
        <f>'Propylene Recycling HC'!K90</f>
        <v>0.1771006483288223</v>
      </c>
      <c r="L77" s="210">
        <f>'Propylene Recycling HC'!L90</f>
        <v>0.18298822936992509</v>
      </c>
      <c r="M77" s="210">
        <f>'Propylene Recycling HC'!M90</f>
        <v>0.18887581041102788</v>
      </c>
      <c r="N77" s="210">
        <f>'Propylene Recycling HC'!N90</f>
        <v>0.20009901177063008</v>
      </c>
      <c r="O77" s="210">
        <f>'Propylene Recycling HC'!O90</f>
        <v>0.21132221313023225</v>
      </c>
      <c r="P77" s="210">
        <f>'Propylene Recycling HC'!P90</f>
        <v>0.22254541448983445</v>
      </c>
      <c r="Q77" s="210">
        <f>'Propylene Recycling HC'!Q90</f>
        <v>0.23376861584943665</v>
      </c>
      <c r="R77" s="210">
        <f>'Propylene Recycling HC'!R90</f>
        <v>0.24499181720903884</v>
      </c>
      <c r="S77" s="210">
        <f>'Propylene Recycling HC'!S90</f>
        <v>0.25621501856864104</v>
      </c>
      <c r="T77" s="210">
        <f>'Propylene Recycling HC'!T90</f>
        <v>0.26743821992824324</v>
      </c>
      <c r="U77" s="210">
        <f>'Propylene Recycling HC'!U90</f>
        <v>0.27866142128784538</v>
      </c>
      <c r="V77" s="210">
        <f>'Propylene Recycling HC'!V90</f>
        <v>0.28988462264744758</v>
      </c>
      <c r="W77" s="210">
        <f>'Propylene Recycling HC'!W90</f>
        <v>0.30110782400704977</v>
      </c>
      <c r="X77" s="210">
        <f>'Propylene Recycling HC'!X90</f>
        <v>0.32099704160634479</v>
      </c>
      <c r="Y77" s="210">
        <f>'Propylene Recycling HC'!Y90</f>
        <v>0.34088625920563981</v>
      </c>
      <c r="Z77" s="210">
        <f>'Propylene Recycling HC'!Z90</f>
        <v>0.36077547680493482</v>
      </c>
      <c r="AA77" s="210">
        <f>'Propylene Recycling HC'!AA90</f>
        <v>0.3806646944042299</v>
      </c>
      <c r="AB77" s="210">
        <f>'Propylene Recycling HC'!AB90</f>
        <v>0.40055391200352486</v>
      </c>
      <c r="AC77" s="210">
        <f>'Propylene Recycling HC'!AC90</f>
        <v>0.42044312960281993</v>
      </c>
      <c r="AD77" s="210">
        <f>'Propylene Recycling HC'!AD90</f>
        <v>0.44033234720211495</v>
      </c>
      <c r="AE77" s="210">
        <f>'Propylene Recycling HC'!AE90</f>
        <v>0.46022156480140997</v>
      </c>
      <c r="AF77" s="210">
        <f>'Propylene Recycling HC'!AF90</f>
        <v>0.48011078240070498</v>
      </c>
      <c r="AG77" s="210">
        <f>'Propylene Recycling HC'!AG90</f>
        <v>0.5</v>
      </c>
      <c r="AJ77" s="217" t="s">
        <v>471</v>
      </c>
      <c r="AL77" s="204"/>
      <c r="AM77" s="211"/>
      <c r="AN77" s="211"/>
      <c r="AO77" s="211"/>
    </row>
    <row r="78" spans="1:63" ht="15.5" outlineLevel="1" thickTop="1">
      <c r="C78" s="104"/>
      <c r="D78" s="104"/>
      <c r="E78" s="104"/>
      <c r="F78" s="104"/>
      <c r="G78" s="104"/>
      <c r="H78" s="104"/>
      <c r="I78" s="104"/>
      <c r="J78" s="104"/>
      <c r="K78" s="104"/>
      <c r="L78" s="104"/>
      <c r="M78" s="104"/>
      <c r="N78" s="104"/>
      <c r="O78" s="104"/>
      <c r="P78" s="104"/>
      <c r="Q78" s="104"/>
      <c r="R78" s="104"/>
      <c r="S78" s="104"/>
      <c r="T78" s="104"/>
      <c r="U78" s="104"/>
      <c r="V78" s="104"/>
      <c r="W78" s="104"/>
      <c r="X78" s="104"/>
      <c r="Y78" s="104"/>
      <c r="Z78" s="104"/>
      <c r="AA78" s="104"/>
      <c r="AB78" s="104"/>
      <c r="AC78" s="104"/>
      <c r="AD78" s="104"/>
      <c r="AE78" s="104"/>
      <c r="AF78" s="104"/>
      <c r="AG78" s="104"/>
      <c r="AJ78" s="198"/>
    </row>
    <row r="79" spans="1:63" s="187" customFormat="1" ht="15.5" thickBot="1">
      <c r="A79" s="187" t="s">
        <v>461</v>
      </c>
      <c r="B79" s="202"/>
      <c r="C79" s="210">
        <f>C80</f>
        <v>1.6E-2</v>
      </c>
      <c r="D79" s="210">
        <f t="shared" ref="D79:AG79" si="27">D80</f>
        <v>2.3701592497010131E-2</v>
      </c>
      <c r="E79" s="210">
        <f t="shared" si="27"/>
        <v>3.1403184994020263E-2</v>
      </c>
      <c r="F79" s="210">
        <f t="shared" si="27"/>
        <v>3.9104777491030397E-2</v>
      </c>
      <c r="G79" s="210">
        <f t="shared" si="27"/>
        <v>4.6806369988040525E-2</v>
      </c>
      <c r="H79" s="210">
        <f t="shared" si="27"/>
        <v>5.4507962485050659E-2</v>
      </c>
      <c r="I79" s="210">
        <f t="shared" si="27"/>
        <v>6.2209554982060794E-2</v>
      </c>
      <c r="J79" s="210">
        <f t="shared" si="27"/>
        <v>6.9911147479070929E-2</v>
      </c>
      <c r="K79" s="210">
        <f t="shared" si="27"/>
        <v>7.7612739976081063E-2</v>
      </c>
      <c r="L79" s="210">
        <f t="shared" si="27"/>
        <v>8.5314332473091184E-2</v>
      </c>
      <c r="M79" s="210">
        <f t="shared" si="27"/>
        <v>9.3015924970101319E-2</v>
      </c>
      <c r="N79" s="210">
        <f t="shared" si="27"/>
        <v>0.10769708566752688</v>
      </c>
      <c r="O79" s="210">
        <f t="shared" si="27"/>
        <v>0.12237824636495245</v>
      </c>
      <c r="P79" s="210">
        <f t="shared" si="27"/>
        <v>0.13705940706237801</v>
      </c>
      <c r="Q79" s="210">
        <f t="shared" si="27"/>
        <v>0.15174056775980357</v>
      </c>
      <c r="R79" s="210">
        <f t="shared" si="27"/>
        <v>0.16642172845722913</v>
      </c>
      <c r="S79" s="210">
        <f t="shared" si="27"/>
        <v>0.18110288915465472</v>
      </c>
      <c r="T79" s="210">
        <f t="shared" si="27"/>
        <v>0.19578404985208028</v>
      </c>
      <c r="U79" s="210">
        <f t="shared" si="27"/>
        <v>0.21046521054950584</v>
      </c>
      <c r="V79" s="210">
        <f t="shared" si="27"/>
        <v>0.22514637124693143</v>
      </c>
      <c r="W79" s="210">
        <f t="shared" si="27"/>
        <v>0.23982753194435696</v>
      </c>
      <c r="X79" s="210">
        <f t="shared" si="27"/>
        <v>0.2658447787499213</v>
      </c>
      <c r="Y79" s="210">
        <f t="shared" si="27"/>
        <v>0.29186202555548557</v>
      </c>
      <c r="Z79" s="210">
        <f t="shared" si="27"/>
        <v>0.31787927236104985</v>
      </c>
      <c r="AA79" s="210">
        <f t="shared" si="27"/>
        <v>0.34389651916661418</v>
      </c>
      <c r="AB79" s="210">
        <f t="shared" si="27"/>
        <v>0.36991376597217851</v>
      </c>
      <c r="AC79" s="210">
        <f t="shared" si="27"/>
        <v>0.39593101277774279</v>
      </c>
      <c r="AD79" s="210">
        <f t="shared" si="27"/>
        <v>0.42194825958330706</v>
      </c>
      <c r="AE79" s="210">
        <f t="shared" si="27"/>
        <v>0.44796550638887139</v>
      </c>
      <c r="AF79" s="210">
        <f t="shared" si="27"/>
        <v>0.47398275319443572</v>
      </c>
      <c r="AG79" s="210">
        <f t="shared" si="27"/>
        <v>0.5</v>
      </c>
      <c r="AJ79" s="217" t="s">
        <v>504</v>
      </c>
      <c r="AL79" s="204"/>
      <c r="AM79" s="211"/>
      <c r="AN79" s="211"/>
      <c r="AO79" s="211"/>
    </row>
    <row r="80" spans="1:63" ht="15.5" outlineLevel="1" thickTop="1">
      <c r="A80" t="s">
        <v>469</v>
      </c>
      <c r="B80" s="51" t="s">
        <v>126</v>
      </c>
      <c r="C80" s="104">
        <f>'Propylene Recycling HC'!C105*'Propylene Recycling HC'!C$44/'Propylene Recycling LC'!C$44</f>
        <v>1.6E-2</v>
      </c>
      <c r="D80" s="104">
        <f>'Propylene Recycling HC'!D105*'Propylene Recycling HC'!D$44/'Propylene Recycling LC'!D$44</f>
        <v>2.3701592497010131E-2</v>
      </c>
      <c r="E80" s="104">
        <f>'Propylene Recycling HC'!E105*'Propylene Recycling HC'!E$44/'Propylene Recycling LC'!E$44</f>
        <v>3.1403184994020263E-2</v>
      </c>
      <c r="F80" s="104">
        <f>'Propylene Recycling HC'!F105*'Propylene Recycling HC'!F$44/'Propylene Recycling LC'!F$44</f>
        <v>3.9104777491030397E-2</v>
      </c>
      <c r="G80" s="104">
        <f>'Propylene Recycling HC'!G105*'Propylene Recycling HC'!G$44/'Propylene Recycling LC'!G$44</f>
        <v>4.6806369988040525E-2</v>
      </c>
      <c r="H80" s="104">
        <f>'Propylene Recycling HC'!H105*'Propylene Recycling HC'!H$44/'Propylene Recycling LC'!H$44</f>
        <v>5.4507962485050659E-2</v>
      </c>
      <c r="I80" s="104">
        <f>'Propylene Recycling HC'!I105*'Propylene Recycling HC'!I$44/'Propylene Recycling LC'!I$44</f>
        <v>6.2209554982060794E-2</v>
      </c>
      <c r="J80" s="104">
        <f>'Propylene Recycling HC'!J105*'Propylene Recycling HC'!J$44/'Propylene Recycling LC'!J$44</f>
        <v>6.9911147479070929E-2</v>
      </c>
      <c r="K80" s="104">
        <f>'Propylene Recycling HC'!K105*'Propylene Recycling HC'!K$44/'Propylene Recycling LC'!K$44</f>
        <v>7.7612739976081063E-2</v>
      </c>
      <c r="L80" s="104">
        <f>'Propylene Recycling HC'!L105*'Propylene Recycling HC'!L$44/'Propylene Recycling LC'!L$44</f>
        <v>8.5314332473091184E-2</v>
      </c>
      <c r="M80" s="104">
        <f>'Propylene Recycling HC'!M105*'Propylene Recycling HC'!M$44/'Propylene Recycling LC'!M$44</f>
        <v>9.3015924970101319E-2</v>
      </c>
      <c r="N80" s="104">
        <f>'Propylene Recycling HC'!N105*'Propylene Recycling HC'!N$44/'Propylene Recycling LC'!N$44</f>
        <v>0.10769708566752688</v>
      </c>
      <c r="O80" s="104">
        <f>'Propylene Recycling HC'!O105*'Propylene Recycling HC'!O$44/'Propylene Recycling LC'!O$44</f>
        <v>0.12237824636495245</v>
      </c>
      <c r="P80" s="104">
        <f>'Propylene Recycling HC'!P105*'Propylene Recycling HC'!P$44/'Propylene Recycling LC'!P$44</f>
        <v>0.13705940706237801</v>
      </c>
      <c r="Q80" s="104">
        <f>'Propylene Recycling HC'!Q105*'Propylene Recycling HC'!Q$44/'Propylene Recycling LC'!Q$44</f>
        <v>0.15174056775980357</v>
      </c>
      <c r="R80" s="104">
        <f>'Propylene Recycling HC'!R105*'Propylene Recycling HC'!R$44/'Propylene Recycling LC'!R$44</f>
        <v>0.16642172845722913</v>
      </c>
      <c r="S80" s="104">
        <f>'Propylene Recycling HC'!S105*'Propylene Recycling HC'!S$44/'Propylene Recycling LC'!S$44</f>
        <v>0.18110288915465472</v>
      </c>
      <c r="T80" s="104">
        <f>'Propylene Recycling HC'!T105*'Propylene Recycling HC'!T$44/'Propylene Recycling LC'!T$44</f>
        <v>0.19578404985208028</v>
      </c>
      <c r="U80" s="104">
        <f>'Propylene Recycling HC'!U105*'Propylene Recycling HC'!U$44/'Propylene Recycling LC'!U$44</f>
        <v>0.21046521054950584</v>
      </c>
      <c r="V80" s="104">
        <f>'Propylene Recycling HC'!V105*'Propylene Recycling HC'!V$44/'Propylene Recycling LC'!V$44</f>
        <v>0.22514637124693143</v>
      </c>
      <c r="W80" s="104">
        <f>'Propylene Recycling HC'!W105*'Propylene Recycling HC'!W$44/'Propylene Recycling LC'!W$44</f>
        <v>0.23982753194435696</v>
      </c>
      <c r="X80" s="104">
        <f>'Propylene Recycling HC'!X105*'Propylene Recycling HC'!X$44/'Propylene Recycling LC'!X$44</f>
        <v>0.2658447787499213</v>
      </c>
      <c r="Y80" s="104">
        <f>'Propylene Recycling HC'!Y105*'Propylene Recycling HC'!Y$44/'Propylene Recycling LC'!Y$44</f>
        <v>0.29186202555548557</v>
      </c>
      <c r="Z80" s="104">
        <f>'Propylene Recycling HC'!Z105*'Propylene Recycling HC'!Z$44/'Propylene Recycling LC'!Z$44</f>
        <v>0.31787927236104985</v>
      </c>
      <c r="AA80" s="104">
        <f>'Propylene Recycling HC'!AA105*'Propylene Recycling HC'!AA$44/'Propylene Recycling LC'!AA$44</f>
        <v>0.34389651916661418</v>
      </c>
      <c r="AB80" s="104">
        <f>'Propylene Recycling HC'!AB105*'Propylene Recycling HC'!AB$44/'Propylene Recycling LC'!AB$44</f>
        <v>0.36991376597217851</v>
      </c>
      <c r="AC80" s="104">
        <f>'Propylene Recycling HC'!AC105*'Propylene Recycling HC'!AC$44/'Propylene Recycling LC'!AC$44</f>
        <v>0.39593101277774279</v>
      </c>
      <c r="AD80" s="104">
        <f>'Propylene Recycling HC'!AD105*'Propylene Recycling HC'!AD$44/'Propylene Recycling LC'!AD$44</f>
        <v>0.42194825958330706</v>
      </c>
      <c r="AE80" s="104">
        <f>'Propylene Recycling HC'!AE105*'Propylene Recycling HC'!AE$44/'Propylene Recycling LC'!AE$44</f>
        <v>0.44796550638887139</v>
      </c>
      <c r="AF80" s="104">
        <f>'Propylene Recycling HC'!AF105*'Propylene Recycling HC'!AF$44/'Propylene Recycling LC'!AF$44</f>
        <v>0.47398275319443572</v>
      </c>
      <c r="AG80" s="104">
        <f>'Propylene Recycling HC'!AG105*'Propylene Recycling HC'!AG$44/'Propylene Recycling LC'!AG$44</f>
        <v>0.5</v>
      </c>
      <c r="AI80" s="126" t="s">
        <v>492</v>
      </c>
      <c r="AJ80" s="198" t="s">
        <v>462</v>
      </c>
    </row>
    <row r="81" spans="1:41" outlineLevel="1">
      <c r="C81" s="107"/>
      <c r="D81" s="107"/>
      <c r="E81" s="107"/>
      <c r="F81" s="107"/>
      <c r="G81" s="107"/>
      <c r="H81" s="107"/>
      <c r="I81" s="107"/>
      <c r="J81" s="107"/>
      <c r="K81" s="107"/>
      <c r="L81" s="107"/>
      <c r="M81" s="107"/>
      <c r="N81" s="107"/>
      <c r="O81" s="107"/>
      <c r="P81" s="107"/>
      <c r="Q81" s="107"/>
      <c r="R81" s="107"/>
      <c r="S81" s="107"/>
      <c r="T81" s="107"/>
      <c r="U81" s="107"/>
      <c r="V81" s="107"/>
      <c r="W81" s="107"/>
      <c r="X81" s="107"/>
      <c r="Y81" s="107"/>
      <c r="Z81" s="107"/>
      <c r="AA81" s="107"/>
      <c r="AB81" s="107"/>
      <c r="AC81" s="107"/>
      <c r="AD81" s="107"/>
      <c r="AE81" s="107"/>
      <c r="AF81" s="107"/>
      <c r="AG81" s="107"/>
      <c r="AJ81" s="198"/>
    </row>
    <row r="82" spans="1:41" outlineLevel="1">
      <c r="A82" t="s">
        <v>512</v>
      </c>
      <c r="B82" s="51" t="s">
        <v>126</v>
      </c>
      <c r="C82" s="104">
        <f>'Propylene Recycling HC'!C108*'Propylene Recycling HC'!C$44/'Propylene Recycling LC'!C$44</f>
        <v>1.4142249685332562E-2</v>
      </c>
      <c r="D82" s="104">
        <f>'Propylene Recycling HC'!D108*'Propylene Recycling HC'!D$44/'Propylene Recycling LC'!D$44</f>
        <v>2.09623422164706E-2</v>
      </c>
      <c r="E82" s="104">
        <f>'Propylene Recycling HC'!E108*'Propylene Recycling HC'!E$44/'Propylene Recycling LC'!E$44</f>
        <v>2.7790705947148404E-2</v>
      </c>
      <c r="F82" s="104">
        <f>'Propylene Recycling HC'!F108*'Propylene Recycling HC'!F$44/'Propylene Recycling LC'!F$44</f>
        <v>3.4627340877365985E-2</v>
      </c>
      <c r="G82" s="104">
        <f>'Propylene Recycling HC'!G108*'Propylene Recycling HC'!G$44/'Propylene Recycling LC'!G$44</f>
        <v>4.1472247007123327E-2</v>
      </c>
      <c r="H82" s="104">
        <f>'Propylene Recycling HC'!H108*'Propylene Recycling HC'!H$44/'Propylene Recycling LC'!H$44</f>
        <v>4.8325424336420432E-2</v>
      </c>
      <c r="I82" s="104">
        <f>'Propylene Recycling HC'!I108*'Propylene Recycling HC'!I$44/'Propylene Recycling LC'!I$44</f>
        <v>5.5186872865257322E-2</v>
      </c>
      <c r="J82" s="104">
        <f>'Propylene Recycling HC'!J108*'Propylene Recycling HC'!J$44/'Propylene Recycling LC'!J$44</f>
        <v>6.2056592593633976E-2</v>
      </c>
      <c r="K82" s="104">
        <f>'Propylene Recycling HC'!K108*'Propylene Recycling HC'!K$44/'Propylene Recycling LC'!K$44</f>
        <v>6.8934583521550394E-2</v>
      </c>
      <c r="L82" s="104">
        <f>'Propylene Recycling HC'!L108*'Propylene Recycling HC'!L$44/'Propylene Recycling LC'!L$44</f>
        <v>7.5820845649006582E-2</v>
      </c>
      <c r="M82" s="104">
        <f>'Propylene Recycling HC'!M108*'Propylene Recycling HC'!M$44/'Propylene Recycling LC'!M$44</f>
        <v>8.2715378976002535E-2</v>
      </c>
      <c r="N82" s="104">
        <f>'Propylene Recycling HC'!N108*'Propylene Recycling HC'!N$44/'Propylene Recycling LC'!N$44</f>
        <v>9.5828585024374441E-2</v>
      </c>
      <c r="O82" s="104">
        <f>'Propylene Recycling HC'!O108*'Propylene Recycling HC'!O$44/'Propylene Recycling LC'!O$44</f>
        <v>0.10895755804686905</v>
      </c>
      <c r="P82" s="104">
        <f>'Propylene Recycling HC'!P108*'Propylene Recycling HC'!P$44/'Propylene Recycling LC'!P$44</f>
        <v>0.12210229804348632</v>
      </c>
      <c r="Q82" s="104">
        <f>'Propylene Recycling HC'!Q108*'Propylene Recycling HC'!Q$44/'Propylene Recycling LC'!Q$44</f>
        <v>0.13526280501422627</v>
      </c>
      <c r="R82" s="104">
        <f>'Propylene Recycling HC'!R108*'Propylene Recycling HC'!R$44/'Propylene Recycling LC'!R$44</f>
        <v>0.14843907895908892</v>
      </c>
      <c r="S82" s="104">
        <f>'Propylene Recycling HC'!S108*'Propylene Recycling HC'!S$44/'Propylene Recycling LC'!S$44</f>
        <v>0.16163111987807427</v>
      </c>
      <c r="T82" s="104">
        <f>'Propylene Recycling HC'!T108*'Propylene Recycling HC'!T$44/'Propylene Recycling LC'!T$44</f>
        <v>0.17483892777118229</v>
      </c>
      <c r="U82" s="104">
        <f>'Propylene Recycling HC'!U108*'Propylene Recycling HC'!U$44/'Propylene Recycling LC'!U$44</f>
        <v>0.18806250263841298</v>
      </c>
      <c r="V82" s="104">
        <f>'Propylene Recycling HC'!V108*'Propylene Recycling HC'!V$44/'Propylene Recycling LC'!V$44</f>
        <v>0.2013018444797664</v>
      </c>
      <c r="W82" s="104">
        <f>'Propylene Recycling HC'!W108*'Propylene Recycling HC'!W$44/'Propylene Recycling LC'!W$44</f>
        <v>0.21455695329524244</v>
      </c>
      <c r="X82" s="104">
        <f>'Propylene Recycling HC'!X108*'Propylene Recycling HC'!X$44/'Propylene Recycling LC'!X$44</f>
        <v>0.23797552133663852</v>
      </c>
      <c r="Y82" s="104">
        <f>'Propylene Recycling HC'!Y108*'Propylene Recycling HC'!Y$44/'Propylene Recycling LC'!Y$44</f>
        <v>0.26142203085116333</v>
      </c>
      <c r="Z82" s="104">
        <f>'Propylene Recycling HC'!Z108*'Propylene Recycling HC'!Z$44/'Propylene Recycling LC'!Z$44</f>
        <v>0.284896481838817</v>
      </c>
      <c r="AA82" s="104">
        <f>'Propylene Recycling HC'!AA108*'Propylene Recycling HC'!AA$44/'Propylene Recycling LC'!AA$44</f>
        <v>0.3083988742995995</v>
      </c>
      <c r="AB82" s="104">
        <f>'Propylene Recycling HC'!AB108*'Propylene Recycling HC'!AB$44/'Propylene Recycling LC'!AB$44</f>
        <v>0.3319292082335108</v>
      </c>
      <c r="AC82" s="104">
        <f>'Propylene Recycling HC'!AC108*'Propylene Recycling HC'!AC$44/'Propylene Recycling LC'!AC$44</f>
        <v>0.35548748364055083</v>
      </c>
      <c r="AD82" s="104">
        <f>'Propylene Recycling HC'!AD108*'Propylene Recycling HC'!AD$44/'Propylene Recycling LC'!AD$44</f>
        <v>0.3790737005207197</v>
      </c>
      <c r="AE82" s="104">
        <f>'Propylene Recycling HC'!AE108*'Propylene Recycling HC'!AE$44/'Propylene Recycling LC'!AE$44</f>
        <v>0.40268785887401748</v>
      </c>
      <c r="AF82" s="104">
        <f>'Propylene Recycling HC'!AF108*'Propylene Recycling HC'!AF$44/'Propylene Recycling LC'!AF$44</f>
        <v>0.42632995870044399</v>
      </c>
      <c r="AG82" s="104">
        <f>'Propylene Recycling HC'!AG108*'Propylene Recycling HC'!AG$44/'Propylene Recycling LC'!AG$44</f>
        <v>0.45</v>
      </c>
      <c r="AI82" s="126" t="s">
        <v>492</v>
      </c>
      <c r="AJ82" s="198" t="s">
        <v>462</v>
      </c>
    </row>
    <row r="83" spans="1:41" outlineLevel="1">
      <c r="AJ83" s="198"/>
    </row>
    <row r="84" spans="1:41" s="187" customFormat="1" ht="15.5" thickBot="1">
      <c r="A84" s="187" t="s">
        <v>463</v>
      </c>
      <c r="B84" s="202"/>
      <c r="C84" s="210">
        <f>C85</f>
        <v>0.05</v>
      </c>
      <c r="D84" s="210">
        <f t="shared" ref="D84:AG84" si="28">D85</f>
        <v>5.2386857178825456E-2</v>
      </c>
      <c r="E84" s="210">
        <f t="shared" si="28"/>
        <v>5.477371435765091E-2</v>
      </c>
      <c r="F84" s="210">
        <f t="shared" si="28"/>
        <v>5.7160571536476364E-2</v>
      </c>
      <c r="G84" s="210">
        <f t="shared" si="28"/>
        <v>5.9547428715301824E-2</v>
      </c>
      <c r="H84" s="210">
        <f t="shared" si="28"/>
        <v>6.1934285894127278E-2</v>
      </c>
      <c r="I84" s="210">
        <f t="shared" si="28"/>
        <v>6.4108180524401773E-2</v>
      </c>
      <c r="J84" s="210">
        <f t="shared" si="28"/>
        <v>6.6264802343924623E-2</v>
      </c>
      <c r="K84" s="210">
        <f t="shared" si="28"/>
        <v>6.8403978642033819E-2</v>
      </c>
      <c r="L84" s="210">
        <f t="shared" si="28"/>
        <v>7.0525534397790995E-2</v>
      </c>
      <c r="M84" s="210">
        <f t="shared" si="28"/>
        <v>7.2629292241222332E-2</v>
      </c>
      <c r="N84" s="210">
        <f t="shared" si="28"/>
        <v>7.6834467416128427E-2</v>
      </c>
      <c r="O84" s="210">
        <f t="shared" si="28"/>
        <v>8.1006573558781728E-2</v>
      </c>
      <c r="P84" s="210">
        <f t="shared" si="28"/>
        <v>8.5145274408480326E-2</v>
      </c>
      <c r="Q84" s="210">
        <f t="shared" si="28"/>
        <v>8.9250229130018358E-2</v>
      </c>
      <c r="R84" s="210">
        <f t="shared" si="28"/>
        <v>9.3321092235630815E-2</v>
      </c>
      <c r="S84" s="210">
        <f t="shared" si="28"/>
        <v>9.73575135053346E-2</v>
      </c>
      <c r="T84" s="210">
        <f t="shared" si="28"/>
        <v>0.10135913790562759</v>
      </c>
      <c r="U84" s="210">
        <f t="shared" si="28"/>
        <v>0.10532560550650544</v>
      </c>
      <c r="V84" s="210">
        <f t="shared" si="28"/>
        <v>0.10925655139675584</v>
      </c>
      <c r="W84" s="210">
        <f t="shared" si="28"/>
        <v>0.11315160559748862</v>
      </c>
      <c r="X84" s="210">
        <f t="shared" si="28"/>
        <v>0.12032780286108478</v>
      </c>
      <c r="Y84" s="210">
        <f t="shared" si="28"/>
        <v>0.12744141797663822</v>
      </c>
      <c r="Z84" s="210">
        <f t="shared" si="28"/>
        <v>0.1344917922547319</v>
      </c>
      <c r="AA84" s="210">
        <f t="shared" si="28"/>
        <v>0.14147825772962283</v>
      </c>
      <c r="AB84" s="210">
        <f t="shared" si="28"/>
        <v>0.14840013699536703</v>
      </c>
      <c r="AC84" s="210">
        <f t="shared" si="28"/>
        <v>0.15523737513749419</v>
      </c>
      <c r="AD84" s="210">
        <f t="shared" si="28"/>
        <v>0.16200648747004365</v>
      </c>
      <c r="AE84" s="210">
        <f t="shared" si="28"/>
        <v>0.16870672179204366</v>
      </c>
      <c r="AF84" s="210">
        <f t="shared" si="28"/>
        <v>0.17533731478786227</v>
      </c>
      <c r="AG84" s="210">
        <f t="shared" si="28"/>
        <v>0.18189749182115594</v>
      </c>
      <c r="AJ84" s="217" t="s">
        <v>472</v>
      </c>
      <c r="AL84" s="204"/>
      <c r="AM84" s="211"/>
      <c r="AN84" s="211"/>
      <c r="AO84" s="211"/>
    </row>
    <row r="85" spans="1:41" ht="15.5" outlineLevel="2" thickTop="1">
      <c r="A85" t="s">
        <v>464</v>
      </c>
      <c r="B85" s="51" t="s">
        <v>126</v>
      </c>
      <c r="C85" s="104">
        <f>'Propylene Recycling HC'!C111*'Propylene Recycling HC'!C$46/'Propylene Recycling LC'!C$46</f>
        <v>0.05</v>
      </c>
      <c r="D85" s="104">
        <f>'Propylene Recycling HC'!D111*'Propylene Recycling HC'!D$46/'Propylene Recycling LC'!D$46</f>
        <v>5.2386857178825456E-2</v>
      </c>
      <c r="E85" s="104">
        <f>'Propylene Recycling HC'!E111*'Propylene Recycling HC'!E$46/'Propylene Recycling LC'!E$46</f>
        <v>5.477371435765091E-2</v>
      </c>
      <c r="F85" s="104">
        <f>'Propylene Recycling HC'!F111*'Propylene Recycling HC'!F$46/'Propylene Recycling LC'!F$46</f>
        <v>5.7160571536476364E-2</v>
      </c>
      <c r="G85" s="104">
        <f>'Propylene Recycling HC'!G111*'Propylene Recycling HC'!G$46/'Propylene Recycling LC'!G$46</f>
        <v>5.9547428715301824E-2</v>
      </c>
      <c r="H85" s="104">
        <f>'Propylene Recycling HC'!H111*'Propylene Recycling HC'!H$46/'Propylene Recycling LC'!H$46</f>
        <v>6.1934285894127278E-2</v>
      </c>
      <c r="I85" s="104">
        <f>'Propylene Recycling HC'!I111*'Propylene Recycling HC'!I$46/'Propylene Recycling LC'!I$46</f>
        <v>6.4108180524401773E-2</v>
      </c>
      <c r="J85" s="104">
        <f>'Propylene Recycling HC'!J111*'Propylene Recycling HC'!J$46/'Propylene Recycling LC'!J$46</f>
        <v>6.6264802343924623E-2</v>
      </c>
      <c r="K85" s="104">
        <f>'Propylene Recycling HC'!K111*'Propylene Recycling HC'!K$46/'Propylene Recycling LC'!K$46</f>
        <v>6.8403978642033819E-2</v>
      </c>
      <c r="L85" s="104">
        <f>'Propylene Recycling HC'!L111*'Propylene Recycling HC'!L$46/'Propylene Recycling LC'!L$46</f>
        <v>7.0525534397790995E-2</v>
      </c>
      <c r="M85" s="104">
        <f>'Propylene Recycling HC'!M111*'Propylene Recycling HC'!M$46/'Propylene Recycling LC'!M$46</f>
        <v>7.2629292241222332E-2</v>
      </c>
      <c r="N85" s="104">
        <f>'Propylene Recycling HC'!N111*'Propylene Recycling HC'!N$46/'Propylene Recycling LC'!N$46</f>
        <v>7.6834467416128427E-2</v>
      </c>
      <c r="O85" s="104">
        <f>'Propylene Recycling HC'!O111*'Propylene Recycling HC'!O$46/'Propylene Recycling LC'!O$46</f>
        <v>8.1006573558781728E-2</v>
      </c>
      <c r="P85" s="104">
        <f>'Propylene Recycling HC'!P111*'Propylene Recycling HC'!P$46/'Propylene Recycling LC'!P$46</f>
        <v>8.5145274408480326E-2</v>
      </c>
      <c r="Q85" s="104">
        <f>'Propylene Recycling HC'!Q111*'Propylene Recycling HC'!Q$46/'Propylene Recycling LC'!Q$46</f>
        <v>8.9250229130018358E-2</v>
      </c>
      <c r="R85" s="104">
        <f>'Propylene Recycling HC'!R111*'Propylene Recycling HC'!R$46/'Propylene Recycling LC'!R$46</f>
        <v>9.3321092235630815E-2</v>
      </c>
      <c r="S85" s="104">
        <f>'Propylene Recycling HC'!S111*'Propylene Recycling HC'!S$46/'Propylene Recycling LC'!S$46</f>
        <v>9.73575135053346E-2</v>
      </c>
      <c r="T85" s="104">
        <f>'Propylene Recycling HC'!T111*'Propylene Recycling HC'!T$46/'Propylene Recycling LC'!T$46</f>
        <v>0.10135913790562759</v>
      </c>
      <c r="U85" s="104">
        <f>'Propylene Recycling HC'!U111*'Propylene Recycling HC'!U$46/'Propylene Recycling LC'!U$46</f>
        <v>0.10532560550650544</v>
      </c>
      <c r="V85" s="104">
        <f>'Propylene Recycling HC'!V111*'Propylene Recycling HC'!V$46/'Propylene Recycling LC'!V$46</f>
        <v>0.10925655139675584</v>
      </c>
      <c r="W85" s="104">
        <f>'Propylene Recycling HC'!W111*'Propylene Recycling HC'!W$46/'Propylene Recycling LC'!W$46</f>
        <v>0.11315160559748862</v>
      </c>
      <c r="X85" s="104">
        <f>'Propylene Recycling HC'!X111*'Propylene Recycling HC'!X$46/'Propylene Recycling LC'!X$46</f>
        <v>0.12032780286108478</v>
      </c>
      <c r="Y85" s="104">
        <f>'Propylene Recycling HC'!Y111*'Propylene Recycling HC'!Y$46/'Propylene Recycling LC'!Y$46</f>
        <v>0.12744141797663822</v>
      </c>
      <c r="Z85" s="104">
        <f>'Propylene Recycling HC'!Z111*'Propylene Recycling HC'!Z$46/'Propylene Recycling LC'!Z$46</f>
        <v>0.1344917922547319</v>
      </c>
      <c r="AA85" s="104">
        <f>'Propylene Recycling HC'!AA111*'Propylene Recycling HC'!AA$46/'Propylene Recycling LC'!AA$46</f>
        <v>0.14147825772962283</v>
      </c>
      <c r="AB85" s="104">
        <f>'Propylene Recycling HC'!AB111*'Propylene Recycling HC'!AB$46/'Propylene Recycling LC'!AB$46</f>
        <v>0.14840013699536703</v>
      </c>
      <c r="AC85" s="104">
        <f>'Propylene Recycling HC'!AC111*'Propylene Recycling HC'!AC$46/'Propylene Recycling LC'!AC$46</f>
        <v>0.15523737513749419</v>
      </c>
      <c r="AD85" s="104">
        <f>'Propylene Recycling HC'!AD111*'Propylene Recycling HC'!AD$46/'Propylene Recycling LC'!AD$46</f>
        <v>0.16200648747004365</v>
      </c>
      <c r="AE85" s="104">
        <f>'Propylene Recycling HC'!AE111*'Propylene Recycling HC'!AE$46/'Propylene Recycling LC'!AE$46</f>
        <v>0.16870672179204366</v>
      </c>
      <c r="AF85" s="104">
        <f>'Propylene Recycling HC'!AF111*'Propylene Recycling HC'!AF$46/'Propylene Recycling LC'!AF$46</f>
        <v>0.17533731478786227</v>
      </c>
      <c r="AG85" s="104">
        <f>'Propylene Recycling HC'!AG111*'Propylene Recycling HC'!AG$46/'Propylene Recycling LC'!AG$46</f>
        <v>0.18189749182115594</v>
      </c>
      <c r="AI85" s="126" t="s">
        <v>492</v>
      </c>
      <c r="AJ85" s="198" t="s">
        <v>465</v>
      </c>
    </row>
    <row r="86" spans="1:41" outlineLevel="2">
      <c r="C86" s="107"/>
      <c r="D86" s="104"/>
      <c r="E86" s="104"/>
      <c r="F86" s="104"/>
      <c r="G86" s="104"/>
      <c r="H86" s="104"/>
      <c r="I86" s="104"/>
      <c r="J86" s="104"/>
      <c r="K86" s="104"/>
      <c r="L86" s="104"/>
      <c r="M86" s="115"/>
      <c r="N86" s="115"/>
      <c r="O86" s="115"/>
      <c r="P86" s="115"/>
      <c r="Q86" s="115"/>
      <c r="R86" s="115"/>
      <c r="S86" s="115"/>
      <c r="T86" s="115"/>
      <c r="U86" s="115"/>
      <c r="V86" s="115"/>
      <c r="W86" s="115"/>
      <c r="X86" s="22"/>
      <c r="Y86" s="22"/>
      <c r="Z86" s="22"/>
      <c r="AA86" s="22"/>
      <c r="AB86" s="22"/>
      <c r="AC86" s="22"/>
      <c r="AD86" s="22"/>
      <c r="AE86" s="22"/>
      <c r="AF86" s="22"/>
      <c r="AG86" s="100"/>
      <c r="AJ86" s="198"/>
    </row>
    <row r="87" spans="1:41" outlineLevel="2">
      <c r="C87" s="107"/>
      <c r="D87" s="104"/>
      <c r="E87" s="104"/>
      <c r="F87" s="104"/>
      <c r="G87" s="104"/>
      <c r="H87" s="104"/>
      <c r="I87" s="104"/>
      <c r="J87" s="104"/>
      <c r="K87" s="104"/>
      <c r="L87" s="104"/>
      <c r="M87" s="115"/>
      <c r="N87" s="115"/>
      <c r="O87" s="115"/>
      <c r="P87" s="115"/>
      <c r="Q87" s="115"/>
      <c r="R87" s="115"/>
      <c r="S87" s="115"/>
      <c r="T87" s="115"/>
      <c r="U87" s="115"/>
      <c r="V87" s="115"/>
      <c r="W87" s="115"/>
      <c r="X87" s="22"/>
      <c r="Y87" s="22"/>
      <c r="Z87" s="22"/>
      <c r="AA87" s="22"/>
      <c r="AB87" s="22"/>
      <c r="AC87" s="22"/>
      <c r="AD87" s="22"/>
      <c r="AE87" s="22"/>
      <c r="AF87" s="22"/>
      <c r="AG87" s="100"/>
      <c r="AJ87" s="198"/>
    </row>
    <row r="88" spans="1:41" s="187" customFormat="1" ht="15.5" thickBot="1">
      <c r="A88" s="213" t="s">
        <v>513</v>
      </c>
      <c r="B88" s="214"/>
      <c r="C88" s="215">
        <f>(C42*C58+C43*C62+C44*C82+C46*C84)/C47</f>
        <v>5.5509281105375653E-2</v>
      </c>
      <c r="D88" s="215">
        <f t="shared" ref="D88:AG88" si="29">(D42*D58+D43*D62+D44*D82+D46*D84)/D47</f>
        <v>5.9429644885255199E-2</v>
      </c>
      <c r="E88" s="215">
        <f t="shared" si="29"/>
        <v>6.3413438038425626E-2</v>
      </c>
      <c r="F88" s="215">
        <f t="shared" si="29"/>
        <v>6.7459958062207045E-2</v>
      </c>
      <c r="G88" s="215">
        <f t="shared" si="29"/>
        <v>7.1568496751799035E-2</v>
      </c>
      <c r="H88" s="215">
        <f t="shared" si="29"/>
        <v>7.5738340142308666E-2</v>
      </c>
      <c r="I88" s="215">
        <f t="shared" si="29"/>
        <v>7.9904273303348608E-2</v>
      </c>
      <c r="J88" s="215">
        <f t="shared" si="29"/>
        <v>8.4128344709327132E-2</v>
      </c>
      <c r="K88" s="215">
        <f t="shared" si="29"/>
        <v>8.8410041902591413E-2</v>
      </c>
      <c r="L88" s="215">
        <f t="shared" si="29"/>
        <v>9.2748845456960938E-2</v>
      </c>
      <c r="M88" s="215">
        <f t="shared" si="29"/>
        <v>9.7144228858873666E-2</v>
      </c>
      <c r="N88" s="215">
        <f t="shared" si="29"/>
        <v>0.10507784622639595</v>
      </c>
      <c r="O88" s="215">
        <f t="shared" si="29"/>
        <v>0.11313196444508287</v>
      </c>
      <c r="P88" s="215">
        <f t="shared" si="29"/>
        <v>0.12125169951600194</v>
      </c>
      <c r="Q88" s="215">
        <f t="shared" si="29"/>
        <v>0.1294675887418133</v>
      </c>
      <c r="R88" s="215">
        <f t="shared" si="29"/>
        <v>0.13777701945405979</v>
      </c>
      <c r="S88" s="215">
        <f t="shared" si="29"/>
        <v>0.14617732612934137</v>
      </c>
      <c r="T88" s="215">
        <f t="shared" si="29"/>
        <v>0.15466578902781131</v>
      </c>
      <c r="U88" s="215">
        <f t="shared" si="29"/>
        <v>0.16323963278945527</v>
      </c>
      <c r="V88" s="215">
        <f t="shared" si="29"/>
        <v>0.17189602498661818</v>
      </c>
      <c r="W88" s="215">
        <f t="shared" si="29"/>
        <v>0.18063207463117958</v>
      </c>
      <c r="X88" s="215">
        <f t="shared" si="29"/>
        <v>0.19464968005669764</v>
      </c>
      <c r="Y88" s="215">
        <f t="shared" si="29"/>
        <v>0.20902277417393986</v>
      </c>
      <c r="Z88" s="215">
        <f t="shared" si="29"/>
        <v>0.22335915692196309</v>
      </c>
      <c r="AA88" s="215">
        <f t="shared" si="29"/>
        <v>0.23779414178148345</v>
      </c>
      <c r="AB88" s="215">
        <f t="shared" si="29"/>
        <v>0.25232232784130049</v>
      </c>
      <c r="AC88" s="215">
        <f t="shared" si="29"/>
        <v>0.26693517307249065</v>
      </c>
      <c r="AD88" s="215">
        <f t="shared" si="29"/>
        <v>0.28162994102036681</v>
      </c>
      <c r="AE88" s="215">
        <f t="shared" si="29"/>
        <v>0.29640091692845649</v>
      </c>
      <c r="AF88" s="215">
        <f t="shared" si="29"/>
        <v>0.31124227149521216</v>
      </c>
      <c r="AG88" s="215">
        <f t="shared" si="29"/>
        <v>0.32614805735374941</v>
      </c>
      <c r="AJ88" s="217"/>
      <c r="AL88" s="204"/>
      <c r="AM88" s="211"/>
      <c r="AN88" s="211"/>
      <c r="AO88" s="211"/>
    </row>
    <row r="89" spans="1:41" s="187" customFormat="1" ht="16.25" thickTop="1" thickBot="1">
      <c r="A89" s="213" t="s">
        <v>467</v>
      </c>
      <c r="B89" s="214"/>
      <c r="C89" s="215">
        <f>(C11*C49+C62*C12+C77*C14+C79*C13+C84*C15)/C16</f>
        <v>0.10391498889855581</v>
      </c>
      <c r="D89" s="215">
        <f t="shared" ref="D89:AF89" si="30">(D11*D49+D62*D12+D77*D14+D79*D13+D84*D15)/D16</f>
        <v>0.10915894591321786</v>
      </c>
      <c r="E89" s="215">
        <f t="shared" si="30"/>
        <v>0.11439534043992167</v>
      </c>
      <c r="F89" s="215">
        <f t="shared" si="30"/>
        <v>0.11962407981094075</v>
      </c>
      <c r="G89" s="215">
        <f t="shared" si="30"/>
        <v>0.12484506983832123</v>
      </c>
      <c r="H89" s="215">
        <f t="shared" si="30"/>
        <v>0.13005821478257876</v>
      </c>
      <c r="I89" s="215">
        <f t="shared" si="30"/>
        <v>0.13520292711009863</v>
      </c>
      <c r="J89" s="215">
        <f t="shared" si="30"/>
        <v>0.14033469189603123</v>
      </c>
      <c r="K89" s="215">
        <f t="shared" si="30"/>
        <v>0.14545335949360172</v>
      </c>
      <c r="L89" s="215">
        <f t="shared" si="30"/>
        <v>0.15055877791508276</v>
      </c>
      <c r="M89" s="215">
        <f t="shared" si="30"/>
        <v>0.15565079278536628</v>
      </c>
      <c r="N89" s="215">
        <f t="shared" si="30"/>
        <v>0.16609295837624133</v>
      </c>
      <c r="O89" s="215">
        <f t="shared" si="30"/>
        <v>0.17650616667103017</v>
      </c>
      <c r="P89" s="215">
        <f t="shared" si="30"/>
        <v>0.18685197128681236</v>
      </c>
      <c r="Q89" s="215">
        <f t="shared" si="30"/>
        <v>0.19715321240572384</v>
      </c>
      <c r="R89" s="215">
        <f t="shared" si="30"/>
        <v>0.20740905603302379</v>
      </c>
      <c r="S89" s="215">
        <f t="shared" si="30"/>
        <v>0.21761864593071525</v>
      </c>
      <c r="T89" s="215">
        <f t="shared" si="30"/>
        <v>0.22778110282351779</v>
      </c>
      <c r="U89" s="215">
        <f t="shared" si="30"/>
        <v>0.23789552357001151</v>
      </c>
      <c r="V89" s="215">
        <f t="shared" si="30"/>
        <v>0.24796098029713931</v>
      </c>
      <c r="W89" s="215">
        <f t="shared" si="30"/>
        <v>0.25797651949614875</v>
      </c>
      <c r="X89" s="215">
        <f t="shared" si="30"/>
        <v>0.27519435111262541</v>
      </c>
      <c r="Y89" s="215">
        <f t="shared" si="30"/>
        <v>0.2924962157319998</v>
      </c>
      <c r="Z89" s="215">
        <f t="shared" si="30"/>
        <v>0.30963483610380121</v>
      </c>
      <c r="AA89" s="215">
        <f t="shared" si="30"/>
        <v>0.32667436189947474</v>
      </c>
      <c r="AB89" s="215">
        <f t="shared" si="30"/>
        <v>0.34361292370721341</v>
      </c>
      <c r="AC89" s="215">
        <f t="shared" si="30"/>
        <v>0.3604431023052676</v>
      </c>
      <c r="AD89" s="215">
        <f t="shared" si="30"/>
        <v>0.37716781834834112</v>
      </c>
      <c r="AE89" s="215">
        <f t="shared" si="30"/>
        <v>0.39378503833329315</v>
      </c>
      <c r="AF89" s="215">
        <f t="shared" si="30"/>
        <v>0.41029267416674897</v>
      </c>
      <c r="AG89" s="215">
        <f>(AG11*AG49+AG62*AG12+AG77*AG14+AG79*AG13+AG84*AG15)/AG16</f>
        <v>0.42668858104633672</v>
      </c>
      <c r="AJ89" s="212"/>
      <c r="AL89" s="204"/>
      <c r="AM89" s="211"/>
      <c r="AN89" s="211"/>
      <c r="AO89" s="211"/>
    </row>
    <row r="90" spans="1:41" ht="15.5" thickTop="1">
      <c r="B90" s="123"/>
      <c r="C90" s="107"/>
      <c r="D90" s="22"/>
      <c r="E90" s="22"/>
      <c r="F90" s="22"/>
      <c r="G90" s="22"/>
      <c r="H90" s="22"/>
      <c r="I90" s="22"/>
      <c r="J90" s="22"/>
      <c r="K90" s="22"/>
      <c r="L90" s="22"/>
      <c r="M90" s="120"/>
      <c r="N90" s="104"/>
      <c r="O90" s="104"/>
      <c r="P90" s="104"/>
      <c r="Q90" s="104"/>
      <c r="R90" s="104"/>
      <c r="S90" s="104"/>
      <c r="T90" s="104"/>
      <c r="U90" s="104"/>
      <c r="V90" s="104"/>
      <c r="W90" s="120"/>
      <c r="X90" s="104"/>
      <c r="Y90" s="104"/>
      <c r="Z90" s="104"/>
      <c r="AA90" s="104"/>
      <c r="AB90" s="104"/>
      <c r="AC90" s="104"/>
      <c r="AD90" s="104"/>
      <c r="AE90" s="104"/>
      <c r="AF90" s="104"/>
      <c r="AG90" s="107"/>
    </row>
    <row r="91" spans="1:41" ht="15.5" thickBot="1">
      <c r="A91" s="187" t="s">
        <v>480</v>
      </c>
      <c r="B91" s="221"/>
      <c r="C91" s="222"/>
      <c r="D91" s="208"/>
      <c r="E91" s="208"/>
      <c r="F91" s="208"/>
      <c r="G91" s="208"/>
      <c r="H91" s="208"/>
      <c r="I91" s="208"/>
      <c r="J91" s="208"/>
      <c r="K91" s="208"/>
      <c r="L91" s="208"/>
      <c r="M91" s="223"/>
      <c r="N91" s="104"/>
      <c r="O91" s="104"/>
      <c r="P91" s="104"/>
      <c r="Q91" s="104"/>
      <c r="R91" s="104"/>
      <c r="S91" s="104"/>
      <c r="T91" s="104"/>
      <c r="U91" s="104"/>
      <c r="V91" s="104"/>
      <c r="W91" s="120"/>
      <c r="X91" s="104"/>
      <c r="Y91" s="104"/>
      <c r="Z91" s="104"/>
      <c r="AA91" s="104"/>
      <c r="AB91" s="104"/>
      <c r="AC91" s="104"/>
      <c r="AD91" s="104"/>
      <c r="AE91" s="104"/>
      <c r="AF91" s="104"/>
      <c r="AG91" s="104" t="s">
        <v>483</v>
      </c>
    </row>
    <row r="92" spans="1:41" ht="15.5" hidden="1" thickTop="1">
      <c r="A92" s="169" t="s">
        <v>474</v>
      </c>
      <c r="B92" s="123"/>
      <c r="C92" s="220" t="e">
        <f>C54*C11+C66*C12+#REF!*C14+C80*C13</f>
        <v>#REF!</v>
      </c>
      <c r="D92" s="219"/>
      <c r="E92" s="219"/>
      <c r="F92" s="219"/>
      <c r="G92" s="219"/>
      <c r="H92" s="219"/>
      <c r="I92" s="219"/>
      <c r="J92" s="219"/>
      <c r="K92" s="219"/>
      <c r="L92" s="219"/>
      <c r="M92" s="121" t="e">
        <f>C92/$C$97</f>
        <v>#REF!</v>
      </c>
      <c r="N92" s="104"/>
      <c r="O92" s="104"/>
      <c r="P92" s="104"/>
      <c r="Q92" s="104"/>
      <c r="R92" s="104"/>
      <c r="S92" s="104"/>
      <c r="T92" s="104"/>
      <c r="U92" s="104"/>
      <c r="V92" s="104"/>
      <c r="W92" s="100"/>
      <c r="X92" s="104"/>
      <c r="Y92" s="104"/>
      <c r="Z92" s="104"/>
      <c r="AA92" s="104"/>
      <c r="AB92" s="104"/>
      <c r="AC92" s="104"/>
      <c r="AD92" s="104"/>
      <c r="AE92" s="104"/>
      <c r="AF92" s="104"/>
      <c r="AG92" s="53">
        <v>0.46</v>
      </c>
    </row>
    <row r="93" spans="1:41" ht="15.5" hidden="1" thickTop="1">
      <c r="A93" t="s">
        <v>475</v>
      </c>
      <c r="C93" s="220">
        <f>C50*C11+C67*C12</f>
        <v>132192.51195271895</v>
      </c>
      <c r="D93" s="220"/>
      <c r="E93" s="220"/>
      <c r="F93" s="220"/>
      <c r="G93" s="220"/>
      <c r="H93" s="220"/>
      <c r="I93" s="220"/>
      <c r="J93" s="220"/>
      <c r="K93" s="220"/>
      <c r="L93" s="220"/>
      <c r="M93" s="121" t="e">
        <f t="shared" ref="M93:M96" si="31">C93/$C$97</f>
        <v>#REF!</v>
      </c>
      <c r="AG93" s="53">
        <v>0.24</v>
      </c>
    </row>
    <row r="94" spans="1:41" ht="15.5" hidden="1" thickTop="1">
      <c r="A94" t="s">
        <v>476</v>
      </c>
      <c r="C94" s="220" t="e">
        <f>#REF!*C14+C53*C11+C84*C15+C68*C12</f>
        <v>#REF!</v>
      </c>
      <c r="D94" s="220"/>
      <c r="E94" s="220"/>
      <c r="F94" s="220"/>
      <c r="G94" s="220"/>
      <c r="H94" s="220"/>
      <c r="I94" s="220"/>
      <c r="J94" s="220"/>
      <c r="K94" s="220"/>
      <c r="L94" s="220"/>
      <c r="M94" s="121" t="e">
        <f t="shared" si="31"/>
        <v>#REF!</v>
      </c>
      <c r="AG94" s="53">
        <v>0.26</v>
      </c>
    </row>
    <row r="95" spans="1:41" ht="15.5" hidden="1" thickTop="1">
      <c r="A95" t="s">
        <v>477</v>
      </c>
      <c r="C95" s="220" t="e">
        <f>#REF!*C14+#REF!*C11</f>
        <v>#REF!</v>
      </c>
      <c r="D95" s="220"/>
      <c r="E95" s="220"/>
      <c r="F95" s="220"/>
      <c r="G95" s="220"/>
      <c r="H95" s="220"/>
      <c r="I95" s="220"/>
      <c r="J95" s="220"/>
      <c r="K95" s="220"/>
      <c r="L95" s="220"/>
      <c r="M95" s="121" t="e">
        <f t="shared" si="31"/>
        <v>#REF!</v>
      </c>
      <c r="AG95" s="53">
        <v>0.01</v>
      </c>
    </row>
    <row r="96" spans="1:41" ht="15.5" hidden="1" thickTop="1">
      <c r="A96" t="s">
        <v>478</v>
      </c>
      <c r="B96"/>
      <c r="C96" s="220">
        <f>C64*C12</f>
        <v>528.0572629793586</v>
      </c>
      <c r="D96" s="220"/>
      <c r="E96" s="220"/>
      <c r="F96" s="220"/>
      <c r="G96" s="220"/>
      <c r="H96" s="220"/>
      <c r="I96" s="220"/>
      <c r="J96" s="220"/>
      <c r="K96" s="220"/>
      <c r="L96" s="220"/>
      <c r="M96" s="121" t="e">
        <f t="shared" si="31"/>
        <v>#REF!</v>
      </c>
      <c r="AG96" s="53">
        <v>0.03</v>
      </c>
    </row>
    <row r="97" spans="1:36" ht="15.5" hidden="1" thickTop="1">
      <c r="A97" t="s">
        <v>479</v>
      </c>
      <c r="B97" s="48"/>
      <c r="C97" s="219" t="e">
        <f>SUM(C92:C96)</f>
        <v>#REF!</v>
      </c>
      <c r="D97" s="220"/>
      <c r="E97" s="220"/>
      <c r="F97" s="220"/>
      <c r="G97" s="220"/>
      <c r="H97" s="220"/>
      <c r="I97" s="220"/>
      <c r="J97" s="220"/>
      <c r="K97" s="220"/>
      <c r="L97" s="220"/>
      <c r="M97" s="220"/>
    </row>
    <row r="98" spans="1:36" ht="15.5" hidden="1" thickTop="1">
      <c r="B98" s="169" t="s">
        <v>482</v>
      </c>
      <c r="C98" s="220">
        <f>C89*C16</f>
        <v>551389.03233775031</v>
      </c>
      <c r="D98" s="220"/>
      <c r="E98" s="220"/>
      <c r="F98" s="220"/>
      <c r="G98" s="220"/>
      <c r="H98" s="220"/>
      <c r="I98" s="220"/>
      <c r="J98" s="220"/>
      <c r="K98" s="220"/>
      <c r="L98" s="220"/>
      <c r="M98" s="220"/>
      <c r="AG98" s="101" t="s">
        <v>481</v>
      </c>
    </row>
    <row r="99" spans="1:36" ht="15.5" thickTop="1">
      <c r="B99" s="48"/>
    </row>
    <row r="100" spans="1:36">
      <c r="A100" t="s">
        <v>680</v>
      </c>
      <c r="B100" s="123"/>
      <c r="C100" s="216">
        <f>(C42*C58+C43*C70+C44*C82+C46*C85)</f>
        <v>67918.5806815088</v>
      </c>
      <c r="D100" s="216">
        <f t="shared" ref="D100:AG100" si="32">(D42*D58+D43*D70+D44*D82+D46*D85)</f>
        <v>72818.578477682415</v>
      </c>
      <c r="E100" s="216">
        <f t="shared" si="32"/>
        <v>77752.767952490132</v>
      </c>
      <c r="F100" s="216">
        <f t="shared" si="32"/>
        <v>82719.856292281416</v>
      </c>
      <c r="G100" s="216">
        <f t="shared" si="32"/>
        <v>87718.550683405731</v>
      </c>
      <c r="H100" s="216">
        <f t="shared" si="32"/>
        <v>92747.55831221251</v>
      </c>
      <c r="I100" s="216">
        <f t="shared" si="32"/>
        <v>97604.510131046758</v>
      </c>
      <c r="J100" s="216">
        <f t="shared" si="32"/>
        <v>102474.26631015533</v>
      </c>
      <c r="K100" s="216">
        <f t="shared" si="32"/>
        <v>107355.53403588767</v>
      </c>
      <c r="L100" s="216">
        <f t="shared" si="32"/>
        <v>112247.02049459322</v>
      </c>
      <c r="M100" s="216">
        <f t="shared" si="32"/>
        <v>117147.43287262144</v>
      </c>
      <c r="N100" s="216">
        <f t="shared" si="32"/>
        <v>126197.51320965122</v>
      </c>
      <c r="O100" s="216">
        <f t="shared" si="32"/>
        <v>135289.6838198849</v>
      </c>
      <c r="P100" s="216">
        <f t="shared" si="32"/>
        <v>144240.55044385139</v>
      </c>
      <c r="Q100" s="216">
        <f t="shared" si="32"/>
        <v>153162.85359715685</v>
      </c>
      <c r="R100" s="216">
        <f t="shared" si="32"/>
        <v>162052.39001833557</v>
      </c>
      <c r="S100" s="216">
        <f t="shared" si="32"/>
        <v>170904.95893173851</v>
      </c>
      <c r="T100" s="216">
        <f t="shared" si="32"/>
        <v>179716.36201191178</v>
      </c>
      <c r="U100" s="216">
        <f t="shared" si="32"/>
        <v>188482.40334797456</v>
      </c>
      <c r="V100" s="216">
        <f t="shared" si="32"/>
        <v>197198.88940799792</v>
      </c>
      <c r="W100" s="216">
        <f t="shared" si="32"/>
        <v>205861.62900338287</v>
      </c>
      <c r="X100" s="216">
        <f t="shared" si="32"/>
        <v>219970.52828083758</v>
      </c>
      <c r="Y100" s="216">
        <f t="shared" si="32"/>
        <v>234687.84134961336</v>
      </c>
      <c r="Z100" s="216">
        <f t="shared" si="32"/>
        <v>249015.3338723937</v>
      </c>
      <c r="AA100" s="216">
        <f t="shared" si="32"/>
        <v>263204.26600889681</v>
      </c>
      <c r="AB100" s="216">
        <f t="shared" si="32"/>
        <v>277249.53402787622</v>
      </c>
      <c r="AC100" s="216">
        <f t="shared" si="32"/>
        <v>291130.1734939501</v>
      </c>
      <c r="AD100" s="216">
        <f t="shared" si="32"/>
        <v>304855.50286064099</v>
      </c>
      <c r="AE100" s="216">
        <f t="shared" si="32"/>
        <v>318420.50470918452</v>
      </c>
      <c r="AF100" s="216">
        <f t="shared" si="32"/>
        <v>331820.18755092903</v>
      </c>
      <c r="AG100" s="216">
        <f t="shared" si="32"/>
        <v>345049.58440697828</v>
      </c>
      <c r="AI100" s="22">
        <f>(AG100/C100)^(1/30)-1</f>
        <v>5.5673849380306617E-2</v>
      </c>
    </row>
    <row r="101" spans="1:36">
      <c r="A101" t="s">
        <v>675</v>
      </c>
      <c r="B101" s="123"/>
      <c r="C101" s="216">
        <f>C100</f>
        <v>67918.5806815088</v>
      </c>
      <c r="D101" s="216">
        <f>C101*(1+$AI$101)</f>
        <v>69052.820978889999</v>
      </c>
      <c r="E101" s="216">
        <f t="shared" ref="E101:AG101" si="33">D101*(1+$AI$101)</f>
        <v>70206.003089237463</v>
      </c>
      <c r="F101" s="216">
        <f t="shared" si="33"/>
        <v>71378.443340827725</v>
      </c>
      <c r="G101" s="216">
        <f t="shared" si="33"/>
        <v>72570.463344619551</v>
      </c>
      <c r="H101" s="216">
        <f t="shared" si="33"/>
        <v>73782.390082474696</v>
      </c>
      <c r="I101" s="216">
        <f t="shared" si="33"/>
        <v>75014.555996852025</v>
      </c>
      <c r="J101" s="216">
        <f t="shared" si="33"/>
        <v>76267.299081999445</v>
      </c>
      <c r="K101" s="216">
        <f t="shared" si="33"/>
        <v>77540.96297666883</v>
      </c>
      <c r="L101" s="216">
        <f t="shared" si="33"/>
        <v>78835.897058379196</v>
      </c>
      <c r="M101" s="216">
        <f t="shared" si="33"/>
        <v>80152.456539254126</v>
      </c>
      <c r="N101" s="216">
        <f t="shared" si="33"/>
        <v>81491.002563459668</v>
      </c>
      <c r="O101" s="216">
        <f t="shared" si="33"/>
        <v>82851.902306269432</v>
      </c>
      <c r="P101" s="216">
        <f t="shared" si="33"/>
        <v>84235.529074784121</v>
      </c>
      <c r="Q101" s="216">
        <f t="shared" si="33"/>
        <v>85642.262410333016</v>
      </c>
      <c r="R101" s="216">
        <f t="shared" si="33"/>
        <v>87072.488192585573</v>
      </c>
      <c r="S101" s="216">
        <f t="shared" si="33"/>
        <v>88526.598745401745</v>
      </c>
      <c r="T101" s="216">
        <f t="shared" si="33"/>
        <v>90004.992944449943</v>
      </c>
      <c r="U101" s="216">
        <f t="shared" si="33"/>
        <v>91508.076326622249</v>
      </c>
      <c r="V101" s="216">
        <f t="shared" si="33"/>
        <v>93036.261201276837</v>
      </c>
      <c r="W101" s="216">
        <f t="shared" si="33"/>
        <v>94589.966763338161</v>
      </c>
      <c r="X101" s="216">
        <f t="shared" si="33"/>
        <v>96169.619208285905</v>
      </c>
      <c r="Y101" s="216">
        <f t="shared" si="33"/>
        <v>97775.651849064277</v>
      </c>
      <c r="Z101" s="216">
        <f t="shared" si="33"/>
        <v>99408.505234943645</v>
      </c>
      <c r="AA101" s="216">
        <f t="shared" si="33"/>
        <v>101068.6272723672</v>
      </c>
      <c r="AB101" s="216">
        <f t="shared" si="33"/>
        <v>102756.47334781573</v>
      </c>
      <c r="AC101" s="216">
        <f t="shared" si="33"/>
        <v>104472.50645272425</v>
      </c>
      <c r="AD101" s="216">
        <f t="shared" si="33"/>
        <v>106217.19731048474</v>
      </c>
      <c r="AE101" s="216">
        <f t="shared" si="33"/>
        <v>107991.02450556983</v>
      </c>
      <c r="AF101" s="216">
        <f t="shared" si="33"/>
        <v>109794.47461481285</v>
      </c>
      <c r="AG101" s="216">
        <f t="shared" si="33"/>
        <v>111628.04234088022</v>
      </c>
      <c r="AI101" s="201">
        <v>1.67E-2</v>
      </c>
      <c r="AJ101" s="3" t="s">
        <v>676</v>
      </c>
    </row>
    <row r="103" spans="1:36" s="55" customFormat="1">
      <c r="A103" s="55" t="s">
        <v>703</v>
      </c>
      <c r="B103" s="282"/>
      <c r="C103" s="283"/>
      <c r="D103" s="283"/>
      <c r="E103" s="283"/>
      <c r="F103" s="283"/>
      <c r="G103" s="283"/>
      <c r="H103" s="283"/>
      <c r="I103" s="283"/>
      <c r="J103" s="283"/>
      <c r="K103" s="283"/>
      <c r="L103" s="283"/>
      <c r="M103" s="283"/>
      <c r="N103" s="283"/>
      <c r="O103" s="283"/>
      <c r="P103" s="283"/>
      <c r="Q103" s="283"/>
      <c r="R103" s="283"/>
      <c r="S103" s="283"/>
      <c r="T103" s="283"/>
      <c r="U103" s="283"/>
      <c r="V103" s="283"/>
      <c r="W103" s="283"/>
      <c r="X103" s="283"/>
      <c r="Y103" s="283"/>
      <c r="Z103" s="283"/>
      <c r="AA103" s="283"/>
      <c r="AB103" s="283"/>
      <c r="AC103" s="283"/>
      <c r="AD103" s="283"/>
      <c r="AE103" s="283"/>
      <c r="AF103" s="283"/>
      <c r="AG103" s="283"/>
      <c r="AI103" s="284"/>
      <c r="AJ103" s="285"/>
    </row>
    <row r="104" spans="1:36" s="178" customFormat="1" outlineLevel="1">
      <c r="A104" s="321" t="s">
        <v>706</v>
      </c>
      <c r="B104" s="297" t="s">
        <v>126</v>
      </c>
      <c r="C104" s="678">
        <v>0.84</v>
      </c>
      <c r="D104" s="298">
        <f>-($C104-$AG104)/30+C104</f>
        <v>0.83566666666666667</v>
      </c>
      <c r="E104" s="298">
        <f t="shared" ref="E104:AF110" si="34">-($C104-$AG104)/30+D104</f>
        <v>0.83133333333333337</v>
      </c>
      <c r="F104" s="298">
        <f t="shared" si="34"/>
        <v>0.82700000000000007</v>
      </c>
      <c r="G104" s="298">
        <f t="shared" si="34"/>
        <v>0.82266666666666677</v>
      </c>
      <c r="H104" s="298">
        <f t="shared" si="34"/>
        <v>0.81833333333333347</v>
      </c>
      <c r="I104" s="298">
        <f t="shared" si="34"/>
        <v>0.81400000000000017</v>
      </c>
      <c r="J104" s="298">
        <f t="shared" si="34"/>
        <v>0.80966666666666687</v>
      </c>
      <c r="K104" s="298">
        <f t="shared" si="34"/>
        <v>0.80533333333333357</v>
      </c>
      <c r="L104" s="298">
        <f t="shared" si="34"/>
        <v>0.80100000000000027</v>
      </c>
      <c r="M104" s="298">
        <f t="shared" si="34"/>
        <v>0.79666666666666697</v>
      </c>
      <c r="N104" s="298">
        <f t="shared" si="34"/>
        <v>0.79233333333333367</v>
      </c>
      <c r="O104" s="298">
        <f t="shared" si="34"/>
        <v>0.78800000000000037</v>
      </c>
      <c r="P104" s="298">
        <f t="shared" si="34"/>
        <v>0.78366666666666707</v>
      </c>
      <c r="Q104" s="298">
        <f t="shared" si="34"/>
        <v>0.77933333333333377</v>
      </c>
      <c r="R104" s="298">
        <f t="shared" si="34"/>
        <v>0.77500000000000047</v>
      </c>
      <c r="S104" s="298">
        <f t="shared" si="34"/>
        <v>0.77066666666666717</v>
      </c>
      <c r="T104" s="298">
        <f t="shared" si="34"/>
        <v>0.76633333333333387</v>
      </c>
      <c r="U104" s="298">
        <f t="shared" si="34"/>
        <v>0.76200000000000057</v>
      </c>
      <c r="V104" s="298">
        <f t="shared" si="34"/>
        <v>0.75766666666666727</v>
      </c>
      <c r="W104" s="298">
        <f t="shared" si="34"/>
        <v>0.75333333333333397</v>
      </c>
      <c r="X104" s="298">
        <f t="shared" si="34"/>
        <v>0.74900000000000067</v>
      </c>
      <c r="Y104" s="298">
        <f t="shared" si="34"/>
        <v>0.74466666666666737</v>
      </c>
      <c r="Z104" s="298">
        <f t="shared" si="34"/>
        <v>0.74033333333333406</v>
      </c>
      <c r="AA104" s="298">
        <f t="shared" si="34"/>
        <v>0.73600000000000076</v>
      </c>
      <c r="AB104" s="298">
        <f t="shared" si="34"/>
        <v>0.73166666666666746</v>
      </c>
      <c r="AC104" s="298">
        <f t="shared" si="34"/>
        <v>0.72733333333333416</v>
      </c>
      <c r="AD104" s="298">
        <f t="shared" si="34"/>
        <v>0.72300000000000086</v>
      </c>
      <c r="AE104" s="298">
        <f t="shared" si="34"/>
        <v>0.71866666666666756</v>
      </c>
      <c r="AF104" s="298">
        <f t="shared" si="34"/>
        <v>0.71433333333333426</v>
      </c>
      <c r="AG104" s="678">
        <v>0.71</v>
      </c>
      <c r="AI104" s="299"/>
      <c r="AJ104" t="s">
        <v>1614</v>
      </c>
    </row>
    <row r="105" spans="1:36" outlineLevel="1">
      <c r="A105" s="3" t="s">
        <v>698</v>
      </c>
      <c r="B105" s="281" t="s">
        <v>126</v>
      </c>
      <c r="C105" s="275">
        <v>0.16</v>
      </c>
      <c r="D105" s="296">
        <f t="shared" ref="D105:S110" si="35">-($C105-$AG105)/30+C105</f>
        <v>0.16206666666666666</v>
      </c>
      <c r="E105" s="296">
        <f t="shared" si="35"/>
        <v>0.16413333333333333</v>
      </c>
      <c r="F105" s="296">
        <f t="shared" si="35"/>
        <v>0.16619999999999999</v>
      </c>
      <c r="G105" s="296">
        <f t="shared" si="35"/>
        <v>0.16826666666666665</v>
      </c>
      <c r="H105" s="296">
        <f t="shared" si="35"/>
        <v>0.17033333333333331</v>
      </c>
      <c r="I105" s="296">
        <f t="shared" si="35"/>
        <v>0.17239999999999997</v>
      </c>
      <c r="J105" s="296">
        <f t="shared" si="35"/>
        <v>0.17446666666666663</v>
      </c>
      <c r="K105" s="296">
        <f t="shared" si="35"/>
        <v>0.17653333333333329</v>
      </c>
      <c r="L105" s="296">
        <f t="shared" si="35"/>
        <v>0.17859999999999995</v>
      </c>
      <c r="M105" s="296">
        <f t="shared" si="35"/>
        <v>0.18066666666666661</v>
      </c>
      <c r="N105" s="296">
        <f t="shared" si="35"/>
        <v>0.18273333333333328</v>
      </c>
      <c r="O105" s="296">
        <f t="shared" si="35"/>
        <v>0.18479999999999994</v>
      </c>
      <c r="P105" s="296">
        <f t="shared" si="35"/>
        <v>0.1868666666666666</v>
      </c>
      <c r="Q105" s="296">
        <f t="shared" si="35"/>
        <v>0.18893333333333326</v>
      </c>
      <c r="R105" s="296">
        <f t="shared" si="35"/>
        <v>0.19099999999999992</v>
      </c>
      <c r="S105" s="296">
        <f t="shared" si="35"/>
        <v>0.19306666666666658</v>
      </c>
      <c r="T105" s="296">
        <f t="shared" si="34"/>
        <v>0.19513333333333324</v>
      </c>
      <c r="U105" s="296">
        <f t="shared" si="34"/>
        <v>0.1971999999999999</v>
      </c>
      <c r="V105" s="296">
        <f t="shared" si="34"/>
        <v>0.19926666666666656</v>
      </c>
      <c r="W105" s="296">
        <f t="shared" si="34"/>
        <v>0.20133333333333323</v>
      </c>
      <c r="X105" s="296">
        <f t="shared" si="34"/>
        <v>0.20339999999999989</v>
      </c>
      <c r="Y105" s="296">
        <f t="shared" si="34"/>
        <v>0.20546666666666655</v>
      </c>
      <c r="Z105" s="296">
        <f t="shared" si="34"/>
        <v>0.20753333333333321</v>
      </c>
      <c r="AA105" s="296">
        <f t="shared" si="34"/>
        <v>0.20959999999999987</v>
      </c>
      <c r="AB105" s="296">
        <f t="shared" si="34"/>
        <v>0.21166666666666653</v>
      </c>
      <c r="AC105" s="296">
        <f t="shared" si="34"/>
        <v>0.21373333333333319</v>
      </c>
      <c r="AD105" s="296">
        <f t="shared" si="34"/>
        <v>0.21579999999999985</v>
      </c>
      <c r="AE105" s="296">
        <f t="shared" si="34"/>
        <v>0.21786666666666651</v>
      </c>
      <c r="AF105" s="296">
        <f t="shared" si="34"/>
        <v>0.21993333333333318</v>
      </c>
      <c r="AG105" s="275">
        <v>0.222</v>
      </c>
      <c r="AI105" s="201"/>
      <c r="AJ105" t="s">
        <v>1614</v>
      </c>
    </row>
    <row r="106" spans="1:36" outlineLevel="1">
      <c r="A106" s="3" t="s">
        <v>697</v>
      </c>
      <c r="B106" s="281" t="s">
        <v>126</v>
      </c>
      <c r="C106" s="275">
        <v>0.37</v>
      </c>
      <c r="D106" s="296">
        <f t="shared" si="35"/>
        <v>0.36270000000000002</v>
      </c>
      <c r="E106" s="296">
        <f t="shared" si="35"/>
        <v>0.35540000000000005</v>
      </c>
      <c r="F106" s="296">
        <f t="shared" si="35"/>
        <v>0.34810000000000008</v>
      </c>
      <c r="G106" s="296">
        <f t="shared" si="35"/>
        <v>0.3408000000000001</v>
      </c>
      <c r="H106" s="296">
        <f t="shared" si="35"/>
        <v>0.33350000000000013</v>
      </c>
      <c r="I106" s="296">
        <f t="shared" si="35"/>
        <v>0.32620000000000016</v>
      </c>
      <c r="J106" s="296">
        <f t="shared" si="35"/>
        <v>0.31890000000000018</v>
      </c>
      <c r="K106" s="296">
        <f t="shared" si="35"/>
        <v>0.31160000000000021</v>
      </c>
      <c r="L106" s="296">
        <f t="shared" si="35"/>
        <v>0.30430000000000024</v>
      </c>
      <c r="M106" s="296">
        <f t="shared" si="35"/>
        <v>0.29700000000000026</v>
      </c>
      <c r="N106" s="296">
        <f t="shared" si="35"/>
        <v>0.28970000000000029</v>
      </c>
      <c r="O106" s="296">
        <f t="shared" si="35"/>
        <v>0.28240000000000032</v>
      </c>
      <c r="P106" s="296">
        <f t="shared" si="35"/>
        <v>0.27510000000000034</v>
      </c>
      <c r="Q106" s="296">
        <f t="shared" si="35"/>
        <v>0.26780000000000037</v>
      </c>
      <c r="R106" s="296">
        <f t="shared" si="35"/>
        <v>0.2605000000000004</v>
      </c>
      <c r="S106" s="296">
        <f t="shared" si="35"/>
        <v>0.25320000000000042</v>
      </c>
      <c r="T106" s="296">
        <f t="shared" si="34"/>
        <v>0.24590000000000042</v>
      </c>
      <c r="U106" s="296">
        <f t="shared" si="34"/>
        <v>0.23860000000000042</v>
      </c>
      <c r="V106" s="296">
        <f t="shared" si="34"/>
        <v>0.23130000000000042</v>
      </c>
      <c r="W106" s="296">
        <f t="shared" si="34"/>
        <v>0.22400000000000042</v>
      </c>
      <c r="X106" s="296">
        <f t="shared" si="34"/>
        <v>0.21670000000000042</v>
      </c>
      <c r="Y106" s="296">
        <f t="shared" si="34"/>
        <v>0.20940000000000042</v>
      </c>
      <c r="Z106" s="296">
        <f t="shared" si="34"/>
        <v>0.20210000000000042</v>
      </c>
      <c r="AA106" s="296">
        <f t="shared" si="34"/>
        <v>0.19480000000000042</v>
      </c>
      <c r="AB106" s="296">
        <f t="shared" si="34"/>
        <v>0.18750000000000042</v>
      </c>
      <c r="AC106" s="296">
        <f t="shared" si="34"/>
        <v>0.18020000000000042</v>
      </c>
      <c r="AD106" s="296">
        <f t="shared" si="34"/>
        <v>0.17290000000000041</v>
      </c>
      <c r="AE106" s="296">
        <f t="shared" si="34"/>
        <v>0.16560000000000041</v>
      </c>
      <c r="AF106" s="296">
        <f t="shared" si="34"/>
        <v>0.15830000000000041</v>
      </c>
      <c r="AG106" s="275">
        <v>0.151</v>
      </c>
      <c r="AI106" s="201"/>
      <c r="AJ106" t="s">
        <v>1614</v>
      </c>
    </row>
    <row r="107" spans="1:36" outlineLevel="1">
      <c r="A107" s="3" t="s">
        <v>699</v>
      </c>
      <c r="B107" s="281" t="s">
        <v>126</v>
      </c>
      <c r="C107" s="275">
        <v>0.08</v>
      </c>
      <c r="D107" s="296">
        <f t="shared" si="35"/>
        <v>8.0100000000000005E-2</v>
      </c>
      <c r="E107" s="296">
        <f t="shared" si="35"/>
        <v>8.0200000000000007E-2</v>
      </c>
      <c r="F107" s="296">
        <f t="shared" si="35"/>
        <v>8.030000000000001E-2</v>
      </c>
      <c r="G107" s="296">
        <f t="shared" si="35"/>
        <v>8.0400000000000013E-2</v>
      </c>
      <c r="H107" s="296">
        <f t="shared" si="35"/>
        <v>8.0500000000000016E-2</v>
      </c>
      <c r="I107" s="296">
        <f t="shared" si="35"/>
        <v>8.0600000000000019E-2</v>
      </c>
      <c r="J107" s="296">
        <f t="shared" si="35"/>
        <v>8.0700000000000022E-2</v>
      </c>
      <c r="K107" s="296">
        <f t="shared" si="35"/>
        <v>8.0800000000000025E-2</v>
      </c>
      <c r="L107" s="296">
        <f t="shared" si="35"/>
        <v>8.0900000000000027E-2</v>
      </c>
      <c r="M107" s="296">
        <f t="shared" si="35"/>
        <v>8.100000000000003E-2</v>
      </c>
      <c r="N107" s="296">
        <f t="shared" si="35"/>
        <v>8.1100000000000033E-2</v>
      </c>
      <c r="O107" s="296">
        <f t="shared" si="35"/>
        <v>8.1200000000000036E-2</v>
      </c>
      <c r="P107" s="296">
        <f t="shared" si="35"/>
        <v>8.1300000000000039E-2</v>
      </c>
      <c r="Q107" s="296">
        <f t="shared" si="35"/>
        <v>8.1400000000000042E-2</v>
      </c>
      <c r="R107" s="296">
        <f t="shared" si="35"/>
        <v>8.1500000000000045E-2</v>
      </c>
      <c r="S107" s="296">
        <f t="shared" si="35"/>
        <v>8.1600000000000047E-2</v>
      </c>
      <c r="T107" s="296">
        <f t="shared" si="34"/>
        <v>8.170000000000005E-2</v>
      </c>
      <c r="U107" s="296">
        <f t="shared" si="34"/>
        <v>8.1800000000000053E-2</v>
      </c>
      <c r="V107" s="296">
        <f t="shared" si="34"/>
        <v>8.1900000000000056E-2</v>
      </c>
      <c r="W107" s="296">
        <f t="shared" si="34"/>
        <v>8.2000000000000059E-2</v>
      </c>
      <c r="X107" s="296">
        <f t="shared" si="34"/>
        <v>8.2100000000000062E-2</v>
      </c>
      <c r="Y107" s="296">
        <f t="shared" si="34"/>
        <v>8.2200000000000065E-2</v>
      </c>
      <c r="Z107" s="296">
        <f t="shared" si="34"/>
        <v>8.2300000000000068E-2</v>
      </c>
      <c r="AA107" s="296">
        <f t="shared" si="34"/>
        <v>8.240000000000007E-2</v>
      </c>
      <c r="AB107" s="296">
        <f t="shared" si="34"/>
        <v>8.2500000000000073E-2</v>
      </c>
      <c r="AC107" s="296">
        <f t="shared" si="34"/>
        <v>8.2600000000000076E-2</v>
      </c>
      <c r="AD107" s="296">
        <f t="shared" si="34"/>
        <v>8.2700000000000079E-2</v>
      </c>
      <c r="AE107" s="296">
        <f t="shared" si="34"/>
        <v>8.2800000000000082E-2</v>
      </c>
      <c r="AF107" s="296">
        <f t="shared" si="34"/>
        <v>8.2900000000000085E-2</v>
      </c>
      <c r="AG107" s="275">
        <v>8.3000000000000004E-2</v>
      </c>
      <c r="AI107" s="201"/>
      <c r="AJ107" t="s">
        <v>1614</v>
      </c>
    </row>
    <row r="108" spans="1:36" outlineLevel="1">
      <c r="A108" s="3" t="s">
        <v>700</v>
      </c>
      <c r="B108" s="281" t="s">
        <v>126</v>
      </c>
      <c r="C108" s="275">
        <v>0.27</v>
      </c>
      <c r="D108" s="296">
        <f t="shared" si="35"/>
        <v>0.27313333333333334</v>
      </c>
      <c r="E108" s="296">
        <f t="shared" si="35"/>
        <v>0.27626666666666666</v>
      </c>
      <c r="F108" s="296">
        <f t="shared" si="35"/>
        <v>0.27939999999999998</v>
      </c>
      <c r="G108" s="296">
        <f t="shared" si="35"/>
        <v>0.2825333333333333</v>
      </c>
      <c r="H108" s="296">
        <f t="shared" si="35"/>
        <v>0.28566666666666662</v>
      </c>
      <c r="I108" s="296">
        <f t="shared" si="35"/>
        <v>0.28879999999999995</v>
      </c>
      <c r="J108" s="296">
        <f t="shared" si="35"/>
        <v>0.29193333333333327</v>
      </c>
      <c r="K108" s="296">
        <f t="shared" si="35"/>
        <v>0.29506666666666659</v>
      </c>
      <c r="L108" s="296">
        <f t="shared" si="35"/>
        <v>0.29819999999999991</v>
      </c>
      <c r="M108" s="296">
        <f t="shared" si="35"/>
        <v>0.30133333333333323</v>
      </c>
      <c r="N108" s="296">
        <f t="shared" si="35"/>
        <v>0.30446666666666655</v>
      </c>
      <c r="O108" s="296">
        <f t="shared" si="35"/>
        <v>0.30759999999999987</v>
      </c>
      <c r="P108" s="296">
        <f t="shared" si="35"/>
        <v>0.31073333333333319</v>
      </c>
      <c r="Q108" s="296">
        <f t="shared" si="35"/>
        <v>0.31386666666666652</v>
      </c>
      <c r="R108" s="296">
        <f t="shared" si="35"/>
        <v>0.31699999999999984</v>
      </c>
      <c r="S108" s="296">
        <f t="shared" si="35"/>
        <v>0.32013333333333316</v>
      </c>
      <c r="T108" s="296">
        <f t="shared" si="34"/>
        <v>0.32326666666666648</v>
      </c>
      <c r="U108" s="296">
        <f t="shared" si="34"/>
        <v>0.3263999999999998</v>
      </c>
      <c r="V108" s="296">
        <f t="shared" si="34"/>
        <v>0.32953333333333312</v>
      </c>
      <c r="W108" s="296">
        <f t="shared" si="34"/>
        <v>0.33266666666666644</v>
      </c>
      <c r="X108" s="296">
        <f t="shared" si="34"/>
        <v>0.33579999999999977</v>
      </c>
      <c r="Y108" s="296">
        <f t="shared" si="34"/>
        <v>0.33893333333333309</v>
      </c>
      <c r="Z108" s="296">
        <f t="shared" si="34"/>
        <v>0.34206666666666641</v>
      </c>
      <c r="AA108" s="296">
        <f t="shared" si="34"/>
        <v>0.34519999999999973</v>
      </c>
      <c r="AB108" s="296">
        <f t="shared" si="34"/>
        <v>0.34833333333333305</v>
      </c>
      <c r="AC108" s="296">
        <f t="shared" si="34"/>
        <v>0.35146666666666637</v>
      </c>
      <c r="AD108" s="296">
        <f t="shared" si="34"/>
        <v>0.35459999999999969</v>
      </c>
      <c r="AE108" s="296">
        <f t="shared" si="34"/>
        <v>0.35773333333333301</v>
      </c>
      <c r="AF108" s="296">
        <f t="shared" si="34"/>
        <v>0.36086666666666634</v>
      </c>
      <c r="AG108" s="275">
        <v>0.36399999999999999</v>
      </c>
      <c r="AI108" s="201"/>
      <c r="AJ108" t="s">
        <v>1614</v>
      </c>
    </row>
    <row r="109" spans="1:36" outlineLevel="1">
      <c r="A109" s="3" t="s">
        <v>701</v>
      </c>
      <c r="B109" s="281" t="s">
        <v>126</v>
      </c>
      <c r="C109" s="275">
        <v>7.0000000000000007E-2</v>
      </c>
      <c r="D109" s="296">
        <f t="shared" si="35"/>
        <v>7.1266666666666673E-2</v>
      </c>
      <c r="E109" s="296">
        <f t="shared" si="35"/>
        <v>7.2533333333333339E-2</v>
      </c>
      <c r="F109" s="296">
        <f t="shared" si="35"/>
        <v>7.3800000000000004E-2</v>
      </c>
      <c r="G109" s="296">
        <f t="shared" si="35"/>
        <v>7.506666666666667E-2</v>
      </c>
      <c r="H109" s="296">
        <f t="shared" si="35"/>
        <v>7.6333333333333336E-2</v>
      </c>
      <c r="I109" s="296">
        <f t="shared" si="35"/>
        <v>7.7600000000000002E-2</v>
      </c>
      <c r="J109" s="296">
        <f t="shared" si="35"/>
        <v>7.8866666666666668E-2</v>
      </c>
      <c r="K109" s="296">
        <f t="shared" si="35"/>
        <v>8.0133333333333334E-2</v>
      </c>
      <c r="L109" s="296">
        <f t="shared" si="35"/>
        <v>8.14E-2</v>
      </c>
      <c r="M109" s="296">
        <f t="shared" si="35"/>
        <v>8.2666666666666666E-2</v>
      </c>
      <c r="N109" s="296">
        <f t="shared" si="35"/>
        <v>8.3933333333333332E-2</v>
      </c>
      <c r="O109" s="296">
        <f t="shared" si="35"/>
        <v>8.5199999999999998E-2</v>
      </c>
      <c r="P109" s="296">
        <f t="shared" si="35"/>
        <v>8.6466666666666664E-2</v>
      </c>
      <c r="Q109" s="296">
        <f t="shared" si="35"/>
        <v>8.773333333333333E-2</v>
      </c>
      <c r="R109" s="296">
        <f t="shared" si="35"/>
        <v>8.8999999999999996E-2</v>
      </c>
      <c r="S109" s="296">
        <f t="shared" si="35"/>
        <v>9.0266666666666662E-2</v>
      </c>
      <c r="T109" s="296">
        <f t="shared" si="34"/>
        <v>9.1533333333333328E-2</v>
      </c>
      <c r="U109" s="296">
        <f t="shared" si="34"/>
        <v>9.2799999999999994E-2</v>
      </c>
      <c r="V109" s="296">
        <f t="shared" si="34"/>
        <v>9.406666666666666E-2</v>
      </c>
      <c r="W109" s="296">
        <f t="shared" si="34"/>
        <v>9.5333333333333325E-2</v>
      </c>
      <c r="X109" s="296">
        <f t="shared" si="34"/>
        <v>9.6599999999999991E-2</v>
      </c>
      <c r="Y109" s="296">
        <f t="shared" si="34"/>
        <v>9.7866666666666657E-2</v>
      </c>
      <c r="Z109" s="296">
        <f t="shared" si="34"/>
        <v>9.9133333333333323E-2</v>
      </c>
      <c r="AA109" s="296">
        <f t="shared" si="34"/>
        <v>0.10039999999999999</v>
      </c>
      <c r="AB109" s="296">
        <f t="shared" si="34"/>
        <v>0.10166666666666666</v>
      </c>
      <c r="AC109" s="296">
        <f t="shared" si="34"/>
        <v>0.10293333333333332</v>
      </c>
      <c r="AD109" s="296">
        <f t="shared" si="34"/>
        <v>0.10419999999999999</v>
      </c>
      <c r="AE109" s="296">
        <f t="shared" si="34"/>
        <v>0.10546666666666665</v>
      </c>
      <c r="AF109" s="296">
        <f t="shared" si="34"/>
        <v>0.10673333333333332</v>
      </c>
      <c r="AG109" s="275">
        <v>0.108</v>
      </c>
      <c r="AI109" s="201"/>
      <c r="AJ109" t="s">
        <v>1614</v>
      </c>
    </row>
    <row r="110" spans="1:36" outlineLevel="1">
      <c r="A110" s="3" t="s">
        <v>702</v>
      </c>
      <c r="B110" s="281" t="s">
        <v>126</v>
      </c>
      <c r="C110" s="275">
        <v>0.05</v>
      </c>
      <c r="D110" s="296">
        <f t="shared" si="35"/>
        <v>5.0733333333333339E-2</v>
      </c>
      <c r="E110" s="296">
        <f t="shared" si="35"/>
        <v>5.1466666666666674E-2</v>
      </c>
      <c r="F110" s="296">
        <f t="shared" si="35"/>
        <v>5.220000000000001E-2</v>
      </c>
      <c r="G110" s="296">
        <f t="shared" si="35"/>
        <v>5.2933333333333346E-2</v>
      </c>
      <c r="H110" s="296">
        <f t="shared" si="35"/>
        <v>5.3666666666666682E-2</v>
      </c>
      <c r="I110" s="296">
        <f t="shared" si="35"/>
        <v>5.4400000000000018E-2</v>
      </c>
      <c r="J110" s="296">
        <f t="shared" si="35"/>
        <v>5.5133333333333354E-2</v>
      </c>
      <c r="K110" s="296">
        <f t="shared" si="35"/>
        <v>5.5866666666666689E-2</v>
      </c>
      <c r="L110" s="296">
        <f t="shared" si="35"/>
        <v>5.6600000000000025E-2</v>
      </c>
      <c r="M110" s="296">
        <f t="shared" si="35"/>
        <v>5.7333333333333361E-2</v>
      </c>
      <c r="N110" s="296">
        <f t="shared" si="35"/>
        <v>5.8066666666666697E-2</v>
      </c>
      <c r="O110" s="296">
        <f t="shared" si="35"/>
        <v>5.8800000000000033E-2</v>
      </c>
      <c r="P110" s="296">
        <f t="shared" si="35"/>
        <v>5.9533333333333369E-2</v>
      </c>
      <c r="Q110" s="296">
        <f t="shared" si="35"/>
        <v>6.0266666666666704E-2</v>
      </c>
      <c r="R110" s="296">
        <f t="shared" si="35"/>
        <v>6.100000000000004E-2</v>
      </c>
      <c r="S110" s="296">
        <f t="shared" si="35"/>
        <v>6.1733333333333376E-2</v>
      </c>
      <c r="T110" s="296">
        <f t="shared" si="34"/>
        <v>6.2466666666666712E-2</v>
      </c>
      <c r="U110" s="296">
        <f t="shared" si="34"/>
        <v>6.3200000000000048E-2</v>
      </c>
      <c r="V110" s="296">
        <f t="shared" si="34"/>
        <v>6.3933333333333384E-2</v>
      </c>
      <c r="W110" s="296">
        <f t="shared" si="34"/>
        <v>6.4666666666666719E-2</v>
      </c>
      <c r="X110" s="296">
        <f t="shared" si="34"/>
        <v>6.5400000000000055E-2</v>
      </c>
      <c r="Y110" s="296">
        <f t="shared" si="34"/>
        <v>6.6133333333333391E-2</v>
      </c>
      <c r="Z110" s="296">
        <f t="shared" si="34"/>
        <v>6.6866666666666727E-2</v>
      </c>
      <c r="AA110" s="296">
        <f t="shared" si="34"/>
        <v>6.7600000000000063E-2</v>
      </c>
      <c r="AB110" s="296">
        <f t="shared" si="34"/>
        <v>6.8333333333333399E-2</v>
      </c>
      <c r="AC110" s="296">
        <f t="shared" si="34"/>
        <v>6.9066666666666734E-2</v>
      </c>
      <c r="AD110" s="296">
        <f t="shared" si="34"/>
        <v>6.980000000000007E-2</v>
      </c>
      <c r="AE110" s="296">
        <f t="shared" si="34"/>
        <v>7.0533333333333406E-2</v>
      </c>
      <c r="AF110" s="296">
        <f t="shared" si="34"/>
        <v>7.1266666666666742E-2</v>
      </c>
      <c r="AG110" s="275">
        <v>7.1999999999999995E-2</v>
      </c>
      <c r="AI110" s="201"/>
      <c r="AJ110" t="s">
        <v>1614</v>
      </c>
    </row>
    <row r="111" spans="1:36" s="55" customFormat="1" outlineLevel="1">
      <c r="A111" s="285" t="s">
        <v>704</v>
      </c>
      <c r="B111" s="282"/>
      <c r="C111" s="283"/>
      <c r="D111" s="283"/>
      <c r="E111" s="283"/>
      <c r="F111" s="283"/>
      <c r="G111" s="283"/>
      <c r="H111" s="283"/>
      <c r="I111" s="283"/>
      <c r="J111" s="283"/>
      <c r="K111" s="283"/>
      <c r="L111" s="283"/>
      <c r="M111" s="283"/>
      <c r="N111" s="283"/>
      <c r="O111" s="283"/>
      <c r="P111" s="283"/>
      <c r="Q111" s="283"/>
      <c r="R111" s="283"/>
      <c r="S111" s="283"/>
      <c r="T111" s="283"/>
      <c r="U111" s="283"/>
      <c r="V111" s="283"/>
      <c r="W111" s="283"/>
      <c r="X111" s="283"/>
      <c r="Y111" s="283"/>
      <c r="Z111" s="283"/>
      <c r="AA111" s="283"/>
      <c r="AB111" s="283"/>
      <c r="AC111" s="283"/>
      <c r="AD111" s="283"/>
      <c r="AE111" s="283"/>
      <c r="AF111" s="283"/>
      <c r="AG111" s="283"/>
      <c r="AI111" s="284"/>
      <c r="AJ111" s="285"/>
    </row>
    <row r="112" spans="1:36" s="55" customFormat="1" outlineLevel="1">
      <c r="A112" s="286" t="s">
        <v>732</v>
      </c>
      <c r="B112" s="287" t="s">
        <v>126</v>
      </c>
      <c r="C112" s="314">
        <v>0.84</v>
      </c>
      <c r="D112" s="315">
        <f>-($C112-$AG112)/30+C112</f>
        <v>0.84399999999999997</v>
      </c>
      <c r="E112" s="315">
        <f t="shared" ref="E112:AF113" si="36">-($C112-$AG112)/30+D112</f>
        <v>0.84799999999999998</v>
      </c>
      <c r="F112" s="315">
        <f t="shared" si="36"/>
        <v>0.85199999999999998</v>
      </c>
      <c r="G112" s="315">
        <f t="shared" si="36"/>
        <v>0.85599999999999998</v>
      </c>
      <c r="H112" s="315">
        <f t="shared" si="36"/>
        <v>0.86</v>
      </c>
      <c r="I112" s="315">
        <f t="shared" si="36"/>
        <v>0.86399999999999999</v>
      </c>
      <c r="J112" s="315">
        <f t="shared" si="36"/>
        <v>0.86799999999999999</v>
      </c>
      <c r="K112" s="315">
        <f t="shared" si="36"/>
        <v>0.872</v>
      </c>
      <c r="L112" s="315">
        <f t="shared" si="36"/>
        <v>0.876</v>
      </c>
      <c r="M112" s="315">
        <f t="shared" si="36"/>
        <v>0.88</v>
      </c>
      <c r="N112" s="315">
        <f t="shared" si="36"/>
        <v>0.88400000000000001</v>
      </c>
      <c r="O112" s="315">
        <f t="shared" si="36"/>
        <v>0.88800000000000001</v>
      </c>
      <c r="P112" s="315">
        <f t="shared" si="36"/>
        <v>0.89200000000000002</v>
      </c>
      <c r="Q112" s="315">
        <f t="shared" si="36"/>
        <v>0.89600000000000002</v>
      </c>
      <c r="R112" s="315">
        <f t="shared" si="36"/>
        <v>0.9</v>
      </c>
      <c r="S112" s="315">
        <f t="shared" si="36"/>
        <v>0.90400000000000003</v>
      </c>
      <c r="T112" s="315">
        <f t="shared" si="36"/>
        <v>0.90800000000000003</v>
      </c>
      <c r="U112" s="315">
        <f t="shared" si="36"/>
        <v>0.91200000000000003</v>
      </c>
      <c r="V112" s="315">
        <f t="shared" si="36"/>
        <v>0.91600000000000004</v>
      </c>
      <c r="W112" s="315">
        <f t="shared" si="36"/>
        <v>0.92</v>
      </c>
      <c r="X112" s="315">
        <f t="shared" si="36"/>
        <v>0.92400000000000004</v>
      </c>
      <c r="Y112" s="315">
        <f t="shared" si="36"/>
        <v>0.92800000000000005</v>
      </c>
      <c r="Z112" s="315">
        <f t="shared" si="36"/>
        <v>0.93200000000000005</v>
      </c>
      <c r="AA112" s="315">
        <f t="shared" si="36"/>
        <v>0.93600000000000005</v>
      </c>
      <c r="AB112" s="315">
        <f t="shared" si="36"/>
        <v>0.94000000000000006</v>
      </c>
      <c r="AC112" s="315">
        <f t="shared" si="36"/>
        <v>0.94400000000000006</v>
      </c>
      <c r="AD112" s="315">
        <f t="shared" si="36"/>
        <v>0.94800000000000006</v>
      </c>
      <c r="AE112" s="315">
        <f t="shared" si="36"/>
        <v>0.95200000000000007</v>
      </c>
      <c r="AF112" s="315">
        <f t="shared" si="36"/>
        <v>0.95600000000000007</v>
      </c>
      <c r="AG112" s="314">
        <v>0.96</v>
      </c>
      <c r="AI112" s="284"/>
      <c r="AJ112" s="316" t="s">
        <v>1614</v>
      </c>
    </row>
    <row r="113" spans="1:36" s="55" customFormat="1" outlineLevel="1">
      <c r="A113" s="286" t="s">
        <v>743</v>
      </c>
      <c r="B113" s="287" t="s">
        <v>126</v>
      </c>
      <c r="C113" s="314">
        <v>0.22</v>
      </c>
      <c r="D113" s="315">
        <f>-($C113-$AG113)/30+C113</f>
        <v>0.22666666666666666</v>
      </c>
      <c r="E113" s="315">
        <f t="shared" si="36"/>
        <v>0.23333333333333331</v>
      </c>
      <c r="F113" s="315">
        <f t="shared" si="36"/>
        <v>0.23999999999999996</v>
      </c>
      <c r="G113" s="315">
        <f t="shared" si="36"/>
        <v>0.24666666666666662</v>
      </c>
      <c r="H113" s="315">
        <f t="shared" si="36"/>
        <v>0.2533333333333333</v>
      </c>
      <c r="I113" s="315">
        <f t="shared" si="36"/>
        <v>0.25999999999999995</v>
      </c>
      <c r="J113" s="315">
        <f t="shared" si="36"/>
        <v>0.26666666666666661</v>
      </c>
      <c r="K113" s="315">
        <f t="shared" si="36"/>
        <v>0.27333333333333326</v>
      </c>
      <c r="L113" s="315">
        <f t="shared" si="36"/>
        <v>0.27999999999999992</v>
      </c>
      <c r="M113" s="315">
        <f t="shared" si="36"/>
        <v>0.28666666666666657</v>
      </c>
      <c r="N113" s="315">
        <f t="shared" si="36"/>
        <v>0.29333333333333322</v>
      </c>
      <c r="O113" s="315">
        <f t="shared" si="36"/>
        <v>0.29999999999999988</v>
      </c>
      <c r="P113" s="315">
        <f t="shared" si="36"/>
        <v>0.30666666666666653</v>
      </c>
      <c r="Q113" s="315">
        <f t="shared" si="36"/>
        <v>0.31333333333333319</v>
      </c>
      <c r="R113" s="315">
        <f t="shared" si="36"/>
        <v>0.31999999999999984</v>
      </c>
      <c r="S113" s="315">
        <f t="shared" si="36"/>
        <v>0.32666666666666649</v>
      </c>
      <c r="T113" s="315">
        <f t="shared" si="36"/>
        <v>0.33333333333333315</v>
      </c>
      <c r="U113" s="315">
        <f t="shared" si="36"/>
        <v>0.3399999999999998</v>
      </c>
      <c r="V113" s="315">
        <f t="shared" si="36"/>
        <v>0.34666666666666646</v>
      </c>
      <c r="W113" s="315">
        <f t="shared" si="36"/>
        <v>0.35333333333333311</v>
      </c>
      <c r="X113" s="315">
        <f t="shared" si="36"/>
        <v>0.35999999999999976</v>
      </c>
      <c r="Y113" s="315">
        <f t="shared" si="36"/>
        <v>0.36666666666666642</v>
      </c>
      <c r="Z113" s="315">
        <f t="shared" si="36"/>
        <v>0.37333333333333307</v>
      </c>
      <c r="AA113" s="315">
        <f t="shared" si="36"/>
        <v>0.37999999999999973</v>
      </c>
      <c r="AB113" s="315">
        <f t="shared" si="36"/>
        <v>0.38666666666666638</v>
      </c>
      <c r="AC113" s="315">
        <f t="shared" si="36"/>
        <v>0.39333333333333304</v>
      </c>
      <c r="AD113" s="315">
        <f t="shared" si="36"/>
        <v>0.39999999999999969</v>
      </c>
      <c r="AE113" s="315">
        <f t="shared" si="36"/>
        <v>0.40666666666666634</v>
      </c>
      <c r="AF113" s="315">
        <f t="shared" si="36"/>
        <v>0.413333333333333</v>
      </c>
      <c r="AG113" s="314">
        <v>0.42</v>
      </c>
      <c r="AI113" s="284"/>
      <c r="AJ113" s="316" t="s">
        <v>1614</v>
      </c>
    </row>
    <row r="114" spans="1:36" s="59" customFormat="1" outlineLevel="1">
      <c r="A114" s="290" t="s">
        <v>744</v>
      </c>
      <c r="B114" s="291" t="s">
        <v>126</v>
      </c>
      <c r="C114" s="317">
        <f>1-C113</f>
        <v>0.78</v>
      </c>
      <c r="D114" s="317">
        <f t="shared" ref="D114:AG114" si="37">1-D113</f>
        <v>0.77333333333333332</v>
      </c>
      <c r="E114" s="317">
        <f t="shared" si="37"/>
        <v>0.76666666666666672</v>
      </c>
      <c r="F114" s="317">
        <f t="shared" si="37"/>
        <v>0.76</v>
      </c>
      <c r="G114" s="317">
        <f t="shared" si="37"/>
        <v>0.75333333333333341</v>
      </c>
      <c r="H114" s="317">
        <f t="shared" si="37"/>
        <v>0.7466666666666667</v>
      </c>
      <c r="I114" s="317">
        <f t="shared" si="37"/>
        <v>0.74</v>
      </c>
      <c r="J114" s="317">
        <f t="shared" si="37"/>
        <v>0.73333333333333339</v>
      </c>
      <c r="K114" s="317">
        <f t="shared" si="37"/>
        <v>0.72666666666666679</v>
      </c>
      <c r="L114" s="317">
        <f t="shared" si="37"/>
        <v>0.72000000000000008</v>
      </c>
      <c r="M114" s="317">
        <f t="shared" si="37"/>
        <v>0.71333333333333337</v>
      </c>
      <c r="N114" s="317">
        <f t="shared" si="37"/>
        <v>0.70666666666666678</v>
      </c>
      <c r="O114" s="317">
        <f t="shared" si="37"/>
        <v>0.70000000000000018</v>
      </c>
      <c r="P114" s="317">
        <f t="shared" si="37"/>
        <v>0.69333333333333347</v>
      </c>
      <c r="Q114" s="317">
        <f t="shared" si="37"/>
        <v>0.68666666666666676</v>
      </c>
      <c r="R114" s="317">
        <f t="shared" si="37"/>
        <v>0.68000000000000016</v>
      </c>
      <c r="S114" s="317">
        <f t="shared" si="37"/>
        <v>0.67333333333333356</v>
      </c>
      <c r="T114" s="317">
        <f t="shared" si="37"/>
        <v>0.66666666666666685</v>
      </c>
      <c r="U114" s="317">
        <f t="shared" si="37"/>
        <v>0.66000000000000014</v>
      </c>
      <c r="V114" s="317">
        <f t="shared" si="37"/>
        <v>0.65333333333333354</v>
      </c>
      <c r="W114" s="317">
        <f t="shared" si="37"/>
        <v>0.64666666666666694</v>
      </c>
      <c r="X114" s="317">
        <f t="shared" si="37"/>
        <v>0.64000000000000024</v>
      </c>
      <c r="Y114" s="317">
        <f t="shared" si="37"/>
        <v>0.63333333333333353</v>
      </c>
      <c r="Z114" s="317">
        <f t="shared" si="37"/>
        <v>0.62666666666666693</v>
      </c>
      <c r="AA114" s="317">
        <f t="shared" si="37"/>
        <v>0.62000000000000033</v>
      </c>
      <c r="AB114" s="317">
        <f t="shared" si="37"/>
        <v>0.61333333333333362</v>
      </c>
      <c r="AC114" s="317">
        <f t="shared" si="37"/>
        <v>0.60666666666666691</v>
      </c>
      <c r="AD114" s="317">
        <f t="shared" si="37"/>
        <v>0.60000000000000031</v>
      </c>
      <c r="AE114" s="317">
        <f t="shared" si="37"/>
        <v>0.59333333333333371</v>
      </c>
      <c r="AF114" s="317">
        <f t="shared" si="37"/>
        <v>0.586666666666667</v>
      </c>
      <c r="AG114" s="317">
        <f t="shared" si="37"/>
        <v>0.58000000000000007</v>
      </c>
      <c r="AI114" s="319"/>
      <c r="AJ114" s="318" t="s">
        <v>1614</v>
      </c>
    </row>
    <row r="115" spans="1:36" s="1" customFormat="1" outlineLevel="1">
      <c r="A115" t="s">
        <v>725</v>
      </c>
      <c r="B115" s="281" t="s">
        <v>126</v>
      </c>
      <c r="C115" s="275">
        <v>0.85</v>
      </c>
      <c r="D115" s="296">
        <f t="shared" ref="D115:S130" si="38">-($C115-$AG115)/30+C115</f>
        <v>0.84833333333333327</v>
      </c>
      <c r="E115" s="296">
        <f t="shared" si="38"/>
        <v>0.84666666666666657</v>
      </c>
      <c r="F115" s="296">
        <f t="shared" si="38"/>
        <v>0.84499999999999986</v>
      </c>
      <c r="G115" s="296">
        <f t="shared" si="38"/>
        <v>0.84333333333333316</v>
      </c>
      <c r="H115" s="296">
        <f t="shared" si="38"/>
        <v>0.84166666666666645</v>
      </c>
      <c r="I115" s="296">
        <f t="shared" si="38"/>
        <v>0.83999999999999975</v>
      </c>
      <c r="J115" s="296">
        <f t="shared" si="38"/>
        <v>0.83833333333333304</v>
      </c>
      <c r="K115" s="296">
        <f t="shared" si="38"/>
        <v>0.83666666666666634</v>
      </c>
      <c r="L115" s="296">
        <f t="shared" si="38"/>
        <v>0.83499999999999963</v>
      </c>
      <c r="M115" s="296">
        <f t="shared" si="38"/>
        <v>0.83333333333333293</v>
      </c>
      <c r="N115" s="296">
        <f t="shared" si="38"/>
        <v>0.83166666666666622</v>
      </c>
      <c r="O115" s="296">
        <f t="shared" si="38"/>
        <v>0.82999999999999952</v>
      </c>
      <c r="P115" s="296">
        <f t="shared" si="38"/>
        <v>0.82833333333333281</v>
      </c>
      <c r="Q115" s="296">
        <f t="shared" si="38"/>
        <v>0.82666666666666611</v>
      </c>
      <c r="R115" s="296">
        <f t="shared" si="38"/>
        <v>0.8249999999999994</v>
      </c>
      <c r="S115" s="296">
        <f t="shared" si="38"/>
        <v>0.8233333333333327</v>
      </c>
      <c r="T115" s="296">
        <f t="shared" ref="T115:AF129" si="39">-($C115-$AG115)/30+S115</f>
        <v>0.82166666666666599</v>
      </c>
      <c r="U115" s="296">
        <f t="shared" si="39"/>
        <v>0.81999999999999929</v>
      </c>
      <c r="V115" s="296">
        <f t="shared" si="39"/>
        <v>0.81833333333333258</v>
      </c>
      <c r="W115" s="296">
        <f t="shared" si="39"/>
        <v>0.81666666666666587</v>
      </c>
      <c r="X115" s="296">
        <f t="shared" si="39"/>
        <v>0.81499999999999917</v>
      </c>
      <c r="Y115" s="296">
        <f t="shared" si="39"/>
        <v>0.81333333333333246</v>
      </c>
      <c r="Z115" s="296">
        <f t="shared" si="39"/>
        <v>0.81166666666666576</v>
      </c>
      <c r="AA115" s="296">
        <f t="shared" si="39"/>
        <v>0.80999999999999905</v>
      </c>
      <c r="AB115" s="296">
        <f t="shared" si="39"/>
        <v>0.80833333333333235</v>
      </c>
      <c r="AC115" s="296">
        <f t="shared" si="39"/>
        <v>0.80666666666666564</v>
      </c>
      <c r="AD115" s="296">
        <f t="shared" si="39"/>
        <v>0.80499999999999894</v>
      </c>
      <c r="AE115" s="296">
        <f t="shared" si="39"/>
        <v>0.80333333333333223</v>
      </c>
      <c r="AF115" s="296">
        <f t="shared" si="39"/>
        <v>0.80166666666666553</v>
      </c>
      <c r="AG115" s="275">
        <v>0.8</v>
      </c>
      <c r="AJ115" s="198" t="s">
        <v>1614</v>
      </c>
    </row>
    <row r="116" spans="1:36" s="1" customFormat="1" outlineLevel="1">
      <c r="A116" t="s">
        <v>731</v>
      </c>
      <c r="B116" s="281" t="s">
        <v>126</v>
      </c>
      <c r="C116" s="275">
        <v>0.15</v>
      </c>
      <c r="D116" s="296">
        <f t="shared" si="38"/>
        <v>0.15166666666666667</v>
      </c>
      <c r="E116" s="296">
        <f t="shared" si="38"/>
        <v>0.15333333333333335</v>
      </c>
      <c r="F116" s="296">
        <f t="shared" si="38"/>
        <v>0.15500000000000003</v>
      </c>
      <c r="G116" s="296">
        <f t="shared" si="38"/>
        <v>0.1566666666666667</v>
      </c>
      <c r="H116" s="296">
        <f t="shared" si="38"/>
        <v>0.15833333333333338</v>
      </c>
      <c r="I116" s="296">
        <f t="shared" si="38"/>
        <v>0.16000000000000006</v>
      </c>
      <c r="J116" s="296">
        <f t="shared" si="38"/>
        <v>0.16166666666666674</v>
      </c>
      <c r="K116" s="296">
        <f t="shared" si="38"/>
        <v>0.16333333333333341</v>
      </c>
      <c r="L116" s="296">
        <f t="shared" si="38"/>
        <v>0.16500000000000009</v>
      </c>
      <c r="M116" s="296">
        <f t="shared" si="38"/>
        <v>0.16666666666666677</v>
      </c>
      <c r="N116" s="296">
        <f t="shared" si="38"/>
        <v>0.16833333333333345</v>
      </c>
      <c r="O116" s="296">
        <f t="shared" si="38"/>
        <v>0.17000000000000012</v>
      </c>
      <c r="P116" s="296">
        <f t="shared" si="38"/>
        <v>0.1716666666666668</v>
      </c>
      <c r="Q116" s="296">
        <f t="shared" si="38"/>
        <v>0.17333333333333348</v>
      </c>
      <c r="R116" s="296">
        <f t="shared" si="38"/>
        <v>0.17500000000000016</v>
      </c>
      <c r="S116" s="296">
        <f t="shared" si="38"/>
        <v>0.17666666666666683</v>
      </c>
      <c r="T116" s="296">
        <f t="shared" si="39"/>
        <v>0.17833333333333351</v>
      </c>
      <c r="U116" s="296">
        <f t="shared" si="39"/>
        <v>0.18000000000000019</v>
      </c>
      <c r="V116" s="296">
        <f t="shared" si="39"/>
        <v>0.18166666666666687</v>
      </c>
      <c r="W116" s="296">
        <f t="shared" si="39"/>
        <v>0.18333333333333354</v>
      </c>
      <c r="X116" s="296">
        <f t="shared" si="39"/>
        <v>0.18500000000000022</v>
      </c>
      <c r="Y116" s="296">
        <f t="shared" si="39"/>
        <v>0.1866666666666669</v>
      </c>
      <c r="Z116" s="296">
        <f t="shared" si="39"/>
        <v>0.18833333333333357</v>
      </c>
      <c r="AA116" s="296">
        <f t="shared" si="39"/>
        <v>0.19000000000000025</v>
      </c>
      <c r="AB116" s="296">
        <f t="shared" si="39"/>
        <v>0.19166666666666693</v>
      </c>
      <c r="AC116" s="296">
        <f t="shared" si="39"/>
        <v>0.19333333333333361</v>
      </c>
      <c r="AD116" s="296">
        <f t="shared" si="39"/>
        <v>0.19500000000000028</v>
      </c>
      <c r="AE116" s="296">
        <f t="shared" si="39"/>
        <v>0.19666666666666696</v>
      </c>
      <c r="AF116" s="296">
        <f t="shared" si="39"/>
        <v>0.19833333333333364</v>
      </c>
      <c r="AG116" s="275">
        <v>0.2</v>
      </c>
      <c r="AI116" s="410" t="s">
        <v>858</v>
      </c>
      <c r="AJ116" s="198" t="s">
        <v>1614</v>
      </c>
    </row>
    <row r="117" spans="1:36" s="1" customFormat="1" outlineLevel="1">
      <c r="A117" t="s">
        <v>726</v>
      </c>
      <c r="B117" s="281" t="s">
        <v>126</v>
      </c>
      <c r="C117" s="275">
        <v>0.15</v>
      </c>
      <c r="D117" s="296">
        <f t="shared" si="38"/>
        <v>0.15633333333333332</v>
      </c>
      <c r="E117" s="296">
        <f t="shared" si="38"/>
        <v>0.16266666666666665</v>
      </c>
      <c r="F117" s="296">
        <f t="shared" si="38"/>
        <v>0.16899999999999998</v>
      </c>
      <c r="G117" s="296">
        <f t="shared" si="38"/>
        <v>0.17533333333333331</v>
      </c>
      <c r="H117" s="296">
        <f t="shared" si="38"/>
        <v>0.18166666666666664</v>
      </c>
      <c r="I117" s="296">
        <f t="shared" si="38"/>
        <v>0.18799999999999997</v>
      </c>
      <c r="J117" s="296">
        <f t="shared" si="38"/>
        <v>0.1943333333333333</v>
      </c>
      <c r="K117" s="296">
        <f t="shared" si="38"/>
        <v>0.20066666666666663</v>
      </c>
      <c r="L117" s="296">
        <f t="shared" si="38"/>
        <v>0.20699999999999996</v>
      </c>
      <c r="M117" s="296">
        <f t="shared" si="38"/>
        <v>0.21333333333333329</v>
      </c>
      <c r="N117" s="296">
        <f t="shared" si="38"/>
        <v>0.21966666666666662</v>
      </c>
      <c r="O117" s="296">
        <f t="shared" si="38"/>
        <v>0.22599999999999995</v>
      </c>
      <c r="P117" s="296">
        <f t="shared" si="38"/>
        <v>0.23233333333333328</v>
      </c>
      <c r="Q117" s="296">
        <f t="shared" si="38"/>
        <v>0.23866666666666661</v>
      </c>
      <c r="R117" s="296">
        <f t="shared" si="38"/>
        <v>0.24499999999999994</v>
      </c>
      <c r="S117" s="296">
        <f t="shared" si="38"/>
        <v>0.2513333333333333</v>
      </c>
      <c r="T117" s="296">
        <f t="shared" si="39"/>
        <v>0.25766666666666665</v>
      </c>
      <c r="U117" s="296">
        <f t="shared" si="39"/>
        <v>0.26400000000000001</v>
      </c>
      <c r="V117" s="296">
        <f t="shared" si="39"/>
        <v>0.27033333333333337</v>
      </c>
      <c r="W117" s="296">
        <f t="shared" si="39"/>
        <v>0.27666666666666673</v>
      </c>
      <c r="X117" s="296">
        <f t="shared" si="39"/>
        <v>0.28300000000000008</v>
      </c>
      <c r="Y117" s="296">
        <f t="shared" si="39"/>
        <v>0.28933333333333344</v>
      </c>
      <c r="Z117" s="296">
        <f t="shared" si="39"/>
        <v>0.2956666666666668</v>
      </c>
      <c r="AA117" s="296">
        <f t="shared" si="39"/>
        <v>0.30200000000000016</v>
      </c>
      <c r="AB117" s="296">
        <f t="shared" si="39"/>
        <v>0.30833333333333351</v>
      </c>
      <c r="AC117" s="296">
        <f t="shared" si="39"/>
        <v>0.31466666666666687</v>
      </c>
      <c r="AD117" s="296">
        <f t="shared" si="39"/>
        <v>0.32100000000000023</v>
      </c>
      <c r="AE117" s="296">
        <f t="shared" si="39"/>
        <v>0.32733333333333359</v>
      </c>
      <c r="AF117" s="296">
        <f t="shared" si="39"/>
        <v>0.33366666666666694</v>
      </c>
      <c r="AG117" s="275">
        <v>0.34</v>
      </c>
      <c r="AI117" s="295"/>
      <c r="AJ117" s="198" t="s">
        <v>1614</v>
      </c>
    </row>
    <row r="118" spans="1:36" s="1" customFormat="1" outlineLevel="1">
      <c r="A118" t="s">
        <v>727</v>
      </c>
      <c r="B118" s="281" t="s">
        <v>126</v>
      </c>
      <c r="C118" s="275">
        <v>0.85</v>
      </c>
      <c r="D118" s="296">
        <f t="shared" si="38"/>
        <v>0.84366666666666668</v>
      </c>
      <c r="E118" s="296">
        <f t="shared" si="38"/>
        <v>0.83733333333333337</v>
      </c>
      <c r="F118" s="296">
        <f t="shared" si="38"/>
        <v>0.83100000000000007</v>
      </c>
      <c r="G118" s="296">
        <f t="shared" si="38"/>
        <v>0.82466666666666677</v>
      </c>
      <c r="H118" s="296">
        <f t="shared" si="38"/>
        <v>0.81833333333333347</v>
      </c>
      <c r="I118" s="296">
        <f t="shared" si="38"/>
        <v>0.81200000000000017</v>
      </c>
      <c r="J118" s="296">
        <f t="shared" si="38"/>
        <v>0.80566666666666686</v>
      </c>
      <c r="K118" s="296">
        <f t="shared" si="38"/>
        <v>0.79933333333333356</v>
      </c>
      <c r="L118" s="296">
        <f t="shared" si="38"/>
        <v>0.79300000000000026</v>
      </c>
      <c r="M118" s="296">
        <f t="shared" si="38"/>
        <v>0.78666666666666696</v>
      </c>
      <c r="N118" s="296">
        <f t="shared" si="38"/>
        <v>0.78033333333333366</v>
      </c>
      <c r="O118" s="296">
        <f t="shared" si="38"/>
        <v>0.77400000000000035</v>
      </c>
      <c r="P118" s="296">
        <f t="shared" si="38"/>
        <v>0.76766666666666705</v>
      </c>
      <c r="Q118" s="296">
        <f t="shared" si="38"/>
        <v>0.76133333333333375</v>
      </c>
      <c r="R118" s="296">
        <f t="shared" si="38"/>
        <v>0.75500000000000045</v>
      </c>
      <c r="S118" s="296">
        <f t="shared" si="38"/>
        <v>0.74866666666666715</v>
      </c>
      <c r="T118" s="296">
        <f t="shared" si="39"/>
        <v>0.74233333333333384</v>
      </c>
      <c r="U118" s="296">
        <f t="shared" si="39"/>
        <v>0.73600000000000054</v>
      </c>
      <c r="V118" s="296">
        <f t="shared" si="39"/>
        <v>0.72966666666666724</v>
      </c>
      <c r="W118" s="296">
        <f t="shared" si="39"/>
        <v>0.72333333333333394</v>
      </c>
      <c r="X118" s="296">
        <f t="shared" si="39"/>
        <v>0.71700000000000064</v>
      </c>
      <c r="Y118" s="296">
        <f t="shared" si="39"/>
        <v>0.71066666666666733</v>
      </c>
      <c r="Z118" s="296">
        <f t="shared" si="39"/>
        <v>0.70433333333333403</v>
      </c>
      <c r="AA118" s="296">
        <f t="shared" si="39"/>
        <v>0.69800000000000073</v>
      </c>
      <c r="AB118" s="296">
        <f t="shared" si="39"/>
        <v>0.69166666666666743</v>
      </c>
      <c r="AC118" s="296">
        <f t="shared" si="39"/>
        <v>0.68533333333333413</v>
      </c>
      <c r="AD118" s="296">
        <f t="shared" si="39"/>
        <v>0.67900000000000083</v>
      </c>
      <c r="AE118" s="296">
        <f t="shared" si="39"/>
        <v>0.67266666666666752</v>
      </c>
      <c r="AF118" s="296">
        <f t="shared" si="39"/>
        <v>0.66633333333333422</v>
      </c>
      <c r="AG118" s="275">
        <v>0.66</v>
      </c>
      <c r="AI118" s="295"/>
      <c r="AJ118" s="198" t="s">
        <v>1614</v>
      </c>
    </row>
    <row r="119" spans="1:36" s="1" customFormat="1" outlineLevel="1">
      <c r="A119" t="s">
        <v>730</v>
      </c>
      <c r="B119" s="281" t="s">
        <v>126</v>
      </c>
      <c r="C119" s="275">
        <v>0</v>
      </c>
      <c r="D119" s="296">
        <f t="shared" si="38"/>
        <v>0</v>
      </c>
      <c r="E119" s="296">
        <f t="shared" si="38"/>
        <v>0</v>
      </c>
      <c r="F119" s="296">
        <f t="shared" si="38"/>
        <v>0</v>
      </c>
      <c r="G119" s="296">
        <f t="shared" si="38"/>
        <v>0</v>
      </c>
      <c r="H119" s="296">
        <f t="shared" si="38"/>
        <v>0</v>
      </c>
      <c r="I119" s="296">
        <f t="shared" si="38"/>
        <v>0</v>
      </c>
      <c r="J119" s="296">
        <f t="shared" si="38"/>
        <v>0</v>
      </c>
      <c r="K119" s="296">
        <f t="shared" si="38"/>
        <v>0</v>
      </c>
      <c r="L119" s="296">
        <f t="shared" si="38"/>
        <v>0</v>
      </c>
      <c r="M119" s="296">
        <f t="shared" si="38"/>
        <v>0</v>
      </c>
      <c r="N119" s="296">
        <f t="shared" si="38"/>
        <v>0</v>
      </c>
      <c r="O119" s="296">
        <f t="shared" si="38"/>
        <v>0</v>
      </c>
      <c r="P119" s="296">
        <f t="shared" si="38"/>
        <v>0</v>
      </c>
      <c r="Q119" s="296">
        <f t="shared" si="38"/>
        <v>0</v>
      </c>
      <c r="R119" s="296">
        <f t="shared" si="38"/>
        <v>0</v>
      </c>
      <c r="S119" s="296">
        <f t="shared" si="38"/>
        <v>0</v>
      </c>
      <c r="T119" s="296">
        <f t="shared" si="39"/>
        <v>0</v>
      </c>
      <c r="U119" s="296">
        <f t="shared" si="39"/>
        <v>0</v>
      </c>
      <c r="V119" s="296">
        <f t="shared" si="39"/>
        <v>0</v>
      </c>
      <c r="W119" s="296">
        <f t="shared" si="39"/>
        <v>0</v>
      </c>
      <c r="X119" s="296">
        <f t="shared" si="39"/>
        <v>0</v>
      </c>
      <c r="Y119" s="296">
        <f t="shared" si="39"/>
        <v>0</v>
      </c>
      <c r="Z119" s="296">
        <f t="shared" si="39"/>
        <v>0</v>
      </c>
      <c r="AA119" s="296">
        <f t="shared" si="39"/>
        <v>0</v>
      </c>
      <c r="AB119" s="296">
        <f t="shared" si="39"/>
        <v>0</v>
      </c>
      <c r="AC119" s="296">
        <f t="shared" si="39"/>
        <v>0</v>
      </c>
      <c r="AD119" s="296">
        <f t="shared" si="39"/>
        <v>0</v>
      </c>
      <c r="AE119" s="296">
        <f t="shared" si="39"/>
        <v>0</v>
      </c>
      <c r="AF119" s="296">
        <f t="shared" si="39"/>
        <v>0</v>
      </c>
      <c r="AG119" s="275">
        <v>0</v>
      </c>
      <c r="AI119" s="295"/>
      <c r="AJ119" s="198" t="s">
        <v>1615</v>
      </c>
    </row>
    <row r="120" spans="1:36" s="1" customFormat="1" outlineLevel="1">
      <c r="A120" t="s">
        <v>741</v>
      </c>
      <c r="B120" s="281" t="s">
        <v>126</v>
      </c>
      <c r="C120" s="275">
        <v>1</v>
      </c>
      <c r="D120" s="296">
        <f t="shared" si="38"/>
        <v>1</v>
      </c>
      <c r="E120" s="296">
        <f t="shared" si="38"/>
        <v>1</v>
      </c>
      <c r="F120" s="296">
        <f t="shared" si="38"/>
        <v>1</v>
      </c>
      <c r="G120" s="296">
        <f t="shared" si="38"/>
        <v>1</v>
      </c>
      <c r="H120" s="296">
        <f t="shared" si="38"/>
        <v>1</v>
      </c>
      <c r="I120" s="296">
        <f t="shared" si="38"/>
        <v>1</v>
      </c>
      <c r="J120" s="296">
        <f t="shared" si="38"/>
        <v>1</v>
      </c>
      <c r="K120" s="296">
        <f t="shared" si="38"/>
        <v>1</v>
      </c>
      <c r="L120" s="296">
        <f t="shared" si="38"/>
        <v>1</v>
      </c>
      <c r="M120" s="296">
        <f t="shared" si="38"/>
        <v>1</v>
      </c>
      <c r="N120" s="296">
        <f t="shared" si="38"/>
        <v>1</v>
      </c>
      <c r="O120" s="296">
        <f t="shared" si="38"/>
        <v>1</v>
      </c>
      <c r="P120" s="296">
        <f t="shared" si="38"/>
        <v>1</v>
      </c>
      <c r="Q120" s="296">
        <f t="shared" si="38"/>
        <v>1</v>
      </c>
      <c r="R120" s="296">
        <f t="shared" si="38"/>
        <v>1</v>
      </c>
      <c r="S120" s="296">
        <f t="shared" si="38"/>
        <v>1</v>
      </c>
      <c r="T120" s="296">
        <f t="shared" si="39"/>
        <v>1</v>
      </c>
      <c r="U120" s="296">
        <f t="shared" si="39"/>
        <v>1</v>
      </c>
      <c r="V120" s="296">
        <f t="shared" si="39"/>
        <v>1</v>
      </c>
      <c r="W120" s="296">
        <f t="shared" si="39"/>
        <v>1</v>
      </c>
      <c r="X120" s="296">
        <f t="shared" si="39"/>
        <v>1</v>
      </c>
      <c r="Y120" s="296">
        <f t="shared" si="39"/>
        <v>1</v>
      </c>
      <c r="Z120" s="296">
        <f t="shared" si="39"/>
        <v>1</v>
      </c>
      <c r="AA120" s="296">
        <f t="shared" si="39"/>
        <v>1</v>
      </c>
      <c r="AB120" s="296">
        <f t="shared" si="39"/>
        <v>1</v>
      </c>
      <c r="AC120" s="296">
        <f t="shared" si="39"/>
        <v>1</v>
      </c>
      <c r="AD120" s="296">
        <f t="shared" si="39"/>
        <v>1</v>
      </c>
      <c r="AE120" s="296">
        <f t="shared" si="39"/>
        <v>1</v>
      </c>
      <c r="AF120" s="296">
        <f t="shared" si="39"/>
        <v>1</v>
      </c>
      <c r="AG120" s="275">
        <v>1</v>
      </c>
      <c r="AI120" s="295"/>
      <c r="AJ120" s="198" t="s">
        <v>1616</v>
      </c>
    </row>
    <row r="121" spans="1:36" s="1" customFormat="1" outlineLevel="1">
      <c r="A121" t="s">
        <v>728</v>
      </c>
      <c r="B121" s="281" t="s">
        <v>126</v>
      </c>
      <c r="C121" s="275">
        <v>0.8</v>
      </c>
      <c r="D121" s="296">
        <f t="shared" si="38"/>
        <v>0.80333333333333334</v>
      </c>
      <c r="E121" s="296">
        <f t="shared" si="38"/>
        <v>0.80666666666666664</v>
      </c>
      <c r="F121" s="296">
        <f t="shared" si="38"/>
        <v>0.80999999999999994</v>
      </c>
      <c r="G121" s="296">
        <f t="shared" si="38"/>
        <v>0.81333333333333324</v>
      </c>
      <c r="H121" s="296">
        <f t="shared" si="38"/>
        <v>0.81666666666666654</v>
      </c>
      <c r="I121" s="296">
        <f t="shared" si="38"/>
        <v>0.81999999999999984</v>
      </c>
      <c r="J121" s="296">
        <f t="shared" si="38"/>
        <v>0.82333333333333314</v>
      </c>
      <c r="K121" s="296">
        <f t="shared" si="38"/>
        <v>0.82666666666666644</v>
      </c>
      <c r="L121" s="296">
        <f t="shared" si="38"/>
        <v>0.82999999999999974</v>
      </c>
      <c r="M121" s="296">
        <f t="shared" si="38"/>
        <v>0.83333333333333304</v>
      </c>
      <c r="N121" s="296">
        <f t="shared" si="38"/>
        <v>0.83666666666666634</v>
      </c>
      <c r="O121" s="296">
        <f t="shared" si="38"/>
        <v>0.83999999999999964</v>
      </c>
      <c r="P121" s="296">
        <f t="shared" si="38"/>
        <v>0.84333333333333294</v>
      </c>
      <c r="Q121" s="296">
        <f t="shared" si="38"/>
        <v>0.84666666666666623</v>
      </c>
      <c r="R121" s="296">
        <f t="shared" si="38"/>
        <v>0.84999999999999953</v>
      </c>
      <c r="S121" s="296">
        <f t="shared" si="38"/>
        <v>0.85333333333333283</v>
      </c>
      <c r="T121" s="296">
        <f t="shared" si="39"/>
        <v>0.85666666666666613</v>
      </c>
      <c r="U121" s="296">
        <f t="shared" si="39"/>
        <v>0.85999999999999943</v>
      </c>
      <c r="V121" s="296">
        <f t="shared" si="39"/>
        <v>0.86333333333333273</v>
      </c>
      <c r="W121" s="296">
        <f t="shared" si="39"/>
        <v>0.86666666666666603</v>
      </c>
      <c r="X121" s="296">
        <f t="shared" si="39"/>
        <v>0.86999999999999933</v>
      </c>
      <c r="Y121" s="296">
        <f t="shared" si="39"/>
        <v>0.87333333333333263</v>
      </c>
      <c r="Z121" s="296">
        <f t="shared" si="39"/>
        <v>0.87666666666666593</v>
      </c>
      <c r="AA121" s="296">
        <f t="shared" si="39"/>
        <v>0.87999999999999923</v>
      </c>
      <c r="AB121" s="296">
        <f t="shared" si="39"/>
        <v>0.88333333333333253</v>
      </c>
      <c r="AC121" s="296">
        <f t="shared" si="39"/>
        <v>0.88666666666666583</v>
      </c>
      <c r="AD121" s="296">
        <f t="shared" si="39"/>
        <v>0.88999999999999913</v>
      </c>
      <c r="AE121" s="296">
        <f t="shared" si="39"/>
        <v>0.89333333333333242</v>
      </c>
      <c r="AF121" s="296">
        <f t="shared" si="39"/>
        <v>0.89666666666666572</v>
      </c>
      <c r="AG121" s="275">
        <v>0.9</v>
      </c>
      <c r="AI121" s="295"/>
      <c r="AJ121" s="198" t="s">
        <v>1617</v>
      </c>
    </row>
    <row r="122" spans="1:36" s="1" customFormat="1" outlineLevel="1">
      <c r="A122" t="s">
        <v>729</v>
      </c>
      <c r="B122" s="281" t="s">
        <v>126</v>
      </c>
      <c r="C122" s="275">
        <v>0.2</v>
      </c>
      <c r="D122" s="296">
        <f t="shared" si="38"/>
        <v>0.19666666666666668</v>
      </c>
      <c r="E122" s="296">
        <f t="shared" si="38"/>
        <v>0.19333333333333336</v>
      </c>
      <c r="F122" s="296">
        <f t="shared" si="38"/>
        <v>0.19000000000000003</v>
      </c>
      <c r="G122" s="296">
        <f t="shared" si="38"/>
        <v>0.1866666666666667</v>
      </c>
      <c r="H122" s="296">
        <f t="shared" si="38"/>
        <v>0.18333333333333338</v>
      </c>
      <c r="I122" s="296">
        <f t="shared" si="38"/>
        <v>0.18000000000000005</v>
      </c>
      <c r="J122" s="296">
        <f t="shared" si="38"/>
        <v>0.17666666666666672</v>
      </c>
      <c r="K122" s="296">
        <f t="shared" si="38"/>
        <v>0.17333333333333339</v>
      </c>
      <c r="L122" s="296">
        <f t="shared" si="38"/>
        <v>0.17000000000000007</v>
      </c>
      <c r="M122" s="296">
        <f t="shared" si="38"/>
        <v>0.16666666666666674</v>
      </c>
      <c r="N122" s="296">
        <f t="shared" si="38"/>
        <v>0.16333333333333341</v>
      </c>
      <c r="O122" s="296">
        <f t="shared" si="38"/>
        <v>0.16000000000000009</v>
      </c>
      <c r="P122" s="296">
        <f t="shared" si="38"/>
        <v>0.15666666666666676</v>
      </c>
      <c r="Q122" s="296">
        <f t="shared" si="38"/>
        <v>0.15333333333333343</v>
      </c>
      <c r="R122" s="296">
        <f t="shared" si="38"/>
        <v>0.15000000000000011</v>
      </c>
      <c r="S122" s="296">
        <f t="shared" si="38"/>
        <v>0.14666666666666678</v>
      </c>
      <c r="T122" s="296">
        <f t="shared" si="39"/>
        <v>0.14333333333333345</v>
      </c>
      <c r="U122" s="296">
        <f t="shared" si="39"/>
        <v>0.14000000000000012</v>
      </c>
      <c r="V122" s="296">
        <f t="shared" si="39"/>
        <v>0.1366666666666668</v>
      </c>
      <c r="W122" s="296">
        <f t="shared" si="39"/>
        <v>0.13333333333333347</v>
      </c>
      <c r="X122" s="296">
        <f t="shared" si="39"/>
        <v>0.13000000000000014</v>
      </c>
      <c r="Y122" s="296">
        <f t="shared" si="39"/>
        <v>0.12666666666666682</v>
      </c>
      <c r="Z122" s="296">
        <f t="shared" si="39"/>
        <v>0.12333333333333349</v>
      </c>
      <c r="AA122" s="296">
        <f t="shared" si="39"/>
        <v>0.12000000000000016</v>
      </c>
      <c r="AB122" s="296">
        <f t="shared" si="39"/>
        <v>0.11666666666666684</v>
      </c>
      <c r="AC122" s="296">
        <f t="shared" si="39"/>
        <v>0.11333333333333351</v>
      </c>
      <c r="AD122" s="296">
        <f t="shared" si="39"/>
        <v>0.11000000000000018</v>
      </c>
      <c r="AE122" s="296">
        <f t="shared" si="39"/>
        <v>0.10666666666666685</v>
      </c>
      <c r="AF122" s="296">
        <f t="shared" si="39"/>
        <v>0.10333333333333353</v>
      </c>
      <c r="AG122" s="275">
        <v>0.1</v>
      </c>
      <c r="AI122" s="295"/>
      <c r="AJ122" s="198" t="s">
        <v>1618</v>
      </c>
    </row>
    <row r="123" spans="1:36" s="1" customFormat="1" outlineLevel="1">
      <c r="A123" t="s">
        <v>739</v>
      </c>
      <c r="B123" s="281" t="s">
        <v>126</v>
      </c>
      <c r="C123" s="275">
        <v>0.95</v>
      </c>
      <c r="D123" s="296">
        <f t="shared" si="38"/>
        <v>0.94866666666666666</v>
      </c>
      <c r="E123" s="296">
        <f t="shared" si="38"/>
        <v>0.94733333333333336</v>
      </c>
      <c r="F123" s="296">
        <f t="shared" si="38"/>
        <v>0.94600000000000006</v>
      </c>
      <c r="G123" s="296">
        <f t="shared" si="38"/>
        <v>0.94466666666666677</v>
      </c>
      <c r="H123" s="296">
        <f t="shared" si="38"/>
        <v>0.94333333333333347</v>
      </c>
      <c r="I123" s="296">
        <f t="shared" si="38"/>
        <v>0.94200000000000017</v>
      </c>
      <c r="J123" s="296">
        <f t="shared" si="38"/>
        <v>0.94066666666666687</v>
      </c>
      <c r="K123" s="296">
        <f t="shared" si="38"/>
        <v>0.93933333333333358</v>
      </c>
      <c r="L123" s="296">
        <f t="shared" si="38"/>
        <v>0.93800000000000028</v>
      </c>
      <c r="M123" s="296">
        <f t="shared" si="38"/>
        <v>0.93666666666666698</v>
      </c>
      <c r="N123" s="296">
        <f t="shared" si="38"/>
        <v>0.93533333333333368</v>
      </c>
      <c r="O123" s="296">
        <f t="shared" si="38"/>
        <v>0.93400000000000039</v>
      </c>
      <c r="P123" s="296">
        <f t="shared" si="38"/>
        <v>0.93266666666666709</v>
      </c>
      <c r="Q123" s="296">
        <f t="shared" si="38"/>
        <v>0.93133333333333379</v>
      </c>
      <c r="R123" s="296">
        <f t="shared" si="38"/>
        <v>0.93000000000000049</v>
      </c>
      <c r="S123" s="296">
        <f t="shared" si="38"/>
        <v>0.9286666666666672</v>
      </c>
      <c r="T123" s="296">
        <f t="shared" si="39"/>
        <v>0.9273333333333339</v>
      </c>
      <c r="U123" s="296">
        <f t="shared" si="39"/>
        <v>0.9260000000000006</v>
      </c>
      <c r="V123" s="296">
        <f t="shared" si="39"/>
        <v>0.9246666666666673</v>
      </c>
      <c r="W123" s="296">
        <f t="shared" si="39"/>
        <v>0.92333333333333401</v>
      </c>
      <c r="X123" s="296">
        <f t="shared" si="39"/>
        <v>0.92200000000000071</v>
      </c>
      <c r="Y123" s="296">
        <f t="shared" si="39"/>
        <v>0.92066666666666741</v>
      </c>
      <c r="Z123" s="296">
        <f t="shared" si="39"/>
        <v>0.91933333333333411</v>
      </c>
      <c r="AA123" s="296">
        <f t="shared" si="39"/>
        <v>0.91800000000000082</v>
      </c>
      <c r="AB123" s="296">
        <f t="shared" si="39"/>
        <v>0.91666666666666752</v>
      </c>
      <c r="AC123" s="296">
        <f t="shared" si="39"/>
        <v>0.91533333333333422</v>
      </c>
      <c r="AD123" s="296">
        <f t="shared" si="39"/>
        <v>0.91400000000000092</v>
      </c>
      <c r="AE123" s="296">
        <f t="shared" si="39"/>
        <v>0.91266666666666763</v>
      </c>
      <c r="AF123" s="296">
        <f t="shared" si="39"/>
        <v>0.91133333333333433</v>
      </c>
      <c r="AG123" s="275">
        <v>0.91</v>
      </c>
      <c r="AI123" s="295"/>
      <c r="AJ123" s="198" t="s">
        <v>1619</v>
      </c>
    </row>
    <row r="124" spans="1:36" s="1" customFormat="1" outlineLevel="1">
      <c r="A124" t="s">
        <v>740</v>
      </c>
      <c r="B124" s="281" t="s">
        <v>126</v>
      </c>
      <c r="C124" s="275">
        <v>0.05</v>
      </c>
      <c r="D124" s="296">
        <f t="shared" si="38"/>
        <v>5.1333333333333335E-2</v>
      </c>
      <c r="E124" s="296">
        <f t="shared" si="38"/>
        <v>5.2666666666666667E-2</v>
      </c>
      <c r="F124" s="296">
        <f t="shared" si="38"/>
        <v>5.3999999999999999E-2</v>
      </c>
      <c r="G124" s="296">
        <f t="shared" si="38"/>
        <v>5.5333333333333332E-2</v>
      </c>
      <c r="H124" s="296">
        <f t="shared" si="38"/>
        <v>5.6666666666666664E-2</v>
      </c>
      <c r="I124" s="296">
        <f t="shared" si="38"/>
        <v>5.7999999999999996E-2</v>
      </c>
      <c r="J124" s="296">
        <f t="shared" si="38"/>
        <v>5.9333333333333328E-2</v>
      </c>
      <c r="K124" s="296">
        <f t="shared" si="38"/>
        <v>6.066666666666666E-2</v>
      </c>
      <c r="L124" s="296">
        <f t="shared" si="38"/>
        <v>6.1999999999999993E-2</v>
      </c>
      <c r="M124" s="296">
        <f t="shared" si="38"/>
        <v>6.3333333333333325E-2</v>
      </c>
      <c r="N124" s="296">
        <f t="shared" si="38"/>
        <v>6.4666666666666664E-2</v>
      </c>
      <c r="O124" s="296">
        <f t="shared" si="38"/>
        <v>6.6000000000000003E-2</v>
      </c>
      <c r="P124" s="296">
        <f t="shared" si="38"/>
        <v>6.7333333333333342E-2</v>
      </c>
      <c r="Q124" s="296">
        <f t="shared" si="38"/>
        <v>6.8666666666666681E-2</v>
      </c>
      <c r="R124" s="296">
        <f t="shared" si="38"/>
        <v>7.0000000000000021E-2</v>
      </c>
      <c r="S124" s="296">
        <f t="shared" si="38"/>
        <v>7.133333333333336E-2</v>
      </c>
      <c r="T124" s="296">
        <f t="shared" si="39"/>
        <v>7.2666666666666699E-2</v>
      </c>
      <c r="U124" s="296">
        <f t="shared" si="39"/>
        <v>7.4000000000000038E-2</v>
      </c>
      <c r="V124" s="296">
        <f t="shared" si="39"/>
        <v>7.5333333333333377E-2</v>
      </c>
      <c r="W124" s="296">
        <f t="shared" si="39"/>
        <v>7.6666666666666716E-2</v>
      </c>
      <c r="X124" s="296">
        <f t="shared" si="39"/>
        <v>7.8000000000000055E-2</v>
      </c>
      <c r="Y124" s="296">
        <f t="shared" si="39"/>
        <v>7.9333333333333395E-2</v>
      </c>
      <c r="Z124" s="296">
        <f t="shared" si="39"/>
        <v>8.0666666666666734E-2</v>
      </c>
      <c r="AA124" s="296">
        <f t="shared" si="39"/>
        <v>8.2000000000000073E-2</v>
      </c>
      <c r="AB124" s="296">
        <f t="shared" si="39"/>
        <v>8.3333333333333412E-2</v>
      </c>
      <c r="AC124" s="296">
        <f t="shared" si="39"/>
        <v>8.4666666666666751E-2</v>
      </c>
      <c r="AD124" s="296">
        <f t="shared" si="39"/>
        <v>8.600000000000009E-2</v>
      </c>
      <c r="AE124" s="296">
        <f t="shared" si="39"/>
        <v>8.7333333333333429E-2</v>
      </c>
      <c r="AF124" s="296">
        <f t="shared" si="39"/>
        <v>8.8666666666666769E-2</v>
      </c>
      <c r="AG124" s="275">
        <v>0.09</v>
      </c>
      <c r="AI124" s="295"/>
      <c r="AJ124" s="198" t="s">
        <v>1620</v>
      </c>
    </row>
    <row r="125" spans="1:36" s="1" customFormat="1" outlineLevel="1">
      <c r="A125" t="s">
        <v>742</v>
      </c>
      <c r="B125" s="281"/>
      <c r="C125" s="275">
        <v>0.27</v>
      </c>
      <c r="D125" s="296">
        <f t="shared" si="38"/>
        <v>0.26600000000000001</v>
      </c>
      <c r="E125" s="296">
        <f t="shared" si="38"/>
        <v>0.26200000000000001</v>
      </c>
      <c r="F125" s="296">
        <f t="shared" si="38"/>
        <v>0.25800000000000001</v>
      </c>
      <c r="G125" s="296">
        <f t="shared" si="38"/>
        <v>0.254</v>
      </c>
      <c r="H125" s="296">
        <f t="shared" si="38"/>
        <v>0.25</v>
      </c>
      <c r="I125" s="296">
        <f t="shared" si="38"/>
        <v>0.246</v>
      </c>
      <c r="J125" s="296">
        <f t="shared" si="38"/>
        <v>0.24199999999999999</v>
      </c>
      <c r="K125" s="296">
        <f t="shared" si="38"/>
        <v>0.23799999999999999</v>
      </c>
      <c r="L125" s="296">
        <f t="shared" si="38"/>
        <v>0.23399999999999999</v>
      </c>
      <c r="M125" s="296">
        <f t="shared" si="38"/>
        <v>0.22999999999999998</v>
      </c>
      <c r="N125" s="296">
        <f t="shared" si="38"/>
        <v>0.22599999999999998</v>
      </c>
      <c r="O125" s="296">
        <f t="shared" si="38"/>
        <v>0.22199999999999998</v>
      </c>
      <c r="P125" s="296">
        <f t="shared" si="38"/>
        <v>0.21799999999999997</v>
      </c>
      <c r="Q125" s="296">
        <f t="shared" si="38"/>
        <v>0.21399999999999997</v>
      </c>
      <c r="R125" s="296">
        <f t="shared" si="38"/>
        <v>0.20999999999999996</v>
      </c>
      <c r="S125" s="296">
        <f t="shared" si="38"/>
        <v>0.20599999999999996</v>
      </c>
      <c r="T125" s="296">
        <f t="shared" si="39"/>
        <v>0.20199999999999996</v>
      </c>
      <c r="U125" s="296">
        <f t="shared" si="39"/>
        <v>0.19799999999999995</v>
      </c>
      <c r="V125" s="296">
        <f t="shared" si="39"/>
        <v>0.19399999999999995</v>
      </c>
      <c r="W125" s="296">
        <f t="shared" si="39"/>
        <v>0.18999999999999995</v>
      </c>
      <c r="X125" s="296">
        <f t="shared" si="39"/>
        <v>0.18599999999999994</v>
      </c>
      <c r="Y125" s="296">
        <f t="shared" si="39"/>
        <v>0.18199999999999994</v>
      </c>
      <c r="Z125" s="296">
        <f t="shared" si="39"/>
        <v>0.17799999999999994</v>
      </c>
      <c r="AA125" s="296">
        <f t="shared" si="39"/>
        <v>0.17399999999999993</v>
      </c>
      <c r="AB125" s="296">
        <f t="shared" si="39"/>
        <v>0.16999999999999993</v>
      </c>
      <c r="AC125" s="296">
        <f t="shared" si="39"/>
        <v>0.16599999999999993</v>
      </c>
      <c r="AD125" s="296">
        <f t="shared" si="39"/>
        <v>0.16199999999999992</v>
      </c>
      <c r="AE125" s="296">
        <f t="shared" si="39"/>
        <v>0.15799999999999992</v>
      </c>
      <c r="AF125" s="296">
        <f t="shared" si="39"/>
        <v>0.15399999999999991</v>
      </c>
      <c r="AG125" s="275">
        <v>0.15</v>
      </c>
      <c r="AI125" s="295"/>
      <c r="AJ125" s="198"/>
    </row>
    <row r="126" spans="1:36" s="62" customFormat="1" outlineLevel="1">
      <c r="A126" s="322" t="s">
        <v>733</v>
      </c>
      <c r="B126" s="287" t="s">
        <v>126</v>
      </c>
      <c r="C126" s="314">
        <v>0.16</v>
      </c>
      <c r="D126" s="315">
        <f t="shared" si="38"/>
        <v>0.16533333333333333</v>
      </c>
      <c r="E126" s="315">
        <f t="shared" si="38"/>
        <v>0.17066666666666666</v>
      </c>
      <c r="F126" s="315">
        <f t="shared" si="38"/>
        <v>0.17599999999999999</v>
      </c>
      <c r="G126" s="315">
        <f t="shared" si="38"/>
        <v>0.18133333333333332</v>
      </c>
      <c r="H126" s="315">
        <f t="shared" si="38"/>
        <v>0.18666666666666665</v>
      </c>
      <c r="I126" s="315">
        <f t="shared" si="38"/>
        <v>0.19199999999999998</v>
      </c>
      <c r="J126" s="315">
        <f t="shared" si="38"/>
        <v>0.19733333333333331</v>
      </c>
      <c r="K126" s="315">
        <f t="shared" si="38"/>
        <v>0.20266666666666663</v>
      </c>
      <c r="L126" s="315">
        <f t="shared" si="38"/>
        <v>0.20799999999999996</v>
      </c>
      <c r="M126" s="315">
        <f t="shared" si="38"/>
        <v>0.21333333333333329</v>
      </c>
      <c r="N126" s="315">
        <f t="shared" si="38"/>
        <v>0.21866666666666662</v>
      </c>
      <c r="O126" s="315">
        <f t="shared" si="38"/>
        <v>0.22399999999999995</v>
      </c>
      <c r="P126" s="315">
        <f t="shared" si="38"/>
        <v>0.22933333333333328</v>
      </c>
      <c r="Q126" s="315">
        <f t="shared" si="38"/>
        <v>0.23466666666666661</v>
      </c>
      <c r="R126" s="315">
        <f t="shared" si="38"/>
        <v>0.23999999999999994</v>
      </c>
      <c r="S126" s="315">
        <f t="shared" si="38"/>
        <v>0.24533333333333326</v>
      </c>
      <c r="T126" s="315">
        <f t="shared" si="39"/>
        <v>0.25066666666666659</v>
      </c>
      <c r="U126" s="315">
        <f t="shared" si="39"/>
        <v>0.25599999999999995</v>
      </c>
      <c r="V126" s="315">
        <f t="shared" si="39"/>
        <v>0.26133333333333331</v>
      </c>
      <c r="W126" s="315">
        <f t="shared" si="39"/>
        <v>0.26666666666666666</v>
      </c>
      <c r="X126" s="315">
        <f t="shared" si="39"/>
        <v>0.27200000000000002</v>
      </c>
      <c r="Y126" s="315">
        <f t="shared" si="39"/>
        <v>0.27733333333333338</v>
      </c>
      <c r="Z126" s="315">
        <f t="shared" si="39"/>
        <v>0.28266666666666673</v>
      </c>
      <c r="AA126" s="315">
        <f t="shared" si="39"/>
        <v>0.28800000000000009</v>
      </c>
      <c r="AB126" s="315">
        <f t="shared" si="39"/>
        <v>0.29333333333333345</v>
      </c>
      <c r="AC126" s="315">
        <f t="shared" si="39"/>
        <v>0.2986666666666668</v>
      </c>
      <c r="AD126" s="315">
        <f t="shared" si="39"/>
        <v>0.30400000000000016</v>
      </c>
      <c r="AE126" s="315">
        <f t="shared" si="39"/>
        <v>0.30933333333333352</v>
      </c>
      <c r="AF126" s="315">
        <f t="shared" si="39"/>
        <v>0.31466666666666687</v>
      </c>
      <c r="AG126" s="314">
        <v>0.32</v>
      </c>
      <c r="AI126" s="314"/>
      <c r="AJ126" s="316" t="s">
        <v>1620</v>
      </c>
    </row>
    <row r="127" spans="1:36" outlineLevel="1">
      <c r="A127" s="323" t="s">
        <v>734</v>
      </c>
      <c r="B127" s="281" t="s">
        <v>126</v>
      </c>
      <c r="C127" s="275">
        <v>0.37</v>
      </c>
      <c r="D127" s="296">
        <f t="shared" si="38"/>
        <v>0.37166666666666665</v>
      </c>
      <c r="E127" s="296">
        <f t="shared" si="38"/>
        <v>0.37333333333333329</v>
      </c>
      <c r="F127" s="296">
        <f t="shared" si="38"/>
        <v>0.37499999999999994</v>
      </c>
      <c r="G127" s="296">
        <f t="shared" si="38"/>
        <v>0.37666666666666659</v>
      </c>
      <c r="H127" s="296">
        <f t="shared" si="38"/>
        <v>0.37833333333333324</v>
      </c>
      <c r="I127" s="296">
        <f t="shared" si="38"/>
        <v>0.37999999999999989</v>
      </c>
      <c r="J127" s="296">
        <f t="shared" si="38"/>
        <v>0.38166666666666654</v>
      </c>
      <c r="K127" s="296">
        <f t="shared" si="38"/>
        <v>0.38333333333333319</v>
      </c>
      <c r="L127" s="296">
        <f t="shared" si="38"/>
        <v>0.38499999999999984</v>
      </c>
      <c r="M127" s="296">
        <f t="shared" si="38"/>
        <v>0.38666666666666649</v>
      </c>
      <c r="N127" s="296">
        <f t="shared" si="38"/>
        <v>0.38833333333333314</v>
      </c>
      <c r="O127" s="296">
        <f t="shared" si="38"/>
        <v>0.38999999999999979</v>
      </c>
      <c r="P127" s="296">
        <f t="shared" si="38"/>
        <v>0.39166666666666644</v>
      </c>
      <c r="Q127" s="296">
        <f t="shared" si="38"/>
        <v>0.39333333333333309</v>
      </c>
      <c r="R127" s="296">
        <f t="shared" si="38"/>
        <v>0.39499999999999974</v>
      </c>
      <c r="S127" s="296">
        <f t="shared" si="38"/>
        <v>0.39666666666666639</v>
      </c>
      <c r="T127" s="296">
        <f t="shared" si="39"/>
        <v>0.39833333333333304</v>
      </c>
      <c r="U127" s="296">
        <f t="shared" si="39"/>
        <v>0.39999999999999969</v>
      </c>
      <c r="V127" s="296">
        <f t="shared" si="39"/>
        <v>0.40166666666666634</v>
      </c>
      <c r="W127" s="296">
        <f t="shared" si="39"/>
        <v>0.40333333333333299</v>
      </c>
      <c r="X127" s="296">
        <f t="shared" si="39"/>
        <v>0.40499999999999964</v>
      </c>
      <c r="Y127" s="296">
        <f t="shared" si="39"/>
        <v>0.40666666666666629</v>
      </c>
      <c r="Z127" s="296">
        <f t="shared" si="39"/>
        <v>0.40833333333333294</v>
      </c>
      <c r="AA127" s="296">
        <f t="shared" si="39"/>
        <v>0.40999999999999959</v>
      </c>
      <c r="AB127" s="296">
        <f t="shared" si="39"/>
        <v>0.41166666666666624</v>
      </c>
      <c r="AC127" s="296">
        <f t="shared" si="39"/>
        <v>0.41333333333333289</v>
      </c>
      <c r="AD127" s="296">
        <f t="shared" si="39"/>
        <v>0.41499999999999954</v>
      </c>
      <c r="AE127" s="296">
        <f t="shared" si="39"/>
        <v>0.41666666666666619</v>
      </c>
      <c r="AF127" s="296">
        <f t="shared" si="39"/>
        <v>0.41833333333333284</v>
      </c>
      <c r="AG127" s="275">
        <v>0.42</v>
      </c>
      <c r="AI127" s="275"/>
      <c r="AJ127" s="198" t="s">
        <v>1621</v>
      </c>
    </row>
    <row r="128" spans="1:36" outlineLevel="1">
      <c r="A128" s="323" t="s">
        <v>735</v>
      </c>
      <c r="B128" s="281" t="s">
        <v>126</v>
      </c>
      <c r="C128" s="275">
        <v>0.08</v>
      </c>
      <c r="D128" s="296">
        <f t="shared" si="38"/>
        <v>7.7666666666666662E-2</v>
      </c>
      <c r="E128" s="296">
        <f t="shared" si="38"/>
        <v>7.5333333333333322E-2</v>
      </c>
      <c r="F128" s="296">
        <f t="shared" si="38"/>
        <v>7.2999999999999982E-2</v>
      </c>
      <c r="G128" s="296">
        <f t="shared" si="38"/>
        <v>7.0666666666666642E-2</v>
      </c>
      <c r="H128" s="296">
        <f t="shared" si="38"/>
        <v>6.8333333333333302E-2</v>
      </c>
      <c r="I128" s="296">
        <f t="shared" si="38"/>
        <v>6.5999999999999961E-2</v>
      </c>
      <c r="J128" s="296">
        <f t="shared" si="38"/>
        <v>6.3666666666666621E-2</v>
      </c>
      <c r="K128" s="296">
        <f t="shared" si="38"/>
        <v>6.1333333333333288E-2</v>
      </c>
      <c r="L128" s="296">
        <f t="shared" si="38"/>
        <v>5.8999999999999955E-2</v>
      </c>
      <c r="M128" s="296">
        <f t="shared" si="38"/>
        <v>5.6666666666666622E-2</v>
      </c>
      <c r="N128" s="296">
        <f t="shared" si="38"/>
        <v>5.4333333333333289E-2</v>
      </c>
      <c r="O128" s="296">
        <f t="shared" si="38"/>
        <v>5.1999999999999956E-2</v>
      </c>
      <c r="P128" s="296">
        <f t="shared" si="38"/>
        <v>4.9666666666666623E-2</v>
      </c>
      <c r="Q128" s="296">
        <f t="shared" si="38"/>
        <v>4.733333333333329E-2</v>
      </c>
      <c r="R128" s="296">
        <f t="shared" si="38"/>
        <v>4.4999999999999957E-2</v>
      </c>
      <c r="S128" s="296">
        <f t="shared" si="38"/>
        <v>4.2666666666666624E-2</v>
      </c>
      <c r="T128" s="296">
        <f t="shared" si="39"/>
        <v>4.0333333333333291E-2</v>
      </c>
      <c r="U128" s="296">
        <f t="shared" si="39"/>
        <v>3.7999999999999957E-2</v>
      </c>
      <c r="V128" s="296">
        <f t="shared" si="39"/>
        <v>3.5666666666666624E-2</v>
      </c>
      <c r="W128" s="296">
        <f t="shared" si="39"/>
        <v>3.3333333333333291E-2</v>
      </c>
      <c r="X128" s="296">
        <f t="shared" si="39"/>
        <v>3.0999999999999958E-2</v>
      </c>
      <c r="Y128" s="296">
        <f t="shared" si="39"/>
        <v>2.8666666666666625E-2</v>
      </c>
      <c r="Z128" s="296">
        <f t="shared" si="39"/>
        <v>2.6333333333333292E-2</v>
      </c>
      <c r="AA128" s="296">
        <f t="shared" si="39"/>
        <v>2.3999999999999959E-2</v>
      </c>
      <c r="AB128" s="296">
        <f t="shared" si="39"/>
        <v>2.1666666666666626E-2</v>
      </c>
      <c r="AC128" s="296">
        <f t="shared" si="39"/>
        <v>1.9333333333333293E-2</v>
      </c>
      <c r="AD128" s="296">
        <f t="shared" si="39"/>
        <v>1.699999999999996E-2</v>
      </c>
      <c r="AE128" s="296">
        <f t="shared" si="39"/>
        <v>1.4666666666666626E-2</v>
      </c>
      <c r="AF128" s="296">
        <f t="shared" si="39"/>
        <v>1.2333333333333293E-2</v>
      </c>
      <c r="AG128" s="275">
        <v>0.01</v>
      </c>
      <c r="AI128" s="275"/>
      <c r="AJ128" s="198" t="s">
        <v>1622</v>
      </c>
    </row>
    <row r="129" spans="1:36" outlineLevel="1">
      <c r="A129" s="323" t="s">
        <v>736</v>
      </c>
      <c r="B129" s="281" t="s">
        <v>126</v>
      </c>
      <c r="C129" s="275">
        <v>0.27</v>
      </c>
      <c r="D129" s="296">
        <f t="shared" si="38"/>
        <v>0.26633333333333337</v>
      </c>
      <c r="E129" s="296">
        <f t="shared" si="38"/>
        <v>0.26266666666666671</v>
      </c>
      <c r="F129" s="296">
        <f t="shared" si="38"/>
        <v>0.25900000000000006</v>
      </c>
      <c r="G129" s="296">
        <f t="shared" si="38"/>
        <v>0.25533333333333341</v>
      </c>
      <c r="H129" s="296">
        <f t="shared" si="38"/>
        <v>0.25166666666666676</v>
      </c>
      <c r="I129" s="296">
        <f t="shared" si="38"/>
        <v>0.24800000000000008</v>
      </c>
      <c r="J129" s="296">
        <f t="shared" si="38"/>
        <v>0.2443333333333334</v>
      </c>
      <c r="K129" s="296">
        <f t="shared" si="38"/>
        <v>0.24066666666666672</v>
      </c>
      <c r="L129" s="296">
        <f t="shared" si="38"/>
        <v>0.23700000000000004</v>
      </c>
      <c r="M129" s="296">
        <f t="shared" si="38"/>
        <v>0.23333333333333336</v>
      </c>
      <c r="N129" s="296">
        <f t="shared" si="38"/>
        <v>0.22966666666666669</v>
      </c>
      <c r="O129" s="296">
        <f t="shared" si="38"/>
        <v>0.22600000000000001</v>
      </c>
      <c r="P129" s="296">
        <f t="shared" si="38"/>
        <v>0.22233333333333333</v>
      </c>
      <c r="Q129" s="296">
        <f t="shared" si="38"/>
        <v>0.21866666666666665</v>
      </c>
      <c r="R129" s="296">
        <f t="shared" si="38"/>
        <v>0.21499999999999997</v>
      </c>
      <c r="S129" s="296">
        <f t="shared" si="38"/>
        <v>0.21133333333333329</v>
      </c>
      <c r="T129" s="296">
        <f t="shared" si="39"/>
        <v>0.20766666666666661</v>
      </c>
      <c r="U129" s="296">
        <f t="shared" si="39"/>
        <v>0.20399999999999993</v>
      </c>
      <c r="V129" s="296">
        <f t="shared" si="39"/>
        <v>0.20033333333333325</v>
      </c>
      <c r="W129" s="296">
        <f t="shared" si="39"/>
        <v>0.19666666666666657</v>
      </c>
      <c r="X129" s="296">
        <f t="shared" si="39"/>
        <v>0.19299999999999989</v>
      </c>
      <c r="Y129" s="296">
        <f t="shared" si="39"/>
        <v>0.18933333333333321</v>
      </c>
      <c r="Z129" s="296">
        <f t="shared" si="39"/>
        <v>0.18566666666666654</v>
      </c>
      <c r="AA129" s="296">
        <f t="shared" si="39"/>
        <v>0.18199999999999986</v>
      </c>
      <c r="AB129" s="296">
        <f t="shared" si="39"/>
        <v>0.17833333333333318</v>
      </c>
      <c r="AC129" s="296">
        <f t="shared" si="39"/>
        <v>0.1746666666666665</v>
      </c>
      <c r="AD129" s="296">
        <f t="shared" si="39"/>
        <v>0.17099999999999982</v>
      </c>
      <c r="AE129" s="296">
        <f t="shared" si="39"/>
        <v>0.16733333333333314</v>
      </c>
      <c r="AF129" s="296">
        <f t="shared" si="39"/>
        <v>0.16366666666666646</v>
      </c>
      <c r="AG129" s="275">
        <v>0.16</v>
      </c>
      <c r="AI129" s="275"/>
      <c r="AJ129" s="198" t="s">
        <v>1623</v>
      </c>
    </row>
    <row r="130" spans="1:36" outlineLevel="1">
      <c r="A130" s="323" t="s">
        <v>737</v>
      </c>
      <c r="B130" s="281" t="s">
        <v>126</v>
      </c>
      <c r="C130" s="275">
        <v>7.0000000000000007E-2</v>
      </c>
      <c r="D130" s="296">
        <f t="shared" si="38"/>
        <v>6.9666666666666668E-2</v>
      </c>
      <c r="E130" s="296">
        <f t="shared" si="38"/>
        <v>6.933333333333333E-2</v>
      </c>
      <c r="F130" s="296">
        <f t="shared" si="38"/>
        <v>6.8999999999999992E-2</v>
      </c>
      <c r="G130" s="296">
        <f t="shared" si="38"/>
        <v>6.8666666666666654E-2</v>
      </c>
      <c r="H130" s="296">
        <f t="shared" si="38"/>
        <v>6.8333333333333315E-2</v>
      </c>
      <c r="I130" s="296">
        <f t="shared" si="38"/>
        <v>6.7999999999999977E-2</v>
      </c>
      <c r="J130" s="296">
        <f t="shared" si="38"/>
        <v>6.7666666666666639E-2</v>
      </c>
      <c r="K130" s="296">
        <f t="shared" si="38"/>
        <v>6.7333333333333301E-2</v>
      </c>
      <c r="L130" s="296">
        <f t="shared" si="38"/>
        <v>6.6999999999999962E-2</v>
      </c>
      <c r="M130" s="296">
        <f t="shared" si="38"/>
        <v>6.6666666666666624E-2</v>
      </c>
      <c r="N130" s="296">
        <f t="shared" si="38"/>
        <v>6.6333333333333286E-2</v>
      </c>
      <c r="O130" s="296">
        <f t="shared" si="38"/>
        <v>6.5999999999999948E-2</v>
      </c>
      <c r="P130" s="296">
        <f t="shared" si="38"/>
        <v>6.5666666666666609E-2</v>
      </c>
      <c r="Q130" s="296">
        <f t="shared" si="38"/>
        <v>6.5333333333333271E-2</v>
      </c>
      <c r="R130" s="296">
        <f t="shared" si="38"/>
        <v>6.4999999999999933E-2</v>
      </c>
      <c r="S130" s="296">
        <f t="shared" ref="S130:AF130" si="40">-($C130-$AG130)/30+R130</f>
        <v>6.4666666666666595E-2</v>
      </c>
      <c r="T130" s="296">
        <f t="shared" si="40"/>
        <v>6.4333333333333256E-2</v>
      </c>
      <c r="U130" s="296">
        <f t="shared" si="40"/>
        <v>6.3999999999999918E-2</v>
      </c>
      <c r="V130" s="296">
        <f t="shared" si="40"/>
        <v>6.366666666666658E-2</v>
      </c>
      <c r="W130" s="296">
        <f t="shared" si="40"/>
        <v>6.3333333333333242E-2</v>
      </c>
      <c r="X130" s="296">
        <f t="shared" si="40"/>
        <v>6.2999999999999903E-2</v>
      </c>
      <c r="Y130" s="296">
        <f t="shared" si="40"/>
        <v>6.2666666666666565E-2</v>
      </c>
      <c r="Z130" s="296">
        <f t="shared" si="40"/>
        <v>6.2333333333333234E-2</v>
      </c>
      <c r="AA130" s="296">
        <f t="shared" si="40"/>
        <v>6.1999999999999902E-2</v>
      </c>
      <c r="AB130" s="296">
        <f t="shared" si="40"/>
        <v>6.1666666666666571E-2</v>
      </c>
      <c r="AC130" s="296">
        <f t="shared" si="40"/>
        <v>6.133333333333324E-2</v>
      </c>
      <c r="AD130" s="296">
        <f t="shared" si="40"/>
        <v>6.0999999999999908E-2</v>
      </c>
      <c r="AE130" s="296">
        <f t="shared" si="40"/>
        <v>6.0666666666666577E-2</v>
      </c>
      <c r="AF130" s="296">
        <f t="shared" si="40"/>
        <v>6.0333333333333246E-2</v>
      </c>
      <c r="AG130" s="275">
        <v>0.06</v>
      </c>
      <c r="AI130" s="275"/>
      <c r="AJ130" s="198" t="s">
        <v>1624</v>
      </c>
    </row>
    <row r="131" spans="1:36" s="63" customFormat="1" outlineLevel="1">
      <c r="A131" s="324" t="s">
        <v>738</v>
      </c>
      <c r="B131" s="291" t="s">
        <v>126</v>
      </c>
      <c r="C131" s="293">
        <v>0.05</v>
      </c>
      <c r="D131" s="317">
        <f t="shared" ref="D131:AF131" si="41">-($C131-$AG131)/30+C131</f>
        <v>4.9333333333333333E-2</v>
      </c>
      <c r="E131" s="317">
        <f t="shared" si="41"/>
        <v>4.8666666666666664E-2</v>
      </c>
      <c r="F131" s="317">
        <f t="shared" si="41"/>
        <v>4.7999999999999994E-2</v>
      </c>
      <c r="G131" s="317">
        <f t="shared" si="41"/>
        <v>4.7333333333333324E-2</v>
      </c>
      <c r="H131" s="317">
        <f t="shared" si="41"/>
        <v>4.6666666666666655E-2</v>
      </c>
      <c r="I131" s="317">
        <f t="shared" si="41"/>
        <v>4.5999999999999985E-2</v>
      </c>
      <c r="J131" s="317">
        <f t="shared" si="41"/>
        <v>4.5333333333333316E-2</v>
      </c>
      <c r="K131" s="317">
        <f t="shared" si="41"/>
        <v>4.4666666666666646E-2</v>
      </c>
      <c r="L131" s="317">
        <f t="shared" si="41"/>
        <v>4.3999999999999977E-2</v>
      </c>
      <c r="M131" s="317">
        <f t="shared" si="41"/>
        <v>4.3333333333333307E-2</v>
      </c>
      <c r="N131" s="317">
        <f t="shared" si="41"/>
        <v>4.2666666666666637E-2</v>
      </c>
      <c r="O131" s="317">
        <f t="shared" si="41"/>
        <v>4.1999999999999968E-2</v>
      </c>
      <c r="P131" s="317">
        <f t="shared" si="41"/>
        <v>4.1333333333333298E-2</v>
      </c>
      <c r="Q131" s="317">
        <f t="shared" si="41"/>
        <v>4.0666666666666629E-2</v>
      </c>
      <c r="R131" s="317">
        <f t="shared" si="41"/>
        <v>3.9999999999999959E-2</v>
      </c>
      <c r="S131" s="317">
        <f t="shared" si="41"/>
        <v>3.933333333333329E-2</v>
      </c>
      <c r="T131" s="317">
        <f t="shared" si="41"/>
        <v>3.866666666666662E-2</v>
      </c>
      <c r="U131" s="317">
        <f t="shared" si="41"/>
        <v>3.799999999999995E-2</v>
      </c>
      <c r="V131" s="317">
        <f t="shared" si="41"/>
        <v>3.7333333333333281E-2</v>
      </c>
      <c r="W131" s="317">
        <f t="shared" si="41"/>
        <v>3.6666666666666611E-2</v>
      </c>
      <c r="X131" s="317">
        <f t="shared" si="41"/>
        <v>3.5999999999999942E-2</v>
      </c>
      <c r="Y131" s="317">
        <f t="shared" si="41"/>
        <v>3.5333333333333272E-2</v>
      </c>
      <c r="Z131" s="317">
        <f t="shared" si="41"/>
        <v>3.4666666666666603E-2</v>
      </c>
      <c r="AA131" s="317">
        <f t="shared" si="41"/>
        <v>3.3999999999999933E-2</v>
      </c>
      <c r="AB131" s="317">
        <f t="shared" si="41"/>
        <v>3.3333333333333263E-2</v>
      </c>
      <c r="AC131" s="317">
        <f t="shared" si="41"/>
        <v>3.2666666666666594E-2</v>
      </c>
      <c r="AD131" s="317">
        <f t="shared" si="41"/>
        <v>3.1999999999999924E-2</v>
      </c>
      <c r="AE131" s="317">
        <f t="shared" si="41"/>
        <v>3.1333333333333255E-2</v>
      </c>
      <c r="AF131" s="317">
        <f t="shared" si="41"/>
        <v>3.0666666666666589E-2</v>
      </c>
      <c r="AG131" s="293">
        <v>0.03</v>
      </c>
      <c r="AI131" s="293"/>
      <c r="AJ131" s="318" t="s">
        <v>1625</v>
      </c>
    </row>
    <row r="132" spans="1:36" s="55" customFormat="1" outlineLevel="1">
      <c r="A132" s="55" t="s">
        <v>703</v>
      </c>
      <c r="B132" s="282"/>
      <c r="C132" s="611">
        <f>C29</f>
        <v>1195624.4803591177</v>
      </c>
      <c r="D132" s="611">
        <f t="shared" ref="D132:AG132" si="42">D29</f>
        <v>1195624.4803591177</v>
      </c>
      <c r="E132" s="611">
        <f t="shared" si="42"/>
        <v>1195624.4803591177</v>
      </c>
      <c r="F132" s="611">
        <f t="shared" si="42"/>
        <v>1195624.4803591177</v>
      </c>
      <c r="G132" s="611">
        <f t="shared" si="42"/>
        <v>1195624.4803591177</v>
      </c>
      <c r="H132" s="611">
        <f t="shared" si="42"/>
        <v>1195624.4803591177</v>
      </c>
      <c r="I132" s="611">
        <f t="shared" si="42"/>
        <v>1195624.4803591177</v>
      </c>
      <c r="J132" s="611">
        <f t="shared" si="42"/>
        <v>1195624.4803591177</v>
      </c>
      <c r="K132" s="611">
        <f t="shared" si="42"/>
        <v>1195624.4803591177</v>
      </c>
      <c r="L132" s="611">
        <f t="shared" si="42"/>
        <v>1195624.4803591177</v>
      </c>
      <c r="M132" s="611">
        <f t="shared" si="42"/>
        <v>1195624.4803591177</v>
      </c>
      <c r="N132" s="611">
        <f t="shared" si="42"/>
        <v>1195624.4803591177</v>
      </c>
      <c r="O132" s="611">
        <f t="shared" si="42"/>
        <v>1195624.4803591177</v>
      </c>
      <c r="P132" s="611">
        <f t="shared" si="42"/>
        <v>1195624.4803591177</v>
      </c>
      <c r="Q132" s="611">
        <f t="shared" si="42"/>
        <v>1195624.4803591177</v>
      </c>
      <c r="R132" s="611">
        <f t="shared" si="42"/>
        <v>1195624.4803591177</v>
      </c>
      <c r="S132" s="611">
        <f t="shared" si="42"/>
        <v>1195624.4803591177</v>
      </c>
      <c r="T132" s="611">
        <f t="shared" si="42"/>
        <v>1195624.4803591177</v>
      </c>
      <c r="U132" s="611">
        <f t="shared" si="42"/>
        <v>1195624.4803591177</v>
      </c>
      <c r="V132" s="611">
        <f t="shared" si="42"/>
        <v>1195624.4803591177</v>
      </c>
      <c r="W132" s="611">
        <f t="shared" si="42"/>
        <v>1195624.4803591177</v>
      </c>
      <c r="X132" s="611">
        <f t="shared" si="42"/>
        <v>1195624.4803591177</v>
      </c>
      <c r="Y132" s="611">
        <f t="shared" si="42"/>
        <v>1195624.4803591177</v>
      </c>
      <c r="Z132" s="611">
        <f t="shared" si="42"/>
        <v>1195624.4803591177</v>
      </c>
      <c r="AA132" s="611">
        <f t="shared" si="42"/>
        <v>1195624.4803591177</v>
      </c>
      <c r="AB132" s="611">
        <f t="shared" si="42"/>
        <v>1195624.4803591177</v>
      </c>
      <c r="AC132" s="611">
        <f t="shared" si="42"/>
        <v>1195624.4803591177</v>
      </c>
      <c r="AD132" s="611">
        <f t="shared" si="42"/>
        <v>1195624.4803591177</v>
      </c>
      <c r="AE132" s="611">
        <f t="shared" si="42"/>
        <v>1195624.4803591177</v>
      </c>
      <c r="AF132" s="611">
        <f t="shared" si="42"/>
        <v>1195624.4803591177</v>
      </c>
      <c r="AG132" s="611">
        <f t="shared" si="42"/>
        <v>1195624.4803591177</v>
      </c>
      <c r="AI132" s="284"/>
      <c r="AJ132" s="285"/>
    </row>
    <row r="133" spans="1:36" s="55" customFormat="1" outlineLevel="1">
      <c r="A133" s="286" t="s">
        <v>173</v>
      </c>
      <c r="B133" s="287" t="s">
        <v>127</v>
      </c>
      <c r="C133" s="614">
        <v>0</v>
      </c>
      <c r="D133" s="614">
        <v>0</v>
      </c>
      <c r="E133" s="614">
        <v>0</v>
      </c>
      <c r="F133" s="614">
        <v>0</v>
      </c>
      <c r="G133" s="614">
        <v>0</v>
      </c>
      <c r="H133" s="614">
        <v>0</v>
      </c>
      <c r="I133" s="614">
        <v>0</v>
      </c>
      <c r="J133" s="614">
        <v>0</v>
      </c>
      <c r="K133" s="614">
        <v>0</v>
      </c>
      <c r="L133" s="614">
        <v>0</v>
      </c>
      <c r="M133" s="614">
        <v>0</v>
      </c>
      <c r="N133" s="614">
        <v>0</v>
      </c>
      <c r="O133" s="614">
        <v>0</v>
      </c>
      <c r="P133" s="614">
        <v>0</v>
      </c>
      <c r="Q133" s="614">
        <v>0</v>
      </c>
      <c r="R133" s="614">
        <v>0</v>
      </c>
      <c r="S133" s="614">
        <v>0</v>
      </c>
      <c r="T133" s="614">
        <v>0</v>
      </c>
      <c r="U133" s="614">
        <v>0</v>
      </c>
      <c r="V133" s="614">
        <v>0</v>
      </c>
      <c r="W133" s="614">
        <v>0</v>
      </c>
      <c r="X133" s="614">
        <v>0</v>
      </c>
      <c r="Y133" s="614">
        <v>0</v>
      </c>
      <c r="Z133" s="614">
        <v>0</v>
      </c>
      <c r="AA133" s="614">
        <v>0</v>
      </c>
      <c r="AB133" s="614">
        <v>0</v>
      </c>
      <c r="AC133" s="614">
        <v>0</v>
      </c>
      <c r="AD133" s="614">
        <v>0</v>
      </c>
      <c r="AE133" s="614">
        <v>0</v>
      </c>
      <c r="AF133" s="614">
        <v>0</v>
      </c>
      <c r="AG133" s="614">
        <v>0</v>
      </c>
      <c r="AI133" s="284"/>
      <c r="AJ133" s="285"/>
    </row>
    <row r="134" spans="1:36" outlineLevel="1">
      <c r="A134" s="289" t="s">
        <v>696</v>
      </c>
      <c r="B134" s="281" t="s">
        <v>127</v>
      </c>
      <c r="C134" s="613">
        <f>C101</f>
        <v>67918.5806815088</v>
      </c>
      <c r="D134" s="613">
        <f t="shared" ref="D134:AG134" si="43">D101</f>
        <v>69052.820978889999</v>
      </c>
      <c r="E134" s="613">
        <f t="shared" si="43"/>
        <v>70206.003089237463</v>
      </c>
      <c r="F134" s="613">
        <f t="shared" si="43"/>
        <v>71378.443340827725</v>
      </c>
      <c r="G134" s="613">
        <f t="shared" si="43"/>
        <v>72570.463344619551</v>
      </c>
      <c r="H134" s="613">
        <f t="shared" si="43"/>
        <v>73782.390082474696</v>
      </c>
      <c r="I134" s="613">
        <f t="shared" si="43"/>
        <v>75014.555996852025</v>
      </c>
      <c r="J134" s="613">
        <f t="shared" si="43"/>
        <v>76267.299081999445</v>
      </c>
      <c r="K134" s="613">
        <f t="shared" si="43"/>
        <v>77540.96297666883</v>
      </c>
      <c r="L134" s="613">
        <f t="shared" si="43"/>
        <v>78835.897058379196</v>
      </c>
      <c r="M134" s="613">
        <f t="shared" si="43"/>
        <v>80152.456539254126</v>
      </c>
      <c r="N134" s="613">
        <f t="shared" si="43"/>
        <v>81491.002563459668</v>
      </c>
      <c r="O134" s="613">
        <f t="shared" si="43"/>
        <v>82851.902306269432</v>
      </c>
      <c r="P134" s="613">
        <f t="shared" si="43"/>
        <v>84235.529074784121</v>
      </c>
      <c r="Q134" s="613">
        <f t="shared" si="43"/>
        <v>85642.262410333016</v>
      </c>
      <c r="R134" s="613">
        <f t="shared" si="43"/>
        <v>87072.488192585573</v>
      </c>
      <c r="S134" s="613">
        <f t="shared" si="43"/>
        <v>88526.598745401745</v>
      </c>
      <c r="T134" s="613">
        <f t="shared" si="43"/>
        <v>90004.992944449943</v>
      </c>
      <c r="U134" s="613">
        <f t="shared" si="43"/>
        <v>91508.076326622249</v>
      </c>
      <c r="V134" s="613">
        <f t="shared" si="43"/>
        <v>93036.261201276837</v>
      </c>
      <c r="W134" s="613">
        <f t="shared" si="43"/>
        <v>94589.966763338161</v>
      </c>
      <c r="X134" s="613">
        <f t="shared" si="43"/>
        <v>96169.619208285905</v>
      </c>
      <c r="Y134" s="613">
        <f t="shared" si="43"/>
        <v>97775.651849064277</v>
      </c>
      <c r="Z134" s="613">
        <f t="shared" si="43"/>
        <v>99408.505234943645</v>
      </c>
      <c r="AA134" s="613">
        <f t="shared" si="43"/>
        <v>101068.6272723672</v>
      </c>
      <c r="AB134" s="613">
        <f t="shared" si="43"/>
        <v>102756.47334781573</v>
      </c>
      <c r="AC134" s="613">
        <f t="shared" si="43"/>
        <v>104472.50645272425</v>
      </c>
      <c r="AD134" s="613">
        <f t="shared" si="43"/>
        <v>106217.19731048474</v>
      </c>
      <c r="AE134" s="613">
        <f t="shared" si="43"/>
        <v>107991.02450556983</v>
      </c>
      <c r="AF134" s="613">
        <f t="shared" si="43"/>
        <v>109794.47461481285</v>
      </c>
      <c r="AG134" s="613">
        <f t="shared" si="43"/>
        <v>111628.04234088022</v>
      </c>
      <c r="AI134" s="275"/>
    </row>
    <row r="135" spans="1:36" s="63" customFormat="1" outlineLevel="1">
      <c r="A135" s="290" t="s">
        <v>705</v>
      </c>
      <c r="B135" s="291" t="s">
        <v>127</v>
      </c>
      <c r="C135" s="615">
        <f>C132-C133-C134</f>
        <v>1127705.8996776089</v>
      </c>
      <c r="D135" s="615">
        <f t="shared" ref="D135:AG135" si="44">D132-D133-D134</f>
        <v>1126571.6593802278</v>
      </c>
      <c r="E135" s="615">
        <f t="shared" si="44"/>
        <v>1125418.4772698802</v>
      </c>
      <c r="F135" s="615">
        <f t="shared" si="44"/>
        <v>1124246.03701829</v>
      </c>
      <c r="G135" s="615">
        <f t="shared" si="44"/>
        <v>1123054.0170144981</v>
      </c>
      <c r="H135" s="615">
        <f t="shared" si="44"/>
        <v>1121842.0902766429</v>
      </c>
      <c r="I135" s="615">
        <f t="shared" si="44"/>
        <v>1120609.9243622657</v>
      </c>
      <c r="J135" s="615">
        <f t="shared" si="44"/>
        <v>1119357.1812771184</v>
      </c>
      <c r="K135" s="615">
        <f t="shared" si="44"/>
        <v>1118083.517382449</v>
      </c>
      <c r="L135" s="615">
        <f t="shared" si="44"/>
        <v>1116788.5833007386</v>
      </c>
      <c r="M135" s="615">
        <f t="shared" si="44"/>
        <v>1115472.0238198636</v>
      </c>
      <c r="N135" s="615">
        <f t="shared" si="44"/>
        <v>1114133.4777956582</v>
      </c>
      <c r="O135" s="615">
        <f t="shared" si="44"/>
        <v>1112772.5780528483</v>
      </c>
      <c r="P135" s="615">
        <f t="shared" si="44"/>
        <v>1111388.9512843336</v>
      </c>
      <c r="Q135" s="615">
        <f t="shared" si="44"/>
        <v>1109982.2179487848</v>
      </c>
      <c r="R135" s="615">
        <f t="shared" si="44"/>
        <v>1108551.9921665322</v>
      </c>
      <c r="S135" s="615">
        <f t="shared" si="44"/>
        <v>1107097.881613716</v>
      </c>
      <c r="T135" s="615">
        <f t="shared" si="44"/>
        <v>1105619.4874146678</v>
      </c>
      <c r="U135" s="615">
        <f t="shared" si="44"/>
        <v>1104116.4040324956</v>
      </c>
      <c r="V135" s="615">
        <f t="shared" si="44"/>
        <v>1102588.2191578408</v>
      </c>
      <c r="W135" s="615">
        <f t="shared" si="44"/>
        <v>1101034.5135957797</v>
      </c>
      <c r="X135" s="615">
        <f t="shared" si="44"/>
        <v>1099454.8611508319</v>
      </c>
      <c r="Y135" s="615">
        <f t="shared" si="44"/>
        <v>1097848.8285100535</v>
      </c>
      <c r="Z135" s="615">
        <f t="shared" si="44"/>
        <v>1096215.975124174</v>
      </c>
      <c r="AA135" s="615">
        <f t="shared" si="44"/>
        <v>1094555.8530867505</v>
      </c>
      <c r="AB135" s="615">
        <f t="shared" si="44"/>
        <v>1092868.007011302</v>
      </c>
      <c r="AC135" s="615">
        <f t="shared" si="44"/>
        <v>1091151.9739063934</v>
      </c>
      <c r="AD135" s="615">
        <f t="shared" si="44"/>
        <v>1089407.283048633</v>
      </c>
      <c r="AE135" s="615">
        <f t="shared" si="44"/>
        <v>1087633.4558535479</v>
      </c>
      <c r="AF135" s="615">
        <f t="shared" si="44"/>
        <v>1085830.005744305</v>
      </c>
      <c r="AG135" s="615">
        <f t="shared" si="44"/>
        <v>1083996.4380182375</v>
      </c>
      <c r="AI135" s="293"/>
      <c r="AJ135" s="294"/>
    </row>
    <row r="136" spans="1:36" outlineLevel="1">
      <c r="A136" s="106" t="s">
        <v>698</v>
      </c>
      <c r="B136" s="281" t="s">
        <v>127</v>
      </c>
      <c r="C136" s="122">
        <f>C105*C$135</f>
        <v>180432.94394841741</v>
      </c>
      <c r="D136" s="122">
        <f t="shared" ref="D136:AG141" si="45">D105*D$135</f>
        <v>182579.71359688891</v>
      </c>
      <c r="E136" s="122">
        <f t="shared" si="45"/>
        <v>184718.68606922968</v>
      </c>
      <c r="F136" s="122">
        <f t="shared" si="45"/>
        <v>186849.69135243978</v>
      </c>
      <c r="G136" s="122">
        <f t="shared" si="45"/>
        <v>188972.55592963952</v>
      </c>
      <c r="H136" s="122">
        <f t="shared" si="45"/>
        <v>191087.10271045481</v>
      </c>
      <c r="I136" s="122">
        <f t="shared" si="45"/>
        <v>193193.15096005457</v>
      </c>
      <c r="J136" s="122">
        <f t="shared" si="45"/>
        <v>195290.51622681454</v>
      </c>
      <c r="K136" s="122">
        <f t="shared" si="45"/>
        <v>197379.01026858162</v>
      </c>
      <c r="L136" s="122">
        <f t="shared" si="45"/>
        <v>199458.44097751187</v>
      </c>
      <c r="M136" s="122">
        <f t="shared" si="45"/>
        <v>201528.6123034553</v>
      </c>
      <c r="N136" s="122">
        <f t="shared" si="45"/>
        <v>203589.32417585986</v>
      </c>
      <c r="O136" s="122">
        <f t="shared" si="45"/>
        <v>205640.3724241663</v>
      </c>
      <c r="P136" s="122">
        <f t="shared" si="45"/>
        <v>207681.54869666573</v>
      </c>
      <c r="Q136" s="122">
        <f t="shared" si="45"/>
        <v>209712.64037779032</v>
      </c>
      <c r="R136" s="122">
        <f t="shared" si="45"/>
        <v>211733.43050380755</v>
      </c>
      <c r="S136" s="122">
        <f t="shared" si="45"/>
        <v>213743.697676888</v>
      </c>
      <c r="T136" s="122">
        <f t="shared" si="45"/>
        <v>215743.21597751541</v>
      </c>
      <c r="U136" s="122">
        <f t="shared" si="45"/>
        <v>217731.75487520802</v>
      </c>
      <c r="V136" s="122">
        <f t="shared" si="45"/>
        <v>219709.07913751897</v>
      </c>
      <c r="W136" s="122">
        <f t="shared" si="45"/>
        <v>221674.94873728353</v>
      </c>
      <c r="X136" s="122">
        <f t="shared" si="45"/>
        <v>223629.1187580791</v>
      </c>
      <c r="Y136" s="122">
        <f t="shared" si="45"/>
        <v>225571.33929786552</v>
      </c>
      <c r="Z136" s="122">
        <f t="shared" si="45"/>
        <v>227501.35537077012</v>
      </c>
      <c r="AA136" s="122">
        <f t="shared" si="45"/>
        <v>229418.90680698276</v>
      </c>
      <c r="AB136" s="122">
        <f t="shared" si="45"/>
        <v>231323.72815072545</v>
      </c>
      <c r="AC136" s="122">
        <f t="shared" si="45"/>
        <v>233215.54855625966</v>
      </c>
      <c r="AD136" s="122">
        <f t="shared" si="45"/>
        <v>235094.09168189485</v>
      </c>
      <c r="AE136" s="122">
        <f t="shared" si="45"/>
        <v>236959.07558195948</v>
      </c>
      <c r="AF136" s="122">
        <f t="shared" si="45"/>
        <v>238810.2125966973</v>
      </c>
      <c r="AG136" s="122">
        <f t="shared" si="45"/>
        <v>240647.20924004872</v>
      </c>
      <c r="AI136" s="201"/>
    </row>
    <row r="137" spans="1:36" outlineLevel="1">
      <c r="A137" s="106" t="s">
        <v>697</v>
      </c>
      <c r="B137" s="281" t="s">
        <v>127</v>
      </c>
      <c r="C137" s="122">
        <f t="shared" ref="C137:R141" si="46">C106*C$135</f>
        <v>417251.18288071529</v>
      </c>
      <c r="D137" s="122">
        <f t="shared" si="46"/>
        <v>408607.54085720866</v>
      </c>
      <c r="E137" s="122">
        <f t="shared" si="46"/>
        <v>399973.72682171548</v>
      </c>
      <c r="F137" s="122">
        <f t="shared" si="46"/>
        <v>391350.04548606684</v>
      </c>
      <c r="G137" s="122">
        <f t="shared" si="46"/>
        <v>382736.80899854109</v>
      </c>
      <c r="H137" s="122">
        <f t="shared" si="46"/>
        <v>374134.33710726054</v>
      </c>
      <c r="I137" s="122">
        <f t="shared" si="46"/>
        <v>365542.95732697129</v>
      </c>
      <c r="J137" s="122">
        <f t="shared" si="46"/>
        <v>356963.00510927325</v>
      </c>
      <c r="K137" s="122">
        <f t="shared" si="46"/>
        <v>348394.82401637133</v>
      </c>
      <c r="L137" s="122">
        <f t="shared" si="46"/>
        <v>339838.765898415</v>
      </c>
      <c r="M137" s="122">
        <f t="shared" si="46"/>
        <v>331295.19107449974</v>
      </c>
      <c r="N137" s="122">
        <f t="shared" si="46"/>
        <v>322764.46851740248</v>
      </c>
      <c r="O137" s="122">
        <f t="shared" si="46"/>
        <v>314246.97604212473</v>
      </c>
      <c r="P137" s="122">
        <f t="shared" si="46"/>
        <v>305743.10049832053</v>
      </c>
      <c r="Q137" s="122">
        <f t="shared" si="46"/>
        <v>297253.23796668497</v>
      </c>
      <c r="R137" s="122">
        <f t="shared" si="46"/>
        <v>288777.79395938211</v>
      </c>
      <c r="S137" s="122">
        <f t="shared" si="45"/>
        <v>280317.18362459337</v>
      </c>
      <c r="T137" s="122">
        <f t="shared" si="45"/>
        <v>271871.83195526729</v>
      </c>
      <c r="U137" s="122">
        <f t="shared" si="45"/>
        <v>263442.17400215392</v>
      </c>
      <c r="V137" s="122">
        <f t="shared" si="45"/>
        <v>255028.65509120905</v>
      </c>
      <c r="W137" s="122">
        <f t="shared" si="45"/>
        <v>246631.73104545512</v>
      </c>
      <c r="X137" s="122">
        <f t="shared" si="45"/>
        <v>238251.86841138575</v>
      </c>
      <c r="Y137" s="122">
        <f t="shared" si="45"/>
        <v>229889.54469000566</v>
      </c>
      <c r="Z137" s="122">
        <f t="shared" si="45"/>
        <v>221545.24857259603</v>
      </c>
      <c r="AA137" s="122">
        <f t="shared" si="45"/>
        <v>213219.48018129944</v>
      </c>
      <c r="AB137" s="122">
        <f t="shared" si="45"/>
        <v>204912.75131461959</v>
      </c>
      <c r="AC137" s="122">
        <f t="shared" si="45"/>
        <v>196625.58569793255</v>
      </c>
      <c r="AD137" s="122">
        <f t="shared" si="45"/>
        <v>188358.5192391091</v>
      </c>
      <c r="AE137" s="122">
        <f t="shared" si="45"/>
        <v>180112.10028934799</v>
      </c>
      <c r="AF137" s="122">
        <f t="shared" si="45"/>
        <v>171886.88990932392</v>
      </c>
      <c r="AG137" s="122">
        <f t="shared" si="45"/>
        <v>163683.46214075387</v>
      </c>
      <c r="AI137" s="201"/>
    </row>
    <row r="138" spans="1:36" outlineLevel="1">
      <c r="A138" s="106" t="s">
        <v>699</v>
      </c>
      <c r="B138" s="281" t="s">
        <v>127</v>
      </c>
      <c r="C138" s="122">
        <f t="shared" si="46"/>
        <v>90216.471974208704</v>
      </c>
      <c r="D138" s="122">
        <f t="shared" si="45"/>
        <v>90238.389916356246</v>
      </c>
      <c r="E138" s="122">
        <f t="shared" si="45"/>
        <v>90258.561877044398</v>
      </c>
      <c r="F138" s="122">
        <f t="shared" si="45"/>
        <v>90276.956772568694</v>
      </c>
      <c r="G138" s="122">
        <f t="shared" si="45"/>
        <v>90293.542967965666</v>
      </c>
      <c r="H138" s="122">
        <f t="shared" si="45"/>
        <v>90308.288267269774</v>
      </c>
      <c r="I138" s="122">
        <f t="shared" si="45"/>
        <v>90321.159903598644</v>
      </c>
      <c r="J138" s="122">
        <f t="shared" si="45"/>
        <v>90332.124529063483</v>
      </c>
      <c r="K138" s="122">
        <f t="shared" si="45"/>
        <v>90341.148204501907</v>
      </c>
      <c r="L138" s="122">
        <f t="shared" si="45"/>
        <v>90348.196389029777</v>
      </c>
      <c r="M138" s="122">
        <f t="shared" si="45"/>
        <v>90353.233929408976</v>
      </c>
      <c r="N138" s="122">
        <f t="shared" si="45"/>
        <v>90356.225049227913</v>
      </c>
      <c r="O138" s="122">
        <f t="shared" si="45"/>
        <v>90357.133337891326</v>
      </c>
      <c r="P138" s="122">
        <f t="shared" si="45"/>
        <v>90355.921739416372</v>
      </c>
      <c r="Q138" s="122">
        <f t="shared" si="45"/>
        <v>90352.552541031124</v>
      </c>
      <c r="R138" s="122">
        <f t="shared" si="45"/>
        <v>90346.987361572421</v>
      </c>
      <c r="S138" s="122">
        <f t="shared" si="45"/>
        <v>90339.187139679285</v>
      </c>
      <c r="T138" s="122">
        <f t="shared" si="45"/>
        <v>90329.112121778424</v>
      </c>
      <c r="U138" s="122">
        <f t="shared" si="45"/>
        <v>90316.721849858193</v>
      </c>
      <c r="V138" s="122">
        <f t="shared" si="45"/>
        <v>90301.975149027232</v>
      </c>
      <c r="W138" s="122">
        <f t="shared" si="45"/>
        <v>90284.83011485399</v>
      </c>
      <c r="X138" s="122">
        <f t="shared" si="45"/>
        <v>90265.244100483367</v>
      </c>
      <c r="Y138" s="122">
        <f t="shared" si="45"/>
        <v>90243.173703526467</v>
      </c>
      <c r="Z138" s="122">
        <f t="shared" si="45"/>
        <v>90218.574752719593</v>
      </c>
      <c r="AA138" s="122">
        <f t="shared" si="45"/>
        <v>90191.402294348314</v>
      </c>
      <c r="AB138" s="122">
        <f t="shared" si="45"/>
        <v>90161.610578432505</v>
      </c>
      <c r="AC138" s="122">
        <f t="shared" si="45"/>
        <v>90129.153044668172</v>
      </c>
      <c r="AD138" s="122">
        <f t="shared" si="45"/>
        <v>90093.982308122038</v>
      </c>
      <c r="AE138" s="122">
        <f t="shared" si="45"/>
        <v>90056.050144673849</v>
      </c>
      <c r="AF138" s="122">
        <f t="shared" si="45"/>
        <v>90015.307476202972</v>
      </c>
      <c r="AG138" s="122">
        <f t="shared" si="45"/>
        <v>89971.704355513721</v>
      </c>
      <c r="AI138" s="201"/>
    </row>
    <row r="139" spans="1:36" outlineLevel="1">
      <c r="A139" s="106" t="s">
        <v>700</v>
      </c>
      <c r="B139" s="281" t="s">
        <v>127</v>
      </c>
      <c r="C139" s="122">
        <f t="shared" si="46"/>
        <v>304480.59291295439</v>
      </c>
      <c r="D139" s="122">
        <f t="shared" si="45"/>
        <v>307704.2725653862</v>
      </c>
      <c r="E139" s="122">
        <f t="shared" si="45"/>
        <v>310915.61132042558</v>
      </c>
      <c r="F139" s="122">
        <f t="shared" si="45"/>
        <v>314114.3427429102</v>
      </c>
      <c r="G139" s="122">
        <f t="shared" si="45"/>
        <v>317300.19494049618</v>
      </c>
      <c r="H139" s="122">
        <f t="shared" si="45"/>
        <v>320472.89045569429</v>
      </c>
      <c r="I139" s="122">
        <f t="shared" si="45"/>
        <v>323632.14615582227</v>
      </c>
      <c r="J139" s="122">
        <f t="shared" si="45"/>
        <v>326777.67312083335</v>
      </c>
      <c r="K139" s="122">
        <f t="shared" si="45"/>
        <v>329909.17652898119</v>
      </c>
      <c r="L139" s="122">
        <f t="shared" si="45"/>
        <v>333026.35554028017</v>
      </c>
      <c r="M139" s="122">
        <f t="shared" si="45"/>
        <v>336128.90317771875</v>
      </c>
      <c r="N139" s="122">
        <f t="shared" si="45"/>
        <v>339216.50620618457</v>
      </c>
      <c r="O139" s="122">
        <f t="shared" si="45"/>
        <v>342288.84500905604</v>
      </c>
      <c r="P139" s="122">
        <f t="shared" si="45"/>
        <v>345345.59346241842</v>
      </c>
      <c r="Q139" s="122">
        <f t="shared" si="45"/>
        <v>348386.41880685842</v>
      </c>
      <c r="R139" s="122">
        <f t="shared" si="45"/>
        <v>351410.98151679052</v>
      </c>
      <c r="S139" s="122">
        <f t="shared" si="45"/>
        <v>354418.93516727077</v>
      </c>
      <c r="T139" s="122">
        <f t="shared" si="45"/>
        <v>357409.92629824812</v>
      </c>
      <c r="U139" s="122">
        <f t="shared" si="45"/>
        <v>360383.59427620634</v>
      </c>
      <c r="V139" s="122">
        <f t="shared" si="45"/>
        <v>363339.57115314691</v>
      </c>
      <c r="W139" s="122">
        <f t="shared" si="45"/>
        <v>366277.48152286245</v>
      </c>
      <c r="X139" s="122">
        <f t="shared" si="45"/>
        <v>369196.94237444911</v>
      </c>
      <c r="Y139" s="122">
        <f t="shared" si="45"/>
        <v>372097.56294300716</v>
      </c>
      <c r="Z139" s="122">
        <f t="shared" si="45"/>
        <v>374978.94455747551</v>
      </c>
      <c r="AA139" s="122">
        <f t="shared" si="45"/>
        <v>377840.68048554595</v>
      </c>
      <c r="AB139" s="122">
        <f t="shared" si="45"/>
        <v>380682.35577560321</v>
      </c>
      <c r="AC139" s="122">
        <f t="shared" si="45"/>
        <v>383503.5470956334</v>
      </c>
      <c r="AD139" s="122">
        <f t="shared" si="45"/>
        <v>386303.82256904495</v>
      </c>
      <c r="AE139" s="122">
        <f t="shared" si="45"/>
        <v>389082.74160734221</v>
      </c>
      <c r="AF139" s="122">
        <f t="shared" si="45"/>
        <v>391839.85473959451</v>
      </c>
      <c r="AG139" s="122">
        <f t="shared" si="45"/>
        <v>394574.70343863842</v>
      </c>
      <c r="AI139" s="201"/>
    </row>
    <row r="140" spans="1:36" outlineLevel="1">
      <c r="A140" s="106" t="s">
        <v>701</v>
      </c>
      <c r="B140" s="281" t="s">
        <v>127</v>
      </c>
      <c r="C140" s="122">
        <f t="shared" si="46"/>
        <v>78939.412977432628</v>
      </c>
      <c r="D140" s="122">
        <f t="shared" si="45"/>
        <v>80287.006925164242</v>
      </c>
      <c r="E140" s="122">
        <f t="shared" si="45"/>
        <v>81630.353551308654</v>
      </c>
      <c r="F140" s="122">
        <f t="shared" si="45"/>
        <v>82969.357531949805</v>
      </c>
      <c r="G140" s="122">
        <f t="shared" si="45"/>
        <v>84303.921543888326</v>
      </c>
      <c r="H140" s="122">
        <f t="shared" si="45"/>
        <v>85633.94622445041</v>
      </c>
      <c r="I140" s="122">
        <f t="shared" si="45"/>
        <v>86959.330130511822</v>
      </c>
      <c r="J140" s="122">
        <f t="shared" si="45"/>
        <v>88279.969696722066</v>
      </c>
      <c r="K140" s="122">
        <f t="shared" si="45"/>
        <v>89595.759192913582</v>
      </c>
      <c r="L140" s="122">
        <f t="shared" si="45"/>
        <v>90906.590680680121</v>
      </c>
      <c r="M140" s="122">
        <f t="shared" si="45"/>
        <v>92212.353969108721</v>
      </c>
      <c r="N140" s="122">
        <f t="shared" si="45"/>
        <v>93512.936569648911</v>
      </c>
      <c r="O140" s="122">
        <f t="shared" si="45"/>
        <v>94808.223650102678</v>
      </c>
      <c r="P140" s="122">
        <f t="shared" si="45"/>
        <v>96098.097987718706</v>
      </c>
      <c r="Q140" s="122">
        <f t="shared" si="45"/>
        <v>97382.439921373385</v>
      </c>
      <c r="R140" s="122">
        <f t="shared" si="45"/>
        <v>98661.127302821362</v>
      </c>
      <c r="S140" s="122">
        <f t="shared" si="45"/>
        <v>99934.035446998096</v>
      </c>
      <c r="T140" s="122">
        <f t="shared" si="45"/>
        <v>101201.03708135593</v>
      </c>
      <c r="U140" s="122">
        <f t="shared" si="45"/>
        <v>102462.00229421558</v>
      </c>
      <c r="V140" s="122">
        <f t="shared" si="45"/>
        <v>103716.79848211422</v>
      </c>
      <c r="W140" s="122">
        <f t="shared" si="45"/>
        <v>104965.29029613099</v>
      </c>
      <c r="X140" s="122">
        <f t="shared" si="45"/>
        <v>106207.33958717035</v>
      </c>
      <c r="Y140" s="122">
        <f t="shared" si="45"/>
        <v>107442.80535018389</v>
      </c>
      <c r="Z140" s="122">
        <f t="shared" si="45"/>
        <v>108671.54366730977</v>
      </c>
      <c r="AA140" s="122">
        <f t="shared" si="45"/>
        <v>109893.40764990974</v>
      </c>
      <c r="AB140" s="122">
        <f t="shared" si="45"/>
        <v>111108.24737948236</v>
      </c>
      <c r="AC140" s="122">
        <f t="shared" si="45"/>
        <v>112315.90984743141</v>
      </c>
      <c r="AD140" s="122">
        <f t="shared" si="45"/>
        <v>113516.23889366754</v>
      </c>
      <c r="AE140" s="122">
        <f t="shared" si="45"/>
        <v>114709.07514402084</v>
      </c>
      <c r="AF140" s="122">
        <f t="shared" si="45"/>
        <v>115894.25594644214</v>
      </c>
      <c r="AG140" s="122">
        <f t="shared" si="45"/>
        <v>117071.61530596965</v>
      </c>
      <c r="AI140" s="201"/>
    </row>
    <row r="141" spans="1:36" outlineLevel="1">
      <c r="A141" s="106" t="s">
        <v>702</v>
      </c>
      <c r="B141" s="281" t="s">
        <v>127</v>
      </c>
      <c r="C141" s="122">
        <f t="shared" si="46"/>
        <v>56385.294983880449</v>
      </c>
      <c r="D141" s="122">
        <f t="shared" si="45"/>
        <v>57154.735519223563</v>
      </c>
      <c r="E141" s="122">
        <f t="shared" si="45"/>
        <v>57921.537630156512</v>
      </c>
      <c r="F141" s="122">
        <f t="shared" si="45"/>
        <v>58685.643132354751</v>
      </c>
      <c r="G141" s="122">
        <f t="shared" si="45"/>
        <v>59446.992633967449</v>
      </c>
      <c r="H141" s="122">
        <f t="shared" si="45"/>
        <v>60205.525511513188</v>
      </c>
      <c r="I141" s="122">
        <f t="shared" si="45"/>
        <v>60961.179885307276</v>
      </c>
      <c r="J141" s="122">
        <f t="shared" si="45"/>
        <v>61713.892594411816</v>
      </c>
      <c r="K141" s="122">
        <f t="shared" si="45"/>
        <v>62463.599171099508</v>
      </c>
      <c r="L141" s="122">
        <f t="shared" si="45"/>
        <v>63210.233814821833</v>
      </c>
      <c r="M141" s="122">
        <f t="shared" si="45"/>
        <v>63953.72936567221</v>
      </c>
      <c r="N141" s="122">
        <f t="shared" si="45"/>
        <v>64694.017277334584</v>
      </c>
      <c r="O141" s="122">
        <f t="shared" si="45"/>
        <v>65431.027589507517</v>
      </c>
      <c r="P141" s="122">
        <f t="shared" si="45"/>
        <v>66164.688899794026</v>
      </c>
      <c r="Q141" s="122">
        <f t="shared" si="45"/>
        <v>66894.928335046803</v>
      </c>
      <c r="R141" s="122">
        <f t="shared" si="45"/>
        <v>67621.671522158504</v>
      </c>
      <c r="S141" s="122">
        <f t="shared" si="45"/>
        <v>68344.842558286779</v>
      </c>
      <c r="T141" s="122">
        <f t="shared" si="45"/>
        <v>69064.363980502967</v>
      </c>
      <c r="U141" s="122">
        <f t="shared" si="45"/>
        <v>69780.156734853779</v>
      </c>
      <c r="V141" s="122">
        <f t="shared" si="45"/>
        <v>70492.140144824676</v>
      </c>
      <c r="W141" s="122">
        <f t="shared" si="45"/>
        <v>71200.231879193816</v>
      </c>
      <c r="X141" s="122">
        <f t="shared" si="45"/>
        <v>71904.347919264474</v>
      </c>
      <c r="Y141" s="122">
        <f t="shared" si="45"/>
        <v>72604.402525464931</v>
      </c>
      <c r="Z141" s="122">
        <f t="shared" si="45"/>
        <v>73300.308203303168</v>
      </c>
      <c r="AA141" s="122">
        <f t="shared" si="45"/>
        <v>73991.975668664396</v>
      </c>
      <c r="AB141" s="122">
        <f t="shared" si="45"/>
        <v>74679.313812439039</v>
      </c>
      <c r="AC141" s="122">
        <f t="shared" si="45"/>
        <v>75362.229664468308</v>
      </c>
      <c r="AD141" s="122">
        <f t="shared" si="45"/>
        <v>76040.628356794667</v>
      </c>
      <c r="AE141" s="122">
        <f t="shared" si="45"/>
        <v>76714.413086203655</v>
      </c>
      <c r="AF141" s="122">
        <f t="shared" si="45"/>
        <v>77383.48507604422</v>
      </c>
      <c r="AG141" s="122">
        <f t="shared" si="45"/>
        <v>78047.743537313087</v>
      </c>
      <c r="AI141" s="201"/>
    </row>
    <row r="142" spans="1:36" s="55" customFormat="1">
      <c r="A142" s="55" t="s">
        <v>704</v>
      </c>
      <c r="B142" s="282"/>
      <c r="C142" s="611">
        <f>C47</f>
        <v>1195624.4803591177</v>
      </c>
      <c r="D142" s="611">
        <f t="shared" ref="D142:AG142" si="47">D47</f>
        <v>1193217.8336563585</v>
      </c>
      <c r="E142" s="611">
        <f t="shared" si="47"/>
        <v>1190811.1869535991</v>
      </c>
      <c r="F142" s="611">
        <f t="shared" si="47"/>
        <v>1188404.5402508401</v>
      </c>
      <c r="G142" s="611">
        <f t="shared" si="47"/>
        <v>1185997.8935480807</v>
      </c>
      <c r="H142" s="611">
        <f t="shared" si="47"/>
        <v>1183591.2468453215</v>
      </c>
      <c r="I142" s="611">
        <f t="shared" si="47"/>
        <v>1179621.5353057296</v>
      </c>
      <c r="J142" s="611">
        <f t="shared" si="47"/>
        <v>1175651.8237661377</v>
      </c>
      <c r="K142" s="611">
        <f t="shared" si="47"/>
        <v>1171682.1122265458</v>
      </c>
      <c r="L142" s="611">
        <f t="shared" si="47"/>
        <v>1167712.4006869537</v>
      </c>
      <c r="M142" s="611">
        <f t="shared" si="47"/>
        <v>1163742.6891473616</v>
      </c>
      <c r="N142" s="611">
        <f t="shared" si="47"/>
        <v>1158291.8940570618</v>
      </c>
      <c r="O142" s="611">
        <f t="shared" si="47"/>
        <v>1153128.3394129595</v>
      </c>
      <c r="P142" s="611">
        <f t="shared" si="47"/>
        <v>1147361.6732493085</v>
      </c>
      <c r="Q142" s="611">
        <f t="shared" si="47"/>
        <v>1141594.7959373358</v>
      </c>
      <c r="R142" s="611">
        <f t="shared" si="47"/>
        <v>1135827.708617476</v>
      </c>
      <c r="S142" s="611">
        <f t="shared" si="47"/>
        <v>1130060.4124301639</v>
      </c>
      <c r="T142" s="611">
        <f t="shared" si="47"/>
        <v>1124292.9085158352</v>
      </c>
      <c r="U142" s="611">
        <f t="shared" si="47"/>
        <v>1118525.1980149238</v>
      </c>
      <c r="V142" s="611">
        <f t="shared" si="47"/>
        <v>1112757.2820678654</v>
      </c>
      <c r="W142" s="611">
        <f t="shared" si="47"/>
        <v>1106989.1618150945</v>
      </c>
      <c r="X142" s="611">
        <f t="shared" si="47"/>
        <v>1098779.6584263574</v>
      </c>
      <c r="Y142" s="611">
        <f t="shared" si="47"/>
        <v>1093085.3586344831</v>
      </c>
      <c r="Z142" s="611">
        <f t="shared" si="47"/>
        <v>1087118.8050491547</v>
      </c>
      <c r="AA142" s="611">
        <f t="shared" si="47"/>
        <v>1081148.7300672955</v>
      </c>
      <c r="AB142" s="611">
        <f t="shared" si="47"/>
        <v>1075175.1747445636</v>
      </c>
      <c r="AC142" s="611">
        <f t="shared" si="47"/>
        <v>1069150.8145355009</v>
      </c>
      <c r="AD142" s="611">
        <f t="shared" si="47"/>
        <v>1063123.0560968821</v>
      </c>
      <c r="AE142" s="611">
        <f t="shared" si="47"/>
        <v>1057091.9404843652</v>
      </c>
      <c r="AF142" s="611">
        <f t="shared" si="47"/>
        <v>1051057.5087536084</v>
      </c>
      <c r="AG142" s="611">
        <f t="shared" si="47"/>
        <v>1045019.8019602699</v>
      </c>
      <c r="AI142" s="284"/>
      <c r="AJ142" s="285"/>
    </row>
    <row r="143" spans="1:36" s="55" customFormat="1">
      <c r="A143" s="286" t="s">
        <v>173</v>
      </c>
      <c r="B143" s="287" t="s">
        <v>127</v>
      </c>
      <c r="C143" s="614">
        <f>C142-C132</f>
        <v>0</v>
      </c>
      <c r="D143" s="614">
        <f t="shared" ref="D143:AG143" si="48">D142-D132</f>
        <v>-2406.6467027592007</v>
      </c>
      <c r="E143" s="614">
        <f t="shared" si="48"/>
        <v>-4813.2934055186342</v>
      </c>
      <c r="F143" s="614">
        <f t="shared" si="48"/>
        <v>-7219.9401082776021</v>
      </c>
      <c r="G143" s="614">
        <f t="shared" si="48"/>
        <v>-9626.5868110370357</v>
      </c>
      <c r="H143" s="614">
        <f t="shared" si="48"/>
        <v>-12033.233513796236</v>
      </c>
      <c r="I143" s="614">
        <f t="shared" si="48"/>
        <v>-16002.945053388132</v>
      </c>
      <c r="J143" s="614">
        <f t="shared" si="48"/>
        <v>-19972.656592980027</v>
      </c>
      <c r="K143" s="614">
        <f t="shared" si="48"/>
        <v>-23942.368132571923</v>
      </c>
      <c r="L143" s="614">
        <f t="shared" si="48"/>
        <v>-27912.079672164051</v>
      </c>
      <c r="M143" s="614">
        <f t="shared" si="48"/>
        <v>-31881.791211756179</v>
      </c>
      <c r="N143" s="614">
        <f t="shared" si="48"/>
        <v>-37332.586302055977</v>
      </c>
      <c r="O143" s="614">
        <f t="shared" si="48"/>
        <v>-42496.140946158208</v>
      </c>
      <c r="P143" s="614">
        <f t="shared" si="48"/>
        <v>-48262.807109809248</v>
      </c>
      <c r="Q143" s="614">
        <f t="shared" si="48"/>
        <v>-54029.684421781916</v>
      </c>
      <c r="R143" s="614">
        <f t="shared" si="48"/>
        <v>-59796.771741641685</v>
      </c>
      <c r="S143" s="614">
        <f t="shared" si="48"/>
        <v>-65564.067928953795</v>
      </c>
      <c r="T143" s="614">
        <f t="shared" si="48"/>
        <v>-71331.571843282552</v>
      </c>
      <c r="U143" s="614">
        <f t="shared" si="48"/>
        <v>-77099.282344193896</v>
      </c>
      <c r="V143" s="614">
        <f t="shared" si="48"/>
        <v>-82867.198291252367</v>
      </c>
      <c r="W143" s="614">
        <f t="shared" si="48"/>
        <v>-88635.318544023205</v>
      </c>
      <c r="X143" s="614">
        <f t="shared" si="48"/>
        <v>-96844.8219327603</v>
      </c>
      <c r="Y143" s="614">
        <f t="shared" si="48"/>
        <v>-102539.12172463466</v>
      </c>
      <c r="Z143" s="614">
        <f t="shared" si="48"/>
        <v>-108505.67530996306</v>
      </c>
      <c r="AA143" s="614">
        <f t="shared" si="48"/>
        <v>-114475.75029182225</v>
      </c>
      <c r="AB143" s="614">
        <f t="shared" si="48"/>
        <v>-120449.30561455409</v>
      </c>
      <c r="AC143" s="614">
        <f t="shared" si="48"/>
        <v>-126473.66582361679</v>
      </c>
      <c r="AD143" s="614">
        <f t="shared" si="48"/>
        <v>-132501.42426223564</v>
      </c>
      <c r="AE143" s="614">
        <f t="shared" si="48"/>
        <v>-138532.53987475252</v>
      </c>
      <c r="AF143" s="614">
        <f t="shared" si="48"/>
        <v>-144566.97160550929</v>
      </c>
      <c r="AG143" s="614">
        <f t="shared" si="48"/>
        <v>-150604.67839884781</v>
      </c>
      <c r="AI143" s="284"/>
      <c r="AJ143" s="285"/>
    </row>
    <row r="144" spans="1:36">
      <c r="A144" s="289" t="s">
        <v>696</v>
      </c>
      <c r="B144" s="281" t="s">
        <v>127</v>
      </c>
      <c r="C144" s="613">
        <f>C100</f>
        <v>67918.5806815088</v>
      </c>
      <c r="D144" s="613">
        <f t="shared" ref="D144:AG144" si="49">D100</f>
        <v>72818.578477682415</v>
      </c>
      <c r="E144" s="613">
        <f t="shared" si="49"/>
        <v>77752.767952490132</v>
      </c>
      <c r="F144" s="613">
        <f t="shared" si="49"/>
        <v>82719.856292281416</v>
      </c>
      <c r="G144" s="613">
        <f t="shared" si="49"/>
        <v>87718.550683405731</v>
      </c>
      <c r="H144" s="613">
        <f t="shared" si="49"/>
        <v>92747.55831221251</v>
      </c>
      <c r="I144" s="613">
        <f t="shared" si="49"/>
        <v>97604.510131046758</v>
      </c>
      <c r="J144" s="613">
        <f t="shared" si="49"/>
        <v>102474.26631015533</v>
      </c>
      <c r="K144" s="613">
        <f t="shared" si="49"/>
        <v>107355.53403588767</v>
      </c>
      <c r="L144" s="613">
        <f t="shared" si="49"/>
        <v>112247.02049459322</v>
      </c>
      <c r="M144" s="613">
        <f t="shared" si="49"/>
        <v>117147.43287262144</v>
      </c>
      <c r="N144" s="613">
        <f t="shared" si="49"/>
        <v>126197.51320965122</v>
      </c>
      <c r="O144" s="613">
        <f t="shared" si="49"/>
        <v>135289.6838198849</v>
      </c>
      <c r="P144" s="613">
        <f t="shared" si="49"/>
        <v>144240.55044385139</v>
      </c>
      <c r="Q144" s="613">
        <f t="shared" si="49"/>
        <v>153162.85359715685</v>
      </c>
      <c r="R144" s="613">
        <f t="shared" si="49"/>
        <v>162052.39001833557</v>
      </c>
      <c r="S144" s="613">
        <f t="shared" si="49"/>
        <v>170904.95893173851</v>
      </c>
      <c r="T144" s="613">
        <f t="shared" si="49"/>
        <v>179716.36201191178</v>
      </c>
      <c r="U144" s="613">
        <f t="shared" si="49"/>
        <v>188482.40334797456</v>
      </c>
      <c r="V144" s="613">
        <f t="shared" si="49"/>
        <v>197198.88940799792</v>
      </c>
      <c r="W144" s="613">
        <f t="shared" si="49"/>
        <v>205861.62900338287</v>
      </c>
      <c r="X144" s="613">
        <f t="shared" si="49"/>
        <v>219970.52828083758</v>
      </c>
      <c r="Y144" s="613">
        <f t="shared" si="49"/>
        <v>234687.84134961336</v>
      </c>
      <c r="Z144" s="613">
        <f t="shared" si="49"/>
        <v>249015.3338723937</v>
      </c>
      <c r="AA144" s="613">
        <f t="shared" si="49"/>
        <v>263204.26600889681</v>
      </c>
      <c r="AB144" s="613">
        <f t="shared" si="49"/>
        <v>277249.53402787622</v>
      </c>
      <c r="AC144" s="613">
        <f t="shared" si="49"/>
        <v>291130.1734939501</v>
      </c>
      <c r="AD144" s="613">
        <f t="shared" si="49"/>
        <v>304855.50286064099</v>
      </c>
      <c r="AE144" s="613">
        <f t="shared" si="49"/>
        <v>318420.50470918452</v>
      </c>
      <c r="AF144" s="613">
        <f t="shared" si="49"/>
        <v>331820.18755092903</v>
      </c>
      <c r="AG144" s="613">
        <f t="shared" si="49"/>
        <v>345049.58440697828</v>
      </c>
      <c r="AI144" s="275"/>
    </row>
    <row r="145" spans="1:36" s="63" customFormat="1">
      <c r="A145" s="290" t="s">
        <v>705</v>
      </c>
      <c r="B145" s="291" t="s">
        <v>127</v>
      </c>
      <c r="C145" s="615">
        <f>C142-C144</f>
        <v>1127705.8996776089</v>
      </c>
      <c r="D145" s="615">
        <f t="shared" ref="D145:AG145" si="50">D142-D144</f>
        <v>1120399.2551786762</v>
      </c>
      <c r="E145" s="615">
        <f t="shared" si="50"/>
        <v>1113058.419001109</v>
      </c>
      <c r="F145" s="615">
        <f t="shared" si="50"/>
        <v>1105684.6839585588</v>
      </c>
      <c r="G145" s="615">
        <f t="shared" si="50"/>
        <v>1098279.342864675</v>
      </c>
      <c r="H145" s="615">
        <f t="shared" si="50"/>
        <v>1090843.6885331089</v>
      </c>
      <c r="I145" s="615">
        <f t="shared" si="50"/>
        <v>1082017.025174683</v>
      </c>
      <c r="J145" s="615">
        <f t="shared" si="50"/>
        <v>1073177.5574559823</v>
      </c>
      <c r="K145" s="615">
        <f t="shared" si="50"/>
        <v>1064326.5781906582</v>
      </c>
      <c r="L145" s="615">
        <f t="shared" si="50"/>
        <v>1055465.3801923604</v>
      </c>
      <c r="M145" s="615">
        <f t="shared" si="50"/>
        <v>1046595.2562747401</v>
      </c>
      <c r="N145" s="615">
        <f t="shared" si="50"/>
        <v>1032094.3808474105</v>
      </c>
      <c r="O145" s="615">
        <f t="shared" si="50"/>
        <v>1017838.6555930746</v>
      </c>
      <c r="P145" s="615">
        <f t="shared" si="50"/>
        <v>1003121.1228054571</v>
      </c>
      <c r="Q145" s="615">
        <f t="shared" si="50"/>
        <v>988431.942340179</v>
      </c>
      <c r="R145" s="615">
        <f t="shared" si="50"/>
        <v>973775.3185991405</v>
      </c>
      <c r="S145" s="615">
        <f t="shared" si="50"/>
        <v>959155.45349842543</v>
      </c>
      <c r="T145" s="615">
        <f t="shared" si="50"/>
        <v>944576.54650392337</v>
      </c>
      <c r="U145" s="615">
        <f t="shared" si="50"/>
        <v>930042.79466694931</v>
      </c>
      <c r="V145" s="615">
        <f t="shared" si="50"/>
        <v>915558.39265986742</v>
      </c>
      <c r="W145" s="615">
        <f t="shared" si="50"/>
        <v>901127.53281171166</v>
      </c>
      <c r="X145" s="615">
        <f t="shared" si="50"/>
        <v>878809.13014551986</v>
      </c>
      <c r="Y145" s="615">
        <f t="shared" si="50"/>
        <v>858397.51728486968</v>
      </c>
      <c r="Z145" s="615">
        <f t="shared" si="50"/>
        <v>838103.47117676097</v>
      </c>
      <c r="AA145" s="615">
        <f t="shared" si="50"/>
        <v>817944.46405839873</v>
      </c>
      <c r="AB145" s="615">
        <f t="shared" si="50"/>
        <v>797925.64071668743</v>
      </c>
      <c r="AC145" s="615">
        <f t="shared" si="50"/>
        <v>778020.64104155079</v>
      </c>
      <c r="AD145" s="615">
        <f t="shared" si="50"/>
        <v>758267.5532362411</v>
      </c>
      <c r="AE145" s="615">
        <f t="shared" si="50"/>
        <v>738671.4357751807</v>
      </c>
      <c r="AF145" s="615">
        <f t="shared" si="50"/>
        <v>719237.32120267942</v>
      </c>
      <c r="AG145" s="615">
        <f t="shared" si="50"/>
        <v>699970.2175532917</v>
      </c>
      <c r="AI145" s="293"/>
      <c r="AJ145" s="294"/>
    </row>
    <row r="146" spans="1:36" s="55" customFormat="1" outlineLevel="1">
      <c r="A146" s="286" t="s">
        <v>732</v>
      </c>
      <c r="B146" s="287" t="s">
        <v>126</v>
      </c>
      <c r="C146" s="614">
        <f>C142*C112</f>
        <v>1004324.5635016588</v>
      </c>
      <c r="D146" s="614">
        <f t="shared" ref="D146:AG146" si="51">D142*D112</f>
        <v>1007075.8516059666</v>
      </c>
      <c r="E146" s="614">
        <f t="shared" si="51"/>
        <v>1009807.886536652</v>
      </c>
      <c r="F146" s="614">
        <f t="shared" si="51"/>
        <v>1012520.6682937158</v>
      </c>
      <c r="G146" s="614">
        <f t="shared" si="51"/>
        <v>1015214.1968771571</v>
      </c>
      <c r="H146" s="614">
        <f t="shared" si="51"/>
        <v>1017888.4722869765</v>
      </c>
      <c r="I146" s="614">
        <f t="shared" si="51"/>
        <v>1019193.0065041503</v>
      </c>
      <c r="J146" s="614">
        <f t="shared" si="51"/>
        <v>1020465.7830290075</v>
      </c>
      <c r="K146" s="614">
        <f t="shared" si="51"/>
        <v>1021706.801861548</v>
      </c>
      <c r="L146" s="614">
        <f t="shared" si="51"/>
        <v>1022916.0630017715</v>
      </c>
      <c r="M146" s="614">
        <f t="shared" si="51"/>
        <v>1024093.5664496782</v>
      </c>
      <c r="N146" s="614">
        <f t="shared" si="51"/>
        <v>1023930.0343464426</v>
      </c>
      <c r="O146" s="614">
        <f t="shared" si="51"/>
        <v>1023977.9653987081</v>
      </c>
      <c r="P146" s="614">
        <f t="shared" si="51"/>
        <v>1023446.6125383832</v>
      </c>
      <c r="Q146" s="614">
        <f t="shared" si="51"/>
        <v>1022868.9371598529</v>
      </c>
      <c r="R146" s="614">
        <f t="shared" si="51"/>
        <v>1022244.9377557285</v>
      </c>
      <c r="S146" s="614">
        <f t="shared" si="51"/>
        <v>1021574.6128368683</v>
      </c>
      <c r="T146" s="614">
        <f t="shared" si="51"/>
        <v>1020857.9609323784</v>
      </c>
      <c r="U146" s="614">
        <f t="shared" si="51"/>
        <v>1020094.9805896105</v>
      </c>
      <c r="V146" s="614">
        <f t="shared" si="51"/>
        <v>1019285.6703741647</v>
      </c>
      <c r="W146" s="614">
        <f t="shared" si="51"/>
        <v>1018430.028869887</v>
      </c>
      <c r="X146" s="614">
        <f t="shared" si="51"/>
        <v>1015272.4043859543</v>
      </c>
      <c r="Y146" s="614">
        <f t="shared" si="51"/>
        <v>1014383.2128128003</v>
      </c>
      <c r="Z146" s="614">
        <f t="shared" si="51"/>
        <v>1013194.7263058122</v>
      </c>
      <c r="AA146" s="614">
        <f t="shared" si="51"/>
        <v>1011955.2113429887</v>
      </c>
      <c r="AB146" s="614">
        <f t="shared" si="51"/>
        <v>1010664.6642598899</v>
      </c>
      <c r="AC146" s="614">
        <f t="shared" si="51"/>
        <v>1009278.368921513</v>
      </c>
      <c r="AD146" s="614">
        <f t="shared" si="51"/>
        <v>1007840.6571798443</v>
      </c>
      <c r="AE146" s="614">
        <f t="shared" si="51"/>
        <v>1006351.5273411158</v>
      </c>
      <c r="AF146" s="614">
        <f t="shared" si="51"/>
        <v>1004810.9783684497</v>
      </c>
      <c r="AG146" s="614">
        <f t="shared" si="51"/>
        <v>1003219.0098818591</v>
      </c>
      <c r="AI146" s="284"/>
      <c r="AJ146" s="316" t="s">
        <v>1624</v>
      </c>
    </row>
    <row r="147" spans="1:36" s="55" customFormat="1" outlineLevel="1">
      <c r="A147" s="286" t="s">
        <v>743</v>
      </c>
      <c r="B147" s="287" t="s">
        <v>126</v>
      </c>
      <c r="C147" s="614">
        <f>C146*C113</f>
        <v>220951.40397036495</v>
      </c>
      <c r="D147" s="614">
        <f t="shared" ref="D147:AG147" si="52">D146*D113</f>
        <v>228270.52636401908</v>
      </c>
      <c r="E147" s="614">
        <f t="shared" si="52"/>
        <v>235621.84019188545</v>
      </c>
      <c r="F147" s="614">
        <f t="shared" si="52"/>
        <v>243004.96039049176</v>
      </c>
      <c r="G147" s="614">
        <f t="shared" si="52"/>
        <v>250419.50189636537</v>
      </c>
      <c r="H147" s="614">
        <f t="shared" si="52"/>
        <v>257865.07964603402</v>
      </c>
      <c r="I147" s="614">
        <f t="shared" si="52"/>
        <v>264990.18169107905</v>
      </c>
      <c r="J147" s="614">
        <f t="shared" si="52"/>
        <v>272124.2088077353</v>
      </c>
      <c r="K147" s="614">
        <f t="shared" si="52"/>
        <v>279266.52584215638</v>
      </c>
      <c r="L147" s="614">
        <f t="shared" si="52"/>
        <v>286416.49764049595</v>
      </c>
      <c r="M147" s="614">
        <f t="shared" si="52"/>
        <v>293573.48904890765</v>
      </c>
      <c r="N147" s="614">
        <f t="shared" si="52"/>
        <v>300352.81007495639</v>
      </c>
      <c r="O147" s="614">
        <f t="shared" si="52"/>
        <v>307193.38961961231</v>
      </c>
      <c r="P147" s="614">
        <f t="shared" si="52"/>
        <v>313856.9611784374</v>
      </c>
      <c r="Q147" s="614">
        <f t="shared" si="52"/>
        <v>320498.93364342046</v>
      </c>
      <c r="R147" s="614">
        <f t="shared" si="52"/>
        <v>327118.38008183293</v>
      </c>
      <c r="S147" s="614">
        <f t="shared" si="52"/>
        <v>333714.37352671014</v>
      </c>
      <c r="T147" s="614">
        <f t="shared" si="52"/>
        <v>340285.98697745928</v>
      </c>
      <c r="U147" s="614">
        <f t="shared" si="52"/>
        <v>346832.29340046737</v>
      </c>
      <c r="V147" s="614">
        <f t="shared" si="52"/>
        <v>353352.3657297102</v>
      </c>
      <c r="W147" s="614">
        <f t="shared" si="52"/>
        <v>359845.27686735982</v>
      </c>
      <c r="X147" s="614">
        <f t="shared" si="52"/>
        <v>365498.06557894329</v>
      </c>
      <c r="Y147" s="614">
        <f t="shared" si="52"/>
        <v>371940.51136469317</v>
      </c>
      <c r="Z147" s="614">
        <f t="shared" si="52"/>
        <v>378259.36448750296</v>
      </c>
      <c r="AA147" s="614">
        <f t="shared" si="52"/>
        <v>384542.98031033541</v>
      </c>
      <c r="AB147" s="614">
        <f t="shared" si="52"/>
        <v>390790.3368471571</v>
      </c>
      <c r="AC147" s="614">
        <f t="shared" si="52"/>
        <v>396982.82510912814</v>
      </c>
      <c r="AD147" s="614">
        <f t="shared" si="52"/>
        <v>403136.26287193742</v>
      </c>
      <c r="AE147" s="614">
        <f t="shared" si="52"/>
        <v>409249.6211187201</v>
      </c>
      <c r="AF147" s="614">
        <f t="shared" si="52"/>
        <v>415321.87105895887</v>
      </c>
      <c r="AG147" s="614">
        <f t="shared" si="52"/>
        <v>421351.98415038077</v>
      </c>
      <c r="AI147" s="284"/>
      <c r="AJ147" s="316" t="s">
        <v>1625</v>
      </c>
    </row>
    <row r="148" spans="1:36" s="59" customFormat="1" outlineLevel="1">
      <c r="A148" s="290" t="s">
        <v>744</v>
      </c>
      <c r="B148" s="291" t="s">
        <v>126</v>
      </c>
      <c r="C148" s="615">
        <f>C146*C114</f>
        <v>783373.1595312939</v>
      </c>
      <c r="D148" s="615">
        <f t="shared" ref="D148:AG148" si="53">D146*D114</f>
        <v>778805.32524194743</v>
      </c>
      <c r="E148" s="615">
        <f t="shared" si="53"/>
        <v>774186.04634476663</v>
      </c>
      <c r="F148" s="615">
        <f t="shared" si="53"/>
        <v>769515.70790322404</v>
      </c>
      <c r="G148" s="615">
        <f t="shared" si="53"/>
        <v>764794.69498079177</v>
      </c>
      <c r="H148" s="615">
        <f t="shared" si="53"/>
        <v>760023.39264094247</v>
      </c>
      <c r="I148" s="615">
        <f t="shared" si="53"/>
        <v>754202.82481307129</v>
      </c>
      <c r="J148" s="615">
        <f t="shared" si="53"/>
        <v>748341.57422127225</v>
      </c>
      <c r="K148" s="615">
        <f t="shared" si="53"/>
        <v>742440.27601939172</v>
      </c>
      <c r="L148" s="615">
        <f t="shared" si="53"/>
        <v>736499.56536127557</v>
      </c>
      <c r="M148" s="615">
        <f t="shared" si="53"/>
        <v>730520.0774007705</v>
      </c>
      <c r="N148" s="615">
        <f t="shared" si="53"/>
        <v>723577.22427148616</v>
      </c>
      <c r="O148" s="615">
        <f t="shared" si="53"/>
        <v>716784.57577909587</v>
      </c>
      <c r="P148" s="615">
        <f t="shared" si="53"/>
        <v>709589.65135994588</v>
      </c>
      <c r="Q148" s="615">
        <f t="shared" si="53"/>
        <v>702370.00351643248</v>
      </c>
      <c r="R148" s="615">
        <f t="shared" si="53"/>
        <v>695126.5576738955</v>
      </c>
      <c r="S148" s="615">
        <f t="shared" si="53"/>
        <v>687860.23931015818</v>
      </c>
      <c r="T148" s="615">
        <f t="shared" si="53"/>
        <v>680571.97395491914</v>
      </c>
      <c r="U148" s="615">
        <f t="shared" si="53"/>
        <v>673262.68718914303</v>
      </c>
      <c r="V148" s="615">
        <f t="shared" si="53"/>
        <v>665933.3046444545</v>
      </c>
      <c r="W148" s="615">
        <f t="shared" si="53"/>
        <v>658584.75200252724</v>
      </c>
      <c r="X148" s="615">
        <f t="shared" si="53"/>
        <v>649774.33880701091</v>
      </c>
      <c r="Y148" s="615">
        <f t="shared" si="53"/>
        <v>642442.70144810702</v>
      </c>
      <c r="Z148" s="615">
        <f t="shared" si="53"/>
        <v>634935.36181830929</v>
      </c>
      <c r="AA148" s="615">
        <f t="shared" si="53"/>
        <v>627412.23103265325</v>
      </c>
      <c r="AB148" s="615">
        <f t="shared" si="53"/>
        <v>619874.32741273276</v>
      </c>
      <c r="AC148" s="615">
        <f t="shared" si="53"/>
        <v>612295.54381238483</v>
      </c>
      <c r="AD148" s="615">
        <f t="shared" si="53"/>
        <v>604704.39430790686</v>
      </c>
      <c r="AE148" s="615">
        <f t="shared" si="53"/>
        <v>597101.90622239572</v>
      </c>
      <c r="AF148" s="615">
        <f t="shared" si="53"/>
        <v>589489.10730949079</v>
      </c>
      <c r="AG148" s="615">
        <f t="shared" si="53"/>
        <v>581867.02573147835</v>
      </c>
      <c r="AI148" s="319"/>
      <c r="AJ148" s="318" t="s">
        <v>1626</v>
      </c>
    </row>
    <row r="149" spans="1:36" s="1" customFormat="1" outlineLevel="1">
      <c r="A149" t="s">
        <v>725</v>
      </c>
      <c r="B149" s="281" t="s">
        <v>127</v>
      </c>
      <c r="C149" s="613">
        <f>C115*C146</f>
        <v>853675.87897641002</v>
      </c>
      <c r="D149" s="613">
        <f t="shared" ref="D149:AG149" si="54">D115*D146</f>
        <v>854336.01411239489</v>
      </c>
      <c r="E149" s="613">
        <f t="shared" si="54"/>
        <v>854970.67726769857</v>
      </c>
      <c r="F149" s="613">
        <f t="shared" si="54"/>
        <v>855579.96470818971</v>
      </c>
      <c r="G149" s="613">
        <f t="shared" si="54"/>
        <v>856163.97269973566</v>
      </c>
      <c r="H149" s="613">
        <f t="shared" si="54"/>
        <v>856722.79750820505</v>
      </c>
      <c r="I149" s="613">
        <f t="shared" si="54"/>
        <v>856122.12546348607</v>
      </c>
      <c r="J149" s="613">
        <f t="shared" si="54"/>
        <v>855490.48143931769</v>
      </c>
      <c r="K149" s="613">
        <f t="shared" si="54"/>
        <v>854828.02422416152</v>
      </c>
      <c r="L149" s="613">
        <f t="shared" si="54"/>
        <v>854134.91260647879</v>
      </c>
      <c r="M149" s="613">
        <f t="shared" si="54"/>
        <v>853411.30537473143</v>
      </c>
      <c r="N149" s="613">
        <f t="shared" si="54"/>
        <v>851568.47856479092</v>
      </c>
      <c r="O149" s="613">
        <f t="shared" si="54"/>
        <v>849901.71128092729</v>
      </c>
      <c r="P149" s="613">
        <f t="shared" si="54"/>
        <v>847754.94405262696</v>
      </c>
      <c r="Q149" s="613">
        <f t="shared" si="54"/>
        <v>845571.65471881116</v>
      </c>
      <c r="R149" s="613">
        <f t="shared" si="54"/>
        <v>843352.07364847534</v>
      </c>
      <c r="S149" s="613">
        <f t="shared" si="54"/>
        <v>841096.43123568757</v>
      </c>
      <c r="T149" s="613">
        <f t="shared" si="54"/>
        <v>838804.95789943694</v>
      </c>
      <c r="U149" s="613">
        <f t="shared" si="54"/>
        <v>836477.88408347988</v>
      </c>
      <c r="V149" s="613">
        <f t="shared" si="54"/>
        <v>834115.44025619072</v>
      </c>
      <c r="W149" s="613">
        <f t="shared" si="54"/>
        <v>831717.85691040696</v>
      </c>
      <c r="X149" s="613">
        <f t="shared" si="54"/>
        <v>827447.00957455183</v>
      </c>
      <c r="Y149" s="613">
        <f t="shared" si="54"/>
        <v>825031.67975441006</v>
      </c>
      <c r="Z149" s="613">
        <f t="shared" si="54"/>
        <v>822376.3861848833</v>
      </c>
      <c r="AA149" s="613">
        <f t="shared" si="54"/>
        <v>819683.72118781984</v>
      </c>
      <c r="AB149" s="613">
        <f t="shared" si="54"/>
        <v>816953.93694340996</v>
      </c>
      <c r="AC149" s="613">
        <f t="shared" si="54"/>
        <v>814151.2175966861</v>
      </c>
      <c r="AD149" s="613">
        <f t="shared" si="54"/>
        <v>811311.72902977362</v>
      </c>
      <c r="AE149" s="613">
        <f t="shared" si="54"/>
        <v>808435.72696402855</v>
      </c>
      <c r="AF149" s="613">
        <f t="shared" si="54"/>
        <v>805523.46765870601</v>
      </c>
      <c r="AG149" s="613">
        <f t="shared" si="54"/>
        <v>802575.20790548727</v>
      </c>
      <c r="AI149" s="295"/>
      <c r="AJ149" s="198" t="s">
        <v>1627</v>
      </c>
    </row>
    <row r="150" spans="1:36" s="1" customFormat="1" outlineLevel="1">
      <c r="A150" t="s">
        <v>731</v>
      </c>
      <c r="B150" s="281" t="s">
        <v>127</v>
      </c>
      <c r="C150" s="613">
        <f>C116*C146</f>
        <v>150648.68452524883</v>
      </c>
      <c r="D150" s="613">
        <f t="shared" ref="D150:AG150" si="55">D116*D146</f>
        <v>152739.8374935716</v>
      </c>
      <c r="E150" s="613">
        <f t="shared" si="55"/>
        <v>154837.20926895333</v>
      </c>
      <c r="F150" s="613">
        <f t="shared" si="55"/>
        <v>156940.70358552597</v>
      </c>
      <c r="G150" s="613">
        <f t="shared" si="55"/>
        <v>159050.2241774213</v>
      </c>
      <c r="H150" s="613">
        <f t="shared" si="55"/>
        <v>161165.67477877132</v>
      </c>
      <c r="I150" s="613">
        <f t="shared" si="55"/>
        <v>163070.88104066413</v>
      </c>
      <c r="J150" s="613">
        <f t="shared" si="55"/>
        <v>164975.30158968962</v>
      </c>
      <c r="K150" s="613">
        <f t="shared" si="55"/>
        <v>166878.77763738626</v>
      </c>
      <c r="L150" s="613">
        <f t="shared" si="55"/>
        <v>168781.15039529238</v>
      </c>
      <c r="M150" s="613">
        <f t="shared" si="55"/>
        <v>170682.26107494647</v>
      </c>
      <c r="N150" s="613">
        <f t="shared" si="55"/>
        <v>172361.55578165129</v>
      </c>
      <c r="O150" s="613">
        <f t="shared" si="55"/>
        <v>174076.25411778051</v>
      </c>
      <c r="P150" s="613">
        <f t="shared" si="55"/>
        <v>175691.66848575592</v>
      </c>
      <c r="Q150" s="613">
        <f t="shared" si="55"/>
        <v>177297.28244104132</v>
      </c>
      <c r="R150" s="613">
        <f t="shared" si="55"/>
        <v>178892.86410725265</v>
      </c>
      <c r="S150" s="613">
        <f t="shared" si="55"/>
        <v>180478.18160118023</v>
      </c>
      <c r="T150" s="613">
        <f t="shared" si="55"/>
        <v>182053.00303294099</v>
      </c>
      <c r="U150" s="613">
        <f t="shared" si="55"/>
        <v>183617.0965061301</v>
      </c>
      <c r="V150" s="613">
        <f t="shared" si="55"/>
        <v>185170.23011797346</v>
      </c>
      <c r="W150" s="613">
        <f t="shared" si="55"/>
        <v>186712.17195947948</v>
      </c>
      <c r="X150" s="613">
        <f t="shared" si="55"/>
        <v>187825.39481140175</v>
      </c>
      <c r="Y150" s="613">
        <f t="shared" si="55"/>
        <v>189351.53305838961</v>
      </c>
      <c r="Z150" s="613">
        <f t="shared" si="55"/>
        <v>190818.34012092822</v>
      </c>
      <c r="AA150" s="613">
        <f t="shared" si="55"/>
        <v>192271.49015516811</v>
      </c>
      <c r="AB150" s="613">
        <f t="shared" si="55"/>
        <v>193710.72731647917</v>
      </c>
      <c r="AC150" s="613">
        <f t="shared" si="55"/>
        <v>195127.15132482612</v>
      </c>
      <c r="AD150" s="613">
        <f t="shared" si="55"/>
        <v>196528.92815006993</v>
      </c>
      <c r="AE150" s="613">
        <f t="shared" si="55"/>
        <v>197915.80037708639</v>
      </c>
      <c r="AF150" s="613">
        <f t="shared" si="55"/>
        <v>199287.51070974284</v>
      </c>
      <c r="AG150" s="613">
        <f t="shared" si="55"/>
        <v>200643.80197637182</v>
      </c>
      <c r="AI150" s="295"/>
      <c r="AJ150" s="198" t="s">
        <v>1628</v>
      </c>
    </row>
    <row r="151" spans="1:36" s="1" customFormat="1" outlineLevel="1">
      <c r="A151" t="s">
        <v>726</v>
      </c>
      <c r="B151" s="281" t="s">
        <v>127</v>
      </c>
      <c r="C151" s="613">
        <f>C149*C117</f>
        <v>128051.3818464615</v>
      </c>
      <c r="D151" s="613">
        <f t="shared" ref="D151:AG151" si="56">D149*D117</f>
        <v>133561.1968729044</v>
      </c>
      <c r="E151" s="613">
        <f t="shared" si="56"/>
        <v>139075.23016887894</v>
      </c>
      <c r="F151" s="613">
        <f t="shared" si="56"/>
        <v>144593.01403568406</v>
      </c>
      <c r="G151" s="613">
        <f t="shared" si="56"/>
        <v>150114.08321335365</v>
      </c>
      <c r="H151" s="613">
        <f t="shared" si="56"/>
        <v>155637.97488065722</v>
      </c>
      <c r="I151" s="613">
        <f t="shared" si="56"/>
        <v>160950.95958713535</v>
      </c>
      <c r="J151" s="613">
        <f t="shared" si="56"/>
        <v>166250.31689304073</v>
      </c>
      <c r="K151" s="613">
        <f t="shared" si="56"/>
        <v>171535.49019431506</v>
      </c>
      <c r="L151" s="613">
        <f t="shared" si="56"/>
        <v>176805.92690954107</v>
      </c>
      <c r="M151" s="613">
        <f t="shared" si="56"/>
        <v>182061.07847994266</v>
      </c>
      <c r="N151" s="613">
        <f t="shared" si="56"/>
        <v>187061.20912473236</v>
      </c>
      <c r="O151" s="613">
        <f t="shared" si="56"/>
        <v>192077.78674948952</v>
      </c>
      <c r="P151" s="613">
        <f t="shared" si="56"/>
        <v>196961.73200156027</v>
      </c>
      <c r="Q151" s="613">
        <f t="shared" si="56"/>
        <v>201809.76825955621</v>
      </c>
      <c r="R151" s="613">
        <f t="shared" si="56"/>
        <v>206621.25804387641</v>
      </c>
      <c r="S151" s="613">
        <f t="shared" si="56"/>
        <v>211395.56971723613</v>
      </c>
      <c r="T151" s="613">
        <f t="shared" si="56"/>
        <v>216132.07748542159</v>
      </c>
      <c r="U151" s="613">
        <f t="shared" si="56"/>
        <v>220830.1613980387</v>
      </c>
      <c r="V151" s="613">
        <f t="shared" si="56"/>
        <v>225489.20734925693</v>
      </c>
      <c r="W151" s="613">
        <f t="shared" si="56"/>
        <v>230108.60707854599</v>
      </c>
      <c r="X151" s="613">
        <f t="shared" si="56"/>
        <v>234167.50370959824</v>
      </c>
      <c r="Y151" s="613">
        <f t="shared" si="56"/>
        <v>238709.16600894273</v>
      </c>
      <c r="Z151" s="613">
        <f t="shared" si="56"/>
        <v>243149.28484866393</v>
      </c>
      <c r="AA151" s="613">
        <f t="shared" si="56"/>
        <v>247544.48379872172</v>
      </c>
      <c r="AB151" s="613">
        <f t="shared" si="56"/>
        <v>251894.13055755154</v>
      </c>
      <c r="AC151" s="613">
        <f t="shared" si="56"/>
        <v>256186.24980375738</v>
      </c>
      <c r="AD151" s="613">
        <f t="shared" si="56"/>
        <v>260431.06501855751</v>
      </c>
      <c r="AE151" s="613">
        <f t="shared" si="56"/>
        <v>264627.96129289223</v>
      </c>
      <c r="AF151" s="613">
        <f t="shared" si="56"/>
        <v>268776.33037545515</v>
      </c>
      <c r="AG151" s="613">
        <f t="shared" si="56"/>
        <v>272875.57068786566</v>
      </c>
      <c r="AI151" s="295"/>
      <c r="AJ151" s="198" t="s">
        <v>1629</v>
      </c>
    </row>
    <row r="152" spans="1:36" s="1" customFormat="1" outlineLevel="1">
      <c r="A152" t="s">
        <v>727</v>
      </c>
      <c r="B152" s="281" t="s">
        <v>127</v>
      </c>
      <c r="C152" s="613">
        <f>C149*C118</f>
        <v>725624.49712994846</v>
      </c>
      <c r="D152" s="613">
        <f t="shared" ref="D152:AG152" si="57">D149*D118</f>
        <v>720774.81723949045</v>
      </c>
      <c r="E152" s="613">
        <f t="shared" si="57"/>
        <v>715895.44709881966</v>
      </c>
      <c r="F152" s="613">
        <f t="shared" si="57"/>
        <v>710986.95067250566</v>
      </c>
      <c r="G152" s="613">
        <f t="shared" si="57"/>
        <v>706049.88948638213</v>
      </c>
      <c r="H152" s="613">
        <f t="shared" si="57"/>
        <v>701084.8226275479</v>
      </c>
      <c r="I152" s="613">
        <f t="shared" si="57"/>
        <v>695171.16587635083</v>
      </c>
      <c r="J152" s="613">
        <f t="shared" si="57"/>
        <v>689240.16454627714</v>
      </c>
      <c r="K152" s="613">
        <f t="shared" si="57"/>
        <v>683292.53402984666</v>
      </c>
      <c r="L152" s="613">
        <f t="shared" si="57"/>
        <v>677328.98569693789</v>
      </c>
      <c r="M152" s="613">
        <f t="shared" si="57"/>
        <v>671350.22689478903</v>
      </c>
      <c r="N152" s="613">
        <f t="shared" si="57"/>
        <v>664507.26944005874</v>
      </c>
      <c r="O152" s="613">
        <f t="shared" si="57"/>
        <v>657823.92453143804</v>
      </c>
      <c r="P152" s="613">
        <f t="shared" si="57"/>
        <v>650793.21205106692</v>
      </c>
      <c r="Q152" s="613">
        <f t="shared" si="57"/>
        <v>643761.88645925524</v>
      </c>
      <c r="R152" s="613">
        <f t="shared" si="57"/>
        <v>636730.81560459931</v>
      </c>
      <c r="S152" s="613">
        <f t="shared" si="57"/>
        <v>629700.86151845183</v>
      </c>
      <c r="T152" s="613">
        <f t="shared" si="57"/>
        <v>622672.88041401573</v>
      </c>
      <c r="U152" s="613">
        <f t="shared" si="57"/>
        <v>615647.72268544161</v>
      </c>
      <c r="V152" s="613">
        <f t="shared" si="57"/>
        <v>608626.23290693434</v>
      </c>
      <c r="W152" s="613">
        <f t="shared" si="57"/>
        <v>601609.24983186158</v>
      </c>
      <c r="X152" s="613">
        <f t="shared" si="57"/>
        <v>593279.5058649542</v>
      </c>
      <c r="Y152" s="613">
        <f t="shared" si="57"/>
        <v>586322.51374546799</v>
      </c>
      <c r="Z152" s="613">
        <f t="shared" si="57"/>
        <v>579227.10133622005</v>
      </c>
      <c r="AA152" s="613">
        <f t="shared" si="57"/>
        <v>572139.23738909885</v>
      </c>
      <c r="AB152" s="613">
        <f t="shared" si="57"/>
        <v>565059.80638585915</v>
      </c>
      <c r="AC152" s="613">
        <f t="shared" si="57"/>
        <v>557964.9677929295</v>
      </c>
      <c r="AD152" s="613">
        <f t="shared" si="57"/>
        <v>550880.66401121696</v>
      </c>
      <c r="AE152" s="613">
        <f t="shared" si="57"/>
        <v>543807.76567113725</v>
      </c>
      <c r="AF152" s="613">
        <f t="shared" si="57"/>
        <v>536747.13728325185</v>
      </c>
      <c r="AG152" s="613">
        <f t="shared" si="57"/>
        <v>529699.63721762167</v>
      </c>
      <c r="AI152" s="295"/>
      <c r="AJ152" s="198" t="s">
        <v>1630</v>
      </c>
    </row>
    <row r="153" spans="1:36" s="1" customFormat="1" outlineLevel="1">
      <c r="A153" t="s">
        <v>730</v>
      </c>
      <c r="B153" s="281" t="s">
        <v>127</v>
      </c>
      <c r="C153" s="613">
        <f>C119*C152</f>
        <v>0</v>
      </c>
      <c r="D153" s="613">
        <f t="shared" ref="D153:AG153" si="58">D119*D152</f>
        <v>0</v>
      </c>
      <c r="E153" s="613">
        <f t="shared" si="58"/>
        <v>0</v>
      </c>
      <c r="F153" s="613">
        <f t="shared" si="58"/>
        <v>0</v>
      </c>
      <c r="G153" s="613">
        <f t="shared" si="58"/>
        <v>0</v>
      </c>
      <c r="H153" s="613">
        <f t="shared" si="58"/>
        <v>0</v>
      </c>
      <c r="I153" s="613">
        <f t="shared" si="58"/>
        <v>0</v>
      </c>
      <c r="J153" s="613">
        <f t="shared" si="58"/>
        <v>0</v>
      </c>
      <c r="K153" s="613">
        <f t="shared" si="58"/>
        <v>0</v>
      </c>
      <c r="L153" s="613">
        <f t="shared" si="58"/>
        <v>0</v>
      </c>
      <c r="M153" s="613">
        <f t="shared" si="58"/>
        <v>0</v>
      </c>
      <c r="N153" s="613">
        <f t="shared" si="58"/>
        <v>0</v>
      </c>
      <c r="O153" s="613">
        <f t="shared" si="58"/>
        <v>0</v>
      </c>
      <c r="P153" s="613">
        <f t="shared" si="58"/>
        <v>0</v>
      </c>
      <c r="Q153" s="613">
        <f t="shared" si="58"/>
        <v>0</v>
      </c>
      <c r="R153" s="613">
        <f t="shared" si="58"/>
        <v>0</v>
      </c>
      <c r="S153" s="613">
        <f t="shared" si="58"/>
        <v>0</v>
      </c>
      <c r="T153" s="613">
        <f t="shared" si="58"/>
        <v>0</v>
      </c>
      <c r="U153" s="613">
        <f t="shared" si="58"/>
        <v>0</v>
      </c>
      <c r="V153" s="613">
        <f t="shared" si="58"/>
        <v>0</v>
      </c>
      <c r="W153" s="613">
        <f t="shared" si="58"/>
        <v>0</v>
      </c>
      <c r="X153" s="613">
        <f t="shared" si="58"/>
        <v>0</v>
      </c>
      <c r="Y153" s="613">
        <f t="shared" si="58"/>
        <v>0</v>
      </c>
      <c r="Z153" s="613">
        <f t="shared" si="58"/>
        <v>0</v>
      </c>
      <c r="AA153" s="613">
        <f t="shared" si="58"/>
        <v>0</v>
      </c>
      <c r="AB153" s="613">
        <f t="shared" si="58"/>
        <v>0</v>
      </c>
      <c r="AC153" s="613">
        <f t="shared" si="58"/>
        <v>0</v>
      </c>
      <c r="AD153" s="613">
        <f t="shared" si="58"/>
        <v>0</v>
      </c>
      <c r="AE153" s="613">
        <f t="shared" si="58"/>
        <v>0</v>
      </c>
      <c r="AF153" s="613">
        <f t="shared" si="58"/>
        <v>0</v>
      </c>
      <c r="AG153" s="613">
        <f t="shared" si="58"/>
        <v>0</v>
      </c>
      <c r="AI153" s="295"/>
      <c r="AJ153" s="198" t="s">
        <v>1631</v>
      </c>
    </row>
    <row r="154" spans="1:36" s="1" customFormat="1" outlineLevel="1">
      <c r="A154" t="s">
        <v>758</v>
      </c>
      <c r="B154" s="281" t="s">
        <v>127</v>
      </c>
      <c r="C154" s="613">
        <f>C120*C152</f>
        <v>725624.49712994846</v>
      </c>
      <c r="D154" s="613">
        <f t="shared" ref="D154:AG154" si="59">D120*D152</f>
        <v>720774.81723949045</v>
      </c>
      <c r="E154" s="613">
        <f t="shared" si="59"/>
        <v>715895.44709881966</v>
      </c>
      <c r="F154" s="613">
        <f t="shared" si="59"/>
        <v>710986.95067250566</v>
      </c>
      <c r="G154" s="613">
        <f t="shared" si="59"/>
        <v>706049.88948638213</v>
      </c>
      <c r="H154" s="613">
        <f t="shared" si="59"/>
        <v>701084.8226275479</v>
      </c>
      <c r="I154" s="613">
        <f t="shared" si="59"/>
        <v>695171.16587635083</v>
      </c>
      <c r="J154" s="613">
        <f t="shared" si="59"/>
        <v>689240.16454627714</v>
      </c>
      <c r="K154" s="613">
        <f t="shared" si="59"/>
        <v>683292.53402984666</v>
      </c>
      <c r="L154" s="613">
        <f t="shared" si="59"/>
        <v>677328.98569693789</v>
      </c>
      <c r="M154" s="613">
        <f t="shared" si="59"/>
        <v>671350.22689478903</v>
      </c>
      <c r="N154" s="613">
        <f t="shared" si="59"/>
        <v>664507.26944005874</v>
      </c>
      <c r="O154" s="613">
        <f t="shared" si="59"/>
        <v>657823.92453143804</v>
      </c>
      <c r="P154" s="613">
        <f t="shared" si="59"/>
        <v>650793.21205106692</v>
      </c>
      <c r="Q154" s="613">
        <f t="shared" si="59"/>
        <v>643761.88645925524</v>
      </c>
      <c r="R154" s="613">
        <f t="shared" si="59"/>
        <v>636730.81560459931</v>
      </c>
      <c r="S154" s="613">
        <f t="shared" si="59"/>
        <v>629700.86151845183</v>
      </c>
      <c r="T154" s="613">
        <f t="shared" si="59"/>
        <v>622672.88041401573</v>
      </c>
      <c r="U154" s="613">
        <f t="shared" si="59"/>
        <v>615647.72268544161</v>
      </c>
      <c r="V154" s="613">
        <f t="shared" si="59"/>
        <v>608626.23290693434</v>
      </c>
      <c r="W154" s="613">
        <f t="shared" si="59"/>
        <v>601609.24983186158</v>
      </c>
      <c r="X154" s="613">
        <f t="shared" si="59"/>
        <v>593279.5058649542</v>
      </c>
      <c r="Y154" s="613">
        <f t="shared" si="59"/>
        <v>586322.51374546799</v>
      </c>
      <c r="Z154" s="613">
        <f t="shared" si="59"/>
        <v>579227.10133622005</v>
      </c>
      <c r="AA154" s="613">
        <f t="shared" si="59"/>
        <v>572139.23738909885</v>
      </c>
      <c r="AB154" s="613">
        <f t="shared" si="59"/>
        <v>565059.80638585915</v>
      </c>
      <c r="AC154" s="613">
        <f t="shared" si="59"/>
        <v>557964.9677929295</v>
      </c>
      <c r="AD154" s="613">
        <f t="shared" si="59"/>
        <v>550880.66401121696</v>
      </c>
      <c r="AE154" s="613">
        <f t="shared" si="59"/>
        <v>543807.76567113725</v>
      </c>
      <c r="AF154" s="613">
        <f t="shared" si="59"/>
        <v>536747.13728325185</v>
      </c>
      <c r="AG154" s="613">
        <f t="shared" si="59"/>
        <v>529699.63721762167</v>
      </c>
      <c r="AI154" s="295"/>
      <c r="AJ154" s="198" t="s">
        <v>1632</v>
      </c>
    </row>
    <row r="155" spans="1:36" s="1" customFormat="1" outlineLevel="1">
      <c r="A155" t="s">
        <v>728</v>
      </c>
      <c r="B155" s="281" t="s">
        <v>127</v>
      </c>
      <c r="C155" s="613">
        <f>C121*(C153+C151)</f>
        <v>102441.10547716921</v>
      </c>
      <c r="D155" s="613">
        <f t="shared" ref="D155:AG155" si="60">D121*(D153+D151)</f>
        <v>107294.16148789987</v>
      </c>
      <c r="E155" s="613">
        <f t="shared" si="60"/>
        <v>112187.35233622901</v>
      </c>
      <c r="F155" s="613">
        <f t="shared" si="60"/>
        <v>117120.34136890408</v>
      </c>
      <c r="G155" s="613">
        <f t="shared" si="60"/>
        <v>122092.78768019429</v>
      </c>
      <c r="H155" s="613">
        <f t="shared" si="60"/>
        <v>127104.3461525367</v>
      </c>
      <c r="I155" s="613">
        <f t="shared" si="60"/>
        <v>131979.78686145096</v>
      </c>
      <c r="J155" s="613">
        <f t="shared" si="60"/>
        <v>136879.42757527018</v>
      </c>
      <c r="K155" s="613">
        <f t="shared" si="60"/>
        <v>141802.67189396708</v>
      </c>
      <c r="L155" s="613">
        <f t="shared" si="60"/>
        <v>146748.91933491905</v>
      </c>
      <c r="M155" s="613">
        <f t="shared" si="60"/>
        <v>151717.56539995217</v>
      </c>
      <c r="N155" s="613">
        <f t="shared" si="60"/>
        <v>156507.87830102601</v>
      </c>
      <c r="O155" s="613">
        <f t="shared" si="60"/>
        <v>161345.34086957111</v>
      </c>
      <c r="P155" s="613">
        <f t="shared" si="60"/>
        <v>166104.39398798242</v>
      </c>
      <c r="Q155" s="613">
        <f t="shared" si="60"/>
        <v>170865.60379309082</v>
      </c>
      <c r="R155" s="613">
        <f t="shared" si="60"/>
        <v>175628.06933729484</v>
      </c>
      <c r="S155" s="613">
        <f t="shared" si="60"/>
        <v>180390.88615870805</v>
      </c>
      <c r="T155" s="613">
        <f t="shared" si="60"/>
        <v>185153.14637917772</v>
      </c>
      <c r="U155" s="613">
        <f t="shared" si="60"/>
        <v>189913.93880231315</v>
      </c>
      <c r="V155" s="613">
        <f t="shared" si="60"/>
        <v>194672.34901152502</v>
      </c>
      <c r="W155" s="613">
        <f t="shared" si="60"/>
        <v>199427.45946807304</v>
      </c>
      <c r="X155" s="613">
        <f t="shared" si="60"/>
        <v>203725.72822735031</v>
      </c>
      <c r="Y155" s="613">
        <f t="shared" si="60"/>
        <v>208472.67164780982</v>
      </c>
      <c r="Z155" s="613">
        <f t="shared" si="60"/>
        <v>213160.87305066187</v>
      </c>
      <c r="AA155" s="613">
        <f t="shared" si="60"/>
        <v>217839.14574287491</v>
      </c>
      <c r="AB155" s="613">
        <f t="shared" si="60"/>
        <v>222506.48199250366</v>
      </c>
      <c r="AC155" s="613">
        <f t="shared" si="60"/>
        <v>227151.80815933133</v>
      </c>
      <c r="AD155" s="613">
        <f t="shared" si="60"/>
        <v>231783.64786651597</v>
      </c>
      <c r="AE155" s="613">
        <f t="shared" si="60"/>
        <v>236400.97875498349</v>
      </c>
      <c r="AF155" s="613">
        <f t="shared" si="60"/>
        <v>241002.77623665787</v>
      </c>
      <c r="AG155" s="613">
        <f t="shared" si="60"/>
        <v>245588.01361907911</v>
      </c>
      <c r="AH155" s="234"/>
      <c r="AI155" s="295"/>
      <c r="AJ155" s="198" t="s">
        <v>1633</v>
      </c>
    </row>
    <row r="156" spans="1:36" s="1" customFormat="1" outlineLevel="1">
      <c r="A156" t="s">
        <v>729</v>
      </c>
      <c r="B156" s="281" t="s">
        <v>127</v>
      </c>
      <c r="C156" s="613">
        <f>C122*(C153+C151)</f>
        <v>25610.276369292304</v>
      </c>
      <c r="D156" s="613">
        <f t="shared" ref="D156:AG156" si="61">D122*(D153+D151)</f>
        <v>26267.035385004536</v>
      </c>
      <c r="E156" s="613">
        <f t="shared" si="61"/>
        <v>26887.877832649934</v>
      </c>
      <c r="F156" s="613">
        <f t="shared" si="61"/>
        <v>27472.672666779974</v>
      </c>
      <c r="G156" s="613">
        <f t="shared" si="61"/>
        <v>28021.295533159351</v>
      </c>
      <c r="H156" s="613">
        <f t="shared" si="61"/>
        <v>28533.628728120497</v>
      </c>
      <c r="I156" s="613">
        <f t="shared" si="61"/>
        <v>28971.17272568437</v>
      </c>
      <c r="J156" s="613">
        <f t="shared" si="61"/>
        <v>29370.889317770536</v>
      </c>
      <c r="K156" s="613">
        <f t="shared" si="61"/>
        <v>29732.818300347953</v>
      </c>
      <c r="L156" s="613">
        <f t="shared" si="61"/>
        <v>30057.007574621995</v>
      </c>
      <c r="M156" s="613">
        <f t="shared" si="61"/>
        <v>30343.513079990458</v>
      </c>
      <c r="N156" s="613">
        <f t="shared" si="61"/>
        <v>30553.330823706299</v>
      </c>
      <c r="O156" s="613">
        <f t="shared" si="61"/>
        <v>30732.445879918341</v>
      </c>
      <c r="P156" s="613">
        <f t="shared" si="61"/>
        <v>30857.338013577795</v>
      </c>
      <c r="Q156" s="613">
        <f t="shared" si="61"/>
        <v>30944.164466465307</v>
      </c>
      <c r="R156" s="613">
        <f t="shared" si="61"/>
        <v>30993.188706581484</v>
      </c>
      <c r="S156" s="613">
        <f t="shared" si="61"/>
        <v>31004.683558527988</v>
      </c>
      <c r="T156" s="613">
        <f t="shared" si="61"/>
        <v>30978.931106243785</v>
      </c>
      <c r="U156" s="613">
        <f t="shared" si="61"/>
        <v>30916.222595725445</v>
      </c>
      <c r="V156" s="613">
        <f t="shared" si="61"/>
        <v>30816.85833773181</v>
      </c>
      <c r="W156" s="613">
        <f t="shared" si="61"/>
        <v>30681.147610472832</v>
      </c>
      <c r="X156" s="613">
        <f t="shared" si="61"/>
        <v>30441.775482247805</v>
      </c>
      <c r="Y156" s="613">
        <f t="shared" si="61"/>
        <v>30236.49436113278</v>
      </c>
      <c r="Z156" s="613">
        <f t="shared" si="61"/>
        <v>29988.411798001922</v>
      </c>
      <c r="AA156" s="613">
        <f t="shared" si="61"/>
        <v>29705.338055846645</v>
      </c>
      <c r="AB156" s="613">
        <f t="shared" si="61"/>
        <v>29387.648565047723</v>
      </c>
      <c r="AC156" s="613">
        <f t="shared" si="61"/>
        <v>29034.441644425882</v>
      </c>
      <c r="AD156" s="613">
        <f t="shared" si="61"/>
        <v>28647.417152041373</v>
      </c>
      <c r="AE156" s="613">
        <f t="shared" si="61"/>
        <v>28226.982537908552</v>
      </c>
      <c r="AF156" s="613">
        <f t="shared" si="61"/>
        <v>27773.554138797084</v>
      </c>
      <c r="AG156" s="613">
        <f t="shared" si="61"/>
        <v>27287.557068786569</v>
      </c>
      <c r="AI156" s="295"/>
      <c r="AJ156" s="198" t="s">
        <v>1634</v>
      </c>
    </row>
    <row r="157" spans="1:36" s="1" customFormat="1" outlineLevel="1">
      <c r="A157" t="s">
        <v>739</v>
      </c>
      <c r="B157" s="281" t="s">
        <v>127</v>
      </c>
      <c r="C157" s="613">
        <f>C150*C123</f>
        <v>143116.25029898639</v>
      </c>
      <c r="D157" s="613">
        <f t="shared" ref="D157:AG157" si="62">D150*D123</f>
        <v>144899.19250223492</v>
      </c>
      <c r="E157" s="613">
        <f t="shared" si="62"/>
        <v>146682.44958078847</v>
      </c>
      <c r="F157" s="613">
        <f t="shared" si="62"/>
        <v>148465.90559190759</v>
      </c>
      <c r="G157" s="613">
        <f t="shared" si="62"/>
        <v>150249.44510627066</v>
      </c>
      <c r="H157" s="613">
        <f t="shared" si="62"/>
        <v>152032.95320797429</v>
      </c>
      <c r="I157" s="613">
        <f t="shared" si="62"/>
        <v>153612.76994030565</v>
      </c>
      <c r="J157" s="613">
        <f t="shared" si="62"/>
        <v>155186.7670287014</v>
      </c>
      <c r="K157" s="613">
        <f t="shared" si="62"/>
        <v>156754.79846071819</v>
      </c>
      <c r="L157" s="613">
        <f t="shared" si="62"/>
        <v>158316.71907078431</v>
      </c>
      <c r="M157" s="613">
        <f t="shared" si="62"/>
        <v>159872.38454019991</v>
      </c>
      <c r="N157" s="613">
        <f t="shared" si="62"/>
        <v>161215.50850777124</v>
      </c>
      <c r="O157" s="613">
        <f t="shared" si="62"/>
        <v>162587.22134600708</v>
      </c>
      <c r="P157" s="613">
        <f t="shared" si="62"/>
        <v>163861.7628077151</v>
      </c>
      <c r="Q157" s="613">
        <f t="shared" si="62"/>
        <v>165122.86904675656</v>
      </c>
      <c r="R157" s="613">
        <f t="shared" si="62"/>
        <v>166370.36361974507</v>
      </c>
      <c r="S157" s="613">
        <f t="shared" si="62"/>
        <v>167604.07131362948</v>
      </c>
      <c r="T157" s="613">
        <f t="shared" si="62"/>
        <v>168823.81814588071</v>
      </c>
      <c r="U157" s="613">
        <f t="shared" si="62"/>
        <v>170029.43136467657</v>
      </c>
      <c r="V157" s="613">
        <f t="shared" si="62"/>
        <v>171220.73944908625</v>
      </c>
      <c r="W157" s="613">
        <f t="shared" si="62"/>
        <v>172397.57210925285</v>
      </c>
      <c r="X157" s="613">
        <f t="shared" si="62"/>
        <v>173175.01401611255</v>
      </c>
      <c r="Y157" s="613">
        <f t="shared" si="62"/>
        <v>174329.64476909084</v>
      </c>
      <c r="Z157" s="613">
        <f t="shared" si="62"/>
        <v>175425.66068450682</v>
      </c>
      <c r="AA157" s="613">
        <f t="shared" si="62"/>
        <v>176505.22796244448</v>
      </c>
      <c r="AB157" s="613">
        <f t="shared" si="62"/>
        <v>177568.16670677272</v>
      </c>
      <c r="AC157" s="613">
        <f t="shared" si="62"/>
        <v>178606.38584599103</v>
      </c>
      <c r="AD157" s="613">
        <f t="shared" si="62"/>
        <v>179627.44032916409</v>
      </c>
      <c r="AE157" s="613">
        <f t="shared" si="62"/>
        <v>180631.15381082104</v>
      </c>
      <c r="AF157" s="613">
        <f t="shared" si="62"/>
        <v>181617.3514268125</v>
      </c>
      <c r="AG157" s="613">
        <f t="shared" si="62"/>
        <v>182585.85979849836</v>
      </c>
      <c r="AI157" s="295"/>
      <c r="AJ157" s="198" t="s">
        <v>1635</v>
      </c>
    </row>
    <row r="158" spans="1:36" s="1" customFormat="1" outlineLevel="1">
      <c r="A158" t="s">
        <v>759</v>
      </c>
      <c r="B158" s="281" t="s">
        <v>127</v>
      </c>
      <c r="C158" s="613">
        <f>C150*C124</f>
        <v>7532.4342262624414</v>
      </c>
      <c r="D158" s="613">
        <f t="shared" ref="D158:AG158" si="63">D150*D124</f>
        <v>7840.644991336676</v>
      </c>
      <c r="E158" s="613">
        <f t="shared" si="63"/>
        <v>8154.7596881648751</v>
      </c>
      <c r="F158" s="613">
        <f t="shared" si="63"/>
        <v>8474.797993618402</v>
      </c>
      <c r="G158" s="613">
        <f t="shared" si="63"/>
        <v>8800.7790711506459</v>
      </c>
      <c r="H158" s="613">
        <f t="shared" si="63"/>
        <v>9132.7215707970408</v>
      </c>
      <c r="I158" s="613">
        <f t="shared" si="63"/>
        <v>9458.1111003585193</v>
      </c>
      <c r="J158" s="613">
        <f t="shared" si="63"/>
        <v>9788.5345609882497</v>
      </c>
      <c r="K158" s="613">
        <f t="shared" si="63"/>
        <v>10123.979176668099</v>
      </c>
      <c r="L158" s="613">
        <f t="shared" si="63"/>
        <v>10464.431324508127</v>
      </c>
      <c r="M158" s="613">
        <f t="shared" si="63"/>
        <v>10809.876534746609</v>
      </c>
      <c r="N158" s="613">
        <f t="shared" si="63"/>
        <v>11146.047273880116</v>
      </c>
      <c r="O158" s="613">
        <f t="shared" si="63"/>
        <v>11489.032771773514</v>
      </c>
      <c r="P158" s="613">
        <f t="shared" si="63"/>
        <v>11829.905678040899</v>
      </c>
      <c r="Q158" s="613">
        <f t="shared" si="63"/>
        <v>12174.41339428484</v>
      </c>
      <c r="R158" s="613">
        <f t="shared" si="63"/>
        <v>12522.500487507688</v>
      </c>
      <c r="S158" s="613">
        <f t="shared" si="63"/>
        <v>12874.11028755086</v>
      </c>
      <c r="T158" s="613">
        <f t="shared" si="63"/>
        <v>13229.184887060384</v>
      </c>
      <c r="U158" s="613">
        <f t="shared" si="63"/>
        <v>13587.665141453634</v>
      </c>
      <c r="V158" s="613">
        <f t="shared" si="63"/>
        <v>13949.490668887342</v>
      </c>
      <c r="W158" s="613">
        <f t="shared" si="63"/>
        <v>14314.59985022677</v>
      </c>
      <c r="X158" s="613">
        <f t="shared" si="63"/>
        <v>14650.380795289348</v>
      </c>
      <c r="Y158" s="613">
        <f t="shared" si="63"/>
        <v>15021.88828929892</v>
      </c>
      <c r="Z158" s="613">
        <f t="shared" si="63"/>
        <v>15392.679436421555</v>
      </c>
      <c r="AA158" s="613">
        <f t="shared" si="63"/>
        <v>15766.2621927238</v>
      </c>
      <c r="AB158" s="613">
        <f t="shared" si="63"/>
        <v>16142.560609706612</v>
      </c>
      <c r="AC158" s="613">
        <f t="shared" si="63"/>
        <v>16520.765478835296</v>
      </c>
      <c r="AD158" s="613">
        <f t="shared" si="63"/>
        <v>16901.487820906033</v>
      </c>
      <c r="AE158" s="613">
        <f t="shared" si="63"/>
        <v>17284.646566265565</v>
      </c>
      <c r="AF158" s="613">
        <f t="shared" si="63"/>
        <v>17670.159282930552</v>
      </c>
      <c r="AG158" s="613">
        <f t="shared" si="63"/>
        <v>18057.942177873461</v>
      </c>
      <c r="AI158" s="295"/>
      <c r="AJ158" s="198" t="s">
        <v>1636</v>
      </c>
    </row>
    <row r="159" spans="1:36" s="1" customFormat="1" outlineLevel="1">
      <c r="A159" t="s">
        <v>742</v>
      </c>
      <c r="B159" s="281" t="s">
        <v>127</v>
      </c>
      <c r="C159" s="613">
        <f t="shared" ref="C159:AG159" si="64">C155*C125</f>
        <v>27659.098478835691</v>
      </c>
      <c r="D159" s="613">
        <f t="shared" si="64"/>
        <v>28540.246955781367</v>
      </c>
      <c r="E159" s="613">
        <f t="shared" si="64"/>
        <v>29393.086312092004</v>
      </c>
      <c r="F159" s="613">
        <f t="shared" si="64"/>
        <v>30217.048073177251</v>
      </c>
      <c r="G159" s="613">
        <f t="shared" si="64"/>
        <v>31011.56807076935</v>
      </c>
      <c r="H159" s="613">
        <f t="shared" si="64"/>
        <v>31776.086538134175</v>
      </c>
      <c r="I159" s="613">
        <f t="shared" si="64"/>
        <v>32467.027567916935</v>
      </c>
      <c r="J159" s="613">
        <f t="shared" si="64"/>
        <v>33124.821473215379</v>
      </c>
      <c r="K159" s="613">
        <f t="shared" si="64"/>
        <v>33749.035910764163</v>
      </c>
      <c r="L159" s="613">
        <f t="shared" si="64"/>
        <v>34339.247124371053</v>
      </c>
      <c r="M159" s="613">
        <f t="shared" si="64"/>
        <v>34895.040041988999</v>
      </c>
      <c r="N159" s="613">
        <f t="shared" si="64"/>
        <v>35370.780496031875</v>
      </c>
      <c r="O159" s="613">
        <f t="shared" si="64"/>
        <v>35818.665673044779</v>
      </c>
      <c r="P159" s="613">
        <f t="shared" si="64"/>
        <v>36210.757889380162</v>
      </c>
      <c r="Q159" s="613">
        <f t="shared" si="64"/>
        <v>36565.239211721433</v>
      </c>
      <c r="R159" s="613">
        <f t="shared" si="64"/>
        <v>36881.894560831912</v>
      </c>
      <c r="S159" s="613">
        <f t="shared" si="64"/>
        <v>37160.522548693851</v>
      </c>
      <c r="T159" s="613">
        <f t="shared" si="64"/>
        <v>37400.935568593894</v>
      </c>
      <c r="U159" s="613">
        <f t="shared" si="64"/>
        <v>37602.959882857991</v>
      </c>
      <c r="V159" s="613">
        <f t="shared" si="64"/>
        <v>37766.43570823584</v>
      </c>
      <c r="W159" s="613">
        <f t="shared" si="64"/>
        <v>37891.217298933865</v>
      </c>
      <c r="X159" s="613">
        <f t="shared" si="64"/>
        <v>37892.985450287146</v>
      </c>
      <c r="Y159" s="613">
        <f t="shared" si="64"/>
        <v>37942.026239901374</v>
      </c>
      <c r="Z159" s="613">
        <f t="shared" si="64"/>
        <v>37942.635403017797</v>
      </c>
      <c r="AA159" s="613">
        <f t="shared" si="64"/>
        <v>37904.011359260221</v>
      </c>
      <c r="AB159" s="613">
        <f t="shared" si="64"/>
        <v>37826.101938725609</v>
      </c>
      <c r="AC159" s="613">
        <f t="shared" si="64"/>
        <v>37707.200154448983</v>
      </c>
      <c r="AD159" s="613">
        <f t="shared" si="64"/>
        <v>37548.95095437557</v>
      </c>
      <c r="AE159" s="613">
        <f t="shared" si="64"/>
        <v>37351.35464328737</v>
      </c>
      <c r="AF159" s="613">
        <f t="shared" si="64"/>
        <v>37114.427540445293</v>
      </c>
      <c r="AG159" s="613">
        <f t="shared" si="64"/>
        <v>36838.202042861863</v>
      </c>
      <c r="AI159" s="295"/>
      <c r="AJ159" s="198"/>
    </row>
    <row r="160" spans="1:36" s="62" customFormat="1">
      <c r="A160" s="322" t="s">
        <v>733</v>
      </c>
      <c r="B160" s="287" t="s">
        <v>127</v>
      </c>
      <c r="C160" s="614">
        <f>C126*C$145</f>
        <v>180432.94394841741</v>
      </c>
      <c r="D160" s="614">
        <f t="shared" ref="D160:AG165" si="65">D126*D$145</f>
        <v>185239.34352287446</v>
      </c>
      <c r="E160" s="614">
        <f t="shared" si="65"/>
        <v>189961.97017618926</v>
      </c>
      <c r="F160" s="614">
        <f t="shared" si="65"/>
        <v>194600.50437670635</v>
      </c>
      <c r="G160" s="614">
        <f t="shared" si="65"/>
        <v>199154.65417279437</v>
      </c>
      <c r="H160" s="614">
        <f t="shared" si="65"/>
        <v>203624.15519284699</v>
      </c>
      <c r="I160" s="614">
        <f t="shared" si="65"/>
        <v>207747.2688335391</v>
      </c>
      <c r="J160" s="614">
        <f t="shared" si="65"/>
        <v>211773.70467131381</v>
      </c>
      <c r="K160" s="614">
        <f t="shared" si="65"/>
        <v>215703.51984664003</v>
      </c>
      <c r="L160" s="614">
        <f t="shared" si="65"/>
        <v>219536.79908001091</v>
      </c>
      <c r="M160" s="614">
        <f t="shared" si="65"/>
        <v>223273.6546719445</v>
      </c>
      <c r="N160" s="614">
        <f t="shared" si="65"/>
        <v>225684.63794530038</v>
      </c>
      <c r="O160" s="614">
        <f t="shared" si="65"/>
        <v>227995.85885284867</v>
      </c>
      <c r="P160" s="614">
        <f t="shared" si="65"/>
        <v>230049.11083005145</v>
      </c>
      <c r="Q160" s="614">
        <f t="shared" si="65"/>
        <v>231952.0291358286</v>
      </c>
      <c r="R160" s="614">
        <f t="shared" si="65"/>
        <v>233706.07646379367</v>
      </c>
      <c r="S160" s="614">
        <f t="shared" si="65"/>
        <v>235312.80459161365</v>
      </c>
      <c r="T160" s="614">
        <f t="shared" si="65"/>
        <v>236773.85432365004</v>
      </c>
      <c r="U160" s="614">
        <f t="shared" si="65"/>
        <v>238090.95543473898</v>
      </c>
      <c r="V160" s="614">
        <f t="shared" si="65"/>
        <v>239265.926615112</v>
      </c>
      <c r="W160" s="614">
        <f t="shared" si="65"/>
        <v>240300.67541645645</v>
      </c>
      <c r="X160" s="614">
        <f t="shared" si="65"/>
        <v>239036.08339958143</v>
      </c>
      <c r="Y160" s="614">
        <f t="shared" si="65"/>
        <v>238062.24479367057</v>
      </c>
      <c r="Z160" s="614">
        <f t="shared" si="65"/>
        <v>236903.91451929783</v>
      </c>
      <c r="AA160" s="614">
        <f t="shared" si="65"/>
        <v>235568.00564881891</v>
      </c>
      <c r="AB160" s="614">
        <f t="shared" si="65"/>
        <v>234058.18794356173</v>
      </c>
      <c r="AC160" s="614">
        <f t="shared" si="65"/>
        <v>232368.83145774328</v>
      </c>
      <c r="AD160" s="614">
        <f t="shared" si="65"/>
        <v>230513.33618381742</v>
      </c>
      <c r="AE160" s="614">
        <f t="shared" si="65"/>
        <v>228495.69746645604</v>
      </c>
      <c r="AF160" s="614">
        <f t="shared" si="65"/>
        <v>226320.01040510993</v>
      </c>
      <c r="AG160" s="614">
        <f t="shared" si="65"/>
        <v>223990.46961705334</v>
      </c>
      <c r="AI160" s="314"/>
      <c r="AJ160" s="325"/>
    </row>
    <row r="161" spans="1:36">
      <c r="A161" s="323" t="s">
        <v>734</v>
      </c>
      <c r="B161" s="281" t="s">
        <v>127</v>
      </c>
      <c r="C161" s="613">
        <f t="shared" ref="C161:R165" si="66">C127*C$145</f>
        <v>417251.18288071529</v>
      </c>
      <c r="D161" s="613">
        <f t="shared" si="66"/>
        <v>416415.05650807463</v>
      </c>
      <c r="E161" s="613">
        <f t="shared" si="66"/>
        <v>415541.80976041395</v>
      </c>
      <c r="F161" s="613">
        <f t="shared" si="66"/>
        <v>414631.7564844595</v>
      </c>
      <c r="G161" s="613">
        <f t="shared" si="66"/>
        <v>413685.21914569417</v>
      </c>
      <c r="H161" s="613">
        <f t="shared" si="66"/>
        <v>412702.52882835944</v>
      </c>
      <c r="I161" s="613">
        <f t="shared" si="66"/>
        <v>411166.46956637938</v>
      </c>
      <c r="J161" s="613">
        <f t="shared" si="66"/>
        <v>409596.10109569976</v>
      </c>
      <c r="K161" s="613">
        <f t="shared" si="66"/>
        <v>407991.85497308552</v>
      </c>
      <c r="L161" s="613">
        <f t="shared" si="66"/>
        <v>406354.17137405858</v>
      </c>
      <c r="M161" s="613">
        <f t="shared" si="66"/>
        <v>404683.49909289932</v>
      </c>
      <c r="N161" s="613">
        <f t="shared" si="66"/>
        <v>400796.65122907754</v>
      </c>
      <c r="O161" s="613">
        <f t="shared" si="66"/>
        <v>396957.07568129891</v>
      </c>
      <c r="P161" s="613">
        <f t="shared" si="66"/>
        <v>392889.10643213714</v>
      </c>
      <c r="Q161" s="613">
        <f t="shared" si="66"/>
        <v>388783.2306538035</v>
      </c>
      <c r="R161" s="613">
        <f t="shared" si="66"/>
        <v>384641.25084666023</v>
      </c>
      <c r="S161" s="613">
        <f t="shared" si="65"/>
        <v>380464.99655437516</v>
      </c>
      <c r="T161" s="613">
        <f t="shared" si="65"/>
        <v>376256.32435739588</v>
      </c>
      <c r="U161" s="613">
        <f t="shared" si="65"/>
        <v>372017.11786677944</v>
      </c>
      <c r="V161" s="613">
        <f t="shared" si="65"/>
        <v>367749.28771837975</v>
      </c>
      <c r="W161" s="613">
        <f t="shared" si="65"/>
        <v>363454.77156739007</v>
      </c>
      <c r="X161" s="613">
        <f t="shared" si="65"/>
        <v>355917.69770893524</v>
      </c>
      <c r="Y161" s="613">
        <f t="shared" si="65"/>
        <v>349081.65702918003</v>
      </c>
      <c r="Z161" s="613">
        <f t="shared" si="65"/>
        <v>342225.58406384371</v>
      </c>
      <c r="AA161" s="613">
        <f t="shared" si="65"/>
        <v>335357.23026394314</v>
      </c>
      <c r="AB161" s="613">
        <f t="shared" si="65"/>
        <v>328479.38876170263</v>
      </c>
      <c r="AC161" s="613">
        <f t="shared" si="65"/>
        <v>321581.86496384064</v>
      </c>
      <c r="AD161" s="613">
        <f t="shared" si="65"/>
        <v>314681.03459303972</v>
      </c>
      <c r="AE161" s="613">
        <f t="shared" si="65"/>
        <v>307779.76490632491</v>
      </c>
      <c r="AF161" s="613">
        <f t="shared" si="65"/>
        <v>300880.94603645388</v>
      </c>
      <c r="AG161" s="613">
        <f t="shared" si="65"/>
        <v>293987.4913723825</v>
      </c>
      <c r="AI161" s="275"/>
    </row>
    <row r="162" spans="1:36">
      <c r="A162" s="323" t="s">
        <v>735</v>
      </c>
      <c r="B162" s="281" t="s">
        <v>127</v>
      </c>
      <c r="C162" s="613">
        <f t="shared" si="66"/>
        <v>90216.471974208704</v>
      </c>
      <c r="D162" s="613">
        <f t="shared" si="65"/>
        <v>87017.675485543848</v>
      </c>
      <c r="E162" s="613">
        <f t="shared" si="65"/>
        <v>83850.400898083535</v>
      </c>
      <c r="F162" s="613">
        <f t="shared" si="65"/>
        <v>80714.981928974768</v>
      </c>
      <c r="G162" s="613">
        <f t="shared" si="65"/>
        <v>77611.740229103671</v>
      </c>
      <c r="H162" s="613">
        <f t="shared" si="65"/>
        <v>74540.985383095744</v>
      </c>
      <c r="I162" s="613">
        <f t="shared" si="65"/>
        <v>71413.12366152904</v>
      </c>
      <c r="J162" s="613">
        <f t="shared" si="65"/>
        <v>68325.637824697493</v>
      </c>
      <c r="K162" s="613">
        <f t="shared" si="65"/>
        <v>65278.696795693657</v>
      </c>
      <c r="L162" s="613">
        <f t="shared" si="65"/>
        <v>62272.457431349212</v>
      </c>
      <c r="M162" s="613">
        <f t="shared" si="65"/>
        <v>59307.064522235225</v>
      </c>
      <c r="N162" s="613">
        <f t="shared" si="65"/>
        <v>56077.128026042592</v>
      </c>
      <c r="O162" s="613">
        <f t="shared" si="65"/>
        <v>52927.610090839837</v>
      </c>
      <c r="P162" s="613">
        <f t="shared" si="65"/>
        <v>49821.68243267099</v>
      </c>
      <c r="Q162" s="613">
        <f t="shared" si="65"/>
        <v>46785.778604101761</v>
      </c>
      <c r="R162" s="613">
        <f t="shared" si="65"/>
        <v>43819.889336961278</v>
      </c>
      <c r="S162" s="613">
        <f t="shared" si="65"/>
        <v>40923.966015932776</v>
      </c>
      <c r="T162" s="613">
        <f t="shared" si="65"/>
        <v>38097.920708991536</v>
      </c>
      <c r="U162" s="613">
        <f t="shared" si="65"/>
        <v>35341.626197344034</v>
      </c>
      <c r="V162" s="613">
        <f t="shared" si="65"/>
        <v>32654.916004868566</v>
      </c>
      <c r="W162" s="613">
        <f t="shared" si="65"/>
        <v>30037.584427057016</v>
      </c>
      <c r="X162" s="613">
        <f t="shared" si="65"/>
        <v>27243.083034511077</v>
      </c>
      <c r="Y162" s="613">
        <f t="shared" si="65"/>
        <v>24607.395495499561</v>
      </c>
      <c r="Z162" s="613">
        <f t="shared" si="65"/>
        <v>22070.058074321336</v>
      </c>
      <c r="AA162" s="613">
        <f t="shared" si="65"/>
        <v>19630.667137401535</v>
      </c>
      <c r="AB162" s="613">
        <f t="shared" si="65"/>
        <v>17288.38888219486</v>
      </c>
      <c r="AC162" s="613">
        <f t="shared" si="65"/>
        <v>15041.732393469951</v>
      </c>
      <c r="AD162" s="613">
        <f t="shared" si="65"/>
        <v>12890.548405016069</v>
      </c>
      <c r="AE162" s="613">
        <f t="shared" si="65"/>
        <v>10833.84772470262</v>
      </c>
      <c r="AF162" s="613">
        <f t="shared" si="65"/>
        <v>8870.5936281663508</v>
      </c>
      <c r="AG162" s="613">
        <f t="shared" si="65"/>
        <v>6999.702175532917</v>
      </c>
      <c r="AI162" s="275"/>
    </row>
    <row r="163" spans="1:36">
      <c r="A163" s="323" t="s">
        <v>736</v>
      </c>
      <c r="B163" s="281" t="s">
        <v>127</v>
      </c>
      <c r="C163" s="613">
        <f t="shared" si="66"/>
        <v>304480.59291295439</v>
      </c>
      <c r="D163" s="613">
        <f t="shared" si="65"/>
        <v>298399.66829592083</v>
      </c>
      <c r="E163" s="613">
        <f t="shared" si="65"/>
        <v>292363.34472429135</v>
      </c>
      <c r="F163" s="613">
        <f t="shared" si="65"/>
        <v>286372.33314526681</v>
      </c>
      <c r="G163" s="613">
        <f t="shared" si="65"/>
        <v>280427.32554478041</v>
      </c>
      <c r="H163" s="613">
        <f t="shared" si="65"/>
        <v>274528.99494749919</v>
      </c>
      <c r="I163" s="613">
        <f t="shared" si="65"/>
        <v>268340.22224332148</v>
      </c>
      <c r="J163" s="613">
        <f t="shared" si="65"/>
        <v>262213.04987174511</v>
      </c>
      <c r="K163" s="613">
        <f t="shared" si="65"/>
        <v>256147.92981788513</v>
      </c>
      <c r="L163" s="613">
        <f t="shared" si="65"/>
        <v>250145.29510558947</v>
      </c>
      <c r="M163" s="613">
        <f t="shared" si="65"/>
        <v>244205.55979743937</v>
      </c>
      <c r="N163" s="613">
        <f t="shared" si="65"/>
        <v>237037.67613462196</v>
      </c>
      <c r="O163" s="613">
        <f t="shared" si="65"/>
        <v>230031.53616403489</v>
      </c>
      <c r="P163" s="613">
        <f t="shared" si="65"/>
        <v>223027.26297041329</v>
      </c>
      <c r="Q163" s="613">
        <f t="shared" si="65"/>
        <v>216137.11805838579</v>
      </c>
      <c r="R163" s="613">
        <f t="shared" si="65"/>
        <v>209361.69349881518</v>
      </c>
      <c r="S163" s="613">
        <f t="shared" si="65"/>
        <v>202701.51917266721</v>
      </c>
      <c r="T163" s="613">
        <f t="shared" si="65"/>
        <v>196157.06282398137</v>
      </c>
      <c r="U163" s="613">
        <f t="shared" si="65"/>
        <v>189728.73011205759</v>
      </c>
      <c r="V163" s="613">
        <f t="shared" si="65"/>
        <v>183416.86466286003</v>
      </c>
      <c r="W163" s="613">
        <f t="shared" si="65"/>
        <v>177221.74811963656</v>
      </c>
      <c r="X163" s="613">
        <f t="shared" si="65"/>
        <v>169610.16211808525</v>
      </c>
      <c r="Y163" s="613">
        <f t="shared" si="65"/>
        <v>162523.26327260188</v>
      </c>
      <c r="Z163" s="613">
        <f t="shared" si="65"/>
        <v>155607.87781515185</v>
      </c>
      <c r="AA163" s="613">
        <f t="shared" si="65"/>
        <v>148865.89245862846</v>
      </c>
      <c r="AB163" s="613">
        <f t="shared" si="65"/>
        <v>142296.73926114247</v>
      </c>
      <c r="AC163" s="613">
        <f t="shared" si="65"/>
        <v>135894.27196859074</v>
      </c>
      <c r="AD163" s="613">
        <f t="shared" si="65"/>
        <v>129663.75160339709</v>
      </c>
      <c r="AE163" s="613">
        <f t="shared" si="65"/>
        <v>123604.35358638009</v>
      </c>
      <c r="AF163" s="613">
        <f t="shared" si="65"/>
        <v>117715.17490350505</v>
      </c>
      <c r="AG163" s="613">
        <f t="shared" si="65"/>
        <v>111995.23480852667</v>
      </c>
      <c r="AI163" s="275"/>
    </row>
    <row r="164" spans="1:36">
      <c r="A164" s="323" t="s">
        <v>737</v>
      </c>
      <c r="B164" s="281" t="s">
        <v>127</v>
      </c>
      <c r="C164" s="613">
        <f t="shared" si="66"/>
        <v>78939.412977432628</v>
      </c>
      <c r="D164" s="613">
        <f t="shared" si="65"/>
        <v>78054.481444114441</v>
      </c>
      <c r="E164" s="613">
        <f t="shared" si="65"/>
        <v>77172.05038407688</v>
      </c>
      <c r="F164" s="613">
        <f t="shared" si="65"/>
        <v>76292.243193140544</v>
      </c>
      <c r="G164" s="613">
        <f t="shared" si="65"/>
        <v>75415.181543374332</v>
      </c>
      <c r="H164" s="613">
        <f t="shared" si="65"/>
        <v>74540.985383095758</v>
      </c>
      <c r="I164" s="613">
        <f t="shared" si="65"/>
        <v>73577.157711878419</v>
      </c>
      <c r="J164" s="613">
        <f t="shared" si="65"/>
        <v>72618.348054521441</v>
      </c>
      <c r="K164" s="613">
        <f t="shared" si="65"/>
        <v>71664.656264837613</v>
      </c>
      <c r="L164" s="613">
        <f t="shared" si="65"/>
        <v>70716.180472888111</v>
      </c>
      <c r="M164" s="613">
        <f t="shared" si="65"/>
        <v>69773.017084982625</v>
      </c>
      <c r="N164" s="613">
        <f t="shared" si="65"/>
        <v>68462.260596211519</v>
      </c>
      <c r="O164" s="613">
        <f t="shared" si="65"/>
        <v>67177.351269142877</v>
      </c>
      <c r="P164" s="613">
        <f t="shared" si="65"/>
        <v>65871.62039755829</v>
      </c>
      <c r="Q164" s="613">
        <f t="shared" si="65"/>
        <v>64577.553566224968</v>
      </c>
      <c r="R164" s="613">
        <f t="shared" si="65"/>
        <v>63295.395708944066</v>
      </c>
      <c r="S164" s="613">
        <f t="shared" si="65"/>
        <v>62025.385992898111</v>
      </c>
      <c r="T164" s="613">
        <f t="shared" si="65"/>
        <v>60767.75782508566</v>
      </c>
      <c r="U164" s="613">
        <f t="shared" si="65"/>
        <v>59522.738858684679</v>
      </c>
      <c r="V164" s="613">
        <f t="shared" si="65"/>
        <v>58290.550999344814</v>
      </c>
      <c r="W164" s="613">
        <f t="shared" si="65"/>
        <v>57071.410411408324</v>
      </c>
      <c r="X164" s="613">
        <f t="shared" si="65"/>
        <v>55364.975199167668</v>
      </c>
      <c r="Y164" s="613">
        <f t="shared" si="65"/>
        <v>53792.911083185078</v>
      </c>
      <c r="Z164" s="613">
        <f t="shared" si="65"/>
        <v>52241.783036684683</v>
      </c>
      <c r="AA164" s="613">
        <f t="shared" si="65"/>
        <v>50712.556771620642</v>
      </c>
      <c r="AB164" s="613">
        <f t="shared" si="65"/>
        <v>49205.414510862312</v>
      </c>
      <c r="AC164" s="613">
        <f t="shared" si="65"/>
        <v>47718.599317215041</v>
      </c>
      <c r="AD164" s="613">
        <f t="shared" si="65"/>
        <v>46254.320747410638</v>
      </c>
      <c r="AE164" s="613">
        <f t="shared" si="65"/>
        <v>44812.733770360894</v>
      </c>
      <c r="AF164" s="613">
        <f t="shared" si="65"/>
        <v>43393.985045894929</v>
      </c>
      <c r="AG164" s="613">
        <f t="shared" si="65"/>
        <v>41998.213053197498</v>
      </c>
      <c r="AI164" s="275"/>
    </row>
    <row r="165" spans="1:36" s="63" customFormat="1">
      <c r="A165" s="324" t="s">
        <v>738</v>
      </c>
      <c r="B165" s="291" t="s">
        <v>127</v>
      </c>
      <c r="C165" s="615">
        <f t="shared" si="66"/>
        <v>56385.294983880449</v>
      </c>
      <c r="D165" s="615">
        <f t="shared" si="65"/>
        <v>55273.029922148024</v>
      </c>
      <c r="E165" s="615">
        <f t="shared" si="65"/>
        <v>54168.843058053964</v>
      </c>
      <c r="F165" s="615">
        <f t="shared" si="65"/>
        <v>53072.864830010818</v>
      </c>
      <c r="G165" s="615">
        <f t="shared" si="65"/>
        <v>51985.222228927938</v>
      </c>
      <c r="H165" s="615">
        <f t="shared" si="65"/>
        <v>50906.038798211739</v>
      </c>
      <c r="I165" s="615">
        <f t="shared" si="65"/>
        <v>49772.783158035403</v>
      </c>
      <c r="J165" s="615">
        <f t="shared" si="65"/>
        <v>48650.715938004512</v>
      </c>
      <c r="K165" s="615">
        <f t="shared" si="65"/>
        <v>47539.920492516045</v>
      </c>
      <c r="L165" s="615">
        <f t="shared" si="65"/>
        <v>46440.476728463829</v>
      </c>
      <c r="M165" s="615">
        <f t="shared" si="65"/>
        <v>45352.461105238712</v>
      </c>
      <c r="N165" s="615">
        <f t="shared" si="65"/>
        <v>44036.026916156152</v>
      </c>
      <c r="O165" s="615">
        <f t="shared" si="65"/>
        <v>42749.223534909099</v>
      </c>
      <c r="P165" s="615">
        <f t="shared" si="65"/>
        <v>41462.339742625525</v>
      </c>
      <c r="Q165" s="615">
        <f t="shared" si="65"/>
        <v>40196.232321833908</v>
      </c>
      <c r="R165" s="615">
        <f t="shared" si="65"/>
        <v>38951.012743965577</v>
      </c>
      <c r="S165" s="615">
        <f t="shared" si="65"/>
        <v>37726.781170938026</v>
      </c>
      <c r="T165" s="615">
        <f t="shared" si="65"/>
        <v>36523.626464818328</v>
      </c>
      <c r="U165" s="615">
        <f t="shared" si="65"/>
        <v>35341.626197344027</v>
      </c>
      <c r="V165" s="615">
        <f t="shared" si="65"/>
        <v>34180.846659301671</v>
      </c>
      <c r="W165" s="615">
        <f t="shared" si="65"/>
        <v>33041.34286976271</v>
      </c>
      <c r="X165" s="615">
        <f t="shared" si="65"/>
        <v>31637.128685238662</v>
      </c>
      <c r="Y165" s="615">
        <f t="shared" si="65"/>
        <v>30330.04561073201</v>
      </c>
      <c r="Z165" s="615">
        <f t="shared" si="65"/>
        <v>29054.253667460995</v>
      </c>
      <c r="AA165" s="615">
        <f t="shared" si="65"/>
        <v>27810.111777985501</v>
      </c>
      <c r="AB165" s="615">
        <f t="shared" si="65"/>
        <v>26597.521357222857</v>
      </c>
      <c r="AC165" s="615">
        <f t="shared" si="65"/>
        <v>25415.340940690603</v>
      </c>
      <c r="AD165" s="615">
        <f t="shared" si="65"/>
        <v>24264.561703559659</v>
      </c>
      <c r="AE165" s="615">
        <f t="shared" si="65"/>
        <v>23145.038320955602</v>
      </c>
      <c r="AF165" s="615">
        <f t="shared" si="65"/>
        <v>22056.611183548779</v>
      </c>
      <c r="AG165" s="615">
        <f t="shared" si="65"/>
        <v>20999.106526598749</v>
      </c>
      <c r="AI165" s="293"/>
      <c r="AJ165" s="294"/>
    </row>
    <row r="166" spans="1:36" s="169" customFormat="1">
      <c r="B166" s="165"/>
      <c r="C166" s="624"/>
      <c r="D166" s="624"/>
      <c r="E166" s="624"/>
      <c r="F166" s="624"/>
      <c r="G166" s="624"/>
      <c r="H166" s="624"/>
      <c r="I166" s="624"/>
      <c r="J166" s="624"/>
      <c r="K166" s="624"/>
      <c r="L166" s="624"/>
      <c r="M166" s="624"/>
      <c r="N166" s="624"/>
      <c r="O166" s="624"/>
      <c r="P166" s="624"/>
      <c r="Q166" s="624"/>
      <c r="R166" s="624"/>
      <c r="S166" s="624"/>
      <c r="T166" s="624"/>
      <c r="U166" s="624"/>
      <c r="V166" s="624"/>
      <c r="W166" s="624"/>
      <c r="X166" s="624"/>
      <c r="Y166" s="624"/>
      <c r="Z166" s="624"/>
      <c r="AA166" s="624"/>
      <c r="AB166" s="624"/>
      <c r="AC166" s="624"/>
      <c r="AD166" s="624"/>
      <c r="AE166" s="624"/>
      <c r="AF166" s="624"/>
      <c r="AG166" s="624"/>
      <c r="AJ166" s="300"/>
    </row>
    <row r="167" spans="1:36" s="169" customFormat="1">
      <c r="A167" s="169" t="s">
        <v>857</v>
      </c>
      <c r="B167" s="327" t="s">
        <v>127</v>
      </c>
      <c r="C167" s="122">
        <f>C100</f>
        <v>67918.5806815088</v>
      </c>
      <c r="D167" s="122">
        <f t="shared" ref="D167:AG167" si="67">D100</f>
        <v>72818.578477682415</v>
      </c>
      <c r="E167" s="122">
        <f t="shared" si="67"/>
        <v>77752.767952490132</v>
      </c>
      <c r="F167" s="122">
        <f t="shared" si="67"/>
        <v>82719.856292281416</v>
      </c>
      <c r="G167" s="122">
        <f t="shared" si="67"/>
        <v>87718.550683405731</v>
      </c>
      <c r="H167" s="122">
        <f t="shared" si="67"/>
        <v>92747.55831221251</v>
      </c>
      <c r="I167" s="122">
        <f t="shared" si="67"/>
        <v>97604.510131046758</v>
      </c>
      <c r="J167" s="122">
        <f t="shared" si="67"/>
        <v>102474.26631015533</v>
      </c>
      <c r="K167" s="122">
        <f t="shared" si="67"/>
        <v>107355.53403588767</v>
      </c>
      <c r="L167" s="122">
        <f t="shared" si="67"/>
        <v>112247.02049459322</v>
      </c>
      <c r="M167" s="122">
        <f t="shared" si="67"/>
        <v>117147.43287262144</v>
      </c>
      <c r="N167" s="122">
        <f t="shared" si="67"/>
        <v>126197.51320965122</v>
      </c>
      <c r="O167" s="122">
        <f t="shared" si="67"/>
        <v>135289.6838198849</v>
      </c>
      <c r="P167" s="122">
        <f t="shared" si="67"/>
        <v>144240.55044385139</v>
      </c>
      <c r="Q167" s="122">
        <f t="shared" si="67"/>
        <v>153162.85359715685</v>
      </c>
      <c r="R167" s="122">
        <f t="shared" si="67"/>
        <v>162052.39001833557</v>
      </c>
      <c r="S167" s="122">
        <f t="shared" si="67"/>
        <v>170904.95893173851</v>
      </c>
      <c r="T167" s="122">
        <f t="shared" si="67"/>
        <v>179716.36201191178</v>
      </c>
      <c r="U167" s="122">
        <f t="shared" si="67"/>
        <v>188482.40334797456</v>
      </c>
      <c r="V167" s="122">
        <f t="shared" si="67"/>
        <v>197198.88940799792</v>
      </c>
      <c r="W167" s="122">
        <f t="shared" si="67"/>
        <v>205861.62900338287</v>
      </c>
      <c r="X167" s="122">
        <f t="shared" si="67"/>
        <v>219970.52828083758</v>
      </c>
      <c r="Y167" s="122">
        <f t="shared" si="67"/>
        <v>234687.84134961336</v>
      </c>
      <c r="Z167" s="122">
        <f t="shared" si="67"/>
        <v>249015.3338723937</v>
      </c>
      <c r="AA167" s="122">
        <f t="shared" si="67"/>
        <v>263204.26600889681</v>
      </c>
      <c r="AB167" s="122">
        <f t="shared" si="67"/>
        <v>277249.53402787622</v>
      </c>
      <c r="AC167" s="122">
        <f t="shared" si="67"/>
        <v>291130.1734939501</v>
      </c>
      <c r="AD167" s="122">
        <f t="shared" si="67"/>
        <v>304855.50286064099</v>
      </c>
      <c r="AE167" s="122">
        <f t="shared" si="67"/>
        <v>318420.50470918452</v>
      </c>
      <c r="AF167" s="122">
        <f t="shared" si="67"/>
        <v>331820.18755092903</v>
      </c>
      <c r="AG167" s="122">
        <f t="shared" si="67"/>
        <v>345049.58440697828</v>
      </c>
      <c r="AI167" s="698"/>
      <c r="AJ167" s="300"/>
    </row>
    <row r="168" spans="1:36" s="169" customFormat="1">
      <c r="A168" s="169" t="s">
        <v>849</v>
      </c>
      <c r="B168" s="326" t="s">
        <v>127</v>
      </c>
      <c r="C168" s="613">
        <f>C167/(1-C125)</f>
        <v>93039.151618505202</v>
      </c>
      <c r="D168" s="613">
        <f t="shared" ref="D168:AG168" si="68">D167/(1-D125)</f>
        <v>99207.872585398392</v>
      </c>
      <c r="E168" s="613">
        <f t="shared" si="68"/>
        <v>105356.05413616549</v>
      </c>
      <c r="F168" s="613">
        <f t="shared" si="68"/>
        <v>111482.28610819599</v>
      </c>
      <c r="G168" s="613">
        <f t="shared" si="68"/>
        <v>117585.1885836538</v>
      </c>
      <c r="H168" s="613">
        <f t="shared" si="68"/>
        <v>123663.41108295001</v>
      </c>
      <c r="I168" s="613">
        <f t="shared" si="68"/>
        <v>129448.95242844397</v>
      </c>
      <c r="J168" s="613">
        <f t="shared" si="68"/>
        <v>135190.32494743448</v>
      </c>
      <c r="K168" s="613">
        <f t="shared" si="68"/>
        <v>140886.52760615179</v>
      </c>
      <c r="L168" s="613">
        <f t="shared" si="68"/>
        <v>146536.58028014781</v>
      </c>
      <c r="M168" s="613">
        <f t="shared" si="68"/>
        <v>152139.52321119668</v>
      </c>
      <c r="N168" s="613">
        <f t="shared" si="68"/>
        <v>163045.88269980779</v>
      </c>
      <c r="O168" s="613">
        <f t="shared" si="68"/>
        <v>173894.19514124023</v>
      </c>
      <c r="P168" s="613">
        <f t="shared" si="68"/>
        <v>184450.83176963092</v>
      </c>
      <c r="Q168" s="613">
        <f t="shared" si="68"/>
        <v>194863.68142131914</v>
      </c>
      <c r="R168" s="613">
        <f t="shared" si="68"/>
        <v>205129.60761814628</v>
      </c>
      <c r="S168" s="613">
        <f t="shared" si="68"/>
        <v>215245.54021629534</v>
      </c>
      <c r="T168" s="613">
        <f t="shared" si="68"/>
        <v>225208.47369913757</v>
      </c>
      <c r="U168" s="613">
        <f t="shared" si="68"/>
        <v>235015.46552116526</v>
      </c>
      <c r="V168" s="613">
        <f t="shared" si="68"/>
        <v>244663.63450123809</v>
      </c>
      <c r="W168" s="613">
        <f t="shared" si="68"/>
        <v>254150.15926343563</v>
      </c>
      <c r="X168" s="613">
        <f t="shared" si="68"/>
        <v>270234.06422707316</v>
      </c>
      <c r="Y168" s="613">
        <f t="shared" si="68"/>
        <v>286904.45152764465</v>
      </c>
      <c r="Z168" s="613">
        <f t="shared" si="68"/>
        <v>302938.36237517482</v>
      </c>
      <c r="AA168" s="613">
        <f t="shared" si="68"/>
        <v>318649.2324562915</v>
      </c>
      <c r="AB168" s="613">
        <f t="shared" si="68"/>
        <v>334035.58316611592</v>
      </c>
      <c r="AC168" s="613">
        <f t="shared" si="68"/>
        <v>349076.94663543173</v>
      </c>
      <c r="AD168" s="613">
        <f t="shared" si="68"/>
        <v>363789.38288859301</v>
      </c>
      <c r="AE168" s="613">
        <f t="shared" si="68"/>
        <v>378171.62079475593</v>
      </c>
      <c r="AF168" s="613">
        <f t="shared" si="68"/>
        <v>392222.44391362765</v>
      </c>
      <c r="AG168" s="613">
        <f t="shared" si="68"/>
        <v>405940.68753762153</v>
      </c>
      <c r="AI168" s="698"/>
      <c r="AJ168" s="300"/>
    </row>
    <row r="169" spans="1:36" s="169" customFormat="1">
      <c r="A169" s="169" t="s">
        <v>850</v>
      </c>
      <c r="B169" s="326" t="s">
        <v>127</v>
      </c>
      <c r="C169" s="613">
        <f>C157</f>
        <v>143116.25029898639</v>
      </c>
      <c r="D169" s="613">
        <f t="shared" ref="D169:AG169" si="69">D157</f>
        <v>144899.19250223492</v>
      </c>
      <c r="E169" s="613">
        <f t="shared" si="69"/>
        <v>146682.44958078847</v>
      </c>
      <c r="F169" s="613">
        <f t="shared" si="69"/>
        <v>148465.90559190759</v>
      </c>
      <c r="G169" s="613">
        <f t="shared" si="69"/>
        <v>150249.44510627066</v>
      </c>
      <c r="H169" s="613">
        <f t="shared" si="69"/>
        <v>152032.95320797429</v>
      </c>
      <c r="I169" s="613">
        <f t="shared" si="69"/>
        <v>153612.76994030565</v>
      </c>
      <c r="J169" s="613">
        <f t="shared" si="69"/>
        <v>155186.7670287014</v>
      </c>
      <c r="K169" s="613">
        <f t="shared" si="69"/>
        <v>156754.79846071819</v>
      </c>
      <c r="L169" s="613">
        <f t="shared" si="69"/>
        <v>158316.71907078431</v>
      </c>
      <c r="M169" s="613">
        <f t="shared" si="69"/>
        <v>159872.38454019991</v>
      </c>
      <c r="N169" s="613">
        <f t="shared" si="69"/>
        <v>161215.50850777124</v>
      </c>
      <c r="O169" s="613">
        <f t="shared" si="69"/>
        <v>162587.22134600708</v>
      </c>
      <c r="P169" s="613">
        <f t="shared" si="69"/>
        <v>163861.7628077151</v>
      </c>
      <c r="Q169" s="613">
        <f t="shared" si="69"/>
        <v>165122.86904675656</v>
      </c>
      <c r="R169" s="613">
        <f t="shared" si="69"/>
        <v>166370.36361974507</v>
      </c>
      <c r="S169" s="613">
        <f t="shared" si="69"/>
        <v>167604.07131362948</v>
      </c>
      <c r="T169" s="613">
        <f t="shared" si="69"/>
        <v>168823.81814588071</v>
      </c>
      <c r="U169" s="613">
        <f t="shared" si="69"/>
        <v>170029.43136467657</v>
      </c>
      <c r="V169" s="613">
        <f t="shared" si="69"/>
        <v>171220.73944908625</v>
      </c>
      <c r="W169" s="613">
        <f t="shared" si="69"/>
        <v>172397.57210925285</v>
      </c>
      <c r="X169" s="613">
        <f t="shared" si="69"/>
        <v>173175.01401611255</v>
      </c>
      <c r="Y169" s="613">
        <f t="shared" si="69"/>
        <v>174329.64476909084</v>
      </c>
      <c r="Z169" s="613">
        <f t="shared" si="69"/>
        <v>175425.66068450682</v>
      </c>
      <c r="AA169" s="613">
        <f t="shared" si="69"/>
        <v>176505.22796244448</v>
      </c>
      <c r="AB169" s="613">
        <f t="shared" si="69"/>
        <v>177568.16670677272</v>
      </c>
      <c r="AC169" s="613">
        <f t="shared" si="69"/>
        <v>178606.38584599103</v>
      </c>
      <c r="AD169" s="613">
        <f t="shared" si="69"/>
        <v>179627.44032916409</v>
      </c>
      <c r="AE169" s="613">
        <f t="shared" si="69"/>
        <v>180631.15381082104</v>
      </c>
      <c r="AF169" s="613">
        <f t="shared" si="69"/>
        <v>181617.3514268125</v>
      </c>
      <c r="AG169" s="613">
        <f t="shared" si="69"/>
        <v>182585.85979849836</v>
      </c>
      <c r="AI169" s="698"/>
      <c r="AJ169" s="300"/>
    </row>
    <row r="170" spans="1:36" s="169" customFormat="1">
      <c r="A170" s="169" t="s">
        <v>851</v>
      </c>
      <c r="B170" s="326" t="s">
        <v>127</v>
      </c>
      <c r="C170" s="613">
        <f>C168-C169</f>
        <v>-50077.098680481184</v>
      </c>
      <c r="D170" s="613">
        <f t="shared" ref="D170:AG170" si="70">D168-D169</f>
        <v>-45691.319916836524</v>
      </c>
      <c r="E170" s="613">
        <f t="shared" si="70"/>
        <v>-41326.395444622976</v>
      </c>
      <c r="F170" s="613">
        <f t="shared" si="70"/>
        <v>-36983.619483711605</v>
      </c>
      <c r="G170" s="613">
        <f t="shared" si="70"/>
        <v>-32664.256522616866</v>
      </c>
      <c r="H170" s="613">
        <f t="shared" si="70"/>
        <v>-28369.54212502428</v>
      </c>
      <c r="I170" s="613">
        <f t="shared" si="70"/>
        <v>-24163.817511861678</v>
      </c>
      <c r="J170" s="613">
        <f t="shared" si="70"/>
        <v>-19996.442081266927</v>
      </c>
      <c r="K170" s="613">
        <f t="shared" si="70"/>
        <v>-15868.270854566392</v>
      </c>
      <c r="L170" s="613">
        <f t="shared" si="70"/>
        <v>-11780.138790636498</v>
      </c>
      <c r="M170" s="613">
        <f t="shared" si="70"/>
        <v>-7732.8613290032372</v>
      </c>
      <c r="N170" s="613">
        <f t="shared" si="70"/>
        <v>1830.3741920365428</v>
      </c>
      <c r="O170" s="613">
        <f t="shared" si="70"/>
        <v>11306.973795233149</v>
      </c>
      <c r="P170" s="613">
        <f t="shared" si="70"/>
        <v>20589.068961915822</v>
      </c>
      <c r="Q170" s="613">
        <f t="shared" si="70"/>
        <v>29740.812374562578</v>
      </c>
      <c r="R170" s="613">
        <f t="shared" si="70"/>
        <v>38759.243998401216</v>
      </c>
      <c r="S170" s="613">
        <f t="shared" si="70"/>
        <v>47641.46890266586</v>
      </c>
      <c r="T170" s="613">
        <f t="shared" si="70"/>
        <v>56384.65555325686</v>
      </c>
      <c r="U170" s="613">
        <f t="shared" si="70"/>
        <v>64986.034156488691</v>
      </c>
      <c r="V170" s="613">
        <f t="shared" si="70"/>
        <v>73442.895052151842</v>
      </c>
      <c r="W170" s="613">
        <f t="shared" si="70"/>
        <v>81752.58715418278</v>
      </c>
      <c r="X170" s="613">
        <f t="shared" si="70"/>
        <v>97059.050210960617</v>
      </c>
      <c r="Y170" s="613">
        <f t="shared" si="70"/>
        <v>112574.80675855381</v>
      </c>
      <c r="Z170" s="613">
        <f t="shared" si="70"/>
        <v>127512.70169066801</v>
      </c>
      <c r="AA170" s="613">
        <f t="shared" si="70"/>
        <v>142144.00449384702</v>
      </c>
      <c r="AB170" s="613">
        <f t="shared" si="70"/>
        <v>156467.41645934319</v>
      </c>
      <c r="AC170" s="613">
        <f t="shared" si="70"/>
        <v>170470.5607894407</v>
      </c>
      <c r="AD170" s="613">
        <f t="shared" si="70"/>
        <v>184161.94255942892</v>
      </c>
      <c r="AE170" s="613">
        <f t="shared" si="70"/>
        <v>197540.46698393489</v>
      </c>
      <c r="AF170" s="613">
        <f t="shared" si="70"/>
        <v>210605.09248681515</v>
      </c>
      <c r="AG170" s="613">
        <f t="shared" si="70"/>
        <v>223354.82773912317</v>
      </c>
      <c r="AI170" s="698"/>
      <c r="AJ170" s="300"/>
    </row>
    <row r="171" spans="1:36" s="169" customFormat="1">
      <c r="A171" s="169" t="s">
        <v>852</v>
      </c>
      <c r="B171" s="326" t="s">
        <v>127</v>
      </c>
      <c r="C171" s="613">
        <f>(C170)/(1-C122)</f>
        <v>-62596.373350601476</v>
      </c>
      <c r="D171" s="613">
        <f t="shared" ref="D171:AG171" si="71">(D168-D157)/(1-D122)</f>
        <v>-56877.161722203142</v>
      </c>
      <c r="E171" s="613">
        <f t="shared" si="71"/>
        <v>-51231.068733003689</v>
      </c>
      <c r="F171" s="613">
        <f t="shared" si="71"/>
        <v>-45658.789486063717</v>
      </c>
      <c r="G171" s="613">
        <f t="shared" si="71"/>
        <v>-40160.971134365005</v>
      </c>
      <c r="H171" s="613">
        <f t="shared" si="71"/>
        <v>-34738.214846968505</v>
      </c>
      <c r="I171" s="613">
        <f t="shared" si="71"/>
        <v>-29468.070136416682</v>
      </c>
      <c r="J171" s="613">
        <f t="shared" si="71"/>
        <v>-24287.176616923396</v>
      </c>
      <c r="K171" s="613">
        <f t="shared" si="71"/>
        <v>-19195.488936975475</v>
      </c>
      <c r="L171" s="613">
        <f t="shared" si="71"/>
        <v>-14192.938301971684</v>
      </c>
      <c r="M171" s="613">
        <f t="shared" si="71"/>
        <v>-9279.4335948038861</v>
      </c>
      <c r="N171" s="613">
        <f t="shared" si="71"/>
        <v>2187.6982374938761</v>
      </c>
      <c r="O171" s="613">
        <f t="shared" si="71"/>
        <v>13460.683089563274</v>
      </c>
      <c r="P171" s="613">
        <f t="shared" si="71"/>
        <v>24413.915765117577</v>
      </c>
      <c r="Q171" s="613">
        <f t="shared" si="71"/>
        <v>35126.943749483362</v>
      </c>
      <c r="R171" s="613">
        <f t="shared" si="71"/>
        <v>45599.110586354378</v>
      </c>
      <c r="S171" s="613">
        <f t="shared" si="71"/>
        <v>55829.846370311556</v>
      </c>
      <c r="T171" s="613">
        <f t="shared" si="71"/>
        <v>65818.664069949649</v>
      </c>
      <c r="U171" s="613">
        <f t="shared" si="71"/>
        <v>75565.155995917099</v>
      </c>
      <c r="V171" s="613">
        <f t="shared" si="71"/>
        <v>85068.990407897902</v>
      </c>
      <c r="W171" s="613">
        <f t="shared" si="71"/>
        <v>94329.90825482631</v>
      </c>
      <c r="X171" s="613">
        <f t="shared" si="71"/>
        <v>111562.12667926509</v>
      </c>
      <c r="Y171" s="613">
        <f t="shared" si="71"/>
        <v>128902.45048689369</v>
      </c>
      <c r="Z171" s="613">
        <f t="shared" si="71"/>
        <v>145451.75097794834</v>
      </c>
      <c r="AA171" s="613">
        <f t="shared" si="71"/>
        <v>161527.27783391709</v>
      </c>
      <c r="AB171" s="613">
        <f t="shared" si="71"/>
        <v>177132.92429359609</v>
      </c>
      <c r="AC171" s="613">
        <f t="shared" si="71"/>
        <v>192260.03096553465</v>
      </c>
      <c r="AD171" s="613">
        <f t="shared" si="71"/>
        <v>206923.53096565051</v>
      </c>
      <c r="AE171" s="613">
        <f t="shared" si="71"/>
        <v>221127.38841485255</v>
      </c>
      <c r="AF171" s="613">
        <f t="shared" si="71"/>
        <v>234875.56782916191</v>
      </c>
      <c r="AG171" s="613">
        <f t="shared" si="71"/>
        <v>248172.03082124796</v>
      </c>
      <c r="AI171" s="698"/>
      <c r="AJ171" s="300"/>
    </row>
    <row r="172" spans="1:36" s="169" customFormat="1">
      <c r="A172" s="169" t="s">
        <v>853</v>
      </c>
      <c r="B172" s="326" t="s">
        <v>127</v>
      </c>
      <c r="C172" s="613">
        <f>IF(C151&gt;C171,C171,C151)</f>
        <v>-62596.373350601476</v>
      </c>
      <c r="D172" s="613">
        <f t="shared" ref="D172:AG172" si="72">IF(D151&gt;D171,D171,D151)</f>
        <v>-56877.161722203142</v>
      </c>
      <c r="E172" s="613">
        <f t="shared" si="72"/>
        <v>-51231.068733003689</v>
      </c>
      <c r="F172" s="613">
        <f t="shared" si="72"/>
        <v>-45658.789486063717</v>
      </c>
      <c r="G172" s="613">
        <f t="shared" si="72"/>
        <v>-40160.971134365005</v>
      </c>
      <c r="H172" s="613">
        <f t="shared" si="72"/>
        <v>-34738.214846968505</v>
      </c>
      <c r="I172" s="613">
        <f t="shared" si="72"/>
        <v>-29468.070136416682</v>
      </c>
      <c r="J172" s="613">
        <f t="shared" si="72"/>
        <v>-24287.176616923396</v>
      </c>
      <c r="K172" s="613">
        <f t="shared" si="72"/>
        <v>-19195.488936975475</v>
      </c>
      <c r="L172" s="613">
        <f t="shared" si="72"/>
        <v>-14192.938301971684</v>
      </c>
      <c r="M172" s="613">
        <f t="shared" si="72"/>
        <v>-9279.4335948038861</v>
      </c>
      <c r="N172" s="613">
        <f t="shared" si="72"/>
        <v>2187.6982374938761</v>
      </c>
      <c r="O172" s="613">
        <f t="shared" si="72"/>
        <v>13460.683089563274</v>
      </c>
      <c r="P172" s="613">
        <f t="shared" si="72"/>
        <v>24413.915765117577</v>
      </c>
      <c r="Q172" s="613">
        <f t="shared" si="72"/>
        <v>35126.943749483362</v>
      </c>
      <c r="R172" s="613">
        <f t="shared" si="72"/>
        <v>45599.110586354378</v>
      </c>
      <c r="S172" s="613">
        <f t="shared" si="72"/>
        <v>55829.846370311556</v>
      </c>
      <c r="T172" s="613">
        <f t="shared" si="72"/>
        <v>65818.664069949649</v>
      </c>
      <c r="U172" s="613">
        <f t="shared" si="72"/>
        <v>75565.155995917099</v>
      </c>
      <c r="V172" s="613">
        <f t="shared" si="72"/>
        <v>85068.990407897902</v>
      </c>
      <c r="W172" s="613">
        <f t="shared" si="72"/>
        <v>94329.90825482631</v>
      </c>
      <c r="X172" s="613">
        <f t="shared" si="72"/>
        <v>111562.12667926509</v>
      </c>
      <c r="Y172" s="613">
        <f t="shared" si="72"/>
        <v>128902.45048689369</v>
      </c>
      <c r="Z172" s="613">
        <f t="shared" si="72"/>
        <v>145451.75097794834</v>
      </c>
      <c r="AA172" s="613">
        <f t="shared" si="72"/>
        <v>161527.27783391709</v>
      </c>
      <c r="AB172" s="613">
        <f t="shared" si="72"/>
        <v>177132.92429359609</v>
      </c>
      <c r="AC172" s="613">
        <f t="shared" si="72"/>
        <v>192260.03096553465</v>
      </c>
      <c r="AD172" s="613">
        <f t="shared" si="72"/>
        <v>206923.53096565051</v>
      </c>
      <c r="AE172" s="613">
        <f t="shared" si="72"/>
        <v>221127.38841485255</v>
      </c>
      <c r="AF172" s="613">
        <f t="shared" si="72"/>
        <v>234875.56782916191</v>
      </c>
      <c r="AG172" s="613">
        <f t="shared" si="72"/>
        <v>248172.03082124796</v>
      </c>
      <c r="AI172" s="698"/>
      <c r="AJ172" s="300"/>
    </row>
    <row r="173" spans="1:36" s="169" customFormat="1">
      <c r="A173" s="169" t="s">
        <v>854</v>
      </c>
      <c r="B173" s="326" t="s">
        <v>127</v>
      </c>
      <c r="C173" s="613">
        <f>IF(C171-C172&lt;0,0,C171-C172)</f>
        <v>0</v>
      </c>
      <c r="D173" s="613">
        <f t="shared" ref="D173:AG173" si="73">IF(D171-D172&lt;0,0,D171-D172)</f>
        <v>0</v>
      </c>
      <c r="E173" s="613">
        <f t="shared" si="73"/>
        <v>0</v>
      </c>
      <c r="F173" s="613">
        <f t="shared" si="73"/>
        <v>0</v>
      </c>
      <c r="G173" s="613">
        <f t="shared" si="73"/>
        <v>0</v>
      </c>
      <c r="H173" s="613">
        <f t="shared" si="73"/>
        <v>0</v>
      </c>
      <c r="I173" s="613">
        <f t="shared" si="73"/>
        <v>0</v>
      </c>
      <c r="J173" s="613">
        <f t="shared" si="73"/>
        <v>0</v>
      </c>
      <c r="K173" s="613">
        <f t="shared" si="73"/>
        <v>0</v>
      </c>
      <c r="L173" s="613">
        <f t="shared" si="73"/>
        <v>0</v>
      </c>
      <c r="M173" s="613">
        <f t="shared" si="73"/>
        <v>0</v>
      </c>
      <c r="N173" s="613">
        <f t="shared" si="73"/>
        <v>0</v>
      </c>
      <c r="O173" s="613">
        <f t="shared" si="73"/>
        <v>0</v>
      </c>
      <c r="P173" s="613">
        <f t="shared" si="73"/>
        <v>0</v>
      </c>
      <c r="Q173" s="613">
        <f t="shared" si="73"/>
        <v>0</v>
      </c>
      <c r="R173" s="613">
        <f t="shared" si="73"/>
        <v>0</v>
      </c>
      <c r="S173" s="613">
        <f t="shared" si="73"/>
        <v>0</v>
      </c>
      <c r="T173" s="613">
        <f t="shared" si="73"/>
        <v>0</v>
      </c>
      <c r="U173" s="613">
        <f t="shared" si="73"/>
        <v>0</v>
      </c>
      <c r="V173" s="613">
        <f t="shared" si="73"/>
        <v>0</v>
      </c>
      <c r="W173" s="613">
        <f t="shared" si="73"/>
        <v>0</v>
      </c>
      <c r="X173" s="613">
        <f t="shared" si="73"/>
        <v>0</v>
      </c>
      <c r="Y173" s="613">
        <f t="shared" si="73"/>
        <v>0</v>
      </c>
      <c r="Z173" s="613">
        <f t="shared" si="73"/>
        <v>0</v>
      </c>
      <c r="AA173" s="613">
        <f t="shared" si="73"/>
        <v>0</v>
      </c>
      <c r="AB173" s="613">
        <f t="shared" si="73"/>
        <v>0</v>
      </c>
      <c r="AC173" s="613">
        <f t="shared" si="73"/>
        <v>0</v>
      </c>
      <c r="AD173" s="613">
        <f t="shared" si="73"/>
        <v>0</v>
      </c>
      <c r="AE173" s="613">
        <f t="shared" si="73"/>
        <v>0</v>
      </c>
      <c r="AF173" s="613">
        <f t="shared" si="73"/>
        <v>0</v>
      </c>
      <c r="AG173" s="613">
        <f t="shared" si="73"/>
        <v>0</v>
      </c>
      <c r="AI173" s="698"/>
      <c r="AJ173" s="300"/>
    </row>
    <row r="174" spans="1:36" s="169" customFormat="1">
      <c r="A174" s="169" t="s">
        <v>855</v>
      </c>
      <c r="B174" s="326" t="s">
        <v>127</v>
      </c>
      <c r="C174" s="613">
        <f>C168*C125+C122*C171+C158+IF(C151&gt;C171,C151-C171,0)</f>
        <v>210781.48569020152</v>
      </c>
      <c r="D174" s="613">
        <f t="shared" ref="D174:AG174" si="74">D168*D125+D122*D171+D158+IF(D151&gt;D171,D151-D171,0)</f>
        <v>213482.45588879357</v>
      </c>
      <c r="E174" s="613">
        <f t="shared" si="74"/>
        <v>216159.67148534214</v>
      </c>
      <c r="F174" s="613">
        <f t="shared" si="74"/>
        <v>218813.86132892861</v>
      </c>
      <c r="G174" s="613">
        <f t="shared" si="74"/>
        <v>221445.75670736923</v>
      </c>
      <c r="H174" s="613">
        <f t="shared" si="74"/>
        <v>224056.09134721605</v>
      </c>
      <c r="I174" s="613">
        <f t="shared" si="74"/>
        <v>226417.33049675275</v>
      </c>
      <c r="J174" s="613">
        <f t="shared" si="74"/>
        <v>228751.35217257505</v>
      </c>
      <c r="K174" s="613">
        <f t="shared" si="74"/>
        <v>231058.73379581369</v>
      </c>
      <c r="L174" s="613">
        <f t="shared" si="74"/>
        <v>233340.05681024026</v>
      </c>
      <c r="M174" s="613">
        <f t="shared" si="74"/>
        <v>235595.90668226773</v>
      </c>
      <c r="N174" s="613">
        <f t="shared" si="74"/>
        <v>233225.25169673248</v>
      </c>
      <c r="O174" s="613">
        <f t="shared" si="74"/>
        <v>230864.35704738522</v>
      </c>
      <c r="P174" s="613">
        <f t="shared" si="74"/>
        <v>228412.85004346492</v>
      </c>
      <c r="Q174" s="613">
        <f t="shared" si="74"/>
        <v>225944.19710344076</v>
      </c>
      <c r="R174" s="613">
        <f t="shared" si="74"/>
        <v>223461.73213279361</v>
      </c>
      <c r="S174" s="613">
        <f t="shared" si="74"/>
        <v>220968.79238667799</v>
      </c>
      <c r="T174" s="613">
        <f t="shared" si="74"/>
        <v>218468.71850645088</v>
      </c>
      <c r="U174" s="613">
        <f t="shared" si="74"/>
        <v>215964.85455619433</v>
      </c>
      <c r="V174" s="613">
        <f t="shared" si="74"/>
        <v>213460.54805923262</v>
      </c>
      <c r="W174" s="613">
        <f t="shared" si="74"/>
        <v>210959.15003464275</v>
      </c>
      <c r="X174" s="613">
        <f t="shared" si="74"/>
        <v>202022.37024016256</v>
      </c>
      <c r="Y174" s="613">
        <f t="shared" si="74"/>
        <v>193372.85771771916</v>
      </c>
      <c r="Z174" s="613">
        <f t="shared" si="74"/>
        <v>184952.29109719855</v>
      </c>
      <c r="AA174" s="613">
        <f t="shared" si="74"/>
        <v>176611.70794499319</v>
      </c>
      <c r="AB174" s="613">
        <f t="shared" si="74"/>
        <v>168355.32384615464</v>
      </c>
      <c r="AC174" s="613">
        <f t="shared" si="74"/>
        <v>160183.22763463363</v>
      </c>
      <c r="AD174" s="613">
        <f t="shared" si="74"/>
        <v>152104.49030798665</v>
      </c>
      <c r="AE174" s="613">
        <f t="shared" si="74"/>
        <v>144123.25696079427</v>
      </c>
      <c r="AF174" s="613">
        <f t="shared" si="74"/>
        <v>136243.65353426919</v>
      </c>
      <c r="AG174" s="613">
        <f t="shared" si="74"/>
        <v>128469.78825725918</v>
      </c>
      <c r="AI174" s="698"/>
      <c r="AJ174" s="300"/>
    </row>
    <row r="175" spans="1:36" s="169" customFormat="1">
      <c r="A175" s="169" t="s">
        <v>856</v>
      </c>
      <c r="B175" s="326" t="s">
        <v>127</v>
      </c>
      <c r="C175" s="613">
        <f>C154-C173</f>
        <v>725624.49712994846</v>
      </c>
      <c r="D175" s="613">
        <f t="shared" ref="D175:AG175" si="75">D154-D173</f>
        <v>720774.81723949045</v>
      </c>
      <c r="E175" s="613">
        <f t="shared" si="75"/>
        <v>715895.44709881966</v>
      </c>
      <c r="F175" s="613">
        <f t="shared" si="75"/>
        <v>710986.95067250566</v>
      </c>
      <c r="G175" s="613">
        <f t="shared" si="75"/>
        <v>706049.88948638213</v>
      </c>
      <c r="H175" s="613">
        <f t="shared" si="75"/>
        <v>701084.8226275479</v>
      </c>
      <c r="I175" s="613">
        <f t="shared" si="75"/>
        <v>695171.16587635083</v>
      </c>
      <c r="J175" s="613">
        <f t="shared" si="75"/>
        <v>689240.16454627714</v>
      </c>
      <c r="K175" s="613">
        <f t="shared" si="75"/>
        <v>683292.53402984666</v>
      </c>
      <c r="L175" s="613">
        <f t="shared" si="75"/>
        <v>677328.98569693789</v>
      </c>
      <c r="M175" s="613">
        <f t="shared" si="75"/>
        <v>671350.22689478903</v>
      </c>
      <c r="N175" s="613">
        <f t="shared" si="75"/>
        <v>664507.26944005874</v>
      </c>
      <c r="O175" s="613">
        <f t="shared" si="75"/>
        <v>657823.92453143804</v>
      </c>
      <c r="P175" s="613">
        <f t="shared" si="75"/>
        <v>650793.21205106692</v>
      </c>
      <c r="Q175" s="613">
        <f t="shared" si="75"/>
        <v>643761.88645925524</v>
      </c>
      <c r="R175" s="613">
        <f t="shared" si="75"/>
        <v>636730.81560459931</v>
      </c>
      <c r="S175" s="613">
        <f t="shared" si="75"/>
        <v>629700.86151845183</v>
      </c>
      <c r="T175" s="613">
        <f t="shared" si="75"/>
        <v>622672.88041401573</v>
      </c>
      <c r="U175" s="613">
        <f t="shared" si="75"/>
        <v>615647.72268544161</v>
      </c>
      <c r="V175" s="613">
        <f t="shared" si="75"/>
        <v>608626.23290693434</v>
      </c>
      <c r="W175" s="613">
        <f t="shared" si="75"/>
        <v>601609.24983186158</v>
      </c>
      <c r="X175" s="613">
        <f t="shared" si="75"/>
        <v>593279.5058649542</v>
      </c>
      <c r="Y175" s="613">
        <f t="shared" si="75"/>
        <v>586322.51374546799</v>
      </c>
      <c r="Z175" s="613">
        <f t="shared" si="75"/>
        <v>579227.10133622005</v>
      </c>
      <c r="AA175" s="613">
        <f t="shared" si="75"/>
        <v>572139.23738909885</v>
      </c>
      <c r="AB175" s="613">
        <f t="shared" si="75"/>
        <v>565059.80638585915</v>
      </c>
      <c r="AC175" s="613">
        <f t="shared" si="75"/>
        <v>557964.9677929295</v>
      </c>
      <c r="AD175" s="613">
        <f t="shared" si="75"/>
        <v>550880.66401121696</v>
      </c>
      <c r="AE175" s="613">
        <f t="shared" si="75"/>
        <v>543807.76567113725</v>
      </c>
      <c r="AF175" s="613">
        <f t="shared" si="75"/>
        <v>536747.13728325185</v>
      </c>
      <c r="AG175" s="613">
        <f t="shared" si="75"/>
        <v>529699.63721762167</v>
      </c>
      <c r="AI175" s="698"/>
      <c r="AJ175" s="300"/>
    </row>
    <row r="176" spans="1:36" s="169" customFormat="1">
      <c r="B176" s="327"/>
      <c r="C176" s="304"/>
      <c r="D176" s="304"/>
      <c r="E176" s="304"/>
      <c r="F176" s="304"/>
      <c r="G176" s="304"/>
      <c r="H176" s="304"/>
      <c r="I176" s="304"/>
      <c r="J176" s="304"/>
      <c r="K176" s="304"/>
      <c r="L176" s="304"/>
      <c r="M176" s="304"/>
      <c r="N176" s="304"/>
      <c r="O176" s="304"/>
      <c r="P176" s="304"/>
      <c r="Q176" s="304"/>
      <c r="R176" s="304"/>
      <c r="S176" s="304"/>
      <c r="T176" s="304"/>
      <c r="U176" s="304"/>
      <c r="V176" s="304"/>
      <c r="W176" s="304"/>
      <c r="X176" s="304"/>
      <c r="Y176" s="304"/>
      <c r="Z176" s="304"/>
      <c r="AA176" s="304"/>
      <c r="AB176" s="304"/>
      <c r="AC176" s="304"/>
      <c r="AD176" s="304"/>
      <c r="AE176" s="304"/>
      <c r="AF176" s="304"/>
      <c r="AG176" s="304"/>
      <c r="AJ176" s="300"/>
    </row>
    <row r="177" spans="1:37" s="169" customFormat="1">
      <c r="A177" s="169" t="s">
        <v>753</v>
      </c>
      <c r="B177" s="327" t="s">
        <v>126</v>
      </c>
      <c r="C177" s="275">
        <v>0.8</v>
      </c>
      <c r="D177" s="296">
        <f>C177</f>
        <v>0.8</v>
      </c>
      <c r="E177" s="296">
        <f t="shared" ref="E177:AG177" si="76">D177</f>
        <v>0.8</v>
      </c>
      <c r="F177" s="296">
        <f t="shared" si="76"/>
        <v>0.8</v>
      </c>
      <c r="G177" s="296">
        <f t="shared" si="76"/>
        <v>0.8</v>
      </c>
      <c r="H177" s="296">
        <f t="shared" si="76"/>
        <v>0.8</v>
      </c>
      <c r="I177" s="296">
        <f t="shared" si="76"/>
        <v>0.8</v>
      </c>
      <c r="J177" s="296">
        <f t="shared" si="76"/>
        <v>0.8</v>
      </c>
      <c r="K177" s="296">
        <f t="shared" si="76"/>
        <v>0.8</v>
      </c>
      <c r="L177" s="296">
        <f t="shared" si="76"/>
        <v>0.8</v>
      </c>
      <c r="M177" s="296">
        <f t="shared" si="76"/>
        <v>0.8</v>
      </c>
      <c r="N177" s="296">
        <f t="shared" si="76"/>
        <v>0.8</v>
      </c>
      <c r="O177" s="296">
        <f t="shared" si="76"/>
        <v>0.8</v>
      </c>
      <c r="P177" s="296">
        <f t="shared" si="76"/>
        <v>0.8</v>
      </c>
      <c r="Q177" s="296">
        <f t="shared" si="76"/>
        <v>0.8</v>
      </c>
      <c r="R177" s="296">
        <f t="shared" si="76"/>
        <v>0.8</v>
      </c>
      <c r="S177" s="296">
        <f t="shared" si="76"/>
        <v>0.8</v>
      </c>
      <c r="T177" s="296">
        <f t="shared" si="76"/>
        <v>0.8</v>
      </c>
      <c r="U177" s="296">
        <f t="shared" si="76"/>
        <v>0.8</v>
      </c>
      <c r="V177" s="296">
        <f t="shared" si="76"/>
        <v>0.8</v>
      </c>
      <c r="W177" s="296">
        <f t="shared" si="76"/>
        <v>0.8</v>
      </c>
      <c r="X177" s="296">
        <f t="shared" si="76"/>
        <v>0.8</v>
      </c>
      <c r="Y177" s="296">
        <f t="shared" si="76"/>
        <v>0.8</v>
      </c>
      <c r="Z177" s="296">
        <f t="shared" si="76"/>
        <v>0.8</v>
      </c>
      <c r="AA177" s="296">
        <f t="shared" si="76"/>
        <v>0.8</v>
      </c>
      <c r="AB177" s="296">
        <f t="shared" si="76"/>
        <v>0.8</v>
      </c>
      <c r="AC177" s="296">
        <f t="shared" si="76"/>
        <v>0.8</v>
      </c>
      <c r="AD177" s="296">
        <f t="shared" si="76"/>
        <v>0.8</v>
      </c>
      <c r="AE177" s="296">
        <f t="shared" si="76"/>
        <v>0.8</v>
      </c>
      <c r="AF177" s="296">
        <f t="shared" si="76"/>
        <v>0.8</v>
      </c>
      <c r="AG177" s="296">
        <f t="shared" si="76"/>
        <v>0.8</v>
      </c>
      <c r="AJ177" s="300" t="s">
        <v>754</v>
      </c>
    </row>
    <row r="178" spans="1:37" s="169" customFormat="1">
      <c r="B178" s="327"/>
      <c r="C178" s="304"/>
      <c r="D178" s="304"/>
      <c r="E178" s="304"/>
      <c r="F178" s="304"/>
      <c r="G178" s="304"/>
      <c r="H178" s="304"/>
      <c r="I178" s="304"/>
      <c r="J178" s="304"/>
      <c r="K178" s="304"/>
      <c r="L178" s="304"/>
      <c r="M178" s="304"/>
      <c r="N178" s="304"/>
      <c r="O178" s="304"/>
      <c r="P178" s="304"/>
      <c r="Q178" s="304"/>
      <c r="R178" s="304"/>
      <c r="S178" s="304"/>
      <c r="T178" s="304"/>
      <c r="U178" s="304"/>
      <c r="V178" s="304"/>
      <c r="W178" s="304"/>
      <c r="X178" s="304"/>
      <c r="Y178" s="304"/>
      <c r="Z178" s="304"/>
      <c r="AA178" s="304"/>
      <c r="AB178" s="304"/>
      <c r="AC178" s="304"/>
      <c r="AD178" s="304"/>
      <c r="AE178" s="304"/>
      <c r="AF178" s="304"/>
      <c r="AG178" s="304"/>
      <c r="AJ178" s="300"/>
    </row>
    <row r="179" spans="1:37" s="169" customFormat="1">
      <c r="A179" s="169" t="s">
        <v>710</v>
      </c>
      <c r="B179" s="327" t="s">
        <v>127</v>
      </c>
      <c r="C179" s="613">
        <f>C113*C174*C177</f>
        <v>37097.541481475469</v>
      </c>
      <c r="D179" s="613">
        <f t="shared" ref="D179:AG179" si="77">D113*D174*D177</f>
        <v>38711.485334501238</v>
      </c>
      <c r="E179" s="613">
        <f t="shared" si="77"/>
        <v>40349.805343930529</v>
      </c>
      <c r="F179" s="613">
        <f t="shared" si="77"/>
        <v>42012.261375154289</v>
      </c>
      <c r="G179" s="613">
        <f t="shared" si="77"/>
        <v>43698.62932358752</v>
      </c>
      <c r="H179" s="613">
        <f t="shared" si="77"/>
        <v>45408.701179702446</v>
      </c>
      <c r="I179" s="613">
        <f t="shared" si="77"/>
        <v>47094.804743324567</v>
      </c>
      <c r="J179" s="613">
        <f t="shared" si="77"/>
        <v>48800.28846348267</v>
      </c>
      <c r="K179" s="613">
        <f t="shared" si="77"/>
        <v>50524.843123351253</v>
      </c>
      <c r="L179" s="613">
        <f t="shared" si="77"/>
        <v>52268.172725493809</v>
      </c>
      <c r="M179" s="613">
        <f t="shared" si="77"/>
        <v>54029.994599133381</v>
      </c>
      <c r="N179" s="613">
        <f t="shared" si="77"/>
        <v>54730.192398166531</v>
      </c>
      <c r="O179" s="613">
        <f t="shared" si="77"/>
        <v>55407.445691372435</v>
      </c>
      <c r="P179" s="613">
        <f t="shared" si="77"/>
        <v>56037.285877330032</v>
      </c>
      <c r="Q179" s="613">
        <f t="shared" si="77"/>
        <v>56636.678740595795</v>
      </c>
      <c r="R179" s="613">
        <f t="shared" si="77"/>
        <v>57206.203425995132</v>
      </c>
      <c r="S179" s="613">
        <f t="shared" si="77"/>
        <v>57746.511077051822</v>
      </c>
      <c r="T179" s="613">
        <f t="shared" si="77"/>
        <v>58258.324935053533</v>
      </c>
      <c r="U179" s="613">
        <f t="shared" si="77"/>
        <v>58742.44043928483</v>
      </c>
      <c r="V179" s="613">
        <f t="shared" si="77"/>
        <v>59199.72532842715</v>
      </c>
      <c r="W179" s="613">
        <f t="shared" si="77"/>
        <v>59631.119743125644</v>
      </c>
      <c r="X179" s="613">
        <f t="shared" si="77"/>
        <v>58182.442629166791</v>
      </c>
      <c r="Y179" s="613">
        <f t="shared" si="77"/>
        <v>56722.704930530919</v>
      </c>
      <c r="Z179" s="613">
        <f t="shared" si="77"/>
        <v>55239.084274363267</v>
      </c>
      <c r="AA179" s="613">
        <f t="shared" si="77"/>
        <v>53689.959215277893</v>
      </c>
      <c r="AB179" s="613">
        <f t="shared" si="77"/>
        <v>52077.913509743805</v>
      </c>
      <c r="AC179" s="613">
        <f t="shared" si="77"/>
        <v>50404.322295698017</v>
      </c>
      <c r="AD179" s="613">
        <f t="shared" si="77"/>
        <v>48673.436898555694</v>
      </c>
      <c r="AE179" s="613">
        <f t="shared" si="77"/>
        <v>46888.0995979117</v>
      </c>
      <c r="AF179" s="613">
        <f t="shared" si="77"/>
        <v>45051.234768664981</v>
      </c>
      <c r="AG179" s="613">
        <f t="shared" si="77"/>
        <v>43165.848854439086</v>
      </c>
      <c r="AJ179" s="300"/>
    </row>
    <row r="180" spans="1:37" s="169" customFormat="1">
      <c r="A180" s="169" t="s">
        <v>715</v>
      </c>
      <c r="B180" s="327" t="s">
        <v>127</v>
      </c>
      <c r="C180" s="304">
        <f>C174*C177-C179</f>
        <v>131527.64707068575</v>
      </c>
      <c r="D180" s="304">
        <f t="shared" ref="D180:AG180" si="78">D174*D177-D179</f>
        <v>132074.47937653365</v>
      </c>
      <c r="E180" s="304">
        <f t="shared" si="78"/>
        <v>132577.9318443432</v>
      </c>
      <c r="F180" s="304">
        <f t="shared" si="78"/>
        <v>133038.82768798861</v>
      </c>
      <c r="G180" s="304">
        <f t="shared" si="78"/>
        <v>133457.97604230788</v>
      </c>
      <c r="H180" s="304">
        <f t="shared" si="78"/>
        <v>133836.1718980704</v>
      </c>
      <c r="I180" s="304">
        <f t="shared" si="78"/>
        <v>134039.05965407763</v>
      </c>
      <c r="J180" s="304">
        <f t="shared" si="78"/>
        <v>134200.79327457739</v>
      </c>
      <c r="K180" s="304">
        <f t="shared" si="78"/>
        <v>134322.14391329972</v>
      </c>
      <c r="L180" s="304">
        <f t="shared" si="78"/>
        <v>134403.8727226984</v>
      </c>
      <c r="M180" s="304">
        <f t="shared" si="78"/>
        <v>134446.73074668081</v>
      </c>
      <c r="N180" s="304">
        <f t="shared" si="78"/>
        <v>131850.00895921944</v>
      </c>
      <c r="O180" s="304">
        <f t="shared" si="78"/>
        <v>129284.03994653575</v>
      </c>
      <c r="P180" s="304">
        <f t="shared" si="78"/>
        <v>126692.99415744192</v>
      </c>
      <c r="Q180" s="304">
        <f t="shared" si="78"/>
        <v>124118.67894215684</v>
      </c>
      <c r="R180" s="304">
        <f t="shared" si="78"/>
        <v>121563.18228023977</v>
      </c>
      <c r="S180" s="304">
        <f t="shared" si="78"/>
        <v>119028.52283229058</v>
      </c>
      <c r="T180" s="304">
        <f t="shared" si="78"/>
        <v>116516.64987010718</v>
      </c>
      <c r="U180" s="304">
        <f t="shared" si="78"/>
        <v>114029.44320567063</v>
      </c>
      <c r="V180" s="304">
        <f t="shared" si="78"/>
        <v>111568.71311895896</v>
      </c>
      <c r="W180" s="304">
        <f t="shared" si="78"/>
        <v>109136.20028458857</v>
      </c>
      <c r="X180" s="304">
        <f t="shared" si="78"/>
        <v>103435.45356296326</v>
      </c>
      <c r="Y180" s="304">
        <f t="shared" si="78"/>
        <v>97975.58124364441</v>
      </c>
      <c r="Z180" s="304">
        <f t="shared" si="78"/>
        <v>92722.748603395594</v>
      </c>
      <c r="AA180" s="304">
        <f t="shared" si="78"/>
        <v>87599.407140716678</v>
      </c>
      <c r="AB180" s="304">
        <f t="shared" si="78"/>
        <v>82606.345567179902</v>
      </c>
      <c r="AC180" s="304">
        <f t="shared" si="78"/>
        <v>77742.259812008895</v>
      </c>
      <c r="AD180" s="304">
        <f t="shared" si="78"/>
        <v>73010.155347833628</v>
      </c>
      <c r="AE180" s="304">
        <f t="shared" si="78"/>
        <v>68410.505970723723</v>
      </c>
      <c r="AF180" s="304">
        <f t="shared" si="78"/>
        <v>63943.688058750377</v>
      </c>
      <c r="AG180" s="304">
        <f t="shared" si="78"/>
        <v>59609.981751368265</v>
      </c>
      <c r="AJ180" s="300"/>
    </row>
    <row r="181" spans="1:37" s="169" customFormat="1">
      <c r="B181" s="165"/>
      <c r="C181" s="304"/>
      <c r="D181" s="304"/>
      <c r="E181" s="304"/>
      <c r="F181" s="304"/>
      <c r="G181" s="304"/>
      <c r="H181" s="304"/>
      <c r="I181" s="304"/>
      <c r="J181" s="304"/>
      <c r="K181" s="304"/>
      <c r="L181" s="304"/>
      <c r="M181" s="304"/>
      <c r="N181" s="304"/>
      <c r="O181" s="304"/>
      <c r="P181" s="304"/>
      <c r="Q181" s="304"/>
      <c r="R181" s="304"/>
      <c r="S181" s="304"/>
      <c r="T181" s="304"/>
      <c r="U181" s="304"/>
      <c r="V181" s="304"/>
      <c r="W181" s="304"/>
      <c r="X181" s="304"/>
      <c r="Y181" s="304"/>
      <c r="Z181" s="304"/>
      <c r="AA181" s="304"/>
      <c r="AB181" s="304"/>
      <c r="AC181" s="304"/>
      <c r="AD181" s="304"/>
      <c r="AE181" s="304"/>
      <c r="AF181" s="304"/>
      <c r="AG181" s="304"/>
      <c r="AJ181" s="300"/>
    </row>
    <row r="182" spans="1:37" s="169" customFormat="1">
      <c r="B182" s="197" t="s">
        <v>709</v>
      </c>
      <c r="C182" s="308">
        <v>0</v>
      </c>
      <c r="D182" s="308">
        <f>C182+1</f>
        <v>1</v>
      </c>
      <c r="E182" s="308">
        <f t="shared" ref="E182:AG182" si="79">D182+1</f>
        <v>2</v>
      </c>
      <c r="F182" s="308">
        <f t="shared" si="79"/>
        <v>3</v>
      </c>
      <c r="G182" s="308">
        <f t="shared" si="79"/>
        <v>4</v>
      </c>
      <c r="H182" s="308">
        <f t="shared" si="79"/>
        <v>5</v>
      </c>
      <c r="I182" s="308">
        <f t="shared" si="79"/>
        <v>6</v>
      </c>
      <c r="J182" s="308">
        <f t="shared" si="79"/>
        <v>7</v>
      </c>
      <c r="K182" s="308">
        <f t="shared" si="79"/>
        <v>8</v>
      </c>
      <c r="L182" s="308">
        <f t="shared" si="79"/>
        <v>9</v>
      </c>
      <c r="M182" s="308">
        <f t="shared" si="79"/>
        <v>10</v>
      </c>
      <c r="N182" s="308">
        <f t="shared" si="79"/>
        <v>11</v>
      </c>
      <c r="O182" s="308">
        <f t="shared" si="79"/>
        <v>12</v>
      </c>
      <c r="P182" s="308">
        <f t="shared" si="79"/>
        <v>13</v>
      </c>
      <c r="Q182" s="308">
        <f t="shared" si="79"/>
        <v>14</v>
      </c>
      <c r="R182" s="308">
        <f t="shared" si="79"/>
        <v>15</v>
      </c>
      <c r="S182" s="308">
        <f t="shared" si="79"/>
        <v>16</v>
      </c>
      <c r="T182" s="308">
        <f t="shared" si="79"/>
        <v>17</v>
      </c>
      <c r="U182" s="308">
        <f t="shared" si="79"/>
        <v>18</v>
      </c>
      <c r="V182" s="308">
        <f t="shared" si="79"/>
        <v>19</v>
      </c>
      <c r="W182" s="308">
        <f t="shared" si="79"/>
        <v>20</v>
      </c>
      <c r="X182" s="308">
        <f t="shared" si="79"/>
        <v>21</v>
      </c>
      <c r="Y182" s="308">
        <f t="shared" si="79"/>
        <v>22</v>
      </c>
      <c r="Z182" s="308">
        <f t="shared" si="79"/>
        <v>23</v>
      </c>
      <c r="AA182" s="308">
        <f t="shared" si="79"/>
        <v>24</v>
      </c>
      <c r="AB182" s="308">
        <f t="shared" si="79"/>
        <v>25</v>
      </c>
      <c r="AC182" s="308">
        <f t="shared" si="79"/>
        <v>26</v>
      </c>
      <c r="AD182" s="308">
        <f t="shared" si="79"/>
        <v>27</v>
      </c>
      <c r="AE182" s="308">
        <f t="shared" si="79"/>
        <v>28</v>
      </c>
      <c r="AF182" s="308">
        <f t="shared" si="79"/>
        <v>29</v>
      </c>
      <c r="AG182" s="308">
        <f t="shared" si="79"/>
        <v>30</v>
      </c>
      <c r="AJ182" s="300" t="s">
        <v>717</v>
      </c>
      <c r="AK182" s="169">
        <f>'Propylene Recycling HC'!AK196</f>
        <v>1.9</v>
      </c>
    </row>
    <row r="183" spans="1:37" s="169" customFormat="1">
      <c r="A183" s="169" t="s">
        <v>761</v>
      </c>
      <c r="B183" s="165"/>
      <c r="C183" s="310">
        <f>$AK$184/((1+EXP(-$AK$183*(C182-$AK$185)))^$AK$182)</f>
        <v>4.6088632748610021E-5</v>
      </c>
      <c r="D183" s="310">
        <f t="shared" ref="D183:AG183" si="80">$AK$184/((1+EXP(-$AK$183*(D182-$AK$185)))^$AK$182)</f>
        <v>8.924759460408035E-5</v>
      </c>
      <c r="E183" s="310">
        <f t="shared" si="80"/>
        <v>1.7252431976790472E-4</v>
      </c>
      <c r="F183" s="310">
        <f t="shared" si="80"/>
        <v>3.3269643715580369E-4</v>
      </c>
      <c r="G183" s="310">
        <f t="shared" si="80"/>
        <v>6.393827369910735E-4</v>
      </c>
      <c r="H183" s="310">
        <f t="shared" si="80"/>
        <v>1.2229053771654547E-3</v>
      </c>
      <c r="I183" s="310">
        <f t="shared" si="80"/>
        <v>2.3234018804222717E-3</v>
      </c>
      <c r="J183" s="310">
        <f t="shared" si="80"/>
        <v>4.3736281679830789E-3</v>
      </c>
      <c r="K183" s="310">
        <f t="shared" si="80"/>
        <v>8.1294184230466908E-3</v>
      </c>
      <c r="L183" s="310">
        <f t="shared" si="80"/>
        <v>1.4853985082038716E-2</v>
      </c>
      <c r="M183" s="310">
        <f t="shared" si="80"/>
        <v>2.6531412096832362E-2</v>
      </c>
      <c r="N183" s="310">
        <f t="shared" si="80"/>
        <v>4.6014759335105015E-2</v>
      </c>
      <c r="O183" s="310">
        <f t="shared" si="80"/>
        <v>7.6910635328419796E-2</v>
      </c>
      <c r="P183" s="310">
        <f t="shared" si="80"/>
        <v>0.12294065829885638</v>
      </c>
      <c r="Q183" s="310">
        <f t="shared" si="80"/>
        <v>0.18666754187878853</v>
      </c>
      <c r="R183" s="310">
        <f t="shared" si="80"/>
        <v>0.26794336563407328</v>
      </c>
      <c r="S183" s="310">
        <f t="shared" si="80"/>
        <v>0.36297326582455031</v>
      </c>
      <c r="T183" s="310">
        <f t="shared" si="80"/>
        <v>0.46484396312424381</v>
      </c>
      <c r="U183" s="310">
        <f t="shared" si="80"/>
        <v>0.56546260593861253</v>
      </c>
      <c r="V183" s="310">
        <f t="shared" si="80"/>
        <v>0.6578403022607352</v>
      </c>
      <c r="W183" s="310">
        <f t="shared" si="80"/>
        <v>0.73754668886795227</v>
      </c>
      <c r="X183" s="310">
        <f t="shared" si="80"/>
        <v>0.80293052021410605</v>
      </c>
      <c r="Y183" s="310">
        <f t="shared" si="80"/>
        <v>0.85447682949112158</v>
      </c>
      <c r="Z183" s="310">
        <f t="shared" si="80"/>
        <v>0.89389910336617451</v>
      </c>
      <c r="AA183" s="310">
        <f t="shared" si="80"/>
        <v>0.92337223319290385</v>
      </c>
      <c r="AB183" s="310">
        <f t="shared" si="80"/>
        <v>0.94504210708611314</v>
      </c>
      <c r="AC183" s="310">
        <f t="shared" si="80"/>
        <v>0.96078240575184182</v>
      </c>
      <c r="AD183" s="310">
        <f t="shared" si="80"/>
        <v>0.97211605463477313</v>
      </c>
      <c r="AE183" s="310">
        <f t="shared" si="80"/>
        <v>0.98022577885232642</v>
      </c>
      <c r="AF183" s="310">
        <f t="shared" si="80"/>
        <v>0.98600279580400285</v>
      </c>
      <c r="AG183" s="310">
        <f t="shared" si="80"/>
        <v>0.9901050637460882</v>
      </c>
      <c r="AI183" s="165" t="s">
        <v>716</v>
      </c>
      <c r="AJ183" s="300" t="s">
        <v>718</v>
      </c>
      <c r="AK183" s="169">
        <f>'Propylene Recycling HC'!AK197</f>
        <v>0.35</v>
      </c>
    </row>
    <row r="184" spans="1:37" s="169" customFormat="1">
      <c r="B184" s="165"/>
      <c r="C184" s="306">
        <v>0</v>
      </c>
      <c r="D184" s="306">
        <v>0</v>
      </c>
      <c r="E184" s="306">
        <v>0</v>
      </c>
      <c r="F184" s="306">
        <v>0</v>
      </c>
      <c r="G184" s="306">
        <v>0</v>
      </c>
      <c r="H184" s="306">
        <v>0</v>
      </c>
      <c r="I184" s="306">
        <v>0</v>
      </c>
      <c r="J184" s="306">
        <v>0</v>
      </c>
      <c r="K184" s="306">
        <v>0</v>
      </c>
      <c r="L184" s="306">
        <v>0</v>
      </c>
      <c r="M184" s="306">
        <f>C183</f>
        <v>4.6088632748610021E-5</v>
      </c>
      <c r="N184" s="306">
        <v>0</v>
      </c>
      <c r="O184" s="306">
        <v>0</v>
      </c>
      <c r="P184" s="306">
        <v>0</v>
      </c>
      <c r="Q184" s="306">
        <v>0</v>
      </c>
      <c r="R184" s="306">
        <f t="shared" ref="R184:AG184" si="81">C183</f>
        <v>4.6088632748610021E-5</v>
      </c>
      <c r="S184" s="306">
        <f t="shared" si="81"/>
        <v>8.924759460408035E-5</v>
      </c>
      <c r="T184" s="306">
        <f t="shared" si="81"/>
        <v>1.7252431976790472E-4</v>
      </c>
      <c r="U184" s="306">
        <f t="shared" si="81"/>
        <v>3.3269643715580369E-4</v>
      </c>
      <c r="V184" s="306">
        <f t="shared" si="81"/>
        <v>6.393827369910735E-4</v>
      </c>
      <c r="W184" s="306">
        <f t="shared" si="81"/>
        <v>1.2229053771654547E-3</v>
      </c>
      <c r="X184" s="306">
        <f t="shared" si="81"/>
        <v>2.3234018804222717E-3</v>
      </c>
      <c r="Y184" s="306">
        <f t="shared" si="81"/>
        <v>4.3736281679830789E-3</v>
      </c>
      <c r="Z184" s="306">
        <f t="shared" si="81"/>
        <v>8.1294184230466908E-3</v>
      </c>
      <c r="AA184" s="306">
        <f t="shared" si="81"/>
        <v>1.4853985082038716E-2</v>
      </c>
      <c r="AB184" s="306">
        <f t="shared" si="81"/>
        <v>2.6531412096832362E-2</v>
      </c>
      <c r="AC184" s="306">
        <f t="shared" si="81"/>
        <v>4.6014759335105015E-2</v>
      </c>
      <c r="AD184" s="306">
        <f t="shared" si="81"/>
        <v>7.6910635328419796E-2</v>
      </c>
      <c r="AE184" s="306">
        <f t="shared" si="81"/>
        <v>0.12294065829885638</v>
      </c>
      <c r="AF184" s="306">
        <f t="shared" si="81"/>
        <v>0.18666754187878853</v>
      </c>
      <c r="AG184" s="306">
        <f t="shared" si="81"/>
        <v>0.26794336563407328</v>
      </c>
      <c r="AI184" s="165" t="s">
        <v>762</v>
      </c>
      <c r="AJ184" s="300" t="s">
        <v>719</v>
      </c>
      <c r="AK184" s="169">
        <f>'Propylene Recycling HC'!AK198</f>
        <v>1</v>
      </c>
    </row>
    <row r="185" spans="1:37" s="169" customFormat="1">
      <c r="B185" s="165"/>
      <c r="C185" s="304"/>
      <c r="D185" s="304"/>
      <c r="E185" s="304"/>
      <c r="F185" s="304"/>
      <c r="G185" s="304"/>
      <c r="H185" s="304"/>
      <c r="I185" s="304"/>
      <c r="J185" s="304"/>
      <c r="K185" s="304"/>
      <c r="L185" s="304"/>
      <c r="M185" s="304"/>
      <c r="N185" s="304"/>
      <c r="O185" s="304"/>
      <c r="P185" s="304"/>
      <c r="Q185" s="304"/>
      <c r="R185" s="304"/>
      <c r="S185" s="304"/>
      <c r="T185" s="304"/>
      <c r="U185" s="304"/>
      <c r="V185" s="304"/>
      <c r="W185" s="304"/>
      <c r="X185" s="304"/>
      <c r="Y185" s="304"/>
      <c r="Z185" s="304"/>
      <c r="AA185" s="304"/>
      <c r="AB185" s="304"/>
      <c r="AC185" s="304"/>
      <c r="AD185" s="304"/>
      <c r="AE185" s="304"/>
      <c r="AF185" s="304"/>
      <c r="AG185" s="304"/>
      <c r="AJ185" s="300" t="s">
        <v>720</v>
      </c>
      <c r="AK185" s="169">
        <f>'Propylene Recycling HC'!AK199</f>
        <v>15</v>
      </c>
    </row>
    <row r="186" spans="1:37" s="169" customFormat="1">
      <c r="A186" s="169" t="s">
        <v>842</v>
      </c>
      <c r="B186" s="165" t="s">
        <v>126</v>
      </c>
      <c r="C186" s="305">
        <v>0</v>
      </c>
      <c r="D186" s="305">
        <f>C186</f>
        <v>0</v>
      </c>
      <c r="E186" s="305">
        <f t="shared" ref="E186:AG186" si="82">D186</f>
        <v>0</v>
      </c>
      <c r="F186" s="305">
        <f t="shared" si="82"/>
        <v>0</v>
      </c>
      <c r="G186" s="305">
        <f t="shared" si="82"/>
        <v>0</v>
      </c>
      <c r="H186" s="305">
        <f t="shared" si="82"/>
        <v>0</v>
      </c>
      <c r="I186" s="305">
        <f t="shared" si="82"/>
        <v>0</v>
      </c>
      <c r="J186" s="305">
        <f t="shared" si="82"/>
        <v>0</v>
      </c>
      <c r="K186" s="305">
        <f t="shared" si="82"/>
        <v>0</v>
      </c>
      <c r="L186" s="305">
        <f t="shared" si="82"/>
        <v>0</v>
      </c>
      <c r="M186" s="305">
        <f t="shared" si="82"/>
        <v>0</v>
      </c>
      <c r="N186" s="305">
        <f t="shared" si="82"/>
        <v>0</v>
      </c>
      <c r="O186" s="305">
        <f t="shared" si="82"/>
        <v>0</v>
      </c>
      <c r="P186" s="305">
        <f t="shared" si="82"/>
        <v>0</v>
      </c>
      <c r="Q186" s="305">
        <f t="shared" si="82"/>
        <v>0</v>
      </c>
      <c r="R186" s="305">
        <f t="shared" si="82"/>
        <v>0</v>
      </c>
      <c r="S186" s="305">
        <f t="shared" si="82"/>
        <v>0</v>
      </c>
      <c r="T186" s="305">
        <f t="shared" si="82"/>
        <v>0</v>
      </c>
      <c r="U186" s="305">
        <f t="shared" si="82"/>
        <v>0</v>
      </c>
      <c r="V186" s="305">
        <f t="shared" si="82"/>
        <v>0</v>
      </c>
      <c r="W186" s="305">
        <f t="shared" si="82"/>
        <v>0</v>
      </c>
      <c r="X186" s="305">
        <f t="shared" si="82"/>
        <v>0</v>
      </c>
      <c r="Y186" s="305">
        <f t="shared" si="82"/>
        <v>0</v>
      </c>
      <c r="Z186" s="305">
        <f t="shared" si="82"/>
        <v>0</v>
      </c>
      <c r="AA186" s="305">
        <f t="shared" si="82"/>
        <v>0</v>
      </c>
      <c r="AB186" s="305">
        <f t="shared" si="82"/>
        <v>0</v>
      </c>
      <c r="AC186" s="305">
        <f t="shared" si="82"/>
        <v>0</v>
      </c>
      <c r="AD186" s="305">
        <f t="shared" si="82"/>
        <v>0</v>
      </c>
      <c r="AE186" s="305">
        <f t="shared" si="82"/>
        <v>0</v>
      </c>
      <c r="AF186" s="305">
        <f t="shared" si="82"/>
        <v>0</v>
      </c>
      <c r="AG186" s="305">
        <f t="shared" si="82"/>
        <v>0</v>
      </c>
      <c r="AI186" s="165" t="s">
        <v>846</v>
      </c>
      <c r="AJ186" s="300"/>
    </row>
    <row r="187" spans="1:37" s="279" customFormat="1" ht="15.5" thickBot="1">
      <c r="A187" s="311" t="s">
        <v>707</v>
      </c>
      <c r="B187" s="312" t="s">
        <v>127</v>
      </c>
      <c r="C187" s="313">
        <f>C186*(C179*C183+C180*C184)</f>
        <v>0</v>
      </c>
      <c r="D187" s="313">
        <f t="shared" ref="D187:AG187" si="83">D186*(D179*D183+D180*D184)</f>
        <v>0</v>
      </c>
      <c r="E187" s="313">
        <f t="shared" si="83"/>
        <v>0</v>
      </c>
      <c r="F187" s="313">
        <f t="shared" si="83"/>
        <v>0</v>
      </c>
      <c r="G187" s="313">
        <f t="shared" si="83"/>
        <v>0</v>
      </c>
      <c r="H187" s="313">
        <f t="shared" si="83"/>
        <v>0</v>
      </c>
      <c r="I187" s="313">
        <f t="shared" si="83"/>
        <v>0</v>
      </c>
      <c r="J187" s="313">
        <f t="shared" si="83"/>
        <v>0</v>
      </c>
      <c r="K187" s="313">
        <f t="shared" si="83"/>
        <v>0</v>
      </c>
      <c r="L187" s="313">
        <f t="shared" si="83"/>
        <v>0</v>
      </c>
      <c r="M187" s="313">
        <f t="shared" si="83"/>
        <v>0</v>
      </c>
      <c r="N187" s="313">
        <f t="shared" si="83"/>
        <v>0</v>
      </c>
      <c r="O187" s="313">
        <f t="shared" si="83"/>
        <v>0</v>
      </c>
      <c r="P187" s="313">
        <f t="shared" si="83"/>
        <v>0</v>
      </c>
      <c r="Q187" s="313">
        <f t="shared" si="83"/>
        <v>0</v>
      </c>
      <c r="R187" s="313">
        <f t="shared" si="83"/>
        <v>0</v>
      </c>
      <c r="S187" s="313">
        <f t="shared" si="83"/>
        <v>0</v>
      </c>
      <c r="T187" s="313">
        <f t="shared" si="83"/>
        <v>0</v>
      </c>
      <c r="U187" s="313">
        <f t="shared" si="83"/>
        <v>0</v>
      </c>
      <c r="V187" s="313">
        <f t="shared" si="83"/>
        <v>0</v>
      </c>
      <c r="W187" s="313">
        <f t="shared" si="83"/>
        <v>0</v>
      </c>
      <c r="X187" s="313">
        <f t="shared" si="83"/>
        <v>0</v>
      </c>
      <c r="Y187" s="313">
        <f t="shared" si="83"/>
        <v>0</v>
      </c>
      <c r="Z187" s="313">
        <f t="shared" si="83"/>
        <v>0</v>
      </c>
      <c r="AA187" s="313">
        <f t="shared" si="83"/>
        <v>0</v>
      </c>
      <c r="AB187" s="313">
        <f t="shared" si="83"/>
        <v>0</v>
      </c>
      <c r="AC187" s="313">
        <f t="shared" si="83"/>
        <v>0</v>
      </c>
      <c r="AD187" s="313">
        <f t="shared" si="83"/>
        <v>0</v>
      </c>
      <c r="AE187" s="313">
        <f t="shared" si="83"/>
        <v>0</v>
      </c>
      <c r="AF187" s="313">
        <f t="shared" si="83"/>
        <v>0</v>
      </c>
      <c r="AG187" s="313">
        <f t="shared" si="83"/>
        <v>0</v>
      </c>
      <c r="AJ187" s="303"/>
    </row>
    <row r="188" spans="1:37" s="216" customFormat="1">
      <c r="A188" s="302" t="s">
        <v>713</v>
      </c>
      <c r="B188" s="301" t="s">
        <v>126</v>
      </c>
      <c r="C188" s="307">
        <v>0.25</v>
      </c>
      <c r="D188" s="307">
        <v>0.25</v>
      </c>
      <c r="E188" s="307">
        <v>0.25</v>
      </c>
      <c r="F188" s="307">
        <v>0.25</v>
      </c>
      <c r="G188" s="307">
        <v>0.25</v>
      </c>
      <c r="H188" s="307">
        <v>0.25</v>
      </c>
      <c r="I188" s="307">
        <v>0.25</v>
      </c>
      <c r="J188" s="307">
        <v>0.25</v>
      </c>
      <c r="K188" s="307">
        <v>0.25</v>
      </c>
      <c r="L188" s="307">
        <v>0.25</v>
      </c>
      <c r="M188" s="307">
        <v>0.25</v>
      </c>
      <c r="N188" s="307">
        <v>0.25</v>
      </c>
      <c r="O188" s="307">
        <v>0.25</v>
      </c>
      <c r="P188" s="307">
        <v>0.25</v>
      </c>
      <c r="Q188" s="307">
        <v>0.25</v>
      </c>
      <c r="R188" s="307">
        <v>0.25</v>
      </c>
      <c r="S188" s="307">
        <v>0.25</v>
      </c>
      <c r="T188" s="307">
        <v>0.25</v>
      </c>
      <c r="U188" s="307">
        <v>0.25</v>
      </c>
      <c r="V188" s="307">
        <v>0.25</v>
      </c>
      <c r="W188" s="307">
        <v>0.25</v>
      </c>
      <c r="X188" s="307">
        <v>0.25</v>
      </c>
      <c r="Y188" s="307">
        <v>0.25</v>
      </c>
      <c r="Z188" s="307">
        <v>0.25</v>
      </c>
      <c r="AA188" s="307">
        <v>0.25</v>
      </c>
      <c r="AB188" s="307">
        <v>0.25</v>
      </c>
      <c r="AC188" s="307">
        <v>0.25</v>
      </c>
      <c r="AD188" s="307">
        <v>0.25</v>
      </c>
      <c r="AE188" s="307">
        <v>0.25</v>
      </c>
      <c r="AF188" s="307">
        <v>0.25</v>
      </c>
      <c r="AG188" s="307">
        <v>0.25</v>
      </c>
      <c r="AI188" s="216" t="s">
        <v>847</v>
      </c>
      <c r="AJ188" s="216" t="s">
        <v>757</v>
      </c>
    </row>
    <row r="189" spans="1:37" s="216" customFormat="1" ht="15.5" thickBot="1">
      <c r="A189" s="280" t="s">
        <v>708</v>
      </c>
      <c r="B189" s="312" t="s">
        <v>127</v>
      </c>
      <c r="C189" s="618">
        <f>C188*(C179*C183+C180*C184)</f>
        <v>0.42744374130401225</v>
      </c>
      <c r="D189" s="618">
        <f t="shared" ref="D189:AG189" si="84">D188*(D179*D183+D180*D184)</f>
        <v>0.86372673741384209</v>
      </c>
      <c r="E189" s="618">
        <f t="shared" si="84"/>
        <v>1.7403306799322453</v>
      </c>
      <c r="F189" s="618">
        <f t="shared" si="84"/>
        <v>3.4943324190930545</v>
      </c>
      <c r="G189" s="618">
        <f t="shared" si="84"/>
        <v>6.9850373049184427</v>
      </c>
      <c r="H189" s="618">
        <f t="shared" si="84"/>
        <v>13.882636210689363</v>
      </c>
      <c r="I189" s="618">
        <f t="shared" si="84"/>
        <v>27.355039474690003</v>
      </c>
      <c r="J189" s="618">
        <f t="shared" si="84"/>
        <v>53.358579057396874</v>
      </c>
      <c r="K189" s="618">
        <f t="shared" si="84"/>
        <v>102.6843976271289</v>
      </c>
      <c r="L189" s="618">
        <f t="shared" si="84"/>
        <v>194.09766448247697</v>
      </c>
      <c r="M189" s="618">
        <f t="shared" si="84"/>
        <v>359.92212957421737</v>
      </c>
      <c r="N189" s="618">
        <f t="shared" si="84"/>
        <v>629.59915789140678</v>
      </c>
      <c r="O189" s="618">
        <f t="shared" si="84"/>
        <v>1065.3554625120926</v>
      </c>
      <c r="P189" s="618">
        <f t="shared" si="84"/>
        <v>1722.3152037600405</v>
      </c>
      <c r="Q189" s="618">
        <f t="shared" si="84"/>
        <v>2643.0574001714144</v>
      </c>
      <c r="R189" s="618">
        <f t="shared" si="84"/>
        <v>3833.4063404931139</v>
      </c>
      <c r="S189" s="618">
        <f t="shared" si="84"/>
        <v>5242.7656812407813</v>
      </c>
      <c r="T189" s="618">
        <f t="shared" si="84"/>
        <v>6775.2831508876779</v>
      </c>
      <c r="U189" s="618">
        <f t="shared" si="84"/>
        <v>8313.6476598692807</v>
      </c>
      <c r="V189" s="618">
        <f t="shared" si="84"/>
        <v>9753.8250782403975</v>
      </c>
      <c r="W189" s="618">
        <f t="shared" si="84"/>
        <v>11028.54954155053</v>
      </c>
      <c r="X189" s="618">
        <f t="shared" si="84"/>
        <v>11739.195263718699</v>
      </c>
      <c r="Y189" s="618">
        <f t="shared" si="84"/>
        <v>12224.186457775548</v>
      </c>
      <c r="Z189" s="618">
        <f t="shared" si="84"/>
        <v>12532.987481088461</v>
      </c>
      <c r="AA189" s="618">
        <f t="shared" si="84"/>
        <v>12719.254456877679</v>
      </c>
      <c r="AB189" s="618">
        <f t="shared" si="84"/>
        <v>12851.871027988209</v>
      </c>
      <c r="AC189" s="618">
        <f t="shared" si="84"/>
        <v>13001.219352742184</v>
      </c>
      <c r="AD189" s="618">
        <f t="shared" si="84"/>
        <v>13232.871719141764</v>
      </c>
      <c r="AE189" s="618">
        <f t="shared" si="84"/>
        <v>13592.839146466767</v>
      </c>
      <c r="AF189" s="618">
        <f t="shared" si="84"/>
        <v>14089.213626229288</v>
      </c>
      <c r="AG189" s="618">
        <f t="shared" si="84"/>
        <v>14677.706166881431</v>
      </c>
      <c r="AJ189" s="302"/>
    </row>
    <row r="190" spans="1:37" s="216" customFormat="1">
      <c r="A190" s="303"/>
      <c r="B190" s="301"/>
      <c r="C190" s="122"/>
      <c r="D190" s="122"/>
      <c r="E190" s="122"/>
      <c r="F190" s="122"/>
      <c r="G190" s="122"/>
      <c r="H190" s="122"/>
      <c r="I190" s="122"/>
      <c r="J190" s="122"/>
      <c r="K190" s="122"/>
      <c r="L190" s="122"/>
      <c r="M190" s="122"/>
      <c r="N190" s="122"/>
      <c r="O190" s="122"/>
      <c r="P190" s="122"/>
      <c r="Q190" s="122"/>
      <c r="R190" s="122"/>
      <c r="S190" s="122"/>
      <c r="T190" s="122"/>
      <c r="U190" s="122"/>
      <c r="V190" s="122"/>
      <c r="W190" s="122"/>
      <c r="X190" s="122"/>
      <c r="Y190" s="122"/>
      <c r="Z190" s="122"/>
      <c r="AA190" s="122"/>
      <c r="AB190" s="122"/>
      <c r="AC190" s="122"/>
      <c r="AD190" s="122"/>
      <c r="AE190" s="122"/>
      <c r="AF190" s="122"/>
      <c r="AG190" s="122"/>
      <c r="AJ190" s="302"/>
    </row>
    <row r="191" spans="1:37" s="216" customFormat="1">
      <c r="A191" s="303" t="s">
        <v>711</v>
      </c>
      <c r="B191" s="301" t="s">
        <v>127</v>
      </c>
      <c r="C191" s="122">
        <f>SUM(C160:C161)-SUM(C187,C189)</f>
        <v>597683.69938539132</v>
      </c>
      <c r="D191" s="122">
        <f t="shared" ref="D191:AG191" si="85">SUM(D160:D161)-SUM(D187,D189)</f>
        <v>601653.53630421171</v>
      </c>
      <c r="E191" s="122">
        <f t="shared" si="85"/>
        <v>605502.03960592335</v>
      </c>
      <c r="F191" s="122">
        <f t="shared" si="85"/>
        <v>609228.7665287467</v>
      </c>
      <c r="G191" s="122">
        <f t="shared" si="85"/>
        <v>612832.88828118355</v>
      </c>
      <c r="H191" s="122">
        <f t="shared" si="85"/>
        <v>616312.80138499581</v>
      </c>
      <c r="I191" s="122">
        <f t="shared" si="85"/>
        <v>618886.38336044375</v>
      </c>
      <c r="J191" s="122">
        <f t="shared" si="85"/>
        <v>621316.44718795619</v>
      </c>
      <c r="K191" s="122">
        <f t="shared" si="85"/>
        <v>623592.69042209839</v>
      </c>
      <c r="L191" s="122">
        <f t="shared" si="85"/>
        <v>625696.87278958713</v>
      </c>
      <c r="M191" s="122">
        <f t="shared" si="85"/>
        <v>627597.23163526959</v>
      </c>
      <c r="N191" s="122">
        <f t="shared" si="85"/>
        <v>625851.69001648657</v>
      </c>
      <c r="O191" s="122">
        <f t="shared" si="85"/>
        <v>623887.5790716355</v>
      </c>
      <c r="P191" s="122">
        <f t="shared" si="85"/>
        <v>621215.9020584285</v>
      </c>
      <c r="Q191" s="122">
        <f t="shared" si="85"/>
        <v>618092.20238946076</v>
      </c>
      <c r="R191" s="122">
        <f t="shared" si="85"/>
        <v>614513.92096996075</v>
      </c>
      <c r="S191" s="122">
        <f t="shared" si="85"/>
        <v>610535.03546474793</v>
      </c>
      <c r="T191" s="122">
        <f t="shared" si="85"/>
        <v>606254.89553015819</v>
      </c>
      <c r="U191" s="122">
        <f t="shared" si="85"/>
        <v>601794.42564164917</v>
      </c>
      <c r="V191" s="122">
        <f t="shared" si="85"/>
        <v>597261.38925525139</v>
      </c>
      <c r="W191" s="122">
        <f t="shared" si="85"/>
        <v>592726.89744229591</v>
      </c>
      <c r="X191" s="122">
        <f t="shared" si="85"/>
        <v>583214.58584479801</v>
      </c>
      <c r="Y191" s="122">
        <f t="shared" si="85"/>
        <v>574919.71536507504</v>
      </c>
      <c r="Z191" s="122">
        <f t="shared" si="85"/>
        <v>566596.51110205299</v>
      </c>
      <c r="AA191" s="122">
        <f t="shared" si="85"/>
        <v>558205.98145588441</v>
      </c>
      <c r="AB191" s="122">
        <f t="shared" si="85"/>
        <v>549685.70567727613</v>
      </c>
      <c r="AC191" s="122">
        <f t="shared" si="85"/>
        <v>540949.47706884169</v>
      </c>
      <c r="AD191" s="122">
        <f t="shared" si="85"/>
        <v>531961.49905771541</v>
      </c>
      <c r="AE191" s="122">
        <f t="shared" si="85"/>
        <v>522682.62322631426</v>
      </c>
      <c r="AF191" s="122">
        <f t="shared" si="85"/>
        <v>513111.74281533452</v>
      </c>
      <c r="AG191" s="122">
        <f t="shared" si="85"/>
        <v>503300.25482255442</v>
      </c>
      <c r="AJ191" s="302"/>
    </row>
    <row r="192" spans="1:37" s="216" customFormat="1">
      <c r="A192" s="303"/>
      <c r="B192" s="301"/>
      <c r="C192" s="122"/>
      <c r="D192" s="122"/>
      <c r="E192" s="122"/>
      <c r="F192" s="122"/>
      <c r="G192" s="122"/>
      <c r="H192" s="122"/>
      <c r="I192" s="122"/>
      <c r="J192" s="122"/>
      <c r="K192" s="122"/>
      <c r="L192" s="122"/>
      <c r="M192" s="122"/>
      <c r="N192" s="122"/>
      <c r="O192" s="122"/>
      <c r="P192" s="122"/>
      <c r="Q192" s="122"/>
      <c r="R192" s="122"/>
      <c r="S192" s="122"/>
      <c r="T192" s="122"/>
      <c r="U192" s="122"/>
      <c r="V192" s="122"/>
      <c r="W192" s="122"/>
      <c r="X192" s="122"/>
      <c r="Y192" s="122"/>
      <c r="Z192" s="122"/>
      <c r="AA192" s="122"/>
      <c r="AB192" s="122"/>
      <c r="AC192" s="122"/>
      <c r="AD192" s="122"/>
      <c r="AE192" s="122"/>
      <c r="AF192" s="122"/>
      <c r="AG192" s="122"/>
      <c r="AJ192" s="302"/>
    </row>
    <row r="193" spans="1:36" s="216" customFormat="1">
      <c r="A193" s="302" t="s">
        <v>722</v>
      </c>
      <c r="B193" s="301" t="s">
        <v>127</v>
      </c>
      <c r="C193" s="613">
        <f>C113*C112*C33</f>
        <v>-27027.899635804897</v>
      </c>
      <c r="D193" s="613">
        <f t="shared" ref="D193:AG193" si="86">D113*D112*D33</f>
        <v>-27979.531311293551</v>
      </c>
      <c r="E193" s="613">
        <f t="shared" si="86"/>
        <v>-28938.963246417359</v>
      </c>
      <c r="F193" s="613">
        <f t="shared" si="86"/>
        <v>-29906.195441176322</v>
      </c>
      <c r="G193" s="613">
        <f t="shared" si="86"/>
        <v>-30881.227895570439</v>
      </c>
      <c r="H193" s="613">
        <f t="shared" si="86"/>
        <v>-31864.060609599706</v>
      </c>
      <c r="I193" s="613">
        <f t="shared" si="86"/>
        <v>-32854.693583264125</v>
      </c>
      <c r="J193" s="613">
        <f t="shared" si="86"/>
        <v>-33853.126816563701</v>
      </c>
      <c r="K193" s="613">
        <f t="shared" si="86"/>
        <v>-34859.360309498428</v>
      </c>
      <c r="L193" s="613">
        <f t="shared" si="86"/>
        <v>-35873.394062068306</v>
      </c>
      <c r="M193" s="613">
        <f t="shared" si="86"/>
        <v>-36895.228074273342</v>
      </c>
      <c r="N193" s="613">
        <f t="shared" si="86"/>
        <v>-37924.862346113528</v>
      </c>
      <c r="O193" s="613">
        <f t="shared" si="86"/>
        <v>-38962.296877588866</v>
      </c>
      <c r="P193" s="613">
        <f t="shared" si="86"/>
        <v>-40007.531668699354</v>
      </c>
      <c r="Q193" s="613">
        <f t="shared" si="86"/>
        <v>-41060.566719445</v>
      </c>
      <c r="R193" s="613">
        <f t="shared" si="86"/>
        <v>-42121.402029825796</v>
      </c>
      <c r="S193" s="613">
        <f t="shared" si="86"/>
        <v>-43190.037599841737</v>
      </c>
      <c r="T193" s="613">
        <f t="shared" si="86"/>
        <v>-44266.473429492849</v>
      </c>
      <c r="U193" s="613">
        <f t="shared" si="86"/>
        <v>-45350.709518779106</v>
      </c>
      <c r="V193" s="613">
        <f t="shared" si="86"/>
        <v>-46442.745867700505</v>
      </c>
      <c r="W193" s="613">
        <f t="shared" si="86"/>
        <v>-47542.58247625707</v>
      </c>
      <c r="X193" s="613">
        <f t="shared" si="86"/>
        <v>-48650.219344448793</v>
      </c>
      <c r="Y193" s="613">
        <f t="shared" si="86"/>
        <v>-49765.656472275652</v>
      </c>
      <c r="Z193" s="613">
        <f t="shared" si="86"/>
        <v>-50888.893859737676</v>
      </c>
      <c r="AA193" s="613">
        <f t="shared" si="86"/>
        <v>-52019.931506834844</v>
      </c>
      <c r="AB193" s="613">
        <f t="shared" si="86"/>
        <v>-53158.769413567177</v>
      </c>
      <c r="AC193" s="613">
        <f t="shared" si="86"/>
        <v>-54305.407579934646</v>
      </c>
      <c r="AD193" s="613">
        <f t="shared" si="86"/>
        <v>-55459.846005937281</v>
      </c>
      <c r="AE193" s="613">
        <f t="shared" si="86"/>
        <v>-56622.084691575066</v>
      </c>
      <c r="AF193" s="613">
        <f t="shared" si="86"/>
        <v>-57792.123636848002</v>
      </c>
      <c r="AG193" s="613">
        <f t="shared" si="86"/>
        <v>-58969.962841756133</v>
      </c>
      <c r="AJ193" s="302"/>
    </row>
    <row r="194" spans="1:36" s="216" customFormat="1">
      <c r="A194" s="216" t="s">
        <v>721</v>
      </c>
      <c r="B194" s="301" t="s">
        <v>127</v>
      </c>
      <c r="C194" s="613">
        <f>C114*C112*C33</f>
        <v>-95826.189617853728</v>
      </c>
      <c r="D194" s="613">
        <f t="shared" ref="D194:AG194" si="87">D114*D112*D33</f>
        <v>-95459.577415001535</v>
      </c>
      <c r="E194" s="613">
        <f t="shared" si="87"/>
        <v>-95085.164952514198</v>
      </c>
      <c r="F194" s="613">
        <f t="shared" si="87"/>
        <v>-94702.952230391704</v>
      </c>
      <c r="G194" s="613">
        <f t="shared" si="87"/>
        <v>-94312.939248634066</v>
      </c>
      <c r="H194" s="613">
        <f t="shared" si="87"/>
        <v>-93915.126007241255</v>
      </c>
      <c r="I194" s="613">
        <f t="shared" si="87"/>
        <v>-93509.512506213316</v>
      </c>
      <c r="J194" s="613">
        <f t="shared" si="87"/>
        <v>-93096.098745550218</v>
      </c>
      <c r="K194" s="613">
        <f t="shared" si="87"/>
        <v>-92674.884725251948</v>
      </c>
      <c r="L194" s="613">
        <f t="shared" si="87"/>
        <v>-92245.870445318535</v>
      </c>
      <c r="M194" s="613">
        <f t="shared" si="87"/>
        <v>-91809.055905749978</v>
      </c>
      <c r="N194" s="613">
        <f t="shared" si="87"/>
        <v>-91364.441106546263</v>
      </c>
      <c r="O194" s="613">
        <f t="shared" si="87"/>
        <v>-90912.026047707404</v>
      </c>
      <c r="P194" s="613">
        <f t="shared" si="87"/>
        <v>-90451.810729233373</v>
      </c>
      <c r="Q194" s="613">
        <f t="shared" si="87"/>
        <v>-89983.795151124199</v>
      </c>
      <c r="R194" s="613">
        <f t="shared" si="87"/>
        <v>-89507.979313379881</v>
      </c>
      <c r="S194" s="613">
        <f t="shared" si="87"/>
        <v>-89024.363216000405</v>
      </c>
      <c r="T194" s="613">
        <f t="shared" si="87"/>
        <v>-88532.946858985757</v>
      </c>
      <c r="U194" s="613">
        <f t="shared" si="87"/>
        <v>-88033.730242335965</v>
      </c>
      <c r="V194" s="613">
        <f t="shared" si="87"/>
        <v>-87526.71336605103</v>
      </c>
      <c r="W194" s="613">
        <f t="shared" si="87"/>
        <v>-87011.896230130966</v>
      </c>
      <c r="X194" s="613">
        <f t="shared" si="87"/>
        <v>-86489.2788345757</v>
      </c>
      <c r="Y194" s="613">
        <f t="shared" si="87"/>
        <v>-85958.861179385305</v>
      </c>
      <c r="Z194" s="613">
        <f t="shared" si="87"/>
        <v>-85420.643264559767</v>
      </c>
      <c r="AA194" s="613">
        <f t="shared" si="87"/>
        <v>-84874.625090099071</v>
      </c>
      <c r="AB194" s="613">
        <f t="shared" si="87"/>
        <v>-84320.806656003202</v>
      </c>
      <c r="AC194" s="613">
        <f t="shared" si="87"/>
        <v>-83759.18796227219</v>
      </c>
      <c r="AD194" s="613">
        <f t="shared" si="87"/>
        <v>-83189.769008906034</v>
      </c>
      <c r="AE194" s="613">
        <f t="shared" si="87"/>
        <v>-82612.549795904735</v>
      </c>
      <c r="AF194" s="613">
        <f t="shared" si="87"/>
        <v>-82027.530323268249</v>
      </c>
      <c r="AG194" s="613">
        <f t="shared" si="87"/>
        <v>-81434.71059099659</v>
      </c>
      <c r="AJ194" s="302"/>
    </row>
    <row r="195" spans="1:36" s="216" customFormat="1">
      <c r="B195" s="301"/>
      <c r="C195" s="625"/>
      <c r="D195" s="625"/>
      <c r="E195" s="625"/>
      <c r="F195" s="625"/>
      <c r="G195" s="625"/>
      <c r="H195" s="625"/>
      <c r="I195" s="625"/>
      <c r="J195" s="625"/>
      <c r="K195" s="625"/>
      <c r="L195" s="625"/>
      <c r="M195" s="625"/>
      <c r="N195" s="625"/>
      <c r="O195" s="625"/>
      <c r="P195" s="625"/>
      <c r="Q195" s="625"/>
      <c r="R195" s="625"/>
      <c r="S195" s="625"/>
      <c r="T195" s="625"/>
      <c r="U195" s="625"/>
      <c r="V195" s="625"/>
      <c r="W195" s="625"/>
      <c r="X195" s="625"/>
      <c r="Y195" s="625"/>
      <c r="Z195" s="625"/>
      <c r="AA195" s="625"/>
      <c r="AB195" s="625"/>
      <c r="AC195" s="625"/>
      <c r="AD195" s="625"/>
      <c r="AE195" s="625"/>
      <c r="AF195" s="625"/>
      <c r="AG195" s="625"/>
      <c r="AJ195" s="302"/>
    </row>
    <row r="196" spans="1:36" s="216" customFormat="1">
      <c r="A196" s="328" t="s">
        <v>723</v>
      </c>
      <c r="B196" s="329" t="s">
        <v>127</v>
      </c>
      <c r="C196" s="611">
        <f>C174-C187-C189</f>
        <v>210781.05824646022</v>
      </c>
      <c r="D196" s="611">
        <f t="shared" ref="D196:AF196" si="88">D174-D187-D189</f>
        <v>213481.59216205616</v>
      </c>
      <c r="E196" s="611">
        <f t="shared" si="88"/>
        <v>216157.93115466222</v>
      </c>
      <c r="F196" s="611">
        <f t="shared" si="88"/>
        <v>218810.36699650952</v>
      </c>
      <c r="G196" s="611">
        <f t="shared" si="88"/>
        <v>221438.77167006431</v>
      </c>
      <c r="H196" s="611">
        <f t="shared" si="88"/>
        <v>224042.20871100537</v>
      </c>
      <c r="I196" s="611">
        <f t="shared" si="88"/>
        <v>226389.97545727805</v>
      </c>
      <c r="J196" s="611">
        <f t="shared" si="88"/>
        <v>228697.99359351766</v>
      </c>
      <c r="K196" s="611">
        <f t="shared" si="88"/>
        <v>230956.04939818656</v>
      </c>
      <c r="L196" s="611">
        <f t="shared" si="88"/>
        <v>233145.95914575778</v>
      </c>
      <c r="M196" s="611">
        <f t="shared" si="88"/>
        <v>235235.9845526935</v>
      </c>
      <c r="N196" s="611">
        <f t="shared" si="88"/>
        <v>232595.65253884107</v>
      </c>
      <c r="O196" s="611">
        <f t="shared" si="88"/>
        <v>229799.00158487313</v>
      </c>
      <c r="P196" s="611">
        <f t="shared" si="88"/>
        <v>226690.53483970487</v>
      </c>
      <c r="Q196" s="611">
        <f t="shared" si="88"/>
        <v>223301.13970326935</v>
      </c>
      <c r="R196" s="611">
        <f t="shared" si="88"/>
        <v>219628.32579230049</v>
      </c>
      <c r="S196" s="611">
        <f t="shared" si="88"/>
        <v>215726.02670543719</v>
      </c>
      <c r="T196" s="611">
        <f t="shared" si="88"/>
        <v>211693.43535556321</v>
      </c>
      <c r="U196" s="611">
        <f t="shared" si="88"/>
        <v>207651.20689632505</v>
      </c>
      <c r="V196" s="611">
        <f t="shared" si="88"/>
        <v>203706.72298099223</v>
      </c>
      <c r="W196" s="611">
        <f t="shared" si="88"/>
        <v>199930.60049309221</v>
      </c>
      <c r="X196" s="611">
        <f t="shared" si="88"/>
        <v>190283.17497644387</v>
      </c>
      <c r="Y196" s="611">
        <f t="shared" si="88"/>
        <v>181148.67125994363</v>
      </c>
      <c r="Z196" s="611">
        <f t="shared" si="88"/>
        <v>172419.30361611009</v>
      </c>
      <c r="AA196" s="611">
        <f t="shared" si="88"/>
        <v>163892.45348811551</v>
      </c>
      <c r="AB196" s="611">
        <f t="shared" si="88"/>
        <v>155503.45281816644</v>
      </c>
      <c r="AC196" s="611">
        <f t="shared" si="88"/>
        <v>147182.00828189144</v>
      </c>
      <c r="AD196" s="611">
        <f t="shared" si="88"/>
        <v>138871.6185888449</v>
      </c>
      <c r="AE196" s="611">
        <f t="shared" si="88"/>
        <v>130530.41781432751</v>
      </c>
      <c r="AF196" s="611">
        <f t="shared" si="88"/>
        <v>122154.4399080399</v>
      </c>
      <c r="AG196" s="619">
        <f>AG174-AG187-AG189</f>
        <v>113792.08209037775</v>
      </c>
      <c r="AI196" s="216" t="s">
        <v>755</v>
      </c>
      <c r="AJ196" s="302"/>
    </row>
    <row r="197" spans="1:36" s="216" customFormat="1">
      <c r="A197" s="332" t="s">
        <v>724</v>
      </c>
      <c r="B197" s="333" t="s">
        <v>127</v>
      </c>
      <c r="C197" s="620">
        <f>C175+C196</f>
        <v>936405.55537640862</v>
      </c>
      <c r="D197" s="620">
        <f t="shared" ref="D197:AG197" si="89">D175+D196</f>
        <v>934256.40940154658</v>
      </c>
      <c r="E197" s="620">
        <f t="shared" si="89"/>
        <v>932053.37825348182</v>
      </c>
      <c r="F197" s="620">
        <f t="shared" si="89"/>
        <v>929797.31766901514</v>
      </c>
      <c r="G197" s="620">
        <f t="shared" si="89"/>
        <v>927488.66115644644</v>
      </c>
      <c r="H197" s="620">
        <f t="shared" si="89"/>
        <v>925127.03133855329</v>
      </c>
      <c r="I197" s="620">
        <f t="shared" si="89"/>
        <v>921561.14133362891</v>
      </c>
      <c r="J197" s="620">
        <f t="shared" si="89"/>
        <v>917938.15813979483</v>
      </c>
      <c r="K197" s="620">
        <f t="shared" si="89"/>
        <v>914248.58342803316</v>
      </c>
      <c r="L197" s="620">
        <f t="shared" si="89"/>
        <v>910474.94484269572</v>
      </c>
      <c r="M197" s="620">
        <f t="shared" si="89"/>
        <v>906586.21144748246</v>
      </c>
      <c r="N197" s="620">
        <f t="shared" si="89"/>
        <v>897102.92197889974</v>
      </c>
      <c r="O197" s="620">
        <f t="shared" si="89"/>
        <v>887622.92611631122</v>
      </c>
      <c r="P197" s="620">
        <f t="shared" si="89"/>
        <v>877483.74689077178</v>
      </c>
      <c r="Q197" s="620">
        <f t="shared" si="89"/>
        <v>867063.02616252459</v>
      </c>
      <c r="R197" s="620">
        <f t="shared" si="89"/>
        <v>856359.14139689982</v>
      </c>
      <c r="S197" s="620">
        <f t="shared" si="89"/>
        <v>845426.88822388905</v>
      </c>
      <c r="T197" s="620">
        <f t="shared" si="89"/>
        <v>834366.31576957891</v>
      </c>
      <c r="U197" s="620">
        <f t="shared" si="89"/>
        <v>823298.92958176672</v>
      </c>
      <c r="V197" s="620">
        <f t="shared" si="89"/>
        <v>812332.95588792651</v>
      </c>
      <c r="W197" s="620">
        <f t="shared" si="89"/>
        <v>801539.85032495379</v>
      </c>
      <c r="X197" s="620">
        <f t="shared" si="89"/>
        <v>783562.68084139808</v>
      </c>
      <c r="Y197" s="620">
        <f t="shared" si="89"/>
        <v>767471.18500541162</v>
      </c>
      <c r="Z197" s="620">
        <f t="shared" si="89"/>
        <v>751646.40495233017</v>
      </c>
      <c r="AA197" s="620">
        <f t="shared" si="89"/>
        <v>736031.69087721431</v>
      </c>
      <c r="AB197" s="620">
        <f t="shared" si="89"/>
        <v>720563.25920402561</v>
      </c>
      <c r="AC197" s="620">
        <f t="shared" si="89"/>
        <v>705146.97607482097</v>
      </c>
      <c r="AD197" s="620">
        <f t="shared" si="89"/>
        <v>689752.28260006185</v>
      </c>
      <c r="AE197" s="620">
        <f t="shared" si="89"/>
        <v>674338.18348546478</v>
      </c>
      <c r="AF197" s="620">
        <f t="shared" si="89"/>
        <v>658901.57719129173</v>
      </c>
      <c r="AG197" s="621">
        <f t="shared" si="89"/>
        <v>643491.71930799936</v>
      </c>
      <c r="AI197" s="216" t="s">
        <v>756</v>
      </c>
      <c r="AJ197" s="302"/>
    </row>
  </sheetData>
  <mergeCells count="2">
    <mergeCell ref="BD67:BE67"/>
    <mergeCell ref="AI167:AI175"/>
  </mergeCells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F2399-A3CA-483C-BA0E-B2BC68C205E5}">
  <sheetPr>
    <tabColor theme="4"/>
  </sheetPr>
  <dimension ref="A1:BL223"/>
  <sheetViews>
    <sheetView topLeftCell="A199" zoomScale="70" zoomScaleNormal="70" workbookViewId="0">
      <selection activeCell="A218" sqref="A218"/>
    </sheetView>
  </sheetViews>
  <sheetFormatPr defaultRowHeight="14.75" outlineLevelRow="2" outlineLevelCol="1"/>
  <cols>
    <col min="1" max="1" width="56.7265625" customWidth="1"/>
    <col min="2" max="2" width="15.36328125" style="51" bestFit="1" customWidth="1"/>
    <col min="3" max="3" width="12.76953125" style="101" bestFit="1" customWidth="1"/>
    <col min="4" max="12" width="8.81640625" style="101" hidden="1" customWidth="1" outlineLevel="1"/>
    <col min="13" max="13" width="12.31640625" style="101" customWidth="1" collapsed="1"/>
    <col min="14" max="22" width="8.81640625" style="101" hidden="1" customWidth="1" outlineLevel="1"/>
    <col min="23" max="23" width="12.76953125" style="101" bestFit="1" customWidth="1" collapsed="1"/>
    <col min="24" max="32" width="8.81640625" style="101" hidden="1" customWidth="1" outlineLevel="1"/>
    <col min="33" max="33" width="12.76953125" style="101" bestFit="1" customWidth="1" collapsed="1"/>
    <col min="35" max="35" width="52.81640625" bestFit="1" customWidth="1"/>
    <col min="36" max="36" width="30.36328125" style="3" customWidth="1"/>
    <col min="37" max="37" width="13.26953125" customWidth="1"/>
    <col min="38" max="38" width="20.36328125" bestFit="1" customWidth="1"/>
    <col min="41" max="41" width="17.81640625" customWidth="1"/>
    <col min="42" max="42" width="18.08984375" customWidth="1"/>
    <col min="44" max="44" width="10.36328125" customWidth="1"/>
    <col min="47" max="47" width="20.08984375" bestFit="1" customWidth="1"/>
    <col min="55" max="55" width="49" bestFit="1" customWidth="1"/>
    <col min="56" max="56" width="8.81640625" customWidth="1"/>
  </cols>
  <sheetData>
    <row r="1" spans="1:47">
      <c r="C1" s="113">
        <v>2020</v>
      </c>
      <c r="D1" s="113">
        <f>C1+1</f>
        <v>2021</v>
      </c>
      <c r="E1" s="113">
        <f t="shared" ref="E1:L1" si="0">D1+1</f>
        <v>2022</v>
      </c>
      <c r="F1" s="113">
        <f t="shared" si="0"/>
        <v>2023</v>
      </c>
      <c r="G1" s="113">
        <f t="shared" si="0"/>
        <v>2024</v>
      </c>
      <c r="H1" s="113">
        <f t="shared" si="0"/>
        <v>2025</v>
      </c>
      <c r="I1" s="113">
        <f t="shared" si="0"/>
        <v>2026</v>
      </c>
      <c r="J1" s="113">
        <f t="shared" si="0"/>
        <v>2027</v>
      </c>
      <c r="K1" s="113">
        <f t="shared" si="0"/>
        <v>2028</v>
      </c>
      <c r="L1" s="113">
        <f t="shared" si="0"/>
        <v>2029</v>
      </c>
      <c r="M1" s="113">
        <v>2030</v>
      </c>
      <c r="N1" s="113">
        <f>M1+1</f>
        <v>2031</v>
      </c>
      <c r="O1" s="113">
        <f t="shared" ref="O1:V1" si="1">N1+1</f>
        <v>2032</v>
      </c>
      <c r="P1" s="113">
        <f t="shared" si="1"/>
        <v>2033</v>
      </c>
      <c r="Q1" s="113">
        <f t="shared" si="1"/>
        <v>2034</v>
      </c>
      <c r="R1" s="113">
        <f t="shared" si="1"/>
        <v>2035</v>
      </c>
      <c r="S1" s="113">
        <f t="shared" si="1"/>
        <v>2036</v>
      </c>
      <c r="T1" s="113">
        <f t="shared" si="1"/>
        <v>2037</v>
      </c>
      <c r="U1" s="113">
        <f t="shared" si="1"/>
        <v>2038</v>
      </c>
      <c r="V1" s="113">
        <f t="shared" si="1"/>
        <v>2039</v>
      </c>
      <c r="W1" s="113">
        <v>2040</v>
      </c>
      <c r="X1" s="113">
        <f>W1+1</f>
        <v>2041</v>
      </c>
      <c r="Y1" s="113">
        <f t="shared" ref="Y1:AF1" si="2">X1+1</f>
        <v>2042</v>
      </c>
      <c r="Z1" s="113">
        <f t="shared" si="2"/>
        <v>2043</v>
      </c>
      <c r="AA1" s="113">
        <f t="shared" si="2"/>
        <v>2044</v>
      </c>
      <c r="AB1" s="113">
        <f t="shared" si="2"/>
        <v>2045</v>
      </c>
      <c r="AC1" s="113">
        <f t="shared" si="2"/>
        <v>2046</v>
      </c>
      <c r="AD1" s="113">
        <f t="shared" si="2"/>
        <v>2047</v>
      </c>
      <c r="AE1" s="113">
        <f t="shared" si="2"/>
        <v>2048</v>
      </c>
      <c r="AF1" s="113">
        <f t="shared" si="2"/>
        <v>2049</v>
      </c>
      <c r="AG1" s="113">
        <v>2050</v>
      </c>
      <c r="AI1" s="1" t="s">
        <v>67</v>
      </c>
      <c r="AJ1" s="151" t="s">
        <v>60</v>
      </c>
      <c r="AO1" s="1"/>
    </row>
    <row r="2" spans="1:47" ht="15.5" thickBot="1">
      <c r="A2" s="187" t="str">
        <f>'Ethylene Recycling HC'!A2</f>
        <v>Plastic waste generation</v>
      </c>
      <c r="B2" s="187" t="str">
        <f>'Ethylene Recycling HC'!B2</f>
        <v>mT</v>
      </c>
      <c r="C2" s="203">
        <f>'Ethylene Recycling HC'!C2</f>
        <v>5301378.929236711</v>
      </c>
      <c r="D2" s="203">
        <f>'Ethylene Recycling HC'!D2</f>
        <v>5301378.929236711</v>
      </c>
      <c r="E2" s="203">
        <f>'Ethylene Recycling HC'!E2</f>
        <v>5301378.929236711</v>
      </c>
      <c r="F2" s="203">
        <f>'Ethylene Recycling HC'!F2</f>
        <v>5301378.929236711</v>
      </c>
      <c r="G2" s="203">
        <f>'Ethylene Recycling HC'!G2</f>
        <v>5301378.929236711</v>
      </c>
      <c r="H2" s="203">
        <f>'Ethylene Recycling HC'!H2</f>
        <v>5301378.929236711</v>
      </c>
      <c r="I2" s="203">
        <f>'Ethylene Recycling HC'!I2</f>
        <v>5301378.929236711</v>
      </c>
      <c r="J2" s="203">
        <f>'Ethylene Recycling HC'!J2</f>
        <v>5301378.929236711</v>
      </c>
      <c r="K2" s="203">
        <f>'Ethylene Recycling HC'!K2</f>
        <v>5301378.929236711</v>
      </c>
      <c r="L2" s="203">
        <f>'Ethylene Recycling HC'!L2</f>
        <v>5301378.929236711</v>
      </c>
      <c r="M2" s="203">
        <f>'Ethylene Recycling HC'!M2</f>
        <v>5301378.929236711</v>
      </c>
      <c r="N2" s="203">
        <f>'Ethylene Recycling HC'!N2</f>
        <v>5301378.929236711</v>
      </c>
      <c r="O2" s="203">
        <f>'Ethylene Recycling HC'!O2</f>
        <v>5301378.929236711</v>
      </c>
      <c r="P2" s="203">
        <f>'Ethylene Recycling HC'!P2</f>
        <v>5301378.929236711</v>
      </c>
      <c r="Q2" s="203">
        <f>'Ethylene Recycling HC'!Q2</f>
        <v>5301378.929236711</v>
      </c>
      <c r="R2" s="203">
        <f>'Ethylene Recycling HC'!R2</f>
        <v>5301378.929236711</v>
      </c>
      <c r="S2" s="203">
        <f>'Ethylene Recycling HC'!S2</f>
        <v>5301378.929236711</v>
      </c>
      <c r="T2" s="203">
        <f>'Ethylene Recycling HC'!T2</f>
        <v>5301378.929236711</v>
      </c>
      <c r="U2" s="203">
        <f>'Ethylene Recycling HC'!U2</f>
        <v>5301378.929236711</v>
      </c>
      <c r="V2" s="203">
        <f>'Ethylene Recycling HC'!V2</f>
        <v>5301378.929236711</v>
      </c>
      <c r="W2" s="203">
        <f>'Ethylene Recycling HC'!W2</f>
        <v>5301378.929236711</v>
      </c>
      <c r="X2" s="203">
        <f>'Ethylene Recycling HC'!X2</f>
        <v>5301378.929236711</v>
      </c>
      <c r="Y2" s="203">
        <f>'Ethylene Recycling HC'!Y2</f>
        <v>5301378.929236711</v>
      </c>
      <c r="Z2" s="203">
        <f>'Ethylene Recycling HC'!Z2</f>
        <v>5301378.929236711</v>
      </c>
      <c r="AA2" s="203">
        <f>'Ethylene Recycling HC'!AA2</f>
        <v>5301378.929236711</v>
      </c>
      <c r="AB2" s="203">
        <f>'Ethylene Recycling HC'!AB2</f>
        <v>5301378.929236711</v>
      </c>
      <c r="AC2" s="203">
        <f>'Ethylene Recycling HC'!AC2</f>
        <v>5301378.929236711</v>
      </c>
      <c r="AD2" s="203">
        <f>'Ethylene Recycling HC'!AD2</f>
        <v>5301378.929236711</v>
      </c>
      <c r="AE2" s="203">
        <f>'Ethylene Recycling HC'!AE2</f>
        <v>5301378.929236711</v>
      </c>
      <c r="AF2" s="203">
        <f>'Ethylene Recycling HC'!AF2</f>
        <v>5301378.929236711</v>
      </c>
      <c r="AG2" s="203">
        <f>'Ethylene Recycling HC'!AG2</f>
        <v>5301378.929236711</v>
      </c>
      <c r="AH2" s="80"/>
      <c r="AI2" s="349">
        <f>(AG2/C2)^(1/30)-1</f>
        <v>0</v>
      </c>
      <c r="AJ2" s="199"/>
      <c r="AR2" s="1"/>
      <c r="AU2" s="22"/>
    </row>
    <row r="3" spans="1:47" ht="15.5" outlineLevel="1" thickTop="1">
      <c r="C3" s="105"/>
      <c r="D3" s="105"/>
      <c r="E3" s="105"/>
      <c r="F3" s="105"/>
      <c r="G3" s="105"/>
      <c r="H3" s="105"/>
      <c r="I3" s="105"/>
      <c r="J3" s="105"/>
      <c r="K3" s="105"/>
      <c r="L3" s="105"/>
      <c r="N3" s="105"/>
      <c r="O3" s="105"/>
      <c r="P3" s="105"/>
      <c r="Q3" s="105"/>
      <c r="R3" s="105"/>
      <c r="S3" s="105"/>
      <c r="T3" s="105"/>
      <c r="U3" s="105"/>
      <c r="V3" s="105"/>
      <c r="X3" s="105"/>
      <c r="Y3" s="105"/>
      <c r="Z3" s="105"/>
      <c r="AA3" s="105"/>
      <c r="AB3" s="105"/>
      <c r="AC3" s="105"/>
      <c r="AD3" s="105"/>
      <c r="AE3" s="105"/>
      <c r="AF3" s="105"/>
      <c r="AI3" s="52"/>
      <c r="AJ3" s="200"/>
    </row>
    <row r="4" spans="1:47" outlineLevel="1">
      <c r="A4" t="s">
        <v>401</v>
      </c>
      <c r="B4" s="51" t="s">
        <v>126</v>
      </c>
      <c r="C4" s="104">
        <f>'Waste gen. - Industry shares'!C18+'Waste gen. - Industry shares'!C22</f>
        <v>0.52761781690498222</v>
      </c>
      <c r="D4" s="22">
        <f>C4</f>
        <v>0.52761781690498222</v>
      </c>
      <c r="E4" s="22">
        <f t="shared" ref="E4:T8" si="3">D4</f>
        <v>0.52761781690498222</v>
      </c>
      <c r="F4" s="22">
        <f t="shared" si="3"/>
        <v>0.52761781690498222</v>
      </c>
      <c r="G4" s="22">
        <f t="shared" si="3"/>
        <v>0.52761781690498222</v>
      </c>
      <c r="H4" s="22">
        <f t="shared" si="3"/>
        <v>0.52761781690498222</v>
      </c>
      <c r="I4" s="22">
        <f t="shared" si="3"/>
        <v>0.52761781690498222</v>
      </c>
      <c r="J4" s="22">
        <f t="shared" si="3"/>
        <v>0.52761781690498222</v>
      </c>
      <c r="K4" s="22">
        <f t="shared" si="3"/>
        <v>0.52761781690498222</v>
      </c>
      <c r="L4" s="22">
        <f t="shared" si="3"/>
        <v>0.52761781690498222</v>
      </c>
      <c r="M4" s="22">
        <f t="shared" si="3"/>
        <v>0.52761781690498222</v>
      </c>
      <c r="N4" s="22">
        <f t="shared" si="3"/>
        <v>0.52761781690498222</v>
      </c>
      <c r="O4" s="22">
        <f t="shared" si="3"/>
        <v>0.52761781690498222</v>
      </c>
      <c r="P4" s="22">
        <f t="shared" si="3"/>
        <v>0.52761781690498222</v>
      </c>
      <c r="Q4" s="22">
        <f t="shared" si="3"/>
        <v>0.52761781690498222</v>
      </c>
      <c r="R4" s="22">
        <f t="shared" si="3"/>
        <v>0.52761781690498222</v>
      </c>
      <c r="S4" s="22">
        <f t="shared" si="3"/>
        <v>0.52761781690498222</v>
      </c>
      <c r="T4" s="22">
        <f t="shared" si="3"/>
        <v>0.52761781690498222</v>
      </c>
      <c r="U4" s="22">
        <f t="shared" ref="T4:AG8" si="4">T4</f>
        <v>0.52761781690498222</v>
      </c>
      <c r="V4" s="22">
        <f t="shared" si="4"/>
        <v>0.52761781690498222</v>
      </c>
      <c r="W4" s="22">
        <f t="shared" si="4"/>
        <v>0.52761781690498222</v>
      </c>
      <c r="X4" s="22">
        <f t="shared" si="4"/>
        <v>0.52761781690498222</v>
      </c>
      <c r="Y4" s="22">
        <f t="shared" si="4"/>
        <v>0.52761781690498222</v>
      </c>
      <c r="Z4" s="22">
        <f t="shared" si="4"/>
        <v>0.52761781690498222</v>
      </c>
      <c r="AA4" s="22">
        <f t="shared" si="4"/>
        <v>0.52761781690498222</v>
      </c>
      <c r="AB4" s="22">
        <f t="shared" si="4"/>
        <v>0.52761781690498222</v>
      </c>
      <c r="AC4" s="22">
        <f t="shared" si="4"/>
        <v>0.52761781690498222</v>
      </c>
      <c r="AD4" s="22">
        <f t="shared" si="4"/>
        <v>0.52761781690498222</v>
      </c>
      <c r="AE4" s="22">
        <f t="shared" si="4"/>
        <v>0.52761781690498222</v>
      </c>
      <c r="AF4" s="22">
        <f t="shared" si="4"/>
        <v>0.52761781690498222</v>
      </c>
      <c r="AG4" s="22">
        <f t="shared" si="4"/>
        <v>0.52761781690498222</v>
      </c>
      <c r="AI4" s="51" t="s">
        <v>268</v>
      </c>
      <c r="AJ4" s="198"/>
    </row>
    <row r="5" spans="1:47" outlineLevel="1">
      <c r="A5" t="s">
        <v>286</v>
      </c>
      <c r="B5" s="51" t="s">
        <v>126</v>
      </c>
      <c r="C5" s="104">
        <f>'Waste gen. - Industry shares'!C20</f>
        <v>4.980376521164729E-2</v>
      </c>
      <c r="D5" s="22">
        <f>C5</f>
        <v>4.980376521164729E-2</v>
      </c>
      <c r="E5" s="22">
        <f t="shared" si="3"/>
        <v>4.980376521164729E-2</v>
      </c>
      <c r="F5" s="22">
        <f t="shared" si="3"/>
        <v>4.980376521164729E-2</v>
      </c>
      <c r="G5" s="22">
        <f t="shared" si="3"/>
        <v>4.980376521164729E-2</v>
      </c>
      <c r="H5" s="22">
        <f t="shared" si="3"/>
        <v>4.980376521164729E-2</v>
      </c>
      <c r="I5" s="22">
        <f t="shared" si="3"/>
        <v>4.980376521164729E-2</v>
      </c>
      <c r="J5" s="22">
        <f t="shared" si="3"/>
        <v>4.980376521164729E-2</v>
      </c>
      <c r="K5" s="22">
        <f t="shared" si="3"/>
        <v>4.980376521164729E-2</v>
      </c>
      <c r="L5" s="22">
        <f t="shared" si="3"/>
        <v>4.980376521164729E-2</v>
      </c>
      <c r="M5" s="22">
        <f t="shared" si="3"/>
        <v>4.980376521164729E-2</v>
      </c>
      <c r="N5" s="22">
        <f t="shared" si="3"/>
        <v>4.980376521164729E-2</v>
      </c>
      <c r="O5" s="22">
        <f t="shared" si="3"/>
        <v>4.980376521164729E-2</v>
      </c>
      <c r="P5" s="22">
        <f t="shared" si="3"/>
        <v>4.980376521164729E-2</v>
      </c>
      <c r="Q5" s="22">
        <f t="shared" si="3"/>
        <v>4.980376521164729E-2</v>
      </c>
      <c r="R5" s="22">
        <f t="shared" si="3"/>
        <v>4.980376521164729E-2</v>
      </c>
      <c r="S5" s="22">
        <f t="shared" si="3"/>
        <v>4.980376521164729E-2</v>
      </c>
      <c r="T5" s="22">
        <f t="shared" si="4"/>
        <v>4.980376521164729E-2</v>
      </c>
      <c r="U5" s="22">
        <f t="shared" si="4"/>
        <v>4.980376521164729E-2</v>
      </c>
      <c r="V5" s="22">
        <f t="shared" si="4"/>
        <v>4.980376521164729E-2</v>
      </c>
      <c r="W5" s="22">
        <f t="shared" si="4"/>
        <v>4.980376521164729E-2</v>
      </c>
      <c r="X5" s="22">
        <f t="shared" si="4"/>
        <v>4.980376521164729E-2</v>
      </c>
      <c r="Y5" s="22">
        <f t="shared" si="4"/>
        <v>4.980376521164729E-2</v>
      </c>
      <c r="Z5" s="22">
        <f t="shared" si="4"/>
        <v>4.980376521164729E-2</v>
      </c>
      <c r="AA5" s="22">
        <f t="shared" si="4"/>
        <v>4.980376521164729E-2</v>
      </c>
      <c r="AB5" s="22">
        <f t="shared" si="4"/>
        <v>4.980376521164729E-2</v>
      </c>
      <c r="AC5" s="22">
        <f t="shared" si="4"/>
        <v>4.980376521164729E-2</v>
      </c>
      <c r="AD5" s="22">
        <f t="shared" si="4"/>
        <v>4.980376521164729E-2</v>
      </c>
      <c r="AE5" s="22">
        <f t="shared" si="4"/>
        <v>4.980376521164729E-2</v>
      </c>
      <c r="AF5" s="22">
        <f t="shared" si="4"/>
        <v>4.980376521164729E-2</v>
      </c>
      <c r="AG5" s="22">
        <f>AF5</f>
        <v>4.980376521164729E-2</v>
      </c>
      <c r="AI5" s="51" t="s">
        <v>268</v>
      </c>
      <c r="AJ5" s="198"/>
    </row>
    <row r="6" spans="1:47" outlineLevel="1">
      <c r="A6" t="s">
        <v>287</v>
      </c>
      <c r="B6" s="51" t="s">
        <v>126</v>
      </c>
      <c r="C6" s="104">
        <f>'Waste gen. - Industry shares'!C19</f>
        <v>3.9181884245312638E-2</v>
      </c>
      <c r="D6" s="22">
        <f t="shared" ref="D6:D7" si="5">C6</f>
        <v>3.9181884245312638E-2</v>
      </c>
      <c r="E6" s="22">
        <f t="shared" si="3"/>
        <v>3.9181884245312638E-2</v>
      </c>
      <c r="F6" s="22">
        <f t="shared" si="3"/>
        <v>3.9181884245312638E-2</v>
      </c>
      <c r="G6" s="22">
        <f t="shared" si="3"/>
        <v>3.9181884245312638E-2</v>
      </c>
      <c r="H6" s="22">
        <f t="shared" si="3"/>
        <v>3.9181884245312638E-2</v>
      </c>
      <c r="I6" s="22">
        <f t="shared" si="3"/>
        <v>3.9181884245312638E-2</v>
      </c>
      <c r="J6" s="22">
        <f t="shared" si="3"/>
        <v>3.9181884245312638E-2</v>
      </c>
      <c r="K6" s="22">
        <f t="shared" si="3"/>
        <v>3.9181884245312638E-2</v>
      </c>
      <c r="L6" s="22">
        <f t="shared" si="3"/>
        <v>3.9181884245312638E-2</v>
      </c>
      <c r="M6" s="22">
        <f t="shared" si="3"/>
        <v>3.9181884245312638E-2</v>
      </c>
      <c r="N6" s="22">
        <f t="shared" si="3"/>
        <v>3.9181884245312638E-2</v>
      </c>
      <c r="O6" s="22">
        <f t="shared" si="3"/>
        <v>3.9181884245312638E-2</v>
      </c>
      <c r="P6" s="22">
        <f t="shared" si="3"/>
        <v>3.9181884245312638E-2</v>
      </c>
      <c r="Q6" s="22">
        <f t="shared" si="3"/>
        <v>3.9181884245312638E-2</v>
      </c>
      <c r="R6" s="22">
        <f t="shared" si="3"/>
        <v>3.9181884245312638E-2</v>
      </c>
      <c r="S6" s="22">
        <f t="shared" si="3"/>
        <v>3.9181884245312638E-2</v>
      </c>
      <c r="T6" s="22">
        <f t="shared" si="3"/>
        <v>3.9181884245312638E-2</v>
      </c>
      <c r="U6" s="22">
        <f t="shared" si="4"/>
        <v>3.9181884245312638E-2</v>
      </c>
      <c r="V6" s="22">
        <f t="shared" si="4"/>
        <v>3.9181884245312638E-2</v>
      </c>
      <c r="W6" s="22">
        <f t="shared" si="4"/>
        <v>3.9181884245312638E-2</v>
      </c>
      <c r="X6" s="22">
        <f t="shared" si="4"/>
        <v>3.9181884245312638E-2</v>
      </c>
      <c r="Y6" s="22">
        <f t="shared" si="4"/>
        <v>3.9181884245312638E-2</v>
      </c>
      <c r="Z6" s="22">
        <f t="shared" si="4"/>
        <v>3.9181884245312638E-2</v>
      </c>
      <c r="AA6" s="22">
        <f t="shared" si="4"/>
        <v>3.9181884245312638E-2</v>
      </c>
      <c r="AB6" s="22">
        <f t="shared" si="4"/>
        <v>3.9181884245312638E-2</v>
      </c>
      <c r="AC6" s="22">
        <f t="shared" si="4"/>
        <v>3.9181884245312638E-2</v>
      </c>
      <c r="AD6" s="22">
        <f t="shared" si="4"/>
        <v>3.9181884245312638E-2</v>
      </c>
      <c r="AE6" s="22">
        <f t="shared" si="4"/>
        <v>3.9181884245312638E-2</v>
      </c>
      <c r="AF6" s="22">
        <f t="shared" si="4"/>
        <v>3.9181884245312638E-2</v>
      </c>
      <c r="AG6" s="22">
        <f t="shared" si="4"/>
        <v>3.9181884245312638E-2</v>
      </c>
      <c r="AI6" s="51" t="s">
        <v>268</v>
      </c>
      <c r="AJ6" s="198"/>
      <c r="AR6" s="22"/>
    </row>
    <row r="7" spans="1:47" outlineLevel="1">
      <c r="A7" t="s">
        <v>410</v>
      </c>
      <c r="B7" s="51" t="s">
        <v>126</v>
      </c>
      <c r="C7" s="104">
        <f>'Waste gen. - Industry shares'!C23</f>
        <v>0.1</v>
      </c>
      <c r="D7" s="22">
        <f t="shared" si="5"/>
        <v>0.1</v>
      </c>
      <c r="E7" s="22">
        <f t="shared" si="3"/>
        <v>0.1</v>
      </c>
      <c r="F7" s="22">
        <f t="shared" si="3"/>
        <v>0.1</v>
      </c>
      <c r="G7" s="22">
        <f t="shared" si="3"/>
        <v>0.1</v>
      </c>
      <c r="H7" s="22">
        <f t="shared" si="3"/>
        <v>0.1</v>
      </c>
      <c r="I7" s="22">
        <f t="shared" si="3"/>
        <v>0.1</v>
      </c>
      <c r="J7" s="22">
        <f t="shared" si="3"/>
        <v>0.1</v>
      </c>
      <c r="K7" s="22">
        <f t="shared" si="3"/>
        <v>0.1</v>
      </c>
      <c r="L7" s="22">
        <f t="shared" si="3"/>
        <v>0.1</v>
      </c>
      <c r="M7" s="22">
        <f>L7</f>
        <v>0.1</v>
      </c>
      <c r="N7" s="22">
        <f t="shared" si="3"/>
        <v>0.1</v>
      </c>
      <c r="O7" s="22">
        <f t="shared" si="3"/>
        <v>0.1</v>
      </c>
      <c r="P7" s="22">
        <f t="shared" si="3"/>
        <v>0.1</v>
      </c>
      <c r="Q7" s="22">
        <f t="shared" si="3"/>
        <v>0.1</v>
      </c>
      <c r="R7" s="22">
        <f t="shared" si="3"/>
        <v>0.1</v>
      </c>
      <c r="S7" s="22">
        <f t="shared" si="3"/>
        <v>0.1</v>
      </c>
      <c r="T7" s="22">
        <f t="shared" si="3"/>
        <v>0.1</v>
      </c>
      <c r="U7" s="22">
        <f t="shared" si="4"/>
        <v>0.1</v>
      </c>
      <c r="V7" s="22">
        <f t="shared" si="4"/>
        <v>0.1</v>
      </c>
      <c r="W7" s="22">
        <f t="shared" si="4"/>
        <v>0.1</v>
      </c>
      <c r="X7" s="22">
        <f t="shared" si="4"/>
        <v>0.1</v>
      </c>
      <c r="Y7" s="22">
        <f t="shared" si="4"/>
        <v>0.1</v>
      </c>
      <c r="Z7" s="22">
        <f t="shared" si="4"/>
        <v>0.1</v>
      </c>
      <c r="AA7" s="22">
        <f t="shared" si="4"/>
        <v>0.1</v>
      </c>
      <c r="AB7" s="22">
        <f t="shared" si="4"/>
        <v>0.1</v>
      </c>
      <c r="AC7" s="22">
        <f t="shared" si="4"/>
        <v>0.1</v>
      </c>
      <c r="AD7" s="22">
        <f t="shared" si="4"/>
        <v>0.1</v>
      </c>
      <c r="AE7" s="22">
        <f t="shared" si="4"/>
        <v>0.1</v>
      </c>
      <c r="AF7" s="22">
        <f t="shared" si="4"/>
        <v>0.1</v>
      </c>
      <c r="AG7" s="22">
        <f t="shared" si="4"/>
        <v>0.1</v>
      </c>
      <c r="AI7" s="51" t="s">
        <v>268</v>
      </c>
      <c r="AJ7" s="198"/>
    </row>
    <row r="8" spans="1:47" outlineLevel="1">
      <c r="A8" t="s">
        <v>402</v>
      </c>
      <c r="B8" s="51" t="s">
        <v>126</v>
      </c>
      <c r="C8" s="104">
        <f>'Waste gen. - Industry shares'!C24+'Waste gen. - Industry shares'!C21</f>
        <v>0.28429743453895867</v>
      </c>
      <c r="D8" s="119">
        <f>C8</f>
        <v>0.28429743453895867</v>
      </c>
      <c r="E8" s="119">
        <f t="shared" si="3"/>
        <v>0.28429743453895867</v>
      </c>
      <c r="F8" s="119">
        <f t="shared" si="3"/>
        <v>0.28429743453895867</v>
      </c>
      <c r="G8" s="119">
        <f t="shared" si="3"/>
        <v>0.28429743453895867</v>
      </c>
      <c r="H8" s="119">
        <f t="shared" si="3"/>
        <v>0.28429743453895867</v>
      </c>
      <c r="I8" s="119">
        <f t="shared" si="3"/>
        <v>0.28429743453895867</v>
      </c>
      <c r="J8" s="119">
        <f t="shared" si="3"/>
        <v>0.28429743453895867</v>
      </c>
      <c r="K8" s="119">
        <f t="shared" si="3"/>
        <v>0.28429743453895867</v>
      </c>
      <c r="L8" s="119">
        <f t="shared" si="3"/>
        <v>0.28429743453895867</v>
      </c>
      <c r="M8" s="121">
        <f t="shared" si="3"/>
        <v>0.28429743453895867</v>
      </c>
      <c r="N8" s="121">
        <f t="shared" si="3"/>
        <v>0.28429743453895867</v>
      </c>
      <c r="O8" s="121">
        <f t="shared" si="3"/>
        <v>0.28429743453895867</v>
      </c>
      <c r="P8" s="121">
        <f t="shared" si="3"/>
        <v>0.28429743453895867</v>
      </c>
      <c r="Q8" s="121">
        <f t="shared" si="3"/>
        <v>0.28429743453895867</v>
      </c>
      <c r="R8" s="121">
        <f t="shared" si="3"/>
        <v>0.28429743453895867</v>
      </c>
      <c r="S8" s="121">
        <f t="shared" si="3"/>
        <v>0.28429743453895867</v>
      </c>
      <c r="T8" s="121">
        <f t="shared" si="3"/>
        <v>0.28429743453895867</v>
      </c>
      <c r="U8" s="121">
        <f t="shared" si="4"/>
        <v>0.28429743453895867</v>
      </c>
      <c r="V8" s="121">
        <f t="shared" si="4"/>
        <v>0.28429743453895867</v>
      </c>
      <c r="W8" s="121">
        <f t="shared" si="4"/>
        <v>0.28429743453895867</v>
      </c>
      <c r="X8" s="121">
        <f t="shared" si="4"/>
        <v>0.28429743453895867</v>
      </c>
      <c r="Y8" s="121">
        <f t="shared" si="4"/>
        <v>0.28429743453895867</v>
      </c>
      <c r="Z8" s="121">
        <f t="shared" si="4"/>
        <v>0.28429743453895867</v>
      </c>
      <c r="AA8" s="121">
        <f t="shared" si="4"/>
        <v>0.28429743453895867</v>
      </c>
      <c r="AB8" s="121">
        <f t="shared" si="4"/>
        <v>0.28429743453895867</v>
      </c>
      <c r="AC8" s="121">
        <f t="shared" si="4"/>
        <v>0.28429743453895867</v>
      </c>
      <c r="AD8" s="121">
        <f t="shared" si="4"/>
        <v>0.28429743453895867</v>
      </c>
      <c r="AE8" s="121">
        <f t="shared" si="4"/>
        <v>0.28429743453895867</v>
      </c>
      <c r="AF8" s="121">
        <f t="shared" si="4"/>
        <v>0.28429743453895867</v>
      </c>
      <c r="AG8" s="121">
        <f t="shared" si="4"/>
        <v>0.28429743453895867</v>
      </c>
      <c r="AI8" s="51" t="s">
        <v>268</v>
      </c>
      <c r="AJ8" s="198"/>
    </row>
    <row r="9" spans="1:47" ht="15.5" outlineLevel="1" thickBot="1">
      <c r="A9" s="182" t="s">
        <v>433</v>
      </c>
      <c r="B9" s="183"/>
      <c r="C9" s="184">
        <f t="shared" ref="C9:AG9" si="6">SUM(C4:C8)</f>
        <v>1.0009009009009009</v>
      </c>
      <c r="D9" s="184">
        <f t="shared" si="6"/>
        <v>1.0009009009009009</v>
      </c>
      <c r="E9" s="184">
        <f t="shared" si="6"/>
        <v>1.0009009009009009</v>
      </c>
      <c r="F9" s="184">
        <f t="shared" si="6"/>
        <v>1.0009009009009009</v>
      </c>
      <c r="G9" s="184">
        <f t="shared" si="6"/>
        <v>1.0009009009009009</v>
      </c>
      <c r="H9" s="184">
        <f t="shared" si="6"/>
        <v>1.0009009009009009</v>
      </c>
      <c r="I9" s="184">
        <f t="shared" si="6"/>
        <v>1.0009009009009009</v>
      </c>
      <c r="J9" s="184">
        <f t="shared" si="6"/>
        <v>1.0009009009009009</v>
      </c>
      <c r="K9" s="184">
        <f t="shared" si="6"/>
        <v>1.0009009009009009</v>
      </c>
      <c r="L9" s="184">
        <f t="shared" si="6"/>
        <v>1.0009009009009009</v>
      </c>
      <c r="M9" s="184">
        <f t="shared" si="6"/>
        <v>1.0009009009009009</v>
      </c>
      <c r="N9" s="184">
        <f t="shared" si="6"/>
        <v>1.0009009009009009</v>
      </c>
      <c r="O9" s="184">
        <f t="shared" si="6"/>
        <v>1.0009009009009009</v>
      </c>
      <c r="P9" s="184">
        <f t="shared" si="6"/>
        <v>1.0009009009009009</v>
      </c>
      <c r="Q9" s="184">
        <f t="shared" si="6"/>
        <v>1.0009009009009009</v>
      </c>
      <c r="R9" s="184">
        <f t="shared" si="6"/>
        <v>1.0009009009009009</v>
      </c>
      <c r="S9" s="184">
        <f t="shared" si="6"/>
        <v>1.0009009009009009</v>
      </c>
      <c r="T9" s="184">
        <f t="shared" si="6"/>
        <v>1.0009009009009009</v>
      </c>
      <c r="U9" s="184">
        <f t="shared" si="6"/>
        <v>1.0009009009009009</v>
      </c>
      <c r="V9" s="184">
        <f t="shared" si="6"/>
        <v>1.0009009009009009</v>
      </c>
      <c r="W9" s="184">
        <f t="shared" si="6"/>
        <v>1.0009009009009009</v>
      </c>
      <c r="X9" s="184">
        <f t="shared" si="6"/>
        <v>1.0009009009009009</v>
      </c>
      <c r="Y9" s="184">
        <f t="shared" si="6"/>
        <v>1.0009009009009009</v>
      </c>
      <c r="Z9" s="184">
        <f t="shared" si="6"/>
        <v>1.0009009009009009</v>
      </c>
      <c r="AA9" s="184">
        <f t="shared" si="6"/>
        <v>1.0009009009009009</v>
      </c>
      <c r="AB9" s="184">
        <f t="shared" si="6"/>
        <v>1.0009009009009009</v>
      </c>
      <c r="AC9" s="184">
        <f t="shared" si="6"/>
        <v>1.0009009009009009</v>
      </c>
      <c r="AD9" s="184">
        <f t="shared" si="6"/>
        <v>1.0009009009009009</v>
      </c>
      <c r="AE9" s="184">
        <f t="shared" si="6"/>
        <v>1.0009009009009009</v>
      </c>
      <c r="AF9" s="184">
        <f t="shared" si="6"/>
        <v>1.0009009009009009</v>
      </c>
      <c r="AG9" s="184">
        <f t="shared" si="6"/>
        <v>1.0009009009009009</v>
      </c>
      <c r="AM9" s="24"/>
      <c r="AN9" s="2"/>
      <c r="AO9" s="24"/>
      <c r="AR9" s="2"/>
    </row>
    <row r="10" spans="1:47" ht="15.5" outlineLevel="1" thickTop="1">
      <c r="AM10" s="24"/>
      <c r="AN10" s="2"/>
      <c r="AO10" s="24"/>
      <c r="AR10" s="2"/>
    </row>
    <row r="11" spans="1:47" outlineLevel="1">
      <c r="A11" t="s">
        <v>413</v>
      </c>
      <c r="B11" s="51" t="s">
        <v>296</v>
      </c>
      <c r="C11" s="101">
        <f t="shared" ref="C11:AG15" si="7">C$2*C4</f>
        <v>2797101.9772299458</v>
      </c>
      <c r="D11" s="101">
        <f t="shared" si="7"/>
        <v>2797101.9772299458</v>
      </c>
      <c r="E11" s="101">
        <f t="shared" si="7"/>
        <v>2797101.9772299458</v>
      </c>
      <c r="F11" s="101">
        <f t="shared" si="7"/>
        <v>2797101.9772299458</v>
      </c>
      <c r="G11" s="101">
        <f t="shared" si="7"/>
        <v>2797101.9772299458</v>
      </c>
      <c r="H11" s="101">
        <f t="shared" si="7"/>
        <v>2797101.9772299458</v>
      </c>
      <c r="I11" s="101">
        <f t="shared" si="7"/>
        <v>2797101.9772299458</v>
      </c>
      <c r="J11" s="101">
        <f t="shared" si="7"/>
        <v>2797101.9772299458</v>
      </c>
      <c r="K11" s="101">
        <f t="shared" si="7"/>
        <v>2797101.9772299458</v>
      </c>
      <c r="L11" s="101">
        <f t="shared" si="7"/>
        <v>2797101.9772299458</v>
      </c>
      <c r="M11" s="101">
        <f t="shared" si="7"/>
        <v>2797101.9772299458</v>
      </c>
      <c r="N11" s="101">
        <f t="shared" si="7"/>
        <v>2797101.9772299458</v>
      </c>
      <c r="O11" s="101">
        <f t="shared" si="7"/>
        <v>2797101.9772299458</v>
      </c>
      <c r="P11" s="101">
        <f t="shared" si="7"/>
        <v>2797101.9772299458</v>
      </c>
      <c r="Q11" s="101">
        <f t="shared" si="7"/>
        <v>2797101.9772299458</v>
      </c>
      <c r="R11" s="101">
        <f t="shared" si="7"/>
        <v>2797101.9772299458</v>
      </c>
      <c r="S11" s="101">
        <f t="shared" si="7"/>
        <v>2797101.9772299458</v>
      </c>
      <c r="T11" s="101">
        <f t="shared" si="7"/>
        <v>2797101.9772299458</v>
      </c>
      <c r="U11" s="101">
        <f t="shared" si="7"/>
        <v>2797101.9772299458</v>
      </c>
      <c r="V11" s="101">
        <f t="shared" si="7"/>
        <v>2797101.9772299458</v>
      </c>
      <c r="W11" s="101">
        <f t="shared" si="7"/>
        <v>2797101.9772299458</v>
      </c>
      <c r="X11" s="101">
        <f t="shared" si="7"/>
        <v>2797101.9772299458</v>
      </c>
      <c r="Y11" s="101">
        <f t="shared" si="7"/>
        <v>2797101.9772299458</v>
      </c>
      <c r="Z11" s="101">
        <f t="shared" si="7"/>
        <v>2797101.9772299458</v>
      </c>
      <c r="AA11" s="101">
        <f t="shared" si="7"/>
        <v>2797101.9772299458</v>
      </c>
      <c r="AB11" s="101">
        <f t="shared" si="7"/>
        <v>2797101.9772299458</v>
      </c>
      <c r="AC11" s="101">
        <f t="shared" si="7"/>
        <v>2797101.9772299458</v>
      </c>
      <c r="AD11" s="101">
        <f t="shared" si="7"/>
        <v>2797101.9772299458</v>
      </c>
      <c r="AE11" s="101">
        <f t="shared" si="7"/>
        <v>2797101.9772299458</v>
      </c>
      <c r="AF11" s="101">
        <f t="shared" si="7"/>
        <v>2797101.9772299458</v>
      </c>
      <c r="AG11" s="101">
        <f t="shared" si="7"/>
        <v>2797101.9772299458</v>
      </c>
      <c r="AM11" s="24"/>
      <c r="AN11" s="2"/>
      <c r="AO11" s="24"/>
      <c r="AR11" s="2"/>
    </row>
    <row r="12" spans="1:47" outlineLevel="1">
      <c r="A12" t="s">
        <v>269</v>
      </c>
      <c r="B12" s="51" t="s">
        <v>296</v>
      </c>
      <c r="C12" s="101">
        <f t="shared" si="7"/>
        <v>264028.63148967928</v>
      </c>
      <c r="D12" s="101">
        <f t="shared" si="7"/>
        <v>264028.63148967928</v>
      </c>
      <c r="E12" s="101">
        <f t="shared" si="7"/>
        <v>264028.63148967928</v>
      </c>
      <c r="F12" s="101">
        <f t="shared" si="7"/>
        <v>264028.63148967928</v>
      </c>
      <c r="G12" s="101">
        <f t="shared" si="7"/>
        <v>264028.63148967928</v>
      </c>
      <c r="H12" s="101">
        <f t="shared" si="7"/>
        <v>264028.63148967928</v>
      </c>
      <c r="I12" s="101">
        <f t="shared" si="7"/>
        <v>264028.63148967928</v>
      </c>
      <c r="J12" s="101">
        <f t="shared" si="7"/>
        <v>264028.63148967928</v>
      </c>
      <c r="K12" s="101">
        <f t="shared" si="7"/>
        <v>264028.63148967928</v>
      </c>
      <c r="L12" s="101">
        <f t="shared" si="7"/>
        <v>264028.63148967928</v>
      </c>
      <c r="M12" s="101">
        <f t="shared" si="7"/>
        <v>264028.63148967928</v>
      </c>
      <c r="N12" s="101">
        <f t="shared" si="7"/>
        <v>264028.63148967928</v>
      </c>
      <c r="O12" s="101">
        <f t="shared" si="7"/>
        <v>264028.63148967928</v>
      </c>
      <c r="P12" s="101">
        <f t="shared" si="7"/>
        <v>264028.63148967928</v>
      </c>
      <c r="Q12" s="101">
        <f t="shared" si="7"/>
        <v>264028.63148967928</v>
      </c>
      <c r="R12" s="101">
        <f t="shared" si="7"/>
        <v>264028.63148967928</v>
      </c>
      <c r="S12" s="101">
        <f t="shared" si="7"/>
        <v>264028.63148967928</v>
      </c>
      <c r="T12" s="101">
        <f t="shared" si="7"/>
        <v>264028.63148967928</v>
      </c>
      <c r="U12" s="101">
        <f t="shared" si="7"/>
        <v>264028.63148967928</v>
      </c>
      <c r="V12" s="101">
        <f t="shared" si="7"/>
        <v>264028.63148967928</v>
      </c>
      <c r="W12" s="101">
        <f t="shared" si="7"/>
        <v>264028.63148967928</v>
      </c>
      <c r="X12" s="101">
        <f t="shared" si="7"/>
        <v>264028.63148967928</v>
      </c>
      <c r="Y12" s="101">
        <f t="shared" si="7"/>
        <v>264028.63148967928</v>
      </c>
      <c r="Z12" s="101">
        <f t="shared" si="7"/>
        <v>264028.63148967928</v>
      </c>
      <c r="AA12" s="101">
        <f t="shared" si="7"/>
        <v>264028.63148967928</v>
      </c>
      <c r="AB12" s="101">
        <f t="shared" si="7"/>
        <v>264028.63148967928</v>
      </c>
      <c r="AC12" s="101">
        <f t="shared" si="7"/>
        <v>264028.63148967928</v>
      </c>
      <c r="AD12" s="101">
        <f t="shared" si="7"/>
        <v>264028.63148967928</v>
      </c>
      <c r="AE12" s="101">
        <f t="shared" si="7"/>
        <v>264028.63148967928</v>
      </c>
      <c r="AF12" s="101">
        <f t="shared" si="7"/>
        <v>264028.63148967928</v>
      </c>
      <c r="AG12" s="101">
        <f t="shared" si="7"/>
        <v>264028.63148967928</v>
      </c>
      <c r="AM12" s="24"/>
      <c r="AN12" s="2"/>
      <c r="AO12" s="24"/>
      <c r="AR12" s="2"/>
    </row>
    <row r="13" spans="1:47" outlineLevel="1">
      <c r="A13" t="s">
        <v>270</v>
      </c>
      <c r="B13" s="51" t="s">
        <v>296</v>
      </c>
      <c r="C13" s="101">
        <f t="shared" si="7"/>
        <v>207718.01554589227</v>
      </c>
      <c r="D13" s="101">
        <f t="shared" si="7"/>
        <v>207718.01554589227</v>
      </c>
      <c r="E13" s="101">
        <f t="shared" si="7"/>
        <v>207718.01554589227</v>
      </c>
      <c r="F13" s="101">
        <f t="shared" si="7"/>
        <v>207718.01554589227</v>
      </c>
      <c r="G13" s="101">
        <f t="shared" si="7"/>
        <v>207718.01554589227</v>
      </c>
      <c r="H13" s="101">
        <f t="shared" si="7"/>
        <v>207718.01554589227</v>
      </c>
      <c r="I13" s="101">
        <f t="shared" si="7"/>
        <v>207718.01554589227</v>
      </c>
      <c r="J13" s="101">
        <f t="shared" si="7"/>
        <v>207718.01554589227</v>
      </c>
      <c r="K13" s="101">
        <f t="shared" si="7"/>
        <v>207718.01554589227</v>
      </c>
      <c r="L13" s="101">
        <f t="shared" si="7"/>
        <v>207718.01554589227</v>
      </c>
      <c r="M13" s="101">
        <f t="shared" si="7"/>
        <v>207718.01554589227</v>
      </c>
      <c r="N13" s="101">
        <f t="shared" si="7"/>
        <v>207718.01554589227</v>
      </c>
      <c r="O13" s="101">
        <f t="shared" si="7"/>
        <v>207718.01554589227</v>
      </c>
      <c r="P13" s="101">
        <f t="shared" si="7"/>
        <v>207718.01554589227</v>
      </c>
      <c r="Q13" s="101">
        <f t="shared" si="7"/>
        <v>207718.01554589227</v>
      </c>
      <c r="R13" s="101">
        <f t="shared" si="7"/>
        <v>207718.01554589227</v>
      </c>
      <c r="S13" s="101">
        <f t="shared" si="7"/>
        <v>207718.01554589227</v>
      </c>
      <c r="T13" s="101">
        <f t="shared" si="7"/>
        <v>207718.01554589227</v>
      </c>
      <c r="U13" s="101">
        <f t="shared" si="7"/>
        <v>207718.01554589227</v>
      </c>
      <c r="V13" s="101">
        <f t="shared" si="7"/>
        <v>207718.01554589227</v>
      </c>
      <c r="W13" s="101">
        <f t="shared" si="7"/>
        <v>207718.01554589227</v>
      </c>
      <c r="X13" s="101">
        <f t="shared" si="7"/>
        <v>207718.01554589227</v>
      </c>
      <c r="Y13" s="101">
        <f t="shared" si="7"/>
        <v>207718.01554589227</v>
      </c>
      <c r="Z13" s="101">
        <f t="shared" si="7"/>
        <v>207718.01554589227</v>
      </c>
      <c r="AA13" s="101">
        <f t="shared" si="7"/>
        <v>207718.01554589227</v>
      </c>
      <c r="AB13" s="101">
        <f t="shared" si="7"/>
        <v>207718.01554589227</v>
      </c>
      <c r="AC13" s="101">
        <f t="shared" si="7"/>
        <v>207718.01554589227</v>
      </c>
      <c r="AD13" s="101">
        <f t="shared" si="7"/>
        <v>207718.01554589227</v>
      </c>
      <c r="AE13" s="101">
        <f t="shared" si="7"/>
        <v>207718.01554589227</v>
      </c>
      <c r="AF13" s="101">
        <f t="shared" si="7"/>
        <v>207718.01554589227</v>
      </c>
      <c r="AG13" s="101">
        <f t="shared" si="7"/>
        <v>207718.01554589227</v>
      </c>
      <c r="AM13" s="24"/>
      <c r="AN13" s="2"/>
      <c r="AO13" s="24"/>
      <c r="AR13" s="2"/>
    </row>
    <row r="14" spans="1:47" outlineLevel="1">
      <c r="A14" t="s">
        <v>411</v>
      </c>
      <c r="B14" s="51" t="s">
        <v>296</v>
      </c>
      <c r="C14" s="101">
        <f t="shared" si="7"/>
        <v>530137.89292367117</v>
      </c>
      <c r="D14" s="101">
        <f t="shared" si="7"/>
        <v>530137.89292367117</v>
      </c>
      <c r="E14" s="101">
        <f t="shared" si="7"/>
        <v>530137.89292367117</v>
      </c>
      <c r="F14" s="101">
        <f t="shared" si="7"/>
        <v>530137.89292367117</v>
      </c>
      <c r="G14" s="101">
        <f t="shared" si="7"/>
        <v>530137.89292367117</v>
      </c>
      <c r="H14" s="101">
        <f t="shared" si="7"/>
        <v>530137.89292367117</v>
      </c>
      <c r="I14" s="101">
        <f t="shared" si="7"/>
        <v>530137.89292367117</v>
      </c>
      <c r="J14" s="101">
        <f t="shared" si="7"/>
        <v>530137.89292367117</v>
      </c>
      <c r="K14" s="101">
        <f t="shared" si="7"/>
        <v>530137.89292367117</v>
      </c>
      <c r="L14" s="101">
        <f t="shared" si="7"/>
        <v>530137.89292367117</v>
      </c>
      <c r="M14" s="101">
        <f t="shared" si="7"/>
        <v>530137.89292367117</v>
      </c>
      <c r="N14" s="101">
        <f t="shared" si="7"/>
        <v>530137.89292367117</v>
      </c>
      <c r="O14" s="101">
        <f t="shared" si="7"/>
        <v>530137.89292367117</v>
      </c>
      <c r="P14" s="101">
        <f t="shared" si="7"/>
        <v>530137.89292367117</v>
      </c>
      <c r="Q14" s="101">
        <f t="shared" si="7"/>
        <v>530137.89292367117</v>
      </c>
      <c r="R14" s="101">
        <f t="shared" si="7"/>
        <v>530137.89292367117</v>
      </c>
      <c r="S14" s="101">
        <f t="shared" si="7"/>
        <v>530137.89292367117</v>
      </c>
      <c r="T14" s="101">
        <f t="shared" si="7"/>
        <v>530137.89292367117</v>
      </c>
      <c r="U14" s="101">
        <f t="shared" si="7"/>
        <v>530137.89292367117</v>
      </c>
      <c r="V14" s="101">
        <f t="shared" si="7"/>
        <v>530137.89292367117</v>
      </c>
      <c r="W14" s="101">
        <f t="shared" si="7"/>
        <v>530137.89292367117</v>
      </c>
      <c r="X14" s="101">
        <f t="shared" si="7"/>
        <v>530137.89292367117</v>
      </c>
      <c r="Y14" s="101">
        <f t="shared" si="7"/>
        <v>530137.89292367117</v>
      </c>
      <c r="Z14" s="101">
        <f t="shared" si="7"/>
        <v>530137.89292367117</v>
      </c>
      <c r="AA14" s="101">
        <f t="shared" si="7"/>
        <v>530137.89292367117</v>
      </c>
      <c r="AB14" s="101">
        <f t="shared" si="7"/>
        <v>530137.89292367117</v>
      </c>
      <c r="AC14" s="101">
        <f t="shared" si="7"/>
        <v>530137.89292367117</v>
      </c>
      <c r="AD14" s="101">
        <f t="shared" si="7"/>
        <v>530137.89292367117</v>
      </c>
      <c r="AE14" s="101">
        <f t="shared" si="7"/>
        <v>530137.89292367117</v>
      </c>
      <c r="AF14" s="101">
        <f t="shared" si="7"/>
        <v>530137.89292367117</v>
      </c>
      <c r="AG14" s="101">
        <f t="shared" si="7"/>
        <v>530137.89292367117</v>
      </c>
      <c r="AM14" s="24"/>
      <c r="AN14" s="2"/>
      <c r="AO14" s="24"/>
      <c r="AR14" s="2"/>
    </row>
    <row r="15" spans="1:47" outlineLevel="1">
      <c r="A15" t="s">
        <v>271</v>
      </c>
      <c r="B15" s="51" t="s">
        <v>296</v>
      </c>
      <c r="C15" s="122">
        <f t="shared" si="7"/>
        <v>1507168.4291008885</v>
      </c>
      <c r="D15" s="122">
        <f t="shared" si="7"/>
        <v>1507168.4291008885</v>
      </c>
      <c r="E15" s="122">
        <f t="shared" si="7"/>
        <v>1507168.4291008885</v>
      </c>
      <c r="F15" s="122">
        <f t="shared" si="7"/>
        <v>1507168.4291008885</v>
      </c>
      <c r="G15" s="122">
        <f t="shared" si="7"/>
        <v>1507168.4291008885</v>
      </c>
      <c r="H15" s="122">
        <f t="shared" si="7"/>
        <v>1507168.4291008885</v>
      </c>
      <c r="I15" s="122">
        <f t="shared" si="7"/>
        <v>1507168.4291008885</v>
      </c>
      <c r="J15" s="122">
        <f t="shared" si="7"/>
        <v>1507168.4291008885</v>
      </c>
      <c r="K15" s="122">
        <f t="shared" si="7"/>
        <v>1507168.4291008885</v>
      </c>
      <c r="L15" s="122">
        <f t="shared" si="7"/>
        <v>1507168.4291008885</v>
      </c>
      <c r="M15" s="122">
        <f t="shared" si="7"/>
        <v>1507168.4291008885</v>
      </c>
      <c r="N15" s="122">
        <f t="shared" si="7"/>
        <v>1507168.4291008885</v>
      </c>
      <c r="O15" s="122">
        <f t="shared" si="7"/>
        <v>1507168.4291008885</v>
      </c>
      <c r="P15" s="122">
        <f t="shared" si="7"/>
        <v>1507168.4291008885</v>
      </c>
      <c r="Q15" s="122">
        <f t="shared" si="7"/>
        <v>1507168.4291008885</v>
      </c>
      <c r="R15" s="122">
        <f t="shared" si="7"/>
        <v>1507168.4291008885</v>
      </c>
      <c r="S15" s="122">
        <f t="shared" si="7"/>
        <v>1507168.4291008885</v>
      </c>
      <c r="T15" s="122">
        <f t="shared" si="7"/>
        <v>1507168.4291008885</v>
      </c>
      <c r="U15" s="122">
        <f t="shared" si="7"/>
        <v>1507168.4291008885</v>
      </c>
      <c r="V15" s="122">
        <f t="shared" si="7"/>
        <v>1507168.4291008885</v>
      </c>
      <c r="W15" s="122">
        <f t="shared" si="7"/>
        <v>1507168.4291008885</v>
      </c>
      <c r="X15" s="122">
        <f t="shared" si="7"/>
        <v>1507168.4291008885</v>
      </c>
      <c r="Y15" s="122">
        <f t="shared" si="7"/>
        <v>1507168.4291008885</v>
      </c>
      <c r="Z15" s="122">
        <f t="shared" si="7"/>
        <v>1507168.4291008885</v>
      </c>
      <c r="AA15" s="122">
        <f t="shared" si="7"/>
        <v>1507168.4291008885</v>
      </c>
      <c r="AB15" s="122">
        <f t="shared" si="7"/>
        <v>1507168.4291008885</v>
      </c>
      <c r="AC15" s="122">
        <f t="shared" si="7"/>
        <v>1507168.4291008885</v>
      </c>
      <c r="AD15" s="122">
        <f t="shared" si="7"/>
        <v>1507168.4291008885</v>
      </c>
      <c r="AE15" s="122">
        <f t="shared" si="7"/>
        <v>1507168.4291008885</v>
      </c>
      <c r="AF15" s="122">
        <f t="shared" si="7"/>
        <v>1507168.4291008885</v>
      </c>
      <c r="AG15" s="122">
        <f t="shared" si="7"/>
        <v>1507168.4291008885</v>
      </c>
    </row>
    <row r="16" spans="1:47" ht="15.5" outlineLevel="1" thickBot="1">
      <c r="A16" s="187" t="s">
        <v>432</v>
      </c>
      <c r="B16" s="185"/>
      <c r="C16" s="186">
        <f t="shared" ref="C16:AG16" si="8">SUM(C11:C15)</f>
        <v>5306154.9462900767</v>
      </c>
      <c r="D16" s="186">
        <f t="shared" si="8"/>
        <v>5306154.9462900767</v>
      </c>
      <c r="E16" s="186">
        <f t="shared" si="8"/>
        <v>5306154.9462900767</v>
      </c>
      <c r="F16" s="186">
        <f t="shared" si="8"/>
        <v>5306154.9462900767</v>
      </c>
      <c r="G16" s="186">
        <f t="shared" si="8"/>
        <v>5306154.9462900767</v>
      </c>
      <c r="H16" s="186">
        <f t="shared" si="8"/>
        <v>5306154.9462900767</v>
      </c>
      <c r="I16" s="186">
        <f t="shared" si="8"/>
        <v>5306154.9462900767</v>
      </c>
      <c r="J16" s="186">
        <f t="shared" si="8"/>
        <v>5306154.9462900767</v>
      </c>
      <c r="K16" s="186">
        <f t="shared" si="8"/>
        <v>5306154.9462900767</v>
      </c>
      <c r="L16" s="186">
        <f t="shared" si="8"/>
        <v>5306154.9462900767</v>
      </c>
      <c r="M16" s="186">
        <f t="shared" si="8"/>
        <v>5306154.9462900767</v>
      </c>
      <c r="N16" s="186">
        <f t="shared" si="8"/>
        <v>5306154.9462900767</v>
      </c>
      <c r="O16" s="186">
        <f t="shared" si="8"/>
        <v>5306154.9462900767</v>
      </c>
      <c r="P16" s="186">
        <f t="shared" si="8"/>
        <v>5306154.9462900767</v>
      </c>
      <c r="Q16" s="186">
        <f t="shared" si="8"/>
        <v>5306154.9462900767</v>
      </c>
      <c r="R16" s="186">
        <f t="shared" si="8"/>
        <v>5306154.9462900767</v>
      </c>
      <c r="S16" s="186">
        <f t="shared" si="8"/>
        <v>5306154.9462900767</v>
      </c>
      <c r="T16" s="186">
        <f t="shared" si="8"/>
        <v>5306154.9462900767</v>
      </c>
      <c r="U16" s="186">
        <f t="shared" si="8"/>
        <v>5306154.9462900767</v>
      </c>
      <c r="V16" s="186">
        <f t="shared" si="8"/>
        <v>5306154.9462900767</v>
      </c>
      <c r="W16" s="186">
        <f t="shared" si="8"/>
        <v>5306154.9462900767</v>
      </c>
      <c r="X16" s="186">
        <f t="shared" si="8"/>
        <v>5306154.9462900767</v>
      </c>
      <c r="Y16" s="186">
        <f t="shared" si="8"/>
        <v>5306154.9462900767</v>
      </c>
      <c r="Z16" s="186">
        <f t="shared" si="8"/>
        <v>5306154.9462900767</v>
      </c>
      <c r="AA16" s="186">
        <f t="shared" si="8"/>
        <v>5306154.9462900767</v>
      </c>
      <c r="AB16" s="186">
        <f t="shared" si="8"/>
        <v>5306154.9462900767</v>
      </c>
      <c r="AC16" s="186">
        <f t="shared" si="8"/>
        <v>5306154.9462900767</v>
      </c>
      <c r="AD16" s="186">
        <f t="shared" si="8"/>
        <v>5306154.9462900767</v>
      </c>
      <c r="AE16" s="186">
        <f t="shared" si="8"/>
        <v>5306154.9462900767</v>
      </c>
      <c r="AF16" s="186">
        <f t="shared" si="8"/>
        <v>5306154.9462900767</v>
      </c>
      <c r="AG16" s="186">
        <f t="shared" si="8"/>
        <v>5306154.9462900767</v>
      </c>
    </row>
    <row r="17" spans="1:64" ht="15.5" outlineLevel="1" thickTop="1">
      <c r="AL17" s="108"/>
      <c r="AM17" s="109"/>
      <c r="AN17" s="109"/>
      <c r="AO17" s="109"/>
      <c r="AP17" s="109"/>
      <c r="AQ17" s="109"/>
    </row>
    <row r="18" spans="1:64" outlineLevel="1">
      <c r="A18" t="s">
        <v>495</v>
      </c>
      <c r="B18" s="51" t="s">
        <v>126</v>
      </c>
      <c r="C18" s="104">
        <f>'Overall recycling rates'!D76</f>
        <v>0.21323123102933009</v>
      </c>
      <c r="D18" s="104">
        <f>C18</f>
        <v>0.21323123102933009</v>
      </c>
      <c r="E18" s="104">
        <f t="shared" ref="E18:AF19" si="9">D18</f>
        <v>0.21323123102933009</v>
      </c>
      <c r="F18" s="104">
        <f t="shared" si="9"/>
        <v>0.21323123102933009</v>
      </c>
      <c r="G18" s="104">
        <f t="shared" si="9"/>
        <v>0.21323123102933009</v>
      </c>
      <c r="H18" s="104">
        <f t="shared" si="9"/>
        <v>0.21323123102933009</v>
      </c>
      <c r="I18" s="104">
        <f t="shared" si="9"/>
        <v>0.21323123102933009</v>
      </c>
      <c r="J18" s="104">
        <f t="shared" si="9"/>
        <v>0.21323123102933009</v>
      </c>
      <c r="K18" s="104">
        <f t="shared" si="9"/>
        <v>0.21323123102933009</v>
      </c>
      <c r="L18" s="104">
        <f t="shared" si="9"/>
        <v>0.21323123102933009</v>
      </c>
      <c r="M18" s="104">
        <f t="shared" si="9"/>
        <v>0.21323123102933009</v>
      </c>
      <c r="N18" s="104">
        <f t="shared" si="9"/>
        <v>0.21323123102933009</v>
      </c>
      <c r="O18" s="104">
        <f t="shared" si="9"/>
        <v>0.21323123102933009</v>
      </c>
      <c r="P18" s="104">
        <f t="shared" si="9"/>
        <v>0.21323123102933009</v>
      </c>
      <c r="Q18" s="104">
        <f t="shared" si="9"/>
        <v>0.21323123102933009</v>
      </c>
      <c r="R18" s="104">
        <f t="shared" si="9"/>
        <v>0.21323123102933009</v>
      </c>
      <c r="S18" s="104">
        <f t="shared" si="9"/>
        <v>0.21323123102933009</v>
      </c>
      <c r="T18" s="104">
        <f t="shared" si="9"/>
        <v>0.21323123102933009</v>
      </c>
      <c r="U18" s="104">
        <f t="shared" si="9"/>
        <v>0.21323123102933009</v>
      </c>
      <c r="V18" s="104">
        <f t="shared" si="9"/>
        <v>0.21323123102933009</v>
      </c>
      <c r="W18" s="104">
        <f t="shared" si="9"/>
        <v>0.21323123102933009</v>
      </c>
      <c r="X18" s="104">
        <f t="shared" si="9"/>
        <v>0.21323123102933009</v>
      </c>
      <c r="Y18" s="104">
        <f t="shared" si="9"/>
        <v>0.21323123102933009</v>
      </c>
      <c r="Z18" s="104">
        <f t="shared" si="9"/>
        <v>0.21323123102933009</v>
      </c>
      <c r="AA18" s="104">
        <f t="shared" si="9"/>
        <v>0.21323123102933009</v>
      </c>
      <c r="AB18" s="104">
        <f t="shared" si="9"/>
        <v>0.21323123102933009</v>
      </c>
      <c r="AC18" s="104">
        <f t="shared" si="9"/>
        <v>0.21323123102933009</v>
      </c>
      <c r="AD18" s="104">
        <f t="shared" si="9"/>
        <v>0.21323123102933009</v>
      </c>
      <c r="AE18" s="104">
        <f t="shared" si="9"/>
        <v>0.21323123102933009</v>
      </c>
      <c r="AF18" s="104">
        <f t="shared" si="9"/>
        <v>0.21323123102933009</v>
      </c>
      <c r="AG18" s="104">
        <f>AF18</f>
        <v>0.21323123102933009</v>
      </c>
      <c r="AI18" s="51" t="s">
        <v>268</v>
      </c>
      <c r="AJ18" s="198"/>
      <c r="AM18" s="109"/>
      <c r="AN18" s="109"/>
      <c r="AO18" s="109"/>
      <c r="AP18" s="109"/>
      <c r="AQ18" s="109"/>
    </row>
    <row r="19" spans="1:64" outlineLevel="1">
      <c r="A19" t="s">
        <v>312</v>
      </c>
      <c r="B19" s="51" t="s">
        <v>126</v>
      </c>
      <c r="C19" s="104">
        <f>'Overall recycling rates'!D78</f>
        <v>0.41552293513037142</v>
      </c>
      <c r="D19" s="104">
        <f t="shared" ref="D19:S22" si="10">C19</f>
        <v>0.41552293513037142</v>
      </c>
      <c r="E19" s="104">
        <f t="shared" si="10"/>
        <v>0.41552293513037142</v>
      </c>
      <c r="F19" s="104">
        <f t="shared" si="10"/>
        <v>0.41552293513037142</v>
      </c>
      <c r="G19" s="104">
        <f t="shared" si="10"/>
        <v>0.41552293513037142</v>
      </c>
      <c r="H19" s="104">
        <f t="shared" si="10"/>
        <v>0.41552293513037142</v>
      </c>
      <c r="I19" s="104">
        <f t="shared" si="10"/>
        <v>0.41552293513037142</v>
      </c>
      <c r="J19" s="104">
        <f t="shared" si="10"/>
        <v>0.41552293513037142</v>
      </c>
      <c r="K19" s="104">
        <f t="shared" si="10"/>
        <v>0.41552293513037142</v>
      </c>
      <c r="L19" s="104">
        <f t="shared" si="10"/>
        <v>0.41552293513037142</v>
      </c>
      <c r="M19" s="104">
        <f t="shared" si="10"/>
        <v>0.41552293513037142</v>
      </c>
      <c r="N19" s="104">
        <f t="shared" si="10"/>
        <v>0.41552293513037142</v>
      </c>
      <c r="O19" s="104">
        <f t="shared" si="10"/>
        <v>0.41552293513037142</v>
      </c>
      <c r="P19" s="104">
        <f t="shared" si="10"/>
        <v>0.41552293513037142</v>
      </c>
      <c r="Q19" s="104">
        <f t="shared" si="10"/>
        <v>0.41552293513037142</v>
      </c>
      <c r="R19" s="104">
        <f t="shared" si="10"/>
        <v>0.41552293513037142</v>
      </c>
      <c r="S19" s="104">
        <f t="shared" si="10"/>
        <v>0.41552293513037142</v>
      </c>
      <c r="T19" s="104">
        <f t="shared" si="9"/>
        <v>0.41552293513037142</v>
      </c>
      <c r="U19" s="104">
        <f t="shared" si="9"/>
        <v>0.41552293513037142</v>
      </c>
      <c r="V19" s="104">
        <f t="shared" si="9"/>
        <v>0.41552293513037142</v>
      </c>
      <c r="W19" s="104">
        <f t="shared" si="9"/>
        <v>0.41552293513037142</v>
      </c>
      <c r="X19" s="104">
        <f t="shared" si="9"/>
        <v>0.41552293513037142</v>
      </c>
      <c r="Y19" s="104">
        <f t="shared" si="9"/>
        <v>0.41552293513037142</v>
      </c>
      <c r="Z19" s="104">
        <f t="shared" si="9"/>
        <v>0.41552293513037142</v>
      </c>
      <c r="AA19" s="104">
        <f t="shared" si="9"/>
        <v>0.41552293513037142</v>
      </c>
      <c r="AB19" s="104">
        <f t="shared" si="9"/>
        <v>0.41552293513037142</v>
      </c>
      <c r="AC19" s="104">
        <f t="shared" si="9"/>
        <v>0.41552293513037142</v>
      </c>
      <c r="AD19" s="104">
        <f t="shared" si="9"/>
        <v>0.41552293513037142</v>
      </c>
      <c r="AE19" s="104">
        <f t="shared" si="9"/>
        <v>0.41552293513037142</v>
      </c>
      <c r="AF19" s="104">
        <f t="shared" si="9"/>
        <v>0.41552293513037142</v>
      </c>
      <c r="AG19" s="104">
        <f t="shared" ref="T19:AG22" si="11">AF19</f>
        <v>0.41552293513037142</v>
      </c>
      <c r="AI19" s="51" t="s">
        <v>268</v>
      </c>
      <c r="AJ19" s="198"/>
      <c r="AM19" s="114"/>
      <c r="AN19" s="109"/>
      <c r="AO19" s="110"/>
      <c r="AP19" s="111"/>
      <c r="AQ19" s="110"/>
    </row>
    <row r="20" spans="1:64" outlineLevel="1">
      <c r="A20" t="s">
        <v>313</v>
      </c>
      <c r="B20" s="51" t="s">
        <v>126</v>
      </c>
      <c r="C20" s="104">
        <f>'Overall recycling rates'!D77</f>
        <v>7.6204364468477032E-2</v>
      </c>
      <c r="D20" s="104">
        <f t="shared" si="10"/>
        <v>7.6204364468477032E-2</v>
      </c>
      <c r="E20" s="104">
        <f t="shared" si="10"/>
        <v>7.6204364468477032E-2</v>
      </c>
      <c r="F20" s="104">
        <f t="shared" si="10"/>
        <v>7.6204364468477032E-2</v>
      </c>
      <c r="G20" s="104">
        <f t="shared" si="10"/>
        <v>7.6204364468477032E-2</v>
      </c>
      <c r="H20" s="104">
        <f t="shared" si="10"/>
        <v>7.6204364468477032E-2</v>
      </c>
      <c r="I20" s="104">
        <f t="shared" si="10"/>
        <v>7.6204364468477032E-2</v>
      </c>
      <c r="J20" s="104">
        <f t="shared" si="10"/>
        <v>7.6204364468477032E-2</v>
      </c>
      <c r="K20" s="104">
        <f t="shared" si="10"/>
        <v>7.6204364468477032E-2</v>
      </c>
      <c r="L20" s="104">
        <f t="shared" si="10"/>
        <v>7.6204364468477032E-2</v>
      </c>
      <c r="M20" s="104">
        <f t="shared" si="10"/>
        <v>7.6204364468477032E-2</v>
      </c>
      <c r="N20" s="104">
        <f t="shared" si="10"/>
        <v>7.6204364468477032E-2</v>
      </c>
      <c r="O20" s="104">
        <f t="shared" si="10"/>
        <v>7.6204364468477032E-2</v>
      </c>
      <c r="P20" s="104">
        <f t="shared" si="10"/>
        <v>7.6204364468477032E-2</v>
      </c>
      <c r="Q20" s="104">
        <f t="shared" si="10"/>
        <v>7.6204364468477032E-2</v>
      </c>
      <c r="R20" s="104">
        <f t="shared" si="10"/>
        <v>7.6204364468477032E-2</v>
      </c>
      <c r="S20" s="104">
        <f t="shared" si="10"/>
        <v>7.6204364468477032E-2</v>
      </c>
      <c r="T20" s="104">
        <f t="shared" si="11"/>
        <v>7.6204364468477032E-2</v>
      </c>
      <c r="U20" s="104">
        <f t="shared" si="11"/>
        <v>7.6204364468477032E-2</v>
      </c>
      <c r="V20" s="104">
        <f t="shared" si="11"/>
        <v>7.6204364468477032E-2</v>
      </c>
      <c r="W20" s="104">
        <f t="shared" si="11"/>
        <v>7.6204364468477032E-2</v>
      </c>
      <c r="X20" s="104">
        <f t="shared" si="11"/>
        <v>7.6204364468477032E-2</v>
      </c>
      <c r="Y20" s="104">
        <f t="shared" si="11"/>
        <v>7.6204364468477032E-2</v>
      </c>
      <c r="Z20" s="104">
        <f t="shared" si="11"/>
        <v>7.6204364468477032E-2</v>
      </c>
      <c r="AA20" s="104">
        <f t="shared" si="11"/>
        <v>7.6204364468477032E-2</v>
      </c>
      <c r="AB20" s="104">
        <f t="shared" si="11"/>
        <v>7.6204364468477032E-2</v>
      </c>
      <c r="AC20" s="104">
        <f t="shared" si="11"/>
        <v>7.6204364468477032E-2</v>
      </c>
      <c r="AD20" s="104">
        <f t="shared" si="11"/>
        <v>7.6204364468477032E-2</v>
      </c>
      <c r="AE20" s="104">
        <f t="shared" si="11"/>
        <v>7.6204364468477032E-2</v>
      </c>
      <c r="AF20" s="104">
        <f t="shared" si="11"/>
        <v>7.6204364468477032E-2</v>
      </c>
      <c r="AG20" s="104">
        <f t="shared" si="11"/>
        <v>7.6204364468477032E-2</v>
      </c>
      <c r="AI20" s="51" t="s">
        <v>268</v>
      </c>
      <c r="AJ20" s="198"/>
      <c r="AM20" s="114"/>
      <c r="AN20" s="109"/>
      <c r="AO20" s="110"/>
      <c r="AP20" s="111"/>
      <c r="AQ20" s="110"/>
    </row>
    <row r="21" spans="1:64" outlineLevel="1">
      <c r="A21" t="s">
        <v>496</v>
      </c>
      <c r="B21" s="51" t="s">
        <v>126</v>
      </c>
      <c r="C21" s="104">
        <f>'Overall recycling rates'!D79</f>
        <v>1.4482254150985984E-5</v>
      </c>
      <c r="D21" s="104">
        <f t="shared" si="10"/>
        <v>1.4482254150985984E-5</v>
      </c>
      <c r="E21" s="104">
        <f t="shared" si="10"/>
        <v>1.4482254150985984E-5</v>
      </c>
      <c r="F21" s="104">
        <f t="shared" si="10"/>
        <v>1.4482254150985984E-5</v>
      </c>
      <c r="G21" s="104">
        <f t="shared" si="10"/>
        <v>1.4482254150985984E-5</v>
      </c>
      <c r="H21" s="104">
        <f t="shared" si="10"/>
        <v>1.4482254150985984E-5</v>
      </c>
      <c r="I21" s="104">
        <f t="shared" si="10"/>
        <v>1.4482254150985984E-5</v>
      </c>
      <c r="J21" s="104">
        <f t="shared" si="10"/>
        <v>1.4482254150985984E-5</v>
      </c>
      <c r="K21" s="104">
        <f t="shared" si="10"/>
        <v>1.4482254150985984E-5</v>
      </c>
      <c r="L21" s="104">
        <f t="shared" si="10"/>
        <v>1.4482254150985984E-5</v>
      </c>
      <c r="M21" s="104">
        <f t="shared" si="10"/>
        <v>1.4482254150985984E-5</v>
      </c>
      <c r="N21" s="104">
        <f t="shared" si="10"/>
        <v>1.4482254150985984E-5</v>
      </c>
      <c r="O21" s="104">
        <f t="shared" si="10"/>
        <v>1.4482254150985984E-5</v>
      </c>
      <c r="P21" s="104">
        <f t="shared" si="10"/>
        <v>1.4482254150985984E-5</v>
      </c>
      <c r="Q21" s="104">
        <f t="shared" si="10"/>
        <v>1.4482254150985984E-5</v>
      </c>
      <c r="R21" s="104">
        <f t="shared" si="10"/>
        <v>1.4482254150985984E-5</v>
      </c>
      <c r="S21" s="104">
        <f t="shared" si="10"/>
        <v>1.4482254150985984E-5</v>
      </c>
      <c r="T21" s="104">
        <f t="shared" si="11"/>
        <v>1.4482254150985984E-5</v>
      </c>
      <c r="U21" s="104">
        <f t="shared" si="11"/>
        <v>1.4482254150985984E-5</v>
      </c>
      <c r="V21" s="104">
        <f t="shared" si="11"/>
        <v>1.4482254150985984E-5</v>
      </c>
      <c r="W21" s="104">
        <f t="shared" si="11"/>
        <v>1.4482254150985984E-5</v>
      </c>
      <c r="X21" s="104">
        <f t="shared" si="11"/>
        <v>1.4482254150985984E-5</v>
      </c>
      <c r="Y21" s="104">
        <f t="shared" si="11"/>
        <v>1.4482254150985984E-5</v>
      </c>
      <c r="Z21" s="104">
        <f t="shared" si="11"/>
        <v>1.4482254150985984E-5</v>
      </c>
      <c r="AA21" s="104">
        <f t="shared" si="11"/>
        <v>1.4482254150985984E-5</v>
      </c>
      <c r="AB21" s="104">
        <f t="shared" si="11"/>
        <v>1.4482254150985984E-5</v>
      </c>
      <c r="AC21" s="104">
        <f t="shared" si="11"/>
        <v>1.4482254150985984E-5</v>
      </c>
      <c r="AD21" s="104">
        <f t="shared" si="11"/>
        <v>1.4482254150985984E-5</v>
      </c>
      <c r="AE21" s="104">
        <f t="shared" si="11"/>
        <v>1.4482254150985984E-5</v>
      </c>
      <c r="AF21" s="104">
        <f t="shared" si="11"/>
        <v>1.4482254150985984E-5</v>
      </c>
      <c r="AG21" s="104">
        <f t="shared" si="11"/>
        <v>1.4482254150985984E-5</v>
      </c>
      <c r="AI21" s="51" t="s">
        <v>515</v>
      </c>
      <c r="AJ21" s="198"/>
      <c r="AM21" s="114"/>
      <c r="AN21" s="109"/>
      <c r="AO21" s="110"/>
      <c r="AP21" s="111"/>
      <c r="AQ21" s="110"/>
    </row>
    <row r="22" spans="1:64" outlineLevel="1">
      <c r="A22" t="s">
        <v>314</v>
      </c>
      <c r="B22" s="51" t="s">
        <v>126</v>
      </c>
      <c r="C22" s="104">
        <f>'Overall recycling rates'!D80</f>
        <v>0.31426370432419826</v>
      </c>
      <c r="D22" s="104">
        <f>C22</f>
        <v>0.31426370432419826</v>
      </c>
      <c r="E22" s="104">
        <f t="shared" si="10"/>
        <v>0.31426370432419826</v>
      </c>
      <c r="F22" s="104">
        <f t="shared" si="10"/>
        <v>0.31426370432419826</v>
      </c>
      <c r="G22" s="104">
        <f t="shared" si="10"/>
        <v>0.31426370432419826</v>
      </c>
      <c r="H22" s="104">
        <f t="shared" si="10"/>
        <v>0.31426370432419826</v>
      </c>
      <c r="I22" s="104">
        <f t="shared" si="10"/>
        <v>0.31426370432419826</v>
      </c>
      <c r="J22" s="104">
        <f t="shared" si="10"/>
        <v>0.31426370432419826</v>
      </c>
      <c r="K22" s="104">
        <f t="shared" si="10"/>
        <v>0.31426370432419826</v>
      </c>
      <c r="L22" s="104">
        <f t="shared" si="10"/>
        <v>0.31426370432419826</v>
      </c>
      <c r="M22" s="104">
        <f t="shared" si="10"/>
        <v>0.31426370432419826</v>
      </c>
      <c r="N22" s="104">
        <f t="shared" si="10"/>
        <v>0.31426370432419826</v>
      </c>
      <c r="O22" s="104">
        <f t="shared" si="10"/>
        <v>0.31426370432419826</v>
      </c>
      <c r="P22" s="104">
        <f t="shared" si="10"/>
        <v>0.31426370432419826</v>
      </c>
      <c r="Q22" s="104">
        <f t="shared" si="10"/>
        <v>0.31426370432419826</v>
      </c>
      <c r="R22" s="104">
        <f t="shared" si="10"/>
        <v>0.31426370432419826</v>
      </c>
      <c r="S22" s="104">
        <f t="shared" si="10"/>
        <v>0.31426370432419826</v>
      </c>
      <c r="T22" s="104">
        <f t="shared" si="11"/>
        <v>0.31426370432419826</v>
      </c>
      <c r="U22" s="104">
        <f t="shared" si="11"/>
        <v>0.31426370432419826</v>
      </c>
      <c r="V22" s="104">
        <f t="shared" si="11"/>
        <v>0.31426370432419826</v>
      </c>
      <c r="W22" s="104">
        <f t="shared" si="11"/>
        <v>0.31426370432419826</v>
      </c>
      <c r="X22" s="104">
        <f t="shared" si="11"/>
        <v>0.31426370432419826</v>
      </c>
      <c r="Y22" s="104">
        <f t="shared" si="11"/>
        <v>0.31426370432419826</v>
      </c>
      <c r="Z22" s="104">
        <f t="shared" si="11"/>
        <v>0.31426370432419826</v>
      </c>
      <c r="AA22" s="104">
        <f t="shared" si="11"/>
        <v>0.31426370432419826</v>
      </c>
      <c r="AB22" s="104">
        <f t="shared" si="11"/>
        <v>0.31426370432419826</v>
      </c>
      <c r="AC22" s="104">
        <f t="shared" si="11"/>
        <v>0.31426370432419826</v>
      </c>
      <c r="AD22" s="104">
        <f t="shared" si="11"/>
        <v>0.31426370432419826</v>
      </c>
      <c r="AE22" s="104">
        <f t="shared" si="11"/>
        <v>0.31426370432419826</v>
      </c>
      <c r="AF22" s="104">
        <f t="shared" si="11"/>
        <v>0.31426370432419826</v>
      </c>
      <c r="AG22" s="104">
        <f t="shared" si="11"/>
        <v>0.31426370432419826</v>
      </c>
      <c r="AI22" s="51" t="s">
        <v>268</v>
      </c>
      <c r="AJ22" s="198"/>
      <c r="AM22" s="114"/>
      <c r="AN22" s="109"/>
      <c r="AO22" s="110"/>
      <c r="AP22" s="111"/>
      <c r="AQ22" s="110"/>
    </row>
    <row r="23" spans="1:64" outlineLevel="1">
      <c r="AI23" s="51"/>
      <c r="AM23" s="114"/>
      <c r="AN23" s="109"/>
      <c r="AO23" s="110"/>
      <c r="AP23" s="111"/>
      <c r="AQ23" s="110"/>
      <c r="BD23" s="22"/>
      <c r="BE23" s="22"/>
      <c r="BF23" s="22"/>
      <c r="BG23" s="22"/>
      <c r="BH23" s="22"/>
      <c r="BI23" s="22"/>
      <c r="BJ23" s="22"/>
      <c r="BK23" s="22"/>
      <c r="BL23" s="22"/>
    </row>
    <row r="24" spans="1:64" outlineLevel="1">
      <c r="A24" t="s">
        <v>497</v>
      </c>
      <c r="B24" s="51" t="s">
        <v>315</v>
      </c>
      <c r="C24" s="191">
        <f>C11*C18</f>
        <v>596429.49791931454</v>
      </c>
      <c r="D24" s="191">
        <f t="shared" ref="D24:AG24" si="12">D11*D18</f>
        <v>596429.49791931454</v>
      </c>
      <c r="E24" s="191">
        <f t="shared" si="12"/>
        <v>596429.49791931454</v>
      </c>
      <c r="F24" s="191">
        <f t="shared" si="12"/>
        <v>596429.49791931454</v>
      </c>
      <c r="G24" s="191">
        <f t="shared" si="12"/>
        <v>596429.49791931454</v>
      </c>
      <c r="H24" s="191">
        <f t="shared" si="12"/>
        <v>596429.49791931454</v>
      </c>
      <c r="I24" s="191">
        <f t="shared" si="12"/>
        <v>596429.49791931454</v>
      </c>
      <c r="J24" s="191">
        <f t="shared" si="12"/>
        <v>596429.49791931454</v>
      </c>
      <c r="K24" s="191">
        <f t="shared" si="12"/>
        <v>596429.49791931454</v>
      </c>
      <c r="L24" s="191">
        <f t="shared" si="12"/>
        <v>596429.49791931454</v>
      </c>
      <c r="M24" s="191">
        <f t="shared" si="12"/>
        <v>596429.49791931454</v>
      </c>
      <c r="N24" s="191">
        <f t="shared" si="12"/>
        <v>596429.49791931454</v>
      </c>
      <c r="O24" s="191">
        <f t="shared" si="12"/>
        <v>596429.49791931454</v>
      </c>
      <c r="P24" s="191">
        <f t="shared" si="12"/>
        <v>596429.49791931454</v>
      </c>
      <c r="Q24" s="191">
        <f t="shared" si="12"/>
        <v>596429.49791931454</v>
      </c>
      <c r="R24" s="191">
        <f t="shared" si="12"/>
        <v>596429.49791931454</v>
      </c>
      <c r="S24" s="191">
        <f t="shared" si="12"/>
        <v>596429.49791931454</v>
      </c>
      <c r="T24" s="191">
        <f t="shared" si="12"/>
        <v>596429.49791931454</v>
      </c>
      <c r="U24" s="191">
        <f t="shared" si="12"/>
        <v>596429.49791931454</v>
      </c>
      <c r="V24" s="191">
        <f t="shared" si="12"/>
        <v>596429.49791931454</v>
      </c>
      <c r="W24" s="191">
        <f t="shared" si="12"/>
        <v>596429.49791931454</v>
      </c>
      <c r="X24" s="191">
        <f t="shared" si="12"/>
        <v>596429.49791931454</v>
      </c>
      <c r="Y24" s="191">
        <f t="shared" si="12"/>
        <v>596429.49791931454</v>
      </c>
      <c r="Z24" s="191">
        <f t="shared" si="12"/>
        <v>596429.49791931454</v>
      </c>
      <c r="AA24" s="191">
        <f t="shared" si="12"/>
        <v>596429.49791931454</v>
      </c>
      <c r="AB24" s="191">
        <f t="shared" si="12"/>
        <v>596429.49791931454</v>
      </c>
      <c r="AC24" s="191">
        <f t="shared" si="12"/>
        <v>596429.49791931454</v>
      </c>
      <c r="AD24" s="191">
        <f t="shared" si="12"/>
        <v>596429.49791931454</v>
      </c>
      <c r="AE24" s="191">
        <f t="shared" si="12"/>
        <v>596429.49791931454</v>
      </c>
      <c r="AF24" s="191">
        <f t="shared" si="12"/>
        <v>596429.49791931454</v>
      </c>
      <c r="AG24" s="191">
        <f t="shared" si="12"/>
        <v>596429.49791931454</v>
      </c>
      <c r="AM24" s="114"/>
      <c r="AN24" s="109"/>
      <c r="AO24" s="109"/>
      <c r="AP24" s="109"/>
      <c r="AQ24" s="109"/>
      <c r="BD24" s="192"/>
      <c r="BE24" s="192"/>
      <c r="BF24" s="192"/>
      <c r="BG24" s="192"/>
      <c r="BH24" s="192"/>
      <c r="BI24" s="192"/>
      <c r="BJ24" s="192"/>
      <c r="BK24" s="192"/>
      <c r="BL24" s="192"/>
    </row>
    <row r="25" spans="1:64" outlineLevel="1">
      <c r="A25" t="s">
        <v>316</v>
      </c>
      <c r="B25" s="51" t="s">
        <v>315</v>
      </c>
      <c r="C25" s="191">
        <f t="shared" ref="C25:AG28" si="13">C12*C19</f>
        <v>109709.95191504674</v>
      </c>
      <c r="D25" s="191">
        <f t="shared" si="13"/>
        <v>109709.95191504674</v>
      </c>
      <c r="E25" s="191">
        <f t="shared" si="13"/>
        <v>109709.95191504674</v>
      </c>
      <c r="F25" s="191">
        <f t="shared" si="13"/>
        <v>109709.95191504674</v>
      </c>
      <c r="G25" s="191">
        <f t="shared" si="13"/>
        <v>109709.95191504674</v>
      </c>
      <c r="H25" s="191">
        <f t="shared" si="13"/>
        <v>109709.95191504674</v>
      </c>
      <c r="I25" s="191">
        <f t="shared" si="13"/>
        <v>109709.95191504674</v>
      </c>
      <c r="J25" s="191">
        <f t="shared" si="13"/>
        <v>109709.95191504674</v>
      </c>
      <c r="K25" s="191">
        <f t="shared" si="13"/>
        <v>109709.95191504674</v>
      </c>
      <c r="L25" s="191">
        <f t="shared" si="13"/>
        <v>109709.95191504674</v>
      </c>
      <c r="M25" s="191">
        <f t="shared" si="13"/>
        <v>109709.95191504674</v>
      </c>
      <c r="N25" s="191">
        <f t="shared" si="13"/>
        <v>109709.95191504674</v>
      </c>
      <c r="O25" s="191">
        <f t="shared" si="13"/>
        <v>109709.95191504674</v>
      </c>
      <c r="P25" s="191">
        <f t="shared" si="13"/>
        <v>109709.95191504674</v>
      </c>
      <c r="Q25" s="191">
        <f t="shared" si="13"/>
        <v>109709.95191504674</v>
      </c>
      <c r="R25" s="191">
        <f t="shared" si="13"/>
        <v>109709.95191504674</v>
      </c>
      <c r="S25" s="191">
        <f t="shared" si="13"/>
        <v>109709.95191504674</v>
      </c>
      <c r="T25" s="191">
        <f t="shared" si="13"/>
        <v>109709.95191504674</v>
      </c>
      <c r="U25" s="191">
        <f t="shared" si="13"/>
        <v>109709.95191504674</v>
      </c>
      <c r="V25" s="191">
        <f t="shared" si="13"/>
        <v>109709.95191504674</v>
      </c>
      <c r="W25" s="191">
        <f t="shared" si="13"/>
        <v>109709.95191504674</v>
      </c>
      <c r="X25" s="191">
        <f t="shared" si="13"/>
        <v>109709.95191504674</v>
      </c>
      <c r="Y25" s="191">
        <f t="shared" si="13"/>
        <v>109709.95191504674</v>
      </c>
      <c r="Z25" s="191">
        <f t="shared" si="13"/>
        <v>109709.95191504674</v>
      </c>
      <c r="AA25" s="191">
        <f t="shared" si="13"/>
        <v>109709.95191504674</v>
      </c>
      <c r="AB25" s="191">
        <f t="shared" si="13"/>
        <v>109709.95191504674</v>
      </c>
      <c r="AC25" s="191">
        <f t="shared" si="13"/>
        <v>109709.95191504674</v>
      </c>
      <c r="AD25" s="191">
        <f t="shared" si="13"/>
        <v>109709.95191504674</v>
      </c>
      <c r="AE25" s="191">
        <f t="shared" si="13"/>
        <v>109709.95191504674</v>
      </c>
      <c r="AF25" s="191">
        <f t="shared" si="13"/>
        <v>109709.95191504674</v>
      </c>
      <c r="AG25" s="191">
        <f t="shared" si="13"/>
        <v>109709.95191504674</v>
      </c>
      <c r="AM25" s="193"/>
      <c r="BD25" s="192"/>
      <c r="BE25" s="192"/>
      <c r="BF25" s="192"/>
      <c r="BG25" s="192"/>
      <c r="BH25" s="192"/>
      <c r="BI25" s="192"/>
      <c r="BJ25" s="192"/>
      <c r="BK25" s="192"/>
      <c r="BL25" s="192"/>
    </row>
    <row r="26" spans="1:64" outlineLevel="1">
      <c r="A26" t="s">
        <v>317</v>
      </c>
      <c r="B26" s="51" t="s">
        <v>315</v>
      </c>
      <c r="C26" s="191">
        <f t="shared" si="13"/>
        <v>15829.019363327952</v>
      </c>
      <c r="D26" s="191">
        <f t="shared" si="13"/>
        <v>15829.019363327952</v>
      </c>
      <c r="E26" s="191">
        <f t="shared" si="13"/>
        <v>15829.019363327952</v>
      </c>
      <c r="F26" s="191">
        <f t="shared" si="13"/>
        <v>15829.019363327952</v>
      </c>
      <c r="G26" s="191">
        <f t="shared" si="13"/>
        <v>15829.019363327952</v>
      </c>
      <c r="H26" s="191">
        <f t="shared" si="13"/>
        <v>15829.019363327952</v>
      </c>
      <c r="I26" s="191">
        <f t="shared" si="13"/>
        <v>15829.019363327952</v>
      </c>
      <c r="J26" s="191">
        <f t="shared" si="13"/>
        <v>15829.019363327952</v>
      </c>
      <c r="K26" s="191">
        <f t="shared" si="13"/>
        <v>15829.019363327952</v>
      </c>
      <c r="L26" s="191">
        <f t="shared" si="13"/>
        <v>15829.019363327952</v>
      </c>
      <c r="M26" s="191">
        <f t="shared" si="13"/>
        <v>15829.019363327952</v>
      </c>
      <c r="N26" s="191">
        <f t="shared" si="13"/>
        <v>15829.019363327952</v>
      </c>
      <c r="O26" s="191">
        <f t="shared" si="13"/>
        <v>15829.019363327952</v>
      </c>
      <c r="P26" s="191">
        <f t="shared" si="13"/>
        <v>15829.019363327952</v>
      </c>
      <c r="Q26" s="191">
        <f t="shared" si="13"/>
        <v>15829.019363327952</v>
      </c>
      <c r="R26" s="191">
        <f t="shared" si="13"/>
        <v>15829.019363327952</v>
      </c>
      <c r="S26" s="191">
        <f t="shared" si="13"/>
        <v>15829.019363327952</v>
      </c>
      <c r="T26" s="191">
        <f t="shared" si="13"/>
        <v>15829.019363327952</v>
      </c>
      <c r="U26" s="191">
        <f t="shared" si="13"/>
        <v>15829.019363327952</v>
      </c>
      <c r="V26" s="191">
        <f t="shared" si="13"/>
        <v>15829.019363327952</v>
      </c>
      <c r="W26" s="191">
        <f t="shared" si="13"/>
        <v>15829.019363327952</v>
      </c>
      <c r="X26" s="191">
        <f t="shared" si="13"/>
        <v>15829.019363327952</v>
      </c>
      <c r="Y26" s="191">
        <f t="shared" si="13"/>
        <v>15829.019363327952</v>
      </c>
      <c r="Z26" s="191">
        <f t="shared" si="13"/>
        <v>15829.019363327952</v>
      </c>
      <c r="AA26" s="191">
        <f t="shared" si="13"/>
        <v>15829.019363327952</v>
      </c>
      <c r="AB26" s="191">
        <f t="shared" si="13"/>
        <v>15829.019363327952</v>
      </c>
      <c r="AC26" s="191">
        <f t="shared" si="13"/>
        <v>15829.019363327952</v>
      </c>
      <c r="AD26" s="191">
        <f t="shared" si="13"/>
        <v>15829.019363327952</v>
      </c>
      <c r="AE26" s="191">
        <f t="shared" si="13"/>
        <v>15829.019363327952</v>
      </c>
      <c r="AF26" s="191">
        <f t="shared" si="13"/>
        <v>15829.019363327952</v>
      </c>
      <c r="AG26" s="191">
        <f t="shared" si="13"/>
        <v>15829.019363327952</v>
      </c>
      <c r="BD26" s="192"/>
      <c r="BE26" s="192"/>
      <c r="BF26" s="192"/>
      <c r="BG26" s="192"/>
      <c r="BH26" s="192"/>
      <c r="BI26" s="192"/>
      <c r="BJ26" s="192"/>
      <c r="BK26" s="192"/>
      <c r="BL26" s="192"/>
    </row>
    <row r="27" spans="1:64" outlineLevel="1">
      <c r="A27" t="s">
        <v>498</v>
      </c>
      <c r="B27" s="51" t="s">
        <v>315</v>
      </c>
      <c r="C27" s="191">
        <f t="shared" si="13"/>
        <v>7.6775917003887999</v>
      </c>
      <c r="D27" s="191">
        <f t="shared" si="13"/>
        <v>7.6775917003887999</v>
      </c>
      <c r="E27" s="191">
        <f t="shared" si="13"/>
        <v>7.6775917003887999</v>
      </c>
      <c r="F27" s="191">
        <f t="shared" si="13"/>
        <v>7.6775917003887999</v>
      </c>
      <c r="G27" s="191">
        <f t="shared" si="13"/>
        <v>7.6775917003887999</v>
      </c>
      <c r="H27" s="191">
        <f t="shared" si="13"/>
        <v>7.6775917003887999</v>
      </c>
      <c r="I27" s="191">
        <f t="shared" si="13"/>
        <v>7.6775917003887999</v>
      </c>
      <c r="J27" s="191">
        <f t="shared" si="13"/>
        <v>7.6775917003887999</v>
      </c>
      <c r="K27" s="191">
        <f t="shared" si="13"/>
        <v>7.6775917003887999</v>
      </c>
      <c r="L27" s="191">
        <f t="shared" si="13"/>
        <v>7.6775917003887999</v>
      </c>
      <c r="M27" s="191">
        <f t="shared" si="13"/>
        <v>7.6775917003887999</v>
      </c>
      <c r="N27" s="191">
        <f t="shared" si="13"/>
        <v>7.6775917003887999</v>
      </c>
      <c r="O27" s="191">
        <f t="shared" si="13"/>
        <v>7.6775917003887999</v>
      </c>
      <c r="P27" s="191">
        <f t="shared" si="13"/>
        <v>7.6775917003887999</v>
      </c>
      <c r="Q27" s="191">
        <f t="shared" si="13"/>
        <v>7.6775917003887999</v>
      </c>
      <c r="R27" s="191">
        <f t="shared" si="13"/>
        <v>7.6775917003887999</v>
      </c>
      <c r="S27" s="191">
        <f t="shared" si="13"/>
        <v>7.6775917003887999</v>
      </c>
      <c r="T27" s="191">
        <f t="shared" si="13"/>
        <v>7.6775917003887999</v>
      </c>
      <c r="U27" s="191">
        <f t="shared" si="13"/>
        <v>7.6775917003887999</v>
      </c>
      <c r="V27" s="191">
        <f t="shared" si="13"/>
        <v>7.6775917003887999</v>
      </c>
      <c r="W27" s="191">
        <f t="shared" si="13"/>
        <v>7.6775917003887999</v>
      </c>
      <c r="X27" s="191">
        <f t="shared" si="13"/>
        <v>7.6775917003887999</v>
      </c>
      <c r="Y27" s="191">
        <f t="shared" si="13"/>
        <v>7.6775917003887999</v>
      </c>
      <c r="Z27" s="191">
        <f t="shared" si="13"/>
        <v>7.6775917003887999</v>
      </c>
      <c r="AA27" s="191">
        <f t="shared" si="13"/>
        <v>7.6775917003887999</v>
      </c>
      <c r="AB27" s="191">
        <f t="shared" si="13"/>
        <v>7.6775917003887999</v>
      </c>
      <c r="AC27" s="191">
        <f t="shared" si="13"/>
        <v>7.6775917003887999</v>
      </c>
      <c r="AD27" s="191">
        <f t="shared" si="13"/>
        <v>7.6775917003887999</v>
      </c>
      <c r="AE27" s="191">
        <f t="shared" si="13"/>
        <v>7.6775917003887999</v>
      </c>
      <c r="AF27" s="191">
        <f t="shared" si="13"/>
        <v>7.6775917003887999</v>
      </c>
      <c r="AG27" s="191">
        <f t="shared" si="13"/>
        <v>7.6775917003887999</v>
      </c>
      <c r="BD27" s="192"/>
      <c r="BE27" s="192"/>
      <c r="BF27" s="192"/>
      <c r="BG27" s="192"/>
      <c r="BH27" s="192"/>
      <c r="BI27" s="192"/>
      <c r="BJ27" s="192"/>
      <c r="BK27" s="192"/>
      <c r="BL27" s="192"/>
    </row>
    <row r="28" spans="1:64" outlineLevel="1">
      <c r="A28" s="169" t="s">
        <v>318</v>
      </c>
      <c r="B28" s="165" t="s">
        <v>315</v>
      </c>
      <c r="C28" s="191">
        <f t="shared" si="13"/>
        <v>473648.33356972801</v>
      </c>
      <c r="D28" s="191">
        <f t="shared" si="13"/>
        <v>473648.33356972801</v>
      </c>
      <c r="E28" s="191">
        <f t="shared" si="13"/>
        <v>473648.33356972801</v>
      </c>
      <c r="F28" s="191">
        <f t="shared" si="13"/>
        <v>473648.33356972801</v>
      </c>
      <c r="G28" s="191">
        <f t="shared" si="13"/>
        <v>473648.33356972801</v>
      </c>
      <c r="H28" s="191">
        <f t="shared" si="13"/>
        <v>473648.33356972801</v>
      </c>
      <c r="I28" s="191">
        <f t="shared" si="13"/>
        <v>473648.33356972801</v>
      </c>
      <c r="J28" s="191">
        <f t="shared" si="13"/>
        <v>473648.33356972801</v>
      </c>
      <c r="K28" s="191">
        <f t="shared" si="13"/>
        <v>473648.33356972801</v>
      </c>
      <c r="L28" s="191">
        <f t="shared" si="13"/>
        <v>473648.33356972801</v>
      </c>
      <c r="M28" s="191">
        <f t="shared" si="13"/>
        <v>473648.33356972801</v>
      </c>
      <c r="N28" s="191">
        <f t="shared" si="13"/>
        <v>473648.33356972801</v>
      </c>
      <c r="O28" s="191">
        <f t="shared" si="13"/>
        <v>473648.33356972801</v>
      </c>
      <c r="P28" s="191">
        <f t="shared" si="13"/>
        <v>473648.33356972801</v>
      </c>
      <c r="Q28" s="191">
        <f t="shared" si="13"/>
        <v>473648.33356972801</v>
      </c>
      <c r="R28" s="191">
        <f t="shared" si="13"/>
        <v>473648.33356972801</v>
      </c>
      <c r="S28" s="191">
        <f t="shared" si="13"/>
        <v>473648.33356972801</v>
      </c>
      <c r="T28" s="191">
        <f t="shared" si="13"/>
        <v>473648.33356972801</v>
      </c>
      <c r="U28" s="191">
        <f t="shared" si="13"/>
        <v>473648.33356972801</v>
      </c>
      <c r="V28" s="191">
        <f t="shared" si="13"/>
        <v>473648.33356972801</v>
      </c>
      <c r="W28" s="191">
        <f t="shared" si="13"/>
        <v>473648.33356972801</v>
      </c>
      <c r="X28" s="191">
        <f t="shared" si="13"/>
        <v>473648.33356972801</v>
      </c>
      <c r="Y28" s="191">
        <f t="shared" si="13"/>
        <v>473648.33356972801</v>
      </c>
      <c r="Z28" s="191">
        <f t="shared" si="13"/>
        <v>473648.33356972801</v>
      </c>
      <c r="AA28" s="191">
        <f t="shared" si="13"/>
        <v>473648.33356972801</v>
      </c>
      <c r="AB28" s="191">
        <f t="shared" si="13"/>
        <v>473648.33356972801</v>
      </c>
      <c r="AC28" s="191">
        <f t="shared" si="13"/>
        <v>473648.33356972801</v>
      </c>
      <c r="AD28" s="191">
        <f t="shared" si="13"/>
        <v>473648.33356972801</v>
      </c>
      <c r="AE28" s="191">
        <f t="shared" si="13"/>
        <v>473648.33356972801</v>
      </c>
      <c r="AF28" s="191">
        <f t="shared" si="13"/>
        <v>473648.33356972801</v>
      </c>
      <c r="AG28" s="191">
        <f t="shared" si="13"/>
        <v>473648.33356972801</v>
      </c>
      <c r="AL28" s="102"/>
      <c r="AM28" s="194"/>
      <c r="AN28" s="194"/>
      <c r="AO28" s="194"/>
    </row>
    <row r="29" spans="1:64" s="1" customFormat="1" ht="15.5" thickBot="1">
      <c r="A29" s="187" t="s">
        <v>499</v>
      </c>
      <c r="B29" s="206" t="s">
        <v>315</v>
      </c>
      <c r="C29" s="203">
        <f>SUM(C24:C28)</f>
        <v>1195624.4803591177</v>
      </c>
      <c r="D29" s="203">
        <f t="shared" ref="D29:AG29" si="14">SUM(D24:D28)</f>
        <v>1195624.4803591177</v>
      </c>
      <c r="E29" s="203">
        <f t="shared" si="14"/>
        <v>1195624.4803591177</v>
      </c>
      <c r="F29" s="203">
        <f t="shared" si="14"/>
        <v>1195624.4803591177</v>
      </c>
      <c r="G29" s="203">
        <f t="shared" si="14"/>
        <v>1195624.4803591177</v>
      </c>
      <c r="H29" s="203">
        <f t="shared" si="14"/>
        <v>1195624.4803591177</v>
      </c>
      <c r="I29" s="203">
        <f t="shared" si="14"/>
        <v>1195624.4803591177</v>
      </c>
      <c r="J29" s="203">
        <f t="shared" si="14"/>
        <v>1195624.4803591177</v>
      </c>
      <c r="K29" s="203">
        <f t="shared" si="14"/>
        <v>1195624.4803591177</v>
      </c>
      <c r="L29" s="203">
        <f t="shared" si="14"/>
        <v>1195624.4803591177</v>
      </c>
      <c r="M29" s="203">
        <f t="shared" si="14"/>
        <v>1195624.4803591177</v>
      </c>
      <c r="N29" s="203">
        <f t="shared" si="14"/>
        <v>1195624.4803591177</v>
      </c>
      <c r="O29" s="203">
        <f t="shared" si="14"/>
        <v>1195624.4803591177</v>
      </c>
      <c r="P29" s="203">
        <f t="shared" si="14"/>
        <v>1195624.4803591177</v>
      </c>
      <c r="Q29" s="203">
        <f t="shared" si="14"/>
        <v>1195624.4803591177</v>
      </c>
      <c r="R29" s="203">
        <f t="shared" si="14"/>
        <v>1195624.4803591177</v>
      </c>
      <c r="S29" s="203">
        <f t="shared" si="14"/>
        <v>1195624.4803591177</v>
      </c>
      <c r="T29" s="203">
        <f t="shared" si="14"/>
        <v>1195624.4803591177</v>
      </c>
      <c r="U29" s="203">
        <f t="shared" si="14"/>
        <v>1195624.4803591177</v>
      </c>
      <c r="V29" s="203">
        <f t="shared" si="14"/>
        <v>1195624.4803591177</v>
      </c>
      <c r="W29" s="203">
        <f t="shared" si="14"/>
        <v>1195624.4803591177</v>
      </c>
      <c r="X29" s="203">
        <f t="shared" si="14"/>
        <v>1195624.4803591177</v>
      </c>
      <c r="Y29" s="203">
        <f t="shared" si="14"/>
        <v>1195624.4803591177</v>
      </c>
      <c r="Z29" s="203">
        <f t="shared" si="14"/>
        <v>1195624.4803591177</v>
      </c>
      <c r="AA29" s="203">
        <f t="shared" si="14"/>
        <v>1195624.4803591177</v>
      </c>
      <c r="AB29" s="203">
        <f t="shared" si="14"/>
        <v>1195624.4803591177</v>
      </c>
      <c r="AC29" s="203">
        <f t="shared" si="14"/>
        <v>1195624.4803591177</v>
      </c>
      <c r="AD29" s="203">
        <f t="shared" si="14"/>
        <v>1195624.4803591177</v>
      </c>
      <c r="AE29" s="203">
        <f t="shared" si="14"/>
        <v>1195624.4803591177</v>
      </c>
      <c r="AF29" s="203">
        <f t="shared" si="14"/>
        <v>1195624.4803591177</v>
      </c>
      <c r="AG29" s="203">
        <f t="shared" si="14"/>
        <v>1195624.4803591177</v>
      </c>
      <c r="AJ29" s="151"/>
      <c r="AL29" s="207"/>
      <c r="AM29" s="118"/>
      <c r="AN29" s="118"/>
      <c r="AO29" s="118"/>
    </row>
    <row r="30" spans="1:64" ht="15.5" outlineLevel="1" thickTop="1">
      <c r="AL30" s="102"/>
      <c r="AM30" s="2"/>
      <c r="AN30" s="2"/>
      <c r="AO30" s="2"/>
    </row>
    <row r="31" spans="1:64" outlineLevel="1">
      <c r="A31" t="s">
        <v>517</v>
      </c>
      <c r="B31" s="165" t="s">
        <v>315</v>
      </c>
      <c r="C31" s="101">
        <f>C29</f>
        <v>1195624.4803591177</v>
      </c>
      <c r="D31" s="101">
        <f t="shared" ref="D31:AG31" si="15">D29</f>
        <v>1195624.4803591177</v>
      </c>
      <c r="E31" s="101">
        <f t="shared" si="15"/>
        <v>1195624.4803591177</v>
      </c>
      <c r="F31" s="101">
        <f t="shared" si="15"/>
        <v>1195624.4803591177</v>
      </c>
      <c r="G31" s="101">
        <f t="shared" si="15"/>
        <v>1195624.4803591177</v>
      </c>
      <c r="H31" s="101">
        <f t="shared" si="15"/>
        <v>1195624.4803591177</v>
      </c>
      <c r="I31" s="101">
        <f t="shared" si="15"/>
        <v>1195624.4803591177</v>
      </c>
      <c r="J31" s="101">
        <f t="shared" si="15"/>
        <v>1195624.4803591177</v>
      </c>
      <c r="K31" s="101">
        <f t="shared" si="15"/>
        <v>1195624.4803591177</v>
      </c>
      <c r="L31" s="101">
        <f t="shared" si="15"/>
        <v>1195624.4803591177</v>
      </c>
      <c r="M31" s="101">
        <f t="shared" si="15"/>
        <v>1195624.4803591177</v>
      </c>
      <c r="N31" s="101">
        <f t="shared" si="15"/>
        <v>1195624.4803591177</v>
      </c>
      <c r="O31" s="101">
        <f t="shared" si="15"/>
        <v>1195624.4803591177</v>
      </c>
      <c r="P31" s="101">
        <f t="shared" si="15"/>
        <v>1195624.4803591177</v>
      </c>
      <c r="Q31" s="101">
        <f t="shared" si="15"/>
        <v>1195624.4803591177</v>
      </c>
      <c r="R31" s="101">
        <f t="shared" si="15"/>
        <v>1195624.4803591177</v>
      </c>
      <c r="S31" s="101">
        <f t="shared" si="15"/>
        <v>1195624.4803591177</v>
      </c>
      <c r="T31" s="101">
        <f t="shared" si="15"/>
        <v>1195624.4803591177</v>
      </c>
      <c r="U31" s="101">
        <f t="shared" si="15"/>
        <v>1195624.4803591177</v>
      </c>
      <c r="V31" s="101">
        <f t="shared" si="15"/>
        <v>1195624.4803591177</v>
      </c>
      <c r="W31" s="101">
        <f t="shared" si="15"/>
        <v>1195624.4803591177</v>
      </c>
      <c r="X31" s="101">
        <f t="shared" si="15"/>
        <v>1195624.4803591177</v>
      </c>
      <c r="Y31" s="101">
        <f t="shared" si="15"/>
        <v>1195624.4803591177</v>
      </c>
      <c r="Z31" s="101">
        <f t="shared" si="15"/>
        <v>1195624.4803591177</v>
      </c>
      <c r="AA31" s="101">
        <f t="shared" si="15"/>
        <v>1195624.4803591177</v>
      </c>
      <c r="AB31" s="101">
        <f t="shared" si="15"/>
        <v>1195624.4803591177</v>
      </c>
      <c r="AC31" s="101">
        <f t="shared" si="15"/>
        <v>1195624.4803591177</v>
      </c>
      <c r="AD31" s="101">
        <f t="shared" si="15"/>
        <v>1195624.4803591177</v>
      </c>
      <c r="AE31" s="101">
        <f t="shared" si="15"/>
        <v>1195624.4803591177</v>
      </c>
      <c r="AF31" s="101">
        <f t="shared" si="15"/>
        <v>1195624.4803591177</v>
      </c>
      <c r="AG31" s="101">
        <f t="shared" si="15"/>
        <v>1195624.4803591177</v>
      </c>
      <c r="AL31" s="102"/>
      <c r="AM31" s="2"/>
      <c r="AN31" s="2"/>
      <c r="AO31" s="2"/>
    </row>
    <row r="32" spans="1:64" outlineLevel="1">
      <c r="A32" t="s">
        <v>500</v>
      </c>
      <c r="B32" s="165" t="s">
        <v>315</v>
      </c>
      <c r="C32" s="101">
        <f>'Yearly Demand - Eth-Prop'!L3*SUM('Demand - Propylene'!$C$25:$C$26)</f>
        <v>628724.4146251207</v>
      </c>
      <c r="D32" s="101">
        <f>'Yearly Demand - Eth-Prop'!M3*SUM('Demand - Propylene'!$C$25:$C$26)</f>
        <v>628724.4146251207</v>
      </c>
      <c r="E32" s="101">
        <f>'Yearly Demand - Eth-Prop'!N3*SUM('Demand - Propylene'!$C$25:$C$26)</f>
        <v>628724.4146251207</v>
      </c>
      <c r="F32" s="101">
        <f>'Yearly Demand - Eth-Prop'!O3*SUM('Demand - Propylene'!$C$25:$C$26)</f>
        <v>628724.4146251207</v>
      </c>
      <c r="G32" s="101">
        <f>'Yearly Demand - Eth-Prop'!P3*SUM('Demand - Propylene'!$C$25:$C$26)</f>
        <v>628724.4146251207</v>
      </c>
      <c r="H32" s="101">
        <f>'Yearly Demand - Eth-Prop'!Q3*SUM('Demand - Propylene'!$C$25:$C$26)</f>
        <v>628724.4146251207</v>
      </c>
      <c r="I32" s="101">
        <f>'Yearly Demand - Eth-Prop'!R3*SUM('Demand - Propylene'!$C$25:$C$26)</f>
        <v>628724.4146251207</v>
      </c>
      <c r="J32" s="101">
        <f>'Yearly Demand - Eth-Prop'!S3*SUM('Demand - Propylene'!$C$25:$C$26)</f>
        <v>628724.4146251207</v>
      </c>
      <c r="K32" s="101">
        <f>'Yearly Demand - Eth-Prop'!T3*SUM('Demand - Propylene'!$C$25:$C$26)</f>
        <v>628724.4146251207</v>
      </c>
      <c r="L32" s="101">
        <f>'Yearly Demand - Eth-Prop'!U3*SUM('Demand - Propylene'!$C$25:$C$26)</f>
        <v>628724.4146251207</v>
      </c>
      <c r="M32" s="101">
        <f>'Yearly Demand - Eth-Prop'!V3*SUM('Demand - Propylene'!$C$25:$C$26)</f>
        <v>628724.4146251207</v>
      </c>
      <c r="N32" s="101">
        <f>'Yearly Demand - Eth-Prop'!W3*SUM('Demand - Propylene'!$C$25:$C$26)</f>
        <v>628724.4146251207</v>
      </c>
      <c r="O32" s="101">
        <f>'Yearly Demand - Eth-Prop'!X3*SUM('Demand - Propylene'!$C$25:$C$26)</f>
        <v>628724.4146251207</v>
      </c>
      <c r="P32" s="101">
        <f>'Yearly Demand - Eth-Prop'!Y3*SUM('Demand - Propylene'!$C$25:$C$26)</f>
        <v>628724.4146251207</v>
      </c>
      <c r="Q32" s="101">
        <f>'Yearly Demand - Eth-Prop'!Z3*SUM('Demand - Propylene'!$C$25:$C$26)</f>
        <v>628724.4146251207</v>
      </c>
      <c r="R32" s="101">
        <f>'Yearly Demand - Eth-Prop'!AA3*SUM('Demand - Propylene'!$C$25:$C$26)</f>
        <v>628724.4146251207</v>
      </c>
      <c r="S32" s="101">
        <f>'Yearly Demand - Eth-Prop'!AB3*SUM('Demand - Propylene'!$C$25:$C$26)</f>
        <v>628724.4146251207</v>
      </c>
      <c r="T32" s="101">
        <f>'Yearly Demand - Eth-Prop'!AC3*SUM('Demand - Propylene'!$C$25:$C$26)</f>
        <v>628724.4146251207</v>
      </c>
      <c r="U32" s="101">
        <f>'Yearly Demand - Eth-Prop'!AD3*SUM('Demand - Propylene'!$C$25:$C$26)</f>
        <v>628724.4146251207</v>
      </c>
      <c r="V32" s="101">
        <f>'Yearly Demand - Eth-Prop'!AE3*SUM('Demand - Propylene'!$C$25:$C$26)</f>
        <v>628724.4146251207</v>
      </c>
      <c r="W32" s="101">
        <f>'Yearly Demand - Eth-Prop'!AF3*SUM('Demand - Propylene'!$C$25:$C$26)</f>
        <v>628724.4146251207</v>
      </c>
      <c r="X32" s="101">
        <f>'Yearly Demand - Eth-Prop'!AG3*SUM('Demand - Propylene'!$C$25:$C$26)</f>
        <v>628724.4146251207</v>
      </c>
      <c r="Y32" s="101">
        <f>'Yearly Demand - Eth-Prop'!AH3*SUM('Demand - Propylene'!$C$25:$C$26)</f>
        <v>628724.4146251207</v>
      </c>
      <c r="Z32" s="101">
        <f>'Yearly Demand - Eth-Prop'!AI3*SUM('Demand - Propylene'!$C$25:$C$26)</f>
        <v>628724.4146251207</v>
      </c>
      <c r="AA32" s="101">
        <f>'Yearly Demand - Eth-Prop'!AJ3*SUM('Demand - Propylene'!$C$25:$C$26)</f>
        <v>628724.4146251207</v>
      </c>
      <c r="AB32" s="101">
        <f>'Yearly Demand - Eth-Prop'!AK3*SUM('Demand - Propylene'!$C$25:$C$26)</f>
        <v>628724.4146251207</v>
      </c>
      <c r="AC32" s="101">
        <f>'Yearly Demand - Eth-Prop'!AL3*SUM('Demand - Propylene'!$C$25:$C$26)</f>
        <v>628724.4146251207</v>
      </c>
      <c r="AD32" s="101">
        <f>'Yearly Demand - Eth-Prop'!AM3*SUM('Demand - Propylene'!$C$25:$C$26)</f>
        <v>628724.4146251207</v>
      </c>
      <c r="AE32" s="101">
        <f>'Yearly Demand - Eth-Prop'!AN3*SUM('Demand - Propylene'!$C$25:$C$26)</f>
        <v>628724.4146251207</v>
      </c>
      <c r="AF32" s="101">
        <f>'Yearly Demand - Eth-Prop'!AO3*SUM('Demand - Propylene'!$C$25:$C$26)</f>
        <v>628724.4146251207</v>
      </c>
      <c r="AG32" s="101">
        <f>'Yearly Demand - Eth-Prop'!AP3*SUM('Demand - Propylene'!$C$25:$C$26)</f>
        <v>628724.4146251207</v>
      </c>
      <c r="AL32" s="102"/>
      <c r="AM32" s="2"/>
      <c r="AN32" s="2"/>
      <c r="AO32" s="2"/>
    </row>
    <row r="33" spans="1:64" outlineLevel="1">
      <c r="A33" t="s">
        <v>501</v>
      </c>
      <c r="B33" s="165" t="s">
        <v>315</v>
      </c>
      <c r="C33" s="101">
        <f>C32-C31</f>
        <v>-566900.06573399703</v>
      </c>
      <c r="D33" s="101">
        <f t="shared" ref="D33:AG33" si="16">D32-D31</f>
        <v>-566900.06573399703</v>
      </c>
      <c r="E33" s="101">
        <f t="shared" si="16"/>
        <v>-566900.06573399703</v>
      </c>
      <c r="F33" s="101">
        <f t="shared" si="16"/>
        <v>-566900.06573399703</v>
      </c>
      <c r="G33" s="101">
        <f t="shared" si="16"/>
        <v>-566900.06573399703</v>
      </c>
      <c r="H33" s="101">
        <f t="shared" si="16"/>
        <v>-566900.06573399703</v>
      </c>
      <c r="I33" s="101">
        <f t="shared" si="16"/>
        <v>-566900.06573399703</v>
      </c>
      <c r="J33" s="101">
        <f t="shared" si="16"/>
        <v>-566900.06573399703</v>
      </c>
      <c r="K33" s="101">
        <f t="shared" si="16"/>
        <v>-566900.06573399703</v>
      </c>
      <c r="L33" s="101">
        <f t="shared" si="16"/>
        <v>-566900.06573399703</v>
      </c>
      <c r="M33" s="101">
        <f t="shared" si="16"/>
        <v>-566900.06573399703</v>
      </c>
      <c r="N33" s="101">
        <f t="shared" si="16"/>
        <v>-566900.06573399703</v>
      </c>
      <c r="O33" s="101">
        <f t="shared" si="16"/>
        <v>-566900.06573399703</v>
      </c>
      <c r="P33" s="101">
        <f t="shared" si="16"/>
        <v>-566900.06573399703</v>
      </c>
      <c r="Q33" s="101">
        <f t="shared" si="16"/>
        <v>-566900.06573399703</v>
      </c>
      <c r="R33" s="101">
        <f t="shared" si="16"/>
        <v>-566900.06573399703</v>
      </c>
      <c r="S33" s="101">
        <f t="shared" si="16"/>
        <v>-566900.06573399703</v>
      </c>
      <c r="T33" s="101">
        <f t="shared" si="16"/>
        <v>-566900.06573399703</v>
      </c>
      <c r="U33" s="101">
        <f t="shared" si="16"/>
        <v>-566900.06573399703</v>
      </c>
      <c r="V33" s="101">
        <f t="shared" si="16"/>
        <v>-566900.06573399703</v>
      </c>
      <c r="W33" s="101">
        <f t="shared" si="16"/>
        <v>-566900.06573399703</v>
      </c>
      <c r="X33" s="101">
        <f t="shared" si="16"/>
        <v>-566900.06573399703</v>
      </c>
      <c r="Y33" s="101">
        <f t="shared" si="16"/>
        <v>-566900.06573399703</v>
      </c>
      <c r="Z33" s="101">
        <f t="shared" si="16"/>
        <v>-566900.06573399703</v>
      </c>
      <c r="AA33" s="101">
        <f t="shared" si="16"/>
        <v>-566900.06573399703</v>
      </c>
      <c r="AB33" s="101">
        <f t="shared" si="16"/>
        <v>-566900.06573399703</v>
      </c>
      <c r="AC33" s="101">
        <f t="shared" si="16"/>
        <v>-566900.06573399703</v>
      </c>
      <c r="AD33" s="101">
        <f t="shared" si="16"/>
        <v>-566900.06573399703</v>
      </c>
      <c r="AE33" s="101">
        <f t="shared" si="16"/>
        <v>-566900.06573399703</v>
      </c>
      <c r="AF33" s="101">
        <f t="shared" si="16"/>
        <v>-566900.06573399703</v>
      </c>
      <c r="AG33" s="101">
        <f t="shared" si="16"/>
        <v>-566900.06573399703</v>
      </c>
      <c r="AL33" s="102"/>
      <c r="AM33" s="2"/>
      <c r="AN33" s="2"/>
      <c r="AO33" s="2"/>
    </row>
    <row r="34" spans="1:64" outlineLevel="1">
      <c r="A34" t="s">
        <v>418</v>
      </c>
      <c r="B34" s="51" t="s">
        <v>126</v>
      </c>
      <c r="C34" s="2">
        <f>C31/C32</f>
        <v>1.9016670142704946</v>
      </c>
      <c r="D34" s="2">
        <f t="shared" ref="D34:AG34" si="17">D31/D32</f>
        <v>1.9016670142704946</v>
      </c>
      <c r="E34" s="2">
        <f t="shared" si="17"/>
        <v>1.9016670142704946</v>
      </c>
      <c r="F34" s="2">
        <f t="shared" si="17"/>
        <v>1.9016670142704946</v>
      </c>
      <c r="G34" s="2">
        <f t="shared" si="17"/>
        <v>1.9016670142704946</v>
      </c>
      <c r="H34" s="2">
        <f t="shared" si="17"/>
        <v>1.9016670142704946</v>
      </c>
      <c r="I34" s="2">
        <f t="shared" si="17"/>
        <v>1.9016670142704946</v>
      </c>
      <c r="J34" s="2">
        <f t="shared" si="17"/>
        <v>1.9016670142704946</v>
      </c>
      <c r="K34" s="2">
        <f t="shared" si="17"/>
        <v>1.9016670142704946</v>
      </c>
      <c r="L34" s="2">
        <f t="shared" si="17"/>
        <v>1.9016670142704946</v>
      </c>
      <c r="M34" s="2">
        <f t="shared" si="17"/>
        <v>1.9016670142704946</v>
      </c>
      <c r="N34" s="2">
        <f t="shared" si="17"/>
        <v>1.9016670142704946</v>
      </c>
      <c r="O34" s="2">
        <f t="shared" si="17"/>
        <v>1.9016670142704946</v>
      </c>
      <c r="P34" s="2">
        <f t="shared" si="17"/>
        <v>1.9016670142704946</v>
      </c>
      <c r="Q34" s="2">
        <f t="shared" si="17"/>
        <v>1.9016670142704946</v>
      </c>
      <c r="R34" s="2">
        <f t="shared" si="17"/>
        <v>1.9016670142704946</v>
      </c>
      <c r="S34" s="2">
        <f t="shared" si="17"/>
        <v>1.9016670142704946</v>
      </c>
      <c r="T34" s="2">
        <f t="shared" si="17"/>
        <v>1.9016670142704946</v>
      </c>
      <c r="U34" s="2">
        <f t="shared" si="17"/>
        <v>1.9016670142704946</v>
      </c>
      <c r="V34" s="2">
        <f t="shared" si="17"/>
        <v>1.9016670142704946</v>
      </c>
      <c r="W34" s="2">
        <f t="shared" si="17"/>
        <v>1.9016670142704946</v>
      </c>
      <c r="X34" s="2">
        <f t="shared" si="17"/>
        <v>1.9016670142704946</v>
      </c>
      <c r="Y34" s="2">
        <f t="shared" si="17"/>
        <v>1.9016670142704946</v>
      </c>
      <c r="Z34" s="2">
        <f t="shared" si="17"/>
        <v>1.9016670142704946</v>
      </c>
      <c r="AA34" s="2">
        <f t="shared" si="17"/>
        <v>1.9016670142704946</v>
      </c>
      <c r="AB34" s="2">
        <f t="shared" si="17"/>
        <v>1.9016670142704946</v>
      </c>
      <c r="AC34" s="2">
        <f t="shared" si="17"/>
        <v>1.9016670142704946</v>
      </c>
      <c r="AD34" s="2">
        <f t="shared" si="17"/>
        <v>1.9016670142704946</v>
      </c>
      <c r="AE34" s="2">
        <f t="shared" si="17"/>
        <v>1.9016670142704946</v>
      </c>
      <c r="AF34" s="2">
        <f t="shared" si="17"/>
        <v>1.9016670142704946</v>
      </c>
      <c r="AG34" s="2">
        <f t="shared" si="17"/>
        <v>1.9016670142704946</v>
      </c>
      <c r="AI34" s="195"/>
      <c r="AL34" s="102"/>
      <c r="AM34" s="2"/>
      <c r="AN34" s="2"/>
      <c r="AO34" s="2"/>
    </row>
    <row r="35" spans="1:64" outlineLevel="1">
      <c r="AL35" s="102"/>
      <c r="AM35" s="2"/>
      <c r="AN35" s="2"/>
      <c r="AO35" s="2"/>
    </row>
    <row r="36" spans="1:64" outlineLevel="1">
      <c r="A36" t="s">
        <v>319</v>
      </c>
      <c r="B36" s="51" t="s">
        <v>126</v>
      </c>
      <c r="C36" s="22">
        <f>'Yearly HC Propylene'!D21/'Yearly HC Propylene'!D14</f>
        <v>1</v>
      </c>
      <c r="D36" s="22">
        <f>'Yearly HC Propylene'!E21/'Yearly HC Propylene'!E14</f>
        <v>0.99496300000000004</v>
      </c>
      <c r="E36" s="22">
        <f>'Yearly HC Propylene'!F21/'Yearly HC Propylene'!F14</f>
        <v>0.98992600000000008</v>
      </c>
      <c r="F36" s="22">
        <f>'Yearly HC Propylene'!G21/'Yearly HC Propylene'!G14</f>
        <v>0.98488900000000013</v>
      </c>
      <c r="G36" s="22">
        <f>'Yearly HC Propylene'!H21/'Yearly HC Propylene'!H14</f>
        <v>0.97985200000000006</v>
      </c>
      <c r="H36" s="22">
        <f>'Yearly HC Propylene'!I21/'Yearly HC Propylene'!I14</f>
        <v>0.9748150000000001</v>
      </c>
      <c r="I36" s="22">
        <f>'Yearly HC Propylene'!J21/'Yearly HC Propylene'!J14</f>
        <v>0.96977799999999992</v>
      </c>
      <c r="J36" s="22">
        <f>'Yearly HC Propylene'!K21/'Yearly HC Propylene'!K14</f>
        <v>0.96474099999999996</v>
      </c>
      <c r="K36" s="22">
        <f>'Yearly HC Propylene'!L21/'Yearly HC Propylene'!L14</f>
        <v>0.95970399999999989</v>
      </c>
      <c r="L36" s="22">
        <f>'Yearly HC Propylene'!M21/'Yearly HC Propylene'!M14</f>
        <v>0.95466699999999993</v>
      </c>
      <c r="M36" s="22">
        <f>'Yearly HC Propylene'!N21/'Yearly HC Propylene'!N14</f>
        <v>0.94962999999999997</v>
      </c>
      <c r="N36" s="22">
        <f>'Yearly HC Propylene'!O21/'Yearly HC Propylene'!O14</f>
        <v>0.94136799999999998</v>
      </c>
      <c r="O36" s="22">
        <f>'Yearly HC Propylene'!P21/'Yearly HC Propylene'!P14</f>
        <v>0.93366599999999988</v>
      </c>
      <c r="P36" s="22">
        <f>'Yearly HC Propylene'!Q21/'Yearly HC Propylene'!Q14</f>
        <v>0.92515199999999986</v>
      </c>
      <c r="Q36" s="22">
        <f>'Yearly HC Propylene'!R21/'Yearly HC Propylene'!R14</f>
        <v>0.91663799999999995</v>
      </c>
      <c r="R36" s="22">
        <f>'Yearly HC Propylene'!S21/'Yearly HC Propylene'!S14</f>
        <v>0.90812399999999993</v>
      </c>
      <c r="S36" s="22">
        <f>'Yearly HC Propylene'!T21/'Yearly HC Propylene'!T14</f>
        <v>0.89960999999999991</v>
      </c>
      <c r="T36" s="22">
        <f>'Yearly HC Propylene'!U21/'Yearly HC Propylene'!U14</f>
        <v>0.891096</v>
      </c>
      <c r="U36" s="22">
        <f>'Yearly HC Propylene'!V21/'Yearly HC Propylene'!V14</f>
        <v>0.88258199999999998</v>
      </c>
      <c r="V36" s="22">
        <f>'Yearly HC Propylene'!W21/'Yearly HC Propylene'!W14</f>
        <v>0.87406799999999996</v>
      </c>
      <c r="W36" s="22">
        <f>'Yearly HC Propylene'!X21/'Yearly HC Propylene'!X14</f>
        <v>0.86555400000000005</v>
      </c>
      <c r="X36" s="22">
        <f>'Yearly HC Propylene'!Y21/'Yearly HC Propylene'!Y14</f>
        <v>0.85228499999999996</v>
      </c>
      <c r="Y36" s="22">
        <f>'Yearly HC Propylene'!Z21/'Yearly HC Propylene'!Z14</f>
        <v>0.84392</v>
      </c>
      <c r="Z36" s="22">
        <f>'Yearly HC Propylene'!AA21/'Yearly HC Propylene'!AA14</f>
        <v>0.83555500000000005</v>
      </c>
      <c r="AA36" s="22">
        <f>'Yearly HC Propylene'!AB21/'Yearly HC Propylene'!AB14</f>
        <v>0.82718999999999998</v>
      </c>
      <c r="AB36" s="22">
        <f>'Yearly HC Propylene'!AC21/'Yearly HC Propylene'!AC14</f>
        <v>0.81882500000000003</v>
      </c>
      <c r="AC36" s="22">
        <f>'Yearly HC Propylene'!AD21/'Yearly HC Propylene'!AD14</f>
        <v>0.81046000000000007</v>
      </c>
      <c r="AD36" s="22">
        <f>'Yearly HC Propylene'!AE21/'Yearly HC Propylene'!AE14</f>
        <v>0.802095</v>
      </c>
      <c r="AE36" s="22">
        <f>'Yearly HC Propylene'!AF21/'Yearly HC Propylene'!AF14</f>
        <v>0.79372999999999994</v>
      </c>
      <c r="AF36" s="22">
        <f>'Yearly HC Propylene'!AG21/'Yearly HC Propylene'!AG14</f>
        <v>0.78536499999999998</v>
      </c>
      <c r="AG36" s="22">
        <f>'Yearly HC Propylene'!AH21/'Yearly HC Propylene'!AH14</f>
        <v>0.77700000000000002</v>
      </c>
      <c r="AL36" s="102"/>
      <c r="AM36" s="2"/>
      <c r="AN36" s="2"/>
      <c r="AO36" s="2"/>
      <c r="BC36" s="1"/>
      <c r="BD36" s="116"/>
      <c r="BE36" s="116"/>
      <c r="BF36" s="116"/>
      <c r="BG36" s="116"/>
      <c r="BH36" s="116"/>
      <c r="BI36" s="116"/>
      <c r="BJ36" s="116"/>
      <c r="BK36" s="116"/>
    </row>
    <row r="37" spans="1:64" outlineLevel="1">
      <c r="A37" t="s">
        <v>320</v>
      </c>
      <c r="B37" s="51" t="s">
        <v>126</v>
      </c>
      <c r="C37" s="22">
        <f>'Yearly HC Propylene'!D13/'Yearly HC Propylene'!D6</f>
        <v>1</v>
      </c>
      <c r="D37" s="22">
        <f>'Yearly HC Propylene'!E13/'Yearly HC Propylene'!E6</f>
        <v>0.99659614386000006</v>
      </c>
      <c r="E37" s="22">
        <f>'Yearly HC Propylene'!F13/'Yearly HC Propylene'!F6</f>
        <v>0.99318463088000009</v>
      </c>
      <c r="F37" s="22">
        <f>'Yearly HC Propylene'!G13/'Yearly HC Propylene'!G6</f>
        <v>0.98976554421999996</v>
      </c>
      <c r="G37" s="22">
        <f>'Yearly HC Propylene'!H13/'Yearly HC Propylene'!H6</f>
        <v>0.9863389670399999</v>
      </c>
      <c r="H37" s="22">
        <f>'Yearly HC Propylene'!I13/'Yearly HC Propylene'!I6</f>
        <v>0.98290498249999991</v>
      </c>
      <c r="I37" s="22">
        <f>'Yearly HC Propylene'!J13/'Yearly HC Propylene'!J6</f>
        <v>0.97946367375999999</v>
      </c>
      <c r="J37" s="22">
        <f>'Yearly HC Propylene'!K13/'Yearly HC Propylene'!K6</f>
        <v>0.97601512398000001</v>
      </c>
      <c r="K37" s="22">
        <f>'Yearly HC Propylene'!L13/'Yearly HC Propylene'!L6</f>
        <v>0.97255941632000009</v>
      </c>
      <c r="L37" s="22">
        <f>'Yearly HC Propylene'!M13/'Yearly HC Propylene'!M6</f>
        <v>0.96909663394000001</v>
      </c>
      <c r="M37" s="22">
        <f>'Yearly HC Propylene'!N13/'Yearly HC Propylene'!N6</f>
        <v>0.96562685999999998</v>
      </c>
      <c r="N37" s="22">
        <f>'Yearly HC Propylene'!O13/'Yearly HC Propylene'!O6</f>
        <v>0.95424544924999988</v>
      </c>
      <c r="O37" s="22">
        <f>'Yearly HC Propylene'!P13/'Yearly HC Propylene'!P6</f>
        <v>0.94283530239999991</v>
      </c>
      <c r="P37" s="22">
        <f>'Yearly HC Propylene'!Q13/'Yearly HC Propylene'!Q6</f>
        <v>0.93139829055000001</v>
      </c>
      <c r="Q37" s="22">
        <f>'Yearly HC Propylene'!R13/'Yearly HC Propylene'!R6</f>
        <v>0.9199362848</v>
      </c>
      <c r="R37" s="22">
        <f>'Yearly HC Propylene'!S13/'Yearly HC Propylene'!S6</f>
        <v>0.90845115624999995</v>
      </c>
      <c r="S37" s="22">
        <f>'Yearly HC Propylene'!T13/'Yearly HC Propylene'!T6</f>
        <v>0.89694477599999989</v>
      </c>
      <c r="T37" s="22">
        <f>'Yearly HC Propylene'!U13/'Yearly HC Propylene'!U6</f>
        <v>0.88541901514999999</v>
      </c>
      <c r="U37" s="22">
        <f>'Yearly HC Propylene'!V13/'Yearly HC Propylene'!V6</f>
        <v>0.87387574480000008</v>
      </c>
      <c r="V37" s="22">
        <f>'Yearly HC Propylene'!W13/'Yearly HC Propylene'!W6</f>
        <v>0.86231683604999998</v>
      </c>
      <c r="W37" s="22">
        <f>'Yearly HC Propylene'!X13/'Yearly HC Propylene'!X6</f>
        <v>0.85074416000000008</v>
      </c>
      <c r="X37" s="22">
        <f>'Yearly HC Propylene'!Y13/'Yearly HC Propylene'!Y6</f>
        <v>0.82220114323999993</v>
      </c>
      <c r="Y37" s="22">
        <f>'Yearly HC Propylene'!Z13/'Yearly HC Propylene'!Z6</f>
        <v>0.79402206271999998</v>
      </c>
      <c r="Z37" s="22">
        <f>'Yearly HC Propylene'!AA13/'Yearly HC Propylene'!AA6</f>
        <v>0.76621140907999996</v>
      </c>
      <c r="AA37" s="22">
        <f>'Yearly HC Propylene'!AB13/'Yearly HC Propylene'!AB6</f>
        <v>0.73877367296000007</v>
      </c>
      <c r="AB37" s="22">
        <f>'Yearly HC Propylene'!AC13/'Yearly HC Propylene'!AC6</f>
        <v>0.71171334500000005</v>
      </c>
      <c r="AC37" s="22">
        <f>'Yearly HC Propylene'!AD13/'Yearly HC Propylene'!AD6</f>
        <v>0.68503491583999998</v>
      </c>
      <c r="AD37" s="22">
        <f>'Yearly HC Propylene'!AE13/'Yearly HC Propylene'!AE6</f>
        <v>0.65874287611999993</v>
      </c>
      <c r="AE37" s="22">
        <f>'Yearly HC Propylene'!AF13/'Yearly HC Propylene'!AF6</f>
        <v>0.63284171648000009</v>
      </c>
      <c r="AF37" s="22">
        <f>'Yearly HC Propylene'!AG13/'Yearly HC Propylene'!AG6</f>
        <v>0.60733592755999999</v>
      </c>
      <c r="AG37" s="22">
        <f>'Yearly HC Propylene'!AH13/'Yearly HC Propylene'!AH6</f>
        <v>0.58223000000000003</v>
      </c>
      <c r="AL37" s="102"/>
      <c r="AM37" s="2"/>
      <c r="AN37" s="2"/>
      <c r="AO37" s="2"/>
      <c r="BL37" s="1"/>
    </row>
    <row r="38" spans="1:64" outlineLevel="1">
      <c r="A38" t="s">
        <v>321</v>
      </c>
      <c r="B38" s="51" t="s">
        <v>126</v>
      </c>
      <c r="C38" s="22">
        <f>'Yearly HC Propylene'!D25/'Yearly HC Propylene'!D22</f>
        <v>1</v>
      </c>
      <c r="D38" s="22">
        <f>'Yearly HC Propylene'!E25/'Yearly HC Propylene'!E22</f>
        <v>0.98184999999999989</v>
      </c>
      <c r="E38" s="22">
        <f>'Yearly HC Propylene'!F25/'Yearly HC Propylene'!F22</f>
        <v>0.9637</v>
      </c>
      <c r="F38" s="22">
        <f>'Yearly HC Propylene'!G25/'Yearly HC Propylene'!G22</f>
        <v>0.94555</v>
      </c>
      <c r="G38" s="22">
        <f>'Yearly HC Propylene'!H25/'Yearly HC Propylene'!H22</f>
        <v>0.9274</v>
      </c>
      <c r="H38" s="22">
        <f>'Yearly HC Propylene'!I25/'Yearly HC Propylene'!I22</f>
        <v>0.90925</v>
      </c>
      <c r="I38" s="22">
        <f>'Yearly HC Propylene'!J25/'Yearly HC Propylene'!J22</f>
        <v>0.8911</v>
      </c>
      <c r="J38" s="22">
        <f>'Yearly HC Propylene'!K25/'Yearly HC Propylene'!K22</f>
        <v>0.87295</v>
      </c>
      <c r="K38" s="22">
        <f>'Yearly HC Propylene'!L25/'Yearly HC Propylene'!L22</f>
        <v>0.8548</v>
      </c>
      <c r="L38" s="22">
        <f>'Yearly HC Propylene'!M25/'Yearly HC Propylene'!M22</f>
        <v>0.83664999999999989</v>
      </c>
      <c r="M38" s="22">
        <f>'Yearly HC Propylene'!N25/'Yearly HC Propylene'!N22</f>
        <v>0.81850000000000001</v>
      </c>
      <c r="N38" s="22">
        <f>'Yearly HC Propylene'!O25/'Yearly HC Propylene'!O22</f>
        <v>0.80035000000000001</v>
      </c>
      <c r="O38" s="22">
        <f>'Yearly HC Propylene'!P25/'Yearly HC Propylene'!P22</f>
        <v>0.7821999999999999</v>
      </c>
      <c r="P38" s="22">
        <f>'Yearly HC Propylene'!Q25/'Yearly HC Propylene'!Q22</f>
        <v>0.7640499999999999</v>
      </c>
      <c r="Q38" s="22">
        <f>'Yearly HC Propylene'!R25/'Yearly HC Propylene'!R22</f>
        <v>0.74590000000000001</v>
      </c>
      <c r="R38" s="22">
        <f>'Yearly HC Propylene'!S25/'Yearly HC Propylene'!S22</f>
        <v>0.72775000000000001</v>
      </c>
      <c r="S38" s="22">
        <f>'Yearly HC Propylene'!T25/'Yearly HC Propylene'!T22</f>
        <v>0.70960000000000001</v>
      </c>
      <c r="T38" s="22">
        <f>'Yearly HC Propylene'!U25/'Yearly HC Propylene'!U22</f>
        <v>0.6914499999999999</v>
      </c>
      <c r="U38" s="22">
        <f>'Yearly HC Propylene'!V25/'Yearly HC Propylene'!V22</f>
        <v>0.6732999999999999</v>
      </c>
      <c r="V38" s="22">
        <f>'Yearly HC Propylene'!W25/'Yearly HC Propylene'!W22</f>
        <v>0.65515000000000001</v>
      </c>
      <c r="W38" s="22">
        <f>'Yearly HC Propylene'!X25/'Yearly HC Propylene'!X22</f>
        <v>0.6369999999999999</v>
      </c>
      <c r="X38" s="22">
        <f>'Yearly HC Propylene'!Y25/'Yearly HC Propylene'!Y22</f>
        <v>0.61829999999999996</v>
      </c>
      <c r="Y38" s="22">
        <f>'Yearly HC Propylene'!Z25/'Yearly HC Propylene'!Z22</f>
        <v>0.59959999999999991</v>
      </c>
      <c r="Z38" s="22">
        <f>'Yearly HC Propylene'!AA25/'Yearly HC Propylene'!AA22</f>
        <v>0.58089999999999997</v>
      </c>
      <c r="AA38" s="22">
        <f>'Yearly HC Propylene'!AB25/'Yearly HC Propylene'!AB22</f>
        <v>0.56219999999999992</v>
      </c>
      <c r="AB38" s="22">
        <f>'Yearly HC Propylene'!AC25/'Yearly HC Propylene'!AC22</f>
        <v>0.54349999999999987</v>
      </c>
      <c r="AC38" s="22">
        <f>'Yearly HC Propylene'!AD25/'Yearly HC Propylene'!AD22</f>
        <v>0.52479999999999982</v>
      </c>
      <c r="AD38" s="22">
        <f>'Yearly HC Propylene'!AE25/'Yearly HC Propylene'!AE22</f>
        <v>0.50609999999999999</v>
      </c>
      <c r="AE38" s="22">
        <f>'Yearly HC Propylene'!AF25/'Yearly HC Propylene'!AF22</f>
        <v>0.48739999999999994</v>
      </c>
      <c r="AF38" s="22">
        <f>'Yearly HC Propylene'!AG25/'Yearly HC Propylene'!AG22</f>
        <v>0.46869999999999989</v>
      </c>
      <c r="AG38" s="22">
        <f>'Yearly HC Propylene'!AH25/'Yearly HC Propylene'!AH22</f>
        <v>0.4499999999999999</v>
      </c>
      <c r="AL38" s="102"/>
      <c r="AM38" s="2"/>
      <c r="AN38" s="2"/>
      <c r="AO38" s="2"/>
      <c r="BD38" s="38"/>
      <c r="BE38" s="38"/>
      <c r="BF38" s="38"/>
      <c r="BG38" s="38"/>
      <c r="BH38" s="38"/>
      <c r="BI38" s="38"/>
      <c r="BJ38" s="38"/>
      <c r="BK38" s="38"/>
      <c r="BL38" s="112"/>
    </row>
    <row r="39" spans="1:64" outlineLevel="1">
      <c r="A39" t="s">
        <v>502</v>
      </c>
      <c r="B39" s="51" t="s">
        <v>126</v>
      </c>
      <c r="C39" s="22" t="s">
        <v>519</v>
      </c>
      <c r="D39" s="22" t="s">
        <v>519</v>
      </c>
      <c r="E39" s="22" t="s">
        <v>519</v>
      </c>
      <c r="F39" s="22" t="s">
        <v>519</v>
      </c>
      <c r="G39" s="22" t="s">
        <v>519</v>
      </c>
      <c r="H39" s="22" t="s">
        <v>519</v>
      </c>
      <c r="I39" s="22" t="s">
        <v>519</v>
      </c>
      <c r="J39" s="22" t="s">
        <v>519</v>
      </c>
      <c r="K39" s="22" t="s">
        <v>519</v>
      </c>
      <c r="L39" s="22" t="s">
        <v>519</v>
      </c>
      <c r="M39" s="22" t="s">
        <v>519</v>
      </c>
      <c r="N39" s="22" t="s">
        <v>519</v>
      </c>
      <c r="O39" s="22" t="s">
        <v>519</v>
      </c>
      <c r="P39" s="22" t="s">
        <v>519</v>
      </c>
      <c r="Q39" s="22" t="s">
        <v>519</v>
      </c>
      <c r="R39" s="22" t="s">
        <v>519</v>
      </c>
      <c r="S39" s="22" t="s">
        <v>519</v>
      </c>
      <c r="T39" s="22" t="s">
        <v>519</v>
      </c>
      <c r="U39" s="22" t="s">
        <v>519</v>
      </c>
      <c r="V39" s="22" t="s">
        <v>519</v>
      </c>
      <c r="W39" s="22" t="s">
        <v>519</v>
      </c>
      <c r="X39" s="22" t="s">
        <v>519</v>
      </c>
      <c r="Y39" s="22" t="s">
        <v>519</v>
      </c>
      <c r="Z39" s="22" t="s">
        <v>519</v>
      </c>
      <c r="AA39" s="22" t="s">
        <v>519</v>
      </c>
      <c r="AB39" s="22" t="s">
        <v>519</v>
      </c>
      <c r="AC39" s="22" t="s">
        <v>519</v>
      </c>
      <c r="AD39" s="22" t="s">
        <v>519</v>
      </c>
      <c r="AE39" s="22" t="s">
        <v>519</v>
      </c>
      <c r="AF39" s="22" t="s">
        <v>519</v>
      </c>
      <c r="AG39" s="22" t="s">
        <v>519</v>
      </c>
      <c r="AL39" s="102"/>
      <c r="AM39" s="2"/>
      <c r="AN39" s="2"/>
      <c r="AO39" s="2"/>
      <c r="BD39" s="38"/>
      <c r="BE39" s="38"/>
      <c r="BF39" s="38"/>
      <c r="BG39" s="38"/>
      <c r="BH39" s="38"/>
      <c r="BI39" s="38"/>
      <c r="BJ39" s="38"/>
      <c r="BK39" s="38"/>
      <c r="BL39" s="112"/>
    </row>
    <row r="40" spans="1:64" outlineLevel="1">
      <c r="A40" t="s">
        <v>322</v>
      </c>
      <c r="B40" s="165" t="s">
        <v>126</v>
      </c>
      <c r="C40" s="104">
        <f>'Yearly HC Propylene'!D35/'Yearly HC Propylene'!D32</f>
        <v>1</v>
      </c>
      <c r="D40" s="104">
        <f>'Yearly HC Propylene'!E35/'Yearly HC Propylene'!E32</f>
        <v>0.99340000000000006</v>
      </c>
      <c r="E40" s="104">
        <f>'Yearly HC Propylene'!F35/'Yearly HC Propylene'!F32</f>
        <v>0.98680000000000001</v>
      </c>
      <c r="F40" s="104">
        <f>'Yearly HC Propylene'!G35/'Yearly HC Propylene'!G32</f>
        <v>0.98019999999999996</v>
      </c>
      <c r="G40" s="104">
        <f>'Yearly HC Propylene'!H35/'Yearly HC Propylene'!H32</f>
        <v>0.97360000000000002</v>
      </c>
      <c r="H40" s="104">
        <f>'Yearly HC Propylene'!I35/'Yearly HC Propylene'!I32</f>
        <v>0.96700000000000008</v>
      </c>
      <c r="I40" s="104">
        <f>'Yearly HC Propylene'!J35/'Yearly HC Propylene'!J32</f>
        <v>0.96039999999999992</v>
      </c>
      <c r="J40" s="104">
        <f>'Yearly HC Propylene'!K35/'Yearly HC Propylene'!K32</f>
        <v>0.95380000000000009</v>
      </c>
      <c r="K40" s="104">
        <f>'Yearly HC Propylene'!L35/'Yearly HC Propylene'!L32</f>
        <v>0.94720000000000004</v>
      </c>
      <c r="L40" s="104">
        <f>'Yearly HC Propylene'!M35/'Yearly HC Propylene'!M32</f>
        <v>0.9406000000000001</v>
      </c>
      <c r="M40" s="104">
        <f>'Yearly HC Propylene'!N35/'Yearly HC Propylene'!N32</f>
        <v>0.93400000000000005</v>
      </c>
      <c r="N40" s="104">
        <f>'Yearly HC Propylene'!O35/'Yearly HC Propylene'!O32</f>
        <v>0.92739999999999989</v>
      </c>
      <c r="O40" s="104">
        <f>'Yearly HC Propylene'!P35/'Yearly HC Propylene'!P32</f>
        <v>0.92079999999999995</v>
      </c>
      <c r="P40" s="104">
        <f>'Yearly HC Propylene'!Q35/'Yearly HC Propylene'!Q32</f>
        <v>0.91420000000000001</v>
      </c>
      <c r="Q40" s="104">
        <f>'Yearly HC Propylene'!R35/'Yearly HC Propylene'!R32</f>
        <v>0.90759999999999996</v>
      </c>
      <c r="R40" s="104">
        <f>'Yearly HC Propylene'!S35/'Yearly HC Propylene'!S32</f>
        <v>0.90100000000000002</v>
      </c>
      <c r="S40" s="104">
        <f>'Yearly HC Propylene'!T35/'Yearly HC Propylene'!T32</f>
        <v>0.89439999999999986</v>
      </c>
      <c r="T40" s="104">
        <f>'Yearly HC Propylene'!U35/'Yearly HC Propylene'!U32</f>
        <v>0.88779999999999992</v>
      </c>
      <c r="U40" s="104">
        <f>'Yearly HC Propylene'!V35/'Yearly HC Propylene'!V32</f>
        <v>0.88120000000000009</v>
      </c>
      <c r="V40" s="104">
        <f>'Yearly HC Propylene'!W35/'Yearly HC Propylene'!W32</f>
        <v>0.87460000000000004</v>
      </c>
      <c r="W40" s="104">
        <f>'Yearly HC Propylene'!X35/'Yearly HC Propylene'!X32</f>
        <v>0.86799999999999988</v>
      </c>
      <c r="X40" s="104">
        <f>'Yearly HC Propylene'!Y35/'Yearly HC Propylene'!Y32</f>
        <v>0.86119999999999997</v>
      </c>
      <c r="Y40" s="104">
        <f>'Yearly HC Propylene'!Z35/'Yearly HC Propylene'!Z32</f>
        <v>0.85439999999999994</v>
      </c>
      <c r="Z40" s="104">
        <f>'Yearly HC Propylene'!AA35/'Yearly HC Propylene'!AA32</f>
        <v>0.84760000000000002</v>
      </c>
      <c r="AA40" s="104">
        <f>'Yearly HC Propylene'!AB35/'Yearly HC Propylene'!AB32</f>
        <v>0.84079999999999999</v>
      </c>
      <c r="AB40" s="104">
        <f>'Yearly HC Propylene'!AC35/'Yearly HC Propylene'!AC32</f>
        <v>0.83399999999999996</v>
      </c>
      <c r="AC40" s="104">
        <f>'Yearly HC Propylene'!AD35/'Yearly HC Propylene'!AD32</f>
        <v>0.82719999999999994</v>
      </c>
      <c r="AD40" s="104">
        <f>'Yearly HC Propylene'!AE35/'Yearly HC Propylene'!AE32</f>
        <v>0.82040000000000002</v>
      </c>
      <c r="AE40" s="104">
        <f>'Yearly HC Propylene'!AF35/'Yearly HC Propylene'!AF32</f>
        <v>0.8136000000000001</v>
      </c>
      <c r="AF40" s="104">
        <f>'Yearly HC Propylene'!AG35/'Yearly HC Propylene'!AG32</f>
        <v>0.80679999999999996</v>
      </c>
      <c r="AG40" s="104">
        <f>'Yearly HC Propylene'!AH35/'Yearly HC Propylene'!AH32</f>
        <v>0.8</v>
      </c>
      <c r="AI40" s="124"/>
      <c r="AL40" s="102"/>
      <c r="AM40" s="2"/>
      <c r="AN40" s="2"/>
      <c r="AO40" s="2"/>
      <c r="BD40" s="38"/>
      <c r="BE40" s="38"/>
      <c r="BF40" s="38"/>
      <c r="BG40" s="38"/>
      <c r="BH40" s="38"/>
      <c r="BI40" s="38"/>
      <c r="BJ40" s="38"/>
      <c r="BK40" s="38"/>
      <c r="BL40" s="112"/>
    </row>
    <row r="41" spans="1:64" outlineLevel="1">
      <c r="AI41" t="s">
        <v>421</v>
      </c>
      <c r="BD41" s="38"/>
      <c r="BE41" s="38"/>
      <c r="BF41" s="38"/>
      <c r="BG41" s="38"/>
      <c r="BH41" s="38"/>
      <c r="BI41" s="38"/>
      <c r="BJ41" s="38"/>
      <c r="BK41" s="38"/>
      <c r="BL41" s="112"/>
    </row>
    <row r="42" spans="1:64" outlineLevel="1">
      <c r="A42" t="s">
        <v>323</v>
      </c>
      <c r="B42" s="51" t="s">
        <v>315</v>
      </c>
      <c r="C42" s="101">
        <f>C24*C36</f>
        <v>596429.49791931454</v>
      </c>
      <c r="D42" s="101">
        <f t="shared" ref="D42:AF42" si="18">D24*D36</f>
        <v>593425.28253829503</v>
      </c>
      <c r="E42" s="101">
        <f t="shared" si="18"/>
        <v>590421.06715727539</v>
      </c>
      <c r="F42" s="101">
        <f t="shared" si="18"/>
        <v>587416.85177625588</v>
      </c>
      <c r="G42" s="101">
        <f t="shared" si="18"/>
        <v>584412.63639523624</v>
      </c>
      <c r="H42" s="101">
        <f t="shared" si="18"/>
        <v>581408.42101421661</v>
      </c>
      <c r="I42" s="101">
        <f t="shared" si="18"/>
        <v>578404.20563319698</v>
      </c>
      <c r="J42" s="101">
        <f t="shared" si="18"/>
        <v>575399.99025217735</v>
      </c>
      <c r="K42" s="101">
        <f t="shared" si="18"/>
        <v>572395.77487115783</v>
      </c>
      <c r="L42" s="101">
        <f t="shared" si="18"/>
        <v>569391.5594901382</v>
      </c>
      <c r="M42" s="101">
        <f t="shared" si="18"/>
        <v>566387.34410911868</v>
      </c>
      <c r="N42" s="101">
        <f t="shared" si="18"/>
        <v>561459.64359730924</v>
      </c>
      <c r="O42" s="101">
        <f t="shared" si="18"/>
        <v>556865.94360433461</v>
      </c>
      <c r="P42" s="101">
        <f t="shared" si="18"/>
        <v>551787.94285904965</v>
      </c>
      <c r="Q42" s="101">
        <f t="shared" si="18"/>
        <v>546709.94211376458</v>
      </c>
      <c r="R42" s="101">
        <f t="shared" si="18"/>
        <v>541631.94136847951</v>
      </c>
      <c r="S42" s="101">
        <f t="shared" si="18"/>
        <v>536553.94062319444</v>
      </c>
      <c r="T42" s="101">
        <f t="shared" si="18"/>
        <v>531475.93987790949</v>
      </c>
      <c r="U42" s="101">
        <f t="shared" si="18"/>
        <v>526397.93913262442</v>
      </c>
      <c r="V42" s="101">
        <f t="shared" si="18"/>
        <v>521319.93838733941</v>
      </c>
      <c r="W42" s="101">
        <f t="shared" si="18"/>
        <v>516241.9376420544</v>
      </c>
      <c r="X42" s="101">
        <f t="shared" si="18"/>
        <v>508327.91463416297</v>
      </c>
      <c r="Y42" s="101">
        <f t="shared" si="18"/>
        <v>503338.78188406792</v>
      </c>
      <c r="Z42" s="101">
        <f t="shared" si="18"/>
        <v>498349.64913397288</v>
      </c>
      <c r="AA42" s="101">
        <f t="shared" si="18"/>
        <v>493360.51638387778</v>
      </c>
      <c r="AB42" s="101">
        <f t="shared" si="18"/>
        <v>488371.38363378274</v>
      </c>
      <c r="AC42" s="101">
        <f t="shared" si="18"/>
        <v>483382.2508836877</v>
      </c>
      <c r="AD42" s="101">
        <f t="shared" si="18"/>
        <v>478393.11813359259</v>
      </c>
      <c r="AE42" s="101">
        <f t="shared" si="18"/>
        <v>473403.98538349749</v>
      </c>
      <c r="AF42" s="101">
        <f t="shared" si="18"/>
        <v>468414.85263340245</v>
      </c>
      <c r="AG42" s="101">
        <f>AG24*AG36</f>
        <v>463425.71988330741</v>
      </c>
      <c r="AI42" s="197" t="s">
        <v>281</v>
      </c>
      <c r="AJ42" s="198" t="s">
        <v>422</v>
      </c>
      <c r="BD42" s="38"/>
      <c r="BE42" s="38"/>
      <c r="BF42" s="38"/>
      <c r="BG42" s="38"/>
      <c r="BH42" s="38"/>
      <c r="BI42" s="38"/>
      <c r="BJ42" s="38"/>
      <c r="BK42" s="38"/>
      <c r="BL42" s="112"/>
    </row>
    <row r="43" spans="1:64" outlineLevel="1">
      <c r="A43" t="s">
        <v>324</v>
      </c>
      <c r="B43" s="51" t="s">
        <v>315</v>
      </c>
      <c r="C43" s="101">
        <f>C25*$C$37</f>
        <v>109709.95191504674</v>
      </c>
      <c r="D43" s="101">
        <f t="shared" ref="D43:O43" si="19">D25*$C$37</f>
        <v>109709.95191504674</v>
      </c>
      <c r="E43" s="101">
        <f t="shared" si="19"/>
        <v>109709.95191504674</v>
      </c>
      <c r="F43" s="101">
        <f t="shared" si="19"/>
        <v>109709.95191504674</v>
      </c>
      <c r="G43" s="101">
        <f t="shared" si="19"/>
        <v>109709.95191504674</v>
      </c>
      <c r="H43" s="101">
        <f t="shared" si="19"/>
        <v>109709.95191504674</v>
      </c>
      <c r="I43" s="101">
        <f t="shared" si="19"/>
        <v>109709.95191504674</v>
      </c>
      <c r="J43" s="101">
        <f t="shared" si="19"/>
        <v>109709.95191504674</v>
      </c>
      <c r="K43" s="101">
        <f t="shared" si="19"/>
        <v>109709.95191504674</v>
      </c>
      <c r="L43" s="101">
        <f t="shared" si="19"/>
        <v>109709.95191504674</v>
      </c>
      <c r="M43" s="101">
        <f t="shared" si="19"/>
        <v>109709.95191504674</v>
      </c>
      <c r="N43" s="101">
        <f t="shared" si="19"/>
        <v>109709.95191504674</v>
      </c>
      <c r="O43" s="101">
        <f t="shared" si="19"/>
        <v>109709.95191504674</v>
      </c>
      <c r="P43" s="101">
        <f>D37*P25</f>
        <v>109336.5150216016</v>
      </c>
      <c r="Q43" s="101">
        <f t="shared" ref="Q43:AF43" si="20">E37*Q25</f>
        <v>108962.23809660826</v>
      </c>
      <c r="R43" s="101">
        <f t="shared" si="20"/>
        <v>108587.13026354626</v>
      </c>
      <c r="S43" s="101">
        <f t="shared" si="20"/>
        <v>108211.20064589525</v>
      </c>
      <c r="T43" s="101">
        <f t="shared" si="20"/>
        <v>107834.45836713485</v>
      </c>
      <c r="U43" s="101">
        <f t="shared" si="20"/>
        <v>107456.91255074463</v>
      </c>
      <c r="V43" s="101">
        <f t="shared" si="20"/>
        <v>107078.57232020418</v>
      </c>
      <c r="W43" s="101">
        <f t="shared" si="20"/>
        <v>106699.44679899313</v>
      </c>
      <c r="X43" s="101">
        <f t="shared" si="20"/>
        <v>106319.54511059105</v>
      </c>
      <c r="Y43" s="101">
        <f t="shared" si="20"/>
        <v>105938.87637847757</v>
      </c>
      <c r="Z43" s="101">
        <f t="shared" si="20"/>
        <v>104690.22235236966</v>
      </c>
      <c r="AA43" s="101">
        <f t="shared" si="20"/>
        <v>103438.41569011254</v>
      </c>
      <c r="AB43" s="101">
        <f t="shared" si="20"/>
        <v>102183.66166999724</v>
      </c>
      <c r="AC43" s="101">
        <f t="shared" si="20"/>
        <v>100926.16557031474</v>
      </c>
      <c r="AD43" s="101">
        <f t="shared" si="20"/>
        <v>99666.132669356099</v>
      </c>
      <c r="AE43" s="101">
        <f t="shared" si="20"/>
        <v>98403.768245412357</v>
      </c>
      <c r="AF43" s="101">
        <f t="shared" si="20"/>
        <v>97139.277576774533</v>
      </c>
      <c r="AG43" s="101">
        <f>U37*AG25</f>
        <v>95872.86594173366</v>
      </c>
      <c r="AI43" s="197" t="s">
        <v>282</v>
      </c>
      <c r="AJ43" s="198" t="s">
        <v>422</v>
      </c>
      <c r="BD43" s="38"/>
      <c r="BE43" s="38"/>
      <c r="BF43" s="38"/>
      <c r="BG43" s="38"/>
      <c r="BH43" s="38"/>
      <c r="BI43" s="38"/>
      <c r="BJ43" s="38"/>
      <c r="BK43" s="38"/>
      <c r="BL43" s="112"/>
    </row>
    <row r="44" spans="1:64" outlineLevel="1">
      <c r="A44" t="s">
        <v>325</v>
      </c>
      <c r="B44" s="51" t="s">
        <v>315</v>
      </c>
      <c r="C44" s="101">
        <f>C26</f>
        <v>15829.019363327952</v>
      </c>
      <c r="D44" s="101">
        <f t="shared" ref="D44:AG44" si="21">D26</f>
        <v>15829.019363327952</v>
      </c>
      <c r="E44" s="101">
        <f t="shared" si="21"/>
        <v>15829.019363327952</v>
      </c>
      <c r="F44" s="101">
        <f t="shared" si="21"/>
        <v>15829.019363327952</v>
      </c>
      <c r="G44" s="101">
        <f t="shared" si="21"/>
        <v>15829.019363327952</v>
      </c>
      <c r="H44" s="101">
        <f t="shared" si="21"/>
        <v>15829.019363327952</v>
      </c>
      <c r="I44" s="101">
        <f t="shared" si="21"/>
        <v>15829.019363327952</v>
      </c>
      <c r="J44" s="101">
        <f t="shared" si="21"/>
        <v>15829.019363327952</v>
      </c>
      <c r="K44" s="101">
        <f t="shared" si="21"/>
        <v>15829.019363327952</v>
      </c>
      <c r="L44" s="101">
        <f t="shared" si="21"/>
        <v>15829.019363327952</v>
      </c>
      <c r="M44" s="101">
        <f t="shared" si="21"/>
        <v>15829.019363327952</v>
      </c>
      <c r="N44" s="101">
        <f t="shared" si="21"/>
        <v>15829.019363327952</v>
      </c>
      <c r="O44" s="101">
        <f t="shared" si="21"/>
        <v>15829.019363327952</v>
      </c>
      <c r="P44" s="101">
        <f t="shared" si="21"/>
        <v>15829.019363327952</v>
      </c>
      <c r="Q44" s="101">
        <f t="shared" si="21"/>
        <v>15829.019363327952</v>
      </c>
      <c r="R44" s="101">
        <f t="shared" si="21"/>
        <v>15829.019363327952</v>
      </c>
      <c r="S44" s="101">
        <f t="shared" si="21"/>
        <v>15829.019363327952</v>
      </c>
      <c r="T44" s="101">
        <f t="shared" si="21"/>
        <v>15829.019363327952</v>
      </c>
      <c r="U44" s="101">
        <f t="shared" si="21"/>
        <v>15829.019363327952</v>
      </c>
      <c r="V44" s="101">
        <f t="shared" si="21"/>
        <v>15829.019363327952</v>
      </c>
      <c r="W44" s="101">
        <f t="shared" si="21"/>
        <v>15829.019363327952</v>
      </c>
      <c r="X44" s="101">
        <f t="shared" si="21"/>
        <v>15829.019363327952</v>
      </c>
      <c r="Y44" s="101">
        <f t="shared" si="21"/>
        <v>15829.019363327952</v>
      </c>
      <c r="Z44" s="101">
        <f t="shared" si="21"/>
        <v>15829.019363327952</v>
      </c>
      <c r="AA44" s="101">
        <f t="shared" si="21"/>
        <v>15829.019363327952</v>
      </c>
      <c r="AB44" s="101">
        <f t="shared" si="21"/>
        <v>15829.019363327952</v>
      </c>
      <c r="AC44" s="101">
        <f t="shared" si="21"/>
        <v>15829.019363327952</v>
      </c>
      <c r="AD44" s="101">
        <f t="shared" si="21"/>
        <v>15829.019363327952</v>
      </c>
      <c r="AE44" s="101">
        <f t="shared" si="21"/>
        <v>15829.019363327952</v>
      </c>
      <c r="AF44" s="101">
        <f t="shared" si="21"/>
        <v>15829.019363327952</v>
      </c>
      <c r="AG44" s="101">
        <f t="shared" si="21"/>
        <v>15829.019363327952</v>
      </c>
      <c r="AI44" s="197" t="s">
        <v>283</v>
      </c>
      <c r="AJ44" s="198" t="s">
        <v>422</v>
      </c>
      <c r="BD44" s="38"/>
      <c r="BE44" s="38"/>
      <c r="BF44" s="38"/>
      <c r="BG44" s="38"/>
      <c r="BH44" s="38"/>
      <c r="BI44" s="38"/>
      <c r="BJ44" s="38"/>
      <c r="BK44" s="38"/>
      <c r="BL44" s="112"/>
    </row>
    <row r="45" spans="1:64" outlineLevel="1">
      <c r="A45" t="s">
        <v>326</v>
      </c>
      <c r="B45" s="51" t="s">
        <v>315</v>
      </c>
      <c r="C45" s="79">
        <v>0</v>
      </c>
      <c r="D45" s="79">
        <v>0</v>
      </c>
      <c r="E45" s="79">
        <v>0</v>
      </c>
      <c r="F45" s="79">
        <v>0</v>
      </c>
      <c r="G45" s="79">
        <v>0</v>
      </c>
      <c r="H45" s="79">
        <v>0</v>
      </c>
      <c r="I45" s="79">
        <v>0</v>
      </c>
      <c r="J45" s="79">
        <v>0</v>
      </c>
      <c r="K45" s="79">
        <v>0</v>
      </c>
      <c r="L45" s="79">
        <v>0</v>
      </c>
      <c r="M45" s="79">
        <v>0</v>
      </c>
      <c r="N45" s="79">
        <v>0</v>
      </c>
      <c r="O45" s="79">
        <v>0</v>
      </c>
      <c r="P45" s="79">
        <v>0</v>
      </c>
      <c r="Q45" s="79">
        <v>0</v>
      </c>
      <c r="R45" s="79">
        <v>0</v>
      </c>
      <c r="S45" s="79">
        <v>0</v>
      </c>
      <c r="T45" s="79">
        <v>0</v>
      </c>
      <c r="U45" s="79">
        <v>0</v>
      </c>
      <c r="V45" s="79">
        <v>0</v>
      </c>
      <c r="W45" s="79">
        <v>0</v>
      </c>
      <c r="X45" s="79">
        <v>0</v>
      </c>
      <c r="Y45" s="79">
        <v>0</v>
      </c>
      <c r="Z45" s="79">
        <v>0</v>
      </c>
      <c r="AA45" s="79">
        <v>0</v>
      </c>
      <c r="AB45" s="79">
        <v>0</v>
      </c>
      <c r="AC45" s="79">
        <v>0</v>
      </c>
      <c r="AD45" s="79">
        <v>0</v>
      </c>
      <c r="AE45" s="79">
        <v>0</v>
      </c>
      <c r="AF45" s="79">
        <v>0</v>
      </c>
      <c r="AG45" s="79">
        <v>0</v>
      </c>
      <c r="AI45" s="197" t="s">
        <v>284</v>
      </c>
      <c r="AJ45" s="198" t="s">
        <v>422</v>
      </c>
      <c r="AL45" s="5"/>
      <c r="AM45" s="103"/>
      <c r="AN45" s="103"/>
      <c r="AO45" s="103"/>
      <c r="BC45" s="1"/>
      <c r="BD45" s="112"/>
      <c r="BE45" s="112"/>
      <c r="BF45" s="112"/>
      <c r="BG45" s="112"/>
      <c r="BH45" s="112"/>
      <c r="BI45" s="112"/>
      <c r="BJ45" s="112"/>
      <c r="BK45" s="112"/>
      <c r="BL45" s="112"/>
    </row>
    <row r="46" spans="1:64" outlineLevel="1">
      <c r="A46" s="169" t="s">
        <v>327</v>
      </c>
      <c r="B46" s="165" t="s">
        <v>315</v>
      </c>
      <c r="C46" s="101">
        <f>(C28+C27)*$C$40</f>
        <v>473656.01116142841</v>
      </c>
      <c r="D46" s="101">
        <f t="shared" ref="D46:H46" si="22">(D28+D27)*$C$40</f>
        <v>473656.01116142841</v>
      </c>
      <c r="E46" s="101">
        <f t="shared" si="22"/>
        <v>473656.01116142841</v>
      </c>
      <c r="F46" s="101">
        <f t="shared" si="22"/>
        <v>473656.01116142841</v>
      </c>
      <c r="G46" s="101">
        <f t="shared" si="22"/>
        <v>473656.01116142841</v>
      </c>
      <c r="H46" s="101">
        <f t="shared" si="22"/>
        <v>473656.01116142841</v>
      </c>
      <c r="I46" s="101">
        <f>(I28+I27)*D40</f>
        <v>470529.88148776302</v>
      </c>
      <c r="J46" s="101">
        <f t="shared" ref="J46:AG46" si="23">(J28+J27)*E40</f>
        <v>467403.75181409757</v>
      </c>
      <c r="K46" s="101">
        <f t="shared" si="23"/>
        <v>464277.62214043213</v>
      </c>
      <c r="L46" s="101">
        <f t="shared" si="23"/>
        <v>461151.49246676674</v>
      </c>
      <c r="M46" s="101">
        <f t="shared" si="23"/>
        <v>458025.36279310129</v>
      </c>
      <c r="N46" s="101">
        <f t="shared" si="23"/>
        <v>454899.23311943578</v>
      </c>
      <c r="O46" s="101">
        <f t="shared" si="23"/>
        <v>451773.10344577045</v>
      </c>
      <c r="P46" s="101">
        <f t="shared" si="23"/>
        <v>448646.973772105</v>
      </c>
      <c r="Q46" s="101">
        <f t="shared" si="23"/>
        <v>445520.84409843961</v>
      </c>
      <c r="R46" s="101">
        <f t="shared" si="23"/>
        <v>442394.71442477417</v>
      </c>
      <c r="S46" s="101">
        <f t="shared" si="23"/>
        <v>439268.58475110866</v>
      </c>
      <c r="T46" s="101">
        <f t="shared" si="23"/>
        <v>436142.45507744327</v>
      </c>
      <c r="U46" s="101">
        <f t="shared" si="23"/>
        <v>433016.32540377788</v>
      </c>
      <c r="V46" s="101">
        <f t="shared" si="23"/>
        <v>429890.19573011243</v>
      </c>
      <c r="W46" s="101">
        <f t="shared" si="23"/>
        <v>426764.06605644699</v>
      </c>
      <c r="X46" s="101">
        <f t="shared" si="23"/>
        <v>423637.93638278148</v>
      </c>
      <c r="Y46" s="101">
        <f t="shared" si="23"/>
        <v>420511.80670911609</v>
      </c>
      <c r="Z46" s="101">
        <f t="shared" si="23"/>
        <v>417385.67703545076</v>
      </c>
      <c r="AA46" s="101">
        <f t="shared" si="23"/>
        <v>414259.54736178531</v>
      </c>
      <c r="AB46" s="101">
        <f t="shared" si="23"/>
        <v>411133.41768811981</v>
      </c>
      <c r="AC46" s="101">
        <f t="shared" si="23"/>
        <v>407912.55681222212</v>
      </c>
      <c r="AD46" s="101">
        <f t="shared" si="23"/>
        <v>404691.69593632442</v>
      </c>
      <c r="AE46" s="101">
        <f t="shared" si="23"/>
        <v>401470.83506042673</v>
      </c>
      <c r="AF46" s="101">
        <f t="shared" si="23"/>
        <v>398249.97418452898</v>
      </c>
      <c r="AG46" s="101">
        <f t="shared" si="23"/>
        <v>395029.11330863129</v>
      </c>
      <c r="AI46" s="197" t="s">
        <v>284</v>
      </c>
      <c r="AJ46" s="198" t="s">
        <v>422</v>
      </c>
      <c r="AL46" s="102"/>
      <c r="AM46" s="2"/>
      <c r="AN46" s="2"/>
      <c r="AO46" s="2"/>
    </row>
    <row r="47" spans="1:64" s="1" customFormat="1" ht="15.5" thickBot="1">
      <c r="A47" s="187" t="s">
        <v>503</v>
      </c>
      <c r="B47" s="202" t="s">
        <v>315</v>
      </c>
      <c r="C47" s="203">
        <f>SUM(C42:C46)</f>
        <v>1195624.4803591177</v>
      </c>
      <c r="D47" s="203">
        <f t="shared" ref="D47:AF47" si="24">SUM(D42:D46)</f>
        <v>1192620.2649780982</v>
      </c>
      <c r="E47" s="203">
        <f t="shared" si="24"/>
        <v>1189616.0495970785</v>
      </c>
      <c r="F47" s="203">
        <f t="shared" si="24"/>
        <v>1186611.8342160592</v>
      </c>
      <c r="G47" s="203">
        <f t="shared" si="24"/>
        <v>1183607.6188350394</v>
      </c>
      <c r="H47" s="203">
        <f t="shared" si="24"/>
        <v>1180603.4034540197</v>
      </c>
      <c r="I47" s="203">
        <f t="shared" si="24"/>
        <v>1174473.0583993348</v>
      </c>
      <c r="J47" s="203">
        <f t="shared" si="24"/>
        <v>1168342.7133446496</v>
      </c>
      <c r="K47" s="203">
        <f t="shared" si="24"/>
        <v>1162212.3682899647</v>
      </c>
      <c r="L47" s="203">
        <f t="shared" si="24"/>
        <v>1156082.0232352796</v>
      </c>
      <c r="M47" s="203">
        <f t="shared" si="24"/>
        <v>1149951.6781805947</v>
      </c>
      <c r="N47" s="203">
        <f t="shared" si="24"/>
        <v>1141897.8479951199</v>
      </c>
      <c r="O47" s="203">
        <f t="shared" si="24"/>
        <v>1134178.01832848</v>
      </c>
      <c r="P47" s="203">
        <f t="shared" si="24"/>
        <v>1125600.4510160843</v>
      </c>
      <c r="Q47" s="203">
        <f t="shared" si="24"/>
        <v>1117022.0436721405</v>
      </c>
      <c r="R47" s="203">
        <f t="shared" si="24"/>
        <v>1108442.8054201279</v>
      </c>
      <c r="S47" s="203">
        <f t="shared" si="24"/>
        <v>1099862.7453835262</v>
      </c>
      <c r="T47" s="203">
        <f t="shared" si="24"/>
        <v>1091281.8726858157</v>
      </c>
      <c r="U47" s="203">
        <f t="shared" si="24"/>
        <v>1082700.1964504749</v>
      </c>
      <c r="V47" s="203">
        <f t="shared" si="24"/>
        <v>1074117.7258009841</v>
      </c>
      <c r="W47" s="203">
        <f t="shared" si="24"/>
        <v>1065534.4698608224</v>
      </c>
      <c r="X47" s="203">
        <f t="shared" si="24"/>
        <v>1054114.4154908634</v>
      </c>
      <c r="Y47" s="203">
        <f t="shared" si="24"/>
        <v>1045618.4843349896</v>
      </c>
      <c r="Z47" s="203">
        <f t="shared" si="24"/>
        <v>1036254.5678851213</v>
      </c>
      <c r="AA47" s="203">
        <f t="shared" si="24"/>
        <v>1026887.4987991037</v>
      </c>
      <c r="AB47" s="203">
        <f t="shared" si="24"/>
        <v>1017517.4823552278</v>
      </c>
      <c r="AC47" s="203">
        <f t="shared" si="24"/>
        <v>1008049.9926295526</v>
      </c>
      <c r="AD47" s="203">
        <f t="shared" si="24"/>
        <v>998579.96610260115</v>
      </c>
      <c r="AE47" s="203">
        <f t="shared" si="24"/>
        <v>989107.60805266455</v>
      </c>
      <c r="AF47" s="203">
        <f t="shared" si="24"/>
        <v>979633.12375803408</v>
      </c>
      <c r="AG47" s="203">
        <f>SUM(AG42:AG46)</f>
        <v>970156.7184970004</v>
      </c>
      <c r="AJ47" s="151"/>
      <c r="AL47" s="207"/>
      <c r="AM47" s="118"/>
      <c r="AN47" s="118"/>
      <c r="AO47" s="118"/>
    </row>
    <row r="48" spans="1:64" ht="15.5" thickTop="1">
      <c r="B48" s="165"/>
      <c r="C48" s="196"/>
      <c r="D48" s="196"/>
      <c r="E48" s="196"/>
      <c r="F48" s="196"/>
      <c r="G48" s="196"/>
      <c r="H48" s="196"/>
      <c r="I48" s="196"/>
      <c r="J48" s="196"/>
      <c r="K48" s="196"/>
      <c r="L48" s="196"/>
      <c r="M48" s="196"/>
      <c r="N48" s="196"/>
      <c r="O48" s="196"/>
      <c r="P48" s="196"/>
      <c r="Q48" s="196"/>
      <c r="R48" s="196"/>
      <c r="S48" s="196"/>
      <c r="T48" s="196"/>
      <c r="U48" s="196"/>
      <c r="V48" s="196"/>
      <c r="W48" s="196"/>
      <c r="X48" s="196"/>
      <c r="Y48" s="196"/>
      <c r="Z48" s="196"/>
      <c r="AA48" s="196"/>
      <c r="AB48" s="196"/>
      <c r="AC48" s="196"/>
      <c r="AD48" s="196"/>
      <c r="AE48" s="196"/>
      <c r="AF48" s="196"/>
      <c r="AG48" s="196"/>
      <c r="AL48" s="102"/>
      <c r="AM48" s="2"/>
      <c r="AN48" s="2"/>
      <c r="AO48" s="2"/>
    </row>
    <row r="49" spans="1:63" s="187" customFormat="1" ht="15.5" thickBot="1">
      <c r="A49" s="187" t="s">
        <v>431</v>
      </c>
      <c r="B49" s="202" t="s">
        <v>126</v>
      </c>
      <c r="C49" s="208">
        <f>C52</f>
        <v>0.14200000000000002</v>
      </c>
      <c r="D49" s="208">
        <f t="shared" ref="D49:AG49" si="25">D52</f>
        <v>0.14849999999999999</v>
      </c>
      <c r="E49" s="208">
        <f t="shared" si="25"/>
        <v>0.155</v>
      </c>
      <c r="F49" s="208">
        <f t="shared" si="25"/>
        <v>0.16149999999999998</v>
      </c>
      <c r="G49" s="208">
        <f t="shared" si="25"/>
        <v>0.16800000000000001</v>
      </c>
      <c r="H49" s="208">
        <f t="shared" si="25"/>
        <v>0.17449999999999999</v>
      </c>
      <c r="I49" s="208">
        <f t="shared" si="25"/>
        <v>0.18099999999999999</v>
      </c>
      <c r="J49" s="208">
        <f t="shared" si="25"/>
        <v>0.1875</v>
      </c>
      <c r="K49" s="208">
        <f t="shared" si="25"/>
        <v>0.19400000000000001</v>
      </c>
      <c r="L49" s="208">
        <f t="shared" si="25"/>
        <v>0.20050000000000001</v>
      </c>
      <c r="M49" s="208">
        <f t="shared" si="25"/>
        <v>0.20700000000000002</v>
      </c>
      <c r="N49" s="208">
        <f t="shared" si="25"/>
        <v>0.22070000000000001</v>
      </c>
      <c r="O49" s="208">
        <f t="shared" si="25"/>
        <v>0.2344</v>
      </c>
      <c r="P49" s="208">
        <f t="shared" si="25"/>
        <v>0.24809999999999999</v>
      </c>
      <c r="Q49" s="208">
        <f t="shared" si="25"/>
        <v>0.26179999999999998</v>
      </c>
      <c r="R49" s="208">
        <f t="shared" si="25"/>
        <v>0.27549999999999997</v>
      </c>
      <c r="S49" s="208">
        <f t="shared" si="25"/>
        <v>0.28920000000000001</v>
      </c>
      <c r="T49" s="208">
        <f t="shared" si="25"/>
        <v>0.3029</v>
      </c>
      <c r="U49" s="208">
        <f t="shared" si="25"/>
        <v>0.31659999999999999</v>
      </c>
      <c r="V49" s="208">
        <f t="shared" si="25"/>
        <v>0.33030000000000004</v>
      </c>
      <c r="W49" s="208">
        <f t="shared" si="25"/>
        <v>0.34399999999999997</v>
      </c>
      <c r="X49" s="208">
        <f t="shared" si="25"/>
        <v>0.36692262658227848</v>
      </c>
      <c r="Y49" s="208">
        <f t="shared" si="25"/>
        <v>0.38984525316455698</v>
      </c>
      <c r="Z49" s="208">
        <f t="shared" si="25"/>
        <v>0.41276787974683543</v>
      </c>
      <c r="AA49" s="208">
        <f t="shared" si="25"/>
        <v>0.43569050632911388</v>
      </c>
      <c r="AB49" s="208">
        <f t="shared" si="25"/>
        <v>0.45861313291139238</v>
      </c>
      <c r="AC49" s="208">
        <f t="shared" si="25"/>
        <v>0.48153575949367089</v>
      </c>
      <c r="AD49" s="208">
        <f t="shared" si="25"/>
        <v>0.50445838607594939</v>
      </c>
      <c r="AE49" s="208">
        <f t="shared" si="25"/>
        <v>0.5273810126582279</v>
      </c>
      <c r="AF49" s="208">
        <f t="shared" si="25"/>
        <v>0.55030363924050629</v>
      </c>
      <c r="AG49" s="208">
        <f t="shared" si="25"/>
        <v>0.5732262658227848</v>
      </c>
      <c r="AJ49" s="217" t="s">
        <v>504</v>
      </c>
      <c r="AL49" s="204"/>
      <c r="AM49" s="205"/>
      <c r="AN49" s="205"/>
      <c r="AO49" s="205"/>
    </row>
    <row r="50" spans="1:63" ht="15.5" outlineLevel="1" thickTop="1">
      <c r="A50" t="s">
        <v>423</v>
      </c>
      <c r="B50" s="51" t="s">
        <v>126</v>
      </c>
      <c r="C50" s="107">
        <v>4.7E-2</v>
      </c>
      <c r="D50" s="104">
        <f>$C50+($M50-$C50)/10*(D$1-$C$1)</f>
        <v>5.0200000000000002E-2</v>
      </c>
      <c r="E50" s="104">
        <f t="shared" ref="E50:L51" si="26">$C50+($M50-$C50)/10*(E$1-$C$1)</f>
        <v>5.3400000000000003E-2</v>
      </c>
      <c r="F50" s="104">
        <f t="shared" si="26"/>
        <v>5.6599999999999998E-2</v>
      </c>
      <c r="G50" s="104">
        <f t="shared" si="26"/>
        <v>5.9799999999999999E-2</v>
      </c>
      <c r="H50" s="104">
        <f t="shared" si="26"/>
        <v>6.3E-2</v>
      </c>
      <c r="I50" s="104">
        <f t="shared" si="26"/>
        <v>6.6200000000000009E-2</v>
      </c>
      <c r="J50" s="104">
        <f t="shared" si="26"/>
        <v>6.9400000000000003E-2</v>
      </c>
      <c r="K50" s="104">
        <f t="shared" si="26"/>
        <v>7.2599999999999998E-2</v>
      </c>
      <c r="L50" s="104">
        <f t="shared" si="26"/>
        <v>7.5800000000000006E-2</v>
      </c>
      <c r="M50" s="107">
        <v>7.9000000000000001E-2</v>
      </c>
      <c r="N50" s="104">
        <f>$M50+($W50-$M50)/10*(N$1-$M$1)</f>
        <v>8.5100000000000009E-2</v>
      </c>
      <c r="O50" s="104">
        <f t="shared" ref="O50:U51" si="27">$M50+($W50-$M50)/10*(O$1-$M$1)</f>
        <v>9.1200000000000003E-2</v>
      </c>
      <c r="P50" s="104">
        <f t="shared" si="27"/>
        <v>9.7299999999999998E-2</v>
      </c>
      <c r="Q50" s="104">
        <f t="shared" si="27"/>
        <v>0.10340000000000001</v>
      </c>
      <c r="R50" s="104">
        <f t="shared" si="27"/>
        <v>0.10950000000000001</v>
      </c>
      <c r="S50" s="104">
        <f t="shared" si="27"/>
        <v>0.11560000000000001</v>
      </c>
      <c r="T50" s="104">
        <f t="shared" si="27"/>
        <v>0.1217</v>
      </c>
      <c r="U50" s="104">
        <f t="shared" si="27"/>
        <v>0.12780000000000002</v>
      </c>
      <c r="V50" s="104">
        <f>$M50+($W50-$M50)/10*(V$1-$M$1)</f>
        <v>0.13390000000000002</v>
      </c>
      <c r="W50" s="107">
        <v>0.14000000000000001</v>
      </c>
      <c r="X50" s="104">
        <f>$W50+($AG50-$W50)/10*(X$1-$W$1)</f>
        <v>0.15081012658227849</v>
      </c>
      <c r="Y50" s="104">
        <f t="shared" ref="Y50:AF51" si="28">$W50+($AG50-$W50)/10*(Y$1-$W$1)</f>
        <v>0.16162025316455697</v>
      </c>
      <c r="Z50" s="104">
        <f t="shared" si="28"/>
        <v>0.17243037974683545</v>
      </c>
      <c r="AA50" s="104">
        <f t="shared" si="28"/>
        <v>0.18324050632911396</v>
      </c>
      <c r="AB50" s="104">
        <f t="shared" si="28"/>
        <v>0.19405063291139243</v>
      </c>
      <c r="AC50" s="104">
        <f t="shared" si="28"/>
        <v>0.20486075949367091</v>
      </c>
      <c r="AD50" s="104">
        <f t="shared" si="28"/>
        <v>0.21567088607594942</v>
      </c>
      <c r="AE50" s="104">
        <f t="shared" si="28"/>
        <v>0.2264810126582279</v>
      </c>
      <c r="AF50" s="104">
        <f t="shared" si="28"/>
        <v>0.23729113924050638</v>
      </c>
      <c r="AG50" s="104">
        <f>(W50/M50)*W50</f>
        <v>0.24810126582278486</v>
      </c>
      <c r="AI50" s="126"/>
      <c r="AJ50" s="198" t="s">
        <v>484</v>
      </c>
      <c r="AL50" s="102"/>
      <c r="AM50" s="2"/>
      <c r="AN50" s="2"/>
      <c r="AO50" s="2"/>
      <c r="AV50" s="38"/>
    </row>
    <row r="51" spans="1:63" outlineLevel="1">
      <c r="A51" t="s">
        <v>425</v>
      </c>
      <c r="B51" s="51" t="s">
        <v>126</v>
      </c>
      <c r="C51" s="107">
        <v>9.5000000000000001E-2</v>
      </c>
      <c r="D51" s="104">
        <f>$C51+($M51-$C51)/10*(D$1-$C$1)</f>
        <v>9.8299999999999998E-2</v>
      </c>
      <c r="E51" s="104">
        <f t="shared" si="26"/>
        <v>0.1016</v>
      </c>
      <c r="F51" s="104">
        <f t="shared" si="26"/>
        <v>0.10489999999999999</v>
      </c>
      <c r="G51" s="104">
        <f t="shared" si="26"/>
        <v>0.1082</v>
      </c>
      <c r="H51" s="104">
        <f t="shared" si="26"/>
        <v>0.1115</v>
      </c>
      <c r="I51" s="104">
        <f t="shared" si="26"/>
        <v>0.1148</v>
      </c>
      <c r="J51" s="104">
        <f t="shared" si="26"/>
        <v>0.1181</v>
      </c>
      <c r="K51" s="104">
        <f t="shared" si="26"/>
        <v>0.12140000000000001</v>
      </c>
      <c r="L51" s="104">
        <f t="shared" si="26"/>
        <v>0.12470000000000001</v>
      </c>
      <c r="M51" s="107">
        <v>0.128</v>
      </c>
      <c r="N51" s="104">
        <f>$M51+($W51-$M51)/10*(N$1-$M$1)</f>
        <v>0.1356</v>
      </c>
      <c r="O51" s="104">
        <f t="shared" si="27"/>
        <v>0.14319999999999999</v>
      </c>
      <c r="P51" s="104">
        <f t="shared" si="27"/>
        <v>0.15079999999999999</v>
      </c>
      <c r="Q51" s="104">
        <f t="shared" si="27"/>
        <v>0.15839999999999999</v>
      </c>
      <c r="R51" s="104">
        <f t="shared" si="27"/>
        <v>0.16599999999999998</v>
      </c>
      <c r="S51" s="104">
        <f t="shared" si="27"/>
        <v>0.17359999999999998</v>
      </c>
      <c r="T51" s="104">
        <f t="shared" si="27"/>
        <v>0.1812</v>
      </c>
      <c r="U51" s="104">
        <f t="shared" si="27"/>
        <v>0.1888</v>
      </c>
      <c r="V51" s="104">
        <f>$M51+($W51-$M51)/10*(V$1-$M$1)</f>
        <v>0.19639999999999999</v>
      </c>
      <c r="W51" s="107">
        <v>0.20399999999999999</v>
      </c>
      <c r="X51" s="104">
        <f>$W51+($AG51-$W51)/10*(X$1-$W$1)</f>
        <v>0.21611249999999999</v>
      </c>
      <c r="Y51" s="104">
        <f t="shared" si="28"/>
        <v>0.22822499999999998</v>
      </c>
      <c r="Z51" s="104">
        <f t="shared" si="28"/>
        <v>0.24033749999999998</v>
      </c>
      <c r="AA51" s="104">
        <f t="shared" si="28"/>
        <v>0.25244999999999995</v>
      </c>
      <c r="AB51" s="104">
        <f t="shared" si="28"/>
        <v>0.26456249999999998</v>
      </c>
      <c r="AC51" s="104">
        <f t="shared" si="28"/>
        <v>0.27667499999999995</v>
      </c>
      <c r="AD51" s="104">
        <f t="shared" si="28"/>
        <v>0.28878749999999997</v>
      </c>
      <c r="AE51" s="104">
        <f t="shared" si="28"/>
        <v>0.30089999999999995</v>
      </c>
      <c r="AF51" s="104">
        <f t="shared" si="28"/>
        <v>0.31301249999999992</v>
      </c>
      <c r="AG51" s="104">
        <f>(W51/M51)*W51</f>
        <v>0.32512499999999994</v>
      </c>
      <c r="AI51" s="126"/>
      <c r="AJ51" s="198" t="s">
        <v>484</v>
      </c>
      <c r="AL51" s="102"/>
      <c r="AM51" s="2"/>
      <c r="AN51" s="2"/>
      <c r="AO51" s="2"/>
      <c r="AV51" s="38"/>
    </row>
    <row r="52" spans="1:63" outlineLevel="1">
      <c r="A52" t="s">
        <v>424</v>
      </c>
      <c r="B52" s="165" t="s">
        <v>126</v>
      </c>
      <c r="C52" s="104">
        <f t="shared" ref="C52:AG52" si="29">C50+C51</f>
        <v>0.14200000000000002</v>
      </c>
      <c r="D52" s="104">
        <f t="shared" si="29"/>
        <v>0.14849999999999999</v>
      </c>
      <c r="E52" s="104">
        <f t="shared" si="29"/>
        <v>0.155</v>
      </c>
      <c r="F52" s="104">
        <f t="shared" si="29"/>
        <v>0.16149999999999998</v>
      </c>
      <c r="G52" s="104">
        <f t="shared" si="29"/>
        <v>0.16800000000000001</v>
      </c>
      <c r="H52" s="104">
        <f t="shared" si="29"/>
        <v>0.17449999999999999</v>
      </c>
      <c r="I52" s="104">
        <f t="shared" si="29"/>
        <v>0.18099999999999999</v>
      </c>
      <c r="J52" s="104">
        <f t="shared" si="29"/>
        <v>0.1875</v>
      </c>
      <c r="K52" s="104">
        <f t="shared" si="29"/>
        <v>0.19400000000000001</v>
      </c>
      <c r="L52" s="104">
        <f t="shared" si="29"/>
        <v>0.20050000000000001</v>
      </c>
      <c r="M52" s="104">
        <f t="shared" si="29"/>
        <v>0.20700000000000002</v>
      </c>
      <c r="N52" s="104">
        <f t="shared" si="29"/>
        <v>0.22070000000000001</v>
      </c>
      <c r="O52" s="104">
        <f t="shared" si="29"/>
        <v>0.2344</v>
      </c>
      <c r="P52" s="104">
        <f t="shared" si="29"/>
        <v>0.24809999999999999</v>
      </c>
      <c r="Q52" s="104">
        <f t="shared" si="29"/>
        <v>0.26179999999999998</v>
      </c>
      <c r="R52" s="104">
        <f t="shared" si="29"/>
        <v>0.27549999999999997</v>
      </c>
      <c r="S52" s="104">
        <f t="shared" si="29"/>
        <v>0.28920000000000001</v>
      </c>
      <c r="T52" s="104">
        <f t="shared" si="29"/>
        <v>0.3029</v>
      </c>
      <c r="U52" s="104">
        <f t="shared" si="29"/>
        <v>0.31659999999999999</v>
      </c>
      <c r="V52" s="104">
        <f t="shared" si="29"/>
        <v>0.33030000000000004</v>
      </c>
      <c r="W52" s="104">
        <f t="shared" si="29"/>
        <v>0.34399999999999997</v>
      </c>
      <c r="X52" s="104">
        <f t="shared" si="29"/>
        <v>0.36692262658227848</v>
      </c>
      <c r="Y52" s="104">
        <f t="shared" si="29"/>
        <v>0.38984525316455698</v>
      </c>
      <c r="Z52" s="104">
        <f t="shared" si="29"/>
        <v>0.41276787974683543</v>
      </c>
      <c r="AA52" s="104">
        <f t="shared" si="29"/>
        <v>0.43569050632911388</v>
      </c>
      <c r="AB52" s="104">
        <f t="shared" si="29"/>
        <v>0.45861313291139238</v>
      </c>
      <c r="AC52" s="104">
        <f t="shared" si="29"/>
        <v>0.48153575949367089</v>
      </c>
      <c r="AD52" s="104">
        <f t="shared" si="29"/>
        <v>0.50445838607594939</v>
      </c>
      <c r="AE52" s="104">
        <f t="shared" si="29"/>
        <v>0.5273810126582279</v>
      </c>
      <c r="AF52" s="104">
        <f t="shared" si="29"/>
        <v>0.55030363924050629</v>
      </c>
      <c r="AG52" s="104">
        <f t="shared" si="29"/>
        <v>0.5732262658227848</v>
      </c>
      <c r="AI52" s="126"/>
      <c r="AJ52" s="198"/>
      <c r="AL52" s="102"/>
      <c r="AM52" s="2"/>
      <c r="AN52" s="2"/>
      <c r="AO52" s="2"/>
    </row>
    <row r="53" spans="1:63" outlineLevel="1">
      <c r="C53" s="107"/>
      <c r="D53" s="104"/>
      <c r="E53" s="104"/>
      <c r="F53" s="104"/>
      <c r="G53" s="104"/>
      <c r="H53" s="104"/>
      <c r="I53" s="104"/>
      <c r="J53" s="104"/>
      <c r="K53" s="104"/>
      <c r="L53" s="104"/>
      <c r="M53" s="107"/>
      <c r="N53" s="104"/>
      <c r="O53" s="104"/>
      <c r="P53" s="104"/>
      <c r="Q53" s="104"/>
      <c r="R53" s="104"/>
      <c r="S53" s="104"/>
      <c r="T53" s="104"/>
      <c r="U53" s="104"/>
      <c r="V53" s="104"/>
      <c r="W53" s="107"/>
      <c r="X53" s="104"/>
      <c r="Y53" s="104"/>
      <c r="Z53" s="104"/>
      <c r="AA53" s="104"/>
      <c r="AB53" s="104"/>
      <c r="AC53" s="104"/>
      <c r="AD53" s="104"/>
      <c r="AE53" s="104"/>
      <c r="AF53" s="104"/>
      <c r="AG53" s="107"/>
      <c r="AI53" s="126"/>
      <c r="AJ53" s="198"/>
      <c r="AL53" s="102"/>
      <c r="AM53" s="2"/>
      <c r="AN53" s="2"/>
      <c r="AO53" s="2"/>
      <c r="AV53" s="38"/>
    </row>
    <row r="54" spans="1:63" outlineLevel="1">
      <c r="A54" t="s">
        <v>445</v>
      </c>
      <c r="B54" s="51" t="s">
        <v>126</v>
      </c>
      <c r="C54" s="201">
        <v>0.2</v>
      </c>
      <c r="D54" s="104">
        <f>C54</f>
        <v>0.2</v>
      </c>
      <c r="E54" s="104">
        <f t="shared" ref="E54:AG54" si="30">D54</f>
        <v>0.2</v>
      </c>
      <c r="F54" s="104">
        <f t="shared" si="30"/>
        <v>0.2</v>
      </c>
      <c r="G54" s="104">
        <f t="shared" si="30"/>
        <v>0.2</v>
      </c>
      <c r="H54" s="104">
        <f t="shared" si="30"/>
        <v>0.2</v>
      </c>
      <c r="I54" s="104">
        <f t="shared" si="30"/>
        <v>0.2</v>
      </c>
      <c r="J54" s="104">
        <f t="shared" si="30"/>
        <v>0.2</v>
      </c>
      <c r="K54" s="104">
        <f t="shared" si="30"/>
        <v>0.2</v>
      </c>
      <c r="L54" s="104">
        <f t="shared" si="30"/>
        <v>0.2</v>
      </c>
      <c r="M54" s="104">
        <f t="shared" si="30"/>
        <v>0.2</v>
      </c>
      <c r="N54" s="104">
        <f t="shared" si="30"/>
        <v>0.2</v>
      </c>
      <c r="O54" s="104">
        <f t="shared" si="30"/>
        <v>0.2</v>
      </c>
      <c r="P54" s="104">
        <f t="shared" si="30"/>
        <v>0.2</v>
      </c>
      <c r="Q54" s="104">
        <f t="shared" si="30"/>
        <v>0.2</v>
      </c>
      <c r="R54" s="104">
        <f t="shared" si="30"/>
        <v>0.2</v>
      </c>
      <c r="S54" s="104">
        <f t="shared" si="30"/>
        <v>0.2</v>
      </c>
      <c r="T54" s="104">
        <f t="shared" si="30"/>
        <v>0.2</v>
      </c>
      <c r="U54" s="104">
        <f t="shared" si="30"/>
        <v>0.2</v>
      </c>
      <c r="V54" s="104">
        <f t="shared" si="30"/>
        <v>0.2</v>
      </c>
      <c r="W54" s="104">
        <f t="shared" si="30"/>
        <v>0.2</v>
      </c>
      <c r="X54" s="104">
        <f t="shared" si="30"/>
        <v>0.2</v>
      </c>
      <c r="Y54" s="104">
        <f t="shared" si="30"/>
        <v>0.2</v>
      </c>
      <c r="Z54" s="104">
        <f t="shared" si="30"/>
        <v>0.2</v>
      </c>
      <c r="AA54" s="104">
        <f t="shared" si="30"/>
        <v>0.2</v>
      </c>
      <c r="AB54" s="104">
        <f t="shared" si="30"/>
        <v>0.2</v>
      </c>
      <c r="AC54" s="104">
        <f t="shared" si="30"/>
        <v>0.2</v>
      </c>
      <c r="AD54" s="104">
        <f t="shared" si="30"/>
        <v>0.2</v>
      </c>
      <c r="AE54" s="104">
        <f t="shared" si="30"/>
        <v>0.2</v>
      </c>
      <c r="AF54" s="104">
        <f t="shared" si="30"/>
        <v>0.2</v>
      </c>
      <c r="AG54" s="104">
        <f t="shared" si="30"/>
        <v>0.2</v>
      </c>
      <c r="AI54" s="106" t="s">
        <v>520</v>
      </c>
      <c r="AJ54" s="198"/>
      <c r="AL54" s="102"/>
      <c r="AM54" s="2"/>
      <c r="AN54" s="2"/>
      <c r="AO54" s="2"/>
      <c r="BC54" s="1"/>
      <c r="BD54" s="2"/>
      <c r="BE54" s="2"/>
      <c r="BF54" s="2"/>
      <c r="BG54" s="2"/>
      <c r="BH54" s="2"/>
      <c r="BI54" s="2"/>
      <c r="BJ54" s="2"/>
      <c r="BK54" s="2"/>
    </row>
    <row r="55" spans="1:63" outlineLevel="1">
      <c r="A55" t="s">
        <v>437</v>
      </c>
      <c r="B55" s="51" t="s">
        <v>126</v>
      </c>
      <c r="C55" s="104">
        <f>1-C54</f>
        <v>0.8</v>
      </c>
      <c r="D55" s="104">
        <f t="shared" ref="D55:AG55" si="31">1-D54</f>
        <v>0.8</v>
      </c>
      <c r="E55" s="104">
        <f t="shared" si="31"/>
        <v>0.8</v>
      </c>
      <c r="F55" s="104">
        <f t="shared" si="31"/>
        <v>0.8</v>
      </c>
      <c r="G55" s="104">
        <f t="shared" si="31"/>
        <v>0.8</v>
      </c>
      <c r="H55" s="104">
        <f t="shared" si="31"/>
        <v>0.8</v>
      </c>
      <c r="I55" s="104">
        <f t="shared" si="31"/>
        <v>0.8</v>
      </c>
      <c r="J55" s="104">
        <f t="shared" si="31"/>
        <v>0.8</v>
      </c>
      <c r="K55" s="104">
        <f t="shared" si="31"/>
        <v>0.8</v>
      </c>
      <c r="L55" s="104">
        <f t="shared" si="31"/>
        <v>0.8</v>
      </c>
      <c r="M55" s="104">
        <f t="shared" si="31"/>
        <v>0.8</v>
      </c>
      <c r="N55" s="104">
        <f t="shared" si="31"/>
        <v>0.8</v>
      </c>
      <c r="O55" s="104">
        <f t="shared" si="31"/>
        <v>0.8</v>
      </c>
      <c r="P55" s="104">
        <f t="shared" si="31"/>
        <v>0.8</v>
      </c>
      <c r="Q55" s="104">
        <f t="shared" si="31"/>
        <v>0.8</v>
      </c>
      <c r="R55" s="104">
        <f t="shared" si="31"/>
        <v>0.8</v>
      </c>
      <c r="S55" s="104">
        <f t="shared" si="31"/>
        <v>0.8</v>
      </c>
      <c r="T55" s="104">
        <f t="shared" si="31"/>
        <v>0.8</v>
      </c>
      <c r="U55" s="104">
        <f t="shared" si="31"/>
        <v>0.8</v>
      </c>
      <c r="V55" s="104">
        <f t="shared" si="31"/>
        <v>0.8</v>
      </c>
      <c r="W55" s="104">
        <f t="shared" si="31"/>
        <v>0.8</v>
      </c>
      <c r="X55" s="104">
        <f t="shared" si="31"/>
        <v>0.8</v>
      </c>
      <c r="Y55" s="104">
        <f t="shared" si="31"/>
        <v>0.8</v>
      </c>
      <c r="Z55" s="104">
        <f t="shared" si="31"/>
        <v>0.8</v>
      </c>
      <c r="AA55" s="104">
        <f t="shared" si="31"/>
        <v>0.8</v>
      </c>
      <c r="AB55" s="104">
        <f t="shared" si="31"/>
        <v>0.8</v>
      </c>
      <c r="AC55" s="104">
        <f t="shared" si="31"/>
        <v>0.8</v>
      </c>
      <c r="AD55" s="104">
        <f t="shared" si="31"/>
        <v>0.8</v>
      </c>
      <c r="AE55" s="104">
        <f t="shared" si="31"/>
        <v>0.8</v>
      </c>
      <c r="AF55" s="104">
        <f t="shared" si="31"/>
        <v>0.8</v>
      </c>
      <c r="AG55" s="104">
        <f t="shared" si="31"/>
        <v>0.8</v>
      </c>
      <c r="AI55" s="126" t="s">
        <v>426</v>
      </c>
      <c r="AJ55" s="198"/>
      <c r="AL55" s="102"/>
      <c r="AM55" s="2"/>
      <c r="AN55" s="2"/>
      <c r="AO55" s="2"/>
      <c r="BC55" s="1"/>
      <c r="BD55" s="2"/>
      <c r="BE55" s="2"/>
      <c r="BF55" s="2"/>
      <c r="BG55" s="2"/>
      <c r="BH55" s="2"/>
      <c r="BI55" s="2"/>
      <c r="BJ55" s="2"/>
      <c r="BK55" s="2"/>
    </row>
    <row r="56" spans="1:63" outlineLevel="1">
      <c r="A56" t="s">
        <v>439</v>
      </c>
      <c r="B56" s="51" t="s">
        <v>126</v>
      </c>
      <c r="C56" s="104">
        <f>C54*C51</f>
        <v>1.9000000000000003E-2</v>
      </c>
      <c r="D56" s="104">
        <f t="shared" ref="D56:AG56" si="32">D54*D51</f>
        <v>1.966E-2</v>
      </c>
      <c r="E56" s="104">
        <f t="shared" si="32"/>
        <v>2.0320000000000001E-2</v>
      </c>
      <c r="F56" s="104">
        <f t="shared" si="32"/>
        <v>2.0979999999999999E-2</v>
      </c>
      <c r="G56" s="104">
        <f t="shared" si="32"/>
        <v>2.1640000000000003E-2</v>
      </c>
      <c r="H56" s="104">
        <f t="shared" si="32"/>
        <v>2.23E-2</v>
      </c>
      <c r="I56" s="104">
        <f t="shared" si="32"/>
        <v>2.2960000000000001E-2</v>
      </c>
      <c r="J56" s="104">
        <f t="shared" si="32"/>
        <v>2.3620000000000002E-2</v>
      </c>
      <c r="K56" s="104">
        <f t="shared" si="32"/>
        <v>2.4280000000000003E-2</v>
      </c>
      <c r="L56" s="104">
        <f t="shared" si="32"/>
        <v>2.4940000000000004E-2</v>
      </c>
      <c r="M56" s="104">
        <f t="shared" si="32"/>
        <v>2.5600000000000001E-2</v>
      </c>
      <c r="N56" s="104">
        <f t="shared" si="32"/>
        <v>2.7120000000000002E-2</v>
      </c>
      <c r="O56" s="104">
        <f t="shared" si="32"/>
        <v>2.8639999999999999E-2</v>
      </c>
      <c r="P56" s="104">
        <f t="shared" si="32"/>
        <v>3.0159999999999999E-2</v>
      </c>
      <c r="Q56" s="104">
        <f t="shared" si="32"/>
        <v>3.168E-2</v>
      </c>
      <c r="R56" s="104">
        <f t="shared" si="32"/>
        <v>3.32E-2</v>
      </c>
      <c r="S56" s="104">
        <f t="shared" si="32"/>
        <v>3.4719999999999994E-2</v>
      </c>
      <c r="T56" s="104">
        <f t="shared" si="32"/>
        <v>3.6240000000000001E-2</v>
      </c>
      <c r="U56" s="104">
        <f t="shared" si="32"/>
        <v>3.7760000000000002E-2</v>
      </c>
      <c r="V56" s="104">
        <f t="shared" si="32"/>
        <v>3.9280000000000002E-2</v>
      </c>
      <c r="W56" s="104">
        <f t="shared" si="32"/>
        <v>4.0800000000000003E-2</v>
      </c>
      <c r="X56" s="104">
        <f t="shared" si="32"/>
        <v>4.3222499999999997E-2</v>
      </c>
      <c r="Y56" s="104">
        <f t="shared" si="32"/>
        <v>4.5644999999999998E-2</v>
      </c>
      <c r="Z56" s="104">
        <f t="shared" si="32"/>
        <v>4.8067499999999999E-2</v>
      </c>
      <c r="AA56" s="104">
        <f t="shared" si="32"/>
        <v>5.0489999999999993E-2</v>
      </c>
      <c r="AB56" s="104">
        <f t="shared" si="32"/>
        <v>5.2912500000000001E-2</v>
      </c>
      <c r="AC56" s="104">
        <f t="shared" si="32"/>
        <v>5.5334999999999995E-2</v>
      </c>
      <c r="AD56" s="104">
        <f t="shared" si="32"/>
        <v>5.7757499999999996E-2</v>
      </c>
      <c r="AE56" s="104">
        <f t="shared" si="32"/>
        <v>6.017999999999999E-2</v>
      </c>
      <c r="AF56" s="104">
        <f t="shared" si="32"/>
        <v>6.2602499999999991E-2</v>
      </c>
      <c r="AG56" s="104">
        <f t="shared" si="32"/>
        <v>6.5024999999999986E-2</v>
      </c>
      <c r="AI56" s="106"/>
      <c r="AJ56" s="198"/>
      <c r="AL56" s="102"/>
      <c r="AM56" s="2"/>
      <c r="AN56" s="2"/>
      <c r="AO56" s="2"/>
      <c r="BC56" s="1"/>
      <c r="BD56" s="2"/>
      <c r="BE56" s="2"/>
      <c r="BF56" s="2"/>
      <c r="BG56" s="2"/>
      <c r="BH56" s="2"/>
      <c r="BI56" s="2"/>
      <c r="BJ56" s="2"/>
      <c r="BK56" s="2"/>
    </row>
    <row r="57" spans="1:63" outlineLevel="1">
      <c r="A57" t="s">
        <v>440</v>
      </c>
      <c r="B57" s="51" t="s">
        <v>126</v>
      </c>
      <c r="C57" s="104">
        <f>C55*C51</f>
        <v>7.6000000000000012E-2</v>
      </c>
      <c r="D57" s="104">
        <f t="shared" ref="D57:AG57" si="33">D55*D51</f>
        <v>7.8640000000000002E-2</v>
      </c>
      <c r="E57" s="104">
        <f t="shared" si="33"/>
        <v>8.1280000000000005E-2</v>
      </c>
      <c r="F57" s="104">
        <f t="shared" si="33"/>
        <v>8.3919999999999995E-2</v>
      </c>
      <c r="G57" s="104">
        <f t="shared" si="33"/>
        <v>8.6560000000000012E-2</v>
      </c>
      <c r="H57" s="104">
        <f t="shared" si="33"/>
        <v>8.9200000000000002E-2</v>
      </c>
      <c r="I57" s="104">
        <f t="shared" si="33"/>
        <v>9.1840000000000005E-2</v>
      </c>
      <c r="J57" s="104">
        <f t="shared" si="33"/>
        <v>9.4480000000000008E-2</v>
      </c>
      <c r="K57" s="104">
        <f t="shared" si="33"/>
        <v>9.7120000000000012E-2</v>
      </c>
      <c r="L57" s="104">
        <f t="shared" si="33"/>
        <v>9.9760000000000015E-2</v>
      </c>
      <c r="M57" s="104">
        <f t="shared" si="33"/>
        <v>0.1024</v>
      </c>
      <c r="N57" s="104">
        <f t="shared" si="33"/>
        <v>0.10848000000000001</v>
      </c>
      <c r="O57" s="104">
        <f t="shared" si="33"/>
        <v>0.11456</v>
      </c>
      <c r="P57" s="104">
        <f t="shared" si="33"/>
        <v>0.12064</v>
      </c>
      <c r="Q57" s="104">
        <f t="shared" si="33"/>
        <v>0.12672</v>
      </c>
      <c r="R57" s="104">
        <f t="shared" si="33"/>
        <v>0.1328</v>
      </c>
      <c r="S57" s="104">
        <f t="shared" si="33"/>
        <v>0.13887999999999998</v>
      </c>
      <c r="T57" s="104">
        <f t="shared" si="33"/>
        <v>0.14496000000000001</v>
      </c>
      <c r="U57" s="104">
        <f t="shared" si="33"/>
        <v>0.15104000000000001</v>
      </c>
      <c r="V57" s="104">
        <f t="shared" si="33"/>
        <v>0.15712000000000001</v>
      </c>
      <c r="W57" s="104">
        <f t="shared" si="33"/>
        <v>0.16320000000000001</v>
      </c>
      <c r="X57" s="104">
        <f t="shared" si="33"/>
        <v>0.17288999999999999</v>
      </c>
      <c r="Y57" s="104">
        <f t="shared" si="33"/>
        <v>0.18257999999999999</v>
      </c>
      <c r="Z57" s="104">
        <f t="shared" si="33"/>
        <v>0.19227</v>
      </c>
      <c r="AA57" s="104">
        <f t="shared" si="33"/>
        <v>0.20195999999999997</v>
      </c>
      <c r="AB57" s="104">
        <f t="shared" si="33"/>
        <v>0.21165</v>
      </c>
      <c r="AC57" s="104">
        <f t="shared" si="33"/>
        <v>0.22133999999999998</v>
      </c>
      <c r="AD57" s="104">
        <f t="shared" si="33"/>
        <v>0.23102999999999999</v>
      </c>
      <c r="AE57" s="104">
        <f t="shared" si="33"/>
        <v>0.24071999999999996</v>
      </c>
      <c r="AF57" s="104">
        <f t="shared" si="33"/>
        <v>0.25040999999999997</v>
      </c>
      <c r="AG57" s="104">
        <f t="shared" si="33"/>
        <v>0.26009999999999994</v>
      </c>
      <c r="AI57" s="126"/>
      <c r="AJ57" s="198"/>
      <c r="AL57" s="102"/>
      <c r="AM57" s="2"/>
      <c r="AN57" s="2"/>
      <c r="AO57" s="2"/>
      <c r="BC57" s="1"/>
      <c r="BD57" s="2"/>
      <c r="BE57" s="2"/>
      <c r="BF57" s="2"/>
      <c r="BG57" s="2"/>
      <c r="BH57" s="2"/>
      <c r="BI57" s="2"/>
      <c r="BJ57" s="2"/>
      <c r="BK57" s="2"/>
    </row>
    <row r="58" spans="1:63" outlineLevel="1">
      <c r="C58" s="104"/>
      <c r="D58" s="104"/>
      <c r="E58" s="104"/>
      <c r="F58" s="104"/>
      <c r="G58" s="104"/>
      <c r="H58" s="104"/>
      <c r="I58" s="104"/>
      <c r="J58" s="104"/>
      <c r="K58" s="104"/>
      <c r="L58" s="104"/>
      <c r="M58" s="104"/>
      <c r="N58" s="104"/>
      <c r="O58" s="104"/>
      <c r="P58" s="104"/>
      <c r="Q58" s="104"/>
      <c r="R58" s="104"/>
      <c r="S58" s="104"/>
      <c r="T58" s="104"/>
      <c r="U58" s="104"/>
      <c r="V58" s="104"/>
      <c r="W58" s="104"/>
      <c r="X58" s="104"/>
      <c r="Y58" s="104"/>
      <c r="Z58" s="104"/>
      <c r="AA58" s="104"/>
      <c r="AB58" s="104"/>
      <c r="AC58" s="104"/>
      <c r="AD58" s="104"/>
      <c r="AE58" s="104"/>
      <c r="AF58" s="104"/>
      <c r="AG58" s="104"/>
      <c r="AI58" s="126"/>
      <c r="AJ58" s="198"/>
      <c r="AL58" s="102"/>
      <c r="AM58" s="2"/>
      <c r="AN58" s="2"/>
      <c r="AO58" s="2"/>
      <c r="BC58" s="1"/>
      <c r="BD58" s="2"/>
      <c r="BE58" s="2"/>
      <c r="BF58" s="2"/>
      <c r="BG58" s="2"/>
      <c r="BH58" s="2"/>
      <c r="BI58" s="2"/>
      <c r="BJ58" s="2"/>
      <c r="BK58" s="2"/>
    </row>
    <row r="59" spans="1:63" outlineLevel="1">
      <c r="A59" t="s">
        <v>505</v>
      </c>
      <c r="C59" s="216">
        <f>'Overall recycling rates'!D84</f>
        <v>0.46897445330719367</v>
      </c>
      <c r="D59" s="216">
        <f t="shared" ref="D59:AF59" si="34">C59-($C$59-$AG$59)/($AG$1-$C$1)</f>
        <v>0.48000863819695389</v>
      </c>
      <c r="E59" s="216">
        <f t="shared" si="34"/>
        <v>0.4910428230867141</v>
      </c>
      <c r="F59" s="216">
        <f t="shared" si="34"/>
        <v>0.50207700797647425</v>
      </c>
      <c r="G59" s="216">
        <f t="shared" si="34"/>
        <v>0.51311119286623441</v>
      </c>
      <c r="H59" s="216">
        <f t="shared" si="34"/>
        <v>0.52414537775599457</v>
      </c>
      <c r="I59" s="216">
        <f t="shared" si="34"/>
        <v>0.53517956264575473</v>
      </c>
      <c r="J59" s="216">
        <f t="shared" si="34"/>
        <v>0.54621374753551488</v>
      </c>
      <c r="K59" s="216">
        <f t="shared" si="34"/>
        <v>0.55724793242527504</v>
      </c>
      <c r="L59" s="216">
        <f t="shared" si="34"/>
        <v>0.5682821173150352</v>
      </c>
      <c r="M59" s="216">
        <f t="shared" si="34"/>
        <v>0.57931630220479535</v>
      </c>
      <c r="N59" s="216">
        <f t="shared" si="34"/>
        <v>0.59035048709455551</v>
      </c>
      <c r="O59" s="216">
        <f t="shared" si="34"/>
        <v>0.60138467198431567</v>
      </c>
      <c r="P59" s="216">
        <f t="shared" si="34"/>
        <v>0.61241885687407582</v>
      </c>
      <c r="Q59" s="216">
        <f t="shared" si="34"/>
        <v>0.62345304176383598</v>
      </c>
      <c r="R59" s="216">
        <f t="shared" si="34"/>
        <v>0.63448722665359614</v>
      </c>
      <c r="S59" s="216">
        <f t="shared" si="34"/>
        <v>0.64552141154335629</v>
      </c>
      <c r="T59" s="216">
        <f t="shared" si="34"/>
        <v>0.65655559643311645</v>
      </c>
      <c r="U59" s="216">
        <f t="shared" si="34"/>
        <v>0.66758978132287661</v>
      </c>
      <c r="V59" s="216">
        <f t="shared" si="34"/>
        <v>0.67862396621263676</v>
      </c>
      <c r="W59" s="216">
        <f t="shared" si="34"/>
        <v>0.68965815110239692</v>
      </c>
      <c r="X59" s="216">
        <f t="shared" si="34"/>
        <v>0.70069233599215708</v>
      </c>
      <c r="Y59" s="216">
        <f t="shared" si="34"/>
        <v>0.71172652088191724</v>
      </c>
      <c r="Z59" s="216">
        <f t="shared" si="34"/>
        <v>0.72276070577167739</v>
      </c>
      <c r="AA59" s="216">
        <f t="shared" si="34"/>
        <v>0.73379489066143755</v>
      </c>
      <c r="AB59" s="216">
        <f t="shared" si="34"/>
        <v>0.74482907555119771</v>
      </c>
      <c r="AC59" s="216">
        <f t="shared" si="34"/>
        <v>0.75586326044095786</v>
      </c>
      <c r="AD59" s="216">
        <f t="shared" si="34"/>
        <v>0.76689744533071802</v>
      </c>
      <c r="AE59" s="216">
        <f t="shared" si="34"/>
        <v>0.77793163022047818</v>
      </c>
      <c r="AF59" s="216">
        <f t="shared" si="34"/>
        <v>0.78896581511023833</v>
      </c>
      <c r="AG59" s="216">
        <f>'Overall recycling rates'!D93</f>
        <v>0.8</v>
      </c>
      <c r="AI59" s="126"/>
      <c r="AJ59" s="198"/>
      <c r="AL59" s="102"/>
      <c r="AM59" s="2"/>
      <c r="AN59" s="2"/>
      <c r="AO59" s="2"/>
      <c r="BC59" s="1"/>
      <c r="BD59" s="2"/>
      <c r="BE59" s="2"/>
      <c r="BF59" s="2"/>
      <c r="BG59" s="2"/>
      <c r="BH59" s="2"/>
      <c r="BI59" s="2"/>
      <c r="BJ59" s="2"/>
      <c r="BK59" s="2"/>
    </row>
    <row r="60" spans="1:63" outlineLevel="1">
      <c r="A60" t="s">
        <v>506</v>
      </c>
      <c r="B60" s="51" t="s">
        <v>126</v>
      </c>
      <c r="C60" s="104">
        <f t="shared" ref="C60:AG60" si="35">C50*C$59</f>
        <v>2.2041799305438103E-2</v>
      </c>
      <c r="D60" s="104">
        <f t="shared" si="35"/>
        <v>2.4096433637487084E-2</v>
      </c>
      <c r="E60" s="104">
        <f t="shared" si="35"/>
        <v>2.6221686752830535E-2</v>
      </c>
      <c r="F60" s="104">
        <f t="shared" si="35"/>
        <v>2.8417558651468441E-2</v>
      </c>
      <c r="G60" s="104">
        <f t="shared" si="35"/>
        <v>3.0684049333400819E-2</v>
      </c>
      <c r="H60" s="104">
        <f t="shared" si="35"/>
        <v>3.3021158798627659E-2</v>
      </c>
      <c r="I60" s="104">
        <f t="shared" si="35"/>
        <v>3.5428887047148964E-2</v>
      </c>
      <c r="J60" s="104">
        <f t="shared" si="35"/>
        <v>3.7907234078964736E-2</v>
      </c>
      <c r="K60" s="104">
        <f t="shared" si="35"/>
        <v>4.0456199894074965E-2</v>
      </c>
      <c r="L60" s="104">
        <f t="shared" si="35"/>
        <v>4.3075784492479674E-2</v>
      </c>
      <c r="M60" s="104">
        <f t="shared" si="35"/>
        <v>4.5765987874178835E-2</v>
      </c>
      <c r="N60" s="104">
        <f t="shared" si="35"/>
        <v>5.0238826451746682E-2</v>
      </c>
      <c r="O60" s="104">
        <f t="shared" si="35"/>
        <v>5.484628208496959E-2</v>
      </c>
      <c r="P60" s="104">
        <f t="shared" si="35"/>
        <v>5.9588354773847579E-2</v>
      </c>
      <c r="Q60" s="104">
        <f t="shared" si="35"/>
        <v>6.4465044518380643E-2</v>
      </c>
      <c r="R60" s="104">
        <f t="shared" si="35"/>
        <v>6.9476351318568788E-2</v>
      </c>
      <c r="S60" s="104">
        <f t="shared" si="35"/>
        <v>7.4622275174411987E-2</v>
      </c>
      <c r="T60" s="104">
        <f t="shared" si="35"/>
        <v>7.990281608591028E-2</v>
      </c>
      <c r="U60" s="104">
        <f t="shared" si="35"/>
        <v>8.5317974053063642E-2</v>
      </c>
      <c r="V60" s="104">
        <f t="shared" si="35"/>
        <v>9.086774907587207E-2</v>
      </c>
      <c r="W60" s="104">
        <f t="shared" si="35"/>
        <v>9.655214115433558E-2</v>
      </c>
      <c r="X60" s="104">
        <f t="shared" si="35"/>
        <v>0.10567149988620962</v>
      </c>
      <c r="Y60" s="104">
        <f t="shared" si="35"/>
        <v>0.1150294204888648</v>
      </c>
      <c r="Z60" s="104">
        <f t="shared" si="35"/>
        <v>0.12462590296230114</v>
      </c>
      <c r="AA60" s="104">
        <f t="shared" si="35"/>
        <v>0.13446094730651864</v>
      </c>
      <c r="AB60" s="104">
        <f t="shared" si="35"/>
        <v>0.14453455352151726</v>
      </c>
      <c r="AC60" s="104">
        <f t="shared" si="35"/>
        <v>0.15484672160729701</v>
      </c>
      <c r="AD60" s="104">
        <f t="shared" si="35"/>
        <v>0.16539745156385793</v>
      </c>
      <c r="AE60" s="104">
        <f t="shared" si="35"/>
        <v>0.1761867433912</v>
      </c>
      <c r="AF60" s="104">
        <f t="shared" si="35"/>
        <v>0.18721459708932317</v>
      </c>
      <c r="AG60" s="104">
        <f t="shared" si="35"/>
        <v>0.1984810126582279</v>
      </c>
      <c r="AI60" s="126"/>
      <c r="AJ60" s="198"/>
      <c r="AL60" s="102"/>
      <c r="AM60" s="2"/>
      <c r="AN60" s="2"/>
      <c r="AO60" s="2"/>
      <c r="AV60" s="38"/>
    </row>
    <row r="61" spans="1:63" outlineLevel="1">
      <c r="A61" t="s">
        <v>507</v>
      </c>
      <c r="B61" s="51" t="s">
        <v>126</v>
      </c>
      <c r="C61" s="104">
        <f t="shared" ref="C61:AG61" si="36">C51*C$59</f>
        <v>4.45525730641834E-2</v>
      </c>
      <c r="D61" s="104">
        <f t="shared" si="36"/>
        <v>4.7184849134760565E-2</v>
      </c>
      <c r="E61" s="104">
        <f t="shared" si="36"/>
        <v>4.9889950825610152E-2</v>
      </c>
      <c r="F61" s="104">
        <f t="shared" si="36"/>
        <v>5.2667878136732148E-2</v>
      </c>
      <c r="G61" s="104">
        <f t="shared" si="36"/>
        <v>5.5518631068126566E-2</v>
      </c>
      <c r="H61" s="104">
        <f t="shared" si="36"/>
        <v>5.8442209619793392E-2</v>
      </c>
      <c r="I61" s="104">
        <f t="shared" si="36"/>
        <v>6.1438613791732641E-2</v>
      </c>
      <c r="J61" s="104">
        <f t="shared" si="36"/>
        <v>6.4507843583944305E-2</v>
      </c>
      <c r="K61" s="104">
        <f t="shared" si="36"/>
        <v>6.7649898996428398E-2</v>
      </c>
      <c r="L61" s="104">
        <f t="shared" si="36"/>
        <v>7.0864780029184893E-2</v>
      </c>
      <c r="M61" s="104">
        <f t="shared" si="36"/>
        <v>7.4152486682213803E-2</v>
      </c>
      <c r="N61" s="104">
        <f t="shared" si="36"/>
        <v>8.0051526050021721E-2</v>
      </c>
      <c r="O61" s="104">
        <f t="shared" si="36"/>
        <v>8.6118285028153996E-2</v>
      </c>
      <c r="P61" s="104">
        <f t="shared" si="36"/>
        <v>9.2352763616610628E-2</v>
      </c>
      <c r="Q61" s="104">
        <f t="shared" si="36"/>
        <v>9.8754961815391604E-2</v>
      </c>
      <c r="R61" s="104">
        <f t="shared" si="36"/>
        <v>0.10532487962449695</v>
      </c>
      <c r="S61" s="104">
        <f t="shared" si="36"/>
        <v>0.11206251704392664</v>
      </c>
      <c r="T61" s="104">
        <f t="shared" si="36"/>
        <v>0.1189678740736807</v>
      </c>
      <c r="U61" s="104">
        <f t="shared" si="36"/>
        <v>0.12604095071375909</v>
      </c>
      <c r="V61" s="104">
        <f t="shared" si="36"/>
        <v>0.13328174696416187</v>
      </c>
      <c r="W61" s="104">
        <f t="shared" si="36"/>
        <v>0.14069026282488897</v>
      </c>
      <c r="X61" s="104">
        <f t="shared" si="36"/>
        <v>0.15142837246210503</v>
      </c>
      <c r="Y61" s="104">
        <f t="shared" si="36"/>
        <v>0.16243378522827556</v>
      </c>
      <c r="Z61" s="104">
        <f t="shared" si="36"/>
        <v>0.1737065011234005</v>
      </c>
      <c r="AA61" s="104">
        <f t="shared" si="36"/>
        <v>0.18524652014747989</v>
      </c>
      <c r="AB61" s="104">
        <f t="shared" si="36"/>
        <v>0.19705384230051373</v>
      </c>
      <c r="AC61" s="104">
        <f t="shared" si="36"/>
        <v>0.20912846758250198</v>
      </c>
      <c r="AD61" s="104">
        <f t="shared" si="36"/>
        <v>0.2214703959934447</v>
      </c>
      <c r="AE61" s="104">
        <f t="shared" si="36"/>
        <v>0.23407962753334183</v>
      </c>
      <c r="AF61" s="104">
        <f t="shared" si="36"/>
        <v>0.24695616220219341</v>
      </c>
      <c r="AG61" s="104">
        <f t="shared" si="36"/>
        <v>0.26009999999999994</v>
      </c>
      <c r="AI61" s="126"/>
      <c r="AJ61" s="198"/>
      <c r="AL61" s="102"/>
      <c r="AM61" s="2"/>
      <c r="AN61" s="2"/>
      <c r="AO61" s="2"/>
      <c r="AV61" s="38"/>
    </row>
    <row r="62" spans="1:63" outlineLevel="1">
      <c r="A62" t="s">
        <v>508</v>
      </c>
      <c r="B62" s="165" t="s">
        <v>126</v>
      </c>
      <c r="C62" s="104">
        <f>SUM(C60:C61)</f>
        <v>6.6594372369621499E-2</v>
      </c>
      <c r="D62" s="104">
        <f t="shared" ref="D62:AG62" si="37">SUM(D60:D61)</f>
        <v>7.1281282772247656E-2</v>
      </c>
      <c r="E62" s="104">
        <f t="shared" si="37"/>
        <v>7.6111637578440694E-2</v>
      </c>
      <c r="F62" s="104">
        <f t="shared" si="37"/>
        <v>8.1085436788200585E-2</v>
      </c>
      <c r="G62" s="104">
        <f t="shared" si="37"/>
        <v>8.6202680401527385E-2</v>
      </c>
      <c r="H62" s="104">
        <f t="shared" si="37"/>
        <v>9.1463368418421051E-2</v>
      </c>
      <c r="I62" s="104">
        <f t="shared" si="37"/>
        <v>9.6867500838881598E-2</v>
      </c>
      <c r="J62" s="104">
        <f t="shared" si="37"/>
        <v>0.10241507766290904</v>
      </c>
      <c r="K62" s="104">
        <f t="shared" si="37"/>
        <v>0.10810609889050336</v>
      </c>
      <c r="L62" s="104">
        <f t="shared" si="37"/>
        <v>0.11394056452166457</v>
      </c>
      <c r="M62" s="104">
        <f t="shared" si="37"/>
        <v>0.11991847455639264</v>
      </c>
      <c r="N62" s="104">
        <f t="shared" si="37"/>
        <v>0.1302903525017684</v>
      </c>
      <c r="O62" s="104">
        <f t="shared" si="37"/>
        <v>0.14096456711312358</v>
      </c>
      <c r="P62" s="104">
        <f t="shared" si="37"/>
        <v>0.15194111839045821</v>
      </c>
      <c r="Q62" s="104">
        <f t="shared" si="37"/>
        <v>0.16322000633377226</v>
      </c>
      <c r="R62" s="104">
        <f t="shared" si="37"/>
        <v>0.17480123094306574</v>
      </c>
      <c r="S62" s="104">
        <f t="shared" si="37"/>
        <v>0.18668479221833861</v>
      </c>
      <c r="T62" s="104">
        <f t="shared" si="37"/>
        <v>0.19887069015959097</v>
      </c>
      <c r="U62" s="104">
        <f t="shared" si="37"/>
        <v>0.21135892476682272</v>
      </c>
      <c r="V62" s="104">
        <f t="shared" si="37"/>
        <v>0.22414949604003392</v>
      </c>
      <c r="W62" s="104">
        <f t="shared" si="37"/>
        <v>0.23724240397922455</v>
      </c>
      <c r="X62" s="104">
        <f t="shared" si="37"/>
        <v>0.25709987234831466</v>
      </c>
      <c r="Y62" s="104">
        <f t="shared" si="37"/>
        <v>0.27746320571714034</v>
      </c>
      <c r="Z62" s="104">
        <f t="shared" si="37"/>
        <v>0.29833240408570161</v>
      </c>
      <c r="AA62" s="104">
        <f t="shared" si="37"/>
        <v>0.31970746745399853</v>
      </c>
      <c r="AB62" s="104">
        <f t="shared" si="37"/>
        <v>0.34158839582203099</v>
      </c>
      <c r="AC62" s="104">
        <f t="shared" si="37"/>
        <v>0.36397518918979899</v>
      </c>
      <c r="AD62" s="104">
        <f t="shared" si="37"/>
        <v>0.38686784755730264</v>
      </c>
      <c r="AE62" s="104">
        <f t="shared" si="37"/>
        <v>0.41026637092454182</v>
      </c>
      <c r="AF62" s="104">
        <f t="shared" si="37"/>
        <v>0.43417075929151661</v>
      </c>
      <c r="AG62" s="104">
        <f t="shared" si="37"/>
        <v>0.45858101265822782</v>
      </c>
      <c r="AI62" s="126"/>
      <c r="AJ62" s="198"/>
      <c r="AL62" s="102"/>
      <c r="AM62" s="2"/>
      <c r="AN62" s="2"/>
      <c r="AO62" s="2"/>
    </row>
    <row r="63" spans="1:63" outlineLevel="1">
      <c r="A63" t="s">
        <v>509</v>
      </c>
      <c r="B63" s="51" t="s">
        <v>126</v>
      </c>
      <c r="C63" s="104">
        <f>C59*C56</f>
        <v>8.910514612836682E-3</v>
      </c>
      <c r="D63" s="104">
        <f t="shared" ref="D63:AG63" si="38">D59*D56</f>
        <v>9.4369698269521143E-3</v>
      </c>
      <c r="E63" s="104">
        <f t="shared" si="38"/>
        <v>9.9779901651220314E-3</v>
      </c>
      <c r="F63" s="104">
        <f t="shared" si="38"/>
        <v>1.053357562734643E-2</v>
      </c>
      <c r="G63" s="104">
        <f t="shared" si="38"/>
        <v>1.1103726213625315E-2</v>
      </c>
      <c r="H63" s="104">
        <f t="shared" si="38"/>
        <v>1.1688441923958679E-2</v>
      </c>
      <c r="I63" s="104">
        <f t="shared" si="38"/>
        <v>1.2287722758346529E-2</v>
      </c>
      <c r="J63" s="104">
        <f t="shared" si="38"/>
        <v>1.2901568716788863E-2</v>
      </c>
      <c r="K63" s="104">
        <f t="shared" si="38"/>
        <v>1.352997979928568E-2</v>
      </c>
      <c r="L63" s="104">
        <f t="shared" si="38"/>
        <v>1.4172956005836981E-2</v>
      </c>
      <c r="M63" s="104">
        <f t="shared" si="38"/>
        <v>1.4830497336442762E-2</v>
      </c>
      <c r="N63" s="104">
        <f t="shared" si="38"/>
        <v>1.6010305210004346E-2</v>
      </c>
      <c r="O63" s="104">
        <f t="shared" si="38"/>
        <v>1.7223657005630801E-2</v>
      </c>
      <c r="P63" s="104">
        <f t="shared" si="38"/>
        <v>1.8470552723322126E-2</v>
      </c>
      <c r="Q63" s="104">
        <f t="shared" si="38"/>
        <v>1.9750992363078323E-2</v>
      </c>
      <c r="R63" s="104">
        <f t="shared" si="38"/>
        <v>2.1064975924899393E-2</v>
      </c>
      <c r="S63" s="104">
        <f t="shared" si="38"/>
        <v>2.2412503408785325E-2</v>
      </c>
      <c r="T63" s="104">
        <f t="shared" si="38"/>
        <v>2.3793574814736141E-2</v>
      </c>
      <c r="U63" s="104">
        <f t="shared" si="38"/>
        <v>2.5208190142751823E-2</v>
      </c>
      <c r="V63" s="104">
        <f t="shared" si="38"/>
        <v>2.6656349392832374E-2</v>
      </c>
      <c r="W63" s="104">
        <f t="shared" si="38"/>
        <v>2.8138052564977797E-2</v>
      </c>
      <c r="X63" s="104">
        <f t="shared" si="38"/>
        <v>3.0285674492421009E-2</v>
      </c>
      <c r="Y63" s="104">
        <f t="shared" si="38"/>
        <v>3.248675704565511E-2</v>
      </c>
      <c r="Z63" s="104">
        <f t="shared" si="38"/>
        <v>3.4741300224680104E-2</v>
      </c>
      <c r="AA63" s="104">
        <f t="shared" si="38"/>
        <v>3.704930402949598E-2</v>
      </c>
      <c r="AB63" s="104">
        <f t="shared" si="38"/>
        <v>3.9410768460102746E-2</v>
      </c>
      <c r="AC63" s="104">
        <f t="shared" si="38"/>
        <v>4.1825693516500402E-2</v>
      </c>
      <c r="AD63" s="104">
        <f t="shared" si="38"/>
        <v>4.429407919868894E-2</v>
      </c>
      <c r="AE63" s="104">
        <f t="shared" si="38"/>
        <v>4.6815925506668368E-2</v>
      </c>
      <c r="AF63" s="104">
        <f t="shared" si="38"/>
        <v>4.9391232440438686E-2</v>
      </c>
      <c r="AG63" s="104">
        <f t="shared" si="38"/>
        <v>5.201999999999999E-2</v>
      </c>
      <c r="AI63" s="126"/>
      <c r="AJ63" s="198"/>
      <c r="AL63" s="102"/>
      <c r="AM63" s="2"/>
      <c r="AN63" s="2"/>
      <c r="AO63" s="2"/>
      <c r="BC63" s="1"/>
      <c r="BD63" s="2"/>
      <c r="BE63" s="2"/>
      <c r="BF63" s="2"/>
      <c r="BG63" s="2"/>
      <c r="BH63" s="2"/>
      <c r="BI63" s="2"/>
      <c r="BJ63" s="2"/>
      <c r="BK63" s="2"/>
    </row>
    <row r="64" spans="1:63" outlineLevel="1">
      <c r="A64" t="s">
        <v>510</v>
      </c>
      <c r="B64" s="51" t="s">
        <v>126</v>
      </c>
      <c r="C64" s="104">
        <f>C59*C57</f>
        <v>3.5642058451346728E-2</v>
      </c>
      <c r="D64" s="104">
        <f t="shared" ref="D64:AG64" si="39">D59*D57</f>
        <v>3.7747879307808457E-2</v>
      </c>
      <c r="E64" s="104">
        <f t="shared" si="39"/>
        <v>3.9911960660488126E-2</v>
      </c>
      <c r="F64" s="104">
        <f t="shared" si="39"/>
        <v>4.213430250938572E-2</v>
      </c>
      <c r="G64" s="104">
        <f t="shared" si="39"/>
        <v>4.441490485450126E-2</v>
      </c>
      <c r="H64" s="104">
        <f t="shared" si="39"/>
        <v>4.6753767695834718E-2</v>
      </c>
      <c r="I64" s="104">
        <f t="shared" si="39"/>
        <v>4.9150891033386115E-2</v>
      </c>
      <c r="J64" s="104">
        <f t="shared" si="39"/>
        <v>5.1606274867155452E-2</v>
      </c>
      <c r="K64" s="104">
        <f t="shared" si="39"/>
        <v>5.4119919197142721E-2</v>
      </c>
      <c r="L64" s="104">
        <f t="shared" si="39"/>
        <v>5.6691824023347923E-2</v>
      </c>
      <c r="M64" s="104">
        <f t="shared" si="39"/>
        <v>5.9321989345771049E-2</v>
      </c>
      <c r="N64" s="104">
        <f t="shared" si="39"/>
        <v>6.4041220840017385E-2</v>
      </c>
      <c r="O64" s="104">
        <f t="shared" si="39"/>
        <v>6.8894628022523205E-2</v>
      </c>
      <c r="P64" s="104">
        <f t="shared" si="39"/>
        <v>7.3882210893288502E-2</v>
      </c>
      <c r="Q64" s="104">
        <f t="shared" si="39"/>
        <v>7.9003969452313291E-2</v>
      </c>
      <c r="R64" s="104">
        <f t="shared" si="39"/>
        <v>8.4259903699597571E-2</v>
      </c>
      <c r="S64" s="104">
        <f t="shared" si="39"/>
        <v>8.9650013635141301E-2</v>
      </c>
      <c r="T64" s="104">
        <f t="shared" si="39"/>
        <v>9.5174299258944564E-2</v>
      </c>
      <c r="U64" s="104">
        <f t="shared" si="39"/>
        <v>0.10083276057100729</v>
      </c>
      <c r="V64" s="104">
        <f t="shared" si="39"/>
        <v>0.10662539757132949</v>
      </c>
      <c r="W64" s="104">
        <f t="shared" si="39"/>
        <v>0.11255221025991119</v>
      </c>
      <c r="X64" s="104">
        <f t="shared" si="39"/>
        <v>0.12114269796968404</v>
      </c>
      <c r="Y64" s="104">
        <f t="shared" si="39"/>
        <v>0.12994702818262044</v>
      </c>
      <c r="Z64" s="104">
        <f t="shared" si="39"/>
        <v>0.13896520089872041</v>
      </c>
      <c r="AA64" s="104">
        <f t="shared" si="39"/>
        <v>0.14819721611798392</v>
      </c>
      <c r="AB64" s="104">
        <f t="shared" si="39"/>
        <v>0.15764307384041099</v>
      </c>
      <c r="AC64" s="104">
        <f t="shared" si="39"/>
        <v>0.16730277406600161</v>
      </c>
      <c r="AD64" s="104">
        <f t="shared" si="39"/>
        <v>0.17717631679475576</v>
      </c>
      <c r="AE64" s="104">
        <f t="shared" si="39"/>
        <v>0.18726370202667347</v>
      </c>
      <c r="AF64" s="104">
        <f t="shared" si="39"/>
        <v>0.19756492976175474</v>
      </c>
      <c r="AG64" s="104">
        <f t="shared" si="39"/>
        <v>0.20807999999999996</v>
      </c>
      <c r="AI64" s="126"/>
      <c r="AJ64" s="198"/>
      <c r="AL64" s="102"/>
      <c r="AM64" s="2"/>
      <c r="AN64" s="2"/>
      <c r="AO64" s="2"/>
      <c r="BC64" s="1"/>
      <c r="BD64" s="2"/>
      <c r="BE64" s="2"/>
      <c r="BF64" s="2"/>
      <c r="BG64" s="2"/>
      <c r="BH64" s="2"/>
      <c r="BI64" s="2"/>
      <c r="BJ64" s="2"/>
      <c r="BK64" s="2"/>
    </row>
    <row r="65" spans="1:62" outlineLevel="1"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  <c r="AF65" s="22"/>
      <c r="AG65" s="22"/>
      <c r="AI65" s="127"/>
      <c r="AJ65" s="198"/>
      <c r="AL65" s="102"/>
      <c r="AM65" s="125"/>
      <c r="AN65" s="2"/>
      <c r="AO65" s="2"/>
    </row>
    <row r="66" spans="1:62" s="187" customFormat="1" ht="15.5" thickBot="1">
      <c r="A66" s="187" t="s">
        <v>436</v>
      </c>
      <c r="B66" s="202"/>
      <c r="C66" s="208">
        <f>C67</f>
        <v>2.5000000000000001E-2</v>
      </c>
      <c r="D66" s="208">
        <f t="shared" ref="D66:AG66" si="40">D67</f>
        <v>3.1603638194750427E-2</v>
      </c>
      <c r="E66" s="208">
        <f t="shared" si="40"/>
        <v>3.8207276389500847E-2</v>
      </c>
      <c r="F66" s="208">
        <f t="shared" si="40"/>
        <v>4.4810914584251273E-2</v>
      </c>
      <c r="G66" s="208">
        <f t="shared" si="40"/>
        <v>5.1414552779001699E-2</v>
      </c>
      <c r="H66" s="208">
        <f t="shared" si="40"/>
        <v>5.8018190973752125E-2</v>
      </c>
      <c r="I66" s="208">
        <f t="shared" si="40"/>
        <v>6.4621829168502537E-2</v>
      </c>
      <c r="J66" s="208">
        <f t="shared" si="40"/>
        <v>7.122546736325297E-2</v>
      </c>
      <c r="K66" s="208">
        <f t="shared" si="40"/>
        <v>7.7829105558003403E-2</v>
      </c>
      <c r="L66" s="208">
        <f t="shared" si="40"/>
        <v>8.4432743752753822E-2</v>
      </c>
      <c r="M66" s="208">
        <f t="shared" si="40"/>
        <v>9.1036381947504241E-2</v>
      </c>
      <c r="N66" s="208">
        <f t="shared" si="40"/>
        <v>0.10362456725624723</v>
      </c>
      <c r="O66" s="208">
        <f t="shared" si="40"/>
        <v>0.11621275256499022</v>
      </c>
      <c r="P66" s="208">
        <f t="shared" si="40"/>
        <v>0.12880093787373323</v>
      </c>
      <c r="Q66" s="208">
        <f t="shared" si="40"/>
        <v>0.14138912318247621</v>
      </c>
      <c r="R66" s="208">
        <f t="shared" si="40"/>
        <v>0.15397730849121921</v>
      </c>
      <c r="S66" s="208">
        <f t="shared" si="40"/>
        <v>0.16656549379996222</v>
      </c>
      <c r="T66" s="208">
        <f t="shared" si="40"/>
        <v>0.17915367910870522</v>
      </c>
      <c r="U66" s="208">
        <f t="shared" si="40"/>
        <v>0.1917418644174482</v>
      </c>
      <c r="V66" s="208">
        <f t="shared" si="40"/>
        <v>0.20433004972619118</v>
      </c>
      <c r="W66" s="208">
        <f t="shared" si="40"/>
        <v>0.21691823503493418</v>
      </c>
      <c r="X66" s="208">
        <f t="shared" si="40"/>
        <v>0.23922641153144075</v>
      </c>
      <c r="Y66" s="208">
        <f t="shared" si="40"/>
        <v>0.26153458802794732</v>
      </c>
      <c r="Z66" s="208">
        <f t="shared" si="40"/>
        <v>0.28384276452445389</v>
      </c>
      <c r="AA66" s="208">
        <f t="shared" si="40"/>
        <v>0.30615094102096052</v>
      </c>
      <c r="AB66" s="208">
        <f t="shared" si="40"/>
        <v>0.32845911751746709</v>
      </c>
      <c r="AC66" s="208">
        <f t="shared" si="40"/>
        <v>0.35076729401397366</v>
      </c>
      <c r="AD66" s="208">
        <f t="shared" si="40"/>
        <v>0.37307547051048029</v>
      </c>
      <c r="AE66" s="208">
        <f t="shared" si="40"/>
        <v>0.3953836470069868</v>
      </c>
      <c r="AF66" s="208">
        <f t="shared" si="40"/>
        <v>0.41769182350349343</v>
      </c>
      <c r="AG66" s="208">
        <f t="shared" si="40"/>
        <v>0.44</v>
      </c>
      <c r="AJ66" s="217" t="s">
        <v>504</v>
      </c>
      <c r="AL66" s="204"/>
      <c r="AM66" s="205"/>
      <c r="AN66" s="205"/>
      <c r="AO66" s="205"/>
    </row>
    <row r="67" spans="1:62" ht="15.5" outlineLevel="1" thickTop="1">
      <c r="A67" t="s">
        <v>428</v>
      </c>
      <c r="B67" s="51" t="s">
        <v>126</v>
      </c>
      <c r="C67" s="201">
        <v>2.5000000000000001E-2</v>
      </c>
      <c r="D67" s="104">
        <f>$C67+($M67-$C67)/10*(D$1-$C$1)</f>
        <v>3.1603638194750427E-2</v>
      </c>
      <c r="E67" s="104">
        <f t="shared" ref="E67:L67" si="41">$C67+($M67-$C67)/10*(E$1-$C$1)</f>
        <v>3.8207276389500847E-2</v>
      </c>
      <c r="F67" s="104">
        <f t="shared" si="41"/>
        <v>4.4810914584251273E-2</v>
      </c>
      <c r="G67" s="104">
        <f t="shared" si="41"/>
        <v>5.1414552779001699E-2</v>
      </c>
      <c r="H67" s="104">
        <f t="shared" si="41"/>
        <v>5.8018190973752125E-2</v>
      </c>
      <c r="I67" s="104">
        <f t="shared" si="41"/>
        <v>6.4621829168502537E-2</v>
      </c>
      <c r="J67" s="104">
        <f t="shared" si="41"/>
        <v>7.122546736325297E-2</v>
      </c>
      <c r="K67" s="104">
        <f t="shared" si="41"/>
        <v>7.7829105558003403E-2</v>
      </c>
      <c r="L67" s="104">
        <f t="shared" si="41"/>
        <v>8.4432743752753822E-2</v>
      </c>
      <c r="M67" s="115">
        <f>(M$50-$C$50)/($AG$50-$C$50)*($AG67-$C67)+$C67</f>
        <v>9.1036381947504241E-2</v>
      </c>
      <c r="N67" s="115">
        <f>$M67+($W67-$M67)/10*(N$1-$M$1)</f>
        <v>0.10362456725624723</v>
      </c>
      <c r="O67" s="115">
        <f t="shared" ref="O67:U67" si="42">$M67+($W67-$M67)/10*(O$1-$M$1)</f>
        <v>0.11621275256499022</v>
      </c>
      <c r="P67" s="115">
        <f t="shared" si="42"/>
        <v>0.12880093787373323</v>
      </c>
      <c r="Q67" s="115">
        <f t="shared" si="42"/>
        <v>0.14138912318247621</v>
      </c>
      <c r="R67" s="115">
        <f t="shared" si="42"/>
        <v>0.15397730849121921</v>
      </c>
      <c r="S67" s="115">
        <f t="shared" si="42"/>
        <v>0.16656549379996222</v>
      </c>
      <c r="T67" s="115">
        <f t="shared" si="42"/>
        <v>0.17915367910870522</v>
      </c>
      <c r="U67" s="115">
        <f t="shared" si="42"/>
        <v>0.1917418644174482</v>
      </c>
      <c r="V67" s="115">
        <f>$M67+($W67-$M67)/10*(V$1-$M$1)</f>
        <v>0.20433004972619118</v>
      </c>
      <c r="W67" s="115">
        <f>(W$50-$C$50)/($AG$50-$C$50)*($AG67-$C67)+$C67</f>
        <v>0.21691823503493418</v>
      </c>
      <c r="X67" s="104">
        <f>$W67+($AG67-$W67)/10*(X$1-$W$1)</f>
        <v>0.23922641153144075</v>
      </c>
      <c r="Y67" s="104">
        <f t="shared" ref="Y67:AF67" si="43">$W67+($AG67-$W67)/10*(Y$1-$W$1)</f>
        <v>0.26153458802794732</v>
      </c>
      <c r="Z67" s="104">
        <f t="shared" si="43"/>
        <v>0.28384276452445389</v>
      </c>
      <c r="AA67" s="104">
        <f t="shared" si="43"/>
        <v>0.30615094102096052</v>
      </c>
      <c r="AB67" s="104">
        <f t="shared" si="43"/>
        <v>0.32845911751746709</v>
      </c>
      <c r="AC67" s="104">
        <f t="shared" si="43"/>
        <v>0.35076729401397366</v>
      </c>
      <c r="AD67" s="104">
        <f t="shared" si="43"/>
        <v>0.37307547051048029</v>
      </c>
      <c r="AE67" s="104">
        <f t="shared" si="43"/>
        <v>0.3953836470069868</v>
      </c>
      <c r="AF67" s="104">
        <f t="shared" si="43"/>
        <v>0.41769182350349343</v>
      </c>
      <c r="AG67" s="201">
        <v>0.44</v>
      </c>
      <c r="AJ67" s="198" t="s">
        <v>427</v>
      </c>
    </row>
    <row r="68" spans="1:62" outlineLevel="1">
      <c r="A68" t="s">
        <v>429</v>
      </c>
      <c r="B68" s="51" t="s">
        <v>126</v>
      </c>
      <c r="C68" s="201">
        <v>0.08</v>
      </c>
      <c r="D68" s="104">
        <f t="shared" ref="D68:AF68" si="44">C68-($C$71-$AG$71)/($AG$1-$C$1)</f>
        <v>8.2166666666666666E-2</v>
      </c>
      <c r="E68" s="104">
        <f t="shared" si="44"/>
        <v>8.433333333333333E-2</v>
      </c>
      <c r="F68" s="104">
        <f t="shared" si="44"/>
        <v>8.6499999999999994E-2</v>
      </c>
      <c r="G68" s="104">
        <f t="shared" si="44"/>
        <v>8.8666666666666658E-2</v>
      </c>
      <c r="H68" s="104">
        <f t="shared" si="44"/>
        <v>9.0833333333333321E-2</v>
      </c>
      <c r="I68" s="104">
        <f t="shared" si="44"/>
        <v>9.2999999999999985E-2</v>
      </c>
      <c r="J68" s="104">
        <f t="shared" si="44"/>
        <v>9.5166666666666649E-2</v>
      </c>
      <c r="K68" s="104">
        <f t="shared" si="44"/>
        <v>9.7333333333333313E-2</v>
      </c>
      <c r="L68" s="104">
        <f t="shared" si="44"/>
        <v>9.9499999999999977E-2</v>
      </c>
      <c r="M68" s="104">
        <f t="shared" si="44"/>
        <v>0.10166666666666664</v>
      </c>
      <c r="N68" s="104">
        <f t="shared" si="44"/>
        <v>0.10383333333333331</v>
      </c>
      <c r="O68" s="104">
        <f t="shared" si="44"/>
        <v>0.10599999999999997</v>
      </c>
      <c r="P68" s="104">
        <f t="shared" si="44"/>
        <v>0.10816666666666663</v>
      </c>
      <c r="Q68" s="104">
        <f t="shared" si="44"/>
        <v>0.1103333333333333</v>
      </c>
      <c r="R68" s="104">
        <f t="shared" si="44"/>
        <v>0.11249999999999996</v>
      </c>
      <c r="S68" s="104">
        <f t="shared" si="44"/>
        <v>0.11466666666666663</v>
      </c>
      <c r="T68" s="104">
        <f t="shared" si="44"/>
        <v>0.11683333333333329</v>
      </c>
      <c r="U68" s="104">
        <f t="shared" si="44"/>
        <v>0.11899999999999995</v>
      </c>
      <c r="V68" s="104">
        <f t="shared" si="44"/>
        <v>0.12116666666666662</v>
      </c>
      <c r="W68" s="104">
        <f t="shared" si="44"/>
        <v>0.12333333333333328</v>
      </c>
      <c r="X68" s="104">
        <f t="shared" si="44"/>
        <v>0.12549999999999994</v>
      </c>
      <c r="Y68" s="104">
        <f t="shared" si="44"/>
        <v>0.12766666666666662</v>
      </c>
      <c r="Z68" s="104">
        <f t="shared" si="44"/>
        <v>0.1298333333333333</v>
      </c>
      <c r="AA68" s="104">
        <f t="shared" si="44"/>
        <v>0.13199999999999998</v>
      </c>
      <c r="AB68" s="104">
        <f t="shared" si="44"/>
        <v>0.13416666666666666</v>
      </c>
      <c r="AC68" s="104">
        <f t="shared" si="44"/>
        <v>0.13633333333333333</v>
      </c>
      <c r="AD68" s="104">
        <f t="shared" si="44"/>
        <v>0.13850000000000001</v>
      </c>
      <c r="AE68" s="104">
        <f t="shared" si="44"/>
        <v>0.14066666666666669</v>
      </c>
      <c r="AF68" s="104">
        <f t="shared" si="44"/>
        <v>0.14283333333333337</v>
      </c>
      <c r="AG68" s="201">
        <v>0.8</v>
      </c>
      <c r="AI68" s="127"/>
      <c r="AJ68" s="198" t="s">
        <v>459</v>
      </c>
      <c r="AL68" s="51" t="s">
        <v>511</v>
      </c>
    </row>
    <row r="69" spans="1:62" outlineLevel="1">
      <c r="A69" t="s">
        <v>430</v>
      </c>
      <c r="B69" s="165" t="s">
        <v>126</v>
      </c>
      <c r="C69" s="104">
        <f>1-C68</f>
        <v>0.92</v>
      </c>
      <c r="D69" s="104">
        <f t="shared" ref="D69:AG69" si="45">1-D68</f>
        <v>0.91783333333333328</v>
      </c>
      <c r="E69" s="104">
        <f t="shared" si="45"/>
        <v>0.91566666666666663</v>
      </c>
      <c r="F69" s="104">
        <f t="shared" si="45"/>
        <v>0.91349999999999998</v>
      </c>
      <c r="G69" s="104">
        <f t="shared" si="45"/>
        <v>0.91133333333333333</v>
      </c>
      <c r="H69" s="104">
        <f t="shared" si="45"/>
        <v>0.90916666666666668</v>
      </c>
      <c r="I69" s="104">
        <f t="shared" si="45"/>
        <v>0.90700000000000003</v>
      </c>
      <c r="J69" s="104">
        <f t="shared" si="45"/>
        <v>0.90483333333333338</v>
      </c>
      <c r="K69" s="104">
        <f t="shared" si="45"/>
        <v>0.90266666666666673</v>
      </c>
      <c r="L69" s="104">
        <f t="shared" si="45"/>
        <v>0.90050000000000008</v>
      </c>
      <c r="M69" s="104">
        <f t="shared" si="45"/>
        <v>0.89833333333333332</v>
      </c>
      <c r="N69" s="104">
        <f t="shared" si="45"/>
        <v>0.89616666666666667</v>
      </c>
      <c r="O69" s="104">
        <f t="shared" si="45"/>
        <v>0.89400000000000002</v>
      </c>
      <c r="P69" s="104">
        <f t="shared" si="45"/>
        <v>0.89183333333333337</v>
      </c>
      <c r="Q69" s="104">
        <f t="shared" si="45"/>
        <v>0.88966666666666672</v>
      </c>
      <c r="R69" s="104">
        <f t="shared" si="45"/>
        <v>0.88750000000000007</v>
      </c>
      <c r="S69" s="104">
        <f t="shared" si="45"/>
        <v>0.88533333333333342</v>
      </c>
      <c r="T69" s="104">
        <f t="shared" si="45"/>
        <v>0.88316666666666666</v>
      </c>
      <c r="U69" s="104">
        <f t="shared" si="45"/>
        <v>0.88100000000000001</v>
      </c>
      <c r="V69" s="104">
        <f t="shared" si="45"/>
        <v>0.87883333333333336</v>
      </c>
      <c r="W69" s="104">
        <f t="shared" si="45"/>
        <v>0.87666666666666671</v>
      </c>
      <c r="X69" s="104">
        <f t="shared" si="45"/>
        <v>0.87450000000000006</v>
      </c>
      <c r="Y69" s="104">
        <f t="shared" si="45"/>
        <v>0.8723333333333334</v>
      </c>
      <c r="Z69" s="104">
        <f t="shared" si="45"/>
        <v>0.87016666666666675</v>
      </c>
      <c r="AA69" s="104">
        <f t="shared" si="45"/>
        <v>0.86799999999999999</v>
      </c>
      <c r="AB69" s="104">
        <f t="shared" si="45"/>
        <v>0.86583333333333334</v>
      </c>
      <c r="AC69" s="104">
        <f t="shared" si="45"/>
        <v>0.86366666666666669</v>
      </c>
      <c r="AD69" s="104">
        <f t="shared" si="45"/>
        <v>0.86149999999999993</v>
      </c>
      <c r="AE69" s="104">
        <f t="shared" si="45"/>
        <v>0.85933333333333328</v>
      </c>
      <c r="AF69" s="104">
        <f t="shared" si="45"/>
        <v>0.85716666666666663</v>
      </c>
      <c r="AG69" s="104">
        <f t="shared" si="45"/>
        <v>0.19999999999999996</v>
      </c>
      <c r="AI69" s="127"/>
      <c r="AJ69" s="198"/>
      <c r="BD69" s="687"/>
      <c r="BE69" s="687"/>
    </row>
    <row r="70" spans="1:62" outlineLevel="1">
      <c r="A70" t="s">
        <v>493</v>
      </c>
      <c r="B70" s="51" t="s">
        <v>126</v>
      </c>
      <c r="C70" s="104">
        <f>C67*C68</f>
        <v>2E-3</v>
      </c>
      <c r="D70" s="104">
        <f t="shared" ref="D70:AG70" si="46">D67*D68</f>
        <v>2.5967656050019934E-3</v>
      </c>
      <c r="E70" s="104">
        <f t="shared" si="46"/>
        <v>3.2221469755145714E-3</v>
      </c>
      <c r="F70" s="104">
        <f t="shared" si="46"/>
        <v>3.876144111537735E-3</v>
      </c>
      <c r="G70" s="104">
        <f t="shared" si="46"/>
        <v>4.5587570130714832E-3</v>
      </c>
      <c r="H70" s="104">
        <f t="shared" si="46"/>
        <v>5.2699856801158174E-3</v>
      </c>
      <c r="I70" s="104">
        <f t="shared" si="46"/>
        <v>6.0098301126707346E-3</v>
      </c>
      <c r="J70" s="104">
        <f t="shared" si="46"/>
        <v>6.7782903107362399E-3</v>
      </c>
      <c r="K70" s="104">
        <f t="shared" si="46"/>
        <v>7.5753662743123298E-3</v>
      </c>
      <c r="L70" s="104">
        <f t="shared" si="46"/>
        <v>8.4010580033990027E-3</v>
      </c>
      <c r="M70" s="104">
        <f t="shared" si="46"/>
        <v>9.2553654979962621E-3</v>
      </c>
      <c r="N70" s="104">
        <f t="shared" si="46"/>
        <v>1.0759684233440335E-2</v>
      </c>
      <c r="O70" s="104">
        <f t="shared" si="46"/>
        <v>1.231855177188896E-2</v>
      </c>
      <c r="P70" s="104">
        <f t="shared" si="46"/>
        <v>1.3931968113342141E-2</v>
      </c>
      <c r="Q70" s="104">
        <f t="shared" si="46"/>
        <v>1.559993325779987E-2</v>
      </c>
      <c r="R70" s="104">
        <f t="shared" si="46"/>
        <v>1.7322447205262156E-2</v>
      </c>
      <c r="S70" s="104">
        <f t="shared" si="46"/>
        <v>1.9099509955728993E-2</v>
      </c>
      <c r="T70" s="104">
        <f t="shared" si="46"/>
        <v>2.0931121509200387E-2</v>
      </c>
      <c r="U70" s="104">
        <f t="shared" si="46"/>
        <v>2.2817281865676328E-2</v>
      </c>
      <c r="V70" s="104">
        <f t="shared" si="46"/>
        <v>2.4757991025156821E-2</v>
      </c>
      <c r="W70" s="104">
        <f t="shared" si="46"/>
        <v>2.6753248987641871E-2</v>
      </c>
      <c r="X70" s="104">
        <f t="shared" si="46"/>
        <v>3.0022914647195802E-2</v>
      </c>
      <c r="Y70" s="104">
        <f t="shared" si="46"/>
        <v>3.3389249071567928E-2</v>
      </c>
      <c r="Z70" s="104">
        <f t="shared" si="46"/>
        <v>3.6852252260758257E-2</v>
      </c>
      <c r="AA70" s="104">
        <f t="shared" si="46"/>
        <v>4.0411924214766783E-2</v>
      </c>
      <c r="AB70" s="104">
        <f t="shared" si="46"/>
        <v>4.4068264933593497E-2</v>
      </c>
      <c r="AC70" s="104">
        <f t="shared" si="46"/>
        <v>4.7821274417238407E-2</v>
      </c>
      <c r="AD70" s="104">
        <f t="shared" si="46"/>
        <v>5.1670952665701528E-2</v>
      </c>
      <c r="AE70" s="104">
        <f t="shared" si="46"/>
        <v>5.5617299678982816E-2</v>
      </c>
      <c r="AF70" s="104">
        <f t="shared" si="46"/>
        <v>5.9660315457082329E-2</v>
      </c>
      <c r="AG70" s="104">
        <f t="shared" si="46"/>
        <v>0.35200000000000004</v>
      </c>
      <c r="AI70" s="127"/>
      <c r="AJ70" s="198"/>
      <c r="BD70" s="190"/>
      <c r="BE70" s="190"/>
    </row>
    <row r="71" spans="1:62" outlineLevel="1">
      <c r="A71" t="s">
        <v>494</v>
      </c>
      <c r="B71" s="51" t="s">
        <v>126</v>
      </c>
      <c r="C71" s="104">
        <f>C67*C69</f>
        <v>2.3000000000000003E-2</v>
      </c>
      <c r="D71" s="104">
        <f t="shared" ref="D71:AG71" si="47">D67*D69</f>
        <v>2.9006872589748434E-2</v>
      </c>
      <c r="E71" s="104">
        <f t="shared" si="47"/>
        <v>3.4985129413986273E-2</v>
      </c>
      <c r="F71" s="104">
        <f t="shared" si="47"/>
        <v>4.0934770472713537E-2</v>
      </c>
      <c r="G71" s="104">
        <f t="shared" si="47"/>
        <v>4.6855795765930214E-2</v>
      </c>
      <c r="H71" s="104">
        <f t="shared" si="47"/>
        <v>5.2748205293636309E-2</v>
      </c>
      <c r="I71" s="104">
        <f t="shared" si="47"/>
        <v>5.8611999055831802E-2</v>
      </c>
      <c r="J71" s="104">
        <f t="shared" si="47"/>
        <v>6.4447177052516735E-2</v>
      </c>
      <c r="K71" s="104">
        <f t="shared" si="47"/>
        <v>7.025373928369108E-2</v>
      </c>
      <c r="L71" s="104">
        <f t="shared" si="47"/>
        <v>7.603168574935483E-2</v>
      </c>
      <c r="M71" s="104">
        <f t="shared" si="47"/>
        <v>8.1781016449507971E-2</v>
      </c>
      <c r="N71" s="104">
        <f t="shared" si="47"/>
        <v>9.2864883022806891E-2</v>
      </c>
      <c r="O71" s="104">
        <f t="shared" si="47"/>
        <v>0.10389420079310126</v>
      </c>
      <c r="P71" s="104">
        <f t="shared" si="47"/>
        <v>0.11486896976039108</v>
      </c>
      <c r="Q71" s="104">
        <f t="shared" si="47"/>
        <v>0.12578918992467633</v>
      </c>
      <c r="R71" s="104">
        <f t="shared" si="47"/>
        <v>0.13665486128595705</v>
      </c>
      <c r="S71" s="104">
        <f t="shared" si="47"/>
        <v>0.14746598384423323</v>
      </c>
      <c r="T71" s="104">
        <f t="shared" si="47"/>
        <v>0.15822255759950482</v>
      </c>
      <c r="U71" s="104">
        <f t="shared" si="47"/>
        <v>0.16892458255177187</v>
      </c>
      <c r="V71" s="104">
        <f t="shared" si="47"/>
        <v>0.17957205870103435</v>
      </c>
      <c r="W71" s="104">
        <f t="shared" si="47"/>
        <v>0.19016498604729232</v>
      </c>
      <c r="X71" s="104">
        <f t="shared" si="47"/>
        <v>0.20920349688424494</v>
      </c>
      <c r="Y71" s="104">
        <f t="shared" si="47"/>
        <v>0.2281453389563794</v>
      </c>
      <c r="Z71" s="104">
        <f t="shared" si="47"/>
        <v>0.24699051226369564</v>
      </c>
      <c r="AA71" s="104">
        <f t="shared" si="47"/>
        <v>0.26573901680619372</v>
      </c>
      <c r="AB71" s="104">
        <f t="shared" si="47"/>
        <v>0.28439085258387359</v>
      </c>
      <c r="AC71" s="104">
        <f t="shared" si="47"/>
        <v>0.30294601959673528</v>
      </c>
      <c r="AD71" s="104">
        <f t="shared" si="47"/>
        <v>0.32140451784477875</v>
      </c>
      <c r="AE71" s="104">
        <f t="shared" si="47"/>
        <v>0.33976634732800398</v>
      </c>
      <c r="AF71" s="104">
        <f t="shared" si="47"/>
        <v>0.3580315080464111</v>
      </c>
      <c r="AG71" s="104">
        <f t="shared" si="47"/>
        <v>8.7999999999999981E-2</v>
      </c>
      <c r="AI71" s="127"/>
      <c r="AJ71" s="198"/>
      <c r="BD71" s="190"/>
      <c r="BE71" s="190"/>
    </row>
    <row r="72" spans="1:62" outlineLevel="1">
      <c r="B72" s="165"/>
      <c r="C72" s="104"/>
      <c r="D72" s="104"/>
      <c r="E72" s="104"/>
      <c r="F72" s="104"/>
      <c r="G72" s="104"/>
      <c r="H72" s="104"/>
      <c r="I72" s="104"/>
      <c r="J72" s="104"/>
      <c r="K72" s="104"/>
      <c r="L72" s="104"/>
      <c r="M72" s="104"/>
      <c r="N72" s="104"/>
      <c r="O72" s="104"/>
      <c r="P72" s="104"/>
      <c r="Q72" s="104"/>
      <c r="R72" s="104"/>
      <c r="S72" s="104"/>
      <c r="T72" s="104"/>
      <c r="U72" s="104"/>
      <c r="V72" s="104"/>
      <c r="W72" s="104"/>
      <c r="X72" s="104"/>
      <c r="Y72" s="104"/>
      <c r="Z72" s="104"/>
      <c r="AA72" s="104"/>
      <c r="AB72" s="104"/>
      <c r="AC72" s="104"/>
      <c r="AD72" s="104"/>
      <c r="AE72" s="104"/>
      <c r="AF72" s="104"/>
      <c r="AG72" s="104"/>
      <c r="AI72" s="127"/>
      <c r="AJ72" s="198"/>
      <c r="BD72" s="190"/>
      <c r="BE72" s="190"/>
    </row>
    <row r="73" spans="1:62" outlineLevel="1">
      <c r="A73" t="s">
        <v>437</v>
      </c>
      <c r="B73" s="51" t="s">
        <v>126</v>
      </c>
      <c r="C73" s="201">
        <v>0.52</v>
      </c>
      <c r="D73" s="104">
        <f>C73</f>
        <v>0.52</v>
      </c>
      <c r="E73" s="104">
        <f t="shared" ref="E73:AG75" si="48">D73</f>
        <v>0.52</v>
      </c>
      <c r="F73" s="104">
        <f t="shared" si="48"/>
        <v>0.52</v>
      </c>
      <c r="G73" s="104">
        <f t="shared" si="48"/>
        <v>0.52</v>
      </c>
      <c r="H73" s="104">
        <f t="shared" si="48"/>
        <v>0.52</v>
      </c>
      <c r="I73" s="104">
        <f t="shared" si="48"/>
        <v>0.52</v>
      </c>
      <c r="J73" s="104">
        <f t="shared" si="48"/>
        <v>0.52</v>
      </c>
      <c r="K73" s="104">
        <f t="shared" si="48"/>
        <v>0.52</v>
      </c>
      <c r="L73" s="104">
        <f t="shared" si="48"/>
        <v>0.52</v>
      </c>
      <c r="M73" s="104">
        <f t="shared" si="48"/>
        <v>0.52</v>
      </c>
      <c r="N73" s="104">
        <f t="shared" si="48"/>
        <v>0.52</v>
      </c>
      <c r="O73" s="104">
        <f t="shared" si="48"/>
        <v>0.52</v>
      </c>
      <c r="P73" s="104">
        <f t="shared" si="48"/>
        <v>0.52</v>
      </c>
      <c r="Q73" s="104">
        <f t="shared" si="48"/>
        <v>0.52</v>
      </c>
      <c r="R73" s="104">
        <f t="shared" si="48"/>
        <v>0.52</v>
      </c>
      <c r="S73" s="104">
        <f t="shared" si="48"/>
        <v>0.52</v>
      </c>
      <c r="T73" s="104">
        <f t="shared" si="48"/>
        <v>0.52</v>
      </c>
      <c r="U73" s="104">
        <f t="shared" si="48"/>
        <v>0.52</v>
      </c>
      <c r="V73" s="104">
        <f t="shared" si="48"/>
        <v>0.52</v>
      </c>
      <c r="W73" s="104">
        <f t="shared" si="48"/>
        <v>0.52</v>
      </c>
      <c r="X73" s="104">
        <f t="shared" si="48"/>
        <v>0.52</v>
      </c>
      <c r="Y73" s="104">
        <f t="shared" si="48"/>
        <v>0.52</v>
      </c>
      <c r="Z73" s="104">
        <f t="shared" si="48"/>
        <v>0.52</v>
      </c>
      <c r="AA73" s="104">
        <f t="shared" si="48"/>
        <v>0.52</v>
      </c>
      <c r="AB73" s="104">
        <f t="shared" si="48"/>
        <v>0.52</v>
      </c>
      <c r="AC73" s="104">
        <f t="shared" si="48"/>
        <v>0.52</v>
      </c>
      <c r="AD73" s="104">
        <f t="shared" si="48"/>
        <v>0.52</v>
      </c>
      <c r="AE73" s="104">
        <f t="shared" si="48"/>
        <v>0.52</v>
      </c>
      <c r="AF73" s="104">
        <f t="shared" si="48"/>
        <v>0.52</v>
      </c>
      <c r="AG73" s="104">
        <f t="shared" si="48"/>
        <v>0.52</v>
      </c>
      <c r="AI73" s="126" t="s">
        <v>446</v>
      </c>
      <c r="AJ73" s="218" t="s">
        <v>458</v>
      </c>
      <c r="BD73" s="190"/>
      <c r="BE73" s="190"/>
    </row>
    <row r="74" spans="1:62" outlineLevel="1">
      <c r="A74" t="s">
        <v>444</v>
      </c>
      <c r="B74" s="51" t="s">
        <v>126</v>
      </c>
      <c r="C74" s="201">
        <v>0.12</v>
      </c>
      <c r="D74" s="104">
        <f t="shared" ref="D74:S75" si="49">C74</f>
        <v>0.12</v>
      </c>
      <c r="E74" s="104">
        <f t="shared" si="49"/>
        <v>0.12</v>
      </c>
      <c r="F74" s="104">
        <f t="shared" si="49"/>
        <v>0.12</v>
      </c>
      <c r="G74" s="104">
        <f t="shared" si="49"/>
        <v>0.12</v>
      </c>
      <c r="H74" s="104">
        <f t="shared" si="49"/>
        <v>0.12</v>
      </c>
      <c r="I74" s="104">
        <f t="shared" si="49"/>
        <v>0.12</v>
      </c>
      <c r="J74" s="104">
        <f t="shared" si="49"/>
        <v>0.12</v>
      </c>
      <c r="K74" s="104">
        <f t="shared" si="49"/>
        <v>0.12</v>
      </c>
      <c r="L74" s="104">
        <f t="shared" si="49"/>
        <v>0.12</v>
      </c>
      <c r="M74" s="104">
        <f t="shared" si="49"/>
        <v>0.12</v>
      </c>
      <c r="N74" s="104">
        <f t="shared" si="49"/>
        <v>0.12</v>
      </c>
      <c r="O74" s="104">
        <f t="shared" si="49"/>
        <v>0.12</v>
      </c>
      <c r="P74" s="104">
        <f t="shared" si="49"/>
        <v>0.12</v>
      </c>
      <c r="Q74" s="104">
        <f t="shared" si="49"/>
        <v>0.12</v>
      </c>
      <c r="R74" s="104">
        <f t="shared" si="49"/>
        <v>0.12</v>
      </c>
      <c r="S74" s="104">
        <f t="shared" si="49"/>
        <v>0.12</v>
      </c>
      <c r="T74" s="104">
        <f t="shared" si="48"/>
        <v>0.12</v>
      </c>
      <c r="U74" s="104">
        <f t="shared" si="48"/>
        <v>0.12</v>
      </c>
      <c r="V74" s="104">
        <f t="shared" si="48"/>
        <v>0.12</v>
      </c>
      <c r="W74" s="104">
        <f t="shared" si="48"/>
        <v>0.12</v>
      </c>
      <c r="X74" s="104">
        <f t="shared" si="48"/>
        <v>0.12</v>
      </c>
      <c r="Y74" s="104">
        <f t="shared" si="48"/>
        <v>0.12</v>
      </c>
      <c r="Z74" s="104">
        <f t="shared" si="48"/>
        <v>0.12</v>
      </c>
      <c r="AA74" s="104">
        <f t="shared" si="48"/>
        <v>0.12</v>
      </c>
      <c r="AB74" s="104">
        <f t="shared" si="48"/>
        <v>0.12</v>
      </c>
      <c r="AC74" s="104">
        <f t="shared" si="48"/>
        <v>0.12</v>
      </c>
      <c r="AD74" s="104">
        <f t="shared" si="48"/>
        <v>0.12</v>
      </c>
      <c r="AE74" s="104">
        <f t="shared" si="48"/>
        <v>0.12</v>
      </c>
      <c r="AF74" s="104">
        <f t="shared" si="48"/>
        <v>0.12</v>
      </c>
      <c r="AG74" s="104">
        <f t="shared" si="48"/>
        <v>0.12</v>
      </c>
      <c r="AI74" s="126" t="s">
        <v>446</v>
      </c>
      <c r="AJ74" s="218" t="s">
        <v>458</v>
      </c>
      <c r="AL74" s="1"/>
      <c r="BC74" s="1"/>
      <c r="BD74" s="697"/>
      <c r="BE74" s="687"/>
      <c r="BF74" s="6"/>
      <c r="BG74" s="6"/>
      <c r="BH74" s="6"/>
      <c r="BI74" s="6"/>
      <c r="BJ74" s="6"/>
    </row>
    <row r="75" spans="1:62" outlineLevel="1">
      <c r="A75" t="s">
        <v>445</v>
      </c>
      <c r="B75" s="51" t="s">
        <v>126</v>
      </c>
      <c r="C75" s="115">
        <f>1-C73-C74</f>
        <v>0.36</v>
      </c>
      <c r="D75" s="104">
        <f t="shared" si="49"/>
        <v>0.36</v>
      </c>
      <c r="E75" s="104">
        <f t="shared" si="48"/>
        <v>0.36</v>
      </c>
      <c r="F75" s="104">
        <f t="shared" si="48"/>
        <v>0.36</v>
      </c>
      <c r="G75" s="104">
        <f t="shared" si="48"/>
        <v>0.36</v>
      </c>
      <c r="H75" s="104">
        <f t="shared" si="48"/>
        <v>0.36</v>
      </c>
      <c r="I75" s="104">
        <f t="shared" si="48"/>
        <v>0.36</v>
      </c>
      <c r="J75" s="104">
        <f t="shared" si="48"/>
        <v>0.36</v>
      </c>
      <c r="K75" s="104">
        <f t="shared" si="48"/>
        <v>0.36</v>
      </c>
      <c r="L75" s="104">
        <f t="shared" si="48"/>
        <v>0.36</v>
      </c>
      <c r="M75" s="104">
        <f t="shared" si="48"/>
        <v>0.36</v>
      </c>
      <c r="N75" s="104">
        <f t="shared" si="48"/>
        <v>0.36</v>
      </c>
      <c r="O75" s="104">
        <f t="shared" si="48"/>
        <v>0.36</v>
      </c>
      <c r="P75" s="104">
        <f t="shared" si="48"/>
        <v>0.36</v>
      </c>
      <c r="Q75" s="104">
        <f t="shared" si="48"/>
        <v>0.36</v>
      </c>
      <c r="R75" s="104">
        <f t="shared" si="48"/>
        <v>0.36</v>
      </c>
      <c r="S75" s="104">
        <f t="shared" si="48"/>
        <v>0.36</v>
      </c>
      <c r="T75" s="104">
        <f t="shared" si="48"/>
        <v>0.36</v>
      </c>
      <c r="U75" s="104">
        <f t="shared" si="48"/>
        <v>0.36</v>
      </c>
      <c r="V75" s="104">
        <f t="shared" si="48"/>
        <v>0.36</v>
      </c>
      <c r="W75" s="104">
        <f t="shared" si="48"/>
        <v>0.36</v>
      </c>
      <c r="X75" s="104">
        <f t="shared" si="48"/>
        <v>0.36</v>
      </c>
      <c r="Y75" s="104">
        <f t="shared" si="48"/>
        <v>0.36</v>
      </c>
      <c r="Z75" s="104">
        <f t="shared" si="48"/>
        <v>0.36</v>
      </c>
      <c r="AA75" s="104">
        <f t="shared" si="48"/>
        <v>0.36</v>
      </c>
      <c r="AB75" s="104">
        <f t="shared" si="48"/>
        <v>0.36</v>
      </c>
      <c r="AC75" s="104">
        <f t="shared" si="48"/>
        <v>0.36</v>
      </c>
      <c r="AD75" s="104">
        <f t="shared" si="48"/>
        <v>0.36</v>
      </c>
      <c r="AE75" s="104">
        <f t="shared" si="48"/>
        <v>0.36</v>
      </c>
      <c r="AF75" s="104">
        <f t="shared" si="48"/>
        <v>0.36</v>
      </c>
      <c r="AG75" s="104">
        <f t="shared" si="48"/>
        <v>0.36</v>
      </c>
      <c r="AI75" s="126"/>
      <c r="AJ75" s="209"/>
      <c r="BC75" s="1"/>
      <c r="BD75" s="38"/>
      <c r="BF75" s="6"/>
      <c r="BG75" s="6"/>
      <c r="BH75" s="6"/>
      <c r="BI75" s="6"/>
      <c r="BJ75" s="6"/>
    </row>
    <row r="76" spans="1:62" outlineLevel="1">
      <c r="A76" t="s">
        <v>433</v>
      </c>
      <c r="B76" s="51" t="s">
        <v>126</v>
      </c>
      <c r="C76" s="104">
        <f>SUM(C73:C75)</f>
        <v>1</v>
      </c>
      <c r="D76" s="104">
        <f t="shared" ref="D76:AG76" si="50">SUM(D73:D75)</f>
        <v>1</v>
      </c>
      <c r="E76" s="104">
        <f t="shared" si="50"/>
        <v>1</v>
      </c>
      <c r="F76" s="104">
        <f t="shared" si="50"/>
        <v>1</v>
      </c>
      <c r="G76" s="104">
        <f t="shared" si="50"/>
        <v>1</v>
      </c>
      <c r="H76" s="104">
        <f t="shared" si="50"/>
        <v>1</v>
      </c>
      <c r="I76" s="104">
        <f t="shared" si="50"/>
        <v>1</v>
      </c>
      <c r="J76" s="104">
        <f t="shared" si="50"/>
        <v>1</v>
      </c>
      <c r="K76" s="104">
        <f t="shared" si="50"/>
        <v>1</v>
      </c>
      <c r="L76" s="104">
        <f t="shared" si="50"/>
        <v>1</v>
      </c>
      <c r="M76" s="104">
        <f t="shared" si="50"/>
        <v>1</v>
      </c>
      <c r="N76" s="104">
        <f t="shared" si="50"/>
        <v>1</v>
      </c>
      <c r="O76" s="104">
        <f t="shared" si="50"/>
        <v>1</v>
      </c>
      <c r="P76" s="104">
        <f t="shared" si="50"/>
        <v>1</v>
      </c>
      <c r="Q76" s="104">
        <f t="shared" si="50"/>
        <v>1</v>
      </c>
      <c r="R76" s="104">
        <f t="shared" si="50"/>
        <v>1</v>
      </c>
      <c r="S76" s="104">
        <f t="shared" si="50"/>
        <v>1</v>
      </c>
      <c r="T76" s="104">
        <f t="shared" si="50"/>
        <v>1</v>
      </c>
      <c r="U76" s="104">
        <f t="shared" si="50"/>
        <v>1</v>
      </c>
      <c r="V76" s="104">
        <f t="shared" si="50"/>
        <v>1</v>
      </c>
      <c r="W76" s="104">
        <f t="shared" si="50"/>
        <v>1</v>
      </c>
      <c r="X76" s="104">
        <f t="shared" si="50"/>
        <v>1</v>
      </c>
      <c r="Y76" s="104">
        <f t="shared" si="50"/>
        <v>1</v>
      </c>
      <c r="Z76" s="104">
        <f t="shared" si="50"/>
        <v>1</v>
      </c>
      <c r="AA76" s="104">
        <f t="shared" si="50"/>
        <v>1</v>
      </c>
      <c r="AB76" s="104">
        <f t="shared" si="50"/>
        <v>1</v>
      </c>
      <c r="AC76" s="104">
        <f t="shared" si="50"/>
        <v>1</v>
      </c>
      <c r="AD76" s="104">
        <f t="shared" si="50"/>
        <v>1</v>
      </c>
      <c r="AE76" s="104">
        <f t="shared" si="50"/>
        <v>1</v>
      </c>
      <c r="AF76" s="104">
        <f t="shared" si="50"/>
        <v>1</v>
      </c>
      <c r="AG76" s="104">
        <f t="shared" si="50"/>
        <v>1</v>
      </c>
      <c r="AI76" s="126"/>
      <c r="AJ76" s="198"/>
      <c r="BC76" s="1"/>
      <c r="BD76" s="38"/>
      <c r="BF76" s="6"/>
      <c r="BG76" s="6"/>
      <c r="BH76" s="6"/>
      <c r="BI76" s="6"/>
      <c r="BJ76" s="6"/>
    </row>
    <row r="77" spans="1:62" outlineLevel="1">
      <c r="C77" s="201"/>
      <c r="D77" s="104"/>
      <c r="E77" s="104"/>
      <c r="F77" s="104"/>
      <c r="G77" s="104"/>
      <c r="H77" s="104"/>
      <c r="I77" s="104"/>
      <c r="J77" s="104"/>
      <c r="K77" s="104"/>
      <c r="L77" s="104"/>
      <c r="M77" s="104"/>
      <c r="N77" s="104"/>
      <c r="O77" s="104"/>
      <c r="P77" s="104"/>
      <c r="Q77" s="104"/>
      <c r="R77" s="104"/>
      <c r="S77" s="104"/>
      <c r="T77" s="104"/>
      <c r="U77" s="104"/>
      <c r="V77" s="104"/>
      <c r="W77" s="104"/>
      <c r="X77" s="104"/>
      <c r="Y77" s="104"/>
      <c r="Z77" s="104"/>
      <c r="AA77" s="104"/>
      <c r="AB77" s="104"/>
      <c r="AC77" s="104"/>
      <c r="AD77" s="104"/>
      <c r="AE77" s="104"/>
      <c r="AF77" s="104"/>
      <c r="AG77" s="104"/>
      <c r="AI77" s="126"/>
      <c r="AJ77" s="198"/>
      <c r="BC77" s="1"/>
      <c r="BD77" s="38"/>
      <c r="BF77" s="6"/>
      <c r="BG77" s="6"/>
      <c r="BH77" s="6"/>
      <c r="BI77" s="6"/>
      <c r="BJ77" s="6"/>
    </row>
    <row r="78" spans="1:62" outlineLevel="1">
      <c r="A78" t="s">
        <v>441</v>
      </c>
      <c r="B78" s="51" t="s">
        <v>126</v>
      </c>
      <c r="C78" s="104">
        <f>C73*C71</f>
        <v>1.1960000000000002E-2</v>
      </c>
      <c r="D78" s="104">
        <f t="shared" ref="D78:AG78" si="51">D73*D71</f>
        <v>1.5083573746669186E-2</v>
      </c>
      <c r="E78" s="104">
        <f t="shared" si="51"/>
        <v>1.8192267295272863E-2</v>
      </c>
      <c r="F78" s="104">
        <f t="shared" si="51"/>
        <v>2.1286080645811039E-2</v>
      </c>
      <c r="G78" s="104">
        <f t="shared" si="51"/>
        <v>2.4365013798283711E-2</v>
      </c>
      <c r="H78" s="104">
        <f t="shared" si="51"/>
        <v>2.742906675269088E-2</v>
      </c>
      <c r="I78" s="104">
        <f t="shared" si="51"/>
        <v>3.0478239509032539E-2</v>
      </c>
      <c r="J78" s="104">
        <f t="shared" si="51"/>
        <v>3.3512532067308705E-2</v>
      </c>
      <c r="K78" s="104">
        <f t="shared" si="51"/>
        <v>3.6531944427519364E-2</v>
      </c>
      <c r="L78" s="104">
        <f t="shared" si="51"/>
        <v>3.9536476589664513E-2</v>
      </c>
      <c r="M78" s="104">
        <f t="shared" si="51"/>
        <v>4.2526128553744144E-2</v>
      </c>
      <c r="N78" s="104">
        <f t="shared" si="51"/>
        <v>4.8289739171859587E-2</v>
      </c>
      <c r="O78" s="104">
        <f t="shared" si="51"/>
        <v>5.4024984412412658E-2</v>
      </c>
      <c r="P78" s="104">
        <f t="shared" si="51"/>
        <v>5.9731864275403369E-2</v>
      </c>
      <c r="Q78" s="104">
        <f t="shared" si="51"/>
        <v>6.5410378760831694E-2</v>
      </c>
      <c r="R78" s="104">
        <f t="shared" si="51"/>
        <v>7.1060527868697668E-2</v>
      </c>
      <c r="S78" s="104">
        <f t="shared" si="51"/>
        <v>7.6682311599001282E-2</v>
      </c>
      <c r="T78" s="104">
        <f t="shared" si="51"/>
        <v>8.227572995174251E-2</v>
      </c>
      <c r="U78" s="104">
        <f t="shared" si="51"/>
        <v>8.7840782926921379E-2</v>
      </c>
      <c r="V78" s="104">
        <f t="shared" si="51"/>
        <v>9.3377470524537862E-2</v>
      </c>
      <c r="W78" s="104">
        <f t="shared" si="51"/>
        <v>9.8885792744592013E-2</v>
      </c>
      <c r="X78" s="104">
        <f t="shared" si="51"/>
        <v>0.10878581837980737</v>
      </c>
      <c r="Y78" s="104">
        <f t="shared" si="51"/>
        <v>0.11863557625731729</v>
      </c>
      <c r="Z78" s="104">
        <f t="shared" si="51"/>
        <v>0.12843506637712174</v>
      </c>
      <c r="AA78" s="104">
        <f t="shared" si="51"/>
        <v>0.13818428873922073</v>
      </c>
      <c r="AB78" s="104">
        <f t="shared" si="51"/>
        <v>0.14788324334361427</v>
      </c>
      <c r="AC78" s="104">
        <f t="shared" si="51"/>
        <v>0.15753193019030234</v>
      </c>
      <c r="AD78" s="104">
        <f t="shared" si="51"/>
        <v>0.16713034927928497</v>
      </c>
      <c r="AE78" s="104">
        <f t="shared" si="51"/>
        <v>0.17667850061056209</v>
      </c>
      <c r="AF78" s="104">
        <f t="shared" si="51"/>
        <v>0.18617638418413376</v>
      </c>
      <c r="AG78" s="104">
        <f t="shared" si="51"/>
        <v>4.5759999999999995E-2</v>
      </c>
      <c r="AI78" s="126"/>
      <c r="AJ78" s="198"/>
      <c r="BD78" s="190"/>
      <c r="BE78" s="190"/>
    </row>
    <row r="79" spans="1:62" outlineLevel="1">
      <c r="A79" t="s">
        <v>442</v>
      </c>
      <c r="B79" s="51" t="s">
        <v>126</v>
      </c>
      <c r="C79" s="104">
        <f>C71*C74</f>
        <v>2.7600000000000003E-3</v>
      </c>
      <c r="D79" s="104">
        <f t="shared" ref="D79:AG79" si="52">D71*D74</f>
        <v>3.4808247107698119E-3</v>
      </c>
      <c r="E79" s="104">
        <f t="shared" si="52"/>
        <v>4.1982155296783523E-3</v>
      </c>
      <c r="F79" s="104">
        <f t="shared" si="52"/>
        <v>4.9121724567256246E-3</v>
      </c>
      <c r="G79" s="104">
        <f t="shared" si="52"/>
        <v>5.6226954919116256E-3</v>
      </c>
      <c r="H79" s="104">
        <f t="shared" si="52"/>
        <v>6.3297846352363572E-3</v>
      </c>
      <c r="I79" s="104">
        <f t="shared" si="52"/>
        <v>7.0334398866998158E-3</v>
      </c>
      <c r="J79" s="104">
        <f t="shared" si="52"/>
        <v>7.7336612463020076E-3</v>
      </c>
      <c r="K79" s="104">
        <f t="shared" si="52"/>
        <v>8.4304487140429291E-3</v>
      </c>
      <c r="L79" s="104">
        <f t="shared" si="52"/>
        <v>9.1238022899225793E-3</v>
      </c>
      <c r="M79" s="104">
        <f t="shared" si="52"/>
        <v>9.8137219739409566E-3</v>
      </c>
      <c r="N79" s="104">
        <f t="shared" si="52"/>
        <v>1.1143785962736826E-2</v>
      </c>
      <c r="O79" s="104">
        <f t="shared" si="52"/>
        <v>1.246730409517215E-2</v>
      </c>
      <c r="P79" s="104">
        <f t="shared" si="52"/>
        <v>1.3784276371246929E-2</v>
      </c>
      <c r="Q79" s="104">
        <f t="shared" si="52"/>
        <v>1.5094702790961159E-2</v>
      </c>
      <c r="R79" s="104">
        <f t="shared" si="52"/>
        <v>1.6398583354314846E-2</v>
      </c>
      <c r="S79" s="104">
        <f t="shared" si="52"/>
        <v>1.7695918061307988E-2</v>
      </c>
      <c r="T79" s="104">
        <f t="shared" si="52"/>
        <v>1.8986706911940578E-2</v>
      </c>
      <c r="U79" s="104">
        <f t="shared" si="52"/>
        <v>2.0270949906212622E-2</v>
      </c>
      <c r="V79" s="104">
        <f t="shared" si="52"/>
        <v>2.1548647044124122E-2</v>
      </c>
      <c r="W79" s="104">
        <f t="shared" si="52"/>
        <v>2.2819798325675076E-2</v>
      </c>
      <c r="X79" s="104">
        <f t="shared" si="52"/>
        <v>2.5104419626109393E-2</v>
      </c>
      <c r="Y79" s="104">
        <f t="shared" si="52"/>
        <v>2.7377440674765528E-2</v>
      </c>
      <c r="Z79" s="104">
        <f t="shared" si="52"/>
        <v>2.9638861471643477E-2</v>
      </c>
      <c r="AA79" s="104">
        <f t="shared" si="52"/>
        <v>3.1888682016743247E-2</v>
      </c>
      <c r="AB79" s="104">
        <f t="shared" si="52"/>
        <v>3.4126902310064829E-2</v>
      </c>
      <c r="AC79" s="104">
        <f t="shared" si="52"/>
        <v>3.6353522351608235E-2</v>
      </c>
      <c r="AD79" s="104">
        <f t="shared" si="52"/>
        <v>3.8568542141373445E-2</v>
      </c>
      <c r="AE79" s="104">
        <f t="shared" si="52"/>
        <v>4.0771961679360473E-2</v>
      </c>
      <c r="AF79" s="104">
        <f t="shared" si="52"/>
        <v>4.2963780965569333E-2</v>
      </c>
      <c r="AG79" s="104">
        <f t="shared" si="52"/>
        <v>1.0559999999999996E-2</v>
      </c>
      <c r="AI79" s="126"/>
      <c r="AJ79" s="198"/>
      <c r="AL79" s="1"/>
      <c r="BC79" s="1"/>
      <c r="BD79" s="697"/>
      <c r="BE79" s="687"/>
      <c r="BF79" s="6"/>
      <c r="BG79" s="6"/>
      <c r="BH79" s="6"/>
      <c r="BI79" s="6"/>
      <c r="BJ79" s="6"/>
    </row>
    <row r="80" spans="1:62" outlineLevel="1">
      <c r="A80" t="s">
        <v>443</v>
      </c>
      <c r="B80" s="51" t="s">
        <v>126</v>
      </c>
      <c r="C80" s="104">
        <f>C71*C75</f>
        <v>8.2800000000000009E-3</v>
      </c>
      <c r="D80" s="104">
        <f t="shared" ref="D80:AG80" si="53">D71*D75</f>
        <v>1.0442474132309436E-2</v>
      </c>
      <c r="E80" s="104">
        <f t="shared" si="53"/>
        <v>1.2594646589035058E-2</v>
      </c>
      <c r="F80" s="104">
        <f t="shared" si="53"/>
        <v>1.4736517370176873E-2</v>
      </c>
      <c r="G80" s="104">
        <f t="shared" si="53"/>
        <v>1.6868086475734876E-2</v>
      </c>
      <c r="H80" s="104">
        <f t="shared" si="53"/>
        <v>1.8989353905709071E-2</v>
      </c>
      <c r="I80" s="104">
        <f t="shared" si="53"/>
        <v>2.1100319660099447E-2</v>
      </c>
      <c r="J80" s="104">
        <f t="shared" si="53"/>
        <v>2.3200983738906025E-2</v>
      </c>
      <c r="K80" s="104">
        <f t="shared" si="53"/>
        <v>2.5291346142128787E-2</v>
      </c>
      <c r="L80" s="104">
        <f t="shared" si="53"/>
        <v>2.7371406869767738E-2</v>
      </c>
      <c r="M80" s="104">
        <f t="shared" si="53"/>
        <v>2.944116592182287E-2</v>
      </c>
      <c r="N80" s="104">
        <f t="shared" si="53"/>
        <v>3.3431357888210479E-2</v>
      </c>
      <c r="O80" s="104">
        <f t="shared" si="53"/>
        <v>3.7401912285516453E-2</v>
      </c>
      <c r="P80" s="104">
        <f t="shared" si="53"/>
        <v>4.1352829113740788E-2</v>
      </c>
      <c r="Q80" s="104">
        <f t="shared" si="53"/>
        <v>4.5284108372883478E-2</v>
      </c>
      <c r="R80" s="104">
        <f t="shared" si="53"/>
        <v>4.9195750062944535E-2</v>
      </c>
      <c r="S80" s="104">
        <f t="shared" si="53"/>
        <v>5.308775418392396E-2</v>
      </c>
      <c r="T80" s="104">
        <f t="shared" si="53"/>
        <v>5.6960120735821733E-2</v>
      </c>
      <c r="U80" s="104">
        <f t="shared" si="53"/>
        <v>6.0812849718637874E-2</v>
      </c>
      <c r="V80" s="104">
        <f t="shared" si="53"/>
        <v>6.4645941132372362E-2</v>
      </c>
      <c r="W80" s="104">
        <f t="shared" si="53"/>
        <v>6.8459394977025231E-2</v>
      </c>
      <c r="X80" s="104">
        <f t="shared" si="53"/>
        <v>7.5313258878328182E-2</v>
      </c>
      <c r="Y80" s="104">
        <f t="shared" si="53"/>
        <v>8.2132322024296586E-2</v>
      </c>
      <c r="Z80" s="104">
        <f t="shared" si="53"/>
        <v>8.891658441493043E-2</v>
      </c>
      <c r="AA80" s="104">
        <f t="shared" si="53"/>
        <v>9.5666046050229742E-2</v>
      </c>
      <c r="AB80" s="104">
        <f t="shared" si="53"/>
        <v>0.10238070693019449</v>
      </c>
      <c r="AC80" s="104">
        <f t="shared" si="53"/>
        <v>0.1090605670548247</v>
      </c>
      <c r="AD80" s="104">
        <f t="shared" si="53"/>
        <v>0.11570562642412034</v>
      </c>
      <c r="AE80" s="104">
        <f t="shared" si="53"/>
        <v>0.12231588503808143</v>
      </c>
      <c r="AF80" s="104">
        <f t="shared" si="53"/>
        <v>0.12889134289670798</v>
      </c>
      <c r="AG80" s="104">
        <f t="shared" si="53"/>
        <v>3.1679999999999993E-2</v>
      </c>
      <c r="AI80" s="127"/>
      <c r="AJ80" s="198"/>
      <c r="BC80" s="1"/>
      <c r="BD80" s="38"/>
      <c r="BF80" s="6"/>
      <c r="BG80" s="6"/>
      <c r="BH80" s="6"/>
      <c r="BI80" s="6"/>
      <c r="BJ80" s="6"/>
    </row>
    <row r="81" spans="1:63" outlineLevel="1">
      <c r="C81" s="104"/>
      <c r="D81" s="104"/>
      <c r="E81" s="104"/>
      <c r="F81" s="104"/>
      <c r="G81" s="104"/>
      <c r="H81" s="104"/>
      <c r="I81" s="104"/>
      <c r="J81" s="104"/>
      <c r="K81" s="104"/>
      <c r="L81" s="104"/>
      <c r="M81" s="104"/>
      <c r="N81" s="104"/>
      <c r="O81" s="104"/>
      <c r="P81" s="104"/>
      <c r="Q81" s="104"/>
      <c r="R81" s="104"/>
      <c r="S81" s="104"/>
      <c r="T81" s="104"/>
      <c r="U81" s="104"/>
      <c r="V81" s="104"/>
      <c r="W81" s="104"/>
      <c r="X81" s="104"/>
      <c r="Y81" s="104"/>
      <c r="Z81" s="104"/>
      <c r="AA81" s="104"/>
      <c r="AB81" s="104"/>
      <c r="AC81" s="104"/>
      <c r="AD81" s="104"/>
      <c r="AE81" s="104"/>
      <c r="AF81" s="104"/>
      <c r="AG81" s="104"/>
      <c r="AI81" s="127"/>
      <c r="AJ81" s="198"/>
      <c r="BC81" s="1"/>
      <c r="BD81" s="38"/>
      <c r="BF81" s="6"/>
      <c r="BG81" s="6"/>
      <c r="BH81" s="6"/>
      <c r="BI81" s="6"/>
      <c r="BJ81" s="6"/>
    </row>
    <row r="82" spans="1:63" outlineLevel="1">
      <c r="A82" t="s">
        <v>505</v>
      </c>
      <c r="C82" s="216">
        <f>'Overall recycling rates'!D86</f>
        <v>1.5652450949887675</v>
      </c>
      <c r="D82" s="216">
        <f t="shared" ref="D82:AF82" si="54">C82-($C$82-$AG$82)/($AG$1-$C$1)</f>
        <v>1.5497369251558086</v>
      </c>
      <c r="E82" s="216">
        <f t="shared" si="54"/>
        <v>1.5342287553228497</v>
      </c>
      <c r="F82" s="216">
        <f t="shared" si="54"/>
        <v>1.5187205854898909</v>
      </c>
      <c r="G82" s="216">
        <f t="shared" si="54"/>
        <v>1.503212415656932</v>
      </c>
      <c r="H82" s="216">
        <f t="shared" si="54"/>
        <v>1.4877042458239731</v>
      </c>
      <c r="I82" s="216">
        <f t="shared" si="54"/>
        <v>1.4721960759910142</v>
      </c>
      <c r="J82" s="216">
        <f t="shared" si="54"/>
        <v>1.4566879061580553</v>
      </c>
      <c r="K82" s="216">
        <f t="shared" si="54"/>
        <v>1.4411797363250964</v>
      </c>
      <c r="L82" s="216">
        <f t="shared" si="54"/>
        <v>1.4256715664921376</v>
      </c>
      <c r="M82" s="216">
        <f t="shared" si="54"/>
        <v>1.4101633966591787</v>
      </c>
      <c r="N82" s="216">
        <f t="shared" si="54"/>
        <v>1.3946552268262198</v>
      </c>
      <c r="O82" s="216">
        <f t="shared" si="54"/>
        <v>1.3791470569932609</v>
      </c>
      <c r="P82" s="216">
        <f t="shared" si="54"/>
        <v>1.363638887160302</v>
      </c>
      <c r="Q82" s="216">
        <f t="shared" si="54"/>
        <v>1.3481307173273431</v>
      </c>
      <c r="R82" s="216">
        <f t="shared" si="54"/>
        <v>1.3326225474943842</v>
      </c>
      <c r="S82" s="216">
        <f t="shared" si="54"/>
        <v>1.3171143776614254</v>
      </c>
      <c r="T82" s="216">
        <f t="shared" si="54"/>
        <v>1.3016062078284665</v>
      </c>
      <c r="U82" s="216">
        <f t="shared" si="54"/>
        <v>1.2860980379955076</v>
      </c>
      <c r="V82" s="216">
        <f t="shared" si="54"/>
        <v>1.2705898681625487</v>
      </c>
      <c r="W82" s="216">
        <f t="shared" si="54"/>
        <v>1.2550816983295898</v>
      </c>
      <c r="X82" s="216">
        <f t="shared" si="54"/>
        <v>1.2395735284966309</v>
      </c>
      <c r="Y82" s="216">
        <f t="shared" si="54"/>
        <v>1.2240653586636721</v>
      </c>
      <c r="Z82" s="216">
        <f t="shared" si="54"/>
        <v>1.2085571888307132</v>
      </c>
      <c r="AA82" s="216">
        <f t="shared" si="54"/>
        <v>1.1930490189977543</v>
      </c>
      <c r="AB82" s="216">
        <f t="shared" si="54"/>
        <v>1.1775408491647954</v>
      </c>
      <c r="AC82" s="216">
        <f t="shared" si="54"/>
        <v>1.1620326793318365</v>
      </c>
      <c r="AD82" s="216">
        <f t="shared" si="54"/>
        <v>1.1465245094988776</v>
      </c>
      <c r="AE82" s="216">
        <f t="shared" si="54"/>
        <v>1.1310163396659187</v>
      </c>
      <c r="AF82" s="216">
        <f t="shared" si="54"/>
        <v>1.1155081698329599</v>
      </c>
      <c r="AG82" s="216">
        <f>'Overall recycling rates'!D95</f>
        <v>1.1000000000000001</v>
      </c>
      <c r="AI82" s="126"/>
      <c r="AJ82" s="198"/>
      <c r="AL82" s="102"/>
      <c r="AM82" s="2"/>
      <c r="AN82" s="2"/>
      <c r="AO82" s="2"/>
      <c r="BC82" s="1"/>
      <c r="BD82" s="2"/>
      <c r="BE82" s="2"/>
      <c r="BF82" s="2"/>
      <c r="BG82" s="2"/>
      <c r="BH82" s="2"/>
      <c r="BI82" s="2"/>
      <c r="BJ82" s="2"/>
      <c r="BK82" s="2"/>
    </row>
    <row r="83" spans="1:63" outlineLevel="1">
      <c r="A83" t="s">
        <v>522</v>
      </c>
      <c r="B83" s="51" t="s">
        <v>126</v>
      </c>
      <c r="C83" s="104">
        <f>C67*C$82</f>
        <v>3.9131127374719188E-2</v>
      </c>
      <c r="D83" s="104">
        <f t="shared" ref="D83:AG83" si="55">D67*D$82</f>
        <v>4.8977325079669197E-2</v>
      </c>
      <c r="E83" s="104">
        <f t="shared" si="55"/>
        <v>5.8618702099339989E-2</v>
      </c>
      <c r="F83" s="104">
        <f t="shared" si="55"/>
        <v>6.8055258433731586E-2</v>
      </c>
      <c r="G83" s="104">
        <f t="shared" si="55"/>
        <v>7.7286994082843966E-2</v>
      </c>
      <c r="H83" s="104">
        <f t="shared" si="55"/>
        <v>8.6313909046677142E-2</v>
      </c>
      <c r="I83" s="104">
        <f t="shared" si="55"/>
        <v>9.5136003325231103E-2</v>
      </c>
      <c r="J83" s="104">
        <f t="shared" si="55"/>
        <v>0.10375327691850587</v>
      </c>
      <c r="K83" s="104">
        <f t="shared" si="55"/>
        <v>0.11216572982650144</v>
      </c>
      <c r="L83" s="104">
        <f t="shared" si="55"/>
        <v>0.12037336204921778</v>
      </c>
      <c r="M83" s="104">
        <f t="shared" si="55"/>
        <v>0.12837617358665493</v>
      </c>
      <c r="N83" s="104">
        <f t="shared" si="55"/>
        <v>0.14452054435153036</v>
      </c>
      <c r="O83" s="104">
        <f t="shared" si="55"/>
        <v>0.16027447568509229</v>
      </c>
      <c r="P83" s="104">
        <f t="shared" si="55"/>
        <v>0.17563796758734077</v>
      </c>
      <c r="Q83" s="104">
        <f t="shared" si="55"/>
        <v>0.19061102005827574</v>
      </c>
      <c r="R83" s="104">
        <f t="shared" si="55"/>
        <v>0.20519363309789723</v>
      </c>
      <c r="S83" s="104">
        <f t="shared" si="55"/>
        <v>0.21938580670620525</v>
      </c>
      <c r="T83" s="104">
        <f t="shared" si="55"/>
        <v>0.23318754088319976</v>
      </c>
      <c r="U83" s="104">
        <f t="shared" si="55"/>
        <v>0.24659883562888077</v>
      </c>
      <c r="V83" s="104">
        <f t="shared" si="55"/>
        <v>0.25961969094324827</v>
      </c>
      <c r="W83" s="104">
        <f t="shared" si="55"/>
        <v>0.27225010682630235</v>
      </c>
      <c r="X83" s="104">
        <f t="shared" si="55"/>
        <v>0.29653872705161516</v>
      </c>
      <c r="Y83" s="104">
        <f t="shared" si="55"/>
        <v>0.32013542929738503</v>
      </c>
      <c r="Z83" s="104">
        <f t="shared" si="55"/>
        <v>0.34304021356361208</v>
      </c>
      <c r="AA83" s="104">
        <f t="shared" si="55"/>
        <v>0.36525307985029626</v>
      </c>
      <c r="AB83" s="104">
        <f t="shared" si="55"/>
        <v>0.3867740281574375</v>
      </c>
      <c r="AC83" s="104">
        <f t="shared" si="55"/>
        <v>0.40760305848503586</v>
      </c>
      <c r="AD83" s="104">
        <f t="shared" si="55"/>
        <v>0.4277401708330914</v>
      </c>
      <c r="AE83" s="104">
        <f t="shared" si="55"/>
        <v>0.4471853652016039</v>
      </c>
      <c r="AF83" s="104">
        <f t="shared" si="55"/>
        <v>0.46593864159057363</v>
      </c>
      <c r="AG83" s="104">
        <f t="shared" si="55"/>
        <v>0.48400000000000004</v>
      </c>
      <c r="AI83" s="126"/>
      <c r="AJ83" s="198"/>
      <c r="AL83" s="102"/>
      <c r="AM83" s="2"/>
      <c r="AN83" s="2"/>
      <c r="AO83" s="2"/>
      <c r="AV83" s="38"/>
    </row>
    <row r="84" spans="1:63" outlineLevel="1">
      <c r="A84" t="s">
        <v>523</v>
      </c>
      <c r="B84" s="51" t="s">
        <v>126</v>
      </c>
      <c r="C84" s="104">
        <f>C70*C$82</f>
        <v>3.1304901899775351E-3</v>
      </c>
      <c r="D84" s="104">
        <f t="shared" ref="D84:AG84" si="56">D70*D$82</f>
        <v>4.0243035440461527E-3</v>
      </c>
      <c r="E84" s="104">
        <f t="shared" si="56"/>
        <v>4.9435105437110058E-3</v>
      </c>
      <c r="F84" s="104">
        <f t="shared" si="56"/>
        <v>5.886779854517782E-3</v>
      </c>
      <c r="G84" s="104">
        <f t="shared" si="56"/>
        <v>6.8527801420121643E-3</v>
      </c>
      <c r="H84" s="104">
        <f t="shared" si="56"/>
        <v>7.8401800717398402E-3</v>
      </c>
      <c r="I84" s="104">
        <f t="shared" si="56"/>
        <v>8.8476483092464909E-3</v>
      </c>
      <c r="J84" s="104">
        <f t="shared" si="56"/>
        <v>9.8738535200778074E-3</v>
      </c>
      <c r="K84" s="104">
        <f t="shared" si="56"/>
        <v>1.0917464369779471E-2</v>
      </c>
      <c r="L84" s="104">
        <f t="shared" si="56"/>
        <v>1.1977149523897166E-2</v>
      </c>
      <c r="M84" s="104">
        <f t="shared" si="56"/>
        <v>1.305157764797658E-2</v>
      </c>
      <c r="N84" s="104">
        <f t="shared" si="56"/>
        <v>1.5006049855167231E-2</v>
      </c>
      <c r="O84" s="104">
        <f t="shared" si="56"/>
        <v>1.6989094422619779E-2</v>
      </c>
      <c r="P84" s="104">
        <f t="shared" si="56"/>
        <v>1.8998173494030688E-2</v>
      </c>
      <c r="Q84" s="104">
        <f t="shared" si="56"/>
        <v>2.1030749213096417E-2</v>
      </c>
      <c r="R84" s="104">
        <f t="shared" si="56"/>
        <v>2.308428372351343E-2</v>
      </c>
      <c r="S84" s="104">
        <f t="shared" si="56"/>
        <v>2.5156239168978189E-2</v>
      </c>
      <c r="T84" s="104">
        <f t="shared" si="56"/>
        <v>2.7244077693187162E-2</v>
      </c>
      <c r="U84" s="104">
        <f t="shared" si="56"/>
        <v>2.93452614398368E-2</v>
      </c>
      <c r="V84" s="104">
        <f t="shared" si="56"/>
        <v>3.145725255262357E-2</v>
      </c>
      <c r="W84" s="104">
        <f t="shared" si="56"/>
        <v>3.3577513175243941E-2</v>
      </c>
      <c r="X84" s="104">
        <f t="shared" si="56"/>
        <v>3.721561024497768E-2</v>
      </c>
      <c r="Y84" s="104">
        <f t="shared" si="56"/>
        <v>4.0870623140299475E-2</v>
      </c>
      <c r="Z84" s="104">
        <f t="shared" si="56"/>
        <v>4.4538054394342295E-2</v>
      </c>
      <c r="AA84" s="104">
        <f t="shared" si="56"/>
        <v>4.8213406540239104E-2</v>
      </c>
      <c r="AB84" s="104">
        <f t="shared" si="56"/>
        <v>5.1892182111122863E-2</v>
      </c>
      <c r="AC84" s="104">
        <f t="shared" si="56"/>
        <v>5.5569883640126556E-2</v>
      </c>
      <c r="AD84" s="104">
        <f t="shared" si="56"/>
        <v>5.9242013660383168E-2</v>
      </c>
      <c r="AE84" s="104">
        <f t="shared" si="56"/>
        <v>6.2904074705025625E-2</v>
      </c>
      <c r="AF84" s="104">
        <f t="shared" si="56"/>
        <v>6.6551569307186961E-2</v>
      </c>
      <c r="AG84" s="104">
        <f t="shared" si="56"/>
        <v>0.38720000000000004</v>
      </c>
      <c r="AI84" s="126"/>
      <c r="AJ84" s="198"/>
      <c r="AL84" s="102"/>
      <c r="AM84" s="2"/>
      <c r="AN84" s="2"/>
      <c r="AO84" s="2"/>
      <c r="AV84" s="38"/>
    </row>
    <row r="85" spans="1:63" outlineLevel="1">
      <c r="A85" t="s">
        <v>524</v>
      </c>
      <c r="B85" s="165" t="s">
        <v>126</v>
      </c>
      <c r="C85" s="104">
        <f>C71*C$82</f>
        <v>3.6000637184741655E-2</v>
      </c>
      <c r="D85" s="104">
        <f t="shared" ref="D85:AG85" si="57">D71*D$82</f>
        <v>4.4953021535623042E-2</v>
      </c>
      <c r="E85" s="104">
        <f t="shared" si="57"/>
        <v>5.3675191555628977E-2</v>
      </c>
      <c r="F85" s="104">
        <f t="shared" si="57"/>
        <v>6.2168478579213801E-2</v>
      </c>
      <c r="G85" s="104">
        <f t="shared" si="57"/>
        <v>7.0434213940831797E-2</v>
      </c>
      <c r="H85" s="104">
        <f t="shared" si="57"/>
        <v>7.8473728974937304E-2</v>
      </c>
      <c r="I85" s="104">
        <f t="shared" si="57"/>
        <v>8.6288355015984614E-2</v>
      </c>
      <c r="J85" s="104">
        <f t="shared" si="57"/>
        <v>9.3879423398428072E-2</v>
      </c>
      <c r="K85" s="104">
        <f t="shared" si="57"/>
        <v>0.10124826545672198</v>
      </c>
      <c r="L85" s="104">
        <f t="shared" si="57"/>
        <v>0.10839621252532063</v>
      </c>
      <c r="M85" s="104">
        <f t="shared" si="57"/>
        <v>0.11532459593867832</v>
      </c>
      <c r="N85" s="104">
        <f t="shared" si="57"/>
        <v>0.1295144944963631</v>
      </c>
      <c r="O85" s="104">
        <f t="shared" si="57"/>
        <v>0.14328538126247251</v>
      </c>
      <c r="P85" s="104">
        <f t="shared" si="57"/>
        <v>0.15663979409331008</v>
      </c>
      <c r="Q85" s="104">
        <f t="shared" si="57"/>
        <v>0.16958027084517929</v>
      </c>
      <c r="R85" s="104">
        <f t="shared" si="57"/>
        <v>0.18210934937438381</v>
      </c>
      <c r="S85" s="104">
        <f t="shared" si="57"/>
        <v>0.19422956753722706</v>
      </c>
      <c r="T85" s="104">
        <f t="shared" si="57"/>
        <v>0.20594346319001258</v>
      </c>
      <c r="U85" s="104">
        <f t="shared" si="57"/>
        <v>0.21725357418904395</v>
      </c>
      <c r="V85" s="104">
        <f t="shared" si="57"/>
        <v>0.22816243839062469</v>
      </c>
      <c r="W85" s="104">
        <f t="shared" si="57"/>
        <v>0.23867259365105839</v>
      </c>
      <c r="X85" s="104">
        <f t="shared" si="57"/>
        <v>0.25932311680663744</v>
      </c>
      <c r="Y85" s="104">
        <f t="shared" si="57"/>
        <v>0.2792648061570856</v>
      </c>
      <c r="Z85" s="104">
        <f t="shared" si="57"/>
        <v>0.29850215916926981</v>
      </c>
      <c r="AA85" s="104">
        <f t="shared" si="57"/>
        <v>0.31703967331005717</v>
      </c>
      <c r="AB85" s="104">
        <f t="shared" si="57"/>
        <v>0.33488184604631466</v>
      </c>
      <c r="AC85" s="104">
        <f t="shared" si="57"/>
        <v>0.35203317484490937</v>
      </c>
      <c r="AD85" s="104">
        <f t="shared" si="57"/>
        <v>0.36849815717270823</v>
      </c>
      <c r="AE85" s="104">
        <f t="shared" si="57"/>
        <v>0.38428129049657828</v>
      </c>
      <c r="AF85" s="104">
        <f t="shared" si="57"/>
        <v>0.39938707228338666</v>
      </c>
      <c r="AG85" s="104">
        <f t="shared" si="57"/>
        <v>9.6799999999999983E-2</v>
      </c>
      <c r="AI85" s="126"/>
      <c r="AJ85" s="198"/>
      <c r="AL85" s="102"/>
      <c r="AM85" s="2"/>
      <c r="AN85" s="2"/>
      <c r="AO85" s="2"/>
    </row>
    <row r="86" spans="1:63" outlineLevel="1">
      <c r="A86" t="s">
        <v>526</v>
      </c>
      <c r="B86" s="51" t="s">
        <v>126</v>
      </c>
      <c r="C86" s="104">
        <f>C78*C$82</f>
        <v>1.8720331336065661E-2</v>
      </c>
      <c r="D86" s="104">
        <f t="shared" ref="D86:AG86" si="58">D78*D$82</f>
        <v>2.3375571198523983E-2</v>
      </c>
      <c r="E86" s="104">
        <f t="shared" si="58"/>
        <v>2.791109960892707E-2</v>
      </c>
      <c r="F86" s="104">
        <f t="shared" si="58"/>
        <v>3.2327608861191175E-2</v>
      </c>
      <c r="G86" s="104">
        <f t="shared" si="58"/>
        <v>3.6625791249232535E-2</v>
      </c>
      <c r="H86" s="104">
        <f t="shared" si="58"/>
        <v>4.0806339066967401E-2</v>
      </c>
      <c r="I86" s="104">
        <f t="shared" si="58"/>
        <v>4.4869944608312E-2</v>
      </c>
      <c r="J86" s="104">
        <f t="shared" si="58"/>
        <v>4.8817300167182602E-2</v>
      </c>
      <c r="K86" s="104">
        <f t="shared" si="58"/>
        <v>5.2649098037495436E-2</v>
      </c>
      <c r="L86" s="104">
        <f t="shared" si="58"/>
        <v>5.6366030513166729E-2</v>
      </c>
      <c r="M86" s="104">
        <f t="shared" si="58"/>
        <v>5.9968789888112731E-2</v>
      </c>
      <c r="N86" s="104">
        <f t="shared" si="58"/>
        <v>6.7347537138108829E-2</v>
      </c>
      <c r="O86" s="104">
        <f t="shared" si="58"/>
        <v>7.4508398256485711E-2</v>
      </c>
      <c r="P86" s="104">
        <f t="shared" si="58"/>
        <v>8.1452692928521253E-2</v>
      </c>
      <c r="Q86" s="104">
        <f t="shared" si="58"/>
        <v>8.8181740839493247E-2</v>
      </c>
      <c r="R86" s="104">
        <f t="shared" si="58"/>
        <v>9.4696861674679569E-2</v>
      </c>
      <c r="S86" s="104">
        <f t="shared" si="58"/>
        <v>0.10099937511935807</v>
      </c>
      <c r="T86" s="104">
        <f t="shared" si="58"/>
        <v>0.10709060085880655</v>
      </c>
      <c r="U86" s="104">
        <f t="shared" si="58"/>
        <v>0.11297185857830287</v>
      </c>
      <c r="V86" s="104">
        <f t="shared" si="58"/>
        <v>0.11864446796312483</v>
      </c>
      <c r="W86" s="104">
        <f t="shared" si="58"/>
        <v>0.12410974869855038</v>
      </c>
      <c r="X86" s="104">
        <f t="shared" si="58"/>
        <v>0.13484802073945149</v>
      </c>
      <c r="Y86" s="104">
        <f t="shared" si="58"/>
        <v>0.14521769920168451</v>
      </c>
      <c r="Z86" s="104">
        <f t="shared" si="58"/>
        <v>0.1552211227680203</v>
      </c>
      <c r="AA86" s="104">
        <f t="shared" si="58"/>
        <v>0.1648606301212297</v>
      </c>
      <c r="AB86" s="104">
        <f t="shared" si="58"/>
        <v>0.17413855994408362</v>
      </c>
      <c r="AC86" s="104">
        <f t="shared" si="58"/>
        <v>0.18305725091935285</v>
      </c>
      <c r="AD86" s="104">
        <f t="shared" si="58"/>
        <v>0.19161904172980829</v>
      </c>
      <c r="AE86" s="104">
        <f t="shared" si="58"/>
        <v>0.19982627105822073</v>
      </c>
      <c r="AF86" s="104">
        <f t="shared" si="58"/>
        <v>0.20768127758736107</v>
      </c>
      <c r="AG86" s="104">
        <f t="shared" si="58"/>
        <v>5.0335999999999999E-2</v>
      </c>
      <c r="AI86" s="126"/>
      <c r="AJ86" s="198"/>
      <c r="AL86" s="102"/>
      <c r="AM86" s="2"/>
      <c r="AN86" s="2"/>
      <c r="AO86" s="2"/>
      <c r="BC86" s="1"/>
      <c r="BD86" s="2"/>
      <c r="BE86" s="2"/>
      <c r="BF86" s="2"/>
      <c r="BG86" s="2"/>
      <c r="BH86" s="2"/>
      <c r="BI86" s="2"/>
      <c r="BJ86" s="2"/>
      <c r="BK86" s="2"/>
    </row>
    <row r="87" spans="1:63" outlineLevel="1">
      <c r="A87" t="s">
        <v>527</v>
      </c>
      <c r="B87" s="51" t="s">
        <v>126</v>
      </c>
      <c r="C87" s="104">
        <f>C79*C$82</f>
        <v>4.3200764621689992E-3</v>
      </c>
      <c r="D87" s="104">
        <f t="shared" ref="D87:AG87" si="59">D79*D$82</f>
        <v>5.3943625842747655E-3</v>
      </c>
      <c r="E87" s="104">
        <f t="shared" si="59"/>
        <v>6.4410229866754768E-3</v>
      </c>
      <c r="F87" s="104">
        <f t="shared" si="59"/>
        <v>7.4602174295056558E-3</v>
      </c>
      <c r="G87" s="104">
        <f t="shared" si="59"/>
        <v>8.4521056728998154E-3</v>
      </c>
      <c r="H87" s="104">
        <f t="shared" si="59"/>
        <v>9.4168474769924775E-3</v>
      </c>
      <c r="I87" s="104">
        <f t="shared" si="59"/>
        <v>1.0354602601918152E-2</v>
      </c>
      <c r="J87" s="104">
        <f t="shared" si="59"/>
        <v>1.1265530807811367E-2</v>
      </c>
      <c r="K87" s="104">
        <f t="shared" si="59"/>
        <v>1.2149791854806637E-2</v>
      </c>
      <c r="L87" s="104">
        <f t="shared" si="59"/>
        <v>1.3007545503038476E-2</v>
      </c>
      <c r="M87" s="104">
        <f t="shared" si="59"/>
        <v>1.3838951512641398E-2</v>
      </c>
      <c r="N87" s="104">
        <f t="shared" si="59"/>
        <v>1.5541739339563572E-2</v>
      </c>
      <c r="O87" s="104">
        <f t="shared" si="59"/>
        <v>1.7194245751496699E-2</v>
      </c>
      <c r="P87" s="104">
        <f t="shared" si="59"/>
        <v>1.8796775291197207E-2</v>
      </c>
      <c r="Q87" s="104">
        <f t="shared" si="59"/>
        <v>2.0349632501421515E-2</v>
      </c>
      <c r="R87" s="104">
        <f t="shared" si="59"/>
        <v>2.1853121924926056E-2</v>
      </c>
      <c r="S87" s="104">
        <f t="shared" si="59"/>
        <v>2.3307548104467248E-2</v>
      </c>
      <c r="T87" s="104">
        <f t="shared" si="59"/>
        <v>2.4713215582801509E-2</v>
      </c>
      <c r="U87" s="104">
        <f t="shared" si="59"/>
        <v>2.6070428902685273E-2</v>
      </c>
      <c r="V87" s="104">
        <f t="shared" si="59"/>
        <v>2.7379492606874962E-2</v>
      </c>
      <c r="W87" s="104">
        <f t="shared" si="59"/>
        <v>2.8640711238127003E-2</v>
      </c>
      <c r="X87" s="104">
        <f t="shared" si="59"/>
        <v>3.1118774016796493E-2</v>
      </c>
      <c r="Y87" s="104">
        <f t="shared" si="59"/>
        <v>3.3511776738850273E-2</v>
      </c>
      <c r="Z87" s="104">
        <f t="shared" si="59"/>
        <v>3.5820259100312377E-2</v>
      </c>
      <c r="AA87" s="104">
        <f t="shared" si="59"/>
        <v>3.804476079720686E-2</v>
      </c>
      <c r="AB87" s="104">
        <f t="shared" si="59"/>
        <v>4.0185821525557754E-2</v>
      </c>
      <c r="AC87" s="104">
        <f t="shared" si="59"/>
        <v>4.2243980981389123E-2</v>
      </c>
      <c r="AD87" s="104">
        <f t="shared" si="59"/>
        <v>4.4219778860724979E-2</v>
      </c>
      <c r="AE87" s="104">
        <f t="shared" si="59"/>
        <v>4.6113754859589386E-2</v>
      </c>
      <c r="AF87" s="104">
        <f t="shared" si="59"/>
        <v>4.7926448674006403E-2</v>
      </c>
      <c r="AG87" s="104">
        <f t="shared" si="59"/>
        <v>1.1615999999999998E-2</v>
      </c>
      <c r="AI87" s="126"/>
      <c r="AJ87" s="198"/>
      <c r="AL87" s="102"/>
      <c r="AM87" s="2"/>
      <c r="AN87" s="2"/>
      <c r="AO87" s="2"/>
      <c r="BC87" s="1"/>
      <c r="BD87" s="2"/>
      <c r="BE87" s="2"/>
      <c r="BF87" s="2"/>
      <c r="BG87" s="2"/>
      <c r="BH87" s="2"/>
      <c r="BI87" s="2"/>
      <c r="BJ87" s="2"/>
      <c r="BK87" s="2"/>
    </row>
    <row r="88" spans="1:63" outlineLevel="1">
      <c r="A88" t="s">
        <v>525</v>
      </c>
      <c r="B88" s="51" t="s">
        <v>126</v>
      </c>
      <c r="C88" s="104">
        <f>C80*C$82</f>
        <v>1.2960229386506997E-2</v>
      </c>
      <c r="D88" s="104">
        <f t="shared" ref="D88:AG88" si="60">D80*D$82</f>
        <v>1.6183087752824295E-2</v>
      </c>
      <c r="E88" s="104">
        <f t="shared" si="60"/>
        <v>1.9323068960026432E-2</v>
      </c>
      <c r="F88" s="104">
        <f t="shared" si="60"/>
        <v>2.2380652288516968E-2</v>
      </c>
      <c r="G88" s="104">
        <f t="shared" si="60"/>
        <v>2.5356317018699448E-2</v>
      </c>
      <c r="H88" s="104">
        <f t="shared" si="60"/>
        <v>2.8250542430977431E-2</v>
      </c>
      <c r="I88" s="104">
        <f t="shared" si="60"/>
        <v>3.1063807805754455E-2</v>
      </c>
      <c r="J88" s="104">
        <f t="shared" si="60"/>
        <v>3.3796592423434108E-2</v>
      </c>
      <c r="K88" s="104">
        <f t="shared" si="60"/>
        <v>3.6449375564419913E-2</v>
      </c>
      <c r="L88" s="104">
        <f t="shared" si="60"/>
        <v>3.9022636509115423E-2</v>
      </c>
      <c r="M88" s="104">
        <f t="shared" si="60"/>
        <v>4.1516854537924197E-2</v>
      </c>
      <c r="N88" s="104">
        <f t="shared" si="60"/>
        <v>4.6625218018690719E-2</v>
      </c>
      <c r="O88" s="104">
        <f t="shared" si="60"/>
        <v>5.1582737254490106E-2</v>
      </c>
      <c r="P88" s="104">
        <f t="shared" si="60"/>
        <v>5.6390325873591628E-2</v>
      </c>
      <c r="Q88" s="104">
        <f t="shared" si="60"/>
        <v>6.1048897504264545E-2</v>
      </c>
      <c r="R88" s="104">
        <f t="shared" si="60"/>
        <v>6.5559365774778167E-2</v>
      </c>
      <c r="S88" s="104">
        <f t="shared" si="60"/>
        <v>6.9922644313401741E-2</v>
      </c>
      <c r="T88" s="104">
        <f t="shared" si="60"/>
        <v>7.4139646748404522E-2</v>
      </c>
      <c r="U88" s="104">
        <f t="shared" si="60"/>
        <v>7.8211286708055827E-2</v>
      </c>
      <c r="V88" s="104">
        <f t="shared" si="60"/>
        <v>8.2138477820624889E-2</v>
      </c>
      <c r="W88" s="104">
        <f t="shared" si="60"/>
        <v>8.5922133714381024E-2</v>
      </c>
      <c r="X88" s="104">
        <f t="shared" si="60"/>
        <v>9.3356322050389476E-2</v>
      </c>
      <c r="Y88" s="104">
        <f t="shared" si="60"/>
        <v>0.10053533021655081</v>
      </c>
      <c r="Z88" s="104">
        <f t="shared" si="60"/>
        <v>0.10746077730093713</v>
      </c>
      <c r="AA88" s="104">
        <f t="shared" si="60"/>
        <v>0.11413428239162057</v>
      </c>
      <c r="AB88" s="104">
        <f t="shared" si="60"/>
        <v>0.12055746457667328</v>
      </c>
      <c r="AC88" s="104">
        <f t="shared" si="60"/>
        <v>0.12673194294416737</v>
      </c>
      <c r="AD88" s="104">
        <f t="shared" si="60"/>
        <v>0.13265933658217494</v>
      </c>
      <c r="AE88" s="104">
        <f t="shared" si="60"/>
        <v>0.13834126457876816</v>
      </c>
      <c r="AF88" s="104">
        <f t="shared" si="60"/>
        <v>0.14377934602201919</v>
      </c>
      <c r="AG88" s="104">
        <f t="shared" si="60"/>
        <v>3.4847999999999997E-2</v>
      </c>
      <c r="AI88" s="126"/>
      <c r="AJ88" s="198"/>
      <c r="AL88" s="102"/>
      <c r="AM88" s="2"/>
      <c r="AN88" s="2"/>
      <c r="AO88" s="2"/>
      <c r="BC88" s="1"/>
      <c r="BD88" s="2"/>
      <c r="BE88" s="2"/>
      <c r="BF88" s="2"/>
      <c r="BG88" s="2"/>
      <c r="BH88" s="2"/>
      <c r="BI88" s="2"/>
      <c r="BJ88" s="2"/>
      <c r="BK88" s="2"/>
    </row>
    <row r="89" spans="1:63" outlineLevel="1">
      <c r="C89" s="104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J89" s="198"/>
      <c r="AM89" s="117"/>
      <c r="AN89" s="117"/>
    </row>
    <row r="90" spans="1:63" s="187" customFormat="1" ht="15.5" thickBot="1">
      <c r="A90" s="187" t="s">
        <v>447</v>
      </c>
      <c r="B90" s="202"/>
      <c r="C90" s="210">
        <f>C91</f>
        <v>0.13</v>
      </c>
      <c r="D90" s="210">
        <f t="shared" ref="D90:AG90" si="61">D91</f>
        <v>0.1358875810411028</v>
      </c>
      <c r="E90" s="210">
        <f t="shared" si="61"/>
        <v>0.14177516208220559</v>
      </c>
      <c r="F90" s="210">
        <f t="shared" si="61"/>
        <v>0.14766274312330838</v>
      </c>
      <c r="G90" s="210">
        <f t="shared" si="61"/>
        <v>0.15355032416441117</v>
      </c>
      <c r="H90" s="210">
        <f t="shared" si="61"/>
        <v>0.15943790520551393</v>
      </c>
      <c r="I90" s="210">
        <f t="shared" si="61"/>
        <v>0.16532548624661675</v>
      </c>
      <c r="J90" s="210">
        <f t="shared" si="61"/>
        <v>0.17121306728771951</v>
      </c>
      <c r="K90" s="210">
        <f t="shared" si="61"/>
        <v>0.1771006483288223</v>
      </c>
      <c r="L90" s="210">
        <f t="shared" si="61"/>
        <v>0.18298822936992509</v>
      </c>
      <c r="M90" s="210">
        <f t="shared" si="61"/>
        <v>0.18887581041102788</v>
      </c>
      <c r="N90" s="210">
        <f t="shared" si="61"/>
        <v>0.20009901177063008</v>
      </c>
      <c r="O90" s="210">
        <f t="shared" si="61"/>
        <v>0.21132221313023225</v>
      </c>
      <c r="P90" s="210">
        <f t="shared" si="61"/>
        <v>0.22254541448983445</v>
      </c>
      <c r="Q90" s="210">
        <f t="shared" si="61"/>
        <v>0.23376861584943665</v>
      </c>
      <c r="R90" s="210">
        <f t="shared" si="61"/>
        <v>0.24499181720903884</v>
      </c>
      <c r="S90" s="210">
        <f t="shared" si="61"/>
        <v>0.25621501856864104</v>
      </c>
      <c r="T90" s="210">
        <f t="shared" si="61"/>
        <v>0.26743821992824324</v>
      </c>
      <c r="U90" s="210">
        <f t="shared" si="61"/>
        <v>0.27866142128784538</v>
      </c>
      <c r="V90" s="210">
        <f t="shared" si="61"/>
        <v>0.28988462264744758</v>
      </c>
      <c r="W90" s="210">
        <f t="shared" si="61"/>
        <v>0.30110782400704977</v>
      </c>
      <c r="X90" s="210">
        <f t="shared" si="61"/>
        <v>0.32099704160634479</v>
      </c>
      <c r="Y90" s="210">
        <f t="shared" si="61"/>
        <v>0.34088625920563981</v>
      </c>
      <c r="Z90" s="210">
        <f t="shared" si="61"/>
        <v>0.36077547680493482</v>
      </c>
      <c r="AA90" s="210">
        <f t="shared" si="61"/>
        <v>0.3806646944042299</v>
      </c>
      <c r="AB90" s="210">
        <f t="shared" si="61"/>
        <v>0.40055391200352486</v>
      </c>
      <c r="AC90" s="210">
        <f t="shared" si="61"/>
        <v>0.42044312960281993</v>
      </c>
      <c r="AD90" s="210">
        <f t="shared" si="61"/>
        <v>0.44033234720211495</v>
      </c>
      <c r="AE90" s="210">
        <f t="shared" si="61"/>
        <v>0.46022156480140997</v>
      </c>
      <c r="AF90" s="210">
        <f t="shared" si="61"/>
        <v>0.48011078240070498</v>
      </c>
      <c r="AG90" s="210">
        <f t="shared" si="61"/>
        <v>0.5</v>
      </c>
      <c r="AJ90" s="217" t="s">
        <v>519</v>
      </c>
      <c r="AL90" s="204"/>
      <c r="AM90" s="211"/>
      <c r="AN90" s="211"/>
      <c r="AO90" s="211"/>
    </row>
    <row r="91" spans="1:63" ht="15.5" outlineLevel="1" thickTop="1">
      <c r="A91" t="s">
        <v>448</v>
      </c>
      <c r="B91" s="51" t="s">
        <v>126</v>
      </c>
      <c r="C91" s="201">
        <v>0.13</v>
      </c>
      <c r="D91" s="104">
        <f>$C91+($M91-$C91)/10*(D$1-$C$1)</f>
        <v>0.1358875810411028</v>
      </c>
      <c r="E91" s="104">
        <f t="shared" ref="E91:L91" si="62">$C91+($M91-$C91)/10*(E$1-$C$1)</f>
        <v>0.14177516208220559</v>
      </c>
      <c r="F91" s="104">
        <f t="shared" si="62"/>
        <v>0.14766274312330838</v>
      </c>
      <c r="G91" s="104">
        <f t="shared" si="62"/>
        <v>0.15355032416441117</v>
      </c>
      <c r="H91" s="104">
        <f t="shared" si="62"/>
        <v>0.15943790520551393</v>
      </c>
      <c r="I91" s="104">
        <f t="shared" si="62"/>
        <v>0.16532548624661675</v>
      </c>
      <c r="J91" s="104">
        <f t="shared" si="62"/>
        <v>0.17121306728771951</v>
      </c>
      <c r="K91" s="104">
        <f t="shared" si="62"/>
        <v>0.1771006483288223</v>
      </c>
      <c r="L91" s="104">
        <f t="shared" si="62"/>
        <v>0.18298822936992509</v>
      </c>
      <c r="M91" s="115">
        <f>(M$50-$C$50)/($AG$50-$C$50)*($AG91-$C91)+$C91</f>
        <v>0.18887581041102788</v>
      </c>
      <c r="N91" s="115">
        <f>$M91+($W91-$M91)/10*(N$1-$M$1)</f>
        <v>0.20009901177063008</v>
      </c>
      <c r="O91" s="115">
        <f t="shared" ref="O91:U91" si="63">$M91+($W91-$M91)/10*(O$1-$M$1)</f>
        <v>0.21132221313023225</v>
      </c>
      <c r="P91" s="115">
        <f t="shared" si="63"/>
        <v>0.22254541448983445</v>
      </c>
      <c r="Q91" s="115">
        <f t="shared" si="63"/>
        <v>0.23376861584943665</v>
      </c>
      <c r="R91" s="115">
        <f t="shared" si="63"/>
        <v>0.24499181720903884</v>
      </c>
      <c r="S91" s="115">
        <f t="shared" si="63"/>
        <v>0.25621501856864104</v>
      </c>
      <c r="T91" s="115">
        <f t="shared" si="63"/>
        <v>0.26743821992824324</v>
      </c>
      <c r="U91" s="115">
        <f t="shared" si="63"/>
        <v>0.27866142128784538</v>
      </c>
      <c r="V91" s="115">
        <f>$M91+($W91-$M91)/10*(V$1-$M$1)</f>
        <v>0.28988462264744758</v>
      </c>
      <c r="W91" s="115">
        <f>(W$50-$C$50)/($AG$50-$C$50)*($AG91-$C91)+$C91</f>
        <v>0.30110782400704977</v>
      </c>
      <c r="X91" s="104">
        <f>$W91+($AG91-$W91)/10*(X$1-$W$1)</f>
        <v>0.32099704160634479</v>
      </c>
      <c r="Y91" s="104">
        <f t="shared" ref="Y91:AF91" si="64">$W91+($AG91-$W91)/10*(Y$1-$W$1)</f>
        <v>0.34088625920563981</v>
      </c>
      <c r="Z91" s="104">
        <f t="shared" si="64"/>
        <v>0.36077547680493482</v>
      </c>
      <c r="AA91" s="104">
        <f t="shared" si="64"/>
        <v>0.3806646944042299</v>
      </c>
      <c r="AB91" s="104">
        <f t="shared" si="64"/>
        <v>0.40055391200352486</v>
      </c>
      <c r="AC91" s="104">
        <f t="shared" si="64"/>
        <v>0.42044312960281993</v>
      </c>
      <c r="AD91" s="104">
        <f t="shared" si="64"/>
        <v>0.44033234720211495</v>
      </c>
      <c r="AE91" s="104">
        <f t="shared" si="64"/>
        <v>0.46022156480140997</v>
      </c>
      <c r="AF91" s="104">
        <f t="shared" si="64"/>
        <v>0.48011078240070498</v>
      </c>
      <c r="AG91" s="201">
        <v>0.5</v>
      </c>
      <c r="AJ91" s="198" t="s">
        <v>453</v>
      </c>
    </row>
    <row r="92" spans="1:63" outlineLevel="1">
      <c r="A92" t="s">
        <v>449</v>
      </c>
      <c r="B92" s="51" t="s">
        <v>126</v>
      </c>
      <c r="C92" s="201">
        <v>0.05</v>
      </c>
      <c r="D92" s="104">
        <f t="shared" ref="D92:AF92" si="65">C92-($C$95-$AG$95)/($AG$1-$C$1)</f>
        <v>5.5883333333333333E-2</v>
      </c>
      <c r="E92" s="104">
        <f t="shared" si="65"/>
        <v>6.1766666666666664E-2</v>
      </c>
      <c r="F92" s="104">
        <f t="shared" si="65"/>
        <v>6.7650000000000002E-2</v>
      </c>
      <c r="G92" s="104">
        <f t="shared" si="65"/>
        <v>7.3533333333333339E-2</v>
      </c>
      <c r="H92" s="104">
        <f t="shared" si="65"/>
        <v>7.9416666666666677E-2</v>
      </c>
      <c r="I92" s="104">
        <f t="shared" si="65"/>
        <v>8.5300000000000015E-2</v>
      </c>
      <c r="J92" s="104">
        <f t="shared" si="65"/>
        <v>9.1183333333333352E-2</v>
      </c>
      <c r="K92" s="104">
        <f t="shared" si="65"/>
        <v>9.706666666666669E-2</v>
      </c>
      <c r="L92" s="104">
        <f t="shared" si="65"/>
        <v>0.10295000000000003</v>
      </c>
      <c r="M92" s="104">
        <f t="shared" si="65"/>
        <v>0.10883333333333337</v>
      </c>
      <c r="N92" s="104">
        <f t="shared" si="65"/>
        <v>0.1147166666666667</v>
      </c>
      <c r="O92" s="104">
        <f t="shared" si="65"/>
        <v>0.12060000000000004</v>
      </c>
      <c r="P92" s="104">
        <f t="shared" si="65"/>
        <v>0.12648333333333336</v>
      </c>
      <c r="Q92" s="104">
        <f t="shared" si="65"/>
        <v>0.13236666666666669</v>
      </c>
      <c r="R92" s="104">
        <f t="shared" si="65"/>
        <v>0.13825000000000001</v>
      </c>
      <c r="S92" s="104">
        <f t="shared" si="65"/>
        <v>0.14413333333333334</v>
      </c>
      <c r="T92" s="104">
        <f t="shared" si="65"/>
        <v>0.15001666666666666</v>
      </c>
      <c r="U92" s="104">
        <f t="shared" si="65"/>
        <v>0.15589999999999998</v>
      </c>
      <c r="V92" s="104">
        <f t="shared" si="65"/>
        <v>0.16178333333333331</v>
      </c>
      <c r="W92" s="104">
        <f t="shared" si="65"/>
        <v>0.16766666666666663</v>
      </c>
      <c r="X92" s="104">
        <f t="shared" si="65"/>
        <v>0.17354999999999995</v>
      </c>
      <c r="Y92" s="104">
        <f t="shared" si="65"/>
        <v>0.17943333333333328</v>
      </c>
      <c r="Z92" s="104">
        <f t="shared" si="65"/>
        <v>0.1853166666666666</v>
      </c>
      <c r="AA92" s="104">
        <f t="shared" si="65"/>
        <v>0.19119999999999993</v>
      </c>
      <c r="AB92" s="104">
        <f t="shared" si="65"/>
        <v>0.19708333333333325</v>
      </c>
      <c r="AC92" s="104">
        <f t="shared" si="65"/>
        <v>0.20296666666666657</v>
      </c>
      <c r="AD92" s="104">
        <f t="shared" si="65"/>
        <v>0.2088499999999999</v>
      </c>
      <c r="AE92" s="104">
        <f t="shared" si="65"/>
        <v>0.21473333333333322</v>
      </c>
      <c r="AF92" s="104">
        <f t="shared" si="65"/>
        <v>0.22061666666666654</v>
      </c>
      <c r="AG92" s="201">
        <v>0.4</v>
      </c>
      <c r="AI92" s="128"/>
      <c r="AJ92" s="198" t="s">
        <v>454</v>
      </c>
      <c r="AM92" s="117"/>
      <c r="AN92" s="117"/>
    </row>
    <row r="93" spans="1:63" ht="14.5" customHeight="1" outlineLevel="1">
      <c r="A93" t="s">
        <v>450</v>
      </c>
      <c r="B93" s="165" t="s">
        <v>126</v>
      </c>
      <c r="C93" s="104">
        <f>1-C92</f>
        <v>0.95</v>
      </c>
      <c r="D93" s="104">
        <f t="shared" ref="D93:AG93" si="66">1-D92</f>
        <v>0.94411666666666672</v>
      </c>
      <c r="E93" s="104">
        <f t="shared" si="66"/>
        <v>0.93823333333333336</v>
      </c>
      <c r="F93" s="104">
        <f t="shared" si="66"/>
        <v>0.93235000000000001</v>
      </c>
      <c r="G93" s="104">
        <f t="shared" si="66"/>
        <v>0.92646666666666666</v>
      </c>
      <c r="H93" s="104">
        <f t="shared" si="66"/>
        <v>0.92058333333333331</v>
      </c>
      <c r="I93" s="104">
        <f t="shared" si="66"/>
        <v>0.91469999999999996</v>
      </c>
      <c r="J93" s="104">
        <f t="shared" si="66"/>
        <v>0.90881666666666661</v>
      </c>
      <c r="K93" s="104">
        <f t="shared" si="66"/>
        <v>0.90293333333333337</v>
      </c>
      <c r="L93" s="104">
        <f t="shared" si="66"/>
        <v>0.89705000000000001</v>
      </c>
      <c r="M93" s="104">
        <f t="shared" si="66"/>
        <v>0.89116666666666666</v>
      </c>
      <c r="N93" s="104">
        <f t="shared" si="66"/>
        <v>0.88528333333333331</v>
      </c>
      <c r="O93" s="104">
        <f t="shared" si="66"/>
        <v>0.87939999999999996</v>
      </c>
      <c r="P93" s="104">
        <f t="shared" si="66"/>
        <v>0.87351666666666661</v>
      </c>
      <c r="Q93" s="104">
        <f t="shared" si="66"/>
        <v>0.86763333333333326</v>
      </c>
      <c r="R93" s="104">
        <f t="shared" si="66"/>
        <v>0.86175000000000002</v>
      </c>
      <c r="S93" s="104">
        <f t="shared" si="66"/>
        <v>0.85586666666666666</v>
      </c>
      <c r="T93" s="104">
        <f t="shared" si="66"/>
        <v>0.84998333333333331</v>
      </c>
      <c r="U93" s="104">
        <f t="shared" si="66"/>
        <v>0.84410000000000007</v>
      </c>
      <c r="V93" s="104">
        <f t="shared" si="66"/>
        <v>0.83821666666666672</v>
      </c>
      <c r="W93" s="104">
        <f t="shared" si="66"/>
        <v>0.83233333333333337</v>
      </c>
      <c r="X93" s="104">
        <f t="shared" si="66"/>
        <v>0.82645000000000002</v>
      </c>
      <c r="Y93" s="104">
        <f t="shared" si="66"/>
        <v>0.82056666666666667</v>
      </c>
      <c r="Z93" s="104">
        <f t="shared" si="66"/>
        <v>0.81468333333333343</v>
      </c>
      <c r="AA93" s="104">
        <f t="shared" si="66"/>
        <v>0.80880000000000007</v>
      </c>
      <c r="AB93" s="104">
        <f t="shared" si="66"/>
        <v>0.80291666666666672</v>
      </c>
      <c r="AC93" s="104">
        <f t="shared" si="66"/>
        <v>0.79703333333333348</v>
      </c>
      <c r="AD93" s="104">
        <f t="shared" si="66"/>
        <v>0.79115000000000013</v>
      </c>
      <c r="AE93" s="104">
        <f t="shared" si="66"/>
        <v>0.78526666666666678</v>
      </c>
      <c r="AF93" s="104">
        <f t="shared" si="66"/>
        <v>0.77938333333333343</v>
      </c>
      <c r="AG93" s="104">
        <f t="shared" si="66"/>
        <v>0.6</v>
      </c>
      <c r="AI93" s="128" t="s">
        <v>285</v>
      </c>
      <c r="AJ93" s="198"/>
    </row>
    <row r="94" spans="1:63" outlineLevel="1">
      <c r="A94" t="s">
        <v>451</v>
      </c>
      <c r="B94" s="51" t="s">
        <v>126</v>
      </c>
      <c r="C94" s="104">
        <f>C91*C92</f>
        <v>6.5000000000000006E-3</v>
      </c>
      <c r="D94" s="104">
        <f t="shared" ref="D94:AG94" si="67">D91*D92</f>
        <v>7.5938509871802942E-3</v>
      </c>
      <c r="E94" s="104">
        <f t="shared" si="67"/>
        <v>8.7569791779442321E-3</v>
      </c>
      <c r="F94" s="104">
        <f t="shared" si="67"/>
        <v>9.9893845722918116E-3</v>
      </c>
      <c r="G94" s="104">
        <f t="shared" si="67"/>
        <v>1.1291067170223035E-2</v>
      </c>
      <c r="H94" s="104">
        <f t="shared" si="67"/>
        <v>1.26620269717379E-2</v>
      </c>
      <c r="I94" s="104">
        <f t="shared" si="67"/>
        <v>1.4102263976836411E-2</v>
      </c>
      <c r="J94" s="104">
        <f t="shared" si="67"/>
        <v>1.561177818551856E-2</v>
      </c>
      <c r="K94" s="104">
        <f t="shared" si="67"/>
        <v>1.7190569597784356E-2</v>
      </c>
      <c r="L94" s="104">
        <f t="shared" si="67"/>
        <v>1.8838638213633793E-2</v>
      </c>
      <c r="M94" s="104">
        <f t="shared" si="67"/>
        <v>2.0555984033066875E-2</v>
      </c>
      <c r="N94" s="104">
        <f t="shared" si="67"/>
        <v>2.2954691633620787E-2</v>
      </c>
      <c r="O94" s="104">
        <f t="shared" si="67"/>
        <v>2.5485458903506019E-2</v>
      </c>
      <c r="P94" s="104">
        <f t="shared" si="67"/>
        <v>2.8148285842722567E-2</v>
      </c>
      <c r="Q94" s="104">
        <f t="shared" si="67"/>
        <v>3.0943172451270436E-2</v>
      </c>
      <c r="R94" s="104">
        <f t="shared" si="67"/>
        <v>3.387011872914962E-2</v>
      </c>
      <c r="S94" s="104">
        <f t="shared" si="67"/>
        <v>3.6929124676360128E-2</v>
      </c>
      <c r="T94" s="104">
        <f t="shared" si="67"/>
        <v>4.0120190292901953E-2</v>
      </c>
      <c r="U94" s="104">
        <f t="shared" si="67"/>
        <v>4.3443315578775087E-2</v>
      </c>
      <c r="V94" s="104">
        <f t="shared" si="67"/>
        <v>4.6898500533979551E-2</v>
      </c>
      <c r="W94" s="104">
        <f t="shared" si="67"/>
        <v>5.0485745158515331E-2</v>
      </c>
      <c r="X94" s="104">
        <f t="shared" si="67"/>
        <v>5.5709036570781127E-2</v>
      </c>
      <c r="Y94" s="104">
        <f t="shared" si="67"/>
        <v>6.1166357776798616E-2</v>
      </c>
      <c r="Z94" s="104">
        <f t="shared" si="67"/>
        <v>6.6857708776567812E-2</v>
      </c>
      <c r="AA94" s="104">
        <f t="shared" si="67"/>
        <v>7.2783089570088721E-2</v>
      </c>
      <c r="AB94" s="104">
        <f t="shared" si="67"/>
        <v>7.8942500157361317E-2</v>
      </c>
      <c r="AC94" s="104">
        <f t="shared" si="67"/>
        <v>8.5335940538385641E-2</v>
      </c>
      <c r="AD94" s="104">
        <f t="shared" si="67"/>
        <v>9.1963410713161664E-2</v>
      </c>
      <c r="AE94" s="104">
        <f t="shared" si="67"/>
        <v>9.8824910681689387E-2</v>
      </c>
      <c r="AF94" s="104">
        <f t="shared" si="67"/>
        <v>0.10592044044396881</v>
      </c>
      <c r="AG94" s="104">
        <f t="shared" si="67"/>
        <v>0.2</v>
      </c>
      <c r="AI94" s="127"/>
      <c r="AJ94" s="198"/>
      <c r="BD94" s="190"/>
      <c r="BE94" s="190"/>
    </row>
    <row r="95" spans="1:63" outlineLevel="1">
      <c r="A95" t="s">
        <v>452</v>
      </c>
      <c r="B95" s="51" t="s">
        <v>126</v>
      </c>
      <c r="C95" s="104">
        <f>C91*C93</f>
        <v>0.1235</v>
      </c>
      <c r="D95" s="104">
        <f t="shared" ref="D95:AG95" si="68">D91*D93</f>
        <v>0.1282937300539225</v>
      </c>
      <c r="E95" s="104">
        <f t="shared" si="68"/>
        <v>0.13301818290426135</v>
      </c>
      <c r="F95" s="104">
        <f t="shared" si="68"/>
        <v>0.13767335855101656</v>
      </c>
      <c r="G95" s="104">
        <f t="shared" si="68"/>
        <v>0.14225925699418812</v>
      </c>
      <c r="H95" s="104">
        <f t="shared" si="68"/>
        <v>0.14677587823377602</v>
      </c>
      <c r="I95" s="104">
        <f t="shared" si="68"/>
        <v>0.15122322226978033</v>
      </c>
      <c r="J95" s="104">
        <f t="shared" si="68"/>
        <v>0.15560128910220095</v>
      </c>
      <c r="K95" s="104">
        <f t="shared" si="68"/>
        <v>0.15991007873103796</v>
      </c>
      <c r="L95" s="104">
        <f t="shared" si="68"/>
        <v>0.1641495911562913</v>
      </c>
      <c r="M95" s="104">
        <f t="shared" si="68"/>
        <v>0.168319826377961</v>
      </c>
      <c r="N95" s="104">
        <f t="shared" si="68"/>
        <v>0.17714432013700929</v>
      </c>
      <c r="O95" s="104">
        <f t="shared" si="68"/>
        <v>0.18583675422672624</v>
      </c>
      <c r="P95" s="104">
        <f t="shared" si="68"/>
        <v>0.19439712864711187</v>
      </c>
      <c r="Q95" s="104">
        <f t="shared" si="68"/>
        <v>0.20282544339816619</v>
      </c>
      <c r="R95" s="104">
        <f t="shared" si="68"/>
        <v>0.21112169847988924</v>
      </c>
      <c r="S95" s="104">
        <f t="shared" si="68"/>
        <v>0.2192858938922809</v>
      </c>
      <c r="T95" s="104">
        <f t="shared" si="68"/>
        <v>0.22731802963534128</v>
      </c>
      <c r="U95" s="104">
        <f t="shared" si="68"/>
        <v>0.23521810570907031</v>
      </c>
      <c r="V95" s="104">
        <f t="shared" si="68"/>
        <v>0.24298612211346804</v>
      </c>
      <c r="W95" s="104">
        <f t="shared" si="68"/>
        <v>0.25062207884853444</v>
      </c>
      <c r="X95" s="104">
        <f t="shared" si="68"/>
        <v>0.26528800503556366</v>
      </c>
      <c r="Y95" s="104">
        <f t="shared" si="68"/>
        <v>0.27971990142884118</v>
      </c>
      <c r="Z95" s="104">
        <f t="shared" si="68"/>
        <v>0.293917768028367</v>
      </c>
      <c r="AA95" s="104">
        <f t="shared" si="68"/>
        <v>0.30788160483414118</v>
      </c>
      <c r="AB95" s="104">
        <f t="shared" si="68"/>
        <v>0.32161141184616354</v>
      </c>
      <c r="AC95" s="104">
        <f t="shared" si="68"/>
        <v>0.33510718906443432</v>
      </c>
      <c r="AD95" s="104">
        <f t="shared" si="68"/>
        <v>0.34836893648895328</v>
      </c>
      <c r="AE95" s="104">
        <f t="shared" si="68"/>
        <v>0.36139665411972061</v>
      </c>
      <c r="AF95" s="104">
        <f t="shared" si="68"/>
        <v>0.37419034195673617</v>
      </c>
      <c r="AG95" s="104">
        <f t="shared" si="68"/>
        <v>0.3</v>
      </c>
      <c r="AI95" s="127"/>
      <c r="AJ95" s="198"/>
      <c r="BD95" s="190"/>
      <c r="BE95" s="190"/>
    </row>
    <row r="96" spans="1:63" outlineLevel="1">
      <c r="C96" s="104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  <c r="AF96" s="22"/>
      <c r="AG96" s="22"/>
      <c r="AJ96" s="198"/>
    </row>
    <row r="97" spans="1:63" outlineLevel="1">
      <c r="A97" t="s">
        <v>437</v>
      </c>
      <c r="B97" s="51" t="s">
        <v>126</v>
      </c>
      <c r="C97" s="201">
        <v>0.5</v>
      </c>
      <c r="D97" s="104">
        <f>C97</f>
        <v>0.5</v>
      </c>
      <c r="E97" s="104">
        <f t="shared" ref="E97:AG97" si="69">D97</f>
        <v>0.5</v>
      </c>
      <c r="F97" s="104">
        <f t="shared" si="69"/>
        <v>0.5</v>
      </c>
      <c r="G97" s="104">
        <f t="shared" si="69"/>
        <v>0.5</v>
      </c>
      <c r="H97" s="104">
        <f t="shared" si="69"/>
        <v>0.5</v>
      </c>
      <c r="I97" s="104">
        <f t="shared" si="69"/>
        <v>0.5</v>
      </c>
      <c r="J97" s="104">
        <f t="shared" si="69"/>
        <v>0.5</v>
      </c>
      <c r="K97" s="104">
        <f t="shared" si="69"/>
        <v>0.5</v>
      </c>
      <c r="L97" s="104">
        <f t="shared" si="69"/>
        <v>0.5</v>
      </c>
      <c r="M97" s="104">
        <f t="shared" si="69"/>
        <v>0.5</v>
      </c>
      <c r="N97" s="104">
        <f t="shared" si="69"/>
        <v>0.5</v>
      </c>
      <c r="O97" s="104">
        <f t="shared" si="69"/>
        <v>0.5</v>
      </c>
      <c r="P97" s="104">
        <f t="shared" si="69"/>
        <v>0.5</v>
      </c>
      <c r="Q97" s="104">
        <f t="shared" si="69"/>
        <v>0.5</v>
      </c>
      <c r="R97" s="104">
        <f t="shared" si="69"/>
        <v>0.5</v>
      </c>
      <c r="S97" s="104">
        <f t="shared" si="69"/>
        <v>0.5</v>
      </c>
      <c r="T97" s="104">
        <f t="shared" si="69"/>
        <v>0.5</v>
      </c>
      <c r="U97" s="104">
        <f t="shared" si="69"/>
        <v>0.5</v>
      </c>
      <c r="V97" s="104">
        <f t="shared" si="69"/>
        <v>0.5</v>
      </c>
      <c r="W97" s="104">
        <f t="shared" si="69"/>
        <v>0.5</v>
      </c>
      <c r="X97" s="104">
        <f t="shared" si="69"/>
        <v>0.5</v>
      </c>
      <c r="Y97" s="104">
        <f t="shared" si="69"/>
        <v>0.5</v>
      </c>
      <c r="Z97" s="104">
        <f t="shared" si="69"/>
        <v>0.5</v>
      </c>
      <c r="AA97" s="104">
        <f t="shared" si="69"/>
        <v>0.5</v>
      </c>
      <c r="AB97" s="104">
        <f t="shared" si="69"/>
        <v>0.5</v>
      </c>
      <c r="AC97" s="104">
        <f t="shared" si="69"/>
        <v>0.5</v>
      </c>
      <c r="AD97" s="104">
        <f t="shared" si="69"/>
        <v>0.5</v>
      </c>
      <c r="AE97" s="104">
        <f t="shared" si="69"/>
        <v>0.5</v>
      </c>
      <c r="AF97" s="104">
        <f t="shared" si="69"/>
        <v>0.5</v>
      </c>
      <c r="AG97" s="104">
        <f t="shared" si="69"/>
        <v>0.5</v>
      </c>
      <c r="AI97" s="51"/>
      <c r="AJ97" s="198" t="s">
        <v>460</v>
      </c>
    </row>
    <row r="98" spans="1:63" outlineLevel="1">
      <c r="A98" t="s">
        <v>445</v>
      </c>
      <c r="B98" s="51" t="s">
        <v>126</v>
      </c>
      <c r="C98" s="115">
        <f>1-C97</f>
        <v>0.5</v>
      </c>
      <c r="D98" s="104">
        <f t="shared" ref="D98:AG98" si="70">C98</f>
        <v>0.5</v>
      </c>
      <c r="E98" s="104">
        <f t="shared" si="70"/>
        <v>0.5</v>
      </c>
      <c r="F98" s="104">
        <f t="shared" si="70"/>
        <v>0.5</v>
      </c>
      <c r="G98" s="104">
        <f t="shared" si="70"/>
        <v>0.5</v>
      </c>
      <c r="H98" s="104">
        <f t="shared" si="70"/>
        <v>0.5</v>
      </c>
      <c r="I98" s="104">
        <f t="shared" si="70"/>
        <v>0.5</v>
      </c>
      <c r="J98" s="104">
        <f t="shared" si="70"/>
        <v>0.5</v>
      </c>
      <c r="K98" s="104">
        <f t="shared" si="70"/>
        <v>0.5</v>
      </c>
      <c r="L98" s="104">
        <f t="shared" si="70"/>
        <v>0.5</v>
      </c>
      <c r="M98" s="104">
        <f t="shared" si="70"/>
        <v>0.5</v>
      </c>
      <c r="N98" s="104">
        <f t="shared" si="70"/>
        <v>0.5</v>
      </c>
      <c r="O98" s="104">
        <f t="shared" si="70"/>
        <v>0.5</v>
      </c>
      <c r="P98" s="104">
        <f t="shared" si="70"/>
        <v>0.5</v>
      </c>
      <c r="Q98" s="104">
        <f t="shared" si="70"/>
        <v>0.5</v>
      </c>
      <c r="R98" s="104">
        <f t="shared" si="70"/>
        <v>0.5</v>
      </c>
      <c r="S98" s="104">
        <f t="shared" si="70"/>
        <v>0.5</v>
      </c>
      <c r="T98" s="104">
        <f t="shared" si="70"/>
        <v>0.5</v>
      </c>
      <c r="U98" s="104">
        <f t="shared" si="70"/>
        <v>0.5</v>
      </c>
      <c r="V98" s="104">
        <f t="shared" si="70"/>
        <v>0.5</v>
      </c>
      <c r="W98" s="104">
        <f t="shared" si="70"/>
        <v>0.5</v>
      </c>
      <c r="X98" s="104">
        <f t="shared" si="70"/>
        <v>0.5</v>
      </c>
      <c r="Y98" s="104">
        <f t="shared" si="70"/>
        <v>0.5</v>
      </c>
      <c r="Z98" s="104">
        <f t="shared" si="70"/>
        <v>0.5</v>
      </c>
      <c r="AA98" s="104">
        <f t="shared" si="70"/>
        <v>0.5</v>
      </c>
      <c r="AB98" s="104">
        <f t="shared" si="70"/>
        <v>0.5</v>
      </c>
      <c r="AC98" s="104">
        <f t="shared" si="70"/>
        <v>0.5</v>
      </c>
      <c r="AD98" s="104">
        <f t="shared" si="70"/>
        <v>0.5</v>
      </c>
      <c r="AE98" s="104">
        <f t="shared" si="70"/>
        <v>0.5</v>
      </c>
      <c r="AF98" s="104">
        <f t="shared" si="70"/>
        <v>0.5</v>
      </c>
      <c r="AG98" s="104">
        <f t="shared" si="70"/>
        <v>0.5</v>
      </c>
      <c r="AJ98" s="209"/>
    </row>
    <row r="99" spans="1:63" outlineLevel="1">
      <c r="A99" t="s">
        <v>433</v>
      </c>
      <c r="B99" s="51" t="s">
        <v>126</v>
      </c>
      <c r="C99" s="104">
        <f t="shared" ref="C99:AG99" si="71">SUM(C97:C98)</f>
        <v>1</v>
      </c>
      <c r="D99" s="104">
        <f t="shared" si="71"/>
        <v>1</v>
      </c>
      <c r="E99" s="104">
        <f t="shared" si="71"/>
        <v>1</v>
      </c>
      <c r="F99" s="104">
        <f t="shared" si="71"/>
        <v>1</v>
      </c>
      <c r="G99" s="104">
        <f t="shared" si="71"/>
        <v>1</v>
      </c>
      <c r="H99" s="104">
        <f t="shared" si="71"/>
        <v>1</v>
      </c>
      <c r="I99" s="104">
        <f t="shared" si="71"/>
        <v>1</v>
      </c>
      <c r="J99" s="104">
        <f t="shared" si="71"/>
        <v>1</v>
      </c>
      <c r="K99" s="104">
        <f t="shared" si="71"/>
        <v>1</v>
      </c>
      <c r="L99" s="104">
        <f t="shared" si="71"/>
        <v>1</v>
      </c>
      <c r="M99" s="104">
        <f t="shared" si="71"/>
        <v>1</v>
      </c>
      <c r="N99" s="104">
        <f t="shared" si="71"/>
        <v>1</v>
      </c>
      <c r="O99" s="104">
        <f t="shared" si="71"/>
        <v>1</v>
      </c>
      <c r="P99" s="104">
        <f t="shared" si="71"/>
        <v>1</v>
      </c>
      <c r="Q99" s="104">
        <f t="shared" si="71"/>
        <v>1</v>
      </c>
      <c r="R99" s="104">
        <f t="shared" si="71"/>
        <v>1</v>
      </c>
      <c r="S99" s="104">
        <f t="shared" si="71"/>
        <v>1</v>
      </c>
      <c r="T99" s="104">
        <f t="shared" si="71"/>
        <v>1</v>
      </c>
      <c r="U99" s="104">
        <f t="shared" si="71"/>
        <v>1</v>
      </c>
      <c r="V99" s="104">
        <f t="shared" si="71"/>
        <v>1</v>
      </c>
      <c r="W99" s="104">
        <f t="shared" si="71"/>
        <v>1</v>
      </c>
      <c r="X99" s="104">
        <f t="shared" si="71"/>
        <v>1</v>
      </c>
      <c r="Y99" s="104">
        <f t="shared" si="71"/>
        <v>1</v>
      </c>
      <c r="Z99" s="104">
        <f t="shared" si="71"/>
        <v>1</v>
      </c>
      <c r="AA99" s="104">
        <f t="shared" si="71"/>
        <v>1</v>
      </c>
      <c r="AB99" s="104">
        <f t="shared" si="71"/>
        <v>1</v>
      </c>
      <c r="AC99" s="104">
        <f t="shared" si="71"/>
        <v>1</v>
      </c>
      <c r="AD99" s="104">
        <f t="shared" si="71"/>
        <v>1</v>
      </c>
      <c r="AE99" s="104">
        <f t="shared" si="71"/>
        <v>1</v>
      </c>
      <c r="AF99" s="104">
        <f t="shared" si="71"/>
        <v>1</v>
      </c>
      <c r="AG99" s="104">
        <f t="shared" si="71"/>
        <v>1</v>
      </c>
      <c r="AH99" s="124"/>
      <c r="AI99" s="51"/>
      <c r="AJ99" s="209"/>
    </row>
    <row r="100" spans="1:63" outlineLevel="1">
      <c r="C100" s="201"/>
      <c r="D100" s="104"/>
      <c r="E100" s="104"/>
      <c r="F100" s="104"/>
      <c r="G100" s="104"/>
      <c r="H100" s="104"/>
      <c r="I100" s="104"/>
      <c r="J100" s="104"/>
      <c r="K100" s="104"/>
      <c r="L100" s="104"/>
      <c r="M100" s="104"/>
      <c r="N100" s="104"/>
      <c r="O100" s="104"/>
      <c r="P100" s="104"/>
      <c r="Q100" s="104"/>
      <c r="R100" s="104"/>
      <c r="S100" s="104"/>
      <c r="T100" s="104"/>
      <c r="U100" s="104"/>
      <c r="V100" s="104"/>
      <c r="W100" s="104"/>
      <c r="X100" s="104"/>
      <c r="Y100" s="104"/>
      <c r="Z100" s="104"/>
      <c r="AA100" s="104"/>
      <c r="AB100" s="104"/>
      <c r="AC100" s="104"/>
      <c r="AD100" s="104"/>
      <c r="AE100" s="104"/>
      <c r="AF100" s="104"/>
      <c r="AG100" s="104"/>
      <c r="AH100" s="124"/>
      <c r="AI100" s="124"/>
      <c r="AJ100" s="209"/>
    </row>
    <row r="101" spans="1:63" outlineLevel="1">
      <c r="A101" t="s">
        <v>455</v>
      </c>
      <c r="B101" s="51" t="s">
        <v>126</v>
      </c>
      <c r="C101" s="104">
        <f>C97*C95</f>
        <v>6.1749999999999999E-2</v>
      </c>
      <c r="D101" s="104">
        <f t="shared" ref="D101:AG101" si="72">D97*D95</f>
        <v>6.414686502696125E-2</v>
      </c>
      <c r="E101" s="104">
        <f t="shared" si="72"/>
        <v>6.6509091452130673E-2</v>
      </c>
      <c r="F101" s="104">
        <f t="shared" si="72"/>
        <v>6.8836679275508281E-2</v>
      </c>
      <c r="G101" s="104">
        <f t="shared" si="72"/>
        <v>7.1129628497094061E-2</v>
      </c>
      <c r="H101" s="104">
        <f t="shared" si="72"/>
        <v>7.3387939116888012E-2</v>
      </c>
      <c r="I101" s="104">
        <f t="shared" si="72"/>
        <v>7.5611611134890164E-2</v>
      </c>
      <c r="J101" s="104">
        <f t="shared" si="72"/>
        <v>7.7800644551100473E-2</v>
      </c>
      <c r="K101" s="104">
        <f t="shared" si="72"/>
        <v>7.9955039365518982E-2</v>
      </c>
      <c r="L101" s="104">
        <f t="shared" si="72"/>
        <v>8.2074795578145648E-2</v>
      </c>
      <c r="M101" s="104">
        <f t="shared" si="72"/>
        <v>8.4159913188980501E-2</v>
      </c>
      <c r="N101" s="104">
        <f t="shared" si="72"/>
        <v>8.8572160068504643E-2</v>
      </c>
      <c r="O101" s="104">
        <f t="shared" si="72"/>
        <v>9.2918377113363121E-2</v>
      </c>
      <c r="P101" s="104">
        <f t="shared" si="72"/>
        <v>9.7198564323555933E-2</v>
      </c>
      <c r="Q101" s="104">
        <f t="shared" si="72"/>
        <v>0.10141272169908309</v>
      </c>
      <c r="R101" s="104">
        <f t="shared" si="72"/>
        <v>0.10556084923994462</v>
      </c>
      <c r="S101" s="104">
        <f t="shared" si="72"/>
        <v>0.10964294694614045</v>
      </c>
      <c r="T101" s="104">
        <f t="shared" si="72"/>
        <v>0.11365901481767064</v>
      </c>
      <c r="U101" s="104">
        <f t="shared" si="72"/>
        <v>0.11760905285453516</v>
      </c>
      <c r="V101" s="104">
        <f t="shared" si="72"/>
        <v>0.12149306105673402</v>
      </c>
      <c r="W101" s="104">
        <f t="shared" si="72"/>
        <v>0.12531103942426722</v>
      </c>
      <c r="X101" s="104">
        <f t="shared" si="72"/>
        <v>0.13264400251778183</v>
      </c>
      <c r="Y101" s="104">
        <f t="shared" si="72"/>
        <v>0.13985995071442059</v>
      </c>
      <c r="Z101" s="104">
        <f t="shared" si="72"/>
        <v>0.1469588840141835</v>
      </c>
      <c r="AA101" s="104">
        <f t="shared" si="72"/>
        <v>0.15394080241707059</v>
      </c>
      <c r="AB101" s="104">
        <f t="shared" si="72"/>
        <v>0.16080570592308177</v>
      </c>
      <c r="AC101" s="104">
        <f t="shared" si="72"/>
        <v>0.16755359453221716</v>
      </c>
      <c r="AD101" s="104">
        <f t="shared" si="72"/>
        <v>0.17418446824447664</v>
      </c>
      <c r="AE101" s="104">
        <f t="shared" si="72"/>
        <v>0.1806983270598603</v>
      </c>
      <c r="AF101" s="104">
        <f t="shared" si="72"/>
        <v>0.18709517097836809</v>
      </c>
      <c r="AG101" s="104">
        <f t="shared" si="72"/>
        <v>0.15</v>
      </c>
      <c r="AH101" s="124"/>
      <c r="AI101" s="124"/>
      <c r="AJ101" s="198"/>
    </row>
    <row r="102" spans="1:63" outlineLevel="1">
      <c r="A102" t="s">
        <v>531</v>
      </c>
      <c r="B102" s="51" t="s">
        <v>126</v>
      </c>
      <c r="C102" s="104">
        <f>C95*C98</f>
        <v>6.1749999999999999E-2</v>
      </c>
      <c r="D102" s="104">
        <f t="shared" ref="D102:AG102" si="73">D95*D98</f>
        <v>6.414686502696125E-2</v>
      </c>
      <c r="E102" s="104">
        <f t="shared" si="73"/>
        <v>6.6509091452130673E-2</v>
      </c>
      <c r="F102" s="104">
        <f t="shared" si="73"/>
        <v>6.8836679275508281E-2</v>
      </c>
      <c r="G102" s="104">
        <f t="shared" si="73"/>
        <v>7.1129628497094061E-2</v>
      </c>
      <c r="H102" s="104">
        <f t="shared" si="73"/>
        <v>7.3387939116888012E-2</v>
      </c>
      <c r="I102" s="104">
        <f t="shared" si="73"/>
        <v>7.5611611134890164E-2</v>
      </c>
      <c r="J102" s="104">
        <f t="shared" si="73"/>
        <v>7.7800644551100473E-2</v>
      </c>
      <c r="K102" s="104">
        <f t="shared" si="73"/>
        <v>7.9955039365518982E-2</v>
      </c>
      <c r="L102" s="104">
        <f t="shared" si="73"/>
        <v>8.2074795578145648E-2</v>
      </c>
      <c r="M102" s="104">
        <f t="shared" si="73"/>
        <v>8.4159913188980501E-2</v>
      </c>
      <c r="N102" s="104">
        <f t="shared" si="73"/>
        <v>8.8572160068504643E-2</v>
      </c>
      <c r="O102" s="104">
        <f t="shared" si="73"/>
        <v>9.2918377113363121E-2</v>
      </c>
      <c r="P102" s="104">
        <f t="shared" si="73"/>
        <v>9.7198564323555933E-2</v>
      </c>
      <c r="Q102" s="104">
        <f t="shared" si="73"/>
        <v>0.10141272169908309</v>
      </c>
      <c r="R102" s="104">
        <f t="shared" si="73"/>
        <v>0.10556084923994462</v>
      </c>
      <c r="S102" s="104">
        <f t="shared" si="73"/>
        <v>0.10964294694614045</v>
      </c>
      <c r="T102" s="104">
        <f t="shared" si="73"/>
        <v>0.11365901481767064</v>
      </c>
      <c r="U102" s="104">
        <f t="shared" si="73"/>
        <v>0.11760905285453516</v>
      </c>
      <c r="V102" s="104">
        <f t="shared" si="73"/>
        <v>0.12149306105673402</v>
      </c>
      <c r="W102" s="104">
        <f t="shared" si="73"/>
        <v>0.12531103942426722</v>
      </c>
      <c r="X102" s="104">
        <f t="shared" si="73"/>
        <v>0.13264400251778183</v>
      </c>
      <c r="Y102" s="104">
        <f t="shared" si="73"/>
        <v>0.13985995071442059</v>
      </c>
      <c r="Z102" s="104">
        <f t="shared" si="73"/>
        <v>0.1469588840141835</v>
      </c>
      <c r="AA102" s="104">
        <f t="shared" si="73"/>
        <v>0.15394080241707059</v>
      </c>
      <c r="AB102" s="104">
        <f t="shared" si="73"/>
        <v>0.16080570592308177</v>
      </c>
      <c r="AC102" s="104">
        <f t="shared" si="73"/>
        <v>0.16755359453221716</v>
      </c>
      <c r="AD102" s="104">
        <f t="shared" si="73"/>
        <v>0.17418446824447664</v>
      </c>
      <c r="AE102" s="104">
        <f t="shared" si="73"/>
        <v>0.1806983270598603</v>
      </c>
      <c r="AF102" s="104">
        <f t="shared" si="73"/>
        <v>0.18709517097836809</v>
      </c>
      <c r="AG102" s="104">
        <f t="shared" si="73"/>
        <v>0.15</v>
      </c>
      <c r="AJ102" s="198"/>
    </row>
    <row r="103" spans="1:63" outlineLevel="1">
      <c r="C103" s="104"/>
      <c r="D103" s="104"/>
      <c r="E103" s="104"/>
      <c r="F103" s="104"/>
      <c r="G103" s="104"/>
      <c r="H103" s="104"/>
      <c r="I103" s="104"/>
      <c r="J103" s="104"/>
      <c r="K103" s="104"/>
      <c r="L103" s="104"/>
      <c r="M103" s="104"/>
      <c r="N103" s="104"/>
      <c r="O103" s="104"/>
      <c r="P103" s="104"/>
      <c r="Q103" s="104"/>
      <c r="R103" s="104"/>
      <c r="S103" s="104"/>
      <c r="T103" s="104"/>
      <c r="U103" s="104"/>
      <c r="V103" s="104"/>
      <c r="W103" s="104"/>
      <c r="X103" s="104"/>
      <c r="Y103" s="104"/>
      <c r="Z103" s="104"/>
      <c r="AA103" s="104"/>
      <c r="AB103" s="104"/>
      <c r="AC103" s="104"/>
      <c r="AD103" s="104"/>
      <c r="AE103" s="104"/>
      <c r="AF103" s="104"/>
      <c r="AG103" s="104"/>
      <c r="AJ103" s="198"/>
    </row>
    <row r="104" spans="1:63" s="187" customFormat="1" ht="15.5" thickBot="1">
      <c r="A104" s="187" t="s">
        <v>461</v>
      </c>
      <c r="B104" s="202"/>
      <c r="C104" s="210">
        <f>C105</f>
        <v>1.6E-2</v>
      </c>
      <c r="D104" s="210">
        <f t="shared" ref="D104:AG104" si="74">D105</f>
        <v>2.3701592497010131E-2</v>
      </c>
      <c r="E104" s="210">
        <f t="shared" si="74"/>
        <v>3.1403184994020263E-2</v>
      </c>
      <c r="F104" s="210">
        <f t="shared" si="74"/>
        <v>3.9104777491030397E-2</v>
      </c>
      <c r="G104" s="210">
        <f t="shared" si="74"/>
        <v>4.6806369988040525E-2</v>
      </c>
      <c r="H104" s="210">
        <f t="shared" si="74"/>
        <v>5.4507962485050659E-2</v>
      </c>
      <c r="I104" s="210">
        <f t="shared" si="74"/>
        <v>6.2209554982060794E-2</v>
      </c>
      <c r="J104" s="210">
        <f t="shared" si="74"/>
        <v>6.9911147479070929E-2</v>
      </c>
      <c r="K104" s="210">
        <f t="shared" si="74"/>
        <v>7.7612739976081063E-2</v>
      </c>
      <c r="L104" s="210">
        <f t="shared" si="74"/>
        <v>8.5314332473091184E-2</v>
      </c>
      <c r="M104" s="210">
        <f t="shared" si="74"/>
        <v>9.3015924970101319E-2</v>
      </c>
      <c r="N104" s="210">
        <f t="shared" si="74"/>
        <v>0.10769708566752688</v>
      </c>
      <c r="O104" s="210">
        <f t="shared" si="74"/>
        <v>0.12237824636495245</v>
      </c>
      <c r="P104" s="210">
        <f t="shared" si="74"/>
        <v>0.13705940706237801</v>
      </c>
      <c r="Q104" s="210">
        <f t="shared" si="74"/>
        <v>0.15174056775980357</v>
      </c>
      <c r="R104" s="210">
        <f t="shared" si="74"/>
        <v>0.16642172845722913</v>
      </c>
      <c r="S104" s="210">
        <f t="shared" si="74"/>
        <v>0.18110288915465472</v>
      </c>
      <c r="T104" s="210">
        <f t="shared" si="74"/>
        <v>0.19578404985208028</v>
      </c>
      <c r="U104" s="210">
        <f t="shared" si="74"/>
        <v>0.21046521054950584</v>
      </c>
      <c r="V104" s="210">
        <f t="shared" si="74"/>
        <v>0.22514637124693143</v>
      </c>
      <c r="W104" s="210">
        <f t="shared" si="74"/>
        <v>0.23982753194435696</v>
      </c>
      <c r="X104" s="210">
        <f t="shared" si="74"/>
        <v>0.2658447787499213</v>
      </c>
      <c r="Y104" s="210">
        <f t="shared" si="74"/>
        <v>0.29186202555548557</v>
      </c>
      <c r="Z104" s="210">
        <f t="shared" si="74"/>
        <v>0.31787927236104985</v>
      </c>
      <c r="AA104" s="210">
        <f t="shared" si="74"/>
        <v>0.34389651916661418</v>
      </c>
      <c r="AB104" s="210">
        <f t="shared" si="74"/>
        <v>0.36991376597217851</v>
      </c>
      <c r="AC104" s="210">
        <f t="shared" si="74"/>
        <v>0.39593101277774279</v>
      </c>
      <c r="AD104" s="210">
        <f t="shared" si="74"/>
        <v>0.42194825958330706</v>
      </c>
      <c r="AE104" s="210">
        <f t="shared" si="74"/>
        <v>0.44796550638887139</v>
      </c>
      <c r="AF104" s="210">
        <f t="shared" si="74"/>
        <v>0.47398275319443572</v>
      </c>
      <c r="AG104" s="210">
        <f t="shared" si="74"/>
        <v>0.5</v>
      </c>
      <c r="AJ104" s="217" t="s">
        <v>504</v>
      </c>
      <c r="AL104" s="204"/>
      <c r="AM104" s="211"/>
      <c r="AN104" s="211"/>
      <c r="AO104" s="211"/>
    </row>
    <row r="105" spans="1:63" ht="15.5" outlineLevel="1" thickTop="1">
      <c r="A105" t="s">
        <v>469</v>
      </c>
      <c r="B105" s="51" t="s">
        <v>126</v>
      </c>
      <c r="C105" s="107">
        <v>1.6E-2</v>
      </c>
      <c r="D105" s="104">
        <f>$C105+($M105-$C105)/10*(D$1-$C$1)</f>
        <v>2.3701592497010131E-2</v>
      </c>
      <c r="E105" s="104">
        <f t="shared" ref="E105:L105" si="75">$C105+($M105-$C105)/10*(E$1-$C$1)</f>
        <v>3.1403184994020263E-2</v>
      </c>
      <c r="F105" s="104">
        <f t="shared" si="75"/>
        <v>3.9104777491030397E-2</v>
      </c>
      <c r="G105" s="104">
        <f t="shared" si="75"/>
        <v>4.6806369988040525E-2</v>
      </c>
      <c r="H105" s="104">
        <f t="shared" si="75"/>
        <v>5.4507962485050659E-2</v>
      </c>
      <c r="I105" s="104">
        <f t="shared" si="75"/>
        <v>6.2209554982060794E-2</v>
      </c>
      <c r="J105" s="104">
        <f t="shared" si="75"/>
        <v>6.9911147479070929E-2</v>
      </c>
      <c r="K105" s="104">
        <f t="shared" si="75"/>
        <v>7.7612739976081063E-2</v>
      </c>
      <c r="L105" s="104">
        <f t="shared" si="75"/>
        <v>8.5314332473091184E-2</v>
      </c>
      <c r="M105" s="115">
        <f>(M$50-$C$50)/($AG$50-$C$50)*($AG105-$C105)+$C105</f>
        <v>9.3015924970101319E-2</v>
      </c>
      <c r="N105" s="115">
        <f>$M105+($W105-$M105)/10*(N$1-$M$1)</f>
        <v>0.10769708566752688</v>
      </c>
      <c r="O105" s="115">
        <f t="shared" ref="O105:U105" si="76">$M105+($W105-$M105)/10*(O$1-$M$1)</f>
        <v>0.12237824636495245</v>
      </c>
      <c r="P105" s="115">
        <f t="shared" si="76"/>
        <v>0.13705940706237801</v>
      </c>
      <c r="Q105" s="115">
        <f t="shared" si="76"/>
        <v>0.15174056775980357</v>
      </c>
      <c r="R105" s="115">
        <f t="shared" si="76"/>
        <v>0.16642172845722913</v>
      </c>
      <c r="S105" s="115">
        <f t="shared" si="76"/>
        <v>0.18110288915465472</v>
      </c>
      <c r="T105" s="115">
        <f t="shared" si="76"/>
        <v>0.19578404985208028</v>
      </c>
      <c r="U105" s="115">
        <f t="shared" si="76"/>
        <v>0.21046521054950584</v>
      </c>
      <c r="V105" s="115">
        <f>$M105+($W105-$M105)/10*(V$1-$M$1)</f>
        <v>0.22514637124693143</v>
      </c>
      <c r="W105" s="115">
        <f>(W$50-$C$50)/($AG$50-$C$50)*($AG105-$C105)+$C105</f>
        <v>0.23982753194435696</v>
      </c>
      <c r="X105" s="22">
        <f t="shared" ref="X105:AF105" si="77">$W105+($AG105-$W105)/10*(X$1-$W$1)</f>
        <v>0.2658447787499213</v>
      </c>
      <c r="Y105" s="22">
        <f t="shared" si="77"/>
        <v>0.29186202555548557</v>
      </c>
      <c r="Z105" s="22">
        <f t="shared" si="77"/>
        <v>0.31787927236104985</v>
      </c>
      <c r="AA105" s="22">
        <f t="shared" si="77"/>
        <v>0.34389651916661418</v>
      </c>
      <c r="AB105" s="22">
        <f t="shared" si="77"/>
        <v>0.36991376597217851</v>
      </c>
      <c r="AC105" s="22">
        <f t="shared" si="77"/>
        <v>0.39593101277774279</v>
      </c>
      <c r="AD105" s="22">
        <f t="shared" si="77"/>
        <v>0.42194825958330706</v>
      </c>
      <c r="AE105" s="22">
        <f t="shared" si="77"/>
        <v>0.44796550638887139</v>
      </c>
      <c r="AF105" s="22">
        <f t="shared" si="77"/>
        <v>0.47398275319443572</v>
      </c>
      <c r="AG105" s="201">
        <v>0.5</v>
      </c>
      <c r="AJ105" s="198" t="s">
        <v>462</v>
      </c>
    </row>
    <row r="106" spans="1:63" outlineLevel="1">
      <c r="C106" s="107"/>
      <c r="D106" s="104"/>
      <c r="E106" s="104"/>
      <c r="F106" s="104"/>
      <c r="G106" s="104"/>
      <c r="H106" s="104"/>
      <c r="I106" s="104"/>
      <c r="J106" s="104"/>
      <c r="K106" s="104"/>
      <c r="L106" s="104"/>
      <c r="M106" s="115"/>
      <c r="N106" s="115"/>
      <c r="O106" s="115"/>
      <c r="P106" s="115"/>
      <c r="Q106" s="115"/>
      <c r="R106" s="115"/>
      <c r="S106" s="115"/>
      <c r="T106" s="115"/>
      <c r="U106" s="115"/>
      <c r="V106" s="115"/>
      <c r="W106" s="115"/>
      <c r="X106" s="22"/>
      <c r="Y106" s="22"/>
      <c r="Z106" s="22"/>
      <c r="AA106" s="22"/>
      <c r="AB106" s="22"/>
      <c r="AC106" s="22"/>
      <c r="AD106" s="22"/>
      <c r="AE106" s="22"/>
      <c r="AF106" s="22"/>
      <c r="AG106" s="100"/>
      <c r="AJ106" s="198"/>
    </row>
    <row r="107" spans="1:63" outlineLevel="1">
      <c r="A107" t="s">
        <v>505</v>
      </c>
      <c r="C107" s="216">
        <f>'Overall recycling rates'!D85</f>
        <v>0.88389060533328512</v>
      </c>
      <c r="D107" s="216">
        <f t="shared" ref="D107:AF107" si="78">C107-($C$107-$AG$107)/($AG$1-$C$1)</f>
        <v>0.8844275851555089</v>
      </c>
      <c r="E107" s="216">
        <f t="shared" si="78"/>
        <v>0.88496456497773268</v>
      </c>
      <c r="F107" s="216">
        <f t="shared" si="78"/>
        <v>0.88550154479995646</v>
      </c>
      <c r="G107" s="216">
        <f t="shared" si="78"/>
        <v>0.88603852462218025</v>
      </c>
      <c r="H107" s="216">
        <f t="shared" si="78"/>
        <v>0.88657550444440403</v>
      </c>
      <c r="I107" s="216">
        <f t="shared" si="78"/>
        <v>0.88711248426662781</v>
      </c>
      <c r="J107" s="216">
        <f t="shared" si="78"/>
        <v>0.88764946408885159</v>
      </c>
      <c r="K107" s="216">
        <f t="shared" si="78"/>
        <v>0.88818644391107537</v>
      </c>
      <c r="L107" s="216">
        <f t="shared" si="78"/>
        <v>0.88872342373329916</v>
      </c>
      <c r="M107" s="216">
        <f t="shared" si="78"/>
        <v>0.88926040355552294</v>
      </c>
      <c r="N107" s="216">
        <f t="shared" si="78"/>
        <v>0.88979738337774672</v>
      </c>
      <c r="O107" s="216">
        <f t="shared" si="78"/>
        <v>0.8903343631999705</v>
      </c>
      <c r="P107" s="216">
        <f t="shared" si="78"/>
        <v>0.89087134302219428</v>
      </c>
      <c r="Q107" s="216">
        <f t="shared" si="78"/>
        <v>0.89140832284441807</v>
      </c>
      <c r="R107" s="216">
        <f t="shared" si="78"/>
        <v>0.89194530266664185</v>
      </c>
      <c r="S107" s="216">
        <f t="shared" si="78"/>
        <v>0.89248228248886563</v>
      </c>
      <c r="T107" s="216">
        <f t="shared" si="78"/>
        <v>0.89301926231108941</v>
      </c>
      <c r="U107" s="216">
        <f t="shared" si="78"/>
        <v>0.89355624213331319</v>
      </c>
      <c r="V107" s="216">
        <f t="shared" si="78"/>
        <v>0.89409322195553698</v>
      </c>
      <c r="W107" s="216">
        <f t="shared" si="78"/>
        <v>0.89463020177776076</v>
      </c>
      <c r="X107" s="216">
        <f t="shared" si="78"/>
        <v>0.89516718159998454</v>
      </c>
      <c r="Y107" s="216">
        <f t="shared" si="78"/>
        <v>0.89570416142220832</v>
      </c>
      <c r="Z107" s="216">
        <f t="shared" si="78"/>
        <v>0.8962411412444321</v>
      </c>
      <c r="AA107" s="216">
        <f t="shared" si="78"/>
        <v>0.89677812106665589</v>
      </c>
      <c r="AB107" s="216">
        <f t="shared" si="78"/>
        <v>0.89731510088887967</v>
      </c>
      <c r="AC107" s="216">
        <f t="shared" si="78"/>
        <v>0.89785208071110345</v>
      </c>
      <c r="AD107" s="216">
        <f t="shared" si="78"/>
        <v>0.89838906053332723</v>
      </c>
      <c r="AE107" s="216">
        <f t="shared" si="78"/>
        <v>0.89892604035555101</v>
      </c>
      <c r="AF107" s="216">
        <f t="shared" si="78"/>
        <v>0.8994630201777748</v>
      </c>
      <c r="AG107" s="216">
        <f>'Overall recycling rates'!D94</f>
        <v>0.9</v>
      </c>
      <c r="AI107" s="126"/>
      <c r="AJ107" s="198" t="s">
        <v>521</v>
      </c>
      <c r="AL107" s="102"/>
      <c r="AM107" s="2"/>
      <c r="AN107" s="2"/>
      <c r="AO107" s="2"/>
      <c r="BC107" s="1"/>
      <c r="BD107" s="2"/>
      <c r="BE107" s="2"/>
      <c r="BF107" s="2"/>
      <c r="BG107" s="2"/>
      <c r="BH107" s="2"/>
      <c r="BI107" s="2"/>
      <c r="BJ107" s="2"/>
      <c r="BK107" s="2"/>
    </row>
    <row r="108" spans="1:63" outlineLevel="1">
      <c r="A108" t="s">
        <v>512</v>
      </c>
      <c r="B108" s="51" t="s">
        <v>126</v>
      </c>
      <c r="C108" s="104">
        <f>C105*C107</f>
        <v>1.4142249685332562E-2</v>
      </c>
      <c r="D108" s="104">
        <f t="shared" ref="D108:AG108" si="79">D105*D107</f>
        <v>2.09623422164706E-2</v>
      </c>
      <c r="E108" s="104">
        <f t="shared" si="79"/>
        <v>2.7790705947148404E-2</v>
      </c>
      <c r="F108" s="104">
        <f t="shared" si="79"/>
        <v>3.4627340877365985E-2</v>
      </c>
      <c r="G108" s="104">
        <f t="shared" si="79"/>
        <v>4.1472247007123327E-2</v>
      </c>
      <c r="H108" s="104">
        <f t="shared" si="79"/>
        <v>4.8325424336420439E-2</v>
      </c>
      <c r="I108" s="104">
        <f t="shared" si="79"/>
        <v>5.5186872865257322E-2</v>
      </c>
      <c r="J108" s="104">
        <f t="shared" si="79"/>
        <v>6.2056592593633976E-2</v>
      </c>
      <c r="K108" s="104">
        <f t="shared" si="79"/>
        <v>6.8934583521550394E-2</v>
      </c>
      <c r="L108" s="104">
        <f t="shared" si="79"/>
        <v>7.5820845649006582E-2</v>
      </c>
      <c r="M108" s="104">
        <f t="shared" si="79"/>
        <v>8.2715378976002535E-2</v>
      </c>
      <c r="N108" s="104">
        <f t="shared" si="79"/>
        <v>9.5828585024374441E-2</v>
      </c>
      <c r="O108" s="104">
        <f t="shared" si="79"/>
        <v>0.10895755804686905</v>
      </c>
      <c r="P108" s="104">
        <f t="shared" si="79"/>
        <v>0.12210229804348632</v>
      </c>
      <c r="Q108" s="104">
        <f t="shared" si="79"/>
        <v>0.13526280501422627</v>
      </c>
      <c r="R108" s="104">
        <f t="shared" si="79"/>
        <v>0.14843907895908892</v>
      </c>
      <c r="S108" s="104">
        <f t="shared" si="79"/>
        <v>0.16163111987807427</v>
      </c>
      <c r="T108" s="104">
        <f t="shared" si="79"/>
        <v>0.17483892777118229</v>
      </c>
      <c r="U108" s="104">
        <f t="shared" si="79"/>
        <v>0.18806250263841298</v>
      </c>
      <c r="V108" s="104">
        <f t="shared" si="79"/>
        <v>0.2013018444797664</v>
      </c>
      <c r="W108" s="104">
        <f t="shared" si="79"/>
        <v>0.21455695329524244</v>
      </c>
      <c r="X108" s="104">
        <f t="shared" si="79"/>
        <v>0.23797552133663852</v>
      </c>
      <c r="Y108" s="104">
        <f t="shared" si="79"/>
        <v>0.26142203085116333</v>
      </c>
      <c r="Z108" s="104">
        <f t="shared" si="79"/>
        <v>0.284896481838817</v>
      </c>
      <c r="AA108" s="104">
        <f t="shared" si="79"/>
        <v>0.3083988742995995</v>
      </c>
      <c r="AB108" s="104">
        <f t="shared" si="79"/>
        <v>0.3319292082335108</v>
      </c>
      <c r="AC108" s="104">
        <f t="shared" si="79"/>
        <v>0.35548748364055083</v>
      </c>
      <c r="AD108" s="104">
        <f t="shared" si="79"/>
        <v>0.3790737005207197</v>
      </c>
      <c r="AE108" s="104">
        <f t="shared" si="79"/>
        <v>0.40268785887401748</v>
      </c>
      <c r="AF108" s="104">
        <f t="shared" si="79"/>
        <v>0.42632995870044399</v>
      </c>
      <c r="AG108" s="104">
        <f t="shared" si="79"/>
        <v>0.45</v>
      </c>
      <c r="AJ108" s="198" t="s">
        <v>462</v>
      </c>
    </row>
    <row r="109" spans="1:63" outlineLevel="1">
      <c r="AJ109" s="198"/>
    </row>
    <row r="110" spans="1:63" s="187" customFormat="1" ht="15.5" thickBot="1">
      <c r="A110" s="187" t="s">
        <v>463</v>
      </c>
      <c r="B110" s="202"/>
      <c r="C110" s="210">
        <f>C111</f>
        <v>0.05</v>
      </c>
      <c r="D110" s="210">
        <f t="shared" ref="D110:AG110" si="80">D111</f>
        <v>5.2386857178825456E-2</v>
      </c>
      <c r="E110" s="210">
        <f t="shared" si="80"/>
        <v>5.477371435765091E-2</v>
      </c>
      <c r="F110" s="210">
        <f t="shared" si="80"/>
        <v>5.7160571536476371E-2</v>
      </c>
      <c r="G110" s="210">
        <f t="shared" si="80"/>
        <v>5.9547428715301824E-2</v>
      </c>
      <c r="H110" s="210">
        <f t="shared" si="80"/>
        <v>6.1934285894127278E-2</v>
      </c>
      <c r="I110" s="210">
        <f t="shared" si="80"/>
        <v>6.4321143072952724E-2</v>
      </c>
      <c r="J110" s="210">
        <f t="shared" si="80"/>
        <v>6.6708000251778185E-2</v>
      </c>
      <c r="K110" s="210">
        <f t="shared" si="80"/>
        <v>6.9094857430603646E-2</v>
      </c>
      <c r="L110" s="210">
        <f t="shared" si="80"/>
        <v>7.1481714609429092E-2</v>
      </c>
      <c r="M110" s="210">
        <f t="shared" si="80"/>
        <v>7.3868571788254553E-2</v>
      </c>
      <c r="N110" s="210">
        <f t="shared" si="80"/>
        <v>7.8418518285390579E-2</v>
      </c>
      <c r="O110" s="210">
        <f t="shared" si="80"/>
        <v>8.2968464782526605E-2</v>
      </c>
      <c r="P110" s="210">
        <f t="shared" si="80"/>
        <v>8.7518411279662617E-2</v>
      </c>
      <c r="Q110" s="210">
        <f t="shared" si="80"/>
        <v>9.2068357776798643E-2</v>
      </c>
      <c r="R110" s="210">
        <f t="shared" si="80"/>
        <v>9.6618304273934669E-2</v>
      </c>
      <c r="S110" s="210">
        <f t="shared" si="80"/>
        <v>0.10116825077107069</v>
      </c>
      <c r="T110" s="210">
        <f t="shared" si="80"/>
        <v>0.10571819726820672</v>
      </c>
      <c r="U110" s="210">
        <f t="shared" si="80"/>
        <v>0.11026814376534275</v>
      </c>
      <c r="V110" s="210">
        <f t="shared" si="80"/>
        <v>0.11481809026247877</v>
      </c>
      <c r="W110" s="210">
        <f t="shared" si="80"/>
        <v>0.11936803675961478</v>
      </c>
      <c r="X110" s="210">
        <f t="shared" si="80"/>
        <v>0.12743123308365331</v>
      </c>
      <c r="Y110" s="210">
        <f t="shared" si="80"/>
        <v>0.13549442940769182</v>
      </c>
      <c r="Z110" s="210">
        <f t="shared" si="80"/>
        <v>0.14355762573173037</v>
      </c>
      <c r="AA110" s="210">
        <f t="shared" si="80"/>
        <v>0.15162082205576888</v>
      </c>
      <c r="AB110" s="210">
        <f t="shared" si="80"/>
        <v>0.15968401837980739</v>
      </c>
      <c r="AC110" s="210">
        <f t="shared" si="80"/>
        <v>0.16774721470384593</v>
      </c>
      <c r="AD110" s="210">
        <f t="shared" si="80"/>
        <v>0.17581041102788444</v>
      </c>
      <c r="AE110" s="210">
        <f t="shared" si="80"/>
        <v>0.18387360735192299</v>
      </c>
      <c r="AF110" s="210">
        <f t="shared" si="80"/>
        <v>0.1919368036759615</v>
      </c>
      <c r="AG110" s="210">
        <f t="shared" si="80"/>
        <v>0.2</v>
      </c>
      <c r="AJ110" s="217" t="s">
        <v>472</v>
      </c>
      <c r="AL110" s="204"/>
      <c r="AM110" s="211"/>
      <c r="AN110" s="211"/>
      <c r="AO110" s="211"/>
    </row>
    <row r="111" spans="1:63" ht="15.5" outlineLevel="2" thickTop="1">
      <c r="A111" t="s">
        <v>464</v>
      </c>
      <c r="B111" s="51" t="s">
        <v>126</v>
      </c>
      <c r="C111" s="107">
        <v>0.05</v>
      </c>
      <c r="D111" s="104">
        <f>$C111+($M111-$C111)/10*(D$1-$C$1)</f>
        <v>5.2386857178825456E-2</v>
      </c>
      <c r="E111" s="104">
        <f t="shared" ref="E111:L111" si="81">$C111+($M111-$C111)/10*(E$1-$C$1)</f>
        <v>5.477371435765091E-2</v>
      </c>
      <c r="F111" s="104">
        <f t="shared" si="81"/>
        <v>5.7160571536476371E-2</v>
      </c>
      <c r="G111" s="104">
        <f t="shared" si="81"/>
        <v>5.9547428715301824E-2</v>
      </c>
      <c r="H111" s="104">
        <f t="shared" si="81"/>
        <v>6.1934285894127278E-2</v>
      </c>
      <c r="I111" s="104">
        <f t="shared" si="81"/>
        <v>6.4321143072952724E-2</v>
      </c>
      <c r="J111" s="104">
        <f t="shared" si="81"/>
        <v>6.6708000251778185E-2</v>
      </c>
      <c r="K111" s="104">
        <f t="shared" si="81"/>
        <v>6.9094857430603646E-2</v>
      </c>
      <c r="L111" s="104">
        <f t="shared" si="81"/>
        <v>7.1481714609429092E-2</v>
      </c>
      <c r="M111" s="115">
        <f>(M$50-$C$50)/($AG$50-$C$50)*($AG111-$C111)+$C111</f>
        <v>7.3868571788254553E-2</v>
      </c>
      <c r="N111" s="115">
        <f>$M111+($W111-$M111)/10*(N$1-$M$1)</f>
        <v>7.8418518285390579E-2</v>
      </c>
      <c r="O111" s="115">
        <f t="shared" ref="O111:U111" si="82">$M111+($W111-$M111)/10*(O$1-$M$1)</f>
        <v>8.2968464782526605E-2</v>
      </c>
      <c r="P111" s="115">
        <f t="shared" si="82"/>
        <v>8.7518411279662617E-2</v>
      </c>
      <c r="Q111" s="115">
        <f t="shared" si="82"/>
        <v>9.2068357776798643E-2</v>
      </c>
      <c r="R111" s="115">
        <f t="shared" si="82"/>
        <v>9.6618304273934669E-2</v>
      </c>
      <c r="S111" s="115">
        <f t="shared" si="82"/>
        <v>0.10116825077107069</v>
      </c>
      <c r="T111" s="115">
        <f t="shared" si="82"/>
        <v>0.10571819726820672</v>
      </c>
      <c r="U111" s="115">
        <f t="shared" si="82"/>
        <v>0.11026814376534275</v>
      </c>
      <c r="V111" s="115">
        <f>$M111+($W111-$M111)/10*(V$1-$M$1)</f>
        <v>0.11481809026247877</v>
      </c>
      <c r="W111" s="115">
        <f>(W$50-$C$50)/($AG$50-$C$50)*($AG111-$C111)+$C111</f>
        <v>0.11936803675961478</v>
      </c>
      <c r="X111" s="22">
        <f t="shared" ref="X111:AF111" si="83">$W111+($AG111-$W111)/10*(X$1-$W$1)</f>
        <v>0.12743123308365331</v>
      </c>
      <c r="Y111" s="22">
        <f t="shared" si="83"/>
        <v>0.13549442940769182</v>
      </c>
      <c r="Z111" s="22">
        <f t="shared" si="83"/>
        <v>0.14355762573173037</v>
      </c>
      <c r="AA111" s="22">
        <f t="shared" si="83"/>
        <v>0.15162082205576888</v>
      </c>
      <c r="AB111" s="22">
        <f t="shared" si="83"/>
        <v>0.15968401837980739</v>
      </c>
      <c r="AC111" s="22">
        <f t="shared" si="83"/>
        <v>0.16774721470384593</v>
      </c>
      <c r="AD111" s="22">
        <f t="shared" si="83"/>
        <v>0.17581041102788444</v>
      </c>
      <c r="AE111" s="22">
        <f t="shared" si="83"/>
        <v>0.18387360735192299</v>
      </c>
      <c r="AF111" s="22">
        <f t="shared" si="83"/>
        <v>0.1919368036759615</v>
      </c>
      <c r="AG111" s="201">
        <v>0.2</v>
      </c>
      <c r="AJ111" s="198" t="s">
        <v>465</v>
      </c>
    </row>
    <row r="112" spans="1:63" outlineLevel="2">
      <c r="C112" s="107"/>
      <c r="D112" s="104"/>
      <c r="E112" s="104"/>
      <c r="F112" s="104"/>
      <c r="G112" s="104"/>
      <c r="H112" s="104"/>
      <c r="I112" s="104"/>
      <c r="J112" s="104"/>
      <c r="K112" s="104"/>
      <c r="L112" s="104"/>
      <c r="M112" s="115"/>
      <c r="N112" s="115"/>
      <c r="O112" s="115"/>
      <c r="P112" s="115"/>
      <c r="Q112" s="115"/>
      <c r="R112" s="115"/>
      <c r="S112" s="115"/>
      <c r="T112" s="115"/>
      <c r="U112" s="115"/>
      <c r="V112" s="115"/>
      <c r="W112" s="115"/>
      <c r="X112" s="22"/>
      <c r="Y112" s="22"/>
      <c r="Z112" s="22"/>
      <c r="AA112" s="22"/>
      <c r="AB112" s="22"/>
      <c r="AC112" s="22"/>
      <c r="AD112" s="22"/>
      <c r="AE112" s="22"/>
      <c r="AF112" s="22"/>
      <c r="AG112" s="100"/>
      <c r="AJ112" s="198"/>
    </row>
    <row r="113" spans="1:41" outlineLevel="2">
      <c r="C113" s="107"/>
      <c r="D113" s="104"/>
      <c r="E113" s="104"/>
      <c r="F113" s="104"/>
      <c r="G113" s="104"/>
      <c r="H113" s="104"/>
      <c r="I113" s="104"/>
      <c r="J113" s="104"/>
      <c r="K113" s="104"/>
      <c r="L113" s="104"/>
      <c r="M113" s="115"/>
      <c r="N113" s="115"/>
      <c r="O113" s="115"/>
      <c r="P113" s="115"/>
      <c r="Q113" s="115"/>
      <c r="R113" s="115"/>
      <c r="S113" s="115"/>
      <c r="T113" s="115"/>
      <c r="U113" s="115"/>
      <c r="V113" s="115"/>
      <c r="W113" s="115"/>
      <c r="X113" s="22"/>
      <c r="Y113" s="22"/>
      <c r="Z113" s="22"/>
      <c r="AA113" s="22"/>
      <c r="AB113" s="22"/>
      <c r="AC113" s="22"/>
      <c r="AD113" s="22"/>
      <c r="AE113" s="22"/>
      <c r="AF113" s="22"/>
      <c r="AG113" s="100"/>
      <c r="AJ113" s="198"/>
    </row>
    <row r="114" spans="1:41" s="187" customFormat="1" ht="15.5" thickBot="1">
      <c r="A114" s="213" t="s">
        <v>513</v>
      </c>
      <c r="B114" s="214"/>
      <c r="C114" s="215">
        <f t="shared" ref="C114:AG114" si="84">(C42*C62+C43*C66+C45*C90+C44*C108+C46*C110)/C47</f>
        <v>5.5509281105375653E-2</v>
      </c>
      <c r="D114" s="215">
        <f t="shared" si="84"/>
        <v>5.9459422422486814E-2</v>
      </c>
      <c r="E114" s="215">
        <f t="shared" si="84"/>
        <v>6.3477145794159751E-2</v>
      </c>
      <c r="F114" s="215">
        <f t="shared" si="84"/>
        <v>6.7561875024803389E-2</v>
      </c>
      <c r="G114" s="215">
        <f t="shared" si="84"/>
        <v>7.1713028068862192E-2</v>
      </c>
      <c r="H114" s="215">
        <f t="shared" si="84"/>
        <v>7.5930016956385529E-2</v>
      </c>
      <c r="I114" s="215">
        <f t="shared" si="84"/>
        <v>8.0254545540657501E-2</v>
      </c>
      <c r="J114" s="215">
        <f t="shared" si="84"/>
        <v>8.4654648638845531E-2</v>
      </c>
      <c r="K114" s="215">
        <f t="shared" si="84"/>
        <v>8.9130409781201916E-2</v>
      </c>
      <c r="L114" s="215">
        <f t="shared" si="84"/>
        <v>9.3681914269719307E-2</v>
      </c>
      <c r="M114" s="215">
        <f t="shared" si="84"/>
        <v>9.8309249225355916E-2</v>
      </c>
      <c r="N114" s="215">
        <f t="shared" si="84"/>
        <v>0.10658643217753835</v>
      </c>
      <c r="O114" s="215">
        <f t="shared" si="84"/>
        <v>0.11502222066280771</v>
      </c>
      <c r="P114" s="215">
        <f t="shared" si="84"/>
        <v>0.12359585740696759</v>
      </c>
      <c r="Q114" s="215">
        <f t="shared" si="84"/>
        <v>0.13231567486737106</v>
      </c>
      <c r="R114" s="215">
        <f t="shared" si="84"/>
        <v>0.14118090310247097</v>
      </c>
      <c r="S114" s="215">
        <f t="shared" si="84"/>
        <v>0.15019074893391354</v>
      </c>
      <c r="T114" s="215">
        <f t="shared" si="84"/>
        <v>0.15934439501501557</v>
      </c>
      <c r="U114" s="215">
        <f t="shared" si="84"/>
        <v>0.16864099885481168</v>
      </c>
      <c r="V114" s="215">
        <f t="shared" si="84"/>
        <v>0.17807969179518021</v>
      </c>
      <c r="W114" s="215">
        <f t="shared" si="84"/>
        <v>0.1876595779383928</v>
      </c>
      <c r="X114" s="215">
        <f t="shared" si="84"/>
        <v>0.20289743297543567</v>
      </c>
      <c r="Y114" s="215">
        <f t="shared" si="84"/>
        <v>0.21851156754942799</v>
      </c>
      <c r="Z114" s="215">
        <f t="shared" si="84"/>
        <v>0.23432267253147571</v>
      </c>
      <c r="AA114" s="215">
        <f t="shared" si="84"/>
        <v>0.25035929905189108</v>
      </c>
      <c r="AB114" s="215">
        <f t="shared" si="84"/>
        <v>0.26662018848145397</v>
      </c>
      <c r="AC114" s="215">
        <f t="shared" si="84"/>
        <v>0.2831148849812129</v>
      </c>
      <c r="AD114" s="215">
        <f t="shared" si="84"/>
        <v>0.29983305669001753</v>
      </c>
      <c r="AE114" s="215">
        <f t="shared" si="84"/>
        <v>0.31677344091419068</v>
      </c>
      <c r="AF114" s="215">
        <f t="shared" si="84"/>
        <v>0.33393473389469913</v>
      </c>
      <c r="AG114" s="215">
        <f t="shared" si="84"/>
        <v>0.35131558830368065</v>
      </c>
      <c r="AJ114" s="217"/>
      <c r="AL114" s="204"/>
      <c r="AM114" s="211"/>
      <c r="AN114" s="211"/>
      <c r="AO114" s="211"/>
    </row>
    <row r="115" spans="1:41" s="187" customFormat="1" ht="16.25" thickTop="1" thickBot="1">
      <c r="A115" s="213" t="s">
        <v>467</v>
      </c>
      <c r="B115" s="214"/>
      <c r="C115" s="215">
        <f t="shared" ref="C115:AG115" si="85">(C11*C49+C66*C12+C14*C90+C104*C13+C110*C15)/C16</f>
        <v>0.10391498889855581</v>
      </c>
      <c r="D115" s="215">
        <f t="shared" si="85"/>
        <v>0.10923769390727826</v>
      </c>
      <c r="E115" s="215">
        <f t="shared" si="85"/>
        <v>0.11456039891600076</v>
      </c>
      <c r="F115" s="215">
        <f t="shared" si="85"/>
        <v>0.11988310392472323</v>
      </c>
      <c r="G115" s="215">
        <f t="shared" si="85"/>
        <v>0.12520580893344577</v>
      </c>
      <c r="H115" s="215">
        <f t="shared" si="85"/>
        <v>0.13052851394216822</v>
      </c>
      <c r="I115" s="215">
        <f t="shared" si="85"/>
        <v>0.13585121895089072</v>
      </c>
      <c r="J115" s="215">
        <f t="shared" si="85"/>
        <v>0.1411739239596132</v>
      </c>
      <c r="K115" s="215">
        <f t="shared" si="85"/>
        <v>0.14649662896833568</v>
      </c>
      <c r="L115" s="215">
        <f t="shared" si="85"/>
        <v>0.15181933397705816</v>
      </c>
      <c r="M115" s="215">
        <f t="shared" si="85"/>
        <v>0.15714203898578066</v>
      </c>
      <c r="N115" s="215">
        <f t="shared" si="85"/>
        <v>0.16797867316086407</v>
      </c>
      <c r="O115" s="215">
        <f t="shared" si="85"/>
        <v>0.1788153073359475</v>
      </c>
      <c r="P115" s="215">
        <f t="shared" si="85"/>
        <v>0.18965194151103085</v>
      </c>
      <c r="Q115" s="215">
        <f t="shared" si="85"/>
        <v>0.20048857568611428</v>
      </c>
      <c r="R115" s="215">
        <f t="shared" si="85"/>
        <v>0.21132520986119768</v>
      </c>
      <c r="S115" s="215">
        <f t="shared" si="85"/>
        <v>0.22216184403628111</v>
      </c>
      <c r="T115" s="215">
        <f t="shared" si="85"/>
        <v>0.23299847821136455</v>
      </c>
      <c r="U115" s="215">
        <f t="shared" si="85"/>
        <v>0.24383511238644792</v>
      </c>
      <c r="V115" s="215">
        <f t="shared" si="85"/>
        <v>0.25467174656153135</v>
      </c>
      <c r="W115" s="215">
        <f t="shared" si="85"/>
        <v>0.26550838073661476</v>
      </c>
      <c r="X115" s="215">
        <f t="shared" si="85"/>
        <v>0.28399781351132769</v>
      </c>
      <c r="Y115" s="215">
        <f t="shared" si="85"/>
        <v>0.30248724628604073</v>
      </c>
      <c r="Z115" s="215">
        <f t="shared" si="85"/>
        <v>0.32097667906075367</v>
      </c>
      <c r="AA115" s="215">
        <f t="shared" si="85"/>
        <v>0.3394661118354666</v>
      </c>
      <c r="AB115" s="215">
        <f t="shared" si="85"/>
        <v>0.35795554461017959</v>
      </c>
      <c r="AC115" s="215">
        <f t="shared" si="85"/>
        <v>0.37644497738489258</v>
      </c>
      <c r="AD115" s="215">
        <f t="shared" si="85"/>
        <v>0.39493441015960556</v>
      </c>
      <c r="AE115" s="215">
        <f t="shared" si="85"/>
        <v>0.41342384293431855</v>
      </c>
      <c r="AF115" s="215">
        <f t="shared" si="85"/>
        <v>0.43191327570903149</v>
      </c>
      <c r="AG115" s="215">
        <f t="shared" si="85"/>
        <v>0.45040270848374447</v>
      </c>
      <c r="AJ115" s="212"/>
      <c r="AL115" s="204"/>
      <c r="AM115" s="211"/>
      <c r="AN115" s="211"/>
      <c r="AO115" s="211"/>
    </row>
    <row r="116" spans="1:41" ht="15.5" thickTop="1">
      <c r="B116" s="123"/>
      <c r="C116" s="107"/>
      <c r="D116" s="22"/>
      <c r="E116" s="22"/>
      <c r="F116" s="22"/>
      <c r="G116" s="22"/>
      <c r="H116" s="22"/>
      <c r="I116" s="22"/>
      <c r="J116" s="22"/>
      <c r="K116" s="22"/>
      <c r="L116" s="22"/>
      <c r="M116" s="120"/>
      <c r="N116" s="104"/>
      <c r="O116" s="104"/>
      <c r="P116" s="104"/>
      <c r="Q116" s="104"/>
      <c r="R116" s="104"/>
      <c r="S116" s="104"/>
      <c r="T116" s="104"/>
      <c r="U116" s="104"/>
      <c r="V116" s="104"/>
      <c r="W116" s="120"/>
      <c r="X116" s="104"/>
      <c r="Y116" s="104"/>
      <c r="Z116" s="104"/>
      <c r="AA116" s="104"/>
      <c r="AB116" s="104"/>
      <c r="AC116" s="104"/>
      <c r="AD116" s="104"/>
      <c r="AE116" s="104"/>
      <c r="AF116" s="104"/>
      <c r="AG116" s="107"/>
    </row>
    <row r="117" spans="1:41" s="55" customFormat="1">
      <c r="A117" s="55" t="s">
        <v>703</v>
      </c>
      <c r="B117" s="282"/>
      <c r="C117" s="283"/>
      <c r="D117" s="283"/>
      <c r="E117" s="283"/>
      <c r="F117" s="283"/>
      <c r="G117" s="283"/>
      <c r="H117" s="283"/>
      <c r="I117" s="283"/>
      <c r="J117" s="283"/>
      <c r="K117" s="283"/>
      <c r="L117" s="283"/>
      <c r="M117" s="283"/>
      <c r="N117" s="283"/>
      <c r="O117" s="283"/>
      <c r="P117" s="283"/>
      <c r="Q117" s="283"/>
      <c r="R117" s="283"/>
      <c r="S117" s="283"/>
      <c r="T117" s="283"/>
      <c r="U117" s="283"/>
      <c r="V117" s="283"/>
      <c r="W117" s="283"/>
      <c r="X117" s="283"/>
      <c r="Y117" s="283"/>
      <c r="Z117" s="283"/>
      <c r="AA117" s="283"/>
      <c r="AB117" s="283"/>
      <c r="AC117" s="283"/>
      <c r="AD117" s="283"/>
      <c r="AE117" s="283"/>
      <c r="AF117" s="283"/>
      <c r="AG117" s="283"/>
      <c r="AI117" s="284"/>
      <c r="AJ117" s="285"/>
    </row>
    <row r="118" spans="1:41" s="178" customFormat="1" outlineLevel="1">
      <c r="A118" s="321" t="s">
        <v>706</v>
      </c>
      <c r="B118" s="297" t="s">
        <v>126</v>
      </c>
      <c r="C118" s="678">
        <v>0.84</v>
      </c>
      <c r="D118" s="298">
        <f>-($C118-$AG118)/30+C118</f>
        <v>0.83566666666666667</v>
      </c>
      <c r="E118" s="298">
        <f t="shared" ref="E118:AF124" si="86">-($C118-$AG118)/30+D118</f>
        <v>0.83133333333333337</v>
      </c>
      <c r="F118" s="298">
        <f t="shared" si="86"/>
        <v>0.82700000000000007</v>
      </c>
      <c r="G118" s="298">
        <f t="shared" si="86"/>
        <v>0.82266666666666677</v>
      </c>
      <c r="H118" s="298">
        <f t="shared" si="86"/>
        <v>0.81833333333333347</v>
      </c>
      <c r="I118" s="298">
        <f t="shared" si="86"/>
        <v>0.81400000000000017</v>
      </c>
      <c r="J118" s="298">
        <f t="shared" si="86"/>
        <v>0.80966666666666687</v>
      </c>
      <c r="K118" s="298">
        <f t="shared" si="86"/>
        <v>0.80533333333333357</v>
      </c>
      <c r="L118" s="298">
        <f t="shared" si="86"/>
        <v>0.80100000000000027</v>
      </c>
      <c r="M118" s="298">
        <f t="shared" si="86"/>
        <v>0.79666666666666697</v>
      </c>
      <c r="N118" s="298">
        <f t="shared" si="86"/>
        <v>0.79233333333333367</v>
      </c>
      <c r="O118" s="298">
        <f t="shared" si="86"/>
        <v>0.78800000000000037</v>
      </c>
      <c r="P118" s="298">
        <f t="shared" si="86"/>
        <v>0.78366666666666707</v>
      </c>
      <c r="Q118" s="298">
        <f t="shared" si="86"/>
        <v>0.77933333333333377</v>
      </c>
      <c r="R118" s="298">
        <f t="shared" si="86"/>
        <v>0.77500000000000047</v>
      </c>
      <c r="S118" s="298">
        <f t="shared" si="86"/>
        <v>0.77066666666666717</v>
      </c>
      <c r="T118" s="298">
        <f t="shared" si="86"/>
        <v>0.76633333333333387</v>
      </c>
      <c r="U118" s="298">
        <f t="shared" si="86"/>
        <v>0.76200000000000057</v>
      </c>
      <c r="V118" s="298">
        <f t="shared" si="86"/>
        <v>0.75766666666666727</v>
      </c>
      <c r="W118" s="298">
        <f t="shared" si="86"/>
        <v>0.75333333333333397</v>
      </c>
      <c r="X118" s="298">
        <f t="shared" si="86"/>
        <v>0.74900000000000067</v>
      </c>
      <c r="Y118" s="298">
        <f t="shared" si="86"/>
        <v>0.74466666666666737</v>
      </c>
      <c r="Z118" s="298">
        <f t="shared" si="86"/>
        <v>0.74033333333333406</v>
      </c>
      <c r="AA118" s="298">
        <f t="shared" si="86"/>
        <v>0.73600000000000076</v>
      </c>
      <c r="AB118" s="298">
        <f t="shared" si="86"/>
        <v>0.73166666666666746</v>
      </c>
      <c r="AC118" s="298">
        <f t="shared" si="86"/>
        <v>0.72733333333333416</v>
      </c>
      <c r="AD118" s="298">
        <f t="shared" si="86"/>
        <v>0.72300000000000086</v>
      </c>
      <c r="AE118" s="298">
        <f t="shared" si="86"/>
        <v>0.71866666666666756</v>
      </c>
      <c r="AF118" s="298">
        <f t="shared" si="86"/>
        <v>0.71433333333333426</v>
      </c>
      <c r="AG118" s="678">
        <v>0.71</v>
      </c>
      <c r="AI118" s="299"/>
      <c r="AJ118" t="s">
        <v>1614</v>
      </c>
    </row>
    <row r="119" spans="1:41" outlineLevel="1">
      <c r="A119" s="3" t="s">
        <v>698</v>
      </c>
      <c r="B119" s="281" t="s">
        <v>126</v>
      </c>
      <c r="C119" s="275">
        <v>0.16</v>
      </c>
      <c r="D119" s="296">
        <f t="shared" ref="D119:S124" si="87">-($C119-$AG119)/30+C119</f>
        <v>0.16206666666666666</v>
      </c>
      <c r="E119" s="296">
        <f t="shared" si="87"/>
        <v>0.16413333333333333</v>
      </c>
      <c r="F119" s="296">
        <f t="shared" si="87"/>
        <v>0.16619999999999999</v>
      </c>
      <c r="G119" s="296">
        <f t="shared" si="87"/>
        <v>0.16826666666666665</v>
      </c>
      <c r="H119" s="296">
        <f t="shared" si="87"/>
        <v>0.17033333333333331</v>
      </c>
      <c r="I119" s="296">
        <f t="shared" si="87"/>
        <v>0.17239999999999997</v>
      </c>
      <c r="J119" s="296">
        <f t="shared" si="87"/>
        <v>0.17446666666666663</v>
      </c>
      <c r="K119" s="296">
        <f t="shared" si="87"/>
        <v>0.17653333333333329</v>
      </c>
      <c r="L119" s="296">
        <f t="shared" si="87"/>
        <v>0.17859999999999995</v>
      </c>
      <c r="M119" s="296">
        <f t="shared" si="87"/>
        <v>0.18066666666666661</v>
      </c>
      <c r="N119" s="296">
        <f t="shared" si="87"/>
        <v>0.18273333333333328</v>
      </c>
      <c r="O119" s="296">
        <f t="shared" si="87"/>
        <v>0.18479999999999994</v>
      </c>
      <c r="P119" s="296">
        <f t="shared" si="87"/>
        <v>0.1868666666666666</v>
      </c>
      <c r="Q119" s="296">
        <f t="shared" si="87"/>
        <v>0.18893333333333326</v>
      </c>
      <c r="R119" s="296">
        <f t="shared" si="87"/>
        <v>0.19099999999999992</v>
      </c>
      <c r="S119" s="296">
        <f t="shared" si="87"/>
        <v>0.19306666666666658</v>
      </c>
      <c r="T119" s="296">
        <f t="shared" si="86"/>
        <v>0.19513333333333324</v>
      </c>
      <c r="U119" s="296">
        <f t="shared" si="86"/>
        <v>0.1971999999999999</v>
      </c>
      <c r="V119" s="296">
        <f t="shared" si="86"/>
        <v>0.19926666666666656</v>
      </c>
      <c r="W119" s="296">
        <f t="shared" si="86"/>
        <v>0.20133333333333323</v>
      </c>
      <c r="X119" s="296">
        <f t="shared" si="86"/>
        <v>0.20339999999999989</v>
      </c>
      <c r="Y119" s="296">
        <f t="shared" si="86"/>
        <v>0.20546666666666655</v>
      </c>
      <c r="Z119" s="296">
        <f t="shared" si="86"/>
        <v>0.20753333333333321</v>
      </c>
      <c r="AA119" s="296">
        <f t="shared" si="86"/>
        <v>0.20959999999999987</v>
      </c>
      <c r="AB119" s="296">
        <f t="shared" si="86"/>
        <v>0.21166666666666653</v>
      </c>
      <c r="AC119" s="296">
        <f t="shared" si="86"/>
        <v>0.21373333333333319</v>
      </c>
      <c r="AD119" s="296">
        <f t="shared" si="86"/>
        <v>0.21579999999999985</v>
      </c>
      <c r="AE119" s="296">
        <f t="shared" si="86"/>
        <v>0.21786666666666651</v>
      </c>
      <c r="AF119" s="296">
        <f t="shared" si="86"/>
        <v>0.21993333333333318</v>
      </c>
      <c r="AG119" s="275">
        <v>0.222</v>
      </c>
      <c r="AI119" s="201"/>
      <c r="AJ119" t="s">
        <v>1614</v>
      </c>
    </row>
    <row r="120" spans="1:41" outlineLevel="1">
      <c r="A120" s="3" t="s">
        <v>697</v>
      </c>
      <c r="B120" s="281" t="s">
        <v>126</v>
      </c>
      <c r="C120" s="275">
        <v>0.37</v>
      </c>
      <c r="D120" s="296">
        <f t="shared" si="87"/>
        <v>0.36270000000000002</v>
      </c>
      <c r="E120" s="296">
        <f t="shared" si="87"/>
        <v>0.35540000000000005</v>
      </c>
      <c r="F120" s="296">
        <f t="shared" si="87"/>
        <v>0.34810000000000008</v>
      </c>
      <c r="G120" s="296">
        <f t="shared" si="87"/>
        <v>0.3408000000000001</v>
      </c>
      <c r="H120" s="296">
        <f t="shared" si="87"/>
        <v>0.33350000000000013</v>
      </c>
      <c r="I120" s="296">
        <f t="shared" si="87"/>
        <v>0.32620000000000016</v>
      </c>
      <c r="J120" s="296">
        <f t="shared" si="87"/>
        <v>0.31890000000000018</v>
      </c>
      <c r="K120" s="296">
        <f t="shared" si="87"/>
        <v>0.31160000000000021</v>
      </c>
      <c r="L120" s="296">
        <f t="shared" si="87"/>
        <v>0.30430000000000024</v>
      </c>
      <c r="M120" s="296">
        <f t="shared" si="87"/>
        <v>0.29700000000000026</v>
      </c>
      <c r="N120" s="296">
        <f t="shared" si="87"/>
        <v>0.28970000000000029</v>
      </c>
      <c r="O120" s="296">
        <f t="shared" si="87"/>
        <v>0.28240000000000032</v>
      </c>
      <c r="P120" s="296">
        <f t="shared" si="87"/>
        <v>0.27510000000000034</v>
      </c>
      <c r="Q120" s="296">
        <f t="shared" si="87"/>
        <v>0.26780000000000037</v>
      </c>
      <c r="R120" s="296">
        <f t="shared" si="87"/>
        <v>0.2605000000000004</v>
      </c>
      <c r="S120" s="296">
        <f t="shared" si="87"/>
        <v>0.25320000000000042</v>
      </c>
      <c r="T120" s="296">
        <f t="shared" si="86"/>
        <v>0.24590000000000042</v>
      </c>
      <c r="U120" s="296">
        <f t="shared" si="86"/>
        <v>0.23860000000000042</v>
      </c>
      <c r="V120" s="296">
        <f t="shared" si="86"/>
        <v>0.23130000000000042</v>
      </c>
      <c r="W120" s="296">
        <f t="shared" si="86"/>
        <v>0.22400000000000042</v>
      </c>
      <c r="X120" s="296">
        <f t="shared" si="86"/>
        <v>0.21670000000000042</v>
      </c>
      <c r="Y120" s="296">
        <f t="shared" si="86"/>
        <v>0.20940000000000042</v>
      </c>
      <c r="Z120" s="296">
        <f t="shared" si="86"/>
        <v>0.20210000000000042</v>
      </c>
      <c r="AA120" s="296">
        <f t="shared" si="86"/>
        <v>0.19480000000000042</v>
      </c>
      <c r="AB120" s="296">
        <f t="shared" si="86"/>
        <v>0.18750000000000042</v>
      </c>
      <c r="AC120" s="296">
        <f t="shared" si="86"/>
        <v>0.18020000000000042</v>
      </c>
      <c r="AD120" s="296">
        <f t="shared" si="86"/>
        <v>0.17290000000000041</v>
      </c>
      <c r="AE120" s="296">
        <f t="shared" si="86"/>
        <v>0.16560000000000041</v>
      </c>
      <c r="AF120" s="296">
        <f t="shared" si="86"/>
        <v>0.15830000000000041</v>
      </c>
      <c r="AG120" s="275">
        <v>0.151</v>
      </c>
      <c r="AI120" s="201"/>
      <c r="AJ120" t="s">
        <v>1614</v>
      </c>
    </row>
    <row r="121" spans="1:41" outlineLevel="1">
      <c r="A121" s="3" t="s">
        <v>699</v>
      </c>
      <c r="B121" s="281" t="s">
        <v>126</v>
      </c>
      <c r="C121" s="275">
        <v>0.08</v>
      </c>
      <c r="D121" s="296">
        <f t="shared" si="87"/>
        <v>8.0100000000000005E-2</v>
      </c>
      <c r="E121" s="296">
        <f t="shared" si="87"/>
        <v>8.0200000000000007E-2</v>
      </c>
      <c r="F121" s="296">
        <f t="shared" si="87"/>
        <v>8.030000000000001E-2</v>
      </c>
      <c r="G121" s="296">
        <f t="shared" si="87"/>
        <v>8.0400000000000013E-2</v>
      </c>
      <c r="H121" s="296">
        <f t="shared" si="87"/>
        <v>8.0500000000000016E-2</v>
      </c>
      <c r="I121" s="296">
        <f t="shared" si="87"/>
        <v>8.0600000000000019E-2</v>
      </c>
      <c r="J121" s="296">
        <f t="shared" si="87"/>
        <v>8.0700000000000022E-2</v>
      </c>
      <c r="K121" s="296">
        <f t="shared" si="87"/>
        <v>8.0800000000000025E-2</v>
      </c>
      <c r="L121" s="296">
        <f t="shared" si="87"/>
        <v>8.0900000000000027E-2</v>
      </c>
      <c r="M121" s="296">
        <f t="shared" si="87"/>
        <v>8.100000000000003E-2</v>
      </c>
      <c r="N121" s="296">
        <f t="shared" si="87"/>
        <v>8.1100000000000033E-2</v>
      </c>
      <c r="O121" s="296">
        <f t="shared" si="87"/>
        <v>8.1200000000000036E-2</v>
      </c>
      <c r="P121" s="296">
        <f t="shared" si="87"/>
        <v>8.1300000000000039E-2</v>
      </c>
      <c r="Q121" s="296">
        <f t="shared" si="87"/>
        <v>8.1400000000000042E-2</v>
      </c>
      <c r="R121" s="296">
        <f t="shared" si="87"/>
        <v>8.1500000000000045E-2</v>
      </c>
      <c r="S121" s="296">
        <f t="shared" si="87"/>
        <v>8.1600000000000047E-2</v>
      </c>
      <c r="T121" s="296">
        <f t="shared" si="86"/>
        <v>8.170000000000005E-2</v>
      </c>
      <c r="U121" s="296">
        <f t="shared" si="86"/>
        <v>8.1800000000000053E-2</v>
      </c>
      <c r="V121" s="296">
        <f t="shared" si="86"/>
        <v>8.1900000000000056E-2</v>
      </c>
      <c r="W121" s="296">
        <f t="shared" si="86"/>
        <v>8.2000000000000059E-2</v>
      </c>
      <c r="X121" s="296">
        <f t="shared" si="86"/>
        <v>8.2100000000000062E-2</v>
      </c>
      <c r="Y121" s="296">
        <f t="shared" si="86"/>
        <v>8.2200000000000065E-2</v>
      </c>
      <c r="Z121" s="296">
        <f t="shared" si="86"/>
        <v>8.2300000000000068E-2</v>
      </c>
      <c r="AA121" s="296">
        <f t="shared" si="86"/>
        <v>8.240000000000007E-2</v>
      </c>
      <c r="AB121" s="296">
        <f t="shared" si="86"/>
        <v>8.2500000000000073E-2</v>
      </c>
      <c r="AC121" s="296">
        <f t="shared" si="86"/>
        <v>8.2600000000000076E-2</v>
      </c>
      <c r="AD121" s="296">
        <f t="shared" si="86"/>
        <v>8.2700000000000079E-2</v>
      </c>
      <c r="AE121" s="296">
        <f t="shared" si="86"/>
        <v>8.2800000000000082E-2</v>
      </c>
      <c r="AF121" s="296">
        <f t="shared" si="86"/>
        <v>8.2900000000000085E-2</v>
      </c>
      <c r="AG121" s="275">
        <v>8.3000000000000004E-2</v>
      </c>
      <c r="AI121" s="201"/>
      <c r="AJ121" t="s">
        <v>1614</v>
      </c>
    </row>
    <row r="122" spans="1:41" outlineLevel="1">
      <c r="A122" s="3" t="s">
        <v>700</v>
      </c>
      <c r="B122" s="281" t="s">
        <v>126</v>
      </c>
      <c r="C122" s="275">
        <v>0.27</v>
      </c>
      <c r="D122" s="296">
        <f t="shared" si="87"/>
        <v>0.27313333333333334</v>
      </c>
      <c r="E122" s="296">
        <f t="shared" si="87"/>
        <v>0.27626666666666666</v>
      </c>
      <c r="F122" s="296">
        <f t="shared" si="87"/>
        <v>0.27939999999999998</v>
      </c>
      <c r="G122" s="296">
        <f t="shared" si="87"/>
        <v>0.2825333333333333</v>
      </c>
      <c r="H122" s="296">
        <f t="shared" si="87"/>
        <v>0.28566666666666662</v>
      </c>
      <c r="I122" s="296">
        <f t="shared" si="87"/>
        <v>0.28879999999999995</v>
      </c>
      <c r="J122" s="296">
        <f t="shared" si="87"/>
        <v>0.29193333333333327</v>
      </c>
      <c r="K122" s="296">
        <f t="shared" si="87"/>
        <v>0.29506666666666659</v>
      </c>
      <c r="L122" s="296">
        <f t="shared" si="87"/>
        <v>0.29819999999999991</v>
      </c>
      <c r="M122" s="296">
        <f t="shared" si="87"/>
        <v>0.30133333333333323</v>
      </c>
      <c r="N122" s="296">
        <f t="shared" si="87"/>
        <v>0.30446666666666655</v>
      </c>
      <c r="O122" s="296">
        <f t="shared" si="87"/>
        <v>0.30759999999999987</v>
      </c>
      <c r="P122" s="296">
        <f t="shared" si="87"/>
        <v>0.31073333333333319</v>
      </c>
      <c r="Q122" s="296">
        <f t="shared" si="87"/>
        <v>0.31386666666666652</v>
      </c>
      <c r="R122" s="296">
        <f t="shared" si="87"/>
        <v>0.31699999999999984</v>
      </c>
      <c r="S122" s="296">
        <f t="shared" si="87"/>
        <v>0.32013333333333316</v>
      </c>
      <c r="T122" s="296">
        <f t="shared" si="86"/>
        <v>0.32326666666666648</v>
      </c>
      <c r="U122" s="296">
        <f t="shared" si="86"/>
        <v>0.3263999999999998</v>
      </c>
      <c r="V122" s="296">
        <f t="shared" si="86"/>
        <v>0.32953333333333312</v>
      </c>
      <c r="W122" s="296">
        <f t="shared" si="86"/>
        <v>0.33266666666666644</v>
      </c>
      <c r="X122" s="296">
        <f t="shared" si="86"/>
        <v>0.33579999999999977</v>
      </c>
      <c r="Y122" s="296">
        <f t="shared" si="86"/>
        <v>0.33893333333333309</v>
      </c>
      <c r="Z122" s="296">
        <f t="shared" si="86"/>
        <v>0.34206666666666641</v>
      </c>
      <c r="AA122" s="296">
        <f t="shared" si="86"/>
        <v>0.34519999999999973</v>
      </c>
      <c r="AB122" s="296">
        <f t="shared" si="86"/>
        <v>0.34833333333333305</v>
      </c>
      <c r="AC122" s="296">
        <f t="shared" si="86"/>
        <v>0.35146666666666637</v>
      </c>
      <c r="AD122" s="296">
        <f t="shared" si="86"/>
        <v>0.35459999999999969</v>
      </c>
      <c r="AE122" s="296">
        <f t="shared" si="86"/>
        <v>0.35773333333333301</v>
      </c>
      <c r="AF122" s="296">
        <f t="shared" si="86"/>
        <v>0.36086666666666634</v>
      </c>
      <c r="AG122" s="275">
        <v>0.36399999999999999</v>
      </c>
      <c r="AI122" s="201"/>
      <c r="AJ122" t="s">
        <v>1614</v>
      </c>
    </row>
    <row r="123" spans="1:41" outlineLevel="1">
      <c r="A123" s="3" t="s">
        <v>701</v>
      </c>
      <c r="B123" s="281" t="s">
        <v>126</v>
      </c>
      <c r="C123" s="275">
        <v>7.0000000000000007E-2</v>
      </c>
      <c r="D123" s="296">
        <f t="shared" si="87"/>
        <v>7.1266666666666673E-2</v>
      </c>
      <c r="E123" s="296">
        <f t="shared" si="87"/>
        <v>7.2533333333333339E-2</v>
      </c>
      <c r="F123" s="296">
        <f t="shared" si="87"/>
        <v>7.3800000000000004E-2</v>
      </c>
      <c r="G123" s="296">
        <f t="shared" si="87"/>
        <v>7.506666666666667E-2</v>
      </c>
      <c r="H123" s="296">
        <f t="shared" si="87"/>
        <v>7.6333333333333336E-2</v>
      </c>
      <c r="I123" s="296">
        <f t="shared" si="87"/>
        <v>7.7600000000000002E-2</v>
      </c>
      <c r="J123" s="296">
        <f t="shared" si="87"/>
        <v>7.8866666666666668E-2</v>
      </c>
      <c r="K123" s="296">
        <f t="shared" si="87"/>
        <v>8.0133333333333334E-2</v>
      </c>
      <c r="L123" s="296">
        <f t="shared" si="87"/>
        <v>8.14E-2</v>
      </c>
      <c r="M123" s="296">
        <f t="shared" si="87"/>
        <v>8.2666666666666666E-2</v>
      </c>
      <c r="N123" s="296">
        <f t="shared" si="87"/>
        <v>8.3933333333333332E-2</v>
      </c>
      <c r="O123" s="296">
        <f t="shared" si="87"/>
        <v>8.5199999999999998E-2</v>
      </c>
      <c r="P123" s="296">
        <f t="shared" si="87"/>
        <v>8.6466666666666664E-2</v>
      </c>
      <c r="Q123" s="296">
        <f t="shared" si="87"/>
        <v>8.773333333333333E-2</v>
      </c>
      <c r="R123" s="296">
        <f t="shared" si="87"/>
        <v>8.8999999999999996E-2</v>
      </c>
      <c r="S123" s="296">
        <f t="shared" si="87"/>
        <v>9.0266666666666662E-2</v>
      </c>
      <c r="T123" s="296">
        <f t="shared" si="86"/>
        <v>9.1533333333333328E-2</v>
      </c>
      <c r="U123" s="296">
        <f t="shared" si="86"/>
        <v>9.2799999999999994E-2</v>
      </c>
      <c r="V123" s="296">
        <f t="shared" si="86"/>
        <v>9.406666666666666E-2</v>
      </c>
      <c r="W123" s="296">
        <f t="shared" si="86"/>
        <v>9.5333333333333325E-2</v>
      </c>
      <c r="X123" s="296">
        <f t="shared" si="86"/>
        <v>9.6599999999999991E-2</v>
      </c>
      <c r="Y123" s="296">
        <f t="shared" si="86"/>
        <v>9.7866666666666657E-2</v>
      </c>
      <c r="Z123" s="296">
        <f t="shared" si="86"/>
        <v>9.9133333333333323E-2</v>
      </c>
      <c r="AA123" s="296">
        <f t="shared" si="86"/>
        <v>0.10039999999999999</v>
      </c>
      <c r="AB123" s="296">
        <f t="shared" si="86"/>
        <v>0.10166666666666666</v>
      </c>
      <c r="AC123" s="296">
        <f t="shared" si="86"/>
        <v>0.10293333333333332</v>
      </c>
      <c r="AD123" s="296">
        <f t="shared" si="86"/>
        <v>0.10419999999999999</v>
      </c>
      <c r="AE123" s="296">
        <f t="shared" si="86"/>
        <v>0.10546666666666665</v>
      </c>
      <c r="AF123" s="296">
        <f t="shared" si="86"/>
        <v>0.10673333333333332</v>
      </c>
      <c r="AG123" s="275">
        <v>0.108</v>
      </c>
      <c r="AI123" s="201"/>
      <c r="AJ123" t="s">
        <v>1614</v>
      </c>
    </row>
    <row r="124" spans="1:41" outlineLevel="1">
      <c r="A124" s="3" t="s">
        <v>702</v>
      </c>
      <c r="B124" s="281" t="s">
        <v>126</v>
      </c>
      <c r="C124" s="275">
        <v>0.05</v>
      </c>
      <c r="D124" s="296">
        <f t="shared" si="87"/>
        <v>5.0733333333333339E-2</v>
      </c>
      <c r="E124" s="296">
        <f t="shared" si="87"/>
        <v>5.1466666666666674E-2</v>
      </c>
      <c r="F124" s="296">
        <f t="shared" si="87"/>
        <v>5.220000000000001E-2</v>
      </c>
      <c r="G124" s="296">
        <f t="shared" si="87"/>
        <v>5.2933333333333346E-2</v>
      </c>
      <c r="H124" s="296">
        <f t="shared" si="87"/>
        <v>5.3666666666666682E-2</v>
      </c>
      <c r="I124" s="296">
        <f t="shared" si="87"/>
        <v>5.4400000000000018E-2</v>
      </c>
      <c r="J124" s="296">
        <f t="shared" si="87"/>
        <v>5.5133333333333354E-2</v>
      </c>
      <c r="K124" s="296">
        <f t="shared" si="87"/>
        <v>5.5866666666666689E-2</v>
      </c>
      <c r="L124" s="296">
        <f t="shared" si="87"/>
        <v>5.6600000000000025E-2</v>
      </c>
      <c r="M124" s="296">
        <f t="shared" si="87"/>
        <v>5.7333333333333361E-2</v>
      </c>
      <c r="N124" s="296">
        <f t="shared" si="87"/>
        <v>5.8066666666666697E-2</v>
      </c>
      <c r="O124" s="296">
        <f t="shared" si="87"/>
        <v>5.8800000000000033E-2</v>
      </c>
      <c r="P124" s="296">
        <f t="shared" si="87"/>
        <v>5.9533333333333369E-2</v>
      </c>
      <c r="Q124" s="296">
        <f t="shared" si="87"/>
        <v>6.0266666666666704E-2</v>
      </c>
      <c r="R124" s="296">
        <f t="shared" si="87"/>
        <v>6.100000000000004E-2</v>
      </c>
      <c r="S124" s="296">
        <f t="shared" si="87"/>
        <v>6.1733333333333376E-2</v>
      </c>
      <c r="T124" s="296">
        <f t="shared" si="86"/>
        <v>6.2466666666666712E-2</v>
      </c>
      <c r="U124" s="296">
        <f t="shared" si="86"/>
        <v>6.3200000000000048E-2</v>
      </c>
      <c r="V124" s="296">
        <f t="shared" si="86"/>
        <v>6.3933333333333384E-2</v>
      </c>
      <c r="W124" s="296">
        <f t="shared" si="86"/>
        <v>6.4666666666666719E-2</v>
      </c>
      <c r="X124" s="296">
        <f t="shared" si="86"/>
        <v>6.5400000000000055E-2</v>
      </c>
      <c r="Y124" s="296">
        <f t="shared" si="86"/>
        <v>6.6133333333333391E-2</v>
      </c>
      <c r="Z124" s="296">
        <f t="shared" si="86"/>
        <v>6.6866666666666727E-2</v>
      </c>
      <c r="AA124" s="296">
        <f t="shared" si="86"/>
        <v>6.7600000000000063E-2</v>
      </c>
      <c r="AB124" s="296">
        <f t="shared" si="86"/>
        <v>6.8333333333333399E-2</v>
      </c>
      <c r="AC124" s="296">
        <f t="shared" si="86"/>
        <v>6.9066666666666734E-2</v>
      </c>
      <c r="AD124" s="296">
        <f t="shared" si="86"/>
        <v>6.980000000000007E-2</v>
      </c>
      <c r="AE124" s="296">
        <f t="shared" si="86"/>
        <v>7.0533333333333406E-2</v>
      </c>
      <c r="AF124" s="296">
        <f t="shared" si="86"/>
        <v>7.1266666666666742E-2</v>
      </c>
      <c r="AG124" s="275">
        <v>7.1999999999999995E-2</v>
      </c>
      <c r="AI124" s="201"/>
      <c r="AJ124" t="s">
        <v>1614</v>
      </c>
    </row>
    <row r="125" spans="1:41" s="55" customFormat="1" outlineLevel="1">
      <c r="A125" s="285" t="s">
        <v>704</v>
      </c>
      <c r="B125" s="282"/>
      <c r="C125" s="283"/>
      <c r="D125" s="283"/>
      <c r="E125" s="283"/>
      <c r="F125" s="283"/>
      <c r="G125" s="283"/>
      <c r="H125" s="283"/>
      <c r="I125" s="283"/>
      <c r="J125" s="283"/>
      <c r="K125" s="283"/>
      <c r="L125" s="283"/>
      <c r="M125" s="283"/>
      <c r="N125" s="283"/>
      <c r="O125" s="283"/>
      <c r="P125" s="283"/>
      <c r="Q125" s="283"/>
      <c r="R125" s="283"/>
      <c r="S125" s="283"/>
      <c r="T125" s="283"/>
      <c r="U125" s="283"/>
      <c r="V125" s="283"/>
      <c r="W125" s="283"/>
      <c r="X125" s="283"/>
      <c r="Y125" s="283"/>
      <c r="Z125" s="283"/>
      <c r="AA125" s="283"/>
      <c r="AB125" s="283"/>
      <c r="AC125" s="283"/>
      <c r="AD125" s="283"/>
      <c r="AE125" s="283"/>
      <c r="AF125" s="283"/>
      <c r="AG125" s="283"/>
      <c r="AI125" s="284"/>
      <c r="AJ125" s="285"/>
    </row>
    <row r="126" spans="1:41" s="55" customFormat="1" outlineLevel="1">
      <c r="A126" s="286" t="s">
        <v>732</v>
      </c>
      <c r="B126" s="287" t="s">
        <v>126</v>
      </c>
      <c r="C126" s="314">
        <v>0.84</v>
      </c>
      <c r="D126" s="315">
        <f>-($C126-$AG126)/30+C126</f>
        <v>0.84399999999999997</v>
      </c>
      <c r="E126" s="315">
        <f t="shared" ref="E126:AF127" si="88">-($C126-$AG126)/30+D126</f>
        <v>0.84799999999999998</v>
      </c>
      <c r="F126" s="315">
        <f t="shared" si="88"/>
        <v>0.85199999999999998</v>
      </c>
      <c r="G126" s="315">
        <f t="shared" si="88"/>
        <v>0.85599999999999998</v>
      </c>
      <c r="H126" s="315">
        <f t="shared" si="88"/>
        <v>0.86</v>
      </c>
      <c r="I126" s="315">
        <f t="shared" si="88"/>
        <v>0.86399999999999999</v>
      </c>
      <c r="J126" s="315">
        <f t="shared" si="88"/>
        <v>0.86799999999999999</v>
      </c>
      <c r="K126" s="315">
        <f t="shared" si="88"/>
        <v>0.872</v>
      </c>
      <c r="L126" s="315">
        <f t="shared" si="88"/>
        <v>0.876</v>
      </c>
      <c r="M126" s="315">
        <f t="shared" si="88"/>
        <v>0.88</v>
      </c>
      <c r="N126" s="315">
        <f t="shared" si="88"/>
        <v>0.88400000000000001</v>
      </c>
      <c r="O126" s="315">
        <f t="shared" si="88"/>
        <v>0.88800000000000001</v>
      </c>
      <c r="P126" s="315">
        <f t="shared" si="88"/>
        <v>0.89200000000000002</v>
      </c>
      <c r="Q126" s="315">
        <f t="shared" si="88"/>
        <v>0.89600000000000002</v>
      </c>
      <c r="R126" s="315">
        <f t="shared" si="88"/>
        <v>0.9</v>
      </c>
      <c r="S126" s="315">
        <f t="shared" si="88"/>
        <v>0.90400000000000003</v>
      </c>
      <c r="T126" s="315">
        <f t="shared" si="88"/>
        <v>0.90800000000000003</v>
      </c>
      <c r="U126" s="315">
        <f t="shared" si="88"/>
        <v>0.91200000000000003</v>
      </c>
      <c r="V126" s="315">
        <f t="shared" si="88"/>
        <v>0.91600000000000004</v>
      </c>
      <c r="W126" s="315">
        <f t="shared" si="88"/>
        <v>0.92</v>
      </c>
      <c r="X126" s="315">
        <f t="shared" si="88"/>
        <v>0.92400000000000004</v>
      </c>
      <c r="Y126" s="315">
        <f t="shared" si="88"/>
        <v>0.92800000000000005</v>
      </c>
      <c r="Z126" s="315">
        <f t="shared" si="88"/>
        <v>0.93200000000000005</v>
      </c>
      <c r="AA126" s="315">
        <f t="shared" si="88"/>
        <v>0.93600000000000005</v>
      </c>
      <c r="AB126" s="315">
        <f t="shared" si="88"/>
        <v>0.94000000000000006</v>
      </c>
      <c r="AC126" s="315">
        <f t="shared" si="88"/>
        <v>0.94400000000000006</v>
      </c>
      <c r="AD126" s="315">
        <f t="shared" si="88"/>
        <v>0.94800000000000006</v>
      </c>
      <c r="AE126" s="315">
        <f t="shared" si="88"/>
        <v>0.95200000000000007</v>
      </c>
      <c r="AF126" s="315">
        <f t="shared" si="88"/>
        <v>0.95600000000000007</v>
      </c>
      <c r="AG126" s="314">
        <v>0.96</v>
      </c>
      <c r="AI126" s="284"/>
      <c r="AJ126" s="316" t="s">
        <v>1614</v>
      </c>
    </row>
    <row r="127" spans="1:41" s="55" customFormat="1" outlineLevel="1">
      <c r="A127" s="286" t="s">
        <v>743</v>
      </c>
      <c r="B127" s="287" t="s">
        <v>126</v>
      </c>
      <c r="C127" s="314">
        <v>0.22</v>
      </c>
      <c r="D127" s="315">
        <f>-($C127-$AG127)/30+C127</f>
        <v>0.22666666666666666</v>
      </c>
      <c r="E127" s="315">
        <f t="shared" si="88"/>
        <v>0.23333333333333331</v>
      </c>
      <c r="F127" s="315">
        <f t="shared" si="88"/>
        <v>0.23999999999999996</v>
      </c>
      <c r="G127" s="315">
        <f t="shared" si="88"/>
        <v>0.24666666666666662</v>
      </c>
      <c r="H127" s="315">
        <f t="shared" si="88"/>
        <v>0.2533333333333333</v>
      </c>
      <c r="I127" s="315">
        <f t="shared" si="88"/>
        <v>0.25999999999999995</v>
      </c>
      <c r="J127" s="315">
        <f t="shared" si="88"/>
        <v>0.26666666666666661</v>
      </c>
      <c r="K127" s="315">
        <f t="shared" si="88"/>
        <v>0.27333333333333326</v>
      </c>
      <c r="L127" s="315">
        <f t="shared" si="88"/>
        <v>0.27999999999999992</v>
      </c>
      <c r="M127" s="315">
        <f t="shared" si="88"/>
        <v>0.28666666666666657</v>
      </c>
      <c r="N127" s="315">
        <f t="shared" si="88"/>
        <v>0.29333333333333322</v>
      </c>
      <c r="O127" s="315">
        <f t="shared" si="88"/>
        <v>0.29999999999999988</v>
      </c>
      <c r="P127" s="315">
        <f t="shared" si="88"/>
        <v>0.30666666666666653</v>
      </c>
      <c r="Q127" s="315">
        <f t="shared" si="88"/>
        <v>0.31333333333333319</v>
      </c>
      <c r="R127" s="315">
        <f t="shared" si="88"/>
        <v>0.31999999999999984</v>
      </c>
      <c r="S127" s="315">
        <f t="shared" si="88"/>
        <v>0.32666666666666649</v>
      </c>
      <c r="T127" s="315">
        <f t="shared" si="88"/>
        <v>0.33333333333333315</v>
      </c>
      <c r="U127" s="315">
        <f t="shared" si="88"/>
        <v>0.3399999999999998</v>
      </c>
      <c r="V127" s="315">
        <f t="shared" si="88"/>
        <v>0.34666666666666646</v>
      </c>
      <c r="W127" s="315">
        <f t="shared" si="88"/>
        <v>0.35333333333333311</v>
      </c>
      <c r="X127" s="315">
        <f t="shared" si="88"/>
        <v>0.35999999999999976</v>
      </c>
      <c r="Y127" s="315">
        <f t="shared" si="88"/>
        <v>0.36666666666666642</v>
      </c>
      <c r="Z127" s="315">
        <f t="shared" si="88"/>
        <v>0.37333333333333307</v>
      </c>
      <c r="AA127" s="315">
        <f t="shared" si="88"/>
        <v>0.37999999999999973</v>
      </c>
      <c r="AB127" s="315">
        <f t="shared" si="88"/>
        <v>0.38666666666666638</v>
      </c>
      <c r="AC127" s="315">
        <f t="shared" si="88"/>
        <v>0.39333333333333304</v>
      </c>
      <c r="AD127" s="315">
        <f t="shared" si="88"/>
        <v>0.39999999999999969</v>
      </c>
      <c r="AE127" s="315">
        <f t="shared" si="88"/>
        <v>0.40666666666666634</v>
      </c>
      <c r="AF127" s="315">
        <f t="shared" si="88"/>
        <v>0.413333333333333</v>
      </c>
      <c r="AG127" s="314">
        <v>0.42</v>
      </c>
      <c r="AI127" s="284"/>
      <c r="AJ127" s="316" t="s">
        <v>1614</v>
      </c>
    </row>
    <row r="128" spans="1:41" s="59" customFormat="1" outlineLevel="1">
      <c r="A128" s="290" t="s">
        <v>744</v>
      </c>
      <c r="B128" s="291" t="s">
        <v>126</v>
      </c>
      <c r="C128" s="317">
        <f>1-C127</f>
        <v>0.78</v>
      </c>
      <c r="D128" s="317">
        <f t="shared" ref="D128:AG128" si="89">1-D127</f>
        <v>0.77333333333333332</v>
      </c>
      <c r="E128" s="317">
        <f t="shared" si="89"/>
        <v>0.76666666666666672</v>
      </c>
      <c r="F128" s="317">
        <f t="shared" si="89"/>
        <v>0.76</v>
      </c>
      <c r="G128" s="317">
        <f t="shared" si="89"/>
        <v>0.75333333333333341</v>
      </c>
      <c r="H128" s="317">
        <f t="shared" si="89"/>
        <v>0.7466666666666667</v>
      </c>
      <c r="I128" s="317">
        <f t="shared" si="89"/>
        <v>0.74</v>
      </c>
      <c r="J128" s="317">
        <f t="shared" si="89"/>
        <v>0.73333333333333339</v>
      </c>
      <c r="K128" s="317">
        <f t="shared" si="89"/>
        <v>0.72666666666666679</v>
      </c>
      <c r="L128" s="317">
        <f t="shared" si="89"/>
        <v>0.72000000000000008</v>
      </c>
      <c r="M128" s="317">
        <f t="shared" si="89"/>
        <v>0.71333333333333337</v>
      </c>
      <c r="N128" s="317">
        <f t="shared" si="89"/>
        <v>0.70666666666666678</v>
      </c>
      <c r="O128" s="317">
        <f t="shared" si="89"/>
        <v>0.70000000000000018</v>
      </c>
      <c r="P128" s="317">
        <f t="shared" si="89"/>
        <v>0.69333333333333347</v>
      </c>
      <c r="Q128" s="317">
        <f t="shared" si="89"/>
        <v>0.68666666666666676</v>
      </c>
      <c r="R128" s="317">
        <f t="shared" si="89"/>
        <v>0.68000000000000016</v>
      </c>
      <c r="S128" s="317">
        <f t="shared" si="89"/>
        <v>0.67333333333333356</v>
      </c>
      <c r="T128" s="317">
        <f t="shared" si="89"/>
        <v>0.66666666666666685</v>
      </c>
      <c r="U128" s="317">
        <f t="shared" si="89"/>
        <v>0.66000000000000014</v>
      </c>
      <c r="V128" s="317">
        <f t="shared" si="89"/>
        <v>0.65333333333333354</v>
      </c>
      <c r="W128" s="317">
        <f t="shared" si="89"/>
        <v>0.64666666666666694</v>
      </c>
      <c r="X128" s="317">
        <f t="shared" si="89"/>
        <v>0.64000000000000024</v>
      </c>
      <c r="Y128" s="317">
        <f t="shared" si="89"/>
        <v>0.63333333333333353</v>
      </c>
      <c r="Z128" s="317">
        <f t="shared" si="89"/>
        <v>0.62666666666666693</v>
      </c>
      <c r="AA128" s="317">
        <f t="shared" si="89"/>
        <v>0.62000000000000033</v>
      </c>
      <c r="AB128" s="317">
        <f t="shared" si="89"/>
        <v>0.61333333333333362</v>
      </c>
      <c r="AC128" s="317">
        <f t="shared" si="89"/>
        <v>0.60666666666666691</v>
      </c>
      <c r="AD128" s="317">
        <f t="shared" si="89"/>
        <v>0.60000000000000031</v>
      </c>
      <c r="AE128" s="317">
        <f t="shared" si="89"/>
        <v>0.59333333333333371</v>
      </c>
      <c r="AF128" s="317">
        <f t="shared" si="89"/>
        <v>0.586666666666667</v>
      </c>
      <c r="AG128" s="317">
        <f t="shared" si="89"/>
        <v>0.58000000000000007</v>
      </c>
      <c r="AI128" s="319"/>
      <c r="AJ128" s="318" t="s">
        <v>1614</v>
      </c>
    </row>
    <row r="129" spans="1:36" s="1" customFormat="1" outlineLevel="1">
      <c r="A129" t="s">
        <v>725</v>
      </c>
      <c r="B129" s="281" t="s">
        <v>126</v>
      </c>
      <c r="C129" s="275">
        <v>0.85</v>
      </c>
      <c r="D129" s="296">
        <f t="shared" ref="D129:S144" si="90">-($C129-$AG129)/30+C129</f>
        <v>0.84833333333333327</v>
      </c>
      <c r="E129" s="296">
        <f t="shared" si="90"/>
        <v>0.84666666666666657</v>
      </c>
      <c r="F129" s="296">
        <f t="shared" si="90"/>
        <v>0.84499999999999986</v>
      </c>
      <c r="G129" s="296">
        <f t="shared" si="90"/>
        <v>0.84333333333333316</v>
      </c>
      <c r="H129" s="296">
        <f t="shared" si="90"/>
        <v>0.84166666666666645</v>
      </c>
      <c r="I129" s="296">
        <f t="shared" si="90"/>
        <v>0.83999999999999975</v>
      </c>
      <c r="J129" s="296">
        <f t="shared" si="90"/>
        <v>0.83833333333333304</v>
      </c>
      <c r="K129" s="296">
        <f t="shared" si="90"/>
        <v>0.83666666666666634</v>
      </c>
      <c r="L129" s="296">
        <f t="shared" si="90"/>
        <v>0.83499999999999963</v>
      </c>
      <c r="M129" s="296">
        <f t="shared" si="90"/>
        <v>0.83333333333333293</v>
      </c>
      <c r="N129" s="296">
        <f t="shared" si="90"/>
        <v>0.83166666666666622</v>
      </c>
      <c r="O129" s="296">
        <f t="shared" si="90"/>
        <v>0.82999999999999952</v>
      </c>
      <c r="P129" s="296">
        <f t="shared" si="90"/>
        <v>0.82833333333333281</v>
      </c>
      <c r="Q129" s="296">
        <f t="shared" si="90"/>
        <v>0.82666666666666611</v>
      </c>
      <c r="R129" s="296">
        <f t="shared" si="90"/>
        <v>0.8249999999999994</v>
      </c>
      <c r="S129" s="296">
        <f t="shared" si="90"/>
        <v>0.8233333333333327</v>
      </c>
      <c r="T129" s="296">
        <f t="shared" ref="T129:AF143" si="91">-($C129-$AG129)/30+S129</f>
        <v>0.82166666666666599</v>
      </c>
      <c r="U129" s="296">
        <f t="shared" si="91"/>
        <v>0.81999999999999929</v>
      </c>
      <c r="V129" s="296">
        <f t="shared" si="91"/>
        <v>0.81833333333333258</v>
      </c>
      <c r="W129" s="296">
        <f t="shared" si="91"/>
        <v>0.81666666666666587</v>
      </c>
      <c r="X129" s="296">
        <f t="shared" si="91"/>
        <v>0.81499999999999917</v>
      </c>
      <c r="Y129" s="296">
        <f t="shared" si="91"/>
        <v>0.81333333333333246</v>
      </c>
      <c r="Z129" s="296">
        <f t="shared" si="91"/>
        <v>0.81166666666666576</v>
      </c>
      <c r="AA129" s="296">
        <f t="shared" si="91"/>
        <v>0.80999999999999905</v>
      </c>
      <c r="AB129" s="296">
        <f t="shared" si="91"/>
        <v>0.80833333333333235</v>
      </c>
      <c r="AC129" s="296">
        <f t="shared" si="91"/>
        <v>0.80666666666666564</v>
      </c>
      <c r="AD129" s="296">
        <f t="shared" si="91"/>
        <v>0.80499999999999894</v>
      </c>
      <c r="AE129" s="296">
        <f t="shared" si="91"/>
        <v>0.80333333333333223</v>
      </c>
      <c r="AF129" s="296">
        <f t="shared" si="91"/>
        <v>0.80166666666666553</v>
      </c>
      <c r="AG129" s="275">
        <v>0.8</v>
      </c>
      <c r="AI129" s="295"/>
      <c r="AJ129" s="198" t="s">
        <v>1614</v>
      </c>
    </row>
    <row r="130" spans="1:36" s="1" customFormat="1" outlineLevel="1">
      <c r="A130" t="s">
        <v>731</v>
      </c>
      <c r="B130" s="281" t="s">
        <v>126</v>
      </c>
      <c r="C130" s="275">
        <v>0.15</v>
      </c>
      <c r="D130" s="296">
        <f t="shared" si="90"/>
        <v>0.15166666666666667</v>
      </c>
      <c r="E130" s="296">
        <f t="shared" si="90"/>
        <v>0.15333333333333335</v>
      </c>
      <c r="F130" s="296">
        <f t="shared" si="90"/>
        <v>0.15500000000000003</v>
      </c>
      <c r="G130" s="296">
        <f t="shared" si="90"/>
        <v>0.1566666666666667</v>
      </c>
      <c r="H130" s="296">
        <f t="shared" si="90"/>
        <v>0.15833333333333338</v>
      </c>
      <c r="I130" s="296">
        <f t="shared" si="90"/>
        <v>0.16000000000000006</v>
      </c>
      <c r="J130" s="296">
        <f t="shared" si="90"/>
        <v>0.16166666666666674</v>
      </c>
      <c r="K130" s="296">
        <f t="shared" si="90"/>
        <v>0.16333333333333341</v>
      </c>
      <c r="L130" s="296">
        <f t="shared" si="90"/>
        <v>0.16500000000000009</v>
      </c>
      <c r="M130" s="296">
        <f t="shared" si="90"/>
        <v>0.16666666666666677</v>
      </c>
      <c r="N130" s="296">
        <f t="shared" si="90"/>
        <v>0.16833333333333345</v>
      </c>
      <c r="O130" s="296">
        <f t="shared" si="90"/>
        <v>0.17000000000000012</v>
      </c>
      <c r="P130" s="296">
        <f t="shared" si="90"/>
        <v>0.1716666666666668</v>
      </c>
      <c r="Q130" s="296">
        <f t="shared" si="90"/>
        <v>0.17333333333333348</v>
      </c>
      <c r="R130" s="296">
        <f t="shared" si="90"/>
        <v>0.17500000000000016</v>
      </c>
      <c r="S130" s="296">
        <f t="shared" si="90"/>
        <v>0.17666666666666683</v>
      </c>
      <c r="T130" s="296">
        <f t="shared" si="91"/>
        <v>0.17833333333333351</v>
      </c>
      <c r="U130" s="296">
        <f t="shared" si="91"/>
        <v>0.18000000000000019</v>
      </c>
      <c r="V130" s="296">
        <f t="shared" si="91"/>
        <v>0.18166666666666687</v>
      </c>
      <c r="W130" s="296">
        <f t="shared" si="91"/>
        <v>0.18333333333333354</v>
      </c>
      <c r="X130" s="296">
        <f t="shared" si="91"/>
        <v>0.18500000000000022</v>
      </c>
      <c r="Y130" s="296">
        <f t="shared" si="91"/>
        <v>0.1866666666666669</v>
      </c>
      <c r="Z130" s="296">
        <f t="shared" si="91"/>
        <v>0.18833333333333357</v>
      </c>
      <c r="AA130" s="296">
        <f t="shared" si="91"/>
        <v>0.19000000000000025</v>
      </c>
      <c r="AB130" s="296">
        <f t="shared" si="91"/>
        <v>0.19166666666666693</v>
      </c>
      <c r="AC130" s="296">
        <f t="shared" si="91"/>
        <v>0.19333333333333361</v>
      </c>
      <c r="AD130" s="296">
        <f t="shared" si="91"/>
        <v>0.19500000000000028</v>
      </c>
      <c r="AE130" s="296">
        <f t="shared" si="91"/>
        <v>0.19666666666666696</v>
      </c>
      <c r="AF130" s="296">
        <f t="shared" si="91"/>
        <v>0.19833333333333364</v>
      </c>
      <c r="AG130" s="275">
        <v>0.2</v>
      </c>
      <c r="AI130" s="410" t="s">
        <v>858</v>
      </c>
      <c r="AJ130" s="198" t="s">
        <v>1614</v>
      </c>
    </row>
    <row r="131" spans="1:36" s="1" customFormat="1" outlineLevel="1">
      <c r="A131" t="s">
        <v>726</v>
      </c>
      <c r="B131" s="281" t="s">
        <v>126</v>
      </c>
      <c r="C131" s="275">
        <v>0.15</v>
      </c>
      <c r="D131" s="296">
        <f t="shared" si="90"/>
        <v>0.15633333333333332</v>
      </c>
      <c r="E131" s="296">
        <f t="shared" si="90"/>
        <v>0.16266666666666665</v>
      </c>
      <c r="F131" s="296">
        <f t="shared" si="90"/>
        <v>0.16899999999999998</v>
      </c>
      <c r="G131" s="296">
        <f t="shared" si="90"/>
        <v>0.17533333333333331</v>
      </c>
      <c r="H131" s="296">
        <f t="shared" si="90"/>
        <v>0.18166666666666664</v>
      </c>
      <c r="I131" s="296">
        <f t="shared" si="90"/>
        <v>0.18799999999999997</v>
      </c>
      <c r="J131" s="296">
        <f t="shared" si="90"/>
        <v>0.1943333333333333</v>
      </c>
      <c r="K131" s="296">
        <f t="shared" si="90"/>
        <v>0.20066666666666663</v>
      </c>
      <c r="L131" s="296">
        <f t="shared" si="90"/>
        <v>0.20699999999999996</v>
      </c>
      <c r="M131" s="296">
        <f t="shared" si="90"/>
        <v>0.21333333333333329</v>
      </c>
      <c r="N131" s="296">
        <f t="shared" si="90"/>
        <v>0.21966666666666662</v>
      </c>
      <c r="O131" s="296">
        <f t="shared" si="90"/>
        <v>0.22599999999999995</v>
      </c>
      <c r="P131" s="296">
        <f t="shared" si="90"/>
        <v>0.23233333333333328</v>
      </c>
      <c r="Q131" s="296">
        <f t="shared" si="90"/>
        <v>0.23866666666666661</v>
      </c>
      <c r="R131" s="296">
        <f t="shared" si="90"/>
        <v>0.24499999999999994</v>
      </c>
      <c r="S131" s="296">
        <f t="shared" si="90"/>
        <v>0.2513333333333333</v>
      </c>
      <c r="T131" s="296">
        <f t="shared" si="91"/>
        <v>0.25766666666666665</v>
      </c>
      <c r="U131" s="296">
        <f t="shared" si="91"/>
        <v>0.26400000000000001</v>
      </c>
      <c r="V131" s="296">
        <f t="shared" si="91"/>
        <v>0.27033333333333337</v>
      </c>
      <c r="W131" s="296">
        <f t="shared" si="91"/>
        <v>0.27666666666666673</v>
      </c>
      <c r="X131" s="296">
        <f t="shared" si="91"/>
        <v>0.28300000000000008</v>
      </c>
      <c r="Y131" s="296">
        <f t="shared" si="91"/>
        <v>0.28933333333333344</v>
      </c>
      <c r="Z131" s="296">
        <f t="shared" si="91"/>
        <v>0.2956666666666668</v>
      </c>
      <c r="AA131" s="296">
        <f t="shared" si="91"/>
        <v>0.30200000000000016</v>
      </c>
      <c r="AB131" s="296">
        <f t="shared" si="91"/>
        <v>0.30833333333333351</v>
      </c>
      <c r="AC131" s="296">
        <f t="shared" si="91"/>
        <v>0.31466666666666687</v>
      </c>
      <c r="AD131" s="296">
        <f t="shared" si="91"/>
        <v>0.32100000000000023</v>
      </c>
      <c r="AE131" s="296">
        <f t="shared" si="91"/>
        <v>0.32733333333333359</v>
      </c>
      <c r="AF131" s="296">
        <f t="shared" si="91"/>
        <v>0.33366666666666694</v>
      </c>
      <c r="AG131" s="275">
        <v>0.34</v>
      </c>
      <c r="AI131" s="295"/>
      <c r="AJ131" s="198" t="s">
        <v>1614</v>
      </c>
    </row>
    <row r="132" spans="1:36" s="1" customFormat="1" outlineLevel="1">
      <c r="A132" t="s">
        <v>727</v>
      </c>
      <c r="B132" s="281" t="s">
        <v>126</v>
      </c>
      <c r="C132" s="275">
        <v>0.85</v>
      </c>
      <c r="D132" s="296">
        <f t="shared" si="90"/>
        <v>0.84366666666666668</v>
      </c>
      <c r="E132" s="296">
        <f t="shared" si="90"/>
        <v>0.83733333333333337</v>
      </c>
      <c r="F132" s="296">
        <f t="shared" si="90"/>
        <v>0.83100000000000007</v>
      </c>
      <c r="G132" s="296">
        <f t="shared" si="90"/>
        <v>0.82466666666666677</v>
      </c>
      <c r="H132" s="296">
        <f t="shared" si="90"/>
        <v>0.81833333333333347</v>
      </c>
      <c r="I132" s="296">
        <f t="shared" si="90"/>
        <v>0.81200000000000017</v>
      </c>
      <c r="J132" s="296">
        <f t="shared" si="90"/>
        <v>0.80566666666666686</v>
      </c>
      <c r="K132" s="296">
        <f t="shared" si="90"/>
        <v>0.79933333333333356</v>
      </c>
      <c r="L132" s="296">
        <f t="shared" si="90"/>
        <v>0.79300000000000026</v>
      </c>
      <c r="M132" s="296">
        <f t="shared" si="90"/>
        <v>0.78666666666666696</v>
      </c>
      <c r="N132" s="296">
        <f t="shared" si="90"/>
        <v>0.78033333333333366</v>
      </c>
      <c r="O132" s="296">
        <f t="shared" si="90"/>
        <v>0.77400000000000035</v>
      </c>
      <c r="P132" s="296">
        <f t="shared" si="90"/>
        <v>0.76766666666666705</v>
      </c>
      <c r="Q132" s="296">
        <f t="shared" si="90"/>
        <v>0.76133333333333375</v>
      </c>
      <c r="R132" s="296">
        <f t="shared" si="90"/>
        <v>0.75500000000000045</v>
      </c>
      <c r="S132" s="296">
        <f t="shared" si="90"/>
        <v>0.74866666666666715</v>
      </c>
      <c r="T132" s="296">
        <f t="shared" si="91"/>
        <v>0.74233333333333384</v>
      </c>
      <c r="U132" s="296">
        <f t="shared" si="91"/>
        <v>0.73600000000000054</v>
      </c>
      <c r="V132" s="296">
        <f t="shared" si="91"/>
        <v>0.72966666666666724</v>
      </c>
      <c r="W132" s="296">
        <f t="shared" si="91"/>
        <v>0.72333333333333394</v>
      </c>
      <c r="X132" s="296">
        <f t="shared" si="91"/>
        <v>0.71700000000000064</v>
      </c>
      <c r="Y132" s="296">
        <f t="shared" si="91"/>
        <v>0.71066666666666733</v>
      </c>
      <c r="Z132" s="296">
        <f t="shared" si="91"/>
        <v>0.70433333333333403</v>
      </c>
      <c r="AA132" s="296">
        <f t="shared" si="91"/>
        <v>0.69800000000000073</v>
      </c>
      <c r="AB132" s="296">
        <f t="shared" si="91"/>
        <v>0.69166666666666743</v>
      </c>
      <c r="AC132" s="296">
        <f t="shared" si="91"/>
        <v>0.68533333333333413</v>
      </c>
      <c r="AD132" s="296">
        <f t="shared" si="91"/>
        <v>0.67900000000000083</v>
      </c>
      <c r="AE132" s="296">
        <f t="shared" si="91"/>
        <v>0.67266666666666752</v>
      </c>
      <c r="AF132" s="296">
        <f t="shared" si="91"/>
        <v>0.66633333333333422</v>
      </c>
      <c r="AG132" s="275">
        <v>0.66</v>
      </c>
      <c r="AI132" s="295"/>
      <c r="AJ132" s="198" t="s">
        <v>1614</v>
      </c>
    </row>
    <row r="133" spans="1:36" s="1" customFormat="1" outlineLevel="1">
      <c r="A133" t="s">
        <v>730</v>
      </c>
      <c r="B133" s="281" t="s">
        <v>126</v>
      </c>
      <c r="C133" s="275">
        <v>0</v>
      </c>
      <c r="D133" s="296">
        <f t="shared" si="90"/>
        <v>0</v>
      </c>
      <c r="E133" s="296">
        <f t="shared" si="90"/>
        <v>0</v>
      </c>
      <c r="F133" s="296">
        <f t="shared" si="90"/>
        <v>0</v>
      </c>
      <c r="G133" s="296">
        <f t="shared" si="90"/>
        <v>0</v>
      </c>
      <c r="H133" s="296">
        <f t="shared" si="90"/>
        <v>0</v>
      </c>
      <c r="I133" s="296">
        <f t="shared" si="90"/>
        <v>0</v>
      </c>
      <c r="J133" s="296">
        <f t="shared" si="90"/>
        <v>0</v>
      </c>
      <c r="K133" s="296">
        <f t="shared" si="90"/>
        <v>0</v>
      </c>
      <c r="L133" s="296">
        <f t="shared" si="90"/>
        <v>0</v>
      </c>
      <c r="M133" s="296">
        <f t="shared" si="90"/>
        <v>0</v>
      </c>
      <c r="N133" s="296">
        <f t="shared" si="90"/>
        <v>0</v>
      </c>
      <c r="O133" s="296">
        <f t="shared" si="90"/>
        <v>0</v>
      </c>
      <c r="P133" s="296">
        <f t="shared" si="90"/>
        <v>0</v>
      </c>
      <c r="Q133" s="296">
        <f t="shared" si="90"/>
        <v>0</v>
      </c>
      <c r="R133" s="296">
        <f t="shared" si="90"/>
        <v>0</v>
      </c>
      <c r="S133" s="296">
        <f t="shared" si="90"/>
        <v>0</v>
      </c>
      <c r="T133" s="296">
        <f t="shared" si="91"/>
        <v>0</v>
      </c>
      <c r="U133" s="296">
        <f t="shared" si="91"/>
        <v>0</v>
      </c>
      <c r="V133" s="296">
        <f t="shared" si="91"/>
        <v>0</v>
      </c>
      <c r="W133" s="296">
        <f t="shared" si="91"/>
        <v>0</v>
      </c>
      <c r="X133" s="296">
        <f t="shared" si="91"/>
        <v>0</v>
      </c>
      <c r="Y133" s="296">
        <f t="shared" si="91"/>
        <v>0</v>
      </c>
      <c r="Z133" s="296">
        <f t="shared" si="91"/>
        <v>0</v>
      </c>
      <c r="AA133" s="296">
        <f t="shared" si="91"/>
        <v>0</v>
      </c>
      <c r="AB133" s="296">
        <f t="shared" si="91"/>
        <v>0</v>
      </c>
      <c r="AC133" s="296">
        <f t="shared" si="91"/>
        <v>0</v>
      </c>
      <c r="AD133" s="296">
        <f t="shared" si="91"/>
        <v>0</v>
      </c>
      <c r="AE133" s="296">
        <f t="shared" si="91"/>
        <v>0</v>
      </c>
      <c r="AF133" s="296">
        <f t="shared" si="91"/>
        <v>0</v>
      </c>
      <c r="AG133" s="275">
        <v>0</v>
      </c>
      <c r="AI133" s="295"/>
      <c r="AJ133" s="198" t="s">
        <v>1615</v>
      </c>
    </row>
    <row r="134" spans="1:36" s="1" customFormat="1" outlineLevel="1">
      <c r="A134" t="s">
        <v>741</v>
      </c>
      <c r="B134" s="281" t="s">
        <v>126</v>
      </c>
      <c r="C134" s="275">
        <v>1</v>
      </c>
      <c r="D134" s="296">
        <f t="shared" si="90"/>
        <v>1</v>
      </c>
      <c r="E134" s="296">
        <f t="shared" si="90"/>
        <v>1</v>
      </c>
      <c r="F134" s="296">
        <f t="shared" si="90"/>
        <v>1</v>
      </c>
      <c r="G134" s="296">
        <f t="shared" si="90"/>
        <v>1</v>
      </c>
      <c r="H134" s="296">
        <f t="shared" si="90"/>
        <v>1</v>
      </c>
      <c r="I134" s="296">
        <f t="shared" si="90"/>
        <v>1</v>
      </c>
      <c r="J134" s="296">
        <f t="shared" si="90"/>
        <v>1</v>
      </c>
      <c r="K134" s="296">
        <f t="shared" si="90"/>
        <v>1</v>
      </c>
      <c r="L134" s="296">
        <f t="shared" si="90"/>
        <v>1</v>
      </c>
      <c r="M134" s="296">
        <f t="shared" si="90"/>
        <v>1</v>
      </c>
      <c r="N134" s="296">
        <f t="shared" si="90"/>
        <v>1</v>
      </c>
      <c r="O134" s="296">
        <f t="shared" si="90"/>
        <v>1</v>
      </c>
      <c r="P134" s="296">
        <f t="shared" si="90"/>
        <v>1</v>
      </c>
      <c r="Q134" s="296">
        <f t="shared" si="90"/>
        <v>1</v>
      </c>
      <c r="R134" s="296">
        <f t="shared" si="90"/>
        <v>1</v>
      </c>
      <c r="S134" s="296">
        <f t="shared" si="90"/>
        <v>1</v>
      </c>
      <c r="T134" s="296">
        <f t="shared" si="91"/>
        <v>1</v>
      </c>
      <c r="U134" s="296">
        <f t="shared" si="91"/>
        <v>1</v>
      </c>
      <c r="V134" s="296">
        <f t="shared" si="91"/>
        <v>1</v>
      </c>
      <c r="W134" s="296">
        <f t="shared" si="91"/>
        <v>1</v>
      </c>
      <c r="X134" s="296">
        <f t="shared" si="91"/>
        <v>1</v>
      </c>
      <c r="Y134" s="296">
        <f t="shared" si="91"/>
        <v>1</v>
      </c>
      <c r="Z134" s="296">
        <f t="shared" si="91"/>
        <v>1</v>
      </c>
      <c r="AA134" s="296">
        <f t="shared" si="91"/>
        <v>1</v>
      </c>
      <c r="AB134" s="296">
        <f t="shared" si="91"/>
        <v>1</v>
      </c>
      <c r="AC134" s="296">
        <f t="shared" si="91"/>
        <v>1</v>
      </c>
      <c r="AD134" s="296">
        <f t="shared" si="91"/>
        <v>1</v>
      </c>
      <c r="AE134" s="296">
        <f t="shared" si="91"/>
        <v>1</v>
      </c>
      <c r="AF134" s="296">
        <f t="shared" si="91"/>
        <v>1</v>
      </c>
      <c r="AG134" s="275">
        <v>1</v>
      </c>
      <c r="AI134" s="295"/>
      <c r="AJ134" s="198" t="s">
        <v>1616</v>
      </c>
    </row>
    <row r="135" spans="1:36" s="1" customFormat="1" outlineLevel="1">
      <c r="A135" t="s">
        <v>728</v>
      </c>
      <c r="B135" s="281" t="s">
        <v>126</v>
      </c>
      <c r="C135" s="275">
        <v>0.8</v>
      </c>
      <c r="D135" s="296">
        <f t="shared" si="90"/>
        <v>0.80333333333333334</v>
      </c>
      <c r="E135" s="296">
        <f t="shared" si="90"/>
        <v>0.80666666666666664</v>
      </c>
      <c r="F135" s="296">
        <f t="shared" si="90"/>
        <v>0.80999999999999994</v>
      </c>
      <c r="G135" s="296">
        <f t="shared" si="90"/>
        <v>0.81333333333333324</v>
      </c>
      <c r="H135" s="296">
        <f t="shared" si="90"/>
        <v>0.81666666666666654</v>
      </c>
      <c r="I135" s="296">
        <f t="shared" si="90"/>
        <v>0.81999999999999984</v>
      </c>
      <c r="J135" s="296">
        <f t="shared" si="90"/>
        <v>0.82333333333333314</v>
      </c>
      <c r="K135" s="296">
        <f t="shared" si="90"/>
        <v>0.82666666666666644</v>
      </c>
      <c r="L135" s="296">
        <f t="shared" si="90"/>
        <v>0.82999999999999974</v>
      </c>
      <c r="M135" s="296">
        <f t="shared" si="90"/>
        <v>0.83333333333333304</v>
      </c>
      <c r="N135" s="296">
        <f t="shared" si="90"/>
        <v>0.83666666666666634</v>
      </c>
      <c r="O135" s="296">
        <f t="shared" si="90"/>
        <v>0.83999999999999964</v>
      </c>
      <c r="P135" s="296">
        <f t="shared" si="90"/>
        <v>0.84333333333333294</v>
      </c>
      <c r="Q135" s="296">
        <f t="shared" si="90"/>
        <v>0.84666666666666623</v>
      </c>
      <c r="R135" s="296">
        <f t="shared" si="90"/>
        <v>0.84999999999999953</v>
      </c>
      <c r="S135" s="296">
        <f t="shared" si="90"/>
        <v>0.85333333333333283</v>
      </c>
      <c r="T135" s="296">
        <f t="shared" si="91"/>
        <v>0.85666666666666613</v>
      </c>
      <c r="U135" s="296">
        <f t="shared" si="91"/>
        <v>0.85999999999999943</v>
      </c>
      <c r="V135" s="296">
        <f t="shared" si="91"/>
        <v>0.86333333333333273</v>
      </c>
      <c r="W135" s="296">
        <f t="shared" si="91"/>
        <v>0.86666666666666603</v>
      </c>
      <c r="X135" s="296">
        <f t="shared" si="91"/>
        <v>0.86999999999999933</v>
      </c>
      <c r="Y135" s="296">
        <f t="shared" si="91"/>
        <v>0.87333333333333263</v>
      </c>
      <c r="Z135" s="296">
        <f t="shared" si="91"/>
        <v>0.87666666666666593</v>
      </c>
      <c r="AA135" s="296">
        <f t="shared" si="91"/>
        <v>0.87999999999999923</v>
      </c>
      <c r="AB135" s="296">
        <f t="shared" si="91"/>
        <v>0.88333333333333253</v>
      </c>
      <c r="AC135" s="296">
        <f t="shared" si="91"/>
        <v>0.88666666666666583</v>
      </c>
      <c r="AD135" s="296">
        <f t="shared" si="91"/>
        <v>0.88999999999999913</v>
      </c>
      <c r="AE135" s="296">
        <f t="shared" si="91"/>
        <v>0.89333333333333242</v>
      </c>
      <c r="AF135" s="296">
        <f t="shared" si="91"/>
        <v>0.89666666666666572</v>
      </c>
      <c r="AG135" s="275">
        <v>0.9</v>
      </c>
      <c r="AI135" s="295"/>
      <c r="AJ135" s="198" t="s">
        <v>1617</v>
      </c>
    </row>
    <row r="136" spans="1:36" s="1" customFormat="1" outlineLevel="1">
      <c r="A136" t="s">
        <v>729</v>
      </c>
      <c r="B136" s="281" t="s">
        <v>126</v>
      </c>
      <c r="C136" s="275">
        <v>0.2</v>
      </c>
      <c r="D136" s="296">
        <f t="shared" si="90"/>
        <v>0.19666666666666668</v>
      </c>
      <c r="E136" s="296">
        <f t="shared" si="90"/>
        <v>0.19333333333333336</v>
      </c>
      <c r="F136" s="296">
        <f t="shared" si="90"/>
        <v>0.19000000000000003</v>
      </c>
      <c r="G136" s="296">
        <f t="shared" si="90"/>
        <v>0.1866666666666667</v>
      </c>
      <c r="H136" s="296">
        <f t="shared" si="90"/>
        <v>0.18333333333333338</v>
      </c>
      <c r="I136" s="296">
        <f t="shared" si="90"/>
        <v>0.18000000000000005</v>
      </c>
      <c r="J136" s="296">
        <f t="shared" si="90"/>
        <v>0.17666666666666672</v>
      </c>
      <c r="K136" s="296">
        <f t="shared" si="90"/>
        <v>0.17333333333333339</v>
      </c>
      <c r="L136" s="296">
        <f t="shared" si="90"/>
        <v>0.17000000000000007</v>
      </c>
      <c r="M136" s="296">
        <f t="shared" si="90"/>
        <v>0.16666666666666674</v>
      </c>
      <c r="N136" s="296">
        <f t="shared" si="90"/>
        <v>0.16333333333333341</v>
      </c>
      <c r="O136" s="296">
        <f t="shared" si="90"/>
        <v>0.16000000000000009</v>
      </c>
      <c r="P136" s="296">
        <f t="shared" si="90"/>
        <v>0.15666666666666676</v>
      </c>
      <c r="Q136" s="296">
        <f t="shared" si="90"/>
        <v>0.15333333333333343</v>
      </c>
      <c r="R136" s="296">
        <f t="shared" si="90"/>
        <v>0.15000000000000011</v>
      </c>
      <c r="S136" s="296">
        <f t="shared" si="90"/>
        <v>0.14666666666666678</v>
      </c>
      <c r="T136" s="296">
        <f t="shared" si="91"/>
        <v>0.14333333333333345</v>
      </c>
      <c r="U136" s="296">
        <f t="shared" si="91"/>
        <v>0.14000000000000012</v>
      </c>
      <c r="V136" s="296">
        <f t="shared" si="91"/>
        <v>0.1366666666666668</v>
      </c>
      <c r="W136" s="296">
        <f t="shared" si="91"/>
        <v>0.13333333333333347</v>
      </c>
      <c r="X136" s="296">
        <f t="shared" si="91"/>
        <v>0.13000000000000014</v>
      </c>
      <c r="Y136" s="296">
        <f t="shared" si="91"/>
        <v>0.12666666666666682</v>
      </c>
      <c r="Z136" s="296">
        <f t="shared" si="91"/>
        <v>0.12333333333333349</v>
      </c>
      <c r="AA136" s="296">
        <f t="shared" si="91"/>
        <v>0.12000000000000016</v>
      </c>
      <c r="AB136" s="296">
        <f t="shared" si="91"/>
        <v>0.11666666666666684</v>
      </c>
      <c r="AC136" s="296">
        <f t="shared" si="91"/>
        <v>0.11333333333333351</v>
      </c>
      <c r="AD136" s="296">
        <f t="shared" si="91"/>
        <v>0.11000000000000018</v>
      </c>
      <c r="AE136" s="296">
        <f t="shared" si="91"/>
        <v>0.10666666666666685</v>
      </c>
      <c r="AF136" s="296">
        <f t="shared" si="91"/>
        <v>0.10333333333333353</v>
      </c>
      <c r="AG136" s="275">
        <v>0.1</v>
      </c>
      <c r="AI136" s="295"/>
      <c r="AJ136" s="198" t="s">
        <v>1618</v>
      </c>
    </row>
    <row r="137" spans="1:36" s="1" customFormat="1" outlineLevel="1">
      <c r="A137" t="s">
        <v>739</v>
      </c>
      <c r="B137" s="281" t="s">
        <v>126</v>
      </c>
      <c r="C137" s="275">
        <v>0.95</v>
      </c>
      <c r="D137" s="296">
        <f t="shared" si="90"/>
        <v>0.94866666666666666</v>
      </c>
      <c r="E137" s="296">
        <f t="shared" si="90"/>
        <v>0.94733333333333336</v>
      </c>
      <c r="F137" s="296">
        <f t="shared" si="90"/>
        <v>0.94600000000000006</v>
      </c>
      <c r="G137" s="296">
        <f t="shared" si="90"/>
        <v>0.94466666666666677</v>
      </c>
      <c r="H137" s="296">
        <f t="shared" si="90"/>
        <v>0.94333333333333347</v>
      </c>
      <c r="I137" s="296">
        <f t="shared" si="90"/>
        <v>0.94200000000000017</v>
      </c>
      <c r="J137" s="296">
        <f t="shared" si="90"/>
        <v>0.94066666666666687</v>
      </c>
      <c r="K137" s="296">
        <f t="shared" si="90"/>
        <v>0.93933333333333358</v>
      </c>
      <c r="L137" s="296">
        <f t="shared" si="90"/>
        <v>0.93800000000000028</v>
      </c>
      <c r="M137" s="296">
        <f t="shared" si="90"/>
        <v>0.93666666666666698</v>
      </c>
      <c r="N137" s="296">
        <f t="shared" si="90"/>
        <v>0.93533333333333368</v>
      </c>
      <c r="O137" s="296">
        <f t="shared" si="90"/>
        <v>0.93400000000000039</v>
      </c>
      <c r="P137" s="296">
        <f t="shared" si="90"/>
        <v>0.93266666666666709</v>
      </c>
      <c r="Q137" s="296">
        <f t="shared" si="90"/>
        <v>0.93133333333333379</v>
      </c>
      <c r="R137" s="296">
        <f t="shared" si="90"/>
        <v>0.93000000000000049</v>
      </c>
      <c r="S137" s="296">
        <f t="shared" si="90"/>
        <v>0.9286666666666672</v>
      </c>
      <c r="T137" s="296">
        <f t="shared" si="91"/>
        <v>0.9273333333333339</v>
      </c>
      <c r="U137" s="296">
        <f t="shared" si="91"/>
        <v>0.9260000000000006</v>
      </c>
      <c r="V137" s="296">
        <f t="shared" si="91"/>
        <v>0.9246666666666673</v>
      </c>
      <c r="W137" s="296">
        <f t="shared" si="91"/>
        <v>0.92333333333333401</v>
      </c>
      <c r="X137" s="296">
        <f t="shared" si="91"/>
        <v>0.92200000000000071</v>
      </c>
      <c r="Y137" s="296">
        <f t="shared" si="91"/>
        <v>0.92066666666666741</v>
      </c>
      <c r="Z137" s="296">
        <f t="shared" si="91"/>
        <v>0.91933333333333411</v>
      </c>
      <c r="AA137" s="296">
        <f t="shared" si="91"/>
        <v>0.91800000000000082</v>
      </c>
      <c r="AB137" s="296">
        <f t="shared" si="91"/>
        <v>0.91666666666666752</v>
      </c>
      <c r="AC137" s="296">
        <f t="shared" si="91"/>
        <v>0.91533333333333422</v>
      </c>
      <c r="AD137" s="296">
        <f t="shared" si="91"/>
        <v>0.91400000000000092</v>
      </c>
      <c r="AE137" s="296">
        <f t="shared" si="91"/>
        <v>0.91266666666666763</v>
      </c>
      <c r="AF137" s="296">
        <f t="shared" si="91"/>
        <v>0.91133333333333433</v>
      </c>
      <c r="AG137" s="275">
        <v>0.91</v>
      </c>
      <c r="AI137" s="295"/>
      <c r="AJ137" s="198" t="s">
        <v>1619</v>
      </c>
    </row>
    <row r="138" spans="1:36" s="1" customFormat="1" outlineLevel="1">
      <c r="A138" t="s">
        <v>740</v>
      </c>
      <c r="B138" s="281" t="s">
        <v>126</v>
      </c>
      <c r="C138" s="275">
        <v>0.05</v>
      </c>
      <c r="D138" s="296">
        <f t="shared" si="90"/>
        <v>5.1333333333333335E-2</v>
      </c>
      <c r="E138" s="296">
        <f t="shared" si="90"/>
        <v>5.2666666666666667E-2</v>
      </c>
      <c r="F138" s="296">
        <f t="shared" si="90"/>
        <v>5.3999999999999999E-2</v>
      </c>
      <c r="G138" s="296">
        <f t="shared" si="90"/>
        <v>5.5333333333333332E-2</v>
      </c>
      <c r="H138" s="296">
        <f t="shared" si="90"/>
        <v>5.6666666666666664E-2</v>
      </c>
      <c r="I138" s="296">
        <f t="shared" si="90"/>
        <v>5.7999999999999996E-2</v>
      </c>
      <c r="J138" s="296">
        <f t="shared" si="90"/>
        <v>5.9333333333333328E-2</v>
      </c>
      <c r="K138" s="296">
        <f t="shared" si="90"/>
        <v>6.066666666666666E-2</v>
      </c>
      <c r="L138" s="296">
        <f t="shared" si="90"/>
        <v>6.1999999999999993E-2</v>
      </c>
      <c r="M138" s="296">
        <f t="shared" si="90"/>
        <v>6.3333333333333325E-2</v>
      </c>
      <c r="N138" s="296">
        <f t="shared" si="90"/>
        <v>6.4666666666666664E-2</v>
      </c>
      <c r="O138" s="296">
        <f t="shared" si="90"/>
        <v>6.6000000000000003E-2</v>
      </c>
      <c r="P138" s="296">
        <f t="shared" si="90"/>
        <v>6.7333333333333342E-2</v>
      </c>
      <c r="Q138" s="296">
        <f t="shared" si="90"/>
        <v>6.8666666666666681E-2</v>
      </c>
      <c r="R138" s="296">
        <f t="shared" si="90"/>
        <v>7.0000000000000021E-2</v>
      </c>
      <c r="S138" s="296">
        <f t="shared" si="90"/>
        <v>7.133333333333336E-2</v>
      </c>
      <c r="T138" s="296">
        <f t="shared" si="91"/>
        <v>7.2666666666666699E-2</v>
      </c>
      <c r="U138" s="296">
        <f t="shared" si="91"/>
        <v>7.4000000000000038E-2</v>
      </c>
      <c r="V138" s="296">
        <f t="shared" si="91"/>
        <v>7.5333333333333377E-2</v>
      </c>
      <c r="W138" s="296">
        <f t="shared" si="91"/>
        <v>7.6666666666666716E-2</v>
      </c>
      <c r="X138" s="296">
        <f t="shared" si="91"/>
        <v>7.8000000000000055E-2</v>
      </c>
      <c r="Y138" s="296">
        <f t="shared" si="91"/>
        <v>7.9333333333333395E-2</v>
      </c>
      <c r="Z138" s="296">
        <f t="shared" si="91"/>
        <v>8.0666666666666734E-2</v>
      </c>
      <c r="AA138" s="296">
        <f t="shared" si="91"/>
        <v>8.2000000000000073E-2</v>
      </c>
      <c r="AB138" s="296">
        <f t="shared" si="91"/>
        <v>8.3333333333333412E-2</v>
      </c>
      <c r="AC138" s="296">
        <f t="shared" si="91"/>
        <v>8.4666666666666751E-2</v>
      </c>
      <c r="AD138" s="296">
        <f t="shared" si="91"/>
        <v>8.600000000000009E-2</v>
      </c>
      <c r="AE138" s="296">
        <f t="shared" si="91"/>
        <v>8.7333333333333429E-2</v>
      </c>
      <c r="AF138" s="296">
        <f t="shared" si="91"/>
        <v>8.8666666666666769E-2</v>
      </c>
      <c r="AG138" s="275">
        <v>0.09</v>
      </c>
      <c r="AI138" s="295"/>
      <c r="AJ138" s="198" t="s">
        <v>1620</v>
      </c>
    </row>
    <row r="139" spans="1:36" s="1" customFormat="1" outlineLevel="1">
      <c r="A139" t="s">
        <v>742</v>
      </c>
      <c r="B139" s="281"/>
      <c r="C139" s="275">
        <v>0.27</v>
      </c>
      <c r="D139" s="296">
        <f t="shared" si="90"/>
        <v>0.26600000000000001</v>
      </c>
      <c r="E139" s="296">
        <f t="shared" si="90"/>
        <v>0.26200000000000001</v>
      </c>
      <c r="F139" s="296">
        <f t="shared" si="90"/>
        <v>0.25800000000000001</v>
      </c>
      <c r="G139" s="296">
        <f t="shared" si="90"/>
        <v>0.254</v>
      </c>
      <c r="H139" s="296">
        <f t="shared" si="90"/>
        <v>0.25</v>
      </c>
      <c r="I139" s="296">
        <f t="shared" si="90"/>
        <v>0.246</v>
      </c>
      <c r="J139" s="296">
        <f t="shared" si="90"/>
        <v>0.24199999999999999</v>
      </c>
      <c r="K139" s="296">
        <f t="shared" si="90"/>
        <v>0.23799999999999999</v>
      </c>
      <c r="L139" s="296">
        <f t="shared" si="90"/>
        <v>0.23399999999999999</v>
      </c>
      <c r="M139" s="296">
        <f t="shared" si="90"/>
        <v>0.22999999999999998</v>
      </c>
      <c r="N139" s="296">
        <f t="shared" si="90"/>
        <v>0.22599999999999998</v>
      </c>
      <c r="O139" s="296">
        <f t="shared" si="90"/>
        <v>0.22199999999999998</v>
      </c>
      <c r="P139" s="296">
        <f t="shared" si="90"/>
        <v>0.21799999999999997</v>
      </c>
      <c r="Q139" s="296">
        <f t="shared" si="90"/>
        <v>0.21399999999999997</v>
      </c>
      <c r="R139" s="296">
        <f t="shared" si="90"/>
        <v>0.20999999999999996</v>
      </c>
      <c r="S139" s="296">
        <f t="shared" si="90"/>
        <v>0.20599999999999996</v>
      </c>
      <c r="T139" s="296">
        <f t="shared" si="91"/>
        <v>0.20199999999999996</v>
      </c>
      <c r="U139" s="296">
        <f t="shared" si="91"/>
        <v>0.19799999999999995</v>
      </c>
      <c r="V139" s="296">
        <f t="shared" si="91"/>
        <v>0.19399999999999995</v>
      </c>
      <c r="W139" s="296">
        <f t="shared" si="91"/>
        <v>0.18999999999999995</v>
      </c>
      <c r="X139" s="296">
        <f t="shared" si="91"/>
        <v>0.18599999999999994</v>
      </c>
      <c r="Y139" s="296">
        <f t="shared" si="91"/>
        <v>0.18199999999999994</v>
      </c>
      <c r="Z139" s="296">
        <f t="shared" si="91"/>
        <v>0.17799999999999994</v>
      </c>
      <c r="AA139" s="296">
        <f t="shared" si="91"/>
        <v>0.17399999999999993</v>
      </c>
      <c r="AB139" s="296">
        <f t="shared" si="91"/>
        <v>0.16999999999999993</v>
      </c>
      <c r="AC139" s="296">
        <f t="shared" si="91"/>
        <v>0.16599999999999993</v>
      </c>
      <c r="AD139" s="296">
        <f t="shared" si="91"/>
        <v>0.16199999999999992</v>
      </c>
      <c r="AE139" s="296">
        <f t="shared" si="91"/>
        <v>0.15799999999999992</v>
      </c>
      <c r="AF139" s="296">
        <f t="shared" si="91"/>
        <v>0.15399999999999991</v>
      </c>
      <c r="AG139" s="275">
        <v>0.15</v>
      </c>
      <c r="AI139" s="295"/>
      <c r="AJ139" s="198"/>
    </row>
    <row r="140" spans="1:36" s="62" customFormat="1" outlineLevel="1">
      <c r="A140" s="322" t="s">
        <v>733</v>
      </c>
      <c r="B140" s="287" t="s">
        <v>126</v>
      </c>
      <c r="C140" s="314">
        <v>0.16</v>
      </c>
      <c r="D140" s="315">
        <f t="shared" si="90"/>
        <v>0.16533333333333333</v>
      </c>
      <c r="E140" s="315">
        <f t="shared" si="90"/>
        <v>0.17066666666666666</v>
      </c>
      <c r="F140" s="315">
        <f t="shared" si="90"/>
        <v>0.17599999999999999</v>
      </c>
      <c r="G140" s="315">
        <f t="shared" si="90"/>
        <v>0.18133333333333332</v>
      </c>
      <c r="H140" s="315">
        <f t="shared" si="90"/>
        <v>0.18666666666666665</v>
      </c>
      <c r="I140" s="315">
        <f t="shared" si="90"/>
        <v>0.19199999999999998</v>
      </c>
      <c r="J140" s="315">
        <f t="shared" si="90"/>
        <v>0.19733333333333331</v>
      </c>
      <c r="K140" s="315">
        <f t="shared" si="90"/>
        <v>0.20266666666666663</v>
      </c>
      <c r="L140" s="315">
        <f t="shared" si="90"/>
        <v>0.20799999999999996</v>
      </c>
      <c r="M140" s="315">
        <f t="shared" si="90"/>
        <v>0.21333333333333329</v>
      </c>
      <c r="N140" s="315">
        <f t="shared" si="90"/>
        <v>0.21866666666666662</v>
      </c>
      <c r="O140" s="315">
        <f t="shared" si="90"/>
        <v>0.22399999999999995</v>
      </c>
      <c r="P140" s="315">
        <f t="shared" si="90"/>
        <v>0.22933333333333328</v>
      </c>
      <c r="Q140" s="315">
        <f t="shared" si="90"/>
        <v>0.23466666666666661</v>
      </c>
      <c r="R140" s="315">
        <f t="shared" si="90"/>
        <v>0.23999999999999994</v>
      </c>
      <c r="S140" s="315">
        <f t="shared" si="90"/>
        <v>0.24533333333333326</v>
      </c>
      <c r="T140" s="315">
        <f t="shared" si="91"/>
        <v>0.25066666666666659</v>
      </c>
      <c r="U140" s="315">
        <f t="shared" si="91"/>
        <v>0.25599999999999995</v>
      </c>
      <c r="V140" s="315">
        <f t="shared" si="91"/>
        <v>0.26133333333333331</v>
      </c>
      <c r="W140" s="315">
        <f t="shared" si="91"/>
        <v>0.26666666666666666</v>
      </c>
      <c r="X140" s="315">
        <f t="shared" si="91"/>
        <v>0.27200000000000002</v>
      </c>
      <c r="Y140" s="315">
        <f t="shared" si="91"/>
        <v>0.27733333333333338</v>
      </c>
      <c r="Z140" s="315">
        <f t="shared" si="91"/>
        <v>0.28266666666666673</v>
      </c>
      <c r="AA140" s="315">
        <f t="shared" si="91"/>
        <v>0.28800000000000009</v>
      </c>
      <c r="AB140" s="315">
        <f t="shared" si="91"/>
        <v>0.29333333333333345</v>
      </c>
      <c r="AC140" s="315">
        <f t="shared" si="91"/>
        <v>0.2986666666666668</v>
      </c>
      <c r="AD140" s="315">
        <f t="shared" si="91"/>
        <v>0.30400000000000016</v>
      </c>
      <c r="AE140" s="315">
        <f t="shared" si="91"/>
        <v>0.30933333333333352</v>
      </c>
      <c r="AF140" s="315">
        <f t="shared" si="91"/>
        <v>0.31466666666666687</v>
      </c>
      <c r="AG140" s="314">
        <v>0.32</v>
      </c>
      <c r="AI140" s="314"/>
      <c r="AJ140" s="316" t="s">
        <v>1620</v>
      </c>
    </row>
    <row r="141" spans="1:36" outlineLevel="1">
      <c r="A141" s="323" t="s">
        <v>734</v>
      </c>
      <c r="B141" s="281" t="s">
        <v>126</v>
      </c>
      <c r="C141" s="275">
        <v>0.37</v>
      </c>
      <c r="D141" s="296">
        <f t="shared" si="90"/>
        <v>0.37166666666666665</v>
      </c>
      <c r="E141" s="296">
        <f t="shared" si="90"/>
        <v>0.37333333333333329</v>
      </c>
      <c r="F141" s="296">
        <f t="shared" si="90"/>
        <v>0.37499999999999994</v>
      </c>
      <c r="G141" s="296">
        <f t="shared" si="90"/>
        <v>0.37666666666666659</v>
      </c>
      <c r="H141" s="296">
        <f t="shared" si="90"/>
        <v>0.37833333333333324</v>
      </c>
      <c r="I141" s="296">
        <f t="shared" si="90"/>
        <v>0.37999999999999989</v>
      </c>
      <c r="J141" s="296">
        <f t="shared" si="90"/>
        <v>0.38166666666666654</v>
      </c>
      <c r="K141" s="296">
        <f t="shared" si="90"/>
        <v>0.38333333333333319</v>
      </c>
      <c r="L141" s="296">
        <f t="shared" si="90"/>
        <v>0.38499999999999984</v>
      </c>
      <c r="M141" s="296">
        <f t="shared" si="90"/>
        <v>0.38666666666666649</v>
      </c>
      <c r="N141" s="296">
        <f t="shared" si="90"/>
        <v>0.38833333333333314</v>
      </c>
      <c r="O141" s="296">
        <f t="shared" si="90"/>
        <v>0.38999999999999979</v>
      </c>
      <c r="P141" s="296">
        <f t="shared" si="90"/>
        <v>0.39166666666666644</v>
      </c>
      <c r="Q141" s="296">
        <f t="shared" si="90"/>
        <v>0.39333333333333309</v>
      </c>
      <c r="R141" s="296">
        <f t="shared" si="90"/>
        <v>0.39499999999999974</v>
      </c>
      <c r="S141" s="296">
        <f t="shared" si="90"/>
        <v>0.39666666666666639</v>
      </c>
      <c r="T141" s="296">
        <f t="shared" si="91"/>
        <v>0.39833333333333304</v>
      </c>
      <c r="U141" s="296">
        <f t="shared" si="91"/>
        <v>0.39999999999999969</v>
      </c>
      <c r="V141" s="296">
        <f t="shared" si="91"/>
        <v>0.40166666666666634</v>
      </c>
      <c r="W141" s="296">
        <f t="shared" si="91"/>
        <v>0.40333333333333299</v>
      </c>
      <c r="X141" s="296">
        <f t="shared" si="91"/>
        <v>0.40499999999999964</v>
      </c>
      <c r="Y141" s="296">
        <f t="shared" si="91"/>
        <v>0.40666666666666629</v>
      </c>
      <c r="Z141" s="296">
        <f t="shared" si="91"/>
        <v>0.40833333333333294</v>
      </c>
      <c r="AA141" s="296">
        <f t="shared" si="91"/>
        <v>0.40999999999999959</v>
      </c>
      <c r="AB141" s="296">
        <f t="shared" si="91"/>
        <v>0.41166666666666624</v>
      </c>
      <c r="AC141" s="296">
        <f t="shared" si="91"/>
        <v>0.41333333333333289</v>
      </c>
      <c r="AD141" s="296">
        <f t="shared" si="91"/>
        <v>0.41499999999999954</v>
      </c>
      <c r="AE141" s="296">
        <f t="shared" si="91"/>
        <v>0.41666666666666619</v>
      </c>
      <c r="AF141" s="296">
        <f t="shared" si="91"/>
        <v>0.41833333333333284</v>
      </c>
      <c r="AG141" s="275">
        <v>0.42</v>
      </c>
      <c r="AI141" s="275"/>
      <c r="AJ141" s="198" t="s">
        <v>1621</v>
      </c>
    </row>
    <row r="142" spans="1:36" outlineLevel="1">
      <c r="A142" s="323" t="s">
        <v>735</v>
      </c>
      <c r="B142" s="281" t="s">
        <v>126</v>
      </c>
      <c r="C142" s="275">
        <v>0.08</v>
      </c>
      <c r="D142" s="296">
        <f t="shared" si="90"/>
        <v>7.7666666666666662E-2</v>
      </c>
      <c r="E142" s="296">
        <f t="shared" si="90"/>
        <v>7.5333333333333322E-2</v>
      </c>
      <c r="F142" s="296">
        <f t="shared" si="90"/>
        <v>7.2999999999999982E-2</v>
      </c>
      <c r="G142" s="296">
        <f t="shared" si="90"/>
        <v>7.0666666666666642E-2</v>
      </c>
      <c r="H142" s="296">
        <f t="shared" si="90"/>
        <v>6.8333333333333302E-2</v>
      </c>
      <c r="I142" s="296">
        <f t="shared" si="90"/>
        <v>6.5999999999999961E-2</v>
      </c>
      <c r="J142" s="296">
        <f t="shared" si="90"/>
        <v>6.3666666666666621E-2</v>
      </c>
      <c r="K142" s="296">
        <f t="shared" si="90"/>
        <v>6.1333333333333288E-2</v>
      </c>
      <c r="L142" s="296">
        <f t="shared" si="90"/>
        <v>5.8999999999999955E-2</v>
      </c>
      <c r="M142" s="296">
        <f t="shared" si="90"/>
        <v>5.6666666666666622E-2</v>
      </c>
      <c r="N142" s="296">
        <f t="shared" si="90"/>
        <v>5.4333333333333289E-2</v>
      </c>
      <c r="O142" s="296">
        <f t="shared" si="90"/>
        <v>5.1999999999999956E-2</v>
      </c>
      <c r="P142" s="296">
        <f t="shared" si="90"/>
        <v>4.9666666666666623E-2</v>
      </c>
      <c r="Q142" s="296">
        <f t="shared" si="90"/>
        <v>4.733333333333329E-2</v>
      </c>
      <c r="R142" s="296">
        <f t="shared" si="90"/>
        <v>4.4999999999999957E-2</v>
      </c>
      <c r="S142" s="296">
        <f t="shared" si="90"/>
        <v>4.2666666666666624E-2</v>
      </c>
      <c r="T142" s="296">
        <f t="shared" si="91"/>
        <v>4.0333333333333291E-2</v>
      </c>
      <c r="U142" s="296">
        <f t="shared" si="91"/>
        <v>3.7999999999999957E-2</v>
      </c>
      <c r="V142" s="296">
        <f t="shared" si="91"/>
        <v>3.5666666666666624E-2</v>
      </c>
      <c r="W142" s="296">
        <f t="shared" si="91"/>
        <v>3.3333333333333291E-2</v>
      </c>
      <c r="X142" s="296">
        <f t="shared" si="91"/>
        <v>3.0999999999999958E-2</v>
      </c>
      <c r="Y142" s="296">
        <f t="shared" si="91"/>
        <v>2.8666666666666625E-2</v>
      </c>
      <c r="Z142" s="296">
        <f t="shared" si="91"/>
        <v>2.6333333333333292E-2</v>
      </c>
      <c r="AA142" s="296">
        <f t="shared" si="91"/>
        <v>2.3999999999999959E-2</v>
      </c>
      <c r="AB142" s="296">
        <f t="shared" si="91"/>
        <v>2.1666666666666626E-2</v>
      </c>
      <c r="AC142" s="296">
        <f t="shared" si="91"/>
        <v>1.9333333333333293E-2</v>
      </c>
      <c r="AD142" s="296">
        <f t="shared" si="91"/>
        <v>1.699999999999996E-2</v>
      </c>
      <c r="AE142" s="296">
        <f t="shared" si="91"/>
        <v>1.4666666666666626E-2</v>
      </c>
      <c r="AF142" s="296">
        <f t="shared" si="91"/>
        <v>1.2333333333333293E-2</v>
      </c>
      <c r="AG142" s="275">
        <v>0.01</v>
      </c>
      <c r="AI142" s="275"/>
      <c r="AJ142" s="198" t="s">
        <v>1622</v>
      </c>
    </row>
    <row r="143" spans="1:36" outlineLevel="1">
      <c r="A143" s="323" t="s">
        <v>736</v>
      </c>
      <c r="B143" s="281" t="s">
        <v>126</v>
      </c>
      <c r="C143" s="275">
        <v>0.27</v>
      </c>
      <c r="D143" s="296">
        <f t="shared" si="90"/>
        <v>0.26633333333333337</v>
      </c>
      <c r="E143" s="296">
        <f t="shared" si="90"/>
        <v>0.26266666666666671</v>
      </c>
      <c r="F143" s="296">
        <f t="shared" si="90"/>
        <v>0.25900000000000006</v>
      </c>
      <c r="G143" s="296">
        <f t="shared" si="90"/>
        <v>0.25533333333333341</v>
      </c>
      <c r="H143" s="296">
        <f t="shared" si="90"/>
        <v>0.25166666666666676</v>
      </c>
      <c r="I143" s="296">
        <f t="shared" si="90"/>
        <v>0.24800000000000008</v>
      </c>
      <c r="J143" s="296">
        <f t="shared" si="90"/>
        <v>0.2443333333333334</v>
      </c>
      <c r="K143" s="296">
        <f t="shared" si="90"/>
        <v>0.24066666666666672</v>
      </c>
      <c r="L143" s="296">
        <f t="shared" si="90"/>
        <v>0.23700000000000004</v>
      </c>
      <c r="M143" s="296">
        <f t="shared" si="90"/>
        <v>0.23333333333333336</v>
      </c>
      <c r="N143" s="296">
        <f t="shared" si="90"/>
        <v>0.22966666666666669</v>
      </c>
      <c r="O143" s="296">
        <f t="shared" si="90"/>
        <v>0.22600000000000001</v>
      </c>
      <c r="P143" s="296">
        <f t="shared" si="90"/>
        <v>0.22233333333333333</v>
      </c>
      <c r="Q143" s="296">
        <f t="shared" si="90"/>
        <v>0.21866666666666665</v>
      </c>
      <c r="R143" s="296">
        <f t="shared" si="90"/>
        <v>0.21499999999999997</v>
      </c>
      <c r="S143" s="296">
        <f t="shared" si="90"/>
        <v>0.21133333333333329</v>
      </c>
      <c r="T143" s="296">
        <f t="shared" si="91"/>
        <v>0.20766666666666661</v>
      </c>
      <c r="U143" s="296">
        <f t="shared" si="91"/>
        <v>0.20399999999999993</v>
      </c>
      <c r="V143" s="296">
        <f t="shared" si="91"/>
        <v>0.20033333333333325</v>
      </c>
      <c r="W143" s="296">
        <f t="shared" si="91"/>
        <v>0.19666666666666657</v>
      </c>
      <c r="X143" s="296">
        <f t="shared" si="91"/>
        <v>0.19299999999999989</v>
      </c>
      <c r="Y143" s="296">
        <f t="shared" si="91"/>
        <v>0.18933333333333321</v>
      </c>
      <c r="Z143" s="296">
        <f t="shared" si="91"/>
        <v>0.18566666666666654</v>
      </c>
      <c r="AA143" s="296">
        <f t="shared" si="91"/>
        <v>0.18199999999999986</v>
      </c>
      <c r="AB143" s="296">
        <f t="shared" si="91"/>
        <v>0.17833333333333318</v>
      </c>
      <c r="AC143" s="296">
        <f t="shared" si="91"/>
        <v>0.1746666666666665</v>
      </c>
      <c r="AD143" s="296">
        <f t="shared" si="91"/>
        <v>0.17099999999999982</v>
      </c>
      <c r="AE143" s="296">
        <f t="shared" si="91"/>
        <v>0.16733333333333314</v>
      </c>
      <c r="AF143" s="296">
        <f t="shared" si="91"/>
        <v>0.16366666666666646</v>
      </c>
      <c r="AG143" s="275">
        <v>0.16</v>
      </c>
      <c r="AI143" s="275"/>
      <c r="AJ143" s="198" t="s">
        <v>1623</v>
      </c>
    </row>
    <row r="144" spans="1:36" outlineLevel="1">
      <c r="A144" s="323" t="s">
        <v>737</v>
      </c>
      <c r="B144" s="281" t="s">
        <v>126</v>
      </c>
      <c r="C144" s="275">
        <v>7.0000000000000007E-2</v>
      </c>
      <c r="D144" s="296">
        <f t="shared" si="90"/>
        <v>6.9666666666666668E-2</v>
      </c>
      <c r="E144" s="296">
        <f t="shared" si="90"/>
        <v>6.933333333333333E-2</v>
      </c>
      <c r="F144" s="296">
        <f t="shared" si="90"/>
        <v>6.8999999999999992E-2</v>
      </c>
      <c r="G144" s="296">
        <f t="shared" si="90"/>
        <v>6.8666666666666654E-2</v>
      </c>
      <c r="H144" s="296">
        <f t="shared" si="90"/>
        <v>6.8333333333333315E-2</v>
      </c>
      <c r="I144" s="296">
        <f t="shared" si="90"/>
        <v>6.7999999999999977E-2</v>
      </c>
      <c r="J144" s="296">
        <f t="shared" si="90"/>
        <v>6.7666666666666639E-2</v>
      </c>
      <c r="K144" s="296">
        <f t="shared" si="90"/>
        <v>6.7333333333333301E-2</v>
      </c>
      <c r="L144" s="296">
        <f t="shared" si="90"/>
        <v>6.6999999999999962E-2</v>
      </c>
      <c r="M144" s="296">
        <f t="shared" si="90"/>
        <v>6.6666666666666624E-2</v>
      </c>
      <c r="N144" s="296">
        <f t="shared" si="90"/>
        <v>6.6333333333333286E-2</v>
      </c>
      <c r="O144" s="296">
        <f t="shared" si="90"/>
        <v>6.5999999999999948E-2</v>
      </c>
      <c r="P144" s="296">
        <f t="shared" si="90"/>
        <v>6.5666666666666609E-2</v>
      </c>
      <c r="Q144" s="296">
        <f t="shared" si="90"/>
        <v>6.5333333333333271E-2</v>
      </c>
      <c r="R144" s="296">
        <f t="shared" si="90"/>
        <v>6.4999999999999933E-2</v>
      </c>
      <c r="S144" s="296">
        <f t="shared" ref="S144:AF144" si="92">-($C144-$AG144)/30+R144</f>
        <v>6.4666666666666595E-2</v>
      </c>
      <c r="T144" s="296">
        <f t="shared" si="92"/>
        <v>6.4333333333333256E-2</v>
      </c>
      <c r="U144" s="296">
        <f t="shared" si="92"/>
        <v>6.3999999999999918E-2</v>
      </c>
      <c r="V144" s="296">
        <f t="shared" si="92"/>
        <v>6.366666666666658E-2</v>
      </c>
      <c r="W144" s="296">
        <f t="shared" si="92"/>
        <v>6.3333333333333242E-2</v>
      </c>
      <c r="X144" s="296">
        <f t="shared" si="92"/>
        <v>6.2999999999999903E-2</v>
      </c>
      <c r="Y144" s="296">
        <f t="shared" si="92"/>
        <v>6.2666666666666565E-2</v>
      </c>
      <c r="Z144" s="296">
        <f t="shared" si="92"/>
        <v>6.2333333333333234E-2</v>
      </c>
      <c r="AA144" s="296">
        <f t="shared" si="92"/>
        <v>6.1999999999999902E-2</v>
      </c>
      <c r="AB144" s="296">
        <f t="shared" si="92"/>
        <v>6.1666666666666571E-2</v>
      </c>
      <c r="AC144" s="296">
        <f t="shared" si="92"/>
        <v>6.133333333333324E-2</v>
      </c>
      <c r="AD144" s="296">
        <f t="shared" si="92"/>
        <v>6.0999999999999908E-2</v>
      </c>
      <c r="AE144" s="296">
        <f t="shared" si="92"/>
        <v>6.0666666666666577E-2</v>
      </c>
      <c r="AF144" s="296">
        <f t="shared" si="92"/>
        <v>6.0333333333333246E-2</v>
      </c>
      <c r="AG144" s="275">
        <v>0.06</v>
      </c>
      <c r="AI144" s="275"/>
      <c r="AJ144" s="198" t="s">
        <v>1624</v>
      </c>
    </row>
    <row r="145" spans="1:36" s="63" customFormat="1" outlineLevel="1">
      <c r="A145" s="324" t="s">
        <v>738</v>
      </c>
      <c r="B145" s="291" t="s">
        <v>126</v>
      </c>
      <c r="C145" s="293">
        <v>0.05</v>
      </c>
      <c r="D145" s="317">
        <f t="shared" ref="D145:AF145" si="93">-($C145-$AG145)/30+C145</f>
        <v>4.9333333333333333E-2</v>
      </c>
      <c r="E145" s="317">
        <f t="shared" si="93"/>
        <v>4.8666666666666664E-2</v>
      </c>
      <c r="F145" s="317">
        <f t="shared" si="93"/>
        <v>4.7999999999999994E-2</v>
      </c>
      <c r="G145" s="317">
        <f t="shared" si="93"/>
        <v>4.7333333333333324E-2</v>
      </c>
      <c r="H145" s="317">
        <f t="shared" si="93"/>
        <v>4.6666666666666655E-2</v>
      </c>
      <c r="I145" s="317">
        <f t="shared" si="93"/>
        <v>4.5999999999999985E-2</v>
      </c>
      <c r="J145" s="317">
        <f t="shared" si="93"/>
        <v>4.5333333333333316E-2</v>
      </c>
      <c r="K145" s="317">
        <f t="shared" si="93"/>
        <v>4.4666666666666646E-2</v>
      </c>
      <c r="L145" s="317">
        <f t="shared" si="93"/>
        <v>4.3999999999999977E-2</v>
      </c>
      <c r="M145" s="317">
        <f t="shared" si="93"/>
        <v>4.3333333333333307E-2</v>
      </c>
      <c r="N145" s="317">
        <f t="shared" si="93"/>
        <v>4.2666666666666637E-2</v>
      </c>
      <c r="O145" s="317">
        <f t="shared" si="93"/>
        <v>4.1999999999999968E-2</v>
      </c>
      <c r="P145" s="317">
        <f t="shared" si="93"/>
        <v>4.1333333333333298E-2</v>
      </c>
      <c r="Q145" s="317">
        <f t="shared" si="93"/>
        <v>4.0666666666666629E-2</v>
      </c>
      <c r="R145" s="317">
        <f t="shared" si="93"/>
        <v>3.9999999999999959E-2</v>
      </c>
      <c r="S145" s="317">
        <f t="shared" si="93"/>
        <v>3.933333333333329E-2</v>
      </c>
      <c r="T145" s="317">
        <f t="shared" si="93"/>
        <v>3.866666666666662E-2</v>
      </c>
      <c r="U145" s="317">
        <f t="shared" si="93"/>
        <v>3.799999999999995E-2</v>
      </c>
      <c r="V145" s="317">
        <f t="shared" si="93"/>
        <v>3.7333333333333281E-2</v>
      </c>
      <c r="W145" s="317">
        <f t="shared" si="93"/>
        <v>3.6666666666666611E-2</v>
      </c>
      <c r="X145" s="317">
        <f t="shared" si="93"/>
        <v>3.5999999999999942E-2</v>
      </c>
      <c r="Y145" s="317">
        <f t="shared" si="93"/>
        <v>3.5333333333333272E-2</v>
      </c>
      <c r="Z145" s="317">
        <f t="shared" si="93"/>
        <v>3.4666666666666603E-2</v>
      </c>
      <c r="AA145" s="317">
        <f t="shared" si="93"/>
        <v>3.3999999999999933E-2</v>
      </c>
      <c r="AB145" s="317">
        <f t="shared" si="93"/>
        <v>3.3333333333333263E-2</v>
      </c>
      <c r="AC145" s="317">
        <f t="shared" si="93"/>
        <v>3.2666666666666594E-2</v>
      </c>
      <c r="AD145" s="317">
        <f t="shared" si="93"/>
        <v>3.1999999999999924E-2</v>
      </c>
      <c r="AE145" s="317">
        <f t="shared" si="93"/>
        <v>3.1333333333333255E-2</v>
      </c>
      <c r="AF145" s="317">
        <f t="shared" si="93"/>
        <v>3.0666666666666589E-2</v>
      </c>
      <c r="AG145" s="293">
        <v>0.03</v>
      </c>
      <c r="AI145" s="293"/>
      <c r="AJ145" s="318" t="s">
        <v>1625</v>
      </c>
    </row>
    <row r="146" spans="1:36" s="55" customFormat="1" outlineLevel="1">
      <c r="A146" s="55" t="s">
        <v>703</v>
      </c>
      <c r="B146" s="282"/>
      <c r="C146" s="611">
        <f>C29</f>
        <v>1195624.4803591177</v>
      </c>
      <c r="D146" s="611">
        <f t="shared" ref="D146:AG146" si="94">D29</f>
        <v>1195624.4803591177</v>
      </c>
      <c r="E146" s="611">
        <f t="shared" si="94"/>
        <v>1195624.4803591177</v>
      </c>
      <c r="F146" s="611">
        <f t="shared" si="94"/>
        <v>1195624.4803591177</v>
      </c>
      <c r="G146" s="611">
        <f t="shared" si="94"/>
        <v>1195624.4803591177</v>
      </c>
      <c r="H146" s="611">
        <f t="shared" si="94"/>
        <v>1195624.4803591177</v>
      </c>
      <c r="I146" s="611">
        <f t="shared" si="94"/>
        <v>1195624.4803591177</v>
      </c>
      <c r="J146" s="611">
        <f t="shared" si="94"/>
        <v>1195624.4803591177</v>
      </c>
      <c r="K146" s="611">
        <f t="shared" si="94"/>
        <v>1195624.4803591177</v>
      </c>
      <c r="L146" s="611">
        <f t="shared" si="94"/>
        <v>1195624.4803591177</v>
      </c>
      <c r="M146" s="611">
        <f t="shared" si="94"/>
        <v>1195624.4803591177</v>
      </c>
      <c r="N146" s="611">
        <f t="shared" si="94"/>
        <v>1195624.4803591177</v>
      </c>
      <c r="O146" s="611">
        <f t="shared" si="94"/>
        <v>1195624.4803591177</v>
      </c>
      <c r="P146" s="611">
        <f t="shared" si="94"/>
        <v>1195624.4803591177</v>
      </c>
      <c r="Q146" s="611">
        <f t="shared" si="94"/>
        <v>1195624.4803591177</v>
      </c>
      <c r="R146" s="611">
        <f t="shared" si="94"/>
        <v>1195624.4803591177</v>
      </c>
      <c r="S146" s="611">
        <f t="shared" si="94"/>
        <v>1195624.4803591177</v>
      </c>
      <c r="T146" s="611">
        <f t="shared" si="94"/>
        <v>1195624.4803591177</v>
      </c>
      <c r="U146" s="611">
        <f t="shared" si="94"/>
        <v>1195624.4803591177</v>
      </c>
      <c r="V146" s="611">
        <f t="shared" si="94"/>
        <v>1195624.4803591177</v>
      </c>
      <c r="W146" s="611">
        <f t="shared" si="94"/>
        <v>1195624.4803591177</v>
      </c>
      <c r="X146" s="611">
        <f t="shared" si="94"/>
        <v>1195624.4803591177</v>
      </c>
      <c r="Y146" s="611">
        <f t="shared" si="94"/>
        <v>1195624.4803591177</v>
      </c>
      <c r="Z146" s="611">
        <f t="shared" si="94"/>
        <v>1195624.4803591177</v>
      </c>
      <c r="AA146" s="611">
        <f t="shared" si="94"/>
        <v>1195624.4803591177</v>
      </c>
      <c r="AB146" s="611">
        <f t="shared" si="94"/>
        <v>1195624.4803591177</v>
      </c>
      <c r="AC146" s="611">
        <f t="shared" si="94"/>
        <v>1195624.4803591177</v>
      </c>
      <c r="AD146" s="611">
        <f t="shared" si="94"/>
        <v>1195624.4803591177</v>
      </c>
      <c r="AE146" s="611">
        <f t="shared" si="94"/>
        <v>1195624.4803591177</v>
      </c>
      <c r="AF146" s="611">
        <f t="shared" si="94"/>
        <v>1195624.4803591177</v>
      </c>
      <c r="AG146" s="611">
        <f t="shared" si="94"/>
        <v>1195624.4803591177</v>
      </c>
      <c r="AI146" s="284"/>
      <c r="AJ146" s="285"/>
    </row>
    <row r="147" spans="1:36" s="55" customFormat="1" outlineLevel="1">
      <c r="A147" s="286" t="s">
        <v>173</v>
      </c>
      <c r="B147" s="287" t="s">
        <v>127</v>
      </c>
      <c r="C147" s="614">
        <v>0</v>
      </c>
      <c r="D147" s="614">
        <v>0</v>
      </c>
      <c r="E147" s="614">
        <v>0</v>
      </c>
      <c r="F147" s="614">
        <v>0</v>
      </c>
      <c r="G147" s="614">
        <v>0</v>
      </c>
      <c r="H147" s="614">
        <v>0</v>
      </c>
      <c r="I147" s="614">
        <v>0</v>
      </c>
      <c r="J147" s="614">
        <v>0</v>
      </c>
      <c r="K147" s="614">
        <v>0</v>
      </c>
      <c r="L147" s="614">
        <v>0</v>
      </c>
      <c r="M147" s="614">
        <v>0</v>
      </c>
      <c r="N147" s="614">
        <v>0</v>
      </c>
      <c r="O147" s="614">
        <v>0</v>
      </c>
      <c r="P147" s="614">
        <v>0</v>
      </c>
      <c r="Q147" s="614">
        <v>0</v>
      </c>
      <c r="R147" s="614">
        <v>0</v>
      </c>
      <c r="S147" s="614">
        <v>0</v>
      </c>
      <c r="T147" s="614">
        <v>0</v>
      </c>
      <c r="U147" s="614">
        <v>0</v>
      </c>
      <c r="V147" s="614">
        <v>0</v>
      </c>
      <c r="W147" s="614">
        <v>0</v>
      </c>
      <c r="X147" s="614">
        <v>0</v>
      </c>
      <c r="Y147" s="614">
        <v>0</v>
      </c>
      <c r="Z147" s="614">
        <v>0</v>
      </c>
      <c r="AA147" s="614">
        <v>0</v>
      </c>
      <c r="AB147" s="614">
        <v>0</v>
      </c>
      <c r="AC147" s="614">
        <v>0</v>
      </c>
      <c r="AD147" s="614">
        <v>0</v>
      </c>
      <c r="AE147" s="614">
        <v>0</v>
      </c>
      <c r="AF147" s="614">
        <v>0</v>
      </c>
      <c r="AG147" s="614">
        <v>0</v>
      </c>
      <c r="AI147" s="284"/>
      <c r="AJ147" s="285"/>
    </row>
    <row r="148" spans="1:36" outlineLevel="1">
      <c r="A148" s="289" t="s">
        <v>696</v>
      </c>
      <c r="B148" s="281" t="s">
        <v>127</v>
      </c>
      <c r="C148" s="613">
        <f>C214</f>
        <v>67918.5806815088</v>
      </c>
      <c r="D148" s="613">
        <f t="shared" ref="D148:AG148" si="95">D214</f>
        <v>69052.820978889999</v>
      </c>
      <c r="E148" s="613">
        <f t="shared" si="95"/>
        <v>70206.003089237463</v>
      </c>
      <c r="F148" s="613">
        <f t="shared" si="95"/>
        <v>71378.443340827725</v>
      </c>
      <c r="G148" s="613">
        <f t="shared" si="95"/>
        <v>72570.463344619551</v>
      </c>
      <c r="H148" s="613">
        <f t="shared" si="95"/>
        <v>73782.390082474696</v>
      </c>
      <c r="I148" s="613">
        <f t="shared" si="95"/>
        <v>75014.555996852025</v>
      </c>
      <c r="J148" s="613">
        <f t="shared" si="95"/>
        <v>76267.299081999445</v>
      </c>
      <c r="K148" s="613">
        <f t="shared" si="95"/>
        <v>77540.96297666883</v>
      </c>
      <c r="L148" s="613">
        <f t="shared" si="95"/>
        <v>78835.897058379196</v>
      </c>
      <c r="M148" s="613">
        <f t="shared" si="95"/>
        <v>80152.456539254126</v>
      </c>
      <c r="N148" s="613">
        <f t="shared" si="95"/>
        <v>81491.002563459668</v>
      </c>
      <c r="O148" s="613">
        <f t="shared" si="95"/>
        <v>82851.902306269432</v>
      </c>
      <c r="P148" s="613">
        <f t="shared" si="95"/>
        <v>84235.529074784121</v>
      </c>
      <c r="Q148" s="613">
        <f t="shared" si="95"/>
        <v>85642.262410333016</v>
      </c>
      <c r="R148" s="613">
        <f t="shared" si="95"/>
        <v>87072.488192585573</v>
      </c>
      <c r="S148" s="613">
        <f t="shared" si="95"/>
        <v>88526.598745401745</v>
      </c>
      <c r="T148" s="613">
        <f t="shared" si="95"/>
        <v>90004.992944449943</v>
      </c>
      <c r="U148" s="613">
        <f t="shared" si="95"/>
        <v>91508.076326622249</v>
      </c>
      <c r="V148" s="613">
        <f t="shared" si="95"/>
        <v>93036.261201276837</v>
      </c>
      <c r="W148" s="613">
        <f t="shared" si="95"/>
        <v>94589.966763338161</v>
      </c>
      <c r="X148" s="613">
        <f t="shared" si="95"/>
        <v>96169.619208285905</v>
      </c>
      <c r="Y148" s="613">
        <f t="shared" si="95"/>
        <v>97775.651849064277</v>
      </c>
      <c r="Z148" s="613">
        <f t="shared" si="95"/>
        <v>99408.505234943645</v>
      </c>
      <c r="AA148" s="613">
        <f t="shared" si="95"/>
        <v>101068.6272723672</v>
      </c>
      <c r="AB148" s="613">
        <f t="shared" si="95"/>
        <v>102756.47334781573</v>
      </c>
      <c r="AC148" s="613">
        <f t="shared" si="95"/>
        <v>104472.50645272425</v>
      </c>
      <c r="AD148" s="613">
        <f t="shared" si="95"/>
        <v>106217.19731048474</v>
      </c>
      <c r="AE148" s="613">
        <f t="shared" si="95"/>
        <v>107991.02450556983</v>
      </c>
      <c r="AF148" s="613">
        <f t="shared" si="95"/>
        <v>109794.47461481285</v>
      </c>
      <c r="AG148" s="613">
        <f t="shared" si="95"/>
        <v>111628.04234088022</v>
      </c>
      <c r="AI148" s="275"/>
    </row>
    <row r="149" spans="1:36" s="63" customFormat="1" outlineLevel="1">
      <c r="A149" s="290" t="s">
        <v>705</v>
      </c>
      <c r="B149" s="291" t="s">
        <v>127</v>
      </c>
      <c r="C149" s="615">
        <f>C146-C147-C148</f>
        <v>1127705.8996776089</v>
      </c>
      <c r="D149" s="615">
        <f t="shared" ref="D149:AF149" si="96">D146-D147-D148</f>
        <v>1126571.6593802278</v>
      </c>
      <c r="E149" s="615">
        <f t="shared" si="96"/>
        <v>1125418.4772698802</v>
      </c>
      <c r="F149" s="615">
        <f t="shared" si="96"/>
        <v>1124246.03701829</v>
      </c>
      <c r="G149" s="615">
        <f t="shared" si="96"/>
        <v>1123054.0170144981</v>
      </c>
      <c r="H149" s="615">
        <f t="shared" si="96"/>
        <v>1121842.0902766429</v>
      </c>
      <c r="I149" s="615">
        <f t="shared" si="96"/>
        <v>1120609.9243622657</v>
      </c>
      <c r="J149" s="615">
        <f t="shared" si="96"/>
        <v>1119357.1812771184</v>
      </c>
      <c r="K149" s="615">
        <f t="shared" si="96"/>
        <v>1118083.517382449</v>
      </c>
      <c r="L149" s="615">
        <f t="shared" si="96"/>
        <v>1116788.5833007386</v>
      </c>
      <c r="M149" s="615">
        <f t="shared" si="96"/>
        <v>1115472.0238198636</v>
      </c>
      <c r="N149" s="615">
        <f t="shared" si="96"/>
        <v>1114133.4777956582</v>
      </c>
      <c r="O149" s="615">
        <f t="shared" si="96"/>
        <v>1112772.5780528483</v>
      </c>
      <c r="P149" s="615">
        <f t="shared" si="96"/>
        <v>1111388.9512843336</v>
      </c>
      <c r="Q149" s="615">
        <f t="shared" si="96"/>
        <v>1109982.2179487848</v>
      </c>
      <c r="R149" s="615">
        <f t="shared" si="96"/>
        <v>1108551.9921665322</v>
      </c>
      <c r="S149" s="615">
        <f t="shared" si="96"/>
        <v>1107097.881613716</v>
      </c>
      <c r="T149" s="615">
        <f t="shared" si="96"/>
        <v>1105619.4874146678</v>
      </c>
      <c r="U149" s="615">
        <f t="shared" si="96"/>
        <v>1104116.4040324956</v>
      </c>
      <c r="V149" s="615">
        <f t="shared" si="96"/>
        <v>1102588.2191578408</v>
      </c>
      <c r="W149" s="615">
        <f t="shared" si="96"/>
        <v>1101034.5135957797</v>
      </c>
      <c r="X149" s="615">
        <f t="shared" si="96"/>
        <v>1099454.8611508319</v>
      </c>
      <c r="Y149" s="615">
        <f t="shared" si="96"/>
        <v>1097848.8285100535</v>
      </c>
      <c r="Z149" s="615">
        <f t="shared" si="96"/>
        <v>1096215.975124174</v>
      </c>
      <c r="AA149" s="615">
        <f t="shared" si="96"/>
        <v>1094555.8530867505</v>
      </c>
      <c r="AB149" s="615">
        <f t="shared" si="96"/>
        <v>1092868.007011302</v>
      </c>
      <c r="AC149" s="615">
        <f t="shared" si="96"/>
        <v>1091151.9739063934</v>
      </c>
      <c r="AD149" s="615">
        <f t="shared" si="96"/>
        <v>1089407.283048633</v>
      </c>
      <c r="AE149" s="615">
        <f t="shared" si="96"/>
        <v>1087633.4558535479</v>
      </c>
      <c r="AF149" s="615">
        <f t="shared" si="96"/>
        <v>1085830.005744305</v>
      </c>
      <c r="AG149" s="615">
        <f>AG146-AG147-AG148</f>
        <v>1083996.4380182375</v>
      </c>
      <c r="AI149" s="293"/>
      <c r="AJ149" s="294"/>
    </row>
    <row r="150" spans="1:36" outlineLevel="1">
      <c r="A150" s="106" t="s">
        <v>698</v>
      </c>
      <c r="B150" s="281" t="s">
        <v>127</v>
      </c>
      <c r="C150" s="122">
        <f>C119*C$149</f>
        <v>180432.94394841741</v>
      </c>
      <c r="D150" s="122">
        <f t="shared" ref="D150:AG155" si="97">D119*D$149</f>
        <v>182579.71359688891</v>
      </c>
      <c r="E150" s="122">
        <f t="shared" si="97"/>
        <v>184718.68606922968</v>
      </c>
      <c r="F150" s="122">
        <f t="shared" si="97"/>
        <v>186849.69135243978</v>
      </c>
      <c r="G150" s="122">
        <f t="shared" si="97"/>
        <v>188972.55592963952</v>
      </c>
      <c r="H150" s="122">
        <f t="shared" si="97"/>
        <v>191087.10271045481</v>
      </c>
      <c r="I150" s="122">
        <f t="shared" si="97"/>
        <v>193193.15096005457</v>
      </c>
      <c r="J150" s="122">
        <f t="shared" si="97"/>
        <v>195290.51622681454</v>
      </c>
      <c r="K150" s="122">
        <f t="shared" si="97"/>
        <v>197379.01026858162</v>
      </c>
      <c r="L150" s="122">
        <f t="shared" si="97"/>
        <v>199458.44097751187</v>
      </c>
      <c r="M150" s="122">
        <f t="shared" si="97"/>
        <v>201528.6123034553</v>
      </c>
      <c r="N150" s="122">
        <f t="shared" si="97"/>
        <v>203589.32417585986</v>
      </c>
      <c r="O150" s="122">
        <f t="shared" si="97"/>
        <v>205640.3724241663</v>
      </c>
      <c r="P150" s="122">
        <f t="shared" si="97"/>
        <v>207681.54869666573</v>
      </c>
      <c r="Q150" s="122">
        <f t="shared" si="97"/>
        <v>209712.64037779032</v>
      </c>
      <c r="R150" s="122">
        <f t="shared" si="97"/>
        <v>211733.43050380755</v>
      </c>
      <c r="S150" s="122">
        <f t="shared" si="97"/>
        <v>213743.697676888</v>
      </c>
      <c r="T150" s="122">
        <f t="shared" si="97"/>
        <v>215743.21597751541</v>
      </c>
      <c r="U150" s="122">
        <f t="shared" si="97"/>
        <v>217731.75487520802</v>
      </c>
      <c r="V150" s="122">
        <f t="shared" si="97"/>
        <v>219709.07913751897</v>
      </c>
      <c r="W150" s="122">
        <f t="shared" si="97"/>
        <v>221674.94873728353</v>
      </c>
      <c r="X150" s="122">
        <f t="shared" si="97"/>
        <v>223629.1187580791</v>
      </c>
      <c r="Y150" s="122">
        <f t="shared" si="97"/>
        <v>225571.33929786552</v>
      </c>
      <c r="Z150" s="122">
        <f t="shared" si="97"/>
        <v>227501.35537077012</v>
      </c>
      <c r="AA150" s="122">
        <f t="shared" si="97"/>
        <v>229418.90680698276</v>
      </c>
      <c r="AB150" s="122">
        <f t="shared" si="97"/>
        <v>231323.72815072545</v>
      </c>
      <c r="AC150" s="122">
        <f t="shared" si="97"/>
        <v>233215.54855625966</v>
      </c>
      <c r="AD150" s="122">
        <f t="shared" si="97"/>
        <v>235094.09168189485</v>
      </c>
      <c r="AE150" s="122">
        <f t="shared" si="97"/>
        <v>236959.07558195948</v>
      </c>
      <c r="AF150" s="122">
        <f t="shared" si="97"/>
        <v>238810.2125966973</v>
      </c>
      <c r="AG150" s="122">
        <f t="shared" si="97"/>
        <v>240647.20924004872</v>
      </c>
      <c r="AI150" s="201"/>
    </row>
    <row r="151" spans="1:36" outlineLevel="1">
      <c r="A151" s="106" t="s">
        <v>697</v>
      </c>
      <c r="B151" s="281" t="s">
        <v>127</v>
      </c>
      <c r="C151" s="122">
        <f t="shared" ref="C151:R155" si="98">C120*C$149</f>
        <v>417251.18288071529</v>
      </c>
      <c r="D151" s="122">
        <f t="shared" si="98"/>
        <v>408607.54085720866</v>
      </c>
      <c r="E151" s="122">
        <f t="shared" si="98"/>
        <v>399973.72682171548</v>
      </c>
      <c r="F151" s="122">
        <f t="shared" si="98"/>
        <v>391350.04548606684</v>
      </c>
      <c r="G151" s="122">
        <f t="shared" si="98"/>
        <v>382736.80899854109</v>
      </c>
      <c r="H151" s="122">
        <f t="shared" si="98"/>
        <v>374134.33710726054</v>
      </c>
      <c r="I151" s="122">
        <f t="shared" si="98"/>
        <v>365542.95732697129</v>
      </c>
      <c r="J151" s="122">
        <f t="shared" si="98"/>
        <v>356963.00510927325</v>
      </c>
      <c r="K151" s="122">
        <f t="shared" si="98"/>
        <v>348394.82401637133</v>
      </c>
      <c r="L151" s="122">
        <f t="shared" si="98"/>
        <v>339838.765898415</v>
      </c>
      <c r="M151" s="122">
        <f t="shared" si="98"/>
        <v>331295.19107449974</v>
      </c>
      <c r="N151" s="122">
        <f t="shared" si="98"/>
        <v>322764.46851740248</v>
      </c>
      <c r="O151" s="122">
        <f t="shared" si="98"/>
        <v>314246.97604212473</v>
      </c>
      <c r="P151" s="122">
        <f t="shared" si="98"/>
        <v>305743.10049832053</v>
      </c>
      <c r="Q151" s="122">
        <f t="shared" si="98"/>
        <v>297253.23796668497</v>
      </c>
      <c r="R151" s="122">
        <f t="shared" si="98"/>
        <v>288777.79395938211</v>
      </c>
      <c r="S151" s="122">
        <f t="shared" si="97"/>
        <v>280317.18362459337</v>
      </c>
      <c r="T151" s="122">
        <f t="shared" si="97"/>
        <v>271871.83195526729</v>
      </c>
      <c r="U151" s="122">
        <f t="shared" si="97"/>
        <v>263442.17400215392</v>
      </c>
      <c r="V151" s="122">
        <f t="shared" si="97"/>
        <v>255028.65509120905</v>
      </c>
      <c r="W151" s="122">
        <f t="shared" si="97"/>
        <v>246631.73104545512</v>
      </c>
      <c r="X151" s="122">
        <f t="shared" si="97"/>
        <v>238251.86841138575</v>
      </c>
      <c r="Y151" s="122">
        <f t="shared" si="97"/>
        <v>229889.54469000566</v>
      </c>
      <c r="Z151" s="122">
        <f t="shared" si="97"/>
        <v>221545.24857259603</v>
      </c>
      <c r="AA151" s="122">
        <f t="shared" si="97"/>
        <v>213219.48018129944</v>
      </c>
      <c r="AB151" s="122">
        <f t="shared" si="97"/>
        <v>204912.75131461959</v>
      </c>
      <c r="AC151" s="122">
        <f t="shared" si="97"/>
        <v>196625.58569793255</v>
      </c>
      <c r="AD151" s="122">
        <f t="shared" si="97"/>
        <v>188358.5192391091</v>
      </c>
      <c r="AE151" s="122">
        <f t="shared" si="97"/>
        <v>180112.10028934799</v>
      </c>
      <c r="AF151" s="122">
        <f t="shared" si="97"/>
        <v>171886.88990932392</v>
      </c>
      <c r="AG151" s="122">
        <f t="shared" si="97"/>
        <v>163683.46214075387</v>
      </c>
      <c r="AI151" s="201"/>
    </row>
    <row r="152" spans="1:36" outlineLevel="1">
      <c r="A152" s="106" t="s">
        <v>699</v>
      </c>
      <c r="B152" s="281" t="s">
        <v>127</v>
      </c>
      <c r="C152" s="122">
        <f t="shared" si="98"/>
        <v>90216.471974208704</v>
      </c>
      <c r="D152" s="122">
        <f t="shared" si="97"/>
        <v>90238.389916356246</v>
      </c>
      <c r="E152" s="122">
        <f t="shared" si="97"/>
        <v>90258.561877044398</v>
      </c>
      <c r="F152" s="122">
        <f t="shared" si="97"/>
        <v>90276.956772568694</v>
      </c>
      <c r="G152" s="122">
        <f t="shared" si="97"/>
        <v>90293.542967965666</v>
      </c>
      <c r="H152" s="122">
        <f t="shared" si="97"/>
        <v>90308.288267269774</v>
      </c>
      <c r="I152" s="122">
        <f t="shared" si="97"/>
        <v>90321.159903598644</v>
      </c>
      <c r="J152" s="122">
        <f t="shared" si="97"/>
        <v>90332.124529063483</v>
      </c>
      <c r="K152" s="122">
        <f t="shared" si="97"/>
        <v>90341.148204501907</v>
      </c>
      <c r="L152" s="122">
        <f t="shared" si="97"/>
        <v>90348.196389029777</v>
      </c>
      <c r="M152" s="122">
        <f t="shared" si="97"/>
        <v>90353.233929408976</v>
      </c>
      <c r="N152" s="122">
        <f t="shared" si="97"/>
        <v>90356.225049227913</v>
      </c>
      <c r="O152" s="122">
        <f t="shared" si="97"/>
        <v>90357.133337891326</v>
      </c>
      <c r="P152" s="122">
        <f t="shared" si="97"/>
        <v>90355.921739416372</v>
      </c>
      <c r="Q152" s="122">
        <f t="shared" si="97"/>
        <v>90352.552541031124</v>
      </c>
      <c r="R152" s="122">
        <f t="shared" si="97"/>
        <v>90346.987361572421</v>
      </c>
      <c r="S152" s="122">
        <f t="shared" si="97"/>
        <v>90339.187139679285</v>
      </c>
      <c r="T152" s="122">
        <f t="shared" si="97"/>
        <v>90329.112121778424</v>
      </c>
      <c r="U152" s="122">
        <f t="shared" si="97"/>
        <v>90316.721849858193</v>
      </c>
      <c r="V152" s="122">
        <f t="shared" si="97"/>
        <v>90301.975149027232</v>
      </c>
      <c r="W152" s="122">
        <f t="shared" si="97"/>
        <v>90284.83011485399</v>
      </c>
      <c r="X152" s="122">
        <f t="shared" si="97"/>
        <v>90265.244100483367</v>
      </c>
      <c r="Y152" s="122">
        <f t="shared" si="97"/>
        <v>90243.173703526467</v>
      </c>
      <c r="Z152" s="122">
        <f t="shared" si="97"/>
        <v>90218.574752719593</v>
      </c>
      <c r="AA152" s="122">
        <f t="shared" si="97"/>
        <v>90191.402294348314</v>
      </c>
      <c r="AB152" s="122">
        <f t="shared" si="97"/>
        <v>90161.610578432505</v>
      </c>
      <c r="AC152" s="122">
        <f t="shared" si="97"/>
        <v>90129.153044668172</v>
      </c>
      <c r="AD152" s="122">
        <f t="shared" si="97"/>
        <v>90093.982308122038</v>
      </c>
      <c r="AE152" s="122">
        <f t="shared" si="97"/>
        <v>90056.050144673849</v>
      </c>
      <c r="AF152" s="122">
        <f t="shared" si="97"/>
        <v>90015.307476202972</v>
      </c>
      <c r="AG152" s="122">
        <f t="shared" si="97"/>
        <v>89971.704355513721</v>
      </c>
      <c r="AI152" s="201"/>
    </row>
    <row r="153" spans="1:36" outlineLevel="1">
      <c r="A153" s="106" t="s">
        <v>700</v>
      </c>
      <c r="B153" s="281" t="s">
        <v>127</v>
      </c>
      <c r="C153" s="122">
        <f t="shared" si="98"/>
        <v>304480.59291295439</v>
      </c>
      <c r="D153" s="122">
        <f t="shared" si="97"/>
        <v>307704.2725653862</v>
      </c>
      <c r="E153" s="122">
        <f t="shared" si="97"/>
        <v>310915.61132042558</v>
      </c>
      <c r="F153" s="122">
        <f t="shared" si="97"/>
        <v>314114.3427429102</v>
      </c>
      <c r="G153" s="122">
        <f t="shared" si="97"/>
        <v>317300.19494049618</v>
      </c>
      <c r="H153" s="122">
        <f t="shared" si="97"/>
        <v>320472.89045569429</v>
      </c>
      <c r="I153" s="122">
        <f t="shared" si="97"/>
        <v>323632.14615582227</v>
      </c>
      <c r="J153" s="122">
        <f t="shared" si="97"/>
        <v>326777.67312083335</v>
      </c>
      <c r="K153" s="122">
        <f t="shared" si="97"/>
        <v>329909.17652898119</v>
      </c>
      <c r="L153" s="122">
        <f t="shared" si="97"/>
        <v>333026.35554028017</v>
      </c>
      <c r="M153" s="122">
        <f t="shared" si="97"/>
        <v>336128.90317771875</v>
      </c>
      <c r="N153" s="122">
        <f t="shared" si="97"/>
        <v>339216.50620618457</v>
      </c>
      <c r="O153" s="122">
        <f t="shared" si="97"/>
        <v>342288.84500905604</v>
      </c>
      <c r="P153" s="122">
        <f t="shared" si="97"/>
        <v>345345.59346241842</v>
      </c>
      <c r="Q153" s="122">
        <f t="shared" si="97"/>
        <v>348386.41880685842</v>
      </c>
      <c r="R153" s="122">
        <f t="shared" si="97"/>
        <v>351410.98151679052</v>
      </c>
      <c r="S153" s="122">
        <f t="shared" si="97"/>
        <v>354418.93516727077</v>
      </c>
      <c r="T153" s="122">
        <f t="shared" si="97"/>
        <v>357409.92629824812</v>
      </c>
      <c r="U153" s="122">
        <f t="shared" si="97"/>
        <v>360383.59427620634</v>
      </c>
      <c r="V153" s="122">
        <f t="shared" si="97"/>
        <v>363339.57115314691</v>
      </c>
      <c r="W153" s="122">
        <f t="shared" si="97"/>
        <v>366277.48152286245</v>
      </c>
      <c r="X153" s="122">
        <f t="shared" si="97"/>
        <v>369196.94237444911</v>
      </c>
      <c r="Y153" s="122">
        <f t="shared" si="97"/>
        <v>372097.56294300716</v>
      </c>
      <c r="Z153" s="122">
        <f t="shared" si="97"/>
        <v>374978.94455747551</v>
      </c>
      <c r="AA153" s="122">
        <f t="shared" si="97"/>
        <v>377840.68048554595</v>
      </c>
      <c r="AB153" s="122">
        <f t="shared" si="97"/>
        <v>380682.35577560321</v>
      </c>
      <c r="AC153" s="122">
        <f t="shared" si="97"/>
        <v>383503.5470956334</v>
      </c>
      <c r="AD153" s="122">
        <f t="shared" si="97"/>
        <v>386303.82256904495</v>
      </c>
      <c r="AE153" s="122">
        <f t="shared" si="97"/>
        <v>389082.74160734221</v>
      </c>
      <c r="AF153" s="122">
        <f t="shared" si="97"/>
        <v>391839.85473959451</v>
      </c>
      <c r="AG153" s="122">
        <f t="shared" si="97"/>
        <v>394574.70343863842</v>
      </c>
      <c r="AI153" s="201"/>
    </row>
    <row r="154" spans="1:36" outlineLevel="1">
      <c r="A154" s="106" t="s">
        <v>701</v>
      </c>
      <c r="B154" s="281" t="s">
        <v>127</v>
      </c>
      <c r="C154" s="122">
        <f t="shared" si="98"/>
        <v>78939.412977432628</v>
      </c>
      <c r="D154" s="122">
        <f t="shared" si="97"/>
        <v>80287.006925164242</v>
      </c>
      <c r="E154" s="122">
        <f t="shared" si="97"/>
        <v>81630.353551308654</v>
      </c>
      <c r="F154" s="122">
        <f t="shared" si="97"/>
        <v>82969.357531949805</v>
      </c>
      <c r="G154" s="122">
        <f t="shared" si="97"/>
        <v>84303.921543888326</v>
      </c>
      <c r="H154" s="122">
        <f t="shared" si="97"/>
        <v>85633.94622445041</v>
      </c>
      <c r="I154" s="122">
        <f t="shared" si="97"/>
        <v>86959.330130511822</v>
      </c>
      <c r="J154" s="122">
        <f t="shared" si="97"/>
        <v>88279.969696722066</v>
      </c>
      <c r="K154" s="122">
        <f t="shared" si="97"/>
        <v>89595.759192913582</v>
      </c>
      <c r="L154" s="122">
        <f t="shared" si="97"/>
        <v>90906.590680680121</v>
      </c>
      <c r="M154" s="122">
        <f t="shared" si="97"/>
        <v>92212.353969108721</v>
      </c>
      <c r="N154" s="122">
        <f t="shared" si="97"/>
        <v>93512.936569648911</v>
      </c>
      <c r="O154" s="122">
        <f t="shared" si="97"/>
        <v>94808.223650102678</v>
      </c>
      <c r="P154" s="122">
        <f t="shared" si="97"/>
        <v>96098.097987718706</v>
      </c>
      <c r="Q154" s="122">
        <f t="shared" si="97"/>
        <v>97382.439921373385</v>
      </c>
      <c r="R154" s="122">
        <f t="shared" si="97"/>
        <v>98661.127302821362</v>
      </c>
      <c r="S154" s="122">
        <f t="shared" si="97"/>
        <v>99934.035446998096</v>
      </c>
      <c r="T154" s="122">
        <f t="shared" si="97"/>
        <v>101201.03708135593</v>
      </c>
      <c r="U154" s="122">
        <f t="shared" si="97"/>
        <v>102462.00229421558</v>
      </c>
      <c r="V154" s="122">
        <f t="shared" si="97"/>
        <v>103716.79848211422</v>
      </c>
      <c r="W154" s="122">
        <f t="shared" si="97"/>
        <v>104965.29029613099</v>
      </c>
      <c r="X154" s="122">
        <f t="shared" si="97"/>
        <v>106207.33958717035</v>
      </c>
      <c r="Y154" s="122">
        <f t="shared" si="97"/>
        <v>107442.80535018389</v>
      </c>
      <c r="Z154" s="122">
        <f t="shared" si="97"/>
        <v>108671.54366730977</v>
      </c>
      <c r="AA154" s="122">
        <f t="shared" si="97"/>
        <v>109893.40764990974</v>
      </c>
      <c r="AB154" s="122">
        <f t="shared" si="97"/>
        <v>111108.24737948236</v>
      </c>
      <c r="AC154" s="122">
        <f t="shared" si="97"/>
        <v>112315.90984743141</v>
      </c>
      <c r="AD154" s="122">
        <f t="shared" si="97"/>
        <v>113516.23889366754</v>
      </c>
      <c r="AE154" s="122">
        <f t="shared" si="97"/>
        <v>114709.07514402084</v>
      </c>
      <c r="AF154" s="122">
        <f t="shared" si="97"/>
        <v>115894.25594644214</v>
      </c>
      <c r="AG154" s="122">
        <f t="shared" si="97"/>
        <v>117071.61530596965</v>
      </c>
      <c r="AI154" s="201"/>
    </row>
    <row r="155" spans="1:36" outlineLevel="1">
      <c r="A155" s="106" t="s">
        <v>702</v>
      </c>
      <c r="B155" s="281" t="s">
        <v>127</v>
      </c>
      <c r="C155" s="122">
        <f t="shared" si="98"/>
        <v>56385.294983880449</v>
      </c>
      <c r="D155" s="122">
        <f t="shared" si="97"/>
        <v>57154.735519223563</v>
      </c>
      <c r="E155" s="122">
        <f t="shared" si="97"/>
        <v>57921.537630156512</v>
      </c>
      <c r="F155" s="122">
        <f t="shared" si="97"/>
        <v>58685.643132354751</v>
      </c>
      <c r="G155" s="122">
        <f t="shared" si="97"/>
        <v>59446.992633967449</v>
      </c>
      <c r="H155" s="122">
        <f t="shared" si="97"/>
        <v>60205.525511513188</v>
      </c>
      <c r="I155" s="122">
        <f t="shared" si="97"/>
        <v>60961.179885307276</v>
      </c>
      <c r="J155" s="122">
        <f t="shared" si="97"/>
        <v>61713.892594411816</v>
      </c>
      <c r="K155" s="122">
        <f t="shared" si="97"/>
        <v>62463.599171099508</v>
      </c>
      <c r="L155" s="122">
        <f t="shared" si="97"/>
        <v>63210.233814821833</v>
      </c>
      <c r="M155" s="122">
        <f t="shared" si="97"/>
        <v>63953.72936567221</v>
      </c>
      <c r="N155" s="122">
        <f t="shared" si="97"/>
        <v>64694.017277334584</v>
      </c>
      <c r="O155" s="122">
        <f t="shared" si="97"/>
        <v>65431.027589507517</v>
      </c>
      <c r="P155" s="122">
        <f t="shared" si="97"/>
        <v>66164.688899794026</v>
      </c>
      <c r="Q155" s="122">
        <f t="shared" si="97"/>
        <v>66894.928335046803</v>
      </c>
      <c r="R155" s="122">
        <f t="shared" si="97"/>
        <v>67621.671522158504</v>
      </c>
      <c r="S155" s="122">
        <f t="shared" si="97"/>
        <v>68344.842558286779</v>
      </c>
      <c r="T155" s="122">
        <f t="shared" si="97"/>
        <v>69064.363980502967</v>
      </c>
      <c r="U155" s="122">
        <f t="shared" si="97"/>
        <v>69780.156734853779</v>
      </c>
      <c r="V155" s="122">
        <f t="shared" si="97"/>
        <v>70492.140144824676</v>
      </c>
      <c r="W155" s="122">
        <f t="shared" si="97"/>
        <v>71200.231879193816</v>
      </c>
      <c r="X155" s="122">
        <f t="shared" si="97"/>
        <v>71904.347919264474</v>
      </c>
      <c r="Y155" s="122">
        <f t="shared" si="97"/>
        <v>72604.402525464931</v>
      </c>
      <c r="Z155" s="122">
        <f t="shared" si="97"/>
        <v>73300.308203303168</v>
      </c>
      <c r="AA155" s="122">
        <f t="shared" si="97"/>
        <v>73991.975668664396</v>
      </c>
      <c r="AB155" s="122">
        <f t="shared" si="97"/>
        <v>74679.313812439039</v>
      </c>
      <c r="AC155" s="122">
        <f t="shared" si="97"/>
        <v>75362.229664468308</v>
      </c>
      <c r="AD155" s="122">
        <f t="shared" si="97"/>
        <v>76040.628356794667</v>
      </c>
      <c r="AE155" s="122">
        <f t="shared" si="97"/>
        <v>76714.413086203655</v>
      </c>
      <c r="AF155" s="122">
        <f t="shared" si="97"/>
        <v>77383.48507604422</v>
      </c>
      <c r="AG155" s="122">
        <f t="shared" si="97"/>
        <v>78047.743537313087</v>
      </c>
      <c r="AI155" s="201"/>
    </row>
    <row r="156" spans="1:36" s="55" customFormat="1">
      <c r="A156" s="55" t="s">
        <v>704</v>
      </c>
      <c r="B156" s="282"/>
      <c r="C156" s="611">
        <f>C47</f>
        <v>1195624.4803591177</v>
      </c>
      <c r="D156" s="611">
        <f t="shared" ref="D156:AG156" si="99">D47</f>
        <v>1192620.2649780982</v>
      </c>
      <c r="E156" s="611">
        <f t="shared" si="99"/>
        <v>1189616.0495970785</v>
      </c>
      <c r="F156" s="611">
        <f t="shared" si="99"/>
        <v>1186611.8342160592</v>
      </c>
      <c r="G156" s="611">
        <f t="shared" si="99"/>
        <v>1183607.6188350394</v>
      </c>
      <c r="H156" s="611">
        <f t="shared" si="99"/>
        <v>1180603.4034540197</v>
      </c>
      <c r="I156" s="611">
        <f t="shared" si="99"/>
        <v>1174473.0583993348</v>
      </c>
      <c r="J156" s="611">
        <f t="shared" si="99"/>
        <v>1168342.7133446496</v>
      </c>
      <c r="K156" s="611">
        <f t="shared" si="99"/>
        <v>1162212.3682899647</v>
      </c>
      <c r="L156" s="611">
        <f t="shared" si="99"/>
        <v>1156082.0232352796</v>
      </c>
      <c r="M156" s="611">
        <f t="shared" si="99"/>
        <v>1149951.6781805947</v>
      </c>
      <c r="N156" s="611">
        <f t="shared" si="99"/>
        <v>1141897.8479951199</v>
      </c>
      <c r="O156" s="611">
        <f t="shared" si="99"/>
        <v>1134178.01832848</v>
      </c>
      <c r="P156" s="611">
        <f t="shared" si="99"/>
        <v>1125600.4510160843</v>
      </c>
      <c r="Q156" s="611">
        <f t="shared" si="99"/>
        <v>1117022.0436721405</v>
      </c>
      <c r="R156" s="611">
        <f t="shared" si="99"/>
        <v>1108442.8054201279</v>
      </c>
      <c r="S156" s="611">
        <f t="shared" si="99"/>
        <v>1099862.7453835262</v>
      </c>
      <c r="T156" s="611">
        <f t="shared" si="99"/>
        <v>1091281.8726858157</v>
      </c>
      <c r="U156" s="611">
        <f t="shared" si="99"/>
        <v>1082700.1964504749</v>
      </c>
      <c r="V156" s="611">
        <f t="shared" si="99"/>
        <v>1074117.7258009841</v>
      </c>
      <c r="W156" s="611">
        <f t="shared" si="99"/>
        <v>1065534.4698608224</v>
      </c>
      <c r="X156" s="611">
        <f t="shared" si="99"/>
        <v>1054114.4154908634</v>
      </c>
      <c r="Y156" s="611">
        <f t="shared" si="99"/>
        <v>1045618.4843349896</v>
      </c>
      <c r="Z156" s="611">
        <f t="shared" si="99"/>
        <v>1036254.5678851213</v>
      </c>
      <c r="AA156" s="611">
        <f t="shared" si="99"/>
        <v>1026887.4987991037</v>
      </c>
      <c r="AB156" s="611">
        <f t="shared" si="99"/>
        <v>1017517.4823552278</v>
      </c>
      <c r="AC156" s="611">
        <f t="shared" si="99"/>
        <v>1008049.9926295526</v>
      </c>
      <c r="AD156" s="611">
        <f t="shared" si="99"/>
        <v>998579.96610260115</v>
      </c>
      <c r="AE156" s="611">
        <f t="shared" si="99"/>
        <v>989107.60805266455</v>
      </c>
      <c r="AF156" s="611">
        <f t="shared" si="99"/>
        <v>979633.12375803408</v>
      </c>
      <c r="AG156" s="611">
        <f t="shared" si="99"/>
        <v>970156.7184970004</v>
      </c>
      <c r="AI156" s="284"/>
      <c r="AJ156" s="285"/>
    </row>
    <row r="157" spans="1:36" s="55" customFormat="1">
      <c r="A157" s="286" t="s">
        <v>173</v>
      </c>
      <c r="B157" s="287" t="s">
        <v>127</v>
      </c>
      <c r="C157" s="614">
        <f>C156-C146</f>
        <v>0</v>
      </c>
      <c r="D157" s="614">
        <f t="shared" ref="D157:AG157" si="100">D156-D146</f>
        <v>-3004.2153810195159</v>
      </c>
      <c r="E157" s="614">
        <f t="shared" si="100"/>
        <v>-6008.4307620392647</v>
      </c>
      <c r="F157" s="614">
        <f t="shared" si="100"/>
        <v>-9012.6461430585478</v>
      </c>
      <c r="G157" s="614">
        <f t="shared" si="100"/>
        <v>-12016.861524078296</v>
      </c>
      <c r="H157" s="614">
        <f t="shared" si="100"/>
        <v>-15021.076905098045</v>
      </c>
      <c r="I157" s="614">
        <f t="shared" si="100"/>
        <v>-21151.421959782951</v>
      </c>
      <c r="J157" s="614">
        <f t="shared" si="100"/>
        <v>-27281.767014468089</v>
      </c>
      <c r="K157" s="614">
        <f t="shared" si="100"/>
        <v>-33412.112069152994</v>
      </c>
      <c r="L157" s="614">
        <f t="shared" si="100"/>
        <v>-39542.457123838132</v>
      </c>
      <c r="M157" s="614">
        <f t="shared" si="100"/>
        <v>-45672.802178523038</v>
      </c>
      <c r="N157" s="614">
        <f t="shared" si="100"/>
        <v>-53726.632363997865</v>
      </c>
      <c r="O157" s="614">
        <f t="shared" si="100"/>
        <v>-61446.462030637776</v>
      </c>
      <c r="P157" s="614">
        <f t="shared" si="100"/>
        <v>-70024.029343033442</v>
      </c>
      <c r="Q157" s="614">
        <f t="shared" si="100"/>
        <v>-78602.436686977278</v>
      </c>
      <c r="R157" s="614">
        <f t="shared" si="100"/>
        <v>-87181.674938989803</v>
      </c>
      <c r="S157" s="614">
        <f t="shared" si="100"/>
        <v>-95761.734975591535</v>
      </c>
      <c r="T157" s="614">
        <f t="shared" si="100"/>
        <v>-104342.60767330206</v>
      </c>
      <c r="U157" s="614">
        <f t="shared" si="100"/>
        <v>-112924.28390864283</v>
      </c>
      <c r="V157" s="614">
        <f t="shared" si="100"/>
        <v>-121506.75455813366</v>
      </c>
      <c r="W157" s="614">
        <f t="shared" si="100"/>
        <v>-130090.01049829531</v>
      </c>
      <c r="X157" s="614">
        <f t="shared" si="100"/>
        <v>-141510.06486825435</v>
      </c>
      <c r="Y157" s="614">
        <f t="shared" si="100"/>
        <v>-150005.99602412817</v>
      </c>
      <c r="Z157" s="614">
        <f t="shared" si="100"/>
        <v>-159369.9124739964</v>
      </c>
      <c r="AA157" s="614">
        <f t="shared" si="100"/>
        <v>-168736.98156001407</v>
      </c>
      <c r="AB157" s="614">
        <f t="shared" si="100"/>
        <v>-178106.99800388992</v>
      </c>
      <c r="AC157" s="614">
        <f t="shared" si="100"/>
        <v>-187574.48772956512</v>
      </c>
      <c r="AD157" s="614">
        <f t="shared" si="100"/>
        <v>-197044.51425651659</v>
      </c>
      <c r="AE157" s="614">
        <f t="shared" si="100"/>
        <v>-206516.87230645318</v>
      </c>
      <c r="AF157" s="614">
        <f t="shared" si="100"/>
        <v>-215991.35660108365</v>
      </c>
      <c r="AG157" s="614">
        <f t="shared" si="100"/>
        <v>-225467.76186211733</v>
      </c>
      <c r="AI157" s="284"/>
      <c r="AJ157" s="285"/>
    </row>
    <row r="158" spans="1:36">
      <c r="A158" s="289" t="s">
        <v>696</v>
      </c>
      <c r="B158" s="281" t="s">
        <v>127</v>
      </c>
      <c r="C158" s="613">
        <f>C213</f>
        <v>67918.5806815088</v>
      </c>
      <c r="D158" s="613">
        <f t="shared" ref="D158:AG158" si="101">D213</f>
        <v>72818.578477682415</v>
      </c>
      <c r="E158" s="613">
        <f t="shared" si="101"/>
        <v>77752.767952490132</v>
      </c>
      <c r="F158" s="613">
        <f t="shared" si="101"/>
        <v>82719.856292281416</v>
      </c>
      <c r="G158" s="613">
        <f t="shared" si="101"/>
        <v>87718.550683405731</v>
      </c>
      <c r="H158" s="613">
        <f t="shared" si="101"/>
        <v>92747.55831221251</v>
      </c>
      <c r="I158" s="613">
        <f t="shared" si="101"/>
        <v>97604.510131046758</v>
      </c>
      <c r="J158" s="613">
        <f t="shared" si="101"/>
        <v>102474.26631015533</v>
      </c>
      <c r="K158" s="613">
        <f t="shared" si="101"/>
        <v>107355.53403588767</v>
      </c>
      <c r="L158" s="613">
        <f t="shared" si="101"/>
        <v>112247.02049459322</v>
      </c>
      <c r="M158" s="613">
        <f t="shared" si="101"/>
        <v>117147.43287262144</v>
      </c>
      <c r="N158" s="613">
        <f t="shared" si="101"/>
        <v>126197.51320965122</v>
      </c>
      <c r="O158" s="613">
        <f t="shared" si="101"/>
        <v>135289.6838198849</v>
      </c>
      <c r="P158" s="613">
        <f t="shared" si="101"/>
        <v>144240.55044385139</v>
      </c>
      <c r="Q158" s="613">
        <f t="shared" si="101"/>
        <v>153162.85359715685</v>
      </c>
      <c r="R158" s="613">
        <f t="shared" si="101"/>
        <v>162052.39001833557</v>
      </c>
      <c r="S158" s="613">
        <f t="shared" si="101"/>
        <v>170904.95893173851</v>
      </c>
      <c r="T158" s="613">
        <f t="shared" si="101"/>
        <v>179716.36201191178</v>
      </c>
      <c r="U158" s="613">
        <f t="shared" si="101"/>
        <v>188482.40334797456</v>
      </c>
      <c r="V158" s="613">
        <f t="shared" si="101"/>
        <v>197198.88940799792</v>
      </c>
      <c r="W158" s="613">
        <f t="shared" si="101"/>
        <v>205861.62900338287</v>
      </c>
      <c r="X158" s="613">
        <f t="shared" si="101"/>
        <v>219970.52828083758</v>
      </c>
      <c r="Y158" s="613">
        <f t="shared" si="101"/>
        <v>234687.84134961336</v>
      </c>
      <c r="Z158" s="613">
        <f t="shared" si="101"/>
        <v>249015.3338723937</v>
      </c>
      <c r="AA158" s="613">
        <f t="shared" si="101"/>
        <v>263204.26600889687</v>
      </c>
      <c r="AB158" s="613">
        <f t="shared" si="101"/>
        <v>277249.53402787622</v>
      </c>
      <c r="AC158" s="613">
        <f t="shared" si="101"/>
        <v>291130.1734939501</v>
      </c>
      <c r="AD158" s="613">
        <f t="shared" si="101"/>
        <v>304855.50286064099</v>
      </c>
      <c r="AE158" s="613">
        <f t="shared" si="101"/>
        <v>318420.50470918452</v>
      </c>
      <c r="AF158" s="613">
        <f t="shared" si="101"/>
        <v>331820.18755092903</v>
      </c>
      <c r="AG158" s="613">
        <f t="shared" si="101"/>
        <v>345049.58440697828</v>
      </c>
      <c r="AI158" s="275"/>
    </row>
    <row r="159" spans="1:36" s="63" customFormat="1">
      <c r="A159" s="290" t="s">
        <v>705</v>
      </c>
      <c r="B159" s="291" t="s">
        <v>127</v>
      </c>
      <c r="C159" s="615">
        <f>C156-C158</f>
        <v>1127705.8996776089</v>
      </c>
      <c r="D159" s="615">
        <f t="shared" ref="D159:AG159" si="102">D156-D158</f>
        <v>1119801.6865004159</v>
      </c>
      <c r="E159" s="615">
        <f t="shared" si="102"/>
        <v>1111863.2816445883</v>
      </c>
      <c r="F159" s="615">
        <f t="shared" si="102"/>
        <v>1103891.9779237779</v>
      </c>
      <c r="G159" s="615">
        <f t="shared" si="102"/>
        <v>1095889.0681516337</v>
      </c>
      <c r="H159" s="615">
        <f t="shared" si="102"/>
        <v>1087855.8451418071</v>
      </c>
      <c r="I159" s="615">
        <f t="shared" si="102"/>
        <v>1076868.5482682879</v>
      </c>
      <c r="J159" s="615">
        <f t="shared" si="102"/>
        <v>1065868.4470344943</v>
      </c>
      <c r="K159" s="615">
        <f t="shared" si="102"/>
        <v>1054856.8342540772</v>
      </c>
      <c r="L159" s="615">
        <f t="shared" si="102"/>
        <v>1043835.0027406864</v>
      </c>
      <c r="M159" s="615">
        <f t="shared" si="102"/>
        <v>1032804.2453079732</v>
      </c>
      <c r="N159" s="615">
        <f t="shared" si="102"/>
        <v>1015700.3347854686</v>
      </c>
      <c r="O159" s="615">
        <f t="shared" si="102"/>
        <v>998888.33450859506</v>
      </c>
      <c r="P159" s="615">
        <f t="shared" si="102"/>
        <v>981359.9005722329</v>
      </c>
      <c r="Q159" s="615">
        <f t="shared" si="102"/>
        <v>963859.19007498363</v>
      </c>
      <c r="R159" s="615">
        <f t="shared" si="102"/>
        <v>946390.41540179239</v>
      </c>
      <c r="S159" s="615">
        <f t="shared" si="102"/>
        <v>928957.78645178769</v>
      </c>
      <c r="T159" s="615">
        <f t="shared" si="102"/>
        <v>911565.51067390386</v>
      </c>
      <c r="U159" s="615">
        <f t="shared" si="102"/>
        <v>894217.79310250038</v>
      </c>
      <c r="V159" s="615">
        <f t="shared" si="102"/>
        <v>876918.83639298612</v>
      </c>
      <c r="W159" s="615">
        <f t="shared" si="102"/>
        <v>859672.84085743956</v>
      </c>
      <c r="X159" s="615">
        <f t="shared" si="102"/>
        <v>834143.8872100258</v>
      </c>
      <c r="Y159" s="615">
        <f t="shared" si="102"/>
        <v>810930.64298537618</v>
      </c>
      <c r="Z159" s="615">
        <f t="shared" si="102"/>
        <v>787239.23401272763</v>
      </c>
      <c r="AA159" s="615">
        <f t="shared" si="102"/>
        <v>763683.23279020679</v>
      </c>
      <c r="AB159" s="615">
        <f t="shared" si="102"/>
        <v>740267.94832735159</v>
      </c>
      <c r="AC159" s="615">
        <f t="shared" si="102"/>
        <v>716919.81913560256</v>
      </c>
      <c r="AD159" s="615">
        <f t="shared" si="102"/>
        <v>693724.46324196015</v>
      </c>
      <c r="AE159" s="615">
        <f t="shared" si="102"/>
        <v>670687.10334348003</v>
      </c>
      <c r="AF159" s="615">
        <f t="shared" si="102"/>
        <v>647812.93620710506</v>
      </c>
      <c r="AG159" s="615">
        <f t="shared" si="102"/>
        <v>625107.13409002218</v>
      </c>
      <c r="AI159" s="293"/>
      <c r="AJ159" s="294"/>
    </row>
    <row r="160" spans="1:36" s="55" customFormat="1" outlineLevel="1">
      <c r="A160" s="286" t="s">
        <v>732</v>
      </c>
      <c r="B160" s="287" t="s">
        <v>126</v>
      </c>
      <c r="C160" s="614">
        <f>C156*C126</f>
        <v>1004324.5635016588</v>
      </c>
      <c r="D160" s="614">
        <f t="shared" ref="D160:AG160" si="103">D156*D126</f>
        <v>1006571.5036415148</v>
      </c>
      <c r="E160" s="614">
        <f t="shared" si="103"/>
        <v>1008794.4100583225</v>
      </c>
      <c r="F160" s="614">
        <f t="shared" si="103"/>
        <v>1010993.2827520825</v>
      </c>
      <c r="G160" s="614">
        <f t="shared" si="103"/>
        <v>1013168.1217227938</v>
      </c>
      <c r="H160" s="614">
        <f t="shared" si="103"/>
        <v>1015318.926970457</v>
      </c>
      <c r="I160" s="614">
        <f t="shared" si="103"/>
        <v>1014744.7224570252</v>
      </c>
      <c r="J160" s="614">
        <f t="shared" si="103"/>
        <v>1014121.4751831559</v>
      </c>
      <c r="K160" s="614">
        <f t="shared" si="103"/>
        <v>1013449.1851488493</v>
      </c>
      <c r="L160" s="614">
        <f t="shared" si="103"/>
        <v>1012727.852354105</v>
      </c>
      <c r="M160" s="614">
        <f t="shared" si="103"/>
        <v>1011957.4767989233</v>
      </c>
      <c r="N160" s="614">
        <f t="shared" si="103"/>
        <v>1009437.697627686</v>
      </c>
      <c r="O160" s="614">
        <f t="shared" si="103"/>
        <v>1007150.0802756902</v>
      </c>
      <c r="P160" s="614">
        <f t="shared" si="103"/>
        <v>1004035.6023063472</v>
      </c>
      <c r="Q160" s="614">
        <f t="shared" si="103"/>
        <v>1000851.7511302378</v>
      </c>
      <c r="R160" s="614">
        <f t="shared" si="103"/>
        <v>997598.52487811516</v>
      </c>
      <c r="S160" s="614">
        <f t="shared" si="103"/>
        <v>994275.92182670766</v>
      </c>
      <c r="T160" s="614">
        <f t="shared" si="103"/>
        <v>990883.94039872068</v>
      </c>
      <c r="U160" s="614">
        <f t="shared" si="103"/>
        <v>987422.57916283316</v>
      </c>
      <c r="V160" s="614">
        <f t="shared" si="103"/>
        <v>983891.83683370147</v>
      </c>
      <c r="W160" s="614">
        <f t="shared" si="103"/>
        <v>980291.71227195673</v>
      </c>
      <c r="X160" s="614">
        <f t="shared" si="103"/>
        <v>974001.71991355775</v>
      </c>
      <c r="Y160" s="614">
        <f t="shared" si="103"/>
        <v>970333.95346287033</v>
      </c>
      <c r="Z160" s="614">
        <f t="shared" si="103"/>
        <v>965789.25726893311</v>
      </c>
      <c r="AA160" s="614">
        <f t="shared" si="103"/>
        <v>961166.69887596113</v>
      </c>
      <c r="AB160" s="614">
        <f t="shared" si="103"/>
        <v>956466.43341391417</v>
      </c>
      <c r="AC160" s="614">
        <f t="shared" si="103"/>
        <v>951599.19304229773</v>
      </c>
      <c r="AD160" s="614">
        <f t="shared" si="103"/>
        <v>946653.80786526599</v>
      </c>
      <c r="AE160" s="614">
        <f t="shared" si="103"/>
        <v>941630.44286613667</v>
      </c>
      <c r="AF160" s="614">
        <f t="shared" si="103"/>
        <v>936529.26631268067</v>
      </c>
      <c r="AG160" s="614">
        <f t="shared" si="103"/>
        <v>931350.44975712034</v>
      </c>
      <c r="AI160" s="284"/>
      <c r="AJ160" s="316" t="s">
        <v>1624</v>
      </c>
    </row>
    <row r="161" spans="1:36" s="55" customFormat="1" outlineLevel="1">
      <c r="A161" s="286" t="s">
        <v>743</v>
      </c>
      <c r="B161" s="287" t="s">
        <v>126</v>
      </c>
      <c r="C161" s="614">
        <f>C160*C127</f>
        <v>220951.40397036495</v>
      </c>
      <c r="D161" s="614">
        <f t="shared" ref="D161:AG161" si="104">D160*D127</f>
        <v>228156.20749207668</v>
      </c>
      <c r="E161" s="614">
        <f t="shared" si="104"/>
        <v>235385.3623469419</v>
      </c>
      <c r="F161" s="614">
        <f t="shared" si="104"/>
        <v>242638.38786049976</v>
      </c>
      <c r="G161" s="614">
        <f t="shared" si="104"/>
        <v>249914.80335828909</v>
      </c>
      <c r="H161" s="614">
        <f t="shared" si="104"/>
        <v>257214.12816584905</v>
      </c>
      <c r="I161" s="614">
        <f t="shared" si="104"/>
        <v>263833.62783882651</v>
      </c>
      <c r="J161" s="614">
        <f t="shared" si="104"/>
        <v>270432.39338217484</v>
      </c>
      <c r="K161" s="614">
        <f t="shared" si="104"/>
        <v>277009.44394068542</v>
      </c>
      <c r="L161" s="614">
        <f t="shared" si="104"/>
        <v>283563.79865914932</v>
      </c>
      <c r="M161" s="614">
        <f t="shared" si="104"/>
        <v>290094.4766823579</v>
      </c>
      <c r="N161" s="614">
        <f t="shared" si="104"/>
        <v>296101.72463745443</v>
      </c>
      <c r="O161" s="614">
        <f t="shared" si="104"/>
        <v>302145.02408270695</v>
      </c>
      <c r="P161" s="614">
        <f t="shared" si="104"/>
        <v>307904.25137394638</v>
      </c>
      <c r="Q161" s="614">
        <f t="shared" si="104"/>
        <v>313600.21535414102</v>
      </c>
      <c r="R161" s="614">
        <f t="shared" si="104"/>
        <v>319231.52796099667</v>
      </c>
      <c r="S161" s="614">
        <f t="shared" si="104"/>
        <v>324796.80113005766</v>
      </c>
      <c r="T161" s="614">
        <f t="shared" si="104"/>
        <v>330294.64679957338</v>
      </c>
      <c r="U161" s="614">
        <f t="shared" si="104"/>
        <v>335723.67691536306</v>
      </c>
      <c r="V161" s="614">
        <f t="shared" si="104"/>
        <v>341082.50343568297</v>
      </c>
      <c r="W161" s="614">
        <f t="shared" si="104"/>
        <v>346369.73833609116</v>
      </c>
      <c r="X161" s="614">
        <f t="shared" si="104"/>
        <v>350640.61916888057</v>
      </c>
      <c r="Y161" s="614">
        <f t="shared" si="104"/>
        <v>355789.11626971886</v>
      </c>
      <c r="Z161" s="614">
        <f t="shared" si="104"/>
        <v>360561.32271373476</v>
      </c>
      <c r="AA161" s="614">
        <f t="shared" si="104"/>
        <v>365243.34557286499</v>
      </c>
      <c r="AB161" s="614">
        <f t="shared" si="104"/>
        <v>369833.68758671323</v>
      </c>
      <c r="AC161" s="614">
        <f t="shared" si="104"/>
        <v>374295.68259663682</v>
      </c>
      <c r="AD161" s="614">
        <f t="shared" si="104"/>
        <v>378661.5231461061</v>
      </c>
      <c r="AE161" s="614">
        <f t="shared" si="104"/>
        <v>382929.7134322286</v>
      </c>
      <c r="AF161" s="614">
        <f t="shared" si="104"/>
        <v>387098.76340924104</v>
      </c>
      <c r="AG161" s="614">
        <f t="shared" si="104"/>
        <v>391167.18889799051</v>
      </c>
      <c r="AI161" s="284"/>
      <c r="AJ161" s="316" t="s">
        <v>1625</v>
      </c>
    </row>
    <row r="162" spans="1:36" s="59" customFormat="1" outlineLevel="1">
      <c r="A162" s="290" t="s">
        <v>744</v>
      </c>
      <c r="B162" s="291" t="s">
        <v>126</v>
      </c>
      <c r="C162" s="615">
        <f>C160*C128</f>
        <v>783373.1595312939</v>
      </c>
      <c r="D162" s="615">
        <f t="shared" ref="D162:AG162" si="105">D160*D128</f>
        <v>778415.29614943813</v>
      </c>
      <c r="E162" s="615">
        <f t="shared" si="105"/>
        <v>773409.04771138064</v>
      </c>
      <c r="F162" s="615">
        <f t="shared" si="105"/>
        <v>768354.89489158266</v>
      </c>
      <c r="G162" s="615">
        <f t="shared" si="105"/>
        <v>763253.31836450472</v>
      </c>
      <c r="H162" s="615">
        <f t="shared" si="105"/>
        <v>758104.79880460794</v>
      </c>
      <c r="I162" s="615">
        <f t="shared" si="105"/>
        <v>750911.09461819869</v>
      </c>
      <c r="J162" s="615">
        <f t="shared" si="105"/>
        <v>743689.08180098108</v>
      </c>
      <c r="K162" s="615">
        <f t="shared" si="105"/>
        <v>736439.7412081639</v>
      </c>
      <c r="L162" s="615">
        <f t="shared" si="105"/>
        <v>729164.05369495566</v>
      </c>
      <c r="M162" s="615">
        <f t="shared" si="105"/>
        <v>721863.00011656538</v>
      </c>
      <c r="N162" s="615">
        <f t="shared" si="105"/>
        <v>713335.97299023147</v>
      </c>
      <c r="O162" s="615">
        <f t="shared" si="105"/>
        <v>705005.05619298329</v>
      </c>
      <c r="P162" s="615">
        <f t="shared" si="105"/>
        <v>696131.35093240091</v>
      </c>
      <c r="Q162" s="615">
        <f t="shared" si="105"/>
        <v>687251.53577609675</v>
      </c>
      <c r="R162" s="615">
        <f t="shared" si="105"/>
        <v>678366.99691711843</v>
      </c>
      <c r="S162" s="615">
        <f t="shared" si="105"/>
        <v>669479.12069665</v>
      </c>
      <c r="T162" s="615">
        <f t="shared" si="105"/>
        <v>660589.29359914735</v>
      </c>
      <c r="U162" s="615">
        <f t="shared" si="105"/>
        <v>651698.90224746999</v>
      </c>
      <c r="V162" s="615">
        <f t="shared" si="105"/>
        <v>642809.3333980185</v>
      </c>
      <c r="W162" s="615">
        <f t="shared" si="105"/>
        <v>633921.97393586568</v>
      </c>
      <c r="X162" s="615">
        <f t="shared" si="105"/>
        <v>623361.10074467724</v>
      </c>
      <c r="Y162" s="615">
        <f t="shared" si="105"/>
        <v>614544.83719315135</v>
      </c>
      <c r="Z162" s="615">
        <f t="shared" si="105"/>
        <v>605227.9345551983</v>
      </c>
      <c r="AA162" s="615">
        <f t="shared" si="105"/>
        <v>595923.35330309626</v>
      </c>
      <c r="AB162" s="615">
        <f t="shared" si="105"/>
        <v>586632.74582720094</v>
      </c>
      <c r="AC162" s="615">
        <f t="shared" si="105"/>
        <v>577303.51044566091</v>
      </c>
      <c r="AD162" s="615">
        <f t="shared" si="105"/>
        <v>567992.28471915994</v>
      </c>
      <c r="AE162" s="615">
        <f t="shared" si="105"/>
        <v>558700.72943390813</v>
      </c>
      <c r="AF162" s="615">
        <f t="shared" si="105"/>
        <v>549430.50290343969</v>
      </c>
      <c r="AG162" s="615">
        <f t="shared" si="105"/>
        <v>540183.26085912983</v>
      </c>
      <c r="AI162" s="319"/>
      <c r="AJ162" s="318" t="s">
        <v>1626</v>
      </c>
    </row>
    <row r="163" spans="1:36" s="1" customFormat="1" outlineLevel="1">
      <c r="A163" t="s">
        <v>725</v>
      </c>
      <c r="B163" s="281" t="s">
        <v>127</v>
      </c>
      <c r="C163" s="613">
        <f>C129*C160</f>
        <v>853675.87897641002</v>
      </c>
      <c r="D163" s="613">
        <f t="shared" ref="D163:AG163" si="106">D129*D160</f>
        <v>853908.15892255167</v>
      </c>
      <c r="E163" s="613">
        <f t="shared" si="106"/>
        <v>854112.60051604628</v>
      </c>
      <c r="F163" s="613">
        <f t="shared" si="106"/>
        <v>854289.32392550958</v>
      </c>
      <c r="G163" s="613">
        <f t="shared" si="106"/>
        <v>854438.44931955589</v>
      </c>
      <c r="H163" s="613">
        <f t="shared" si="106"/>
        <v>854560.09686680103</v>
      </c>
      <c r="I163" s="613">
        <f t="shared" si="106"/>
        <v>852385.56686390087</v>
      </c>
      <c r="J163" s="613">
        <f t="shared" si="106"/>
        <v>850171.83669521206</v>
      </c>
      <c r="K163" s="613">
        <f t="shared" si="106"/>
        <v>847919.15157453693</v>
      </c>
      <c r="L163" s="613">
        <f t="shared" si="106"/>
        <v>845627.75671567733</v>
      </c>
      <c r="M163" s="613">
        <f t="shared" si="106"/>
        <v>843297.89733243571</v>
      </c>
      <c r="N163" s="613">
        <f t="shared" si="106"/>
        <v>839515.68519369175</v>
      </c>
      <c r="O163" s="613">
        <f t="shared" si="106"/>
        <v>835934.56662882236</v>
      </c>
      <c r="P163" s="613">
        <f t="shared" si="106"/>
        <v>831676.15724375704</v>
      </c>
      <c r="Q163" s="613">
        <f t="shared" si="106"/>
        <v>827370.78093432938</v>
      </c>
      <c r="R163" s="613">
        <f t="shared" si="106"/>
        <v>823018.78302444436</v>
      </c>
      <c r="S163" s="613">
        <f t="shared" si="106"/>
        <v>818620.50897065538</v>
      </c>
      <c r="T163" s="613">
        <f t="shared" si="106"/>
        <v>814176.30436094815</v>
      </c>
      <c r="U163" s="613">
        <f t="shared" si="106"/>
        <v>809686.51491352252</v>
      </c>
      <c r="V163" s="613">
        <f t="shared" si="106"/>
        <v>805151.48647557828</v>
      </c>
      <c r="W163" s="613">
        <f t="shared" si="106"/>
        <v>800571.5650220972</v>
      </c>
      <c r="X163" s="613">
        <f t="shared" si="106"/>
        <v>793811.40172954882</v>
      </c>
      <c r="Y163" s="613">
        <f t="shared" si="106"/>
        <v>789204.94881646708</v>
      </c>
      <c r="Z163" s="613">
        <f t="shared" si="106"/>
        <v>783898.94714994985</v>
      </c>
      <c r="AA163" s="613">
        <f t="shared" si="106"/>
        <v>778545.02608952764</v>
      </c>
      <c r="AB163" s="613">
        <f t="shared" si="106"/>
        <v>773143.70034291304</v>
      </c>
      <c r="AC163" s="613">
        <f t="shared" si="106"/>
        <v>767623.3490541192</v>
      </c>
      <c r="AD163" s="613">
        <f t="shared" si="106"/>
        <v>762056.31533153809</v>
      </c>
      <c r="AE163" s="613">
        <f t="shared" si="106"/>
        <v>756443.12243579538</v>
      </c>
      <c r="AF163" s="613">
        <f t="shared" si="106"/>
        <v>750784.29516066459</v>
      </c>
      <c r="AG163" s="613">
        <f t="shared" si="106"/>
        <v>745080.35980569629</v>
      </c>
      <c r="AI163" s="295"/>
      <c r="AJ163" s="198" t="s">
        <v>1627</v>
      </c>
    </row>
    <row r="164" spans="1:36" s="1" customFormat="1" outlineLevel="1">
      <c r="A164" t="s">
        <v>731</v>
      </c>
      <c r="B164" s="281" t="s">
        <v>127</v>
      </c>
      <c r="C164" s="613">
        <f>C130*C160</f>
        <v>150648.68452524883</v>
      </c>
      <c r="D164" s="613">
        <f t="shared" ref="D164:AG164" si="107">D130*D160</f>
        <v>152663.34471896308</v>
      </c>
      <c r="E164" s="613">
        <f t="shared" si="107"/>
        <v>154681.80954227614</v>
      </c>
      <c r="F164" s="613">
        <f t="shared" si="107"/>
        <v>156703.95882657281</v>
      </c>
      <c r="G164" s="613">
        <f t="shared" si="107"/>
        <v>158729.67240323772</v>
      </c>
      <c r="H164" s="613">
        <f t="shared" si="107"/>
        <v>160758.83010365572</v>
      </c>
      <c r="I164" s="613">
        <f t="shared" si="107"/>
        <v>162359.1555931241</v>
      </c>
      <c r="J164" s="613">
        <f t="shared" si="107"/>
        <v>163949.63848794359</v>
      </c>
      <c r="K164" s="613">
        <f t="shared" si="107"/>
        <v>165530.03357431214</v>
      </c>
      <c r="L164" s="613">
        <f t="shared" si="107"/>
        <v>167100.09563842742</v>
      </c>
      <c r="M164" s="613">
        <f t="shared" si="107"/>
        <v>168659.57946648734</v>
      </c>
      <c r="N164" s="613">
        <f t="shared" si="107"/>
        <v>169922.01243399392</v>
      </c>
      <c r="O164" s="613">
        <f t="shared" si="107"/>
        <v>171215.51364686745</v>
      </c>
      <c r="P164" s="613">
        <f t="shared" si="107"/>
        <v>172359.44506258974</v>
      </c>
      <c r="Q164" s="613">
        <f t="shared" si="107"/>
        <v>173480.97019590804</v>
      </c>
      <c r="R164" s="613">
        <f t="shared" si="107"/>
        <v>174579.7418536703</v>
      </c>
      <c r="S164" s="613">
        <f t="shared" si="107"/>
        <v>175655.41285605184</v>
      </c>
      <c r="T164" s="613">
        <f t="shared" si="107"/>
        <v>176707.63603777203</v>
      </c>
      <c r="U164" s="613">
        <f t="shared" si="107"/>
        <v>177736.06424931015</v>
      </c>
      <c r="V164" s="613">
        <f t="shared" si="107"/>
        <v>178740.35035812264</v>
      </c>
      <c r="W164" s="613">
        <f t="shared" si="107"/>
        <v>179720.14724985894</v>
      </c>
      <c r="X164" s="613">
        <f t="shared" si="107"/>
        <v>180190.31818400839</v>
      </c>
      <c r="Y164" s="613">
        <f t="shared" si="107"/>
        <v>181129.0046464027</v>
      </c>
      <c r="Z164" s="613">
        <f t="shared" si="107"/>
        <v>181890.31011898263</v>
      </c>
      <c r="AA164" s="613">
        <f t="shared" si="107"/>
        <v>182621.67278643284</v>
      </c>
      <c r="AB164" s="613">
        <f t="shared" si="107"/>
        <v>183322.73307100046</v>
      </c>
      <c r="AC164" s="613">
        <f t="shared" si="107"/>
        <v>183975.84398817783</v>
      </c>
      <c r="AD164" s="613">
        <f t="shared" si="107"/>
        <v>184597.49253372714</v>
      </c>
      <c r="AE164" s="613">
        <f t="shared" si="107"/>
        <v>185187.32043034048</v>
      </c>
      <c r="AF164" s="613">
        <f t="shared" si="107"/>
        <v>185744.97115201529</v>
      </c>
      <c r="AG164" s="613">
        <f t="shared" si="107"/>
        <v>186270.08995142407</v>
      </c>
      <c r="AI164" s="295"/>
      <c r="AJ164" s="198" t="s">
        <v>1628</v>
      </c>
    </row>
    <row r="165" spans="1:36" s="1" customFormat="1" outlineLevel="1">
      <c r="A165" t="s">
        <v>726</v>
      </c>
      <c r="B165" s="281" t="s">
        <v>127</v>
      </c>
      <c r="C165" s="613">
        <f>C163*C131</f>
        <v>128051.3818464615</v>
      </c>
      <c r="D165" s="613">
        <f t="shared" ref="D165:AG165" si="108">D163*D131</f>
        <v>133494.30884489225</v>
      </c>
      <c r="E165" s="613">
        <f t="shared" si="108"/>
        <v>138935.64968394351</v>
      </c>
      <c r="F165" s="613">
        <f t="shared" si="108"/>
        <v>144374.89574341109</v>
      </c>
      <c r="G165" s="613">
        <f t="shared" si="108"/>
        <v>149811.54144736211</v>
      </c>
      <c r="H165" s="613">
        <f t="shared" si="108"/>
        <v>155245.08426413551</v>
      </c>
      <c r="I165" s="613">
        <f t="shared" si="108"/>
        <v>160248.48657041334</v>
      </c>
      <c r="J165" s="613">
        <f t="shared" si="108"/>
        <v>165216.72693110284</v>
      </c>
      <c r="K165" s="613">
        <f t="shared" si="108"/>
        <v>170149.10974929039</v>
      </c>
      <c r="L165" s="613">
        <f t="shared" si="108"/>
        <v>175044.94564014516</v>
      </c>
      <c r="M165" s="613">
        <f t="shared" si="108"/>
        <v>179903.55143091959</v>
      </c>
      <c r="N165" s="613">
        <f t="shared" si="108"/>
        <v>184413.61218088091</v>
      </c>
      <c r="O165" s="613">
        <f t="shared" si="108"/>
        <v>188921.2120581138</v>
      </c>
      <c r="P165" s="613">
        <f t="shared" si="108"/>
        <v>193226.09386629952</v>
      </c>
      <c r="Q165" s="613">
        <f t="shared" si="108"/>
        <v>197465.82638299323</v>
      </c>
      <c r="R165" s="613">
        <f t="shared" si="108"/>
        <v>201639.60184098882</v>
      </c>
      <c r="S165" s="613">
        <f t="shared" si="108"/>
        <v>205746.62125462468</v>
      </c>
      <c r="T165" s="613">
        <f t="shared" si="108"/>
        <v>209786.09442367096</v>
      </c>
      <c r="U165" s="613">
        <f t="shared" si="108"/>
        <v>213757.23993716994</v>
      </c>
      <c r="V165" s="613">
        <f t="shared" si="108"/>
        <v>217659.28517723136</v>
      </c>
      <c r="W165" s="613">
        <f t="shared" si="108"/>
        <v>221491.46632278027</v>
      </c>
      <c r="X165" s="613">
        <f t="shared" si="108"/>
        <v>224648.62668946237</v>
      </c>
      <c r="Y165" s="613">
        <f t="shared" si="108"/>
        <v>228343.29852423121</v>
      </c>
      <c r="Z165" s="613">
        <f t="shared" si="108"/>
        <v>231772.78870733528</v>
      </c>
      <c r="AA165" s="613">
        <f t="shared" si="108"/>
        <v>235120.59787903746</v>
      </c>
      <c r="AB165" s="613">
        <f t="shared" si="108"/>
        <v>238385.97427239834</v>
      </c>
      <c r="AC165" s="613">
        <f t="shared" si="108"/>
        <v>241545.480502363</v>
      </c>
      <c r="AD165" s="613">
        <f t="shared" si="108"/>
        <v>244620.07722142391</v>
      </c>
      <c r="AE165" s="613">
        <f t="shared" si="108"/>
        <v>247609.04874398388</v>
      </c>
      <c r="AF165" s="613">
        <f t="shared" si="108"/>
        <v>250511.69315194196</v>
      </c>
      <c r="AG165" s="613">
        <f t="shared" si="108"/>
        <v>253327.32233393675</v>
      </c>
      <c r="AI165" s="295"/>
      <c r="AJ165" s="198" t="s">
        <v>1629</v>
      </c>
    </row>
    <row r="166" spans="1:36" s="1" customFormat="1" outlineLevel="1">
      <c r="A166" t="s">
        <v>727</v>
      </c>
      <c r="B166" s="281" t="s">
        <v>127</v>
      </c>
      <c r="C166" s="613">
        <f>C163*C132</f>
        <v>725624.49712994846</v>
      </c>
      <c r="D166" s="613">
        <f t="shared" ref="D166:AG166" si="109">D163*D132</f>
        <v>720413.85007765947</v>
      </c>
      <c r="E166" s="613">
        <f t="shared" si="109"/>
        <v>715176.9508321028</v>
      </c>
      <c r="F166" s="613">
        <f t="shared" si="109"/>
        <v>709914.42818209855</v>
      </c>
      <c r="G166" s="613">
        <f t="shared" si="109"/>
        <v>704626.90787219384</v>
      </c>
      <c r="H166" s="613">
        <f t="shared" si="109"/>
        <v>699315.01260266558</v>
      </c>
      <c r="I166" s="613">
        <f t="shared" si="109"/>
        <v>692137.08029348764</v>
      </c>
      <c r="J166" s="613">
        <f t="shared" si="109"/>
        <v>684955.10976410937</v>
      </c>
      <c r="K166" s="613">
        <f t="shared" si="109"/>
        <v>677770.04182524676</v>
      </c>
      <c r="L166" s="613">
        <f t="shared" si="109"/>
        <v>670582.81107553234</v>
      </c>
      <c r="M166" s="613">
        <f t="shared" si="109"/>
        <v>663394.34590151638</v>
      </c>
      <c r="N166" s="613">
        <f t="shared" si="109"/>
        <v>655102.07301281102</v>
      </c>
      <c r="O166" s="613">
        <f t="shared" si="109"/>
        <v>647013.35457070882</v>
      </c>
      <c r="P166" s="613">
        <f t="shared" si="109"/>
        <v>638450.06337745779</v>
      </c>
      <c r="Q166" s="613">
        <f t="shared" si="109"/>
        <v>629904.95455133647</v>
      </c>
      <c r="R166" s="613">
        <f t="shared" si="109"/>
        <v>621379.18118345586</v>
      </c>
      <c r="S166" s="613">
        <f t="shared" si="109"/>
        <v>612873.88771603105</v>
      </c>
      <c r="T166" s="613">
        <f t="shared" si="109"/>
        <v>604390.2099372776</v>
      </c>
      <c r="U166" s="613">
        <f t="shared" si="109"/>
        <v>595929.27497635304</v>
      </c>
      <c r="V166" s="613">
        <f t="shared" si="109"/>
        <v>587492.20129834744</v>
      </c>
      <c r="W166" s="613">
        <f t="shared" si="109"/>
        <v>579080.09869931743</v>
      </c>
      <c r="X166" s="613">
        <f t="shared" si="109"/>
        <v>569162.77504008706</v>
      </c>
      <c r="Y166" s="613">
        <f t="shared" si="109"/>
        <v>560861.65029223647</v>
      </c>
      <c r="Z166" s="613">
        <f t="shared" si="109"/>
        <v>552126.15844261518</v>
      </c>
      <c r="AA166" s="613">
        <f t="shared" si="109"/>
        <v>543424.42821049085</v>
      </c>
      <c r="AB166" s="613">
        <f t="shared" si="109"/>
        <v>534757.72607051546</v>
      </c>
      <c r="AC166" s="613">
        <f t="shared" si="109"/>
        <v>526077.86855175695</v>
      </c>
      <c r="AD166" s="613">
        <f t="shared" si="109"/>
        <v>517436.23811011499</v>
      </c>
      <c r="AE166" s="613">
        <f t="shared" si="109"/>
        <v>508834.07369181234</v>
      </c>
      <c r="AF166" s="613">
        <f t="shared" si="109"/>
        <v>500272.60200872348</v>
      </c>
      <c r="AG166" s="613">
        <f t="shared" si="109"/>
        <v>491753.0374717596</v>
      </c>
      <c r="AI166" s="295"/>
      <c r="AJ166" s="198" t="s">
        <v>1630</v>
      </c>
    </row>
    <row r="167" spans="1:36" s="1" customFormat="1" outlineLevel="1">
      <c r="A167" t="s">
        <v>730</v>
      </c>
      <c r="B167" s="281" t="s">
        <v>127</v>
      </c>
      <c r="C167" s="613">
        <f>C133*C166</f>
        <v>0</v>
      </c>
      <c r="D167" s="613">
        <f t="shared" ref="D167:AG167" si="110">D133*D166</f>
        <v>0</v>
      </c>
      <c r="E167" s="613">
        <f t="shared" si="110"/>
        <v>0</v>
      </c>
      <c r="F167" s="613">
        <f t="shared" si="110"/>
        <v>0</v>
      </c>
      <c r="G167" s="613">
        <f t="shared" si="110"/>
        <v>0</v>
      </c>
      <c r="H167" s="613">
        <f t="shared" si="110"/>
        <v>0</v>
      </c>
      <c r="I167" s="613">
        <f t="shared" si="110"/>
        <v>0</v>
      </c>
      <c r="J167" s="613">
        <f t="shared" si="110"/>
        <v>0</v>
      </c>
      <c r="K167" s="613">
        <f t="shared" si="110"/>
        <v>0</v>
      </c>
      <c r="L167" s="613">
        <f t="shared" si="110"/>
        <v>0</v>
      </c>
      <c r="M167" s="613">
        <f t="shared" si="110"/>
        <v>0</v>
      </c>
      <c r="N167" s="613">
        <f t="shared" si="110"/>
        <v>0</v>
      </c>
      <c r="O167" s="613">
        <f t="shared" si="110"/>
        <v>0</v>
      </c>
      <c r="P167" s="613">
        <f t="shared" si="110"/>
        <v>0</v>
      </c>
      <c r="Q167" s="613">
        <f t="shared" si="110"/>
        <v>0</v>
      </c>
      <c r="R167" s="613">
        <f t="shared" si="110"/>
        <v>0</v>
      </c>
      <c r="S167" s="613">
        <f t="shared" si="110"/>
        <v>0</v>
      </c>
      <c r="T167" s="613">
        <f t="shared" si="110"/>
        <v>0</v>
      </c>
      <c r="U167" s="613">
        <f t="shared" si="110"/>
        <v>0</v>
      </c>
      <c r="V167" s="613">
        <f t="shared" si="110"/>
        <v>0</v>
      </c>
      <c r="W167" s="613">
        <f t="shared" si="110"/>
        <v>0</v>
      </c>
      <c r="X167" s="613">
        <f t="shared" si="110"/>
        <v>0</v>
      </c>
      <c r="Y167" s="613">
        <f t="shared" si="110"/>
        <v>0</v>
      </c>
      <c r="Z167" s="613">
        <f t="shared" si="110"/>
        <v>0</v>
      </c>
      <c r="AA167" s="613">
        <f t="shared" si="110"/>
        <v>0</v>
      </c>
      <c r="AB167" s="613">
        <f t="shared" si="110"/>
        <v>0</v>
      </c>
      <c r="AC167" s="613">
        <f t="shared" si="110"/>
        <v>0</v>
      </c>
      <c r="AD167" s="613">
        <f t="shared" si="110"/>
        <v>0</v>
      </c>
      <c r="AE167" s="613">
        <f t="shared" si="110"/>
        <v>0</v>
      </c>
      <c r="AF167" s="613">
        <f t="shared" si="110"/>
        <v>0</v>
      </c>
      <c r="AG167" s="613">
        <f t="shared" si="110"/>
        <v>0</v>
      </c>
      <c r="AI167" s="295"/>
      <c r="AJ167" s="198" t="s">
        <v>1631</v>
      </c>
    </row>
    <row r="168" spans="1:36" s="1" customFormat="1" outlineLevel="1">
      <c r="A168" t="s">
        <v>758</v>
      </c>
      <c r="B168" s="281" t="s">
        <v>127</v>
      </c>
      <c r="C168" s="613">
        <f>C134*C166</f>
        <v>725624.49712994846</v>
      </c>
      <c r="D168" s="613">
        <f t="shared" ref="D168:AG168" si="111">D134*D166</f>
        <v>720413.85007765947</v>
      </c>
      <c r="E168" s="613">
        <f t="shared" si="111"/>
        <v>715176.9508321028</v>
      </c>
      <c r="F168" s="613">
        <f t="shared" si="111"/>
        <v>709914.42818209855</v>
      </c>
      <c r="G168" s="613">
        <f t="shared" si="111"/>
        <v>704626.90787219384</v>
      </c>
      <c r="H168" s="613">
        <f t="shared" si="111"/>
        <v>699315.01260266558</v>
      </c>
      <c r="I168" s="613">
        <f t="shared" si="111"/>
        <v>692137.08029348764</v>
      </c>
      <c r="J168" s="613">
        <f t="shared" si="111"/>
        <v>684955.10976410937</v>
      </c>
      <c r="K168" s="613">
        <f t="shared" si="111"/>
        <v>677770.04182524676</v>
      </c>
      <c r="L168" s="613">
        <f t="shared" si="111"/>
        <v>670582.81107553234</v>
      </c>
      <c r="M168" s="613">
        <f t="shared" si="111"/>
        <v>663394.34590151638</v>
      </c>
      <c r="N168" s="613">
        <f t="shared" si="111"/>
        <v>655102.07301281102</v>
      </c>
      <c r="O168" s="613">
        <f t="shared" si="111"/>
        <v>647013.35457070882</v>
      </c>
      <c r="P168" s="613">
        <f t="shared" si="111"/>
        <v>638450.06337745779</v>
      </c>
      <c r="Q168" s="613">
        <f t="shared" si="111"/>
        <v>629904.95455133647</v>
      </c>
      <c r="R168" s="613">
        <f t="shared" si="111"/>
        <v>621379.18118345586</v>
      </c>
      <c r="S168" s="613">
        <f t="shared" si="111"/>
        <v>612873.88771603105</v>
      </c>
      <c r="T168" s="613">
        <f t="shared" si="111"/>
        <v>604390.2099372776</v>
      </c>
      <c r="U168" s="613">
        <f t="shared" si="111"/>
        <v>595929.27497635304</v>
      </c>
      <c r="V168" s="613">
        <f t="shared" si="111"/>
        <v>587492.20129834744</v>
      </c>
      <c r="W168" s="613">
        <f t="shared" si="111"/>
        <v>579080.09869931743</v>
      </c>
      <c r="X168" s="613">
        <f t="shared" si="111"/>
        <v>569162.77504008706</v>
      </c>
      <c r="Y168" s="613">
        <f t="shared" si="111"/>
        <v>560861.65029223647</v>
      </c>
      <c r="Z168" s="613">
        <f t="shared" si="111"/>
        <v>552126.15844261518</v>
      </c>
      <c r="AA168" s="613">
        <f t="shared" si="111"/>
        <v>543424.42821049085</v>
      </c>
      <c r="AB168" s="613">
        <f t="shared" si="111"/>
        <v>534757.72607051546</v>
      </c>
      <c r="AC168" s="613">
        <f t="shared" si="111"/>
        <v>526077.86855175695</v>
      </c>
      <c r="AD168" s="613">
        <f t="shared" si="111"/>
        <v>517436.23811011499</v>
      </c>
      <c r="AE168" s="613">
        <f t="shared" si="111"/>
        <v>508834.07369181234</v>
      </c>
      <c r="AF168" s="613">
        <f t="shared" si="111"/>
        <v>500272.60200872348</v>
      </c>
      <c r="AG168" s="613">
        <f t="shared" si="111"/>
        <v>491753.0374717596</v>
      </c>
      <c r="AI168" s="295"/>
      <c r="AJ168" s="198" t="s">
        <v>1632</v>
      </c>
    </row>
    <row r="169" spans="1:36" s="1" customFormat="1" outlineLevel="1">
      <c r="A169" t="s">
        <v>728</v>
      </c>
      <c r="B169" s="281" t="s">
        <v>127</v>
      </c>
      <c r="C169" s="613">
        <f>C135*(C167+C165)</f>
        <v>102441.10547716921</v>
      </c>
      <c r="D169" s="613">
        <f t="shared" ref="D169:AG169" si="112">D135*(D167+D165)</f>
        <v>107240.42810539677</v>
      </c>
      <c r="E169" s="613">
        <f t="shared" si="112"/>
        <v>112074.75741171442</v>
      </c>
      <c r="F169" s="613">
        <f t="shared" si="112"/>
        <v>116943.66555216297</v>
      </c>
      <c r="G169" s="613">
        <f t="shared" si="112"/>
        <v>121846.72037718783</v>
      </c>
      <c r="H169" s="613">
        <f t="shared" si="112"/>
        <v>126783.48548237732</v>
      </c>
      <c r="I169" s="613">
        <f t="shared" si="112"/>
        <v>131403.75898773893</v>
      </c>
      <c r="J169" s="613">
        <f t="shared" si="112"/>
        <v>136028.43850660796</v>
      </c>
      <c r="K169" s="613">
        <f t="shared" si="112"/>
        <v>140656.59739274668</v>
      </c>
      <c r="L169" s="613">
        <f t="shared" si="112"/>
        <v>145287.30488132045</v>
      </c>
      <c r="M169" s="613">
        <f t="shared" si="112"/>
        <v>149919.62619243294</v>
      </c>
      <c r="N169" s="613">
        <f t="shared" si="112"/>
        <v>154292.72219133697</v>
      </c>
      <c r="O169" s="613">
        <f t="shared" si="112"/>
        <v>158693.81812881553</v>
      </c>
      <c r="P169" s="613">
        <f t="shared" si="112"/>
        <v>162954.00582724586</v>
      </c>
      <c r="Q169" s="613">
        <f t="shared" si="112"/>
        <v>167187.7330042675</v>
      </c>
      <c r="R169" s="613">
        <f t="shared" si="112"/>
        <v>171393.66156484041</v>
      </c>
      <c r="S169" s="613">
        <f t="shared" si="112"/>
        <v>175570.45013727964</v>
      </c>
      <c r="T169" s="613">
        <f t="shared" si="112"/>
        <v>179716.75422294467</v>
      </c>
      <c r="U169" s="613">
        <f t="shared" si="112"/>
        <v>183831.22634596602</v>
      </c>
      <c r="V169" s="613">
        <f t="shared" si="112"/>
        <v>187912.51620300961</v>
      </c>
      <c r="W169" s="613">
        <f t="shared" si="112"/>
        <v>191959.27081307609</v>
      </c>
      <c r="X169" s="613">
        <f t="shared" si="112"/>
        <v>195444.30521983211</v>
      </c>
      <c r="Y169" s="613">
        <f t="shared" si="112"/>
        <v>199419.81404449511</v>
      </c>
      <c r="Z169" s="613">
        <f t="shared" si="112"/>
        <v>203187.4781000971</v>
      </c>
      <c r="AA169" s="613">
        <f t="shared" si="112"/>
        <v>206906.12613355278</v>
      </c>
      <c r="AB169" s="613">
        <f t="shared" si="112"/>
        <v>210574.27727395168</v>
      </c>
      <c r="AC169" s="613">
        <f t="shared" si="112"/>
        <v>214170.32604542832</v>
      </c>
      <c r="AD169" s="613">
        <f t="shared" si="112"/>
        <v>217711.86872706708</v>
      </c>
      <c r="AE169" s="613">
        <f t="shared" si="112"/>
        <v>221197.41687795869</v>
      </c>
      <c r="AF169" s="613">
        <f t="shared" si="112"/>
        <v>224625.48485957438</v>
      </c>
      <c r="AG169" s="613">
        <f t="shared" si="112"/>
        <v>227994.59010054308</v>
      </c>
      <c r="AH169" s="234"/>
      <c r="AI169" s="295"/>
      <c r="AJ169" s="198" t="s">
        <v>1633</v>
      </c>
    </row>
    <row r="170" spans="1:36" s="1" customFormat="1" outlineLevel="1">
      <c r="A170" t="s">
        <v>729</v>
      </c>
      <c r="B170" s="281" t="s">
        <v>127</v>
      </c>
      <c r="C170" s="613">
        <f>C136*(C167+C165)</f>
        <v>25610.276369292304</v>
      </c>
      <c r="D170" s="613">
        <f t="shared" ref="D170:AG170" si="113">D136*(D167+D165)</f>
        <v>26253.880739495478</v>
      </c>
      <c r="E170" s="613">
        <f t="shared" si="113"/>
        <v>26860.892272229081</v>
      </c>
      <c r="F170" s="613">
        <f t="shared" si="113"/>
        <v>27431.230191248113</v>
      </c>
      <c r="G170" s="613">
        <f t="shared" si="113"/>
        <v>27964.821070174265</v>
      </c>
      <c r="H170" s="613">
        <f t="shared" si="113"/>
        <v>28461.598781758184</v>
      </c>
      <c r="I170" s="613">
        <f t="shared" si="113"/>
        <v>28844.727582674408</v>
      </c>
      <c r="J170" s="613">
        <f t="shared" si="113"/>
        <v>29188.288424494844</v>
      </c>
      <c r="K170" s="613">
        <f t="shared" si="113"/>
        <v>29492.512356543677</v>
      </c>
      <c r="L170" s="613">
        <f t="shared" si="113"/>
        <v>29757.640758824688</v>
      </c>
      <c r="M170" s="613">
        <f t="shared" si="113"/>
        <v>29983.925238486612</v>
      </c>
      <c r="N170" s="613">
        <f t="shared" si="113"/>
        <v>30120.889989543895</v>
      </c>
      <c r="O170" s="613">
        <f t="shared" si="113"/>
        <v>30227.393929298225</v>
      </c>
      <c r="P170" s="613">
        <f t="shared" si="113"/>
        <v>30272.088039053608</v>
      </c>
      <c r="Q170" s="613">
        <f t="shared" si="113"/>
        <v>30278.093378725647</v>
      </c>
      <c r="R170" s="613">
        <f t="shared" si="113"/>
        <v>30245.940276148343</v>
      </c>
      <c r="S170" s="613">
        <f t="shared" si="113"/>
        <v>30176.171117344977</v>
      </c>
      <c r="T170" s="613">
        <f t="shared" si="113"/>
        <v>30069.340200726198</v>
      </c>
      <c r="U170" s="613">
        <f t="shared" si="113"/>
        <v>29926.01359120382</v>
      </c>
      <c r="V170" s="613">
        <f t="shared" si="113"/>
        <v>29746.768974221646</v>
      </c>
      <c r="W170" s="613">
        <f t="shared" si="113"/>
        <v>29532.195509704066</v>
      </c>
      <c r="X170" s="613">
        <f t="shared" si="113"/>
        <v>29204.32146963014</v>
      </c>
      <c r="Y170" s="613">
        <f t="shared" si="113"/>
        <v>28923.484479735987</v>
      </c>
      <c r="Z170" s="613">
        <f t="shared" si="113"/>
        <v>28585.310607238054</v>
      </c>
      <c r="AA170" s="613">
        <f t="shared" si="113"/>
        <v>28214.471745484534</v>
      </c>
      <c r="AB170" s="613">
        <f t="shared" si="113"/>
        <v>27811.696998446514</v>
      </c>
      <c r="AC170" s="613">
        <f t="shared" si="113"/>
        <v>27375.154456934517</v>
      </c>
      <c r="AD170" s="613">
        <f t="shared" si="113"/>
        <v>26908.208494356673</v>
      </c>
      <c r="AE170" s="613">
        <f t="shared" si="113"/>
        <v>26411.631866024993</v>
      </c>
      <c r="AF170" s="613">
        <f t="shared" si="113"/>
        <v>25886.208292367384</v>
      </c>
      <c r="AG170" s="613">
        <f t="shared" si="113"/>
        <v>25332.732233393675</v>
      </c>
      <c r="AI170" s="295"/>
      <c r="AJ170" s="198" t="s">
        <v>1634</v>
      </c>
    </row>
    <row r="171" spans="1:36" s="1" customFormat="1" outlineLevel="1">
      <c r="A171" t="s">
        <v>739</v>
      </c>
      <c r="B171" s="281" t="s">
        <v>127</v>
      </c>
      <c r="C171" s="613">
        <f>C164*C137</f>
        <v>143116.25029898639</v>
      </c>
      <c r="D171" s="613">
        <f t="shared" ref="D171:AG171" si="114">D164*D137</f>
        <v>144826.62635672299</v>
      </c>
      <c r="E171" s="613">
        <f t="shared" si="114"/>
        <v>146535.23423971626</v>
      </c>
      <c r="F171" s="613">
        <f t="shared" si="114"/>
        <v>148241.94504993787</v>
      </c>
      <c r="G171" s="613">
        <f t="shared" si="114"/>
        <v>149946.63053025858</v>
      </c>
      <c r="H171" s="613">
        <f t="shared" si="114"/>
        <v>151649.1630644486</v>
      </c>
      <c r="I171" s="613">
        <f t="shared" si="114"/>
        <v>152942.32456872292</v>
      </c>
      <c r="J171" s="613">
        <f t="shared" si="114"/>
        <v>154221.95993765898</v>
      </c>
      <c r="K171" s="613">
        <f t="shared" si="114"/>
        <v>155487.87820413723</v>
      </c>
      <c r="L171" s="613">
        <f t="shared" si="114"/>
        <v>156739.88970884497</v>
      </c>
      <c r="M171" s="613">
        <f t="shared" si="114"/>
        <v>157977.80610027653</v>
      </c>
      <c r="N171" s="613">
        <f t="shared" si="114"/>
        <v>158933.72229659572</v>
      </c>
      <c r="O171" s="613">
        <f t="shared" si="114"/>
        <v>159915.28974617427</v>
      </c>
      <c r="P171" s="613">
        <f t="shared" si="114"/>
        <v>160753.90909504209</v>
      </c>
      <c r="Q171" s="613">
        <f t="shared" si="114"/>
        <v>161568.61024245576</v>
      </c>
      <c r="R171" s="613">
        <f t="shared" si="114"/>
        <v>162359.15992391348</v>
      </c>
      <c r="S171" s="613">
        <f t="shared" si="114"/>
        <v>163125.32673898691</v>
      </c>
      <c r="T171" s="613">
        <f t="shared" si="114"/>
        <v>163866.8811523607</v>
      </c>
      <c r="U171" s="613">
        <f t="shared" si="114"/>
        <v>164583.59549486131</v>
      </c>
      <c r="V171" s="613">
        <f t="shared" si="114"/>
        <v>165275.2439644775</v>
      </c>
      <c r="W171" s="613">
        <f t="shared" si="114"/>
        <v>165941.60262736987</v>
      </c>
      <c r="X171" s="613">
        <f t="shared" si="114"/>
        <v>166135.47336565587</v>
      </c>
      <c r="Y171" s="613">
        <f t="shared" si="114"/>
        <v>166759.43694445488</v>
      </c>
      <c r="Z171" s="613">
        <f t="shared" si="114"/>
        <v>167217.82510271817</v>
      </c>
      <c r="AA171" s="613">
        <f t="shared" si="114"/>
        <v>167646.69561794549</v>
      </c>
      <c r="AB171" s="613">
        <f t="shared" si="114"/>
        <v>168045.83864841724</v>
      </c>
      <c r="AC171" s="613">
        <f t="shared" si="114"/>
        <v>168399.22253051228</v>
      </c>
      <c r="AD171" s="613">
        <f t="shared" si="114"/>
        <v>168722.10817582678</v>
      </c>
      <c r="AE171" s="613">
        <f t="shared" si="114"/>
        <v>169014.29444609093</v>
      </c>
      <c r="AF171" s="613">
        <f t="shared" si="114"/>
        <v>169275.58370987012</v>
      </c>
      <c r="AG171" s="613">
        <f t="shared" si="114"/>
        <v>169505.78185579591</v>
      </c>
      <c r="AI171" s="295"/>
      <c r="AJ171" s="198" t="s">
        <v>1635</v>
      </c>
    </row>
    <row r="172" spans="1:36" s="1" customFormat="1" outlineLevel="1">
      <c r="A172" t="s">
        <v>759</v>
      </c>
      <c r="B172" s="281" t="s">
        <v>127</v>
      </c>
      <c r="C172" s="613">
        <f>C164*C138</f>
        <v>7532.4342262624414</v>
      </c>
      <c r="D172" s="613">
        <f t="shared" ref="D172:AG172" si="115">D164*D138</f>
        <v>7836.7183622401053</v>
      </c>
      <c r="E172" s="613">
        <f t="shared" si="115"/>
        <v>8146.5753025598769</v>
      </c>
      <c r="F172" s="613">
        <f t="shared" si="115"/>
        <v>8462.0137766349308</v>
      </c>
      <c r="G172" s="613">
        <f t="shared" si="115"/>
        <v>8783.0418729791545</v>
      </c>
      <c r="H172" s="613">
        <f t="shared" si="115"/>
        <v>9109.6670392071574</v>
      </c>
      <c r="I172" s="613">
        <f t="shared" si="115"/>
        <v>9416.8310244011973</v>
      </c>
      <c r="J172" s="613">
        <f t="shared" si="115"/>
        <v>9727.6785502846524</v>
      </c>
      <c r="K172" s="613">
        <f t="shared" si="115"/>
        <v>10042.155370174936</v>
      </c>
      <c r="L172" s="613">
        <f t="shared" si="115"/>
        <v>10360.205929582498</v>
      </c>
      <c r="M172" s="613">
        <f t="shared" si="115"/>
        <v>10681.773366210864</v>
      </c>
      <c r="N172" s="613">
        <f t="shared" si="115"/>
        <v>10988.290137398273</v>
      </c>
      <c r="O172" s="613">
        <f t="shared" si="115"/>
        <v>11300.223900693252</v>
      </c>
      <c r="P172" s="613">
        <f t="shared" si="115"/>
        <v>11605.53596754771</v>
      </c>
      <c r="Q172" s="613">
        <f t="shared" si="115"/>
        <v>11912.359953452355</v>
      </c>
      <c r="R172" s="613">
        <f t="shared" si="115"/>
        <v>12220.581929756925</v>
      </c>
      <c r="S172" s="613">
        <f t="shared" si="115"/>
        <v>12530.086117065037</v>
      </c>
      <c r="T172" s="613">
        <f t="shared" si="115"/>
        <v>12840.754885411439</v>
      </c>
      <c r="U172" s="613">
        <f t="shared" si="115"/>
        <v>13152.468754448957</v>
      </c>
      <c r="V172" s="613">
        <f t="shared" si="115"/>
        <v>13465.106393645246</v>
      </c>
      <c r="W172" s="613">
        <f t="shared" si="115"/>
        <v>13778.544622489195</v>
      </c>
      <c r="X172" s="613">
        <f t="shared" si="115"/>
        <v>14054.844818352663</v>
      </c>
      <c r="Y172" s="613">
        <f t="shared" si="115"/>
        <v>14369.567701947959</v>
      </c>
      <c r="Z172" s="613">
        <f t="shared" si="115"/>
        <v>14672.485016264611</v>
      </c>
      <c r="AA172" s="613">
        <f t="shared" si="115"/>
        <v>14974.977168487507</v>
      </c>
      <c r="AB172" s="613">
        <f t="shared" si="115"/>
        <v>15276.894422583386</v>
      </c>
      <c r="AC172" s="613">
        <f t="shared" si="115"/>
        <v>15576.621457665738</v>
      </c>
      <c r="AD172" s="613">
        <f t="shared" si="115"/>
        <v>15875.384357900552</v>
      </c>
      <c r="AE172" s="613">
        <f t="shared" si="115"/>
        <v>16173.025984249753</v>
      </c>
      <c r="AF172" s="613">
        <f t="shared" si="115"/>
        <v>16469.387442145377</v>
      </c>
      <c r="AG172" s="613">
        <f t="shared" si="115"/>
        <v>16764.308095628166</v>
      </c>
      <c r="AI172" s="295"/>
      <c r="AJ172" s="198" t="s">
        <v>1636</v>
      </c>
    </row>
    <row r="173" spans="1:36" s="1" customFormat="1" outlineLevel="1">
      <c r="A173" t="s">
        <v>742</v>
      </c>
      <c r="B173" s="281" t="s">
        <v>127</v>
      </c>
      <c r="C173" s="613">
        <f t="shared" ref="C173:AG173" si="116">C169*C139</f>
        <v>27659.098478835691</v>
      </c>
      <c r="D173" s="613">
        <f t="shared" si="116"/>
        <v>28525.953876035543</v>
      </c>
      <c r="E173" s="613">
        <f t="shared" si="116"/>
        <v>29363.586441869182</v>
      </c>
      <c r="F173" s="613">
        <f t="shared" si="116"/>
        <v>30171.465712458048</v>
      </c>
      <c r="G173" s="613">
        <f t="shared" si="116"/>
        <v>30949.066975805708</v>
      </c>
      <c r="H173" s="613">
        <f t="shared" si="116"/>
        <v>31695.87137059433</v>
      </c>
      <c r="I173" s="613">
        <f t="shared" si="116"/>
        <v>32325.324710983776</v>
      </c>
      <c r="J173" s="613">
        <f t="shared" si="116"/>
        <v>32918.882118599126</v>
      </c>
      <c r="K173" s="613">
        <f t="shared" si="116"/>
        <v>33476.270179473708</v>
      </c>
      <c r="L173" s="613">
        <f t="shared" si="116"/>
        <v>33997.22934222898</v>
      </c>
      <c r="M173" s="613">
        <f t="shared" si="116"/>
        <v>34481.514024259573</v>
      </c>
      <c r="N173" s="613">
        <f t="shared" si="116"/>
        <v>34870.15521524215</v>
      </c>
      <c r="O173" s="613">
        <f t="shared" si="116"/>
        <v>35230.027624597045</v>
      </c>
      <c r="P173" s="613">
        <f t="shared" si="116"/>
        <v>35523.973270339593</v>
      </c>
      <c r="Q173" s="613">
        <f t="shared" si="116"/>
        <v>35778.174862913242</v>
      </c>
      <c r="R173" s="613">
        <f t="shared" si="116"/>
        <v>35992.668928616484</v>
      </c>
      <c r="S173" s="613">
        <f t="shared" si="116"/>
        <v>36167.512728279595</v>
      </c>
      <c r="T173" s="613">
        <f t="shared" si="116"/>
        <v>36302.784353034818</v>
      </c>
      <c r="U173" s="613">
        <f t="shared" si="116"/>
        <v>36398.582816501264</v>
      </c>
      <c r="V173" s="613">
        <f t="shared" si="116"/>
        <v>36455.028143383854</v>
      </c>
      <c r="W173" s="613">
        <f t="shared" si="116"/>
        <v>36472.261454484447</v>
      </c>
      <c r="X173" s="613">
        <f t="shared" si="116"/>
        <v>36352.640770888764</v>
      </c>
      <c r="Y173" s="613">
        <f t="shared" si="116"/>
        <v>36294.406156098099</v>
      </c>
      <c r="Z173" s="613">
        <f t="shared" si="116"/>
        <v>36167.371101817269</v>
      </c>
      <c r="AA173" s="613">
        <f t="shared" si="116"/>
        <v>36001.665947238173</v>
      </c>
      <c r="AB173" s="613">
        <f t="shared" si="116"/>
        <v>35797.627136571769</v>
      </c>
      <c r="AC173" s="613">
        <f t="shared" si="116"/>
        <v>35552.274123541087</v>
      </c>
      <c r="AD173" s="613">
        <f t="shared" si="116"/>
        <v>35269.322733784851</v>
      </c>
      <c r="AE173" s="613">
        <f t="shared" si="116"/>
        <v>34949.191866717454</v>
      </c>
      <c r="AF173" s="613">
        <f t="shared" si="116"/>
        <v>34592.324668374436</v>
      </c>
      <c r="AG173" s="613">
        <f t="shared" si="116"/>
        <v>34199.188515081463</v>
      </c>
      <c r="AI173" s="295"/>
      <c r="AJ173" s="198"/>
    </row>
    <row r="174" spans="1:36" s="62" customFormat="1">
      <c r="A174" s="322" t="s">
        <v>733</v>
      </c>
      <c r="B174" s="287" t="s">
        <v>127</v>
      </c>
      <c r="C174" s="614">
        <f>C140*C$159</f>
        <v>180432.94394841741</v>
      </c>
      <c r="D174" s="614">
        <f t="shared" ref="D174:AF174" si="117">D140*D$159</f>
        <v>185140.54550140208</v>
      </c>
      <c r="E174" s="614">
        <f t="shared" si="117"/>
        <v>189758.00006734306</v>
      </c>
      <c r="F174" s="614">
        <f t="shared" si="117"/>
        <v>194284.98811458491</v>
      </c>
      <c r="G174" s="614">
        <f t="shared" si="117"/>
        <v>198721.21769149622</v>
      </c>
      <c r="H174" s="614">
        <f t="shared" si="117"/>
        <v>203066.42442647065</v>
      </c>
      <c r="I174" s="614">
        <f t="shared" si="117"/>
        <v>206758.76126751126</v>
      </c>
      <c r="J174" s="614">
        <f t="shared" si="117"/>
        <v>210331.37354814017</v>
      </c>
      <c r="K174" s="614">
        <f t="shared" si="117"/>
        <v>213784.31840882628</v>
      </c>
      <c r="L174" s="614">
        <f t="shared" si="117"/>
        <v>217117.68057006274</v>
      </c>
      <c r="M174" s="614">
        <f t="shared" si="117"/>
        <v>220331.57233236759</v>
      </c>
      <c r="N174" s="614">
        <f t="shared" si="117"/>
        <v>222099.80653975575</v>
      </c>
      <c r="O174" s="614">
        <f t="shared" si="117"/>
        <v>223750.98692992525</v>
      </c>
      <c r="P174" s="614">
        <f t="shared" si="117"/>
        <v>225058.5371978987</v>
      </c>
      <c r="Q174" s="614">
        <f t="shared" si="117"/>
        <v>226185.62327092944</v>
      </c>
      <c r="R174" s="614">
        <f t="shared" si="117"/>
        <v>227133.69969643012</v>
      </c>
      <c r="S174" s="614">
        <f t="shared" si="117"/>
        <v>227904.31027617186</v>
      </c>
      <c r="T174" s="614">
        <f t="shared" si="117"/>
        <v>228499.08800892517</v>
      </c>
      <c r="U174" s="614">
        <f t="shared" si="117"/>
        <v>228919.75503424005</v>
      </c>
      <c r="V174" s="614">
        <f t="shared" si="117"/>
        <v>229168.12257736703</v>
      </c>
      <c r="W174" s="614">
        <f t="shared" si="117"/>
        <v>229246.0908953172</v>
      </c>
      <c r="X174" s="614">
        <f t="shared" si="117"/>
        <v>226887.13732112703</v>
      </c>
      <c r="Y174" s="614">
        <f t="shared" si="117"/>
        <v>224898.09832127771</v>
      </c>
      <c r="Z174" s="614">
        <f t="shared" si="117"/>
        <v>222526.29014759773</v>
      </c>
      <c r="AA174" s="614">
        <f t="shared" si="117"/>
        <v>219940.77104357962</v>
      </c>
      <c r="AB174" s="614">
        <f t="shared" si="117"/>
        <v>217145.26484268988</v>
      </c>
      <c r="AC174" s="614">
        <f t="shared" si="117"/>
        <v>214120.05264850007</v>
      </c>
      <c r="AD174" s="614">
        <f t="shared" si="117"/>
        <v>210892.236825556</v>
      </c>
      <c r="AE174" s="614">
        <f t="shared" si="117"/>
        <v>207465.87730091662</v>
      </c>
      <c r="AF174" s="614">
        <f t="shared" si="117"/>
        <v>203845.13725983584</v>
      </c>
      <c r="AG174" s="614">
        <f>AG140*AG$159</f>
        <v>200034.2829088071</v>
      </c>
      <c r="AI174" s="314"/>
      <c r="AJ174" s="325"/>
    </row>
    <row r="175" spans="1:36">
      <c r="A175" s="323" t="s">
        <v>734</v>
      </c>
      <c r="B175" s="281" t="s">
        <v>127</v>
      </c>
      <c r="C175" s="613">
        <f t="shared" ref="C175:AG175" si="118">C141*C$159</f>
        <v>417251.18288071529</v>
      </c>
      <c r="D175" s="613">
        <f t="shared" si="118"/>
        <v>416192.96014932124</v>
      </c>
      <c r="E175" s="613">
        <f t="shared" si="118"/>
        <v>415095.62514731294</v>
      </c>
      <c r="F175" s="613">
        <f t="shared" si="118"/>
        <v>413959.49172141665</v>
      </c>
      <c r="G175" s="613">
        <f t="shared" si="118"/>
        <v>412784.8823371153</v>
      </c>
      <c r="H175" s="613">
        <f t="shared" si="118"/>
        <v>411572.12807865028</v>
      </c>
      <c r="I175" s="613">
        <f t="shared" si="118"/>
        <v>409210.0483419493</v>
      </c>
      <c r="J175" s="613">
        <f t="shared" si="118"/>
        <v>406806.45728483185</v>
      </c>
      <c r="K175" s="613">
        <f t="shared" si="118"/>
        <v>404361.78646406275</v>
      </c>
      <c r="L175" s="613">
        <f t="shared" si="118"/>
        <v>401876.47605516412</v>
      </c>
      <c r="M175" s="613">
        <f t="shared" si="118"/>
        <v>399350.97485241614</v>
      </c>
      <c r="N175" s="613">
        <f t="shared" si="118"/>
        <v>394430.29667502345</v>
      </c>
      <c r="O175" s="613">
        <f t="shared" si="118"/>
        <v>389566.45045835187</v>
      </c>
      <c r="P175" s="613">
        <f t="shared" si="118"/>
        <v>384365.96105745767</v>
      </c>
      <c r="Q175" s="613">
        <f t="shared" si="118"/>
        <v>379117.94809616002</v>
      </c>
      <c r="R175" s="613">
        <f t="shared" si="118"/>
        <v>373824.21408370777</v>
      </c>
      <c r="S175" s="613">
        <f t="shared" si="118"/>
        <v>368486.58862587553</v>
      </c>
      <c r="T175" s="613">
        <f t="shared" si="118"/>
        <v>363106.92841843812</v>
      </c>
      <c r="U175" s="613">
        <f t="shared" si="118"/>
        <v>357687.11724099988</v>
      </c>
      <c r="V175" s="613">
        <f t="shared" si="118"/>
        <v>352229.06595118245</v>
      </c>
      <c r="W175" s="613">
        <f t="shared" si="118"/>
        <v>346734.71247916698</v>
      </c>
      <c r="X175" s="613">
        <f t="shared" si="118"/>
        <v>337828.27432006015</v>
      </c>
      <c r="Y175" s="613">
        <f t="shared" si="118"/>
        <v>329778.46148071933</v>
      </c>
      <c r="Z175" s="613">
        <f t="shared" si="118"/>
        <v>321456.0205551968</v>
      </c>
      <c r="AA175" s="613">
        <f t="shared" si="118"/>
        <v>313110.12544398446</v>
      </c>
      <c r="AB175" s="613">
        <f t="shared" si="118"/>
        <v>304743.63872809277</v>
      </c>
      <c r="AC175" s="613">
        <f t="shared" si="118"/>
        <v>296326.85857604875</v>
      </c>
      <c r="AD175" s="613">
        <f t="shared" si="118"/>
        <v>287895.65224541316</v>
      </c>
      <c r="AE175" s="613">
        <f t="shared" si="118"/>
        <v>279452.95972644968</v>
      </c>
      <c r="AF175" s="613">
        <f t="shared" si="118"/>
        <v>271001.74497997196</v>
      </c>
      <c r="AG175" s="613">
        <f t="shared" si="118"/>
        <v>262544.99631780933</v>
      </c>
      <c r="AI175" s="275"/>
    </row>
    <row r="176" spans="1:36">
      <c r="A176" s="323" t="s">
        <v>735</v>
      </c>
      <c r="B176" s="281" t="s">
        <v>127</v>
      </c>
      <c r="C176" s="613">
        <f t="shared" ref="C176:AG176" si="119">C142*C$159</f>
        <v>90216.471974208704</v>
      </c>
      <c r="D176" s="613">
        <f t="shared" si="119"/>
        <v>86971.26431819897</v>
      </c>
      <c r="E176" s="613">
        <f t="shared" si="119"/>
        <v>83760.367217225648</v>
      </c>
      <c r="F176" s="613">
        <f t="shared" si="119"/>
        <v>80584.114388435759</v>
      </c>
      <c r="G176" s="613">
        <f t="shared" si="119"/>
        <v>77442.827482715424</v>
      </c>
      <c r="H176" s="613">
        <f t="shared" si="119"/>
        <v>74336.816084690116</v>
      </c>
      <c r="I176" s="613">
        <f t="shared" si="119"/>
        <v>71073.324185706966</v>
      </c>
      <c r="J176" s="613">
        <f t="shared" si="119"/>
        <v>67860.291127862758</v>
      </c>
      <c r="K176" s="613">
        <f t="shared" si="119"/>
        <v>64697.885834250017</v>
      </c>
      <c r="L176" s="613">
        <f t="shared" si="119"/>
        <v>61586.265161700452</v>
      </c>
      <c r="M176" s="613">
        <f t="shared" si="119"/>
        <v>58525.573900785101</v>
      </c>
      <c r="N176" s="613">
        <f t="shared" si="119"/>
        <v>55186.384856677083</v>
      </c>
      <c r="O176" s="613">
        <f t="shared" si="119"/>
        <v>51942.193394446898</v>
      </c>
      <c r="P176" s="613">
        <f t="shared" si="119"/>
        <v>48740.875061754188</v>
      </c>
      <c r="Q176" s="613">
        <f t="shared" si="119"/>
        <v>45622.668330215849</v>
      </c>
      <c r="R176" s="613">
        <f t="shared" si="119"/>
        <v>42587.568693080619</v>
      </c>
      <c r="S176" s="613">
        <f t="shared" si="119"/>
        <v>39635.5322219429</v>
      </c>
      <c r="T176" s="613">
        <f t="shared" si="119"/>
        <v>36766.475597180754</v>
      </c>
      <c r="U176" s="613">
        <f t="shared" si="119"/>
        <v>33980.27613789498</v>
      </c>
      <c r="V176" s="613">
        <f t="shared" si="119"/>
        <v>31276.771831349801</v>
      </c>
      <c r="W176" s="613">
        <f t="shared" si="119"/>
        <v>28655.761361914614</v>
      </c>
      <c r="X176" s="613">
        <f t="shared" si="119"/>
        <v>25858.460503510763</v>
      </c>
      <c r="Y176" s="613">
        <f t="shared" si="119"/>
        <v>23246.678432247416</v>
      </c>
      <c r="Z176" s="613">
        <f t="shared" si="119"/>
        <v>20730.633162335129</v>
      </c>
      <c r="AA176" s="613">
        <f t="shared" si="119"/>
        <v>18328.397586964933</v>
      </c>
      <c r="AB176" s="613">
        <f t="shared" si="119"/>
        <v>16039.13888042592</v>
      </c>
      <c r="AC176" s="613">
        <f t="shared" si="119"/>
        <v>13860.449836621621</v>
      </c>
      <c r="AD176" s="613">
        <f t="shared" si="119"/>
        <v>11793.315875113294</v>
      </c>
      <c r="AE176" s="613">
        <f t="shared" si="119"/>
        <v>9836.7441823710142</v>
      </c>
      <c r="AF176" s="613">
        <f t="shared" si="119"/>
        <v>7989.6928798876033</v>
      </c>
      <c r="AG176" s="613">
        <f t="shared" si="119"/>
        <v>6251.0713409002219</v>
      </c>
      <c r="AI176" s="275"/>
    </row>
    <row r="177" spans="1:36">
      <c r="A177" s="323" t="s">
        <v>736</v>
      </c>
      <c r="B177" s="281" t="s">
        <v>127</v>
      </c>
      <c r="C177" s="613">
        <f t="shared" ref="C177:AG177" si="120">C143*C$159</f>
        <v>304480.59291295439</v>
      </c>
      <c r="D177" s="613">
        <f t="shared" si="120"/>
        <v>298240.51583794411</v>
      </c>
      <c r="E177" s="613">
        <f t="shared" si="120"/>
        <v>292049.42197864526</v>
      </c>
      <c r="F177" s="613">
        <f t="shared" si="120"/>
        <v>285908.02228225855</v>
      </c>
      <c r="G177" s="613">
        <f t="shared" si="120"/>
        <v>279817.00873471721</v>
      </c>
      <c r="H177" s="613">
        <f t="shared" si="120"/>
        <v>273777.0543606882</v>
      </c>
      <c r="I177" s="613">
        <f t="shared" si="120"/>
        <v>267063.39997053548</v>
      </c>
      <c r="J177" s="613">
        <f t="shared" si="120"/>
        <v>260427.1905587615</v>
      </c>
      <c r="K177" s="613">
        <f t="shared" si="120"/>
        <v>253868.87811048131</v>
      </c>
      <c r="L177" s="613">
        <f t="shared" si="120"/>
        <v>247388.89564954271</v>
      </c>
      <c r="M177" s="613">
        <f t="shared" si="120"/>
        <v>240987.65723852711</v>
      </c>
      <c r="N177" s="613">
        <f t="shared" si="120"/>
        <v>233272.510222396</v>
      </c>
      <c r="O177" s="613">
        <f t="shared" si="120"/>
        <v>225748.76359894249</v>
      </c>
      <c r="P177" s="613">
        <f t="shared" si="120"/>
        <v>218189.01789389312</v>
      </c>
      <c r="Q177" s="613">
        <f t="shared" si="120"/>
        <v>210763.87622972974</v>
      </c>
      <c r="R177" s="613">
        <f t="shared" si="120"/>
        <v>203473.93931138533</v>
      </c>
      <c r="S177" s="613">
        <f t="shared" si="120"/>
        <v>196319.7455368111</v>
      </c>
      <c r="T177" s="613">
        <f t="shared" si="120"/>
        <v>189301.7710499473</v>
      </c>
      <c r="U177" s="613">
        <f t="shared" si="120"/>
        <v>182420.42979291003</v>
      </c>
      <c r="V177" s="613">
        <f t="shared" si="120"/>
        <v>175676.07355739482</v>
      </c>
      <c r="W177" s="613">
        <f t="shared" si="120"/>
        <v>169068.99203529637</v>
      </c>
      <c r="X177" s="613">
        <f t="shared" si="120"/>
        <v>160989.7702315349</v>
      </c>
      <c r="Y177" s="613">
        <f t="shared" si="120"/>
        <v>153536.20173856447</v>
      </c>
      <c r="Z177" s="613">
        <f t="shared" si="120"/>
        <v>146164.08444836299</v>
      </c>
      <c r="AA177" s="613">
        <f t="shared" si="120"/>
        <v>138990.34836781753</v>
      </c>
      <c r="AB177" s="613">
        <f t="shared" si="120"/>
        <v>132014.45078504426</v>
      </c>
      <c r="AC177" s="613">
        <f t="shared" si="120"/>
        <v>125221.99507568513</v>
      </c>
      <c r="AD177" s="613">
        <f t="shared" si="120"/>
        <v>118626.88321437506</v>
      </c>
      <c r="AE177" s="613">
        <f t="shared" si="120"/>
        <v>112228.3086261422</v>
      </c>
      <c r="AF177" s="613">
        <f t="shared" si="120"/>
        <v>106025.38389256272</v>
      </c>
      <c r="AG177" s="613">
        <f t="shared" si="120"/>
        <v>100017.14145440355</v>
      </c>
      <c r="AI177" s="275"/>
    </row>
    <row r="178" spans="1:36">
      <c r="A178" s="323" t="s">
        <v>737</v>
      </c>
      <c r="B178" s="281" t="s">
        <v>127</v>
      </c>
      <c r="C178" s="613">
        <f t="shared" ref="C178:AG178" si="121">C144*C$159</f>
        <v>78939.412977432628</v>
      </c>
      <c r="D178" s="613">
        <f t="shared" si="121"/>
        <v>78012.850826195645</v>
      </c>
      <c r="E178" s="613">
        <f t="shared" si="121"/>
        <v>77089.187527358124</v>
      </c>
      <c r="F178" s="613">
        <f t="shared" si="121"/>
        <v>76168.546476740667</v>
      </c>
      <c r="G178" s="613">
        <f t="shared" si="121"/>
        <v>75251.049346412168</v>
      </c>
      <c r="H178" s="613">
        <f t="shared" si="121"/>
        <v>74336.81608469013</v>
      </c>
      <c r="I178" s="613">
        <f t="shared" si="121"/>
        <v>73227.061282243551</v>
      </c>
      <c r="J178" s="613">
        <f t="shared" si="121"/>
        <v>72123.764916000742</v>
      </c>
      <c r="K178" s="613">
        <f t="shared" si="121"/>
        <v>71027.026839774495</v>
      </c>
      <c r="L178" s="613">
        <f t="shared" si="121"/>
        <v>69936.945183625954</v>
      </c>
      <c r="M178" s="613">
        <f t="shared" si="121"/>
        <v>68853.61635386484</v>
      </c>
      <c r="N178" s="613">
        <f t="shared" si="121"/>
        <v>67374.788874102698</v>
      </c>
      <c r="O178" s="613">
        <f t="shared" si="121"/>
        <v>65926.630077567228</v>
      </c>
      <c r="P178" s="613">
        <f t="shared" si="121"/>
        <v>64442.633470909903</v>
      </c>
      <c r="Q178" s="613">
        <f t="shared" si="121"/>
        <v>62972.13375156554</v>
      </c>
      <c r="R178" s="613">
        <f t="shared" si="121"/>
        <v>61515.377001116445</v>
      </c>
      <c r="S178" s="613">
        <f t="shared" si="121"/>
        <v>60072.603523882201</v>
      </c>
      <c r="T178" s="613">
        <f t="shared" si="121"/>
        <v>58644.047853354408</v>
      </c>
      <c r="U178" s="613">
        <f t="shared" si="121"/>
        <v>57229.938758559954</v>
      </c>
      <c r="V178" s="613">
        <f t="shared" si="121"/>
        <v>55830.499250353372</v>
      </c>
      <c r="W178" s="613">
        <f t="shared" si="121"/>
        <v>54445.946587637758</v>
      </c>
      <c r="X178" s="613">
        <f t="shared" si="121"/>
        <v>52551.064894231546</v>
      </c>
      <c r="Y178" s="613">
        <f t="shared" si="121"/>
        <v>50818.320293750156</v>
      </c>
      <c r="Z178" s="613">
        <f t="shared" si="121"/>
        <v>49071.24558679328</v>
      </c>
      <c r="AA178" s="613">
        <f t="shared" si="121"/>
        <v>47348.360432992748</v>
      </c>
      <c r="AB178" s="613">
        <f t="shared" si="121"/>
        <v>45649.856813519946</v>
      </c>
      <c r="AC178" s="613">
        <f t="shared" si="121"/>
        <v>43971.082240316893</v>
      </c>
      <c r="AD178" s="613">
        <f t="shared" si="121"/>
        <v>42317.192257759503</v>
      </c>
      <c r="AE178" s="613">
        <f t="shared" si="121"/>
        <v>40688.35093617106</v>
      </c>
      <c r="AF178" s="613">
        <f t="shared" si="121"/>
        <v>39084.713817828619</v>
      </c>
      <c r="AG178" s="613">
        <f t="shared" si="121"/>
        <v>37506.428045401328</v>
      </c>
      <c r="AI178" s="275"/>
    </row>
    <row r="179" spans="1:36" s="63" customFormat="1">
      <c r="A179" s="324" t="s">
        <v>738</v>
      </c>
      <c r="B179" s="291" t="s">
        <v>127</v>
      </c>
      <c r="C179" s="615">
        <f t="shared" ref="C179:AG179" si="122">C145*C$159</f>
        <v>56385.294983880449</v>
      </c>
      <c r="D179" s="615">
        <f t="shared" si="122"/>
        <v>55243.549867353853</v>
      </c>
      <c r="E179" s="615">
        <f t="shared" si="122"/>
        <v>54110.679706703297</v>
      </c>
      <c r="F179" s="615">
        <f t="shared" si="122"/>
        <v>52986.814940341334</v>
      </c>
      <c r="G179" s="615">
        <f t="shared" si="122"/>
        <v>51872.082559177317</v>
      </c>
      <c r="H179" s="615">
        <f t="shared" si="122"/>
        <v>50766.606106617655</v>
      </c>
      <c r="I179" s="615">
        <f t="shared" si="122"/>
        <v>49535.953220341231</v>
      </c>
      <c r="J179" s="615">
        <f t="shared" si="122"/>
        <v>48319.369598897058</v>
      </c>
      <c r="K179" s="615">
        <f t="shared" si="122"/>
        <v>47116.938596682092</v>
      </c>
      <c r="L179" s="615">
        <f t="shared" si="122"/>
        <v>45928.740120590177</v>
      </c>
      <c r="M179" s="615">
        <f t="shared" si="122"/>
        <v>44754.850630012144</v>
      </c>
      <c r="N179" s="615">
        <f t="shared" si="122"/>
        <v>43336.547617513301</v>
      </c>
      <c r="O179" s="615">
        <f t="shared" si="122"/>
        <v>41953.31004936096</v>
      </c>
      <c r="P179" s="615">
        <f t="shared" si="122"/>
        <v>40562.875890318923</v>
      </c>
      <c r="Q179" s="615">
        <f t="shared" si="122"/>
        <v>39196.940396382633</v>
      </c>
      <c r="R179" s="615">
        <f t="shared" si="122"/>
        <v>37855.61661607166</v>
      </c>
      <c r="S179" s="615">
        <f t="shared" si="122"/>
        <v>36539.006267103607</v>
      </c>
      <c r="T179" s="615">
        <f t="shared" si="122"/>
        <v>35247.199746057573</v>
      </c>
      <c r="U179" s="615">
        <f t="shared" si="122"/>
        <v>33980.276137894973</v>
      </c>
      <c r="V179" s="615">
        <f t="shared" si="122"/>
        <v>32738.303225338102</v>
      </c>
      <c r="W179" s="615">
        <f t="shared" si="122"/>
        <v>31521.33749810607</v>
      </c>
      <c r="X179" s="615">
        <f t="shared" si="122"/>
        <v>30029.17993956088</v>
      </c>
      <c r="Y179" s="615">
        <f t="shared" si="122"/>
        <v>28652.882718816574</v>
      </c>
      <c r="Z179" s="615">
        <f t="shared" si="122"/>
        <v>27290.960112441175</v>
      </c>
      <c r="AA179" s="615">
        <f t="shared" si="122"/>
        <v>25965.229914866981</v>
      </c>
      <c r="AB179" s="615">
        <f t="shared" si="122"/>
        <v>24675.598277578334</v>
      </c>
      <c r="AC179" s="615">
        <f t="shared" si="122"/>
        <v>23419.38075842963</v>
      </c>
      <c r="AD179" s="615">
        <f t="shared" si="122"/>
        <v>22199.182823742671</v>
      </c>
      <c r="AE179" s="615">
        <f t="shared" si="122"/>
        <v>21014.862571428988</v>
      </c>
      <c r="AF179" s="615">
        <f t="shared" si="122"/>
        <v>19866.263377017836</v>
      </c>
      <c r="AG179" s="615">
        <f t="shared" si="122"/>
        <v>18753.214022700664</v>
      </c>
      <c r="AI179" s="293"/>
      <c r="AJ179" s="294"/>
    </row>
    <row r="180" spans="1:36" s="169" customFormat="1">
      <c r="B180" s="165"/>
      <c r="C180" s="624"/>
      <c r="D180" s="624"/>
      <c r="E180" s="624"/>
      <c r="F180" s="624"/>
      <c r="G180" s="624"/>
      <c r="H180" s="624"/>
      <c r="I180" s="624"/>
      <c r="J180" s="624"/>
      <c r="K180" s="624"/>
      <c r="L180" s="624"/>
      <c r="M180" s="624"/>
      <c r="N180" s="624"/>
      <c r="O180" s="624"/>
      <c r="P180" s="624"/>
      <c r="Q180" s="624"/>
      <c r="R180" s="624"/>
      <c r="S180" s="624"/>
      <c r="T180" s="624"/>
      <c r="U180" s="624"/>
      <c r="V180" s="624"/>
      <c r="W180" s="624"/>
      <c r="X180" s="624"/>
      <c r="Y180" s="624"/>
      <c r="Z180" s="624"/>
      <c r="AA180" s="624"/>
      <c r="AB180" s="624"/>
      <c r="AC180" s="624"/>
      <c r="AD180" s="624"/>
      <c r="AE180" s="624"/>
      <c r="AF180" s="624"/>
      <c r="AG180" s="624"/>
      <c r="AJ180" s="300"/>
    </row>
    <row r="181" spans="1:36" s="169" customFormat="1">
      <c r="A181" s="169" t="s">
        <v>857</v>
      </c>
      <c r="B181" s="327" t="s">
        <v>127</v>
      </c>
      <c r="C181" s="122">
        <f>C213</f>
        <v>67918.5806815088</v>
      </c>
      <c r="D181" s="122">
        <f t="shared" ref="D181:AG181" si="123">D213</f>
        <v>72818.578477682415</v>
      </c>
      <c r="E181" s="122">
        <f t="shared" si="123"/>
        <v>77752.767952490132</v>
      </c>
      <c r="F181" s="122">
        <f t="shared" si="123"/>
        <v>82719.856292281416</v>
      </c>
      <c r="G181" s="122">
        <f t="shared" si="123"/>
        <v>87718.550683405731</v>
      </c>
      <c r="H181" s="122">
        <f t="shared" si="123"/>
        <v>92747.55831221251</v>
      </c>
      <c r="I181" s="122">
        <f t="shared" si="123"/>
        <v>97604.510131046758</v>
      </c>
      <c r="J181" s="122">
        <f t="shared" si="123"/>
        <v>102474.26631015533</v>
      </c>
      <c r="K181" s="122">
        <f t="shared" si="123"/>
        <v>107355.53403588767</v>
      </c>
      <c r="L181" s="122">
        <f t="shared" si="123"/>
        <v>112247.02049459322</v>
      </c>
      <c r="M181" s="122">
        <f t="shared" si="123"/>
        <v>117147.43287262144</v>
      </c>
      <c r="N181" s="122">
        <f t="shared" si="123"/>
        <v>126197.51320965122</v>
      </c>
      <c r="O181" s="122">
        <f t="shared" si="123"/>
        <v>135289.6838198849</v>
      </c>
      <c r="P181" s="122">
        <f t="shared" si="123"/>
        <v>144240.55044385139</v>
      </c>
      <c r="Q181" s="122">
        <f t="shared" si="123"/>
        <v>153162.85359715685</v>
      </c>
      <c r="R181" s="122">
        <f t="shared" si="123"/>
        <v>162052.39001833557</v>
      </c>
      <c r="S181" s="122">
        <f t="shared" si="123"/>
        <v>170904.95893173851</v>
      </c>
      <c r="T181" s="122">
        <f t="shared" si="123"/>
        <v>179716.36201191178</v>
      </c>
      <c r="U181" s="122">
        <f t="shared" si="123"/>
        <v>188482.40334797456</v>
      </c>
      <c r="V181" s="122">
        <f t="shared" si="123"/>
        <v>197198.88940799792</v>
      </c>
      <c r="W181" s="122">
        <f t="shared" si="123"/>
        <v>205861.62900338287</v>
      </c>
      <c r="X181" s="122">
        <f t="shared" si="123"/>
        <v>219970.52828083758</v>
      </c>
      <c r="Y181" s="122">
        <f t="shared" si="123"/>
        <v>234687.84134961336</v>
      </c>
      <c r="Z181" s="122">
        <f t="shared" si="123"/>
        <v>249015.3338723937</v>
      </c>
      <c r="AA181" s="122">
        <f t="shared" si="123"/>
        <v>263204.26600889687</v>
      </c>
      <c r="AB181" s="122">
        <f t="shared" si="123"/>
        <v>277249.53402787622</v>
      </c>
      <c r="AC181" s="122">
        <f t="shared" si="123"/>
        <v>291130.1734939501</v>
      </c>
      <c r="AD181" s="122">
        <f t="shared" si="123"/>
        <v>304855.50286064099</v>
      </c>
      <c r="AE181" s="122">
        <f t="shared" si="123"/>
        <v>318420.50470918452</v>
      </c>
      <c r="AF181" s="122">
        <f t="shared" si="123"/>
        <v>331820.18755092903</v>
      </c>
      <c r="AG181" s="122">
        <f t="shared" si="123"/>
        <v>345049.58440697828</v>
      </c>
      <c r="AI181" s="698"/>
      <c r="AJ181" s="300"/>
    </row>
    <row r="182" spans="1:36" s="169" customFormat="1">
      <c r="A182" s="169" t="s">
        <v>849</v>
      </c>
      <c r="B182" s="326" t="s">
        <v>127</v>
      </c>
      <c r="C182" s="613">
        <f>C181/(1-C139)</f>
        <v>93039.151618505202</v>
      </c>
      <c r="D182" s="613">
        <f t="shared" ref="D182:AG182" si="124">D181/(1-D139)</f>
        <v>99207.872585398392</v>
      </c>
      <c r="E182" s="613">
        <f t="shared" si="124"/>
        <v>105356.05413616549</v>
      </c>
      <c r="F182" s="613">
        <f t="shared" si="124"/>
        <v>111482.28610819599</v>
      </c>
      <c r="G182" s="613">
        <f t="shared" si="124"/>
        <v>117585.1885836538</v>
      </c>
      <c r="H182" s="613">
        <f t="shared" si="124"/>
        <v>123663.41108295001</v>
      </c>
      <c r="I182" s="613">
        <f t="shared" si="124"/>
        <v>129448.95242844397</v>
      </c>
      <c r="J182" s="613">
        <f t="shared" si="124"/>
        <v>135190.32494743448</v>
      </c>
      <c r="K182" s="613">
        <f t="shared" si="124"/>
        <v>140886.52760615179</v>
      </c>
      <c r="L182" s="613">
        <f t="shared" si="124"/>
        <v>146536.58028014781</v>
      </c>
      <c r="M182" s="613">
        <f t="shared" si="124"/>
        <v>152139.52321119668</v>
      </c>
      <c r="N182" s="613">
        <f t="shared" si="124"/>
        <v>163045.88269980779</v>
      </c>
      <c r="O182" s="613">
        <f t="shared" si="124"/>
        <v>173894.19514124023</v>
      </c>
      <c r="P182" s="613">
        <f t="shared" si="124"/>
        <v>184450.83176963092</v>
      </c>
      <c r="Q182" s="613">
        <f t="shared" si="124"/>
        <v>194863.68142131914</v>
      </c>
      <c r="R182" s="613">
        <f t="shared" si="124"/>
        <v>205129.60761814628</v>
      </c>
      <c r="S182" s="613">
        <f t="shared" si="124"/>
        <v>215245.54021629534</v>
      </c>
      <c r="T182" s="613">
        <f t="shared" si="124"/>
        <v>225208.47369913757</v>
      </c>
      <c r="U182" s="613">
        <f t="shared" si="124"/>
        <v>235015.46552116526</v>
      </c>
      <c r="V182" s="613">
        <f t="shared" si="124"/>
        <v>244663.63450123809</v>
      </c>
      <c r="W182" s="613">
        <f t="shared" si="124"/>
        <v>254150.15926343563</v>
      </c>
      <c r="X182" s="613">
        <f t="shared" si="124"/>
        <v>270234.06422707316</v>
      </c>
      <c r="Y182" s="613">
        <f t="shared" si="124"/>
        <v>286904.45152764465</v>
      </c>
      <c r="Z182" s="613">
        <f t="shared" si="124"/>
        <v>302938.36237517482</v>
      </c>
      <c r="AA182" s="613">
        <f t="shared" si="124"/>
        <v>318649.23245629156</v>
      </c>
      <c r="AB182" s="613">
        <f t="shared" si="124"/>
        <v>334035.58316611592</v>
      </c>
      <c r="AC182" s="613">
        <f t="shared" si="124"/>
        <v>349076.94663543173</v>
      </c>
      <c r="AD182" s="613">
        <f t="shared" si="124"/>
        <v>363789.38288859301</v>
      </c>
      <c r="AE182" s="613">
        <f t="shared" si="124"/>
        <v>378171.62079475593</v>
      </c>
      <c r="AF182" s="613">
        <f t="shared" si="124"/>
        <v>392222.44391362765</v>
      </c>
      <c r="AG182" s="613">
        <f t="shared" si="124"/>
        <v>405940.68753762153</v>
      </c>
      <c r="AI182" s="698"/>
      <c r="AJ182" s="300"/>
    </row>
    <row r="183" spans="1:36" s="169" customFormat="1">
      <c r="A183" s="169" t="s">
        <v>850</v>
      </c>
      <c r="B183" s="326" t="s">
        <v>127</v>
      </c>
      <c r="C183" s="613">
        <f>C171</f>
        <v>143116.25029898639</v>
      </c>
      <c r="D183" s="613">
        <f t="shared" ref="D183:AG183" si="125">D171</f>
        <v>144826.62635672299</v>
      </c>
      <c r="E183" s="613">
        <f t="shared" si="125"/>
        <v>146535.23423971626</v>
      </c>
      <c r="F183" s="613">
        <f t="shared" si="125"/>
        <v>148241.94504993787</v>
      </c>
      <c r="G183" s="613">
        <f t="shared" si="125"/>
        <v>149946.63053025858</v>
      </c>
      <c r="H183" s="613">
        <f t="shared" si="125"/>
        <v>151649.1630644486</v>
      </c>
      <c r="I183" s="613">
        <f t="shared" si="125"/>
        <v>152942.32456872292</v>
      </c>
      <c r="J183" s="613">
        <f t="shared" si="125"/>
        <v>154221.95993765898</v>
      </c>
      <c r="K183" s="613">
        <f t="shared" si="125"/>
        <v>155487.87820413723</v>
      </c>
      <c r="L183" s="613">
        <f t="shared" si="125"/>
        <v>156739.88970884497</v>
      </c>
      <c r="M183" s="613">
        <f t="shared" si="125"/>
        <v>157977.80610027653</v>
      </c>
      <c r="N183" s="613">
        <f t="shared" si="125"/>
        <v>158933.72229659572</v>
      </c>
      <c r="O183" s="613">
        <f t="shared" si="125"/>
        <v>159915.28974617427</v>
      </c>
      <c r="P183" s="613">
        <f t="shared" si="125"/>
        <v>160753.90909504209</v>
      </c>
      <c r="Q183" s="613">
        <f t="shared" si="125"/>
        <v>161568.61024245576</v>
      </c>
      <c r="R183" s="613">
        <f t="shared" si="125"/>
        <v>162359.15992391348</v>
      </c>
      <c r="S183" s="613">
        <f t="shared" si="125"/>
        <v>163125.32673898691</v>
      </c>
      <c r="T183" s="613">
        <f t="shared" si="125"/>
        <v>163866.8811523607</v>
      </c>
      <c r="U183" s="613">
        <f t="shared" si="125"/>
        <v>164583.59549486131</v>
      </c>
      <c r="V183" s="613">
        <f t="shared" si="125"/>
        <v>165275.2439644775</v>
      </c>
      <c r="W183" s="613">
        <f t="shared" si="125"/>
        <v>165941.60262736987</v>
      </c>
      <c r="X183" s="613">
        <f t="shared" si="125"/>
        <v>166135.47336565587</v>
      </c>
      <c r="Y183" s="613">
        <f t="shared" si="125"/>
        <v>166759.43694445488</v>
      </c>
      <c r="Z183" s="613">
        <f t="shared" si="125"/>
        <v>167217.82510271817</v>
      </c>
      <c r="AA183" s="613">
        <f t="shared" si="125"/>
        <v>167646.69561794549</v>
      </c>
      <c r="AB183" s="613">
        <f t="shared" si="125"/>
        <v>168045.83864841724</v>
      </c>
      <c r="AC183" s="613">
        <f t="shared" si="125"/>
        <v>168399.22253051228</v>
      </c>
      <c r="AD183" s="613">
        <f t="shared" si="125"/>
        <v>168722.10817582678</v>
      </c>
      <c r="AE183" s="613">
        <f t="shared" si="125"/>
        <v>169014.29444609093</v>
      </c>
      <c r="AF183" s="613">
        <f t="shared" si="125"/>
        <v>169275.58370987012</v>
      </c>
      <c r="AG183" s="613">
        <f t="shared" si="125"/>
        <v>169505.78185579591</v>
      </c>
      <c r="AI183" s="698"/>
      <c r="AJ183" s="300"/>
    </row>
    <row r="184" spans="1:36" s="169" customFormat="1">
      <c r="A184" s="169" t="s">
        <v>851</v>
      </c>
      <c r="B184" s="326" t="s">
        <v>127</v>
      </c>
      <c r="C184" s="613">
        <f>C182-C183</f>
        <v>-50077.098680481184</v>
      </c>
      <c r="D184" s="613">
        <f t="shared" ref="D184:AG184" si="126">D182-D183</f>
        <v>-45618.753771324598</v>
      </c>
      <c r="E184" s="613">
        <f t="shared" si="126"/>
        <v>-41179.180103550767</v>
      </c>
      <c r="F184" s="613">
        <f t="shared" si="126"/>
        <v>-36759.658941741887</v>
      </c>
      <c r="G184" s="613">
        <f t="shared" si="126"/>
        <v>-32361.441946604784</v>
      </c>
      <c r="H184" s="613">
        <f t="shared" si="126"/>
        <v>-27985.751981498586</v>
      </c>
      <c r="I184" s="613">
        <f t="shared" si="126"/>
        <v>-23493.372140278952</v>
      </c>
      <c r="J184" s="613">
        <f t="shared" si="126"/>
        <v>-19031.634990224498</v>
      </c>
      <c r="K184" s="613">
        <f t="shared" si="126"/>
        <v>-14601.350597985438</v>
      </c>
      <c r="L184" s="613">
        <f t="shared" si="126"/>
        <v>-10203.309428697161</v>
      </c>
      <c r="M184" s="613">
        <f t="shared" si="126"/>
        <v>-5838.2828890798555</v>
      </c>
      <c r="N184" s="613">
        <f t="shared" si="126"/>
        <v>4112.1604032120667</v>
      </c>
      <c r="O184" s="613">
        <f t="shared" si="126"/>
        <v>13978.905395065958</v>
      </c>
      <c r="P184" s="613">
        <f t="shared" si="126"/>
        <v>23696.92267458883</v>
      </c>
      <c r="Q184" s="613">
        <f t="shared" si="126"/>
        <v>33295.071178863378</v>
      </c>
      <c r="R184" s="613">
        <f t="shared" si="126"/>
        <v>42770.447694232804</v>
      </c>
      <c r="S184" s="613">
        <f t="shared" si="126"/>
        <v>52120.213477308425</v>
      </c>
      <c r="T184" s="613">
        <f t="shared" si="126"/>
        <v>61341.592546776868</v>
      </c>
      <c r="U184" s="613">
        <f t="shared" si="126"/>
        <v>70431.87002630395</v>
      </c>
      <c r="V184" s="613">
        <f t="shared" si="126"/>
        <v>79388.390536760591</v>
      </c>
      <c r="W184" s="613">
        <f t="shared" si="126"/>
        <v>88208.556636065769</v>
      </c>
      <c r="X184" s="613">
        <f t="shared" si="126"/>
        <v>104098.59086141729</v>
      </c>
      <c r="Y184" s="613">
        <f t="shared" si="126"/>
        <v>120145.01458318977</v>
      </c>
      <c r="Z184" s="613">
        <f t="shared" si="126"/>
        <v>135720.53727245666</v>
      </c>
      <c r="AA184" s="613">
        <f t="shared" si="126"/>
        <v>151002.53683834607</v>
      </c>
      <c r="AB184" s="613">
        <f t="shared" si="126"/>
        <v>165989.74451769868</v>
      </c>
      <c r="AC184" s="613">
        <f t="shared" si="126"/>
        <v>180677.72410491944</v>
      </c>
      <c r="AD184" s="613">
        <f t="shared" si="126"/>
        <v>195067.27471276623</v>
      </c>
      <c r="AE184" s="613">
        <f t="shared" si="126"/>
        <v>209157.326348665</v>
      </c>
      <c r="AF184" s="613">
        <f t="shared" si="126"/>
        <v>222946.86020375753</v>
      </c>
      <c r="AG184" s="613">
        <f t="shared" si="126"/>
        <v>236434.90568182562</v>
      </c>
      <c r="AI184" s="698"/>
      <c r="AJ184" s="300"/>
    </row>
    <row r="185" spans="1:36" s="169" customFormat="1">
      <c r="A185" s="169" t="s">
        <v>852</v>
      </c>
      <c r="B185" s="326" t="s">
        <v>127</v>
      </c>
      <c r="C185" s="613">
        <f>(C184)/(1-C136)</f>
        <v>-62596.373350601476</v>
      </c>
      <c r="D185" s="613">
        <f t="shared" ref="D185:AG185" si="127">(D182-D171)/(1-D136)</f>
        <v>-56786.830420736012</v>
      </c>
      <c r="E185" s="613">
        <f t="shared" si="127"/>
        <v>-51048.570376302603</v>
      </c>
      <c r="F185" s="613">
        <f t="shared" si="127"/>
        <v>-45382.294989804803</v>
      </c>
      <c r="G185" s="613">
        <f t="shared" si="127"/>
        <v>-39788.658131071461</v>
      </c>
      <c r="H185" s="613">
        <f t="shared" si="127"/>
        <v>-34268.267732447246</v>
      </c>
      <c r="I185" s="613">
        <f t="shared" si="127"/>
        <v>-28650.453829608479</v>
      </c>
      <c r="J185" s="613">
        <f t="shared" si="127"/>
        <v>-23115.346141973077</v>
      </c>
      <c r="K185" s="613">
        <f t="shared" si="127"/>
        <v>-17662.924110466254</v>
      </c>
      <c r="L185" s="613">
        <f t="shared" si="127"/>
        <v>-12293.14388999658</v>
      </c>
      <c r="M185" s="613">
        <f t="shared" si="127"/>
        <v>-7005.9394668958275</v>
      </c>
      <c r="N185" s="613">
        <f t="shared" si="127"/>
        <v>4914.9327528431086</v>
      </c>
      <c r="O185" s="613">
        <f t="shared" si="127"/>
        <v>16641.554041745192</v>
      </c>
      <c r="P185" s="613">
        <f t="shared" si="127"/>
        <v>28099.117795955135</v>
      </c>
      <c r="Q185" s="613">
        <f t="shared" si="127"/>
        <v>39324.887219129982</v>
      </c>
      <c r="R185" s="613">
        <f t="shared" si="127"/>
        <v>50318.173757920951</v>
      </c>
      <c r="S185" s="613">
        <f t="shared" si="127"/>
        <v>61078.375168720813</v>
      </c>
      <c r="T185" s="613">
        <f t="shared" si="127"/>
        <v>71604.97184448663</v>
      </c>
      <c r="U185" s="613">
        <f t="shared" si="127"/>
        <v>81897.523286399955</v>
      </c>
      <c r="V185" s="613">
        <f t="shared" si="127"/>
        <v>91955.66471439453</v>
      </c>
      <c r="W185" s="613">
        <f t="shared" si="127"/>
        <v>101779.10381084515</v>
      </c>
      <c r="X185" s="613">
        <f t="shared" si="127"/>
        <v>119653.55271427277</v>
      </c>
      <c r="Y185" s="613">
        <f t="shared" si="127"/>
        <v>137570.62738533181</v>
      </c>
      <c r="Z185" s="613">
        <f t="shared" si="127"/>
        <v>154814.30107124336</v>
      </c>
      <c r="AA185" s="613">
        <f t="shared" si="127"/>
        <v>171593.79186175691</v>
      </c>
      <c r="AB185" s="613">
        <f t="shared" si="127"/>
        <v>187912.91832192306</v>
      </c>
      <c r="AC185" s="613">
        <f t="shared" si="127"/>
        <v>203771.86929126256</v>
      </c>
      <c r="AD185" s="613">
        <f t="shared" si="127"/>
        <v>219176.71316041154</v>
      </c>
      <c r="AE185" s="613">
        <f t="shared" si="127"/>
        <v>234131.33546492356</v>
      </c>
      <c r="AF185" s="613">
        <f t="shared" si="127"/>
        <v>248639.62104508281</v>
      </c>
      <c r="AG185" s="613">
        <f t="shared" si="127"/>
        <v>262705.45075758401</v>
      </c>
      <c r="AI185" s="698"/>
      <c r="AJ185" s="300"/>
    </row>
    <row r="186" spans="1:36" s="169" customFormat="1">
      <c r="A186" s="169" t="s">
        <v>853</v>
      </c>
      <c r="B186" s="326" t="s">
        <v>127</v>
      </c>
      <c r="C186" s="613">
        <f>IF(C165&gt;C185,C185,C165)</f>
        <v>-62596.373350601476</v>
      </c>
      <c r="D186" s="613">
        <f t="shared" ref="D186:AG186" si="128">IF(D165&gt;D185,D185,D165)</f>
        <v>-56786.830420736012</v>
      </c>
      <c r="E186" s="613">
        <f t="shared" si="128"/>
        <v>-51048.570376302603</v>
      </c>
      <c r="F186" s="613">
        <f t="shared" si="128"/>
        <v>-45382.294989804803</v>
      </c>
      <c r="G186" s="613">
        <f t="shared" si="128"/>
        <v>-39788.658131071461</v>
      </c>
      <c r="H186" s="613">
        <f t="shared" si="128"/>
        <v>-34268.267732447246</v>
      </c>
      <c r="I186" s="613">
        <f t="shared" si="128"/>
        <v>-28650.453829608479</v>
      </c>
      <c r="J186" s="613">
        <f t="shared" si="128"/>
        <v>-23115.346141973077</v>
      </c>
      <c r="K186" s="613">
        <f t="shared" si="128"/>
        <v>-17662.924110466254</v>
      </c>
      <c r="L186" s="613">
        <f t="shared" si="128"/>
        <v>-12293.14388999658</v>
      </c>
      <c r="M186" s="613">
        <f t="shared" si="128"/>
        <v>-7005.9394668958275</v>
      </c>
      <c r="N186" s="613">
        <f t="shared" si="128"/>
        <v>4914.9327528431086</v>
      </c>
      <c r="O186" s="613">
        <f t="shared" si="128"/>
        <v>16641.554041745192</v>
      </c>
      <c r="P186" s="613">
        <f t="shared" si="128"/>
        <v>28099.117795955135</v>
      </c>
      <c r="Q186" s="613">
        <f t="shared" si="128"/>
        <v>39324.887219129982</v>
      </c>
      <c r="R186" s="613">
        <f t="shared" si="128"/>
        <v>50318.173757920951</v>
      </c>
      <c r="S186" s="613">
        <f t="shared" si="128"/>
        <v>61078.375168720813</v>
      </c>
      <c r="T186" s="613">
        <f t="shared" si="128"/>
        <v>71604.97184448663</v>
      </c>
      <c r="U186" s="613">
        <f t="shared" si="128"/>
        <v>81897.523286399955</v>
      </c>
      <c r="V186" s="613">
        <f t="shared" si="128"/>
        <v>91955.66471439453</v>
      </c>
      <c r="W186" s="613">
        <f t="shared" si="128"/>
        <v>101779.10381084515</v>
      </c>
      <c r="X186" s="613">
        <f t="shared" si="128"/>
        <v>119653.55271427277</v>
      </c>
      <c r="Y186" s="613">
        <f t="shared" si="128"/>
        <v>137570.62738533181</v>
      </c>
      <c r="Z186" s="613">
        <f t="shared" si="128"/>
        <v>154814.30107124336</v>
      </c>
      <c r="AA186" s="613">
        <f t="shared" si="128"/>
        <v>171593.79186175691</v>
      </c>
      <c r="AB186" s="613">
        <f t="shared" si="128"/>
        <v>187912.91832192306</v>
      </c>
      <c r="AC186" s="613">
        <f t="shared" si="128"/>
        <v>203771.86929126256</v>
      </c>
      <c r="AD186" s="613">
        <f t="shared" si="128"/>
        <v>219176.71316041154</v>
      </c>
      <c r="AE186" s="613">
        <f t="shared" si="128"/>
        <v>234131.33546492356</v>
      </c>
      <c r="AF186" s="613">
        <f t="shared" si="128"/>
        <v>248639.62104508281</v>
      </c>
      <c r="AG186" s="613">
        <f t="shared" si="128"/>
        <v>253327.32233393675</v>
      </c>
      <c r="AI186" s="698"/>
      <c r="AJ186" s="300"/>
    </row>
    <row r="187" spans="1:36" s="169" customFormat="1">
      <c r="A187" s="169" t="s">
        <v>854</v>
      </c>
      <c r="B187" s="326" t="s">
        <v>127</v>
      </c>
      <c r="C187" s="613">
        <f>IF(C185-C186&lt;0,0,C185-C186)</f>
        <v>0</v>
      </c>
      <c r="D187" s="613">
        <f t="shared" ref="D187:AG187" si="129">IF(D185-D186&lt;0,0,D185-D186)</f>
        <v>0</v>
      </c>
      <c r="E187" s="613">
        <f t="shared" si="129"/>
        <v>0</v>
      </c>
      <c r="F187" s="613">
        <f t="shared" si="129"/>
        <v>0</v>
      </c>
      <c r="G187" s="613">
        <f t="shared" si="129"/>
        <v>0</v>
      </c>
      <c r="H187" s="613">
        <f t="shared" si="129"/>
        <v>0</v>
      </c>
      <c r="I187" s="613">
        <f t="shared" si="129"/>
        <v>0</v>
      </c>
      <c r="J187" s="613">
        <f t="shared" si="129"/>
        <v>0</v>
      </c>
      <c r="K187" s="613">
        <f t="shared" si="129"/>
        <v>0</v>
      </c>
      <c r="L187" s="613">
        <f t="shared" si="129"/>
        <v>0</v>
      </c>
      <c r="M187" s="613">
        <f t="shared" si="129"/>
        <v>0</v>
      </c>
      <c r="N187" s="613">
        <f t="shared" si="129"/>
        <v>0</v>
      </c>
      <c r="O187" s="613">
        <f t="shared" si="129"/>
        <v>0</v>
      </c>
      <c r="P187" s="613">
        <f t="shared" si="129"/>
        <v>0</v>
      </c>
      <c r="Q187" s="613">
        <f t="shared" si="129"/>
        <v>0</v>
      </c>
      <c r="R187" s="613">
        <f t="shared" si="129"/>
        <v>0</v>
      </c>
      <c r="S187" s="613">
        <f t="shared" si="129"/>
        <v>0</v>
      </c>
      <c r="T187" s="613">
        <f t="shared" si="129"/>
        <v>0</v>
      </c>
      <c r="U187" s="613">
        <f t="shared" si="129"/>
        <v>0</v>
      </c>
      <c r="V187" s="613">
        <f t="shared" si="129"/>
        <v>0</v>
      </c>
      <c r="W187" s="613">
        <f t="shared" si="129"/>
        <v>0</v>
      </c>
      <c r="X187" s="613">
        <f t="shared" si="129"/>
        <v>0</v>
      </c>
      <c r="Y187" s="613">
        <f t="shared" si="129"/>
        <v>0</v>
      </c>
      <c r="Z187" s="613">
        <f t="shared" si="129"/>
        <v>0</v>
      </c>
      <c r="AA187" s="613">
        <f t="shared" si="129"/>
        <v>0</v>
      </c>
      <c r="AB187" s="613">
        <f t="shared" si="129"/>
        <v>0</v>
      </c>
      <c r="AC187" s="613">
        <f t="shared" si="129"/>
        <v>0</v>
      </c>
      <c r="AD187" s="613">
        <f t="shared" si="129"/>
        <v>0</v>
      </c>
      <c r="AE187" s="613">
        <f t="shared" si="129"/>
        <v>0</v>
      </c>
      <c r="AF187" s="613">
        <f t="shared" si="129"/>
        <v>0</v>
      </c>
      <c r="AG187" s="613">
        <f t="shared" si="129"/>
        <v>9378.1284236472566</v>
      </c>
      <c r="AI187" s="698"/>
      <c r="AJ187" s="300"/>
    </row>
    <row r="188" spans="1:36" s="169" customFormat="1">
      <c r="A188" s="169" t="s">
        <v>855</v>
      </c>
      <c r="B188" s="326" t="s">
        <v>127</v>
      </c>
      <c r="C188" s="613">
        <f>C182*C139+C136*C185+C172+IF(C165&gt;C185,C165-C185,0)</f>
        <v>210781.48569020152</v>
      </c>
      <c r="D188" s="613">
        <f t="shared" ref="D188:AG188" si="130">D182*D139+D136*D185+D172+IF(D165&gt;D185,D165-D185,0)</f>
        <v>213339.07508617293</v>
      </c>
      <c r="E188" s="613">
        <f t="shared" si="130"/>
        <v>215864.69127372952</v>
      </c>
      <c r="F188" s="613">
        <f t="shared" si="130"/>
        <v>218358.99827770249</v>
      </c>
      <c r="G188" s="613">
        <f t="shared" si="130"/>
        <v>220822.66316719411</v>
      </c>
      <c r="H188" s="613">
        <f t="shared" si="130"/>
        <v>223256.35605557874</v>
      </c>
      <c r="I188" s="613">
        <f t="shared" si="130"/>
        <v>225003.13203249071</v>
      </c>
      <c r="J188" s="613">
        <f t="shared" si="130"/>
        <v>226692.09910889113</v>
      </c>
      <c r="K188" s="613">
        <f t="shared" si="130"/>
        <v>228323.60928771491</v>
      </c>
      <c r="L188" s="613">
        <f t="shared" si="130"/>
        <v>229898.02078397939</v>
      </c>
      <c r="M188" s="613">
        <f t="shared" si="130"/>
        <v>231415.69802478555</v>
      </c>
      <c r="N188" s="613">
        <f t="shared" si="130"/>
        <v>228138.11140522367</v>
      </c>
      <c r="O188" s="613">
        <f t="shared" si="130"/>
        <v>224847.04188509641</v>
      </c>
      <c r="P188" s="613">
        <f t="shared" si="130"/>
        <v>221344.98848503793</v>
      </c>
      <c r="Q188" s="613">
        <f t="shared" si="130"/>
        <v>217783.94298174451</v>
      </c>
      <c r="R188" s="613">
        <f t="shared" si="130"/>
        <v>214166.95367632367</v>
      </c>
      <c r="S188" s="613">
        <f t="shared" si="130"/>
        <v>210497.07517893813</v>
      </c>
      <c r="T188" s="613">
        <f t="shared" si="130"/>
        <v>206777.36844953132</v>
      </c>
      <c r="U188" s="613">
        <f t="shared" si="130"/>
        <v>203010.90083850565</v>
      </c>
      <c r="V188" s="613">
        <f t="shared" si="130"/>
        <v>199200.74612735619</v>
      </c>
      <c r="W188" s="613">
        <f t="shared" si="130"/>
        <v>195349.98456925643</v>
      </c>
      <c r="X188" s="613">
        <f t="shared" si="130"/>
        <v>184868.41659263335</v>
      </c>
      <c r="Y188" s="613">
        <f t="shared" si="130"/>
        <v>174784.46182102073</v>
      </c>
      <c r="Z188" s="613">
        <f t="shared" si="130"/>
        <v>164647.76495392431</v>
      </c>
      <c r="AA188" s="613">
        <f t="shared" si="130"/>
        <v>154538.00465657364</v>
      </c>
      <c r="AB188" s="613">
        <f t="shared" si="130"/>
        <v>144459.17331552273</v>
      </c>
      <c r="AC188" s="613">
        <f t="shared" si="130"/>
        <v>134391.15099659096</v>
      </c>
      <c r="AD188" s="613">
        <f t="shared" si="130"/>
        <v>124362.06689451027</v>
      </c>
      <c r="AE188" s="613">
        <f t="shared" si="130"/>
        <v>114375.86446514002</v>
      </c>
      <c r="AF188" s="613">
        <f t="shared" si="130"/>
        <v>104436.47675302843</v>
      </c>
      <c r="AG188" s="613">
        <f t="shared" si="130"/>
        <v>103925.95630202979</v>
      </c>
      <c r="AI188" s="698"/>
      <c r="AJ188" s="300"/>
    </row>
    <row r="189" spans="1:36" s="169" customFormat="1">
      <c r="A189" s="169" t="s">
        <v>856</v>
      </c>
      <c r="B189" s="326" t="s">
        <v>127</v>
      </c>
      <c r="C189" s="613">
        <f>C168-C187</f>
        <v>725624.49712994846</v>
      </c>
      <c r="D189" s="613">
        <f t="shared" ref="D189:AF189" si="131">D168-D187</f>
        <v>720413.85007765947</v>
      </c>
      <c r="E189" s="613">
        <f t="shared" si="131"/>
        <v>715176.9508321028</v>
      </c>
      <c r="F189" s="613">
        <f t="shared" si="131"/>
        <v>709914.42818209855</v>
      </c>
      <c r="G189" s="613">
        <f t="shared" si="131"/>
        <v>704626.90787219384</v>
      </c>
      <c r="H189" s="613">
        <f t="shared" si="131"/>
        <v>699315.01260266558</v>
      </c>
      <c r="I189" s="613">
        <f t="shared" si="131"/>
        <v>692137.08029348764</v>
      </c>
      <c r="J189" s="613">
        <f t="shared" si="131"/>
        <v>684955.10976410937</v>
      </c>
      <c r="K189" s="613">
        <f t="shared" si="131"/>
        <v>677770.04182524676</v>
      </c>
      <c r="L189" s="613">
        <f t="shared" si="131"/>
        <v>670582.81107553234</v>
      </c>
      <c r="M189" s="613">
        <f t="shared" si="131"/>
        <v>663394.34590151638</v>
      </c>
      <c r="N189" s="613">
        <f t="shared" si="131"/>
        <v>655102.07301281102</v>
      </c>
      <c r="O189" s="613">
        <f t="shared" si="131"/>
        <v>647013.35457070882</v>
      </c>
      <c r="P189" s="613">
        <f t="shared" si="131"/>
        <v>638450.06337745779</v>
      </c>
      <c r="Q189" s="613">
        <f t="shared" si="131"/>
        <v>629904.95455133647</v>
      </c>
      <c r="R189" s="613">
        <f t="shared" si="131"/>
        <v>621379.18118345586</v>
      </c>
      <c r="S189" s="613">
        <f t="shared" si="131"/>
        <v>612873.88771603105</v>
      </c>
      <c r="T189" s="613">
        <f t="shared" si="131"/>
        <v>604390.2099372776</v>
      </c>
      <c r="U189" s="613">
        <f t="shared" si="131"/>
        <v>595929.27497635304</v>
      </c>
      <c r="V189" s="613">
        <f t="shared" si="131"/>
        <v>587492.20129834744</v>
      </c>
      <c r="W189" s="613">
        <f t="shared" si="131"/>
        <v>579080.09869931743</v>
      </c>
      <c r="X189" s="613">
        <f t="shared" si="131"/>
        <v>569162.77504008706</v>
      </c>
      <c r="Y189" s="613">
        <f t="shared" si="131"/>
        <v>560861.65029223647</v>
      </c>
      <c r="Z189" s="613">
        <f t="shared" si="131"/>
        <v>552126.15844261518</v>
      </c>
      <c r="AA189" s="613">
        <f t="shared" si="131"/>
        <v>543424.42821049085</v>
      </c>
      <c r="AB189" s="613">
        <f t="shared" si="131"/>
        <v>534757.72607051546</v>
      </c>
      <c r="AC189" s="613">
        <f t="shared" si="131"/>
        <v>526077.86855175695</v>
      </c>
      <c r="AD189" s="613">
        <f t="shared" si="131"/>
        <v>517436.23811011499</v>
      </c>
      <c r="AE189" s="613">
        <f t="shared" si="131"/>
        <v>508834.07369181234</v>
      </c>
      <c r="AF189" s="613">
        <f t="shared" si="131"/>
        <v>500272.60200872348</v>
      </c>
      <c r="AG189" s="613">
        <f>AG168-AG187</f>
        <v>482374.90904811234</v>
      </c>
      <c r="AI189" s="698"/>
      <c r="AJ189" s="300"/>
    </row>
    <row r="190" spans="1:36" s="169" customFormat="1">
      <c r="B190" s="327"/>
      <c r="C190" s="613"/>
      <c r="D190" s="613"/>
      <c r="E190" s="613"/>
      <c r="F190" s="613"/>
      <c r="G190" s="613"/>
      <c r="H190" s="613"/>
      <c r="I190" s="613"/>
      <c r="J190" s="613"/>
      <c r="K190" s="613"/>
      <c r="L190" s="613"/>
      <c r="M190" s="613"/>
      <c r="N190" s="613"/>
      <c r="O190" s="613"/>
      <c r="P190" s="613"/>
      <c r="Q190" s="613"/>
      <c r="R190" s="613"/>
      <c r="S190" s="613"/>
      <c r="T190" s="613"/>
      <c r="U190" s="613"/>
      <c r="V190" s="613"/>
      <c r="W190" s="613"/>
      <c r="X190" s="613"/>
      <c r="Y190" s="613"/>
      <c r="Z190" s="613"/>
      <c r="AA190" s="613"/>
      <c r="AB190" s="613"/>
      <c r="AC190" s="613"/>
      <c r="AD190" s="613"/>
      <c r="AE190" s="613"/>
      <c r="AF190" s="613"/>
      <c r="AG190" s="613"/>
      <c r="AJ190" s="300"/>
    </row>
    <row r="191" spans="1:36" s="169" customFormat="1">
      <c r="A191" s="169" t="s">
        <v>753</v>
      </c>
      <c r="B191" s="327" t="s">
        <v>126</v>
      </c>
      <c r="C191" s="309">
        <v>0.8</v>
      </c>
      <c r="D191" s="306">
        <f>C191</f>
        <v>0.8</v>
      </c>
      <c r="E191" s="306">
        <f t="shared" ref="E191:AG191" si="132">D191</f>
        <v>0.8</v>
      </c>
      <c r="F191" s="306">
        <f t="shared" si="132"/>
        <v>0.8</v>
      </c>
      <c r="G191" s="306">
        <f t="shared" si="132"/>
        <v>0.8</v>
      </c>
      <c r="H191" s="306">
        <f t="shared" si="132"/>
        <v>0.8</v>
      </c>
      <c r="I191" s="306">
        <f t="shared" si="132"/>
        <v>0.8</v>
      </c>
      <c r="J191" s="306">
        <f t="shared" si="132"/>
        <v>0.8</v>
      </c>
      <c r="K191" s="306">
        <f t="shared" si="132"/>
        <v>0.8</v>
      </c>
      <c r="L191" s="306">
        <f t="shared" si="132"/>
        <v>0.8</v>
      </c>
      <c r="M191" s="306">
        <f t="shared" si="132"/>
        <v>0.8</v>
      </c>
      <c r="N191" s="306">
        <f t="shared" si="132"/>
        <v>0.8</v>
      </c>
      <c r="O191" s="306">
        <f t="shared" si="132"/>
        <v>0.8</v>
      </c>
      <c r="P191" s="306">
        <f t="shared" si="132"/>
        <v>0.8</v>
      </c>
      <c r="Q191" s="306">
        <f t="shared" si="132"/>
        <v>0.8</v>
      </c>
      <c r="R191" s="306">
        <f t="shared" si="132"/>
        <v>0.8</v>
      </c>
      <c r="S191" s="306">
        <f t="shared" si="132"/>
        <v>0.8</v>
      </c>
      <c r="T191" s="306">
        <f t="shared" si="132"/>
        <v>0.8</v>
      </c>
      <c r="U191" s="306">
        <f t="shared" si="132"/>
        <v>0.8</v>
      </c>
      <c r="V191" s="306">
        <f t="shared" si="132"/>
        <v>0.8</v>
      </c>
      <c r="W191" s="306">
        <f t="shared" si="132"/>
        <v>0.8</v>
      </c>
      <c r="X191" s="306">
        <f t="shared" si="132"/>
        <v>0.8</v>
      </c>
      <c r="Y191" s="306">
        <f t="shared" si="132"/>
        <v>0.8</v>
      </c>
      <c r="Z191" s="306">
        <f t="shared" si="132"/>
        <v>0.8</v>
      </c>
      <c r="AA191" s="306">
        <f t="shared" si="132"/>
        <v>0.8</v>
      </c>
      <c r="AB191" s="306">
        <f t="shared" si="132"/>
        <v>0.8</v>
      </c>
      <c r="AC191" s="306">
        <f t="shared" si="132"/>
        <v>0.8</v>
      </c>
      <c r="AD191" s="306">
        <f t="shared" si="132"/>
        <v>0.8</v>
      </c>
      <c r="AE191" s="306">
        <f t="shared" si="132"/>
        <v>0.8</v>
      </c>
      <c r="AF191" s="306">
        <f t="shared" si="132"/>
        <v>0.8</v>
      </c>
      <c r="AG191" s="306">
        <f t="shared" si="132"/>
        <v>0.8</v>
      </c>
      <c r="AJ191" s="300" t="s">
        <v>754</v>
      </c>
    </row>
    <row r="192" spans="1:36" s="169" customFormat="1">
      <c r="B192" s="327"/>
      <c r="C192" s="613"/>
      <c r="D192" s="613"/>
      <c r="E192" s="613"/>
      <c r="F192" s="613"/>
      <c r="G192" s="613"/>
      <c r="H192" s="613"/>
      <c r="I192" s="613"/>
      <c r="J192" s="613"/>
      <c r="K192" s="613"/>
      <c r="L192" s="613"/>
      <c r="M192" s="613"/>
      <c r="N192" s="613"/>
      <c r="O192" s="613"/>
      <c r="P192" s="613"/>
      <c r="Q192" s="613"/>
      <c r="R192" s="613"/>
      <c r="S192" s="613"/>
      <c r="T192" s="613"/>
      <c r="U192" s="613"/>
      <c r="V192" s="613"/>
      <c r="W192" s="613"/>
      <c r="X192" s="613"/>
      <c r="Y192" s="613"/>
      <c r="Z192" s="613"/>
      <c r="AA192" s="613"/>
      <c r="AB192" s="613"/>
      <c r="AC192" s="613"/>
      <c r="AD192" s="613"/>
      <c r="AE192" s="613"/>
      <c r="AF192" s="613"/>
      <c r="AG192" s="613"/>
      <c r="AJ192" s="300"/>
    </row>
    <row r="193" spans="1:37" s="169" customFormat="1">
      <c r="A193" s="169" t="s">
        <v>710</v>
      </c>
      <c r="B193" s="327" t="s">
        <v>127</v>
      </c>
      <c r="C193" s="613">
        <f>C127*C188*C191</f>
        <v>37097.541481475469</v>
      </c>
      <c r="D193" s="613">
        <f t="shared" ref="D193:AG193" si="133">D127*D188*D191</f>
        <v>38685.485615626028</v>
      </c>
      <c r="E193" s="613">
        <f t="shared" si="133"/>
        <v>40294.742371096174</v>
      </c>
      <c r="F193" s="613">
        <f t="shared" si="133"/>
        <v>41924.927669318873</v>
      </c>
      <c r="G193" s="613">
        <f t="shared" si="133"/>
        <v>43575.672198326298</v>
      </c>
      <c r="H193" s="613">
        <f t="shared" si="133"/>
        <v>45246.621493930623</v>
      </c>
      <c r="I193" s="613">
        <f t="shared" si="133"/>
        <v>46800.651462758062</v>
      </c>
      <c r="J193" s="613">
        <f t="shared" si="133"/>
        <v>48360.981143230099</v>
      </c>
      <c r="K193" s="613">
        <f t="shared" si="133"/>
        <v>49926.762564246979</v>
      </c>
      <c r="L193" s="613">
        <f t="shared" si="133"/>
        <v>51497.156655611368</v>
      </c>
      <c r="M193" s="613">
        <f t="shared" si="133"/>
        <v>53071.333413684137</v>
      </c>
      <c r="N193" s="613">
        <f t="shared" si="133"/>
        <v>53536.410143092478</v>
      </c>
      <c r="O193" s="613">
        <f t="shared" si="133"/>
        <v>53963.290052423115</v>
      </c>
      <c r="P193" s="613">
        <f t="shared" si="133"/>
        <v>54303.303841662622</v>
      </c>
      <c r="Q193" s="613">
        <f t="shared" si="133"/>
        <v>54591.175040757262</v>
      </c>
      <c r="R193" s="613">
        <f t="shared" si="133"/>
        <v>54826.740141138835</v>
      </c>
      <c r="S193" s="613">
        <f t="shared" si="133"/>
        <v>55009.902313429142</v>
      </c>
      <c r="T193" s="613">
        <f t="shared" si="133"/>
        <v>55140.631586541655</v>
      </c>
      <c r="U193" s="613">
        <f t="shared" si="133"/>
        <v>55218.965028073515</v>
      </c>
      <c r="V193" s="613">
        <f t="shared" si="133"/>
        <v>55245.00692598676</v>
      </c>
      <c r="W193" s="613">
        <f t="shared" si="133"/>
        <v>55218.928971576446</v>
      </c>
      <c r="X193" s="613">
        <f t="shared" si="133"/>
        <v>53242.10397867838</v>
      </c>
      <c r="Y193" s="613">
        <f t="shared" si="133"/>
        <v>51270.108800832713</v>
      </c>
      <c r="Z193" s="613">
        <f t="shared" si="133"/>
        <v>49174.799132905362</v>
      </c>
      <c r="AA193" s="613">
        <f t="shared" si="133"/>
        <v>46979.553415598355</v>
      </c>
      <c r="AB193" s="613">
        <f t="shared" si="133"/>
        <v>44686.03761226833</v>
      </c>
      <c r="AC193" s="613">
        <f t="shared" si="133"/>
        <v>42288.415513593929</v>
      </c>
      <c r="AD193" s="613">
        <f t="shared" si="133"/>
        <v>39795.861406243261</v>
      </c>
      <c r="AE193" s="613">
        <f t="shared" si="133"/>
        <v>37210.281239325523</v>
      </c>
      <c r="AF193" s="613">
        <f t="shared" si="133"/>
        <v>34533.661646334709</v>
      </c>
      <c r="AG193" s="613">
        <f t="shared" si="133"/>
        <v>34919.121317482015</v>
      </c>
      <c r="AJ193" s="300"/>
    </row>
    <row r="194" spans="1:37" s="169" customFormat="1">
      <c r="A194" s="169" t="s">
        <v>715</v>
      </c>
      <c r="B194" s="327" t="s">
        <v>127</v>
      </c>
      <c r="C194" s="613">
        <f>C188*C191-C193</f>
        <v>131527.64707068575</v>
      </c>
      <c r="D194" s="613">
        <f t="shared" ref="D194:AG194" si="134">D188*D191-D193</f>
        <v>131985.77445331233</v>
      </c>
      <c r="E194" s="613">
        <f t="shared" si="134"/>
        <v>132397.01064788748</v>
      </c>
      <c r="F194" s="613">
        <f t="shared" si="134"/>
        <v>132762.27095284313</v>
      </c>
      <c r="G194" s="613">
        <f t="shared" si="134"/>
        <v>133082.45833542899</v>
      </c>
      <c r="H194" s="613">
        <f t="shared" si="134"/>
        <v>133358.4633505324</v>
      </c>
      <c r="I194" s="613">
        <f t="shared" si="134"/>
        <v>133201.85416323453</v>
      </c>
      <c r="J194" s="613">
        <f t="shared" si="134"/>
        <v>132992.69814388279</v>
      </c>
      <c r="K194" s="613">
        <f t="shared" si="134"/>
        <v>132732.12486592497</v>
      </c>
      <c r="L194" s="613">
        <f t="shared" si="134"/>
        <v>132421.25997157214</v>
      </c>
      <c r="M194" s="613">
        <f t="shared" si="134"/>
        <v>132061.22500614432</v>
      </c>
      <c r="N194" s="613">
        <f t="shared" si="134"/>
        <v>128974.07898108647</v>
      </c>
      <c r="O194" s="613">
        <f t="shared" si="134"/>
        <v>125914.34345565402</v>
      </c>
      <c r="P194" s="613">
        <f t="shared" si="134"/>
        <v>122772.68694636773</v>
      </c>
      <c r="Q194" s="613">
        <f t="shared" si="134"/>
        <v>119635.97934463836</v>
      </c>
      <c r="R194" s="613">
        <f t="shared" si="134"/>
        <v>116506.8227999201</v>
      </c>
      <c r="S194" s="613">
        <f t="shared" si="134"/>
        <v>113387.75782972138</v>
      </c>
      <c r="T194" s="613">
        <f t="shared" si="134"/>
        <v>110281.26317308343</v>
      </c>
      <c r="U194" s="613">
        <f t="shared" si="134"/>
        <v>107189.755642731</v>
      </c>
      <c r="V194" s="613">
        <f t="shared" si="134"/>
        <v>104115.58997589821</v>
      </c>
      <c r="W194" s="613">
        <f t="shared" si="134"/>
        <v>101061.05868382871</v>
      </c>
      <c r="X194" s="613">
        <f t="shared" si="134"/>
        <v>94652.629295428313</v>
      </c>
      <c r="Y194" s="613">
        <f t="shared" si="134"/>
        <v>88557.460655983887</v>
      </c>
      <c r="Z194" s="613">
        <f t="shared" si="134"/>
        <v>82543.412830234083</v>
      </c>
      <c r="AA194" s="613">
        <f t="shared" si="134"/>
        <v>76650.850309660571</v>
      </c>
      <c r="AB194" s="613">
        <f t="shared" si="134"/>
        <v>70881.301040149847</v>
      </c>
      <c r="AC194" s="613">
        <f t="shared" si="134"/>
        <v>65224.505283678845</v>
      </c>
      <c r="AD194" s="613">
        <f t="shared" si="134"/>
        <v>59693.792109364964</v>
      </c>
      <c r="AE194" s="613">
        <f t="shared" si="134"/>
        <v>54290.410332786509</v>
      </c>
      <c r="AF194" s="613">
        <f t="shared" si="134"/>
        <v>49015.519756088041</v>
      </c>
      <c r="AG194" s="613">
        <f t="shared" si="134"/>
        <v>48221.643724141832</v>
      </c>
      <c r="AJ194" s="300"/>
    </row>
    <row r="195" spans="1:37" s="169" customFormat="1">
      <c r="B195" s="165"/>
      <c r="C195" s="613"/>
      <c r="D195" s="613"/>
      <c r="E195" s="613"/>
      <c r="F195" s="613"/>
      <c r="G195" s="613"/>
      <c r="H195" s="613"/>
      <c r="I195" s="613"/>
      <c r="J195" s="613"/>
      <c r="K195" s="613"/>
      <c r="L195" s="613"/>
      <c r="M195" s="613"/>
      <c r="N195" s="613"/>
      <c r="O195" s="613"/>
      <c r="P195" s="613"/>
      <c r="Q195" s="613"/>
      <c r="R195" s="613"/>
      <c r="S195" s="613"/>
      <c r="T195" s="613"/>
      <c r="U195" s="613"/>
      <c r="V195" s="613"/>
      <c r="W195" s="613"/>
      <c r="X195" s="613"/>
      <c r="Y195" s="613"/>
      <c r="Z195" s="613"/>
      <c r="AA195" s="613"/>
      <c r="AB195" s="613"/>
      <c r="AC195" s="613"/>
      <c r="AD195" s="613"/>
      <c r="AE195" s="613"/>
      <c r="AF195" s="613"/>
      <c r="AG195" s="613"/>
      <c r="AJ195" s="300"/>
    </row>
    <row r="196" spans="1:37" s="169" customFormat="1">
      <c r="B196" s="197" t="s">
        <v>709</v>
      </c>
      <c r="C196" s="616">
        <v>0</v>
      </c>
      <c r="D196" s="616">
        <f>C196+1</f>
        <v>1</v>
      </c>
      <c r="E196" s="616">
        <f t="shared" ref="E196:AG196" si="135">D196+1</f>
        <v>2</v>
      </c>
      <c r="F196" s="616">
        <f t="shared" si="135"/>
        <v>3</v>
      </c>
      <c r="G196" s="616">
        <f t="shared" si="135"/>
        <v>4</v>
      </c>
      <c r="H196" s="616">
        <f t="shared" si="135"/>
        <v>5</v>
      </c>
      <c r="I196" s="616">
        <f t="shared" si="135"/>
        <v>6</v>
      </c>
      <c r="J196" s="616">
        <f t="shared" si="135"/>
        <v>7</v>
      </c>
      <c r="K196" s="616">
        <f t="shared" si="135"/>
        <v>8</v>
      </c>
      <c r="L196" s="616">
        <f t="shared" si="135"/>
        <v>9</v>
      </c>
      <c r="M196" s="616">
        <f t="shared" si="135"/>
        <v>10</v>
      </c>
      <c r="N196" s="616">
        <f t="shared" si="135"/>
        <v>11</v>
      </c>
      <c r="O196" s="616">
        <f t="shared" si="135"/>
        <v>12</v>
      </c>
      <c r="P196" s="616">
        <f t="shared" si="135"/>
        <v>13</v>
      </c>
      <c r="Q196" s="616">
        <f t="shared" si="135"/>
        <v>14</v>
      </c>
      <c r="R196" s="616">
        <f t="shared" si="135"/>
        <v>15</v>
      </c>
      <c r="S196" s="616">
        <f t="shared" si="135"/>
        <v>16</v>
      </c>
      <c r="T196" s="616">
        <f t="shared" si="135"/>
        <v>17</v>
      </c>
      <c r="U196" s="616">
        <f t="shared" si="135"/>
        <v>18</v>
      </c>
      <c r="V196" s="616">
        <f t="shared" si="135"/>
        <v>19</v>
      </c>
      <c r="W196" s="616">
        <f t="shared" si="135"/>
        <v>20</v>
      </c>
      <c r="X196" s="616">
        <f t="shared" si="135"/>
        <v>21</v>
      </c>
      <c r="Y196" s="616">
        <f t="shared" si="135"/>
        <v>22</v>
      </c>
      <c r="Z196" s="616">
        <f t="shared" si="135"/>
        <v>23</v>
      </c>
      <c r="AA196" s="616">
        <f t="shared" si="135"/>
        <v>24</v>
      </c>
      <c r="AB196" s="616">
        <f t="shared" si="135"/>
        <v>25</v>
      </c>
      <c r="AC196" s="616">
        <f t="shared" si="135"/>
        <v>26</v>
      </c>
      <c r="AD196" s="616">
        <f t="shared" si="135"/>
        <v>27</v>
      </c>
      <c r="AE196" s="616">
        <f t="shared" si="135"/>
        <v>28</v>
      </c>
      <c r="AF196" s="616">
        <f t="shared" si="135"/>
        <v>29</v>
      </c>
      <c r="AG196" s="616">
        <f t="shared" si="135"/>
        <v>30</v>
      </c>
      <c r="AJ196" s="300" t="s">
        <v>717</v>
      </c>
      <c r="AK196" s="169">
        <f>'Ethylene Recycling HC'!AK303</f>
        <v>1.9</v>
      </c>
    </row>
    <row r="197" spans="1:37" s="169" customFormat="1">
      <c r="A197" s="169" t="s">
        <v>761</v>
      </c>
      <c r="B197" s="165"/>
      <c r="C197" s="626">
        <f>$AK$198/((1+EXP(-$AK$197*(C196-$AK$199)))^$AK$196)</f>
        <v>4.6088632748610021E-5</v>
      </c>
      <c r="D197" s="626">
        <f t="shared" ref="D197:AG197" si="136">$AK$198/((1+EXP(-$AK$197*(D196-$AK$199)))^$AK$196)</f>
        <v>8.924759460408035E-5</v>
      </c>
      <c r="E197" s="626">
        <f t="shared" si="136"/>
        <v>1.7252431976790472E-4</v>
      </c>
      <c r="F197" s="626">
        <f t="shared" si="136"/>
        <v>3.3269643715580369E-4</v>
      </c>
      <c r="G197" s="626">
        <f t="shared" si="136"/>
        <v>6.393827369910735E-4</v>
      </c>
      <c r="H197" s="626">
        <f t="shared" si="136"/>
        <v>1.2229053771654547E-3</v>
      </c>
      <c r="I197" s="626">
        <f t="shared" si="136"/>
        <v>2.3234018804222717E-3</v>
      </c>
      <c r="J197" s="626">
        <f t="shared" si="136"/>
        <v>4.3736281679830789E-3</v>
      </c>
      <c r="K197" s="626">
        <f t="shared" si="136"/>
        <v>8.1294184230466908E-3</v>
      </c>
      <c r="L197" s="626">
        <f t="shared" si="136"/>
        <v>1.4853985082038716E-2</v>
      </c>
      <c r="M197" s="626">
        <f t="shared" si="136"/>
        <v>2.6531412096832362E-2</v>
      </c>
      <c r="N197" s="626">
        <f t="shared" si="136"/>
        <v>4.6014759335105015E-2</v>
      </c>
      <c r="O197" s="626">
        <f t="shared" si="136"/>
        <v>7.6910635328419796E-2</v>
      </c>
      <c r="P197" s="626">
        <f t="shared" si="136"/>
        <v>0.12294065829885638</v>
      </c>
      <c r="Q197" s="626">
        <f t="shared" si="136"/>
        <v>0.18666754187878853</v>
      </c>
      <c r="R197" s="626">
        <f t="shared" si="136"/>
        <v>0.26794336563407328</v>
      </c>
      <c r="S197" s="626">
        <f t="shared" si="136"/>
        <v>0.36297326582455031</v>
      </c>
      <c r="T197" s="626">
        <f t="shared" si="136"/>
        <v>0.46484396312424381</v>
      </c>
      <c r="U197" s="626">
        <f t="shared" si="136"/>
        <v>0.56546260593861253</v>
      </c>
      <c r="V197" s="626">
        <f t="shared" si="136"/>
        <v>0.6578403022607352</v>
      </c>
      <c r="W197" s="626">
        <f t="shared" si="136"/>
        <v>0.73754668886795227</v>
      </c>
      <c r="X197" s="626">
        <f t="shared" si="136"/>
        <v>0.80293052021410605</v>
      </c>
      <c r="Y197" s="626">
        <f t="shared" si="136"/>
        <v>0.85447682949112158</v>
      </c>
      <c r="Z197" s="626">
        <f t="shared" si="136"/>
        <v>0.89389910336617451</v>
      </c>
      <c r="AA197" s="626">
        <f t="shared" si="136"/>
        <v>0.92337223319290385</v>
      </c>
      <c r="AB197" s="626">
        <f t="shared" si="136"/>
        <v>0.94504210708611314</v>
      </c>
      <c r="AC197" s="626">
        <f t="shared" si="136"/>
        <v>0.96078240575184182</v>
      </c>
      <c r="AD197" s="626">
        <f t="shared" si="136"/>
        <v>0.97211605463477313</v>
      </c>
      <c r="AE197" s="626">
        <f t="shared" si="136"/>
        <v>0.98022577885232642</v>
      </c>
      <c r="AF197" s="626">
        <f t="shared" si="136"/>
        <v>0.98600279580400285</v>
      </c>
      <c r="AG197" s="626">
        <f t="shared" si="136"/>
        <v>0.9901050637460882</v>
      </c>
      <c r="AI197" s="165" t="s">
        <v>716</v>
      </c>
      <c r="AJ197" s="300" t="s">
        <v>718</v>
      </c>
      <c r="AK197" s="169">
        <f>'Ethylene Recycling HC'!AK304</f>
        <v>0.35</v>
      </c>
    </row>
    <row r="198" spans="1:37" s="169" customFormat="1">
      <c r="B198" s="165"/>
      <c r="C198" s="625">
        <v>0</v>
      </c>
      <c r="D198" s="625">
        <v>0</v>
      </c>
      <c r="E198" s="625">
        <v>0</v>
      </c>
      <c r="F198" s="625">
        <v>0</v>
      </c>
      <c r="G198" s="625">
        <v>0</v>
      </c>
      <c r="H198" s="625">
        <v>0</v>
      </c>
      <c r="I198" s="625">
        <v>0</v>
      </c>
      <c r="J198" s="625">
        <v>0</v>
      </c>
      <c r="K198" s="625">
        <v>0</v>
      </c>
      <c r="L198" s="625">
        <v>0</v>
      </c>
      <c r="M198" s="625">
        <f>C197</f>
        <v>4.6088632748610021E-5</v>
      </c>
      <c r="N198" s="625">
        <v>0</v>
      </c>
      <c r="O198" s="625">
        <v>0</v>
      </c>
      <c r="P198" s="625">
        <v>0</v>
      </c>
      <c r="Q198" s="625">
        <v>0</v>
      </c>
      <c r="R198" s="625">
        <f t="shared" ref="R198:AG198" si="137">C197</f>
        <v>4.6088632748610021E-5</v>
      </c>
      <c r="S198" s="625">
        <f t="shared" si="137"/>
        <v>8.924759460408035E-5</v>
      </c>
      <c r="T198" s="625">
        <f t="shared" si="137"/>
        <v>1.7252431976790472E-4</v>
      </c>
      <c r="U198" s="625">
        <f t="shared" si="137"/>
        <v>3.3269643715580369E-4</v>
      </c>
      <c r="V198" s="625">
        <f t="shared" si="137"/>
        <v>6.393827369910735E-4</v>
      </c>
      <c r="W198" s="625">
        <f t="shared" si="137"/>
        <v>1.2229053771654547E-3</v>
      </c>
      <c r="X198" s="625">
        <f t="shared" si="137"/>
        <v>2.3234018804222717E-3</v>
      </c>
      <c r="Y198" s="625">
        <f t="shared" si="137"/>
        <v>4.3736281679830789E-3</v>
      </c>
      <c r="Z198" s="625">
        <f t="shared" si="137"/>
        <v>8.1294184230466908E-3</v>
      </c>
      <c r="AA198" s="625">
        <f t="shared" si="137"/>
        <v>1.4853985082038716E-2</v>
      </c>
      <c r="AB198" s="625">
        <f t="shared" si="137"/>
        <v>2.6531412096832362E-2</v>
      </c>
      <c r="AC198" s="625">
        <f t="shared" si="137"/>
        <v>4.6014759335105015E-2</v>
      </c>
      <c r="AD198" s="625">
        <f t="shared" si="137"/>
        <v>7.6910635328419796E-2</v>
      </c>
      <c r="AE198" s="625">
        <f t="shared" si="137"/>
        <v>0.12294065829885638</v>
      </c>
      <c r="AF198" s="625">
        <f t="shared" si="137"/>
        <v>0.18666754187878853</v>
      </c>
      <c r="AG198" s="625">
        <f t="shared" si="137"/>
        <v>0.26794336563407328</v>
      </c>
      <c r="AI198" s="165" t="s">
        <v>762</v>
      </c>
      <c r="AJ198" s="300" t="s">
        <v>719</v>
      </c>
      <c r="AK198" s="169">
        <f>'Ethylene Recycling HC'!AK305</f>
        <v>1</v>
      </c>
    </row>
    <row r="199" spans="1:37" s="169" customFormat="1">
      <c r="B199" s="165"/>
      <c r="C199" s="613"/>
      <c r="D199" s="613"/>
      <c r="E199" s="613"/>
      <c r="F199" s="613"/>
      <c r="G199" s="613"/>
      <c r="H199" s="613"/>
      <c r="I199" s="613"/>
      <c r="J199" s="613"/>
      <c r="K199" s="613"/>
      <c r="L199" s="613"/>
      <c r="M199" s="613"/>
      <c r="N199" s="613"/>
      <c r="O199" s="613"/>
      <c r="P199" s="613"/>
      <c r="Q199" s="613"/>
      <c r="R199" s="613"/>
      <c r="S199" s="613"/>
      <c r="T199" s="613"/>
      <c r="U199" s="613"/>
      <c r="V199" s="613"/>
      <c r="W199" s="613"/>
      <c r="X199" s="613"/>
      <c r="Y199" s="613"/>
      <c r="Z199" s="613"/>
      <c r="AA199" s="613"/>
      <c r="AB199" s="613"/>
      <c r="AC199" s="613"/>
      <c r="AD199" s="613"/>
      <c r="AE199" s="613"/>
      <c r="AF199" s="613"/>
      <c r="AG199" s="613"/>
      <c r="AJ199" s="300" t="s">
        <v>720</v>
      </c>
      <c r="AK199" s="169">
        <f>'Ethylene Recycling HC'!AK306</f>
        <v>15</v>
      </c>
    </row>
    <row r="200" spans="1:37" s="169" customFormat="1">
      <c r="A200" s="169" t="s">
        <v>842</v>
      </c>
      <c r="B200" s="165" t="s">
        <v>126</v>
      </c>
      <c r="C200" s="613">
        <v>0</v>
      </c>
      <c r="D200" s="613">
        <f>C200</f>
        <v>0</v>
      </c>
      <c r="E200" s="613">
        <f t="shared" ref="E200:AG200" si="138">D200</f>
        <v>0</v>
      </c>
      <c r="F200" s="613">
        <f t="shared" si="138"/>
        <v>0</v>
      </c>
      <c r="G200" s="613">
        <f t="shared" si="138"/>
        <v>0</v>
      </c>
      <c r="H200" s="613">
        <f t="shared" si="138"/>
        <v>0</v>
      </c>
      <c r="I200" s="613">
        <f t="shared" si="138"/>
        <v>0</v>
      </c>
      <c r="J200" s="613">
        <f t="shared" si="138"/>
        <v>0</v>
      </c>
      <c r="K200" s="613">
        <f t="shared" si="138"/>
        <v>0</v>
      </c>
      <c r="L200" s="613">
        <f t="shared" si="138"/>
        <v>0</v>
      </c>
      <c r="M200" s="613">
        <f t="shared" si="138"/>
        <v>0</v>
      </c>
      <c r="N200" s="613">
        <f t="shared" si="138"/>
        <v>0</v>
      </c>
      <c r="O200" s="613">
        <f t="shared" si="138"/>
        <v>0</v>
      </c>
      <c r="P200" s="613">
        <f t="shared" si="138"/>
        <v>0</v>
      </c>
      <c r="Q200" s="613">
        <f t="shared" si="138"/>
        <v>0</v>
      </c>
      <c r="R200" s="613">
        <f t="shared" si="138"/>
        <v>0</v>
      </c>
      <c r="S200" s="613">
        <f t="shared" si="138"/>
        <v>0</v>
      </c>
      <c r="T200" s="613">
        <f t="shared" si="138"/>
        <v>0</v>
      </c>
      <c r="U200" s="613">
        <f t="shared" si="138"/>
        <v>0</v>
      </c>
      <c r="V200" s="613">
        <f t="shared" si="138"/>
        <v>0</v>
      </c>
      <c r="W200" s="613">
        <f t="shared" si="138"/>
        <v>0</v>
      </c>
      <c r="X200" s="613">
        <f t="shared" si="138"/>
        <v>0</v>
      </c>
      <c r="Y200" s="613">
        <f t="shared" si="138"/>
        <v>0</v>
      </c>
      <c r="Z200" s="613">
        <f t="shared" si="138"/>
        <v>0</v>
      </c>
      <c r="AA200" s="613">
        <f t="shared" si="138"/>
        <v>0</v>
      </c>
      <c r="AB200" s="613">
        <f t="shared" si="138"/>
        <v>0</v>
      </c>
      <c r="AC200" s="613">
        <f t="shared" si="138"/>
        <v>0</v>
      </c>
      <c r="AD200" s="613">
        <f t="shared" si="138"/>
        <v>0</v>
      </c>
      <c r="AE200" s="613">
        <f t="shared" si="138"/>
        <v>0</v>
      </c>
      <c r="AF200" s="613">
        <f t="shared" si="138"/>
        <v>0</v>
      </c>
      <c r="AG200" s="613">
        <f t="shared" si="138"/>
        <v>0</v>
      </c>
      <c r="AI200" s="165" t="s">
        <v>846</v>
      </c>
      <c r="AJ200" s="300"/>
    </row>
    <row r="201" spans="1:37" s="279" customFormat="1" ht="15.5" thickBot="1">
      <c r="A201" s="311" t="s">
        <v>707</v>
      </c>
      <c r="B201" s="312" t="s">
        <v>127</v>
      </c>
      <c r="C201" s="618">
        <f>C200*(C193*C197+C194*C198)</f>
        <v>0</v>
      </c>
      <c r="D201" s="618">
        <f t="shared" ref="D201:AG201" si="139">D200*(D193*D197+D194*D198)</f>
        <v>0</v>
      </c>
      <c r="E201" s="618">
        <f t="shared" si="139"/>
        <v>0</v>
      </c>
      <c r="F201" s="618">
        <f t="shared" si="139"/>
        <v>0</v>
      </c>
      <c r="G201" s="618">
        <f t="shared" si="139"/>
        <v>0</v>
      </c>
      <c r="H201" s="618">
        <f t="shared" si="139"/>
        <v>0</v>
      </c>
      <c r="I201" s="618">
        <f t="shared" si="139"/>
        <v>0</v>
      </c>
      <c r="J201" s="618">
        <f t="shared" si="139"/>
        <v>0</v>
      </c>
      <c r="K201" s="618">
        <f t="shared" si="139"/>
        <v>0</v>
      </c>
      <c r="L201" s="618">
        <f t="shared" si="139"/>
        <v>0</v>
      </c>
      <c r="M201" s="618">
        <f t="shared" si="139"/>
        <v>0</v>
      </c>
      <c r="N201" s="618">
        <f t="shared" si="139"/>
        <v>0</v>
      </c>
      <c r="O201" s="618">
        <f t="shared" si="139"/>
        <v>0</v>
      </c>
      <c r="P201" s="618">
        <f t="shared" si="139"/>
        <v>0</v>
      </c>
      <c r="Q201" s="618">
        <f t="shared" si="139"/>
        <v>0</v>
      </c>
      <c r="R201" s="618">
        <f t="shared" si="139"/>
        <v>0</v>
      </c>
      <c r="S201" s="618">
        <f t="shared" si="139"/>
        <v>0</v>
      </c>
      <c r="T201" s="618">
        <f t="shared" si="139"/>
        <v>0</v>
      </c>
      <c r="U201" s="618">
        <f t="shared" si="139"/>
        <v>0</v>
      </c>
      <c r="V201" s="618">
        <f t="shared" si="139"/>
        <v>0</v>
      </c>
      <c r="W201" s="618">
        <f t="shared" si="139"/>
        <v>0</v>
      </c>
      <c r="X201" s="618">
        <f t="shared" si="139"/>
        <v>0</v>
      </c>
      <c r="Y201" s="618">
        <f t="shared" si="139"/>
        <v>0</v>
      </c>
      <c r="Z201" s="618">
        <f t="shared" si="139"/>
        <v>0</v>
      </c>
      <c r="AA201" s="618">
        <f t="shared" si="139"/>
        <v>0</v>
      </c>
      <c r="AB201" s="618">
        <f t="shared" si="139"/>
        <v>0</v>
      </c>
      <c r="AC201" s="618">
        <f t="shared" si="139"/>
        <v>0</v>
      </c>
      <c r="AD201" s="618">
        <f t="shared" si="139"/>
        <v>0</v>
      </c>
      <c r="AE201" s="618">
        <f t="shared" si="139"/>
        <v>0</v>
      </c>
      <c r="AF201" s="618">
        <f t="shared" si="139"/>
        <v>0</v>
      </c>
      <c r="AG201" s="618">
        <f t="shared" si="139"/>
        <v>0</v>
      </c>
      <c r="AJ201" s="303"/>
    </row>
    <row r="202" spans="1:37" s="216" customFormat="1">
      <c r="A202" s="302" t="s">
        <v>713</v>
      </c>
      <c r="B202" s="301" t="s">
        <v>126</v>
      </c>
      <c r="C202" s="53">
        <v>0.5</v>
      </c>
      <c r="D202" s="53">
        <v>0.5</v>
      </c>
      <c r="E202" s="53">
        <v>0.5</v>
      </c>
      <c r="F202" s="53">
        <v>0.5</v>
      </c>
      <c r="G202" s="53">
        <v>0.5</v>
      </c>
      <c r="H202" s="53">
        <v>0.5</v>
      </c>
      <c r="I202" s="53">
        <v>0.5</v>
      </c>
      <c r="J202" s="53">
        <v>0.5</v>
      </c>
      <c r="K202" s="53">
        <v>0.5</v>
      </c>
      <c r="L202" s="53">
        <v>0.5</v>
      </c>
      <c r="M202" s="53">
        <v>0.5</v>
      </c>
      <c r="N202" s="53">
        <v>0.5</v>
      </c>
      <c r="O202" s="53">
        <v>0.5</v>
      </c>
      <c r="P202" s="53">
        <v>0.5</v>
      </c>
      <c r="Q202" s="53">
        <v>0.5</v>
      </c>
      <c r="R202" s="53">
        <v>0.5</v>
      </c>
      <c r="S202" s="53">
        <v>0.5</v>
      </c>
      <c r="T202" s="53">
        <v>0.5</v>
      </c>
      <c r="U202" s="53">
        <v>0.5</v>
      </c>
      <c r="V202" s="53">
        <v>0.5</v>
      </c>
      <c r="W202" s="53">
        <v>0.5</v>
      </c>
      <c r="X202" s="53">
        <v>0.5</v>
      </c>
      <c r="Y202" s="53">
        <v>0.5</v>
      </c>
      <c r="Z202" s="53">
        <v>0.5</v>
      </c>
      <c r="AA202" s="53">
        <v>0.5</v>
      </c>
      <c r="AB202" s="53">
        <v>0.5</v>
      </c>
      <c r="AC202" s="53">
        <v>0.5</v>
      </c>
      <c r="AD202" s="53">
        <v>0.5</v>
      </c>
      <c r="AE202" s="53">
        <v>0.5</v>
      </c>
      <c r="AF202" s="53">
        <v>0.5</v>
      </c>
      <c r="AG202" s="53">
        <v>0.5</v>
      </c>
      <c r="AJ202" s="216" t="s">
        <v>757</v>
      </c>
    </row>
    <row r="203" spans="1:37" s="216" customFormat="1" ht="15.5" thickBot="1">
      <c r="A203" s="280" t="s">
        <v>708</v>
      </c>
      <c r="B203" s="312" t="s">
        <v>127</v>
      </c>
      <c r="C203" s="618">
        <f>C202*(C193*C197+C194*C198)</f>
        <v>0.8548874826080245</v>
      </c>
      <c r="D203" s="618">
        <f t="shared" ref="D203:AG203" si="140">D202*(D193*D197+D194*D198)</f>
        <v>1.7262932686426868</v>
      </c>
      <c r="E203" s="618">
        <f t="shared" si="140"/>
        <v>3.4759115088981676</v>
      </c>
      <c r="F203" s="618">
        <f t="shared" si="140"/>
        <v>6.9741370317985805</v>
      </c>
      <c r="G203" s="618">
        <f t="shared" si="140"/>
        <v>13.930766278195849</v>
      </c>
      <c r="H203" s="618">
        <f t="shared" si="140"/>
        <v>27.666168361748898</v>
      </c>
      <c r="I203" s="618">
        <f t="shared" si="140"/>
        <v>54.368360806779712</v>
      </c>
      <c r="J203" s="618">
        <f t="shared" si="140"/>
        <v>105.75647467966485</v>
      </c>
      <c r="K203" s="618">
        <f t="shared" si="140"/>
        <v>202.93777169643363</v>
      </c>
      <c r="L203" s="618">
        <f t="shared" si="140"/>
        <v>382.46899836493105</v>
      </c>
      <c r="M203" s="618">
        <f t="shared" si="140"/>
        <v>707.07196931324131</v>
      </c>
      <c r="N203" s="618">
        <f t="shared" si="140"/>
        <v>1231.7325141999377</v>
      </c>
      <c r="O203" s="618">
        <f t="shared" si="140"/>
        <v>2075.1754611718288</v>
      </c>
      <c r="P203" s="618">
        <f t="shared" si="140"/>
        <v>3338.0419610484096</v>
      </c>
      <c r="Q203" s="618">
        <f t="shared" si="140"/>
        <v>5095.2002265664159</v>
      </c>
      <c r="R203" s="618">
        <f t="shared" si="140"/>
        <v>7347.9154601651089</v>
      </c>
      <c r="S203" s="618">
        <f t="shared" si="140"/>
        <v>9988.6217400193564</v>
      </c>
      <c r="T203" s="618">
        <f t="shared" si="140"/>
        <v>12825.407957886982</v>
      </c>
      <c r="U203" s="618">
        <f t="shared" si="140"/>
        <v>15629.960755904749</v>
      </c>
      <c r="V203" s="618">
        <f t="shared" si="140"/>
        <v>18204.480882734882</v>
      </c>
      <c r="W203" s="618">
        <f t="shared" si="140"/>
        <v>20425.063168953668</v>
      </c>
      <c r="X203" s="618">
        <f t="shared" si="140"/>
        <v>21484.813170892834</v>
      </c>
      <c r="Y203" s="618">
        <f t="shared" si="140"/>
        <v>22098.218710105226</v>
      </c>
      <c r="Z203" s="618">
        <f t="shared" si="140"/>
        <v>22314.169397039546</v>
      </c>
      <c r="AA203" s="618">
        <f t="shared" si="140"/>
        <v>22259.092869395823</v>
      </c>
      <c r="AB203" s="618">
        <f t="shared" si="140"/>
        <v>22055.384075141606</v>
      </c>
      <c r="AC203" s="618">
        <f t="shared" si="140"/>
        <v>21815.627752982025</v>
      </c>
      <c r="AD203" s="618">
        <f t="shared" si="140"/>
        <v>21638.641628661651</v>
      </c>
      <c r="AE203" s="618">
        <f t="shared" si="140"/>
        <v>21574.487847379889</v>
      </c>
      <c r="AF203" s="618">
        <f t="shared" si="140"/>
        <v>21599.946759707818</v>
      </c>
      <c r="AG203" s="618">
        <f t="shared" si="140"/>
        <v>23747.134176928332</v>
      </c>
      <c r="AJ203" s="302"/>
    </row>
    <row r="204" spans="1:37" s="216" customFormat="1">
      <c r="A204" s="303"/>
      <c r="B204" s="301"/>
      <c r="C204" s="122"/>
      <c r="D204" s="122"/>
      <c r="E204" s="122"/>
      <c r="F204" s="122"/>
      <c r="G204" s="122"/>
      <c r="H204" s="122"/>
      <c r="I204" s="122"/>
      <c r="J204" s="122"/>
      <c r="K204" s="122"/>
      <c r="L204" s="122"/>
      <c r="M204" s="122"/>
      <c r="N204" s="122"/>
      <c r="O204" s="122"/>
      <c r="P204" s="122"/>
      <c r="Q204" s="122"/>
      <c r="R204" s="122"/>
      <c r="S204" s="122"/>
      <c r="T204" s="122"/>
      <c r="U204" s="122"/>
      <c r="V204" s="122"/>
      <c r="W204" s="122"/>
      <c r="X204" s="122"/>
      <c r="Y204" s="122"/>
      <c r="Z204" s="122"/>
      <c r="AA204" s="122"/>
      <c r="AB204" s="122"/>
      <c r="AC204" s="122"/>
      <c r="AD204" s="122"/>
      <c r="AE204" s="122"/>
      <c r="AF204" s="122"/>
      <c r="AG204" s="122"/>
      <c r="AJ204" s="302"/>
    </row>
    <row r="205" spans="1:37" s="216" customFormat="1">
      <c r="A205" s="303" t="s">
        <v>711</v>
      </c>
      <c r="B205" s="301" t="s">
        <v>127</v>
      </c>
      <c r="C205" s="122">
        <f>SUM(C174:C175)-SUM(C201,C203)</f>
        <v>597683.27194165008</v>
      </c>
      <c r="D205" s="122">
        <f t="shared" ref="D205:AG205" si="141">SUM(D174:D175)-SUM(D201,D203)</f>
        <v>601331.77935745474</v>
      </c>
      <c r="E205" s="122">
        <f t="shared" si="141"/>
        <v>604850.1493031471</v>
      </c>
      <c r="F205" s="122">
        <f t="shared" si="141"/>
        <v>608237.5056989697</v>
      </c>
      <c r="G205" s="122">
        <f t="shared" si="141"/>
        <v>611492.16926233331</v>
      </c>
      <c r="H205" s="122">
        <f t="shared" si="141"/>
        <v>614610.88633675908</v>
      </c>
      <c r="I205" s="122">
        <f t="shared" si="141"/>
        <v>615914.44124865381</v>
      </c>
      <c r="J205" s="122">
        <f t="shared" si="141"/>
        <v>617032.07435829227</v>
      </c>
      <c r="K205" s="122">
        <f t="shared" si="141"/>
        <v>617943.16710119252</v>
      </c>
      <c r="L205" s="122">
        <f t="shared" si="141"/>
        <v>618611.68762686185</v>
      </c>
      <c r="M205" s="122">
        <f t="shared" si="141"/>
        <v>618975.47521547053</v>
      </c>
      <c r="N205" s="122">
        <f t="shared" si="141"/>
        <v>615298.37070057925</v>
      </c>
      <c r="O205" s="122">
        <f t="shared" si="141"/>
        <v>611242.26192710537</v>
      </c>
      <c r="P205" s="122">
        <f t="shared" si="141"/>
        <v>606086.45629430795</v>
      </c>
      <c r="Q205" s="122">
        <f t="shared" si="141"/>
        <v>600208.371140523</v>
      </c>
      <c r="R205" s="122">
        <f t="shared" si="141"/>
        <v>593609.99831997277</v>
      </c>
      <c r="S205" s="122">
        <f t="shared" si="141"/>
        <v>586402.27716202801</v>
      </c>
      <c r="T205" s="122">
        <f t="shared" si="141"/>
        <v>578780.60846947634</v>
      </c>
      <c r="U205" s="122">
        <f t="shared" si="141"/>
        <v>570976.91151933512</v>
      </c>
      <c r="V205" s="122">
        <f t="shared" si="141"/>
        <v>563192.70764581463</v>
      </c>
      <c r="W205" s="122">
        <f t="shared" si="141"/>
        <v>555555.74020553054</v>
      </c>
      <c r="X205" s="122">
        <f t="shared" si="141"/>
        <v>543230.59847029427</v>
      </c>
      <c r="Y205" s="122">
        <f t="shared" si="141"/>
        <v>532578.34109189175</v>
      </c>
      <c r="Z205" s="122">
        <f t="shared" si="141"/>
        <v>521668.14130575489</v>
      </c>
      <c r="AA205" s="122">
        <f t="shared" si="141"/>
        <v>510791.80361816828</v>
      </c>
      <c r="AB205" s="122">
        <f t="shared" si="141"/>
        <v>499833.519495641</v>
      </c>
      <c r="AC205" s="122">
        <f t="shared" si="141"/>
        <v>488631.2834715668</v>
      </c>
      <c r="AD205" s="122">
        <f t="shared" si="141"/>
        <v>477149.24744230753</v>
      </c>
      <c r="AE205" s="122">
        <f t="shared" si="141"/>
        <v>465344.3491799864</v>
      </c>
      <c r="AF205" s="122">
        <f t="shared" si="141"/>
        <v>453246.93548009999</v>
      </c>
      <c r="AG205" s="122">
        <f t="shared" si="141"/>
        <v>438832.14504968812</v>
      </c>
      <c r="AJ205" s="302"/>
    </row>
    <row r="206" spans="1:37" s="216" customFormat="1">
      <c r="A206" s="303"/>
      <c r="B206" s="301"/>
      <c r="C206" s="122"/>
      <c r="D206" s="122"/>
      <c r="E206" s="122"/>
      <c r="F206" s="122"/>
      <c r="G206" s="122"/>
      <c r="H206" s="122"/>
      <c r="I206" s="122"/>
      <c r="J206" s="122"/>
      <c r="K206" s="122"/>
      <c r="L206" s="122"/>
      <c r="M206" s="122"/>
      <c r="N206" s="122"/>
      <c r="O206" s="122"/>
      <c r="P206" s="122"/>
      <c r="Q206" s="122"/>
      <c r="R206" s="122"/>
      <c r="S206" s="122"/>
      <c r="T206" s="122"/>
      <c r="U206" s="122"/>
      <c r="V206" s="122"/>
      <c r="W206" s="122"/>
      <c r="X206" s="122"/>
      <c r="Y206" s="122"/>
      <c r="Z206" s="122"/>
      <c r="AA206" s="122"/>
      <c r="AB206" s="122"/>
      <c r="AC206" s="122"/>
      <c r="AD206" s="122"/>
      <c r="AE206" s="122"/>
      <c r="AF206" s="122"/>
      <c r="AG206" s="122"/>
      <c r="AJ206" s="302"/>
    </row>
    <row r="207" spans="1:37" s="216" customFormat="1">
      <c r="A207" s="302" t="s">
        <v>722</v>
      </c>
      <c r="B207" s="301" t="s">
        <v>127</v>
      </c>
      <c r="C207" s="613">
        <f>C127*C126*C47</f>
        <v>220951.40397036495</v>
      </c>
      <c r="D207" s="613">
        <f t="shared" ref="D207:AG207" si="142">D127*D126*D47</f>
        <v>228156.2074920767</v>
      </c>
      <c r="E207" s="613">
        <f t="shared" si="142"/>
        <v>235385.3623469419</v>
      </c>
      <c r="F207" s="613">
        <f t="shared" si="142"/>
        <v>242638.38786049973</v>
      </c>
      <c r="G207" s="613">
        <f t="shared" si="142"/>
        <v>249914.80335828906</v>
      </c>
      <c r="H207" s="613">
        <f t="shared" si="142"/>
        <v>257214.12816584905</v>
      </c>
      <c r="I207" s="613">
        <f t="shared" si="142"/>
        <v>263833.62783882651</v>
      </c>
      <c r="J207" s="613">
        <f t="shared" si="142"/>
        <v>270432.39338217484</v>
      </c>
      <c r="K207" s="613">
        <f t="shared" si="142"/>
        <v>277009.44394068536</v>
      </c>
      <c r="L207" s="613">
        <f t="shared" si="142"/>
        <v>283563.79865914927</v>
      </c>
      <c r="M207" s="613">
        <f t="shared" si="142"/>
        <v>290094.4766823579</v>
      </c>
      <c r="N207" s="613">
        <f t="shared" si="142"/>
        <v>296101.72463745443</v>
      </c>
      <c r="O207" s="613">
        <f t="shared" si="142"/>
        <v>302145.02408270695</v>
      </c>
      <c r="P207" s="613">
        <f t="shared" si="142"/>
        <v>307904.25137394632</v>
      </c>
      <c r="Q207" s="613">
        <f t="shared" si="142"/>
        <v>313600.21535414102</v>
      </c>
      <c r="R207" s="613">
        <f t="shared" si="142"/>
        <v>319231.52796099673</v>
      </c>
      <c r="S207" s="613">
        <f t="shared" si="142"/>
        <v>324796.80113005766</v>
      </c>
      <c r="T207" s="613">
        <f t="shared" si="142"/>
        <v>330294.64679957338</v>
      </c>
      <c r="U207" s="613">
        <f t="shared" si="142"/>
        <v>335723.67691536312</v>
      </c>
      <c r="V207" s="613">
        <f t="shared" si="142"/>
        <v>341082.50343568297</v>
      </c>
      <c r="W207" s="613">
        <f t="shared" si="142"/>
        <v>346369.7383360911</v>
      </c>
      <c r="X207" s="613">
        <f t="shared" si="142"/>
        <v>350640.61916888063</v>
      </c>
      <c r="Y207" s="613">
        <f t="shared" si="142"/>
        <v>355789.11626971886</v>
      </c>
      <c r="Z207" s="613">
        <f t="shared" si="142"/>
        <v>360561.32271373481</v>
      </c>
      <c r="AA207" s="613">
        <f t="shared" si="142"/>
        <v>365243.34557286499</v>
      </c>
      <c r="AB207" s="613">
        <f t="shared" si="142"/>
        <v>369833.68758671323</v>
      </c>
      <c r="AC207" s="613">
        <f t="shared" si="142"/>
        <v>374295.68259663682</v>
      </c>
      <c r="AD207" s="613">
        <f t="shared" si="142"/>
        <v>378661.52314610605</v>
      </c>
      <c r="AE207" s="613">
        <f t="shared" si="142"/>
        <v>382929.7134322286</v>
      </c>
      <c r="AF207" s="613">
        <f t="shared" si="142"/>
        <v>387098.76340924104</v>
      </c>
      <c r="AG207" s="613">
        <f t="shared" si="142"/>
        <v>391167.18889799051</v>
      </c>
      <c r="AJ207" s="302"/>
    </row>
    <row r="208" spans="1:37" s="216" customFormat="1">
      <c r="A208" s="216" t="s">
        <v>721</v>
      </c>
      <c r="B208" s="301" t="s">
        <v>127</v>
      </c>
      <c r="C208" s="613">
        <f>C128*C126*C47</f>
        <v>783373.1595312939</v>
      </c>
      <c r="D208" s="613">
        <f t="shared" ref="D208:AG208" si="143">D128*D126*D47</f>
        <v>778415.29614943825</v>
      </c>
      <c r="E208" s="613">
        <f t="shared" si="143"/>
        <v>773409.04771138064</v>
      </c>
      <c r="F208" s="613">
        <f t="shared" si="143"/>
        <v>768354.89489158266</v>
      </c>
      <c r="G208" s="613">
        <f t="shared" si="143"/>
        <v>763253.31836450472</v>
      </c>
      <c r="H208" s="613">
        <f t="shared" si="143"/>
        <v>758104.79880460782</v>
      </c>
      <c r="I208" s="613">
        <f t="shared" si="143"/>
        <v>750911.09461819869</v>
      </c>
      <c r="J208" s="613">
        <f t="shared" si="143"/>
        <v>743689.08180098108</v>
      </c>
      <c r="K208" s="613">
        <f t="shared" si="143"/>
        <v>736439.7412081639</v>
      </c>
      <c r="L208" s="613">
        <f t="shared" si="143"/>
        <v>729164.05369495566</v>
      </c>
      <c r="M208" s="613">
        <f t="shared" si="143"/>
        <v>721863.00011656538</v>
      </c>
      <c r="N208" s="613">
        <f t="shared" si="143"/>
        <v>713335.97299023147</v>
      </c>
      <c r="O208" s="613">
        <f t="shared" si="143"/>
        <v>705005.05619298329</v>
      </c>
      <c r="P208" s="613">
        <f t="shared" si="143"/>
        <v>696131.35093240079</v>
      </c>
      <c r="Q208" s="613">
        <f t="shared" si="143"/>
        <v>687251.53577609675</v>
      </c>
      <c r="R208" s="613">
        <f t="shared" si="143"/>
        <v>678366.99691711855</v>
      </c>
      <c r="S208" s="613">
        <f t="shared" si="143"/>
        <v>669479.12069665</v>
      </c>
      <c r="T208" s="613">
        <f t="shared" si="143"/>
        <v>660589.29359914723</v>
      </c>
      <c r="U208" s="613">
        <f t="shared" si="143"/>
        <v>651698.90224746999</v>
      </c>
      <c r="V208" s="613">
        <f t="shared" si="143"/>
        <v>642809.33339801838</v>
      </c>
      <c r="W208" s="613">
        <f t="shared" si="143"/>
        <v>633921.97393586568</v>
      </c>
      <c r="X208" s="613">
        <f t="shared" si="143"/>
        <v>623361.10074467724</v>
      </c>
      <c r="Y208" s="613">
        <f t="shared" si="143"/>
        <v>614544.83719315147</v>
      </c>
      <c r="Z208" s="613">
        <f t="shared" si="143"/>
        <v>605227.93455519842</v>
      </c>
      <c r="AA208" s="613">
        <f t="shared" si="143"/>
        <v>595923.35330309626</v>
      </c>
      <c r="AB208" s="613">
        <f t="shared" si="143"/>
        <v>586632.74582720106</v>
      </c>
      <c r="AC208" s="613">
        <f t="shared" si="143"/>
        <v>577303.51044566091</v>
      </c>
      <c r="AD208" s="613">
        <f t="shared" si="143"/>
        <v>567992.28471915983</v>
      </c>
      <c r="AE208" s="613">
        <f t="shared" si="143"/>
        <v>558700.72943390813</v>
      </c>
      <c r="AF208" s="613">
        <f t="shared" si="143"/>
        <v>549430.50290343957</v>
      </c>
      <c r="AG208" s="613">
        <f t="shared" si="143"/>
        <v>540183.26085912995</v>
      </c>
      <c r="AJ208" s="302"/>
    </row>
    <row r="209" spans="1:36" s="216" customFormat="1">
      <c r="B209" s="301"/>
      <c r="C209" s="625"/>
      <c r="D209" s="625"/>
      <c r="E209" s="625"/>
      <c r="F209" s="625"/>
      <c r="G209" s="625"/>
      <c r="H209" s="625"/>
      <c r="I209" s="625"/>
      <c r="J209" s="625"/>
      <c r="K209" s="625"/>
      <c r="L209" s="625"/>
      <c r="M209" s="625"/>
      <c r="N209" s="625"/>
      <c r="O209" s="625"/>
      <c r="P209" s="625"/>
      <c r="Q209" s="625"/>
      <c r="R209" s="625"/>
      <c r="S209" s="625"/>
      <c r="T209" s="625"/>
      <c r="U209" s="625"/>
      <c r="V209" s="625"/>
      <c r="W209" s="625"/>
      <c r="X209" s="625"/>
      <c r="Y209" s="625"/>
      <c r="Z209" s="625"/>
      <c r="AA209" s="625"/>
      <c r="AB209" s="625"/>
      <c r="AC209" s="625"/>
      <c r="AD209" s="625"/>
      <c r="AE209" s="625"/>
      <c r="AF209" s="625"/>
      <c r="AG209" s="625"/>
      <c r="AJ209" s="302"/>
    </row>
    <row r="210" spans="1:36" s="216" customFormat="1">
      <c r="A210" s="328" t="s">
        <v>723</v>
      </c>
      <c r="B210" s="329" t="s">
        <v>127</v>
      </c>
      <c r="C210" s="611">
        <f>C188-C201-C203</f>
        <v>210780.63080271892</v>
      </c>
      <c r="D210" s="611">
        <f t="shared" ref="D210:AG210" si="144">D188-D201-D203</f>
        <v>213337.34879290429</v>
      </c>
      <c r="E210" s="611">
        <f t="shared" si="144"/>
        <v>215861.21536222062</v>
      </c>
      <c r="F210" s="611">
        <f t="shared" si="144"/>
        <v>218352.02414067069</v>
      </c>
      <c r="G210" s="611">
        <f t="shared" si="144"/>
        <v>220808.73240091591</v>
      </c>
      <c r="H210" s="611">
        <f t="shared" si="144"/>
        <v>223228.68988721698</v>
      </c>
      <c r="I210" s="611">
        <f t="shared" si="144"/>
        <v>224948.76367168393</v>
      </c>
      <c r="J210" s="611">
        <f t="shared" si="144"/>
        <v>226586.34263421147</v>
      </c>
      <c r="K210" s="611">
        <f t="shared" si="144"/>
        <v>228120.67151601848</v>
      </c>
      <c r="L210" s="611">
        <f t="shared" si="144"/>
        <v>229515.55178561446</v>
      </c>
      <c r="M210" s="611">
        <f t="shared" si="144"/>
        <v>230708.62605547233</v>
      </c>
      <c r="N210" s="611">
        <f t="shared" si="144"/>
        <v>226906.37889102372</v>
      </c>
      <c r="O210" s="611">
        <f t="shared" si="144"/>
        <v>222771.86642392457</v>
      </c>
      <c r="P210" s="611">
        <f t="shared" si="144"/>
        <v>218006.94652398952</v>
      </c>
      <c r="Q210" s="611">
        <f t="shared" si="144"/>
        <v>212688.7427551781</v>
      </c>
      <c r="R210" s="611">
        <f t="shared" si="144"/>
        <v>206819.03821615857</v>
      </c>
      <c r="S210" s="611">
        <f t="shared" si="144"/>
        <v>200508.45343891878</v>
      </c>
      <c r="T210" s="611">
        <f t="shared" si="144"/>
        <v>193951.96049164433</v>
      </c>
      <c r="U210" s="611">
        <f t="shared" si="144"/>
        <v>187380.94008260089</v>
      </c>
      <c r="V210" s="611">
        <f t="shared" si="144"/>
        <v>180996.26524462132</v>
      </c>
      <c r="W210" s="611">
        <f t="shared" si="144"/>
        <v>174924.92140030276</v>
      </c>
      <c r="X210" s="611">
        <f t="shared" si="144"/>
        <v>163383.60342174052</v>
      </c>
      <c r="Y210" s="611">
        <f t="shared" si="144"/>
        <v>152686.2431109155</v>
      </c>
      <c r="Z210" s="611">
        <f t="shared" si="144"/>
        <v>142333.59555688477</v>
      </c>
      <c r="AA210" s="611">
        <f t="shared" si="144"/>
        <v>132278.91178717781</v>
      </c>
      <c r="AB210" s="611">
        <f t="shared" si="144"/>
        <v>122403.78924038113</v>
      </c>
      <c r="AC210" s="611">
        <f t="shared" si="144"/>
        <v>112575.52324360894</v>
      </c>
      <c r="AD210" s="611">
        <f t="shared" si="144"/>
        <v>102723.42526584861</v>
      </c>
      <c r="AE210" s="611">
        <f t="shared" si="144"/>
        <v>92801.376617760136</v>
      </c>
      <c r="AF210" s="611">
        <f t="shared" si="144"/>
        <v>82836.529993320612</v>
      </c>
      <c r="AG210" s="619">
        <f t="shared" si="144"/>
        <v>80178.822125101462</v>
      </c>
      <c r="AI210" s="216" t="s">
        <v>755</v>
      </c>
      <c r="AJ210" s="302"/>
    </row>
    <row r="211" spans="1:36" s="216" customFormat="1">
      <c r="A211" s="332" t="s">
        <v>724</v>
      </c>
      <c r="B211" s="333" t="s">
        <v>127</v>
      </c>
      <c r="C211" s="620">
        <f>C189+C210</f>
        <v>936405.12793266738</v>
      </c>
      <c r="D211" s="620">
        <f t="shared" ref="D211:AG211" si="145">D189+D210</f>
        <v>933751.19887056376</v>
      </c>
      <c r="E211" s="620">
        <f t="shared" si="145"/>
        <v>931038.16619432345</v>
      </c>
      <c r="F211" s="620">
        <f t="shared" si="145"/>
        <v>928266.45232276921</v>
      </c>
      <c r="G211" s="620">
        <f t="shared" si="145"/>
        <v>925435.64027310978</v>
      </c>
      <c r="H211" s="620">
        <f t="shared" si="145"/>
        <v>922543.70248988259</v>
      </c>
      <c r="I211" s="620">
        <f t="shared" si="145"/>
        <v>917085.8439651716</v>
      </c>
      <c r="J211" s="620">
        <f t="shared" si="145"/>
        <v>911541.45239832089</v>
      </c>
      <c r="K211" s="620">
        <f t="shared" si="145"/>
        <v>905890.71334126522</v>
      </c>
      <c r="L211" s="620">
        <f t="shared" si="145"/>
        <v>900098.3628611468</v>
      </c>
      <c r="M211" s="620">
        <f t="shared" si="145"/>
        <v>894102.97195698868</v>
      </c>
      <c r="N211" s="620">
        <f t="shared" si="145"/>
        <v>882008.45190383471</v>
      </c>
      <c r="O211" s="620">
        <f t="shared" si="145"/>
        <v>869785.22099463339</v>
      </c>
      <c r="P211" s="620">
        <f t="shared" si="145"/>
        <v>856457.00990144734</v>
      </c>
      <c r="Q211" s="620">
        <f t="shared" si="145"/>
        <v>842593.6973065146</v>
      </c>
      <c r="R211" s="620">
        <f t="shared" si="145"/>
        <v>828198.21939961449</v>
      </c>
      <c r="S211" s="620">
        <f t="shared" si="145"/>
        <v>813382.34115494986</v>
      </c>
      <c r="T211" s="620">
        <f t="shared" si="145"/>
        <v>798342.17042892193</v>
      </c>
      <c r="U211" s="620">
        <f t="shared" si="145"/>
        <v>783310.21505895397</v>
      </c>
      <c r="V211" s="620">
        <f t="shared" si="145"/>
        <v>768488.46654296876</v>
      </c>
      <c r="W211" s="620">
        <f t="shared" si="145"/>
        <v>754005.02009962022</v>
      </c>
      <c r="X211" s="620">
        <f t="shared" si="145"/>
        <v>732546.37846182752</v>
      </c>
      <c r="Y211" s="620">
        <f t="shared" si="145"/>
        <v>713547.893403152</v>
      </c>
      <c r="Z211" s="620">
        <f t="shared" si="145"/>
        <v>694459.75399949995</v>
      </c>
      <c r="AA211" s="620">
        <f t="shared" si="145"/>
        <v>675703.33999766863</v>
      </c>
      <c r="AB211" s="620">
        <f t="shared" si="145"/>
        <v>657161.51531089656</v>
      </c>
      <c r="AC211" s="620">
        <f t="shared" si="145"/>
        <v>638653.39179536584</v>
      </c>
      <c r="AD211" s="620">
        <f t="shared" si="145"/>
        <v>620159.66337596357</v>
      </c>
      <c r="AE211" s="620">
        <f t="shared" si="145"/>
        <v>601635.45030957251</v>
      </c>
      <c r="AF211" s="620">
        <f t="shared" si="145"/>
        <v>583109.13200204412</v>
      </c>
      <c r="AG211" s="621">
        <f t="shared" si="145"/>
        <v>562553.7311732138</v>
      </c>
      <c r="AI211" s="216" t="s">
        <v>756</v>
      </c>
      <c r="AJ211" s="302"/>
    </row>
    <row r="212" spans="1:36" s="216" customFormat="1">
      <c r="A212" s="408"/>
      <c r="B212" s="409"/>
      <c r="C212" s="627"/>
      <c r="D212" s="627"/>
      <c r="E212" s="627"/>
      <c r="F212" s="627"/>
      <c r="G212" s="627"/>
      <c r="H212" s="627"/>
      <c r="I212" s="627"/>
      <c r="J212" s="627"/>
      <c r="K212" s="627"/>
      <c r="L212" s="627"/>
      <c r="M212" s="627"/>
      <c r="N212" s="627"/>
      <c r="O212" s="627"/>
      <c r="P212" s="627"/>
      <c r="Q212" s="627"/>
      <c r="R212" s="627"/>
      <c r="S212" s="627"/>
      <c r="T212" s="627"/>
      <c r="U212" s="627"/>
      <c r="V212" s="627"/>
      <c r="W212" s="627"/>
      <c r="X212" s="627"/>
      <c r="Y212" s="627"/>
      <c r="Z212" s="627"/>
      <c r="AA212" s="627"/>
      <c r="AB212" s="627"/>
      <c r="AC212" s="627"/>
      <c r="AD212" s="627"/>
      <c r="AE212" s="627"/>
      <c r="AF212" s="627"/>
      <c r="AG212" s="627"/>
      <c r="AJ212" s="302"/>
    </row>
    <row r="213" spans="1:36">
      <c r="A213" t="s">
        <v>680</v>
      </c>
      <c r="B213" s="123"/>
      <c r="C213" s="122">
        <f>(C42*C62+C43*C83+C44*C108+C45*C91+C46*C111)</f>
        <v>67918.5806815088</v>
      </c>
      <c r="D213" s="122">
        <f t="shared" ref="D213:AG213" si="146">(D42*D62+D43*D83+D44*D108+D45*D91+D46*D111)</f>
        <v>72818.578477682415</v>
      </c>
      <c r="E213" s="122">
        <f t="shared" si="146"/>
        <v>77752.767952490132</v>
      </c>
      <c r="F213" s="122">
        <f t="shared" si="146"/>
        <v>82719.856292281416</v>
      </c>
      <c r="G213" s="122">
        <f t="shared" si="146"/>
        <v>87718.550683405731</v>
      </c>
      <c r="H213" s="122">
        <f t="shared" si="146"/>
        <v>92747.55831221251</v>
      </c>
      <c r="I213" s="122">
        <f t="shared" si="146"/>
        <v>97604.510131046758</v>
      </c>
      <c r="J213" s="122">
        <f t="shared" si="146"/>
        <v>102474.26631015533</v>
      </c>
      <c r="K213" s="122">
        <f t="shared" si="146"/>
        <v>107355.53403588767</v>
      </c>
      <c r="L213" s="122">
        <f t="shared" si="146"/>
        <v>112247.02049459322</v>
      </c>
      <c r="M213" s="122">
        <f t="shared" si="146"/>
        <v>117147.43287262144</v>
      </c>
      <c r="N213" s="122">
        <f t="shared" si="146"/>
        <v>126197.51320965122</v>
      </c>
      <c r="O213" s="122">
        <f t="shared" si="146"/>
        <v>135289.6838198849</v>
      </c>
      <c r="P213" s="122">
        <f t="shared" si="146"/>
        <v>144240.55044385139</v>
      </c>
      <c r="Q213" s="122">
        <f t="shared" si="146"/>
        <v>153162.85359715685</v>
      </c>
      <c r="R213" s="122">
        <f t="shared" si="146"/>
        <v>162052.39001833557</v>
      </c>
      <c r="S213" s="122">
        <f t="shared" si="146"/>
        <v>170904.95893173851</v>
      </c>
      <c r="T213" s="122">
        <f t="shared" si="146"/>
        <v>179716.36201191178</v>
      </c>
      <c r="U213" s="122">
        <f t="shared" si="146"/>
        <v>188482.40334797456</v>
      </c>
      <c r="V213" s="122">
        <f t="shared" si="146"/>
        <v>197198.88940799792</v>
      </c>
      <c r="W213" s="122">
        <f t="shared" si="146"/>
        <v>205861.62900338287</v>
      </c>
      <c r="X213" s="122">
        <f t="shared" si="146"/>
        <v>219970.52828083758</v>
      </c>
      <c r="Y213" s="122">
        <f t="shared" si="146"/>
        <v>234687.84134961336</v>
      </c>
      <c r="Z213" s="122">
        <f t="shared" si="146"/>
        <v>249015.3338723937</v>
      </c>
      <c r="AA213" s="122">
        <f t="shared" si="146"/>
        <v>263204.26600889687</v>
      </c>
      <c r="AB213" s="122">
        <f t="shared" si="146"/>
        <v>277249.53402787622</v>
      </c>
      <c r="AC213" s="122">
        <f t="shared" si="146"/>
        <v>291130.1734939501</v>
      </c>
      <c r="AD213" s="122">
        <f t="shared" si="146"/>
        <v>304855.50286064099</v>
      </c>
      <c r="AE213" s="122">
        <f t="shared" si="146"/>
        <v>318420.50470918452</v>
      </c>
      <c r="AF213" s="122">
        <f t="shared" si="146"/>
        <v>331820.18755092903</v>
      </c>
      <c r="AG213" s="122">
        <f t="shared" si="146"/>
        <v>345049.58440697828</v>
      </c>
      <c r="AI213" s="22">
        <f>(AG213/C213)^(1/30)-1</f>
        <v>5.5673849380306617E-2</v>
      </c>
    </row>
    <row r="214" spans="1:36">
      <c r="A214" t="s">
        <v>675</v>
      </c>
      <c r="B214" s="123"/>
      <c r="C214" s="122">
        <f>C213</f>
        <v>67918.5806815088</v>
      </c>
      <c r="D214" s="122">
        <f>C214*(1+$AI$214)</f>
        <v>69052.820978889999</v>
      </c>
      <c r="E214" s="122">
        <f t="shared" ref="E214:AG214" si="147">D214*(1+$AI$214)</f>
        <v>70206.003089237463</v>
      </c>
      <c r="F214" s="122">
        <f t="shared" si="147"/>
        <v>71378.443340827725</v>
      </c>
      <c r="G214" s="122">
        <f t="shared" si="147"/>
        <v>72570.463344619551</v>
      </c>
      <c r="H214" s="122">
        <f t="shared" si="147"/>
        <v>73782.390082474696</v>
      </c>
      <c r="I214" s="122">
        <f t="shared" si="147"/>
        <v>75014.555996852025</v>
      </c>
      <c r="J214" s="122">
        <f t="shared" si="147"/>
        <v>76267.299081999445</v>
      </c>
      <c r="K214" s="122">
        <f t="shared" si="147"/>
        <v>77540.96297666883</v>
      </c>
      <c r="L214" s="122">
        <f t="shared" si="147"/>
        <v>78835.897058379196</v>
      </c>
      <c r="M214" s="122">
        <f t="shared" si="147"/>
        <v>80152.456539254126</v>
      </c>
      <c r="N214" s="122">
        <f t="shared" si="147"/>
        <v>81491.002563459668</v>
      </c>
      <c r="O214" s="122">
        <f t="shared" si="147"/>
        <v>82851.902306269432</v>
      </c>
      <c r="P214" s="122">
        <f t="shared" si="147"/>
        <v>84235.529074784121</v>
      </c>
      <c r="Q214" s="122">
        <f t="shared" si="147"/>
        <v>85642.262410333016</v>
      </c>
      <c r="R214" s="122">
        <f t="shared" si="147"/>
        <v>87072.488192585573</v>
      </c>
      <c r="S214" s="122">
        <f t="shared" si="147"/>
        <v>88526.598745401745</v>
      </c>
      <c r="T214" s="122">
        <f t="shared" si="147"/>
        <v>90004.992944449943</v>
      </c>
      <c r="U214" s="122">
        <f t="shared" si="147"/>
        <v>91508.076326622249</v>
      </c>
      <c r="V214" s="122">
        <f t="shared" si="147"/>
        <v>93036.261201276837</v>
      </c>
      <c r="W214" s="122">
        <f t="shared" si="147"/>
        <v>94589.966763338161</v>
      </c>
      <c r="X214" s="122">
        <f t="shared" si="147"/>
        <v>96169.619208285905</v>
      </c>
      <c r="Y214" s="122">
        <f t="shared" si="147"/>
        <v>97775.651849064277</v>
      </c>
      <c r="Z214" s="122">
        <f t="shared" si="147"/>
        <v>99408.505234943645</v>
      </c>
      <c r="AA214" s="122">
        <f t="shared" si="147"/>
        <v>101068.6272723672</v>
      </c>
      <c r="AB214" s="122">
        <f t="shared" si="147"/>
        <v>102756.47334781573</v>
      </c>
      <c r="AC214" s="122">
        <f t="shared" si="147"/>
        <v>104472.50645272425</v>
      </c>
      <c r="AD214" s="122">
        <f t="shared" si="147"/>
        <v>106217.19731048474</v>
      </c>
      <c r="AE214" s="122">
        <f t="shared" si="147"/>
        <v>107991.02450556983</v>
      </c>
      <c r="AF214" s="122">
        <f t="shared" si="147"/>
        <v>109794.47461481285</v>
      </c>
      <c r="AG214" s="122">
        <f t="shared" si="147"/>
        <v>111628.04234088022</v>
      </c>
      <c r="AI214" s="201">
        <v>1.67E-2</v>
      </c>
      <c r="AJ214" s="3" t="s">
        <v>676</v>
      </c>
    </row>
    <row r="215" spans="1:36">
      <c r="B215" s="123"/>
      <c r="C215" s="107"/>
      <c r="D215" s="22"/>
      <c r="E215" s="22"/>
      <c r="F215" s="22"/>
      <c r="G215" s="22"/>
      <c r="H215" s="22"/>
      <c r="I215" s="22"/>
      <c r="J215" s="22"/>
      <c r="K215" s="22"/>
      <c r="L215" s="22"/>
      <c r="M215" s="120"/>
      <c r="N215" s="104"/>
      <c r="O215" s="104"/>
      <c r="P215" s="104"/>
      <c r="Q215" s="104"/>
      <c r="R215" s="104"/>
      <c r="S215" s="104"/>
      <c r="T215" s="104"/>
      <c r="U215" s="104"/>
      <c r="V215" s="104"/>
      <c r="W215" s="120"/>
      <c r="X215" s="104"/>
      <c r="Y215" s="104"/>
      <c r="Z215" s="104"/>
      <c r="AA215" s="104"/>
      <c r="AB215" s="104"/>
      <c r="AC215" s="104"/>
      <c r="AD215" s="104"/>
      <c r="AE215" s="104"/>
      <c r="AF215" s="104"/>
      <c r="AG215" s="107"/>
    </row>
    <row r="216" spans="1:36">
      <c r="B216" s="48"/>
    </row>
    <row r="217" spans="1:36">
      <c r="B217" s="48"/>
    </row>
    <row r="218" spans="1:36">
      <c r="A218" s="106"/>
      <c r="B218"/>
      <c r="C218" s="2"/>
      <c r="AG218" s="2"/>
    </row>
    <row r="219" spans="1:36">
      <c r="C219" s="2"/>
      <c r="AG219" s="2"/>
      <c r="AH219" s="230"/>
    </row>
    <row r="220" spans="1:36">
      <c r="C220" s="2"/>
      <c r="AG220" s="2"/>
    </row>
    <row r="221" spans="1:36">
      <c r="C221" s="2"/>
      <c r="AG221" s="2"/>
    </row>
    <row r="222" spans="1:36">
      <c r="C222" s="2"/>
      <c r="AG222" s="2"/>
    </row>
    <row r="223" spans="1:36">
      <c r="C223" s="2"/>
      <c r="AG223" s="2"/>
    </row>
  </sheetData>
  <mergeCells count="4">
    <mergeCell ref="BD69:BE69"/>
    <mergeCell ref="BD74:BE74"/>
    <mergeCell ref="BD79:BE79"/>
    <mergeCell ref="AI181:AI189"/>
  </mergeCells>
  <hyperlinks>
    <hyperlink ref="AJ73" r:id="rId1" xr:uid="{5643A94E-3FEB-4642-A955-E7E7C583E415}"/>
    <hyperlink ref="AJ74" r:id="rId2" xr:uid="{3E71DC36-B15E-40E9-8EC0-B1624633191C}"/>
  </hyperlinks>
  <pageMargins left="0.7" right="0.7" top="0.75" bottom="0.75" header="0.3" footer="0.3"/>
  <pageSetup orientation="portrait" r:id="rId3"/>
  <drawing r:id="rId4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8D0B1-24AB-4236-9352-14534FA37B8C}">
  <sheetPr>
    <tabColor theme="4"/>
  </sheetPr>
  <dimension ref="A1:BL346"/>
  <sheetViews>
    <sheetView zoomScale="70" zoomScaleNormal="70" workbookViewId="0">
      <pane xSplit="2" ySplit="3" topLeftCell="C237" activePane="bottomRight" state="frozen"/>
      <selection pane="topRight" activeCell="C1" sqref="C1"/>
      <selection pane="bottomLeft" activeCell="A4" sqref="A4"/>
      <selection pane="bottomRight" activeCell="AG229" sqref="AG229"/>
    </sheetView>
  </sheetViews>
  <sheetFormatPr defaultRowHeight="14.75" outlineLevelRow="2" outlineLevelCol="1"/>
  <cols>
    <col min="1" max="1" width="84.26953125" customWidth="1"/>
    <col min="2" max="2" width="15.36328125" style="51" bestFit="1" customWidth="1"/>
    <col min="3" max="3" width="12.76953125" style="101" bestFit="1" customWidth="1"/>
    <col min="4" max="12" width="8.81640625" style="101" hidden="1" customWidth="1" outlineLevel="1"/>
    <col min="13" max="13" width="10.36328125" style="101" customWidth="1" collapsed="1"/>
    <col min="14" max="22" width="8.81640625" style="101" hidden="1" customWidth="1" outlineLevel="1"/>
    <col min="23" max="23" width="12.76953125" style="101" bestFit="1" customWidth="1" collapsed="1"/>
    <col min="24" max="32" width="8.81640625" style="101" hidden="1" customWidth="1" outlineLevel="1"/>
    <col min="33" max="33" width="12.76953125" style="101" bestFit="1" customWidth="1" collapsed="1"/>
    <col min="35" max="35" width="52.81640625" bestFit="1" customWidth="1"/>
    <col min="36" max="36" width="30.36328125" style="3" customWidth="1"/>
    <col min="37" max="37" width="13.26953125" customWidth="1"/>
    <col min="38" max="38" width="20.36328125" bestFit="1" customWidth="1"/>
    <col min="41" max="41" width="17.81640625" customWidth="1"/>
    <col min="42" max="42" width="18.08984375" customWidth="1"/>
    <col min="44" max="44" width="10.36328125" customWidth="1"/>
    <col min="47" max="47" width="20.08984375" bestFit="1" customWidth="1"/>
    <col min="55" max="55" width="49" bestFit="1" customWidth="1"/>
    <col min="56" max="56" width="8.81640625" customWidth="1"/>
  </cols>
  <sheetData>
    <row r="1" spans="1:47">
      <c r="C1" s="113">
        <v>2020</v>
      </c>
      <c r="D1" s="113">
        <f>C1+1</f>
        <v>2021</v>
      </c>
      <c r="E1" s="113">
        <f t="shared" ref="E1:L1" si="0">D1+1</f>
        <v>2022</v>
      </c>
      <c r="F1" s="113">
        <f t="shared" si="0"/>
        <v>2023</v>
      </c>
      <c r="G1" s="113">
        <f t="shared" si="0"/>
        <v>2024</v>
      </c>
      <c r="H1" s="113">
        <f t="shared" si="0"/>
        <v>2025</v>
      </c>
      <c r="I1" s="113">
        <f t="shared" si="0"/>
        <v>2026</v>
      </c>
      <c r="J1" s="113">
        <f t="shared" si="0"/>
        <v>2027</v>
      </c>
      <c r="K1" s="113">
        <f t="shared" si="0"/>
        <v>2028</v>
      </c>
      <c r="L1" s="113">
        <f t="shared" si="0"/>
        <v>2029</v>
      </c>
      <c r="M1" s="113">
        <v>2030</v>
      </c>
      <c r="N1" s="113">
        <f>M1+1</f>
        <v>2031</v>
      </c>
      <c r="O1" s="113">
        <f t="shared" ref="O1:V1" si="1">N1+1</f>
        <v>2032</v>
      </c>
      <c r="P1" s="113">
        <f t="shared" si="1"/>
        <v>2033</v>
      </c>
      <c r="Q1" s="113">
        <f t="shared" si="1"/>
        <v>2034</v>
      </c>
      <c r="R1" s="113">
        <f t="shared" si="1"/>
        <v>2035</v>
      </c>
      <c r="S1" s="113">
        <f t="shared" si="1"/>
        <v>2036</v>
      </c>
      <c r="T1" s="113">
        <f t="shared" si="1"/>
        <v>2037</v>
      </c>
      <c r="U1" s="113">
        <f t="shared" si="1"/>
        <v>2038</v>
      </c>
      <c r="V1" s="113">
        <f t="shared" si="1"/>
        <v>2039</v>
      </c>
      <c r="W1" s="113">
        <v>2040</v>
      </c>
      <c r="X1" s="113">
        <f>W1+1</f>
        <v>2041</v>
      </c>
      <c r="Y1" s="113">
        <f t="shared" ref="Y1:AF1" si="2">X1+1</f>
        <v>2042</v>
      </c>
      <c r="Z1" s="113">
        <f t="shared" si="2"/>
        <v>2043</v>
      </c>
      <c r="AA1" s="113">
        <f t="shared" si="2"/>
        <v>2044</v>
      </c>
      <c r="AB1" s="113">
        <f t="shared" si="2"/>
        <v>2045</v>
      </c>
      <c r="AC1" s="113">
        <f t="shared" si="2"/>
        <v>2046</v>
      </c>
      <c r="AD1" s="113">
        <f t="shared" si="2"/>
        <v>2047</v>
      </c>
      <c r="AE1" s="113">
        <f t="shared" si="2"/>
        <v>2048</v>
      </c>
      <c r="AF1" s="113">
        <f t="shared" si="2"/>
        <v>2049</v>
      </c>
      <c r="AG1" s="113">
        <v>2050</v>
      </c>
      <c r="AI1" s="1" t="s">
        <v>67</v>
      </c>
      <c r="AJ1" s="151" t="s">
        <v>60</v>
      </c>
      <c r="AO1" s="1"/>
    </row>
    <row r="2" spans="1:47" ht="15.5" thickBot="1">
      <c r="A2" s="187" t="str">
        <f>'Ethylene Recycling HC'!A2</f>
        <v>Plastic waste generation</v>
      </c>
      <c r="B2" s="187" t="str">
        <f>'Ethylene Recycling HC'!B2</f>
        <v>mT</v>
      </c>
      <c r="C2" s="203">
        <f>'Ethylene Recycling HC'!C2</f>
        <v>5301378.929236711</v>
      </c>
      <c r="D2" s="203">
        <f>'Ethylene Recycling HC'!D2</f>
        <v>5301378.929236711</v>
      </c>
      <c r="E2" s="203">
        <f>'Ethylene Recycling HC'!E2</f>
        <v>5301378.929236711</v>
      </c>
      <c r="F2" s="203">
        <f>'Ethylene Recycling HC'!F2</f>
        <v>5301378.929236711</v>
      </c>
      <c r="G2" s="203">
        <f>'Ethylene Recycling HC'!G2</f>
        <v>5301378.929236711</v>
      </c>
      <c r="H2" s="203">
        <f>'Ethylene Recycling HC'!H2</f>
        <v>5301378.929236711</v>
      </c>
      <c r="I2" s="203">
        <f>'Ethylene Recycling HC'!I2</f>
        <v>5301378.929236711</v>
      </c>
      <c r="J2" s="203">
        <f>'Ethylene Recycling HC'!J2</f>
        <v>5301378.929236711</v>
      </c>
      <c r="K2" s="203">
        <f>'Ethylene Recycling HC'!K2</f>
        <v>5301378.929236711</v>
      </c>
      <c r="L2" s="203">
        <f>'Ethylene Recycling HC'!L2</f>
        <v>5301378.929236711</v>
      </c>
      <c r="M2" s="203">
        <f>'Ethylene Recycling HC'!M2</f>
        <v>5301378.929236711</v>
      </c>
      <c r="N2" s="203">
        <f>'Ethylene Recycling HC'!N2</f>
        <v>5301378.929236711</v>
      </c>
      <c r="O2" s="203">
        <f>'Ethylene Recycling HC'!O2</f>
        <v>5301378.929236711</v>
      </c>
      <c r="P2" s="203">
        <f>'Ethylene Recycling HC'!P2</f>
        <v>5301378.929236711</v>
      </c>
      <c r="Q2" s="203">
        <f>'Ethylene Recycling HC'!Q2</f>
        <v>5301378.929236711</v>
      </c>
      <c r="R2" s="203">
        <f>'Ethylene Recycling HC'!R2</f>
        <v>5301378.929236711</v>
      </c>
      <c r="S2" s="203">
        <f>'Ethylene Recycling HC'!S2</f>
        <v>5301378.929236711</v>
      </c>
      <c r="T2" s="203">
        <f>'Ethylene Recycling HC'!T2</f>
        <v>5301378.929236711</v>
      </c>
      <c r="U2" s="203">
        <f>'Ethylene Recycling HC'!U2</f>
        <v>5301378.929236711</v>
      </c>
      <c r="V2" s="203">
        <f>'Ethylene Recycling HC'!V2</f>
        <v>5301378.929236711</v>
      </c>
      <c r="W2" s="203">
        <f>'Ethylene Recycling HC'!W2</f>
        <v>5301378.929236711</v>
      </c>
      <c r="X2" s="203">
        <f>'Ethylene Recycling HC'!X2</f>
        <v>5301378.929236711</v>
      </c>
      <c r="Y2" s="203">
        <f>'Ethylene Recycling HC'!Y2</f>
        <v>5301378.929236711</v>
      </c>
      <c r="Z2" s="203">
        <f>'Ethylene Recycling HC'!Z2</f>
        <v>5301378.929236711</v>
      </c>
      <c r="AA2" s="203">
        <f>'Ethylene Recycling HC'!AA2</f>
        <v>5301378.929236711</v>
      </c>
      <c r="AB2" s="203">
        <f>'Ethylene Recycling HC'!AB2</f>
        <v>5301378.929236711</v>
      </c>
      <c r="AC2" s="203">
        <f>'Ethylene Recycling HC'!AC2</f>
        <v>5301378.929236711</v>
      </c>
      <c r="AD2" s="203">
        <f>'Ethylene Recycling HC'!AD2</f>
        <v>5301378.929236711</v>
      </c>
      <c r="AE2" s="203">
        <f>'Ethylene Recycling HC'!AE2</f>
        <v>5301378.929236711</v>
      </c>
      <c r="AF2" s="203">
        <f>'Ethylene Recycling HC'!AF2</f>
        <v>5301378.929236711</v>
      </c>
      <c r="AG2" s="203">
        <f>'Ethylene Recycling HC'!AG2</f>
        <v>5301378.929236711</v>
      </c>
      <c r="AH2" s="80"/>
      <c r="AI2" s="349">
        <f>(AG2/C2)^(1/30)-1</f>
        <v>0</v>
      </c>
      <c r="AJ2" s="199" t="s">
        <v>397</v>
      </c>
      <c r="AR2" s="1"/>
      <c r="AU2" s="22"/>
    </row>
    <row r="3" spans="1:47" ht="15.5" outlineLevel="1" thickTop="1">
      <c r="C3" s="105"/>
      <c r="D3" s="105"/>
      <c r="E3" s="105"/>
      <c r="F3" s="105"/>
      <c r="G3" s="105"/>
      <c r="H3" s="105"/>
      <c r="I3" s="105"/>
      <c r="J3" s="105"/>
      <c r="K3" s="105"/>
      <c r="L3" s="105"/>
      <c r="N3" s="105"/>
      <c r="O3" s="105"/>
      <c r="P3" s="105"/>
      <c r="Q3" s="105"/>
      <c r="R3" s="105"/>
      <c r="S3" s="105"/>
      <c r="T3" s="105"/>
      <c r="U3" s="105"/>
      <c r="V3" s="105"/>
      <c r="X3" s="105"/>
      <c r="Y3" s="105"/>
      <c r="Z3" s="105"/>
      <c r="AA3" s="105"/>
      <c r="AB3" s="105"/>
      <c r="AC3" s="105"/>
      <c r="AD3" s="105"/>
      <c r="AE3" s="105"/>
      <c r="AF3" s="105"/>
      <c r="AI3" s="52"/>
      <c r="AJ3" s="200"/>
    </row>
    <row r="4" spans="1:47" outlineLevel="1">
      <c r="A4" t="s">
        <v>401</v>
      </c>
      <c r="B4" s="51" t="s">
        <v>126</v>
      </c>
      <c r="C4" s="104">
        <f>'Waste gen. - Industry shares'!C18+'Waste gen. - Industry shares'!C22</f>
        <v>0.52761781690498222</v>
      </c>
      <c r="D4" s="22">
        <f>C4</f>
        <v>0.52761781690498222</v>
      </c>
      <c r="E4" s="22">
        <f t="shared" ref="E4:T8" si="3">D4</f>
        <v>0.52761781690498222</v>
      </c>
      <c r="F4" s="22">
        <f t="shared" si="3"/>
        <v>0.52761781690498222</v>
      </c>
      <c r="G4" s="22">
        <f t="shared" si="3"/>
        <v>0.52761781690498222</v>
      </c>
      <c r="H4" s="22">
        <f t="shared" si="3"/>
        <v>0.52761781690498222</v>
      </c>
      <c r="I4" s="22">
        <f t="shared" si="3"/>
        <v>0.52761781690498222</v>
      </c>
      <c r="J4" s="22">
        <f t="shared" si="3"/>
        <v>0.52761781690498222</v>
      </c>
      <c r="K4" s="22">
        <f t="shared" si="3"/>
        <v>0.52761781690498222</v>
      </c>
      <c r="L4" s="22">
        <f t="shared" si="3"/>
        <v>0.52761781690498222</v>
      </c>
      <c r="M4" s="22">
        <f t="shared" si="3"/>
        <v>0.52761781690498222</v>
      </c>
      <c r="N4" s="22">
        <f t="shared" si="3"/>
        <v>0.52761781690498222</v>
      </c>
      <c r="O4" s="22">
        <f t="shared" si="3"/>
        <v>0.52761781690498222</v>
      </c>
      <c r="P4" s="22">
        <f t="shared" si="3"/>
        <v>0.52761781690498222</v>
      </c>
      <c r="Q4" s="22">
        <f t="shared" si="3"/>
        <v>0.52761781690498222</v>
      </c>
      <c r="R4" s="22">
        <f t="shared" si="3"/>
        <v>0.52761781690498222</v>
      </c>
      <c r="S4" s="22">
        <f t="shared" si="3"/>
        <v>0.52761781690498222</v>
      </c>
      <c r="T4" s="22">
        <f t="shared" si="3"/>
        <v>0.52761781690498222</v>
      </c>
      <c r="U4" s="22">
        <f t="shared" ref="T4:AG8" si="4">T4</f>
        <v>0.52761781690498222</v>
      </c>
      <c r="V4" s="22">
        <f t="shared" si="4"/>
        <v>0.52761781690498222</v>
      </c>
      <c r="W4" s="22">
        <f t="shared" si="4"/>
        <v>0.52761781690498222</v>
      </c>
      <c r="X4" s="22">
        <f t="shared" si="4"/>
        <v>0.52761781690498222</v>
      </c>
      <c r="Y4" s="22">
        <f t="shared" si="4"/>
        <v>0.52761781690498222</v>
      </c>
      <c r="Z4" s="22">
        <f t="shared" si="4"/>
        <v>0.52761781690498222</v>
      </c>
      <c r="AA4" s="22">
        <f t="shared" si="4"/>
        <v>0.52761781690498222</v>
      </c>
      <c r="AB4" s="22">
        <f t="shared" si="4"/>
        <v>0.52761781690498222</v>
      </c>
      <c r="AC4" s="22">
        <f t="shared" si="4"/>
        <v>0.52761781690498222</v>
      </c>
      <c r="AD4" s="22">
        <f t="shared" si="4"/>
        <v>0.52761781690498222</v>
      </c>
      <c r="AE4" s="22">
        <f t="shared" si="4"/>
        <v>0.52761781690498222</v>
      </c>
      <c r="AF4" s="22">
        <f t="shared" si="4"/>
        <v>0.52761781690498222</v>
      </c>
      <c r="AG4" s="22">
        <f t="shared" si="4"/>
        <v>0.52761781690498222</v>
      </c>
      <c r="AI4" s="51" t="s">
        <v>268</v>
      </c>
      <c r="AJ4" s="198"/>
    </row>
    <row r="5" spans="1:47" outlineLevel="1">
      <c r="A5" t="s">
        <v>286</v>
      </c>
      <c r="B5" s="51" t="s">
        <v>126</v>
      </c>
      <c r="C5" s="104">
        <f>'Waste gen. - Industry shares'!C20</f>
        <v>4.980376521164729E-2</v>
      </c>
      <c r="D5" s="22">
        <f>C5</f>
        <v>4.980376521164729E-2</v>
      </c>
      <c r="E5" s="22">
        <f t="shared" si="3"/>
        <v>4.980376521164729E-2</v>
      </c>
      <c r="F5" s="22">
        <f t="shared" si="3"/>
        <v>4.980376521164729E-2</v>
      </c>
      <c r="G5" s="22">
        <f t="shared" si="3"/>
        <v>4.980376521164729E-2</v>
      </c>
      <c r="H5" s="22">
        <f t="shared" si="3"/>
        <v>4.980376521164729E-2</v>
      </c>
      <c r="I5" s="22">
        <f t="shared" si="3"/>
        <v>4.980376521164729E-2</v>
      </c>
      <c r="J5" s="22">
        <f t="shared" si="3"/>
        <v>4.980376521164729E-2</v>
      </c>
      <c r="K5" s="22">
        <f t="shared" si="3"/>
        <v>4.980376521164729E-2</v>
      </c>
      <c r="L5" s="22">
        <f t="shared" si="3"/>
        <v>4.980376521164729E-2</v>
      </c>
      <c r="M5" s="22">
        <f t="shared" si="3"/>
        <v>4.980376521164729E-2</v>
      </c>
      <c r="N5" s="22">
        <f t="shared" si="3"/>
        <v>4.980376521164729E-2</v>
      </c>
      <c r="O5" s="22">
        <f t="shared" si="3"/>
        <v>4.980376521164729E-2</v>
      </c>
      <c r="P5" s="22">
        <f t="shared" si="3"/>
        <v>4.980376521164729E-2</v>
      </c>
      <c r="Q5" s="22">
        <f t="shared" si="3"/>
        <v>4.980376521164729E-2</v>
      </c>
      <c r="R5" s="22">
        <f t="shared" si="3"/>
        <v>4.980376521164729E-2</v>
      </c>
      <c r="S5" s="22">
        <f t="shared" si="3"/>
        <v>4.980376521164729E-2</v>
      </c>
      <c r="T5" s="22">
        <f t="shared" si="4"/>
        <v>4.980376521164729E-2</v>
      </c>
      <c r="U5" s="22">
        <f t="shared" si="4"/>
        <v>4.980376521164729E-2</v>
      </c>
      <c r="V5" s="22">
        <f t="shared" si="4"/>
        <v>4.980376521164729E-2</v>
      </c>
      <c r="W5" s="22">
        <f t="shared" si="4"/>
        <v>4.980376521164729E-2</v>
      </c>
      <c r="X5" s="22">
        <f t="shared" si="4"/>
        <v>4.980376521164729E-2</v>
      </c>
      <c r="Y5" s="22">
        <f t="shared" si="4"/>
        <v>4.980376521164729E-2</v>
      </c>
      <c r="Z5" s="22">
        <f t="shared" si="4"/>
        <v>4.980376521164729E-2</v>
      </c>
      <c r="AA5" s="22">
        <f t="shared" si="4"/>
        <v>4.980376521164729E-2</v>
      </c>
      <c r="AB5" s="22">
        <f t="shared" si="4"/>
        <v>4.980376521164729E-2</v>
      </c>
      <c r="AC5" s="22">
        <f t="shared" si="4"/>
        <v>4.980376521164729E-2</v>
      </c>
      <c r="AD5" s="22">
        <f t="shared" si="4"/>
        <v>4.980376521164729E-2</v>
      </c>
      <c r="AE5" s="22">
        <f t="shared" si="4"/>
        <v>4.980376521164729E-2</v>
      </c>
      <c r="AF5" s="22">
        <f t="shared" si="4"/>
        <v>4.980376521164729E-2</v>
      </c>
      <c r="AG5" s="22">
        <f>AF5</f>
        <v>4.980376521164729E-2</v>
      </c>
      <c r="AI5" s="51" t="s">
        <v>268</v>
      </c>
      <c r="AJ5" s="198"/>
    </row>
    <row r="6" spans="1:47" outlineLevel="1">
      <c r="A6" t="s">
        <v>287</v>
      </c>
      <c r="B6" s="51" t="s">
        <v>126</v>
      </c>
      <c r="C6" s="104">
        <f>'Waste gen. - Industry shares'!C19</f>
        <v>3.9181884245312638E-2</v>
      </c>
      <c r="D6" s="22">
        <f t="shared" ref="D6:D7" si="5">C6</f>
        <v>3.9181884245312638E-2</v>
      </c>
      <c r="E6" s="22">
        <f t="shared" si="3"/>
        <v>3.9181884245312638E-2</v>
      </c>
      <c r="F6" s="22">
        <f t="shared" si="3"/>
        <v>3.9181884245312638E-2</v>
      </c>
      <c r="G6" s="22">
        <f t="shared" si="3"/>
        <v>3.9181884245312638E-2</v>
      </c>
      <c r="H6" s="22">
        <f t="shared" si="3"/>
        <v>3.9181884245312638E-2</v>
      </c>
      <c r="I6" s="22">
        <f t="shared" si="3"/>
        <v>3.9181884245312638E-2</v>
      </c>
      <c r="J6" s="22">
        <f t="shared" si="3"/>
        <v>3.9181884245312638E-2</v>
      </c>
      <c r="K6" s="22">
        <f t="shared" si="3"/>
        <v>3.9181884245312638E-2</v>
      </c>
      <c r="L6" s="22">
        <f t="shared" si="3"/>
        <v>3.9181884245312638E-2</v>
      </c>
      <c r="M6" s="22">
        <f t="shared" si="3"/>
        <v>3.9181884245312638E-2</v>
      </c>
      <c r="N6" s="22">
        <f t="shared" si="3"/>
        <v>3.9181884245312638E-2</v>
      </c>
      <c r="O6" s="22">
        <f t="shared" si="3"/>
        <v>3.9181884245312638E-2</v>
      </c>
      <c r="P6" s="22">
        <f t="shared" si="3"/>
        <v>3.9181884245312638E-2</v>
      </c>
      <c r="Q6" s="22">
        <f t="shared" si="3"/>
        <v>3.9181884245312638E-2</v>
      </c>
      <c r="R6" s="22">
        <f t="shared" si="3"/>
        <v>3.9181884245312638E-2</v>
      </c>
      <c r="S6" s="22">
        <f t="shared" si="3"/>
        <v>3.9181884245312638E-2</v>
      </c>
      <c r="T6" s="22">
        <f t="shared" si="3"/>
        <v>3.9181884245312638E-2</v>
      </c>
      <c r="U6" s="22">
        <f t="shared" si="4"/>
        <v>3.9181884245312638E-2</v>
      </c>
      <c r="V6" s="22">
        <f t="shared" si="4"/>
        <v>3.9181884245312638E-2</v>
      </c>
      <c r="W6" s="22">
        <f t="shared" si="4"/>
        <v>3.9181884245312638E-2</v>
      </c>
      <c r="X6" s="22">
        <f t="shared" si="4"/>
        <v>3.9181884245312638E-2</v>
      </c>
      <c r="Y6" s="22">
        <f t="shared" si="4"/>
        <v>3.9181884245312638E-2</v>
      </c>
      <c r="Z6" s="22">
        <f t="shared" si="4"/>
        <v>3.9181884245312638E-2</v>
      </c>
      <c r="AA6" s="22">
        <f t="shared" si="4"/>
        <v>3.9181884245312638E-2</v>
      </c>
      <c r="AB6" s="22">
        <f t="shared" si="4"/>
        <v>3.9181884245312638E-2</v>
      </c>
      <c r="AC6" s="22">
        <f t="shared" si="4"/>
        <v>3.9181884245312638E-2</v>
      </c>
      <c r="AD6" s="22">
        <f t="shared" si="4"/>
        <v>3.9181884245312638E-2</v>
      </c>
      <c r="AE6" s="22">
        <f t="shared" si="4"/>
        <v>3.9181884245312638E-2</v>
      </c>
      <c r="AF6" s="22">
        <f t="shared" si="4"/>
        <v>3.9181884245312638E-2</v>
      </c>
      <c r="AG6" s="22">
        <f t="shared" si="4"/>
        <v>3.9181884245312638E-2</v>
      </c>
      <c r="AI6" s="51" t="s">
        <v>268</v>
      </c>
      <c r="AJ6" s="198"/>
      <c r="AR6" s="22"/>
    </row>
    <row r="7" spans="1:47" outlineLevel="1">
      <c r="A7" t="s">
        <v>410</v>
      </c>
      <c r="B7" s="51" t="s">
        <v>126</v>
      </c>
      <c r="C7" s="104">
        <f>'Waste gen. - Industry shares'!C23</f>
        <v>0.1</v>
      </c>
      <c r="D7" s="22">
        <f t="shared" si="5"/>
        <v>0.1</v>
      </c>
      <c r="E7" s="22">
        <f t="shared" si="3"/>
        <v>0.1</v>
      </c>
      <c r="F7" s="22">
        <f t="shared" si="3"/>
        <v>0.1</v>
      </c>
      <c r="G7" s="22">
        <f t="shared" si="3"/>
        <v>0.1</v>
      </c>
      <c r="H7" s="22">
        <f t="shared" si="3"/>
        <v>0.1</v>
      </c>
      <c r="I7" s="22">
        <f t="shared" si="3"/>
        <v>0.1</v>
      </c>
      <c r="J7" s="22">
        <f t="shared" si="3"/>
        <v>0.1</v>
      </c>
      <c r="K7" s="22">
        <f t="shared" si="3"/>
        <v>0.1</v>
      </c>
      <c r="L7" s="22">
        <f t="shared" si="3"/>
        <v>0.1</v>
      </c>
      <c r="M7" s="22">
        <f>L7</f>
        <v>0.1</v>
      </c>
      <c r="N7" s="22">
        <f t="shared" si="3"/>
        <v>0.1</v>
      </c>
      <c r="O7" s="22">
        <f t="shared" si="3"/>
        <v>0.1</v>
      </c>
      <c r="P7" s="22">
        <f t="shared" si="3"/>
        <v>0.1</v>
      </c>
      <c r="Q7" s="22">
        <f t="shared" si="3"/>
        <v>0.1</v>
      </c>
      <c r="R7" s="22">
        <f t="shared" si="3"/>
        <v>0.1</v>
      </c>
      <c r="S7" s="22">
        <f t="shared" si="3"/>
        <v>0.1</v>
      </c>
      <c r="T7" s="22">
        <f t="shared" si="3"/>
        <v>0.1</v>
      </c>
      <c r="U7" s="22">
        <f t="shared" si="4"/>
        <v>0.1</v>
      </c>
      <c r="V7" s="22">
        <f t="shared" si="4"/>
        <v>0.1</v>
      </c>
      <c r="W7" s="22">
        <f t="shared" si="4"/>
        <v>0.1</v>
      </c>
      <c r="X7" s="22">
        <f t="shared" si="4"/>
        <v>0.1</v>
      </c>
      <c r="Y7" s="22">
        <f t="shared" si="4"/>
        <v>0.1</v>
      </c>
      <c r="Z7" s="22">
        <f t="shared" si="4"/>
        <v>0.1</v>
      </c>
      <c r="AA7" s="22">
        <f t="shared" si="4"/>
        <v>0.1</v>
      </c>
      <c r="AB7" s="22">
        <f t="shared" si="4"/>
        <v>0.1</v>
      </c>
      <c r="AC7" s="22">
        <f t="shared" si="4"/>
        <v>0.1</v>
      </c>
      <c r="AD7" s="22">
        <f t="shared" si="4"/>
        <v>0.1</v>
      </c>
      <c r="AE7" s="22">
        <f t="shared" si="4"/>
        <v>0.1</v>
      </c>
      <c r="AF7" s="22">
        <f t="shared" si="4"/>
        <v>0.1</v>
      </c>
      <c r="AG7" s="22">
        <f t="shared" si="4"/>
        <v>0.1</v>
      </c>
      <c r="AI7" s="51" t="s">
        <v>268</v>
      </c>
      <c r="AJ7" s="198"/>
    </row>
    <row r="8" spans="1:47" outlineLevel="1">
      <c r="A8" t="s">
        <v>402</v>
      </c>
      <c r="B8" s="51" t="s">
        <v>126</v>
      </c>
      <c r="C8" s="104">
        <f>'Waste gen. - Industry shares'!C24+'Waste gen. - Industry shares'!C21</f>
        <v>0.28429743453895867</v>
      </c>
      <c r="D8" s="119">
        <f>C8</f>
        <v>0.28429743453895867</v>
      </c>
      <c r="E8" s="119">
        <f t="shared" si="3"/>
        <v>0.28429743453895867</v>
      </c>
      <c r="F8" s="119">
        <f t="shared" si="3"/>
        <v>0.28429743453895867</v>
      </c>
      <c r="G8" s="119">
        <f t="shared" si="3"/>
        <v>0.28429743453895867</v>
      </c>
      <c r="H8" s="119">
        <f t="shared" si="3"/>
        <v>0.28429743453895867</v>
      </c>
      <c r="I8" s="119">
        <f t="shared" si="3"/>
        <v>0.28429743453895867</v>
      </c>
      <c r="J8" s="119">
        <f t="shared" si="3"/>
        <v>0.28429743453895867</v>
      </c>
      <c r="K8" s="119">
        <f t="shared" si="3"/>
        <v>0.28429743453895867</v>
      </c>
      <c r="L8" s="119">
        <f t="shared" si="3"/>
        <v>0.28429743453895867</v>
      </c>
      <c r="M8" s="121">
        <f t="shared" si="3"/>
        <v>0.28429743453895867</v>
      </c>
      <c r="N8" s="121">
        <f t="shared" si="3"/>
        <v>0.28429743453895867</v>
      </c>
      <c r="O8" s="121">
        <f t="shared" si="3"/>
        <v>0.28429743453895867</v>
      </c>
      <c r="P8" s="121">
        <f t="shared" si="3"/>
        <v>0.28429743453895867</v>
      </c>
      <c r="Q8" s="121">
        <f t="shared" si="3"/>
        <v>0.28429743453895867</v>
      </c>
      <c r="R8" s="121">
        <f t="shared" si="3"/>
        <v>0.28429743453895867</v>
      </c>
      <c r="S8" s="121">
        <f t="shared" si="3"/>
        <v>0.28429743453895867</v>
      </c>
      <c r="T8" s="121">
        <f t="shared" si="3"/>
        <v>0.28429743453895867</v>
      </c>
      <c r="U8" s="121">
        <f t="shared" si="4"/>
        <v>0.28429743453895867</v>
      </c>
      <c r="V8" s="121">
        <f t="shared" si="4"/>
        <v>0.28429743453895867</v>
      </c>
      <c r="W8" s="121">
        <f t="shared" si="4"/>
        <v>0.28429743453895867</v>
      </c>
      <c r="X8" s="121">
        <f t="shared" si="4"/>
        <v>0.28429743453895867</v>
      </c>
      <c r="Y8" s="121">
        <f t="shared" si="4"/>
        <v>0.28429743453895867</v>
      </c>
      <c r="Z8" s="121">
        <f t="shared" si="4"/>
        <v>0.28429743453895867</v>
      </c>
      <c r="AA8" s="121">
        <f t="shared" si="4"/>
        <v>0.28429743453895867</v>
      </c>
      <c r="AB8" s="121">
        <f t="shared" si="4"/>
        <v>0.28429743453895867</v>
      </c>
      <c r="AC8" s="121">
        <f t="shared" si="4"/>
        <v>0.28429743453895867</v>
      </c>
      <c r="AD8" s="121">
        <f t="shared" si="4"/>
        <v>0.28429743453895867</v>
      </c>
      <c r="AE8" s="121">
        <f t="shared" si="4"/>
        <v>0.28429743453895867</v>
      </c>
      <c r="AF8" s="121">
        <f t="shared" si="4"/>
        <v>0.28429743453895867</v>
      </c>
      <c r="AG8" s="121">
        <f t="shared" si="4"/>
        <v>0.28429743453895867</v>
      </c>
      <c r="AI8" s="51" t="s">
        <v>268</v>
      </c>
      <c r="AJ8" s="198"/>
    </row>
    <row r="9" spans="1:47" ht="15.5" outlineLevel="1" thickBot="1">
      <c r="A9" s="182" t="s">
        <v>433</v>
      </c>
      <c r="B9" s="183"/>
      <c r="C9" s="184">
        <f>SUM(C4:C8)</f>
        <v>1.0009009009009009</v>
      </c>
      <c r="D9" s="184">
        <f t="shared" ref="D9:AG9" si="6">SUM(D4:D8)</f>
        <v>1.0009009009009009</v>
      </c>
      <c r="E9" s="184">
        <f t="shared" si="6"/>
        <v>1.0009009009009009</v>
      </c>
      <c r="F9" s="184">
        <f t="shared" si="6"/>
        <v>1.0009009009009009</v>
      </c>
      <c r="G9" s="184">
        <f t="shared" si="6"/>
        <v>1.0009009009009009</v>
      </c>
      <c r="H9" s="184">
        <f t="shared" si="6"/>
        <v>1.0009009009009009</v>
      </c>
      <c r="I9" s="184">
        <f t="shared" si="6"/>
        <v>1.0009009009009009</v>
      </c>
      <c r="J9" s="184">
        <f t="shared" si="6"/>
        <v>1.0009009009009009</v>
      </c>
      <c r="K9" s="184">
        <f t="shared" si="6"/>
        <v>1.0009009009009009</v>
      </c>
      <c r="L9" s="184">
        <f t="shared" si="6"/>
        <v>1.0009009009009009</v>
      </c>
      <c r="M9" s="184">
        <f t="shared" si="6"/>
        <v>1.0009009009009009</v>
      </c>
      <c r="N9" s="184">
        <f t="shared" si="6"/>
        <v>1.0009009009009009</v>
      </c>
      <c r="O9" s="184">
        <f t="shared" si="6"/>
        <v>1.0009009009009009</v>
      </c>
      <c r="P9" s="184">
        <f t="shared" si="6"/>
        <v>1.0009009009009009</v>
      </c>
      <c r="Q9" s="184">
        <f t="shared" si="6"/>
        <v>1.0009009009009009</v>
      </c>
      <c r="R9" s="184">
        <f t="shared" si="6"/>
        <v>1.0009009009009009</v>
      </c>
      <c r="S9" s="184">
        <f t="shared" si="6"/>
        <v>1.0009009009009009</v>
      </c>
      <c r="T9" s="184">
        <f t="shared" si="6"/>
        <v>1.0009009009009009</v>
      </c>
      <c r="U9" s="184">
        <f t="shared" si="6"/>
        <v>1.0009009009009009</v>
      </c>
      <c r="V9" s="184">
        <f t="shared" si="6"/>
        <v>1.0009009009009009</v>
      </c>
      <c r="W9" s="184">
        <f t="shared" si="6"/>
        <v>1.0009009009009009</v>
      </c>
      <c r="X9" s="184">
        <f t="shared" si="6"/>
        <v>1.0009009009009009</v>
      </c>
      <c r="Y9" s="184">
        <f t="shared" si="6"/>
        <v>1.0009009009009009</v>
      </c>
      <c r="Z9" s="184">
        <f t="shared" si="6"/>
        <v>1.0009009009009009</v>
      </c>
      <c r="AA9" s="184">
        <f t="shared" si="6"/>
        <v>1.0009009009009009</v>
      </c>
      <c r="AB9" s="184">
        <f t="shared" si="6"/>
        <v>1.0009009009009009</v>
      </c>
      <c r="AC9" s="184">
        <f t="shared" si="6"/>
        <v>1.0009009009009009</v>
      </c>
      <c r="AD9" s="184">
        <f t="shared" si="6"/>
        <v>1.0009009009009009</v>
      </c>
      <c r="AE9" s="184">
        <f t="shared" si="6"/>
        <v>1.0009009009009009</v>
      </c>
      <c r="AF9" s="184">
        <f t="shared" si="6"/>
        <v>1.0009009009009009</v>
      </c>
      <c r="AG9" s="184">
        <f t="shared" si="6"/>
        <v>1.0009009009009009</v>
      </c>
      <c r="AM9" s="24"/>
      <c r="AN9" s="2"/>
      <c r="AO9" s="24"/>
      <c r="AR9" s="2"/>
    </row>
    <row r="10" spans="1:47" ht="15.5" outlineLevel="1" thickTop="1">
      <c r="AM10" s="24"/>
      <c r="AN10" s="2"/>
      <c r="AO10" s="24"/>
      <c r="AR10" s="2"/>
    </row>
    <row r="11" spans="1:47" outlineLevel="1">
      <c r="A11" t="s">
        <v>413</v>
      </c>
      <c r="B11" s="51" t="s">
        <v>296</v>
      </c>
      <c r="C11" s="101">
        <f t="shared" ref="C11:AG15" si="7">C$2*C4</f>
        <v>2797101.9772299458</v>
      </c>
      <c r="D11" s="101">
        <f t="shared" si="7"/>
        <v>2797101.9772299458</v>
      </c>
      <c r="E11" s="101">
        <f t="shared" si="7"/>
        <v>2797101.9772299458</v>
      </c>
      <c r="F11" s="101">
        <f t="shared" si="7"/>
        <v>2797101.9772299458</v>
      </c>
      <c r="G11" s="101">
        <f t="shared" si="7"/>
        <v>2797101.9772299458</v>
      </c>
      <c r="H11" s="101">
        <f t="shared" si="7"/>
        <v>2797101.9772299458</v>
      </c>
      <c r="I11" s="101">
        <f t="shared" si="7"/>
        <v>2797101.9772299458</v>
      </c>
      <c r="J11" s="101">
        <f t="shared" si="7"/>
        <v>2797101.9772299458</v>
      </c>
      <c r="K11" s="101">
        <f t="shared" si="7"/>
        <v>2797101.9772299458</v>
      </c>
      <c r="L11" s="101">
        <f t="shared" si="7"/>
        <v>2797101.9772299458</v>
      </c>
      <c r="M11" s="101">
        <f t="shared" si="7"/>
        <v>2797101.9772299458</v>
      </c>
      <c r="N11" s="101">
        <f t="shared" si="7"/>
        <v>2797101.9772299458</v>
      </c>
      <c r="O11" s="101">
        <f t="shared" si="7"/>
        <v>2797101.9772299458</v>
      </c>
      <c r="P11" s="101">
        <f t="shared" si="7"/>
        <v>2797101.9772299458</v>
      </c>
      <c r="Q11" s="101">
        <f t="shared" si="7"/>
        <v>2797101.9772299458</v>
      </c>
      <c r="R11" s="101">
        <f t="shared" si="7"/>
        <v>2797101.9772299458</v>
      </c>
      <c r="S11" s="101">
        <f t="shared" si="7"/>
        <v>2797101.9772299458</v>
      </c>
      <c r="T11" s="101">
        <f t="shared" si="7"/>
        <v>2797101.9772299458</v>
      </c>
      <c r="U11" s="101">
        <f t="shared" si="7"/>
        <v>2797101.9772299458</v>
      </c>
      <c r="V11" s="101">
        <f t="shared" si="7"/>
        <v>2797101.9772299458</v>
      </c>
      <c r="W11" s="101">
        <f t="shared" si="7"/>
        <v>2797101.9772299458</v>
      </c>
      <c r="X11" s="101">
        <f t="shared" si="7"/>
        <v>2797101.9772299458</v>
      </c>
      <c r="Y11" s="101">
        <f t="shared" si="7"/>
        <v>2797101.9772299458</v>
      </c>
      <c r="Z11" s="101">
        <f t="shared" si="7"/>
        <v>2797101.9772299458</v>
      </c>
      <c r="AA11" s="101">
        <f t="shared" si="7"/>
        <v>2797101.9772299458</v>
      </c>
      <c r="AB11" s="101">
        <f t="shared" si="7"/>
        <v>2797101.9772299458</v>
      </c>
      <c r="AC11" s="101">
        <f t="shared" si="7"/>
        <v>2797101.9772299458</v>
      </c>
      <c r="AD11" s="101">
        <f t="shared" si="7"/>
        <v>2797101.9772299458</v>
      </c>
      <c r="AE11" s="101">
        <f t="shared" si="7"/>
        <v>2797101.9772299458</v>
      </c>
      <c r="AF11" s="101">
        <f t="shared" si="7"/>
        <v>2797101.9772299458</v>
      </c>
      <c r="AG11" s="101">
        <f t="shared" si="7"/>
        <v>2797101.9772299458</v>
      </c>
      <c r="AM11" s="24"/>
      <c r="AN11" s="2"/>
      <c r="AO11" s="24"/>
      <c r="AR11" s="2"/>
    </row>
    <row r="12" spans="1:47" outlineLevel="1">
      <c r="A12" t="s">
        <v>269</v>
      </c>
      <c r="B12" s="51" t="s">
        <v>296</v>
      </c>
      <c r="C12" s="101">
        <f t="shared" si="7"/>
        <v>264028.63148967928</v>
      </c>
      <c r="D12" s="101">
        <f t="shared" si="7"/>
        <v>264028.63148967928</v>
      </c>
      <c r="E12" s="101">
        <f t="shared" si="7"/>
        <v>264028.63148967928</v>
      </c>
      <c r="F12" s="101">
        <f t="shared" si="7"/>
        <v>264028.63148967928</v>
      </c>
      <c r="G12" s="101">
        <f t="shared" si="7"/>
        <v>264028.63148967928</v>
      </c>
      <c r="H12" s="101">
        <f t="shared" si="7"/>
        <v>264028.63148967928</v>
      </c>
      <c r="I12" s="101">
        <f t="shared" si="7"/>
        <v>264028.63148967928</v>
      </c>
      <c r="J12" s="101">
        <f t="shared" si="7"/>
        <v>264028.63148967928</v>
      </c>
      <c r="K12" s="101">
        <f t="shared" si="7"/>
        <v>264028.63148967928</v>
      </c>
      <c r="L12" s="101">
        <f t="shared" si="7"/>
        <v>264028.63148967928</v>
      </c>
      <c r="M12" s="101">
        <f t="shared" si="7"/>
        <v>264028.63148967928</v>
      </c>
      <c r="N12" s="101">
        <f t="shared" si="7"/>
        <v>264028.63148967928</v>
      </c>
      <c r="O12" s="101">
        <f t="shared" si="7"/>
        <v>264028.63148967928</v>
      </c>
      <c r="P12" s="101">
        <f t="shared" si="7"/>
        <v>264028.63148967928</v>
      </c>
      <c r="Q12" s="101">
        <f t="shared" si="7"/>
        <v>264028.63148967928</v>
      </c>
      <c r="R12" s="101">
        <f t="shared" si="7"/>
        <v>264028.63148967928</v>
      </c>
      <c r="S12" s="101">
        <f t="shared" si="7"/>
        <v>264028.63148967928</v>
      </c>
      <c r="T12" s="101">
        <f t="shared" si="7"/>
        <v>264028.63148967928</v>
      </c>
      <c r="U12" s="101">
        <f t="shared" si="7"/>
        <v>264028.63148967928</v>
      </c>
      <c r="V12" s="101">
        <f t="shared" si="7"/>
        <v>264028.63148967928</v>
      </c>
      <c r="W12" s="101">
        <f t="shared" si="7"/>
        <v>264028.63148967928</v>
      </c>
      <c r="X12" s="101">
        <f t="shared" si="7"/>
        <v>264028.63148967928</v>
      </c>
      <c r="Y12" s="101">
        <f t="shared" si="7"/>
        <v>264028.63148967928</v>
      </c>
      <c r="Z12" s="101">
        <f t="shared" si="7"/>
        <v>264028.63148967928</v>
      </c>
      <c r="AA12" s="101">
        <f t="shared" si="7"/>
        <v>264028.63148967928</v>
      </c>
      <c r="AB12" s="101">
        <f t="shared" si="7"/>
        <v>264028.63148967928</v>
      </c>
      <c r="AC12" s="101">
        <f t="shared" si="7"/>
        <v>264028.63148967928</v>
      </c>
      <c r="AD12" s="101">
        <f t="shared" si="7"/>
        <v>264028.63148967928</v>
      </c>
      <c r="AE12" s="101">
        <f t="shared" si="7"/>
        <v>264028.63148967928</v>
      </c>
      <c r="AF12" s="101">
        <f t="shared" si="7"/>
        <v>264028.63148967928</v>
      </c>
      <c r="AG12" s="101">
        <f t="shared" si="7"/>
        <v>264028.63148967928</v>
      </c>
      <c r="AM12" s="24"/>
      <c r="AN12" s="2"/>
      <c r="AO12" s="24"/>
      <c r="AR12" s="2"/>
    </row>
    <row r="13" spans="1:47" outlineLevel="1">
      <c r="A13" t="s">
        <v>270</v>
      </c>
      <c r="B13" s="51" t="s">
        <v>296</v>
      </c>
      <c r="C13" s="101">
        <f t="shared" si="7"/>
        <v>207718.01554589227</v>
      </c>
      <c r="D13" s="101">
        <f t="shared" si="7"/>
        <v>207718.01554589227</v>
      </c>
      <c r="E13" s="101">
        <f t="shared" si="7"/>
        <v>207718.01554589227</v>
      </c>
      <c r="F13" s="101">
        <f t="shared" si="7"/>
        <v>207718.01554589227</v>
      </c>
      <c r="G13" s="101">
        <f t="shared" si="7"/>
        <v>207718.01554589227</v>
      </c>
      <c r="H13" s="101">
        <f t="shared" si="7"/>
        <v>207718.01554589227</v>
      </c>
      <c r="I13" s="101">
        <f t="shared" si="7"/>
        <v>207718.01554589227</v>
      </c>
      <c r="J13" s="101">
        <f t="shared" si="7"/>
        <v>207718.01554589227</v>
      </c>
      <c r="K13" s="101">
        <f t="shared" si="7"/>
        <v>207718.01554589227</v>
      </c>
      <c r="L13" s="101">
        <f t="shared" si="7"/>
        <v>207718.01554589227</v>
      </c>
      <c r="M13" s="101">
        <f t="shared" si="7"/>
        <v>207718.01554589227</v>
      </c>
      <c r="N13" s="101">
        <f t="shared" si="7"/>
        <v>207718.01554589227</v>
      </c>
      <c r="O13" s="101">
        <f t="shared" si="7"/>
        <v>207718.01554589227</v>
      </c>
      <c r="P13" s="101">
        <f t="shared" si="7"/>
        <v>207718.01554589227</v>
      </c>
      <c r="Q13" s="101">
        <f t="shared" si="7"/>
        <v>207718.01554589227</v>
      </c>
      <c r="R13" s="101">
        <f t="shared" si="7"/>
        <v>207718.01554589227</v>
      </c>
      <c r="S13" s="101">
        <f t="shared" si="7"/>
        <v>207718.01554589227</v>
      </c>
      <c r="T13" s="101">
        <f t="shared" si="7"/>
        <v>207718.01554589227</v>
      </c>
      <c r="U13" s="101">
        <f t="shared" si="7"/>
        <v>207718.01554589227</v>
      </c>
      <c r="V13" s="101">
        <f t="shared" si="7"/>
        <v>207718.01554589227</v>
      </c>
      <c r="W13" s="101">
        <f t="shared" si="7"/>
        <v>207718.01554589227</v>
      </c>
      <c r="X13" s="101">
        <f t="shared" si="7"/>
        <v>207718.01554589227</v>
      </c>
      <c r="Y13" s="101">
        <f t="shared" si="7"/>
        <v>207718.01554589227</v>
      </c>
      <c r="Z13" s="101">
        <f t="shared" si="7"/>
        <v>207718.01554589227</v>
      </c>
      <c r="AA13" s="101">
        <f t="shared" si="7"/>
        <v>207718.01554589227</v>
      </c>
      <c r="AB13" s="101">
        <f t="shared" si="7"/>
        <v>207718.01554589227</v>
      </c>
      <c r="AC13" s="101">
        <f t="shared" si="7"/>
        <v>207718.01554589227</v>
      </c>
      <c r="AD13" s="101">
        <f t="shared" si="7"/>
        <v>207718.01554589227</v>
      </c>
      <c r="AE13" s="101">
        <f t="shared" si="7"/>
        <v>207718.01554589227</v>
      </c>
      <c r="AF13" s="101">
        <f t="shared" si="7"/>
        <v>207718.01554589227</v>
      </c>
      <c r="AG13" s="101">
        <f t="shared" si="7"/>
        <v>207718.01554589227</v>
      </c>
      <c r="AM13" s="24"/>
      <c r="AN13" s="2"/>
      <c r="AO13" s="24"/>
      <c r="AR13" s="2"/>
    </row>
    <row r="14" spans="1:47" outlineLevel="1">
      <c r="A14" t="s">
        <v>411</v>
      </c>
      <c r="B14" s="51" t="s">
        <v>296</v>
      </c>
      <c r="C14" s="101">
        <f t="shared" si="7"/>
        <v>530137.89292367117</v>
      </c>
      <c r="D14" s="101">
        <f t="shared" si="7"/>
        <v>530137.89292367117</v>
      </c>
      <c r="E14" s="101">
        <f t="shared" si="7"/>
        <v>530137.89292367117</v>
      </c>
      <c r="F14" s="101">
        <f t="shared" si="7"/>
        <v>530137.89292367117</v>
      </c>
      <c r="G14" s="101">
        <f t="shared" si="7"/>
        <v>530137.89292367117</v>
      </c>
      <c r="H14" s="101">
        <f t="shared" si="7"/>
        <v>530137.89292367117</v>
      </c>
      <c r="I14" s="101">
        <f t="shared" si="7"/>
        <v>530137.89292367117</v>
      </c>
      <c r="J14" s="101">
        <f t="shared" si="7"/>
        <v>530137.89292367117</v>
      </c>
      <c r="K14" s="101">
        <f t="shared" si="7"/>
        <v>530137.89292367117</v>
      </c>
      <c r="L14" s="101">
        <f t="shared" si="7"/>
        <v>530137.89292367117</v>
      </c>
      <c r="M14" s="101">
        <f t="shared" si="7"/>
        <v>530137.89292367117</v>
      </c>
      <c r="N14" s="101">
        <f t="shared" si="7"/>
        <v>530137.89292367117</v>
      </c>
      <c r="O14" s="101">
        <f t="shared" si="7"/>
        <v>530137.89292367117</v>
      </c>
      <c r="P14" s="101">
        <f t="shared" si="7"/>
        <v>530137.89292367117</v>
      </c>
      <c r="Q14" s="101">
        <f t="shared" si="7"/>
        <v>530137.89292367117</v>
      </c>
      <c r="R14" s="101">
        <f t="shared" si="7"/>
        <v>530137.89292367117</v>
      </c>
      <c r="S14" s="101">
        <f t="shared" si="7"/>
        <v>530137.89292367117</v>
      </c>
      <c r="T14" s="101">
        <f t="shared" si="7"/>
        <v>530137.89292367117</v>
      </c>
      <c r="U14" s="101">
        <f t="shared" si="7"/>
        <v>530137.89292367117</v>
      </c>
      <c r="V14" s="101">
        <f t="shared" si="7"/>
        <v>530137.89292367117</v>
      </c>
      <c r="W14" s="101">
        <f t="shared" si="7"/>
        <v>530137.89292367117</v>
      </c>
      <c r="X14" s="101">
        <f t="shared" si="7"/>
        <v>530137.89292367117</v>
      </c>
      <c r="Y14" s="101">
        <f t="shared" si="7"/>
        <v>530137.89292367117</v>
      </c>
      <c r="Z14" s="101">
        <f t="shared" si="7"/>
        <v>530137.89292367117</v>
      </c>
      <c r="AA14" s="101">
        <f t="shared" si="7"/>
        <v>530137.89292367117</v>
      </c>
      <c r="AB14" s="101">
        <f t="shared" si="7"/>
        <v>530137.89292367117</v>
      </c>
      <c r="AC14" s="101">
        <f t="shared" si="7"/>
        <v>530137.89292367117</v>
      </c>
      <c r="AD14" s="101">
        <f t="shared" si="7"/>
        <v>530137.89292367117</v>
      </c>
      <c r="AE14" s="101">
        <f t="shared" si="7"/>
        <v>530137.89292367117</v>
      </c>
      <c r="AF14" s="101">
        <f t="shared" si="7"/>
        <v>530137.89292367117</v>
      </c>
      <c r="AG14" s="101">
        <f t="shared" si="7"/>
        <v>530137.89292367117</v>
      </c>
      <c r="AM14" s="24"/>
      <c r="AN14" s="2"/>
      <c r="AO14" s="24"/>
      <c r="AR14" s="2"/>
    </row>
    <row r="15" spans="1:47" outlineLevel="1">
      <c r="A15" t="s">
        <v>271</v>
      </c>
      <c r="B15" s="51" t="s">
        <v>296</v>
      </c>
      <c r="C15" s="122">
        <f t="shared" si="7"/>
        <v>1507168.4291008885</v>
      </c>
      <c r="D15" s="122">
        <f t="shared" si="7"/>
        <v>1507168.4291008885</v>
      </c>
      <c r="E15" s="122">
        <f t="shared" si="7"/>
        <v>1507168.4291008885</v>
      </c>
      <c r="F15" s="122">
        <f t="shared" si="7"/>
        <v>1507168.4291008885</v>
      </c>
      <c r="G15" s="122">
        <f t="shared" si="7"/>
        <v>1507168.4291008885</v>
      </c>
      <c r="H15" s="122">
        <f t="shared" si="7"/>
        <v>1507168.4291008885</v>
      </c>
      <c r="I15" s="122">
        <f t="shared" si="7"/>
        <v>1507168.4291008885</v>
      </c>
      <c r="J15" s="122">
        <f t="shared" si="7"/>
        <v>1507168.4291008885</v>
      </c>
      <c r="K15" s="122">
        <f t="shared" si="7"/>
        <v>1507168.4291008885</v>
      </c>
      <c r="L15" s="122">
        <f t="shared" si="7"/>
        <v>1507168.4291008885</v>
      </c>
      <c r="M15" s="122">
        <f t="shared" si="7"/>
        <v>1507168.4291008885</v>
      </c>
      <c r="N15" s="122">
        <f t="shared" si="7"/>
        <v>1507168.4291008885</v>
      </c>
      <c r="O15" s="122">
        <f t="shared" si="7"/>
        <v>1507168.4291008885</v>
      </c>
      <c r="P15" s="122">
        <f t="shared" si="7"/>
        <v>1507168.4291008885</v>
      </c>
      <c r="Q15" s="122">
        <f t="shared" si="7"/>
        <v>1507168.4291008885</v>
      </c>
      <c r="R15" s="122">
        <f t="shared" si="7"/>
        <v>1507168.4291008885</v>
      </c>
      <c r="S15" s="122">
        <f t="shared" si="7"/>
        <v>1507168.4291008885</v>
      </c>
      <c r="T15" s="122">
        <f t="shared" si="7"/>
        <v>1507168.4291008885</v>
      </c>
      <c r="U15" s="122">
        <f t="shared" si="7"/>
        <v>1507168.4291008885</v>
      </c>
      <c r="V15" s="122">
        <f t="shared" si="7"/>
        <v>1507168.4291008885</v>
      </c>
      <c r="W15" s="122">
        <f t="shared" si="7"/>
        <v>1507168.4291008885</v>
      </c>
      <c r="X15" s="122">
        <f t="shared" si="7"/>
        <v>1507168.4291008885</v>
      </c>
      <c r="Y15" s="122">
        <f t="shared" si="7"/>
        <v>1507168.4291008885</v>
      </c>
      <c r="Z15" s="122">
        <f t="shared" si="7"/>
        <v>1507168.4291008885</v>
      </c>
      <c r="AA15" s="122">
        <f t="shared" si="7"/>
        <v>1507168.4291008885</v>
      </c>
      <c r="AB15" s="122">
        <f t="shared" si="7"/>
        <v>1507168.4291008885</v>
      </c>
      <c r="AC15" s="122">
        <f t="shared" si="7"/>
        <v>1507168.4291008885</v>
      </c>
      <c r="AD15" s="122">
        <f t="shared" si="7"/>
        <v>1507168.4291008885</v>
      </c>
      <c r="AE15" s="122">
        <f t="shared" si="7"/>
        <v>1507168.4291008885</v>
      </c>
      <c r="AF15" s="122">
        <f t="shared" si="7"/>
        <v>1507168.4291008885</v>
      </c>
      <c r="AG15" s="122">
        <f t="shared" si="7"/>
        <v>1507168.4291008885</v>
      </c>
    </row>
    <row r="16" spans="1:47" ht="15.5" outlineLevel="1" thickBot="1">
      <c r="A16" s="187" t="s">
        <v>432</v>
      </c>
      <c r="B16" s="185"/>
      <c r="C16" s="186">
        <f t="shared" ref="C16:AG16" si="8">SUM(C11:C15)</f>
        <v>5306154.9462900767</v>
      </c>
      <c r="D16" s="186">
        <f t="shared" si="8"/>
        <v>5306154.9462900767</v>
      </c>
      <c r="E16" s="186">
        <f t="shared" si="8"/>
        <v>5306154.9462900767</v>
      </c>
      <c r="F16" s="186">
        <f t="shared" si="8"/>
        <v>5306154.9462900767</v>
      </c>
      <c r="G16" s="186">
        <f t="shared" si="8"/>
        <v>5306154.9462900767</v>
      </c>
      <c r="H16" s="186">
        <f t="shared" si="8"/>
        <v>5306154.9462900767</v>
      </c>
      <c r="I16" s="186">
        <f t="shared" si="8"/>
        <v>5306154.9462900767</v>
      </c>
      <c r="J16" s="186">
        <f t="shared" si="8"/>
        <v>5306154.9462900767</v>
      </c>
      <c r="K16" s="186">
        <f t="shared" si="8"/>
        <v>5306154.9462900767</v>
      </c>
      <c r="L16" s="186">
        <f t="shared" si="8"/>
        <v>5306154.9462900767</v>
      </c>
      <c r="M16" s="186">
        <f t="shared" si="8"/>
        <v>5306154.9462900767</v>
      </c>
      <c r="N16" s="186">
        <f t="shared" si="8"/>
        <v>5306154.9462900767</v>
      </c>
      <c r="O16" s="186">
        <f t="shared" si="8"/>
        <v>5306154.9462900767</v>
      </c>
      <c r="P16" s="186">
        <f t="shared" si="8"/>
        <v>5306154.9462900767</v>
      </c>
      <c r="Q16" s="186">
        <f t="shared" si="8"/>
        <v>5306154.9462900767</v>
      </c>
      <c r="R16" s="186">
        <f t="shared" si="8"/>
        <v>5306154.9462900767</v>
      </c>
      <c r="S16" s="186">
        <f t="shared" si="8"/>
        <v>5306154.9462900767</v>
      </c>
      <c r="T16" s="186">
        <f t="shared" si="8"/>
        <v>5306154.9462900767</v>
      </c>
      <c r="U16" s="186">
        <f t="shared" si="8"/>
        <v>5306154.9462900767</v>
      </c>
      <c r="V16" s="186">
        <f t="shared" si="8"/>
        <v>5306154.9462900767</v>
      </c>
      <c r="W16" s="186">
        <f t="shared" si="8"/>
        <v>5306154.9462900767</v>
      </c>
      <c r="X16" s="186">
        <f t="shared" si="8"/>
        <v>5306154.9462900767</v>
      </c>
      <c r="Y16" s="186">
        <f t="shared" si="8"/>
        <v>5306154.9462900767</v>
      </c>
      <c r="Z16" s="186">
        <f t="shared" si="8"/>
        <v>5306154.9462900767</v>
      </c>
      <c r="AA16" s="186">
        <f t="shared" si="8"/>
        <v>5306154.9462900767</v>
      </c>
      <c r="AB16" s="186">
        <f t="shared" si="8"/>
        <v>5306154.9462900767</v>
      </c>
      <c r="AC16" s="186">
        <f t="shared" si="8"/>
        <v>5306154.9462900767</v>
      </c>
      <c r="AD16" s="186">
        <f t="shared" si="8"/>
        <v>5306154.9462900767</v>
      </c>
      <c r="AE16" s="186">
        <f t="shared" si="8"/>
        <v>5306154.9462900767</v>
      </c>
      <c r="AF16" s="186">
        <f t="shared" si="8"/>
        <v>5306154.9462900767</v>
      </c>
      <c r="AG16" s="186">
        <f t="shared" si="8"/>
        <v>5306154.9462900767</v>
      </c>
    </row>
    <row r="17" spans="1:64" ht="15.5" outlineLevel="1" thickTop="1">
      <c r="AL17" s="108"/>
      <c r="AM17" s="109"/>
      <c r="AN17" s="109"/>
      <c r="AO17" s="109"/>
      <c r="AP17" s="109"/>
      <c r="AQ17" s="109"/>
    </row>
    <row r="18" spans="1:64" outlineLevel="1">
      <c r="A18" t="s">
        <v>1056</v>
      </c>
      <c r="B18" s="51" t="s">
        <v>126</v>
      </c>
      <c r="C18" s="148">
        <f>'Overall recycling rates'!E76</f>
        <v>3.8950121861776169E-3</v>
      </c>
      <c r="D18" s="148">
        <f>C18</f>
        <v>3.8950121861776169E-3</v>
      </c>
      <c r="E18" s="148">
        <f t="shared" ref="E18:AF19" si="9">D18</f>
        <v>3.8950121861776169E-3</v>
      </c>
      <c r="F18" s="148">
        <f t="shared" si="9"/>
        <v>3.8950121861776169E-3</v>
      </c>
      <c r="G18" s="148">
        <f t="shared" si="9"/>
        <v>3.8950121861776169E-3</v>
      </c>
      <c r="H18" s="148">
        <f t="shared" si="9"/>
        <v>3.8950121861776169E-3</v>
      </c>
      <c r="I18" s="148">
        <f t="shared" si="9"/>
        <v>3.8950121861776169E-3</v>
      </c>
      <c r="J18" s="148">
        <f t="shared" si="9"/>
        <v>3.8950121861776169E-3</v>
      </c>
      <c r="K18" s="148">
        <f t="shared" si="9"/>
        <v>3.8950121861776169E-3</v>
      </c>
      <c r="L18" s="148">
        <f t="shared" si="9"/>
        <v>3.8950121861776169E-3</v>
      </c>
      <c r="M18" s="148">
        <f t="shared" si="9"/>
        <v>3.8950121861776169E-3</v>
      </c>
      <c r="N18" s="148">
        <f t="shared" si="9"/>
        <v>3.8950121861776169E-3</v>
      </c>
      <c r="O18" s="148">
        <f t="shared" si="9"/>
        <v>3.8950121861776169E-3</v>
      </c>
      <c r="P18" s="148">
        <f t="shared" si="9"/>
        <v>3.8950121861776169E-3</v>
      </c>
      <c r="Q18" s="148">
        <f t="shared" si="9"/>
        <v>3.8950121861776169E-3</v>
      </c>
      <c r="R18" s="148">
        <f t="shared" si="9"/>
        <v>3.8950121861776169E-3</v>
      </c>
      <c r="S18" s="148">
        <f t="shared" si="9"/>
        <v>3.8950121861776169E-3</v>
      </c>
      <c r="T18" s="148">
        <f t="shared" si="9"/>
        <v>3.8950121861776169E-3</v>
      </c>
      <c r="U18" s="148">
        <f t="shared" si="9"/>
        <v>3.8950121861776169E-3</v>
      </c>
      <c r="V18" s="148">
        <f t="shared" si="9"/>
        <v>3.8950121861776169E-3</v>
      </c>
      <c r="W18" s="148">
        <f t="shared" si="9"/>
        <v>3.8950121861776169E-3</v>
      </c>
      <c r="X18" s="148">
        <f t="shared" si="9"/>
        <v>3.8950121861776169E-3</v>
      </c>
      <c r="Y18" s="148">
        <f t="shared" si="9"/>
        <v>3.8950121861776169E-3</v>
      </c>
      <c r="Z18" s="148">
        <f t="shared" si="9"/>
        <v>3.8950121861776169E-3</v>
      </c>
      <c r="AA18" s="148">
        <f t="shared" si="9"/>
        <v>3.8950121861776169E-3</v>
      </c>
      <c r="AB18" s="148">
        <f t="shared" si="9"/>
        <v>3.8950121861776169E-3</v>
      </c>
      <c r="AC18" s="148">
        <f t="shared" si="9"/>
        <v>3.8950121861776169E-3</v>
      </c>
      <c r="AD18" s="148">
        <f t="shared" si="9"/>
        <v>3.8950121861776169E-3</v>
      </c>
      <c r="AE18" s="148">
        <f t="shared" si="9"/>
        <v>3.8950121861776169E-3</v>
      </c>
      <c r="AF18" s="148">
        <f t="shared" si="9"/>
        <v>3.8950121861776169E-3</v>
      </c>
      <c r="AG18" s="148">
        <f>AF18</f>
        <v>3.8950121861776169E-3</v>
      </c>
      <c r="AI18" s="51" t="s">
        <v>268</v>
      </c>
      <c r="AJ18" s="198"/>
      <c r="AM18" s="109"/>
      <c r="AN18" s="109"/>
      <c r="AO18" s="109"/>
      <c r="AP18" s="109"/>
      <c r="AQ18" s="109"/>
    </row>
    <row r="19" spans="1:64" outlineLevel="1">
      <c r="A19" t="s">
        <v>1057</v>
      </c>
      <c r="B19" s="51" t="s">
        <v>126</v>
      </c>
      <c r="C19" s="148">
        <f>'Overall recycling rates'!E78</f>
        <v>4.3884207555365047E-2</v>
      </c>
      <c r="D19" s="148">
        <f t="shared" ref="D19:S22" si="10">C19</f>
        <v>4.3884207555365047E-2</v>
      </c>
      <c r="E19" s="148">
        <f t="shared" si="10"/>
        <v>4.3884207555365047E-2</v>
      </c>
      <c r="F19" s="148">
        <f t="shared" si="10"/>
        <v>4.3884207555365047E-2</v>
      </c>
      <c r="G19" s="148">
        <f t="shared" si="10"/>
        <v>4.3884207555365047E-2</v>
      </c>
      <c r="H19" s="148">
        <f t="shared" si="10"/>
        <v>4.3884207555365047E-2</v>
      </c>
      <c r="I19" s="148">
        <f t="shared" si="10"/>
        <v>4.3884207555365047E-2</v>
      </c>
      <c r="J19" s="148">
        <f t="shared" si="10"/>
        <v>4.3884207555365047E-2</v>
      </c>
      <c r="K19" s="148">
        <f t="shared" si="10"/>
        <v>4.3884207555365047E-2</v>
      </c>
      <c r="L19" s="148">
        <f t="shared" si="10"/>
        <v>4.3884207555365047E-2</v>
      </c>
      <c r="M19" s="148">
        <f t="shared" si="10"/>
        <v>4.3884207555365047E-2</v>
      </c>
      <c r="N19" s="148">
        <f t="shared" si="10"/>
        <v>4.3884207555365047E-2</v>
      </c>
      <c r="O19" s="148">
        <f t="shared" si="10"/>
        <v>4.3884207555365047E-2</v>
      </c>
      <c r="P19" s="148">
        <f t="shared" si="10"/>
        <v>4.3884207555365047E-2</v>
      </c>
      <c r="Q19" s="148">
        <f t="shared" si="10"/>
        <v>4.3884207555365047E-2</v>
      </c>
      <c r="R19" s="148">
        <f t="shared" si="10"/>
        <v>4.3884207555365047E-2</v>
      </c>
      <c r="S19" s="148">
        <f t="shared" si="10"/>
        <v>4.3884207555365047E-2</v>
      </c>
      <c r="T19" s="148">
        <f t="shared" si="9"/>
        <v>4.3884207555365047E-2</v>
      </c>
      <c r="U19" s="148">
        <f t="shared" si="9"/>
        <v>4.3884207555365047E-2</v>
      </c>
      <c r="V19" s="148">
        <f t="shared" si="9"/>
        <v>4.3884207555365047E-2</v>
      </c>
      <c r="W19" s="148">
        <f t="shared" si="9"/>
        <v>4.3884207555365047E-2</v>
      </c>
      <c r="X19" s="148">
        <f t="shared" si="9"/>
        <v>4.3884207555365047E-2</v>
      </c>
      <c r="Y19" s="148">
        <f t="shared" si="9"/>
        <v>4.3884207555365047E-2</v>
      </c>
      <c r="Z19" s="148">
        <f t="shared" si="9"/>
        <v>4.3884207555365047E-2</v>
      </c>
      <c r="AA19" s="148">
        <f t="shared" si="9"/>
        <v>4.3884207555365047E-2</v>
      </c>
      <c r="AB19" s="148">
        <f t="shared" si="9"/>
        <v>4.3884207555365047E-2</v>
      </c>
      <c r="AC19" s="148">
        <f t="shared" si="9"/>
        <v>4.3884207555365047E-2</v>
      </c>
      <c r="AD19" s="148">
        <f t="shared" si="9"/>
        <v>4.3884207555365047E-2</v>
      </c>
      <c r="AE19" s="148">
        <f t="shared" si="9"/>
        <v>4.3884207555365047E-2</v>
      </c>
      <c r="AF19" s="148">
        <f t="shared" si="9"/>
        <v>4.3884207555365047E-2</v>
      </c>
      <c r="AG19" s="148">
        <f t="shared" ref="T19:AG22" si="11">AF19</f>
        <v>4.3884207555365047E-2</v>
      </c>
      <c r="AI19" s="51" t="s">
        <v>268</v>
      </c>
      <c r="AJ19" s="198"/>
      <c r="AM19" s="114"/>
      <c r="AN19" s="109"/>
      <c r="AO19" s="110"/>
      <c r="AP19" s="111"/>
      <c r="AQ19" s="110"/>
    </row>
    <row r="20" spans="1:64" outlineLevel="1">
      <c r="A20" t="s">
        <v>1058</v>
      </c>
      <c r="B20" s="51" t="s">
        <v>126</v>
      </c>
      <c r="C20" s="148">
        <f>'Overall recycling rates'!E77</f>
        <v>2.1648224214603266E-2</v>
      </c>
      <c r="D20" s="148">
        <f t="shared" si="10"/>
        <v>2.1648224214603266E-2</v>
      </c>
      <c r="E20" s="148">
        <f t="shared" si="10"/>
        <v>2.1648224214603266E-2</v>
      </c>
      <c r="F20" s="148">
        <f t="shared" si="10"/>
        <v>2.1648224214603266E-2</v>
      </c>
      <c r="G20" s="148">
        <f t="shared" si="10"/>
        <v>2.1648224214603266E-2</v>
      </c>
      <c r="H20" s="148">
        <f t="shared" si="10"/>
        <v>2.1648224214603266E-2</v>
      </c>
      <c r="I20" s="148">
        <f t="shared" si="10"/>
        <v>2.1648224214603266E-2</v>
      </c>
      <c r="J20" s="148">
        <f t="shared" si="10"/>
        <v>2.1648224214603266E-2</v>
      </c>
      <c r="K20" s="148">
        <f t="shared" si="10"/>
        <v>2.1648224214603266E-2</v>
      </c>
      <c r="L20" s="148">
        <f t="shared" si="10"/>
        <v>2.1648224214603266E-2</v>
      </c>
      <c r="M20" s="148">
        <f t="shared" si="10"/>
        <v>2.1648224214603266E-2</v>
      </c>
      <c r="N20" s="148">
        <f t="shared" si="10"/>
        <v>2.1648224214603266E-2</v>
      </c>
      <c r="O20" s="148">
        <f t="shared" si="10"/>
        <v>2.1648224214603266E-2</v>
      </c>
      <c r="P20" s="148">
        <f t="shared" si="10"/>
        <v>2.1648224214603266E-2</v>
      </c>
      <c r="Q20" s="148">
        <f t="shared" si="10"/>
        <v>2.1648224214603266E-2</v>
      </c>
      <c r="R20" s="148">
        <f t="shared" si="10"/>
        <v>2.1648224214603266E-2</v>
      </c>
      <c r="S20" s="148">
        <f t="shared" si="10"/>
        <v>2.1648224214603266E-2</v>
      </c>
      <c r="T20" s="148">
        <f t="shared" si="11"/>
        <v>2.1648224214603266E-2</v>
      </c>
      <c r="U20" s="148">
        <f t="shared" si="11"/>
        <v>2.1648224214603266E-2</v>
      </c>
      <c r="V20" s="148">
        <f t="shared" si="11"/>
        <v>2.1648224214603266E-2</v>
      </c>
      <c r="W20" s="148">
        <f t="shared" si="11"/>
        <v>2.1648224214603266E-2</v>
      </c>
      <c r="X20" s="148">
        <f t="shared" si="11"/>
        <v>2.1648224214603266E-2</v>
      </c>
      <c r="Y20" s="148">
        <f t="shared" si="11"/>
        <v>2.1648224214603266E-2</v>
      </c>
      <c r="Z20" s="148">
        <f t="shared" si="11"/>
        <v>2.1648224214603266E-2</v>
      </c>
      <c r="AA20" s="148">
        <f t="shared" si="11"/>
        <v>2.1648224214603266E-2</v>
      </c>
      <c r="AB20" s="148">
        <f t="shared" si="11"/>
        <v>2.1648224214603266E-2</v>
      </c>
      <c r="AC20" s="148">
        <f t="shared" si="11"/>
        <v>2.1648224214603266E-2</v>
      </c>
      <c r="AD20" s="148">
        <f t="shared" si="11"/>
        <v>2.1648224214603266E-2</v>
      </c>
      <c r="AE20" s="148">
        <f t="shared" si="11"/>
        <v>2.1648224214603266E-2</v>
      </c>
      <c r="AF20" s="148">
        <f t="shared" si="11"/>
        <v>2.1648224214603266E-2</v>
      </c>
      <c r="AG20" s="148">
        <f t="shared" si="11"/>
        <v>2.1648224214603266E-2</v>
      </c>
      <c r="AI20" s="51" t="s">
        <v>268</v>
      </c>
      <c r="AJ20" s="198"/>
      <c r="AM20" s="114"/>
      <c r="AN20" s="109"/>
      <c r="AO20" s="110"/>
      <c r="AP20" s="111"/>
      <c r="AQ20" s="110"/>
    </row>
    <row r="21" spans="1:64" outlineLevel="1">
      <c r="A21" t="s">
        <v>1059</v>
      </c>
      <c r="B21" s="51" t="s">
        <v>126</v>
      </c>
      <c r="C21" s="148">
        <f>'Overall recycling rates'!E79</f>
        <v>4.5118254098762509E-5</v>
      </c>
      <c r="D21" s="148">
        <f t="shared" si="10"/>
        <v>4.5118254098762509E-5</v>
      </c>
      <c r="E21" s="148">
        <f t="shared" si="10"/>
        <v>4.5118254098762509E-5</v>
      </c>
      <c r="F21" s="148">
        <f t="shared" si="10"/>
        <v>4.5118254098762509E-5</v>
      </c>
      <c r="G21" s="148">
        <f t="shared" si="10"/>
        <v>4.5118254098762509E-5</v>
      </c>
      <c r="H21" s="148">
        <f t="shared" si="10"/>
        <v>4.5118254098762509E-5</v>
      </c>
      <c r="I21" s="148">
        <f t="shared" si="10"/>
        <v>4.5118254098762509E-5</v>
      </c>
      <c r="J21" s="148">
        <f t="shared" si="10"/>
        <v>4.5118254098762509E-5</v>
      </c>
      <c r="K21" s="148">
        <f t="shared" si="10"/>
        <v>4.5118254098762509E-5</v>
      </c>
      <c r="L21" s="148">
        <f t="shared" si="10"/>
        <v>4.5118254098762509E-5</v>
      </c>
      <c r="M21" s="148">
        <f t="shared" si="10"/>
        <v>4.5118254098762509E-5</v>
      </c>
      <c r="N21" s="148">
        <f t="shared" si="10"/>
        <v>4.5118254098762509E-5</v>
      </c>
      <c r="O21" s="148">
        <f t="shared" si="10"/>
        <v>4.5118254098762509E-5</v>
      </c>
      <c r="P21" s="148">
        <f t="shared" si="10"/>
        <v>4.5118254098762509E-5</v>
      </c>
      <c r="Q21" s="148">
        <f t="shared" si="10"/>
        <v>4.5118254098762509E-5</v>
      </c>
      <c r="R21" s="148">
        <f t="shared" si="10"/>
        <v>4.5118254098762509E-5</v>
      </c>
      <c r="S21" s="148">
        <f t="shared" si="10"/>
        <v>4.5118254098762509E-5</v>
      </c>
      <c r="T21" s="148">
        <f t="shared" si="11"/>
        <v>4.5118254098762509E-5</v>
      </c>
      <c r="U21" s="148">
        <f t="shared" si="11"/>
        <v>4.5118254098762509E-5</v>
      </c>
      <c r="V21" s="148">
        <f t="shared" si="11"/>
        <v>4.5118254098762509E-5</v>
      </c>
      <c r="W21" s="148">
        <f t="shared" si="11"/>
        <v>4.5118254098762509E-5</v>
      </c>
      <c r="X21" s="148">
        <f t="shared" si="11"/>
        <v>4.5118254098762509E-5</v>
      </c>
      <c r="Y21" s="148">
        <f t="shared" si="11"/>
        <v>4.5118254098762509E-5</v>
      </c>
      <c r="Z21" s="148">
        <f t="shared" si="11"/>
        <v>4.5118254098762509E-5</v>
      </c>
      <c r="AA21" s="148">
        <f t="shared" si="11"/>
        <v>4.5118254098762509E-5</v>
      </c>
      <c r="AB21" s="148">
        <f t="shared" si="11"/>
        <v>4.5118254098762509E-5</v>
      </c>
      <c r="AC21" s="148">
        <f t="shared" si="11"/>
        <v>4.5118254098762509E-5</v>
      </c>
      <c r="AD21" s="148">
        <f t="shared" si="11"/>
        <v>4.5118254098762509E-5</v>
      </c>
      <c r="AE21" s="148">
        <f t="shared" si="11"/>
        <v>4.5118254098762509E-5</v>
      </c>
      <c r="AF21" s="148">
        <f t="shared" si="11"/>
        <v>4.5118254098762509E-5</v>
      </c>
      <c r="AG21" s="148">
        <f t="shared" si="11"/>
        <v>4.5118254098762509E-5</v>
      </c>
      <c r="AI21" s="51" t="s">
        <v>268</v>
      </c>
      <c r="AJ21" s="198"/>
      <c r="AM21" s="114"/>
      <c r="AN21" s="109"/>
      <c r="AO21" s="450"/>
      <c r="AP21" s="451"/>
      <c r="AQ21" s="450"/>
    </row>
    <row r="22" spans="1:64" outlineLevel="1">
      <c r="A22" t="s">
        <v>1060</v>
      </c>
      <c r="B22" s="51" t="s">
        <v>126</v>
      </c>
      <c r="C22" s="148">
        <f>'Overall recycling rates'!E80</f>
        <v>6.3215224044419691E-2</v>
      </c>
      <c r="D22" s="148">
        <f>C22</f>
        <v>6.3215224044419691E-2</v>
      </c>
      <c r="E22" s="148">
        <f t="shared" si="10"/>
        <v>6.3215224044419691E-2</v>
      </c>
      <c r="F22" s="148">
        <f t="shared" si="10"/>
        <v>6.3215224044419691E-2</v>
      </c>
      <c r="G22" s="148">
        <f t="shared" si="10"/>
        <v>6.3215224044419691E-2</v>
      </c>
      <c r="H22" s="148">
        <f t="shared" si="10"/>
        <v>6.3215224044419691E-2</v>
      </c>
      <c r="I22" s="148">
        <f t="shared" si="10"/>
        <v>6.3215224044419691E-2</v>
      </c>
      <c r="J22" s="148">
        <f t="shared" si="10"/>
        <v>6.3215224044419691E-2</v>
      </c>
      <c r="K22" s="148">
        <f t="shared" si="10"/>
        <v>6.3215224044419691E-2</v>
      </c>
      <c r="L22" s="148">
        <f t="shared" si="10"/>
        <v>6.3215224044419691E-2</v>
      </c>
      <c r="M22" s="148">
        <f t="shared" si="10"/>
        <v>6.3215224044419691E-2</v>
      </c>
      <c r="N22" s="148">
        <f t="shared" si="10"/>
        <v>6.3215224044419691E-2</v>
      </c>
      <c r="O22" s="148">
        <f t="shared" si="10"/>
        <v>6.3215224044419691E-2</v>
      </c>
      <c r="P22" s="148">
        <f t="shared" si="10"/>
        <v>6.3215224044419691E-2</v>
      </c>
      <c r="Q22" s="148">
        <f t="shared" si="10"/>
        <v>6.3215224044419691E-2</v>
      </c>
      <c r="R22" s="148">
        <f t="shared" si="10"/>
        <v>6.3215224044419691E-2</v>
      </c>
      <c r="S22" s="148">
        <f t="shared" si="10"/>
        <v>6.3215224044419691E-2</v>
      </c>
      <c r="T22" s="148">
        <f t="shared" si="11"/>
        <v>6.3215224044419691E-2</v>
      </c>
      <c r="U22" s="148">
        <f t="shared" si="11"/>
        <v>6.3215224044419691E-2</v>
      </c>
      <c r="V22" s="148">
        <f t="shared" si="11"/>
        <v>6.3215224044419691E-2</v>
      </c>
      <c r="W22" s="148">
        <f t="shared" si="11"/>
        <v>6.3215224044419691E-2</v>
      </c>
      <c r="X22" s="148">
        <f t="shared" si="11"/>
        <v>6.3215224044419691E-2</v>
      </c>
      <c r="Y22" s="148">
        <f t="shared" si="11"/>
        <v>6.3215224044419691E-2</v>
      </c>
      <c r="Z22" s="148">
        <f t="shared" si="11"/>
        <v>6.3215224044419691E-2</v>
      </c>
      <c r="AA22" s="148">
        <f t="shared" si="11"/>
        <v>6.3215224044419691E-2</v>
      </c>
      <c r="AB22" s="148">
        <f t="shared" si="11"/>
        <v>6.3215224044419691E-2</v>
      </c>
      <c r="AC22" s="148">
        <f t="shared" si="11"/>
        <v>6.3215224044419691E-2</v>
      </c>
      <c r="AD22" s="148">
        <f t="shared" si="11"/>
        <v>6.3215224044419691E-2</v>
      </c>
      <c r="AE22" s="148">
        <f t="shared" si="11"/>
        <v>6.3215224044419691E-2</v>
      </c>
      <c r="AF22" s="148">
        <f t="shared" si="11"/>
        <v>6.3215224044419691E-2</v>
      </c>
      <c r="AG22" s="148">
        <f t="shared" si="11"/>
        <v>6.3215224044419691E-2</v>
      </c>
      <c r="AI22" s="51" t="s">
        <v>268</v>
      </c>
      <c r="AJ22" s="198"/>
      <c r="AM22" s="114"/>
      <c r="AN22" s="109"/>
      <c r="AO22" s="110"/>
      <c r="AP22" s="111"/>
      <c r="AQ22" s="110"/>
    </row>
    <row r="23" spans="1:64" outlineLevel="1">
      <c r="AI23" s="51"/>
      <c r="AM23" s="114"/>
      <c r="AN23" s="109"/>
      <c r="AO23" s="110"/>
      <c r="AP23" s="111"/>
      <c r="AQ23" s="110"/>
      <c r="BD23" s="22"/>
      <c r="BE23" s="22"/>
      <c r="BF23" s="22"/>
      <c r="BG23" s="22"/>
      <c r="BH23" s="22"/>
      <c r="BI23" s="22"/>
      <c r="BJ23" s="22"/>
      <c r="BK23" s="22"/>
      <c r="BL23" s="22"/>
    </row>
    <row r="24" spans="1:64" outlineLevel="1">
      <c r="A24" t="s">
        <v>1061</v>
      </c>
      <c r="B24" s="51" t="s">
        <v>1062</v>
      </c>
      <c r="C24" s="191">
        <f>C11*C18</f>
        <v>10894.746287292146</v>
      </c>
      <c r="D24" s="191">
        <f t="shared" ref="D24:AG24" si="12">D11*D18</f>
        <v>10894.746287292146</v>
      </c>
      <c r="E24" s="191">
        <f t="shared" si="12"/>
        <v>10894.746287292146</v>
      </c>
      <c r="F24" s="191">
        <f t="shared" si="12"/>
        <v>10894.746287292146</v>
      </c>
      <c r="G24" s="191">
        <f t="shared" si="12"/>
        <v>10894.746287292146</v>
      </c>
      <c r="H24" s="191">
        <f t="shared" si="12"/>
        <v>10894.746287292146</v>
      </c>
      <c r="I24" s="191">
        <f t="shared" si="12"/>
        <v>10894.746287292146</v>
      </c>
      <c r="J24" s="191">
        <f t="shared" si="12"/>
        <v>10894.746287292146</v>
      </c>
      <c r="K24" s="191">
        <f t="shared" si="12"/>
        <v>10894.746287292146</v>
      </c>
      <c r="L24" s="191">
        <f t="shared" si="12"/>
        <v>10894.746287292146</v>
      </c>
      <c r="M24" s="191">
        <f>M11*M18</f>
        <v>10894.746287292146</v>
      </c>
      <c r="N24" s="191">
        <f t="shared" si="12"/>
        <v>10894.746287292146</v>
      </c>
      <c r="O24" s="191">
        <f t="shared" si="12"/>
        <v>10894.746287292146</v>
      </c>
      <c r="P24" s="191">
        <f t="shared" si="12"/>
        <v>10894.746287292146</v>
      </c>
      <c r="Q24" s="191">
        <f t="shared" si="12"/>
        <v>10894.746287292146</v>
      </c>
      <c r="R24" s="191">
        <f t="shared" si="12"/>
        <v>10894.746287292146</v>
      </c>
      <c r="S24" s="191">
        <f t="shared" si="12"/>
        <v>10894.746287292146</v>
      </c>
      <c r="T24" s="191">
        <f t="shared" si="12"/>
        <v>10894.746287292146</v>
      </c>
      <c r="U24" s="191">
        <f t="shared" si="12"/>
        <v>10894.746287292146</v>
      </c>
      <c r="V24" s="191">
        <f t="shared" si="12"/>
        <v>10894.746287292146</v>
      </c>
      <c r="W24" s="191">
        <f t="shared" si="12"/>
        <v>10894.746287292146</v>
      </c>
      <c r="X24" s="191">
        <f t="shared" si="12"/>
        <v>10894.746287292146</v>
      </c>
      <c r="Y24" s="191">
        <f t="shared" si="12"/>
        <v>10894.746287292146</v>
      </c>
      <c r="Z24" s="191">
        <f t="shared" si="12"/>
        <v>10894.746287292146</v>
      </c>
      <c r="AA24" s="191">
        <f t="shared" si="12"/>
        <v>10894.746287292146</v>
      </c>
      <c r="AB24" s="191">
        <f t="shared" si="12"/>
        <v>10894.746287292146</v>
      </c>
      <c r="AC24" s="191">
        <f t="shared" si="12"/>
        <v>10894.746287292146</v>
      </c>
      <c r="AD24" s="191">
        <f t="shared" si="12"/>
        <v>10894.746287292146</v>
      </c>
      <c r="AE24" s="191">
        <f t="shared" si="12"/>
        <v>10894.746287292146</v>
      </c>
      <c r="AF24" s="191">
        <f t="shared" si="12"/>
        <v>10894.746287292146</v>
      </c>
      <c r="AG24" s="191">
        <f t="shared" si="12"/>
        <v>10894.746287292146</v>
      </c>
      <c r="AI24" s="230"/>
      <c r="AM24" s="114"/>
      <c r="AN24" s="109"/>
      <c r="AO24" s="109"/>
      <c r="AP24" s="109"/>
      <c r="AQ24" s="109"/>
      <c r="BD24" s="192"/>
      <c r="BE24" s="192"/>
      <c r="BF24" s="192"/>
      <c r="BG24" s="192"/>
      <c r="BH24" s="192"/>
      <c r="BI24" s="192"/>
      <c r="BJ24" s="192"/>
      <c r="BK24" s="192"/>
      <c r="BL24" s="192"/>
    </row>
    <row r="25" spans="1:64" outlineLevel="1">
      <c r="A25" t="s">
        <v>1063</v>
      </c>
      <c r="B25" s="51" t="s">
        <v>1062</v>
      </c>
      <c r="C25" s="191">
        <f t="shared" ref="C25:AG28" si="13">C12*C19</f>
        <v>11586.687264852077</v>
      </c>
      <c r="D25" s="191">
        <f t="shared" si="13"/>
        <v>11586.687264852077</v>
      </c>
      <c r="E25" s="191">
        <f t="shared" si="13"/>
        <v>11586.687264852077</v>
      </c>
      <c r="F25" s="191">
        <f t="shared" si="13"/>
        <v>11586.687264852077</v>
      </c>
      <c r="G25" s="191">
        <f t="shared" si="13"/>
        <v>11586.687264852077</v>
      </c>
      <c r="H25" s="191">
        <f t="shared" si="13"/>
        <v>11586.687264852077</v>
      </c>
      <c r="I25" s="191">
        <f t="shared" si="13"/>
        <v>11586.687264852077</v>
      </c>
      <c r="J25" s="191">
        <f t="shared" si="13"/>
        <v>11586.687264852077</v>
      </c>
      <c r="K25" s="191">
        <f t="shared" si="13"/>
        <v>11586.687264852077</v>
      </c>
      <c r="L25" s="191">
        <f t="shared" si="13"/>
        <v>11586.687264852077</v>
      </c>
      <c r="M25" s="191">
        <f t="shared" si="13"/>
        <v>11586.687264852077</v>
      </c>
      <c r="N25" s="191">
        <f t="shared" si="13"/>
        <v>11586.687264852077</v>
      </c>
      <c r="O25" s="191">
        <f t="shared" si="13"/>
        <v>11586.687264852077</v>
      </c>
      <c r="P25" s="191">
        <f t="shared" si="13"/>
        <v>11586.687264852077</v>
      </c>
      <c r="Q25" s="191">
        <f t="shared" si="13"/>
        <v>11586.687264852077</v>
      </c>
      <c r="R25" s="191">
        <f t="shared" si="13"/>
        <v>11586.687264852077</v>
      </c>
      <c r="S25" s="191">
        <f t="shared" si="13"/>
        <v>11586.687264852077</v>
      </c>
      <c r="T25" s="191">
        <f t="shared" si="13"/>
        <v>11586.687264852077</v>
      </c>
      <c r="U25" s="191">
        <f t="shared" si="13"/>
        <v>11586.687264852077</v>
      </c>
      <c r="V25" s="191">
        <f t="shared" si="13"/>
        <v>11586.687264852077</v>
      </c>
      <c r="W25" s="191">
        <f t="shared" si="13"/>
        <v>11586.687264852077</v>
      </c>
      <c r="X25" s="191">
        <f t="shared" si="13"/>
        <v>11586.687264852077</v>
      </c>
      <c r="Y25" s="191">
        <f t="shared" si="13"/>
        <v>11586.687264852077</v>
      </c>
      <c r="Z25" s="191">
        <f t="shared" si="13"/>
        <v>11586.687264852077</v>
      </c>
      <c r="AA25" s="191">
        <f t="shared" si="13"/>
        <v>11586.687264852077</v>
      </c>
      <c r="AB25" s="191">
        <f t="shared" si="13"/>
        <v>11586.687264852077</v>
      </c>
      <c r="AC25" s="191">
        <f t="shared" si="13"/>
        <v>11586.687264852077</v>
      </c>
      <c r="AD25" s="191">
        <f t="shared" si="13"/>
        <v>11586.687264852077</v>
      </c>
      <c r="AE25" s="191">
        <f t="shared" si="13"/>
        <v>11586.687264852077</v>
      </c>
      <c r="AF25" s="191">
        <f t="shared" si="13"/>
        <v>11586.687264852077</v>
      </c>
      <c r="AG25" s="191">
        <f t="shared" si="13"/>
        <v>11586.687264852077</v>
      </c>
      <c r="AM25" s="193"/>
      <c r="BD25" s="192"/>
      <c r="BE25" s="192"/>
      <c r="BF25" s="192"/>
      <c r="BG25" s="192"/>
      <c r="BH25" s="192"/>
      <c r="BI25" s="192"/>
      <c r="BJ25" s="192"/>
      <c r="BK25" s="192"/>
      <c r="BL25" s="192"/>
    </row>
    <row r="26" spans="1:64" outlineLevel="1">
      <c r="A26" t="s">
        <v>1064</v>
      </c>
      <c r="B26" s="51" t="s">
        <v>1062</v>
      </c>
      <c r="C26" s="191">
        <f t="shared" si="13"/>
        <v>4496.7261739499227</v>
      </c>
      <c r="D26" s="191">
        <f t="shared" si="13"/>
        <v>4496.7261739499227</v>
      </c>
      <c r="E26" s="191">
        <f t="shared" si="13"/>
        <v>4496.7261739499227</v>
      </c>
      <c r="F26" s="191">
        <f t="shared" si="13"/>
        <v>4496.7261739499227</v>
      </c>
      <c r="G26" s="191">
        <f t="shared" si="13"/>
        <v>4496.7261739499227</v>
      </c>
      <c r="H26" s="191">
        <f t="shared" si="13"/>
        <v>4496.7261739499227</v>
      </c>
      <c r="I26" s="191">
        <f t="shared" si="13"/>
        <v>4496.7261739499227</v>
      </c>
      <c r="J26" s="191">
        <f t="shared" si="13"/>
        <v>4496.7261739499227</v>
      </c>
      <c r="K26" s="191">
        <f t="shared" si="13"/>
        <v>4496.7261739499227</v>
      </c>
      <c r="L26" s="191">
        <f t="shared" si="13"/>
        <v>4496.7261739499227</v>
      </c>
      <c r="M26" s="191">
        <f t="shared" si="13"/>
        <v>4496.7261739499227</v>
      </c>
      <c r="N26" s="191">
        <f t="shared" si="13"/>
        <v>4496.7261739499227</v>
      </c>
      <c r="O26" s="191">
        <f t="shared" si="13"/>
        <v>4496.7261739499227</v>
      </c>
      <c r="P26" s="191">
        <f t="shared" si="13"/>
        <v>4496.7261739499227</v>
      </c>
      <c r="Q26" s="191">
        <f t="shared" si="13"/>
        <v>4496.7261739499227</v>
      </c>
      <c r="R26" s="191">
        <f t="shared" si="13"/>
        <v>4496.7261739499227</v>
      </c>
      <c r="S26" s="191">
        <f t="shared" si="13"/>
        <v>4496.7261739499227</v>
      </c>
      <c r="T26" s="191">
        <f t="shared" si="13"/>
        <v>4496.7261739499227</v>
      </c>
      <c r="U26" s="191">
        <f t="shared" si="13"/>
        <v>4496.7261739499227</v>
      </c>
      <c r="V26" s="191">
        <f t="shared" si="13"/>
        <v>4496.7261739499227</v>
      </c>
      <c r="W26" s="191">
        <f t="shared" si="13"/>
        <v>4496.7261739499227</v>
      </c>
      <c r="X26" s="191">
        <f t="shared" si="13"/>
        <v>4496.7261739499227</v>
      </c>
      <c r="Y26" s="191">
        <f t="shared" si="13"/>
        <v>4496.7261739499227</v>
      </c>
      <c r="Z26" s="191">
        <f t="shared" si="13"/>
        <v>4496.7261739499227</v>
      </c>
      <c r="AA26" s="191">
        <f t="shared" si="13"/>
        <v>4496.7261739499227</v>
      </c>
      <c r="AB26" s="191">
        <f t="shared" si="13"/>
        <v>4496.7261739499227</v>
      </c>
      <c r="AC26" s="191">
        <f t="shared" si="13"/>
        <v>4496.7261739499227</v>
      </c>
      <c r="AD26" s="191">
        <f t="shared" si="13"/>
        <v>4496.7261739499227</v>
      </c>
      <c r="AE26" s="191">
        <f t="shared" si="13"/>
        <v>4496.7261739499227</v>
      </c>
      <c r="AF26" s="191">
        <f t="shared" si="13"/>
        <v>4496.7261739499227</v>
      </c>
      <c r="AG26" s="191">
        <f t="shared" si="13"/>
        <v>4496.7261739499227</v>
      </c>
      <c r="BD26" s="192"/>
      <c r="BE26" s="192"/>
      <c r="BF26" s="192"/>
      <c r="BG26" s="192"/>
      <c r="BH26" s="192"/>
      <c r="BI26" s="192"/>
      <c r="BJ26" s="192"/>
      <c r="BK26" s="192"/>
      <c r="BL26" s="192"/>
    </row>
    <row r="27" spans="1:64" outlineLevel="1">
      <c r="A27" t="s">
        <v>1065</v>
      </c>
      <c r="B27" s="51" t="s">
        <v>1062</v>
      </c>
      <c r="C27" s="191">
        <f t="shared" si="13"/>
        <v>23.918896160312748</v>
      </c>
      <c r="D27" s="191">
        <f t="shared" si="13"/>
        <v>23.918896160312748</v>
      </c>
      <c r="E27" s="191">
        <f t="shared" si="13"/>
        <v>23.918896160312748</v>
      </c>
      <c r="F27" s="191">
        <f t="shared" si="13"/>
        <v>23.918896160312748</v>
      </c>
      <c r="G27" s="191">
        <f t="shared" si="13"/>
        <v>23.918896160312748</v>
      </c>
      <c r="H27" s="191">
        <f t="shared" si="13"/>
        <v>23.918896160312748</v>
      </c>
      <c r="I27" s="191">
        <f t="shared" si="13"/>
        <v>23.918896160312748</v>
      </c>
      <c r="J27" s="191">
        <f t="shared" si="13"/>
        <v>23.918896160312748</v>
      </c>
      <c r="K27" s="191">
        <f t="shared" si="13"/>
        <v>23.918896160312748</v>
      </c>
      <c r="L27" s="191">
        <f t="shared" si="13"/>
        <v>23.918896160312748</v>
      </c>
      <c r="M27" s="191">
        <f t="shared" si="13"/>
        <v>23.918896160312748</v>
      </c>
      <c r="N27" s="191">
        <f t="shared" si="13"/>
        <v>23.918896160312748</v>
      </c>
      <c r="O27" s="191">
        <f t="shared" si="13"/>
        <v>23.918896160312748</v>
      </c>
      <c r="P27" s="191">
        <f t="shared" si="13"/>
        <v>23.918896160312748</v>
      </c>
      <c r="Q27" s="191">
        <f t="shared" si="13"/>
        <v>23.918896160312748</v>
      </c>
      <c r="R27" s="191">
        <f t="shared" si="13"/>
        <v>23.918896160312748</v>
      </c>
      <c r="S27" s="191">
        <f t="shared" si="13"/>
        <v>23.918896160312748</v>
      </c>
      <c r="T27" s="191">
        <f t="shared" si="13"/>
        <v>23.918896160312748</v>
      </c>
      <c r="U27" s="191">
        <f t="shared" si="13"/>
        <v>23.918896160312748</v>
      </c>
      <c r="V27" s="191">
        <f t="shared" si="13"/>
        <v>23.918896160312748</v>
      </c>
      <c r="W27" s="191">
        <f t="shared" si="13"/>
        <v>23.918896160312748</v>
      </c>
      <c r="X27" s="191">
        <f t="shared" si="13"/>
        <v>23.918896160312748</v>
      </c>
      <c r="Y27" s="191">
        <f t="shared" si="13"/>
        <v>23.918896160312748</v>
      </c>
      <c r="Z27" s="191">
        <f t="shared" si="13"/>
        <v>23.918896160312748</v>
      </c>
      <c r="AA27" s="191">
        <f t="shared" si="13"/>
        <v>23.918896160312748</v>
      </c>
      <c r="AB27" s="191">
        <f t="shared" si="13"/>
        <v>23.918896160312748</v>
      </c>
      <c r="AC27" s="191">
        <f t="shared" si="13"/>
        <v>23.918896160312748</v>
      </c>
      <c r="AD27" s="191">
        <f t="shared" si="13"/>
        <v>23.918896160312748</v>
      </c>
      <c r="AE27" s="191">
        <f t="shared" si="13"/>
        <v>23.918896160312748</v>
      </c>
      <c r="AF27" s="191">
        <f t="shared" si="13"/>
        <v>23.918896160312748</v>
      </c>
      <c r="AG27" s="191">
        <f t="shared" si="13"/>
        <v>23.918896160312748</v>
      </c>
      <c r="BD27" s="192"/>
      <c r="BE27" s="192"/>
      <c r="BF27" s="192"/>
      <c r="BG27" s="192"/>
      <c r="BH27" s="192"/>
      <c r="BI27" s="192"/>
      <c r="BJ27" s="192"/>
      <c r="BK27" s="192"/>
      <c r="BL27" s="192"/>
    </row>
    <row r="28" spans="1:64" outlineLevel="1">
      <c r="A28" s="169" t="s">
        <v>1066</v>
      </c>
      <c r="B28" s="165" t="s">
        <v>1062</v>
      </c>
      <c r="C28" s="191">
        <f t="shared" si="13"/>
        <v>95275.989918288746</v>
      </c>
      <c r="D28" s="191">
        <f t="shared" si="13"/>
        <v>95275.989918288746</v>
      </c>
      <c r="E28" s="191">
        <f t="shared" si="13"/>
        <v>95275.989918288746</v>
      </c>
      <c r="F28" s="191">
        <f t="shared" si="13"/>
        <v>95275.989918288746</v>
      </c>
      <c r="G28" s="191">
        <f t="shared" si="13"/>
        <v>95275.989918288746</v>
      </c>
      <c r="H28" s="191">
        <f t="shared" si="13"/>
        <v>95275.989918288746</v>
      </c>
      <c r="I28" s="191">
        <f t="shared" si="13"/>
        <v>95275.989918288746</v>
      </c>
      <c r="J28" s="191">
        <f t="shared" si="13"/>
        <v>95275.989918288746</v>
      </c>
      <c r="K28" s="191">
        <f t="shared" si="13"/>
        <v>95275.989918288746</v>
      </c>
      <c r="L28" s="191">
        <f t="shared" si="13"/>
        <v>95275.989918288746</v>
      </c>
      <c r="M28" s="191">
        <f t="shared" si="13"/>
        <v>95275.989918288746</v>
      </c>
      <c r="N28" s="191">
        <f t="shared" si="13"/>
        <v>95275.989918288746</v>
      </c>
      <c r="O28" s="191">
        <f t="shared" si="13"/>
        <v>95275.989918288746</v>
      </c>
      <c r="P28" s="191">
        <f t="shared" si="13"/>
        <v>95275.989918288746</v>
      </c>
      <c r="Q28" s="191">
        <f t="shared" si="13"/>
        <v>95275.989918288746</v>
      </c>
      <c r="R28" s="191">
        <f t="shared" si="13"/>
        <v>95275.989918288746</v>
      </c>
      <c r="S28" s="191">
        <f t="shared" si="13"/>
        <v>95275.989918288746</v>
      </c>
      <c r="T28" s="191">
        <f t="shared" si="13"/>
        <v>95275.989918288746</v>
      </c>
      <c r="U28" s="191">
        <f t="shared" si="13"/>
        <v>95275.989918288746</v>
      </c>
      <c r="V28" s="191">
        <f t="shared" si="13"/>
        <v>95275.989918288746</v>
      </c>
      <c r="W28" s="191">
        <f t="shared" si="13"/>
        <v>95275.989918288746</v>
      </c>
      <c r="X28" s="191">
        <f t="shared" si="13"/>
        <v>95275.989918288746</v>
      </c>
      <c r="Y28" s="191">
        <f t="shared" si="13"/>
        <v>95275.989918288746</v>
      </c>
      <c r="Z28" s="191">
        <f t="shared" si="13"/>
        <v>95275.989918288746</v>
      </c>
      <c r="AA28" s="191">
        <f t="shared" si="13"/>
        <v>95275.989918288746</v>
      </c>
      <c r="AB28" s="191">
        <f t="shared" si="13"/>
        <v>95275.989918288746</v>
      </c>
      <c r="AC28" s="191">
        <f t="shared" si="13"/>
        <v>95275.989918288746</v>
      </c>
      <c r="AD28" s="191">
        <f t="shared" si="13"/>
        <v>95275.989918288746</v>
      </c>
      <c r="AE28" s="191">
        <f t="shared" si="13"/>
        <v>95275.989918288746</v>
      </c>
      <c r="AF28" s="191">
        <f t="shared" si="13"/>
        <v>95275.989918288746</v>
      </c>
      <c r="AG28" s="191">
        <f t="shared" si="13"/>
        <v>95275.989918288746</v>
      </c>
      <c r="AL28" s="102"/>
      <c r="AM28" s="194"/>
      <c r="AN28" s="194"/>
      <c r="AO28" s="194"/>
    </row>
    <row r="29" spans="1:64" s="1" customFormat="1" ht="15.5" thickBot="1">
      <c r="A29" s="187" t="s">
        <v>1067</v>
      </c>
      <c r="B29" s="206" t="s">
        <v>1062</v>
      </c>
      <c r="C29" s="203">
        <f>SUM(C24:C28)</f>
        <v>122278.0685405432</v>
      </c>
      <c r="D29" s="203">
        <f t="shared" ref="D29:AG29" si="14">SUM(D24:D28)</f>
        <v>122278.0685405432</v>
      </c>
      <c r="E29" s="203">
        <f t="shared" si="14"/>
        <v>122278.0685405432</v>
      </c>
      <c r="F29" s="203">
        <f t="shared" si="14"/>
        <v>122278.0685405432</v>
      </c>
      <c r="G29" s="203">
        <f t="shared" si="14"/>
        <v>122278.0685405432</v>
      </c>
      <c r="H29" s="203">
        <f t="shared" si="14"/>
        <v>122278.0685405432</v>
      </c>
      <c r="I29" s="203">
        <f t="shared" si="14"/>
        <v>122278.0685405432</v>
      </c>
      <c r="J29" s="203">
        <f t="shared" si="14"/>
        <v>122278.0685405432</v>
      </c>
      <c r="K29" s="203">
        <f t="shared" si="14"/>
        <v>122278.0685405432</v>
      </c>
      <c r="L29" s="203">
        <f t="shared" si="14"/>
        <v>122278.0685405432</v>
      </c>
      <c r="M29" s="203">
        <f t="shared" si="14"/>
        <v>122278.0685405432</v>
      </c>
      <c r="N29" s="203">
        <f t="shared" si="14"/>
        <v>122278.0685405432</v>
      </c>
      <c r="O29" s="203">
        <f t="shared" si="14"/>
        <v>122278.0685405432</v>
      </c>
      <c r="P29" s="203">
        <f t="shared" si="14"/>
        <v>122278.0685405432</v>
      </c>
      <c r="Q29" s="203">
        <f t="shared" si="14"/>
        <v>122278.0685405432</v>
      </c>
      <c r="R29" s="203">
        <f t="shared" si="14"/>
        <v>122278.0685405432</v>
      </c>
      <c r="S29" s="203">
        <f t="shared" si="14"/>
        <v>122278.0685405432</v>
      </c>
      <c r="T29" s="203">
        <f t="shared" si="14"/>
        <v>122278.0685405432</v>
      </c>
      <c r="U29" s="203">
        <f t="shared" si="14"/>
        <v>122278.0685405432</v>
      </c>
      <c r="V29" s="203">
        <f t="shared" si="14"/>
        <v>122278.0685405432</v>
      </c>
      <c r="W29" s="203">
        <f t="shared" si="14"/>
        <v>122278.0685405432</v>
      </c>
      <c r="X29" s="203">
        <f t="shared" si="14"/>
        <v>122278.0685405432</v>
      </c>
      <c r="Y29" s="203">
        <f t="shared" si="14"/>
        <v>122278.0685405432</v>
      </c>
      <c r="Z29" s="203">
        <f t="shared" si="14"/>
        <v>122278.0685405432</v>
      </c>
      <c r="AA29" s="203">
        <f t="shared" si="14"/>
        <v>122278.0685405432</v>
      </c>
      <c r="AB29" s="203">
        <f t="shared" si="14"/>
        <v>122278.0685405432</v>
      </c>
      <c r="AC29" s="203">
        <f t="shared" si="14"/>
        <v>122278.0685405432</v>
      </c>
      <c r="AD29" s="203">
        <f t="shared" si="14"/>
        <v>122278.0685405432</v>
      </c>
      <c r="AE29" s="203">
        <f t="shared" si="14"/>
        <v>122278.0685405432</v>
      </c>
      <c r="AF29" s="203">
        <f t="shared" si="14"/>
        <v>122278.0685405432</v>
      </c>
      <c r="AG29" s="203">
        <f t="shared" si="14"/>
        <v>122278.0685405432</v>
      </c>
      <c r="AJ29" s="151"/>
      <c r="AL29" s="207"/>
      <c r="AM29" s="118"/>
      <c r="AN29" s="118"/>
      <c r="AO29" s="118"/>
    </row>
    <row r="30" spans="1:64" ht="15.5" outlineLevel="1" thickTop="1">
      <c r="AL30" s="102"/>
      <c r="AM30" s="2"/>
      <c r="AN30" s="2"/>
      <c r="AO30" s="2"/>
    </row>
    <row r="31" spans="1:64" outlineLevel="1">
      <c r="A31" t="s">
        <v>1068</v>
      </c>
      <c r="B31" s="165" t="s">
        <v>1062</v>
      </c>
      <c r="C31" s="101">
        <f>C29</f>
        <v>122278.0685405432</v>
      </c>
      <c r="D31" s="101">
        <f t="shared" ref="D31:AG31" si="15">D29</f>
        <v>122278.0685405432</v>
      </c>
      <c r="E31" s="101">
        <f t="shared" si="15"/>
        <v>122278.0685405432</v>
      </c>
      <c r="F31" s="101">
        <f t="shared" si="15"/>
        <v>122278.0685405432</v>
      </c>
      <c r="G31" s="101">
        <f t="shared" si="15"/>
        <v>122278.0685405432</v>
      </c>
      <c r="H31" s="101">
        <f t="shared" si="15"/>
        <v>122278.0685405432</v>
      </c>
      <c r="I31" s="101">
        <f t="shared" si="15"/>
        <v>122278.0685405432</v>
      </c>
      <c r="J31" s="101">
        <f t="shared" si="15"/>
        <v>122278.0685405432</v>
      </c>
      <c r="K31" s="101">
        <f t="shared" si="15"/>
        <v>122278.0685405432</v>
      </c>
      <c r="L31" s="101">
        <f t="shared" si="15"/>
        <v>122278.0685405432</v>
      </c>
      <c r="M31" s="101">
        <f t="shared" si="15"/>
        <v>122278.0685405432</v>
      </c>
      <c r="N31" s="101">
        <f t="shared" si="15"/>
        <v>122278.0685405432</v>
      </c>
      <c r="O31" s="101">
        <f t="shared" si="15"/>
        <v>122278.0685405432</v>
      </c>
      <c r="P31" s="101">
        <f t="shared" si="15"/>
        <v>122278.0685405432</v>
      </c>
      <c r="Q31" s="101">
        <f t="shared" si="15"/>
        <v>122278.0685405432</v>
      </c>
      <c r="R31" s="101">
        <f t="shared" si="15"/>
        <v>122278.0685405432</v>
      </c>
      <c r="S31" s="101">
        <f t="shared" si="15"/>
        <v>122278.0685405432</v>
      </c>
      <c r="T31" s="101">
        <f t="shared" si="15"/>
        <v>122278.0685405432</v>
      </c>
      <c r="U31" s="101">
        <f t="shared" si="15"/>
        <v>122278.0685405432</v>
      </c>
      <c r="V31" s="101">
        <f t="shared" si="15"/>
        <v>122278.0685405432</v>
      </c>
      <c r="W31" s="101">
        <f t="shared" si="15"/>
        <v>122278.0685405432</v>
      </c>
      <c r="X31" s="101">
        <f t="shared" si="15"/>
        <v>122278.0685405432</v>
      </c>
      <c r="Y31" s="101">
        <f t="shared" si="15"/>
        <v>122278.0685405432</v>
      </c>
      <c r="Z31" s="101">
        <f t="shared" si="15"/>
        <v>122278.0685405432</v>
      </c>
      <c r="AA31" s="101">
        <f t="shared" si="15"/>
        <v>122278.0685405432</v>
      </c>
      <c r="AB31" s="101">
        <f t="shared" si="15"/>
        <v>122278.0685405432</v>
      </c>
      <c r="AC31" s="101">
        <f t="shared" si="15"/>
        <v>122278.0685405432</v>
      </c>
      <c r="AD31" s="101">
        <f t="shared" si="15"/>
        <v>122278.0685405432</v>
      </c>
      <c r="AE31" s="101">
        <f t="shared" si="15"/>
        <v>122278.0685405432</v>
      </c>
      <c r="AF31" s="101">
        <f t="shared" si="15"/>
        <v>122278.0685405432</v>
      </c>
      <c r="AG31" s="101">
        <f t="shared" si="15"/>
        <v>122278.0685405432</v>
      </c>
      <c r="AL31" s="102"/>
      <c r="AM31" s="2"/>
      <c r="AN31" s="2"/>
      <c r="AO31" s="2"/>
    </row>
    <row r="32" spans="1:64" outlineLevel="1">
      <c r="AL32" s="102"/>
      <c r="AM32" s="2"/>
      <c r="AN32" s="2"/>
      <c r="AO32" s="2"/>
    </row>
    <row r="33" spans="1:64" outlineLevel="1">
      <c r="A33" t="s">
        <v>1069</v>
      </c>
      <c r="B33" s="51" t="s">
        <v>126</v>
      </c>
      <c r="C33" s="192">
        <f>'Yearly Methanol'!AJ36/'Yearly Methanol'!AJ29</f>
        <v>1</v>
      </c>
      <c r="D33" s="192">
        <f>'Yearly Methanol'!AK36/'Yearly Methanol'!AK29</f>
        <v>0.99859108000000008</v>
      </c>
      <c r="E33" s="192">
        <f>'Yearly Methanol'!AL36/'Yearly Methanol'!AL29</f>
        <v>0.99718216000000004</v>
      </c>
      <c r="F33" s="192">
        <f>'Yearly Methanol'!AM36/'Yearly Methanol'!AM29</f>
        <v>0.99577324</v>
      </c>
      <c r="G33" s="192">
        <f>'Yearly Methanol'!AN36/'Yearly Methanol'!AN29</f>
        <v>0.99436432000000008</v>
      </c>
      <c r="H33" s="192">
        <f>'Yearly Methanol'!AO36/'Yearly Methanol'!AO29</f>
        <v>0.99295539999999993</v>
      </c>
      <c r="I33" s="192">
        <f>'Yearly Methanol'!AP36/'Yearly Methanol'!AP29</f>
        <v>0.9915464799999999</v>
      </c>
      <c r="J33" s="192">
        <f>'Yearly Methanol'!AQ36/'Yearly Methanol'!AQ29</f>
        <v>0.99013755999999997</v>
      </c>
      <c r="K33" s="192">
        <f>'Yearly Methanol'!AR36/'Yearly Methanol'!AR29</f>
        <v>0.98872863999999983</v>
      </c>
      <c r="L33" s="192">
        <f>'Yearly Methanol'!AS36/'Yearly Methanol'!AS29</f>
        <v>0.9873197199999999</v>
      </c>
      <c r="M33" s="192">
        <f>'Yearly Methanol'!AT36/'Yearly Methanol'!AT29</f>
        <v>0.98591079999999987</v>
      </c>
      <c r="N33" s="192">
        <f>'Yearly Methanol'!AU36/'Yearly Methanol'!AU29</f>
        <v>0.98272557999999999</v>
      </c>
      <c r="O33" s="192">
        <f>'Yearly Methanol'!AV36/'Yearly Methanol'!AV29</f>
        <v>0.97954036</v>
      </c>
      <c r="P33" s="192">
        <f>'Yearly Methanol'!AW36/'Yearly Methanol'!AW29</f>
        <v>0.97635514000000001</v>
      </c>
      <c r="Q33" s="192">
        <f>'Yearly Methanol'!AX36/'Yearly Methanol'!AX29</f>
        <v>0.97316991999999991</v>
      </c>
      <c r="R33" s="192">
        <f>'Yearly Methanol'!AY36/'Yearly Methanol'!AY29</f>
        <v>0.96998470000000014</v>
      </c>
      <c r="S33" s="192">
        <f>'Yearly Methanol'!AZ36/'Yearly Methanol'!AZ29</f>
        <v>0.96679948000000004</v>
      </c>
      <c r="T33" s="192">
        <f>'Yearly Methanol'!BA36/'Yearly Methanol'!BA29</f>
        <v>0.96361426000000006</v>
      </c>
      <c r="U33" s="192">
        <f>'Yearly Methanol'!BB36/'Yearly Methanol'!BB29</f>
        <v>0.96042904000000007</v>
      </c>
      <c r="V33" s="192">
        <f>'Yearly Methanol'!BC36/'Yearly Methanol'!BC29</f>
        <v>0.95724382000000008</v>
      </c>
      <c r="W33" s="192">
        <f>'Yearly Methanol'!BD36/'Yearly Methanol'!BD29</f>
        <v>0.95405860000000009</v>
      </c>
      <c r="X33" s="192">
        <f>'Yearly Methanol'!BE36/'Yearly Methanol'!BE29</f>
        <v>0.95087873999999994</v>
      </c>
      <c r="Y33" s="192">
        <f>'Yearly Methanol'!BF36/'Yearly Methanol'!BF29</f>
        <v>0.94769887999999991</v>
      </c>
      <c r="Z33" s="192">
        <f>'Yearly Methanol'!BG36/'Yearly Methanol'!BG29</f>
        <v>0.94451901999999999</v>
      </c>
      <c r="AA33" s="192">
        <f>'Yearly Methanol'!BH36/'Yearly Methanol'!BH29</f>
        <v>0.94133915999999995</v>
      </c>
      <c r="AB33" s="192">
        <f>'Yearly Methanol'!BI36/'Yearly Methanol'!BI29</f>
        <v>0.93815930000000003</v>
      </c>
      <c r="AC33" s="192">
        <f>'Yearly Methanol'!BJ36/'Yearly Methanol'!BJ29</f>
        <v>0.93497943999999999</v>
      </c>
      <c r="AD33" s="192">
        <f>'Yearly Methanol'!BK36/'Yearly Methanol'!BK29</f>
        <v>0.93179957999999996</v>
      </c>
      <c r="AE33" s="192">
        <f>'Yearly Methanol'!BL36/'Yearly Methanol'!BL29</f>
        <v>0.92861972000000004</v>
      </c>
      <c r="AF33" s="192">
        <f>'Yearly Methanol'!BM36/'Yearly Methanol'!BM29</f>
        <v>0.92543986</v>
      </c>
      <c r="AG33" s="192">
        <f>'Yearly Methanol'!BN36/'Yearly Methanol'!BN29</f>
        <v>0.92225999999999997</v>
      </c>
      <c r="AL33" s="102"/>
      <c r="AM33" s="194"/>
      <c r="AN33" s="194"/>
      <c r="AO33" s="194"/>
      <c r="BC33" s="1"/>
      <c r="BD33" s="550"/>
      <c r="BE33" s="550"/>
      <c r="BF33" s="550"/>
      <c r="BG33" s="550"/>
      <c r="BH33" s="550"/>
      <c r="BI33" s="550"/>
      <c r="BJ33" s="550"/>
      <c r="BK33" s="550"/>
    </row>
    <row r="34" spans="1:64" outlineLevel="1">
      <c r="A34" t="s">
        <v>1070</v>
      </c>
      <c r="B34" s="51" t="s">
        <v>126</v>
      </c>
      <c r="C34" s="192">
        <f>'Yearly Methanol'!AJ25/'Yearly Methanol'!AJ18</f>
        <v>1</v>
      </c>
      <c r="D34" s="192">
        <f>'Yearly Methanol'!AK25/'Yearly Methanol'!AK18</f>
        <v>0.99929460000000003</v>
      </c>
      <c r="E34" s="192">
        <f>'Yearly Methanol'!AL25/'Yearly Methanol'!AL18</f>
        <v>0.99857839999999998</v>
      </c>
      <c r="F34" s="192">
        <f>'Yearly Methanol'!AM25/'Yearly Methanol'!AM18</f>
        <v>0.99785140000000006</v>
      </c>
      <c r="G34" s="192">
        <f>'Yearly Methanol'!AN25/'Yearly Methanol'!AN18</f>
        <v>0.99711359999999993</v>
      </c>
      <c r="H34" s="192">
        <f>'Yearly Methanol'!AO25/'Yearly Methanol'!AO18</f>
        <v>0.99636499999999995</v>
      </c>
      <c r="I34" s="192">
        <f>'Yearly Methanol'!AP25/'Yearly Methanol'!AP18</f>
        <v>0.99560559999999998</v>
      </c>
      <c r="J34" s="192">
        <f>'Yearly Methanol'!AQ25/'Yearly Methanol'!AQ18</f>
        <v>0.99483539999999993</v>
      </c>
      <c r="K34" s="192">
        <f>'Yearly Methanol'!AR25/'Yearly Methanol'!AR18</f>
        <v>0.9940544</v>
      </c>
      <c r="L34" s="192">
        <f>'Yearly Methanol'!AS25/'Yearly Methanol'!AS18</f>
        <v>0.9932626</v>
      </c>
      <c r="M34" s="192">
        <f>'Yearly Methanol'!AT25/'Yearly Methanol'!AT18</f>
        <v>0.99246000000000012</v>
      </c>
      <c r="N34" s="192">
        <f>'Yearly Methanol'!AU25/'Yearly Methanol'!AU18</f>
        <v>0.98902250000000003</v>
      </c>
      <c r="O34" s="192">
        <f>'Yearly Methanol'!AV25/'Yearly Methanol'!AV18</f>
        <v>0.98550399999999994</v>
      </c>
      <c r="P34" s="192">
        <f>'Yearly Methanol'!AW25/'Yearly Methanol'!AW18</f>
        <v>0.98190450000000018</v>
      </c>
      <c r="Q34" s="192">
        <f>'Yearly Methanol'!AX25/'Yearly Methanol'!AX18</f>
        <v>0.97822400000000009</v>
      </c>
      <c r="R34" s="192">
        <f>'Yearly Methanol'!AY25/'Yearly Methanol'!AY18</f>
        <v>0.97446250000000001</v>
      </c>
      <c r="S34" s="192">
        <f>'Yearly Methanol'!AZ25/'Yearly Methanol'!AZ18</f>
        <v>0.97061999999999993</v>
      </c>
      <c r="T34" s="192">
        <f>'Yearly Methanol'!BA25/'Yearly Methanol'!BA18</f>
        <v>0.96669649999999996</v>
      </c>
      <c r="U34" s="192">
        <f>'Yearly Methanol'!BB25/'Yearly Methanol'!BB18</f>
        <v>0.96269199999999999</v>
      </c>
      <c r="V34" s="192">
        <f>'Yearly Methanol'!BC25/'Yearly Methanol'!BC18</f>
        <v>0.95860649999999992</v>
      </c>
      <c r="W34" s="192">
        <f>'Yearly Methanol'!BD25/'Yearly Methanol'!BD18</f>
        <v>0.95444000000000007</v>
      </c>
      <c r="X34" s="192">
        <f>'Yearly Methanol'!BE25/'Yearly Methanol'!BE18</f>
        <v>0.93973339999999994</v>
      </c>
      <c r="Y34" s="192">
        <f>'Yearly Methanol'!BF25/'Yearly Methanol'!BF18</f>
        <v>0.92492960000000002</v>
      </c>
      <c r="Z34" s="192">
        <f>'Yearly Methanol'!BG25/'Yearly Methanol'!BG18</f>
        <v>0.91002859999999997</v>
      </c>
      <c r="AA34" s="192">
        <f>'Yearly Methanol'!BH25/'Yearly Methanol'!BH18</f>
        <v>0.8950304</v>
      </c>
      <c r="AB34" s="192">
        <f>'Yearly Methanol'!BI25/'Yearly Methanol'!BI18</f>
        <v>0.87993500000000002</v>
      </c>
      <c r="AC34" s="192">
        <f>'Yearly Methanol'!BJ25/'Yearly Methanol'!BJ18</f>
        <v>0.86474240000000002</v>
      </c>
      <c r="AD34" s="192">
        <f>'Yearly Methanol'!BK25/'Yearly Methanol'!BK18</f>
        <v>0.8494526</v>
      </c>
      <c r="AE34" s="192">
        <f>'Yearly Methanol'!BL25/'Yearly Methanol'!BL18</f>
        <v>0.83406560000000007</v>
      </c>
      <c r="AF34" s="192">
        <f>'Yearly Methanol'!BM25/'Yearly Methanol'!BM18</f>
        <v>0.81858140000000013</v>
      </c>
      <c r="AG34" s="192">
        <f>'Yearly Methanol'!BN25/'Yearly Methanol'!BN18</f>
        <v>0.80299999999999994</v>
      </c>
      <c r="AL34" s="102"/>
      <c r="AM34" s="194"/>
      <c r="AN34" s="194"/>
      <c r="AO34" s="194"/>
      <c r="BL34" s="1"/>
    </row>
    <row r="35" spans="1:64" outlineLevel="1">
      <c r="A35" t="s">
        <v>1071</v>
      </c>
      <c r="B35" s="51" t="s">
        <v>126</v>
      </c>
      <c r="C35" s="192">
        <f>'Yearly Methanol'!AJ43/'Yearly Methanol'!AJ40</f>
        <v>1</v>
      </c>
      <c r="D35" s="192">
        <f>'Yearly Methanol'!AK43/'Yearly Methanol'!AK40</f>
        <v>0.98978437759336102</v>
      </c>
      <c r="E35" s="192">
        <f>'Yearly Methanol'!AL43/'Yearly Methanol'!AL40</f>
        <v>0.97956875518672193</v>
      </c>
      <c r="F35" s="192">
        <f>'Yearly Methanol'!AM43/'Yearly Methanol'!AM40</f>
        <v>0.96935313278008295</v>
      </c>
      <c r="G35" s="192">
        <f>'Yearly Methanol'!AN43/'Yearly Methanol'!AN40</f>
        <v>0.95913751037344397</v>
      </c>
      <c r="H35" s="192">
        <f>'Yearly Methanol'!AO43/'Yearly Methanol'!AO40</f>
        <v>0.94892188796680499</v>
      </c>
      <c r="I35" s="192">
        <f>'Yearly Methanol'!AP43/'Yearly Methanol'!AP40</f>
        <v>0.93870626556016601</v>
      </c>
      <c r="J35" s="192">
        <f>'Yearly Methanol'!AQ43/'Yearly Methanol'!AQ40</f>
        <v>0.92849064315352692</v>
      </c>
      <c r="K35" s="192">
        <f>'Yearly Methanol'!AR43/'Yearly Methanol'!AR40</f>
        <v>0.91827502074688794</v>
      </c>
      <c r="L35" s="192">
        <f>'Yearly Methanol'!AS43/'Yearly Methanol'!AS40</f>
        <v>0.90805939834024896</v>
      </c>
      <c r="M35" s="192">
        <f>'Yearly Methanol'!AT43/'Yearly Methanol'!AT40</f>
        <v>0.89784377593360998</v>
      </c>
      <c r="N35" s="192">
        <f>'Yearly Methanol'!AU43/'Yearly Methanol'!AU40</f>
        <v>0.88762815352697089</v>
      </c>
      <c r="O35" s="192">
        <f>'Yearly Methanol'!AV43/'Yearly Methanol'!AV40</f>
        <v>0.87741253112033202</v>
      </c>
      <c r="P35" s="192">
        <f>'Yearly Methanol'!AW43/'Yearly Methanol'!AW40</f>
        <v>0.86719690871369304</v>
      </c>
      <c r="Q35" s="192">
        <f>'Yearly Methanol'!AX43/'Yearly Methanol'!AX40</f>
        <v>0.85698128630705406</v>
      </c>
      <c r="R35" s="192">
        <f>'Yearly Methanol'!AY43/'Yearly Methanol'!AY40</f>
        <v>0.84676566390041486</v>
      </c>
      <c r="S35" s="192">
        <f>'Yearly Methanol'!AZ43/'Yearly Methanol'!AZ40</f>
        <v>0.83655004149377599</v>
      </c>
      <c r="T35" s="192">
        <f>'Yearly Methanol'!BA43/'Yearly Methanol'!BA40</f>
        <v>0.82633441908713678</v>
      </c>
      <c r="U35" s="192">
        <f>'Yearly Methanol'!BB43/'Yearly Methanol'!BB40</f>
        <v>0.81611879668049792</v>
      </c>
      <c r="V35" s="192">
        <f>'Yearly Methanol'!BC43/'Yearly Methanol'!BC40</f>
        <v>0.80590317427385905</v>
      </c>
      <c r="W35" s="192">
        <f>'Yearly Methanol'!BD43/'Yearly Methanol'!BD40</f>
        <v>0.79568755186721984</v>
      </c>
      <c r="X35" s="192">
        <f>'Yearly Methanol'!BE43/'Yearly Methanol'!BE40</f>
        <v>0.78516236514522819</v>
      </c>
      <c r="Y35" s="192">
        <f>'Yearly Methanol'!BF43/'Yearly Methanol'!BF40</f>
        <v>0.77463717842323665</v>
      </c>
      <c r="Z35" s="192">
        <f>'Yearly Methanol'!BG43/'Yearly Methanol'!BG40</f>
        <v>0.76411199170124466</v>
      </c>
      <c r="AA35" s="192">
        <f>'Yearly Methanol'!BH43/'Yearly Methanol'!BH40</f>
        <v>0.75358680497925312</v>
      </c>
      <c r="AB35" s="192">
        <f>'Yearly Methanol'!BI43/'Yearly Methanol'!BI40</f>
        <v>0.74306161825726136</v>
      </c>
      <c r="AC35" s="192">
        <f>'Yearly Methanol'!BJ43/'Yearly Methanol'!BJ40</f>
        <v>0.73253643153526959</v>
      </c>
      <c r="AD35" s="192">
        <f>'Yearly Methanol'!BK43/'Yearly Methanol'!BK40</f>
        <v>0.72201124481327805</v>
      </c>
      <c r="AE35" s="192">
        <f>'Yearly Methanol'!BL43/'Yearly Methanol'!BL40</f>
        <v>0.71148605809128629</v>
      </c>
      <c r="AF35" s="192">
        <f>'Yearly Methanol'!BM43/'Yearly Methanol'!BM40</f>
        <v>0.70096087136929452</v>
      </c>
      <c r="AG35" s="192">
        <f>'Yearly Methanol'!BN43/'Yearly Methanol'!BN40</f>
        <v>0.69043568464730287</v>
      </c>
      <c r="AL35" s="102"/>
      <c r="AM35" s="194"/>
      <c r="AN35" s="194"/>
      <c r="AO35" s="194"/>
      <c r="BD35" s="38"/>
      <c r="BE35" s="38"/>
      <c r="BF35" s="38"/>
      <c r="BG35" s="38"/>
      <c r="BH35" s="38"/>
      <c r="BI35" s="38"/>
      <c r="BJ35" s="38"/>
      <c r="BK35" s="38"/>
      <c r="BL35" s="112"/>
    </row>
    <row r="36" spans="1:64" outlineLevel="1">
      <c r="A36" t="s">
        <v>1072</v>
      </c>
      <c r="B36" s="51" t="s">
        <v>126</v>
      </c>
      <c r="C36" s="192">
        <f>'Yearly Methanol'!AJ52/'Yearly Methanol'!AJ47</f>
        <v>1</v>
      </c>
      <c r="D36" s="192">
        <f>'Yearly Methanol'!AK52/'Yearly Methanol'!AK47</f>
        <v>0.98455000000000004</v>
      </c>
      <c r="E36" s="192">
        <f>'Yearly Methanol'!AL52/'Yearly Methanol'!AL47</f>
        <v>0.96909999999999996</v>
      </c>
      <c r="F36" s="192">
        <f>'Yearly Methanol'!AM52/'Yearly Methanol'!AM47</f>
        <v>0.95365000000000011</v>
      </c>
      <c r="G36" s="192">
        <f>'Yearly Methanol'!AN52/'Yearly Methanol'!AN47</f>
        <v>0.93820000000000003</v>
      </c>
      <c r="H36" s="192">
        <f>'Yearly Methanol'!AO52/'Yearly Methanol'!AO47</f>
        <v>0.92275000000000007</v>
      </c>
      <c r="I36" s="192">
        <f>'Yearly Methanol'!AP52/'Yearly Methanol'!AP47</f>
        <v>0.9073</v>
      </c>
      <c r="J36" s="192">
        <f>'Yearly Methanol'!AQ52/'Yearly Methanol'!AQ47</f>
        <v>0.89184999999999992</v>
      </c>
      <c r="K36" s="192">
        <f>'Yearly Methanol'!AR52/'Yearly Methanol'!AR47</f>
        <v>0.87640000000000007</v>
      </c>
      <c r="L36" s="192">
        <f>'Yearly Methanol'!AS52/'Yearly Methanol'!AS47</f>
        <v>0.86094999999999999</v>
      </c>
      <c r="M36" s="192">
        <f>'Yearly Methanol'!AT52/'Yearly Methanol'!AT47</f>
        <v>0.84549999999999992</v>
      </c>
      <c r="N36" s="192">
        <f>'Yearly Methanol'!AU52/'Yearly Methanol'!AU47</f>
        <v>0.83460000000000001</v>
      </c>
      <c r="O36" s="192">
        <f>'Yearly Methanol'!AV52/'Yearly Methanol'!AV47</f>
        <v>0.82369999999999999</v>
      </c>
      <c r="P36" s="192">
        <f>'Yearly Methanol'!AW52/'Yearly Methanol'!AW47</f>
        <v>0.81280000000000008</v>
      </c>
      <c r="Q36" s="192">
        <f>'Yearly Methanol'!AX52/'Yearly Methanol'!AX47</f>
        <v>0.80190000000000006</v>
      </c>
      <c r="R36" s="192">
        <f>'Yearly Methanol'!AY52/'Yearly Methanol'!AY47</f>
        <v>0.79099999999999993</v>
      </c>
      <c r="S36" s="192">
        <f>'Yearly Methanol'!AZ52/'Yearly Methanol'!AZ47</f>
        <v>0.78010000000000002</v>
      </c>
      <c r="T36" s="192">
        <f>'Yearly Methanol'!BA52/'Yearly Methanol'!BA47</f>
        <v>0.76919999999999999</v>
      </c>
      <c r="U36" s="192">
        <f>'Yearly Methanol'!BB52/'Yearly Methanol'!BB47</f>
        <v>0.75829999999999986</v>
      </c>
      <c r="V36" s="192">
        <f>'Yearly Methanol'!BC52/'Yearly Methanol'!BC47</f>
        <v>0.74739999999999995</v>
      </c>
      <c r="W36" s="192">
        <f>'Yearly Methanol'!BD52/'Yearly Methanol'!BD47</f>
        <v>0.73650000000000004</v>
      </c>
      <c r="X36" s="192">
        <f>'Yearly Methanol'!BE52/'Yearly Methanol'!BE47</f>
        <v>0.72334999999999994</v>
      </c>
      <c r="Y36" s="192">
        <f>'Yearly Methanol'!BF52/'Yearly Methanol'!BF47</f>
        <v>0.71020000000000005</v>
      </c>
      <c r="Z36" s="192">
        <f>'Yearly Methanol'!BG52/'Yearly Methanol'!BG47</f>
        <v>0.69704999999999995</v>
      </c>
      <c r="AA36" s="192">
        <f>'Yearly Methanol'!BH52/'Yearly Methanol'!BH47</f>
        <v>0.68389999999999995</v>
      </c>
      <c r="AB36" s="192">
        <f>'Yearly Methanol'!BI52/'Yearly Methanol'!BI47</f>
        <v>0.67074999999999996</v>
      </c>
      <c r="AC36" s="192">
        <f>'Yearly Methanol'!BJ52/'Yearly Methanol'!BJ47</f>
        <v>0.65759999999999996</v>
      </c>
      <c r="AD36" s="192">
        <f>'Yearly Methanol'!BK52/'Yearly Methanol'!BK47</f>
        <v>0.64444999999999997</v>
      </c>
      <c r="AE36" s="192">
        <f>'Yearly Methanol'!BL52/'Yearly Methanol'!BL47</f>
        <v>0.63129999999999997</v>
      </c>
      <c r="AF36" s="192">
        <f>'Yearly Methanol'!BM52/'Yearly Methanol'!BM47</f>
        <v>0.61814999999999998</v>
      </c>
      <c r="AG36" s="192">
        <f>'Yearly Methanol'!BN52/'Yearly Methanol'!BN47</f>
        <v>0.60499999999999987</v>
      </c>
      <c r="AL36" s="102"/>
      <c r="AM36" s="194"/>
      <c r="AN36" s="194"/>
      <c r="AO36" s="194"/>
      <c r="BD36" s="38"/>
      <c r="BE36" s="38"/>
      <c r="BF36" s="38"/>
      <c r="BG36" s="38"/>
      <c r="BH36" s="38"/>
      <c r="BI36" s="38"/>
      <c r="BJ36" s="38"/>
      <c r="BK36" s="38"/>
      <c r="BL36" s="112"/>
    </row>
    <row r="37" spans="1:64" outlineLevel="1">
      <c r="A37" t="s">
        <v>1073</v>
      </c>
      <c r="B37" s="165" t="s">
        <v>126</v>
      </c>
      <c r="C37" s="148">
        <f>'Yearly Methanol'!AJ59/'Yearly Methanol'!AJ56</f>
        <v>1</v>
      </c>
      <c r="D37" s="148">
        <f>'Yearly Methanol'!AK59/'Yearly Methanol'!AK56</f>
        <v>0.99669999999999981</v>
      </c>
      <c r="E37" s="148">
        <f>'Yearly Methanol'!AL59/'Yearly Methanol'!AL56</f>
        <v>0.99339999999999995</v>
      </c>
      <c r="F37" s="148">
        <f>'Yearly Methanol'!AM59/'Yearly Methanol'!AM56</f>
        <v>0.99009999999999987</v>
      </c>
      <c r="G37" s="148">
        <f>'Yearly Methanol'!AN59/'Yearly Methanol'!AN56</f>
        <v>0.9867999999999999</v>
      </c>
      <c r="H37" s="148">
        <f>'Yearly Methanol'!AO59/'Yearly Methanol'!AO56</f>
        <v>0.98349999999999993</v>
      </c>
      <c r="I37" s="148">
        <f>'Yearly Methanol'!AP59/'Yearly Methanol'!AP56</f>
        <v>0.98020000000000007</v>
      </c>
      <c r="J37" s="148">
        <f>'Yearly Methanol'!AQ59/'Yearly Methanol'!AQ56</f>
        <v>0.9769000000000001</v>
      </c>
      <c r="K37" s="148">
        <f>'Yearly Methanol'!AR59/'Yearly Methanol'!AR56</f>
        <v>0.97359999999999991</v>
      </c>
      <c r="L37" s="148">
        <f>'Yearly Methanol'!AS59/'Yearly Methanol'!AS56</f>
        <v>0.97029999999999994</v>
      </c>
      <c r="M37" s="148">
        <f>'Yearly Methanol'!AT59/'Yearly Methanol'!AT56</f>
        <v>0.96699999999999986</v>
      </c>
      <c r="N37" s="148">
        <f>'Yearly Methanol'!AU59/'Yearly Methanol'!AU56</f>
        <v>0.96370000000000011</v>
      </c>
      <c r="O37" s="148">
        <f>'Yearly Methanol'!AV59/'Yearly Methanol'!AV56</f>
        <v>0.96040000000000003</v>
      </c>
      <c r="P37" s="148">
        <f>'Yearly Methanol'!AW59/'Yearly Methanol'!AW56</f>
        <v>0.95709999999999995</v>
      </c>
      <c r="Q37" s="148">
        <f>'Yearly Methanol'!AX59/'Yearly Methanol'!AX56</f>
        <v>0.95379999999999998</v>
      </c>
      <c r="R37" s="148">
        <f>'Yearly Methanol'!AY59/'Yearly Methanol'!AY56</f>
        <v>0.9504999999999999</v>
      </c>
      <c r="S37" s="148">
        <f>'Yearly Methanol'!AZ59/'Yearly Methanol'!AZ56</f>
        <v>0.94720000000000004</v>
      </c>
      <c r="T37" s="148">
        <f>'Yearly Methanol'!BA59/'Yearly Methanol'!BA56</f>
        <v>0.94390000000000007</v>
      </c>
      <c r="U37" s="148">
        <f>'Yearly Methanol'!BB59/'Yearly Methanol'!BB56</f>
        <v>0.9406000000000001</v>
      </c>
      <c r="V37" s="148">
        <f>'Yearly Methanol'!BC59/'Yearly Methanol'!BC56</f>
        <v>0.93730000000000002</v>
      </c>
      <c r="W37" s="148">
        <f>'Yearly Methanol'!BD59/'Yearly Methanol'!BD56</f>
        <v>0.93399999999999994</v>
      </c>
      <c r="X37" s="148">
        <f>'Yearly Methanol'!BE59/'Yearly Methanol'!BE56</f>
        <v>0.93059999999999998</v>
      </c>
      <c r="Y37" s="148">
        <f>'Yearly Methanol'!BF59/'Yearly Methanol'!BF56</f>
        <v>0.92719999999999991</v>
      </c>
      <c r="Z37" s="148">
        <f>'Yearly Methanol'!BG59/'Yearly Methanol'!BG56</f>
        <v>0.92379999999999995</v>
      </c>
      <c r="AA37" s="148">
        <f>'Yearly Methanol'!BH59/'Yearly Methanol'!BH56</f>
        <v>0.92040000000000011</v>
      </c>
      <c r="AB37" s="148">
        <f>'Yearly Methanol'!BI59/'Yearly Methanol'!BI56</f>
        <v>0.91699999999999993</v>
      </c>
      <c r="AC37" s="148">
        <f>'Yearly Methanol'!BJ59/'Yearly Methanol'!BJ56</f>
        <v>0.91359999999999997</v>
      </c>
      <c r="AD37" s="148">
        <f>'Yearly Methanol'!BK59/'Yearly Methanol'!BK56</f>
        <v>0.91020000000000001</v>
      </c>
      <c r="AE37" s="148">
        <f>'Yearly Methanol'!BL59/'Yearly Methanol'!BL56</f>
        <v>0.90680000000000005</v>
      </c>
      <c r="AF37" s="148">
        <f>'Yearly Methanol'!BM59/'Yearly Methanol'!BM56</f>
        <v>0.90340000000000009</v>
      </c>
      <c r="AG37" s="148">
        <f>'Yearly Methanol'!BN59/'Yearly Methanol'!BN56</f>
        <v>0.9</v>
      </c>
      <c r="AI37" s="124"/>
      <c r="AL37" s="102"/>
      <c r="AM37" s="194"/>
      <c r="AN37" s="194"/>
      <c r="AO37" s="194"/>
      <c r="BD37" s="38"/>
      <c r="BE37" s="38"/>
      <c r="BF37" s="38"/>
      <c r="BG37" s="38"/>
      <c r="BH37" s="38"/>
      <c r="BI37" s="38"/>
      <c r="BJ37" s="38"/>
      <c r="BK37" s="38"/>
      <c r="BL37" s="112"/>
    </row>
    <row r="38" spans="1:64" outlineLevel="1">
      <c r="AI38" t="s">
        <v>421</v>
      </c>
      <c r="BD38" s="38"/>
      <c r="BE38" s="38"/>
      <c r="BF38" s="38"/>
      <c r="BG38" s="38"/>
      <c r="BH38" s="38"/>
      <c r="BI38" s="38"/>
      <c r="BJ38" s="38"/>
      <c r="BK38" s="38"/>
      <c r="BL38" s="112"/>
    </row>
    <row r="39" spans="1:64" outlineLevel="1">
      <c r="A39" t="s">
        <v>1074</v>
      </c>
      <c r="B39" s="51" t="s">
        <v>1062</v>
      </c>
      <c r="C39" s="101">
        <f>C24*C33</f>
        <v>10894.746287292146</v>
      </c>
      <c r="D39" s="101">
        <f t="shared" ref="D39:AF39" si="16">D24*D33</f>
        <v>10879.396461353055</v>
      </c>
      <c r="E39" s="101">
        <f t="shared" si="16"/>
        <v>10864.046635413963</v>
      </c>
      <c r="F39" s="101">
        <f t="shared" si="16"/>
        <v>10848.696809474872</v>
      </c>
      <c r="G39" s="101">
        <f t="shared" si="16"/>
        <v>10833.346983535781</v>
      </c>
      <c r="H39" s="101">
        <f t="shared" si="16"/>
        <v>10817.997157596687</v>
      </c>
      <c r="I39" s="101">
        <f t="shared" si="16"/>
        <v>10802.647331657596</v>
      </c>
      <c r="J39" s="101">
        <f t="shared" si="16"/>
        <v>10787.297505718505</v>
      </c>
      <c r="K39" s="101">
        <f t="shared" si="16"/>
        <v>10771.94767977941</v>
      </c>
      <c r="L39" s="101">
        <f t="shared" si="16"/>
        <v>10756.59785384032</v>
      </c>
      <c r="M39" s="101">
        <f t="shared" si="16"/>
        <v>10741.248027901229</v>
      </c>
      <c r="N39" s="101">
        <f t="shared" si="16"/>
        <v>10706.54586413202</v>
      </c>
      <c r="O39" s="101">
        <f t="shared" si="16"/>
        <v>10671.843700362811</v>
      </c>
      <c r="P39" s="101">
        <f t="shared" si="16"/>
        <v>10637.141536593603</v>
      </c>
      <c r="Q39" s="101">
        <f t="shared" si="16"/>
        <v>10602.439372824394</v>
      </c>
      <c r="R39" s="101">
        <f t="shared" si="16"/>
        <v>10567.737209055187</v>
      </c>
      <c r="S39" s="101">
        <f t="shared" si="16"/>
        <v>10533.035045285978</v>
      </c>
      <c r="T39" s="101">
        <f t="shared" si="16"/>
        <v>10498.33288151677</v>
      </c>
      <c r="U39" s="101">
        <f t="shared" si="16"/>
        <v>10463.630717747561</v>
      </c>
      <c r="V39" s="101">
        <f t="shared" si="16"/>
        <v>10428.928553978352</v>
      </c>
      <c r="W39" s="101">
        <f t="shared" si="16"/>
        <v>10394.226390209144</v>
      </c>
      <c r="X39" s="101">
        <f t="shared" si="16"/>
        <v>10359.582622280033</v>
      </c>
      <c r="Y39" s="101">
        <f t="shared" si="16"/>
        <v>10324.938854350925</v>
      </c>
      <c r="Z39" s="101">
        <f t="shared" si="16"/>
        <v>10290.295086421816</v>
      </c>
      <c r="AA39" s="101">
        <f t="shared" si="16"/>
        <v>10255.651318492706</v>
      </c>
      <c r="AB39" s="101">
        <f t="shared" si="16"/>
        <v>10221.0075505636</v>
      </c>
      <c r="AC39" s="101">
        <f t="shared" si="16"/>
        <v>10186.363782634489</v>
      </c>
      <c r="AD39" s="101">
        <f t="shared" si="16"/>
        <v>10151.720014705381</v>
      </c>
      <c r="AE39" s="101">
        <f t="shared" si="16"/>
        <v>10117.076246776272</v>
      </c>
      <c r="AF39" s="101">
        <f t="shared" si="16"/>
        <v>10082.432478847164</v>
      </c>
      <c r="AG39" s="101">
        <f>AG24*AG33</f>
        <v>10047.788710918054</v>
      </c>
      <c r="AI39" s="197" t="s">
        <v>281</v>
      </c>
      <c r="AJ39" s="198" t="s">
        <v>422</v>
      </c>
      <c r="BD39" s="38"/>
      <c r="BE39" s="38"/>
      <c r="BF39" s="38"/>
      <c r="BG39" s="38"/>
      <c r="BH39" s="38"/>
      <c r="BI39" s="38"/>
      <c r="BJ39" s="38"/>
      <c r="BK39" s="38"/>
      <c r="BL39" s="112"/>
    </row>
    <row r="40" spans="1:64" outlineLevel="1">
      <c r="A40" t="s">
        <v>1075</v>
      </c>
      <c r="B40" s="51" t="s">
        <v>1062</v>
      </c>
      <c r="C40" s="101">
        <f t="shared" ref="C40:O40" si="17">C25*$C$34</f>
        <v>11586.687264852077</v>
      </c>
      <c r="D40" s="101">
        <f t="shared" si="17"/>
        <v>11586.687264852077</v>
      </c>
      <c r="E40" s="101">
        <f t="shared" si="17"/>
        <v>11586.687264852077</v>
      </c>
      <c r="F40" s="101">
        <f t="shared" si="17"/>
        <v>11586.687264852077</v>
      </c>
      <c r="G40" s="101">
        <f t="shared" si="17"/>
        <v>11586.687264852077</v>
      </c>
      <c r="H40" s="101">
        <f t="shared" si="17"/>
        <v>11586.687264852077</v>
      </c>
      <c r="I40" s="101">
        <f t="shared" si="17"/>
        <v>11586.687264852077</v>
      </c>
      <c r="J40" s="101">
        <f t="shared" si="17"/>
        <v>11586.687264852077</v>
      </c>
      <c r="K40" s="101">
        <f t="shared" si="17"/>
        <v>11586.687264852077</v>
      </c>
      <c r="L40" s="101">
        <f t="shared" si="17"/>
        <v>11586.687264852077</v>
      </c>
      <c r="M40" s="101">
        <f t="shared" si="17"/>
        <v>11586.687264852077</v>
      </c>
      <c r="N40" s="101">
        <f t="shared" si="17"/>
        <v>11586.687264852077</v>
      </c>
      <c r="O40" s="101">
        <f t="shared" si="17"/>
        <v>11586.687264852077</v>
      </c>
      <c r="P40" s="101">
        <f t="shared" ref="P40:AG40" si="18">D34*P25</f>
        <v>11578.51401565545</v>
      </c>
      <c r="Q40" s="101">
        <f t="shared" si="18"/>
        <v>11570.215630236362</v>
      </c>
      <c r="R40" s="101">
        <f t="shared" si="18"/>
        <v>11561.792108594816</v>
      </c>
      <c r="S40" s="101">
        <f t="shared" si="18"/>
        <v>11553.243450730806</v>
      </c>
      <c r="T40" s="101">
        <f t="shared" si="18"/>
        <v>11544.569656644338</v>
      </c>
      <c r="U40" s="101">
        <f t="shared" si="18"/>
        <v>11535.77072633541</v>
      </c>
      <c r="V40" s="101">
        <f t="shared" si="18"/>
        <v>11526.846659804021</v>
      </c>
      <c r="W40" s="101">
        <f t="shared" si="18"/>
        <v>11517.797457050172</v>
      </c>
      <c r="X40" s="101">
        <f t="shared" si="18"/>
        <v>11508.623118073861</v>
      </c>
      <c r="Y40" s="101">
        <f t="shared" si="18"/>
        <v>11499.323642875093</v>
      </c>
      <c r="Z40" s="101">
        <f t="shared" si="18"/>
        <v>11459.494405402163</v>
      </c>
      <c r="AA40" s="101">
        <f t="shared" si="18"/>
        <v>11418.72664626078</v>
      </c>
      <c r="AB40" s="101">
        <f t="shared" si="18"/>
        <v>11377.020365450948</v>
      </c>
      <c r="AC40" s="101">
        <f t="shared" si="18"/>
        <v>11334.375562972658</v>
      </c>
      <c r="AD40" s="101">
        <f t="shared" si="18"/>
        <v>11290.792238825918</v>
      </c>
      <c r="AE40" s="101">
        <f t="shared" si="18"/>
        <v>11246.270393010722</v>
      </c>
      <c r="AF40" s="101">
        <f t="shared" si="18"/>
        <v>11200.810025527075</v>
      </c>
      <c r="AG40" s="101">
        <f t="shared" si="18"/>
        <v>11154.411136374974</v>
      </c>
      <c r="AI40" s="197" t="s">
        <v>282</v>
      </c>
      <c r="AJ40" s="198" t="s">
        <v>422</v>
      </c>
      <c r="BD40" s="38"/>
      <c r="BE40" s="38"/>
      <c r="BF40" s="38"/>
      <c r="BG40" s="38"/>
      <c r="BH40" s="38"/>
      <c r="BI40" s="38"/>
      <c r="BJ40" s="38"/>
      <c r="BK40" s="38"/>
      <c r="BL40" s="112"/>
    </row>
    <row r="41" spans="1:64" outlineLevel="1">
      <c r="A41" t="s">
        <v>1076</v>
      </c>
      <c r="B41" s="51" t="s">
        <v>1062</v>
      </c>
      <c r="C41" s="101">
        <f t="shared" ref="C41:AG41" si="19">C26</f>
        <v>4496.7261739499227</v>
      </c>
      <c r="D41" s="101">
        <f t="shared" si="19"/>
        <v>4496.7261739499227</v>
      </c>
      <c r="E41" s="101">
        <f t="shared" si="19"/>
        <v>4496.7261739499227</v>
      </c>
      <c r="F41" s="101">
        <f t="shared" si="19"/>
        <v>4496.7261739499227</v>
      </c>
      <c r="G41" s="101">
        <f t="shared" si="19"/>
        <v>4496.7261739499227</v>
      </c>
      <c r="H41" s="101">
        <f t="shared" si="19"/>
        <v>4496.7261739499227</v>
      </c>
      <c r="I41" s="101">
        <f t="shared" si="19"/>
        <v>4496.7261739499227</v>
      </c>
      <c r="J41" s="101">
        <f t="shared" si="19"/>
        <v>4496.7261739499227</v>
      </c>
      <c r="K41" s="101">
        <f t="shared" si="19"/>
        <v>4496.7261739499227</v>
      </c>
      <c r="L41" s="101">
        <f t="shared" si="19"/>
        <v>4496.7261739499227</v>
      </c>
      <c r="M41" s="101">
        <f t="shared" si="19"/>
        <v>4496.7261739499227</v>
      </c>
      <c r="N41" s="101">
        <f t="shared" si="19"/>
        <v>4496.7261739499227</v>
      </c>
      <c r="O41" s="101">
        <f t="shared" si="19"/>
        <v>4496.7261739499227</v>
      </c>
      <c r="P41" s="101">
        <f t="shared" si="19"/>
        <v>4496.7261739499227</v>
      </c>
      <c r="Q41" s="101">
        <f t="shared" si="19"/>
        <v>4496.7261739499227</v>
      </c>
      <c r="R41" s="101">
        <f t="shared" si="19"/>
        <v>4496.7261739499227</v>
      </c>
      <c r="S41" s="101">
        <f t="shared" si="19"/>
        <v>4496.7261739499227</v>
      </c>
      <c r="T41" s="101">
        <f t="shared" si="19"/>
        <v>4496.7261739499227</v>
      </c>
      <c r="U41" s="101">
        <f t="shared" si="19"/>
        <v>4496.7261739499227</v>
      </c>
      <c r="V41" s="101">
        <f t="shared" si="19"/>
        <v>4496.7261739499227</v>
      </c>
      <c r="W41" s="101">
        <f t="shared" si="19"/>
        <v>4496.7261739499227</v>
      </c>
      <c r="X41" s="101">
        <f t="shared" si="19"/>
        <v>4496.7261739499227</v>
      </c>
      <c r="Y41" s="101">
        <f t="shared" si="19"/>
        <v>4496.7261739499227</v>
      </c>
      <c r="Z41" s="101">
        <f t="shared" si="19"/>
        <v>4496.7261739499227</v>
      </c>
      <c r="AA41" s="101">
        <f t="shared" si="19"/>
        <v>4496.7261739499227</v>
      </c>
      <c r="AB41" s="101">
        <f t="shared" si="19"/>
        <v>4496.7261739499227</v>
      </c>
      <c r="AC41" s="101">
        <f t="shared" si="19"/>
        <v>4496.7261739499227</v>
      </c>
      <c r="AD41" s="101">
        <f t="shared" si="19"/>
        <v>4496.7261739499227</v>
      </c>
      <c r="AE41" s="101">
        <f t="shared" si="19"/>
        <v>4496.7261739499227</v>
      </c>
      <c r="AF41" s="101">
        <f t="shared" si="19"/>
        <v>4496.7261739499227</v>
      </c>
      <c r="AG41" s="101">
        <f t="shared" si="19"/>
        <v>4496.7261739499227</v>
      </c>
      <c r="AI41" s="197" t="s">
        <v>283</v>
      </c>
      <c r="AJ41" s="198" t="s">
        <v>422</v>
      </c>
      <c r="BD41" s="38"/>
      <c r="BE41" s="38"/>
      <c r="BF41" s="38"/>
      <c r="BG41" s="38"/>
      <c r="BH41" s="38"/>
      <c r="BI41" s="38"/>
      <c r="BJ41" s="38"/>
      <c r="BK41" s="38"/>
      <c r="BL41" s="112"/>
    </row>
    <row r="42" spans="1:64" outlineLevel="1">
      <c r="A42" t="s">
        <v>1077</v>
      </c>
      <c r="B42" s="51" t="s">
        <v>1062</v>
      </c>
      <c r="C42" s="246">
        <f t="shared" ref="C42:H42" si="20">C27*$C$36</f>
        <v>23.918896160312748</v>
      </c>
      <c r="D42" s="246">
        <f t="shared" si="20"/>
        <v>23.918896160312748</v>
      </c>
      <c r="E42" s="246">
        <f t="shared" si="20"/>
        <v>23.918896160312748</v>
      </c>
      <c r="F42" s="246">
        <f t="shared" si="20"/>
        <v>23.918896160312748</v>
      </c>
      <c r="G42" s="246">
        <f t="shared" si="20"/>
        <v>23.918896160312748</v>
      </c>
      <c r="H42" s="246">
        <f t="shared" si="20"/>
        <v>23.918896160312748</v>
      </c>
      <c r="I42" s="246">
        <f t="shared" ref="I42:AG43" si="21">I27*D36</f>
        <v>23.549349214635917</v>
      </c>
      <c r="J42" s="246">
        <f t="shared" si="21"/>
        <v>23.179802268959083</v>
      </c>
      <c r="K42" s="246">
        <f t="shared" si="21"/>
        <v>22.810255323282256</v>
      </c>
      <c r="L42" s="246">
        <f t="shared" si="21"/>
        <v>22.440708377605421</v>
      </c>
      <c r="M42" s="246">
        <f t="shared" si="21"/>
        <v>22.071161431928591</v>
      </c>
      <c r="N42" s="246">
        <f t="shared" si="21"/>
        <v>21.701614486251756</v>
      </c>
      <c r="O42" s="246">
        <f t="shared" si="21"/>
        <v>21.332067540574922</v>
      </c>
      <c r="P42" s="246">
        <f t="shared" si="21"/>
        <v>20.962520594898095</v>
      </c>
      <c r="Q42" s="246">
        <f t="shared" si="21"/>
        <v>20.592973649221261</v>
      </c>
      <c r="R42" s="246">
        <f t="shared" si="21"/>
        <v>20.223426703544426</v>
      </c>
      <c r="S42" s="246">
        <f t="shared" si="21"/>
        <v>19.962710735397021</v>
      </c>
      <c r="T42" s="246">
        <f t="shared" si="21"/>
        <v>19.701994767249609</v>
      </c>
      <c r="U42" s="246">
        <f t="shared" si="21"/>
        <v>19.441278799102204</v>
      </c>
      <c r="V42" s="246">
        <f t="shared" si="21"/>
        <v>19.180562830954795</v>
      </c>
      <c r="W42" s="246">
        <f t="shared" si="21"/>
        <v>18.919846862807383</v>
      </c>
      <c r="X42" s="246">
        <f t="shared" si="21"/>
        <v>18.659130894659974</v>
      </c>
      <c r="Y42" s="246">
        <f t="shared" si="21"/>
        <v>18.398414926512565</v>
      </c>
      <c r="Z42" s="246">
        <f t="shared" si="21"/>
        <v>18.137698958365153</v>
      </c>
      <c r="AA42" s="246">
        <f t="shared" si="21"/>
        <v>17.876982990217748</v>
      </c>
      <c r="AB42" s="246">
        <f t="shared" si="21"/>
        <v>17.616267022070339</v>
      </c>
      <c r="AC42" s="246">
        <f t="shared" si="21"/>
        <v>17.301733537562225</v>
      </c>
      <c r="AD42" s="246">
        <f t="shared" si="21"/>
        <v>16.987200053054114</v>
      </c>
      <c r="AE42" s="246">
        <f t="shared" si="21"/>
        <v>16.672666568545999</v>
      </c>
      <c r="AF42" s="246">
        <f t="shared" si="21"/>
        <v>16.358133084037888</v>
      </c>
      <c r="AG42" s="246">
        <f t="shared" si="21"/>
        <v>16.043599599529774</v>
      </c>
      <c r="AI42" s="197" t="s">
        <v>284</v>
      </c>
      <c r="AJ42" s="198" t="s">
        <v>422</v>
      </c>
      <c r="AL42" s="5"/>
      <c r="AM42" s="103"/>
      <c r="AN42" s="103"/>
      <c r="AO42" s="103"/>
      <c r="BC42" s="1"/>
      <c r="BD42" s="112"/>
      <c r="BE42" s="112"/>
      <c r="BF42" s="112"/>
      <c r="BG42" s="112"/>
      <c r="BH42" s="112"/>
      <c r="BI42" s="112"/>
      <c r="BJ42" s="112"/>
      <c r="BK42" s="112"/>
      <c r="BL42" s="112"/>
    </row>
    <row r="43" spans="1:64" outlineLevel="1">
      <c r="A43" s="169" t="s">
        <v>1078</v>
      </c>
      <c r="B43" s="165" t="s">
        <v>1062</v>
      </c>
      <c r="C43" s="101">
        <f t="shared" ref="C43:H43" si="22">C28*$C$37</f>
        <v>95275.989918288746</v>
      </c>
      <c r="D43" s="101">
        <f t="shared" si="22"/>
        <v>95275.989918288746</v>
      </c>
      <c r="E43" s="101">
        <f t="shared" si="22"/>
        <v>95275.989918288746</v>
      </c>
      <c r="F43" s="101">
        <f t="shared" si="22"/>
        <v>95275.989918288746</v>
      </c>
      <c r="G43" s="101">
        <f t="shared" si="22"/>
        <v>95275.989918288746</v>
      </c>
      <c r="H43" s="101">
        <f t="shared" si="22"/>
        <v>95275.989918288746</v>
      </c>
      <c r="I43" s="101">
        <f t="shared" si="21"/>
        <v>94961.57915155837</v>
      </c>
      <c r="J43" s="101">
        <f t="shared" si="21"/>
        <v>94647.168384828037</v>
      </c>
      <c r="K43" s="101">
        <f t="shared" si="21"/>
        <v>94332.757618097676</v>
      </c>
      <c r="L43" s="101">
        <f t="shared" si="21"/>
        <v>94018.346851367329</v>
      </c>
      <c r="M43" s="101">
        <f t="shared" si="21"/>
        <v>93703.936084636982</v>
      </c>
      <c r="N43" s="101">
        <f t="shared" si="21"/>
        <v>93389.525317906635</v>
      </c>
      <c r="O43" s="101">
        <f t="shared" si="21"/>
        <v>93075.114551176288</v>
      </c>
      <c r="P43" s="101">
        <f t="shared" si="21"/>
        <v>92760.703784445912</v>
      </c>
      <c r="Q43" s="101">
        <f t="shared" si="21"/>
        <v>92446.293017715565</v>
      </c>
      <c r="R43" s="101">
        <f t="shared" si="21"/>
        <v>92131.882250985203</v>
      </c>
      <c r="S43" s="101">
        <f t="shared" si="21"/>
        <v>91817.471484254871</v>
      </c>
      <c r="T43" s="101">
        <f t="shared" si="21"/>
        <v>91503.06071752451</v>
      </c>
      <c r="U43" s="101">
        <f t="shared" si="21"/>
        <v>91188.649950794148</v>
      </c>
      <c r="V43" s="101">
        <f t="shared" si="21"/>
        <v>90874.239184063801</v>
      </c>
      <c r="W43" s="101">
        <f t="shared" si="21"/>
        <v>90559.82841733344</v>
      </c>
      <c r="X43" s="101">
        <f t="shared" si="21"/>
        <v>90245.417650603107</v>
      </c>
      <c r="Y43" s="101">
        <f t="shared" si="21"/>
        <v>89931.00688387276</v>
      </c>
      <c r="Z43" s="101">
        <f t="shared" si="21"/>
        <v>89616.596117142399</v>
      </c>
      <c r="AA43" s="101">
        <f t="shared" si="21"/>
        <v>89302.185350412037</v>
      </c>
      <c r="AB43" s="101">
        <f t="shared" si="21"/>
        <v>88987.774583681676</v>
      </c>
      <c r="AC43" s="101">
        <f t="shared" si="21"/>
        <v>88663.836217959499</v>
      </c>
      <c r="AD43" s="101">
        <f t="shared" si="21"/>
        <v>88339.897852237322</v>
      </c>
      <c r="AE43" s="101">
        <f t="shared" si="21"/>
        <v>88015.959486515145</v>
      </c>
      <c r="AF43" s="101">
        <f t="shared" si="21"/>
        <v>87692.021120792968</v>
      </c>
      <c r="AG43" s="101">
        <f t="shared" si="21"/>
        <v>87368.082755070776</v>
      </c>
      <c r="AI43" s="197" t="s">
        <v>284</v>
      </c>
      <c r="AJ43" s="198" t="s">
        <v>422</v>
      </c>
      <c r="AL43" s="102"/>
      <c r="AM43" s="2"/>
      <c r="AN43" s="2"/>
      <c r="AO43" s="2"/>
    </row>
    <row r="44" spans="1:64" s="1" customFormat="1" ht="15.5" thickBot="1">
      <c r="A44" s="187" t="s">
        <v>1079</v>
      </c>
      <c r="B44" s="202" t="s">
        <v>1062</v>
      </c>
      <c r="C44" s="203">
        <f>SUM(C39:C43)</f>
        <v>122278.0685405432</v>
      </c>
      <c r="D44" s="203">
        <f t="shared" ref="D44:AF44" si="23">SUM(D39:D43)</f>
        <v>122262.71871460411</v>
      </c>
      <c r="E44" s="203">
        <f t="shared" si="23"/>
        <v>122247.36888866502</v>
      </c>
      <c r="F44" s="203">
        <f t="shared" si="23"/>
        <v>122232.01906272593</v>
      </c>
      <c r="G44" s="203">
        <f t="shared" si="23"/>
        <v>122216.66923678684</v>
      </c>
      <c r="H44" s="203">
        <f t="shared" si="23"/>
        <v>122201.31941084775</v>
      </c>
      <c r="I44" s="203">
        <f t="shared" si="23"/>
        <v>121871.18927123261</v>
      </c>
      <c r="J44" s="203">
        <f t="shared" si="23"/>
        <v>121541.0591316175</v>
      </c>
      <c r="K44" s="203">
        <f t="shared" si="23"/>
        <v>121210.92899200236</v>
      </c>
      <c r="L44" s="203">
        <f t="shared" si="23"/>
        <v>120880.79885238725</v>
      </c>
      <c r="M44" s="203">
        <f t="shared" si="23"/>
        <v>120550.66871277214</v>
      </c>
      <c r="N44" s="203">
        <f t="shared" si="23"/>
        <v>120201.1862353269</v>
      </c>
      <c r="O44" s="203">
        <f t="shared" si="23"/>
        <v>119851.70375788167</v>
      </c>
      <c r="P44" s="203">
        <f t="shared" si="23"/>
        <v>119494.04803123978</v>
      </c>
      <c r="Q44" s="203">
        <f t="shared" si="23"/>
        <v>119136.26716837546</v>
      </c>
      <c r="R44" s="203">
        <f t="shared" si="23"/>
        <v>118778.36116928868</v>
      </c>
      <c r="S44" s="203">
        <f t="shared" si="23"/>
        <v>118420.43886495697</v>
      </c>
      <c r="T44" s="203">
        <f t="shared" si="23"/>
        <v>118062.39142440278</v>
      </c>
      <c r="U44" s="203">
        <f t="shared" si="23"/>
        <v>117704.21884762615</v>
      </c>
      <c r="V44" s="203">
        <f t="shared" si="23"/>
        <v>117345.92113462705</v>
      </c>
      <c r="W44" s="203">
        <f t="shared" si="23"/>
        <v>116987.49828540548</v>
      </c>
      <c r="X44" s="203">
        <f t="shared" si="23"/>
        <v>116629.00869580157</v>
      </c>
      <c r="Y44" s="203">
        <f t="shared" si="23"/>
        <v>116270.39396997521</v>
      </c>
      <c r="Z44" s="203">
        <f t="shared" si="23"/>
        <v>115881.24948187466</v>
      </c>
      <c r="AA44" s="203">
        <f t="shared" si="23"/>
        <v>115491.16647210566</v>
      </c>
      <c r="AB44" s="203">
        <f t="shared" si="23"/>
        <v>115100.14494066822</v>
      </c>
      <c r="AC44" s="203">
        <f t="shared" si="23"/>
        <v>114698.60347105413</v>
      </c>
      <c r="AD44" s="203">
        <f t="shared" si="23"/>
        <v>114296.1234797716</v>
      </c>
      <c r="AE44" s="203">
        <f t="shared" si="23"/>
        <v>113892.7049668206</v>
      </c>
      <c r="AF44" s="203">
        <f t="shared" si="23"/>
        <v>113488.34793220117</v>
      </c>
      <c r="AG44" s="203">
        <f>SUM(AG39:AG43)</f>
        <v>113083.05237591325</v>
      </c>
      <c r="AJ44" s="151"/>
      <c r="AL44" s="207"/>
      <c r="AM44" s="118"/>
      <c r="AN44" s="118"/>
      <c r="AO44" s="118"/>
    </row>
    <row r="45" spans="1:64" ht="15.5" thickTop="1">
      <c r="B45" s="165"/>
      <c r="C45" s="196"/>
      <c r="D45" s="196"/>
      <c r="E45" s="196"/>
      <c r="F45" s="196"/>
      <c r="G45" s="196"/>
      <c r="H45" s="196"/>
      <c r="I45" s="196"/>
      <c r="J45" s="196"/>
      <c r="K45" s="196"/>
      <c r="L45" s="196"/>
      <c r="M45" s="196"/>
      <c r="N45" s="196"/>
      <c r="O45" s="196"/>
      <c r="P45" s="196"/>
      <c r="Q45" s="196"/>
      <c r="R45" s="196"/>
      <c r="S45" s="196"/>
      <c r="T45" s="196"/>
      <c r="U45" s="196"/>
      <c r="V45" s="196"/>
      <c r="W45" s="196"/>
      <c r="X45" s="196"/>
      <c r="Y45" s="196"/>
      <c r="Z45" s="196"/>
      <c r="AA45" s="196"/>
      <c r="AB45" s="196"/>
      <c r="AC45" s="196"/>
      <c r="AD45" s="196"/>
      <c r="AE45" s="196"/>
      <c r="AF45" s="196"/>
      <c r="AG45" s="196"/>
      <c r="AL45" s="102"/>
      <c r="AM45" s="2"/>
      <c r="AN45" s="2"/>
      <c r="AO45" s="2"/>
    </row>
    <row r="46" spans="1:64" s="187" customFormat="1" ht="15.5" thickBot="1">
      <c r="A46" s="187" t="s">
        <v>431</v>
      </c>
      <c r="B46" s="202" t="s">
        <v>126</v>
      </c>
      <c r="C46" s="208">
        <f>C49</f>
        <v>0.14200000000000002</v>
      </c>
      <c r="D46" s="208">
        <f t="shared" ref="D46:AG46" si="24">D49</f>
        <v>0.14849999999999999</v>
      </c>
      <c r="E46" s="208">
        <f t="shared" si="24"/>
        <v>0.155</v>
      </c>
      <c r="F46" s="208">
        <f t="shared" si="24"/>
        <v>0.16149999999999998</v>
      </c>
      <c r="G46" s="208">
        <f t="shared" si="24"/>
        <v>0.16800000000000001</v>
      </c>
      <c r="H46" s="208">
        <f t="shared" si="24"/>
        <v>0.17449999999999999</v>
      </c>
      <c r="I46" s="208">
        <f t="shared" si="24"/>
        <v>0.18099999999999999</v>
      </c>
      <c r="J46" s="208">
        <f t="shared" si="24"/>
        <v>0.1875</v>
      </c>
      <c r="K46" s="208">
        <f t="shared" si="24"/>
        <v>0.19400000000000001</v>
      </c>
      <c r="L46" s="208">
        <f t="shared" si="24"/>
        <v>0.20050000000000001</v>
      </c>
      <c r="M46" s="208">
        <f t="shared" si="24"/>
        <v>0.20700000000000002</v>
      </c>
      <c r="N46" s="208">
        <f t="shared" si="24"/>
        <v>0.22070000000000001</v>
      </c>
      <c r="O46" s="208">
        <f t="shared" si="24"/>
        <v>0.2344</v>
      </c>
      <c r="P46" s="208">
        <f t="shared" si="24"/>
        <v>0.24809999999999999</v>
      </c>
      <c r="Q46" s="208">
        <f t="shared" si="24"/>
        <v>0.26179999999999998</v>
      </c>
      <c r="R46" s="208">
        <f t="shared" si="24"/>
        <v>0.27549999999999997</v>
      </c>
      <c r="S46" s="208">
        <f t="shared" si="24"/>
        <v>0.28920000000000001</v>
      </c>
      <c r="T46" s="208">
        <f t="shared" si="24"/>
        <v>0.3029</v>
      </c>
      <c r="U46" s="208">
        <f t="shared" si="24"/>
        <v>0.31659999999999999</v>
      </c>
      <c r="V46" s="208">
        <f t="shared" si="24"/>
        <v>0.33030000000000004</v>
      </c>
      <c r="W46" s="208">
        <f t="shared" si="24"/>
        <v>0.34399999999999997</v>
      </c>
      <c r="X46" s="208">
        <f t="shared" si="24"/>
        <v>0.36692262658227848</v>
      </c>
      <c r="Y46" s="208">
        <f t="shared" si="24"/>
        <v>0.38984525316455698</v>
      </c>
      <c r="Z46" s="208">
        <f t="shared" si="24"/>
        <v>0.41276787974683543</v>
      </c>
      <c r="AA46" s="208">
        <f t="shared" si="24"/>
        <v>0.43569050632911388</v>
      </c>
      <c r="AB46" s="208">
        <f t="shared" si="24"/>
        <v>0.45861313291139238</v>
      </c>
      <c r="AC46" s="208">
        <f t="shared" si="24"/>
        <v>0.48153575949367089</v>
      </c>
      <c r="AD46" s="208">
        <f t="shared" si="24"/>
        <v>0.50445838607594939</v>
      </c>
      <c r="AE46" s="208">
        <f t="shared" si="24"/>
        <v>0.5273810126582279</v>
      </c>
      <c r="AF46" s="208">
        <f t="shared" si="24"/>
        <v>0.55030363924050629</v>
      </c>
      <c r="AG46" s="208">
        <f t="shared" si="24"/>
        <v>0.5732262658227848</v>
      </c>
      <c r="AJ46" s="217" t="s">
        <v>473</v>
      </c>
      <c r="AL46" s="204"/>
      <c r="AM46" s="205"/>
      <c r="AN46" s="205"/>
      <c r="AO46" s="205"/>
    </row>
    <row r="47" spans="1:64" ht="15.5" outlineLevel="1" thickTop="1">
      <c r="A47" t="s">
        <v>423</v>
      </c>
      <c r="B47" s="51" t="s">
        <v>126</v>
      </c>
      <c r="C47" s="107">
        <v>4.7E-2</v>
      </c>
      <c r="D47" s="104">
        <f>$C47+($M47-$C47)/10*(D$1-$C$1)</f>
        <v>5.0200000000000002E-2</v>
      </c>
      <c r="E47" s="104">
        <f t="shared" ref="E47:L48" si="25">$C47+($M47-$C47)/10*(E$1-$C$1)</f>
        <v>5.3400000000000003E-2</v>
      </c>
      <c r="F47" s="104">
        <f t="shared" si="25"/>
        <v>5.6599999999999998E-2</v>
      </c>
      <c r="G47" s="104">
        <f t="shared" si="25"/>
        <v>5.9799999999999999E-2</v>
      </c>
      <c r="H47" s="104">
        <f t="shared" si="25"/>
        <v>6.3E-2</v>
      </c>
      <c r="I47" s="104">
        <f t="shared" si="25"/>
        <v>6.6200000000000009E-2</v>
      </c>
      <c r="J47" s="104">
        <f t="shared" si="25"/>
        <v>6.9400000000000003E-2</v>
      </c>
      <c r="K47" s="104">
        <f t="shared" si="25"/>
        <v>7.2599999999999998E-2</v>
      </c>
      <c r="L47" s="104">
        <f t="shared" si="25"/>
        <v>7.5800000000000006E-2</v>
      </c>
      <c r="M47" s="107">
        <v>7.9000000000000001E-2</v>
      </c>
      <c r="N47" s="104">
        <f>$M47+($W47-$M47)/10*(N$1-$M$1)</f>
        <v>8.5100000000000009E-2</v>
      </c>
      <c r="O47" s="104">
        <f t="shared" ref="O47:U48" si="26">$M47+($W47-$M47)/10*(O$1-$M$1)</f>
        <v>9.1200000000000003E-2</v>
      </c>
      <c r="P47" s="104">
        <f t="shared" si="26"/>
        <v>9.7299999999999998E-2</v>
      </c>
      <c r="Q47" s="104">
        <f t="shared" si="26"/>
        <v>0.10340000000000001</v>
      </c>
      <c r="R47" s="104">
        <f t="shared" si="26"/>
        <v>0.10950000000000001</v>
      </c>
      <c r="S47" s="104">
        <f t="shared" si="26"/>
        <v>0.11560000000000001</v>
      </c>
      <c r="T47" s="104">
        <f t="shared" si="26"/>
        <v>0.1217</v>
      </c>
      <c r="U47" s="104">
        <f t="shared" si="26"/>
        <v>0.12780000000000002</v>
      </c>
      <c r="V47" s="104">
        <f>$M47+($W47-$M47)/10*(V$1-$M$1)</f>
        <v>0.13390000000000002</v>
      </c>
      <c r="W47" s="107">
        <v>0.14000000000000001</v>
      </c>
      <c r="X47" s="104">
        <f>$W47+($AG47-$W47)/10*(X$1-$W$1)</f>
        <v>0.15081012658227849</v>
      </c>
      <c r="Y47" s="104">
        <f t="shared" ref="Y47:AF48" si="27">$W47+($AG47-$W47)/10*(Y$1-$W$1)</f>
        <v>0.16162025316455697</v>
      </c>
      <c r="Z47" s="104">
        <f t="shared" si="27"/>
        <v>0.17243037974683545</v>
      </c>
      <c r="AA47" s="104">
        <f t="shared" si="27"/>
        <v>0.18324050632911396</v>
      </c>
      <c r="AB47" s="104">
        <f t="shared" si="27"/>
        <v>0.19405063291139243</v>
      </c>
      <c r="AC47" s="104">
        <f t="shared" si="27"/>
        <v>0.20486075949367091</v>
      </c>
      <c r="AD47" s="104">
        <f t="shared" si="27"/>
        <v>0.21567088607594942</v>
      </c>
      <c r="AE47" s="104">
        <f t="shared" si="27"/>
        <v>0.2264810126582279</v>
      </c>
      <c r="AF47" s="104">
        <f t="shared" si="27"/>
        <v>0.23729113924050638</v>
      </c>
      <c r="AG47" s="104">
        <f>(W47/M47)*W47</f>
        <v>0.24810126582278486</v>
      </c>
      <c r="AI47" s="126"/>
      <c r="AJ47" s="198" t="s">
        <v>484</v>
      </c>
      <c r="AL47" s="102"/>
      <c r="AM47" s="2"/>
      <c r="AN47" s="2"/>
      <c r="AO47" s="2"/>
      <c r="AV47" s="38"/>
    </row>
    <row r="48" spans="1:64" outlineLevel="1">
      <c r="A48" t="s">
        <v>425</v>
      </c>
      <c r="B48" s="51" t="s">
        <v>126</v>
      </c>
      <c r="C48" s="107">
        <v>9.5000000000000001E-2</v>
      </c>
      <c r="D48" s="104">
        <f>$C48+($M48-$C48)/10*(D$1-$C$1)</f>
        <v>9.8299999999999998E-2</v>
      </c>
      <c r="E48" s="104">
        <f t="shared" si="25"/>
        <v>0.1016</v>
      </c>
      <c r="F48" s="104">
        <f t="shared" si="25"/>
        <v>0.10489999999999999</v>
      </c>
      <c r="G48" s="104">
        <f t="shared" si="25"/>
        <v>0.1082</v>
      </c>
      <c r="H48" s="104">
        <f t="shared" si="25"/>
        <v>0.1115</v>
      </c>
      <c r="I48" s="104">
        <f t="shared" si="25"/>
        <v>0.1148</v>
      </c>
      <c r="J48" s="104">
        <f t="shared" si="25"/>
        <v>0.1181</v>
      </c>
      <c r="K48" s="104">
        <f t="shared" si="25"/>
        <v>0.12140000000000001</v>
      </c>
      <c r="L48" s="104">
        <f t="shared" si="25"/>
        <v>0.12470000000000001</v>
      </c>
      <c r="M48" s="107">
        <v>0.128</v>
      </c>
      <c r="N48" s="104">
        <f>$M48+($W48-$M48)/10*(N$1-$M$1)</f>
        <v>0.1356</v>
      </c>
      <c r="O48" s="104">
        <f t="shared" si="26"/>
        <v>0.14319999999999999</v>
      </c>
      <c r="P48" s="104">
        <f t="shared" si="26"/>
        <v>0.15079999999999999</v>
      </c>
      <c r="Q48" s="104">
        <f t="shared" si="26"/>
        <v>0.15839999999999999</v>
      </c>
      <c r="R48" s="104">
        <f t="shared" si="26"/>
        <v>0.16599999999999998</v>
      </c>
      <c r="S48" s="104">
        <f t="shared" si="26"/>
        <v>0.17359999999999998</v>
      </c>
      <c r="T48" s="104">
        <f t="shared" si="26"/>
        <v>0.1812</v>
      </c>
      <c r="U48" s="104">
        <f t="shared" si="26"/>
        <v>0.1888</v>
      </c>
      <c r="V48" s="104">
        <f>$M48+($W48-$M48)/10*(V$1-$M$1)</f>
        <v>0.19639999999999999</v>
      </c>
      <c r="W48" s="107">
        <v>0.20399999999999999</v>
      </c>
      <c r="X48" s="104">
        <f>$W48+($AG48-$W48)/10*(X$1-$W$1)</f>
        <v>0.21611249999999999</v>
      </c>
      <c r="Y48" s="104">
        <f t="shared" si="27"/>
        <v>0.22822499999999998</v>
      </c>
      <c r="Z48" s="104">
        <f t="shared" si="27"/>
        <v>0.24033749999999998</v>
      </c>
      <c r="AA48" s="104">
        <f t="shared" si="27"/>
        <v>0.25244999999999995</v>
      </c>
      <c r="AB48" s="104">
        <f t="shared" si="27"/>
        <v>0.26456249999999998</v>
      </c>
      <c r="AC48" s="104">
        <f t="shared" si="27"/>
        <v>0.27667499999999995</v>
      </c>
      <c r="AD48" s="104">
        <f t="shared" si="27"/>
        <v>0.28878749999999997</v>
      </c>
      <c r="AE48" s="104">
        <f t="shared" si="27"/>
        <v>0.30089999999999995</v>
      </c>
      <c r="AF48" s="104">
        <f t="shared" si="27"/>
        <v>0.31301249999999992</v>
      </c>
      <c r="AG48" s="104">
        <f>(W48/M48)*W48</f>
        <v>0.32512499999999994</v>
      </c>
      <c r="AI48" s="126"/>
      <c r="AJ48" s="198" t="s">
        <v>484</v>
      </c>
      <c r="AL48" s="102"/>
      <c r="AM48" s="2"/>
      <c r="AN48" s="2"/>
      <c r="AO48" s="2"/>
      <c r="AV48" s="38"/>
    </row>
    <row r="49" spans="1:63" outlineLevel="1">
      <c r="A49" t="s">
        <v>424</v>
      </c>
      <c r="B49" s="165" t="s">
        <v>126</v>
      </c>
      <c r="C49" s="104">
        <f>C47+C48</f>
        <v>0.14200000000000002</v>
      </c>
      <c r="D49" s="104">
        <f t="shared" ref="D49:AF49" si="28">D47+D48</f>
        <v>0.14849999999999999</v>
      </c>
      <c r="E49" s="104">
        <f t="shared" si="28"/>
        <v>0.155</v>
      </c>
      <c r="F49" s="104">
        <f t="shared" si="28"/>
        <v>0.16149999999999998</v>
      </c>
      <c r="G49" s="104">
        <f t="shared" si="28"/>
        <v>0.16800000000000001</v>
      </c>
      <c r="H49" s="104">
        <f t="shared" si="28"/>
        <v>0.17449999999999999</v>
      </c>
      <c r="I49" s="104">
        <f t="shared" si="28"/>
        <v>0.18099999999999999</v>
      </c>
      <c r="J49" s="104">
        <f t="shared" si="28"/>
        <v>0.1875</v>
      </c>
      <c r="K49" s="104">
        <f t="shared" si="28"/>
        <v>0.19400000000000001</v>
      </c>
      <c r="L49" s="104">
        <f t="shared" si="28"/>
        <v>0.20050000000000001</v>
      </c>
      <c r="M49" s="104">
        <f t="shared" si="28"/>
        <v>0.20700000000000002</v>
      </c>
      <c r="N49" s="104">
        <f t="shared" si="28"/>
        <v>0.22070000000000001</v>
      </c>
      <c r="O49" s="104">
        <f t="shared" si="28"/>
        <v>0.2344</v>
      </c>
      <c r="P49" s="104">
        <f t="shared" si="28"/>
        <v>0.24809999999999999</v>
      </c>
      <c r="Q49" s="104">
        <f t="shared" si="28"/>
        <v>0.26179999999999998</v>
      </c>
      <c r="R49" s="104">
        <f t="shared" si="28"/>
        <v>0.27549999999999997</v>
      </c>
      <c r="S49" s="104">
        <f t="shared" si="28"/>
        <v>0.28920000000000001</v>
      </c>
      <c r="T49" s="104">
        <f t="shared" si="28"/>
        <v>0.3029</v>
      </c>
      <c r="U49" s="104">
        <f t="shared" si="28"/>
        <v>0.31659999999999999</v>
      </c>
      <c r="V49" s="104">
        <f t="shared" si="28"/>
        <v>0.33030000000000004</v>
      </c>
      <c r="W49" s="104">
        <f t="shared" si="28"/>
        <v>0.34399999999999997</v>
      </c>
      <c r="X49" s="104">
        <f t="shared" si="28"/>
        <v>0.36692262658227848</v>
      </c>
      <c r="Y49" s="104">
        <f t="shared" si="28"/>
        <v>0.38984525316455698</v>
      </c>
      <c r="Z49" s="104">
        <f t="shared" si="28"/>
        <v>0.41276787974683543</v>
      </c>
      <c r="AA49" s="104">
        <f t="shared" si="28"/>
        <v>0.43569050632911388</v>
      </c>
      <c r="AB49" s="104">
        <f t="shared" si="28"/>
        <v>0.45861313291139238</v>
      </c>
      <c r="AC49" s="104">
        <f t="shared" si="28"/>
        <v>0.48153575949367089</v>
      </c>
      <c r="AD49" s="104">
        <f t="shared" si="28"/>
        <v>0.50445838607594939</v>
      </c>
      <c r="AE49" s="104">
        <f t="shared" si="28"/>
        <v>0.5273810126582279</v>
      </c>
      <c r="AF49" s="104">
        <f t="shared" si="28"/>
        <v>0.55030363924050629</v>
      </c>
      <c r="AG49" s="104">
        <f>AG47+AG48</f>
        <v>0.5732262658227848</v>
      </c>
      <c r="AI49" s="126"/>
      <c r="AJ49" s="198"/>
      <c r="AL49" s="102"/>
      <c r="AM49" s="2"/>
      <c r="AN49" s="2"/>
      <c r="AO49" s="2"/>
    </row>
    <row r="50" spans="1:63" outlineLevel="1">
      <c r="C50" s="107"/>
      <c r="D50" s="104"/>
      <c r="E50" s="104"/>
      <c r="F50" s="104"/>
      <c r="G50" s="104"/>
      <c r="H50" s="104"/>
      <c r="I50" s="104"/>
      <c r="J50" s="104"/>
      <c r="K50" s="104"/>
      <c r="L50" s="104"/>
      <c r="M50" s="107"/>
      <c r="N50" s="104"/>
      <c r="O50" s="104"/>
      <c r="P50" s="104"/>
      <c r="Q50" s="104"/>
      <c r="R50" s="104"/>
      <c r="S50" s="104"/>
      <c r="T50" s="104"/>
      <c r="U50" s="104"/>
      <c r="V50" s="104"/>
      <c r="W50" s="107"/>
      <c r="X50" s="104"/>
      <c r="Y50" s="104"/>
      <c r="Z50" s="104"/>
      <c r="AA50" s="104"/>
      <c r="AB50" s="104"/>
      <c r="AC50" s="104"/>
      <c r="AD50" s="104"/>
      <c r="AE50" s="104"/>
      <c r="AF50" s="104"/>
      <c r="AG50" s="107"/>
      <c r="AI50" s="126"/>
      <c r="AJ50" s="198"/>
      <c r="AL50" s="102"/>
      <c r="AM50" s="2"/>
      <c r="AN50" s="2"/>
      <c r="AO50" s="2"/>
      <c r="AV50" s="38"/>
    </row>
    <row r="51" spans="1:63" outlineLevel="1">
      <c r="A51" t="s">
        <v>438</v>
      </c>
      <c r="B51" s="51" t="s">
        <v>126</v>
      </c>
      <c r="C51" s="104">
        <f>'Ethylene Recycling HC'!C54</f>
        <v>0.11499935012302656</v>
      </c>
      <c r="D51" s="104">
        <f>'Ethylene Recycling HC'!D54</f>
        <v>0.11283270511892568</v>
      </c>
      <c r="E51" s="104">
        <f>'Ethylene Recycling HC'!E54</f>
        <v>0.1106660601148248</v>
      </c>
      <c r="F51" s="104">
        <f>'Ethylene Recycling HC'!F54</f>
        <v>0.10849941511072392</v>
      </c>
      <c r="G51" s="104">
        <f>'Ethylene Recycling HC'!G54</f>
        <v>0.10633277010662304</v>
      </c>
      <c r="H51" s="104">
        <f>'Ethylene Recycling HC'!H54</f>
        <v>0.10416612510252216</v>
      </c>
      <c r="I51" s="104">
        <f>'Ethylene Recycling HC'!I54</f>
        <v>0.10199948009842127</v>
      </c>
      <c r="J51" s="104">
        <f>'Ethylene Recycling HC'!J54</f>
        <v>9.9832835094320393E-2</v>
      </c>
      <c r="K51" s="104">
        <f>'Ethylene Recycling HC'!K54</f>
        <v>9.7666190090219512E-2</v>
      </c>
      <c r="L51" s="104">
        <f>'Ethylene Recycling HC'!L54</f>
        <v>9.5499545086118631E-2</v>
      </c>
      <c r="M51" s="104">
        <f>'Ethylene Recycling HC'!M54</f>
        <v>9.333290008201775E-2</v>
      </c>
      <c r="N51" s="104">
        <f>'Ethylene Recycling HC'!N54</f>
        <v>9.1166255077916869E-2</v>
      </c>
      <c r="O51" s="104">
        <f>'Ethylene Recycling HC'!O54</f>
        <v>8.8999610073815988E-2</v>
      </c>
      <c r="P51" s="104">
        <f>'Ethylene Recycling HC'!P54</f>
        <v>8.6832965069715107E-2</v>
      </c>
      <c r="Q51" s="104">
        <f>'Ethylene Recycling HC'!Q54</f>
        <v>8.4666320065614226E-2</v>
      </c>
      <c r="R51" s="104">
        <f>'Ethylene Recycling HC'!R54</f>
        <v>8.2499675061513345E-2</v>
      </c>
      <c r="S51" s="104">
        <f>'Ethylene Recycling HC'!S54</f>
        <v>8.0333030057412463E-2</v>
      </c>
      <c r="T51" s="104">
        <f>'Ethylene Recycling HC'!T54</f>
        <v>7.8166385053311582E-2</v>
      </c>
      <c r="U51" s="104">
        <f>'Ethylene Recycling HC'!U54</f>
        <v>7.5999740049210701E-2</v>
      </c>
      <c r="V51" s="104">
        <f>'Ethylene Recycling HC'!V54</f>
        <v>7.383309504510982E-2</v>
      </c>
      <c r="W51" s="104">
        <f>'Ethylene Recycling HC'!W54</f>
        <v>7.1666450041008939E-2</v>
      </c>
      <c r="X51" s="104">
        <f>'Ethylene Recycling HC'!X54</f>
        <v>6.9499805036908058E-2</v>
      </c>
      <c r="Y51" s="104">
        <f>'Ethylene Recycling HC'!Y54</f>
        <v>6.7333160032807177E-2</v>
      </c>
      <c r="Z51" s="104">
        <f>'Ethylene Recycling HC'!Z54</f>
        <v>6.5166515028706296E-2</v>
      </c>
      <c r="AA51" s="104">
        <f>'Ethylene Recycling HC'!AA54</f>
        <v>6.2999870024605414E-2</v>
      </c>
      <c r="AB51" s="104">
        <f>'Ethylene Recycling HC'!AB54</f>
        <v>6.0833225020504526E-2</v>
      </c>
      <c r="AC51" s="104">
        <f>'Ethylene Recycling HC'!AC54</f>
        <v>5.8666580016403638E-2</v>
      </c>
      <c r="AD51" s="104">
        <f>'Ethylene Recycling HC'!AD54</f>
        <v>5.649993501230275E-2</v>
      </c>
      <c r="AE51" s="104">
        <f>'Ethylene Recycling HC'!AE54</f>
        <v>5.4333290008201862E-2</v>
      </c>
      <c r="AF51" s="104">
        <f>'Ethylene Recycling HC'!AF54</f>
        <v>5.2166645004100974E-2</v>
      </c>
      <c r="AG51" s="104">
        <f>'Ethylene Recycling HC'!AG54</f>
        <v>0.05</v>
      </c>
      <c r="AI51" s="126"/>
      <c r="AJ51" s="198" t="s">
        <v>832</v>
      </c>
      <c r="AL51" s="102"/>
      <c r="AM51" s="2"/>
      <c r="AN51" s="2"/>
      <c r="AO51" s="2"/>
      <c r="AV51" s="38"/>
    </row>
    <row r="52" spans="1:63" outlineLevel="1">
      <c r="A52" t="s">
        <v>439</v>
      </c>
      <c r="C52" s="104">
        <f>'Ethylene Recycling HC'!C55</f>
        <v>0.13791632052401978</v>
      </c>
      <c r="D52" s="104">
        <f>'Ethylene Recycling HC'!D55</f>
        <v>0.13791632052401978</v>
      </c>
      <c r="E52" s="104">
        <f>'Ethylene Recycling HC'!E55</f>
        <v>0.13791632052401978</v>
      </c>
      <c r="F52" s="104">
        <f>'Ethylene Recycling HC'!F55</f>
        <v>0.13791632052401978</v>
      </c>
      <c r="G52" s="104">
        <f>'Ethylene Recycling HC'!G55</f>
        <v>0.13791632052401978</v>
      </c>
      <c r="H52" s="104">
        <f>'Ethylene Recycling HC'!H55</f>
        <v>0.13791632052401978</v>
      </c>
      <c r="I52" s="104">
        <f>'Ethylene Recycling HC'!I55</f>
        <v>0.13791632052401978</v>
      </c>
      <c r="J52" s="104">
        <f>'Ethylene Recycling HC'!J55</f>
        <v>0.13791632052401978</v>
      </c>
      <c r="K52" s="104">
        <f>'Ethylene Recycling HC'!K55</f>
        <v>0.13791632052401978</v>
      </c>
      <c r="L52" s="104">
        <f>'Ethylene Recycling HC'!L55</f>
        <v>0.13791632052401978</v>
      </c>
      <c r="M52" s="104">
        <f>'Ethylene Recycling HC'!M55</f>
        <v>0.13791632052401978</v>
      </c>
      <c r="N52" s="104">
        <f>'Ethylene Recycling HC'!N55</f>
        <v>0.13791632052401978</v>
      </c>
      <c r="O52" s="104">
        <f>'Ethylene Recycling HC'!O55</f>
        <v>0.13791632052401978</v>
      </c>
      <c r="P52" s="104">
        <f>'Ethylene Recycling HC'!P55</f>
        <v>0.13791632052401978</v>
      </c>
      <c r="Q52" s="104">
        <f>'Ethylene Recycling HC'!Q55</f>
        <v>0.13791632052401978</v>
      </c>
      <c r="R52" s="104">
        <f>'Ethylene Recycling HC'!R55</f>
        <v>0.13791632052401978</v>
      </c>
      <c r="S52" s="104">
        <f>'Ethylene Recycling HC'!S55</f>
        <v>0.13791632052401978</v>
      </c>
      <c r="T52" s="104">
        <f>'Ethylene Recycling HC'!T55</f>
        <v>0.13791632052401978</v>
      </c>
      <c r="U52" s="104">
        <f>'Ethylene Recycling HC'!U55</f>
        <v>0.13791632052401978</v>
      </c>
      <c r="V52" s="104">
        <f>'Ethylene Recycling HC'!V55</f>
        <v>0.13791632052401978</v>
      </c>
      <c r="W52" s="104">
        <f>'Ethylene Recycling HC'!W55</f>
        <v>0.13791632052401978</v>
      </c>
      <c r="X52" s="104">
        <f>'Ethylene Recycling HC'!X55</f>
        <v>0.13791632052401978</v>
      </c>
      <c r="Y52" s="104">
        <f>'Ethylene Recycling HC'!Y55</f>
        <v>0.13791632052401978</v>
      </c>
      <c r="Z52" s="104">
        <f>'Ethylene Recycling HC'!Z55</f>
        <v>0.13791632052401978</v>
      </c>
      <c r="AA52" s="104">
        <f>'Ethylene Recycling HC'!AA55</f>
        <v>0.13791632052401978</v>
      </c>
      <c r="AB52" s="104">
        <f>'Ethylene Recycling HC'!AB55</f>
        <v>0.13791632052401978</v>
      </c>
      <c r="AC52" s="104">
        <f>'Ethylene Recycling HC'!AC55</f>
        <v>0.13791632052401978</v>
      </c>
      <c r="AD52" s="104">
        <f>'Ethylene Recycling HC'!AD55</f>
        <v>0.13791632052401978</v>
      </c>
      <c r="AE52" s="104">
        <f>'Ethylene Recycling HC'!AE55</f>
        <v>0.13791632052401978</v>
      </c>
      <c r="AF52" s="104">
        <f>'Ethylene Recycling HC'!AF55</f>
        <v>0.13791632052401978</v>
      </c>
      <c r="AG52" s="104">
        <f>'Ethylene Recycling HC'!AG55</f>
        <v>0.13791632052401978</v>
      </c>
      <c r="AI52" s="126"/>
      <c r="AJ52" s="198" t="s">
        <v>832</v>
      </c>
      <c r="AL52" s="102"/>
      <c r="AM52" s="2"/>
      <c r="AN52" s="2"/>
      <c r="AO52" s="2"/>
      <c r="AV52" s="38"/>
    </row>
    <row r="53" spans="1:63" outlineLevel="1">
      <c r="A53" t="s">
        <v>831</v>
      </c>
      <c r="B53" s="51" t="s">
        <v>126</v>
      </c>
      <c r="C53" s="104">
        <f>'Ethylene Recycling HC'!C56</f>
        <v>0.10855071452136934</v>
      </c>
      <c r="D53" s="104">
        <f>'Ethylene Recycling HC'!D56</f>
        <v>0.10855071452136934</v>
      </c>
      <c r="E53" s="104">
        <f>'Ethylene Recycling HC'!E56</f>
        <v>0.10855071452136934</v>
      </c>
      <c r="F53" s="104">
        <f>'Ethylene Recycling HC'!F56</f>
        <v>0.10855071452136934</v>
      </c>
      <c r="G53" s="104">
        <f>'Ethylene Recycling HC'!G56</f>
        <v>0.10855071452136934</v>
      </c>
      <c r="H53" s="104">
        <f>'Ethylene Recycling HC'!H56</f>
        <v>0.10855071452136934</v>
      </c>
      <c r="I53" s="104">
        <f>'Ethylene Recycling HC'!I56</f>
        <v>0.10855071452136934</v>
      </c>
      <c r="J53" s="104">
        <f>'Ethylene Recycling HC'!J56</f>
        <v>0.10855071452136934</v>
      </c>
      <c r="K53" s="104">
        <f>'Ethylene Recycling HC'!K56</f>
        <v>0.10855071452136934</v>
      </c>
      <c r="L53" s="104">
        <f>'Ethylene Recycling HC'!L56</f>
        <v>0.10855071452136934</v>
      </c>
      <c r="M53" s="104">
        <f>'Ethylene Recycling HC'!M56</f>
        <v>0.10855071452136934</v>
      </c>
      <c r="N53" s="104">
        <f>'Ethylene Recycling HC'!N56</f>
        <v>0.10855071452136934</v>
      </c>
      <c r="O53" s="104">
        <f>'Ethylene Recycling HC'!O56</f>
        <v>0.10855071452136934</v>
      </c>
      <c r="P53" s="104">
        <f>'Ethylene Recycling HC'!P56</f>
        <v>0.10855071452136934</v>
      </c>
      <c r="Q53" s="104">
        <f>'Ethylene Recycling HC'!Q56</f>
        <v>0.10855071452136934</v>
      </c>
      <c r="R53" s="104">
        <f>'Ethylene Recycling HC'!R56</f>
        <v>0.10855071452136934</v>
      </c>
      <c r="S53" s="104">
        <f>'Ethylene Recycling HC'!S56</f>
        <v>0.10855071452136934</v>
      </c>
      <c r="T53" s="104">
        <f>'Ethylene Recycling HC'!T56</f>
        <v>0.10855071452136934</v>
      </c>
      <c r="U53" s="104">
        <f>'Ethylene Recycling HC'!U56</f>
        <v>0.10855071452136934</v>
      </c>
      <c r="V53" s="104">
        <f>'Ethylene Recycling HC'!V56</f>
        <v>0.10855071452136934</v>
      </c>
      <c r="W53" s="104">
        <f>'Ethylene Recycling HC'!W56</f>
        <v>0.10855071452136934</v>
      </c>
      <c r="X53" s="104">
        <f>'Ethylene Recycling HC'!X56</f>
        <v>0.10855071452136934</v>
      </c>
      <c r="Y53" s="104">
        <f>'Ethylene Recycling HC'!Y56</f>
        <v>0.10855071452136934</v>
      </c>
      <c r="Z53" s="104">
        <f>'Ethylene Recycling HC'!Z56</f>
        <v>0.10855071452136934</v>
      </c>
      <c r="AA53" s="104">
        <f>'Ethylene Recycling HC'!AA56</f>
        <v>0.10855071452136934</v>
      </c>
      <c r="AB53" s="104">
        <f>'Ethylene Recycling HC'!AB56</f>
        <v>0.10855071452136934</v>
      </c>
      <c r="AC53" s="104">
        <f>'Ethylene Recycling HC'!AC56</f>
        <v>0.10855071452136934</v>
      </c>
      <c r="AD53" s="104">
        <f>'Ethylene Recycling HC'!AD56</f>
        <v>0.10855071452136934</v>
      </c>
      <c r="AE53" s="104">
        <f>'Ethylene Recycling HC'!AE56</f>
        <v>0.10855071452136934</v>
      </c>
      <c r="AF53" s="104">
        <f>'Ethylene Recycling HC'!AF56</f>
        <v>0.10855071452136934</v>
      </c>
      <c r="AG53" s="104">
        <f>'Ethylene Recycling HC'!AG56</f>
        <v>0.10855071452136934</v>
      </c>
      <c r="AI53" s="126"/>
      <c r="AJ53" s="198" t="s">
        <v>832</v>
      </c>
      <c r="AL53" s="102"/>
      <c r="AM53" s="2"/>
      <c r="AN53" s="2"/>
      <c r="AO53" s="2"/>
      <c r="AV53" s="38"/>
    </row>
    <row r="54" spans="1:63" outlineLevel="1">
      <c r="A54" t="s">
        <v>440</v>
      </c>
      <c r="B54" s="51" t="s">
        <v>126</v>
      </c>
      <c r="C54" s="104">
        <f>'Ethylene Recycling HC'!C57</f>
        <v>0.63853361483158433</v>
      </c>
      <c r="D54" s="104">
        <f>'Ethylene Recycling HC'!D57</f>
        <v>0.64070025983568524</v>
      </c>
      <c r="E54" s="104">
        <f>'Ethylene Recycling HC'!E57</f>
        <v>0.64286690483978604</v>
      </c>
      <c r="F54" s="104">
        <f>'Ethylene Recycling HC'!F57</f>
        <v>0.64503354984388694</v>
      </c>
      <c r="G54" s="104">
        <f>'Ethylene Recycling HC'!G57</f>
        <v>0.64720019484798785</v>
      </c>
      <c r="H54" s="104">
        <f>'Ethylene Recycling HC'!H57</f>
        <v>0.64936683985208865</v>
      </c>
      <c r="I54" s="104">
        <f>'Ethylene Recycling HC'!I57</f>
        <v>0.65153348485618956</v>
      </c>
      <c r="J54" s="104">
        <f>'Ethylene Recycling HC'!J57</f>
        <v>0.65370012986029047</v>
      </c>
      <c r="K54" s="104">
        <f>'Ethylene Recycling HC'!K57</f>
        <v>0.65586677486439138</v>
      </c>
      <c r="L54" s="104">
        <f>'Ethylene Recycling HC'!L57</f>
        <v>0.65803341986849229</v>
      </c>
      <c r="M54" s="104">
        <f>'Ethylene Recycling HC'!M57</f>
        <v>0.66020006487259308</v>
      </c>
      <c r="N54" s="104">
        <f>'Ethylene Recycling HC'!N57</f>
        <v>0.66236670987669399</v>
      </c>
      <c r="O54" s="104">
        <f>'Ethylene Recycling HC'!O57</f>
        <v>0.6645333548807949</v>
      </c>
      <c r="P54" s="104">
        <f>'Ethylene Recycling HC'!P57</f>
        <v>0.6666999998848957</v>
      </c>
      <c r="Q54" s="104">
        <f>'Ethylene Recycling HC'!Q57</f>
        <v>0.66886664488899661</v>
      </c>
      <c r="R54" s="104">
        <f>'Ethylene Recycling HC'!R57</f>
        <v>0.67103328989309752</v>
      </c>
      <c r="S54" s="104">
        <f>'Ethylene Recycling HC'!S57</f>
        <v>0.67319993489719843</v>
      </c>
      <c r="T54" s="104">
        <f>'Ethylene Recycling HC'!T57</f>
        <v>0.67536657990129934</v>
      </c>
      <c r="U54" s="104">
        <f>'Ethylene Recycling HC'!U57</f>
        <v>0.67753322490540013</v>
      </c>
      <c r="V54" s="104">
        <f>'Ethylene Recycling HC'!V57</f>
        <v>0.67969986990950104</v>
      </c>
      <c r="W54" s="104">
        <f>'Ethylene Recycling HC'!W57</f>
        <v>0.68186651491360195</v>
      </c>
      <c r="X54" s="104">
        <f>'Ethylene Recycling HC'!X57</f>
        <v>0.68403315991770275</v>
      </c>
      <c r="Y54" s="104">
        <f>'Ethylene Recycling HC'!Y57</f>
        <v>0.68619980492180366</v>
      </c>
      <c r="Z54" s="104">
        <f>'Ethylene Recycling HC'!Z57</f>
        <v>0.68836644992590457</v>
      </c>
      <c r="AA54" s="104">
        <f>'Ethylene Recycling HC'!AA57</f>
        <v>0.69053309493000548</v>
      </c>
      <c r="AB54" s="104">
        <f>'Ethylene Recycling HC'!AB57</f>
        <v>0.69269973993410638</v>
      </c>
      <c r="AC54" s="104">
        <f>'Ethylene Recycling HC'!AC57</f>
        <v>0.69486638493820718</v>
      </c>
      <c r="AD54" s="104">
        <f>'Ethylene Recycling HC'!AD57</f>
        <v>0.69703302994230809</v>
      </c>
      <c r="AE54" s="104">
        <f>'Ethylene Recycling HC'!AE57</f>
        <v>0.699199674946409</v>
      </c>
      <c r="AF54" s="104">
        <f>'Ethylene Recycling HC'!AF57</f>
        <v>0.70136631995050991</v>
      </c>
      <c r="AG54" s="104">
        <f>'Ethylene Recycling HC'!AG57</f>
        <v>0.70353296495461082</v>
      </c>
      <c r="AI54" s="126"/>
      <c r="AJ54" s="198" t="s">
        <v>832</v>
      </c>
      <c r="AL54" s="102"/>
      <c r="AM54" s="2"/>
      <c r="AN54" s="2"/>
      <c r="AO54" s="2"/>
      <c r="AV54" s="38"/>
    </row>
    <row r="55" spans="1:63" outlineLevel="1">
      <c r="A55" t="s">
        <v>438</v>
      </c>
      <c r="B55" s="51" t="s">
        <v>126</v>
      </c>
      <c r="C55" s="104">
        <f>'Ethylene Recycling HC'!C58</f>
        <v>1.0924938261687523E-2</v>
      </c>
      <c r="D55" s="104">
        <f>'Ethylene Recycling HC'!D58</f>
        <v>1.1091454913190394E-2</v>
      </c>
      <c r="E55" s="104">
        <f>'Ethylene Recycling HC'!E58</f>
        <v>1.1243671707666198E-2</v>
      </c>
      <c r="F55" s="104">
        <f>'Ethylene Recycling HC'!F58</f>
        <v>1.1381588645114939E-2</v>
      </c>
      <c r="G55" s="104">
        <f>'Ethylene Recycling HC'!G58</f>
        <v>1.1505205725536613E-2</v>
      </c>
      <c r="H55" s="104">
        <f>'Ethylene Recycling HC'!H58</f>
        <v>1.161452294893122E-2</v>
      </c>
      <c r="I55" s="104">
        <f>'Ethylene Recycling HC'!I58</f>
        <v>1.1709540315298762E-2</v>
      </c>
      <c r="J55" s="104">
        <f>'Ethylene Recycling HC'!J58</f>
        <v>1.1790257824639237E-2</v>
      </c>
      <c r="K55" s="104">
        <f>'Ethylene Recycling HC'!K58</f>
        <v>1.185667547695265E-2</v>
      </c>
      <c r="L55" s="104">
        <f>'Ethylene Recycling HC'!L58</f>
        <v>1.1908793272238994E-2</v>
      </c>
      <c r="M55" s="104">
        <f>'Ethylene Recycling HC'!M58</f>
        <v>1.1946611210498273E-2</v>
      </c>
      <c r="N55" s="104">
        <f>'Ethylene Recycling HC'!N58</f>
        <v>1.2362144188565528E-2</v>
      </c>
      <c r="O55" s="104">
        <f>'Ethylene Recycling HC'!O58</f>
        <v>1.2744744162570449E-2</v>
      </c>
      <c r="P55" s="104">
        <f>'Ethylene Recycling HC'!P58</f>
        <v>1.3094411132513037E-2</v>
      </c>
      <c r="Q55" s="104">
        <f>'Ethylene Recycling HC'!Q58</f>
        <v>1.3411145098393293E-2</v>
      </c>
      <c r="R55" s="104">
        <f>'Ethylene Recycling HC'!R58</f>
        <v>1.3694946060211214E-2</v>
      </c>
      <c r="S55" s="104">
        <f>'Ethylene Recycling HC'!S58</f>
        <v>1.3945814017966802E-2</v>
      </c>
      <c r="T55" s="104">
        <f>'Ethylene Recycling HC'!T58</f>
        <v>1.4163748971660058E-2</v>
      </c>
      <c r="U55" s="104">
        <f>'Ethylene Recycling HC'!U58</f>
        <v>1.434875092129098E-2</v>
      </c>
      <c r="V55" s="104">
        <f>'Ethylene Recycling HC'!V58</f>
        <v>1.4500819866859568E-2</v>
      </c>
      <c r="W55" s="104">
        <f>'Ethylene Recycling HC'!W58</f>
        <v>1.4619955808365823E-2</v>
      </c>
      <c r="X55" s="104">
        <f>'Ethylene Recycling HC'!X58</f>
        <v>1.5019776616038791E-2</v>
      </c>
      <c r="Y55" s="104">
        <f>'Ethylene Recycling HC'!Y58</f>
        <v>1.5367110448487417E-2</v>
      </c>
      <c r="Z55" s="104">
        <f>'Ethylene Recycling HC'!Z58</f>
        <v>1.56619573057117E-2</v>
      </c>
      <c r="AA55" s="104">
        <f>'Ethylene Recycling HC'!AA58</f>
        <v>1.5904317187711636E-2</v>
      </c>
      <c r="AB55" s="104">
        <f>'Ethylene Recycling HC'!AB58</f>
        <v>1.6094190094487228E-2</v>
      </c>
      <c r="AC55" s="104">
        <f>'Ethylene Recycling HC'!AC58</f>
        <v>1.6231576026038474E-2</v>
      </c>
      <c r="AD55" s="104">
        <f>'Ethylene Recycling HC'!AD58</f>
        <v>1.6316474982365377E-2</v>
      </c>
      <c r="AE55" s="104">
        <f>'Ethylene Recycling HC'!AE58</f>
        <v>1.6348886963467937E-2</v>
      </c>
      <c r="AF55" s="104">
        <f>'Ethylene Recycling HC'!AF58</f>
        <v>1.6328811969346151E-2</v>
      </c>
      <c r="AG55" s="104">
        <f>'Ethylene Recycling HC'!AG58</f>
        <v>1.6256249999999996E-2</v>
      </c>
      <c r="AH55" s="252"/>
      <c r="AI55" s="126"/>
      <c r="AJ55" s="198"/>
      <c r="AL55" s="102"/>
      <c r="AM55" s="2"/>
      <c r="AN55" s="2"/>
      <c r="AO55" s="2"/>
    </row>
    <row r="56" spans="1:63" outlineLevel="1">
      <c r="A56" t="s">
        <v>439</v>
      </c>
      <c r="B56" s="51" t="s">
        <v>126</v>
      </c>
      <c r="C56" s="104">
        <f>'Ethylene Recycling HC'!C59</f>
        <v>1.3102050449781879E-2</v>
      </c>
      <c r="D56" s="104">
        <f>'Ethylene Recycling HC'!D59</f>
        <v>1.3557174307511145E-2</v>
      </c>
      <c r="E56" s="104">
        <f>'Ethylene Recycling HC'!E59</f>
        <v>1.4012298165240409E-2</v>
      </c>
      <c r="F56" s="104">
        <f>'Ethylene Recycling HC'!F59</f>
        <v>1.4467422022969674E-2</v>
      </c>
      <c r="G56" s="104">
        <f>'Ethylene Recycling HC'!G59</f>
        <v>1.4922545880698941E-2</v>
      </c>
      <c r="H56" s="104">
        <f>'Ethylene Recycling HC'!H59</f>
        <v>1.5377669738428206E-2</v>
      </c>
      <c r="I56" s="104">
        <f>'Ethylene Recycling HC'!I59</f>
        <v>1.5832793596157472E-2</v>
      </c>
      <c r="J56" s="104">
        <f>'Ethylene Recycling HC'!J59</f>
        <v>1.6287917453886736E-2</v>
      </c>
      <c r="K56" s="104">
        <f>'Ethylene Recycling HC'!K59</f>
        <v>1.6743041311616004E-2</v>
      </c>
      <c r="L56" s="104">
        <f>'Ethylene Recycling HC'!L59</f>
        <v>1.7198165169345268E-2</v>
      </c>
      <c r="M56" s="104">
        <f>'Ethylene Recycling HC'!M59</f>
        <v>1.7653289027074533E-2</v>
      </c>
      <c r="N56" s="104">
        <f>'Ethylene Recycling HC'!N59</f>
        <v>1.8701453063057084E-2</v>
      </c>
      <c r="O56" s="104">
        <f>'Ethylene Recycling HC'!O59</f>
        <v>1.9749617099039631E-2</v>
      </c>
      <c r="P56" s="104">
        <f>'Ethylene Recycling HC'!P59</f>
        <v>2.0797781135022182E-2</v>
      </c>
      <c r="Q56" s="104">
        <f>'Ethylene Recycling HC'!Q59</f>
        <v>2.184594517100473E-2</v>
      </c>
      <c r="R56" s="104">
        <f>'Ethylene Recycling HC'!R59</f>
        <v>2.2894109206987281E-2</v>
      </c>
      <c r="S56" s="104">
        <f>'Ethylene Recycling HC'!S59</f>
        <v>2.3942273242969832E-2</v>
      </c>
      <c r="T56" s="104">
        <f>'Ethylene Recycling HC'!T59</f>
        <v>2.4990437278952383E-2</v>
      </c>
      <c r="U56" s="104">
        <f>'Ethylene Recycling HC'!U59</f>
        <v>2.6038601314934934E-2</v>
      </c>
      <c r="V56" s="104">
        <f>'Ethylene Recycling HC'!V59</f>
        <v>2.7086765350917485E-2</v>
      </c>
      <c r="W56" s="104">
        <f>'Ethylene Recycling HC'!W59</f>
        <v>2.8134929386900032E-2</v>
      </c>
      <c r="X56" s="104">
        <f>'Ethylene Recycling HC'!X59</f>
        <v>2.9805440819247221E-2</v>
      </c>
      <c r="Y56" s="104">
        <f>'Ethylene Recycling HC'!Y59</f>
        <v>3.1475952251594413E-2</v>
      </c>
      <c r="Z56" s="104">
        <f>'Ethylene Recycling HC'!Z59</f>
        <v>3.3146463683941599E-2</v>
      </c>
      <c r="AA56" s="104">
        <f>'Ethylene Recycling HC'!AA59</f>
        <v>3.4816975116288784E-2</v>
      </c>
      <c r="AB56" s="104">
        <f>'Ethylene Recycling HC'!AB59</f>
        <v>3.6487486548635983E-2</v>
      </c>
      <c r="AC56" s="104">
        <f>'Ethylene Recycling HC'!AC59</f>
        <v>3.8157997980983169E-2</v>
      </c>
      <c r="AD56" s="104">
        <f>'Ethylene Recycling HC'!AD59</f>
        <v>3.9828509413330361E-2</v>
      </c>
      <c r="AE56" s="104">
        <f>'Ethylene Recycling HC'!AE59</f>
        <v>4.1499020845677546E-2</v>
      </c>
      <c r="AF56" s="104">
        <f>'Ethylene Recycling HC'!AF59</f>
        <v>4.3169532278024732E-2</v>
      </c>
      <c r="AG56" s="104">
        <f>'Ethylene Recycling HC'!AG59</f>
        <v>4.4840043710371924E-2</v>
      </c>
      <c r="AH56" s="252"/>
      <c r="AJ56" s="198"/>
      <c r="AL56" s="102"/>
      <c r="AM56" s="2"/>
      <c r="AN56" s="2"/>
      <c r="AO56" s="2"/>
      <c r="BC56" s="1"/>
      <c r="BD56" s="2"/>
      <c r="BE56" s="2"/>
      <c r="BF56" s="2"/>
      <c r="BG56" s="2"/>
      <c r="BH56" s="2"/>
      <c r="BI56" s="2"/>
      <c r="BJ56" s="2"/>
      <c r="BK56" s="2"/>
    </row>
    <row r="57" spans="1:63" outlineLevel="1">
      <c r="A57" t="s">
        <v>831</v>
      </c>
      <c r="C57" s="104">
        <f>'Ethylene Recycling HC'!C60</f>
        <v>1.0312317879530087E-2</v>
      </c>
      <c r="D57" s="104">
        <f>'Ethylene Recycling HC'!D60</f>
        <v>1.0670535237450606E-2</v>
      </c>
      <c r="E57" s="104">
        <f>'Ethylene Recycling HC'!E60</f>
        <v>1.1028752595371125E-2</v>
      </c>
      <c r="F57" s="104">
        <f>'Ethylene Recycling HC'!F60</f>
        <v>1.1386969953291644E-2</v>
      </c>
      <c r="G57" s="104">
        <f>'Ethylene Recycling HC'!G60</f>
        <v>1.1745187311212163E-2</v>
      </c>
      <c r="H57" s="104">
        <f>'Ethylene Recycling HC'!H60</f>
        <v>1.2103404669132681E-2</v>
      </c>
      <c r="I57" s="104">
        <f>'Ethylene Recycling HC'!I60</f>
        <v>1.24616220270532E-2</v>
      </c>
      <c r="J57" s="104">
        <f>'Ethylene Recycling HC'!J60</f>
        <v>1.2819839384973719E-2</v>
      </c>
      <c r="K57" s="104">
        <f>'Ethylene Recycling HC'!K60</f>
        <v>1.317805674289424E-2</v>
      </c>
      <c r="L57" s="104">
        <f>'Ethylene Recycling HC'!L60</f>
        <v>1.3536274100814759E-2</v>
      </c>
      <c r="M57" s="104">
        <f>'Ethylene Recycling HC'!M60</f>
        <v>1.3894491458735276E-2</v>
      </c>
      <c r="N57" s="104">
        <f>'Ethylene Recycling HC'!N60</f>
        <v>1.4719476889097683E-2</v>
      </c>
      <c r="O57" s="104">
        <f>'Ethylene Recycling HC'!O60</f>
        <v>1.5544462319460089E-2</v>
      </c>
      <c r="P57" s="104">
        <f>'Ethylene Recycling HC'!P60</f>
        <v>1.6369447749822495E-2</v>
      </c>
      <c r="Q57" s="104">
        <f>'Ethylene Recycling HC'!Q60</f>
        <v>1.7194433180184904E-2</v>
      </c>
      <c r="R57" s="104">
        <f>'Ethylene Recycling HC'!R60</f>
        <v>1.8019418610547309E-2</v>
      </c>
      <c r="S57" s="104">
        <f>'Ethylene Recycling HC'!S60</f>
        <v>1.8844404040909715E-2</v>
      </c>
      <c r="T57" s="104">
        <f>'Ethylene Recycling HC'!T60</f>
        <v>1.9669389471272124E-2</v>
      </c>
      <c r="U57" s="104">
        <f>'Ethylene Recycling HC'!U60</f>
        <v>2.049437490163453E-2</v>
      </c>
      <c r="V57" s="104">
        <f>'Ethylene Recycling HC'!V60</f>
        <v>2.1319360331996939E-2</v>
      </c>
      <c r="W57" s="104">
        <f>'Ethylene Recycling HC'!W60</f>
        <v>2.2144345762359345E-2</v>
      </c>
      <c r="X57" s="104">
        <f>'Ethylene Recycling HC'!X60</f>
        <v>2.3459166291999432E-2</v>
      </c>
      <c r="Y57" s="104">
        <f>'Ethylene Recycling HC'!Y60</f>
        <v>2.4773986821639518E-2</v>
      </c>
      <c r="Z57" s="104">
        <f>'Ethylene Recycling HC'!Z60</f>
        <v>2.6088807351279601E-2</v>
      </c>
      <c r="AA57" s="104">
        <f>'Ethylene Recycling HC'!AA60</f>
        <v>2.7403627880919684E-2</v>
      </c>
      <c r="AB57" s="104">
        <f>'Ethylene Recycling HC'!AB60</f>
        <v>2.8718448410559774E-2</v>
      </c>
      <c r="AC57" s="104">
        <f>'Ethylene Recycling HC'!AC60</f>
        <v>3.0033268940199857E-2</v>
      </c>
      <c r="AD57" s="104">
        <f>'Ethylene Recycling HC'!AD60</f>
        <v>3.1348089469839947E-2</v>
      </c>
      <c r="AE57" s="104">
        <f>'Ethylene Recycling HC'!AE60</f>
        <v>3.266290999948003E-2</v>
      </c>
      <c r="AF57" s="104">
        <f>'Ethylene Recycling HC'!AF60</f>
        <v>3.3977730529120113E-2</v>
      </c>
      <c r="AG57" s="104">
        <f>'Ethylene Recycling HC'!AG60</f>
        <v>3.5292551058760203E-2</v>
      </c>
      <c r="AH57" s="252"/>
      <c r="AJ57" s="198"/>
      <c r="AL57" s="102"/>
      <c r="AM57" s="2"/>
      <c r="AN57" s="2"/>
      <c r="AO57" s="2"/>
      <c r="BC57" s="1"/>
      <c r="BD57" s="2"/>
      <c r="BE57" s="2"/>
      <c r="BF57" s="2"/>
      <c r="BG57" s="2"/>
      <c r="BH57" s="2"/>
      <c r="BI57" s="2"/>
      <c r="BJ57" s="2"/>
      <c r="BK57" s="2"/>
    </row>
    <row r="58" spans="1:63" outlineLevel="1">
      <c r="A58" t="s">
        <v>440</v>
      </c>
      <c r="B58" s="51" t="s">
        <v>126</v>
      </c>
      <c r="C58" s="104">
        <f>'Ethylene Recycling HC'!C61</f>
        <v>6.0660693409000509E-2</v>
      </c>
      <c r="D58" s="104">
        <f>'Ethylene Recycling HC'!D61</f>
        <v>6.2980835541847857E-2</v>
      </c>
      <c r="E58" s="104">
        <f>'Ethylene Recycling HC'!E61</f>
        <v>6.5315277531722254E-2</v>
      </c>
      <c r="F58" s="104">
        <f>'Ethylene Recycling HC'!F61</f>
        <v>6.7664019378623735E-2</v>
      </c>
      <c r="G58" s="104">
        <f>'Ethylene Recycling HC'!G61</f>
        <v>7.0027061082552286E-2</v>
      </c>
      <c r="H58" s="104">
        <f>'Ethylene Recycling HC'!H61</f>
        <v>7.2404402643507892E-2</v>
      </c>
      <c r="I58" s="104">
        <f>'Ethylene Recycling HC'!I61</f>
        <v>7.4796044061490555E-2</v>
      </c>
      <c r="J58" s="104">
        <f>'Ethylene Recycling HC'!J61</f>
        <v>7.7201985336500301E-2</v>
      </c>
      <c r="K58" s="104">
        <f>'Ethylene Recycling HC'!K61</f>
        <v>7.9622226468537116E-2</v>
      </c>
      <c r="L58" s="104">
        <f>'Ethylene Recycling HC'!L61</f>
        <v>8.2056767457600988E-2</v>
      </c>
      <c r="M58" s="104">
        <f>'Ethylene Recycling HC'!M61</f>
        <v>8.4505608303691915E-2</v>
      </c>
      <c r="N58" s="104">
        <f>'Ethylene Recycling HC'!N61</f>
        <v>8.9816925859279709E-2</v>
      </c>
      <c r="O58" s="104">
        <f>'Ethylene Recycling HC'!O61</f>
        <v>9.5161176418929821E-2</v>
      </c>
      <c r="P58" s="104">
        <f>'Ethylene Recycling HC'!P61</f>
        <v>0.10053835998264227</v>
      </c>
      <c r="Q58" s="104">
        <f>'Ethylene Recycling HC'!Q61</f>
        <v>0.10594847655041706</v>
      </c>
      <c r="R58" s="104">
        <f>'Ethylene Recycling HC'!R61</f>
        <v>0.11139152612225417</v>
      </c>
      <c r="S58" s="104">
        <f>'Ethylene Recycling HC'!S61</f>
        <v>0.11686750869815363</v>
      </c>
      <c r="T58" s="104">
        <f>'Ethylene Recycling HC'!T61</f>
        <v>0.12237642427811544</v>
      </c>
      <c r="U58" s="104">
        <f>'Ethylene Recycling HC'!U61</f>
        <v>0.12791827286213955</v>
      </c>
      <c r="V58" s="104">
        <f>'Ethylene Recycling HC'!V61</f>
        <v>0.133493054450226</v>
      </c>
      <c r="W58" s="104">
        <f>'Ethylene Recycling HC'!W61</f>
        <v>0.13910076904237478</v>
      </c>
      <c r="X58" s="104">
        <f>'Ethylene Recycling HC'!X61</f>
        <v>0.14782811627271453</v>
      </c>
      <c r="Y58" s="104">
        <f>'Ethylene Recycling HC'!Y61</f>
        <v>0.15660795047827863</v>
      </c>
      <c r="Z58" s="104">
        <f>'Ethylene Recycling HC'!Z61</f>
        <v>0.16544027165906708</v>
      </c>
      <c r="AA58" s="104">
        <f>'Ethylene Recycling HC'!AA61</f>
        <v>0.17432507981507986</v>
      </c>
      <c r="AB58" s="104">
        <f>'Ethylene Recycling HC'!AB61</f>
        <v>0.183262374946317</v>
      </c>
      <c r="AC58" s="104">
        <f>'Ethylene Recycling HC'!AC61</f>
        <v>0.19225215705277843</v>
      </c>
      <c r="AD58" s="104">
        <f>'Ethylene Recycling HC'!AD61</f>
        <v>0.20129442613446427</v>
      </c>
      <c r="AE58" s="104">
        <f>'Ethylene Recycling HC'!AE61</f>
        <v>0.21038918219137442</v>
      </c>
      <c r="AF58" s="104">
        <f>'Ethylene Recycling HC'!AF61</f>
        <v>0.21953642522350891</v>
      </c>
      <c r="AG58" s="104">
        <f>'Ethylene Recycling HC'!AG61</f>
        <v>0.22873615523086779</v>
      </c>
      <c r="AH58" s="252"/>
      <c r="AI58" s="126"/>
      <c r="AJ58" s="198"/>
      <c r="AL58" s="102"/>
      <c r="AM58" s="2"/>
      <c r="AN58" s="2"/>
      <c r="AO58" s="2"/>
      <c r="BC58" s="1"/>
      <c r="BD58" s="2"/>
      <c r="BE58" s="2"/>
      <c r="BF58" s="2"/>
      <c r="BG58" s="2"/>
      <c r="BH58" s="2"/>
      <c r="BI58" s="2"/>
      <c r="BJ58" s="2"/>
      <c r="BK58" s="2"/>
    </row>
    <row r="59" spans="1:63" outlineLevel="1">
      <c r="C59" s="104"/>
      <c r="D59" s="104"/>
      <c r="E59" s="104"/>
      <c r="F59" s="104"/>
      <c r="G59" s="104"/>
      <c r="H59" s="104"/>
      <c r="I59" s="104"/>
      <c r="J59" s="104"/>
      <c r="K59" s="104"/>
      <c r="L59" s="104"/>
      <c r="M59" s="104"/>
      <c r="N59" s="104"/>
      <c r="O59" s="104"/>
      <c r="P59" s="104"/>
      <c r="Q59" s="104"/>
      <c r="R59" s="104"/>
      <c r="S59" s="104"/>
      <c r="T59" s="104"/>
      <c r="U59" s="104"/>
      <c r="V59" s="104"/>
      <c r="W59" s="104"/>
      <c r="X59" s="104"/>
      <c r="Y59" s="104"/>
      <c r="Z59" s="104"/>
      <c r="AA59" s="104"/>
      <c r="AB59" s="104"/>
      <c r="AC59" s="104"/>
      <c r="AD59" s="104"/>
      <c r="AE59" s="104"/>
      <c r="AF59" s="104"/>
      <c r="AG59" s="104"/>
      <c r="AI59" s="126"/>
      <c r="AJ59" s="198"/>
      <c r="AL59" s="102"/>
      <c r="AM59" s="2"/>
      <c r="AN59" s="2"/>
      <c r="AO59" s="2"/>
      <c r="BC59" s="1"/>
      <c r="BD59" s="2"/>
      <c r="BE59" s="2"/>
      <c r="BF59" s="2"/>
      <c r="BG59" s="2"/>
      <c r="BH59" s="2"/>
      <c r="BI59" s="2"/>
      <c r="BJ59" s="2"/>
      <c r="BK59" s="2"/>
    </row>
    <row r="60" spans="1:63" outlineLevel="1">
      <c r="A60" t="s">
        <v>1080</v>
      </c>
      <c r="C60" s="357">
        <f>'Overall recycling rates'!E84</f>
        <v>1.6309546538973254E-4</v>
      </c>
      <c r="D60" s="357">
        <f>C60-($C60-$AG60)/($AG$1-$C$1)</f>
        <v>2.682432561654341E-2</v>
      </c>
      <c r="E60" s="357">
        <f t="shared" ref="E60:AF60" si="29">D60-($C60-$AG60)/($AG$1-$C$1)</f>
        <v>5.3485555767697091E-2</v>
      </c>
      <c r="F60" s="357">
        <f t="shared" si="29"/>
        <v>8.0146785918850771E-2</v>
      </c>
      <c r="G60" s="357">
        <f t="shared" si="29"/>
        <v>0.10680801607000445</v>
      </c>
      <c r="H60" s="357">
        <f t="shared" si="29"/>
        <v>0.13346924622115813</v>
      </c>
      <c r="I60" s="357">
        <f t="shared" si="29"/>
        <v>0.16013047637231181</v>
      </c>
      <c r="J60" s="357">
        <f t="shared" si="29"/>
        <v>0.18679170652346549</v>
      </c>
      <c r="K60" s="357">
        <f t="shared" si="29"/>
        <v>0.21345293667461918</v>
      </c>
      <c r="L60" s="357">
        <f t="shared" si="29"/>
        <v>0.24011416682577286</v>
      </c>
      <c r="M60" s="357">
        <f t="shared" si="29"/>
        <v>0.26677539697692654</v>
      </c>
      <c r="N60" s="357">
        <f t="shared" si="29"/>
        <v>0.29343662712808022</v>
      </c>
      <c r="O60" s="357">
        <f t="shared" si="29"/>
        <v>0.3200978572792339</v>
      </c>
      <c r="P60" s="357">
        <f t="shared" si="29"/>
        <v>0.34675908743038758</v>
      </c>
      <c r="Q60" s="357">
        <f t="shared" si="29"/>
        <v>0.37342031758154126</v>
      </c>
      <c r="R60" s="357">
        <f t="shared" si="29"/>
        <v>0.40008154773269494</v>
      </c>
      <c r="S60" s="357">
        <f t="shared" si="29"/>
        <v>0.42674277788384862</v>
      </c>
      <c r="T60" s="357">
        <f t="shared" si="29"/>
        <v>0.4534040080350023</v>
      </c>
      <c r="U60" s="357">
        <f t="shared" si="29"/>
        <v>0.48006523818615598</v>
      </c>
      <c r="V60" s="357">
        <f t="shared" si="29"/>
        <v>0.50672646833730961</v>
      </c>
      <c r="W60" s="357">
        <f t="shared" si="29"/>
        <v>0.53338769848846324</v>
      </c>
      <c r="X60" s="357">
        <f t="shared" si="29"/>
        <v>0.56004892863961686</v>
      </c>
      <c r="Y60" s="357">
        <f t="shared" si="29"/>
        <v>0.58671015879077049</v>
      </c>
      <c r="Z60" s="357">
        <f t="shared" si="29"/>
        <v>0.61337138894192411</v>
      </c>
      <c r="AA60" s="357">
        <f t="shared" si="29"/>
        <v>0.64003261909307774</v>
      </c>
      <c r="AB60" s="357">
        <f t="shared" si="29"/>
        <v>0.66669384924423136</v>
      </c>
      <c r="AC60" s="357">
        <f t="shared" si="29"/>
        <v>0.69335507939538499</v>
      </c>
      <c r="AD60" s="357">
        <f t="shared" si="29"/>
        <v>0.72001630954653861</v>
      </c>
      <c r="AE60" s="357">
        <f t="shared" si="29"/>
        <v>0.74667753969769224</v>
      </c>
      <c r="AF60" s="357">
        <f t="shared" si="29"/>
        <v>0.77333876984884586</v>
      </c>
      <c r="AG60" s="357">
        <f>'Overall recycling rates'!E93</f>
        <v>0.8</v>
      </c>
      <c r="AI60" s="126"/>
      <c r="AJ60" s="198"/>
      <c r="AL60" s="102"/>
      <c r="AM60" s="2"/>
      <c r="AN60" s="2"/>
      <c r="AO60" s="2"/>
      <c r="BC60" s="1"/>
      <c r="BD60" s="2"/>
      <c r="BE60" s="2"/>
      <c r="BF60" s="2"/>
      <c r="BG60" s="2"/>
      <c r="BH60" s="2"/>
      <c r="BI60" s="2"/>
      <c r="BJ60" s="2"/>
      <c r="BK60" s="2"/>
    </row>
    <row r="61" spans="1:63" outlineLevel="1">
      <c r="A61" t="s">
        <v>1082</v>
      </c>
      <c r="B61" s="51" t="s">
        <v>126</v>
      </c>
      <c r="C61" s="104">
        <f>C47*C$60</f>
        <v>7.6654868733174297E-6</v>
      </c>
      <c r="D61" s="104">
        <f t="shared" ref="D61:AG62" si="30">D47*D$60</f>
        <v>1.3465811459504793E-3</v>
      </c>
      <c r="E61" s="104">
        <f t="shared" si="30"/>
        <v>2.8561286779950246E-3</v>
      </c>
      <c r="F61" s="104">
        <f t="shared" si="30"/>
        <v>4.5363080830069531E-3</v>
      </c>
      <c r="G61" s="104">
        <f t="shared" si="30"/>
        <v>6.3871193609862662E-3</v>
      </c>
      <c r="H61" s="104">
        <f t="shared" si="30"/>
        <v>8.4085625119329627E-3</v>
      </c>
      <c r="I61" s="104">
        <f t="shared" si="30"/>
        <v>1.0600637535847043E-2</v>
      </c>
      <c r="J61" s="104">
        <f t="shared" si="30"/>
        <v>1.2963344432728506E-2</v>
      </c>
      <c r="K61" s="104">
        <f t="shared" si="30"/>
        <v>1.5496683202577351E-2</v>
      </c>
      <c r="L61" s="104">
        <f t="shared" si="30"/>
        <v>1.8200653845393586E-2</v>
      </c>
      <c r="M61" s="104">
        <f t="shared" si="30"/>
        <v>2.1075256361177196E-2</v>
      </c>
      <c r="N61" s="104">
        <f t="shared" si="30"/>
        <v>2.4971456968599631E-2</v>
      </c>
      <c r="O61" s="104">
        <f t="shared" si="30"/>
        <v>2.9192924583866131E-2</v>
      </c>
      <c r="P61" s="104">
        <f t="shared" si="30"/>
        <v>3.3739659206976712E-2</v>
      </c>
      <c r="Q61" s="104">
        <f t="shared" si="30"/>
        <v>3.8611660837931369E-2</v>
      </c>
      <c r="R61" s="104">
        <f t="shared" si="30"/>
        <v>4.3808929476730103E-2</v>
      </c>
      <c r="S61" s="104">
        <f t="shared" si="30"/>
        <v>4.9331465123372907E-2</v>
      </c>
      <c r="T61" s="104">
        <f t="shared" si="30"/>
        <v>5.5179267777859781E-2</v>
      </c>
      <c r="U61" s="104">
        <f t="shared" si="30"/>
        <v>6.1352337440190745E-2</v>
      </c>
      <c r="V61" s="104">
        <f t="shared" si="30"/>
        <v>6.7850674110365772E-2</v>
      </c>
      <c r="W61" s="104">
        <f t="shared" si="30"/>
        <v>7.4674277788384855E-2</v>
      </c>
      <c r="X61" s="104">
        <f t="shared" si="30"/>
        <v>8.446104982041007E-2</v>
      </c>
      <c r="Y61" s="104">
        <f t="shared" si="30"/>
        <v>9.4824244397981747E-2</v>
      </c>
      <c r="Z61" s="104">
        <f t="shared" si="30"/>
        <v>0.10576386152109989</v>
      </c>
      <c r="AA61" s="104">
        <f t="shared" si="30"/>
        <v>0.11727990118976449</v>
      </c>
      <c r="AB61" s="104">
        <f t="shared" si="30"/>
        <v>0.12937236340397554</v>
      </c>
      <c r="AC61" s="104">
        <f t="shared" si="30"/>
        <v>0.14204124816373306</v>
      </c>
      <c r="AD61" s="104">
        <f t="shared" si="30"/>
        <v>0.15528655546903705</v>
      </c>
      <c r="AE61" s="104">
        <f t="shared" si="30"/>
        <v>0.1691082853198875</v>
      </c>
      <c r="AF61" s="104">
        <f t="shared" si="30"/>
        <v>0.18350643771628439</v>
      </c>
      <c r="AG61" s="104">
        <f t="shared" si="30"/>
        <v>0.1984810126582279</v>
      </c>
      <c r="AI61" s="126"/>
      <c r="AJ61" s="198"/>
      <c r="AL61" s="102"/>
      <c r="AM61" s="2"/>
      <c r="AN61" s="2"/>
      <c r="AO61" s="2"/>
      <c r="AV61" s="38"/>
    </row>
    <row r="62" spans="1:63" outlineLevel="1">
      <c r="A62" t="s">
        <v>1083</v>
      </c>
      <c r="B62" s="51" t="s">
        <v>126</v>
      </c>
      <c r="C62" s="104">
        <f>C48*C$60</f>
        <v>1.5494069212024591E-5</v>
      </c>
      <c r="D62" s="104">
        <f t="shared" si="30"/>
        <v>2.6368312081062172E-3</v>
      </c>
      <c r="E62" s="104">
        <f t="shared" si="30"/>
        <v>5.4341324659980244E-3</v>
      </c>
      <c r="F62" s="104">
        <f t="shared" si="30"/>
        <v>8.4073978428874461E-3</v>
      </c>
      <c r="G62" s="104">
        <f t="shared" si="30"/>
        <v>1.1556627338774482E-2</v>
      </c>
      <c r="H62" s="104">
        <f t="shared" si="30"/>
        <v>1.4881820953659131E-2</v>
      </c>
      <c r="I62" s="104">
        <f t="shared" si="30"/>
        <v>1.8382978687541397E-2</v>
      </c>
      <c r="J62" s="104">
        <f t="shared" si="30"/>
        <v>2.2060100540421273E-2</v>
      </c>
      <c r="K62" s="104">
        <f t="shared" si="30"/>
        <v>2.5913186512298771E-2</v>
      </c>
      <c r="L62" s="104">
        <f t="shared" si="30"/>
        <v>2.9942236603173876E-2</v>
      </c>
      <c r="M62" s="104">
        <f t="shared" si="30"/>
        <v>3.4147250813046599E-2</v>
      </c>
      <c r="N62" s="104">
        <f t="shared" si="30"/>
        <v>3.9790006638567674E-2</v>
      </c>
      <c r="O62" s="104">
        <f t="shared" si="30"/>
        <v>4.5838013162386296E-2</v>
      </c>
      <c r="P62" s="104">
        <f t="shared" si="30"/>
        <v>5.2291270384502445E-2</v>
      </c>
      <c r="Q62" s="104">
        <f t="shared" si="30"/>
        <v>5.9149778304916127E-2</v>
      </c>
      <c r="R62" s="104">
        <f t="shared" si="30"/>
        <v>6.641353692362735E-2</v>
      </c>
      <c r="S62" s="104">
        <f t="shared" si="30"/>
        <v>7.4082546240636107E-2</v>
      </c>
      <c r="T62" s="104">
        <f t="shared" si="30"/>
        <v>8.2156806255942419E-2</v>
      </c>
      <c r="U62" s="104">
        <f t="shared" si="30"/>
        <v>9.0636316969546243E-2</v>
      </c>
      <c r="V62" s="104">
        <f t="shared" si="30"/>
        <v>9.9521078381447609E-2</v>
      </c>
      <c r="W62" s="104">
        <f t="shared" si="30"/>
        <v>0.10881109049164649</v>
      </c>
      <c r="X62" s="104">
        <f t="shared" si="30"/>
        <v>0.12103357409062919</v>
      </c>
      <c r="Y62" s="104">
        <f t="shared" si="30"/>
        <v>0.1339019259900236</v>
      </c>
      <c r="Z62" s="104">
        <f t="shared" si="30"/>
        <v>0.14741614618982968</v>
      </c>
      <c r="AA62" s="104">
        <f t="shared" si="30"/>
        <v>0.16157623469004745</v>
      </c>
      <c r="AB62" s="104">
        <f t="shared" si="30"/>
        <v>0.17638219149067694</v>
      </c>
      <c r="AC62" s="104">
        <f t="shared" si="30"/>
        <v>0.19183401659171812</v>
      </c>
      <c r="AD62" s="104">
        <f t="shared" si="30"/>
        <v>0.20793170999317101</v>
      </c>
      <c r="AE62" s="104">
        <f t="shared" si="30"/>
        <v>0.22467527169503557</v>
      </c>
      <c r="AF62" s="104">
        <f t="shared" si="30"/>
        <v>0.24206470169731181</v>
      </c>
      <c r="AG62" s="104">
        <f t="shared" si="30"/>
        <v>0.26009999999999994</v>
      </c>
      <c r="AH62" s="230"/>
      <c r="AI62" s="126"/>
      <c r="AJ62" s="198"/>
      <c r="AL62" s="102"/>
      <c r="AM62" s="2"/>
      <c r="AN62" s="2"/>
      <c r="AO62" s="2"/>
      <c r="AV62" s="38"/>
    </row>
    <row r="63" spans="1:63" outlineLevel="1">
      <c r="A63" t="s">
        <v>1084</v>
      </c>
      <c r="B63" s="165" t="s">
        <v>126</v>
      </c>
      <c r="C63" s="104">
        <f>SUM(C61:C62)</f>
        <v>2.3159556085342019E-5</v>
      </c>
      <c r="D63" s="104">
        <f t="shared" ref="D63:AG63" si="31">SUM(D61:D62)</f>
        <v>3.9834123540566967E-3</v>
      </c>
      <c r="E63" s="104">
        <f t="shared" si="31"/>
        <v>8.2902611439930485E-3</v>
      </c>
      <c r="F63" s="104">
        <f t="shared" si="31"/>
        <v>1.2943705925894399E-2</v>
      </c>
      <c r="G63" s="104">
        <f t="shared" si="31"/>
        <v>1.7943746699760749E-2</v>
      </c>
      <c r="H63" s="104">
        <f t="shared" si="31"/>
        <v>2.3290383465592094E-2</v>
      </c>
      <c r="I63" s="104">
        <f t="shared" si="31"/>
        <v>2.898361622338844E-2</v>
      </c>
      <c r="J63" s="104">
        <f t="shared" si="31"/>
        <v>3.5023444973149777E-2</v>
      </c>
      <c r="K63" s="104">
        <f t="shared" si="31"/>
        <v>4.1409869714876119E-2</v>
      </c>
      <c r="L63" s="104">
        <f t="shared" si="31"/>
        <v>4.8142890448567462E-2</v>
      </c>
      <c r="M63" s="104">
        <f t="shared" si="31"/>
        <v>5.5222507174223792E-2</v>
      </c>
      <c r="N63" s="104">
        <f t="shared" si="31"/>
        <v>6.4761463607167308E-2</v>
      </c>
      <c r="O63" s="104">
        <f t="shared" si="31"/>
        <v>7.5030937746252427E-2</v>
      </c>
      <c r="P63" s="104">
        <f t="shared" si="31"/>
        <v>8.6030929591479149E-2</v>
      </c>
      <c r="Q63" s="104">
        <f t="shared" si="31"/>
        <v>9.7761439142847489E-2</v>
      </c>
      <c r="R63" s="104">
        <f t="shared" si="31"/>
        <v>0.11022246640035746</v>
      </c>
      <c r="S63" s="104">
        <f t="shared" si="31"/>
        <v>0.12341401136400901</v>
      </c>
      <c r="T63" s="104">
        <f t="shared" si="31"/>
        <v>0.13733607403380221</v>
      </c>
      <c r="U63" s="104">
        <f t="shared" si="31"/>
        <v>0.151988654409737</v>
      </c>
      <c r="V63" s="104">
        <f t="shared" si="31"/>
        <v>0.16737175249181338</v>
      </c>
      <c r="W63" s="104">
        <f t="shared" si="31"/>
        <v>0.18348536828003134</v>
      </c>
      <c r="X63" s="104">
        <f t="shared" si="31"/>
        <v>0.20549462391103926</v>
      </c>
      <c r="Y63" s="104">
        <f t="shared" si="31"/>
        <v>0.22872617038800536</v>
      </c>
      <c r="Z63" s="104">
        <f t="shared" si="31"/>
        <v>0.25318000771092958</v>
      </c>
      <c r="AA63" s="104">
        <f t="shared" si="31"/>
        <v>0.27885613587981195</v>
      </c>
      <c r="AB63" s="104">
        <f t="shared" si="31"/>
        <v>0.30575455489465247</v>
      </c>
      <c r="AC63" s="104">
        <f t="shared" si="31"/>
        <v>0.33387526475545115</v>
      </c>
      <c r="AD63" s="104">
        <f t="shared" si="31"/>
        <v>0.36321826546220803</v>
      </c>
      <c r="AE63" s="104">
        <f t="shared" si="31"/>
        <v>0.39378355701492307</v>
      </c>
      <c r="AF63" s="104">
        <f t="shared" si="31"/>
        <v>0.4255711394135962</v>
      </c>
      <c r="AG63" s="104">
        <f t="shared" si="31"/>
        <v>0.45858101265822782</v>
      </c>
      <c r="AI63" s="126"/>
      <c r="AJ63" s="198"/>
      <c r="AL63" s="102"/>
      <c r="AM63" s="2"/>
      <c r="AN63" s="2"/>
      <c r="AO63" s="2"/>
    </row>
    <row r="64" spans="1:63" outlineLevel="1">
      <c r="A64" t="s">
        <v>1085</v>
      </c>
      <c r="B64" s="51" t="s">
        <v>126</v>
      </c>
      <c r="C64" s="104">
        <f>C$60*C55</f>
        <v>1.7818078901440221E-6</v>
      </c>
      <c r="D64" s="104">
        <f t="shared" ref="D64:AG67" si="32">D$60*D55</f>
        <v>2.9752079815262934E-4</v>
      </c>
      <c r="E64" s="104">
        <f t="shared" si="32"/>
        <v>6.013740301540584E-4</v>
      </c>
      <c r="F64" s="104">
        <f t="shared" si="32"/>
        <v>9.121977485564498E-4</v>
      </c>
      <c r="G64" s="104">
        <f t="shared" si="32"/>
        <v>1.2288481980218219E-3</v>
      </c>
      <c r="H64" s="104">
        <f t="shared" si="32"/>
        <v>1.5501816232121927E-3</v>
      </c>
      <c r="I64" s="104">
        <f t="shared" si="32"/>
        <v>1.875054268789581E-3</v>
      </c>
      <c r="J64" s="104">
        <f t="shared" si="32"/>
        <v>2.2023223794160052E-3</v>
      </c>
      <c r="K64" s="104">
        <f t="shared" si="32"/>
        <v>2.5308421997534839E-3</v>
      </c>
      <c r="L64" s="104">
        <f t="shared" si="32"/>
        <v>2.8594699744640354E-3</v>
      </c>
      <c r="M64" s="104">
        <f t="shared" si="32"/>
        <v>3.1870619482096776E-3</v>
      </c>
      <c r="N64" s="104">
        <f t="shared" si="32"/>
        <v>3.6275058947636669E-3</v>
      </c>
      <c r="O64" s="104">
        <f t="shared" si="32"/>
        <v>4.0795652980108246E-3</v>
      </c>
      <c r="P64" s="104">
        <f t="shared" si="32"/>
        <v>4.5406060547485286E-3</v>
      </c>
      <c r="Q64" s="104">
        <f t="shared" si="32"/>
        <v>5.0079940617741535E-3</v>
      </c>
      <c r="R64" s="104">
        <f t="shared" si="32"/>
        <v>5.4790952158850752E-3</v>
      </c>
      <c r="S64" s="104">
        <f t="shared" si="32"/>
        <v>5.9512754138786698E-3</v>
      </c>
      <c r="T64" s="104">
        <f t="shared" si="32"/>
        <v>6.4219005525523124E-3</v>
      </c>
      <c r="U64" s="104">
        <f t="shared" si="32"/>
        <v>6.8883365287033789E-3</v>
      </c>
      <c r="V64" s="104">
        <f t="shared" si="32"/>
        <v>7.3479492391292454E-3</v>
      </c>
      <c r="W64" s="104">
        <f t="shared" si="32"/>
        <v>7.798104580627286E-3</v>
      </c>
      <c r="X64" s="104">
        <f t="shared" si="32"/>
        <v>8.4118098022188947E-3</v>
      </c>
      <c r="Y64" s="104">
        <f t="shared" si="32"/>
        <v>9.0160398113873601E-3</v>
      </c>
      <c r="Z64" s="104">
        <f t="shared" si="32"/>
        <v>9.6065965061535013E-3</v>
      </c>
      <c r="AA64" s="104">
        <f t="shared" si="32"/>
        <v>1.0179281784538131E-2</v>
      </c>
      <c r="AB64" s="104">
        <f t="shared" si="32"/>
        <v>1.0729897544562069E-2</v>
      </c>
      <c r="AC64" s="104">
        <f t="shared" si="32"/>
        <v>1.1254245684246133E-2</v>
      </c>
      <c r="AD64" s="104">
        <f t="shared" si="32"/>
        <v>1.1748128101611143E-2</v>
      </c>
      <c r="AE64" s="104">
        <f t="shared" si="32"/>
        <v>1.2207346694677913E-2</v>
      </c>
      <c r="AF64" s="104">
        <f t="shared" si="32"/>
        <v>1.2627703361467263E-2</v>
      </c>
      <c r="AG64" s="104">
        <f t="shared" si="32"/>
        <v>1.3004999999999997E-2</v>
      </c>
      <c r="AI64" s="126"/>
      <c r="AJ64" s="198"/>
      <c r="AL64" s="102"/>
      <c r="AM64" s="2"/>
      <c r="AN64" s="2"/>
      <c r="AO64" s="2"/>
    </row>
    <row r="65" spans="1:63" outlineLevel="1">
      <c r="A65" t="s">
        <v>1086</v>
      </c>
      <c r="B65" s="51" t="s">
        <v>126</v>
      </c>
      <c r="C65" s="104">
        <f t="shared" ref="C65:R67" si="33">C$60*C56</f>
        <v>2.1368850156669302E-6</v>
      </c>
      <c r="D65" s="104">
        <f t="shared" si="33"/>
        <v>3.6366205806491535E-4</v>
      </c>
      <c r="E65" s="104">
        <f t="shared" si="33"/>
        <v>7.4945555495056554E-4</v>
      </c>
      <c r="F65" s="104">
        <f t="shared" si="33"/>
        <v>1.1595173756726175E-3</v>
      </c>
      <c r="G65" s="104">
        <f t="shared" si="33"/>
        <v>1.5938475202310713E-3</v>
      </c>
      <c r="H65" s="104">
        <f t="shared" si="33"/>
        <v>2.0524459886259267E-3</v>
      </c>
      <c r="I65" s="104">
        <f t="shared" si="33"/>
        <v>2.5353127808571837E-3</v>
      </c>
      <c r="J65" s="104">
        <f t="shared" si="33"/>
        <v>3.0424478969248428E-3</v>
      </c>
      <c r="K65" s="104">
        <f t="shared" si="33"/>
        <v>3.5738513368289036E-3</v>
      </c>
      <c r="L65" s="104">
        <f t="shared" si="33"/>
        <v>4.1295231005693657E-3</v>
      </c>
      <c r="M65" s="104">
        <f t="shared" si="33"/>
        <v>4.70946318814623E-3</v>
      </c>
      <c r="N65" s="104">
        <f t="shared" si="33"/>
        <v>5.4876913092175754E-3</v>
      </c>
      <c r="O65" s="104">
        <f t="shared" si="33"/>
        <v>6.3218101154879055E-3</v>
      </c>
      <c r="P65" s="104">
        <f t="shared" si="33"/>
        <v>7.2118196069572227E-3</v>
      </c>
      <c r="Q65" s="104">
        <f t="shared" si="33"/>
        <v>8.1577197836255246E-3</v>
      </c>
      <c r="R65" s="104">
        <f t="shared" si="33"/>
        <v>9.1595106454928129E-3</v>
      </c>
      <c r="S65" s="104">
        <f t="shared" si="32"/>
        <v>1.0217192192559087E-2</v>
      </c>
      <c r="T65" s="104">
        <f t="shared" si="32"/>
        <v>1.1330764424824348E-2</v>
      </c>
      <c r="U65" s="104">
        <f t="shared" si="32"/>
        <v>1.2500227342288594E-2</v>
      </c>
      <c r="V65" s="104">
        <f t="shared" si="32"/>
        <v>1.3725580944951824E-2</v>
      </c>
      <c r="W65" s="104">
        <f t="shared" si="32"/>
        <v>1.5006825232814039E-2</v>
      </c>
      <c r="X65" s="104">
        <f t="shared" si="32"/>
        <v>1.6692505198450912E-2</v>
      </c>
      <c r="Y65" s="104">
        <f t="shared" si="32"/>
        <v>1.8467260943623668E-2</v>
      </c>
      <c r="Z65" s="104">
        <f t="shared" si="32"/>
        <v>2.0331092468332305E-2</v>
      </c>
      <c r="AA65" s="104">
        <f t="shared" si="32"/>
        <v>2.2283999772576824E-2</v>
      </c>
      <c r="AB65" s="104">
        <f t="shared" si="32"/>
        <v>2.4325982856357238E-2</v>
      </c>
      <c r="AC65" s="104">
        <f t="shared" si="32"/>
        <v>2.6457041719673526E-2</v>
      </c>
      <c r="AD65" s="104">
        <f t="shared" si="32"/>
        <v>2.8677176362525699E-2</v>
      </c>
      <c r="AE65" s="104">
        <f t="shared" si="32"/>
        <v>3.0986386784913753E-2</v>
      </c>
      <c r="AF65" s="104">
        <f t="shared" si="32"/>
        <v>3.3384672986837692E-2</v>
      </c>
      <c r="AG65" s="104">
        <f t="shared" si="32"/>
        <v>3.5872034968297543E-2</v>
      </c>
      <c r="AI65" s="126"/>
      <c r="AJ65" s="198"/>
      <c r="AL65" s="102"/>
      <c r="AM65" s="2"/>
      <c r="AN65" s="2"/>
      <c r="AO65" s="2"/>
      <c r="BC65" s="1"/>
      <c r="BD65" s="2"/>
      <c r="BE65" s="2"/>
      <c r="BF65" s="2"/>
      <c r="BG65" s="2"/>
      <c r="BH65" s="2"/>
      <c r="BI65" s="2"/>
      <c r="BJ65" s="2"/>
      <c r="BK65" s="2"/>
    </row>
    <row r="66" spans="1:63" outlineLevel="1">
      <c r="A66" t="s">
        <v>1171</v>
      </c>
      <c r="C66" s="104">
        <f t="shared" si="33"/>
        <v>1.6818922838088195E-6</v>
      </c>
      <c r="D66" s="104">
        <f t="shared" si="32"/>
        <v>2.8622991171217541E-4</v>
      </c>
      <c r="E66" s="104">
        <f t="shared" si="32"/>
        <v>5.898789619878563E-4</v>
      </c>
      <c r="F66" s="104">
        <f t="shared" si="32"/>
        <v>9.1262904311085156E-4</v>
      </c>
      <c r="G66" s="104">
        <f t="shared" si="32"/>
        <v>1.2544801550811611E-3</v>
      </c>
      <c r="H66" s="104">
        <f t="shared" si="32"/>
        <v>1.6154322978987848E-3</v>
      </c>
      <c r="I66" s="104">
        <f t="shared" si="32"/>
        <v>1.9954854715637229E-3</v>
      </c>
      <c r="J66" s="104">
        <f t="shared" si="32"/>
        <v>2.3946396760759752E-3</v>
      </c>
      <c r="K66" s="104">
        <f t="shared" si="32"/>
        <v>2.8128949114355423E-3</v>
      </c>
      <c r="L66" s="104">
        <f t="shared" si="32"/>
        <v>3.2502511776424233E-3</v>
      </c>
      <c r="M66" s="104">
        <f t="shared" si="32"/>
        <v>3.7067084746966183E-3</v>
      </c>
      <c r="N66" s="104">
        <f t="shared" si="32"/>
        <v>4.3192336514265512E-3</v>
      </c>
      <c r="O66" s="104">
        <f t="shared" si="32"/>
        <v>4.9757490810169646E-3</v>
      </c>
      <c r="P66" s="104">
        <f t="shared" si="32"/>
        <v>5.6762547634678596E-3</v>
      </c>
      <c r="Q66" s="104">
        <f t="shared" si="32"/>
        <v>6.420750698779237E-3</v>
      </c>
      <c r="R66" s="104">
        <f t="shared" si="32"/>
        <v>7.209236886951095E-3</v>
      </c>
      <c r="S66" s="104">
        <f t="shared" si="32"/>
        <v>8.0417133279834345E-3</v>
      </c>
      <c r="T66" s="104">
        <f t="shared" si="32"/>
        <v>8.9181800218762555E-3</v>
      </c>
      <c r="U66" s="104">
        <f t="shared" si="32"/>
        <v>9.8386369686295581E-3</v>
      </c>
      <c r="V66" s="104">
        <f t="shared" si="32"/>
        <v>1.0803084168243342E-2</v>
      </c>
      <c r="W66" s="104">
        <f t="shared" si="32"/>
        <v>1.1811521620717604E-2</v>
      </c>
      <c r="X66" s="104">
        <f t="shared" si="32"/>
        <v>1.3138280948612895E-2</v>
      </c>
      <c r="Y66" s="104">
        <f t="shared" si="32"/>
        <v>1.4535149742004577E-2</v>
      </c>
      <c r="Z66" s="104">
        <f t="shared" si="32"/>
        <v>1.6002128000892648E-2</v>
      </c>
      <c r="AA66" s="104">
        <f t="shared" si="32"/>
        <v>1.7539215725277113E-2</v>
      </c>
      <c r="AB66" s="104">
        <f t="shared" si="32"/>
        <v>1.9146412915157975E-2</v>
      </c>
      <c r="AC66" s="104">
        <f t="shared" si="32"/>
        <v>2.0823719570535221E-2</v>
      </c>
      <c r="AD66" s="104">
        <f t="shared" si="32"/>
        <v>2.2571135691408867E-2</v>
      </c>
      <c r="AE66" s="104">
        <f t="shared" si="32"/>
        <v>2.43886612777789E-2</v>
      </c>
      <c r="AF66" s="104">
        <f t="shared" si="32"/>
        <v>2.6276296329645323E-2</v>
      </c>
      <c r="AG66" s="104">
        <f t="shared" si="32"/>
        <v>2.8234040847008163E-2</v>
      </c>
      <c r="AI66" s="126"/>
      <c r="AJ66" s="198"/>
      <c r="AL66" s="102"/>
      <c r="AM66" s="2"/>
      <c r="AN66" s="2"/>
      <c r="AO66" s="2"/>
      <c r="BC66" s="1"/>
      <c r="BD66" s="2"/>
      <c r="BE66" s="2"/>
      <c r="BF66" s="2"/>
      <c r="BG66" s="2"/>
      <c r="BH66" s="2"/>
      <c r="BI66" s="2"/>
      <c r="BJ66" s="2"/>
      <c r="BK66" s="2"/>
    </row>
    <row r="67" spans="1:63" outlineLevel="1">
      <c r="A67" t="s">
        <v>1087</v>
      </c>
      <c r="B67" s="51" t="s">
        <v>126</v>
      </c>
      <c r="C67" s="104">
        <f t="shared" si="33"/>
        <v>9.89348402240482E-6</v>
      </c>
      <c r="D67" s="104">
        <f t="shared" si="32"/>
        <v>1.6894184401764971E-3</v>
      </c>
      <c r="E67" s="104">
        <f t="shared" si="32"/>
        <v>3.4934239189055435E-3</v>
      </c>
      <c r="F67" s="104">
        <f t="shared" si="32"/>
        <v>5.4230536755475265E-3</v>
      </c>
      <c r="G67" s="104">
        <f t="shared" si="32"/>
        <v>7.4794514654404282E-3</v>
      </c>
      <c r="H67" s="104">
        <f t="shared" si="32"/>
        <v>9.6637610439222286E-3</v>
      </c>
      <c r="I67" s="104">
        <f t="shared" si="32"/>
        <v>1.1977126166330907E-2</v>
      </c>
      <c r="J67" s="104">
        <f t="shared" si="32"/>
        <v>1.4420690588004451E-2</v>
      </c>
      <c r="K67" s="104">
        <f t="shared" si="32"/>
        <v>1.6995598064280838E-2</v>
      </c>
      <c r="L67" s="104">
        <f t="shared" si="32"/>
        <v>1.9702992350498053E-2</v>
      </c>
      <c r="M67" s="104">
        <f t="shared" si="32"/>
        <v>2.254401720199407E-2</v>
      </c>
      <c r="N67" s="104">
        <f t="shared" si="32"/>
        <v>2.6355575783159887E-2</v>
      </c>
      <c r="O67" s="104">
        <f t="shared" si="32"/>
        <v>3.0460888667870598E-2</v>
      </c>
      <c r="P67" s="104">
        <f t="shared" si="32"/>
        <v>3.4862589959328831E-2</v>
      </c>
      <c r="Q67" s="104">
        <f t="shared" si="32"/>
        <v>3.9563313760737212E-2</v>
      </c>
      <c r="R67" s="104">
        <f t="shared" si="32"/>
        <v>4.4565694175298369E-2</v>
      </c>
      <c r="S67" s="104">
        <f t="shared" si="32"/>
        <v>4.9872365306214923E-2</v>
      </c>
      <c r="T67" s="104">
        <f t="shared" si="32"/>
        <v>5.5485961256689503E-2</v>
      </c>
      <c r="U67" s="104">
        <f t="shared" si="32"/>
        <v>6.1409116129924717E-2</v>
      </c>
      <c r="V67" s="104">
        <f t="shared" si="32"/>
        <v>6.7644464029123191E-2</v>
      </c>
      <c r="W67" s="104">
        <f t="shared" si="32"/>
        <v>7.4194639057487563E-2</v>
      </c>
      <c r="X67" s="104">
        <f t="shared" si="32"/>
        <v>8.2790978141346477E-2</v>
      </c>
      <c r="Y67" s="104">
        <f t="shared" si="32"/>
        <v>9.1883475493007974E-2</v>
      </c>
      <c r="Z67" s="104">
        <f t="shared" si="32"/>
        <v>0.10147632921445121</v>
      </c>
      <c r="AA67" s="104">
        <f t="shared" si="32"/>
        <v>0.11157373740765539</v>
      </c>
      <c r="AB67" s="104">
        <f t="shared" si="32"/>
        <v>0.12217989817459968</v>
      </c>
      <c r="AC67" s="104">
        <f t="shared" si="32"/>
        <v>0.13329900961726321</v>
      </c>
      <c r="AD67" s="104">
        <f t="shared" si="32"/>
        <v>0.14493526983762528</v>
      </c>
      <c r="AE67" s="104">
        <f t="shared" si="32"/>
        <v>0.15709287693766499</v>
      </c>
      <c r="AF67" s="104">
        <f t="shared" si="32"/>
        <v>0.16977602901936151</v>
      </c>
      <c r="AG67" s="104">
        <f t="shared" si="32"/>
        <v>0.18298892418469426</v>
      </c>
      <c r="AH67" s="230"/>
      <c r="AI67" s="126"/>
      <c r="AJ67" s="198"/>
      <c r="AL67" s="102"/>
      <c r="AM67" s="2"/>
      <c r="AN67" s="2"/>
      <c r="AO67" s="2"/>
      <c r="BC67" s="1"/>
      <c r="BD67" s="2"/>
      <c r="BE67" s="2"/>
      <c r="BF67" s="2"/>
      <c r="BG67" s="2"/>
      <c r="BH67" s="2"/>
      <c r="BI67" s="2"/>
      <c r="BJ67" s="2"/>
      <c r="BK67" s="2"/>
    </row>
    <row r="68" spans="1:63" outlineLevel="1">
      <c r="C68" s="104"/>
      <c r="D68" s="104"/>
      <c r="E68" s="104"/>
      <c r="F68" s="104"/>
      <c r="G68" s="104"/>
      <c r="H68" s="104"/>
      <c r="I68" s="104"/>
      <c r="J68" s="104"/>
      <c r="K68" s="104"/>
      <c r="L68" s="104"/>
      <c r="M68" s="104"/>
      <c r="N68" s="104"/>
      <c r="O68" s="104"/>
      <c r="P68" s="104"/>
      <c r="Q68" s="104"/>
      <c r="R68" s="104"/>
      <c r="S68" s="104"/>
      <c r="T68" s="104"/>
      <c r="U68" s="104"/>
      <c r="V68" s="104"/>
      <c r="W68" s="104"/>
      <c r="X68" s="104"/>
      <c r="Y68" s="104"/>
      <c r="Z68" s="104"/>
      <c r="AA68" s="104"/>
      <c r="AB68" s="104"/>
      <c r="AC68" s="104"/>
      <c r="AD68" s="104"/>
      <c r="AE68" s="104"/>
      <c r="AF68" s="104"/>
      <c r="AG68" s="104"/>
      <c r="AI68" s="127"/>
      <c r="AJ68" s="198"/>
      <c r="BC68" s="1"/>
      <c r="BD68" s="38"/>
      <c r="BF68" s="6"/>
      <c r="BG68" s="6"/>
      <c r="BH68" s="6"/>
      <c r="BI68" s="6"/>
      <c r="BJ68" s="6"/>
    </row>
    <row r="69" spans="1:63" s="1" customFormat="1" outlineLevel="1">
      <c r="A69" s="1" t="s">
        <v>261</v>
      </c>
      <c r="B69" s="61"/>
      <c r="C69" s="279">
        <f>C39*C61</f>
        <v>8.3513534653361754E-2</v>
      </c>
      <c r="D69" s="279">
        <f t="shared" ref="D69:AG69" si="34">D39*D61</f>
        <v>14.649990154178386</v>
      </c>
      <c r="E69" s="279">
        <f t="shared" si="34"/>
        <v>31.029115154481175</v>
      </c>
      <c r="F69" s="279">
        <f t="shared" si="34"/>
        <v>49.213031026912603</v>
      </c>
      <c r="G69" s="279">
        <f t="shared" si="34"/>
        <v>69.193880262823555</v>
      </c>
      <c r="H69" s="279">
        <f t="shared" si="34"/>
        <v>90.963805353564851</v>
      </c>
      <c r="I69" s="279">
        <f t="shared" si="34"/>
        <v>114.51494879048741</v>
      </c>
      <c r="J69" s="279">
        <f t="shared" si="34"/>
        <v>139.83945306494206</v>
      </c>
      <c r="K69" s="279">
        <f t="shared" si="34"/>
        <v>166.92946066827966</v>
      </c>
      <c r="L69" s="279">
        <f t="shared" si="34"/>
        <v>195.77711409185122</v>
      </c>
      <c r="M69" s="279">
        <f t="shared" si="34"/>
        <v>226.37455582700738</v>
      </c>
      <c r="N69" s="279">
        <f t="shared" si="34"/>
        <v>267.35804932851107</v>
      </c>
      <c r="O69" s="279">
        <f t="shared" si="34"/>
        <v>311.54232831549842</v>
      </c>
      <c r="P69" s="279">
        <f t="shared" si="34"/>
        <v>358.89353038104474</v>
      </c>
      <c r="Q69" s="279">
        <f t="shared" si="34"/>
        <v>409.37779311822527</v>
      </c>
      <c r="R69" s="279">
        <f t="shared" si="34"/>
        <v>462.96125412011531</v>
      </c>
      <c r="S69" s="279">
        <f t="shared" si="34"/>
        <v>519.61005097978978</v>
      </c>
      <c r="T69" s="279">
        <f t="shared" si="34"/>
        <v>579.29032129032407</v>
      </c>
      <c r="U69" s="279">
        <f t="shared" si="34"/>
        <v>641.96820264479368</v>
      </c>
      <c r="V69" s="279">
        <f t="shared" si="34"/>
        <v>707.60983263627338</v>
      </c>
      <c r="W69" s="279">
        <f t="shared" si="34"/>
        <v>776.18134885783832</v>
      </c>
      <c r="X69" s="279">
        <f t="shared" si="34"/>
        <v>874.98122397904831</v>
      </c>
      <c r="Y69" s="279">
        <f t="shared" si="34"/>
        <v>979.05452531918979</v>
      </c>
      <c r="Z69" s="279">
        <f t="shared" si="34"/>
        <v>1088.3413445315716</v>
      </c>
      <c r="AA69" s="279">
        <f t="shared" si="34"/>
        <v>1202.7817732695025</v>
      </c>
      <c r="AB69" s="279">
        <f t="shared" si="34"/>
        <v>1322.315903186292</v>
      </c>
      <c r="AC69" s="279">
        <f t="shared" si="34"/>
        <v>1446.8838259352481</v>
      </c>
      <c r="AD69" s="279">
        <f t="shared" si="34"/>
        <v>1576.4256331696809</v>
      </c>
      <c r="AE69" s="279">
        <f t="shared" si="34"/>
        <v>1710.8814165428985</v>
      </c>
      <c r="AF69" s="279">
        <f t="shared" si="34"/>
        <v>1850.1912677082098</v>
      </c>
      <c r="AG69" s="279">
        <f t="shared" si="34"/>
        <v>1994.2952783189257</v>
      </c>
      <c r="AH69" s="230"/>
      <c r="AI69" s="398"/>
      <c r="AJ69" s="399"/>
      <c r="AL69" s="207"/>
      <c r="AM69" s="118"/>
      <c r="AN69" s="118"/>
      <c r="AO69" s="118"/>
      <c r="BD69" s="118"/>
      <c r="BE69" s="118"/>
      <c r="BF69" s="118"/>
      <c r="BG69" s="118"/>
      <c r="BH69" s="118"/>
      <c r="BI69" s="118"/>
      <c r="BJ69" s="118"/>
      <c r="BK69" s="118"/>
    </row>
    <row r="70" spans="1:63" outlineLevel="1">
      <c r="A70" s="4" t="s">
        <v>35</v>
      </c>
      <c r="C70" s="216">
        <f>C$69*'Methanol recycling rates'!E33</f>
        <v>8.3513534653361754E-2</v>
      </c>
      <c r="D70" s="216">
        <f>D$69*'Methanol recycling rates'!F33</f>
        <v>14.161694517070545</v>
      </c>
      <c r="E70" s="216">
        <f>E$69*'Methanol recycling rates'!G33</f>
        <v>28.960665770721203</v>
      </c>
      <c r="F70" s="216">
        <f>F$69*'Methanol recycling rates'!H33</f>
        <v>44.292104510295033</v>
      </c>
      <c r="G70" s="216">
        <f>G$69*'Methanol recycling rates'!I33</f>
        <v>59.968735538132371</v>
      </c>
      <c r="H70" s="216">
        <f>H$69*'Methanol recycling rates'!J33</f>
        <v>75.804331244224173</v>
      </c>
      <c r="I70" s="216">
        <f>I$69*'Methanol recycling rates'!K33</f>
        <v>91.613711606212092</v>
      </c>
      <c r="J70" s="216">
        <f>J$69*'Methanol recycling rates'!L33</f>
        <v>107.21274418938839</v>
      </c>
      <c r="K70" s="216">
        <f>K$69*'Methanol recycling rates'!M33</f>
        <v>122.41834414669599</v>
      </c>
      <c r="L70" s="216">
        <f>L$69*'Methanol recycling rates'!N33</f>
        <v>137.04847421872853</v>
      </c>
      <c r="M70" s="216">
        <f>M$69*'Methanol recycling rates'!O33</f>
        <v>150.92214473373014</v>
      </c>
      <c r="N70" s="216">
        <f>N$69*'Methanol recycling rates'!P33</f>
        <v>169.33426608719989</v>
      </c>
      <c r="O70" s="216">
        <f>O$69*'Methanol recycling rates'!Q33</f>
        <v>186.93493287845359</v>
      </c>
      <c r="P70" s="216">
        <f>P$69*'Methanol recycling rates'!R33</f>
        <v>203.38490123175785</v>
      </c>
      <c r="Q70" s="216">
        <f>Q$69*'Methanol recycling rates'!S33</f>
        <v>218.34944191347498</v>
      </c>
      <c r="R70" s="216">
        <f>R$69*'Methanol recycling rates'!T33</f>
        <v>231.49834033206315</v>
      </c>
      <c r="S70" s="216">
        <f>S$69*'Methanol recycling rates'!U33</f>
        <v>242.50589653807617</v>
      </c>
      <c r="T70" s="216">
        <f>T$69*'Methanol recycling rates'!V33</f>
        <v>251.05092522416396</v>
      </c>
      <c r="U70" s="216">
        <f>U$69*'Methanol recycling rates'!W33</f>
        <v>256.8167557250722</v>
      </c>
      <c r="V70" s="216">
        <f>V$69*'Methanol recycling rates'!X33</f>
        <v>259.49123201764218</v>
      </c>
      <c r="W70" s="216">
        <f>W$69*'Methanol recycling rates'!Y33</f>
        <v>258.76671272081109</v>
      </c>
      <c r="X70" s="216">
        <f>X$69*'Methanol recycling rates'!Z33</f>
        <v>262.54123567870067</v>
      </c>
      <c r="Y70" s="216">
        <f>Y$69*'Methanol recycling rates'!AA33</f>
        <v>261.13614723145133</v>
      </c>
      <c r="Z70" s="216">
        <f>Z$69*'Methanol recycling rates'!AB33</f>
        <v>254.01016298143489</v>
      </c>
      <c r="AA70" s="216">
        <f>AA$69*'Methanol recycling rates'!AC33</f>
        <v>240.62998569934427</v>
      </c>
      <c r="AB70" s="216">
        <f>AB$69*'Methanol recycling rates'!AD33</f>
        <v>220.47030532419353</v>
      </c>
      <c r="AC70" s="216">
        <f>AC$69*'Methanol recycling rates'!AE33</f>
        <v>193.01379896331741</v>
      </c>
      <c r="AD70" s="216">
        <f>AD$69*'Methanol recycling rates'!AF33</f>
        <v>157.75113089237203</v>
      </c>
      <c r="AE70" s="216">
        <f>AE$69*'Methanol recycling rates'!AG33</f>
        <v>114.18095255533414</v>
      </c>
      <c r="AF70" s="216">
        <f>AF$69*'Methanol recycling rates'!AH33</f>
        <v>61.809902564501719</v>
      </c>
      <c r="AG70" s="216">
        <f>AG$69*'Methanol recycling rates'!AI33</f>
        <v>0.1526067004926821</v>
      </c>
      <c r="AH70" s="230"/>
      <c r="AI70" s="126"/>
      <c r="AJ70" s="198"/>
      <c r="AL70" s="102"/>
      <c r="AM70" s="2"/>
      <c r="AN70" s="2"/>
      <c r="AO70" s="2"/>
      <c r="BC70" s="1"/>
      <c r="BD70" s="2"/>
      <c r="BE70" s="2"/>
      <c r="BF70" s="2"/>
      <c r="BG70" s="2"/>
      <c r="BH70" s="2"/>
      <c r="BI70" s="2"/>
      <c r="BJ70" s="2"/>
      <c r="BK70" s="2"/>
    </row>
    <row r="71" spans="1:63" outlineLevel="1">
      <c r="A71" s="4" t="s">
        <v>160</v>
      </c>
      <c r="C71" s="216">
        <f>C$69*'Methanol recycling rates'!E34</f>
        <v>0</v>
      </c>
      <c r="D71" s="216">
        <f>D$69*'Methanol recycling rates'!F34</f>
        <v>0.28911173102959042</v>
      </c>
      <c r="E71" s="216">
        <f>E$69*'Methanol recycling rates'!G34</f>
        <v>1.2246945015276924</v>
      </c>
      <c r="F71" s="216">
        <f>F$69*'Methanol recycling rates'!H34</f>
        <v>2.9135988023880546</v>
      </c>
      <c r="G71" s="216">
        <f>G$69*'Methanol recycling rates'!I34</f>
        <v>5.4620548652678753</v>
      </c>
      <c r="H71" s="216">
        <f>H$69*'Methanol recycling rates'!J34</f>
        <v>8.9756726625877956</v>
      </c>
      <c r="I71" s="216">
        <f>I$69*'Methanol recycling rates'!K34</f>
        <v>13.559441907531912</v>
      </c>
      <c r="J71" s="216">
        <f>J$69*'Methanol recycling rates'!L34</f>
        <v>19.317732054047763</v>
      </c>
      <c r="K71" s="216">
        <f>K$69*'Methanol recycling rates'!M34</f>
        <v>26.354292296846339</v>
      </c>
      <c r="L71" s="216">
        <f>L$69*'Methanol recycling rates'!N34</f>
        <v>34.772251571402094</v>
      </c>
      <c r="M71" s="216">
        <f>M$69*'Methanol recycling rates'!O34</f>
        <v>44.674118553952887</v>
      </c>
      <c r="N71" s="216">
        <f>N$69*'Methanol recycling rates'!P34</f>
        <v>58.038252856037523</v>
      </c>
      <c r="O71" s="216">
        <f>O$69*'Methanol recycling rates'!Q34</f>
        <v>73.777967805058239</v>
      </c>
      <c r="P71" s="216">
        <f>P$69*'Methanol recycling rates'!R34</f>
        <v>92.074074693113758</v>
      </c>
      <c r="Q71" s="216">
        <f>Q$69*'Methanol recycling rates'!S34</f>
        <v>113.1047117677534</v>
      </c>
      <c r="R71" s="216">
        <f>R$69*'Methanol recycling rates'!T34</f>
        <v>137.04534423197694</v>
      </c>
      <c r="S71" s="216">
        <f>S$69*'Methanol recycling rates'!U34</f>
        <v>164.06876424423467</v>
      </c>
      <c r="T71" s="216">
        <f>T$69*'Methanol recycling rates'!V34</f>
        <v>194.34509091842742</v>
      </c>
      <c r="U71" s="216">
        <f>U$69*'Methanol recycling rates'!W34</f>
        <v>228.04177032390672</v>
      </c>
      <c r="V71" s="216">
        <f>V$69*'Methanol recycling rates'!X34</f>
        <v>265.32357548547435</v>
      </c>
      <c r="W71" s="216">
        <f>W$69*'Methanol recycling rates'!Y34</f>
        <v>306.35260638338264</v>
      </c>
      <c r="X71" s="216">
        <f>X$69*'Methanol recycling rates'!Z34</f>
        <v>362.61553803346925</v>
      </c>
      <c r="Y71" s="216">
        <f>Y$69*'Methanol recycling rates'!AA34</f>
        <v>425.06753952639173</v>
      </c>
      <c r="Z71" s="216">
        <f>Z$69*'Methanol recycling rates'!AB34</f>
        <v>493.99362562121456</v>
      </c>
      <c r="AA71" s="216">
        <f>AA$69*'Methanol recycling rates'!AC34</f>
        <v>569.67408200738987</v>
      </c>
      <c r="AB71" s="216">
        <f>AB$69*'Methanol recycling rates'!AD34</f>
        <v>652.38446530475778</v>
      </c>
      <c r="AC71" s="216">
        <f>AC$69*'Methanol recycling rates'!AE34</f>
        <v>742.39560306354531</v>
      </c>
      <c r="AD71" s="216">
        <f>AD$69*'Methanol recycling rates'!AF34</f>
        <v>839.97359376436793</v>
      </c>
      <c r="AE71" s="216">
        <f>AE$69*'Methanol recycling rates'!AG34</f>
        <v>945.37980681822808</v>
      </c>
      <c r="AF71" s="216">
        <f>AF$69*'Methanol recycling rates'!AH34</f>
        <v>1058.8708825665158</v>
      </c>
      <c r="AG71" s="216">
        <f>AG$69*'Methanol recycling rates'!AI34</f>
        <v>1180.6987322810103</v>
      </c>
      <c r="AH71" s="230"/>
      <c r="AI71" s="126"/>
      <c r="AJ71" s="198"/>
      <c r="AL71" s="102"/>
      <c r="AM71" s="2"/>
      <c r="AN71" s="2"/>
      <c r="AO71" s="2"/>
      <c r="BC71" s="1"/>
      <c r="BD71" s="2"/>
      <c r="BE71" s="2"/>
      <c r="BF71" s="2"/>
      <c r="BG71" s="2"/>
      <c r="BH71" s="2"/>
      <c r="BI71" s="2"/>
      <c r="BJ71" s="2"/>
      <c r="BK71" s="2"/>
    </row>
    <row r="72" spans="1:63" outlineLevel="1">
      <c r="A72" s="4" t="s">
        <v>1159</v>
      </c>
      <c r="C72" s="216">
        <f>C$69*'Methanol recycling rates'!E35</f>
        <v>0</v>
      </c>
      <c r="D72" s="216">
        <f>D$69*'Methanol recycling rates'!F35</f>
        <v>0.19918390607825157</v>
      </c>
      <c r="E72" s="216">
        <f>E$69*'Methanol recycling rates'!G35</f>
        <v>0.84375488223228101</v>
      </c>
      <c r="F72" s="216">
        <f>F$69*'Methanol recycling rates'!H35</f>
        <v>2.0073277142295232</v>
      </c>
      <c r="G72" s="216">
        <f>G$69*'Methanol recycling rates'!I35</f>
        <v>3.7630898594233173</v>
      </c>
      <c r="H72" s="216">
        <f>H$69*'Methanol recycling rates'!J35</f>
        <v>6.183801446752903</v>
      </c>
      <c r="I72" s="216">
        <f>I$69*'Methanol recycling rates'!K35</f>
        <v>9.3417952767434311</v>
      </c>
      <c r="J72" s="216">
        <f>J$69*'Methanol recycling rates'!L35</f>
        <v>13.308976821505945</v>
      </c>
      <c r="K72" s="216">
        <f>K$69*'Methanol recycling rates'!M35</f>
        <v>18.156824224737399</v>
      </c>
      <c r="L72" s="216">
        <f>L$69*'Methanol recycling rates'!N35</f>
        <v>23.956388301720661</v>
      </c>
      <c r="M72" s="216">
        <f>M$69*'Methanol recycling rates'!O35</f>
        <v>30.778292539324475</v>
      </c>
      <c r="N72" s="216">
        <f>N$69*'Methanol recycling rates'!P35</f>
        <v>39.985530385273798</v>
      </c>
      <c r="O72" s="216">
        <f>O$69*'Methanol recycling rates'!Q35</f>
        <v>50.829427631986761</v>
      </c>
      <c r="P72" s="216">
        <f>P$69*'Methanol recycling rates'!R35</f>
        <v>63.434554456173338</v>
      </c>
      <c r="Q72" s="216">
        <f>Q$69*'Methanol recycling rates'!S35</f>
        <v>77.923639436997163</v>
      </c>
      <c r="R72" s="216">
        <f>R$69*'Methanol recycling rates'!T35</f>
        <v>94.417569556075534</v>
      </c>
      <c r="S72" s="216">
        <f>S$69*'Methanol recycling rates'!U35</f>
        <v>113.0353901974793</v>
      </c>
      <c r="T72" s="216">
        <f>T$69*'Methanol recycling rates'!V35</f>
        <v>133.89430514773309</v>
      </c>
      <c r="U72" s="216">
        <f>U$69*'Methanol recycling rates'!W35</f>
        <v>157.10967659581516</v>
      </c>
      <c r="V72" s="216">
        <f>V$69*'Methanol recycling rates'!X35</f>
        <v>182.79502513315734</v>
      </c>
      <c r="W72" s="216">
        <f>W$69*'Methanol recycling rates'!Y35</f>
        <v>211.06202975364511</v>
      </c>
      <c r="X72" s="216">
        <f>X$69*'Methanol recycling rates'!Z35</f>
        <v>249.82445026687896</v>
      </c>
      <c r="Y72" s="216">
        <f>Y$69*'Methanol recycling rates'!AA35</f>
        <v>292.85083856134742</v>
      </c>
      <c r="Z72" s="216">
        <f>Z$69*'Methanol recycling rates'!AB35</f>
        <v>340.33755592892294</v>
      </c>
      <c r="AA72" s="216">
        <f>AA$69*'Methanol recycling rates'!AC35</f>
        <v>392.47770556276924</v>
      </c>
      <c r="AB72" s="216">
        <f>AB$69*'Methanol recycling rates'!AD35</f>
        <v>449.46113255734161</v>
      </c>
      <c r="AC72" s="216">
        <f>AC$69*'Methanol recycling rates'!AE35</f>
        <v>511.47442390838643</v>
      </c>
      <c r="AD72" s="216">
        <f>AD$69*'Methanol recycling rates'!AF35</f>
        <v>578.70090851294196</v>
      </c>
      <c r="AE72" s="216">
        <f>AE$69*'Methanol recycling rates'!AG35</f>
        <v>651.32065716933744</v>
      </c>
      <c r="AF72" s="216">
        <f>AF$69*'Methanol recycling rates'!AH35</f>
        <v>729.51048257719344</v>
      </c>
      <c r="AG72" s="216">
        <f>AG$69*'Methanol recycling rates'!AI35</f>
        <v>813.44393933742265</v>
      </c>
      <c r="AH72" s="230"/>
      <c r="AI72" s="126"/>
      <c r="AJ72" s="198"/>
      <c r="AL72" s="102"/>
      <c r="AM72" s="2"/>
      <c r="AN72" s="2"/>
      <c r="AO72" s="2"/>
      <c r="BC72" s="1"/>
      <c r="BD72" s="2"/>
      <c r="BE72" s="2"/>
      <c r="BF72" s="2"/>
      <c r="BG72" s="2"/>
      <c r="BH72" s="2"/>
      <c r="BI72" s="2"/>
      <c r="BJ72" s="2"/>
      <c r="BK72" s="2"/>
    </row>
    <row r="73" spans="1:63" s="1" customFormat="1" outlineLevel="1">
      <c r="A73" s="1" t="s">
        <v>1160</v>
      </c>
      <c r="B73" s="61"/>
      <c r="C73" s="279">
        <f>C69-$C69</f>
        <v>0</v>
      </c>
      <c r="D73" s="279">
        <f t="shared" ref="D73:AG76" si="35">D69-$C69</f>
        <v>14.566476619525025</v>
      </c>
      <c r="E73" s="279">
        <f t="shared" si="35"/>
        <v>30.945601619827812</v>
      </c>
      <c r="F73" s="279">
        <f t="shared" si="35"/>
        <v>49.129517492259239</v>
      </c>
      <c r="G73" s="279">
        <f t="shared" si="35"/>
        <v>69.110366728170192</v>
      </c>
      <c r="H73" s="279">
        <f t="shared" si="35"/>
        <v>90.880291818911488</v>
      </c>
      <c r="I73" s="279">
        <f t="shared" si="35"/>
        <v>114.43143525583405</v>
      </c>
      <c r="J73" s="279">
        <f t="shared" si="35"/>
        <v>139.75593953028871</v>
      </c>
      <c r="K73" s="279">
        <f t="shared" si="35"/>
        <v>166.84594713362631</v>
      </c>
      <c r="L73" s="279">
        <f t="shared" si="35"/>
        <v>195.69360055719787</v>
      </c>
      <c r="M73" s="279">
        <f t="shared" si="35"/>
        <v>226.29104229235404</v>
      </c>
      <c r="N73" s="279">
        <f t="shared" si="35"/>
        <v>267.27453579385769</v>
      </c>
      <c r="O73" s="279">
        <f t="shared" si="35"/>
        <v>311.45881478084505</v>
      </c>
      <c r="P73" s="279">
        <f t="shared" si="35"/>
        <v>358.81001684639136</v>
      </c>
      <c r="Q73" s="279">
        <f t="shared" si="35"/>
        <v>409.29427958357189</v>
      </c>
      <c r="R73" s="279">
        <f t="shared" si="35"/>
        <v>462.87774058546194</v>
      </c>
      <c r="S73" s="279">
        <f t="shared" si="35"/>
        <v>519.52653744513646</v>
      </c>
      <c r="T73" s="279">
        <f t="shared" si="35"/>
        <v>579.20680775567075</v>
      </c>
      <c r="U73" s="279">
        <f t="shared" si="35"/>
        <v>641.88468911014036</v>
      </c>
      <c r="V73" s="279">
        <f t="shared" si="35"/>
        <v>707.52631910162006</v>
      </c>
      <c r="W73" s="279">
        <f t="shared" si="35"/>
        <v>776.097835323185</v>
      </c>
      <c r="X73" s="279">
        <f t="shared" si="35"/>
        <v>874.89771044439499</v>
      </c>
      <c r="Y73" s="279">
        <f t="shared" si="35"/>
        <v>978.97101178453647</v>
      </c>
      <c r="Z73" s="279">
        <f t="shared" si="35"/>
        <v>1088.2578309969183</v>
      </c>
      <c r="AA73" s="279">
        <f t="shared" si="35"/>
        <v>1202.6982597348492</v>
      </c>
      <c r="AB73" s="279">
        <f t="shared" si="35"/>
        <v>1322.2323896516386</v>
      </c>
      <c r="AC73" s="279">
        <f t="shared" si="35"/>
        <v>1446.8003124005947</v>
      </c>
      <c r="AD73" s="279">
        <f t="shared" si="35"/>
        <v>1576.3421196350275</v>
      </c>
      <c r="AE73" s="279">
        <f t="shared" si="35"/>
        <v>1710.7979030082452</v>
      </c>
      <c r="AF73" s="279">
        <f t="shared" si="35"/>
        <v>1850.1077541735565</v>
      </c>
      <c r="AG73" s="279">
        <f t="shared" si="35"/>
        <v>1994.2117647842724</v>
      </c>
      <c r="AH73" s="230"/>
      <c r="AI73" s="398"/>
      <c r="AJ73" s="399"/>
      <c r="AL73" s="207"/>
      <c r="AM73" s="118"/>
      <c r="AN73" s="118"/>
      <c r="AO73" s="118"/>
      <c r="BD73" s="118"/>
      <c r="BE73" s="118"/>
      <c r="BF73" s="118"/>
      <c r="BG73" s="118"/>
      <c r="BH73" s="118"/>
      <c r="BI73" s="118"/>
      <c r="BJ73" s="118"/>
      <c r="BK73" s="118"/>
    </row>
    <row r="74" spans="1:63" outlineLevel="1">
      <c r="A74" s="4" t="s">
        <v>35</v>
      </c>
      <c r="C74" s="216">
        <f t="shared" ref="C74:R76" si="36">C70-$C70</f>
        <v>0</v>
      </c>
      <c r="D74" s="216">
        <f t="shared" si="36"/>
        <v>14.078180982417184</v>
      </c>
      <c r="E74" s="216">
        <f t="shared" si="36"/>
        <v>28.87715223606784</v>
      </c>
      <c r="F74" s="216">
        <f t="shared" si="36"/>
        <v>44.20859097564167</v>
      </c>
      <c r="G74" s="216">
        <f t="shared" si="36"/>
        <v>59.885222003479008</v>
      </c>
      <c r="H74" s="216">
        <f t="shared" si="36"/>
        <v>75.720817709570809</v>
      </c>
      <c r="I74" s="216">
        <f t="shared" si="36"/>
        <v>91.530198071558729</v>
      </c>
      <c r="J74" s="216">
        <f t="shared" si="36"/>
        <v>107.12923065473503</v>
      </c>
      <c r="K74" s="216">
        <f t="shared" si="36"/>
        <v>122.33483061204262</v>
      </c>
      <c r="L74" s="216">
        <f t="shared" si="36"/>
        <v>136.96496068407518</v>
      </c>
      <c r="M74" s="216">
        <f t="shared" si="36"/>
        <v>150.83863119907679</v>
      </c>
      <c r="N74" s="216">
        <f t="shared" si="36"/>
        <v>169.25075255254654</v>
      </c>
      <c r="O74" s="216">
        <f t="shared" si="36"/>
        <v>186.85141934380025</v>
      </c>
      <c r="P74" s="216">
        <f t="shared" si="36"/>
        <v>203.3013876971045</v>
      </c>
      <c r="Q74" s="216">
        <f t="shared" si="36"/>
        <v>218.26592837882163</v>
      </c>
      <c r="R74" s="216">
        <f t="shared" si="36"/>
        <v>231.4148267974098</v>
      </c>
      <c r="S74" s="216">
        <f t="shared" si="35"/>
        <v>242.42238300342282</v>
      </c>
      <c r="T74" s="216">
        <f t="shared" si="35"/>
        <v>250.96741168951061</v>
      </c>
      <c r="U74" s="216">
        <f t="shared" si="35"/>
        <v>256.73324219041882</v>
      </c>
      <c r="V74" s="216">
        <f t="shared" si="35"/>
        <v>259.4077184829888</v>
      </c>
      <c r="W74" s="216">
        <f t="shared" si="35"/>
        <v>258.68319918615771</v>
      </c>
      <c r="X74" s="216">
        <f t="shared" si="35"/>
        <v>262.4577221440473</v>
      </c>
      <c r="Y74" s="216">
        <f t="shared" si="35"/>
        <v>261.05263369679795</v>
      </c>
      <c r="Z74" s="216">
        <f t="shared" si="35"/>
        <v>253.92664944678154</v>
      </c>
      <c r="AA74" s="216">
        <f t="shared" si="35"/>
        <v>240.54647216469093</v>
      </c>
      <c r="AB74" s="216">
        <f t="shared" si="35"/>
        <v>220.38679178954018</v>
      </c>
      <c r="AC74" s="216">
        <f t="shared" si="35"/>
        <v>192.93028542866406</v>
      </c>
      <c r="AD74" s="216">
        <f t="shared" si="35"/>
        <v>157.66761735771868</v>
      </c>
      <c r="AE74" s="216">
        <f t="shared" si="35"/>
        <v>114.09743902068078</v>
      </c>
      <c r="AF74" s="216">
        <f t="shared" si="35"/>
        <v>61.726389029848356</v>
      </c>
      <c r="AG74" s="216">
        <f>AG70-$C70</f>
        <v>6.9093165839320347E-2</v>
      </c>
      <c r="AH74" s="230"/>
      <c r="AI74" s="126"/>
      <c r="AJ74" s="198"/>
      <c r="AL74" s="102"/>
      <c r="AM74" s="2"/>
      <c r="AN74" s="2"/>
      <c r="AO74" s="2"/>
      <c r="BC74" s="1"/>
      <c r="BD74" s="2"/>
      <c r="BE74" s="2"/>
      <c r="BF74" s="2"/>
      <c r="BG74" s="2"/>
      <c r="BH74" s="2"/>
      <c r="BI74" s="2"/>
      <c r="BJ74" s="2"/>
      <c r="BK74" s="2"/>
    </row>
    <row r="75" spans="1:63" outlineLevel="1">
      <c r="A75" s="4" t="s">
        <v>160</v>
      </c>
      <c r="C75" s="216">
        <f t="shared" si="36"/>
        <v>0</v>
      </c>
      <c r="D75" s="216">
        <f t="shared" si="35"/>
        <v>0.28911173102959042</v>
      </c>
      <c r="E75" s="216">
        <f t="shared" si="35"/>
        <v>1.2246945015276924</v>
      </c>
      <c r="F75" s="216">
        <f t="shared" si="35"/>
        <v>2.9135988023880546</v>
      </c>
      <c r="G75" s="216">
        <f t="shared" si="35"/>
        <v>5.4620548652678753</v>
      </c>
      <c r="H75" s="216">
        <f t="shared" si="35"/>
        <v>8.9756726625877956</v>
      </c>
      <c r="I75" s="216">
        <f t="shared" si="35"/>
        <v>13.559441907531912</v>
      </c>
      <c r="J75" s="216">
        <f t="shared" si="35"/>
        <v>19.317732054047763</v>
      </c>
      <c r="K75" s="216">
        <f t="shared" si="35"/>
        <v>26.354292296846339</v>
      </c>
      <c r="L75" s="216">
        <f t="shared" si="35"/>
        <v>34.772251571402094</v>
      </c>
      <c r="M75" s="216">
        <f t="shared" si="35"/>
        <v>44.674118553952887</v>
      </c>
      <c r="N75" s="216">
        <f t="shared" si="35"/>
        <v>58.038252856037523</v>
      </c>
      <c r="O75" s="216">
        <f t="shared" si="35"/>
        <v>73.777967805058239</v>
      </c>
      <c r="P75" s="216">
        <f t="shared" si="35"/>
        <v>92.074074693113758</v>
      </c>
      <c r="Q75" s="216">
        <f t="shared" si="35"/>
        <v>113.1047117677534</v>
      </c>
      <c r="R75" s="216">
        <f t="shared" si="35"/>
        <v>137.04534423197694</v>
      </c>
      <c r="S75" s="216">
        <f t="shared" si="35"/>
        <v>164.06876424423467</v>
      </c>
      <c r="T75" s="216">
        <f t="shared" si="35"/>
        <v>194.34509091842742</v>
      </c>
      <c r="U75" s="216">
        <f t="shared" si="35"/>
        <v>228.04177032390672</v>
      </c>
      <c r="V75" s="216">
        <f t="shared" si="35"/>
        <v>265.32357548547435</v>
      </c>
      <c r="W75" s="216">
        <f t="shared" si="35"/>
        <v>306.35260638338264</v>
      </c>
      <c r="X75" s="216">
        <f t="shared" si="35"/>
        <v>362.61553803346925</v>
      </c>
      <c r="Y75" s="216">
        <f t="shared" si="35"/>
        <v>425.06753952639173</v>
      </c>
      <c r="Z75" s="216">
        <f t="shared" si="35"/>
        <v>493.99362562121456</v>
      </c>
      <c r="AA75" s="216">
        <f t="shared" si="35"/>
        <v>569.67408200738987</v>
      </c>
      <c r="AB75" s="216">
        <f t="shared" si="35"/>
        <v>652.38446530475778</v>
      </c>
      <c r="AC75" s="216">
        <f t="shared" si="35"/>
        <v>742.39560306354531</v>
      </c>
      <c r="AD75" s="216">
        <f t="shared" si="35"/>
        <v>839.97359376436793</v>
      </c>
      <c r="AE75" s="216">
        <f t="shared" si="35"/>
        <v>945.37980681822808</v>
      </c>
      <c r="AF75" s="216">
        <f t="shared" si="35"/>
        <v>1058.8708825665158</v>
      </c>
      <c r="AG75" s="216">
        <f t="shared" si="35"/>
        <v>1180.6987322810103</v>
      </c>
      <c r="AH75" s="230"/>
      <c r="AI75" s="126"/>
      <c r="AJ75" s="198"/>
      <c r="AL75" s="102"/>
      <c r="AM75" s="2"/>
      <c r="AN75" s="2"/>
      <c r="AO75" s="2"/>
      <c r="BC75" s="1"/>
      <c r="BD75" s="2"/>
      <c r="BE75" s="2"/>
      <c r="BF75" s="2"/>
      <c r="BG75" s="2"/>
      <c r="BH75" s="2"/>
      <c r="BI75" s="2"/>
      <c r="BJ75" s="2"/>
      <c r="BK75" s="2"/>
    </row>
    <row r="76" spans="1:63" outlineLevel="1">
      <c r="A76" s="4" t="s">
        <v>1159</v>
      </c>
      <c r="C76" s="216">
        <f t="shared" si="36"/>
        <v>0</v>
      </c>
      <c r="D76" s="216">
        <f t="shared" si="35"/>
        <v>0.19918390607825157</v>
      </c>
      <c r="E76" s="216">
        <f t="shared" si="35"/>
        <v>0.84375488223228101</v>
      </c>
      <c r="F76" s="216">
        <f t="shared" si="35"/>
        <v>2.0073277142295232</v>
      </c>
      <c r="G76" s="216">
        <f t="shared" si="35"/>
        <v>3.7630898594233173</v>
      </c>
      <c r="H76" s="216">
        <f t="shared" si="35"/>
        <v>6.183801446752903</v>
      </c>
      <c r="I76" s="216">
        <f t="shared" si="35"/>
        <v>9.3417952767434311</v>
      </c>
      <c r="J76" s="216">
        <f t="shared" si="35"/>
        <v>13.308976821505945</v>
      </c>
      <c r="K76" s="216">
        <f t="shared" si="35"/>
        <v>18.156824224737399</v>
      </c>
      <c r="L76" s="216">
        <f t="shared" si="35"/>
        <v>23.956388301720661</v>
      </c>
      <c r="M76" s="216">
        <f t="shared" si="35"/>
        <v>30.778292539324475</v>
      </c>
      <c r="N76" s="216">
        <f t="shared" si="35"/>
        <v>39.985530385273798</v>
      </c>
      <c r="O76" s="216">
        <f t="shared" si="35"/>
        <v>50.829427631986761</v>
      </c>
      <c r="P76" s="216">
        <f t="shared" si="35"/>
        <v>63.434554456173338</v>
      </c>
      <c r="Q76" s="216">
        <f t="shared" si="35"/>
        <v>77.923639436997163</v>
      </c>
      <c r="R76" s="216">
        <f t="shared" si="35"/>
        <v>94.417569556075534</v>
      </c>
      <c r="S76" s="216">
        <f t="shared" si="35"/>
        <v>113.0353901974793</v>
      </c>
      <c r="T76" s="216">
        <f t="shared" si="35"/>
        <v>133.89430514773309</v>
      </c>
      <c r="U76" s="216">
        <f t="shared" si="35"/>
        <v>157.10967659581516</v>
      </c>
      <c r="V76" s="216">
        <f t="shared" si="35"/>
        <v>182.79502513315734</v>
      </c>
      <c r="W76" s="216">
        <f t="shared" si="35"/>
        <v>211.06202975364511</v>
      </c>
      <c r="X76" s="216">
        <f t="shared" si="35"/>
        <v>249.82445026687896</v>
      </c>
      <c r="Y76" s="216">
        <f t="shared" si="35"/>
        <v>292.85083856134742</v>
      </c>
      <c r="Z76" s="216">
        <f t="shared" si="35"/>
        <v>340.33755592892294</v>
      </c>
      <c r="AA76" s="216">
        <f t="shared" si="35"/>
        <v>392.47770556276924</v>
      </c>
      <c r="AB76" s="216">
        <f t="shared" si="35"/>
        <v>449.46113255734161</v>
      </c>
      <c r="AC76" s="216">
        <f t="shared" si="35"/>
        <v>511.47442390838643</v>
      </c>
      <c r="AD76" s="216">
        <f t="shared" si="35"/>
        <v>578.70090851294196</v>
      </c>
      <c r="AE76" s="216">
        <f t="shared" si="35"/>
        <v>651.32065716933744</v>
      </c>
      <c r="AF76" s="216">
        <f t="shared" si="35"/>
        <v>729.51048257719344</v>
      </c>
      <c r="AG76" s="216">
        <f t="shared" si="35"/>
        <v>813.44393933742265</v>
      </c>
      <c r="AH76" s="230"/>
      <c r="AI76" s="126"/>
      <c r="AJ76" s="198"/>
      <c r="AL76" s="102"/>
      <c r="AM76" s="2"/>
      <c r="AN76" s="2"/>
      <c r="AO76" s="2"/>
      <c r="BC76" s="1"/>
      <c r="BD76" s="2"/>
      <c r="BE76" s="2"/>
      <c r="BF76" s="2"/>
      <c r="BG76" s="2"/>
      <c r="BH76" s="2"/>
      <c r="BI76" s="2"/>
      <c r="BJ76" s="2"/>
      <c r="BK76" s="2"/>
    </row>
    <row r="77" spans="1:63" s="1" customFormat="1" outlineLevel="1">
      <c r="A77" s="1" t="s">
        <v>1161</v>
      </c>
      <c r="B77" s="61"/>
      <c r="C77" s="279">
        <f>C39*C64</f>
        <v>1.9412344895814438E-2</v>
      </c>
      <c r="D77" s="279">
        <f t="shared" ref="D77:AG77" si="37">D39*D64</f>
        <v>3.2368467186006522</v>
      </c>
      <c r="E77" s="279">
        <f t="shared" si="37"/>
        <v>6.5333555089205326</v>
      </c>
      <c r="F77" s="279">
        <f t="shared" si="37"/>
        <v>9.8961568043745185</v>
      </c>
      <c r="G77" s="279">
        <f t="shared" si="37"/>
        <v>13.312538919263083</v>
      </c>
      <c r="H77" s="279">
        <f t="shared" si="37"/>
        <v>16.769860393668118</v>
      </c>
      <c r="I77" s="279">
        <f t="shared" si="37"/>
        <v>20.255549993452952</v>
      </c>
      <c r="J77" s="279">
        <f t="shared" si="37"/>
        <v>23.757106710262317</v>
      </c>
      <c r="K77" s="279">
        <f t="shared" si="37"/>
        <v>27.262099761522361</v>
      </c>
      <c r="L77" s="279">
        <f t="shared" si="37"/>
        <v>30.758168590440675</v>
      </c>
      <c r="M77" s="279">
        <f t="shared" si="37"/>
        <v>34.233022866006245</v>
      </c>
      <c r="N77" s="279">
        <f t="shared" si="37"/>
        <v>38.838058234696462</v>
      </c>
      <c r="O77" s="279">
        <f t="shared" si="37"/>
        <v>43.536483225795557</v>
      </c>
      <c r="P77" s="279">
        <f t="shared" si="37"/>
        <v>48.299069266273982</v>
      </c>
      <c r="Q77" s="279">
        <f t="shared" si="37"/>
        <v>53.096953419425049</v>
      </c>
      <c r="R77" s="279">
        <f t="shared" si="37"/>
        <v>57.901638384864974</v>
      </c>
      <c r="S77" s="279">
        <f t="shared" si="37"/>
        <v>62.684992498532843</v>
      </c>
      <c r="T77" s="279">
        <f t="shared" si="37"/>
        <v>67.419249732690659</v>
      </c>
      <c r="U77" s="279">
        <f t="shared" si="37"/>
        <v>72.07700969592328</v>
      </c>
      <c r="V77" s="279">
        <f t="shared" si="37"/>
        <v>76.631237633138497</v>
      </c>
      <c r="W77" s="279">
        <f t="shared" si="37"/>
        <v>81.055264425566946</v>
      </c>
      <c r="X77" s="279">
        <f t="shared" si="37"/>
        <v>87.142838648991713</v>
      </c>
      <c r="Y77" s="279">
        <f t="shared" si="37"/>
        <v>93.090059760968145</v>
      </c>
      <c r="Z77" s="279">
        <f t="shared" si="37"/>
        <v>98.854712824508368</v>
      </c>
      <c r="AA77" s="279">
        <f t="shared" si="37"/>
        <v>104.39516465490726</v>
      </c>
      <c r="AB77" s="279">
        <f t="shared" si="37"/>
        <v>109.67036381974273</v>
      </c>
      <c r="AC77" s="279">
        <f t="shared" si="37"/>
        <v>114.63984063887531</v>
      </c>
      <c r="AD77" s="279">
        <f t="shared" si="37"/>
        <v>119.26370718444858</v>
      </c>
      <c r="AE77" s="279">
        <f t="shared" si="37"/>
        <v>123.50265728088876</v>
      </c>
      <c r="AF77" s="279">
        <f t="shared" si="37"/>
        <v>127.31796650490504</v>
      </c>
      <c r="AG77" s="279">
        <f t="shared" si="37"/>
        <v>130.67149218548926</v>
      </c>
      <c r="AH77" s="230"/>
      <c r="AI77" s="398"/>
      <c r="AJ77" s="399"/>
      <c r="AL77" s="207"/>
      <c r="AM77" s="118"/>
      <c r="AN77" s="118"/>
      <c r="AO77" s="118"/>
      <c r="BD77" s="118"/>
      <c r="BE77" s="118"/>
      <c r="BF77" s="118"/>
      <c r="BG77" s="118"/>
      <c r="BH77" s="118"/>
      <c r="BI77" s="118"/>
      <c r="BJ77" s="118"/>
      <c r="BK77" s="118"/>
    </row>
    <row r="78" spans="1:63" outlineLevel="1">
      <c r="A78" s="4" t="s">
        <v>35</v>
      </c>
      <c r="C78" s="216">
        <f>C$77*'Methanol recycling rates'!E36</f>
        <v>1.9412344895814438E-2</v>
      </c>
      <c r="D78" s="216">
        <f>D$77*'Methanol recycling rates'!F36</f>
        <v>3.1289600842721819</v>
      </c>
      <c r="E78" s="216">
        <f>E$77*'Methanol recycling rates'!G36</f>
        <v>6.0978318045212525</v>
      </c>
      <c r="F78" s="216">
        <f>F$77*'Methanol recycling rates'!H36</f>
        <v>8.9066168509296499</v>
      </c>
      <c r="G78" s="216">
        <f>G$77*'Methanol recycling rates'!I36</f>
        <v>11.53766955629618</v>
      </c>
      <c r="H78" s="216">
        <f>H$77*'Methanol recycling rates'!J36</f>
        <v>13.975097537530562</v>
      </c>
      <c r="I78" s="216">
        <f>I$77*'Methanol recycling rates'!K36</f>
        <v>16.204749992252182</v>
      </c>
      <c r="J78" s="216">
        <f>J$77*'Methanol recycling rates'!L36</f>
        <v>18.214205995388784</v>
      </c>
      <c r="K78" s="216">
        <f>K$77*'Methanol recycling rates'!M36</f>
        <v>19.99276279577521</v>
      </c>
      <c r="L78" s="216">
        <f>L$77*'Methanol recycling rates'!N36</f>
        <v>21.531424112752152</v>
      </c>
      <c r="M78" s="216">
        <f>M$77*'Methanol recycling rates'!O36</f>
        <v>22.822888432764849</v>
      </c>
      <c r="N78" s="216">
        <f>N$77*'Methanol recycling rates'!P36</f>
        <v>24.598526597354724</v>
      </c>
      <c r="O78" s="216">
        <f>O$77*'Methanol recycling rates'!Q36</f>
        <v>26.123222528324234</v>
      </c>
      <c r="P78" s="216">
        <f>P$77*'Methanol recycling rates'!R36</f>
        <v>27.371074150813921</v>
      </c>
      <c r="Q78" s="216">
        <f>Q$77*'Methanol recycling rates'!S36</f>
        <v>28.320271253914996</v>
      </c>
      <c r="R78" s="216">
        <f>R$77*'Methanol recycling rates'!T36</f>
        <v>28.953034555945411</v>
      </c>
      <c r="S78" s="216">
        <f>S$77*'Methanol recycling rates'!U36</f>
        <v>29.255554769725862</v>
      </c>
      <c r="T78" s="216">
        <f>T$77*'Methanol recycling rates'!V36</f>
        <v>29.217931667855865</v>
      </c>
      <c r="U78" s="216">
        <f>U$77*'Methanol recycling rates'!W36</f>
        <v>28.834113147989747</v>
      </c>
      <c r="V78" s="216">
        <f>V$77*'Methanol recycling rates'!X36</f>
        <v>28.101834298112703</v>
      </c>
      <c r="W78" s="216">
        <f>W$77*'Methanol recycling rates'!Y36</f>
        <v>27.022556461816801</v>
      </c>
      <c r="X78" s="216">
        <f>X$77*'Methanol recycling rates'!Z36</f>
        <v>26.147519412375132</v>
      </c>
      <c r="Y78" s="216">
        <f>Y$77*'Methanol recycling rates'!AA36</f>
        <v>24.829239764352796</v>
      </c>
      <c r="Z78" s="216">
        <f>Z$77*'Methanol recycling rates'!AB36</f>
        <v>23.071899126320378</v>
      </c>
      <c r="AA78" s="216">
        <f>AA$77*'Methanol recycling rates'!AC36</f>
        <v>20.885423720469326</v>
      </c>
      <c r="AB78" s="216">
        <f>AB$77*'Methanol recycling rates'!AD36</f>
        <v>18.285387431317648</v>
      </c>
      <c r="AC78" s="216">
        <f>AC$77*'Methanol recycling rates'!AE36</f>
        <v>15.292914854415459</v>
      </c>
      <c r="AD78" s="216">
        <f>AD$77*'Methanol recycling rates'!AF36</f>
        <v>11.934584345050679</v>
      </c>
      <c r="AE78" s="216">
        <f>AE$77*'Methanol recycling rates'!AG36</f>
        <v>8.2423310669546161</v>
      </c>
      <c r="AF78" s="216">
        <f>AF$77*'Methanol recycling rates'!AH36</f>
        <v>4.2533500410076304</v>
      </c>
      <c r="AG78" s="216">
        <f>AG$77*'Methanol recycling rates'!AI36</f>
        <v>9.9991939446861626E-3</v>
      </c>
      <c r="AH78" s="230"/>
      <c r="AI78" s="126"/>
      <c r="AJ78" s="198"/>
      <c r="AL78" s="102"/>
      <c r="AM78" s="2"/>
      <c r="AN78" s="2"/>
      <c r="AO78" s="2"/>
      <c r="BC78" s="1"/>
      <c r="BD78" s="2"/>
      <c r="BE78" s="2"/>
      <c r="BF78" s="2"/>
      <c r="BG78" s="2"/>
      <c r="BH78" s="2"/>
      <c r="BI78" s="2"/>
      <c r="BJ78" s="2"/>
      <c r="BK78" s="2"/>
    </row>
    <row r="79" spans="1:63" outlineLevel="1">
      <c r="A79" s="4" t="s">
        <v>160</v>
      </c>
      <c r="C79" s="216">
        <f>C$77*'Methanol recycling rates'!E37</f>
        <v>0</v>
      </c>
      <c r="D79" s="216">
        <f>D$77*'Methanol recycling rates'!F37</f>
        <v>6.3877883059544421E-2</v>
      </c>
      <c r="E79" s="216">
        <f>E$77*'Methanol recycling rates'!G37</f>
        <v>0.25786634676706505</v>
      </c>
      <c r="F79" s="216">
        <f>F$77*'Methanol recycling rates'!H37</f>
        <v>0.58589015981767445</v>
      </c>
      <c r="G79" s="216">
        <f>G$77*'Methanol recycling rates'!I37</f>
        <v>1.0508706506534293</v>
      </c>
      <c r="H79" s="216">
        <f>H$77*'Methanol recycling rates'!J37</f>
        <v>1.6547326368527067</v>
      </c>
      <c r="I79" s="216">
        <f>I$77*'Methanol recycling rates'!K37</f>
        <v>2.3984113545195842</v>
      </c>
      <c r="J79" s="216">
        <f>J$77*'Methanol recycling rates'!L37</f>
        <v>3.2818593876732116</v>
      </c>
      <c r="K79" s="216">
        <f>K$77*'Methanol recycling rates'!M37</f>
        <v>4.3040535976371919</v>
      </c>
      <c r="L79" s="216">
        <f>L$77*'Methanol recycling rates'!N37</f>
        <v>5.4630020524289575</v>
      </c>
      <c r="M79" s="216">
        <f>M$77*'Methanol recycling rates'!O37</f>
        <v>6.7557509561491438</v>
      </c>
      <c r="N79" s="216">
        <f>N$77*'Methanol recycling rates'!P37</f>
        <v>8.4309900147915489</v>
      </c>
      <c r="O79" s="216">
        <f>O$77*'Methanol recycling rates'!Q37</f>
        <v>10.310102242432308</v>
      </c>
      <c r="P79" s="216">
        <f>P$77*'Methanol recycling rates'!R37</f>
        <v>12.391118074792866</v>
      </c>
      <c r="Q79" s="216">
        <f>Q$77*'Methanol recycling rates'!S37</f>
        <v>14.669861710147893</v>
      </c>
      <c r="R79" s="216">
        <f>R$77*'Methanol recycling rates'!T37</f>
        <v>17.139987187762575</v>
      </c>
      <c r="S79" s="216">
        <f>S$77*'Methanol recycling rates'!U37</f>
        <v>19.793014466329915</v>
      </c>
      <c r="T79" s="216">
        <f>T$77*'Methanol recycling rates'!V37</f>
        <v>22.618365502408029</v>
      </c>
      <c r="U79" s="216">
        <f>U$77*'Methanol recycling rates'!W37</f>
        <v>25.603400328857447</v>
      </c>
      <c r="V79" s="216">
        <f>V$77*'Methanol recycling rates'!X37</f>
        <v>28.733453133278413</v>
      </c>
      <c r="W79" s="216">
        <f>W$77*'Methanol recycling rates'!Y37</f>
        <v>31.991868336448171</v>
      </c>
      <c r="X79" s="216">
        <f>X$77*'Methanol recycling rates'!Z37</f>
        <v>36.114314749255222</v>
      </c>
      <c r="Y79" s="216">
        <f>Y$77*'Methanol recycling rates'!AA37</f>
        <v>40.416096993228329</v>
      </c>
      <c r="Z79" s="216">
        <f>Z$77*'Methanol recycling rates'!AB37</f>
        <v>44.869744444874627</v>
      </c>
      <c r="AA79" s="216">
        <f>AA$77*'Methanol recycling rates'!AC37</f>
        <v>49.444729636312118</v>
      </c>
      <c r="AB79" s="216">
        <f>AB$77*'Methanol recycling rates'!AD37</f>
        <v>54.107525658519833</v>
      </c>
      <c r="AC79" s="216">
        <f>AC$77*'Methanol recycling rates'!AE37</f>
        <v>58.821663564587659</v>
      </c>
      <c r="AD79" s="216">
        <f>AD$77*'Methanol recycling rates'!AF37</f>
        <v>63.547789772966539</v>
      </c>
      <c r="AE79" s="216">
        <f>AE$77*'Methanol recycling rates'!AG37</f>
        <v>68.243723470718336</v>
      </c>
      <c r="AF79" s="216">
        <f>AF$77*'Methanol recycling rates'!AH37</f>
        <v>72.864514016765995</v>
      </c>
      <c r="AG79" s="216">
        <f>AG$77*'Methanol recycling rates'!AI37</f>
        <v>77.362498345143365</v>
      </c>
      <c r="AH79" s="230"/>
      <c r="AI79" s="126"/>
      <c r="AJ79" s="198"/>
      <c r="AL79" s="102"/>
      <c r="AM79" s="2"/>
      <c r="AN79" s="2"/>
      <c r="AO79" s="2"/>
      <c r="BC79" s="1"/>
      <c r="BD79" s="2"/>
      <c r="BE79" s="2"/>
      <c r="BF79" s="2"/>
      <c r="BG79" s="2"/>
      <c r="BH79" s="2"/>
      <c r="BI79" s="2"/>
      <c r="BJ79" s="2"/>
      <c r="BK79" s="2"/>
    </row>
    <row r="80" spans="1:63" outlineLevel="1">
      <c r="A80" s="4" t="s">
        <v>1159</v>
      </c>
      <c r="C80" s="216">
        <f>C$77*'Methanol recycling rates'!E38</f>
        <v>0</v>
      </c>
      <c r="D80" s="216">
        <f>D$77*'Methanol recycling rates'!F38</f>
        <v>4.4008751268925839E-2</v>
      </c>
      <c r="E80" s="216">
        <f>E$77*'Methanol recycling rates'!G38</f>
        <v>0.17765735763221577</v>
      </c>
      <c r="F80" s="216">
        <f>F$77*'Methanol recycling rates'!H38</f>
        <v>0.40364979362719555</v>
      </c>
      <c r="G80" s="216">
        <f>G$77*'Methanol recycling rates'!I38</f>
        <v>0.7239987123134769</v>
      </c>
      <c r="H80" s="216">
        <f>H$77*'Methanol recycling rates'!J38</f>
        <v>1.1400302192848519</v>
      </c>
      <c r="I80" s="216">
        <f>I$77*'Methanol recycling rates'!K38</f>
        <v>1.6523886466811895</v>
      </c>
      <c r="J80" s="216">
        <f>J$77*'Methanol recycling rates'!L38</f>
        <v>2.2610413272003278</v>
      </c>
      <c r="K80" s="216">
        <f>K$77*'Methanol recycling rates'!M38</f>
        <v>2.9652833681099686</v>
      </c>
      <c r="L80" s="216">
        <f>L$77*'Methanol recycling rates'!N38</f>
        <v>3.7637424252595766</v>
      </c>
      <c r="M80" s="216">
        <f>M$77*'Methanol recycling rates'!O38</f>
        <v>4.6543834770922672</v>
      </c>
      <c r="N80" s="216">
        <f>N$77*'Methanol recycling rates'!P38</f>
        <v>5.8085416225502096</v>
      </c>
      <c r="O80" s="216">
        <f>O$77*'Methanol recycling rates'!Q38</f>
        <v>7.103158455039039</v>
      </c>
      <c r="P80" s="216">
        <f>P$77*'Methanol recycling rates'!R38</f>
        <v>8.536877040667223</v>
      </c>
      <c r="Q80" s="216">
        <f>Q$77*'Methanol recycling rates'!S38</f>
        <v>10.106820455362193</v>
      </c>
      <c r="R80" s="216">
        <f>R$77*'Methanol recycling rates'!T38</f>
        <v>11.808616641157029</v>
      </c>
      <c r="S80" s="216">
        <f>S$77*'Methanol recycling rates'!U38</f>
        <v>13.636423262477111</v>
      </c>
      <c r="T80" s="216">
        <f>T$77*'Methanol recycling rates'!V38</f>
        <v>15.58295256242681</v>
      </c>
      <c r="U80" s="216">
        <f>U$77*'Methanol recycling rates'!W38</f>
        <v>17.639496219076136</v>
      </c>
      <c r="V80" s="216">
        <f>V$77*'Methanol recycling rates'!X38</f>
        <v>19.795950201747434</v>
      </c>
      <c r="W80" s="216">
        <f>W$77*'Methanol recycling rates'!Y38</f>
        <v>22.040839627302027</v>
      </c>
      <c r="X80" s="216">
        <f>X$77*'Methanol recycling rates'!Z38</f>
        <v>24.881004487361416</v>
      </c>
      <c r="Y80" s="216">
        <f>Y$77*'Methanol recycling rates'!AA38</f>
        <v>27.844723003387085</v>
      </c>
      <c r="Z80" s="216">
        <f>Z$77*'Methanol recycling rates'!AB38</f>
        <v>30.913069253313438</v>
      </c>
      <c r="AA80" s="216">
        <f>AA$77*'Methanol recycling rates'!AC38</f>
        <v>34.065011298125896</v>
      </c>
      <c r="AB80" s="216">
        <f>AB$77*'Methanol recycling rates'!AD38</f>
        <v>37.277450729905333</v>
      </c>
      <c r="AC80" s="216">
        <f>AC$77*'Methanol recycling rates'!AE38</f>
        <v>40.525262219872289</v>
      </c>
      <c r="AD80" s="216">
        <f>AD$77*'Methanol recycling rates'!AF38</f>
        <v>43.781333066431451</v>
      </c>
      <c r="AE80" s="216">
        <f>AE$77*'Methanol recycling rates'!AG38</f>
        <v>47.016602743215891</v>
      </c>
      <c r="AF80" s="216">
        <f>AF$77*'Methanol recycling rates'!AH38</f>
        <v>50.200102447131499</v>
      </c>
      <c r="AG80" s="216">
        <f>AG$77*'Methanol recycling rates'!AI38</f>
        <v>53.298994646401205</v>
      </c>
      <c r="AH80" s="230"/>
      <c r="AI80" s="126"/>
      <c r="AJ80" s="198"/>
      <c r="AL80" s="102"/>
      <c r="AM80" s="2"/>
      <c r="AN80" s="2"/>
      <c r="AO80" s="2"/>
      <c r="BC80" s="1"/>
      <c r="BD80" s="2"/>
      <c r="BE80" s="2"/>
      <c r="BF80" s="2"/>
      <c r="BG80" s="2"/>
      <c r="BH80" s="2"/>
      <c r="BI80" s="2"/>
      <c r="BJ80" s="2"/>
      <c r="BK80" s="2"/>
    </row>
    <row r="81" spans="1:63" s="1" customFormat="1" outlineLevel="1">
      <c r="A81" s="1" t="s">
        <v>1164</v>
      </c>
      <c r="B81" s="61"/>
      <c r="C81" s="279">
        <f>C77-$C77</f>
        <v>0</v>
      </c>
      <c r="D81" s="279">
        <f t="shared" ref="D81:AG81" si="38">D77-$C77</f>
        <v>3.2174343737048376</v>
      </c>
      <c r="E81" s="279">
        <f t="shared" si="38"/>
        <v>6.5139431640247185</v>
      </c>
      <c r="F81" s="279">
        <f t="shared" si="38"/>
        <v>9.8767444594787044</v>
      </c>
      <c r="G81" s="279">
        <f t="shared" si="38"/>
        <v>13.293126574367269</v>
      </c>
      <c r="H81" s="279">
        <f t="shared" si="38"/>
        <v>16.750448048772302</v>
      </c>
      <c r="I81" s="279">
        <f t="shared" si="38"/>
        <v>20.236137648557136</v>
      </c>
      <c r="J81" s="279">
        <f t="shared" si="38"/>
        <v>23.737694365366501</v>
      </c>
      <c r="K81" s="279">
        <f t="shared" si="38"/>
        <v>27.242687416626545</v>
      </c>
      <c r="L81" s="279">
        <f t="shared" si="38"/>
        <v>30.73875624554486</v>
      </c>
      <c r="M81" s="279">
        <f t="shared" si="38"/>
        <v>34.213610521110432</v>
      </c>
      <c r="N81" s="279">
        <f t="shared" si="38"/>
        <v>38.818645889800649</v>
      </c>
      <c r="O81" s="279">
        <f t="shared" si="38"/>
        <v>43.517070880899745</v>
      </c>
      <c r="P81" s="279">
        <f t="shared" si="38"/>
        <v>48.279656921378169</v>
      </c>
      <c r="Q81" s="279">
        <f t="shared" si="38"/>
        <v>53.077541074529236</v>
      </c>
      <c r="R81" s="279">
        <f t="shared" si="38"/>
        <v>57.882226039969161</v>
      </c>
      <c r="S81" s="279">
        <f t="shared" si="38"/>
        <v>62.66558015363703</v>
      </c>
      <c r="T81" s="279">
        <f t="shared" si="38"/>
        <v>67.399837387794847</v>
      </c>
      <c r="U81" s="279">
        <f t="shared" si="38"/>
        <v>72.057597351027468</v>
      </c>
      <c r="V81" s="279">
        <f t="shared" si="38"/>
        <v>76.611825288242684</v>
      </c>
      <c r="W81" s="279">
        <f t="shared" si="38"/>
        <v>81.035852080671134</v>
      </c>
      <c r="X81" s="279">
        <f t="shared" si="38"/>
        <v>87.123426304095901</v>
      </c>
      <c r="Y81" s="279">
        <f t="shared" si="38"/>
        <v>93.070647416072333</v>
      </c>
      <c r="Z81" s="279">
        <f t="shared" si="38"/>
        <v>98.835300479612556</v>
      </c>
      <c r="AA81" s="279">
        <f t="shared" si="38"/>
        <v>104.37575231001145</v>
      </c>
      <c r="AB81" s="279">
        <f t="shared" si="38"/>
        <v>109.65095147484692</v>
      </c>
      <c r="AC81" s="279">
        <f t="shared" si="38"/>
        <v>114.6204282939795</v>
      </c>
      <c r="AD81" s="279">
        <f t="shared" si="38"/>
        <v>119.24429483955277</v>
      </c>
      <c r="AE81" s="279">
        <f t="shared" si="38"/>
        <v>123.48324493599294</v>
      </c>
      <c r="AF81" s="279">
        <f t="shared" si="38"/>
        <v>127.29855416000923</v>
      </c>
      <c r="AG81" s="279">
        <f t="shared" si="38"/>
        <v>130.65207984059344</v>
      </c>
      <c r="AH81" s="230"/>
      <c r="AI81" s="398"/>
      <c r="AJ81" s="399"/>
      <c r="AL81" s="207"/>
      <c r="AM81" s="118"/>
      <c r="AN81" s="118"/>
      <c r="AO81" s="118"/>
      <c r="BD81" s="118"/>
      <c r="BE81" s="118"/>
      <c r="BF81" s="118"/>
      <c r="BG81" s="118"/>
      <c r="BH81" s="118"/>
      <c r="BI81" s="118"/>
      <c r="BJ81" s="118"/>
      <c r="BK81" s="118"/>
    </row>
    <row r="82" spans="1:63" outlineLevel="1">
      <c r="A82" s="4" t="s">
        <v>35</v>
      </c>
      <c r="C82" s="216">
        <f t="shared" ref="C82:AF84" si="39">C78-$C78</f>
        <v>0</v>
      </c>
      <c r="D82" s="216">
        <f t="shared" si="39"/>
        <v>3.1095477393763673</v>
      </c>
      <c r="E82" s="216">
        <f t="shared" si="39"/>
        <v>6.0784194596254384</v>
      </c>
      <c r="F82" s="216">
        <f t="shared" si="39"/>
        <v>8.8872045060338358</v>
      </c>
      <c r="G82" s="216">
        <f t="shared" si="39"/>
        <v>11.518257211400366</v>
      </c>
      <c r="H82" s="216">
        <f t="shared" si="39"/>
        <v>13.955685192634748</v>
      </c>
      <c r="I82" s="216">
        <f t="shared" si="39"/>
        <v>16.185337647356366</v>
      </c>
      <c r="J82" s="216">
        <f t="shared" si="39"/>
        <v>18.194793650492969</v>
      </c>
      <c r="K82" s="216">
        <f t="shared" si="39"/>
        <v>19.973350450879394</v>
      </c>
      <c r="L82" s="216">
        <f t="shared" si="39"/>
        <v>21.512011767856336</v>
      </c>
      <c r="M82" s="216">
        <f t="shared" si="39"/>
        <v>22.803476087869033</v>
      </c>
      <c r="N82" s="216">
        <f t="shared" si="39"/>
        <v>24.579114252458908</v>
      </c>
      <c r="O82" s="216">
        <f t="shared" si="39"/>
        <v>26.103810183428418</v>
      </c>
      <c r="P82" s="216">
        <f t="shared" si="39"/>
        <v>27.351661805918106</v>
      </c>
      <c r="Q82" s="216">
        <f t="shared" si="39"/>
        <v>28.30085890901918</v>
      </c>
      <c r="R82" s="216">
        <f t="shared" si="39"/>
        <v>28.933622211049595</v>
      </c>
      <c r="S82" s="216">
        <f t="shared" si="39"/>
        <v>29.236142424830046</v>
      </c>
      <c r="T82" s="216">
        <f t="shared" si="39"/>
        <v>29.198519322960049</v>
      </c>
      <c r="U82" s="216">
        <f t="shared" si="39"/>
        <v>28.814700803093931</v>
      </c>
      <c r="V82" s="216">
        <f t="shared" si="39"/>
        <v>28.082421953216887</v>
      </c>
      <c r="W82" s="216">
        <f t="shared" si="39"/>
        <v>27.003144116920986</v>
      </c>
      <c r="X82" s="216">
        <f t="shared" si="39"/>
        <v>26.128107067479316</v>
      </c>
      <c r="Y82" s="216">
        <f t="shared" si="39"/>
        <v>24.80982741945698</v>
      </c>
      <c r="Z82" s="216">
        <f t="shared" si="39"/>
        <v>23.052486781424562</v>
      </c>
      <c r="AA82" s="216">
        <f t="shared" si="39"/>
        <v>20.86601137557351</v>
      </c>
      <c r="AB82" s="216">
        <f t="shared" si="39"/>
        <v>18.265975086421832</v>
      </c>
      <c r="AC82" s="216">
        <f t="shared" si="39"/>
        <v>15.273502509519645</v>
      </c>
      <c r="AD82" s="216">
        <f t="shared" si="39"/>
        <v>11.915172000154865</v>
      </c>
      <c r="AE82" s="216">
        <f t="shared" si="39"/>
        <v>8.222918722058802</v>
      </c>
      <c r="AF82" s="216">
        <f t="shared" si="39"/>
        <v>4.2339376961118163</v>
      </c>
      <c r="AG82" s="216">
        <f>AG78-$C78</f>
        <v>-9.4131509511282754E-3</v>
      </c>
      <c r="AH82" s="230"/>
      <c r="AI82" s="126"/>
      <c r="AJ82" s="198"/>
      <c r="AL82" s="102"/>
      <c r="AM82" s="2"/>
      <c r="AN82" s="2"/>
      <c r="AO82" s="2"/>
      <c r="BC82" s="1"/>
      <c r="BD82" s="2"/>
      <c r="BE82" s="2"/>
      <c r="BF82" s="2"/>
      <c r="BG82" s="2"/>
      <c r="BH82" s="2"/>
      <c r="BI82" s="2"/>
      <c r="BJ82" s="2"/>
      <c r="BK82" s="2"/>
    </row>
    <row r="83" spans="1:63" outlineLevel="1">
      <c r="A83" s="4" t="s">
        <v>160</v>
      </c>
      <c r="C83" s="216">
        <f t="shared" si="39"/>
        <v>0</v>
      </c>
      <c r="D83" s="216">
        <f t="shared" si="39"/>
        <v>6.3877883059544421E-2</v>
      </c>
      <c r="E83" s="216">
        <f t="shared" si="39"/>
        <v>0.25786634676706505</v>
      </c>
      <c r="F83" s="216">
        <f t="shared" si="39"/>
        <v>0.58589015981767445</v>
      </c>
      <c r="G83" s="216">
        <f t="shared" si="39"/>
        <v>1.0508706506534293</v>
      </c>
      <c r="H83" s="216">
        <f t="shared" si="39"/>
        <v>1.6547326368527067</v>
      </c>
      <c r="I83" s="216">
        <f t="shared" si="39"/>
        <v>2.3984113545195842</v>
      </c>
      <c r="J83" s="216">
        <f t="shared" si="39"/>
        <v>3.2818593876732116</v>
      </c>
      <c r="K83" s="216">
        <f t="shared" si="39"/>
        <v>4.3040535976371919</v>
      </c>
      <c r="L83" s="216">
        <f t="shared" si="39"/>
        <v>5.4630020524289575</v>
      </c>
      <c r="M83" s="216">
        <f t="shared" si="39"/>
        <v>6.7557509561491438</v>
      </c>
      <c r="N83" s="216">
        <f t="shared" si="39"/>
        <v>8.4309900147915489</v>
      </c>
      <c r="O83" s="216">
        <f t="shared" si="39"/>
        <v>10.310102242432308</v>
      </c>
      <c r="P83" s="216">
        <f t="shared" si="39"/>
        <v>12.391118074792866</v>
      </c>
      <c r="Q83" s="216">
        <f t="shared" si="39"/>
        <v>14.669861710147893</v>
      </c>
      <c r="R83" s="216">
        <f t="shared" si="39"/>
        <v>17.139987187762575</v>
      </c>
      <c r="S83" s="216">
        <f t="shared" si="39"/>
        <v>19.793014466329915</v>
      </c>
      <c r="T83" s="216">
        <f t="shared" si="39"/>
        <v>22.618365502408029</v>
      </c>
      <c r="U83" s="216">
        <f t="shared" si="39"/>
        <v>25.603400328857447</v>
      </c>
      <c r="V83" s="216">
        <f t="shared" si="39"/>
        <v>28.733453133278413</v>
      </c>
      <c r="W83" s="216">
        <f t="shared" si="39"/>
        <v>31.991868336448171</v>
      </c>
      <c r="X83" s="216">
        <f t="shared" si="39"/>
        <v>36.114314749255222</v>
      </c>
      <c r="Y83" s="216">
        <f t="shared" si="39"/>
        <v>40.416096993228329</v>
      </c>
      <c r="Z83" s="216">
        <f t="shared" si="39"/>
        <v>44.869744444874627</v>
      </c>
      <c r="AA83" s="216">
        <f t="shared" si="39"/>
        <v>49.444729636312118</v>
      </c>
      <c r="AB83" s="216">
        <f t="shared" si="39"/>
        <v>54.107525658519833</v>
      </c>
      <c r="AC83" s="216">
        <f t="shared" si="39"/>
        <v>58.821663564587659</v>
      </c>
      <c r="AD83" s="216">
        <f t="shared" si="39"/>
        <v>63.547789772966539</v>
      </c>
      <c r="AE83" s="216">
        <f t="shared" si="39"/>
        <v>68.243723470718336</v>
      </c>
      <c r="AF83" s="216">
        <f t="shared" si="39"/>
        <v>72.864514016765995</v>
      </c>
      <c r="AG83" s="216">
        <f t="shared" ref="AG83:AG84" si="40">AG79-$C79</f>
        <v>77.362498345143365</v>
      </c>
      <c r="AH83" s="230"/>
      <c r="AI83" s="126"/>
      <c r="AJ83" s="198"/>
      <c r="AL83" s="102"/>
      <c r="AM83" s="2"/>
      <c r="AN83" s="2"/>
      <c r="AO83" s="2"/>
      <c r="BC83" s="1"/>
      <c r="BD83" s="2"/>
      <c r="BE83" s="2"/>
      <c r="BF83" s="2"/>
      <c r="BG83" s="2"/>
      <c r="BH83" s="2"/>
      <c r="BI83" s="2"/>
      <c r="BJ83" s="2"/>
      <c r="BK83" s="2"/>
    </row>
    <row r="84" spans="1:63" outlineLevel="1">
      <c r="A84" s="4" t="s">
        <v>1159</v>
      </c>
      <c r="C84" s="216">
        <f t="shared" si="39"/>
        <v>0</v>
      </c>
      <c r="D84" s="216">
        <f t="shared" si="39"/>
        <v>4.4008751268925839E-2</v>
      </c>
      <c r="E84" s="216">
        <f t="shared" si="39"/>
        <v>0.17765735763221577</v>
      </c>
      <c r="F84" s="216">
        <f t="shared" si="39"/>
        <v>0.40364979362719555</v>
      </c>
      <c r="G84" s="216">
        <f t="shared" si="39"/>
        <v>0.7239987123134769</v>
      </c>
      <c r="H84" s="216">
        <f t="shared" si="39"/>
        <v>1.1400302192848519</v>
      </c>
      <c r="I84" s="216">
        <f t="shared" si="39"/>
        <v>1.6523886466811895</v>
      </c>
      <c r="J84" s="216">
        <f t="shared" si="39"/>
        <v>2.2610413272003278</v>
      </c>
      <c r="K84" s="216">
        <f t="shared" si="39"/>
        <v>2.9652833681099686</v>
      </c>
      <c r="L84" s="216">
        <f t="shared" si="39"/>
        <v>3.7637424252595766</v>
      </c>
      <c r="M84" s="216">
        <f t="shared" si="39"/>
        <v>4.6543834770922672</v>
      </c>
      <c r="N84" s="216">
        <f t="shared" si="39"/>
        <v>5.8085416225502096</v>
      </c>
      <c r="O84" s="216">
        <f t="shared" si="39"/>
        <v>7.103158455039039</v>
      </c>
      <c r="P84" s="216">
        <f t="shared" si="39"/>
        <v>8.536877040667223</v>
      </c>
      <c r="Q84" s="216">
        <f t="shared" si="39"/>
        <v>10.106820455362193</v>
      </c>
      <c r="R84" s="216">
        <f t="shared" si="39"/>
        <v>11.808616641157029</v>
      </c>
      <c r="S84" s="216">
        <f t="shared" si="39"/>
        <v>13.636423262477111</v>
      </c>
      <c r="T84" s="216">
        <f t="shared" si="39"/>
        <v>15.58295256242681</v>
      </c>
      <c r="U84" s="216">
        <f t="shared" si="39"/>
        <v>17.639496219076136</v>
      </c>
      <c r="V84" s="216">
        <f t="shared" si="39"/>
        <v>19.795950201747434</v>
      </c>
      <c r="W84" s="216">
        <f t="shared" si="39"/>
        <v>22.040839627302027</v>
      </c>
      <c r="X84" s="216">
        <f t="shared" si="39"/>
        <v>24.881004487361416</v>
      </c>
      <c r="Y84" s="216">
        <f t="shared" si="39"/>
        <v>27.844723003387085</v>
      </c>
      <c r="Z84" s="216">
        <f t="shared" si="39"/>
        <v>30.913069253313438</v>
      </c>
      <c r="AA84" s="216">
        <f t="shared" si="39"/>
        <v>34.065011298125896</v>
      </c>
      <c r="AB84" s="216">
        <f t="shared" si="39"/>
        <v>37.277450729905333</v>
      </c>
      <c r="AC84" s="216">
        <f t="shared" si="39"/>
        <v>40.525262219872289</v>
      </c>
      <c r="AD84" s="216">
        <f t="shared" si="39"/>
        <v>43.781333066431451</v>
      </c>
      <c r="AE84" s="216">
        <f t="shared" si="39"/>
        <v>47.016602743215891</v>
      </c>
      <c r="AF84" s="216">
        <f t="shared" si="39"/>
        <v>50.200102447131499</v>
      </c>
      <c r="AG84" s="216">
        <f t="shared" si="40"/>
        <v>53.298994646401205</v>
      </c>
      <c r="AH84" s="230"/>
      <c r="AI84" s="126"/>
      <c r="AJ84" s="198"/>
      <c r="AL84" s="102"/>
      <c r="AM84" s="2"/>
      <c r="AN84" s="2"/>
      <c r="AO84" s="2"/>
      <c r="BC84" s="1"/>
      <c r="BD84" s="2"/>
      <c r="BE84" s="2"/>
      <c r="BF84" s="2"/>
      <c r="BG84" s="2"/>
      <c r="BH84" s="2"/>
      <c r="BI84" s="2"/>
      <c r="BJ84" s="2"/>
      <c r="BK84" s="2"/>
    </row>
    <row r="85" spans="1:63" s="1" customFormat="1" outlineLevel="1">
      <c r="A85" s="1" t="s">
        <v>1169</v>
      </c>
      <c r="B85" s="61"/>
      <c r="C85" s="279">
        <f>C47*C66</f>
        <v>7.9048937339014513E-8</v>
      </c>
      <c r="D85" s="279">
        <f t="shared" ref="D85:AG85" si="41">D47*D66</f>
        <v>1.4368741567951206E-5</v>
      </c>
      <c r="E85" s="279">
        <f t="shared" si="41"/>
        <v>3.1499536570151528E-5</v>
      </c>
      <c r="F85" s="279">
        <f t="shared" si="41"/>
        <v>5.1654803840074199E-5</v>
      </c>
      <c r="G85" s="279">
        <f t="shared" si="41"/>
        <v>7.5017913273853437E-5</v>
      </c>
      <c r="H85" s="279">
        <f t="shared" si="41"/>
        <v>1.0177223476762345E-4</v>
      </c>
      <c r="I85" s="279">
        <f t="shared" si="41"/>
        <v>1.3210113821751849E-4</v>
      </c>
      <c r="J85" s="279">
        <f t="shared" si="41"/>
        <v>1.6618799351967269E-4</v>
      </c>
      <c r="K85" s="279">
        <f t="shared" si="41"/>
        <v>2.0421617057022037E-4</v>
      </c>
      <c r="L85" s="279">
        <f t="shared" si="41"/>
        <v>2.4636903926529568E-4</v>
      </c>
      <c r="M85" s="279">
        <f t="shared" si="41"/>
        <v>2.9282996950103288E-4</v>
      </c>
      <c r="N85" s="279">
        <f t="shared" si="41"/>
        <v>3.6756678373639956E-4</v>
      </c>
      <c r="O85" s="279">
        <f t="shared" si="41"/>
        <v>4.5378831618874717E-4</v>
      </c>
      <c r="P85" s="279">
        <f t="shared" si="41"/>
        <v>5.5229958848542274E-4</v>
      </c>
      <c r="Q85" s="279">
        <f t="shared" si="41"/>
        <v>6.6390562225377315E-4</v>
      </c>
      <c r="R85" s="279">
        <f t="shared" si="41"/>
        <v>7.89411439121145E-4</v>
      </c>
      <c r="S85" s="279">
        <f t="shared" si="41"/>
        <v>9.2962206071488512E-4</v>
      </c>
      <c r="T85" s="279">
        <f t="shared" si="41"/>
        <v>1.0853425086623403E-3</v>
      </c>
      <c r="U85" s="279">
        <f t="shared" si="41"/>
        <v>1.2573778045908578E-3</v>
      </c>
      <c r="V85" s="279">
        <f t="shared" si="41"/>
        <v>1.4465329701277838E-3</v>
      </c>
      <c r="W85" s="279">
        <f t="shared" si="41"/>
        <v>1.6536130269004647E-3</v>
      </c>
      <c r="X85" s="279">
        <f t="shared" si="41"/>
        <v>1.9813858129338487E-3</v>
      </c>
      <c r="Y85" s="279">
        <f t="shared" si="41"/>
        <v>2.3491745810875248E-3</v>
      </c>
      <c r="Z85" s="279">
        <f t="shared" si="41"/>
        <v>2.759253007951388E-3</v>
      </c>
      <c r="AA85" s="279">
        <f t="shared" si="41"/>
        <v>3.2138947701153358E-3</v>
      </c>
      <c r="AB85" s="279">
        <f t="shared" si="41"/>
        <v>3.7153735441692631E-3</v>
      </c>
      <c r="AC85" s="279">
        <f t="shared" si="41"/>
        <v>4.2659630067030637E-3</v>
      </c>
      <c r="AD85" s="279">
        <f t="shared" si="41"/>
        <v>4.8679368343066375E-3</v>
      </c>
      <c r="AE85" s="279">
        <f t="shared" si="41"/>
        <v>5.5235687035698755E-3</v>
      </c>
      <c r="AF85" s="279">
        <f t="shared" si="41"/>
        <v>6.2351322910826745E-3</v>
      </c>
      <c r="AG85" s="279">
        <f t="shared" si="41"/>
        <v>7.0049012734349379E-3</v>
      </c>
      <c r="AH85" s="230"/>
      <c r="AI85" s="398"/>
      <c r="AJ85" s="399"/>
      <c r="AL85" s="207"/>
      <c r="AM85" s="118"/>
      <c r="AN85" s="118"/>
      <c r="AO85" s="118"/>
      <c r="BD85" s="118"/>
      <c r="BE85" s="118"/>
      <c r="BF85" s="118"/>
      <c r="BG85" s="118"/>
      <c r="BH85" s="118"/>
      <c r="BI85" s="118"/>
      <c r="BJ85" s="118"/>
      <c r="BK85" s="118"/>
    </row>
    <row r="86" spans="1:63" outlineLevel="1">
      <c r="A86" s="4" t="s">
        <v>35</v>
      </c>
      <c r="C86" s="216">
        <f>C$85*'Methanol recycling rates'!E44</f>
        <v>0</v>
      </c>
      <c r="D86" s="216">
        <f>D$85*'Methanol recycling rates'!F44</f>
        <v>2.3947902613252009E-7</v>
      </c>
      <c r="E86" s="216">
        <f>E$85*'Methanol recycling rates'!G44</f>
        <v>1.0499845523383843E-6</v>
      </c>
      <c r="F86" s="216">
        <f>F$85*'Methanol recycling rates'!H44</f>
        <v>2.58274019200371E-6</v>
      </c>
      <c r="G86" s="216">
        <f>G$85*'Methanol recycling rates'!I44</f>
        <v>5.0011942182568954E-6</v>
      </c>
      <c r="H86" s="216">
        <f>H$85*'Methanol recycling rates'!J44</f>
        <v>8.48101956396862E-6</v>
      </c>
      <c r="I86" s="216">
        <f>I$85*'Methanol recycling rates'!K44</f>
        <v>1.3210113821751848E-5</v>
      </c>
      <c r="J86" s="216">
        <f>J$85*'Methanol recycling rates'!L44</f>
        <v>1.9388599243961813E-5</v>
      </c>
      <c r="K86" s="216">
        <f>K$85*'Methanol recycling rates'!M44</f>
        <v>2.7228822742696048E-5</v>
      </c>
      <c r="L86" s="216">
        <f>L$85*'Methanol recycling rates'!N44</f>
        <v>3.6955355889794354E-5</v>
      </c>
      <c r="M86" s="216">
        <f>M$85*'Methanol recycling rates'!O44</f>
        <v>4.8804994916838811E-5</v>
      </c>
      <c r="N86" s="216">
        <f>N$85*'Methanol recycling rates'!P44</f>
        <v>6.7387243685006578E-5</v>
      </c>
      <c r="O86" s="216">
        <f>O$85*'Methanol recycling rates'!Q44</f>
        <v>9.0757663237749428E-5</v>
      </c>
      <c r="P86" s="216">
        <f>P$85*'Methanol recycling rates'!R44</f>
        <v>1.1966491083850825E-4</v>
      </c>
      <c r="Q86" s="216">
        <f>Q$85*'Methanol recycling rates'!S44</f>
        <v>1.5491131185921373E-4</v>
      </c>
      <c r="R86" s="216">
        <f>R$85*'Methanol recycling rates'!T44</f>
        <v>1.9735285978028622E-4</v>
      </c>
      <c r="S86" s="216">
        <f>S$85*'Methanol recycling rates'!U44</f>
        <v>2.4789921619063602E-4</v>
      </c>
      <c r="T86" s="216">
        <f>T$85*'Methanol recycling rates'!V44</f>
        <v>3.0751371078766308E-4</v>
      </c>
      <c r="U86" s="216">
        <f>U$85*'Methanol recycling rates'!W44</f>
        <v>3.772133413772573E-4</v>
      </c>
      <c r="V86" s="216">
        <f>V$85*'Methanol recycling rates'!X44</f>
        <v>4.5806877387379817E-4</v>
      </c>
      <c r="W86" s="216">
        <f>W$85*'Methanol recycling rates'!Y44</f>
        <v>5.5120434230015482E-4</v>
      </c>
      <c r="X86" s="216">
        <f>X$85*'Methanol recycling rates'!Z44</f>
        <v>6.9348503452684696E-4</v>
      </c>
      <c r="Y86" s="216">
        <f>Y$85*'Methanol recycling rates'!AA44</f>
        <v>8.6136401306542568E-4</v>
      </c>
      <c r="Z86" s="216">
        <f>Z$85*'Methanol recycling rates'!AB44</f>
        <v>1.0577136530480319E-3</v>
      </c>
      <c r="AA86" s="216">
        <f>AA$85*'Methanol recycling rates'!AC44</f>
        <v>1.2855579080461343E-3</v>
      </c>
      <c r="AB86" s="216">
        <f>AB$85*'Methanol recycling rates'!AD44</f>
        <v>1.5480723100705263E-3</v>
      </c>
      <c r="AC86" s="216">
        <f>AC$85*'Methanol recycling rates'!AE44</f>
        <v>1.8485839695713275E-3</v>
      </c>
      <c r="AD86" s="216">
        <f>AD$85*'Methanol recycling rates'!AF44</f>
        <v>2.1905715754379869E-3</v>
      </c>
      <c r="AE86" s="216">
        <f>AE$85*'Methanol recycling rates'!AG44</f>
        <v>2.5776653949992749E-3</v>
      </c>
      <c r="AF86" s="216">
        <f>AF$85*'Methanol recycling rates'!AH44</f>
        <v>3.0136472740232923E-3</v>
      </c>
      <c r="AG86" s="216">
        <f>AG$85*'Methanol recycling rates'!AI44</f>
        <v>3.5024506367174689E-3</v>
      </c>
      <c r="AH86" s="230"/>
      <c r="AI86" s="126"/>
      <c r="AJ86" s="198"/>
      <c r="AL86" s="102"/>
      <c r="AM86" s="2"/>
      <c r="AN86" s="2"/>
      <c r="AO86" s="2"/>
      <c r="BC86" s="1"/>
      <c r="BD86" s="2"/>
      <c r="BE86" s="2"/>
      <c r="BF86" s="2"/>
      <c r="BG86" s="2"/>
      <c r="BH86" s="2"/>
      <c r="BI86" s="2"/>
      <c r="BJ86" s="2"/>
      <c r="BK86" s="2"/>
    </row>
    <row r="87" spans="1:63" outlineLevel="1">
      <c r="A87" s="4" t="s">
        <v>160</v>
      </c>
      <c r="C87" s="216">
        <f>C$85*'Methanol recycling rates'!E45</f>
        <v>7.9048937339014513E-8</v>
      </c>
      <c r="D87" s="216">
        <f>D$85*'Methanol recycling rates'!F45</f>
        <v>1.3889820166331045E-5</v>
      </c>
      <c r="E87" s="216">
        <f>E$85*'Methanol recycling rates'!G45</f>
        <v>2.9399728158507375E-5</v>
      </c>
      <c r="F87" s="216">
        <f>F$85*'Methanol recycling rates'!H45</f>
        <v>4.6489718726980995E-5</v>
      </c>
      <c r="G87" s="216">
        <f>G$85*'Methanol recycling rates'!I45</f>
        <v>6.5016290236281801E-5</v>
      </c>
      <c r="H87" s="216">
        <f>H$85*'Methanol recycling rates'!J45</f>
        <v>8.4811493602356591E-5</v>
      </c>
      <c r="I87" s="216">
        <f>I$85*'Methanol recycling rates'!K45</f>
        <v>1.0568293229256912E-4</v>
      </c>
      <c r="J87" s="216">
        <f>J$85*'Methanol recycling rates'!L45</f>
        <v>1.2741376232569996E-4</v>
      </c>
      <c r="K87" s="216">
        <f>K$85*'Methanol recycling rates'!M45</f>
        <v>1.4976269227194675E-4</v>
      </c>
      <c r="L87" s="216">
        <f>L$85*'Methanol recycling rates'!N45</f>
        <v>1.7246398325292386E-4</v>
      </c>
      <c r="M87" s="216">
        <f>M$85*'Methanol recycling rates'!O45</f>
        <v>1.9522744894166273E-4</v>
      </c>
      <c r="N87" s="216">
        <f>N$85*'Methanol recycling rates'!P45</f>
        <v>2.3280260952815939E-4</v>
      </c>
      <c r="O87" s="216">
        <f>O$85*'Methanol recycling rates'!Q45</f>
        <v>2.7228687955963357E-4</v>
      </c>
      <c r="P87" s="216">
        <f>P$85*'Methanol recycling rates'!R45</f>
        <v>3.1298808071347995E-4</v>
      </c>
      <c r="Q87" s="216">
        <f>Q$85*'Methanol recycling rates'!S45</f>
        <v>3.5410670666365465E-4</v>
      </c>
      <c r="R87" s="216">
        <f>R$85*'Methanol recycling rates'!T45</f>
        <v>3.9473592308067478E-4</v>
      </c>
      <c r="S87" s="216">
        <f>S$85*'Methanol recycling rates'!U45</f>
        <v>4.3386156763161908E-4</v>
      </c>
      <c r="T87" s="216">
        <f>T$85*'Methanol recycling rates'!V45</f>
        <v>4.7036214998012765E-4</v>
      </c>
      <c r="U87" s="216">
        <f>U$85*'Methanol recycling rates'!W45</f>
        <v>5.0300885178640204E-4</v>
      </c>
      <c r="V87" s="216">
        <f>V$85*'Methanol recycling rates'!X45</f>
        <v>5.304655267072048E-4</v>
      </c>
      <c r="W87" s="216">
        <f>W$85*'Methanol recycling rates'!Y45</f>
        <v>5.5128870039586005E-4</v>
      </c>
      <c r="X87" s="216">
        <f>X$85*'Methanol recycling rates'!Z45</f>
        <v>5.9452187707327965E-4</v>
      </c>
      <c r="Y87" s="216">
        <f>Y$85*'Methanol recycling rates'!AA45</f>
        <v>6.265783808917664E-4</v>
      </c>
      <c r="Z87" s="216">
        <f>Z$85*'Methanol recycling rates'!AB45</f>
        <v>6.4398757777451568E-4</v>
      </c>
      <c r="AA87" s="216">
        <f>AA$85*'Methanol recycling rates'!AC45</f>
        <v>6.4297569996412556E-4</v>
      </c>
      <c r="AB87" s="216">
        <f>AB$85*'Methanol recycling rates'!AD45</f>
        <v>6.1946584602259522E-4</v>
      </c>
      <c r="AC87" s="216">
        <f>AC$85*'Methanol recycling rates'!AE45</f>
        <v>5.6907798083132564E-4</v>
      </c>
      <c r="AD87" s="216">
        <f>AD$85*'Methanol recycling rates'!AF45</f>
        <v>4.8712893559112094E-4</v>
      </c>
      <c r="AE87" s="216">
        <f>AE$85*'Methanol recycling rates'!AG45</f>
        <v>3.6863240782218572E-4</v>
      </c>
      <c r="AF87" s="216">
        <f>AF$85*'Methanol recycling rates'!AH45</f>
        <v>2.0829896136412748E-4</v>
      </c>
      <c r="AG87" s="216">
        <f>AG$85*'Methanol recycling rates'!AI45</f>
        <v>5.3602637595220765E-7</v>
      </c>
      <c r="AH87" s="230"/>
      <c r="AI87" s="126"/>
      <c r="AJ87" s="198"/>
      <c r="AL87" s="102"/>
      <c r="AM87" s="2"/>
      <c r="AN87" s="2"/>
      <c r="AO87" s="2"/>
      <c r="BC87" s="1"/>
      <c r="BD87" s="2"/>
      <c r="BE87" s="2"/>
      <c r="BF87" s="2"/>
      <c r="BG87" s="2"/>
      <c r="BH87" s="2"/>
      <c r="BI87" s="2"/>
      <c r="BJ87" s="2"/>
      <c r="BK87" s="2"/>
    </row>
    <row r="88" spans="1:63" outlineLevel="1">
      <c r="A88" s="4" t="s">
        <v>1159</v>
      </c>
      <c r="C88" s="216">
        <f>C$85*'Methanol recycling rates'!E46</f>
        <v>0</v>
      </c>
      <c r="D88" s="216">
        <f>D$85*'Methanol recycling rates'!F46</f>
        <v>2.8356140200151437E-7</v>
      </c>
      <c r="E88" s="216">
        <f>E$85*'Methanol recycling rates'!G46</f>
        <v>1.2432616607361996E-6</v>
      </c>
      <c r="F88" s="216">
        <f>F$85*'Methanol recycling rates'!H46</f>
        <v>3.0581610493311622E-6</v>
      </c>
      <c r="G88" s="216">
        <f>G$85*'Methanol recycling rates'!I46</f>
        <v>5.9217947688915194E-6</v>
      </c>
      <c r="H88" s="216">
        <f>H$85*'Methanol recycling rates'!J46</f>
        <v>1.0042172948500402E-5</v>
      </c>
      <c r="I88" s="216">
        <f>I$85*'Methanol recycling rates'!K46</f>
        <v>1.5641780645218954E-5</v>
      </c>
      <c r="J88" s="216">
        <f>J$85*'Methanol recycling rates'!L46</f>
        <v>2.2957577844086322E-5</v>
      </c>
      <c r="K88" s="216">
        <f>K$85*'Methanol recycling rates'!M46</f>
        <v>3.224099945811969E-5</v>
      </c>
      <c r="L88" s="216">
        <f>L$85*'Methanol recycling rates'!N46</f>
        <v>4.3757955328314219E-5</v>
      </c>
      <c r="M88" s="216">
        <f>M$85*'Methanol recycling rates'!O46</f>
        <v>5.7788830223643119E-5</v>
      </c>
      <c r="N88" s="216">
        <f>N$85*'Methanol recycling rates'!P46</f>
        <v>7.9791627705067458E-5</v>
      </c>
      <c r="O88" s="216">
        <f>O$85*'Methanol recycling rates'!Q46</f>
        <v>1.0746398398929682E-4</v>
      </c>
      <c r="P88" s="216">
        <f>P$85*'Methanol recycling rates'!R46</f>
        <v>1.4169236628253421E-4</v>
      </c>
      <c r="Q88" s="216">
        <f>Q$85*'Methanol recycling rates'!S46</f>
        <v>1.8342678891797705E-4</v>
      </c>
      <c r="R88" s="216">
        <f>R$85*'Methanol recycling rates'!T46</f>
        <v>2.3368081335581702E-4</v>
      </c>
      <c r="S88" s="216">
        <f>S$85*'Methanol recycling rates'!U46</f>
        <v>2.9353154818324026E-4</v>
      </c>
      <c r="T88" s="216">
        <f>T$85*'Methanol recycling rates'!V46</f>
        <v>3.6411964911442724E-4</v>
      </c>
      <c r="U88" s="216">
        <f>U$85*'Methanol recycling rates'!W46</f>
        <v>4.4664931899055307E-4</v>
      </c>
      <c r="V88" s="216">
        <f>V$85*'Methanol recycling rates'!X46</f>
        <v>5.4238830777978678E-4</v>
      </c>
      <c r="W88" s="216">
        <f>W$85*'Methanol recycling rates'!Y46</f>
        <v>6.5266791257729173E-4</v>
      </c>
      <c r="X88" s="216">
        <f>X$85*'Methanol recycling rates'!Z46</f>
        <v>8.2113908609551453E-4</v>
      </c>
      <c r="Y88" s="216">
        <f>Y$85*'Methanol recycling rates'!AA46</f>
        <v>1.0199205797810575E-3</v>
      </c>
      <c r="Z88" s="216">
        <f>Z$85*'Methanol recycling rates'!AB46</f>
        <v>1.2524135045065426E-3</v>
      </c>
      <c r="AA88" s="216">
        <f>AA$85*'Methanol recycling rates'!AC46</f>
        <v>1.5221984515586511E-3</v>
      </c>
      <c r="AB88" s="216">
        <f>AB$85*'Methanol recycling rates'!AD46</f>
        <v>1.8330354926381219E-3</v>
      </c>
      <c r="AC88" s="216">
        <f>AC$85*'Methanol recycling rates'!AE46</f>
        <v>2.1888641798597512E-3</v>
      </c>
      <c r="AD88" s="216">
        <f>AD$85*'Methanol recycling rates'!AF46</f>
        <v>2.5938035457523977E-3</v>
      </c>
      <c r="AE88" s="216">
        <f>AE$85*'Methanol recycling rates'!AG46</f>
        <v>3.0521521032589737E-3</v>
      </c>
      <c r="AF88" s="216">
        <f>AF$85*'Methanol recycling rates'!AH46</f>
        <v>3.5683878457364519E-3</v>
      </c>
      <c r="AG88" s="216">
        <f>AG$85*'Methanol recycling rates'!AI46</f>
        <v>4.1471682469558686E-3</v>
      </c>
      <c r="AH88" s="230"/>
      <c r="AI88" s="126"/>
      <c r="AJ88" s="198"/>
      <c r="AL88" s="102"/>
      <c r="AM88" s="2"/>
      <c r="AN88" s="2"/>
      <c r="AO88" s="2"/>
      <c r="BC88" s="1"/>
      <c r="BD88" s="2"/>
      <c r="BE88" s="2"/>
      <c r="BF88" s="2"/>
      <c r="BG88" s="2"/>
      <c r="BH88" s="2"/>
      <c r="BI88" s="2"/>
      <c r="BJ88" s="2"/>
      <c r="BK88" s="2"/>
    </row>
    <row r="89" spans="1:63" s="1" customFormat="1" outlineLevel="1">
      <c r="A89" s="1" t="s">
        <v>1170</v>
      </c>
      <c r="B89" s="61"/>
      <c r="C89" s="279">
        <f>C85-$C85</f>
        <v>0</v>
      </c>
      <c r="D89" s="279">
        <f t="shared" ref="D89:AG89" si="42">D85-$C85</f>
        <v>1.4289692630612192E-5</v>
      </c>
      <c r="E89" s="279">
        <f t="shared" si="42"/>
        <v>3.1420487632812514E-5</v>
      </c>
      <c r="F89" s="279">
        <f t="shared" si="42"/>
        <v>5.1575754902735185E-5</v>
      </c>
      <c r="G89" s="279">
        <f t="shared" si="42"/>
        <v>7.4938864336514423E-5</v>
      </c>
      <c r="H89" s="279">
        <f t="shared" si="42"/>
        <v>1.0169318583028443E-4</v>
      </c>
      <c r="I89" s="279">
        <f t="shared" si="42"/>
        <v>1.3202208928017947E-4</v>
      </c>
      <c r="J89" s="279">
        <f t="shared" si="42"/>
        <v>1.6610894458233367E-4</v>
      </c>
      <c r="K89" s="279">
        <f t="shared" si="42"/>
        <v>2.0413712163288135E-4</v>
      </c>
      <c r="L89" s="279">
        <f t="shared" si="42"/>
        <v>2.4628999032795664E-4</v>
      </c>
      <c r="M89" s="279">
        <f t="shared" si="42"/>
        <v>2.9275092056369384E-4</v>
      </c>
      <c r="N89" s="279">
        <f t="shared" si="42"/>
        <v>3.6748773479906052E-4</v>
      </c>
      <c r="O89" s="279">
        <f t="shared" si="42"/>
        <v>4.5370926725140813E-4</v>
      </c>
      <c r="P89" s="279">
        <f t="shared" si="42"/>
        <v>5.522205395480837E-4</v>
      </c>
      <c r="Q89" s="279">
        <f t="shared" si="42"/>
        <v>6.6382657331643411E-4</v>
      </c>
      <c r="R89" s="279">
        <f t="shared" si="42"/>
        <v>7.8933239018380596E-4</v>
      </c>
      <c r="S89" s="279">
        <f t="shared" si="42"/>
        <v>9.2954301177754608E-4</v>
      </c>
      <c r="T89" s="279">
        <f t="shared" si="42"/>
        <v>1.0852634597250013E-3</v>
      </c>
      <c r="U89" s="279">
        <f t="shared" si="42"/>
        <v>1.2572987556535187E-3</v>
      </c>
      <c r="V89" s="279">
        <f t="shared" si="42"/>
        <v>1.4464539211904448E-3</v>
      </c>
      <c r="W89" s="279">
        <f t="shared" si="42"/>
        <v>1.6535339779631256E-3</v>
      </c>
      <c r="X89" s="279">
        <f t="shared" si="42"/>
        <v>1.9813067639965097E-3</v>
      </c>
      <c r="Y89" s="279">
        <f t="shared" si="42"/>
        <v>2.3490955321501857E-3</v>
      </c>
      <c r="Z89" s="279">
        <f t="shared" si="42"/>
        <v>2.7591739590140489E-3</v>
      </c>
      <c r="AA89" s="279">
        <f t="shared" si="42"/>
        <v>3.2138157211779967E-3</v>
      </c>
      <c r="AB89" s="279">
        <f t="shared" si="42"/>
        <v>3.7152944952319241E-3</v>
      </c>
      <c r="AC89" s="279">
        <f t="shared" si="42"/>
        <v>4.2658839577657251E-3</v>
      </c>
      <c r="AD89" s="279">
        <f t="shared" si="42"/>
        <v>4.8678577853692988E-3</v>
      </c>
      <c r="AE89" s="279">
        <f t="shared" si="42"/>
        <v>5.5234896546325369E-3</v>
      </c>
      <c r="AF89" s="279">
        <f t="shared" si="42"/>
        <v>6.2350532421453359E-3</v>
      </c>
      <c r="AG89" s="279">
        <f t="shared" si="42"/>
        <v>7.0048222244975993E-3</v>
      </c>
      <c r="AH89" s="230"/>
      <c r="AI89" s="398"/>
      <c r="AJ89" s="399"/>
      <c r="AL89" s="207"/>
      <c r="AM89" s="118"/>
      <c r="AN89" s="118"/>
      <c r="AO89" s="118"/>
      <c r="BD89" s="118"/>
      <c r="BE89" s="118"/>
      <c r="BF89" s="118"/>
      <c r="BG89" s="118"/>
      <c r="BH89" s="118"/>
      <c r="BI89" s="118"/>
      <c r="BJ89" s="118"/>
      <c r="BK89" s="118"/>
    </row>
    <row r="90" spans="1:63" outlineLevel="1">
      <c r="A90" s="4" t="s">
        <v>35</v>
      </c>
      <c r="C90" s="216">
        <f t="shared" ref="C90:AF92" si="43">C86-$C86</f>
        <v>0</v>
      </c>
      <c r="D90" s="216">
        <f t="shared" si="43"/>
        <v>2.3947902613252009E-7</v>
      </c>
      <c r="E90" s="216">
        <f t="shared" si="43"/>
        <v>1.0499845523383843E-6</v>
      </c>
      <c r="F90" s="216">
        <f t="shared" si="43"/>
        <v>2.58274019200371E-6</v>
      </c>
      <c r="G90" s="216">
        <f t="shared" si="43"/>
        <v>5.0011942182568954E-6</v>
      </c>
      <c r="H90" s="216">
        <f t="shared" si="43"/>
        <v>8.48101956396862E-6</v>
      </c>
      <c r="I90" s="216">
        <f t="shared" si="43"/>
        <v>1.3210113821751848E-5</v>
      </c>
      <c r="J90" s="216">
        <f t="shared" si="43"/>
        <v>1.9388599243961813E-5</v>
      </c>
      <c r="K90" s="216">
        <f t="shared" si="43"/>
        <v>2.7228822742696048E-5</v>
      </c>
      <c r="L90" s="216">
        <f t="shared" si="43"/>
        <v>3.6955355889794354E-5</v>
      </c>
      <c r="M90" s="216">
        <f t="shared" si="43"/>
        <v>4.8804994916838811E-5</v>
      </c>
      <c r="N90" s="216">
        <f t="shared" si="43"/>
        <v>6.7387243685006578E-5</v>
      </c>
      <c r="O90" s="216">
        <f t="shared" si="43"/>
        <v>9.0757663237749428E-5</v>
      </c>
      <c r="P90" s="216">
        <f t="shared" si="43"/>
        <v>1.1966491083850825E-4</v>
      </c>
      <c r="Q90" s="216">
        <f t="shared" si="43"/>
        <v>1.5491131185921373E-4</v>
      </c>
      <c r="R90" s="216">
        <f t="shared" si="43"/>
        <v>1.9735285978028622E-4</v>
      </c>
      <c r="S90" s="216">
        <f t="shared" si="43"/>
        <v>2.4789921619063602E-4</v>
      </c>
      <c r="T90" s="216">
        <f t="shared" si="43"/>
        <v>3.0751371078766308E-4</v>
      </c>
      <c r="U90" s="216">
        <f t="shared" si="43"/>
        <v>3.772133413772573E-4</v>
      </c>
      <c r="V90" s="216">
        <f t="shared" si="43"/>
        <v>4.5806877387379817E-4</v>
      </c>
      <c r="W90" s="216">
        <f t="shared" si="43"/>
        <v>5.5120434230015482E-4</v>
      </c>
      <c r="X90" s="216">
        <f t="shared" si="43"/>
        <v>6.9348503452684696E-4</v>
      </c>
      <c r="Y90" s="216">
        <f t="shared" si="43"/>
        <v>8.6136401306542568E-4</v>
      </c>
      <c r="Z90" s="216">
        <f t="shared" si="43"/>
        <v>1.0577136530480319E-3</v>
      </c>
      <c r="AA90" s="216">
        <f t="shared" si="43"/>
        <v>1.2855579080461343E-3</v>
      </c>
      <c r="AB90" s="216">
        <f t="shared" si="43"/>
        <v>1.5480723100705263E-3</v>
      </c>
      <c r="AC90" s="216">
        <f t="shared" si="43"/>
        <v>1.8485839695713275E-3</v>
      </c>
      <c r="AD90" s="216">
        <f t="shared" si="43"/>
        <v>2.1905715754379869E-3</v>
      </c>
      <c r="AE90" s="216">
        <f t="shared" si="43"/>
        <v>2.5776653949992749E-3</v>
      </c>
      <c r="AF90" s="216">
        <f t="shared" si="43"/>
        <v>3.0136472740232923E-3</v>
      </c>
      <c r="AG90" s="216">
        <f>AG86-$C86</f>
        <v>3.5024506367174689E-3</v>
      </c>
      <c r="AH90" s="230"/>
      <c r="AI90" s="126"/>
      <c r="AJ90" s="198"/>
      <c r="AL90" s="102"/>
      <c r="AM90" s="2"/>
      <c r="AN90" s="2"/>
      <c r="AO90" s="2"/>
      <c r="BC90" s="1"/>
      <c r="BD90" s="2"/>
      <c r="BE90" s="2"/>
      <c r="BF90" s="2"/>
      <c r="BG90" s="2"/>
      <c r="BH90" s="2"/>
      <c r="BI90" s="2"/>
      <c r="BJ90" s="2"/>
      <c r="BK90" s="2"/>
    </row>
    <row r="91" spans="1:63" outlineLevel="1">
      <c r="A91" s="4" t="s">
        <v>160</v>
      </c>
      <c r="C91" s="216">
        <f t="shared" si="43"/>
        <v>0</v>
      </c>
      <c r="D91" s="216">
        <f t="shared" si="43"/>
        <v>1.3810771228992031E-5</v>
      </c>
      <c r="E91" s="216">
        <f t="shared" si="43"/>
        <v>2.9320679221168361E-5</v>
      </c>
      <c r="F91" s="216">
        <f t="shared" si="43"/>
        <v>4.641066978964198E-5</v>
      </c>
      <c r="G91" s="216">
        <f t="shared" si="43"/>
        <v>6.4937241298942787E-5</v>
      </c>
      <c r="H91" s="216">
        <f t="shared" si="43"/>
        <v>8.4732444665017577E-5</v>
      </c>
      <c r="I91" s="216">
        <f t="shared" si="43"/>
        <v>1.0560388335523011E-4</v>
      </c>
      <c r="J91" s="216">
        <f t="shared" si="43"/>
        <v>1.2733471338836094E-4</v>
      </c>
      <c r="K91" s="216">
        <f t="shared" si="43"/>
        <v>1.4968364333460774E-4</v>
      </c>
      <c r="L91" s="216">
        <f t="shared" si="43"/>
        <v>1.7238493431558484E-4</v>
      </c>
      <c r="M91" s="216">
        <f t="shared" si="43"/>
        <v>1.9514840000432371E-4</v>
      </c>
      <c r="N91" s="216">
        <f t="shared" si="43"/>
        <v>2.3272356059082037E-4</v>
      </c>
      <c r="O91" s="216">
        <f t="shared" si="43"/>
        <v>2.7220783062229453E-4</v>
      </c>
      <c r="P91" s="216">
        <f t="shared" si="43"/>
        <v>3.129090317761409E-4</v>
      </c>
      <c r="Q91" s="216">
        <f t="shared" si="43"/>
        <v>3.5402765772631561E-4</v>
      </c>
      <c r="R91" s="216">
        <f t="shared" si="43"/>
        <v>3.9465687414333574E-4</v>
      </c>
      <c r="S91" s="216">
        <f t="shared" si="43"/>
        <v>4.3378251869428003E-4</v>
      </c>
      <c r="T91" s="216">
        <f t="shared" si="43"/>
        <v>4.7028310104278861E-4</v>
      </c>
      <c r="U91" s="216">
        <f t="shared" si="43"/>
        <v>5.02929802849063E-4</v>
      </c>
      <c r="V91" s="216">
        <f t="shared" si="43"/>
        <v>5.3038647776986576E-4</v>
      </c>
      <c r="W91" s="216">
        <f t="shared" si="43"/>
        <v>5.5120965145852101E-4</v>
      </c>
      <c r="X91" s="216">
        <f t="shared" si="43"/>
        <v>5.9444282813594061E-4</v>
      </c>
      <c r="Y91" s="216">
        <f t="shared" si="43"/>
        <v>6.2649933195442736E-4</v>
      </c>
      <c r="Z91" s="216">
        <f t="shared" si="43"/>
        <v>6.4390852883717663E-4</v>
      </c>
      <c r="AA91" s="216">
        <f t="shared" si="43"/>
        <v>6.4289665102678652E-4</v>
      </c>
      <c r="AB91" s="216">
        <f t="shared" si="43"/>
        <v>6.1938679708525618E-4</v>
      </c>
      <c r="AC91" s="216">
        <f t="shared" si="43"/>
        <v>5.689989318939866E-4</v>
      </c>
      <c r="AD91" s="216">
        <f t="shared" si="43"/>
        <v>4.8704988665378189E-4</v>
      </c>
      <c r="AE91" s="216">
        <f t="shared" si="43"/>
        <v>3.6855335888484668E-4</v>
      </c>
      <c r="AF91" s="216">
        <f t="shared" si="43"/>
        <v>2.0821991242678847E-4</v>
      </c>
      <c r="AG91" s="216">
        <f t="shared" ref="AG91:AG92" si="44">AG87-$C87</f>
        <v>4.5697743861319312E-7</v>
      </c>
      <c r="AH91" s="230"/>
      <c r="AI91" s="126"/>
      <c r="AJ91" s="198"/>
      <c r="AL91" s="102"/>
      <c r="AM91" s="2"/>
      <c r="AN91" s="2"/>
      <c r="AO91" s="2"/>
      <c r="BC91" s="1"/>
      <c r="BD91" s="2"/>
      <c r="BE91" s="2"/>
      <c r="BF91" s="2"/>
      <c r="BG91" s="2"/>
      <c r="BH91" s="2"/>
      <c r="BI91" s="2"/>
      <c r="BJ91" s="2"/>
      <c r="BK91" s="2"/>
    </row>
    <row r="92" spans="1:63" outlineLevel="1">
      <c r="A92" s="4" t="s">
        <v>1159</v>
      </c>
      <c r="C92" s="216">
        <f t="shared" si="43"/>
        <v>0</v>
      </c>
      <c r="D92" s="216">
        <f t="shared" si="43"/>
        <v>2.8356140200151437E-7</v>
      </c>
      <c r="E92" s="216">
        <f t="shared" si="43"/>
        <v>1.2432616607361996E-6</v>
      </c>
      <c r="F92" s="216">
        <f t="shared" si="43"/>
        <v>3.0581610493311622E-6</v>
      </c>
      <c r="G92" s="216">
        <f t="shared" si="43"/>
        <v>5.9217947688915194E-6</v>
      </c>
      <c r="H92" s="216">
        <f t="shared" si="43"/>
        <v>1.0042172948500402E-5</v>
      </c>
      <c r="I92" s="216">
        <f t="shared" si="43"/>
        <v>1.5641780645218954E-5</v>
      </c>
      <c r="J92" s="216">
        <f t="shared" si="43"/>
        <v>2.2957577844086322E-5</v>
      </c>
      <c r="K92" s="216">
        <f t="shared" si="43"/>
        <v>3.224099945811969E-5</v>
      </c>
      <c r="L92" s="216">
        <f t="shared" si="43"/>
        <v>4.3757955328314219E-5</v>
      </c>
      <c r="M92" s="216">
        <f t="shared" si="43"/>
        <v>5.7788830223643119E-5</v>
      </c>
      <c r="N92" s="216">
        <f t="shared" si="43"/>
        <v>7.9791627705067458E-5</v>
      </c>
      <c r="O92" s="216">
        <f t="shared" si="43"/>
        <v>1.0746398398929682E-4</v>
      </c>
      <c r="P92" s="216">
        <f t="shared" si="43"/>
        <v>1.4169236628253421E-4</v>
      </c>
      <c r="Q92" s="216">
        <f t="shared" si="43"/>
        <v>1.8342678891797705E-4</v>
      </c>
      <c r="R92" s="216">
        <f t="shared" si="43"/>
        <v>2.3368081335581702E-4</v>
      </c>
      <c r="S92" s="216">
        <f t="shared" si="43"/>
        <v>2.9353154818324026E-4</v>
      </c>
      <c r="T92" s="216">
        <f t="shared" si="43"/>
        <v>3.6411964911442724E-4</v>
      </c>
      <c r="U92" s="216">
        <f t="shared" si="43"/>
        <v>4.4664931899055307E-4</v>
      </c>
      <c r="V92" s="216">
        <f t="shared" si="43"/>
        <v>5.4238830777978678E-4</v>
      </c>
      <c r="W92" s="216">
        <f t="shared" si="43"/>
        <v>6.5266791257729173E-4</v>
      </c>
      <c r="X92" s="216">
        <f t="shared" si="43"/>
        <v>8.2113908609551453E-4</v>
      </c>
      <c r="Y92" s="216">
        <f t="shared" si="43"/>
        <v>1.0199205797810575E-3</v>
      </c>
      <c r="Z92" s="216">
        <f t="shared" si="43"/>
        <v>1.2524135045065426E-3</v>
      </c>
      <c r="AA92" s="216">
        <f t="shared" si="43"/>
        <v>1.5221984515586511E-3</v>
      </c>
      <c r="AB92" s="216">
        <f t="shared" si="43"/>
        <v>1.8330354926381219E-3</v>
      </c>
      <c r="AC92" s="216">
        <f t="shared" si="43"/>
        <v>2.1888641798597512E-3</v>
      </c>
      <c r="AD92" s="216">
        <f t="shared" si="43"/>
        <v>2.5938035457523977E-3</v>
      </c>
      <c r="AE92" s="216">
        <f t="shared" si="43"/>
        <v>3.0521521032589737E-3</v>
      </c>
      <c r="AF92" s="216">
        <f t="shared" si="43"/>
        <v>3.5683878457364519E-3</v>
      </c>
      <c r="AG92" s="216">
        <f t="shared" si="44"/>
        <v>4.1471682469558686E-3</v>
      </c>
      <c r="AH92" s="230"/>
      <c r="AI92" s="126"/>
      <c r="AJ92" s="198"/>
      <c r="AL92" s="102"/>
      <c r="AM92" s="2"/>
      <c r="AN92" s="2"/>
      <c r="AO92" s="2"/>
      <c r="BC92" s="1"/>
      <c r="BD92" s="2"/>
      <c r="BE92" s="2"/>
      <c r="BF92" s="2"/>
      <c r="BG92" s="2"/>
      <c r="BH92" s="2"/>
      <c r="BI92" s="2"/>
      <c r="BJ92" s="2"/>
      <c r="BK92" s="2"/>
    </row>
    <row r="93" spans="1:63" s="1" customFormat="1" outlineLevel="1">
      <c r="A93" s="1" t="s">
        <v>1162</v>
      </c>
      <c r="B93" s="61"/>
      <c r="C93" s="279">
        <f>C39*C65</f>
        <v>2.3280820090807508E-2</v>
      </c>
      <c r="D93" s="279">
        <f t="shared" ref="D93:AG93" si="45">D39*D65</f>
        <v>3.9564237076398094</v>
      </c>
      <c r="E93" s="279">
        <f t="shared" si="45"/>
        <v>8.1421201001529955</v>
      </c>
      <c r="F93" s="279">
        <f t="shared" si="45"/>
        <v>12.579252453990202</v>
      </c>
      <c r="G93" s="279">
        <f t="shared" si="45"/>
        <v>17.266703225511261</v>
      </c>
      <c r="H93" s="279">
        <f t="shared" si="45"/>
        <v>22.203354871075998</v>
      </c>
      <c r="I93" s="279">
        <f t="shared" si="45"/>
        <v>27.388089847044252</v>
      </c>
      <c r="J93" s="279">
        <f t="shared" si="45"/>
        <v>32.819790609775865</v>
      </c>
      <c r="K93" s="279">
        <f t="shared" si="45"/>
        <v>38.497339615630651</v>
      </c>
      <c r="L93" s="279">
        <f t="shared" si="45"/>
        <v>44.419619320968465</v>
      </c>
      <c r="M93" s="279">
        <f t="shared" si="45"/>
        <v>50.585512182149124</v>
      </c>
      <c r="N93" s="279">
        <f t="shared" si="45"/>
        <v>58.754218690336664</v>
      </c>
      <c r="O93" s="279">
        <f t="shared" si="45"/>
        <v>67.465369455859502</v>
      </c>
      <c r="P93" s="279">
        <f t="shared" si="45"/>
        <v>76.71314589558483</v>
      </c>
      <c r="Q93" s="279">
        <f t="shared" si="45"/>
        <v>86.491729426379763</v>
      </c>
      <c r="R93" s="279">
        <f t="shared" si="45"/>
        <v>96.795301465111493</v>
      </c>
      <c r="S93" s="279">
        <f t="shared" si="45"/>
        <v>107.61804342864714</v>
      </c>
      <c r="T93" s="279">
        <f t="shared" si="45"/>
        <v>118.9541367338539</v>
      </c>
      <c r="U93" s="279">
        <f t="shared" si="45"/>
        <v>130.79776279759889</v>
      </c>
      <c r="V93" s="279">
        <f t="shared" si="45"/>
        <v>143.14310303674927</v>
      </c>
      <c r="W93" s="279">
        <f t="shared" si="45"/>
        <v>155.98433886817216</v>
      </c>
      <c r="X93" s="279">
        <f t="shared" si="45"/>
        <v>172.92738677619118</v>
      </c>
      <c r="Y93" s="279">
        <f t="shared" si="45"/>
        <v>190.67334005025734</v>
      </c>
      <c r="Z93" s="279">
        <f t="shared" si="45"/>
        <v>209.21294092846753</v>
      </c>
      <c r="AA93" s="279">
        <f t="shared" si="45"/>
        <v>228.53693164891868</v>
      </c>
      <c r="AB93" s="279">
        <f t="shared" si="45"/>
        <v>248.63605444970801</v>
      </c>
      <c r="AC93" s="279">
        <f t="shared" si="45"/>
        <v>269.5010515689321</v>
      </c>
      <c r="AD93" s="279">
        <f t="shared" si="45"/>
        <v>291.12266524468816</v>
      </c>
      <c r="AE93" s="279">
        <f t="shared" si="45"/>
        <v>313.49163771507313</v>
      </c>
      <c r="AF93" s="279">
        <f t="shared" si="45"/>
        <v>336.59871121818389</v>
      </c>
      <c r="AG93" s="279">
        <f t="shared" si="45"/>
        <v>360.43462799211773</v>
      </c>
      <c r="AH93" s="230"/>
      <c r="AI93" s="398"/>
      <c r="AJ93" s="399"/>
      <c r="AL93" s="207"/>
      <c r="AM93" s="118"/>
      <c r="AN93" s="118"/>
      <c r="AO93" s="118"/>
      <c r="BD93" s="118"/>
      <c r="BE93" s="118"/>
      <c r="BF93" s="118"/>
      <c r="BG93" s="118"/>
      <c r="BH93" s="118"/>
      <c r="BI93" s="118"/>
      <c r="BJ93" s="118"/>
      <c r="BK93" s="118"/>
    </row>
    <row r="94" spans="1:63" outlineLevel="1">
      <c r="A94" s="4" t="s">
        <v>35</v>
      </c>
      <c r="C94" s="216">
        <f>C$93*'Methanol recycling rates'!E45</f>
        <v>2.3280820090807508E-2</v>
      </c>
      <c r="D94" s="216">
        <f>D$93*'Methanol recycling rates'!F45</f>
        <v>3.8245530091165381</v>
      </c>
      <c r="E94" s="216">
        <f>E$93*'Methanol recycling rates'!G45</f>
        <v>7.5993536300227991</v>
      </c>
      <c r="F94" s="216">
        <f>F$93*'Methanol recycling rates'!H45</f>
        <v>11.321423467065671</v>
      </c>
      <c r="G94" s="216">
        <f>G$93*'Methanol recycling rates'!I45</f>
        <v>14.96465229891775</v>
      </c>
      <c r="H94" s="216">
        <f>H$93*'Methanol recycling rates'!J45</f>
        <v>18.503078898668157</v>
      </c>
      <c r="I94" s="216">
        <f>I$93*'Methanol recycling rates'!K45</f>
        <v>21.910891033822537</v>
      </c>
      <c r="J94" s="216">
        <f>J$93*'Methanol recycling rates'!L45</f>
        <v>25.16242546630307</v>
      </c>
      <c r="K94" s="216">
        <f>K$93*'Methanol recycling rates'!M45</f>
        <v>28.232167952448432</v>
      </c>
      <c r="L94" s="216">
        <f>L$93*'Methanol recycling rates'!N45</f>
        <v>31.094753243013848</v>
      </c>
      <c r="M94" s="216">
        <f>M$93*'Methanol recycling rates'!O45</f>
        <v>33.724965083171043</v>
      </c>
      <c r="N94" s="216">
        <f>N$93*'Methanol recycling rates'!P45</f>
        <v>37.212653692091507</v>
      </c>
      <c r="O94" s="216">
        <f>O$93*'Methanol recycling rates'!Q45</f>
        <v>40.481286697194442</v>
      </c>
      <c r="P94" s="216">
        <f>P$93*'Methanol recycling rates'!R45</f>
        <v>43.473326433568388</v>
      </c>
      <c r="Q94" s="216">
        <f>Q$93*'Methanol recycling rates'!S45</f>
        <v>46.132010988019893</v>
      </c>
      <c r="R94" s="216">
        <f>R$93*'Methanol recycling rates'!T45</f>
        <v>48.401354199073616</v>
      </c>
      <c r="S94" s="216">
        <f>S$93*'Methanol recycling rates'!U45</f>
        <v>50.226145656972243</v>
      </c>
      <c r="T94" s="216">
        <f>T$93*'Methanol recycling rates'!V45</f>
        <v>51.551950703676539</v>
      </c>
      <c r="U94" s="216">
        <f>U$93*'Methanol recycling rates'!W45</f>
        <v>52.325110432865323</v>
      </c>
      <c r="V94" s="216">
        <f>V$93*'Methanol recycling rates'!X45</f>
        <v>52.492741689935464</v>
      </c>
      <c r="W94" s="216">
        <f>W$93*'Methanol recycling rates'!Y45</f>
        <v>52.002737072001906</v>
      </c>
      <c r="X94" s="216">
        <f>X$93*'Methanol recycling rates'!Z45</f>
        <v>51.88747891120115</v>
      </c>
      <c r="Y94" s="216">
        <f>Y$93*'Methanol recycling rates'!AA45</f>
        <v>50.856923810493157</v>
      </c>
      <c r="Z94" s="216">
        <f>Z$93*'Methanol recycling rates'!AB45</f>
        <v>48.82862668966974</v>
      </c>
      <c r="AA94" s="216">
        <f>AA$93*'Methanol recycling rates'!AC45</f>
        <v>45.721376742320565</v>
      </c>
      <c r="AB94" s="216">
        <f>AB$93*'Methanol recycling rates'!AD45</f>
        <v>41.455197435833277</v>
      </c>
      <c r="AC94" s="216">
        <f>AC$93*'Methanol recycling rates'!AE45</f>
        <v>35.951346511393254</v>
      </c>
      <c r="AD94" s="216">
        <f>AD$93*'Methanol recycling rates'!AF45</f>
        <v>29.132315983983883</v>
      </c>
      <c r="AE94" s="216">
        <f>AE$93*'Methanol recycling rates'!AG45</f>
        <v>20.921832142386386</v>
      </c>
      <c r="AF94" s="216">
        <f>AF$93*'Methanol recycling rates'!AH45</f>
        <v>11.244855549179867</v>
      </c>
      <c r="AG94" s="216">
        <f>AG$93*'Methanol recycling rates'!AI45</f>
        <v>2.7581040741143498E-2</v>
      </c>
      <c r="AH94" s="230"/>
      <c r="AI94" s="126"/>
      <c r="AJ94" s="198"/>
      <c r="AL94" s="102"/>
      <c r="AM94" s="2"/>
      <c r="AN94" s="2"/>
      <c r="AO94" s="2"/>
      <c r="BC94" s="1"/>
      <c r="BD94" s="2"/>
      <c r="BE94" s="2"/>
      <c r="BF94" s="2"/>
      <c r="BG94" s="2"/>
      <c r="BH94" s="2"/>
      <c r="BI94" s="2"/>
      <c r="BJ94" s="2"/>
      <c r="BK94" s="2"/>
    </row>
    <row r="95" spans="1:63" outlineLevel="1">
      <c r="A95" s="4" t="s">
        <v>160</v>
      </c>
      <c r="C95" s="216">
        <f>C$93*'Methanol recycling rates'!E46</f>
        <v>0</v>
      </c>
      <c r="D95" s="216">
        <f>D$93*'Methanol recycling rates'!F46</f>
        <v>7.807844884291705E-2</v>
      </c>
      <c r="E95" s="216">
        <f>E$93*'Methanol recycling rates'!G46</f>
        <v>0.32136300593139516</v>
      </c>
      <c r="F95" s="216">
        <f>F$93*'Methanol recycling rates'!H46</f>
        <v>0.74473963745171412</v>
      </c>
      <c r="G95" s="216">
        <f>G$93*'Methanol recycling rates'!I46</f>
        <v>1.3630060924724874</v>
      </c>
      <c r="H95" s="216">
        <f>H$93*'Methanol recycling rates'!J46</f>
        <v>2.1908719029446613</v>
      </c>
      <c r="I95" s="216">
        <f>I$93*'Methanol recycling rates'!K46</f>
        <v>3.2429583837015175</v>
      </c>
      <c r="J95" s="216">
        <f>J$93*'Methanol recycling rates'!L46</f>
        <v>4.5337986324586721</v>
      </c>
      <c r="K95" s="216">
        <f>K$93*'Methanol recycling rates'!M46</f>
        <v>6.0778375298140723</v>
      </c>
      <c r="L95" s="216">
        <f>L$93*'Methanol recycling rates'!N46</f>
        <v>7.8894317392480033</v>
      </c>
      <c r="M95" s="216">
        <f>M$93*'Methanol recycling rates'!O46</f>
        <v>9.98284970712308</v>
      </c>
      <c r="N95" s="216">
        <f>N$93*'Methanol recycling rates'!P46</f>
        <v>12.754402604571379</v>
      </c>
      <c r="O95" s="216">
        <f>O$93*'Methanol recycling rates'!Q46</f>
        <v>15.976826913324272</v>
      </c>
      <c r="P95" s="216">
        <f>P$93*'Methanol recycling rates'!R46</f>
        <v>19.680744642107555</v>
      </c>
      <c r="Q95" s="216">
        <f>Q$93*'Methanol recycling rates'!S46</f>
        <v>23.896318489948108</v>
      </c>
      <c r="R95" s="216">
        <f>R$93*'Methanol recycling rates'!T46</f>
        <v>28.653251846173919</v>
      </c>
      <c r="S95" s="216">
        <f>S$93*'Methanol recycling rates'!U46</f>
        <v>33.980788790414053</v>
      </c>
      <c r="T95" s="216">
        <f>T$93*'Methanol recycling rates'!V46</f>
        <v>39.907714092598681</v>
      </c>
      <c r="U95" s="216">
        <f>U$93*'Methanol recycling rates'!W46</f>
        <v>46.462353212959052</v>
      </c>
      <c r="V95" s="216">
        <f>V$93*'Methanol recycling rates'!X46</f>
        <v>53.672572302027518</v>
      </c>
      <c r="W95" s="216">
        <f>W$93*'Methanol recycling rates'!Y46</f>
        <v>61.56577820063751</v>
      </c>
      <c r="X95" s="216">
        <f>X$93*'Methanol recycling rates'!Z46</f>
        <v>71.665717706957238</v>
      </c>
      <c r="Y95" s="216">
        <f>Y$93*'Methanol recycling rates'!AA46</f>
        <v>82.782976241306287</v>
      </c>
      <c r="Z95" s="216">
        <f>Z$93*'Methanol recycling rates'!AB46</f>
        <v>94.960886798445614</v>
      </c>
      <c r="AA95" s="216">
        <f>AA$93*'Methanol recycling rates'!AC46</f>
        <v>108.24205158013469</v>
      </c>
      <c r="AB95" s="216">
        <f>AB$93*'Methanol recycling rates'!AD46</f>
        <v>122.66834199513161</v>
      </c>
      <c r="AC95" s="216">
        <f>AC$93*'Methanol recycling rates'!AE46</f>
        <v>138.28089865919264</v>
      </c>
      <c r="AD95" s="216">
        <f>AD$93*'Methanol recycling rates'!AF46</f>
        <v>155.12013139507283</v>
      </c>
      <c r="AE95" s="216">
        <f>AE$93*'Methanol recycling rates'!AG46</f>
        <v>173.22571923252559</v>
      </c>
      <c r="AF95" s="216">
        <f>AF$93*'Methanol recycling rates'!AH46</f>
        <v>192.63661040830274</v>
      </c>
      <c r="AG95" s="216">
        <f>AG$93*'Methanol recycling rates'!AI46</f>
        <v>213.39102236615489</v>
      </c>
      <c r="AH95" s="230"/>
      <c r="AI95" s="126"/>
      <c r="AJ95" s="198"/>
      <c r="AL95" s="102"/>
      <c r="AM95" s="2"/>
      <c r="AN95" s="2"/>
      <c r="AO95" s="2"/>
      <c r="BC95" s="1"/>
      <c r="BD95" s="2"/>
      <c r="BE95" s="2"/>
      <c r="BF95" s="2"/>
      <c r="BG95" s="2"/>
      <c r="BH95" s="2"/>
      <c r="BI95" s="2"/>
      <c r="BJ95" s="2"/>
      <c r="BK95" s="2"/>
    </row>
    <row r="96" spans="1:63" outlineLevel="1">
      <c r="A96" s="4" t="s">
        <v>1159</v>
      </c>
      <c r="C96" s="216">
        <f>C$93*'Methanol recycling rates'!E47</f>
        <v>0</v>
      </c>
      <c r="D96" s="216">
        <f>D$93*'Methanol recycling rates'!F47</f>
        <v>5.3792249680354273E-2</v>
      </c>
      <c r="E96" s="216">
        <f>E$93*'Methanol recycling rates'!G47</f>
        <v>0.22140346419880205</v>
      </c>
      <c r="F96" s="216">
        <f>F$93*'Methanol recycling rates'!H47</f>
        <v>0.51308934947281959</v>
      </c>
      <c r="G96" s="216">
        <f>G$93*'Methanol recycling rates'!I47</f>
        <v>0.93904483412102635</v>
      </c>
      <c r="H96" s="216">
        <f>H$93*'Methanol recycling rates'!J47</f>
        <v>1.5094040694631854</v>
      </c>
      <c r="I96" s="216">
        <f>I$93*'Methanol recycling rates'!K47</f>
        <v>2.2342404295202036</v>
      </c>
      <c r="J96" s="216">
        <f>J$93*'Methanol recycling rates'!L47</f>
        <v>3.1235665110141313</v>
      </c>
      <c r="K96" s="216">
        <f>K$93*'Methanol recycling rates'!M47</f>
        <v>4.1873341333681608</v>
      </c>
      <c r="L96" s="216">
        <f>L$93*'Methanol recycling rates'!N47</f>
        <v>5.4354343387066315</v>
      </c>
      <c r="M96" s="216">
        <f>M$93*'Methanol recycling rates'!O47</f>
        <v>6.8776973918550217</v>
      </c>
      <c r="N96" s="216">
        <f>N$93*'Methanol recycling rates'!P47</f>
        <v>8.787162393673805</v>
      </c>
      <c r="O96" s="216">
        <f>O$93*'Methanol recycling rates'!Q47</f>
        <v>11.007255845340826</v>
      </c>
      <c r="P96" s="216">
        <f>P$93*'Methanol recycling rates'!R47</f>
        <v>13.559074819908936</v>
      </c>
      <c r="Q96" s="216">
        <f>Q$93*'Methanol recycling rates'!S47</f>
        <v>16.463399948411819</v>
      </c>
      <c r="R96" s="216">
        <f>R$93*'Methanol recycling rates'!T47</f>
        <v>19.740695419864021</v>
      </c>
      <c r="S96" s="216">
        <f>S$93*'Methanol recycling rates'!U47</f>
        <v>23.411108981260924</v>
      </c>
      <c r="T96" s="216">
        <f>T$93*'Methanol recycling rates'!V47</f>
        <v>27.494471937578762</v>
      </c>
      <c r="U96" s="216">
        <f>U$93*'Methanol recycling rates'!W47</f>
        <v>32.010299151774603</v>
      </c>
      <c r="V96" s="216">
        <f>V$93*'Methanol recycling rates'!X47</f>
        <v>36.977789044786377</v>
      </c>
      <c r="W96" s="216">
        <f>W$93*'Methanol recycling rates'!Y47</f>
        <v>42.415823595532849</v>
      </c>
      <c r="X96" s="216">
        <f>X$93*'Methanol recycling rates'!Z47</f>
        <v>49.37419015803291</v>
      </c>
      <c r="Y96" s="216">
        <f>Y$93*'Methanol recycling rates'!AA47</f>
        <v>57.033439998458022</v>
      </c>
      <c r="Z96" s="216">
        <f>Z$93*'Methanol recycling rates'!AB47</f>
        <v>65.423427440352327</v>
      </c>
      <c r="AA96" s="216">
        <f>AA$93*'Methanol recycling rates'!AC47</f>
        <v>74.573503326463594</v>
      </c>
      <c r="AB96" s="216">
        <f>AB$93*'Methanol recycling rates'!AD47</f>
        <v>84.512515018743301</v>
      </c>
      <c r="AC96" s="216">
        <f>AC$93*'Methanol recycling rates'!AE47</f>
        <v>95.268806398346399</v>
      </c>
      <c r="AD96" s="216">
        <f>AD$93*'Methanol recycling rates'!AF47</f>
        <v>106.87021786563166</v>
      </c>
      <c r="AE96" s="216">
        <f>AE$93*'Methanol recycling rates'!AG47</f>
        <v>119.34408634016138</v>
      </c>
      <c r="AF96" s="216">
        <f>AF$93*'Methanol recycling rates'!AH47</f>
        <v>132.7172452607015</v>
      </c>
      <c r="AG96" s="216">
        <f>AG$93*'Methanol recycling rates'!AI47</f>
        <v>147.01602458522169</v>
      </c>
      <c r="AH96" s="230"/>
      <c r="AI96" s="126"/>
      <c r="AJ96" s="198"/>
      <c r="AL96" s="102"/>
      <c r="AM96" s="2"/>
      <c r="AN96" s="2"/>
      <c r="AO96" s="2"/>
      <c r="BC96" s="1"/>
      <c r="BD96" s="2"/>
      <c r="BE96" s="2"/>
      <c r="BF96" s="2"/>
      <c r="BG96" s="2"/>
      <c r="BH96" s="2"/>
      <c r="BI96" s="2"/>
      <c r="BJ96" s="2"/>
      <c r="BK96" s="2"/>
    </row>
    <row r="97" spans="1:63" s="1" customFormat="1" outlineLevel="1">
      <c r="A97" s="1" t="s">
        <v>1165</v>
      </c>
      <c r="B97" s="61"/>
      <c r="C97" s="279">
        <f>C93-$C93</f>
        <v>0</v>
      </c>
      <c r="D97" s="279">
        <f t="shared" ref="D97:AG97" si="46">D93-$C93</f>
        <v>3.933142887549002</v>
      </c>
      <c r="E97" s="279">
        <f t="shared" si="46"/>
        <v>8.118839280062188</v>
      </c>
      <c r="F97" s="279">
        <f t="shared" si="46"/>
        <v>12.555971633899395</v>
      </c>
      <c r="G97" s="279">
        <f t="shared" si="46"/>
        <v>17.243422405420453</v>
      </c>
      <c r="H97" s="279">
        <f t="shared" si="46"/>
        <v>22.180074050985191</v>
      </c>
      <c r="I97" s="279">
        <f t="shared" si="46"/>
        <v>27.364809026953445</v>
      </c>
      <c r="J97" s="279">
        <f t="shared" si="46"/>
        <v>32.796509789685054</v>
      </c>
      <c r="K97" s="279">
        <f t="shared" si="46"/>
        <v>38.47405879553984</v>
      </c>
      <c r="L97" s="279">
        <f t="shared" si="46"/>
        <v>44.396338500877654</v>
      </c>
      <c r="M97" s="279">
        <f t="shared" si="46"/>
        <v>50.562231362058313</v>
      </c>
      <c r="N97" s="279">
        <f t="shared" si="46"/>
        <v>58.730937870245853</v>
      </c>
      <c r="O97" s="279">
        <f t="shared" si="46"/>
        <v>67.442088635768698</v>
      </c>
      <c r="P97" s="279">
        <f t="shared" si="46"/>
        <v>76.689865075494026</v>
      </c>
      <c r="Q97" s="279">
        <f t="shared" si="46"/>
        <v>86.468448606288959</v>
      </c>
      <c r="R97" s="279">
        <f t="shared" si="46"/>
        <v>96.772020645020689</v>
      </c>
      <c r="S97" s="279">
        <f t="shared" si="46"/>
        <v>107.59476260855634</v>
      </c>
      <c r="T97" s="279">
        <f t="shared" si="46"/>
        <v>118.9308559137631</v>
      </c>
      <c r="U97" s="279">
        <f t="shared" si="46"/>
        <v>130.77448197750809</v>
      </c>
      <c r="V97" s="279">
        <f t="shared" si="46"/>
        <v>143.11982221665846</v>
      </c>
      <c r="W97" s="279">
        <f t="shared" si="46"/>
        <v>155.96105804808136</v>
      </c>
      <c r="X97" s="279">
        <f t="shared" si="46"/>
        <v>172.90410595610038</v>
      </c>
      <c r="Y97" s="279">
        <f t="shared" si="46"/>
        <v>190.65005923016653</v>
      </c>
      <c r="Z97" s="279">
        <f t="shared" si="46"/>
        <v>209.18966010837673</v>
      </c>
      <c r="AA97" s="279">
        <f t="shared" si="46"/>
        <v>228.51365082882788</v>
      </c>
      <c r="AB97" s="279">
        <f t="shared" si="46"/>
        <v>248.61277362961721</v>
      </c>
      <c r="AC97" s="279">
        <f t="shared" si="46"/>
        <v>269.47777074884129</v>
      </c>
      <c r="AD97" s="279">
        <f t="shared" si="46"/>
        <v>291.09938442459736</v>
      </c>
      <c r="AE97" s="279">
        <f t="shared" si="46"/>
        <v>313.46835689498232</v>
      </c>
      <c r="AF97" s="279">
        <f t="shared" si="46"/>
        <v>336.57543039809309</v>
      </c>
      <c r="AG97" s="279">
        <f t="shared" si="46"/>
        <v>360.41134717202692</v>
      </c>
      <c r="AH97" s="230"/>
      <c r="AI97" s="398"/>
      <c r="AJ97" s="399"/>
      <c r="AL97" s="207"/>
      <c r="AM97" s="118"/>
      <c r="AN97" s="118"/>
      <c r="AO97" s="118"/>
      <c r="BD97" s="118"/>
      <c r="BE97" s="118"/>
      <c r="BF97" s="118"/>
      <c r="BG97" s="118"/>
      <c r="BH97" s="118"/>
      <c r="BI97" s="118"/>
      <c r="BJ97" s="118"/>
      <c r="BK97" s="118"/>
    </row>
    <row r="98" spans="1:63" outlineLevel="1">
      <c r="A98" s="4" t="s">
        <v>35</v>
      </c>
      <c r="C98" s="216">
        <f t="shared" ref="C98:AF100" si="47">C94-$C94</f>
        <v>0</v>
      </c>
      <c r="D98" s="216">
        <f t="shared" si="47"/>
        <v>3.8012721890257306</v>
      </c>
      <c r="E98" s="216">
        <f t="shared" si="47"/>
        <v>7.5760728099319916</v>
      </c>
      <c r="F98" s="216">
        <f t="shared" si="47"/>
        <v>11.298142646974863</v>
      </c>
      <c r="G98" s="216">
        <f t="shared" si="47"/>
        <v>14.941371478826943</v>
      </c>
      <c r="H98" s="216">
        <f t="shared" si="47"/>
        <v>18.47979807857735</v>
      </c>
      <c r="I98" s="216">
        <f t="shared" si="47"/>
        <v>21.88761021373173</v>
      </c>
      <c r="J98" s="216">
        <f t="shared" si="47"/>
        <v>25.139144646212262</v>
      </c>
      <c r="K98" s="216">
        <f t="shared" si="47"/>
        <v>28.208887132357624</v>
      </c>
      <c r="L98" s="216">
        <f t="shared" si="47"/>
        <v>31.071472422923041</v>
      </c>
      <c r="M98" s="216">
        <f t="shared" si="47"/>
        <v>33.701684263080232</v>
      </c>
      <c r="N98" s="216">
        <f t="shared" si="47"/>
        <v>37.189372872000696</v>
      </c>
      <c r="O98" s="216">
        <f t="shared" si="47"/>
        <v>40.458005877103631</v>
      </c>
      <c r="P98" s="216">
        <f t="shared" si="47"/>
        <v>43.450045613477577</v>
      </c>
      <c r="Q98" s="216">
        <f t="shared" si="47"/>
        <v>46.108730167929082</v>
      </c>
      <c r="R98" s="216">
        <f t="shared" si="47"/>
        <v>48.378073378982805</v>
      </c>
      <c r="S98" s="216">
        <f t="shared" si="47"/>
        <v>50.202864836881432</v>
      </c>
      <c r="T98" s="216">
        <f t="shared" si="47"/>
        <v>51.528669883585728</v>
      </c>
      <c r="U98" s="216">
        <f t="shared" si="47"/>
        <v>52.301829612774512</v>
      </c>
      <c r="V98" s="216">
        <f t="shared" si="47"/>
        <v>52.469460869844653</v>
      </c>
      <c r="W98" s="216">
        <f t="shared" si="47"/>
        <v>51.979456251911095</v>
      </c>
      <c r="X98" s="216">
        <f t="shared" si="47"/>
        <v>51.864198091110339</v>
      </c>
      <c r="Y98" s="216">
        <f t="shared" si="47"/>
        <v>50.833642990402346</v>
      </c>
      <c r="Z98" s="216">
        <f t="shared" si="47"/>
        <v>48.805345869578929</v>
      </c>
      <c r="AA98" s="216">
        <f t="shared" si="47"/>
        <v>45.698095922229754</v>
      </c>
      <c r="AB98" s="216">
        <f t="shared" si="47"/>
        <v>41.431916615742466</v>
      </c>
      <c r="AC98" s="216">
        <f t="shared" si="47"/>
        <v>35.928065691302443</v>
      </c>
      <c r="AD98" s="216">
        <f t="shared" si="47"/>
        <v>29.109035163893076</v>
      </c>
      <c r="AE98" s="216">
        <f t="shared" si="47"/>
        <v>20.898551322295578</v>
      </c>
      <c r="AF98" s="216">
        <f t="shared" si="47"/>
        <v>11.22157472908906</v>
      </c>
      <c r="AG98" s="216">
        <f>AG94-$C94</f>
        <v>4.3002206503359904E-3</v>
      </c>
      <c r="AH98" s="230"/>
      <c r="AI98" s="126"/>
      <c r="AJ98" s="198"/>
      <c r="AL98" s="102"/>
      <c r="AM98" s="2"/>
      <c r="AN98" s="2"/>
      <c r="AO98" s="2"/>
      <c r="BC98" s="1"/>
      <c r="BD98" s="2"/>
      <c r="BE98" s="2"/>
      <c r="BF98" s="2"/>
      <c r="BG98" s="2"/>
      <c r="BH98" s="2"/>
      <c r="BI98" s="2"/>
      <c r="BJ98" s="2"/>
      <c r="BK98" s="2"/>
    </row>
    <row r="99" spans="1:63" outlineLevel="1">
      <c r="A99" s="4" t="s">
        <v>160</v>
      </c>
      <c r="C99" s="216">
        <f t="shared" si="47"/>
        <v>0</v>
      </c>
      <c r="D99" s="216">
        <f t="shared" si="47"/>
        <v>7.807844884291705E-2</v>
      </c>
      <c r="E99" s="216">
        <f t="shared" si="47"/>
        <v>0.32136300593139516</v>
      </c>
      <c r="F99" s="216">
        <f t="shared" si="47"/>
        <v>0.74473963745171412</v>
      </c>
      <c r="G99" s="216">
        <f t="shared" si="47"/>
        <v>1.3630060924724874</v>
      </c>
      <c r="H99" s="216">
        <f t="shared" si="47"/>
        <v>2.1908719029446613</v>
      </c>
      <c r="I99" s="216">
        <f t="shared" si="47"/>
        <v>3.2429583837015175</v>
      </c>
      <c r="J99" s="216">
        <f t="shared" si="47"/>
        <v>4.5337986324586721</v>
      </c>
      <c r="K99" s="216">
        <f t="shared" si="47"/>
        <v>6.0778375298140723</v>
      </c>
      <c r="L99" s="216">
        <f t="shared" si="47"/>
        <v>7.8894317392480033</v>
      </c>
      <c r="M99" s="216">
        <f t="shared" si="47"/>
        <v>9.98284970712308</v>
      </c>
      <c r="N99" s="216">
        <f t="shared" si="47"/>
        <v>12.754402604571379</v>
      </c>
      <c r="O99" s="216">
        <f t="shared" si="47"/>
        <v>15.976826913324272</v>
      </c>
      <c r="P99" s="216">
        <f t="shared" si="47"/>
        <v>19.680744642107555</v>
      </c>
      <c r="Q99" s="216">
        <f t="shared" si="47"/>
        <v>23.896318489948108</v>
      </c>
      <c r="R99" s="216">
        <f t="shared" si="47"/>
        <v>28.653251846173919</v>
      </c>
      <c r="S99" s="216">
        <f t="shared" si="47"/>
        <v>33.980788790414053</v>
      </c>
      <c r="T99" s="216">
        <f t="shared" si="47"/>
        <v>39.907714092598681</v>
      </c>
      <c r="U99" s="216">
        <f t="shared" si="47"/>
        <v>46.462353212959052</v>
      </c>
      <c r="V99" s="216">
        <f t="shared" si="47"/>
        <v>53.672572302027518</v>
      </c>
      <c r="W99" s="216">
        <f t="shared" si="47"/>
        <v>61.56577820063751</v>
      </c>
      <c r="X99" s="216">
        <f t="shared" si="47"/>
        <v>71.665717706957238</v>
      </c>
      <c r="Y99" s="216">
        <f t="shared" si="47"/>
        <v>82.782976241306287</v>
      </c>
      <c r="Z99" s="216">
        <f t="shared" si="47"/>
        <v>94.960886798445614</v>
      </c>
      <c r="AA99" s="216">
        <f t="shared" si="47"/>
        <v>108.24205158013469</v>
      </c>
      <c r="AB99" s="216">
        <f t="shared" si="47"/>
        <v>122.66834199513161</v>
      </c>
      <c r="AC99" s="216">
        <f t="shared" si="47"/>
        <v>138.28089865919264</v>
      </c>
      <c r="AD99" s="216">
        <f t="shared" si="47"/>
        <v>155.12013139507283</v>
      </c>
      <c r="AE99" s="216">
        <f t="shared" si="47"/>
        <v>173.22571923252559</v>
      </c>
      <c r="AF99" s="216">
        <f t="shared" si="47"/>
        <v>192.63661040830274</v>
      </c>
      <c r="AG99" s="216">
        <f t="shared" ref="AG99:AG100" si="48">AG95-$C95</f>
        <v>213.39102236615489</v>
      </c>
      <c r="AH99" s="230"/>
      <c r="AI99" s="126"/>
      <c r="AJ99" s="198"/>
      <c r="AL99" s="102"/>
      <c r="AM99" s="2"/>
      <c r="AN99" s="2"/>
      <c r="AO99" s="2"/>
      <c r="BC99" s="1"/>
      <c r="BD99" s="2"/>
      <c r="BE99" s="2"/>
      <c r="BF99" s="2"/>
      <c r="BG99" s="2"/>
      <c r="BH99" s="2"/>
      <c r="BI99" s="2"/>
      <c r="BJ99" s="2"/>
      <c r="BK99" s="2"/>
    </row>
    <row r="100" spans="1:63" outlineLevel="1">
      <c r="A100" s="4" t="s">
        <v>1159</v>
      </c>
      <c r="C100" s="216">
        <f t="shared" si="47"/>
        <v>0</v>
      </c>
      <c r="D100" s="216">
        <f t="shared" si="47"/>
        <v>5.3792249680354273E-2</v>
      </c>
      <c r="E100" s="216">
        <f t="shared" si="47"/>
        <v>0.22140346419880205</v>
      </c>
      <c r="F100" s="216">
        <f t="shared" si="47"/>
        <v>0.51308934947281959</v>
      </c>
      <c r="G100" s="216">
        <f t="shared" si="47"/>
        <v>0.93904483412102635</v>
      </c>
      <c r="H100" s="216">
        <f t="shared" si="47"/>
        <v>1.5094040694631854</v>
      </c>
      <c r="I100" s="216">
        <f t="shared" si="47"/>
        <v>2.2342404295202036</v>
      </c>
      <c r="J100" s="216">
        <f t="shared" si="47"/>
        <v>3.1235665110141313</v>
      </c>
      <c r="K100" s="216">
        <f t="shared" si="47"/>
        <v>4.1873341333681608</v>
      </c>
      <c r="L100" s="216">
        <f t="shared" si="47"/>
        <v>5.4354343387066315</v>
      </c>
      <c r="M100" s="216">
        <f t="shared" si="47"/>
        <v>6.8776973918550217</v>
      </c>
      <c r="N100" s="216">
        <f t="shared" si="47"/>
        <v>8.787162393673805</v>
      </c>
      <c r="O100" s="216">
        <f t="shared" si="47"/>
        <v>11.007255845340826</v>
      </c>
      <c r="P100" s="216">
        <f t="shared" si="47"/>
        <v>13.559074819908936</v>
      </c>
      <c r="Q100" s="216">
        <f t="shared" si="47"/>
        <v>16.463399948411819</v>
      </c>
      <c r="R100" s="216">
        <f t="shared" si="47"/>
        <v>19.740695419864021</v>
      </c>
      <c r="S100" s="216">
        <f t="shared" si="47"/>
        <v>23.411108981260924</v>
      </c>
      <c r="T100" s="216">
        <f t="shared" si="47"/>
        <v>27.494471937578762</v>
      </c>
      <c r="U100" s="216">
        <f t="shared" si="47"/>
        <v>32.010299151774603</v>
      </c>
      <c r="V100" s="216">
        <f t="shared" si="47"/>
        <v>36.977789044786377</v>
      </c>
      <c r="W100" s="216">
        <f t="shared" si="47"/>
        <v>42.415823595532849</v>
      </c>
      <c r="X100" s="216">
        <f t="shared" si="47"/>
        <v>49.37419015803291</v>
      </c>
      <c r="Y100" s="216">
        <f t="shared" si="47"/>
        <v>57.033439998458022</v>
      </c>
      <c r="Z100" s="216">
        <f t="shared" si="47"/>
        <v>65.423427440352327</v>
      </c>
      <c r="AA100" s="216">
        <f t="shared" si="47"/>
        <v>74.573503326463594</v>
      </c>
      <c r="AB100" s="216">
        <f t="shared" si="47"/>
        <v>84.512515018743301</v>
      </c>
      <c r="AC100" s="216">
        <f t="shared" si="47"/>
        <v>95.268806398346399</v>
      </c>
      <c r="AD100" s="216">
        <f t="shared" si="47"/>
        <v>106.87021786563166</v>
      </c>
      <c r="AE100" s="216">
        <f t="shared" si="47"/>
        <v>119.34408634016138</v>
      </c>
      <c r="AF100" s="216">
        <f t="shared" si="47"/>
        <v>132.7172452607015</v>
      </c>
      <c r="AG100" s="216">
        <f t="shared" si="48"/>
        <v>147.01602458522169</v>
      </c>
      <c r="AH100" s="230"/>
      <c r="AI100" s="126"/>
      <c r="AJ100" s="198"/>
      <c r="AL100" s="102"/>
      <c r="AM100" s="2"/>
      <c r="AN100" s="2"/>
      <c r="AO100" s="2"/>
      <c r="BC100" s="1"/>
      <c r="BD100" s="2"/>
      <c r="BE100" s="2"/>
      <c r="BF100" s="2"/>
      <c r="BG100" s="2"/>
      <c r="BH100" s="2"/>
      <c r="BI100" s="2"/>
      <c r="BJ100" s="2"/>
      <c r="BK100" s="2"/>
    </row>
    <row r="101" spans="1:63" s="1" customFormat="1" outlineLevel="1">
      <c r="A101" s="1" t="s">
        <v>1163</v>
      </c>
      <c r="B101" s="61"/>
      <c r="C101" s="279">
        <f>C39*C67</f>
        <v>0.10778699832147907</v>
      </c>
      <c r="D101" s="279">
        <f t="shared" ref="D101:AG101" si="49">D39*D67</f>
        <v>18.379852999800779</v>
      </c>
      <c r="E101" s="279">
        <f t="shared" si="49"/>
        <v>37.95272037226043</v>
      </c>
      <c r="F101" s="279">
        <f t="shared" si="49"/>
        <v>58.833065107523424</v>
      </c>
      <c r="G101" s="279">
        <f t="shared" si="49"/>
        <v>81.027492971631332</v>
      </c>
      <c r="H101" s="279">
        <f t="shared" si="49"/>
        <v>104.54253950484426</v>
      </c>
      <c r="I101" s="279">
        <f t="shared" si="49"/>
        <v>129.38467002164094</v>
      </c>
      <c r="J101" s="279">
        <f t="shared" si="49"/>
        <v>155.56027961071874</v>
      </c>
      <c r="K101" s="279">
        <f t="shared" si="49"/>
        <v>183.07569313499343</v>
      </c>
      <c r="L101" s="279">
        <f t="shared" si="49"/>
        <v>211.93716523159961</v>
      </c>
      <c r="M101" s="279">
        <f t="shared" si="49"/>
        <v>242.15088031189018</v>
      </c>
      <c r="N101" s="279">
        <f t="shared" si="49"/>
        <v>282.17718089800849</v>
      </c>
      <c r="O101" s="279">
        <f t="shared" si="49"/>
        <v>325.07384283766777</v>
      </c>
      <c r="P101" s="279">
        <f t="shared" si="49"/>
        <v>370.83830372960779</v>
      </c>
      <c r="Q101" s="279">
        <f t="shared" si="49"/>
        <v>419.46763553624538</v>
      </c>
      <c r="R101" s="279">
        <f t="shared" si="49"/>
        <v>470.95854458367461</v>
      </c>
      <c r="S101" s="279">
        <f t="shared" si="49"/>
        <v>525.3073715616664</v>
      </c>
      <c r="T101" s="279">
        <f t="shared" si="49"/>
        <v>582.51009152366896</v>
      </c>
      <c r="U101" s="279">
        <f t="shared" si="49"/>
        <v>642.56231388680749</v>
      </c>
      <c r="V101" s="279">
        <f t="shared" si="49"/>
        <v>705.45928243188439</v>
      </c>
      <c r="W101" s="279">
        <f t="shared" si="49"/>
        <v>771.19587530337924</v>
      </c>
      <c r="X101" s="279">
        <f t="shared" si="49"/>
        <v>857.67997843465901</v>
      </c>
      <c r="Y101" s="279">
        <f t="shared" si="49"/>
        <v>948.69126619055908</v>
      </c>
      <c r="Z101" s="279">
        <f t="shared" si="49"/>
        <v>1044.2213719035899</v>
      </c>
      <c r="AA101" s="279">
        <f t="shared" si="49"/>
        <v>1144.2613471539798</v>
      </c>
      <c r="AB101" s="279">
        <f t="shared" si="49"/>
        <v>1248.8016617696751</v>
      </c>
      <c r="AC101" s="279">
        <f t="shared" si="49"/>
        <v>1357.8322038263364</v>
      </c>
      <c r="AD101" s="279">
        <f t="shared" si="49"/>
        <v>1471.3422796473455</v>
      </c>
      <c r="AE101" s="279">
        <f t="shared" si="49"/>
        <v>1589.3206138037986</v>
      </c>
      <c r="AF101" s="279">
        <f t="shared" si="49"/>
        <v>1711.755349114509</v>
      </c>
      <c r="AG101" s="279">
        <f t="shared" si="49"/>
        <v>1838.6340466460106</v>
      </c>
      <c r="AH101" s="230"/>
      <c r="AI101" s="398"/>
      <c r="AJ101" s="399"/>
      <c r="AL101" s="207"/>
      <c r="AM101" s="118"/>
      <c r="AN101" s="118"/>
      <c r="AO101" s="118"/>
      <c r="BD101" s="118"/>
      <c r="BE101" s="118"/>
      <c r="BF101" s="118"/>
      <c r="BG101" s="118"/>
      <c r="BH101" s="118"/>
      <c r="BI101" s="118"/>
      <c r="BJ101" s="118"/>
      <c r="BK101" s="118"/>
    </row>
    <row r="102" spans="1:63" outlineLevel="1">
      <c r="A102" s="4" t="s">
        <v>35</v>
      </c>
      <c r="C102" s="216">
        <f>C$101*'Methanol recycling rates'!E42</f>
        <v>0.10778699832147907</v>
      </c>
      <c r="D102" s="216">
        <f>D$101*'Methanol recycling rates'!F42</f>
        <v>17.767191233140753</v>
      </c>
      <c r="E102" s="216">
        <f>E$101*'Methanol recycling rates'!G42</f>
        <v>35.422539014109738</v>
      </c>
      <c r="F102" s="216">
        <f>F$101*'Methanol recycling rates'!H42</f>
        <v>52.949758596771083</v>
      </c>
      <c r="G102" s="216">
        <f>G$101*'Methanol recycling rates'!I42</f>
        <v>70.223827242080489</v>
      </c>
      <c r="H102" s="216">
        <f>H$101*'Methanol recycling rates'!J42</f>
        <v>87.118782920703552</v>
      </c>
      <c r="I102" s="216">
        <f>I$101*'Methanol recycling rates'!K42</f>
        <v>103.50773601731277</v>
      </c>
      <c r="J102" s="216">
        <f>J$101*'Methanol recycling rates'!L42</f>
        <v>119.26288103488437</v>
      </c>
      <c r="K102" s="216">
        <f>K$101*'Methanol recycling rates'!M42</f>
        <v>134.25550829899518</v>
      </c>
      <c r="L102" s="216">
        <f>L$101*'Methanol recycling rates'!N42</f>
        <v>148.35601566211975</v>
      </c>
      <c r="M102" s="216">
        <f>M$101*'Methanol recycling rates'!O42</f>
        <v>161.4339202079268</v>
      </c>
      <c r="N102" s="216">
        <f>N$101*'Methanol recycling rates'!P42</f>
        <v>178.71221456873874</v>
      </c>
      <c r="O102" s="216">
        <f>O$101*'Methanol recycling rates'!Q42</f>
        <v>195.0443057026007</v>
      </c>
      <c r="P102" s="216">
        <f>P$101*'Methanol recycling rates'!R42</f>
        <v>210.14170544677779</v>
      </c>
      <c r="Q102" s="216">
        <f>Q$101*'Methanol recycling rates'!S42</f>
        <v>223.71607228599757</v>
      </c>
      <c r="R102" s="216">
        <f>R$101*'Methanol recycling rates'!T42</f>
        <v>235.47927229183736</v>
      </c>
      <c r="S102" s="216">
        <f>S$101*'Methanol recycling rates'!U42</f>
        <v>245.14344006211104</v>
      </c>
      <c r="T102" s="216">
        <f>T$101*'Methanol recycling rates'!V42</f>
        <v>252.42103966025661</v>
      </c>
      <c r="U102" s="216">
        <f>U$101*'Methanol recycling rates'!W42</f>
        <v>257.0249255547231</v>
      </c>
      <c r="V102" s="216">
        <f>V$101*'Methanol recycling rates'!X42</f>
        <v>258.66840355835768</v>
      </c>
      <c r="W102" s="216">
        <f>W$101*'Methanol recycling rates'!Y42</f>
        <v>257.06529176779321</v>
      </c>
      <c r="X102" s="216">
        <f>X$101*'Methanol recycling rates'!Z42</f>
        <v>257.30399353039786</v>
      </c>
      <c r="Y102" s="216">
        <f>Y$101*'Methanol recycling rates'!AA42</f>
        <v>252.98433765081592</v>
      </c>
      <c r="Z102" s="216">
        <f>Z$101*'Methanol recycling rates'!AB42</f>
        <v>243.65165344417116</v>
      </c>
      <c r="AA102" s="216">
        <f>AA$101*'Methanol recycling rates'!AC42</f>
        <v>228.85226943079618</v>
      </c>
      <c r="AB102" s="216">
        <f>AB$101*'Methanol recycling rates'!AD42</f>
        <v>208.13361029494607</v>
      </c>
      <c r="AC102" s="216">
        <f>AC$101*'Methanol recycling rates'!AE42</f>
        <v>181.04429384351178</v>
      </c>
      <c r="AD102" s="216">
        <f>AD$101*'Methanol recycling rates'!AF42</f>
        <v>147.13422796473486</v>
      </c>
      <c r="AE102" s="216">
        <f>AE$101*'Methanol recycling rates'!AG42</f>
        <v>105.95470758692024</v>
      </c>
      <c r="AF102" s="216">
        <f>AF$101*'Methanol recycling rates'!AH42</f>
        <v>57.058511637150659</v>
      </c>
      <c r="AG102" s="216">
        <f>AG$101*'Methanol recycling rates'!AI42</f>
        <v>0</v>
      </c>
      <c r="AH102" s="230"/>
      <c r="AI102" s="126"/>
      <c r="AJ102" s="198"/>
      <c r="AL102" s="102"/>
      <c r="AM102" s="2"/>
      <c r="AN102" s="2"/>
      <c r="AO102" s="2"/>
      <c r="BC102" s="1"/>
      <c r="BD102" s="2"/>
      <c r="BE102" s="2"/>
      <c r="BF102" s="2"/>
      <c r="BG102" s="2"/>
      <c r="BH102" s="2"/>
      <c r="BI102" s="2"/>
      <c r="BJ102" s="2"/>
      <c r="BK102" s="2"/>
    </row>
    <row r="103" spans="1:63" outlineLevel="1">
      <c r="A103" s="4" t="s">
        <v>160</v>
      </c>
      <c r="C103" s="216">
        <f>C$101*'Methanol recycling rates'!E43</f>
        <v>0</v>
      </c>
      <c r="D103" s="216">
        <f>D$101*'Methanol recycling rates'!F43</f>
        <v>0.30633088333001296</v>
      </c>
      <c r="E103" s="216">
        <f>E$101*'Methanol recycling rates'!G43</f>
        <v>1.2650906790753476</v>
      </c>
      <c r="F103" s="216">
        <f>F$101*'Methanol recycling rates'!H43</f>
        <v>2.9416532553761714</v>
      </c>
      <c r="G103" s="216">
        <f>G$101*'Methanol recycling rates'!I43</f>
        <v>5.4018328647754217</v>
      </c>
      <c r="H103" s="216">
        <f>H$101*'Methanol recycling rates'!J43</f>
        <v>8.7118782920703541</v>
      </c>
      <c r="I103" s="216">
        <f>I$101*'Methanol recycling rates'!K43</f>
        <v>12.938467002164094</v>
      </c>
      <c r="J103" s="216">
        <f>J$101*'Methanol recycling rates'!L43</f>
        <v>18.148699287917186</v>
      </c>
      <c r="K103" s="216">
        <f>K$101*'Methanol recycling rates'!M43</f>
        <v>24.410092417999124</v>
      </c>
      <c r="L103" s="216">
        <f>L$101*'Methanol recycling rates'!N43</f>
        <v>31.790574784739938</v>
      </c>
      <c r="M103" s="216">
        <f>M$101*'Methanol recycling rates'!O43</f>
        <v>40.358480051981694</v>
      </c>
      <c r="N103" s="216">
        <f>N$101*'Methanol recycling rates'!P43</f>
        <v>51.732483164634885</v>
      </c>
      <c r="O103" s="216">
        <f>O$101*'Methanol recycling rates'!Q43</f>
        <v>65.014768567533551</v>
      </c>
      <c r="P103" s="216">
        <f>P$101*'Methanol recycling rates'!R43</f>
        <v>80.348299141415012</v>
      </c>
      <c r="Q103" s="216">
        <f>Q$101*'Methanol recycling rates'!S43</f>
        <v>97.875781625123906</v>
      </c>
      <c r="R103" s="216">
        <f>R$101*'Methanol recycling rates'!T43</f>
        <v>117.73963614591864</v>
      </c>
      <c r="S103" s="216">
        <f>S$101*'Methanol recycling rates'!U43</f>
        <v>140.08196574977771</v>
      </c>
      <c r="T103" s="216">
        <f>T$101*'Methanol recycling rates'!V43</f>
        <v>165.0445259317062</v>
      </c>
      <c r="U103" s="216">
        <f>U$101*'Methanol recycling rates'!W43</f>
        <v>192.76869416604225</v>
      </c>
      <c r="V103" s="216">
        <f>V$101*'Methanol recycling rates'!X43</f>
        <v>223.39543943676338</v>
      </c>
      <c r="W103" s="216">
        <f>W$101*'Methanol recycling rates'!Y43</f>
        <v>257.06529176779304</v>
      </c>
      <c r="X103" s="216">
        <f>X$101*'Methanol recycling rates'!Z43</f>
        <v>300.18799245213063</v>
      </c>
      <c r="Y103" s="216">
        <f>Y$101*'Methanol recycling rates'!AA43</f>
        <v>347.85346426987167</v>
      </c>
      <c r="Z103" s="216">
        <f>Z$101*'Methanol recycling rates'!AB43</f>
        <v>400.28485922970941</v>
      </c>
      <c r="AA103" s="216">
        <f>AA$101*'Methanol recycling rates'!AC43</f>
        <v>457.70453886159191</v>
      </c>
      <c r="AB103" s="216">
        <f>AB$101*'Methanol recycling rates'!AD43</f>
        <v>520.33402573736453</v>
      </c>
      <c r="AC103" s="216">
        <f>AC$101*'Methanol recycling rates'!AE43</f>
        <v>588.39395499141233</v>
      </c>
      <c r="AD103" s="216">
        <f>AD$101*'Methanol recycling rates'!AF43</f>
        <v>662.10402584130543</v>
      </c>
      <c r="AE103" s="216">
        <f>AE$101*'Methanol recycling rates'!AG43</f>
        <v>741.68295310843928</v>
      </c>
      <c r="AF103" s="216">
        <f>AF$101*'Methanol recycling rates'!AH43</f>
        <v>827.34841873867924</v>
      </c>
      <c r="AG103" s="216">
        <f>AG$101*'Methanol recycling rates'!AI43</f>
        <v>919.31702332300529</v>
      </c>
      <c r="AH103" s="230"/>
      <c r="AI103" s="126"/>
      <c r="AJ103" s="198"/>
      <c r="AL103" s="102"/>
      <c r="AM103" s="2"/>
      <c r="AN103" s="2"/>
      <c r="AO103" s="2"/>
      <c r="BC103" s="1"/>
      <c r="BD103" s="2"/>
      <c r="BE103" s="2"/>
      <c r="BF103" s="2"/>
      <c r="BG103" s="2"/>
      <c r="BH103" s="2"/>
      <c r="BI103" s="2"/>
      <c r="BJ103" s="2"/>
      <c r="BK103" s="2"/>
    </row>
    <row r="104" spans="1:63" outlineLevel="1">
      <c r="A104" s="4" t="s">
        <v>1159</v>
      </c>
      <c r="C104" s="216">
        <f>C$101*'Methanol recycling rates'!E44</f>
        <v>0</v>
      </c>
      <c r="D104" s="216">
        <f>D$101*'Methanol recycling rates'!F44</f>
        <v>0.30633088333001296</v>
      </c>
      <c r="E104" s="216">
        <f>E$101*'Methanol recycling rates'!G44</f>
        <v>1.2650906790753476</v>
      </c>
      <c r="F104" s="216">
        <f>F$101*'Methanol recycling rates'!H44</f>
        <v>2.9416532553761714</v>
      </c>
      <c r="G104" s="216">
        <f>G$101*'Methanol recycling rates'!I44</f>
        <v>5.4018328647754217</v>
      </c>
      <c r="H104" s="216">
        <f>H$101*'Methanol recycling rates'!J44</f>
        <v>8.7118782920703541</v>
      </c>
      <c r="I104" s="216">
        <f>I$101*'Methanol recycling rates'!K44</f>
        <v>12.938467002164094</v>
      </c>
      <c r="J104" s="216">
        <f>J$101*'Methanol recycling rates'!L44</f>
        <v>18.148699287917186</v>
      </c>
      <c r="K104" s="216">
        <f>K$101*'Methanol recycling rates'!M44</f>
        <v>24.410092417999124</v>
      </c>
      <c r="L104" s="216">
        <f>L$101*'Methanol recycling rates'!N44</f>
        <v>31.790574784739938</v>
      </c>
      <c r="M104" s="216">
        <f>M$101*'Methanol recycling rates'!O44</f>
        <v>40.358480051981694</v>
      </c>
      <c r="N104" s="216">
        <f>N$101*'Methanol recycling rates'!P44</f>
        <v>51.732483164634885</v>
      </c>
      <c r="O104" s="216">
        <f>O$101*'Methanol recycling rates'!Q44</f>
        <v>65.014768567533551</v>
      </c>
      <c r="P104" s="216">
        <f>P$101*'Methanol recycling rates'!R44</f>
        <v>80.348299141415012</v>
      </c>
      <c r="Q104" s="216">
        <f>Q$101*'Methanol recycling rates'!S44</f>
        <v>97.875781625123906</v>
      </c>
      <c r="R104" s="216">
        <f>R$101*'Methanol recycling rates'!T44</f>
        <v>117.73963614591864</v>
      </c>
      <c r="S104" s="216">
        <f>S$101*'Methanol recycling rates'!U44</f>
        <v>140.08196574977771</v>
      </c>
      <c r="T104" s="216">
        <f>T$101*'Methanol recycling rates'!V44</f>
        <v>165.0445259317062</v>
      </c>
      <c r="U104" s="216">
        <f>U$101*'Methanol recycling rates'!W44</f>
        <v>192.76869416604225</v>
      </c>
      <c r="V104" s="216">
        <f>V$101*'Methanol recycling rates'!X44</f>
        <v>223.39543943676338</v>
      </c>
      <c r="W104" s="216">
        <f>W$101*'Methanol recycling rates'!Y44</f>
        <v>257.06529176779304</v>
      </c>
      <c r="X104" s="216">
        <f>X$101*'Methanol recycling rates'!Z44</f>
        <v>300.18799245213063</v>
      </c>
      <c r="Y104" s="216">
        <f>Y$101*'Methanol recycling rates'!AA44</f>
        <v>347.85346426987167</v>
      </c>
      <c r="Z104" s="216">
        <f>Z$101*'Methanol recycling rates'!AB44</f>
        <v>400.28485922970941</v>
      </c>
      <c r="AA104" s="216">
        <f>AA$101*'Methanol recycling rates'!AC44</f>
        <v>457.70453886159191</v>
      </c>
      <c r="AB104" s="216">
        <f>AB$101*'Methanol recycling rates'!AD44</f>
        <v>520.33402573736453</v>
      </c>
      <c r="AC104" s="216">
        <f>AC$101*'Methanol recycling rates'!AE44</f>
        <v>588.39395499141233</v>
      </c>
      <c r="AD104" s="216">
        <f>AD$101*'Methanol recycling rates'!AF44</f>
        <v>662.10402584130543</v>
      </c>
      <c r="AE104" s="216">
        <f>AE$101*'Methanol recycling rates'!AG44</f>
        <v>741.68295310843928</v>
      </c>
      <c r="AF104" s="216">
        <f>AF$101*'Methanol recycling rates'!AH44</f>
        <v>827.34841873867924</v>
      </c>
      <c r="AG104" s="216">
        <f>AG$101*'Methanol recycling rates'!AI44</f>
        <v>919.31702332300529</v>
      </c>
      <c r="AH104" s="230"/>
      <c r="AI104" s="126"/>
      <c r="AJ104" s="198"/>
      <c r="AL104" s="102"/>
      <c r="AM104" s="2"/>
      <c r="AN104" s="2"/>
      <c r="AO104" s="2"/>
      <c r="BC104" s="1"/>
      <c r="BD104" s="2"/>
      <c r="BE104" s="2"/>
      <c r="BF104" s="2"/>
      <c r="BG104" s="2"/>
      <c r="BH104" s="2"/>
      <c r="BI104" s="2"/>
      <c r="BJ104" s="2"/>
      <c r="BK104" s="2"/>
    </row>
    <row r="105" spans="1:63" s="1" customFormat="1" outlineLevel="1">
      <c r="A105" s="1" t="s">
        <v>1166</v>
      </c>
      <c r="B105" s="61"/>
      <c r="C105" s="279">
        <f>C101-$C101</f>
        <v>0</v>
      </c>
      <c r="D105" s="279">
        <f t="shared" ref="D105:AG105" si="50">D101-$C101</f>
        <v>18.272066001479299</v>
      </c>
      <c r="E105" s="279">
        <f t="shared" si="50"/>
        <v>37.84493337393895</v>
      </c>
      <c r="F105" s="279">
        <f t="shared" si="50"/>
        <v>58.725278109201945</v>
      </c>
      <c r="G105" s="279">
        <f t="shared" si="50"/>
        <v>80.91970597330986</v>
      </c>
      <c r="H105" s="279">
        <f t="shared" si="50"/>
        <v>104.43475250652278</v>
      </c>
      <c r="I105" s="279">
        <f t="shared" si="50"/>
        <v>129.27688302331947</v>
      </c>
      <c r="J105" s="279">
        <f t="shared" si="50"/>
        <v>155.45249261239726</v>
      </c>
      <c r="K105" s="279">
        <f t="shared" si="50"/>
        <v>182.96790613667196</v>
      </c>
      <c r="L105" s="279">
        <f t="shared" si="50"/>
        <v>211.82937823327813</v>
      </c>
      <c r="M105" s="279">
        <f t="shared" si="50"/>
        <v>242.0430933135687</v>
      </c>
      <c r="N105" s="279">
        <f t="shared" si="50"/>
        <v>282.06939389968699</v>
      </c>
      <c r="O105" s="279">
        <f t="shared" si="50"/>
        <v>324.96605583934627</v>
      </c>
      <c r="P105" s="279">
        <f t="shared" si="50"/>
        <v>370.73051673128629</v>
      </c>
      <c r="Q105" s="279">
        <f t="shared" si="50"/>
        <v>419.35984853792388</v>
      </c>
      <c r="R105" s="279">
        <f t="shared" si="50"/>
        <v>470.85075758535311</v>
      </c>
      <c r="S105" s="279">
        <f t="shared" si="50"/>
        <v>525.19958456334496</v>
      </c>
      <c r="T105" s="279">
        <f t="shared" si="50"/>
        <v>582.40230452534752</v>
      </c>
      <c r="U105" s="279">
        <f t="shared" si="50"/>
        <v>642.45452688848604</v>
      </c>
      <c r="V105" s="279">
        <f t="shared" si="50"/>
        <v>705.35149543356295</v>
      </c>
      <c r="W105" s="279">
        <f t="shared" si="50"/>
        <v>771.08808830505779</v>
      </c>
      <c r="X105" s="279">
        <f t="shared" si="50"/>
        <v>857.57219143633756</v>
      </c>
      <c r="Y105" s="279">
        <f t="shared" si="50"/>
        <v>948.58347919223763</v>
      </c>
      <c r="Z105" s="279">
        <f t="shared" si="50"/>
        <v>1044.1135849052685</v>
      </c>
      <c r="AA105" s="279">
        <f t="shared" si="50"/>
        <v>1144.1535601556584</v>
      </c>
      <c r="AB105" s="279">
        <f t="shared" si="50"/>
        <v>1248.6938747713536</v>
      </c>
      <c r="AC105" s="279">
        <f t="shared" si="50"/>
        <v>1357.7244168280149</v>
      </c>
      <c r="AD105" s="279">
        <f t="shared" si="50"/>
        <v>1471.2344926490241</v>
      </c>
      <c r="AE105" s="279">
        <f t="shared" si="50"/>
        <v>1589.2128268054771</v>
      </c>
      <c r="AF105" s="279">
        <f t="shared" si="50"/>
        <v>1711.6475621161876</v>
      </c>
      <c r="AG105" s="279">
        <f t="shared" si="50"/>
        <v>1838.5262596476891</v>
      </c>
      <c r="AH105" s="230"/>
      <c r="AI105" s="398"/>
      <c r="AJ105" s="399"/>
      <c r="AL105" s="207"/>
      <c r="AM105" s="118"/>
      <c r="AN105" s="118"/>
      <c r="AO105" s="118"/>
      <c r="BD105" s="118"/>
      <c r="BE105" s="118"/>
      <c r="BF105" s="118"/>
      <c r="BG105" s="118"/>
      <c r="BH105" s="118"/>
      <c r="BI105" s="118"/>
      <c r="BJ105" s="118"/>
      <c r="BK105" s="118"/>
    </row>
    <row r="106" spans="1:63" outlineLevel="1">
      <c r="A106" s="4" t="s">
        <v>35</v>
      </c>
      <c r="C106" s="216">
        <f t="shared" ref="C106:AF108" si="51">C102-$C102</f>
        <v>0</v>
      </c>
      <c r="D106" s="216">
        <f t="shared" si="51"/>
        <v>17.659404234819274</v>
      </c>
      <c r="E106" s="216">
        <f t="shared" si="51"/>
        <v>35.314752015788258</v>
      </c>
      <c r="F106" s="216">
        <f t="shared" si="51"/>
        <v>52.841971598449604</v>
      </c>
      <c r="G106" s="216">
        <f t="shared" si="51"/>
        <v>70.116040243759016</v>
      </c>
      <c r="H106" s="216">
        <f t="shared" si="51"/>
        <v>87.010995922382079</v>
      </c>
      <c r="I106" s="216">
        <f t="shared" si="51"/>
        <v>103.39994901899129</v>
      </c>
      <c r="J106" s="216">
        <f t="shared" si="51"/>
        <v>119.1550940365629</v>
      </c>
      <c r="K106" s="216">
        <f t="shared" si="51"/>
        <v>134.14772130067371</v>
      </c>
      <c r="L106" s="216">
        <f t="shared" si="51"/>
        <v>148.24822866379827</v>
      </c>
      <c r="M106" s="216">
        <f t="shared" si="51"/>
        <v>161.32613320960533</v>
      </c>
      <c r="N106" s="216">
        <f t="shared" si="51"/>
        <v>178.60442757041727</v>
      </c>
      <c r="O106" s="216">
        <f t="shared" si="51"/>
        <v>194.93651870427922</v>
      </c>
      <c r="P106" s="216">
        <f t="shared" si="51"/>
        <v>210.03391844845632</v>
      </c>
      <c r="Q106" s="216">
        <f t="shared" si="51"/>
        <v>223.6082852876761</v>
      </c>
      <c r="R106" s="216">
        <f t="shared" si="51"/>
        <v>235.37148529351589</v>
      </c>
      <c r="S106" s="216">
        <f t="shared" si="51"/>
        <v>245.03565306378957</v>
      </c>
      <c r="T106" s="216">
        <f t="shared" si="51"/>
        <v>252.31325266193514</v>
      </c>
      <c r="U106" s="216">
        <f t="shared" si="51"/>
        <v>256.9171385564016</v>
      </c>
      <c r="V106" s="216">
        <f t="shared" si="51"/>
        <v>258.56061656003618</v>
      </c>
      <c r="W106" s="216">
        <f t="shared" si="51"/>
        <v>256.95750476947171</v>
      </c>
      <c r="X106" s="216">
        <f t="shared" si="51"/>
        <v>257.19620653207636</v>
      </c>
      <c r="Y106" s="216">
        <f t="shared" si="51"/>
        <v>252.87655065249444</v>
      </c>
      <c r="Z106" s="216">
        <f t="shared" si="51"/>
        <v>243.54386644584969</v>
      </c>
      <c r="AA106" s="216">
        <f t="shared" si="51"/>
        <v>228.74448243247471</v>
      </c>
      <c r="AB106" s="216">
        <f t="shared" si="51"/>
        <v>208.02582329662459</v>
      </c>
      <c r="AC106" s="216">
        <f t="shared" si="51"/>
        <v>180.93650684519031</v>
      </c>
      <c r="AD106" s="216">
        <f t="shared" si="51"/>
        <v>147.02644096641339</v>
      </c>
      <c r="AE106" s="216">
        <f t="shared" si="51"/>
        <v>105.84692058859876</v>
      </c>
      <c r="AF106" s="216">
        <f t="shared" si="51"/>
        <v>56.950724638829179</v>
      </c>
      <c r="AG106" s="216">
        <f>AG102-$C102</f>
        <v>-0.10778699832147907</v>
      </c>
      <c r="AH106" s="230"/>
      <c r="AI106" s="126"/>
      <c r="AJ106" s="198"/>
      <c r="AL106" s="102"/>
      <c r="AM106" s="2"/>
      <c r="AN106" s="2"/>
      <c r="AO106" s="2"/>
      <c r="BC106" s="1"/>
      <c r="BD106" s="2"/>
      <c r="BE106" s="2"/>
      <c r="BF106" s="2"/>
      <c r="BG106" s="2"/>
      <c r="BH106" s="2"/>
      <c r="BI106" s="2"/>
      <c r="BJ106" s="2"/>
      <c r="BK106" s="2"/>
    </row>
    <row r="107" spans="1:63" outlineLevel="1">
      <c r="A107" s="4" t="s">
        <v>160</v>
      </c>
      <c r="C107" s="216">
        <f t="shared" si="51"/>
        <v>0</v>
      </c>
      <c r="D107" s="216">
        <f t="shared" si="51"/>
        <v>0.30633088333001296</v>
      </c>
      <c r="E107" s="216">
        <f t="shared" si="51"/>
        <v>1.2650906790753476</v>
      </c>
      <c r="F107" s="216">
        <f t="shared" si="51"/>
        <v>2.9416532553761714</v>
      </c>
      <c r="G107" s="216">
        <f t="shared" si="51"/>
        <v>5.4018328647754217</v>
      </c>
      <c r="H107" s="216">
        <f t="shared" si="51"/>
        <v>8.7118782920703541</v>
      </c>
      <c r="I107" s="216">
        <f t="shared" si="51"/>
        <v>12.938467002164094</v>
      </c>
      <c r="J107" s="216">
        <f t="shared" si="51"/>
        <v>18.148699287917186</v>
      </c>
      <c r="K107" s="216">
        <f t="shared" si="51"/>
        <v>24.410092417999124</v>
      </c>
      <c r="L107" s="216">
        <f t="shared" si="51"/>
        <v>31.790574784739938</v>
      </c>
      <c r="M107" s="216">
        <f t="shared" si="51"/>
        <v>40.358480051981694</v>
      </c>
      <c r="N107" s="216">
        <f t="shared" si="51"/>
        <v>51.732483164634885</v>
      </c>
      <c r="O107" s="216">
        <f t="shared" si="51"/>
        <v>65.014768567533551</v>
      </c>
      <c r="P107" s="216">
        <f t="shared" si="51"/>
        <v>80.348299141415012</v>
      </c>
      <c r="Q107" s="216">
        <f t="shared" si="51"/>
        <v>97.875781625123906</v>
      </c>
      <c r="R107" s="216">
        <f t="shared" si="51"/>
        <v>117.73963614591864</v>
      </c>
      <c r="S107" s="216">
        <f t="shared" si="51"/>
        <v>140.08196574977771</v>
      </c>
      <c r="T107" s="216">
        <f t="shared" si="51"/>
        <v>165.0445259317062</v>
      </c>
      <c r="U107" s="216">
        <f t="shared" si="51"/>
        <v>192.76869416604225</v>
      </c>
      <c r="V107" s="216">
        <f t="shared" si="51"/>
        <v>223.39543943676338</v>
      </c>
      <c r="W107" s="216">
        <f t="shared" si="51"/>
        <v>257.06529176779304</v>
      </c>
      <c r="X107" s="216">
        <f t="shared" si="51"/>
        <v>300.18799245213063</v>
      </c>
      <c r="Y107" s="216">
        <f t="shared" si="51"/>
        <v>347.85346426987167</v>
      </c>
      <c r="Z107" s="216">
        <f t="shared" si="51"/>
        <v>400.28485922970941</v>
      </c>
      <c r="AA107" s="216">
        <f t="shared" si="51"/>
        <v>457.70453886159191</v>
      </c>
      <c r="AB107" s="216">
        <f t="shared" si="51"/>
        <v>520.33402573736453</v>
      </c>
      <c r="AC107" s="216">
        <f t="shared" si="51"/>
        <v>588.39395499141233</v>
      </c>
      <c r="AD107" s="216">
        <f t="shared" si="51"/>
        <v>662.10402584130543</v>
      </c>
      <c r="AE107" s="216">
        <f t="shared" si="51"/>
        <v>741.68295310843928</v>
      </c>
      <c r="AF107" s="216">
        <f t="shared" si="51"/>
        <v>827.34841873867924</v>
      </c>
      <c r="AG107" s="216">
        <f t="shared" ref="AG107:AG108" si="52">AG103-$C103</f>
        <v>919.31702332300529</v>
      </c>
      <c r="AH107" s="230"/>
      <c r="AI107" s="126"/>
      <c r="AJ107" s="198"/>
      <c r="AL107" s="102"/>
      <c r="AM107" s="2"/>
      <c r="AN107" s="2"/>
      <c r="AO107" s="2"/>
      <c r="BC107" s="1"/>
      <c r="BD107" s="2"/>
      <c r="BE107" s="2"/>
      <c r="BF107" s="2"/>
      <c r="BG107" s="2"/>
      <c r="BH107" s="2"/>
      <c r="BI107" s="2"/>
      <c r="BJ107" s="2"/>
      <c r="BK107" s="2"/>
    </row>
    <row r="108" spans="1:63" outlineLevel="1">
      <c r="A108" s="4" t="s">
        <v>1159</v>
      </c>
      <c r="C108" s="216">
        <f t="shared" si="51"/>
        <v>0</v>
      </c>
      <c r="D108" s="216">
        <f t="shared" si="51"/>
        <v>0.30633088333001296</v>
      </c>
      <c r="E108" s="216">
        <f t="shared" si="51"/>
        <v>1.2650906790753476</v>
      </c>
      <c r="F108" s="216">
        <f t="shared" si="51"/>
        <v>2.9416532553761714</v>
      </c>
      <c r="G108" s="216">
        <f t="shared" si="51"/>
        <v>5.4018328647754217</v>
      </c>
      <c r="H108" s="216">
        <f t="shared" si="51"/>
        <v>8.7118782920703541</v>
      </c>
      <c r="I108" s="216">
        <f t="shared" si="51"/>
        <v>12.938467002164094</v>
      </c>
      <c r="J108" s="216">
        <f t="shared" si="51"/>
        <v>18.148699287917186</v>
      </c>
      <c r="K108" s="216">
        <f t="shared" si="51"/>
        <v>24.410092417999124</v>
      </c>
      <c r="L108" s="216">
        <f t="shared" si="51"/>
        <v>31.790574784739938</v>
      </c>
      <c r="M108" s="216">
        <f t="shared" si="51"/>
        <v>40.358480051981694</v>
      </c>
      <c r="N108" s="216">
        <f t="shared" si="51"/>
        <v>51.732483164634885</v>
      </c>
      <c r="O108" s="216">
        <f t="shared" si="51"/>
        <v>65.014768567533551</v>
      </c>
      <c r="P108" s="216">
        <f t="shared" si="51"/>
        <v>80.348299141415012</v>
      </c>
      <c r="Q108" s="216">
        <f t="shared" si="51"/>
        <v>97.875781625123906</v>
      </c>
      <c r="R108" s="216">
        <f t="shared" si="51"/>
        <v>117.73963614591864</v>
      </c>
      <c r="S108" s="216">
        <f t="shared" si="51"/>
        <v>140.08196574977771</v>
      </c>
      <c r="T108" s="216">
        <f t="shared" si="51"/>
        <v>165.0445259317062</v>
      </c>
      <c r="U108" s="216">
        <f t="shared" si="51"/>
        <v>192.76869416604225</v>
      </c>
      <c r="V108" s="216">
        <f t="shared" si="51"/>
        <v>223.39543943676338</v>
      </c>
      <c r="W108" s="216">
        <f t="shared" si="51"/>
        <v>257.06529176779304</v>
      </c>
      <c r="X108" s="216">
        <f t="shared" si="51"/>
        <v>300.18799245213063</v>
      </c>
      <c r="Y108" s="216">
        <f t="shared" si="51"/>
        <v>347.85346426987167</v>
      </c>
      <c r="Z108" s="216">
        <f t="shared" si="51"/>
        <v>400.28485922970941</v>
      </c>
      <c r="AA108" s="216">
        <f t="shared" si="51"/>
        <v>457.70453886159191</v>
      </c>
      <c r="AB108" s="216">
        <f t="shared" si="51"/>
        <v>520.33402573736453</v>
      </c>
      <c r="AC108" s="216">
        <f t="shared" si="51"/>
        <v>588.39395499141233</v>
      </c>
      <c r="AD108" s="216">
        <f t="shared" si="51"/>
        <v>662.10402584130543</v>
      </c>
      <c r="AE108" s="216">
        <f t="shared" si="51"/>
        <v>741.68295310843928</v>
      </c>
      <c r="AF108" s="216">
        <f t="shared" si="51"/>
        <v>827.34841873867924</v>
      </c>
      <c r="AG108" s="216">
        <f t="shared" si="52"/>
        <v>919.31702332300529</v>
      </c>
      <c r="AH108" s="230"/>
      <c r="AI108" s="126"/>
      <c r="AJ108" s="198"/>
      <c r="AL108" s="102"/>
      <c r="AM108" s="2"/>
      <c r="AN108" s="2"/>
      <c r="AO108" s="2"/>
      <c r="BC108" s="1"/>
      <c r="BD108" s="2"/>
      <c r="BE108" s="2"/>
      <c r="BF108" s="2"/>
      <c r="BG108" s="2"/>
      <c r="BH108" s="2"/>
      <c r="BI108" s="2"/>
      <c r="BJ108" s="2"/>
      <c r="BK108" s="2"/>
    </row>
    <row r="109" spans="1:63" outlineLevel="1"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I109" s="127"/>
      <c r="AJ109" s="198"/>
      <c r="AL109" s="102"/>
      <c r="AM109" s="125"/>
      <c r="AN109" s="2"/>
      <c r="AO109" s="2"/>
    </row>
    <row r="110" spans="1:63" s="187" customFormat="1" ht="15.5" thickBot="1">
      <c r="A110" s="187" t="s">
        <v>436</v>
      </c>
      <c r="B110" s="202"/>
      <c r="C110" s="208">
        <f>C111</f>
        <v>2.5000000000000001E-2</v>
      </c>
      <c r="D110" s="208">
        <f t="shared" ref="D110:AG110" si="53">D111</f>
        <v>3.1255416735465176E-2</v>
      </c>
      <c r="E110" s="208">
        <f t="shared" si="53"/>
        <v>3.7510833470930344E-2</v>
      </c>
      <c r="F110" s="208">
        <f t="shared" si="53"/>
        <v>4.3766250206395518E-2</v>
      </c>
      <c r="G110" s="208">
        <f t="shared" si="53"/>
        <v>5.0021666941860693E-2</v>
      </c>
      <c r="H110" s="208">
        <f t="shared" si="53"/>
        <v>5.6277083677325861E-2</v>
      </c>
      <c r="I110" s="208">
        <f t="shared" si="53"/>
        <v>6.2532500412791042E-2</v>
      </c>
      <c r="J110" s="208">
        <f t="shared" si="53"/>
        <v>6.8787917148256203E-2</v>
      </c>
      <c r="K110" s="208">
        <f t="shared" si="53"/>
        <v>7.5043333883721378E-2</v>
      </c>
      <c r="L110" s="208">
        <f t="shared" si="53"/>
        <v>8.1298750619186552E-2</v>
      </c>
      <c r="M110" s="208">
        <f t="shared" si="53"/>
        <v>8.7554167354651713E-2</v>
      </c>
      <c r="N110" s="208">
        <f t="shared" si="53"/>
        <v>0.10073866108940137</v>
      </c>
      <c r="O110" s="208">
        <f t="shared" si="53"/>
        <v>0.11392315482415102</v>
      </c>
      <c r="P110" s="208">
        <f t="shared" si="53"/>
        <v>0.12710764855890069</v>
      </c>
      <c r="Q110" s="208">
        <f t="shared" si="53"/>
        <v>0.14029214229365033</v>
      </c>
      <c r="R110" s="208">
        <f t="shared" si="53"/>
        <v>0.1534766360284</v>
      </c>
      <c r="S110" s="208">
        <f t="shared" si="53"/>
        <v>0.16666112976314967</v>
      </c>
      <c r="T110" s="208">
        <f t="shared" si="53"/>
        <v>0.17984562349789934</v>
      </c>
      <c r="U110" s="208">
        <f t="shared" si="53"/>
        <v>0.19303011723264898</v>
      </c>
      <c r="V110" s="208">
        <f t="shared" si="53"/>
        <v>0.20621461096739863</v>
      </c>
      <c r="W110" s="208">
        <f t="shared" si="53"/>
        <v>0.2193991047021483</v>
      </c>
      <c r="X110" s="208">
        <f t="shared" si="53"/>
        <v>0.24145919423193346</v>
      </c>
      <c r="Y110" s="208">
        <f t="shared" si="53"/>
        <v>0.26351928376171863</v>
      </c>
      <c r="Z110" s="208">
        <f t="shared" si="53"/>
        <v>0.28557937329150385</v>
      </c>
      <c r="AA110" s="208">
        <f t="shared" si="53"/>
        <v>0.30763946282128896</v>
      </c>
      <c r="AB110" s="208">
        <f t="shared" si="53"/>
        <v>0.32969955235107418</v>
      </c>
      <c r="AC110" s="208">
        <f t="shared" si="53"/>
        <v>0.35175964188085934</v>
      </c>
      <c r="AD110" s="208">
        <f t="shared" si="53"/>
        <v>0.37381973141064451</v>
      </c>
      <c r="AE110" s="208">
        <f t="shared" si="53"/>
        <v>0.39587982094042967</v>
      </c>
      <c r="AF110" s="208">
        <f t="shared" si="53"/>
        <v>0.41793991047021484</v>
      </c>
      <c r="AG110" s="208">
        <f t="shared" si="53"/>
        <v>0.44</v>
      </c>
      <c r="AJ110" s="217" t="s">
        <v>472</v>
      </c>
      <c r="AL110" s="204"/>
      <c r="AM110" s="205"/>
      <c r="AN110" s="205"/>
      <c r="AO110" s="205"/>
    </row>
    <row r="111" spans="1:63" ht="15.5" outlineLevel="1" thickTop="1">
      <c r="A111" t="s">
        <v>428</v>
      </c>
      <c r="B111" s="51" t="s">
        <v>126</v>
      </c>
      <c r="C111" s="201">
        <v>2.5000000000000001E-2</v>
      </c>
      <c r="D111" s="104">
        <f>$C111+($M111-$C111)/10*(D$1-$C$1)</f>
        <v>3.1255416735465176E-2</v>
      </c>
      <c r="E111" s="104">
        <f t="shared" ref="E111:L111" si="54">$C111+($M111-$C111)/10*(E$1-$C$1)</f>
        <v>3.7510833470930344E-2</v>
      </c>
      <c r="F111" s="104">
        <f t="shared" si="54"/>
        <v>4.3766250206395518E-2</v>
      </c>
      <c r="G111" s="104">
        <f t="shared" si="54"/>
        <v>5.0021666941860693E-2</v>
      </c>
      <c r="H111" s="104">
        <f t="shared" si="54"/>
        <v>5.6277083677325861E-2</v>
      </c>
      <c r="I111" s="104">
        <f t="shared" si="54"/>
        <v>6.2532500412791042E-2</v>
      </c>
      <c r="J111" s="104">
        <f t="shared" si="54"/>
        <v>6.8787917148256203E-2</v>
      </c>
      <c r="K111" s="104">
        <f t="shared" si="54"/>
        <v>7.5043333883721378E-2</v>
      </c>
      <c r="L111" s="104">
        <f t="shared" si="54"/>
        <v>8.1298750619186552E-2</v>
      </c>
      <c r="M111" s="115">
        <f>(M$49-$C$49)/($AG$49-$C$49)*($AG111-$C111)+$C111</f>
        <v>8.7554167354651713E-2</v>
      </c>
      <c r="N111" s="115">
        <f>$M111+($W111-$M111)/10*(N$1-$M$1)</f>
        <v>0.10073866108940137</v>
      </c>
      <c r="O111" s="115">
        <f t="shared" ref="O111:U111" si="55">$M111+($W111-$M111)/10*(O$1-$M$1)</f>
        <v>0.11392315482415102</v>
      </c>
      <c r="P111" s="115">
        <f t="shared" si="55"/>
        <v>0.12710764855890069</v>
      </c>
      <c r="Q111" s="115">
        <f t="shared" si="55"/>
        <v>0.14029214229365033</v>
      </c>
      <c r="R111" s="115">
        <f t="shared" si="55"/>
        <v>0.1534766360284</v>
      </c>
      <c r="S111" s="115">
        <f t="shared" si="55"/>
        <v>0.16666112976314967</v>
      </c>
      <c r="T111" s="115">
        <f t="shared" si="55"/>
        <v>0.17984562349789934</v>
      </c>
      <c r="U111" s="115">
        <f t="shared" si="55"/>
        <v>0.19303011723264898</v>
      </c>
      <c r="V111" s="115">
        <f>$M111+($W111-$M111)/10*(V$1-$M$1)</f>
        <v>0.20621461096739863</v>
      </c>
      <c r="W111" s="115">
        <f>(W$49-$C$49)/($AG$49-$C$49)*($AG111-$C111)+$C111</f>
        <v>0.2193991047021483</v>
      </c>
      <c r="X111" s="104">
        <f>$W111+($AG111-$W111)/10*(X$1-$W$1)</f>
        <v>0.24145919423193346</v>
      </c>
      <c r="Y111" s="104">
        <f t="shared" ref="Y111:AF111" si="56">$W111+($AG111-$W111)/10*(Y$1-$W$1)</f>
        <v>0.26351928376171863</v>
      </c>
      <c r="Z111" s="104">
        <f t="shared" si="56"/>
        <v>0.28557937329150385</v>
      </c>
      <c r="AA111" s="104">
        <f t="shared" si="56"/>
        <v>0.30763946282128896</v>
      </c>
      <c r="AB111" s="104">
        <f t="shared" si="56"/>
        <v>0.32969955235107418</v>
      </c>
      <c r="AC111" s="104">
        <f t="shared" si="56"/>
        <v>0.35175964188085934</v>
      </c>
      <c r="AD111" s="104">
        <f t="shared" si="56"/>
        <v>0.37381973141064451</v>
      </c>
      <c r="AE111" s="104">
        <f t="shared" si="56"/>
        <v>0.39587982094042967</v>
      </c>
      <c r="AF111" s="104">
        <f t="shared" si="56"/>
        <v>0.41793991047021484</v>
      </c>
      <c r="AG111" s="201">
        <v>0.44</v>
      </c>
      <c r="AJ111" s="198" t="s">
        <v>427</v>
      </c>
    </row>
    <row r="112" spans="1:63" outlineLevel="1">
      <c r="A112" t="s">
        <v>429</v>
      </c>
      <c r="B112" s="51" t="s">
        <v>126</v>
      </c>
      <c r="C112" s="201">
        <v>0.08</v>
      </c>
      <c r="D112" s="104">
        <f t="shared" ref="D112:AF112" si="57">C112-($C$112-$AG$112)/($AG$1-$C$1)</f>
        <v>0.10400000000000001</v>
      </c>
      <c r="E112" s="104">
        <f t="shared" si="57"/>
        <v>0.128</v>
      </c>
      <c r="F112" s="104">
        <f t="shared" si="57"/>
        <v>0.152</v>
      </c>
      <c r="G112" s="104">
        <f t="shared" si="57"/>
        <v>0.17599999999999999</v>
      </c>
      <c r="H112" s="104">
        <f t="shared" si="57"/>
        <v>0.19999999999999998</v>
      </c>
      <c r="I112" s="104">
        <f t="shared" si="57"/>
        <v>0.22399999999999998</v>
      </c>
      <c r="J112" s="104">
        <f t="shared" si="57"/>
        <v>0.24799999999999997</v>
      </c>
      <c r="K112" s="104">
        <f t="shared" si="57"/>
        <v>0.27199999999999996</v>
      </c>
      <c r="L112" s="104">
        <f t="shared" si="57"/>
        <v>0.29599999999999999</v>
      </c>
      <c r="M112" s="104">
        <f t="shared" si="57"/>
        <v>0.32</v>
      </c>
      <c r="N112" s="104">
        <f t="shared" si="57"/>
        <v>0.34400000000000003</v>
      </c>
      <c r="O112" s="104">
        <f t="shared" si="57"/>
        <v>0.36800000000000005</v>
      </c>
      <c r="P112" s="104">
        <f t="shared" si="57"/>
        <v>0.39200000000000007</v>
      </c>
      <c r="Q112" s="104">
        <f t="shared" si="57"/>
        <v>0.41600000000000009</v>
      </c>
      <c r="R112" s="104">
        <f t="shared" si="57"/>
        <v>0.44000000000000011</v>
      </c>
      <c r="S112" s="104">
        <f t="shared" si="57"/>
        <v>0.46400000000000013</v>
      </c>
      <c r="T112" s="104">
        <f t="shared" si="57"/>
        <v>0.48800000000000016</v>
      </c>
      <c r="U112" s="104">
        <f t="shared" si="57"/>
        <v>0.51200000000000012</v>
      </c>
      <c r="V112" s="104">
        <f t="shared" si="57"/>
        <v>0.53600000000000014</v>
      </c>
      <c r="W112" s="104">
        <f t="shared" si="57"/>
        <v>0.56000000000000016</v>
      </c>
      <c r="X112" s="104">
        <f t="shared" si="57"/>
        <v>0.58400000000000019</v>
      </c>
      <c r="Y112" s="104">
        <f t="shared" si="57"/>
        <v>0.60800000000000021</v>
      </c>
      <c r="Z112" s="104">
        <f t="shared" si="57"/>
        <v>0.63200000000000023</v>
      </c>
      <c r="AA112" s="104">
        <f t="shared" si="57"/>
        <v>0.65600000000000025</v>
      </c>
      <c r="AB112" s="104">
        <f t="shared" si="57"/>
        <v>0.68000000000000027</v>
      </c>
      <c r="AC112" s="104">
        <f t="shared" si="57"/>
        <v>0.70400000000000029</v>
      </c>
      <c r="AD112" s="104">
        <f t="shared" si="57"/>
        <v>0.72800000000000031</v>
      </c>
      <c r="AE112" s="104">
        <f t="shared" si="57"/>
        <v>0.75200000000000033</v>
      </c>
      <c r="AF112" s="104">
        <f t="shared" si="57"/>
        <v>0.77600000000000036</v>
      </c>
      <c r="AG112" s="201">
        <v>0.8</v>
      </c>
      <c r="AI112" s="127"/>
      <c r="AJ112" s="198" t="s">
        <v>459</v>
      </c>
      <c r="AL112" s="51" t="s">
        <v>294</v>
      </c>
    </row>
    <row r="113" spans="1:63" outlineLevel="1">
      <c r="A113" t="s">
        <v>430</v>
      </c>
      <c r="B113" s="165" t="s">
        <v>126</v>
      </c>
      <c r="C113" s="104">
        <f>1-C112</f>
        <v>0.92</v>
      </c>
      <c r="D113" s="104">
        <f t="shared" ref="D113:AG113" si="58">1-D112</f>
        <v>0.89600000000000002</v>
      </c>
      <c r="E113" s="104">
        <f t="shared" si="58"/>
        <v>0.872</v>
      </c>
      <c r="F113" s="104">
        <f t="shared" si="58"/>
        <v>0.84799999999999998</v>
      </c>
      <c r="G113" s="104">
        <f t="shared" si="58"/>
        <v>0.82400000000000007</v>
      </c>
      <c r="H113" s="104">
        <f t="shared" si="58"/>
        <v>0.8</v>
      </c>
      <c r="I113" s="104">
        <f t="shared" si="58"/>
        <v>0.77600000000000002</v>
      </c>
      <c r="J113" s="104">
        <f t="shared" si="58"/>
        <v>0.752</v>
      </c>
      <c r="K113" s="104">
        <f t="shared" si="58"/>
        <v>0.72799999999999998</v>
      </c>
      <c r="L113" s="104">
        <f t="shared" si="58"/>
        <v>0.70399999999999996</v>
      </c>
      <c r="M113" s="104">
        <f t="shared" si="58"/>
        <v>0.67999999999999994</v>
      </c>
      <c r="N113" s="104">
        <f t="shared" si="58"/>
        <v>0.65599999999999992</v>
      </c>
      <c r="O113" s="104">
        <f t="shared" si="58"/>
        <v>0.6319999999999999</v>
      </c>
      <c r="P113" s="104">
        <f t="shared" si="58"/>
        <v>0.60799999999999987</v>
      </c>
      <c r="Q113" s="104">
        <f t="shared" si="58"/>
        <v>0.58399999999999985</v>
      </c>
      <c r="R113" s="104">
        <f t="shared" si="58"/>
        <v>0.55999999999999983</v>
      </c>
      <c r="S113" s="104">
        <f t="shared" si="58"/>
        <v>0.53599999999999981</v>
      </c>
      <c r="T113" s="104">
        <f t="shared" si="58"/>
        <v>0.51199999999999979</v>
      </c>
      <c r="U113" s="104">
        <f t="shared" si="58"/>
        <v>0.48799999999999988</v>
      </c>
      <c r="V113" s="104">
        <f t="shared" si="58"/>
        <v>0.46399999999999986</v>
      </c>
      <c r="W113" s="104">
        <f t="shared" si="58"/>
        <v>0.43999999999999984</v>
      </c>
      <c r="X113" s="104">
        <f t="shared" si="58"/>
        <v>0.41599999999999981</v>
      </c>
      <c r="Y113" s="104">
        <f t="shared" si="58"/>
        <v>0.39199999999999979</v>
      </c>
      <c r="Z113" s="104">
        <f t="shared" si="58"/>
        <v>0.36799999999999977</v>
      </c>
      <c r="AA113" s="104">
        <f t="shared" si="58"/>
        <v>0.34399999999999975</v>
      </c>
      <c r="AB113" s="104">
        <f t="shared" si="58"/>
        <v>0.31999999999999973</v>
      </c>
      <c r="AC113" s="104">
        <f t="shared" si="58"/>
        <v>0.29599999999999971</v>
      </c>
      <c r="AD113" s="104">
        <f t="shared" si="58"/>
        <v>0.27199999999999969</v>
      </c>
      <c r="AE113" s="104">
        <f t="shared" si="58"/>
        <v>0.24799999999999967</v>
      </c>
      <c r="AF113" s="104">
        <f t="shared" si="58"/>
        <v>0.22399999999999964</v>
      </c>
      <c r="AG113" s="104">
        <f t="shared" si="58"/>
        <v>0.19999999999999996</v>
      </c>
      <c r="AI113" s="127"/>
      <c r="AJ113" s="198"/>
      <c r="BD113" s="687"/>
      <c r="BE113" s="687"/>
    </row>
    <row r="114" spans="1:63" outlineLevel="1">
      <c r="A114" t="s">
        <v>493</v>
      </c>
      <c r="B114" s="51" t="s">
        <v>126</v>
      </c>
      <c r="C114" s="104">
        <f>C111*C112</f>
        <v>2E-3</v>
      </c>
      <c r="D114" s="104">
        <f t="shared" ref="D114:AG114" si="59">D111*D112</f>
        <v>3.2505633404883785E-3</v>
      </c>
      <c r="E114" s="104">
        <f t="shared" si="59"/>
        <v>4.8013866842790843E-3</v>
      </c>
      <c r="F114" s="104">
        <f t="shared" si="59"/>
        <v>6.652470031372119E-3</v>
      </c>
      <c r="G114" s="104">
        <f t="shared" si="59"/>
        <v>8.8038133817674811E-3</v>
      </c>
      <c r="H114" s="104">
        <f t="shared" si="59"/>
        <v>1.125541673546517E-2</v>
      </c>
      <c r="I114" s="104">
        <f t="shared" si="59"/>
        <v>1.4007280092465192E-2</v>
      </c>
      <c r="J114" s="104">
        <f t="shared" si="59"/>
        <v>1.7059403452767536E-2</v>
      </c>
      <c r="K114" s="104">
        <f t="shared" si="59"/>
        <v>2.0411786816372211E-2</v>
      </c>
      <c r="L114" s="104">
        <f t="shared" si="59"/>
        <v>2.4064430183279219E-2</v>
      </c>
      <c r="M114" s="104">
        <f t="shared" si="59"/>
        <v>2.8017333553488549E-2</v>
      </c>
      <c r="N114" s="104">
        <f t="shared" si="59"/>
        <v>3.4654099414754072E-2</v>
      </c>
      <c r="O114" s="104">
        <f t="shared" si="59"/>
        <v>4.1923720975287584E-2</v>
      </c>
      <c r="P114" s="104">
        <f t="shared" si="59"/>
        <v>4.9826198235089082E-2</v>
      </c>
      <c r="Q114" s="104">
        <f t="shared" si="59"/>
        <v>5.8361531194158552E-2</v>
      </c>
      <c r="R114" s="104">
        <f t="shared" si="59"/>
        <v>6.752971985249602E-2</v>
      </c>
      <c r="S114" s="104">
        <f t="shared" si="59"/>
        <v>7.7330764210101474E-2</v>
      </c>
      <c r="T114" s="104">
        <f t="shared" si="59"/>
        <v>8.7764664266974907E-2</v>
      </c>
      <c r="U114" s="104">
        <f t="shared" si="59"/>
        <v>9.8831420023116304E-2</v>
      </c>
      <c r="V114" s="104">
        <f t="shared" si="59"/>
        <v>0.11053103147852569</v>
      </c>
      <c r="W114" s="104">
        <f t="shared" si="59"/>
        <v>0.12286349863320307</v>
      </c>
      <c r="X114" s="104">
        <f t="shared" si="59"/>
        <v>0.14101216943144917</v>
      </c>
      <c r="Y114" s="104">
        <f t="shared" si="59"/>
        <v>0.16021972452712499</v>
      </c>
      <c r="Z114" s="104">
        <f t="shared" si="59"/>
        <v>0.18048616392023051</v>
      </c>
      <c r="AA114" s="104">
        <f t="shared" si="59"/>
        <v>0.20181148761076564</v>
      </c>
      <c r="AB114" s="104">
        <f t="shared" si="59"/>
        <v>0.22419569559873054</v>
      </c>
      <c r="AC114" s="104">
        <f t="shared" si="59"/>
        <v>0.24763878788412508</v>
      </c>
      <c r="AD114" s="104">
        <f t="shared" si="59"/>
        <v>0.27214076446694929</v>
      </c>
      <c r="AE114" s="104">
        <f t="shared" si="59"/>
        <v>0.29770162534720324</v>
      </c>
      <c r="AF114" s="104">
        <f t="shared" si="59"/>
        <v>0.32432137052488685</v>
      </c>
      <c r="AG114" s="104">
        <f t="shared" si="59"/>
        <v>0.35200000000000004</v>
      </c>
      <c r="AI114" s="127"/>
      <c r="AJ114" s="198"/>
      <c r="BD114" s="190"/>
      <c r="BE114" s="190"/>
    </row>
    <row r="115" spans="1:63" outlineLevel="1">
      <c r="A115" t="s">
        <v>494</v>
      </c>
      <c r="B115" s="51" t="s">
        <v>126</v>
      </c>
      <c r="C115" s="104">
        <f>C111*C113</f>
        <v>2.3000000000000003E-2</v>
      </c>
      <c r="D115" s="104">
        <f t="shared" ref="D115:AG115" si="60">D111*D113</f>
        <v>2.8004853394976797E-2</v>
      </c>
      <c r="E115" s="104">
        <f t="shared" si="60"/>
        <v>3.2709446786651261E-2</v>
      </c>
      <c r="F115" s="104">
        <f t="shared" si="60"/>
        <v>3.7113780175023398E-2</v>
      </c>
      <c r="G115" s="104">
        <f t="shared" si="60"/>
        <v>4.1217853560093214E-2</v>
      </c>
      <c r="H115" s="104">
        <f t="shared" si="60"/>
        <v>4.5021666941860689E-2</v>
      </c>
      <c r="I115" s="104">
        <f t="shared" si="60"/>
        <v>4.852522032032585E-2</v>
      </c>
      <c r="J115" s="104">
        <f t="shared" si="60"/>
        <v>5.1728513695488663E-2</v>
      </c>
      <c r="K115" s="104">
        <f t="shared" si="60"/>
        <v>5.4631547067349163E-2</v>
      </c>
      <c r="L115" s="104">
        <f t="shared" si="60"/>
        <v>5.7234320435907329E-2</v>
      </c>
      <c r="M115" s="104">
        <f t="shared" si="60"/>
        <v>5.9536833801163161E-2</v>
      </c>
      <c r="N115" s="104">
        <f t="shared" si="60"/>
        <v>6.6084561674647282E-2</v>
      </c>
      <c r="O115" s="104">
        <f t="shared" si="60"/>
        <v>7.1999433848863439E-2</v>
      </c>
      <c r="P115" s="104">
        <f t="shared" si="60"/>
        <v>7.7281450323811604E-2</v>
      </c>
      <c r="Q115" s="104">
        <f t="shared" si="60"/>
        <v>8.1930611099491776E-2</v>
      </c>
      <c r="R115" s="104">
        <f t="shared" si="60"/>
        <v>8.594691617590397E-2</v>
      </c>
      <c r="S115" s="104">
        <f t="shared" si="60"/>
        <v>8.9330365553048199E-2</v>
      </c>
      <c r="T115" s="104">
        <f t="shared" si="60"/>
        <v>9.2080959230924422E-2</v>
      </c>
      <c r="U115" s="104">
        <f t="shared" si="60"/>
        <v>9.4198697209532681E-2</v>
      </c>
      <c r="V115" s="104">
        <f t="shared" si="60"/>
        <v>9.5683579488872933E-2</v>
      </c>
      <c r="W115" s="104">
        <f t="shared" si="60"/>
        <v>9.6535606068945221E-2</v>
      </c>
      <c r="X115" s="104">
        <f t="shared" si="60"/>
        <v>0.10044702480048427</v>
      </c>
      <c r="Y115" s="104">
        <f t="shared" si="60"/>
        <v>0.10329955923459365</v>
      </c>
      <c r="Z115" s="104">
        <f t="shared" si="60"/>
        <v>0.10509320937127335</v>
      </c>
      <c r="AA115" s="104">
        <f t="shared" si="60"/>
        <v>0.10582797521052333</v>
      </c>
      <c r="AB115" s="104">
        <f t="shared" si="60"/>
        <v>0.10550385675234365</v>
      </c>
      <c r="AC115" s="104">
        <f t="shared" si="60"/>
        <v>0.10412085399673426</v>
      </c>
      <c r="AD115" s="104">
        <f t="shared" si="60"/>
        <v>0.10167896694369519</v>
      </c>
      <c r="AE115" s="104">
        <f t="shared" si="60"/>
        <v>9.8178195593226422E-2</v>
      </c>
      <c r="AF115" s="104">
        <f t="shared" si="60"/>
        <v>9.3618539945327969E-2</v>
      </c>
      <c r="AG115" s="104">
        <f t="shared" si="60"/>
        <v>8.7999999999999981E-2</v>
      </c>
      <c r="AI115" s="127"/>
      <c r="AJ115" s="198"/>
      <c r="BD115" s="190"/>
      <c r="BE115" s="190"/>
    </row>
    <row r="116" spans="1:63" outlineLevel="1">
      <c r="B116" s="165"/>
      <c r="C116" s="104"/>
      <c r="D116" s="104"/>
      <c r="E116" s="104"/>
      <c r="F116" s="104"/>
      <c r="G116" s="104"/>
      <c r="H116" s="104"/>
      <c r="I116" s="104"/>
      <c r="J116" s="104"/>
      <c r="K116" s="104"/>
      <c r="L116" s="104"/>
      <c r="M116" s="104"/>
      <c r="N116" s="104"/>
      <c r="O116" s="104"/>
      <c r="P116" s="104"/>
      <c r="Q116" s="104"/>
      <c r="R116" s="104"/>
      <c r="S116" s="104"/>
      <c r="T116" s="104"/>
      <c r="U116" s="104"/>
      <c r="V116" s="104"/>
      <c r="W116" s="104"/>
      <c r="X116" s="104"/>
      <c r="Y116" s="104"/>
      <c r="Z116" s="104"/>
      <c r="AA116" s="104"/>
      <c r="AB116" s="104"/>
      <c r="AC116" s="104"/>
      <c r="AD116" s="104"/>
      <c r="AE116" s="104"/>
      <c r="AF116" s="104"/>
      <c r="AG116" s="104"/>
      <c r="AI116" s="127"/>
      <c r="AJ116" s="198"/>
      <c r="BD116" s="190"/>
      <c r="BE116" s="190"/>
    </row>
    <row r="117" spans="1:63" outlineLevel="1">
      <c r="A117" t="s">
        <v>437</v>
      </c>
      <c r="B117" s="51" t="s">
        <v>126</v>
      </c>
      <c r="C117" s="201">
        <v>0.52</v>
      </c>
      <c r="D117" s="104">
        <f>C117</f>
        <v>0.52</v>
      </c>
      <c r="E117" s="104">
        <f t="shared" ref="E117:T117" si="61">D117</f>
        <v>0.52</v>
      </c>
      <c r="F117" s="104">
        <f t="shared" si="61"/>
        <v>0.52</v>
      </c>
      <c r="G117" s="104">
        <f t="shared" si="61"/>
        <v>0.52</v>
      </c>
      <c r="H117" s="104">
        <f t="shared" si="61"/>
        <v>0.52</v>
      </c>
      <c r="I117" s="104">
        <f t="shared" si="61"/>
        <v>0.52</v>
      </c>
      <c r="J117" s="104">
        <f t="shared" si="61"/>
        <v>0.52</v>
      </c>
      <c r="K117" s="104">
        <f t="shared" si="61"/>
        <v>0.52</v>
      </c>
      <c r="L117" s="104">
        <f t="shared" si="61"/>
        <v>0.52</v>
      </c>
      <c r="M117" s="104">
        <f t="shared" si="61"/>
        <v>0.52</v>
      </c>
      <c r="N117" s="104">
        <f t="shared" si="61"/>
        <v>0.52</v>
      </c>
      <c r="O117" s="104">
        <f t="shared" si="61"/>
        <v>0.52</v>
      </c>
      <c r="P117" s="104">
        <f t="shared" si="61"/>
        <v>0.52</v>
      </c>
      <c r="Q117" s="104">
        <f t="shared" si="61"/>
        <v>0.52</v>
      </c>
      <c r="R117" s="104">
        <f t="shared" si="61"/>
        <v>0.52</v>
      </c>
      <c r="S117" s="104">
        <f t="shared" si="61"/>
        <v>0.52</v>
      </c>
      <c r="T117" s="104">
        <f t="shared" si="61"/>
        <v>0.52</v>
      </c>
      <c r="U117" s="104">
        <f t="shared" ref="T117:AG119" si="62">T117</f>
        <v>0.52</v>
      </c>
      <c r="V117" s="104">
        <f t="shared" si="62"/>
        <v>0.52</v>
      </c>
      <c r="W117" s="104">
        <f t="shared" si="62"/>
        <v>0.52</v>
      </c>
      <c r="X117" s="104">
        <f t="shared" si="62"/>
        <v>0.52</v>
      </c>
      <c r="Y117" s="104">
        <f t="shared" si="62"/>
        <v>0.52</v>
      </c>
      <c r="Z117" s="104">
        <f t="shared" si="62"/>
        <v>0.52</v>
      </c>
      <c r="AA117" s="104">
        <f t="shared" si="62"/>
        <v>0.52</v>
      </c>
      <c r="AB117" s="104">
        <f t="shared" si="62"/>
        <v>0.52</v>
      </c>
      <c r="AC117" s="104">
        <f t="shared" si="62"/>
        <v>0.52</v>
      </c>
      <c r="AD117" s="104">
        <f t="shared" si="62"/>
        <v>0.52</v>
      </c>
      <c r="AE117" s="104">
        <f t="shared" si="62"/>
        <v>0.52</v>
      </c>
      <c r="AF117" s="104">
        <f t="shared" si="62"/>
        <v>0.52</v>
      </c>
      <c r="AG117" s="104">
        <f t="shared" si="62"/>
        <v>0.52</v>
      </c>
      <c r="AI117" s="126" t="s">
        <v>446</v>
      </c>
      <c r="AJ117" s="218" t="s">
        <v>458</v>
      </c>
      <c r="BD117" s="190"/>
      <c r="BE117" s="190"/>
    </row>
    <row r="118" spans="1:63" outlineLevel="1">
      <c r="A118" t="s">
        <v>444</v>
      </c>
      <c r="B118" s="51" t="s">
        <v>126</v>
      </c>
      <c r="C118" s="201">
        <v>0.12</v>
      </c>
      <c r="D118" s="104">
        <f t="shared" ref="D118:S119" si="63">C118</f>
        <v>0.12</v>
      </c>
      <c r="E118" s="104">
        <f t="shared" si="63"/>
        <v>0.12</v>
      </c>
      <c r="F118" s="104">
        <f t="shared" si="63"/>
        <v>0.12</v>
      </c>
      <c r="G118" s="104">
        <f t="shared" si="63"/>
        <v>0.12</v>
      </c>
      <c r="H118" s="104">
        <f t="shared" si="63"/>
        <v>0.12</v>
      </c>
      <c r="I118" s="104">
        <f t="shared" si="63"/>
        <v>0.12</v>
      </c>
      <c r="J118" s="104">
        <f t="shared" si="63"/>
        <v>0.12</v>
      </c>
      <c r="K118" s="104">
        <f t="shared" si="63"/>
        <v>0.12</v>
      </c>
      <c r="L118" s="104">
        <f t="shared" si="63"/>
        <v>0.12</v>
      </c>
      <c r="M118" s="104">
        <f t="shared" si="63"/>
        <v>0.12</v>
      </c>
      <c r="N118" s="104">
        <f t="shared" si="63"/>
        <v>0.12</v>
      </c>
      <c r="O118" s="104">
        <f t="shared" si="63"/>
        <v>0.12</v>
      </c>
      <c r="P118" s="104">
        <f t="shared" si="63"/>
        <v>0.12</v>
      </c>
      <c r="Q118" s="104">
        <f t="shared" si="63"/>
        <v>0.12</v>
      </c>
      <c r="R118" s="104">
        <f t="shared" si="63"/>
        <v>0.12</v>
      </c>
      <c r="S118" s="104">
        <f t="shared" si="63"/>
        <v>0.12</v>
      </c>
      <c r="T118" s="104">
        <f t="shared" si="62"/>
        <v>0.12</v>
      </c>
      <c r="U118" s="104">
        <f t="shared" si="62"/>
        <v>0.12</v>
      </c>
      <c r="V118" s="104">
        <f t="shared" si="62"/>
        <v>0.12</v>
      </c>
      <c r="W118" s="104">
        <f t="shared" si="62"/>
        <v>0.12</v>
      </c>
      <c r="X118" s="104">
        <f t="shared" si="62"/>
        <v>0.12</v>
      </c>
      <c r="Y118" s="104">
        <f t="shared" si="62"/>
        <v>0.12</v>
      </c>
      <c r="Z118" s="104">
        <f t="shared" si="62"/>
        <v>0.12</v>
      </c>
      <c r="AA118" s="104">
        <f t="shared" si="62"/>
        <v>0.12</v>
      </c>
      <c r="AB118" s="104">
        <f t="shared" si="62"/>
        <v>0.12</v>
      </c>
      <c r="AC118" s="104">
        <f t="shared" si="62"/>
        <v>0.12</v>
      </c>
      <c r="AD118" s="104">
        <f t="shared" si="62"/>
        <v>0.12</v>
      </c>
      <c r="AE118" s="104">
        <f t="shared" si="62"/>
        <v>0.12</v>
      </c>
      <c r="AF118" s="104">
        <f t="shared" si="62"/>
        <v>0.12</v>
      </c>
      <c r="AG118" s="104">
        <f t="shared" si="62"/>
        <v>0.12</v>
      </c>
      <c r="AI118" s="126" t="s">
        <v>446</v>
      </c>
      <c r="AJ118" s="218" t="s">
        <v>458</v>
      </c>
      <c r="AL118" s="1"/>
      <c r="BC118" s="1"/>
      <c r="BD118" s="697"/>
      <c r="BE118" s="687"/>
      <c r="BF118" s="6"/>
      <c r="BG118" s="6"/>
      <c r="BH118" s="6"/>
      <c r="BI118" s="6"/>
      <c r="BJ118" s="6"/>
    </row>
    <row r="119" spans="1:63" outlineLevel="1">
      <c r="A119" t="s">
        <v>445</v>
      </c>
      <c r="B119" s="51" t="s">
        <v>126</v>
      </c>
      <c r="C119" s="115">
        <f>1-C117-C118</f>
        <v>0.36</v>
      </c>
      <c r="D119" s="104">
        <f t="shared" si="63"/>
        <v>0.36</v>
      </c>
      <c r="E119" s="104">
        <f t="shared" si="63"/>
        <v>0.36</v>
      </c>
      <c r="F119" s="104">
        <f t="shared" si="63"/>
        <v>0.36</v>
      </c>
      <c r="G119" s="104">
        <f t="shared" si="63"/>
        <v>0.36</v>
      </c>
      <c r="H119" s="104">
        <f t="shared" si="63"/>
        <v>0.36</v>
      </c>
      <c r="I119" s="104">
        <f t="shared" si="63"/>
        <v>0.36</v>
      </c>
      <c r="J119" s="104">
        <f t="shared" si="63"/>
        <v>0.36</v>
      </c>
      <c r="K119" s="104">
        <f t="shared" si="63"/>
        <v>0.36</v>
      </c>
      <c r="L119" s="104">
        <f t="shared" si="63"/>
        <v>0.36</v>
      </c>
      <c r="M119" s="104">
        <f t="shared" si="63"/>
        <v>0.36</v>
      </c>
      <c r="N119" s="104">
        <f t="shared" si="63"/>
        <v>0.36</v>
      </c>
      <c r="O119" s="104">
        <f t="shared" si="63"/>
        <v>0.36</v>
      </c>
      <c r="P119" s="104">
        <f t="shared" si="63"/>
        <v>0.36</v>
      </c>
      <c r="Q119" s="104">
        <f t="shared" si="63"/>
        <v>0.36</v>
      </c>
      <c r="R119" s="104">
        <f t="shared" si="63"/>
        <v>0.36</v>
      </c>
      <c r="S119" s="104">
        <f t="shared" si="63"/>
        <v>0.36</v>
      </c>
      <c r="T119" s="104">
        <f t="shared" si="62"/>
        <v>0.36</v>
      </c>
      <c r="U119" s="104">
        <f t="shared" si="62"/>
        <v>0.36</v>
      </c>
      <c r="V119" s="104">
        <f t="shared" si="62"/>
        <v>0.36</v>
      </c>
      <c r="W119" s="104">
        <f t="shared" si="62"/>
        <v>0.36</v>
      </c>
      <c r="X119" s="104">
        <f t="shared" si="62"/>
        <v>0.36</v>
      </c>
      <c r="Y119" s="104">
        <f t="shared" si="62"/>
        <v>0.36</v>
      </c>
      <c r="Z119" s="104">
        <f t="shared" si="62"/>
        <v>0.36</v>
      </c>
      <c r="AA119" s="104">
        <f t="shared" si="62"/>
        <v>0.36</v>
      </c>
      <c r="AB119" s="104">
        <f t="shared" si="62"/>
        <v>0.36</v>
      </c>
      <c r="AC119" s="104">
        <f t="shared" si="62"/>
        <v>0.36</v>
      </c>
      <c r="AD119" s="104">
        <f t="shared" si="62"/>
        <v>0.36</v>
      </c>
      <c r="AE119" s="104">
        <f t="shared" si="62"/>
        <v>0.36</v>
      </c>
      <c r="AF119" s="104">
        <f t="shared" si="62"/>
        <v>0.36</v>
      </c>
      <c r="AG119" s="104">
        <f t="shared" si="62"/>
        <v>0.36</v>
      </c>
      <c r="AI119" s="126"/>
      <c r="AJ119" s="209"/>
      <c r="BC119" s="1"/>
      <c r="BD119" s="38"/>
      <c r="BF119" s="6"/>
      <c r="BG119" s="6"/>
      <c r="BH119" s="6"/>
      <c r="BI119" s="6"/>
      <c r="BJ119" s="6"/>
    </row>
    <row r="120" spans="1:63" outlineLevel="1">
      <c r="A120" t="s">
        <v>433</v>
      </c>
      <c r="B120" s="51" t="s">
        <v>126</v>
      </c>
      <c r="C120" s="104">
        <f>SUM(C117:C119)</f>
        <v>1</v>
      </c>
      <c r="D120" s="104">
        <f t="shared" ref="D120:AG120" si="64">SUM(D117:D119)</f>
        <v>1</v>
      </c>
      <c r="E120" s="104">
        <f t="shared" si="64"/>
        <v>1</v>
      </c>
      <c r="F120" s="104">
        <f t="shared" si="64"/>
        <v>1</v>
      </c>
      <c r="G120" s="104">
        <f t="shared" si="64"/>
        <v>1</v>
      </c>
      <c r="H120" s="104">
        <f t="shared" si="64"/>
        <v>1</v>
      </c>
      <c r="I120" s="104">
        <f t="shared" si="64"/>
        <v>1</v>
      </c>
      <c r="J120" s="104">
        <f t="shared" si="64"/>
        <v>1</v>
      </c>
      <c r="K120" s="104">
        <f t="shared" si="64"/>
        <v>1</v>
      </c>
      <c r="L120" s="104">
        <f t="shared" si="64"/>
        <v>1</v>
      </c>
      <c r="M120" s="104">
        <f t="shared" si="64"/>
        <v>1</v>
      </c>
      <c r="N120" s="104">
        <f t="shared" si="64"/>
        <v>1</v>
      </c>
      <c r="O120" s="104">
        <f t="shared" si="64"/>
        <v>1</v>
      </c>
      <c r="P120" s="104">
        <f t="shared" si="64"/>
        <v>1</v>
      </c>
      <c r="Q120" s="104">
        <f t="shared" si="64"/>
        <v>1</v>
      </c>
      <c r="R120" s="104">
        <f t="shared" si="64"/>
        <v>1</v>
      </c>
      <c r="S120" s="104">
        <f t="shared" si="64"/>
        <v>1</v>
      </c>
      <c r="T120" s="104">
        <f t="shared" si="64"/>
        <v>1</v>
      </c>
      <c r="U120" s="104">
        <f t="shared" si="64"/>
        <v>1</v>
      </c>
      <c r="V120" s="104">
        <f t="shared" si="64"/>
        <v>1</v>
      </c>
      <c r="W120" s="104">
        <f t="shared" si="64"/>
        <v>1</v>
      </c>
      <c r="X120" s="104">
        <f t="shared" si="64"/>
        <v>1</v>
      </c>
      <c r="Y120" s="104">
        <f t="shared" si="64"/>
        <v>1</v>
      </c>
      <c r="Z120" s="104">
        <f t="shared" si="64"/>
        <v>1</v>
      </c>
      <c r="AA120" s="104">
        <f t="shared" si="64"/>
        <v>1</v>
      </c>
      <c r="AB120" s="104">
        <f t="shared" si="64"/>
        <v>1</v>
      </c>
      <c r="AC120" s="104">
        <f t="shared" si="64"/>
        <v>1</v>
      </c>
      <c r="AD120" s="104">
        <f t="shared" si="64"/>
        <v>1</v>
      </c>
      <c r="AE120" s="104">
        <f t="shared" si="64"/>
        <v>1</v>
      </c>
      <c r="AF120" s="104">
        <f t="shared" si="64"/>
        <v>1</v>
      </c>
      <c r="AG120" s="104">
        <f t="shared" si="64"/>
        <v>1</v>
      </c>
      <c r="AI120" s="126"/>
      <c r="AJ120" s="198"/>
      <c r="BC120" s="1"/>
      <c r="BD120" s="38"/>
      <c r="BF120" s="6"/>
      <c r="BG120" s="6"/>
      <c r="BH120" s="6"/>
      <c r="BI120" s="6"/>
      <c r="BJ120" s="6"/>
    </row>
    <row r="121" spans="1:63" outlineLevel="1">
      <c r="C121" s="201"/>
      <c r="D121" s="104"/>
      <c r="E121" s="104"/>
      <c r="F121" s="104"/>
      <c r="G121" s="104"/>
      <c r="H121" s="104"/>
      <c r="I121" s="104"/>
      <c r="J121" s="104"/>
      <c r="K121" s="104"/>
      <c r="L121" s="104"/>
      <c r="M121" s="104"/>
      <c r="N121" s="104"/>
      <c r="O121" s="104"/>
      <c r="P121" s="104"/>
      <c r="Q121" s="104"/>
      <c r="R121" s="104"/>
      <c r="S121" s="104"/>
      <c r="T121" s="104"/>
      <c r="U121" s="104"/>
      <c r="V121" s="104"/>
      <c r="W121" s="104"/>
      <c r="X121" s="104"/>
      <c r="Y121" s="104"/>
      <c r="Z121" s="104"/>
      <c r="AA121" s="104"/>
      <c r="AB121" s="104"/>
      <c r="AC121" s="104"/>
      <c r="AD121" s="104"/>
      <c r="AE121" s="104"/>
      <c r="AF121" s="104"/>
      <c r="AG121" s="104"/>
      <c r="AI121" s="126"/>
      <c r="AJ121" s="198"/>
      <c r="BC121" s="1"/>
      <c r="BD121" s="38"/>
      <c r="BF121" s="6"/>
      <c r="BG121" s="6"/>
      <c r="BH121" s="6"/>
      <c r="BI121" s="6"/>
      <c r="BJ121" s="6"/>
    </row>
    <row r="122" spans="1:63" outlineLevel="1">
      <c r="A122" t="s">
        <v>441</v>
      </c>
      <c r="B122" s="51" t="s">
        <v>126</v>
      </c>
      <c r="C122" s="104">
        <f>C117*C115</f>
        <v>1.1960000000000002E-2</v>
      </c>
      <c r="D122" s="104">
        <f t="shared" ref="D122:AG122" si="65">D117*D115</f>
        <v>1.4562523765387934E-2</v>
      </c>
      <c r="E122" s="104">
        <f t="shared" si="65"/>
        <v>1.7008912329058656E-2</v>
      </c>
      <c r="F122" s="104">
        <f t="shared" si="65"/>
        <v>1.9299165691012168E-2</v>
      </c>
      <c r="G122" s="104">
        <f t="shared" si="65"/>
        <v>2.1433283851248472E-2</v>
      </c>
      <c r="H122" s="104">
        <f t="shared" si="65"/>
        <v>2.3411266809767559E-2</v>
      </c>
      <c r="I122" s="104">
        <f t="shared" si="65"/>
        <v>2.5233114566569442E-2</v>
      </c>
      <c r="J122" s="104">
        <f t="shared" si="65"/>
        <v>2.6898827121654107E-2</v>
      </c>
      <c r="K122" s="104">
        <f t="shared" si="65"/>
        <v>2.8408404475021565E-2</v>
      </c>
      <c r="L122" s="104">
        <f t="shared" si="65"/>
        <v>2.9761846626671813E-2</v>
      </c>
      <c r="M122" s="104">
        <f t="shared" si="65"/>
        <v>3.0959153576604843E-2</v>
      </c>
      <c r="N122" s="104">
        <f t="shared" si="65"/>
        <v>3.4363972070816588E-2</v>
      </c>
      <c r="O122" s="104">
        <f t="shared" si="65"/>
        <v>3.7439705601408989E-2</v>
      </c>
      <c r="P122" s="104">
        <f t="shared" si="65"/>
        <v>4.0186354168382038E-2</v>
      </c>
      <c r="Q122" s="104">
        <f t="shared" si="65"/>
        <v>4.2603917771735722E-2</v>
      </c>
      <c r="R122" s="104">
        <f t="shared" si="65"/>
        <v>4.4692396411470069E-2</v>
      </c>
      <c r="S122" s="104">
        <f t="shared" si="65"/>
        <v>4.6451790087585064E-2</v>
      </c>
      <c r="T122" s="104">
        <f t="shared" si="65"/>
        <v>4.7882098800080701E-2</v>
      </c>
      <c r="U122" s="104">
        <f t="shared" si="65"/>
        <v>4.8983322548956994E-2</v>
      </c>
      <c r="V122" s="104">
        <f t="shared" si="65"/>
        <v>4.9755461334213928E-2</v>
      </c>
      <c r="W122" s="104">
        <f t="shared" si="65"/>
        <v>5.0198515155851518E-2</v>
      </c>
      <c r="X122" s="104">
        <f t="shared" si="65"/>
        <v>5.2232452896251821E-2</v>
      </c>
      <c r="Y122" s="104">
        <f t="shared" si="65"/>
        <v>5.3715770801988701E-2</v>
      </c>
      <c r="Z122" s="104">
        <f t="shared" si="65"/>
        <v>5.4648468873062142E-2</v>
      </c>
      <c r="AA122" s="104">
        <f t="shared" si="65"/>
        <v>5.5030547109472132E-2</v>
      </c>
      <c r="AB122" s="104">
        <f t="shared" si="65"/>
        <v>5.4862005511218705E-2</v>
      </c>
      <c r="AC122" s="104">
        <f t="shared" si="65"/>
        <v>5.4142844078301819E-2</v>
      </c>
      <c r="AD122" s="104">
        <f t="shared" si="65"/>
        <v>5.2873062810721502E-2</v>
      </c>
      <c r="AE122" s="104">
        <f t="shared" si="65"/>
        <v>5.1052661708477741E-2</v>
      </c>
      <c r="AF122" s="104">
        <f t="shared" si="65"/>
        <v>4.8681640771570549E-2</v>
      </c>
      <c r="AG122" s="104">
        <f t="shared" si="65"/>
        <v>4.5759999999999995E-2</v>
      </c>
      <c r="AI122" s="126"/>
      <c r="AJ122" s="198"/>
      <c r="BD122" s="190"/>
      <c r="BE122" s="190"/>
    </row>
    <row r="123" spans="1:63" outlineLevel="1">
      <c r="A123" t="s">
        <v>442</v>
      </c>
      <c r="B123" s="51" t="s">
        <v>126</v>
      </c>
      <c r="C123" s="104">
        <f>C115*C118</f>
        <v>2.7600000000000003E-3</v>
      </c>
      <c r="D123" s="104">
        <f t="shared" ref="D123:AG123" si="66">D115*D118</f>
        <v>3.3605824073972158E-3</v>
      </c>
      <c r="E123" s="104">
        <f t="shared" si="66"/>
        <v>3.9251336143981512E-3</v>
      </c>
      <c r="F123" s="104">
        <f t="shared" si="66"/>
        <v>4.4536536210028075E-3</v>
      </c>
      <c r="G123" s="104">
        <f t="shared" si="66"/>
        <v>4.9461424272111854E-3</v>
      </c>
      <c r="H123" s="104">
        <f t="shared" si="66"/>
        <v>5.4026000330232825E-3</v>
      </c>
      <c r="I123" s="104">
        <f t="shared" si="66"/>
        <v>5.8230264384391021E-3</v>
      </c>
      <c r="J123" s="104">
        <f t="shared" si="66"/>
        <v>6.2074216434586391E-3</v>
      </c>
      <c r="K123" s="104">
        <f t="shared" si="66"/>
        <v>6.5557856480818995E-3</v>
      </c>
      <c r="L123" s="104">
        <f t="shared" si="66"/>
        <v>6.868118452308879E-3</v>
      </c>
      <c r="M123" s="104">
        <f t="shared" si="66"/>
        <v>7.1444200561395794E-3</v>
      </c>
      <c r="N123" s="104">
        <f t="shared" si="66"/>
        <v>7.9301474009576736E-3</v>
      </c>
      <c r="O123" s="104">
        <f t="shared" si="66"/>
        <v>8.6399320618636127E-3</v>
      </c>
      <c r="P123" s="104">
        <f t="shared" si="66"/>
        <v>9.2737740388573915E-3</v>
      </c>
      <c r="Q123" s="104">
        <f t="shared" si="66"/>
        <v>9.8316733319390136E-3</v>
      </c>
      <c r="R123" s="104">
        <f t="shared" si="66"/>
        <v>1.0313629941108475E-2</v>
      </c>
      <c r="S123" s="104">
        <f t="shared" si="66"/>
        <v>1.0719643866365784E-2</v>
      </c>
      <c r="T123" s="104">
        <f t="shared" si="66"/>
        <v>1.104971510771093E-2</v>
      </c>
      <c r="U123" s="104">
        <f t="shared" si="66"/>
        <v>1.1303843665143922E-2</v>
      </c>
      <c r="V123" s="104">
        <f t="shared" si="66"/>
        <v>1.1482029538664751E-2</v>
      </c>
      <c r="W123" s="104">
        <f t="shared" si="66"/>
        <v>1.1584272728273426E-2</v>
      </c>
      <c r="X123" s="104">
        <f t="shared" si="66"/>
        <v>1.2053642976058113E-2</v>
      </c>
      <c r="Y123" s="104">
        <f t="shared" si="66"/>
        <v>1.2395947108151237E-2</v>
      </c>
      <c r="Z123" s="104">
        <f t="shared" si="66"/>
        <v>1.2611185124552803E-2</v>
      </c>
      <c r="AA123" s="104">
        <f t="shared" si="66"/>
        <v>1.2699357025262798E-2</v>
      </c>
      <c r="AB123" s="104">
        <f t="shared" si="66"/>
        <v>1.2660462810281237E-2</v>
      </c>
      <c r="AC123" s="104">
        <f t="shared" si="66"/>
        <v>1.2494502479608111E-2</v>
      </c>
      <c r="AD123" s="104">
        <f t="shared" si="66"/>
        <v>1.2201476033243421E-2</v>
      </c>
      <c r="AE123" s="104">
        <f t="shared" si="66"/>
        <v>1.178138347118717E-2</v>
      </c>
      <c r="AF123" s="104">
        <f t="shared" si="66"/>
        <v>1.1234224793439355E-2</v>
      </c>
      <c r="AG123" s="104">
        <f t="shared" si="66"/>
        <v>1.0559999999999996E-2</v>
      </c>
      <c r="AI123" s="126"/>
      <c r="AJ123" s="198"/>
      <c r="AL123" s="1"/>
      <c r="BC123" s="1"/>
      <c r="BD123" s="697"/>
      <c r="BE123" s="687"/>
      <c r="BF123" s="6"/>
      <c r="BG123" s="6"/>
      <c r="BH123" s="6"/>
      <c r="BI123" s="6"/>
      <c r="BJ123" s="6"/>
    </row>
    <row r="124" spans="1:63" outlineLevel="1">
      <c r="A124" t="s">
        <v>443</v>
      </c>
      <c r="B124" s="51" t="s">
        <v>126</v>
      </c>
      <c r="C124" s="104">
        <f>C115*C119</f>
        <v>8.2800000000000009E-3</v>
      </c>
      <c r="D124" s="104">
        <f t="shared" ref="D124:AG124" si="67">D115*D119</f>
        <v>1.0081747222191647E-2</v>
      </c>
      <c r="E124" s="104">
        <f t="shared" si="67"/>
        <v>1.1775400843194454E-2</v>
      </c>
      <c r="F124" s="104">
        <f t="shared" si="67"/>
        <v>1.3360960863008423E-2</v>
      </c>
      <c r="G124" s="104">
        <f t="shared" si="67"/>
        <v>1.4838427281633556E-2</v>
      </c>
      <c r="H124" s="104">
        <f t="shared" si="67"/>
        <v>1.6207800099069847E-2</v>
      </c>
      <c r="I124" s="104">
        <f t="shared" si="67"/>
        <v>1.7469079315317305E-2</v>
      </c>
      <c r="J124" s="104">
        <f t="shared" si="67"/>
        <v>1.8622264930375918E-2</v>
      </c>
      <c r="K124" s="104">
        <f t="shared" si="67"/>
        <v>1.9667356944245699E-2</v>
      </c>
      <c r="L124" s="104">
        <f t="shared" si="67"/>
        <v>2.0604355356926639E-2</v>
      </c>
      <c r="M124" s="104">
        <f t="shared" si="67"/>
        <v>2.1433260168418736E-2</v>
      </c>
      <c r="N124" s="104">
        <f t="shared" si="67"/>
        <v>2.3790442202873022E-2</v>
      </c>
      <c r="O124" s="104">
        <f t="shared" si="67"/>
        <v>2.5919796185590836E-2</v>
      </c>
      <c r="P124" s="104">
        <f t="shared" si="67"/>
        <v>2.7821322116572178E-2</v>
      </c>
      <c r="Q124" s="104">
        <f t="shared" si="67"/>
        <v>2.9495019995817037E-2</v>
      </c>
      <c r="R124" s="104">
        <f t="shared" si="67"/>
        <v>3.0940889823325428E-2</v>
      </c>
      <c r="S124" s="104">
        <f t="shared" si="67"/>
        <v>3.215893159909735E-2</v>
      </c>
      <c r="T124" s="104">
        <f t="shared" si="67"/>
        <v>3.3149145323132789E-2</v>
      </c>
      <c r="U124" s="104">
        <f t="shared" si="67"/>
        <v>3.3911530995431767E-2</v>
      </c>
      <c r="V124" s="104">
        <f t="shared" si="67"/>
        <v>3.4446088615994255E-2</v>
      </c>
      <c r="W124" s="104">
        <f t="shared" si="67"/>
        <v>3.4752818184820275E-2</v>
      </c>
      <c r="X124" s="104">
        <f t="shared" si="67"/>
        <v>3.6160928928174338E-2</v>
      </c>
      <c r="Y124" s="104">
        <f t="shared" si="67"/>
        <v>3.7187841324453713E-2</v>
      </c>
      <c r="Z124" s="104">
        <f t="shared" si="67"/>
        <v>3.7833555373658408E-2</v>
      </c>
      <c r="AA124" s="104">
        <f t="shared" si="67"/>
        <v>3.8098071075788394E-2</v>
      </c>
      <c r="AB124" s="104">
        <f t="shared" si="67"/>
        <v>3.7981388430843713E-2</v>
      </c>
      <c r="AC124" s="104">
        <f t="shared" si="67"/>
        <v>3.748350743882433E-2</v>
      </c>
      <c r="AD124" s="104">
        <f t="shared" si="67"/>
        <v>3.6604428099730267E-2</v>
      </c>
      <c r="AE124" s="104">
        <f t="shared" si="67"/>
        <v>3.5344150413561509E-2</v>
      </c>
      <c r="AF124" s="104">
        <f t="shared" si="67"/>
        <v>3.3702674380318071E-2</v>
      </c>
      <c r="AG124" s="104">
        <f t="shared" si="67"/>
        <v>3.1679999999999993E-2</v>
      </c>
      <c r="AI124" s="127"/>
      <c r="AJ124" s="198"/>
      <c r="BC124" s="1"/>
      <c r="BD124" s="38"/>
      <c r="BF124" s="6"/>
      <c r="BG124" s="6"/>
      <c r="BH124" s="6"/>
      <c r="BI124" s="6"/>
      <c r="BJ124" s="6"/>
    </row>
    <row r="125" spans="1:63" outlineLevel="1">
      <c r="C125" s="104"/>
      <c r="D125" s="104"/>
      <c r="E125" s="104"/>
      <c r="F125" s="104"/>
      <c r="G125" s="104"/>
      <c r="H125" s="104"/>
      <c r="I125" s="104"/>
      <c r="J125" s="104"/>
      <c r="K125" s="104"/>
      <c r="L125" s="104"/>
      <c r="M125" s="104"/>
      <c r="N125" s="104"/>
      <c r="O125" s="104"/>
      <c r="P125" s="104"/>
      <c r="Q125" s="104"/>
      <c r="R125" s="104"/>
      <c r="S125" s="104"/>
      <c r="T125" s="104"/>
      <c r="U125" s="104"/>
      <c r="V125" s="104"/>
      <c r="W125" s="104"/>
      <c r="X125" s="104"/>
      <c r="Y125" s="104"/>
      <c r="Z125" s="104"/>
      <c r="AA125" s="104"/>
      <c r="AB125" s="104"/>
      <c r="AC125" s="104"/>
      <c r="AD125" s="104"/>
      <c r="AE125" s="104"/>
      <c r="AF125" s="104"/>
      <c r="AG125" s="104"/>
      <c r="AI125" s="127"/>
      <c r="AJ125" s="198"/>
      <c r="BC125" s="1"/>
      <c r="BD125" s="38"/>
      <c r="BF125" s="6"/>
      <c r="BG125" s="6"/>
      <c r="BH125" s="6"/>
      <c r="BI125" s="6"/>
      <c r="BJ125" s="6"/>
    </row>
    <row r="126" spans="1:63" outlineLevel="1">
      <c r="A126" t="s">
        <v>1080</v>
      </c>
      <c r="C126" s="216">
        <f>'Overall recycling rates'!E86</f>
        <v>0.42149853934855852</v>
      </c>
      <c r="D126" s="216">
        <f>C126-($C126-$AG126)/($AG$1-$C$1)</f>
        <v>0.43411525470360657</v>
      </c>
      <c r="E126" s="216">
        <f t="shared" ref="E126:AF126" si="68">D126-($C126-$AG126)/($AG$1-$C$1)</f>
        <v>0.44673197005865461</v>
      </c>
      <c r="F126" s="216">
        <f t="shared" si="68"/>
        <v>0.45934868541370266</v>
      </c>
      <c r="G126" s="216">
        <f t="shared" si="68"/>
        <v>0.47196540076875071</v>
      </c>
      <c r="H126" s="216">
        <f t="shared" si="68"/>
        <v>0.48458211612379876</v>
      </c>
      <c r="I126" s="216">
        <f t="shared" si="68"/>
        <v>0.4971988314788468</v>
      </c>
      <c r="J126" s="216">
        <f t="shared" si="68"/>
        <v>0.50981554683389485</v>
      </c>
      <c r="K126" s="216">
        <f t="shared" si="68"/>
        <v>0.5224322621889429</v>
      </c>
      <c r="L126" s="216">
        <f t="shared" si="68"/>
        <v>0.53504897754399094</v>
      </c>
      <c r="M126" s="216">
        <f t="shared" si="68"/>
        <v>0.54766569289903899</v>
      </c>
      <c r="N126" s="216">
        <f t="shared" si="68"/>
        <v>0.56028240825408704</v>
      </c>
      <c r="O126" s="216">
        <f t="shared" si="68"/>
        <v>0.57289912360913509</v>
      </c>
      <c r="P126" s="216">
        <f t="shared" si="68"/>
        <v>0.58551583896418313</v>
      </c>
      <c r="Q126" s="216">
        <f t="shared" si="68"/>
        <v>0.59813255431923118</v>
      </c>
      <c r="R126" s="216">
        <f t="shared" si="68"/>
        <v>0.61074926967427923</v>
      </c>
      <c r="S126" s="216">
        <f t="shared" si="68"/>
        <v>0.62336598502932727</v>
      </c>
      <c r="T126" s="216">
        <f t="shared" si="68"/>
        <v>0.63598270038437532</v>
      </c>
      <c r="U126" s="216">
        <f t="shared" si="68"/>
        <v>0.64859941573942337</v>
      </c>
      <c r="V126" s="216">
        <f t="shared" si="68"/>
        <v>0.66121613109447142</v>
      </c>
      <c r="W126" s="216">
        <f t="shared" si="68"/>
        <v>0.67383284644951946</v>
      </c>
      <c r="X126" s="216">
        <f t="shared" si="68"/>
        <v>0.68644956180456751</v>
      </c>
      <c r="Y126" s="216">
        <f t="shared" si="68"/>
        <v>0.69906627715961556</v>
      </c>
      <c r="Z126" s="216">
        <f t="shared" si="68"/>
        <v>0.7116829925146636</v>
      </c>
      <c r="AA126" s="216">
        <f t="shared" si="68"/>
        <v>0.72429970786971165</v>
      </c>
      <c r="AB126" s="216">
        <f t="shared" si="68"/>
        <v>0.7369164232247597</v>
      </c>
      <c r="AC126" s="216">
        <f t="shared" si="68"/>
        <v>0.74953313857980775</v>
      </c>
      <c r="AD126" s="216">
        <f t="shared" si="68"/>
        <v>0.76214985393485579</v>
      </c>
      <c r="AE126" s="216">
        <f t="shared" si="68"/>
        <v>0.77476656928990384</v>
      </c>
      <c r="AF126" s="216">
        <f t="shared" si="68"/>
        <v>0.78738328464495189</v>
      </c>
      <c r="AG126" s="216">
        <f>'Overall recycling rates'!E95</f>
        <v>0.8</v>
      </c>
      <c r="AI126" s="126"/>
      <c r="AJ126" s="198" t="s">
        <v>1081</v>
      </c>
      <c r="AL126" s="102"/>
      <c r="AM126" s="194"/>
      <c r="AN126" s="194"/>
      <c r="AO126" s="194"/>
      <c r="BC126" s="1"/>
      <c r="BD126" s="194"/>
      <c r="BE126" s="194"/>
      <c r="BF126" s="194"/>
      <c r="BG126" s="194"/>
      <c r="BH126" s="194"/>
      <c r="BI126" s="194"/>
      <c r="BJ126" s="194"/>
      <c r="BK126" s="194"/>
    </row>
    <row r="127" spans="1:63" outlineLevel="1">
      <c r="A127" t="s">
        <v>1151</v>
      </c>
      <c r="B127" s="51" t="s">
        <v>126</v>
      </c>
      <c r="C127" s="104">
        <f>C114*C$126</f>
        <v>8.4299707869711703E-4</v>
      </c>
      <c r="D127" s="104">
        <f t="shared" ref="D127:AG128" si="69">D114*D$126</f>
        <v>1.4111191324863187E-3</v>
      </c>
      <c r="E127" s="104">
        <f t="shared" si="69"/>
        <v>2.1449329324813868E-3</v>
      </c>
      <c r="F127" s="104">
        <f t="shared" si="69"/>
        <v>3.0558033636648363E-3</v>
      </c>
      <c r="G127" s="104">
        <f t="shared" si="69"/>
        <v>4.1550953110191793E-3</v>
      </c>
      <c r="H127" s="104">
        <f t="shared" si="69"/>
        <v>5.454173659526931E-3</v>
      </c>
      <c r="I127" s="104">
        <f t="shared" si="69"/>
        <v>6.9644032941706064E-3</v>
      </c>
      <c r="J127" s="104">
        <f t="shared" si="69"/>
        <v>8.6971490999327161E-3</v>
      </c>
      <c r="K127" s="104">
        <f t="shared" si="69"/>
        <v>1.0663775961795775E-2</v>
      </c>
      <c r="L127" s="104">
        <f t="shared" si="69"/>
        <v>1.2875648764742301E-2</v>
      </c>
      <c r="M127" s="104">
        <f t="shared" si="69"/>
        <v>1.53441323937548E-2</v>
      </c>
      <c r="N127" s="104">
        <f t="shared" si="69"/>
        <v>1.9416082275974959E-2</v>
      </c>
      <c r="O127" s="104">
        <f t="shared" si="69"/>
        <v>2.4018063005176171E-2</v>
      </c>
      <c r="P127" s="104">
        <f t="shared" si="69"/>
        <v>2.9174028262013884E-2</v>
      </c>
      <c r="Q127" s="104">
        <f t="shared" si="69"/>
        <v>3.4907931727143543E-2</v>
      </c>
      <c r="R127" s="104">
        <f t="shared" si="69"/>
        <v>4.1243727081220621E-2</v>
      </c>
      <c r="S127" s="104">
        <f t="shared" si="69"/>
        <v>4.8205368004900551E-2</v>
      </c>
      <c r="T127" s="104">
        <f t="shared" si="69"/>
        <v>5.5816808178838793E-2</v>
      </c>
      <c r="U127" s="104">
        <f t="shared" si="69"/>
        <v>6.4102001283690785E-2</v>
      </c>
      <c r="V127" s="104">
        <f t="shared" si="69"/>
        <v>7.3084901000111988E-2</v>
      </c>
      <c r="W127" s="104">
        <f t="shared" si="69"/>
        <v>8.2789461008757878E-2</v>
      </c>
      <c r="X127" s="104">
        <f t="shared" si="69"/>
        <v>9.6797741915329721E-2</v>
      </c>
      <c r="Y127" s="104">
        <f t="shared" si="69"/>
        <v>0.11200420635271641</v>
      </c>
      <c r="Z127" s="104">
        <f t="shared" si="69"/>
        <v>0.12844893324624176</v>
      </c>
      <c r="AA127" s="104">
        <f t="shared" si="69"/>
        <v>0.1461720015212295</v>
      </c>
      <c r="AB127" s="104">
        <f t="shared" si="69"/>
        <v>0.16521349010300351</v>
      </c>
      <c r="AC127" s="104">
        <f t="shared" si="69"/>
        <v>0.18561347791688754</v>
      </c>
      <c r="AD127" s="104">
        <f t="shared" si="69"/>
        <v>0.20741204388820539</v>
      </c>
      <c r="AE127" s="104">
        <f t="shared" si="69"/>
        <v>0.23064926694228094</v>
      </c>
      <c r="AF127" s="104">
        <f t="shared" si="69"/>
        <v>0.2553652260044379</v>
      </c>
      <c r="AG127" s="104">
        <f t="shared" si="69"/>
        <v>0.28160000000000002</v>
      </c>
      <c r="AI127" s="126"/>
      <c r="AJ127"/>
      <c r="AL127" s="102"/>
      <c r="AM127" s="2"/>
      <c r="AN127" s="2"/>
      <c r="AO127" s="2"/>
      <c r="AV127" s="38"/>
    </row>
    <row r="128" spans="1:63" outlineLevel="1">
      <c r="A128" t="s">
        <v>1152</v>
      </c>
      <c r="B128" s="51" t="s">
        <v>126</v>
      </c>
      <c r="C128" s="104">
        <f>C115*C$126</f>
        <v>9.694466405016847E-3</v>
      </c>
      <c r="D128" s="104">
        <f t="shared" si="69"/>
        <v>1.2157334064497514E-2</v>
      </c>
      <c r="E128" s="104">
        <f t="shared" si="69"/>
        <v>1.4612355602529447E-2</v>
      </c>
      <c r="F128" s="104">
        <f t="shared" si="69"/>
        <v>1.7048166134130138E-2</v>
      </c>
      <c r="G128" s="104">
        <f t="shared" si="69"/>
        <v>1.9453400774317071E-2</v>
      </c>
      <c r="H128" s="104">
        <f t="shared" si="69"/>
        <v>2.1816694638107727E-2</v>
      </c>
      <c r="I128" s="104">
        <f t="shared" si="69"/>
        <v>2.4126682840519605E-2</v>
      </c>
      <c r="J128" s="104">
        <f t="shared" si="69"/>
        <v>2.6372000496570173E-2</v>
      </c>
      <c r="K128" s="104">
        <f t="shared" si="69"/>
        <v>2.8541282721276932E-2</v>
      </c>
      <c r="L128" s="104">
        <f t="shared" si="69"/>
        <v>3.0623164629657362E-2</v>
      </c>
      <c r="M128" s="104">
        <f t="shared" si="69"/>
        <v>3.2606281336728951E-2</v>
      </c>
      <c r="N128" s="104">
        <f t="shared" si="69"/>
        <v>3.7026017363487124E-2</v>
      </c>
      <c r="O128" s="104">
        <f t="shared" si="69"/>
        <v>4.1248412552367761E-2</v>
      </c>
      <c r="P128" s="104">
        <f t="shared" si="69"/>
        <v>4.5249513222715393E-2</v>
      </c>
      <c r="Q128" s="104">
        <f t="shared" si="69"/>
        <v>4.9005365693874571E-2</v>
      </c>
      <c r="R128" s="104">
        <f t="shared" si="69"/>
        <v>5.2492016285189846E-2</v>
      </c>
      <c r="S128" s="104">
        <f t="shared" si="69"/>
        <v>5.5685511316005777E-2</v>
      </c>
      <c r="T128" s="104">
        <f t="shared" si="69"/>
        <v>5.8561897105666887E-2</v>
      </c>
      <c r="U128" s="104">
        <f t="shared" si="69"/>
        <v>6.1097219973517747E-2</v>
      </c>
      <c r="V128" s="104">
        <f t="shared" si="69"/>
        <v>6.3267526238902888E-2</v>
      </c>
      <c r="W128" s="104">
        <f t="shared" si="69"/>
        <v>6.5048862221166862E-2</v>
      </c>
      <c r="X128" s="104">
        <f t="shared" si="69"/>
        <v>6.8951816158864948E-2</v>
      </c>
      <c r="Y128" s="104">
        <f t="shared" si="69"/>
        <v>7.2213238306356564E-2</v>
      </c>
      <c r="Z128" s="104">
        <f t="shared" si="69"/>
        <v>7.4793049738317907E-2</v>
      </c>
      <c r="AA128" s="104">
        <f t="shared" si="69"/>
        <v>7.6651171529425133E-2</v>
      </c>
      <c r="AB128" s="104">
        <f t="shared" si="69"/>
        <v>7.7747524754354494E-2</v>
      </c>
      <c r="AC128" s="104">
        <f t="shared" si="69"/>
        <v>7.8042030487782146E-2</v>
      </c>
      <c r="AD128" s="104">
        <f t="shared" si="69"/>
        <v>7.7494609804384315E-2</v>
      </c>
      <c r="AE128" s="104">
        <f t="shared" si="69"/>
        <v>7.6065183778837184E-2</v>
      </c>
      <c r="AF128" s="104">
        <f t="shared" si="69"/>
        <v>7.3713673485816977E-2</v>
      </c>
      <c r="AG128" s="104">
        <f t="shared" si="69"/>
        <v>7.039999999999999E-2</v>
      </c>
      <c r="AH128" s="230"/>
      <c r="AI128" s="126"/>
      <c r="AJ128" s="198"/>
      <c r="AL128" s="102"/>
      <c r="AM128" s="2"/>
      <c r="AN128" s="2"/>
      <c r="AO128" s="2"/>
      <c r="AV128" s="38"/>
    </row>
    <row r="129" spans="1:63" outlineLevel="1">
      <c r="A129" t="s">
        <v>1153</v>
      </c>
      <c r="B129" s="165" t="s">
        <v>126</v>
      </c>
      <c r="C129" s="104">
        <f>SUM(C127:C128)</f>
        <v>1.0537463483713963E-2</v>
      </c>
      <c r="D129" s="104">
        <f t="shared" ref="D129:AG129" si="70">SUM(D127:D128)</f>
        <v>1.3568453196983833E-2</v>
      </c>
      <c r="E129" s="104">
        <f t="shared" si="70"/>
        <v>1.6757288535010833E-2</v>
      </c>
      <c r="F129" s="104">
        <f t="shared" si="70"/>
        <v>2.0103969497794975E-2</v>
      </c>
      <c r="G129" s="104">
        <f t="shared" si="70"/>
        <v>2.3608496085336252E-2</v>
      </c>
      <c r="H129" s="104">
        <f t="shared" si="70"/>
        <v>2.7270868297634657E-2</v>
      </c>
      <c r="I129" s="104">
        <f t="shared" si="70"/>
        <v>3.1091086134690211E-2</v>
      </c>
      <c r="J129" s="104">
        <f t="shared" si="70"/>
        <v>3.506914959650289E-2</v>
      </c>
      <c r="K129" s="104">
        <f t="shared" si="70"/>
        <v>3.920505868307271E-2</v>
      </c>
      <c r="L129" s="104">
        <f t="shared" si="70"/>
        <v>4.3498813394399663E-2</v>
      </c>
      <c r="M129" s="104">
        <f t="shared" si="70"/>
        <v>4.7950413730483754E-2</v>
      </c>
      <c r="N129" s="104">
        <f t="shared" si="70"/>
        <v>5.6442099639462083E-2</v>
      </c>
      <c r="O129" s="104">
        <f t="shared" si="70"/>
        <v>6.5266475557543932E-2</v>
      </c>
      <c r="P129" s="104">
        <f t="shared" si="70"/>
        <v>7.442354148472928E-2</v>
      </c>
      <c r="Q129" s="104">
        <f t="shared" si="70"/>
        <v>8.3913297421018107E-2</v>
      </c>
      <c r="R129" s="104">
        <f t="shared" si="70"/>
        <v>9.3735743366410468E-2</v>
      </c>
      <c r="S129" s="104">
        <f t="shared" si="70"/>
        <v>0.10389087932090632</v>
      </c>
      <c r="T129" s="104">
        <f t="shared" si="70"/>
        <v>0.11437870528450568</v>
      </c>
      <c r="U129" s="104">
        <f t="shared" si="70"/>
        <v>0.12519922125720853</v>
      </c>
      <c r="V129" s="104">
        <f t="shared" si="70"/>
        <v>0.13635242723901486</v>
      </c>
      <c r="W129" s="104">
        <f t="shared" si="70"/>
        <v>0.14783832322992474</v>
      </c>
      <c r="X129" s="104">
        <f t="shared" si="70"/>
        <v>0.16574955807419467</v>
      </c>
      <c r="Y129" s="104">
        <f t="shared" si="70"/>
        <v>0.18421744465907297</v>
      </c>
      <c r="Z129" s="104">
        <f t="shared" si="70"/>
        <v>0.20324198298455967</v>
      </c>
      <c r="AA129" s="104">
        <f t="shared" si="70"/>
        <v>0.22282317305065463</v>
      </c>
      <c r="AB129" s="104">
        <f t="shared" si="70"/>
        <v>0.24296101485735799</v>
      </c>
      <c r="AC129" s="104">
        <f t="shared" si="70"/>
        <v>0.26365550840466967</v>
      </c>
      <c r="AD129" s="104">
        <f t="shared" si="70"/>
        <v>0.28490665369258972</v>
      </c>
      <c r="AE129" s="104">
        <f t="shared" si="70"/>
        <v>0.30671445072111814</v>
      </c>
      <c r="AF129" s="104">
        <f t="shared" si="70"/>
        <v>0.32907889949025487</v>
      </c>
      <c r="AG129" s="104">
        <f t="shared" si="70"/>
        <v>0.35199999999999998</v>
      </c>
      <c r="AI129" s="126"/>
      <c r="AJ129" s="198"/>
      <c r="AL129" s="102"/>
      <c r="AM129" s="2"/>
      <c r="AN129" s="2"/>
      <c r="AO129" s="2"/>
    </row>
    <row r="130" spans="1:63" outlineLevel="1">
      <c r="A130" t="s">
        <v>1154</v>
      </c>
      <c r="B130" s="51" t="s">
        <v>126</v>
      </c>
      <c r="C130" s="104">
        <f>C117*C128</f>
        <v>5.0411225306087604E-3</v>
      </c>
      <c r="D130" s="104">
        <f t="shared" ref="D130:AG130" si="71">D117*D128</f>
        <v>6.3218137135387072E-3</v>
      </c>
      <c r="E130" s="104">
        <f t="shared" si="71"/>
        <v>7.5984249133153126E-3</v>
      </c>
      <c r="F130" s="104">
        <f t="shared" si="71"/>
        <v>8.8650463897476713E-3</v>
      </c>
      <c r="G130" s="104">
        <f t="shared" si="71"/>
        <v>1.0115768402644878E-2</v>
      </c>
      <c r="H130" s="104">
        <f t="shared" si="71"/>
        <v>1.1344681211816018E-2</v>
      </c>
      <c r="I130" s="104">
        <f t="shared" si="71"/>
        <v>1.2545875077070195E-2</v>
      </c>
      <c r="J130" s="104">
        <f t="shared" si="71"/>
        <v>1.371344025821649E-2</v>
      </c>
      <c r="K130" s="104">
        <f t="shared" si="71"/>
        <v>1.4841467015064004E-2</v>
      </c>
      <c r="L130" s="104">
        <f t="shared" si="71"/>
        <v>1.5924045607421829E-2</v>
      </c>
      <c r="M130" s="104">
        <f t="shared" si="71"/>
        <v>1.6955266295099056E-2</v>
      </c>
      <c r="N130" s="104">
        <f t="shared" si="71"/>
        <v>1.9253529029013304E-2</v>
      </c>
      <c r="O130" s="104">
        <f t="shared" si="71"/>
        <v>2.1449174527231236E-2</v>
      </c>
      <c r="P130" s="104">
        <f t="shared" si="71"/>
        <v>2.3529746875812003E-2</v>
      </c>
      <c r="Q130" s="104">
        <f t="shared" si="71"/>
        <v>2.5482790160814776E-2</v>
      </c>
      <c r="R130" s="104">
        <f t="shared" si="71"/>
        <v>2.729584846829872E-2</v>
      </c>
      <c r="S130" s="104">
        <f t="shared" si="71"/>
        <v>2.8956465884323004E-2</v>
      </c>
      <c r="T130" s="104">
        <f t="shared" si="71"/>
        <v>3.0452186494946781E-2</v>
      </c>
      <c r="U130" s="104">
        <f t="shared" si="71"/>
        <v>3.1770554386229229E-2</v>
      </c>
      <c r="V130" s="104">
        <f t="shared" si="71"/>
        <v>3.2899113644229504E-2</v>
      </c>
      <c r="W130" s="104">
        <f t="shared" si="71"/>
        <v>3.3825408355006768E-2</v>
      </c>
      <c r="X130" s="104">
        <f t="shared" si="71"/>
        <v>3.5854944402609772E-2</v>
      </c>
      <c r="Y130" s="104">
        <f t="shared" si="71"/>
        <v>3.7550883919305417E-2</v>
      </c>
      <c r="Z130" s="104">
        <f t="shared" si="71"/>
        <v>3.8892385863925315E-2</v>
      </c>
      <c r="AA130" s="104">
        <f t="shared" si="71"/>
        <v>3.985860919530107E-2</v>
      </c>
      <c r="AB130" s="104">
        <f t="shared" si="71"/>
        <v>4.0428712872264336E-2</v>
      </c>
      <c r="AC130" s="104">
        <f t="shared" si="71"/>
        <v>4.0581855853646716E-2</v>
      </c>
      <c r="AD130" s="104">
        <f t="shared" si="71"/>
        <v>4.0297197098279842E-2</v>
      </c>
      <c r="AE130" s="104">
        <f t="shared" si="71"/>
        <v>3.9553895564995334E-2</v>
      </c>
      <c r="AF130" s="104">
        <f t="shared" si="71"/>
        <v>3.8331110212624829E-2</v>
      </c>
      <c r="AG130" s="104">
        <f t="shared" si="71"/>
        <v>3.6607999999999995E-2</v>
      </c>
      <c r="AI130" s="126"/>
      <c r="AJ130" s="198"/>
      <c r="BD130" s="190"/>
      <c r="BE130" s="190"/>
    </row>
    <row r="131" spans="1:63" outlineLevel="1">
      <c r="A131" t="s">
        <v>1155</v>
      </c>
      <c r="B131" s="51" t="s">
        <v>126</v>
      </c>
      <c r="C131" s="104">
        <f>C118*C128</f>
        <v>1.1633359686020217E-3</v>
      </c>
      <c r="D131" s="104">
        <f t="shared" ref="D131:AG131" si="72">D118*D128</f>
        <v>1.4588800877397016E-3</v>
      </c>
      <c r="E131" s="104">
        <f t="shared" si="72"/>
        <v>1.7534826723035336E-3</v>
      </c>
      <c r="F131" s="104">
        <f t="shared" si="72"/>
        <v>2.0457799360956166E-3</v>
      </c>
      <c r="G131" s="104">
        <f t="shared" si="72"/>
        <v>2.3344080929180483E-3</v>
      </c>
      <c r="H131" s="104">
        <f t="shared" si="72"/>
        <v>2.6180033565729273E-3</v>
      </c>
      <c r="I131" s="104">
        <f t="shared" si="72"/>
        <v>2.8952019408623525E-3</v>
      </c>
      <c r="J131" s="104">
        <f t="shared" si="72"/>
        <v>3.1646400595884208E-3</v>
      </c>
      <c r="K131" s="104">
        <f t="shared" si="72"/>
        <v>3.4249539265532318E-3</v>
      </c>
      <c r="L131" s="104">
        <f t="shared" si="72"/>
        <v>3.6747797555588832E-3</v>
      </c>
      <c r="M131" s="104">
        <f t="shared" si="72"/>
        <v>3.9127537604074737E-3</v>
      </c>
      <c r="N131" s="104">
        <f t="shared" si="72"/>
        <v>4.4431220836184549E-3</v>
      </c>
      <c r="O131" s="104">
        <f t="shared" si="72"/>
        <v>4.9498095062841313E-3</v>
      </c>
      <c r="P131" s="104">
        <f t="shared" si="72"/>
        <v>5.4299415867258474E-3</v>
      </c>
      <c r="Q131" s="104">
        <f t="shared" si="72"/>
        <v>5.8806438832649487E-3</v>
      </c>
      <c r="R131" s="104">
        <f t="shared" si="72"/>
        <v>6.2990419542227815E-3</v>
      </c>
      <c r="S131" s="104">
        <f t="shared" si="72"/>
        <v>6.6822613579206932E-3</v>
      </c>
      <c r="T131" s="104">
        <f t="shared" si="72"/>
        <v>7.0274276526800265E-3</v>
      </c>
      <c r="U131" s="104">
        <f t="shared" si="72"/>
        <v>7.3316663968221295E-3</v>
      </c>
      <c r="V131" s="104">
        <f t="shared" si="72"/>
        <v>7.5921031486683461E-3</v>
      </c>
      <c r="W131" s="104">
        <f t="shared" si="72"/>
        <v>7.8058634665400233E-3</v>
      </c>
      <c r="X131" s="104">
        <f t="shared" si="72"/>
        <v>8.2742179390637941E-3</v>
      </c>
      <c r="Y131" s="104">
        <f t="shared" si="72"/>
        <v>8.6655885967627869E-3</v>
      </c>
      <c r="Z131" s="104">
        <f t="shared" si="72"/>
        <v>8.9751659685981481E-3</v>
      </c>
      <c r="AA131" s="104">
        <f t="shared" si="72"/>
        <v>9.1981405835310157E-3</v>
      </c>
      <c r="AB131" s="104">
        <f t="shared" si="72"/>
        <v>9.3297029705225396E-3</v>
      </c>
      <c r="AC131" s="104">
        <f t="shared" si="72"/>
        <v>9.3650436585338576E-3</v>
      </c>
      <c r="AD131" s="104">
        <f t="shared" si="72"/>
        <v>9.2993531765261182E-3</v>
      </c>
      <c r="AE131" s="104">
        <f t="shared" si="72"/>
        <v>9.1278220534604625E-3</v>
      </c>
      <c r="AF131" s="104">
        <f t="shared" si="72"/>
        <v>8.8456408182980371E-3</v>
      </c>
      <c r="AG131" s="104">
        <f t="shared" si="72"/>
        <v>8.4479999999999989E-3</v>
      </c>
      <c r="AI131" s="126"/>
      <c r="AJ131" s="198"/>
      <c r="AL131" s="1"/>
      <c r="BC131" s="1"/>
      <c r="BD131" s="697"/>
      <c r="BE131" s="687"/>
      <c r="BF131" s="6"/>
      <c r="BG131" s="6"/>
      <c r="BH131" s="6"/>
      <c r="BI131" s="6"/>
      <c r="BJ131" s="6"/>
    </row>
    <row r="132" spans="1:63" outlineLevel="1">
      <c r="A132" t="s">
        <v>1156</v>
      </c>
      <c r="B132" s="51" t="s">
        <v>126</v>
      </c>
      <c r="C132" s="104">
        <f>C119*C128</f>
        <v>3.490007905806065E-3</v>
      </c>
      <c r="D132" s="104">
        <f t="shared" ref="D132:AG132" si="73">D119*D128</f>
        <v>4.3766402632191047E-3</v>
      </c>
      <c r="E132" s="104">
        <f t="shared" si="73"/>
        <v>5.2604480169106006E-3</v>
      </c>
      <c r="F132" s="104">
        <f t="shared" si="73"/>
        <v>6.1373398082868492E-3</v>
      </c>
      <c r="G132" s="104">
        <f t="shared" si="73"/>
        <v>7.0032242787541454E-3</v>
      </c>
      <c r="H132" s="104">
        <f t="shared" si="73"/>
        <v>7.8540100697187809E-3</v>
      </c>
      <c r="I132" s="104">
        <f t="shared" si="73"/>
        <v>8.6856058225870583E-3</v>
      </c>
      <c r="J132" s="104">
        <f t="shared" si="73"/>
        <v>9.4939201787652625E-3</v>
      </c>
      <c r="K132" s="104">
        <f t="shared" si="73"/>
        <v>1.0274861779659696E-2</v>
      </c>
      <c r="L132" s="104">
        <f t="shared" si="73"/>
        <v>1.1024339266676651E-2</v>
      </c>
      <c r="M132" s="104">
        <f t="shared" si="73"/>
        <v>1.1738261281222422E-2</v>
      </c>
      <c r="N132" s="104">
        <f t="shared" si="73"/>
        <v>1.3329366250855365E-2</v>
      </c>
      <c r="O132" s="104">
        <f t="shared" si="73"/>
        <v>1.4849428518852393E-2</v>
      </c>
      <c r="P132" s="104">
        <f t="shared" si="73"/>
        <v>1.628982476017754E-2</v>
      </c>
      <c r="Q132" s="104">
        <f t="shared" si="73"/>
        <v>1.7641931649794846E-2</v>
      </c>
      <c r="R132" s="104">
        <f t="shared" si="73"/>
        <v>1.8897125862668344E-2</v>
      </c>
      <c r="S132" s="104">
        <f t="shared" si="73"/>
        <v>2.0046784073762078E-2</v>
      </c>
      <c r="T132" s="104">
        <f t="shared" si="73"/>
        <v>2.1082282958040079E-2</v>
      </c>
      <c r="U132" s="104">
        <f t="shared" si="73"/>
        <v>2.1994999190466387E-2</v>
      </c>
      <c r="V132" s="104">
        <f t="shared" si="73"/>
        <v>2.277630944600504E-2</v>
      </c>
      <c r="W132" s="104">
        <f t="shared" si="73"/>
        <v>2.3417590399620068E-2</v>
      </c>
      <c r="X132" s="104">
        <f t="shared" si="73"/>
        <v>2.4822653817191381E-2</v>
      </c>
      <c r="Y132" s="104">
        <f t="shared" si="73"/>
        <v>2.5996765790288361E-2</v>
      </c>
      <c r="Z132" s="104">
        <f t="shared" si="73"/>
        <v>2.6925497905794446E-2</v>
      </c>
      <c r="AA132" s="104">
        <f t="shared" si="73"/>
        <v>2.7594421750593047E-2</v>
      </c>
      <c r="AB132" s="104">
        <f t="shared" si="73"/>
        <v>2.7989108911567615E-2</v>
      </c>
      <c r="AC132" s="104">
        <f t="shared" si="73"/>
        <v>2.8095130975601571E-2</v>
      </c>
      <c r="AD132" s="104">
        <f t="shared" si="73"/>
        <v>2.7898059529578353E-2</v>
      </c>
      <c r="AE132" s="104">
        <f t="shared" si="73"/>
        <v>2.7383466160381384E-2</v>
      </c>
      <c r="AF132" s="104">
        <f t="shared" si="73"/>
        <v>2.6536922454894109E-2</v>
      </c>
      <c r="AG132" s="104">
        <f t="shared" si="73"/>
        <v>2.5343999999999995E-2</v>
      </c>
      <c r="AI132" s="127"/>
      <c r="AJ132" s="198"/>
      <c r="BC132" s="1"/>
      <c r="BD132" s="38"/>
      <c r="BF132" s="6"/>
      <c r="BG132" s="6"/>
      <c r="BH132" s="6"/>
      <c r="BI132" s="6"/>
      <c r="BJ132" s="6"/>
    </row>
    <row r="133" spans="1:63" outlineLevel="1">
      <c r="C133" s="104"/>
      <c r="D133" s="104"/>
      <c r="E133" s="104"/>
      <c r="F133" s="104"/>
      <c r="G133" s="104"/>
      <c r="H133" s="104"/>
      <c r="I133" s="104"/>
      <c r="J133" s="104"/>
      <c r="K133" s="104"/>
      <c r="L133" s="104"/>
      <c r="M133" s="104"/>
      <c r="N133" s="104"/>
      <c r="O133" s="104"/>
      <c r="P133" s="104"/>
      <c r="Q133" s="104"/>
      <c r="R133" s="104"/>
      <c r="S133" s="104"/>
      <c r="T133" s="104"/>
      <c r="U133" s="104"/>
      <c r="V133" s="104"/>
      <c r="W133" s="104"/>
      <c r="X133" s="104"/>
      <c r="Y133" s="104"/>
      <c r="Z133" s="104"/>
      <c r="AA133" s="104"/>
      <c r="AB133" s="104"/>
      <c r="AC133" s="104"/>
      <c r="AD133" s="104"/>
      <c r="AE133" s="104"/>
      <c r="AF133" s="104"/>
      <c r="AG133" s="104"/>
      <c r="AI133" s="127"/>
      <c r="AJ133" s="198"/>
      <c r="BC133" s="1"/>
      <c r="BD133" s="38"/>
      <c r="BF133" s="6"/>
      <c r="BG133" s="6"/>
      <c r="BH133" s="6"/>
      <c r="BI133" s="6"/>
      <c r="BJ133" s="6"/>
    </row>
    <row r="134" spans="1:63" s="1" customFormat="1" outlineLevel="1">
      <c r="A134" s="1" t="s">
        <v>261</v>
      </c>
      <c r="B134" s="61"/>
      <c r="C134" s="279">
        <f>C40*C127</f>
        <v>9.7675435160473896</v>
      </c>
      <c r="D134" s="279">
        <f t="shared" ref="D134:AG134" si="74">D40*D127</f>
        <v>16.350196081568338</v>
      </c>
      <c r="E134" s="279">
        <f t="shared" si="74"/>
        <v>24.852667092743904</v>
      </c>
      <c r="F134" s="279">
        <f t="shared" si="74"/>
        <v>35.406637917667496</v>
      </c>
      <c r="G134" s="279">
        <f t="shared" si="74"/>
        <v>48.143789924432504</v>
      </c>
      <c r="H134" s="279">
        <f t="shared" si="74"/>
        <v>63.195804481132335</v>
      </c>
      <c r="I134" s="279">
        <f t="shared" si="74"/>
        <v>80.694362955860413</v>
      </c>
      <c r="J134" s="279">
        <f t="shared" si="74"/>
        <v>100.77114671671011</v>
      </c>
      <c r="K134" s="279">
        <f t="shared" si="74"/>
        <v>123.55783713177482</v>
      </c>
      <c r="L134" s="279">
        <f t="shared" si="74"/>
        <v>149.186115569148</v>
      </c>
      <c r="M134" s="279">
        <f t="shared" si="74"/>
        <v>177.78766339692294</v>
      </c>
      <c r="N134" s="279">
        <f t="shared" si="74"/>
        <v>224.96807324035919</v>
      </c>
      <c r="O134" s="279">
        <f t="shared" si="74"/>
        <v>278.28978474848952</v>
      </c>
      <c r="P134" s="279">
        <f t="shared" si="74"/>
        <v>337.79189512485596</v>
      </c>
      <c r="Q134" s="279">
        <f t="shared" si="74"/>
        <v>403.89229728862</v>
      </c>
      <c r="R134" s="279">
        <f t="shared" si="74"/>
        <v>476.85139829669492</v>
      </c>
      <c r="S134" s="279">
        <f t="shared" si="74"/>
        <v>556.92835219268568</v>
      </c>
      <c r="T134" s="279">
        <f t="shared" si="74"/>
        <v>644.38103003215986</v>
      </c>
      <c r="U134" s="279">
        <f t="shared" si="74"/>
        <v>739.46598990791495</v>
      </c>
      <c r="V134" s="279">
        <f t="shared" si="74"/>
        <v>842.43844697524844</v>
      </c>
      <c r="W134" s="279">
        <f t="shared" si="74"/>
        <v>953.55224347722583</v>
      </c>
      <c r="X134" s="279">
        <f t="shared" si="74"/>
        <v>1114.0087303841108</v>
      </c>
      <c r="Y134" s="279">
        <f t="shared" si="74"/>
        <v>1287.9726182132524</v>
      </c>
      <c r="Z134" s="279">
        <f t="shared" si="74"/>
        <v>1471.9598319151835</v>
      </c>
      <c r="AA134" s="279">
        <f t="shared" si="74"/>
        <v>1669.0981287077345</v>
      </c>
      <c r="AB134" s="279">
        <f t="shared" si="74"/>
        <v>1879.6372415490996</v>
      </c>
      <c r="AC134" s="279">
        <f t="shared" si="74"/>
        <v>2103.8128682595352</v>
      </c>
      <c r="AD134" s="279">
        <f t="shared" si="74"/>
        <v>2341.84629537197</v>
      </c>
      <c r="AE134" s="279">
        <f t="shared" si="74"/>
        <v>2593.9440219826006</v>
      </c>
      <c r="AF134" s="279">
        <f t="shared" si="74"/>
        <v>2860.2973836014953</v>
      </c>
      <c r="AG134" s="279">
        <f t="shared" si="74"/>
        <v>3141.0821760031931</v>
      </c>
      <c r="AH134" s="230"/>
      <c r="AI134" s="398"/>
      <c r="AJ134" s="399"/>
      <c r="AL134" s="207"/>
      <c r="AM134" s="118"/>
      <c r="AN134" s="118"/>
      <c r="AO134" s="118"/>
      <c r="BD134" s="118"/>
      <c r="BE134" s="118"/>
      <c r="BF134" s="118"/>
      <c r="BG134" s="118"/>
      <c r="BH134" s="118"/>
      <c r="BI134" s="118"/>
      <c r="BJ134" s="118"/>
      <c r="BK134" s="118"/>
    </row>
    <row r="135" spans="1:63" outlineLevel="1">
      <c r="A135" s="4" t="s">
        <v>35</v>
      </c>
      <c r="C135" s="216">
        <f>C$134*'Methanol recycling rates'!E48</f>
        <v>0</v>
      </c>
      <c r="D135" s="216">
        <f>D$134*'Methanol recycling rates'!F48</f>
        <v>0</v>
      </c>
      <c r="E135" s="216">
        <f>E$134*'Methanol recycling rates'!G48</f>
        <v>0</v>
      </c>
      <c r="F135" s="216">
        <f>F$134*'Methanol recycling rates'!H48</f>
        <v>0</v>
      </c>
      <c r="G135" s="216">
        <f>G$134*'Methanol recycling rates'!I48</f>
        <v>0</v>
      </c>
      <c r="H135" s="216">
        <f>H$134*'Methanol recycling rates'!J48</f>
        <v>0</v>
      </c>
      <c r="I135" s="216">
        <f>I$134*'Methanol recycling rates'!K48</f>
        <v>0</v>
      </c>
      <c r="J135" s="216">
        <f>J$134*'Methanol recycling rates'!L48</f>
        <v>0</v>
      </c>
      <c r="K135" s="216">
        <f>K$134*'Methanol recycling rates'!M48</f>
        <v>0</v>
      </c>
      <c r="L135" s="216">
        <f>L$134*'Methanol recycling rates'!N48</f>
        <v>0</v>
      </c>
      <c r="M135" s="216">
        <f>M$134*'Methanol recycling rates'!O48</f>
        <v>0</v>
      </c>
      <c r="N135" s="216">
        <f>N$134*'Methanol recycling rates'!P48</f>
        <v>0</v>
      </c>
      <c r="O135" s="216">
        <f>O$134*'Methanol recycling rates'!Q48</f>
        <v>0</v>
      </c>
      <c r="P135" s="216">
        <f>P$134*'Methanol recycling rates'!R48</f>
        <v>0</v>
      </c>
      <c r="Q135" s="216">
        <f>Q$134*'Methanol recycling rates'!S48</f>
        <v>0</v>
      </c>
      <c r="R135" s="216">
        <f>R$134*'Methanol recycling rates'!T48</f>
        <v>0</v>
      </c>
      <c r="S135" s="216">
        <f>S$134*'Methanol recycling rates'!U48</f>
        <v>0</v>
      </c>
      <c r="T135" s="216">
        <f>T$134*'Methanol recycling rates'!V48</f>
        <v>0</v>
      </c>
      <c r="U135" s="216">
        <f>U$134*'Methanol recycling rates'!W48</f>
        <v>0</v>
      </c>
      <c r="V135" s="216">
        <f>V$134*'Methanol recycling rates'!X48</f>
        <v>0</v>
      </c>
      <c r="W135" s="216">
        <f>W$134*'Methanol recycling rates'!Y48</f>
        <v>0</v>
      </c>
      <c r="X135" s="216">
        <f>X$134*'Methanol recycling rates'!Z48</f>
        <v>0</v>
      </c>
      <c r="Y135" s="216">
        <f>Y$134*'Methanol recycling rates'!AA48</f>
        <v>0</v>
      </c>
      <c r="Z135" s="216">
        <f>Z$134*'Methanol recycling rates'!AB48</f>
        <v>0</v>
      </c>
      <c r="AA135" s="216">
        <f>AA$134*'Methanol recycling rates'!AC48</f>
        <v>0</v>
      </c>
      <c r="AB135" s="216">
        <f>AB$134*'Methanol recycling rates'!AD48</f>
        <v>0</v>
      </c>
      <c r="AC135" s="216">
        <f>AC$134*'Methanol recycling rates'!AE48</f>
        <v>0</v>
      </c>
      <c r="AD135" s="216">
        <f>AD$134*'Methanol recycling rates'!AF48</f>
        <v>0</v>
      </c>
      <c r="AE135" s="216">
        <f>AE$134*'Methanol recycling rates'!AG48</f>
        <v>0</v>
      </c>
      <c r="AF135" s="216">
        <f>AF$134*'Methanol recycling rates'!AH48</f>
        <v>0</v>
      </c>
      <c r="AG135" s="216">
        <f>AG$134*'Methanol recycling rates'!AI48</f>
        <v>0</v>
      </c>
      <c r="AH135" s="230"/>
      <c r="AI135" s="126"/>
      <c r="AJ135" s="198"/>
      <c r="AL135" s="102"/>
      <c r="AM135" s="2"/>
      <c r="AN135" s="2"/>
      <c r="AO135" s="2"/>
      <c r="BC135" s="1"/>
      <c r="BD135" s="2"/>
      <c r="BE135" s="2"/>
      <c r="BF135" s="2"/>
      <c r="BG135" s="2"/>
      <c r="BH135" s="2"/>
      <c r="BI135" s="2"/>
      <c r="BJ135" s="2"/>
      <c r="BK135" s="2"/>
    </row>
    <row r="136" spans="1:63" outlineLevel="1">
      <c r="A136" s="4" t="s">
        <v>160</v>
      </c>
      <c r="C136" s="216">
        <f>C$134*'Methanol recycling rates'!E49</f>
        <v>0</v>
      </c>
      <c r="D136" s="216">
        <f>D$134*'Methanol recycling rates'!F49</f>
        <v>6.353194574252144E-2</v>
      </c>
      <c r="E136" s="216">
        <f>E$134*'Methanol recycling rates'!G49</f>
        <v>0.19313998308229458</v>
      </c>
      <c r="F136" s="216">
        <f>F$134*'Methanol recycling rates'!H49</f>
        <v>0.41273864629296531</v>
      </c>
      <c r="G136" s="216">
        <f>G$134*'Methanol recycling rates'!I49</f>
        <v>0.74828916645628485</v>
      </c>
      <c r="H136" s="216">
        <f>H$134*'Methanol recycling rates'!J49</f>
        <v>1.2277994714621099</v>
      </c>
      <c r="I136" s="216">
        <f>I$134*'Methanol recycling rates'!K49</f>
        <v>1.8813241860084031</v>
      </c>
      <c r="J136" s="216">
        <f>J$134*'Methanol recycling rates'!L49</f>
        <v>2.7409646316012317</v>
      </c>
      <c r="K136" s="216">
        <f>K$134*'Methanol recycling rates'!M49</f>
        <v>3.8408688265547681</v>
      </c>
      <c r="L136" s="216">
        <f>L$134*'Methanol recycling rates'!N49</f>
        <v>5.2172314859912934</v>
      </c>
      <c r="M136" s="216">
        <f>M$134*'Methanol recycling rates'!O49</f>
        <v>6.9082940218411863</v>
      </c>
      <c r="N136" s="216">
        <f>N$134*'Methanol recycling rates'!P49</f>
        <v>9.6157411732328466</v>
      </c>
      <c r="O136" s="216">
        <f>O$134*'Methanol recycling rates'!Q49</f>
        <v>12.976205117395574</v>
      </c>
      <c r="P136" s="216">
        <f>P$134*'Methanol recycling rates'!R49</f>
        <v>17.063250569078498</v>
      </c>
      <c r="Q136" s="216">
        <f>Q$134*'Methanol recycling rates'!S49</f>
        <v>21.97165633048618</v>
      </c>
      <c r="R136" s="216">
        <f>R$134*'Methanol recycling rates'!T49</f>
        <v>27.793517288134996</v>
      </c>
      <c r="S136" s="216">
        <f>S$134*'Methanol recycling rates'!U49</f>
        <v>34.624897881306502</v>
      </c>
      <c r="T136" s="216">
        <f>T$134*'Methanol recycling rates'!V49</f>
        <v>42.565805777845327</v>
      </c>
      <c r="U136" s="216">
        <f>U$134*'Methanol recycling rates'!W49</f>
        <v>51.720164851120096</v>
      </c>
      <c r="V136" s="216">
        <f>V$134*'Methanol recycling rates'!X49</f>
        <v>62.19578745814777</v>
      </c>
      <c r="W136" s="216">
        <f>W$134*'Methanol recycling rates'!Y49</f>
        <v>74.104346018881117</v>
      </c>
      <c r="X136" s="216">
        <f>X$134*'Methanol recycling rates'!Z49</f>
        <v>90.902762212137503</v>
      </c>
      <c r="Y136" s="216">
        <f>Y$134*'Methanol recycling rates'!AA49</f>
        <v>110.10283509622775</v>
      </c>
      <c r="Z136" s="216">
        <f>Z$134*'Methanol recycling rates'!AB49</f>
        <v>131.5506462018547</v>
      </c>
      <c r="AA136" s="216">
        <f>AA$134*'Methanol recycling rates'!AC49</f>
        <v>155.65472299852524</v>
      </c>
      <c r="AB136" s="216">
        <f>AB$134*'Methanol recycling rates'!AD49</f>
        <v>182.59262862960321</v>
      </c>
      <c r="AC136" s="216">
        <f>AC$134*'Methanol recycling rates'!AE49</f>
        <v>212.54438984271931</v>
      </c>
      <c r="AD136" s="216">
        <f>AD$134*'Methanol recycling rates'!AF49</f>
        <v>245.69218484484898</v>
      </c>
      <c r="AE136" s="216">
        <f>AE$134*'Methanol recycling rates'!AG49</f>
        <v>282.22002238776832</v>
      </c>
      <c r="AF136" s="216">
        <f>AF$134*'Methanol recycling rates'!AH49</f>
        <v>322.31341208389</v>
      </c>
      <c r="AG136" s="216">
        <f>AG$134*'Methanol recycling rates'!AI49</f>
        <v>366.1590259524778</v>
      </c>
      <c r="AH136" s="230"/>
      <c r="AI136" s="126"/>
      <c r="AJ136" s="198"/>
      <c r="AL136" s="102"/>
      <c r="AM136" s="2"/>
      <c r="AN136" s="2"/>
      <c r="AO136" s="2"/>
      <c r="BC136" s="1"/>
      <c r="BD136" s="2"/>
      <c r="BE136" s="2"/>
      <c r="BF136" s="2"/>
      <c r="BG136" s="2"/>
      <c r="BH136" s="2"/>
      <c r="BI136" s="2"/>
      <c r="BJ136" s="2"/>
      <c r="BK136" s="2"/>
    </row>
    <row r="137" spans="1:63" outlineLevel="1">
      <c r="A137" s="4" t="s">
        <v>1159</v>
      </c>
      <c r="C137" s="216">
        <f>C$134*'Methanol recycling rates'!E50</f>
        <v>9.7675435160473896</v>
      </c>
      <c r="D137" s="216">
        <f>D$134*'Methanol recycling rates'!F50</f>
        <v>16.286664135825816</v>
      </c>
      <c r="E137" s="216">
        <f>E$134*'Methanol recycling rates'!G50</f>
        <v>24.65952710966161</v>
      </c>
      <c r="F137" s="216">
        <f>F$134*'Methanol recycling rates'!H50</f>
        <v>34.993899271374538</v>
      </c>
      <c r="G137" s="216">
        <f>G$134*'Methanol recycling rates'!I50</f>
        <v>47.39550075797623</v>
      </c>
      <c r="H137" s="216">
        <f>H$134*'Methanol recycling rates'!J50</f>
        <v>61.968005009670236</v>
      </c>
      <c r="I137" s="216">
        <f>I$134*'Methanol recycling rates'!K50</f>
        <v>78.813038769852028</v>
      </c>
      <c r="J137" s="216">
        <f>J$134*'Methanol recycling rates'!L50</f>
        <v>98.030182085108905</v>
      </c>
      <c r="K137" s="216">
        <f>K$134*'Methanol recycling rates'!M50</f>
        <v>119.71696830522009</v>
      </c>
      <c r="L137" s="216">
        <f>L$134*'Methanol recycling rates'!N50</f>
        <v>143.96888408315678</v>
      </c>
      <c r="M137" s="216">
        <f>M$134*'Methanol recycling rates'!O50</f>
        <v>170.87936937508184</v>
      </c>
      <c r="N137" s="216">
        <f>N$134*'Methanol recycling rates'!P50</f>
        <v>215.35233206712647</v>
      </c>
      <c r="O137" s="216">
        <f>O$134*'Methanol recycling rates'!Q50</f>
        <v>265.31357963109411</v>
      </c>
      <c r="P137" s="216">
        <f>P$134*'Methanol recycling rates'!R50</f>
        <v>320.72864455577763</v>
      </c>
      <c r="Q137" s="216">
        <f>Q$134*'Methanol recycling rates'!S50</f>
        <v>381.92064095813407</v>
      </c>
      <c r="R137" s="216">
        <f>R$134*'Methanol recycling rates'!T50</f>
        <v>449.05788100856029</v>
      </c>
      <c r="S137" s="216">
        <f>S$134*'Methanol recycling rates'!U50</f>
        <v>522.3034543113796</v>
      </c>
      <c r="T137" s="216">
        <f>T$134*'Methanol recycling rates'!V50</f>
        <v>601.81522425431501</v>
      </c>
      <c r="U137" s="216">
        <f>U$134*'Methanol recycling rates'!W50</f>
        <v>687.74582505679552</v>
      </c>
      <c r="V137" s="216">
        <f>V$134*'Methanol recycling rates'!X50</f>
        <v>780.2426595171014</v>
      </c>
      <c r="W137" s="216">
        <f>W$134*'Methanol recycling rates'!Y50</f>
        <v>879.44789745834555</v>
      </c>
      <c r="X137" s="216">
        <f>X$134*'Methanol recycling rates'!Z50</f>
        <v>1023.1059681719744</v>
      </c>
      <c r="Y137" s="216">
        <f>Y$134*'Methanol recycling rates'!AA50</f>
        <v>1177.8697831170259</v>
      </c>
      <c r="Z137" s="216">
        <f>Z$134*'Methanol recycling rates'!AB50</f>
        <v>1340.4091857133303</v>
      </c>
      <c r="AA137" s="216">
        <f>AA$134*'Methanol recycling rates'!AC50</f>
        <v>1513.4434057092112</v>
      </c>
      <c r="AB137" s="216">
        <f>AB$134*'Methanol recycling rates'!AD50</f>
        <v>1697.0446129194986</v>
      </c>
      <c r="AC137" s="216">
        <f>AC$134*'Methanol recycling rates'!AE50</f>
        <v>1891.2684784168184</v>
      </c>
      <c r="AD137" s="216">
        <f>AD$134*'Methanol recycling rates'!AF50</f>
        <v>2096.154110527124</v>
      </c>
      <c r="AE137" s="216">
        <f>AE$134*'Methanol recycling rates'!AG50</f>
        <v>2311.7239995948357</v>
      </c>
      <c r="AF137" s="216">
        <f>AF$134*'Methanol recycling rates'!AH50</f>
        <v>2537.983971517609</v>
      </c>
      <c r="AG137" s="216">
        <f>AG$134*'Methanol recycling rates'!AI50</f>
        <v>2774.9231500507153</v>
      </c>
      <c r="AH137" s="230"/>
      <c r="AI137" s="126"/>
      <c r="AJ137" s="198"/>
      <c r="AL137" s="102"/>
      <c r="AM137" s="2"/>
      <c r="AN137" s="2"/>
      <c r="AO137" s="2"/>
      <c r="BC137" s="1"/>
      <c r="BD137" s="2"/>
      <c r="BE137" s="2"/>
      <c r="BF137" s="2"/>
      <c r="BG137" s="2"/>
      <c r="BH137" s="2"/>
      <c r="BI137" s="2"/>
      <c r="BJ137" s="2"/>
      <c r="BK137" s="2"/>
    </row>
    <row r="138" spans="1:63" s="1" customFormat="1" outlineLevel="1">
      <c r="A138" s="1" t="s">
        <v>1160</v>
      </c>
      <c r="B138" s="61"/>
      <c r="C138" s="279">
        <f>C134-$C134</f>
        <v>0</v>
      </c>
      <c r="D138" s="279">
        <f t="shared" ref="D138:AG139" si="75">D134-$C134</f>
        <v>6.5826525655209487</v>
      </c>
      <c r="E138" s="279">
        <f t="shared" si="75"/>
        <v>15.085123576696514</v>
      </c>
      <c r="F138" s="279">
        <f t="shared" si="75"/>
        <v>25.639094401620106</v>
      </c>
      <c r="G138" s="279">
        <f t="shared" si="75"/>
        <v>38.376246408385114</v>
      </c>
      <c r="H138" s="279">
        <f t="shared" si="75"/>
        <v>53.428260965084945</v>
      </c>
      <c r="I138" s="279">
        <f t="shared" si="75"/>
        <v>70.926819439813016</v>
      </c>
      <c r="J138" s="279">
        <f t="shared" si="75"/>
        <v>91.003603200662724</v>
      </c>
      <c r="K138" s="279">
        <f t="shared" si="75"/>
        <v>113.79029361572742</v>
      </c>
      <c r="L138" s="279">
        <f t="shared" si="75"/>
        <v>139.4185720531006</v>
      </c>
      <c r="M138" s="279">
        <f t="shared" si="75"/>
        <v>168.02011988087554</v>
      </c>
      <c r="N138" s="279">
        <f t="shared" si="75"/>
        <v>215.20052972431179</v>
      </c>
      <c r="O138" s="279">
        <f t="shared" si="75"/>
        <v>268.52224123244213</v>
      </c>
      <c r="P138" s="279">
        <f t="shared" si="75"/>
        <v>328.02435160880856</v>
      </c>
      <c r="Q138" s="279">
        <f t="shared" si="75"/>
        <v>394.1247537725726</v>
      </c>
      <c r="R138" s="279">
        <f t="shared" si="75"/>
        <v>467.08385478064753</v>
      </c>
      <c r="S138" s="279">
        <f t="shared" si="75"/>
        <v>547.16080867663834</v>
      </c>
      <c r="T138" s="279">
        <f t="shared" si="75"/>
        <v>634.61348651611252</v>
      </c>
      <c r="U138" s="279">
        <f t="shared" si="75"/>
        <v>729.69844639186761</v>
      </c>
      <c r="V138" s="279">
        <f t="shared" si="75"/>
        <v>832.6709034592011</v>
      </c>
      <c r="W138" s="279">
        <f t="shared" si="75"/>
        <v>943.78469996117849</v>
      </c>
      <c r="X138" s="279">
        <f t="shared" si="75"/>
        <v>1104.2411868680633</v>
      </c>
      <c r="Y138" s="279">
        <f t="shared" si="75"/>
        <v>1278.205074697205</v>
      </c>
      <c r="Z138" s="279">
        <f t="shared" si="75"/>
        <v>1462.192288399136</v>
      </c>
      <c r="AA138" s="279">
        <f t="shared" si="75"/>
        <v>1659.3305851916871</v>
      </c>
      <c r="AB138" s="279">
        <f t="shared" si="75"/>
        <v>1869.8696980330521</v>
      </c>
      <c r="AC138" s="279">
        <f t="shared" si="75"/>
        <v>2094.045324743488</v>
      </c>
      <c r="AD138" s="279">
        <f t="shared" si="75"/>
        <v>2332.0787518559227</v>
      </c>
      <c r="AE138" s="279">
        <f t="shared" si="75"/>
        <v>2584.1764784665534</v>
      </c>
      <c r="AF138" s="279">
        <f t="shared" si="75"/>
        <v>2850.5298400854481</v>
      </c>
      <c r="AG138" s="279">
        <f t="shared" si="75"/>
        <v>3131.3146324871459</v>
      </c>
      <c r="AH138" s="230"/>
      <c r="AI138" s="398"/>
      <c r="AJ138" s="399"/>
      <c r="AL138" s="207"/>
      <c r="AM138" s="118"/>
      <c r="AN138" s="118"/>
      <c r="AO138" s="118"/>
      <c r="BD138" s="118"/>
      <c r="BE138" s="118"/>
      <c r="BF138" s="118"/>
      <c r="BG138" s="118"/>
      <c r="BH138" s="118"/>
      <c r="BI138" s="118"/>
      <c r="BJ138" s="118"/>
      <c r="BK138" s="118"/>
    </row>
    <row r="139" spans="1:63" outlineLevel="1">
      <c r="A139" s="4" t="s">
        <v>35</v>
      </c>
      <c r="C139" s="216">
        <f>C135-$C135</f>
        <v>0</v>
      </c>
      <c r="D139" s="216">
        <f t="shared" si="75"/>
        <v>0</v>
      </c>
      <c r="E139" s="216">
        <f t="shared" si="75"/>
        <v>0</v>
      </c>
      <c r="F139" s="216">
        <f t="shared" si="75"/>
        <v>0</v>
      </c>
      <c r="G139" s="216">
        <f t="shared" si="75"/>
        <v>0</v>
      </c>
      <c r="H139" s="216">
        <f t="shared" si="75"/>
        <v>0</v>
      </c>
      <c r="I139" s="216">
        <f t="shared" si="75"/>
        <v>0</v>
      </c>
      <c r="J139" s="216">
        <f t="shared" si="75"/>
        <v>0</v>
      </c>
      <c r="K139" s="216">
        <f t="shared" si="75"/>
        <v>0</v>
      </c>
      <c r="L139" s="216">
        <f t="shared" si="75"/>
        <v>0</v>
      </c>
      <c r="M139" s="216">
        <f t="shared" si="75"/>
        <v>0</v>
      </c>
      <c r="N139" s="216">
        <f t="shared" si="75"/>
        <v>0</v>
      </c>
      <c r="O139" s="216">
        <f t="shared" si="75"/>
        <v>0</v>
      </c>
      <c r="P139" s="216">
        <f t="shared" si="75"/>
        <v>0</v>
      </c>
      <c r="Q139" s="216">
        <f t="shared" si="75"/>
        <v>0</v>
      </c>
      <c r="R139" s="216">
        <f t="shared" si="75"/>
        <v>0</v>
      </c>
      <c r="S139" s="216">
        <f t="shared" si="75"/>
        <v>0</v>
      </c>
      <c r="T139" s="216">
        <f t="shared" si="75"/>
        <v>0</v>
      </c>
      <c r="U139" s="216">
        <f t="shared" si="75"/>
        <v>0</v>
      </c>
      <c r="V139" s="216">
        <f t="shared" si="75"/>
        <v>0</v>
      </c>
      <c r="W139" s="216">
        <f t="shared" si="75"/>
        <v>0</v>
      </c>
      <c r="X139" s="216">
        <f t="shared" si="75"/>
        <v>0</v>
      </c>
      <c r="Y139" s="216">
        <f t="shared" si="75"/>
        <v>0</v>
      </c>
      <c r="Z139" s="216">
        <f t="shared" si="75"/>
        <v>0</v>
      </c>
      <c r="AA139" s="216">
        <f t="shared" si="75"/>
        <v>0</v>
      </c>
      <c r="AB139" s="216">
        <f t="shared" si="75"/>
        <v>0</v>
      </c>
      <c r="AC139" s="216">
        <f t="shared" si="75"/>
        <v>0</v>
      </c>
      <c r="AD139" s="216">
        <f t="shared" si="75"/>
        <v>0</v>
      </c>
      <c r="AE139" s="216">
        <f t="shared" si="75"/>
        <v>0</v>
      </c>
      <c r="AF139" s="216">
        <f t="shared" si="75"/>
        <v>0</v>
      </c>
      <c r="AG139" s="216">
        <f>AG135-$C135</f>
        <v>0</v>
      </c>
      <c r="AH139" s="230"/>
      <c r="AI139" s="126"/>
      <c r="AJ139" s="198"/>
      <c r="AL139" s="102"/>
      <c r="AM139" s="2"/>
      <c r="AN139" s="2"/>
      <c r="AO139" s="2"/>
      <c r="BC139" s="1"/>
      <c r="BD139" s="2"/>
      <c r="BE139" s="2"/>
      <c r="BF139" s="2"/>
      <c r="BG139" s="2"/>
      <c r="BH139" s="2"/>
      <c r="BI139" s="2"/>
      <c r="BJ139" s="2"/>
      <c r="BK139" s="2"/>
    </row>
    <row r="140" spans="1:63" outlineLevel="1">
      <c r="A140" s="4" t="s">
        <v>160</v>
      </c>
      <c r="C140" s="216">
        <f t="shared" ref="C140:AG141" si="76">C136-$C136</f>
        <v>0</v>
      </c>
      <c r="D140" s="216">
        <f t="shared" si="76"/>
        <v>6.353194574252144E-2</v>
      </c>
      <c r="E140" s="216">
        <f t="shared" si="76"/>
        <v>0.19313998308229458</v>
      </c>
      <c r="F140" s="216">
        <f t="shared" si="76"/>
        <v>0.41273864629296531</v>
      </c>
      <c r="G140" s="216">
        <f t="shared" si="76"/>
        <v>0.74828916645628485</v>
      </c>
      <c r="H140" s="216">
        <f t="shared" si="76"/>
        <v>1.2277994714621099</v>
      </c>
      <c r="I140" s="216">
        <f t="shared" si="76"/>
        <v>1.8813241860084031</v>
      </c>
      <c r="J140" s="216">
        <f t="shared" si="76"/>
        <v>2.7409646316012317</v>
      </c>
      <c r="K140" s="216">
        <f t="shared" si="76"/>
        <v>3.8408688265547681</v>
      </c>
      <c r="L140" s="216">
        <f t="shared" si="76"/>
        <v>5.2172314859912934</v>
      </c>
      <c r="M140" s="216">
        <f t="shared" si="76"/>
        <v>6.9082940218411863</v>
      </c>
      <c r="N140" s="216">
        <f t="shared" si="76"/>
        <v>9.6157411732328466</v>
      </c>
      <c r="O140" s="216">
        <f t="shared" si="76"/>
        <v>12.976205117395574</v>
      </c>
      <c r="P140" s="216">
        <f t="shared" si="76"/>
        <v>17.063250569078498</v>
      </c>
      <c r="Q140" s="216">
        <f t="shared" si="76"/>
        <v>21.97165633048618</v>
      </c>
      <c r="R140" s="216">
        <f t="shared" si="76"/>
        <v>27.793517288134996</v>
      </c>
      <c r="S140" s="216">
        <f t="shared" si="76"/>
        <v>34.624897881306502</v>
      </c>
      <c r="T140" s="216">
        <f t="shared" si="76"/>
        <v>42.565805777845327</v>
      </c>
      <c r="U140" s="216">
        <f t="shared" si="76"/>
        <v>51.720164851120096</v>
      </c>
      <c r="V140" s="216">
        <f t="shared" si="76"/>
        <v>62.19578745814777</v>
      </c>
      <c r="W140" s="216">
        <f t="shared" si="76"/>
        <v>74.104346018881117</v>
      </c>
      <c r="X140" s="216">
        <f t="shared" si="76"/>
        <v>90.902762212137503</v>
      </c>
      <c r="Y140" s="216">
        <f t="shared" si="76"/>
        <v>110.10283509622775</v>
      </c>
      <c r="Z140" s="216">
        <f t="shared" si="76"/>
        <v>131.5506462018547</v>
      </c>
      <c r="AA140" s="216">
        <f t="shared" si="76"/>
        <v>155.65472299852524</v>
      </c>
      <c r="AB140" s="216">
        <f t="shared" si="76"/>
        <v>182.59262862960321</v>
      </c>
      <c r="AC140" s="216">
        <f t="shared" si="76"/>
        <v>212.54438984271931</v>
      </c>
      <c r="AD140" s="216">
        <f t="shared" si="76"/>
        <v>245.69218484484898</v>
      </c>
      <c r="AE140" s="216">
        <f t="shared" si="76"/>
        <v>282.22002238776832</v>
      </c>
      <c r="AF140" s="216">
        <f t="shared" si="76"/>
        <v>322.31341208389</v>
      </c>
      <c r="AG140" s="216">
        <f t="shared" si="76"/>
        <v>366.1590259524778</v>
      </c>
      <c r="AH140" s="230"/>
      <c r="AI140" s="126"/>
      <c r="AJ140" s="198"/>
      <c r="AL140" s="102"/>
      <c r="AM140" s="2"/>
      <c r="AN140" s="2"/>
      <c r="AO140" s="2"/>
      <c r="BC140" s="1"/>
      <c r="BD140" s="2"/>
      <c r="BE140" s="2"/>
      <c r="BF140" s="2"/>
      <c r="BG140" s="2"/>
      <c r="BH140" s="2"/>
      <c r="BI140" s="2"/>
      <c r="BJ140" s="2"/>
      <c r="BK140" s="2"/>
    </row>
    <row r="141" spans="1:63" outlineLevel="1">
      <c r="A141" s="4" t="s">
        <v>1159</v>
      </c>
      <c r="C141" s="216">
        <f t="shared" si="76"/>
        <v>0</v>
      </c>
      <c r="D141" s="216">
        <f t="shared" si="76"/>
        <v>6.5191206197784268</v>
      </c>
      <c r="E141" s="216">
        <f t="shared" si="76"/>
        <v>14.891983593614221</v>
      </c>
      <c r="F141" s="216">
        <f t="shared" si="76"/>
        <v>25.226355755327148</v>
      </c>
      <c r="G141" s="216">
        <f t="shared" si="76"/>
        <v>37.62795724192884</v>
      </c>
      <c r="H141" s="216">
        <f t="shared" si="76"/>
        <v>52.200461493622846</v>
      </c>
      <c r="I141" s="216">
        <f t="shared" si="76"/>
        <v>69.045495253804631</v>
      </c>
      <c r="J141" s="216">
        <f t="shared" si="76"/>
        <v>88.262638569061522</v>
      </c>
      <c r="K141" s="216">
        <f t="shared" si="76"/>
        <v>109.9494247891727</v>
      </c>
      <c r="L141" s="216">
        <f t="shared" si="76"/>
        <v>134.20134056710938</v>
      </c>
      <c r="M141" s="216">
        <f t="shared" si="76"/>
        <v>161.11182585903444</v>
      </c>
      <c r="N141" s="216">
        <f t="shared" si="76"/>
        <v>205.58478855107907</v>
      </c>
      <c r="O141" s="216">
        <f t="shared" si="76"/>
        <v>255.54603611504672</v>
      </c>
      <c r="P141" s="216">
        <f t="shared" si="76"/>
        <v>310.96110103973024</v>
      </c>
      <c r="Q141" s="216">
        <f t="shared" si="76"/>
        <v>372.15309744208668</v>
      </c>
      <c r="R141" s="216">
        <f t="shared" si="76"/>
        <v>439.29033749251289</v>
      </c>
      <c r="S141" s="216">
        <f t="shared" si="76"/>
        <v>512.53591079533226</v>
      </c>
      <c r="T141" s="216">
        <f t="shared" si="76"/>
        <v>592.04768073826767</v>
      </c>
      <c r="U141" s="216">
        <f t="shared" si="76"/>
        <v>677.97828154074818</v>
      </c>
      <c r="V141" s="216">
        <f t="shared" si="76"/>
        <v>770.47511600105406</v>
      </c>
      <c r="W141" s="216">
        <f t="shared" si="76"/>
        <v>869.68035394229821</v>
      </c>
      <c r="X141" s="216">
        <f t="shared" si="76"/>
        <v>1013.338424655927</v>
      </c>
      <c r="Y141" s="216">
        <f t="shared" si="76"/>
        <v>1168.1022396009785</v>
      </c>
      <c r="Z141" s="216">
        <f t="shared" si="76"/>
        <v>1330.6416421972829</v>
      </c>
      <c r="AA141" s="216">
        <f t="shared" si="76"/>
        <v>1503.6758621931638</v>
      </c>
      <c r="AB141" s="216">
        <f t="shared" si="76"/>
        <v>1687.2770694034512</v>
      </c>
      <c r="AC141" s="216">
        <f t="shared" si="76"/>
        <v>1881.500934900771</v>
      </c>
      <c r="AD141" s="216">
        <f t="shared" si="76"/>
        <v>2086.3865670110767</v>
      </c>
      <c r="AE141" s="216">
        <f t="shared" si="76"/>
        <v>2301.9564560787885</v>
      </c>
      <c r="AF141" s="216">
        <f t="shared" si="76"/>
        <v>2528.2164280015618</v>
      </c>
      <c r="AG141" s="216">
        <f t="shared" si="76"/>
        <v>2765.1556065346681</v>
      </c>
      <c r="AH141" s="230"/>
      <c r="AI141" s="126"/>
      <c r="AJ141" s="198"/>
      <c r="AL141" s="102"/>
      <c r="AM141" s="2"/>
      <c r="AN141" s="2"/>
      <c r="AO141" s="2"/>
      <c r="BC141" s="1"/>
      <c r="BD141" s="2"/>
      <c r="BE141" s="2"/>
      <c r="BF141" s="2"/>
      <c r="BG141" s="2"/>
      <c r="BH141" s="2"/>
      <c r="BI141" s="2"/>
      <c r="BJ141" s="2"/>
      <c r="BK141" s="2"/>
    </row>
    <row r="142" spans="1:63" s="1" customFormat="1" outlineLevel="1">
      <c r="A142" s="1" t="s">
        <v>1163</v>
      </c>
      <c r="B142" s="61"/>
      <c r="C142" s="279">
        <f>C40*C130</f>
        <v>58.409910225963394</v>
      </c>
      <c r="D142" s="279">
        <f t="shared" ref="D142:AG142" si="77">D40*D130</f>
        <v>73.248878445426158</v>
      </c>
      <c r="E142" s="279">
        <f t="shared" si="77"/>
        <v>88.040573176045271</v>
      </c>
      <c r="F142" s="279">
        <f t="shared" si="77"/>
        <v>102.71652010641222</v>
      </c>
      <c r="G142" s="279">
        <f t="shared" si="77"/>
        <v>117.20824492511845</v>
      </c>
      <c r="H142" s="279">
        <f t="shared" si="77"/>
        <v>131.44727332075527</v>
      </c>
      <c r="I142" s="279">
        <f t="shared" si="77"/>
        <v>145.36513098191429</v>
      </c>
      <c r="J142" s="279">
        <f t="shared" si="77"/>
        <v>158.89334359718677</v>
      </c>
      <c r="K142" s="279">
        <f t="shared" si="77"/>
        <v>171.96343685516428</v>
      </c>
      <c r="L142" s="279">
        <f t="shared" si="77"/>
        <v>184.50693644443817</v>
      </c>
      <c r="M142" s="279">
        <f t="shared" si="77"/>
        <v>196.4553680535999</v>
      </c>
      <c r="N142" s="279">
        <f t="shared" si="77"/>
        <v>223.08461960392822</v>
      </c>
      <c r="O142" s="279">
        <f t="shared" si="77"/>
        <v>248.52487733625972</v>
      </c>
      <c r="P142" s="279">
        <f t="shared" si="77"/>
        <v>272.43950398641431</v>
      </c>
      <c r="Q142" s="279">
        <f t="shared" si="77"/>
        <v>294.84137702069251</v>
      </c>
      <c r="R142" s="279">
        <f t="shared" si="77"/>
        <v>315.58892541817607</v>
      </c>
      <c r="S142" s="279">
        <f t="shared" si="77"/>
        <v>334.54109983436479</v>
      </c>
      <c r="T142" s="279">
        <f t="shared" si="77"/>
        <v>351.55738818803712</v>
      </c>
      <c r="U142" s="279">
        <f t="shared" si="77"/>
        <v>366.49783124811017</v>
      </c>
      <c r="V142" s="279">
        <f t="shared" si="77"/>
        <v>379.22303822049975</v>
      </c>
      <c r="W142" s="279">
        <f t="shared" si="77"/>
        <v>389.59420233498059</v>
      </c>
      <c r="X142" s="279">
        <f t="shared" si="77"/>
        <v>412.6410420491278</v>
      </c>
      <c r="Y142" s="279">
        <f t="shared" si="77"/>
        <v>431.80976726412695</v>
      </c>
      <c r="Z142" s="279">
        <f t="shared" si="77"/>
        <v>445.68707822039431</v>
      </c>
      <c r="AA142" s="279">
        <f t="shared" si="77"/>
        <v>455.13456290127931</v>
      </c>
      <c r="AB142" s="279">
        <f t="shared" si="77"/>
        <v>459.95828969672021</v>
      </c>
      <c r="AC142" s="279">
        <f t="shared" si="77"/>
        <v>459.96999528765224</v>
      </c>
      <c r="AD142" s="279">
        <f t="shared" si="77"/>
        <v>454.98728024369632</v>
      </c>
      <c r="AE142" s="279">
        <f t="shared" si="77"/>
        <v>444.83380462084511</v>
      </c>
      <c r="AF142" s="279">
        <f t="shared" si="77"/>
        <v>429.3394835591514</v>
      </c>
      <c r="AG142" s="279">
        <f t="shared" si="77"/>
        <v>408.34068288041499</v>
      </c>
      <c r="AH142" s="230"/>
      <c r="AI142" s="398"/>
      <c r="AJ142" s="399"/>
      <c r="AL142" s="207"/>
      <c r="AM142" s="118"/>
      <c r="AN142" s="118"/>
      <c r="AO142" s="118"/>
      <c r="BD142" s="118"/>
      <c r="BE142" s="118"/>
      <c r="BF142" s="118"/>
      <c r="BG142" s="118"/>
      <c r="BH142" s="118"/>
      <c r="BI142" s="118"/>
      <c r="BJ142" s="118"/>
      <c r="BK142" s="118"/>
    </row>
    <row r="143" spans="1:63" outlineLevel="1">
      <c r="A143" s="4" t="s">
        <v>35</v>
      </c>
      <c r="C143" s="216">
        <f>C$142*'Methanol recycling rates'!E51</f>
        <v>0</v>
      </c>
      <c r="D143" s="216">
        <f>D$142*'Methanol recycling rates'!F51</f>
        <v>0</v>
      </c>
      <c r="E143" s="216">
        <f>E$142*'Methanol recycling rates'!G51</f>
        <v>0</v>
      </c>
      <c r="F143" s="216">
        <f>F$142*'Methanol recycling rates'!H51</f>
        <v>0</v>
      </c>
      <c r="G143" s="216">
        <f>G$142*'Methanol recycling rates'!I51</f>
        <v>0</v>
      </c>
      <c r="H143" s="216">
        <f>H$142*'Methanol recycling rates'!J51</f>
        <v>0</v>
      </c>
      <c r="I143" s="216">
        <f>I$142*'Methanol recycling rates'!K51</f>
        <v>0</v>
      </c>
      <c r="J143" s="216">
        <f>J$142*'Methanol recycling rates'!L51</f>
        <v>0</v>
      </c>
      <c r="K143" s="216">
        <f>K$142*'Methanol recycling rates'!M51</f>
        <v>0</v>
      </c>
      <c r="L143" s="216">
        <f>L$142*'Methanol recycling rates'!N51</f>
        <v>0</v>
      </c>
      <c r="M143" s="216">
        <f>M$142*'Methanol recycling rates'!O51</f>
        <v>0</v>
      </c>
      <c r="N143" s="216">
        <f>N$142*'Methanol recycling rates'!P51</f>
        <v>0</v>
      </c>
      <c r="O143" s="216">
        <f>O$142*'Methanol recycling rates'!Q51</f>
        <v>0</v>
      </c>
      <c r="P143" s="216">
        <f>P$142*'Methanol recycling rates'!R51</f>
        <v>0</v>
      </c>
      <c r="Q143" s="216">
        <f>Q$142*'Methanol recycling rates'!S51</f>
        <v>0</v>
      </c>
      <c r="R143" s="216">
        <f>R$142*'Methanol recycling rates'!T51</f>
        <v>0</v>
      </c>
      <c r="S143" s="216">
        <f>S$142*'Methanol recycling rates'!U51</f>
        <v>0</v>
      </c>
      <c r="T143" s="216">
        <f>T$142*'Methanol recycling rates'!V51</f>
        <v>0</v>
      </c>
      <c r="U143" s="216">
        <f>U$142*'Methanol recycling rates'!W51</f>
        <v>0</v>
      </c>
      <c r="V143" s="216">
        <f>V$142*'Methanol recycling rates'!X51</f>
        <v>0</v>
      </c>
      <c r="W143" s="216">
        <f>W$142*'Methanol recycling rates'!Y51</f>
        <v>0</v>
      </c>
      <c r="X143" s="216">
        <f>X$142*'Methanol recycling rates'!Z51</f>
        <v>0</v>
      </c>
      <c r="Y143" s="216">
        <f>Y$142*'Methanol recycling rates'!AA51</f>
        <v>0</v>
      </c>
      <c r="Z143" s="216">
        <f>Z$142*'Methanol recycling rates'!AB51</f>
        <v>0</v>
      </c>
      <c r="AA143" s="216">
        <f>AA$142*'Methanol recycling rates'!AC51</f>
        <v>0</v>
      </c>
      <c r="AB143" s="216">
        <f>AB$142*'Methanol recycling rates'!AD51</f>
        <v>0</v>
      </c>
      <c r="AC143" s="216">
        <f>AC$142*'Methanol recycling rates'!AE51</f>
        <v>0</v>
      </c>
      <c r="AD143" s="216">
        <f>AD$142*'Methanol recycling rates'!AF51</f>
        <v>0</v>
      </c>
      <c r="AE143" s="216">
        <f>AE$142*'Methanol recycling rates'!AG51</f>
        <v>0</v>
      </c>
      <c r="AF143" s="216">
        <f>AF$142*'Methanol recycling rates'!AH51</f>
        <v>0</v>
      </c>
      <c r="AG143" s="216">
        <f>AG$142*'Methanol recycling rates'!AI51</f>
        <v>0</v>
      </c>
      <c r="AH143" s="230"/>
      <c r="AI143" s="126"/>
      <c r="AJ143" s="198"/>
      <c r="AL143" s="102"/>
      <c r="AM143" s="2"/>
      <c r="AN143" s="2"/>
      <c r="AO143" s="2"/>
      <c r="BC143" s="1"/>
      <c r="BD143" s="2"/>
      <c r="BE143" s="2"/>
      <c r="BF143" s="2"/>
      <c r="BG143" s="2"/>
      <c r="BH143" s="2"/>
      <c r="BI143" s="2"/>
      <c r="BJ143" s="2"/>
      <c r="BK143" s="2"/>
    </row>
    <row r="144" spans="1:63" outlineLevel="1">
      <c r="A144" s="4" t="s">
        <v>160</v>
      </c>
      <c r="C144" s="216">
        <f>C$142*'Methanol recycling rates'!E52</f>
        <v>0</v>
      </c>
      <c r="D144" s="216">
        <f>D$142*'Methanol recycling rates'!F52</f>
        <v>0.28462311692649611</v>
      </c>
      <c r="E144" s="216">
        <f>E$142*'Methanol recycling rates'!G52</f>
        <v>0.68419839006902849</v>
      </c>
      <c r="F144" s="216">
        <f>F$142*'Methanol recycling rates'!H52</f>
        <v>1.1973765359825392</v>
      </c>
      <c r="G144" s="216">
        <f>G$142*'Methanol recycling rates'!I52</f>
        <v>1.8217439888817559</v>
      </c>
      <c r="H144" s="216">
        <f>H$142*'Methanol recycling rates'!J52</f>
        <v>2.553822900641189</v>
      </c>
      <c r="I144" s="216">
        <f>I$142*'Methanol recycling rates'!K52</f>
        <v>3.3890711407951386</v>
      </c>
      <c r="J144" s="216">
        <f>J$142*'Methanol recycling rates'!L52</f>
        <v>4.3218822965376837</v>
      </c>
      <c r="K144" s="216">
        <f>K$142*'Methanol recycling rates'!M52</f>
        <v>5.3455856727226951</v>
      </c>
      <c r="L144" s="216">
        <f>L$142*'Methanol recycling rates'!N52</f>
        <v>6.4524462918638257</v>
      </c>
      <c r="M144" s="216">
        <f>M$142*'Methanol recycling rates'!O52</f>
        <v>7.6336648941345135</v>
      </c>
      <c r="N144" s="216">
        <f>N$142*'Methanol recycling rates'!P52</f>
        <v>9.5352372936429877</v>
      </c>
      <c r="O144" s="216">
        <f>O$142*'Methanol recycling rates'!Q52</f>
        <v>11.588315352665436</v>
      </c>
      <c r="P144" s="216">
        <f>P$142*'Methanol recycling rates'!R52</f>
        <v>13.762033928366979</v>
      </c>
      <c r="Q144" s="216">
        <f>Q$142*'Methanol recycling rates'!S52</f>
        <v>16.039309121254906</v>
      </c>
      <c r="R144" s="216">
        <f>R$142*'Methanol recycling rates'!T52</f>
        <v>18.394255077965695</v>
      </c>
      <c r="S144" s="216">
        <f>S$142*'Methanol recycling rates'!U52</f>
        <v>20.798817968702032</v>
      </c>
      <c r="T144" s="216">
        <f>T$142*'Methanol recycling rates'!V52</f>
        <v>23.222787152240844</v>
      </c>
      <c r="U144" s="216">
        <f>U$142*'Methanol recycling rates'!W52</f>
        <v>25.633806704336386</v>
      </c>
      <c r="V144" s="216">
        <f>V$142*'Methanol recycling rates'!X52</f>
        <v>27.997387309518448</v>
      </c>
      <c r="W144" s="216">
        <f>W$142*'Methanol recycling rates'!Y52</f>
        <v>30.276918516285694</v>
      </c>
      <c r="X144" s="216">
        <f>X$142*'Methanol recycling rates'!Z52</f>
        <v>33.671379318030084</v>
      </c>
      <c r="Y144" s="216">
        <f>Y$142*'Methanol recycling rates'!AA52</f>
        <v>36.913424187524754</v>
      </c>
      <c r="Z144" s="216">
        <f>Z$142*'Methanol recycling rates'!AB52</f>
        <v>39.831537432257733</v>
      </c>
      <c r="AA144" s="216">
        <f>AA$142*'Methanol recycling rates'!AC52</f>
        <v>42.444385442036833</v>
      </c>
      <c r="AB144" s="216">
        <f>AB$142*'Methanol recycling rates'!AD52</f>
        <v>44.6814902999499</v>
      </c>
      <c r="AC144" s="216">
        <f>AC$142*'Methanol recycling rates'!AE52</f>
        <v>46.469932506521744</v>
      </c>
      <c r="AD144" s="216">
        <f>AD$142*'Methanol recycling rates'!AF52</f>
        <v>47.734481626999155</v>
      </c>
      <c r="AE144" s="216">
        <f>AE$142*'Methanol recycling rates'!AG52</f>
        <v>48.397731498838482</v>
      </c>
      <c r="AF144" s="216">
        <f>AF$142*'Methanol recycling rates'!AH52</f>
        <v>48.380239999396174</v>
      </c>
      <c r="AG144" s="216">
        <f>AG$142*'Methanol recycling rates'!AI52</f>
        <v>47.600673373822097</v>
      </c>
      <c r="AH144" s="230"/>
      <c r="AI144" s="126"/>
      <c r="AJ144" s="198"/>
      <c r="AL144" s="102"/>
      <c r="AM144" s="2"/>
      <c r="AN144" s="2"/>
      <c r="AO144" s="2"/>
      <c r="BC144" s="1"/>
      <c r="BD144" s="2"/>
      <c r="BE144" s="2"/>
      <c r="BF144" s="2"/>
      <c r="BG144" s="2"/>
      <c r="BH144" s="2"/>
      <c r="BI144" s="2"/>
      <c r="BJ144" s="2"/>
      <c r="BK144" s="2"/>
    </row>
    <row r="145" spans="1:63" outlineLevel="1">
      <c r="A145" s="4" t="s">
        <v>1159</v>
      </c>
      <c r="C145" s="216">
        <f>C$142*'Methanol recycling rates'!E53</f>
        <v>58.409910225963394</v>
      </c>
      <c r="D145" s="216">
        <f>D$142*'Methanol recycling rates'!F53</f>
        <v>72.964255328499661</v>
      </c>
      <c r="E145" s="216">
        <f>E$142*'Methanol recycling rates'!G53</f>
        <v>87.356374785976257</v>
      </c>
      <c r="F145" s="216">
        <f>F$142*'Methanol recycling rates'!H53</f>
        <v>101.51914357042969</v>
      </c>
      <c r="G145" s="216">
        <f>G$142*'Methanol recycling rates'!I53</f>
        <v>115.38650093623671</v>
      </c>
      <c r="H145" s="216">
        <f>H$142*'Methanol recycling rates'!J53</f>
        <v>128.89345042011411</v>
      </c>
      <c r="I145" s="216">
        <f>I$142*'Methanol recycling rates'!K53</f>
        <v>141.97605984111919</v>
      </c>
      <c r="J145" s="216">
        <f>J$142*'Methanol recycling rates'!L53</f>
        <v>154.57146130064913</v>
      </c>
      <c r="K145" s="216">
        <f>K$142*'Methanol recycling rates'!M53</f>
        <v>166.61785118244165</v>
      </c>
      <c r="L145" s="216">
        <f>L$142*'Methanol recycling rates'!N53</f>
        <v>178.05449015257443</v>
      </c>
      <c r="M145" s="216">
        <f>M$142*'Methanol recycling rates'!O53</f>
        <v>188.82170315946547</v>
      </c>
      <c r="N145" s="216">
        <f>N$142*'Methanol recycling rates'!P53</f>
        <v>213.54938231028535</v>
      </c>
      <c r="O145" s="216">
        <f>O$142*'Methanol recycling rates'!Q53</f>
        <v>236.93656198359443</v>
      </c>
      <c r="P145" s="216">
        <f>P$142*'Methanol recycling rates'!R53</f>
        <v>258.6774700580475</v>
      </c>
      <c r="Q145" s="216">
        <f>Q$142*'Methanol recycling rates'!S53</f>
        <v>278.80206789943782</v>
      </c>
      <c r="R145" s="216">
        <f>R$142*'Methanol recycling rates'!T53</f>
        <v>297.19467034021062</v>
      </c>
      <c r="S145" s="216">
        <f>S$142*'Methanol recycling rates'!U53</f>
        <v>313.74228186566302</v>
      </c>
      <c r="T145" s="216">
        <f>T$142*'Methanol recycling rates'!V53</f>
        <v>328.33460103579654</v>
      </c>
      <c r="U145" s="216">
        <f>U$142*'Methanol recycling rates'!W53</f>
        <v>340.86402454377412</v>
      </c>
      <c r="V145" s="216">
        <f>V$142*'Methanol recycling rates'!X53</f>
        <v>351.22565091098164</v>
      </c>
      <c r="W145" s="216">
        <f>W$142*'Methanol recycling rates'!Y53</f>
        <v>359.31728381869527</v>
      </c>
      <c r="X145" s="216">
        <f>X$142*'Methanol recycling rates'!Z53</f>
        <v>378.96966273109814</v>
      </c>
      <c r="Y145" s="216">
        <f>Y$142*'Methanol recycling rates'!AA53</f>
        <v>394.89634307660265</v>
      </c>
      <c r="Z145" s="216">
        <f>Z$142*'Methanol recycling rates'!AB53</f>
        <v>405.85554078813703</v>
      </c>
      <c r="AA145" s="216">
        <f>AA$142*'Methanol recycling rates'!AC53</f>
        <v>412.69017745924299</v>
      </c>
      <c r="AB145" s="216">
        <f>AB$142*'Methanol recycling rates'!AD53</f>
        <v>415.27679939677085</v>
      </c>
      <c r="AC145" s="216">
        <f>AC$142*'Methanol recycling rates'!AE53</f>
        <v>413.50006278113102</v>
      </c>
      <c r="AD145" s="216">
        <f>AD$142*'Methanol recycling rates'!AF53</f>
        <v>407.2527986166977</v>
      </c>
      <c r="AE145" s="216">
        <f>AE$142*'Methanol recycling rates'!AG53</f>
        <v>396.4360731220072</v>
      </c>
      <c r="AF145" s="216">
        <f>AF$142*'Methanol recycling rates'!AH53</f>
        <v>380.95924355975581</v>
      </c>
      <c r="AG145" s="216">
        <f>AG$142*'Methanol recycling rates'!AI53</f>
        <v>360.74000950659291</v>
      </c>
      <c r="AH145" s="230"/>
      <c r="AI145" s="126"/>
      <c r="AJ145" s="198"/>
      <c r="AL145" s="102"/>
      <c r="AM145" s="2"/>
      <c r="AN145" s="2"/>
      <c r="AO145" s="2"/>
      <c r="BC145" s="1"/>
      <c r="BD145" s="2"/>
      <c r="BE145" s="2"/>
      <c r="BF145" s="2"/>
      <c r="BG145" s="2"/>
      <c r="BH145" s="2"/>
      <c r="BI145" s="2"/>
      <c r="BJ145" s="2"/>
      <c r="BK145" s="2"/>
    </row>
    <row r="146" spans="1:63" s="1" customFormat="1" outlineLevel="1">
      <c r="A146" s="1" t="s">
        <v>1166</v>
      </c>
      <c r="B146" s="61"/>
      <c r="C146" s="279">
        <f>C142-$C142</f>
        <v>0</v>
      </c>
      <c r="D146" s="279">
        <f t="shared" ref="D146:AG149" si="78">D142-$C142</f>
        <v>14.838968219462764</v>
      </c>
      <c r="E146" s="279">
        <f t="shared" si="78"/>
        <v>29.630662950081877</v>
      </c>
      <c r="F146" s="279">
        <f t="shared" si="78"/>
        <v>44.306609880448825</v>
      </c>
      <c r="G146" s="279">
        <f t="shared" si="78"/>
        <v>58.798334699155056</v>
      </c>
      <c r="H146" s="279">
        <f t="shared" si="78"/>
        <v>73.037363094791885</v>
      </c>
      <c r="I146" s="279">
        <f t="shared" si="78"/>
        <v>86.955220755950904</v>
      </c>
      <c r="J146" s="279">
        <f t="shared" si="78"/>
        <v>100.48343337122338</v>
      </c>
      <c r="K146" s="279">
        <f t="shared" si="78"/>
        <v>113.55352662920089</v>
      </c>
      <c r="L146" s="279">
        <f t="shared" si="78"/>
        <v>126.09702621847478</v>
      </c>
      <c r="M146" s="279">
        <f t="shared" si="78"/>
        <v>138.04545782763651</v>
      </c>
      <c r="N146" s="279">
        <f t="shared" si="78"/>
        <v>164.67470937796483</v>
      </c>
      <c r="O146" s="279">
        <f t="shared" si="78"/>
        <v>190.11496711029633</v>
      </c>
      <c r="P146" s="279">
        <f t="shared" si="78"/>
        <v>214.02959376045092</v>
      </c>
      <c r="Q146" s="279">
        <f t="shared" si="78"/>
        <v>236.43146679472912</v>
      </c>
      <c r="R146" s="279">
        <f t="shared" si="78"/>
        <v>257.17901519221266</v>
      </c>
      <c r="S146" s="279">
        <f t="shared" si="78"/>
        <v>276.13118960840137</v>
      </c>
      <c r="T146" s="279">
        <f t="shared" si="78"/>
        <v>293.14747796207371</v>
      </c>
      <c r="U146" s="279">
        <f t="shared" si="78"/>
        <v>308.08792102214676</v>
      </c>
      <c r="V146" s="279">
        <f t="shared" si="78"/>
        <v>320.81312799453633</v>
      </c>
      <c r="W146" s="279">
        <f t="shared" si="78"/>
        <v>331.18429210901718</v>
      </c>
      <c r="X146" s="279">
        <f t="shared" si="78"/>
        <v>354.23113182316439</v>
      </c>
      <c r="Y146" s="279">
        <f t="shared" si="78"/>
        <v>373.39985703816353</v>
      </c>
      <c r="Z146" s="279">
        <f t="shared" si="78"/>
        <v>387.2771679944309</v>
      </c>
      <c r="AA146" s="279">
        <f t="shared" si="78"/>
        <v>396.72465267531589</v>
      </c>
      <c r="AB146" s="279">
        <f t="shared" si="78"/>
        <v>401.5483794707568</v>
      </c>
      <c r="AC146" s="279">
        <f t="shared" si="78"/>
        <v>401.56008506168882</v>
      </c>
      <c r="AD146" s="279">
        <f t="shared" si="78"/>
        <v>396.5773700177329</v>
      </c>
      <c r="AE146" s="279">
        <f t="shared" si="78"/>
        <v>386.4238943948817</v>
      </c>
      <c r="AF146" s="279">
        <f t="shared" si="78"/>
        <v>370.92957333318799</v>
      </c>
      <c r="AG146" s="279">
        <f t="shared" si="78"/>
        <v>349.93077265445157</v>
      </c>
      <c r="AH146" s="230"/>
      <c r="AI146" s="398"/>
      <c r="AJ146" s="399"/>
      <c r="AL146" s="207"/>
      <c r="AM146" s="118"/>
      <c r="AN146" s="118"/>
      <c r="AO146" s="118"/>
      <c r="BD146" s="118"/>
      <c r="BE146" s="118"/>
      <c r="BF146" s="118"/>
      <c r="BG146" s="118"/>
      <c r="BH146" s="118"/>
      <c r="BI146" s="118"/>
      <c r="BJ146" s="118"/>
      <c r="BK146" s="118"/>
    </row>
    <row r="147" spans="1:63" outlineLevel="1">
      <c r="A147" s="4" t="s">
        <v>35</v>
      </c>
      <c r="C147" s="216">
        <f t="shared" ref="C147:C149" si="79">C143-$C143</f>
        <v>0</v>
      </c>
      <c r="D147" s="216">
        <f t="shared" si="78"/>
        <v>0</v>
      </c>
      <c r="E147" s="216">
        <f t="shared" si="78"/>
        <v>0</v>
      </c>
      <c r="F147" s="216">
        <f t="shared" si="78"/>
        <v>0</v>
      </c>
      <c r="G147" s="216">
        <f t="shared" si="78"/>
        <v>0</v>
      </c>
      <c r="H147" s="216">
        <f t="shared" si="78"/>
        <v>0</v>
      </c>
      <c r="I147" s="216">
        <f t="shared" si="78"/>
        <v>0</v>
      </c>
      <c r="J147" s="216">
        <f t="shared" si="78"/>
        <v>0</v>
      </c>
      <c r="K147" s="216">
        <f t="shared" si="78"/>
        <v>0</v>
      </c>
      <c r="L147" s="216">
        <f t="shared" si="78"/>
        <v>0</v>
      </c>
      <c r="M147" s="216">
        <f t="shared" si="78"/>
        <v>0</v>
      </c>
      <c r="N147" s="216">
        <f t="shared" si="78"/>
        <v>0</v>
      </c>
      <c r="O147" s="216">
        <f t="shared" si="78"/>
        <v>0</v>
      </c>
      <c r="P147" s="216">
        <f t="shared" si="78"/>
        <v>0</v>
      </c>
      <c r="Q147" s="216">
        <f t="shared" si="78"/>
        <v>0</v>
      </c>
      <c r="R147" s="216">
        <f t="shared" si="78"/>
        <v>0</v>
      </c>
      <c r="S147" s="216">
        <f t="shared" si="78"/>
        <v>0</v>
      </c>
      <c r="T147" s="216">
        <f t="shared" si="78"/>
        <v>0</v>
      </c>
      <c r="U147" s="216">
        <f t="shared" si="78"/>
        <v>0</v>
      </c>
      <c r="V147" s="216">
        <f t="shared" si="78"/>
        <v>0</v>
      </c>
      <c r="W147" s="216">
        <f t="shared" si="78"/>
        <v>0</v>
      </c>
      <c r="X147" s="216">
        <f t="shared" si="78"/>
        <v>0</v>
      </c>
      <c r="Y147" s="216">
        <f t="shared" si="78"/>
        <v>0</v>
      </c>
      <c r="Z147" s="216">
        <f t="shared" si="78"/>
        <v>0</v>
      </c>
      <c r="AA147" s="216">
        <f t="shared" si="78"/>
        <v>0</v>
      </c>
      <c r="AB147" s="216">
        <f t="shared" si="78"/>
        <v>0</v>
      </c>
      <c r="AC147" s="216">
        <f t="shared" si="78"/>
        <v>0</v>
      </c>
      <c r="AD147" s="216">
        <f t="shared" si="78"/>
        <v>0</v>
      </c>
      <c r="AE147" s="216">
        <f t="shared" si="78"/>
        <v>0</v>
      </c>
      <c r="AF147" s="216">
        <f t="shared" si="78"/>
        <v>0</v>
      </c>
      <c r="AG147" s="216">
        <f t="shared" si="78"/>
        <v>0</v>
      </c>
      <c r="AH147" s="230"/>
      <c r="AI147" s="126"/>
      <c r="AJ147" s="198"/>
      <c r="AL147" s="102"/>
      <c r="AM147" s="2"/>
      <c r="AN147" s="2"/>
      <c r="AO147" s="2"/>
      <c r="BC147" s="1"/>
      <c r="BD147" s="2"/>
      <c r="BE147" s="2"/>
      <c r="BF147" s="2"/>
      <c r="BG147" s="2"/>
      <c r="BH147" s="2"/>
      <c r="BI147" s="2"/>
      <c r="BJ147" s="2"/>
      <c r="BK147" s="2"/>
    </row>
    <row r="148" spans="1:63" outlineLevel="1">
      <c r="A148" s="4" t="s">
        <v>160</v>
      </c>
      <c r="C148" s="216">
        <f t="shared" si="79"/>
        <v>0</v>
      </c>
      <c r="D148" s="216">
        <f t="shared" si="78"/>
        <v>0.28462311692649611</v>
      </c>
      <c r="E148" s="216">
        <f t="shared" si="78"/>
        <v>0.68419839006902849</v>
      </c>
      <c r="F148" s="216">
        <f t="shared" si="78"/>
        <v>1.1973765359825392</v>
      </c>
      <c r="G148" s="216">
        <f t="shared" si="78"/>
        <v>1.8217439888817559</v>
      </c>
      <c r="H148" s="216">
        <f t="shared" si="78"/>
        <v>2.553822900641189</v>
      </c>
      <c r="I148" s="216">
        <f t="shared" si="78"/>
        <v>3.3890711407951386</v>
      </c>
      <c r="J148" s="216">
        <f t="shared" si="78"/>
        <v>4.3218822965376837</v>
      </c>
      <c r="K148" s="216">
        <f t="shared" si="78"/>
        <v>5.3455856727226951</v>
      </c>
      <c r="L148" s="216">
        <f t="shared" si="78"/>
        <v>6.4524462918638257</v>
      </c>
      <c r="M148" s="216">
        <f t="shared" si="78"/>
        <v>7.6336648941345135</v>
      </c>
      <c r="N148" s="216">
        <f t="shared" si="78"/>
        <v>9.5352372936429877</v>
      </c>
      <c r="O148" s="216">
        <f t="shared" si="78"/>
        <v>11.588315352665436</v>
      </c>
      <c r="P148" s="216">
        <f t="shared" si="78"/>
        <v>13.762033928366979</v>
      </c>
      <c r="Q148" s="216">
        <f t="shared" si="78"/>
        <v>16.039309121254906</v>
      </c>
      <c r="R148" s="216">
        <f t="shared" si="78"/>
        <v>18.394255077965695</v>
      </c>
      <c r="S148" s="216">
        <f t="shared" si="78"/>
        <v>20.798817968702032</v>
      </c>
      <c r="T148" s="216">
        <f t="shared" si="78"/>
        <v>23.222787152240844</v>
      </c>
      <c r="U148" s="216">
        <f t="shared" si="78"/>
        <v>25.633806704336386</v>
      </c>
      <c r="V148" s="216">
        <f t="shared" si="78"/>
        <v>27.997387309518448</v>
      </c>
      <c r="W148" s="216">
        <f t="shared" si="78"/>
        <v>30.276918516285694</v>
      </c>
      <c r="X148" s="216">
        <f t="shared" si="78"/>
        <v>33.671379318030084</v>
      </c>
      <c r="Y148" s="216">
        <f t="shared" si="78"/>
        <v>36.913424187524754</v>
      </c>
      <c r="Z148" s="216">
        <f t="shared" si="78"/>
        <v>39.831537432257733</v>
      </c>
      <c r="AA148" s="216">
        <f t="shared" si="78"/>
        <v>42.444385442036833</v>
      </c>
      <c r="AB148" s="216">
        <f t="shared" si="78"/>
        <v>44.6814902999499</v>
      </c>
      <c r="AC148" s="216">
        <f t="shared" si="78"/>
        <v>46.469932506521744</v>
      </c>
      <c r="AD148" s="216">
        <f t="shared" si="78"/>
        <v>47.734481626999155</v>
      </c>
      <c r="AE148" s="216">
        <f t="shared" si="78"/>
        <v>48.397731498838482</v>
      </c>
      <c r="AF148" s="216">
        <f t="shared" si="78"/>
        <v>48.380239999396174</v>
      </c>
      <c r="AG148" s="216">
        <f t="shared" si="78"/>
        <v>47.600673373822097</v>
      </c>
      <c r="AH148" s="230"/>
      <c r="AI148" s="126"/>
      <c r="AJ148" s="198"/>
      <c r="AL148" s="102"/>
      <c r="AM148" s="2"/>
      <c r="AN148" s="2"/>
      <c r="AO148" s="2"/>
      <c r="BC148" s="1"/>
      <c r="BD148" s="2"/>
      <c r="BE148" s="2"/>
      <c r="BF148" s="2"/>
      <c r="BG148" s="2"/>
      <c r="BH148" s="2"/>
      <c r="BI148" s="2"/>
      <c r="BJ148" s="2"/>
      <c r="BK148" s="2"/>
    </row>
    <row r="149" spans="1:63" outlineLevel="1">
      <c r="A149" s="4" t="s">
        <v>1159</v>
      </c>
      <c r="C149" s="216">
        <f t="shared" si="79"/>
        <v>0</v>
      </c>
      <c r="D149" s="216">
        <f t="shared" si="78"/>
        <v>14.554345102536267</v>
      </c>
      <c r="E149" s="216">
        <f t="shared" si="78"/>
        <v>28.946464560012863</v>
      </c>
      <c r="F149" s="216">
        <f t="shared" si="78"/>
        <v>43.109233344466297</v>
      </c>
      <c r="G149" s="216">
        <f t="shared" si="78"/>
        <v>56.976590710273321</v>
      </c>
      <c r="H149" s="216">
        <f t="shared" si="78"/>
        <v>70.48354019415072</v>
      </c>
      <c r="I149" s="216">
        <f t="shared" si="78"/>
        <v>83.566149615155808</v>
      </c>
      <c r="J149" s="216">
        <f t="shared" si="78"/>
        <v>96.161551074685747</v>
      </c>
      <c r="K149" s="216">
        <f t="shared" si="78"/>
        <v>108.20794095647827</v>
      </c>
      <c r="L149" s="216">
        <f t="shared" si="78"/>
        <v>119.64457992661104</v>
      </c>
      <c r="M149" s="216">
        <f t="shared" si="78"/>
        <v>130.41179293350208</v>
      </c>
      <c r="N149" s="216">
        <f t="shared" si="78"/>
        <v>155.13947208432197</v>
      </c>
      <c r="O149" s="216">
        <f t="shared" si="78"/>
        <v>178.52665175763104</v>
      </c>
      <c r="P149" s="216">
        <f t="shared" si="78"/>
        <v>200.26755983208412</v>
      </c>
      <c r="Q149" s="216">
        <f t="shared" si="78"/>
        <v>220.39215767347443</v>
      </c>
      <c r="R149" s="216">
        <f t="shared" si="78"/>
        <v>238.78476011424723</v>
      </c>
      <c r="S149" s="216">
        <f t="shared" si="78"/>
        <v>255.33237163969963</v>
      </c>
      <c r="T149" s="216">
        <f t="shared" si="78"/>
        <v>269.92469080983312</v>
      </c>
      <c r="U149" s="216">
        <f t="shared" si="78"/>
        <v>282.45411431781071</v>
      </c>
      <c r="V149" s="216">
        <f t="shared" si="78"/>
        <v>292.81574068501823</v>
      </c>
      <c r="W149" s="216">
        <f t="shared" si="78"/>
        <v>300.90737359273186</v>
      </c>
      <c r="X149" s="216">
        <f t="shared" si="78"/>
        <v>320.55975250513472</v>
      </c>
      <c r="Y149" s="216">
        <f t="shared" si="78"/>
        <v>336.48643285063923</v>
      </c>
      <c r="Z149" s="216">
        <f t="shared" si="78"/>
        <v>347.44563056217362</v>
      </c>
      <c r="AA149" s="216">
        <f t="shared" si="78"/>
        <v>354.28026723327957</v>
      </c>
      <c r="AB149" s="216">
        <f t="shared" si="78"/>
        <v>356.86688917080744</v>
      </c>
      <c r="AC149" s="216">
        <f t="shared" si="78"/>
        <v>355.09015255516761</v>
      </c>
      <c r="AD149" s="216">
        <f t="shared" si="78"/>
        <v>348.84288839073429</v>
      </c>
      <c r="AE149" s="216">
        <f t="shared" si="78"/>
        <v>338.02616289604379</v>
      </c>
      <c r="AF149" s="216">
        <f t="shared" si="78"/>
        <v>322.54933333379239</v>
      </c>
      <c r="AG149" s="216">
        <f t="shared" si="78"/>
        <v>302.3300992806295</v>
      </c>
      <c r="AH149" s="230"/>
      <c r="AI149" s="126"/>
      <c r="AJ149" s="198"/>
      <c r="AL149" s="102"/>
      <c r="AM149" s="2"/>
      <c r="AN149" s="2"/>
      <c r="AO149" s="2"/>
      <c r="BC149" s="1"/>
      <c r="BD149" s="2"/>
      <c r="BE149" s="2"/>
      <c r="BF149" s="2"/>
      <c r="BG149" s="2"/>
      <c r="BH149" s="2"/>
      <c r="BI149" s="2"/>
      <c r="BJ149" s="2"/>
      <c r="BK149" s="2"/>
    </row>
    <row r="150" spans="1:63" s="1" customFormat="1" outlineLevel="1">
      <c r="A150" s="1" t="s">
        <v>1167</v>
      </c>
      <c r="B150" s="61"/>
      <c r="C150" s="279">
        <f>C40*C131</f>
        <v>13.479210052145399</v>
      </c>
      <c r="D150" s="279">
        <f t="shared" ref="D150:AG150" si="80">D40*D131</f>
        <v>16.90358733355988</v>
      </c>
      <c r="E150" s="279">
        <f t="shared" si="80"/>
        <v>20.317055348318139</v>
      </c>
      <c r="F150" s="279">
        <f t="shared" si="80"/>
        <v>23.703812332248976</v>
      </c>
      <c r="G150" s="279">
        <f t="shared" si="80"/>
        <v>27.048056521181174</v>
      </c>
      <c r="H150" s="279">
        <f t="shared" si="80"/>
        <v>30.333986150943527</v>
      </c>
      <c r="I150" s="279">
        <f t="shared" si="80"/>
        <v>33.545799457364836</v>
      </c>
      <c r="J150" s="279">
        <f t="shared" si="80"/>
        <v>36.667694676273875</v>
      </c>
      <c r="K150" s="279">
        <f t="shared" si="80"/>
        <v>39.683870043499446</v>
      </c>
      <c r="L150" s="279">
        <f t="shared" si="80"/>
        <v>42.578523794870343</v>
      </c>
      <c r="M150" s="279">
        <f t="shared" si="80"/>
        <v>45.335854166215348</v>
      </c>
      <c r="N150" s="279">
        <f t="shared" si="80"/>
        <v>51.481066062444974</v>
      </c>
      <c r="O150" s="279">
        <f t="shared" si="80"/>
        <v>57.351894769906089</v>
      </c>
      <c r="P150" s="279">
        <f t="shared" si="80"/>
        <v>62.870654766095619</v>
      </c>
      <c r="Q150" s="279">
        <f t="shared" si="80"/>
        <v>68.04031777400597</v>
      </c>
      <c r="R150" s="279">
        <f t="shared" si="80"/>
        <v>72.82821355804063</v>
      </c>
      <c r="S150" s="279">
        <f t="shared" si="80"/>
        <v>77.201792269468797</v>
      </c>
      <c r="T150" s="279">
        <f t="shared" si="80"/>
        <v>81.128628043393178</v>
      </c>
      <c r="U150" s="279">
        <f t="shared" si="80"/>
        <v>84.57642259571773</v>
      </c>
      <c r="V150" s="279">
        <f t="shared" si="80"/>
        <v>87.513008820115317</v>
      </c>
      <c r="W150" s="279">
        <f t="shared" si="80"/>
        <v>89.906354384995524</v>
      </c>
      <c r="X150" s="279">
        <f t="shared" si="80"/>
        <v>95.224855857491036</v>
      </c>
      <c r="Y150" s="279">
        <f t="shared" si="80"/>
        <v>99.648407830183118</v>
      </c>
      <c r="Z150" s="279">
        <f t="shared" si="80"/>
        <v>102.85086420470637</v>
      </c>
      <c r="AA150" s="279">
        <f t="shared" si="80"/>
        <v>105.03105297721829</v>
      </c>
      <c r="AB150" s="279">
        <f t="shared" si="80"/>
        <v>106.14422069924314</v>
      </c>
      <c r="AC150" s="279">
        <f t="shared" si="80"/>
        <v>106.14692198945822</v>
      </c>
      <c r="AD150" s="279">
        <f t="shared" si="80"/>
        <v>104.99706467162224</v>
      </c>
      <c r="AE150" s="279">
        <f t="shared" si="80"/>
        <v>102.65395491250273</v>
      </c>
      <c r="AF150" s="279">
        <f t="shared" si="80"/>
        <v>99.078342359804168</v>
      </c>
      <c r="AG150" s="279">
        <f t="shared" si="80"/>
        <v>94.232465280095767</v>
      </c>
      <c r="AH150" s="230"/>
      <c r="AI150" s="398"/>
      <c r="AJ150" s="399"/>
      <c r="AL150" s="207"/>
      <c r="AM150" s="118"/>
      <c r="AN150" s="118"/>
      <c r="AO150" s="118"/>
      <c r="BD150" s="118"/>
      <c r="BE150" s="118"/>
      <c r="BF150" s="118"/>
      <c r="BG150" s="118"/>
      <c r="BH150" s="118"/>
      <c r="BI150" s="118"/>
      <c r="BJ150" s="118"/>
      <c r="BK150" s="118"/>
    </row>
    <row r="151" spans="1:63" outlineLevel="1">
      <c r="A151" s="4" t="s">
        <v>35</v>
      </c>
      <c r="C151" s="216">
        <f>C$150*'Methanol recycling rates'!E54</f>
        <v>0</v>
      </c>
      <c r="D151" s="216">
        <f>D$150*'Methanol recycling rates'!F54</f>
        <v>0</v>
      </c>
      <c r="E151" s="216">
        <f>E$150*'Methanol recycling rates'!G54</f>
        <v>0</v>
      </c>
      <c r="F151" s="216">
        <f>F$150*'Methanol recycling rates'!H54</f>
        <v>0</v>
      </c>
      <c r="G151" s="216">
        <f>G$150*'Methanol recycling rates'!I54</f>
        <v>0</v>
      </c>
      <c r="H151" s="216">
        <f>H$150*'Methanol recycling rates'!J54</f>
        <v>0</v>
      </c>
      <c r="I151" s="216">
        <f>I$150*'Methanol recycling rates'!K54</f>
        <v>0</v>
      </c>
      <c r="J151" s="216">
        <f>J$150*'Methanol recycling rates'!L54</f>
        <v>0</v>
      </c>
      <c r="K151" s="216">
        <f>K$150*'Methanol recycling rates'!M54</f>
        <v>0</v>
      </c>
      <c r="L151" s="216">
        <f>L$150*'Methanol recycling rates'!N54</f>
        <v>0</v>
      </c>
      <c r="M151" s="216">
        <f>M$150*'Methanol recycling rates'!O54</f>
        <v>0</v>
      </c>
      <c r="N151" s="216">
        <f>N$150*'Methanol recycling rates'!P54</f>
        <v>0</v>
      </c>
      <c r="O151" s="216">
        <f>O$150*'Methanol recycling rates'!Q54</f>
        <v>0</v>
      </c>
      <c r="P151" s="216">
        <f>P$150*'Methanol recycling rates'!R54</f>
        <v>0</v>
      </c>
      <c r="Q151" s="216">
        <f>Q$150*'Methanol recycling rates'!S54</f>
        <v>0</v>
      </c>
      <c r="R151" s="216">
        <f>R$150*'Methanol recycling rates'!T54</f>
        <v>0</v>
      </c>
      <c r="S151" s="216">
        <f>S$150*'Methanol recycling rates'!U54</f>
        <v>0</v>
      </c>
      <c r="T151" s="216">
        <f>T$150*'Methanol recycling rates'!V54</f>
        <v>0</v>
      </c>
      <c r="U151" s="216">
        <f>U$150*'Methanol recycling rates'!W54</f>
        <v>0</v>
      </c>
      <c r="V151" s="216">
        <f>V$150*'Methanol recycling rates'!X54</f>
        <v>0</v>
      </c>
      <c r="W151" s="216">
        <f>W$150*'Methanol recycling rates'!Y54</f>
        <v>0</v>
      </c>
      <c r="X151" s="216">
        <f>X$150*'Methanol recycling rates'!Z54</f>
        <v>0</v>
      </c>
      <c r="Y151" s="216">
        <f>Y$150*'Methanol recycling rates'!AA54</f>
        <v>0</v>
      </c>
      <c r="Z151" s="216">
        <f>Z$150*'Methanol recycling rates'!AB54</f>
        <v>0</v>
      </c>
      <c r="AA151" s="216">
        <f>AA$150*'Methanol recycling rates'!AC54</f>
        <v>0</v>
      </c>
      <c r="AB151" s="216">
        <f>AB$150*'Methanol recycling rates'!AD54</f>
        <v>0</v>
      </c>
      <c r="AC151" s="216">
        <f>AC$150*'Methanol recycling rates'!AE54</f>
        <v>0</v>
      </c>
      <c r="AD151" s="216">
        <f>AD$150*'Methanol recycling rates'!AF54</f>
        <v>0</v>
      </c>
      <c r="AE151" s="216">
        <f>AE$150*'Methanol recycling rates'!AG54</f>
        <v>0</v>
      </c>
      <c r="AF151" s="216">
        <f>AF$150*'Methanol recycling rates'!AH54</f>
        <v>0</v>
      </c>
      <c r="AG151" s="216">
        <f>AG$150*'Methanol recycling rates'!AI54</f>
        <v>0</v>
      </c>
      <c r="AH151" s="230"/>
      <c r="AI151" s="126"/>
      <c r="AJ151" s="198"/>
      <c r="AL151" s="102"/>
      <c r="AM151" s="2"/>
      <c r="AN151" s="2"/>
      <c r="AO151" s="2"/>
      <c r="BC151" s="1"/>
      <c r="BD151" s="2"/>
      <c r="BE151" s="2"/>
      <c r="BF151" s="2"/>
      <c r="BG151" s="2"/>
      <c r="BH151" s="2"/>
      <c r="BI151" s="2"/>
      <c r="BJ151" s="2"/>
      <c r="BK151" s="2"/>
    </row>
    <row r="152" spans="1:63" outlineLevel="1">
      <c r="A152" s="4" t="s">
        <v>160</v>
      </c>
      <c r="C152" s="216">
        <f>C$150*'Methanol recycling rates'!E55</f>
        <v>0</v>
      </c>
      <c r="D152" s="216">
        <f>D$150*'Methanol recycling rates'!F55</f>
        <v>6.5682257752268325E-2</v>
      </c>
      <c r="E152" s="216">
        <f>E$150*'Methanol recycling rates'!G55</f>
        <v>0.15789193616977579</v>
      </c>
      <c r="F152" s="216">
        <f>F$150*'Methanol recycling rates'!H55</f>
        <v>0.27631766214981673</v>
      </c>
      <c r="G152" s="216">
        <f>G$150*'Methanol recycling rates'!I55</f>
        <v>0.42040245897271278</v>
      </c>
      <c r="H152" s="216">
        <f>H$150*'Methanol recycling rates'!J55</f>
        <v>0.58934374630181285</v>
      </c>
      <c r="I152" s="216">
        <f>I$150*'Methanol recycling rates'!K55</f>
        <v>0.78209334018349352</v>
      </c>
      <c r="J152" s="216">
        <f>J$150*'Methanol recycling rates'!L55</f>
        <v>0.99735745304715795</v>
      </c>
      <c r="K152" s="216">
        <f>K$150*'Methanol recycling rates'!M55</f>
        <v>1.2335966937052374</v>
      </c>
      <c r="L152" s="216">
        <f>L$150*'Methanol recycling rates'!N55</f>
        <v>1.4890260673531905</v>
      </c>
      <c r="M152" s="216">
        <f>M$150*'Methanol recycling rates'!O55</f>
        <v>1.7616149755695025</v>
      </c>
      <c r="N152" s="216">
        <f>N$150*'Methanol recycling rates'!P55</f>
        <v>2.200439375456074</v>
      </c>
      <c r="O152" s="216">
        <f>O$150*'Methanol recycling rates'!Q55</f>
        <v>2.6742266198458697</v>
      </c>
      <c r="P152" s="216">
        <f>P$150*'Methanol recycling rates'!R55</f>
        <v>3.1758539834693034</v>
      </c>
      <c r="Q152" s="216">
        <f>Q$150*'Methanol recycling rates'!S55</f>
        <v>3.7013790279819019</v>
      </c>
      <c r="R152" s="216">
        <f>R$150*'Methanol recycling rates'!T55</f>
        <v>4.2448280949151602</v>
      </c>
      <c r="S152" s="216">
        <f>S$150*'Methanol recycling rates'!U55</f>
        <v>4.7997272235466228</v>
      </c>
      <c r="T152" s="216">
        <f>T$150*'Methanol recycling rates'!V55</f>
        <v>5.3591047274401946</v>
      </c>
      <c r="U152" s="216">
        <f>U$150*'Methanol recycling rates'!W55</f>
        <v>5.9154938548468579</v>
      </c>
      <c r="V152" s="216">
        <f>V$150*'Methanol recycling rates'!X55</f>
        <v>6.4609355329657951</v>
      </c>
      <c r="W152" s="216">
        <f>W$150*'Methanol recycling rates'!Y55</f>
        <v>6.9869811960659289</v>
      </c>
      <c r="X152" s="216">
        <f>X$150*'Methanol recycling rates'!Z55</f>
        <v>7.7703183041607886</v>
      </c>
      <c r="Y152" s="216">
        <f>Y$150*'Methanol recycling rates'!AA55</f>
        <v>8.5184825048134023</v>
      </c>
      <c r="Z152" s="216">
        <f>Z$150*'Methanol recycling rates'!AB55</f>
        <v>9.1918932535979376</v>
      </c>
      <c r="AA152" s="216">
        <f>AA$150*'Methanol recycling rates'!AC55</f>
        <v>9.7948581789315767</v>
      </c>
      <c r="AB152" s="216">
        <f>AB$150*'Methanol recycling rates'!AD55</f>
        <v>10.311113146142286</v>
      </c>
      <c r="AC152" s="216">
        <f>AC$150*'Methanol recycling rates'!AE55</f>
        <v>10.723830578428096</v>
      </c>
      <c r="AD152" s="216">
        <f>AD$150*'Methanol recycling rates'!AF55</f>
        <v>11.015649606230577</v>
      </c>
      <c r="AE152" s="216">
        <f>AE$150*'Methanol recycling rates'!AG55</f>
        <v>11.168707268962727</v>
      </c>
      <c r="AF152" s="216">
        <f>AF$150*'Methanol recycling rates'!AH55</f>
        <v>11.164670769091424</v>
      </c>
      <c r="AG152" s="216">
        <f>AG$150*'Methanol recycling rates'!AI55</f>
        <v>10.98477077857433</v>
      </c>
      <c r="AH152" s="230"/>
      <c r="AI152" s="126"/>
      <c r="AJ152" s="198"/>
      <c r="AL152" s="102"/>
      <c r="AM152" s="2"/>
      <c r="AN152" s="2"/>
      <c r="AO152" s="2"/>
      <c r="BC152" s="1"/>
      <c r="BD152" s="2"/>
      <c r="BE152" s="2"/>
      <c r="BF152" s="2"/>
      <c r="BG152" s="2"/>
      <c r="BH152" s="2"/>
      <c r="BI152" s="2"/>
      <c r="BJ152" s="2"/>
      <c r="BK152" s="2"/>
    </row>
    <row r="153" spans="1:63" outlineLevel="1">
      <c r="A153" s="4" t="s">
        <v>1159</v>
      </c>
      <c r="C153" s="216">
        <f>C$150*'Methanol recycling rates'!E56</f>
        <v>13.479210052145399</v>
      </c>
      <c r="D153" s="216">
        <f>D$150*'Methanol recycling rates'!F56</f>
        <v>16.837905075807612</v>
      </c>
      <c r="E153" s="216">
        <f>E$150*'Methanol recycling rates'!G56</f>
        <v>20.159163412148366</v>
      </c>
      <c r="F153" s="216">
        <f>F$150*'Methanol recycling rates'!H56</f>
        <v>23.427494670099161</v>
      </c>
      <c r="G153" s="216">
        <f>G$150*'Methanol recycling rates'!I56</f>
        <v>26.627654062208467</v>
      </c>
      <c r="H153" s="216">
        <f>H$150*'Methanol recycling rates'!J56</f>
        <v>29.74464240464172</v>
      </c>
      <c r="I153" s="216">
        <f>I$150*'Methanol recycling rates'!K56</f>
        <v>32.76370611718135</v>
      </c>
      <c r="J153" s="216">
        <f>J$150*'Methanol recycling rates'!L56</f>
        <v>35.670337223226731</v>
      </c>
      <c r="K153" s="216">
        <f>K$150*'Methanol recycling rates'!M56</f>
        <v>38.450273349794223</v>
      </c>
      <c r="L153" s="216">
        <f>L$150*'Methanol recycling rates'!N56</f>
        <v>41.08949772751717</v>
      </c>
      <c r="M153" s="216">
        <f>M$150*'Methanol recycling rates'!O56</f>
        <v>43.574239190645869</v>
      </c>
      <c r="N153" s="216">
        <f>N$150*'Methanol recycling rates'!P56</f>
        <v>49.280626686988924</v>
      </c>
      <c r="O153" s="216">
        <f>O$150*'Methanol recycling rates'!Q56</f>
        <v>54.677668150060249</v>
      </c>
      <c r="P153" s="216">
        <f>P$150*'Methanol recycling rates'!R56</f>
        <v>59.694800782626352</v>
      </c>
      <c r="Q153" s="216">
        <f>Q$150*'Methanol recycling rates'!S56</f>
        <v>64.338938746024112</v>
      </c>
      <c r="R153" s="216">
        <f>R$150*'Methanol recycling rates'!T56</f>
        <v>68.583385463125524</v>
      </c>
      <c r="S153" s="216">
        <f>S$150*'Methanol recycling rates'!U56</f>
        <v>72.402065045922228</v>
      </c>
      <c r="T153" s="216">
        <f>T$150*'Methanol recycling rates'!V56</f>
        <v>75.769523315953052</v>
      </c>
      <c r="U153" s="216">
        <f>U$150*'Methanol recycling rates'!W56</f>
        <v>78.660928740870943</v>
      </c>
      <c r="V153" s="216">
        <f>V$150*'Methanol recycling rates'!X56</f>
        <v>81.052073287149597</v>
      </c>
      <c r="W153" s="216">
        <f>W$150*'Methanol recycling rates'!Y56</f>
        <v>82.919373188929683</v>
      </c>
      <c r="X153" s="216">
        <f>X$150*'Methanol recycling rates'!Z56</f>
        <v>87.45453755333034</v>
      </c>
      <c r="Y153" s="216">
        <f>Y$150*'Methanol recycling rates'!AA56</f>
        <v>91.129925325369811</v>
      </c>
      <c r="Z153" s="216">
        <f>Z$150*'Methanol recycling rates'!AB56</f>
        <v>93.658970951108543</v>
      </c>
      <c r="AA153" s="216">
        <f>AA$150*'Methanol recycling rates'!AC56</f>
        <v>95.236194798286832</v>
      </c>
      <c r="AB153" s="216">
        <f>AB$150*'Methanol recycling rates'!AD56</f>
        <v>95.833107553100973</v>
      </c>
      <c r="AC153" s="216">
        <f>AC$150*'Methanol recycling rates'!AE56</f>
        <v>95.423091411030256</v>
      </c>
      <c r="AD153" s="216">
        <f>AD$150*'Methanol recycling rates'!AF56</f>
        <v>93.981415065391786</v>
      </c>
      <c r="AE153" s="216">
        <f>AE$150*'Methanol recycling rates'!AG56</f>
        <v>91.485247643540134</v>
      </c>
      <c r="AF153" s="216">
        <f>AF$150*'Methanol recycling rates'!AH56</f>
        <v>87.913671590712866</v>
      </c>
      <c r="AG153" s="216">
        <f>AG$150*'Methanol recycling rates'!AI56</f>
        <v>83.247694501521437</v>
      </c>
      <c r="AH153" s="230"/>
      <c r="AI153" s="126"/>
      <c r="AJ153" s="198"/>
      <c r="AL153" s="102"/>
      <c r="AM153" s="2"/>
      <c r="AN153" s="2"/>
      <c r="AO153" s="2"/>
      <c r="BC153" s="1"/>
      <c r="BD153" s="2"/>
      <c r="BE153" s="2"/>
      <c r="BF153" s="2"/>
      <c r="BG153" s="2"/>
      <c r="BH153" s="2"/>
      <c r="BI153" s="2"/>
      <c r="BJ153" s="2"/>
      <c r="BK153" s="2"/>
    </row>
    <row r="154" spans="1:63" s="1" customFormat="1" outlineLevel="1">
      <c r="A154" s="1" t="s">
        <v>1168</v>
      </c>
      <c r="B154" s="61"/>
      <c r="C154" s="279">
        <f>C150-$C150</f>
        <v>0</v>
      </c>
      <c r="D154" s="279">
        <f t="shared" ref="D154:AG157" si="81">D150-$C150</f>
        <v>3.4243772814144808</v>
      </c>
      <c r="E154" s="279">
        <f t="shared" si="81"/>
        <v>6.8378452961727394</v>
      </c>
      <c r="F154" s="279">
        <f t="shared" si="81"/>
        <v>10.224602280103577</v>
      </c>
      <c r="G154" s="279">
        <f t="shared" si="81"/>
        <v>13.568846469035774</v>
      </c>
      <c r="H154" s="279">
        <f t="shared" si="81"/>
        <v>16.854776098798126</v>
      </c>
      <c r="I154" s="279">
        <f t="shared" si="81"/>
        <v>20.066589405219439</v>
      </c>
      <c r="J154" s="279">
        <f t="shared" si="81"/>
        <v>23.188484624128478</v>
      </c>
      <c r="K154" s="279">
        <f t="shared" si="81"/>
        <v>26.204659991354049</v>
      </c>
      <c r="L154" s="279">
        <f t="shared" si="81"/>
        <v>29.099313742724945</v>
      </c>
      <c r="M154" s="279">
        <f t="shared" si="81"/>
        <v>31.856644114069951</v>
      </c>
      <c r="N154" s="279">
        <f t="shared" si="81"/>
        <v>38.001856010299576</v>
      </c>
      <c r="O154" s="279">
        <f t="shared" si="81"/>
        <v>43.872684717760691</v>
      </c>
      <c r="P154" s="279">
        <f t="shared" si="81"/>
        <v>49.391444713950222</v>
      </c>
      <c r="Q154" s="279">
        <f t="shared" si="81"/>
        <v>54.561107721860573</v>
      </c>
      <c r="R154" s="279">
        <f t="shared" si="81"/>
        <v>59.349003505895233</v>
      </c>
      <c r="S154" s="279">
        <f t="shared" si="81"/>
        <v>63.722582217323399</v>
      </c>
      <c r="T154" s="279">
        <f t="shared" si="81"/>
        <v>67.649417991247773</v>
      </c>
      <c r="U154" s="279">
        <f t="shared" si="81"/>
        <v>71.097212543572326</v>
      </c>
      <c r="V154" s="279">
        <f t="shared" si="81"/>
        <v>74.033798767969913</v>
      </c>
      <c r="W154" s="279">
        <f t="shared" si="81"/>
        <v>76.427144332850119</v>
      </c>
      <c r="X154" s="279">
        <f t="shared" si="81"/>
        <v>81.745645805345632</v>
      </c>
      <c r="Y154" s="279">
        <f t="shared" si="81"/>
        <v>86.169197778037713</v>
      </c>
      <c r="Z154" s="279">
        <f t="shared" si="81"/>
        <v>89.371654152560964</v>
      </c>
      <c r="AA154" s="279">
        <f t="shared" si="81"/>
        <v>91.55184292507289</v>
      </c>
      <c r="AB154" s="279">
        <f t="shared" si="81"/>
        <v>92.665010647097731</v>
      </c>
      <c r="AC154" s="279">
        <f t="shared" si="81"/>
        <v>92.667711937312816</v>
      </c>
      <c r="AD154" s="279">
        <f t="shared" si="81"/>
        <v>91.517854619476836</v>
      </c>
      <c r="AE154" s="279">
        <f t="shared" si="81"/>
        <v>89.174744860357322</v>
      </c>
      <c r="AF154" s="279">
        <f t="shared" si="81"/>
        <v>85.599132307658763</v>
      </c>
      <c r="AG154" s="279">
        <f t="shared" si="81"/>
        <v>80.753255227950362</v>
      </c>
      <c r="AH154" s="230"/>
      <c r="AI154" s="398"/>
      <c r="AJ154" s="399"/>
      <c r="AL154" s="207"/>
      <c r="AM154" s="118"/>
      <c r="AN154" s="118"/>
      <c r="AO154" s="118"/>
      <c r="BD154" s="118"/>
      <c r="BE154" s="118"/>
      <c r="BF154" s="118"/>
      <c r="BG154" s="118"/>
      <c r="BH154" s="118"/>
      <c r="BI154" s="118"/>
      <c r="BJ154" s="118"/>
      <c r="BK154" s="118"/>
    </row>
    <row r="155" spans="1:63" outlineLevel="1">
      <c r="A155" s="4" t="s">
        <v>35</v>
      </c>
      <c r="C155" s="216">
        <f t="shared" ref="C155:C157" si="82">C151-$C151</f>
        <v>0</v>
      </c>
      <c r="D155" s="216">
        <f t="shared" si="81"/>
        <v>0</v>
      </c>
      <c r="E155" s="216">
        <f t="shared" si="81"/>
        <v>0</v>
      </c>
      <c r="F155" s="216">
        <f t="shared" si="81"/>
        <v>0</v>
      </c>
      <c r="G155" s="216">
        <f t="shared" si="81"/>
        <v>0</v>
      </c>
      <c r="H155" s="216">
        <f t="shared" si="81"/>
        <v>0</v>
      </c>
      <c r="I155" s="216">
        <f t="shared" si="81"/>
        <v>0</v>
      </c>
      <c r="J155" s="216">
        <f t="shared" si="81"/>
        <v>0</v>
      </c>
      <c r="K155" s="216">
        <f t="shared" si="81"/>
        <v>0</v>
      </c>
      <c r="L155" s="216">
        <f t="shared" si="81"/>
        <v>0</v>
      </c>
      <c r="M155" s="216">
        <f t="shared" si="81"/>
        <v>0</v>
      </c>
      <c r="N155" s="216">
        <f t="shared" si="81"/>
        <v>0</v>
      </c>
      <c r="O155" s="216">
        <f t="shared" si="81"/>
        <v>0</v>
      </c>
      <c r="P155" s="216">
        <f t="shared" si="81"/>
        <v>0</v>
      </c>
      <c r="Q155" s="216">
        <f t="shared" si="81"/>
        <v>0</v>
      </c>
      <c r="R155" s="216">
        <f t="shared" si="81"/>
        <v>0</v>
      </c>
      <c r="S155" s="216">
        <f t="shared" si="81"/>
        <v>0</v>
      </c>
      <c r="T155" s="216">
        <f t="shared" si="81"/>
        <v>0</v>
      </c>
      <c r="U155" s="216">
        <f t="shared" si="81"/>
        <v>0</v>
      </c>
      <c r="V155" s="216">
        <f t="shared" si="81"/>
        <v>0</v>
      </c>
      <c r="W155" s="216">
        <f t="shared" si="81"/>
        <v>0</v>
      </c>
      <c r="X155" s="216">
        <f t="shared" si="81"/>
        <v>0</v>
      </c>
      <c r="Y155" s="216">
        <f t="shared" si="81"/>
        <v>0</v>
      </c>
      <c r="Z155" s="216">
        <f t="shared" si="81"/>
        <v>0</v>
      </c>
      <c r="AA155" s="216">
        <f t="shared" si="81"/>
        <v>0</v>
      </c>
      <c r="AB155" s="216">
        <f t="shared" si="81"/>
        <v>0</v>
      </c>
      <c r="AC155" s="216">
        <f t="shared" si="81"/>
        <v>0</v>
      </c>
      <c r="AD155" s="216">
        <f t="shared" si="81"/>
        <v>0</v>
      </c>
      <c r="AE155" s="216">
        <f t="shared" si="81"/>
        <v>0</v>
      </c>
      <c r="AF155" s="216">
        <f t="shared" si="81"/>
        <v>0</v>
      </c>
      <c r="AG155" s="216">
        <f t="shared" si="81"/>
        <v>0</v>
      </c>
      <c r="AH155" s="230"/>
      <c r="AI155" s="126"/>
      <c r="AJ155" s="198"/>
      <c r="AL155" s="102"/>
      <c r="AM155" s="2"/>
      <c r="AN155" s="2"/>
      <c r="AO155" s="2"/>
      <c r="BC155" s="1"/>
      <c r="BD155" s="2"/>
      <c r="BE155" s="2"/>
      <c r="BF155" s="2"/>
      <c r="BG155" s="2"/>
      <c r="BH155" s="2"/>
      <c r="BI155" s="2"/>
      <c r="BJ155" s="2"/>
      <c r="BK155" s="2"/>
    </row>
    <row r="156" spans="1:63" outlineLevel="1">
      <c r="A156" s="4" t="s">
        <v>160</v>
      </c>
      <c r="C156" s="216">
        <f t="shared" si="82"/>
        <v>0</v>
      </c>
      <c r="D156" s="216">
        <f t="shared" si="81"/>
        <v>6.5682257752268325E-2</v>
      </c>
      <c r="E156" s="216">
        <f t="shared" si="81"/>
        <v>0.15789193616977579</v>
      </c>
      <c r="F156" s="216">
        <f t="shared" si="81"/>
        <v>0.27631766214981673</v>
      </c>
      <c r="G156" s="216">
        <f t="shared" si="81"/>
        <v>0.42040245897271278</v>
      </c>
      <c r="H156" s="216">
        <f t="shared" si="81"/>
        <v>0.58934374630181285</v>
      </c>
      <c r="I156" s="216">
        <f t="shared" si="81"/>
        <v>0.78209334018349352</v>
      </c>
      <c r="J156" s="216">
        <f t="shared" si="81"/>
        <v>0.99735745304715795</v>
      </c>
      <c r="K156" s="216">
        <f t="shared" si="81"/>
        <v>1.2335966937052374</v>
      </c>
      <c r="L156" s="216">
        <f t="shared" si="81"/>
        <v>1.4890260673531905</v>
      </c>
      <c r="M156" s="216">
        <f t="shared" si="81"/>
        <v>1.7616149755695025</v>
      </c>
      <c r="N156" s="216">
        <f t="shared" si="81"/>
        <v>2.200439375456074</v>
      </c>
      <c r="O156" s="216">
        <f t="shared" si="81"/>
        <v>2.6742266198458697</v>
      </c>
      <c r="P156" s="216">
        <f t="shared" si="81"/>
        <v>3.1758539834693034</v>
      </c>
      <c r="Q156" s="216">
        <f t="shared" si="81"/>
        <v>3.7013790279819019</v>
      </c>
      <c r="R156" s="216">
        <f t="shared" si="81"/>
        <v>4.2448280949151602</v>
      </c>
      <c r="S156" s="216">
        <f t="shared" si="81"/>
        <v>4.7997272235466228</v>
      </c>
      <c r="T156" s="216">
        <f t="shared" si="81"/>
        <v>5.3591047274401946</v>
      </c>
      <c r="U156" s="216">
        <f t="shared" si="81"/>
        <v>5.9154938548468579</v>
      </c>
      <c r="V156" s="216">
        <f t="shared" si="81"/>
        <v>6.4609355329657951</v>
      </c>
      <c r="W156" s="216">
        <f t="shared" si="81"/>
        <v>6.9869811960659289</v>
      </c>
      <c r="X156" s="216">
        <f t="shared" si="81"/>
        <v>7.7703183041607886</v>
      </c>
      <c r="Y156" s="216">
        <f t="shared" si="81"/>
        <v>8.5184825048134023</v>
      </c>
      <c r="Z156" s="216">
        <f t="shared" si="81"/>
        <v>9.1918932535979376</v>
      </c>
      <c r="AA156" s="216">
        <f t="shared" si="81"/>
        <v>9.7948581789315767</v>
      </c>
      <c r="AB156" s="216">
        <f t="shared" si="81"/>
        <v>10.311113146142286</v>
      </c>
      <c r="AC156" s="216">
        <f t="shared" si="81"/>
        <v>10.723830578428096</v>
      </c>
      <c r="AD156" s="216">
        <f t="shared" si="81"/>
        <v>11.015649606230577</v>
      </c>
      <c r="AE156" s="216">
        <f t="shared" si="81"/>
        <v>11.168707268962727</v>
      </c>
      <c r="AF156" s="216">
        <f t="shared" si="81"/>
        <v>11.164670769091424</v>
      </c>
      <c r="AG156" s="216">
        <f t="shared" si="81"/>
        <v>10.98477077857433</v>
      </c>
      <c r="AH156" s="230"/>
      <c r="AI156" s="126"/>
      <c r="AJ156" s="198"/>
      <c r="AL156" s="102"/>
      <c r="AM156" s="2"/>
      <c r="AN156" s="2"/>
      <c r="AO156" s="2"/>
      <c r="BC156" s="1"/>
      <c r="BD156" s="2"/>
      <c r="BE156" s="2"/>
      <c r="BF156" s="2"/>
      <c r="BG156" s="2"/>
      <c r="BH156" s="2"/>
      <c r="BI156" s="2"/>
      <c r="BJ156" s="2"/>
      <c r="BK156" s="2"/>
    </row>
    <row r="157" spans="1:63" outlineLevel="1">
      <c r="A157" s="4" t="s">
        <v>1159</v>
      </c>
      <c r="C157" s="216">
        <f t="shared" si="82"/>
        <v>0</v>
      </c>
      <c r="D157" s="216">
        <f t="shared" si="81"/>
        <v>3.3586950236622126</v>
      </c>
      <c r="E157" s="216">
        <f t="shared" si="81"/>
        <v>6.6799533600029672</v>
      </c>
      <c r="F157" s="216">
        <f t="shared" si="81"/>
        <v>9.9482846179537621</v>
      </c>
      <c r="G157" s="216">
        <f t="shared" si="81"/>
        <v>13.148444010063068</v>
      </c>
      <c r="H157" s="216">
        <f t="shared" si="81"/>
        <v>16.265432352496319</v>
      </c>
      <c r="I157" s="216">
        <f t="shared" si="81"/>
        <v>19.284496065035952</v>
      </c>
      <c r="J157" s="216">
        <f t="shared" si="81"/>
        <v>22.191127171081334</v>
      </c>
      <c r="K157" s="216">
        <f t="shared" si="81"/>
        <v>24.971063297648826</v>
      </c>
      <c r="L157" s="216">
        <f t="shared" si="81"/>
        <v>27.610287675371772</v>
      </c>
      <c r="M157" s="216">
        <f t="shared" si="81"/>
        <v>30.095029138500472</v>
      </c>
      <c r="N157" s="216">
        <f t="shared" si="81"/>
        <v>35.801416634843527</v>
      </c>
      <c r="O157" s="216">
        <f t="shared" si="81"/>
        <v>41.198458097914852</v>
      </c>
      <c r="P157" s="216">
        <f t="shared" si="81"/>
        <v>46.215590730480955</v>
      </c>
      <c r="Q157" s="216">
        <f t="shared" si="81"/>
        <v>50.859728693878715</v>
      </c>
      <c r="R157" s="216">
        <f t="shared" si="81"/>
        <v>55.104175410980126</v>
      </c>
      <c r="S157" s="216">
        <f t="shared" si="81"/>
        <v>58.922854993776831</v>
      </c>
      <c r="T157" s="216">
        <f t="shared" si="81"/>
        <v>62.290313263807654</v>
      </c>
      <c r="U157" s="216">
        <f t="shared" si="81"/>
        <v>65.181718688725539</v>
      </c>
      <c r="V157" s="216">
        <f t="shared" si="81"/>
        <v>67.572863235004192</v>
      </c>
      <c r="W157" s="216">
        <f t="shared" si="81"/>
        <v>69.440163136784278</v>
      </c>
      <c r="X157" s="216">
        <f t="shared" si="81"/>
        <v>73.975327501184935</v>
      </c>
      <c r="Y157" s="216">
        <f t="shared" si="81"/>
        <v>77.650715273224407</v>
      </c>
      <c r="Z157" s="216">
        <f t="shared" si="81"/>
        <v>80.179760898963139</v>
      </c>
      <c r="AA157" s="216">
        <f t="shared" si="81"/>
        <v>81.756984746141427</v>
      </c>
      <c r="AB157" s="216">
        <f t="shared" si="81"/>
        <v>82.353897500955568</v>
      </c>
      <c r="AC157" s="216">
        <f t="shared" si="81"/>
        <v>81.943881358884852</v>
      </c>
      <c r="AD157" s="216">
        <f t="shared" si="81"/>
        <v>80.502205013246382</v>
      </c>
      <c r="AE157" s="216">
        <f t="shared" si="81"/>
        <v>78.00603759139473</v>
      </c>
      <c r="AF157" s="216">
        <f t="shared" si="81"/>
        <v>74.434461538567462</v>
      </c>
      <c r="AG157" s="216">
        <f t="shared" si="81"/>
        <v>69.768484449376032</v>
      </c>
      <c r="AH157" s="230"/>
      <c r="AI157" s="126"/>
      <c r="AJ157" s="198"/>
      <c r="AL157" s="102"/>
      <c r="AM157" s="2"/>
      <c r="AN157" s="2"/>
      <c r="AO157" s="2"/>
      <c r="BC157" s="1"/>
      <c r="BD157" s="2"/>
      <c r="BE157" s="2"/>
      <c r="BF157" s="2"/>
      <c r="BG157" s="2"/>
      <c r="BH157" s="2"/>
      <c r="BI157" s="2"/>
      <c r="BJ157" s="2"/>
      <c r="BK157" s="2"/>
    </row>
    <row r="158" spans="1:63" s="1" customFormat="1" outlineLevel="1">
      <c r="A158" s="1" t="s">
        <v>1162</v>
      </c>
      <c r="B158" s="61"/>
      <c r="C158" s="279">
        <f>C40*C132</f>
        <v>40.4376301564362</v>
      </c>
      <c r="D158" s="279">
        <f t="shared" ref="D158:AG158" si="83">D40*D132</f>
        <v>50.710762000679644</v>
      </c>
      <c r="E158" s="279">
        <f t="shared" si="83"/>
        <v>60.951166044954419</v>
      </c>
      <c r="F158" s="279">
        <f t="shared" si="83"/>
        <v>71.111436996746917</v>
      </c>
      <c r="G158" s="279">
        <f t="shared" si="83"/>
        <v>81.144169563543528</v>
      </c>
      <c r="H158" s="279">
        <f t="shared" si="83"/>
        <v>91.001958452830564</v>
      </c>
      <c r="I158" s="279">
        <f t="shared" si="83"/>
        <v>100.63739837209451</v>
      </c>
      <c r="J158" s="279">
        <f t="shared" si="83"/>
        <v>110.00308402882162</v>
      </c>
      <c r="K158" s="279">
        <f t="shared" si="83"/>
        <v>119.05161013049835</v>
      </c>
      <c r="L158" s="279">
        <f t="shared" si="83"/>
        <v>127.73557138461103</v>
      </c>
      <c r="M158" s="279">
        <f t="shared" si="83"/>
        <v>136.00756249864605</v>
      </c>
      <c r="N158" s="279">
        <f t="shared" si="83"/>
        <v>154.44319818733493</v>
      </c>
      <c r="O158" s="279">
        <f t="shared" si="83"/>
        <v>172.05568430971826</v>
      </c>
      <c r="P158" s="279">
        <f t="shared" si="83"/>
        <v>188.61196429828684</v>
      </c>
      <c r="Q158" s="279">
        <f t="shared" si="83"/>
        <v>204.1209533220179</v>
      </c>
      <c r="R158" s="279">
        <f t="shared" si="83"/>
        <v>218.48464067412186</v>
      </c>
      <c r="S158" s="279">
        <f t="shared" si="83"/>
        <v>231.60537680840636</v>
      </c>
      <c r="T158" s="279">
        <f t="shared" si="83"/>
        <v>243.38588413017953</v>
      </c>
      <c r="U158" s="279">
        <f t="shared" si="83"/>
        <v>253.72926778715319</v>
      </c>
      <c r="V158" s="279">
        <f t="shared" si="83"/>
        <v>262.53902646034595</v>
      </c>
      <c r="W158" s="279">
        <f t="shared" si="83"/>
        <v>269.71906315498654</v>
      </c>
      <c r="X158" s="279">
        <f t="shared" si="83"/>
        <v>285.67456757247311</v>
      </c>
      <c r="Y158" s="279">
        <f t="shared" si="83"/>
        <v>298.94522349054938</v>
      </c>
      <c r="Z158" s="279">
        <f t="shared" si="83"/>
        <v>308.55259261411913</v>
      </c>
      <c r="AA158" s="279">
        <f t="shared" si="83"/>
        <v>315.0931589316549</v>
      </c>
      <c r="AB158" s="279">
        <f t="shared" si="83"/>
        <v>318.43266209772935</v>
      </c>
      <c r="AC158" s="279">
        <f t="shared" si="83"/>
        <v>318.44076596837465</v>
      </c>
      <c r="AD158" s="279">
        <f t="shared" si="83"/>
        <v>314.99119401486672</v>
      </c>
      <c r="AE158" s="279">
        <f t="shared" si="83"/>
        <v>307.96186473750817</v>
      </c>
      <c r="AF158" s="279">
        <f t="shared" si="83"/>
        <v>297.23502707941248</v>
      </c>
      <c r="AG158" s="279">
        <f t="shared" si="83"/>
        <v>282.6973958402873</v>
      </c>
      <c r="AH158" s="230"/>
      <c r="AI158" s="398"/>
      <c r="AJ158" s="399"/>
      <c r="AL158" s="207"/>
      <c r="AM158" s="118"/>
      <c r="AN158" s="118"/>
      <c r="AO158" s="118"/>
      <c r="BD158" s="118"/>
      <c r="BE158" s="118"/>
      <c r="BF158" s="118"/>
      <c r="BG158" s="118"/>
      <c r="BH158" s="118"/>
      <c r="BI158" s="118"/>
      <c r="BJ158" s="118"/>
      <c r="BK158" s="118"/>
    </row>
    <row r="159" spans="1:63" outlineLevel="1">
      <c r="A159" s="4" t="s">
        <v>35</v>
      </c>
      <c r="C159" s="216">
        <f>C$158*'Methanol recycling rates'!E57</f>
        <v>0</v>
      </c>
      <c r="D159" s="216">
        <f>D$158*'Methanol recycling rates'!F57</f>
        <v>0</v>
      </c>
      <c r="E159" s="216">
        <f>E$158*'Methanol recycling rates'!G57</f>
        <v>0</v>
      </c>
      <c r="F159" s="216">
        <f>F$158*'Methanol recycling rates'!H57</f>
        <v>0</v>
      </c>
      <c r="G159" s="216">
        <f>G$158*'Methanol recycling rates'!I57</f>
        <v>0</v>
      </c>
      <c r="H159" s="216">
        <f>H$158*'Methanol recycling rates'!J57</f>
        <v>0</v>
      </c>
      <c r="I159" s="216">
        <f>I$158*'Methanol recycling rates'!K57</f>
        <v>0</v>
      </c>
      <c r="J159" s="216">
        <f>J$158*'Methanol recycling rates'!L57</f>
        <v>0</v>
      </c>
      <c r="K159" s="216">
        <f>K$158*'Methanol recycling rates'!M57</f>
        <v>0</v>
      </c>
      <c r="L159" s="216">
        <f>L$158*'Methanol recycling rates'!N57</f>
        <v>0</v>
      </c>
      <c r="M159" s="216">
        <f>M$158*'Methanol recycling rates'!O57</f>
        <v>0</v>
      </c>
      <c r="N159" s="216">
        <f>N$158*'Methanol recycling rates'!P57</f>
        <v>0</v>
      </c>
      <c r="O159" s="216">
        <f>O$158*'Methanol recycling rates'!Q57</f>
        <v>0</v>
      </c>
      <c r="P159" s="216">
        <f>P$158*'Methanol recycling rates'!R57</f>
        <v>0</v>
      </c>
      <c r="Q159" s="216">
        <f>Q$158*'Methanol recycling rates'!S57</f>
        <v>0</v>
      </c>
      <c r="R159" s="216">
        <f>R$158*'Methanol recycling rates'!T57</f>
        <v>0</v>
      </c>
      <c r="S159" s="216">
        <f>S$158*'Methanol recycling rates'!U57</f>
        <v>0</v>
      </c>
      <c r="T159" s="216">
        <f>T$158*'Methanol recycling rates'!V57</f>
        <v>0</v>
      </c>
      <c r="U159" s="216">
        <f>U$158*'Methanol recycling rates'!W57</f>
        <v>0</v>
      </c>
      <c r="V159" s="216">
        <f>V$158*'Methanol recycling rates'!X57</f>
        <v>0</v>
      </c>
      <c r="W159" s="216">
        <f>W$158*'Methanol recycling rates'!Y57</f>
        <v>0</v>
      </c>
      <c r="X159" s="216">
        <f>X$158*'Methanol recycling rates'!Z57</f>
        <v>0</v>
      </c>
      <c r="Y159" s="216">
        <f>Y$158*'Methanol recycling rates'!AA57</f>
        <v>0</v>
      </c>
      <c r="Z159" s="216">
        <f>Z$158*'Methanol recycling rates'!AB57</f>
        <v>0</v>
      </c>
      <c r="AA159" s="216">
        <f>AA$158*'Methanol recycling rates'!AC57</f>
        <v>0</v>
      </c>
      <c r="AB159" s="216">
        <f>AB$158*'Methanol recycling rates'!AD57</f>
        <v>0</v>
      </c>
      <c r="AC159" s="216">
        <f>AC$158*'Methanol recycling rates'!AE57</f>
        <v>0</v>
      </c>
      <c r="AD159" s="216">
        <f>AD$158*'Methanol recycling rates'!AF57</f>
        <v>0</v>
      </c>
      <c r="AE159" s="216">
        <f>AE$158*'Methanol recycling rates'!AG57</f>
        <v>0</v>
      </c>
      <c r="AF159" s="216">
        <f>AF$158*'Methanol recycling rates'!AH57</f>
        <v>0</v>
      </c>
      <c r="AG159" s="216">
        <f>AG$158*'Methanol recycling rates'!AI57</f>
        <v>0</v>
      </c>
      <c r="AH159" s="230"/>
      <c r="AI159" s="126"/>
      <c r="AJ159" s="198"/>
      <c r="AL159" s="102"/>
      <c r="AM159" s="2"/>
      <c r="AN159" s="2"/>
      <c r="AO159" s="2"/>
      <c r="BC159" s="1"/>
      <c r="BD159" s="2"/>
      <c r="BE159" s="2"/>
      <c r="BF159" s="2"/>
      <c r="BG159" s="2"/>
      <c r="BH159" s="2"/>
      <c r="BI159" s="2"/>
      <c r="BJ159" s="2"/>
      <c r="BK159" s="2"/>
    </row>
    <row r="160" spans="1:63" outlineLevel="1">
      <c r="A160" s="4" t="s">
        <v>160</v>
      </c>
      <c r="C160" s="216">
        <f>C$158*'Methanol recycling rates'!E58</f>
        <v>0</v>
      </c>
      <c r="D160" s="216">
        <f>D$158*'Methanol recycling rates'!F58</f>
        <v>0.19704677325680497</v>
      </c>
      <c r="E160" s="216">
        <f>E$158*'Methanol recycling rates'!G58</f>
        <v>0.47367580850932739</v>
      </c>
      <c r="F160" s="216">
        <f>F$158*'Methanol recycling rates'!H58</f>
        <v>0.82895298644945015</v>
      </c>
      <c r="G160" s="216">
        <f>G$158*'Methanol recycling rates'!I58</f>
        <v>1.2612073769181384</v>
      </c>
      <c r="H160" s="216">
        <f>H$158*'Methanol recycling rates'!J58</f>
        <v>1.7680312389054382</v>
      </c>
      <c r="I160" s="216">
        <f>I$158*'Methanol recycling rates'!K58</f>
        <v>2.3462800205504806</v>
      </c>
      <c r="J160" s="216">
        <f>J$158*'Methanol recycling rates'!L58</f>
        <v>2.9920723591414733</v>
      </c>
      <c r="K160" s="216">
        <f>K$158*'Methanol recycling rates'!M58</f>
        <v>3.7007900811157124</v>
      </c>
      <c r="L160" s="216">
        <f>L$158*'Methanol recycling rates'!N58</f>
        <v>4.4670782020595716</v>
      </c>
      <c r="M160" s="216">
        <f>M$158*'Methanol recycling rates'!O58</f>
        <v>5.2848449267085078</v>
      </c>
      <c r="N160" s="216">
        <f>N$158*'Methanol recycling rates'!P58</f>
        <v>6.6013181263682217</v>
      </c>
      <c r="O160" s="216">
        <f>O$158*'Methanol recycling rates'!Q58</f>
        <v>8.0226798595376092</v>
      </c>
      <c r="P160" s="216">
        <f>P$158*'Methanol recycling rates'!R58</f>
        <v>9.5275619504079092</v>
      </c>
      <c r="Q160" s="216">
        <f>Q$158*'Methanol recycling rates'!S58</f>
        <v>11.104137083945705</v>
      </c>
      <c r="R160" s="216">
        <f>R$158*'Methanol recycling rates'!T58</f>
        <v>12.734484284745479</v>
      </c>
      <c r="S160" s="216">
        <f>S$158*'Methanol recycling rates'!U58</f>
        <v>14.399181670639866</v>
      </c>
      <c r="T160" s="216">
        <f>T$158*'Methanol recycling rates'!V58</f>
        <v>16.077314182320585</v>
      </c>
      <c r="U160" s="216">
        <f>U$158*'Methanol recycling rates'!W58</f>
        <v>17.746481564540574</v>
      </c>
      <c r="V160" s="216">
        <f>V$158*'Methanol recycling rates'!X58</f>
        <v>19.382806598897385</v>
      </c>
      <c r="W160" s="216">
        <f>W$158*'Methanol recycling rates'!Y58</f>
        <v>20.960943588197786</v>
      </c>
      <c r="X160" s="216">
        <f>X$158*'Methanol recycling rates'!Z58</f>
        <v>23.310954912482366</v>
      </c>
      <c r="Y160" s="216">
        <f>Y$158*'Methanol recycling rates'!AA58</f>
        <v>25.55544751444021</v>
      </c>
      <c r="Z160" s="216">
        <f>Z$158*'Methanol recycling rates'!AB58</f>
        <v>27.575679760793815</v>
      </c>
      <c r="AA160" s="216">
        <f>AA$158*'Methanol recycling rates'!AC58</f>
        <v>29.38457453679473</v>
      </c>
      <c r="AB160" s="216">
        <f>AB$158*'Methanol recycling rates'!AD58</f>
        <v>30.933339438426852</v>
      </c>
      <c r="AC160" s="216">
        <f>AC$158*'Methanol recycling rates'!AE58</f>
        <v>32.171491735284285</v>
      </c>
      <c r="AD160" s="216">
        <f>AD$158*'Methanol recycling rates'!AF58</f>
        <v>33.046948818691732</v>
      </c>
      <c r="AE160" s="216">
        <f>AE$158*'Methanol recycling rates'!AG58</f>
        <v>33.506121806888181</v>
      </c>
      <c r="AF160" s="216">
        <f>AF$158*'Methanol recycling rates'!AH58</f>
        <v>33.494012307274268</v>
      </c>
      <c r="AG160" s="216">
        <f>AG$158*'Methanol recycling rates'!AI58</f>
        <v>32.954312335722989</v>
      </c>
      <c r="AH160" s="230"/>
      <c r="AI160" s="126"/>
      <c r="AJ160" s="198"/>
      <c r="AL160" s="102"/>
      <c r="AM160" s="2"/>
      <c r="AN160" s="2"/>
      <c r="AO160" s="2"/>
      <c r="BC160" s="1"/>
      <c r="BD160" s="2"/>
      <c r="BE160" s="2"/>
      <c r="BF160" s="2"/>
      <c r="BG160" s="2"/>
      <c r="BH160" s="2"/>
      <c r="BI160" s="2"/>
      <c r="BJ160" s="2"/>
      <c r="BK160" s="2"/>
    </row>
    <row r="161" spans="1:63" outlineLevel="1">
      <c r="A161" s="4" t="s">
        <v>1159</v>
      </c>
      <c r="C161" s="216">
        <f>C$158*'Methanol recycling rates'!E59</f>
        <v>40.4376301564362</v>
      </c>
      <c r="D161" s="216">
        <f>D$158*'Methanol recycling rates'!F59</f>
        <v>50.513715227422843</v>
      </c>
      <c r="E161" s="216">
        <f>E$158*'Methanol recycling rates'!G59</f>
        <v>60.477490236445099</v>
      </c>
      <c r="F161" s="216">
        <f>F$158*'Methanol recycling rates'!H59</f>
        <v>70.28248401029748</v>
      </c>
      <c r="G161" s="216">
        <f>G$158*'Methanol recycling rates'!I59</f>
        <v>79.882962186625406</v>
      </c>
      <c r="H161" s="216">
        <f>H$158*'Methanol recycling rates'!J59</f>
        <v>89.233927213925142</v>
      </c>
      <c r="I161" s="216">
        <f>I$158*'Methanol recycling rates'!K59</f>
        <v>98.291118351544057</v>
      </c>
      <c r="J161" s="216">
        <f>J$158*'Methanol recycling rates'!L59</f>
        <v>107.01101166968019</v>
      </c>
      <c r="K161" s="216">
        <f>K$158*'Methanol recycling rates'!M59</f>
        <v>115.35082004938268</v>
      </c>
      <c r="L161" s="216">
        <f>L$158*'Methanol recycling rates'!N59</f>
        <v>123.26849318255151</v>
      </c>
      <c r="M161" s="216">
        <f>M$158*'Methanol recycling rates'!O59</f>
        <v>130.72271757193761</v>
      </c>
      <c r="N161" s="216">
        <f>N$158*'Methanol recycling rates'!P59</f>
        <v>147.84188006096679</v>
      </c>
      <c r="O161" s="216">
        <f>O$158*'Methanol recycling rates'!Q59</f>
        <v>164.03300445018075</v>
      </c>
      <c r="P161" s="216">
        <f>P$158*'Methanol recycling rates'!R59</f>
        <v>179.08440234787903</v>
      </c>
      <c r="Q161" s="216">
        <f>Q$158*'Methanol recycling rates'!S59</f>
        <v>193.01681623807232</v>
      </c>
      <c r="R161" s="216">
        <f>R$158*'Methanol recycling rates'!T59</f>
        <v>205.75015638937654</v>
      </c>
      <c r="S161" s="216">
        <f>S$158*'Methanol recycling rates'!U59</f>
        <v>217.20619513776668</v>
      </c>
      <c r="T161" s="216">
        <f>T$158*'Methanol recycling rates'!V59</f>
        <v>227.30856994785916</v>
      </c>
      <c r="U161" s="216">
        <f>U$158*'Methanol recycling rates'!W59</f>
        <v>235.98278622261284</v>
      </c>
      <c r="V161" s="216">
        <f>V$158*'Methanol recycling rates'!X59</f>
        <v>243.15621986144879</v>
      </c>
      <c r="W161" s="216">
        <f>W$158*'Methanol recycling rates'!Y59</f>
        <v>248.75811956678902</v>
      </c>
      <c r="X161" s="216">
        <f>X$158*'Methanol recycling rates'!Z59</f>
        <v>262.36361265999102</v>
      </c>
      <c r="Y161" s="216">
        <f>Y$158*'Methanol recycling rates'!AA59</f>
        <v>273.38977597610949</v>
      </c>
      <c r="Z161" s="216">
        <f>Z$158*'Methanol recycling rates'!AB59</f>
        <v>280.97691285332564</v>
      </c>
      <c r="AA161" s="216">
        <f>AA$158*'Methanol recycling rates'!AC59</f>
        <v>285.70858439486051</v>
      </c>
      <c r="AB161" s="216">
        <f>AB$158*'Methanol recycling rates'!AD59</f>
        <v>287.49932265930283</v>
      </c>
      <c r="AC161" s="216">
        <f>AC$158*'Methanol recycling rates'!AE59</f>
        <v>286.26927423309075</v>
      </c>
      <c r="AD161" s="216">
        <f>AD$158*'Methanol recycling rates'!AF59</f>
        <v>281.94424519617536</v>
      </c>
      <c r="AE161" s="216">
        <f>AE$158*'Methanol recycling rates'!AG59</f>
        <v>274.45574293062037</v>
      </c>
      <c r="AF161" s="216">
        <f>AF$158*'Methanol recycling rates'!AH59</f>
        <v>263.74101477213861</v>
      </c>
      <c r="AG161" s="216">
        <f>AG$158*'Methanol recycling rates'!AI59</f>
        <v>249.74308350456431</v>
      </c>
      <c r="AH161" s="230"/>
      <c r="AI161" s="126"/>
      <c r="AJ161" s="198"/>
      <c r="AL161" s="102"/>
      <c r="AM161" s="2"/>
      <c r="AN161" s="2"/>
      <c r="AO161" s="2"/>
      <c r="BC161" s="1"/>
      <c r="BD161" s="2"/>
      <c r="BE161" s="2"/>
      <c r="BF161" s="2"/>
      <c r="BG161" s="2"/>
      <c r="BH161" s="2"/>
      <c r="BI161" s="2"/>
      <c r="BJ161" s="2"/>
      <c r="BK161" s="2"/>
    </row>
    <row r="162" spans="1:63" s="1" customFormat="1" outlineLevel="1">
      <c r="A162" s="1" t="s">
        <v>1165</v>
      </c>
      <c r="B162" s="61"/>
      <c r="C162" s="279">
        <f>C158-$C158</f>
        <v>0</v>
      </c>
      <c r="D162" s="279">
        <f t="shared" ref="D162:AG165" si="84">D158-$C158</f>
        <v>10.273131844243444</v>
      </c>
      <c r="E162" s="279">
        <f t="shared" si="84"/>
        <v>20.51353588851822</v>
      </c>
      <c r="F162" s="279">
        <f t="shared" si="84"/>
        <v>30.673806840310718</v>
      </c>
      <c r="G162" s="279">
        <f t="shared" si="84"/>
        <v>40.706539407107329</v>
      </c>
      <c r="H162" s="279">
        <f t="shared" si="84"/>
        <v>50.564328296394365</v>
      </c>
      <c r="I162" s="279">
        <f t="shared" si="84"/>
        <v>60.19976821565831</v>
      </c>
      <c r="J162" s="279">
        <f t="shared" si="84"/>
        <v>69.565453872385419</v>
      </c>
      <c r="K162" s="279">
        <f t="shared" si="84"/>
        <v>78.613979974062147</v>
      </c>
      <c r="L162" s="279">
        <f t="shared" si="84"/>
        <v>87.297941228174835</v>
      </c>
      <c r="M162" s="279">
        <f t="shared" si="84"/>
        <v>95.569932342209853</v>
      </c>
      <c r="N162" s="279">
        <f t="shared" si="84"/>
        <v>114.00556803089873</v>
      </c>
      <c r="O162" s="279">
        <f t="shared" si="84"/>
        <v>131.61805415328206</v>
      </c>
      <c r="P162" s="279">
        <f t="shared" si="84"/>
        <v>148.17433414185064</v>
      </c>
      <c r="Q162" s="279">
        <f t="shared" si="84"/>
        <v>163.6833231655817</v>
      </c>
      <c r="R162" s="279">
        <f t="shared" si="84"/>
        <v>178.04701051768566</v>
      </c>
      <c r="S162" s="279">
        <f t="shared" si="84"/>
        <v>191.16774665197016</v>
      </c>
      <c r="T162" s="279">
        <f t="shared" si="84"/>
        <v>202.94825397374333</v>
      </c>
      <c r="U162" s="279">
        <f t="shared" si="84"/>
        <v>213.29163763071699</v>
      </c>
      <c r="V162" s="279">
        <f t="shared" si="84"/>
        <v>222.10139630390975</v>
      </c>
      <c r="W162" s="279">
        <f t="shared" si="84"/>
        <v>229.28143299855034</v>
      </c>
      <c r="X162" s="279">
        <f t="shared" si="84"/>
        <v>245.23693741603691</v>
      </c>
      <c r="Y162" s="279">
        <f t="shared" si="84"/>
        <v>258.50759333411315</v>
      </c>
      <c r="Z162" s="279">
        <f t="shared" si="84"/>
        <v>268.11496245768296</v>
      </c>
      <c r="AA162" s="279">
        <f t="shared" si="84"/>
        <v>274.65552877521873</v>
      </c>
      <c r="AB162" s="279">
        <f t="shared" si="84"/>
        <v>277.99503194129318</v>
      </c>
      <c r="AC162" s="279">
        <f t="shared" si="84"/>
        <v>278.00313581193848</v>
      </c>
      <c r="AD162" s="279">
        <f t="shared" si="84"/>
        <v>274.55356385843049</v>
      </c>
      <c r="AE162" s="279">
        <f t="shared" si="84"/>
        <v>267.52423458107194</v>
      </c>
      <c r="AF162" s="279">
        <f t="shared" si="84"/>
        <v>256.7973969229763</v>
      </c>
      <c r="AG162" s="279">
        <f t="shared" si="84"/>
        <v>242.2597656838511</v>
      </c>
      <c r="AH162" s="230"/>
      <c r="AI162" s="398"/>
      <c r="AJ162" s="399"/>
      <c r="AL162" s="207"/>
      <c r="AM162" s="118"/>
      <c r="AN162" s="118"/>
      <c r="AO162" s="118"/>
      <c r="BD162" s="118"/>
      <c r="BE162" s="118"/>
      <c r="BF162" s="118"/>
      <c r="BG162" s="118"/>
      <c r="BH162" s="118"/>
      <c r="BI162" s="118"/>
      <c r="BJ162" s="118"/>
      <c r="BK162" s="118"/>
    </row>
    <row r="163" spans="1:63" outlineLevel="1">
      <c r="A163" s="4" t="s">
        <v>35</v>
      </c>
      <c r="C163" s="216">
        <f t="shared" ref="C163:C165" si="85">C159-$C159</f>
        <v>0</v>
      </c>
      <c r="D163" s="216">
        <f t="shared" si="84"/>
        <v>0</v>
      </c>
      <c r="E163" s="216">
        <f t="shared" si="84"/>
        <v>0</v>
      </c>
      <c r="F163" s="216">
        <f t="shared" si="84"/>
        <v>0</v>
      </c>
      <c r="G163" s="216">
        <f t="shared" si="84"/>
        <v>0</v>
      </c>
      <c r="H163" s="216">
        <f t="shared" si="84"/>
        <v>0</v>
      </c>
      <c r="I163" s="216">
        <f t="shared" si="84"/>
        <v>0</v>
      </c>
      <c r="J163" s="216">
        <f t="shared" si="84"/>
        <v>0</v>
      </c>
      <c r="K163" s="216">
        <f t="shared" si="84"/>
        <v>0</v>
      </c>
      <c r="L163" s="216">
        <f t="shared" si="84"/>
        <v>0</v>
      </c>
      <c r="M163" s="216">
        <f t="shared" si="84"/>
        <v>0</v>
      </c>
      <c r="N163" s="216">
        <f t="shared" si="84"/>
        <v>0</v>
      </c>
      <c r="O163" s="216">
        <f t="shared" si="84"/>
        <v>0</v>
      </c>
      <c r="P163" s="216">
        <f t="shared" si="84"/>
        <v>0</v>
      </c>
      <c r="Q163" s="216">
        <f t="shared" si="84"/>
        <v>0</v>
      </c>
      <c r="R163" s="216">
        <f t="shared" si="84"/>
        <v>0</v>
      </c>
      <c r="S163" s="216">
        <f t="shared" si="84"/>
        <v>0</v>
      </c>
      <c r="T163" s="216">
        <f t="shared" si="84"/>
        <v>0</v>
      </c>
      <c r="U163" s="216">
        <f t="shared" si="84"/>
        <v>0</v>
      </c>
      <c r="V163" s="216">
        <f t="shared" si="84"/>
        <v>0</v>
      </c>
      <c r="W163" s="216">
        <f t="shared" si="84"/>
        <v>0</v>
      </c>
      <c r="X163" s="216">
        <f t="shared" si="84"/>
        <v>0</v>
      </c>
      <c r="Y163" s="216">
        <f t="shared" si="84"/>
        <v>0</v>
      </c>
      <c r="Z163" s="216">
        <f t="shared" si="84"/>
        <v>0</v>
      </c>
      <c r="AA163" s="216">
        <f t="shared" si="84"/>
        <v>0</v>
      </c>
      <c r="AB163" s="216">
        <f t="shared" si="84"/>
        <v>0</v>
      </c>
      <c r="AC163" s="216">
        <f t="shared" si="84"/>
        <v>0</v>
      </c>
      <c r="AD163" s="216">
        <f t="shared" si="84"/>
        <v>0</v>
      </c>
      <c r="AE163" s="216">
        <f t="shared" si="84"/>
        <v>0</v>
      </c>
      <c r="AF163" s="216">
        <f t="shared" si="84"/>
        <v>0</v>
      </c>
      <c r="AG163" s="216">
        <f t="shared" si="84"/>
        <v>0</v>
      </c>
      <c r="AH163" s="230"/>
      <c r="AI163" s="126"/>
      <c r="AJ163" s="198"/>
      <c r="AL163" s="102"/>
      <c r="AM163" s="2"/>
      <c r="AN163" s="2"/>
      <c r="AO163" s="2"/>
      <c r="BC163" s="1"/>
      <c r="BD163" s="2"/>
      <c r="BE163" s="2"/>
      <c r="BF163" s="2"/>
      <c r="BG163" s="2"/>
      <c r="BH163" s="2"/>
      <c r="BI163" s="2"/>
      <c r="BJ163" s="2"/>
      <c r="BK163" s="2"/>
    </row>
    <row r="164" spans="1:63" outlineLevel="1">
      <c r="A164" s="4" t="s">
        <v>160</v>
      </c>
      <c r="C164" s="216">
        <f t="shared" si="85"/>
        <v>0</v>
      </c>
      <c r="D164" s="216">
        <f t="shared" si="84"/>
        <v>0.19704677325680497</v>
      </c>
      <c r="E164" s="216">
        <f t="shared" si="84"/>
        <v>0.47367580850932739</v>
      </c>
      <c r="F164" s="216">
        <f t="shared" si="84"/>
        <v>0.82895298644945015</v>
      </c>
      <c r="G164" s="216">
        <f t="shared" si="84"/>
        <v>1.2612073769181384</v>
      </c>
      <c r="H164" s="216">
        <f t="shared" si="84"/>
        <v>1.7680312389054382</v>
      </c>
      <c r="I164" s="216">
        <f t="shared" si="84"/>
        <v>2.3462800205504806</v>
      </c>
      <c r="J164" s="216">
        <f t="shared" si="84"/>
        <v>2.9920723591414733</v>
      </c>
      <c r="K164" s="216">
        <f t="shared" si="84"/>
        <v>3.7007900811157124</v>
      </c>
      <c r="L164" s="216">
        <f t="shared" si="84"/>
        <v>4.4670782020595716</v>
      </c>
      <c r="M164" s="216">
        <f t="shared" si="84"/>
        <v>5.2848449267085078</v>
      </c>
      <c r="N164" s="216">
        <f t="shared" si="84"/>
        <v>6.6013181263682217</v>
      </c>
      <c r="O164" s="216">
        <f t="shared" si="84"/>
        <v>8.0226798595376092</v>
      </c>
      <c r="P164" s="216">
        <f t="shared" si="84"/>
        <v>9.5275619504079092</v>
      </c>
      <c r="Q164" s="216">
        <f t="shared" si="84"/>
        <v>11.104137083945705</v>
      </c>
      <c r="R164" s="216">
        <f t="shared" si="84"/>
        <v>12.734484284745479</v>
      </c>
      <c r="S164" s="216">
        <f t="shared" si="84"/>
        <v>14.399181670639866</v>
      </c>
      <c r="T164" s="216">
        <f t="shared" si="84"/>
        <v>16.077314182320585</v>
      </c>
      <c r="U164" s="216">
        <f t="shared" si="84"/>
        <v>17.746481564540574</v>
      </c>
      <c r="V164" s="216">
        <f t="shared" si="84"/>
        <v>19.382806598897385</v>
      </c>
      <c r="W164" s="216">
        <f t="shared" si="84"/>
        <v>20.960943588197786</v>
      </c>
      <c r="X164" s="216">
        <f t="shared" si="84"/>
        <v>23.310954912482366</v>
      </c>
      <c r="Y164" s="216">
        <f t="shared" si="84"/>
        <v>25.55544751444021</v>
      </c>
      <c r="Z164" s="216">
        <f t="shared" si="84"/>
        <v>27.575679760793815</v>
      </c>
      <c r="AA164" s="216">
        <f t="shared" si="84"/>
        <v>29.38457453679473</v>
      </c>
      <c r="AB164" s="216">
        <f t="shared" si="84"/>
        <v>30.933339438426852</v>
      </c>
      <c r="AC164" s="216">
        <f t="shared" si="84"/>
        <v>32.171491735284285</v>
      </c>
      <c r="AD164" s="216">
        <f t="shared" si="84"/>
        <v>33.046948818691732</v>
      </c>
      <c r="AE164" s="216">
        <f t="shared" si="84"/>
        <v>33.506121806888181</v>
      </c>
      <c r="AF164" s="216">
        <f t="shared" si="84"/>
        <v>33.494012307274268</v>
      </c>
      <c r="AG164" s="216">
        <f t="shared" si="84"/>
        <v>32.954312335722989</v>
      </c>
      <c r="AH164" s="230"/>
      <c r="AI164" s="126"/>
      <c r="AJ164" s="198"/>
      <c r="AL164" s="102"/>
      <c r="AM164" s="2"/>
      <c r="AN164" s="2"/>
      <c r="AO164" s="2"/>
      <c r="BC164" s="1"/>
      <c r="BD164" s="2"/>
      <c r="BE164" s="2"/>
      <c r="BF164" s="2"/>
      <c r="BG164" s="2"/>
      <c r="BH164" s="2"/>
      <c r="BI164" s="2"/>
      <c r="BJ164" s="2"/>
      <c r="BK164" s="2"/>
    </row>
    <row r="165" spans="1:63" outlineLevel="1">
      <c r="A165" s="4" t="s">
        <v>1159</v>
      </c>
      <c r="C165" s="216">
        <f t="shared" si="85"/>
        <v>0</v>
      </c>
      <c r="D165" s="216">
        <f t="shared" si="84"/>
        <v>10.076085070986643</v>
      </c>
      <c r="E165" s="216">
        <f t="shared" si="84"/>
        <v>20.0398600800089</v>
      </c>
      <c r="F165" s="216">
        <f t="shared" si="84"/>
        <v>29.844853853861281</v>
      </c>
      <c r="G165" s="216">
        <f t="shared" si="84"/>
        <v>39.445332030189206</v>
      </c>
      <c r="H165" s="216">
        <f t="shared" si="84"/>
        <v>48.796297057488943</v>
      </c>
      <c r="I165" s="216">
        <f t="shared" si="84"/>
        <v>57.853488195107857</v>
      </c>
      <c r="J165" s="216">
        <f t="shared" si="84"/>
        <v>66.573381513243987</v>
      </c>
      <c r="K165" s="216">
        <f t="shared" si="84"/>
        <v>74.913189892946477</v>
      </c>
      <c r="L165" s="216">
        <f t="shared" si="84"/>
        <v>82.83086302611531</v>
      </c>
      <c r="M165" s="216">
        <f t="shared" si="84"/>
        <v>90.285087415501408</v>
      </c>
      <c r="N165" s="216">
        <f t="shared" si="84"/>
        <v>107.40424990453059</v>
      </c>
      <c r="O165" s="216">
        <f t="shared" si="84"/>
        <v>123.59537429374456</v>
      </c>
      <c r="P165" s="216">
        <f t="shared" si="84"/>
        <v>138.64677219144284</v>
      </c>
      <c r="Q165" s="216">
        <f t="shared" si="84"/>
        <v>152.57918608163612</v>
      </c>
      <c r="R165" s="216">
        <f t="shared" si="84"/>
        <v>165.31252623294034</v>
      </c>
      <c r="S165" s="216">
        <f t="shared" si="84"/>
        <v>176.76856498133048</v>
      </c>
      <c r="T165" s="216">
        <f t="shared" si="84"/>
        <v>186.87093979142296</v>
      </c>
      <c r="U165" s="216">
        <f t="shared" si="84"/>
        <v>195.54515606617665</v>
      </c>
      <c r="V165" s="216">
        <f t="shared" si="84"/>
        <v>202.71858970501259</v>
      </c>
      <c r="W165" s="216">
        <f t="shared" si="84"/>
        <v>208.32048941035282</v>
      </c>
      <c r="X165" s="216">
        <f t="shared" si="84"/>
        <v>221.92598250355482</v>
      </c>
      <c r="Y165" s="216">
        <f t="shared" si="84"/>
        <v>232.95214581967329</v>
      </c>
      <c r="Z165" s="216">
        <f t="shared" si="84"/>
        <v>240.53928269688944</v>
      </c>
      <c r="AA165" s="216">
        <f t="shared" si="84"/>
        <v>245.27095423842431</v>
      </c>
      <c r="AB165" s="216">
        <f t="shared" si="84"/>
        <v>247.06169250286663</v>
      </c>
      <c r="AC165" s="216">
        <f t="shared" si="84"/>
        <v>245.83164407665456</v>
      </c>
      <c r="AD165" s="216">
        <f t="shared" si="84"/>
        <v>241.50661503973916</v>
      </c>
      <c r="AE165" s="216">
        <f t="shared" si="84"/>
        <v>234.01811277418417</v>
      </c>
      <c r="AF165" s="216">
        <f t="shared" si="84"/>
        <v>223.30338461570241</v>
      </c>
      <c r="AG165" s="216">
        <f t="shared" si="84"/>
        <v>209.30545334812811</v>
      </c>
      <c r="AH165" s="230"/>
      <c r="AI165" s="126"/>
      <c r="AJ165" s="198"/>
      <c r="AL165" s="102"/>
      <c r="AM165" s="2"/>
      <c r="AN165" s="2"/>
      <c r="AO165" s="2"/>
      <c r="BC165" s="1"/>
      <c r="BD165" s="2"/>
      <c r="BE165" s="2"/>
      <c r="BF165" s="2"/>
      <c r="BG165" s="2"/>
      <c r="BH165" s="2"/>
      <c r="BI165" s="2"/>
      <c r="BJ165" s="2"/>
      <c r="BK165" s="2"/>
    </row>
    <row r="166" spans="1:63" outlineLevel="1">
      <c r="C166" s="104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  <c r="AF166" s="22"/>
      <c r="AG166" s="22"/>
      <c r="AJ166" s="198"/>
      <c r="AM166" s="117"/>
      <c r="AN166" s="117"/>
    </row>
    <row r="167" spans="1:63" s="187" customFormat="1" ht="15.5" thickBot="1">
      <c r="A167" s="187" t="s">
        <v>447</v>
      </c>
      <c r="B167" s="202"/>
      <c r="C167" s="210">
        <f>C168</f>
        <v>0.13</v>
      </c>
      <c r="D167" s="210">
        <f t="shared" ref="D167:AG167" si="86">D168</f>
        <v>0.13557711853523402</v>
      </c>
      <c r="E167" s="210">
        <f t="shared" si="86"/>
        <v>0.14115423707046801</v>
      </c>
      <c r="F167" s="210">
        <f t="shared" si="86"/>
        <v>0.14673135560570202</v>
      </c>
      <c r="G167" s="210">
        <f t="shared" si="86"/>
        <v>0.15230847414093604</v>
      </c>
      <c r="H167" s="210">
        <f t="shared" si="86"/>
        <v>0.15788559267617003</v>
      </c>
      <c r="I167" s="210">
        <f t="shared" si="86"/>
        <v>0.16346271121140404</v>
      </c>
      <c r="J167" s="210">
        <f t="shared" si="86"/>
        <v>0.16903982974663806</v>
      </c>
      <c r="K167" s="210">
        <f t="shared" si="86"/>
        <v>0.17461694828187208</v>
      </c>
      <c r="L167" s="210">
        <f t="shared" si="86"/>
        <v>0.18019406681710606</v>
      </c>
      <c r="M167" s="210">
        <f t="shared" si="86"/>
        <v>0.18577118535234008</v>
      </c>
      <c r="N167" s="210">
        <f t="shared" si="86"/>
        <v>0.19752603518814099</v>
      </c>
      <c r="O167" s="210">
        <f t="shared" si="86"/>
        <v>0.20928088502394188</v>
      </c>
      <c r="P167" s="210">
        <f t="shared" si="86"/>
        <v>0.22103573485974279</v>
      </c>
      <c r="Q167" s="210">
        <f t="shared" si="86"/>
        <v>0.2327905846955437</v>
      </c>
      <c r="R167" s="210">
        <f t="shared" si="86"/>
        <v>0.24454543453134459</v>
      </c>
      <c r="S167" s="210">
        <f t="shared" si="86"/>
        <v>0.25630028436714547</v>
      </c>
      <c r="T167" s="210">
        <f t="shared" si="86"/>
        <v>0.26805513420294641</v>
      </c>
      <c r="U167" s="210">
        <f t="shared" si="86"/>
        <v>0.27980998403874729</v>
      </c>
      <c r="V167" s="210">
        <f t="shared" si="86"/>
        <v>0.29156483387454823</v>
      </c>
      <c r="W167" s="210">
        <f t="shared" si="86"/>
        <v>0.30331968371034912</v>
      </c>
      <c r="X167" s="210">
        <f t="shared" si="86"/>
        <v>0.3229877153393142</v>
      </c>
      <c r="Y167" s="210">
        <f t="shared" si="86"/>
        <v>0.34265574696827927</v>
      </c>
      <c r="Z167" s="210">
        <f t="shared" si="86"/>
        <v>0.36232377859724441</v>
      </c>
      <c r="AA167" s="210">
        <f t="shared" si="86"/>
        <v>0.38199181022620948</v>
      </c>
      <c r="AB167" s="210">
        <f t="shared" si="86"/>
        <v>0.40165984185517456</v>
      </c>
      <c r="AC167" s="210">
        <f t="shared" si="86"/>
        <v>0.42132787348413964</v>
      </c>
      <c r="AD167" s="210">
        <f t="shared" si="86"/>
        <v>0.44099590511310471</v>
      </c>
      <c r="AE167" s="210">
        <f t="shared" si="86"/>
        <v>0.46066393674206985</v>
      </c>
      <c r="AF167" s="210">
        <f t="shared" si="86"/>
        <v>0.48033196837103487</v>
      </c>
      <c r="AG167" s="210">
        <f t="shared" si="86"/>
        <v>0.5</v>
      </c>
      <c r="AJ167" s="217" t="s">
        <v>471</v>
      </c>
      <c r="AL167" s="204"/>
      <c r="AM167" s="211"/>
      <c r="AN167" s="211"/>
      <c r="AO167" s="211"/>
    </row>
    <row r="168" spans="1:63" ht="15.5" outlineLevel="1" thickTop="1">
      <c r="A168" t="s">
        <v>448</v>
      </c>
      <c r="B168" s="51" t="s">
        <v>126</v>
      </c>
      <c r="C168" s="201">
        <v>0.13</v>
      </c>
      <c r="D168" s="104">
        <f>$C168+($M168-$C168)/10*(D$1-$C$1)</f>
        <v>0.13557711853523402</v>
      </c>
      <c r="E168" s="104">
        <f t="shared" ref="E168:L168" si="87">$C168+($M168-$C168)/10*(E$1-$C$1)</f>
        <v>0.14115423707046801</v>
      </c>
      <c r="F168" s="104">
        <f t="shared" si="87"/>
        <v>0.14673135560570202</v>
      </c>
      <c r="G168" s="104">
        <f t="shared" si="87"/>
        <v>0.15230847414093604</v>
      </c>
      <c r="H168" s="104">
        <f t="shared" si="87"/>
        <v>0.15788559267617003</v>
      </c>
      <c r="I168" s="104">
        <f t="shared" si="87"/>
        <v>0.16346271121140404</v>
      </c>
      <c r="J168" s="104">
        <f t="shared" si="87"/>
        <v>0.16903982974663806</v>
      </c>
      <c r="K168" s="104">
        <f t="shared" si="87"/>
        <v>0.17461694828187208</v>
      </c>
      <c r="L168" s="104">
        <f t="shared" si="87"/>
        <v>0.18019406681710606</v>
      </c>
      <c r="M168" s="115">
        <f>(M$49-$C$49)/($AG$49-$C$49)*($AG168-$C168)+$C168</f>
        <v>0.18577118535234008</v>
      </c>
      <c r="N168" s="115">
        <f>$M168+($W168-$M168)/10*(N$1-$M$1)</f>
        <v>0.19752603518814099</v>
      </c>
      <c r="O168" s="115">
        <f t="shared" ref="O168:U168" si="88">$M168+($W168-$M168)/10*(O$1-$M$1)</f>
        <v>0.20928088502394188</v>
      </c>
      <c r="P168" s="115">
        <f t="shared" si="88"/>
        <v>0.22103573485974279</v>
      </c>
      <c r="Q168" s="115">
        <f t="shared" si="88"/>
        <v>0.2327905846955437</v>
      </c>
      <c r="R168" s="115">
        <f t="shared" si="88"/>
        <v>0.24454543453134459</v>
      </c>
      <c r="S168" s="115">
        <f t="shared" si="88"/>
        <v>0.25630028436714547</v>
      </c>
      <c r="T168" s="115">
        <f t="shared" si="88"/>
        <v>0.26805513420294641</v>
      </c>
      <c r="U168" s="115">
        <f t="shared" si="88"/>
        <v>0.27980998403874729</v>
      </c>
      <c r="V168" s="115">
        <f>$M168+($W168-$M168)/10*(V$1-$M$1)</f>
        <v>0.29156483387454823</v>
      </c>
      <c r="W168" s="115">
        <f>(W$49-$C$49)/($AG$49-$C$49)*($AG168-$C168)+$C168</f>
        <v>0.30331968371034912</v>
      </c>
      <c r="X168" s="104">
        <f>$W168+($AG168-$W168)/10*(X$1-$W$1)</f>
        <v>0.3229877153393142</v>
      </c>
      <c r="Y168" s="104">
        <f t="shared" ref="Y168:AF168" si="89">$W168+($AG168-$W168)/10*(Y$1-$W$1)</f>
        <v>0.34265574696827927</v>
      </c>
      <c r="Z168" s="104">
        <f t="shared" si="89"/>
        <v>0.36232377859724441</v>
      </c>
      <c r="AA168" s="104">
        <f t="shared" si="89"/>
        <v>0.38199181022620948</v>
      </c>
      <c r="AB168" s="104">
        <f t="shared" si="89"/>
        <v>0.40165984185517456</v>
      </c>
      <c r="AC168" s="104">
        <f t="shared" si="89"/>
        <v>0.42132787348413964</v>
      </c>
      <c r="AD168" s="104">
        <f t="shared" si="89"/>
        <v>0.44099590511310471</v>
      </c>
      <c r="AE168" s="104">
        <f t="shared" si="89"/>
        <v>0.46066393674206985</v>
      </c>
      <c r="AF168" s="104">
        <f t="shared" si="89"/>
        <v>0.48033196837103487</v>
      </c>
      <c r="AG168" s="201">
        <v>0.5</v>
      </c>
      <c r="AJ168" s="198" t="s">
        <v>453</v>
      </c>
    </row>
    <row r="169" spans="1:63" outlineLevel="1">
      <c r="A169" t="s">
        <v>449</v>
      </c>
      <c r="B169" s="51" t="s">
        <v>126</v>
      </c>
      <c r="C169" s="201">
        <v>0.05</v>
      </c>
      <c r="D169" s="104">
        <f t="shared" ref="D169:AF169" si="90">C169-($C$169-$AG$169)/($AG$1-$C$1)</f>
        <v>5.8333333333333334E-2</v>
      </c>
      <c r="E169" s="104">
        <f t="shared" si="90"/>
        <v>6.6666666666666666E-2</v>
      </c>
      <c r="F169" s="104">
        <f t="shared" si="90"/>
        <v>7.4999999999999997E-2</v>
      </c>
      <c r="G169" s="104">
        <f t="shared" si="90"/>
        <v>8.3333333333333329E-2</v>
      </c>
      <c r="H169" s="104">
        <f t="shared" si="90"/>
        <v>9.166666666666666E-2</v>
      </c>
      <c r="I169" s="104">
        <f t="shared" si="90"/>
        <v>9.9999999999999992E-2</v>
      </c>
      <c r="J169" s="104">
        <f t="shared" si="90"/>
        <v>0.10833333333333332</v>
      </c>
      <c r="K169" s="104">
        <f t="shared" si="90"/>
        <v>0.11666666666666665</v>
      </c>
      <c r="L169" s="104">
        <f t="shared" si="90"/>
        <v>0.12499999999999999</v>
      </c>
      <c r="M169" s="104">
        <f t="shared" si="90"/>
        <v>0.13333333333333333</v>
      </c>
      <c r="N169" s="104">
        <f t="shared" si="90"/>
        <v>0.14166666666666666</v>
      </c>
      <c r="O169" s="104">
        <f t="shared" si="90"/>
        <v>0.15</v>
      </c>
      <c r="P169" s="104">
        <f t="shared" si="90"/>
        <v>0.15833333333333333</v>
      </c>
      <c r="Q169" s="104">
        <f t="shared" si="90"/>
        <v>0.16666666666666666</v>
      </c>
      <c r="R169" s="104">
        <f t="shared" si="90"/>
        <v>0.17499999999999999</v>
      </c>
      <c r="S169" s="104">
        <f t="shared" si="90"/>
        <v>0.18333333333333332</v>
      </c>
      <c r="T169" s="104">
        <f t="shared" si="90"/>
        <v>0.19166666666666665</v>
      </c>
      <c r="U169" s="104">
        <f t="shared" si="90"/>
        <v>0.19999999999999998</v>
      </c>
      <c r="V169" s="104">
        <f t="shared" si="90"/>
        <v>0.20833333333333331</v>
      </c>
      <c r="W169" s="104">
        <f t="shared" si="90"/>
        <v>0.21666666666666665</v>
      </c>
      <c r="X169" s="104">
        <f t="shared" si="90"/>
        <v>0.22499999999999998</v>
      </c>
      <c r="Y169" s="104">
        <f t="shared" si="90"/>
        <v>0.23333333333333331</v>
      </c>
      <c r="Z169" s="104">
        <f t="shared" si="90"/>
        <v>0.24166666666666664</v>
      </c>
      <c r="AA169" s="104">
        <f t="shared" si="90"/>
        <v>0.24999999999999997</v>
      </c>
      <c r="AB169" s="104">
        <f t="shared" si="90"/>
        <v>0.2583333333333333</v>
      </c>
      <c r="AC169" s="104">
        <f t="shared" si="90"/>
        <v>0.26666666666666666</v>
      </c>
      <c r="AD169" s="104">
        <f t="shared" si="90"/>
        <v>0.27500000000000002</v>
      </c>
      <c r="AE169" s="104">
        <f t="shared" si="90"/>
        <v>0.28333333333333338</v>
      </c>
      <c r="AF169" s="104">
        <f t="shared" si="90"/>
        <v>0.29166666666666674</v>
      </c>
      <c r="AG169" s="201">
        <v>0.3</v>
      </c>
      <c r="AI169" s="128"/>
      <c r="AJ169" s="198" t="s">
        <v>645</v>
      </c>
      <c r="AM169" s="117"/>
      <c r="AN169" s="117"/>
    </row>
    <row r="170" spans="1:63" ht="14.5" customHeight="1" outlineLevel="1">
      <c r="A170" t="s">
        <v>450</v>
      </c>
      <c r="B170" s="165" t="s">
        <v>126</v>
      </c>
      <c r="C170" s="104">
        <f>1-C169</f>
        <v>0.95</v>
      </c>
      <c r="D170" s="104">
        <f t="shared" ref="D170:AG170" si="91">1-D169</f>
        <v>0.94166666666666665</v>
      </c>
      <c r="E170" s="104">
        <f t="shared" si="91"/>
        <v>0.93333333333333335</v>
      </c>
      <c r="F170" s="104">
        <f t="shared" si="91"/>
        <v>0.92500000000000004</v>
      </c>
      <c r="G170" s="104">
        <f t="shared" si="91"/>
        <v>0.91666666666666663</v>
      </c>
      <c r="H170" s="104">
        <f t="shared" si="91"/>
        <v>0.90833333333333333</v>
      </c>
      <c r="I170" s="104">
        <f t="shared" si="91"/>
        <v>0.9</v>
      </c>
      <c r="J170" s="104">
        <f t="shared" si="91"/>
        <v>0.89166666666666672</v>
      </c>
      <c r="K170" s="104">
        <f t="shared" si="91"/>
        <v>0.8833333333333333</v>
      </c>
      <c r="L170" s="104">
        <f t="shared" si="91"/>
        <v>0.875</v>
      </c>
      <c r="M170" s="104">
        <f t="shared" si="91"/>
        <v>0.8666666666666667</v>
      </c>
      <c r="N170" s="104">
        <f t="shared" si="91"/>
        <v>0.85833333333333339</v>
      </c>
      <c r="O170" s="104">
        <f t="shared" si="91"/>
        <v>0.85</v>
      </c>
      <c r="P170" s="104">
        <f t="shared" si="91"/>
        <v>0.84166666666666667</v>
      </c>
      <c r="Q170" s="104">
        <f t="shared" si="91"/>
        <v>0.83333333333333337</v>
      </c>
      <c r="R170" s="104">
        <f t="shared" si="91"/>
        <v>0.82499999999999996</v>
      </c>
      <c r="S170" s="104">
        <f t="shared" si="91"/>
        <v>0.81666666666666665</v>
      </c>
      <c r="T170" s="104">
        <f t="shared" si="91"/>
        <v>0.80833333333333335</v>
      </c>
      <c r="U170" s="104">
        <f t="shared" si="91"/>
        <v>0.8</v>
      </c>
      <c r="V170" s="104">
        <f t="shared" si="91"/>
        <v>0.79166666666666674</v>
      </c>
      <c r="W170" s="104">
        <f t="shared" si="91"/>
        <v>0.78333333333333333</v>
      </c>
      <c r="X170" s="104">
        <f t="shared" si="91"/>
        <v>0.77500000000000002</v>
      </c>
      <c r="Y170" s="104">
        <f t="shared" si="91"/>
        <v>0.76666666666666672</v>
      </c>
      <c r="Z170" s="104">
        <f t="shared" si="91"/>
        <v>0.7583333333333333</v>
      </c>
      <c r="AA170" s="104">
        <f t="shared" si="91"/>
        <v>0.75</v>
      </c>
      <c r="AB170" s="104">
        <f t="shared" si="91"/>
        <v>0.7416666666666667</v>
      </c>
      <c r="AC170" s="104">
        <f t="shared" si="91"/>
        <v>0.73333333333333339</v>
      </c>
      <c r="AD170" s="104">
        <f t="shared" si="91"/>
        <v>0.72499999999999998</v>
      </c>
      <c r="AE170" s="104">
        <f t="shared" si="91"/>
        <v>0.71666666666666656</v>
      </c>
      <c r="AF170" s="104">
        <f t="shared" si="91"/>
        <v>0.70833333333333326</v>
      </c>
      <c r="AG170" s="104">
        <f t="shared" si="91"/>
        <v>0.7</v>
      </c>
      <c r="AI170" s="128" t="s">
        <v>285</v>
      </c>
      <c r="AJ170" s="198"/>
    </row>
    <row r="171" spans="1:63" outlineLevel="1">
      <c r="A171" t="s">
        <v>451</v>
      </c>
      <c r="B171" s="51" t="s">
        <v>126</v>
      </c>
      <c r="C171" s="104">
        <f>C168*C169</f>
        <v>6.5000000000000006E-3</v>
      </c>
      <c r="D171" s="104">
        <f t="shared" ref="D171:AG171" si="92">D168*D169</f>
        <v>7.9086652478886511E-3</v>
      </c>
      <c r="E171" s="104">
        <f t="shared" si="92"/>
        <v>9.4102824713645332E-3</v>
      </c>
      <c r="F171" s="104">
        <f t="shared" si="92"/>
        <v>1.1004851670427652E-2</v>
      </c>
      <c r="G171" s="104">
        <f t="shared" si="92"/>
        <v>1.2692372845078003E-2</v>
      </c>
      <c r="H171" s="104">
        <f t="shared" si="92"/>
        <v>1.4472845995315585E-2</v>
      </c>
      <c r="I171" s="104">
        <f t="shared" si="92"/>
        <v>1.6346271121140402E-2</v>
      </c>
      <c r="J171" s="104">
        <f t="shared" si="92"/>
        <v>1.8312648222552456E-2</v>
      </c>
      <c r="K171" s="104">
        <f t="shared" si="92"/>
        <v>2.037197729955174E-2</v>
      </c>
      <c r="L171" s="104">
        <f t="shared" si="92"/>
        <v>2.2524258352138254E-2</v>
      </c>
      <c r="M171" s="104">
        <f t="shared" si="92"/>
        <v>2.4769491380312009E-2</v>
      </c>
      <c r="N171" s="104">
        <f t="shared" si="92"/>
        <v>2.7982854984986639E-2</v>
      </c>
      <c r="O171" s="104">
        <f t="shared" si="92"/>
        <v>3.1392132753591283E-2</v>
      </c>
      <c r="P171" s="104">
        <f t="shared" si="92"/>
        <v>3.4997324686125937E-2</v>
      </c>
      <c r="Q171" s="104">
        <f t="shared" si="92"/>
        <v>3.8798430782590612E-2</v>
      </c>
      <c r="R171" s="104">
        <f t="shared" si="92"/>
        <v>4.2795451042985301E-2</v>
      </c>
      <c r="S171" s="104">
        <f t="shared" si="92"/>
        <v>4.6988385467309997E-2</v>
      </c>
      <c r="T171" s="104">
        <f t="shared" si="92"/>
        <v>5.1377234055564727E-2</v>
      </c>
      <c r="U171" s="104">
        <f t="shared" si="92"/>
        <v>5.5961996807749458E-2</v>
      </c>
      <c r="V171" s="104">
        <f t="shared" si="92"/>
        <v>6.0742673723864209E-2</v>
      </c>
      <c r="W171" s="104">
        <f t="shared" si="92"/>
        <v>6.5719264803908967E-2</v>
      </c>
      <c r="X171" s="104">
        <f t="shared" si="92"/>
        <v>7.2672235951345684E-2</v>
      </c>
      <c r="Y171" s="104">
        <f t="shared" si="92"/>
        <v>7.9953007625931827E-2</v>
      </c>
      <c r="Z171" s="104">
        <f t="shared" si="92"/>
        <v>8.7561579827667393E-2</v>
      </c>
      <c r="AA171" s="104">
        <f t="shared" si="92"/>
        <v>9.5497952556552357E-2</v>
      </c>
      <c r="AB171" s="104">
        <f t="shared" si="92"/>
        <v>0.10376212581258674</v>
      </c>
      <c r="AC171" s="104">
        <f t="shared" si="92"/>
        <v>0.11235409959577057</v>
      </c>
      <c r="AD171" s="104">
        <f t="shared" si="92"/>
        <v>0.12127387390610381</v>
      </c>
      <c r="AE171" s="104">
        <f t="shared" si="92"/>
        <v>0.13052144874358648</v>
      </c>
      <c r="AF171" s="104">
        <f t="shared" si="92"/>
        <v>0.14009682410821853</v>
      </c>
      <c r="AG171" s="104">
        <f t="shared" si="92"/>
        <v>0.15</v>
      </c>
      <c r="AI171" s="127"/>
      <c r="AJ171" s="198"/>
      <c r="BD171" s="190"/>
      <c r="BE171" s="190"/>
    </row>
    <row r="172" spans="1:63" outlineLevel="1">
      <c r="A172" t="s">
        <v>452</v>
      </c>
      <c r="B172" s="51" t="s">
        <v>126</v>
      </c>
      <c r="C172" s="104">
        <f>C168*C170</f>
        <v>0.1235</v>
      </c>
      <c r="D172" s="104">
        <f t="shared" ref="D172:AG172" si="93">D168*D170</f>
        <v>0.12766845328734536</v>
      </c>
      <c r="E172" s="104">
        <f t="shared" si="93"/>
        <v>0.13174395459910349</v>
      </c>
      <c r="F172" s="104">
        <f t="shared" si="93"/>
        <v>0.13572650393527438</v>
      </c>
      <c r="G172" s="104">
        <f t="shared" si="93"/>
        <v>0.13961610129585802</v>
      </c>
      <c r="H172" s="104">
        <f t="shared" si="93"/>
        <v>0.14341274668085444</v>
      </c>
      <c r="I172" s="104">
        <f t="shared" si="93"/>
        <v>0.14711644009026364</v>
      </c>
      <c r="J172" s="104">
        <f t="shared" si="93"/>
        <v>0.15072718152408562</v>
      </c>
      <c r="K172" s="104">
        <f t="shared" si="93"/>
        <v>0.15424497098232032</v>
      </c>
      <c r="L172" s="104">
        <f t="shared" si="93"/>
        <v>0.15766980846496781</v>
      </c>
      <c r="M172" s="104">
        <f t="shared" si="93"/>
        <v>0.16100169397202807</v>
      </c>
      <c r="N172" s="104">
        <f t="shared" si="93"/>
        <v>0.16954318020315437</v>
      </c>
      <c r="O172" s="104">
        <f t="shared" si="93"/>
        <v>0.17788875227035059</v>
      </c>
      <c r="P172" s="104">
        <f t="shared" si="93"/>
        <v>0.18603841017361686</v>
      </c>
      <c r="Q172" s="104">
        <f t="shared" si="93"/>
        <v>0.1939921539129531</v>
      </c>
      <c r="R172" s="104">
        <f t="shared" si="93"/>
        <v>0.20174998348835926</v>
      </c>
      <c r="S172" s="104">
        <f t="shared" si="93"/>
        <v>0.20931189889983545</v>
      </c>
      <c r="T172" s="104">
        <f t="shared" si="93"/>
        <v>0.2166779001473817</v>
      </c>
      <c r="U172" s="104">
        <f t="shared" si="93"/>
        <v>0.22384798723099786</v>
      </c>
      <c r="V172" s="104">
        <f t="shared" si="93"/>
        <v>0.23082216015068405</v>
      </c>
      <c r="W172" s="104">
        <f t="shared" si="93"/>
        <v>0.23760041890644015</v>
      </c>
      <c r="X172" s="104">
        <f t="shared" si="93"/>
        <v>0.2503154793879685</v>
      </c>
      <c r="Y172" s="104">
        <f t="shared" si="93"/>
        <v>0.26270273934234745</v>
      </c>
      <c r="Z172" s="104">
        <f t="shared" si="93"/>
        <v>0.27476219876957697</v>
      </c>
      <c r="AA172" s="104">
        <f t="shared" si="93"/>
        <v>0.28649385766965713</v>
      </c>
      <c r="AB172" s="104">
        <f t="shared" si="93"/>
        <v>0.2978977160425878</v>
      </c>
      <c r="AC172" s="104">
        <f t="shared" si="93"/>
        <v>0.30897377388836911</v>
      </c>
      <c r="AD172" s="104">
        <f t="shared" si="93"/>
        <v>0.31972203120700093</v>
      </c>
      <c r="AE172" s="104">
        <f t="shared" si="93"/>
        <v>0.33014248799848334</v>
      </c>
      <c r="AF172" s="104">
        <f t="shared" si="93"/>
        <v>0.34023514426281631</v>
      </c>
      <c r="AG172" s="104">
        <f t="shared" si="93"/>
        <v>0.35</v>
      </c>
      <c r="AI172" s="127"/>
      <c r="AJ172" s="198"/>
      <c r="BD172" s="190"/>
      <c r="BE172" s="190"/>
    </row>
    <row r="173" spans="1:63" outlineLevel="1">
      <c r="C173" s="104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J173" s="198"/>
    </row>
    <row r="174" spans="1:63" outlineLevel="1">
      <c r="A174" t="s">
        <v>437</v>
      </c>
      <c r="B174" s="51" t="s">
        <v>126</v>
      </c>
      <c r="C174" s="201">
        <v>0.5</v>
      </c>
      <c r="D174" s="104">
        <f>C174</f>
        <v>0.5</v>
      </c>
      <c r="E174" s="104">
        <f t="shared" ref="E174:AG174" si="94">D174</f>
        <v>0.5</v>
      </c>
      <c r="F174" s="104">
        <f t="shared" si="94"/>
        <v>0.5</v>
      </c>
      <c r="G174" s="104">
        <f t="shared" si="94"/>
        <v>0.5</v>
      </c>
      <c r="H174" s="104">
        <f t="shared" si="94"/>
        <v>0.5</v>
      </c>
      <c r="I174" s="104">
        <f t="shared" si="94"/>
        <v>0.5</v>
      </c>
      <c r="J174" s="104">
        <f t="shared" si="94"/>
        <v>0.5</v>
      </c>
      <c r="K174" s="104">
        <f t="shared" si="94"/>
        <v>0.5</v>
      </c>
      <c r="L174" s="104">
        <f t="shared" si="94"/>
        <v>0.5</v>
      </c>
      <c r="M174" s="104">
        <f t="shared" si="94"/>
        <v>0.5</v>
      </c>
      <c r="N174" s="104">
        <f t="shared" si="94"/>
        <v>0.5</v>
      </c>
      <c r="O174" s="104">
        <f t="shared" si="94"/>
        <v>0.5</v>
      </c>
      <c r="P174" s="104">
        <f t="shared" si="94"/>
        <v>0.5</v>
      </c>
      <c r="Q174" s="104">
        <f t="shared" si="94"/>
        <v>0.5</v>
      </c>
      <c r="R174" s="104">
        <f t="shared" si="94"/>
        <v>0.5</v>
      </c>
      <c r="S174" s="104">
        <f t="shared" si="94"/>
        <v>0.5</v>
      </c>
      <c r="T174" s="104">
        <f t="shared" si="94"/>
        <v>0.5</v>
      </c>
      <c r="U174" s="104">
        <f t="shared" si="94"/>
        <v>0.5</v>
      </c>
      <c r="V174" s="104">
        <f t="shared" si="94"/>
        <v>0.5</v>
      </c>
      <c r="W174" s="104">
        <f t="shared" si="94"/>
        <v>0.5</v>
      </c>
      <c r="X174" s="104">
        <f t="shared" si="94"/>
        <v>0.5</v>
      </c>
      <c r="Y174" s="104">
        <f t="shared" si="94"/>
        <v>0.5</v>
      </c>
      <c r="Z174" s="104">
        <f t="shared" si="94"/>
        <v>0.5</v>
      </c>
      <c r="AA174" s="104">
        <f t="shared" si="94"/>
        <v>0.5</v>
      </c>
      <c r="AB174" s="104">
        <f t="shared" si="94"/>
        <v>0.5</v>
      </c>
      <c r="AC174" s="104">
        <f t="shared" si="94"/>
        <v>0.5</v>
      </c>
      <c r="AD174" s="104">
        <f t="shared" si="94"/>
        <v>0.5</v>
      </c>
      <c r="AE174" s="104">
        <f t="shared" si="94"/>
        <v>0.5</v>
      </c>
      <c r="AF174" s="104">
        <f t="shared" si="94"/>
        <v>0.5</v>
      </c>
      <c r="AG174" s="104">
        <f t="shared" si="94"/>
        <v>0.5</v>
      </c>
      <c r="AI174" s="51"/>
      <c r="AJ174" s="198" t="s">
        <v>460</v>
      </c>
    </row>
    <row r="175" spans="1:63" outlineLevel="1">
      <c r="A175" t="s">
        <v>445</v>
      </c>
      <c r="B175" s="51" t="s">
        <v>126</v>
      </c>
      <c r="C175" s="115">
        <f>1-C174</f>
        <v>0.5</v>
      </c>
      <c r="D175" s="104">
        <f t="shared" ref="D175:AG175" si="95">C175</f>
        <v>0.5</v>
      </c>
      <c r="E175" s="104">
        <f t="shared" si="95"/>
        <v>0.5</v>
      </c>
      <c r="F175" s="104">
        <f t="shared" si="95"/>
        <v>0.5</v>
      </c>
      <c r="G175" s="104">
        <f t="shared" si="95"/>
        <v>0.5</v>
      </c>
      <c r="H175" s="104">
        <f t="shared" si="95"/>
        <v>0.5</v>
      </c>
      <c r="I175" s="104">
        <f t="shared" si="95"/>
        <v>0.5</v>
      </c>
      <c r="J175" s="104">
        <f t="shared" si="95"/>
        <v>0.5</v>
      </c>
      <c r="K175" s="104">
        <f t="shared" si="95"/>
        <v>0.5</v>
      </c>
      <c r="L175" s="104">
        <f t="shared" si="95"/>
        <v>0.5</v>
      </c>
      <c r="M175" s="104">
        <f t="shared" si="95"/>
        <v>0.5</v>
      </c>
      <c r="N175" s="104">
        <f t="shared" si="95"/>
        <v>0.5</v>
      </c>
      <c r="O175" s="104">
        <f t="shared" si="95"/>
        <v>0.5</v>
      </c>
      <c r="P175" s="104">
        <f t="shared" si="95"/>
        <v>0.5</v>
      </c>
      <c r="Q175" s="104">
        <f t="shared" si="95"/>
        <v>0.5</v>
      </c>
      <c r="R175" s="104">
        <f t="shared" si="95"/>
        <v>0.5</v>
      </c>
      <c r="S175" s="104">
        <f t="shared" si="95"/>
        <v>0.5</v>
      </c>
      <c r="T175" s="104">
        <f t="shared" si="95"/>
        <v>0.5</v>
      </c>
      <c r="U175" s="104">
        <f t="shared" si="95"/>
        <v>0.5</v>
      </c>
      <c r="V175" s="104">
        <f t="shared" si="95"/>
        <v>0.5</v>
      </c>
      <c r="W175" s="104">
        <f t="shared" si="95"/>
        <v>0.5</v>
      </c>
      <c r="X175" s="104">
        <f t="shared" si="95"/>
        <v>0.5</v>
      </c>
      <c r="Y175" s="104">
        <f t="shared" si="95"/>
        <v>0.5</v>
      </c>
      <c r="Z175" s="104">
        <f t="shared" si="95"/>
        <v>0.5</v>
      </c>
      <c r="AA175" s="104">
        <f t="shared" si="95"/>
        <v>0.5</v>
      </c>
      <c r="AB175" s="104">
        <f t="shared" si="95"/>
        <v>0.5</v>
      </c>
      <c r="AC175" s="104">
        <f t="shared" si="95"/>
        <v>0.5</v>
      </c>
      <c r="AD175" s="104">
        <f t="shared" si="95"/>
        <v>0.5</v>
      </c>
      <c r="AE175" s="104">
        <f t="shared" si="95"/>
        <v>0.5</v>
      </c>
      <c r="AF175" s="104">
        <f t="shared" si="95"/>
        <v>0.5</v>
      </c>
      <c r="AG175" s="104">
        <f t="shared" si="95"/>
        <v>0.5</v>
      </c>
      <c r="AJ175" s="209"/>
    </row>
    <row r="176" spans="1:63" outlineLevel="1">
      <c r="A176" t="s">
        <v>433</v>
      </c>
      <c r="B176" s="51" t="s">
        <v>126</v>
      </c>
      <c r="C176" s="104">
        <f t="shared" ref="C176:AG176" si="96">SUM(C174:C175)</f>
        <v>1</v>
      </c>
      <c r="D176" s="104">
        <f t="shared" si="96"/>
        <v>1</v>
      </c>
      <c r="E176" s="104">
        <f t="shared" si="96"/>
        <v>1</v>
      </c>
      <c r="F176" s="104">
        <f t="shared" si="96"/>
        <v>1</v>
      </c>
      <c r="G176" s="104">
        <f t="shared" si="96"/>
        <v>1</v>
      </c>
      <c r="H176" s="104">
        <f t="shared" si="96"/>
        <v>1</v>
      </c>
      <c r="I176" s="104">
        <f t="shared" si="96"/>
        <v>1</v>
      </c>
      <c r="J176" s="104">
        <f t="shared" si="96"/>
        <v>1</v>
      </c>
      <c r="K176" s="104">
        <f t="shared" si="96"/>
        <v>1</v>
      </c>
      <c r="L176" s="104">
        <f t="shared" si="96"/>
        <v>1</v>
      </c>
      <c r="M176" s="104">
        <f t="shared" si="96"/>
        <v>1</v>
      </c>
      <c r="N176" s="104">
        <f t="shared" si="96"/>
        <v>1</v>
      </c>
      <c r="O176" s="104">
        <f t="shared" si="96"/>
        <v>1</v>
      </c>
      <c r="P176" s="104">
        <f t="shared" si="96"/>
        <v>1</v>
      </c>
      <c r="Q176" s="104">
        <f t="shared" si="96"/>
        <v>1</v>
      </c>
      <c r="R176" s="104">
        <f t="shared" si="96"/>
        <v>1</v>
      </c>
      <c r="S176" s="104">
        <f t="shared" si="96"/>
        <v>1</v>
      </c>
      <c r="T176" s="104">
        <f t="shared" si="96"/>
        <v>1</v>
      </c>
      <c r="U176" s="104">
        <f t="shared" si="96"/>
        <v>1</v>
      </c>
      <c r="V176" s="104">
        <f t="shared" si="96"/>
        <v>1</v>
      </c>
      <c r="W176" s="104">
        <f t="shared" si="96"/>
        <v>1</v>
      </c>
      <c r="X176" s="104">
        <f t="shared" si="96"/>
        <v>1</v>
      </c>
      <c r="Y176" s="104">
        <f t="shared" si="96"/>
        <v>1</v>
      </c>
      <c r="Z176" s="104">
        <f t="shared" si="96"/>
        <v>1</v>
      </c>
      <c r="AA176" s="104">
        <f t="shared" si="96"/>
        <v>1</v>
      </c>
      <c r="AB176" s="104">
        <f t="shared" si="96"/>
        <v>1</v>
      </c>
      <c r="AC176" s="104">
        <f t="shared" si="96"/>
        <v>1</v>
      </c>
      <c r="AD176" s="104">
        <f t="shared" si="96"/>
        <v>1</v>
      </c>
      <c r="AE176" s="104">
        <f t="shared" si="96"/>
        <v>1</v>
      </c>
      <c r="AF176" s="104">
        <f t="shared" si="96"/>
        <v>1</v>
      </c>
      <c r="AG176" s="104">
        <f t="shared" si="96"/>
        <v>1</v>
      </c>
      <c r="AH176" s="124"/>
      <c r="AI176" s="51"/>
      <c r="AJ176" s="209"/>
    </row>
    <row r="177" spans="1:63" outlineLevel="1">
      <c r="C177" s="201"/>
      <c r="D177" s="104"/>
      <c r="E177" s="104"/>
      <c r="F177" s="104"/>
      <c r="G177" s="104"/>
      <c r="H177" s="104"/>
      <c r="I177" s="104"/>
      <c r="J177" s="104"/>
      <c r="K177" s="104"/>
      <c r="L177" s="104"/>
      <c r="M177" s="104"/>
      <c r="N177" s="104"/>
      <c r="O177" s="104"/>
      <c r="P177" s="104"/>
      <c r="Q177" s="104"/>
      <c r="R177" s="104"/>
      <c r="S177" s="104"/>
      <c r="T177" s="104"/>
      <c r="U177" s="104"/>
      <c r="V177" s="104"/>
      <c r="W177" s="104"/>
      <c r="X177" s="104"/>
      <c r="Y177" s="104"/>
      <c r="Z177" s="104"/>
      <c r="AA177" s="104"/>
      <c r="AB177" s="104"/>
      <c r="AC177" s="104"/>
      <c r="AD177" s="104"/>
      <c r="AE177" s="104"/>
      <c r="AF177" s="104"/>
      <c r="AG177" s="104"/>
      <c r="AH177" s="124"/>
      <c r="AI177" s="124"/>
      <c r="AJ177" s="209"/>
    </row>
    <row r="178" spans="1:63" outlineLevel="1">
      <c r="A178" t="s">
        <v>455</v>
      </c>
      <c r="B178" s="51" t="s">
        <v>126</v>
      </c>
      <c r="C178" s="104">
        <f>C174*C172</f>
        <v>6.1749999999999999E-2</v>
      </c>
      <c r="D178" s="104">
        <f t="shared" ref="D178:AG178" si="97">D174*D172</f>
        <v>6.3834226643672679E-2</v>
      </c>
      <c r="E178" s="104">
        <f t="shared" si="97"/>
        <v>6.5871977299551743E-2</v>
      </c>
      <c r="F178" s="104">
        <f t="shared" si="97"/>
        <v>6.7863251967637192E-2</v>
      </c>
      <c r="G178" s="104">
        <f t="shared" si="97"/>
        <v>6.9808050647929012E-2</v>
      </c>
      <c r="H178" s="104">
        <f t="shared" si="97"/>
        <v>7.1706373340427218E-2</v>
      </c>
      <c r="I178" s="104">
        <f t="shared" si="97"/>
        <v>7.3558220045131822E-2</v>
      </c>
      <c r="J178" s="104">
        <f t="shared" si="97"/>
        <v>7.5363590762042812E-2</v>
      </c>
      <c r="K178" s="104">
        <f t="shared" si="97"/>
        <v>7.7122485491160159E-2</v>
      </c>
      <c r="L178" s="104">
        <f t="shared" si="97"/>
        <v>7.8834904232483904E-2</v>
      </c>
      <c r="M178" s="104">
        <f t="shared" si="97"/>
        <v>8.0500846986014035E-2</v>
      </c>
      <c r="N178" s="104">
        <f t="shared" si="97"/>
        <v>8.4771590101577185E-2</v>
      </c>
      <c r="O178" s="104">
        <f t="shared" si="97"/>
        <v>8.8944376135175293E-2</v>
      </c>
      <c r="P178" s="104">
        <f t="shared" si="97"/>
        <v>9.3019205086808429E-2</v>
      </c>
      <c r="Q178" s="104">
        <f t="shared" si="97"/>
        <v>9.6996076956476551E-2</v>
      </c>
      <c r="R178" s="104">
        <f t="shared" si="97"/>
        <v>0.10087499174417963</v>
      </c>
      <c r="S178" s="104">
        <f t="shared" si="97"/>
        <v>0.10465594944991773</v>
      </c>
      <c r="T178" s="104">
        <f t="shared" si="97"/>
        <v>0.10833895007369085</v>
      </c>
      <c r="U178" s="104">
        <f t="shared" si="97"/>
        <v>0.11192399361549893</v>
      </c>
      <c r="V178" s="104">
        <f t="shared" si="97"/>
        <v>0.11541108007534202</v>
      </c>
      <c r="W178" s="104">
        <f t="shared" si="97"/>
        <v>0.11880020945322008</v>
      </c>
      <c r="X178" s="104">
        <f t="shared" si="97"/>
        <v>0.12515773969398425</v>
      </c>
      <c r="Y178" s="104">
        <f t="shared" si="97"/>
        <v>0.13135136967117372</v>
      </c>
      <c r="Z178" s="104">
        <f t="shared" si="97"/>
        <v>0.13738109938478849</v>
      </c>
      <c r="AA178" s="104">
        <f t="shared" si="97"/>
        <v>0.14324692883482856</v>
      </c>
      <c r="AB178" s="104">
        <f t="shared" si="97"/>
        <v>0.1489488580212939</v>
      </c>
      <c r="AC178" s="104">
        <f t="shared" si="97"/>
        <v>0.15448688694418455</v>
      </c>
      <c r="AD178" s="104">
        <f t="shared" si="97"/>
        <v>0.15986101560350047</v>
      </c>
      <c r="AE178" s="104">
        <f t="shared" si="97"/>
        <v>0.16507124399924167</v>
      </c>
      <c r="AF178" s="104">
        <f t="shared" si="97"/>
        <v>0.17011757213140816</v>
      </c>
      <c r="AG178" s="104">
        <f t="shared" si="97"/>
        <v>0.17499999999999999</v>
      </c>
      <c r="AH178" s="124"/>
      <c r="AI178" s="124"/>
      <c r="AJ178" s="198"/>
    </row>
    <row r="179" spans="1:63" outlineLevel="1">
      <c r="A179" t="s">
        <v>531</v>
      </c>
      <c r="B179" s="51" t="s">
        <v>126</v>
      </c>
      <c r="C179" s="104">
        <f>C172*C175</f>
        <v>6.1749999999999999E-2</v>
      </c>
      <c r="D179" s="104">
        <f t="shared" ref="D179:AG179" si="98">D172*D175</f>
        <v>6.3834226643672679E-2</v>
      </c>
      <c r="E179" s="104">
        <f t="shared" si="98"/>
        <v>6.5871977299551743E-2</v>
      </c>
      <c r="F179" s="104">
        <f t="shared" si="98"/>
        <v>6.7863251967637192E-2</v>
      </c>
      <c r="G179" s="104">
        <f t="shared" si="98"/>
        <v>6.9808050647929012E-2</v>
      </c>
      <c r="H179" s="104">
        <f t="shared" si="98"/>
        <v>7.1706373340427218E-2</v>
      </c>
      <c r="I179" s="104">
        <f t="shared" si="98"/>
        <v>7.3558220045131822E-2</v>
      </c>
      <c r="J179" s="104">
        <f t="shared" si="98"/>
        <v>7.5363590762042812E-2</v>
      </c>
      <c r="K179" s="104">
        <f t="shared" si="98"/>
        <v>7.7122485491160159E-2</v>
      </c>
      <c r="L179" s="104">
        <f t="shared" si="98"/>
        <v>7.8834904232483904E-2</v>
      </c>
      <c r="M179" s="104">
        <f t="shared" si="98"/>
        <v>8.0500846986014035E-2</v>
      </c>
      <c r="N179" s="104">
        <f t="shared" si="98"/>
        <v>8.4771590101577185E-2</v>
      </c>
      <c r="O179" s="104">
        <f t="shared" si="98"/>
        <v>8.8944376135175293E-2</v>
      </c>
      <c r="P179" s="104">
        <f t="shared" si="98"/>
        <v>9.3019205086808429E-2</v>
      </c>
      <c r="Q179" s="104">
        <f t="shared" si="98"/>
        <v>9.6996076956476551E-2</v>
      </c>
      <c r="R179" s="104">
        <f t="shared" si="98"/>
        <v>0.10087499174417963</v>
      </c>
      <c r="S179" s="104">
        <f t="shared" si="98"/>
        <v>0.10465594944991773</v>
      </c>
      <c r="T179" s="104">
        <f t="shared" si="98"/>
        <v>0.10833895007369085</v>
      </c>
      <c r="U179" s="104">
        <f t="shared" si="98"/>
        <v>0.11192399361549893</v>
      </c>
      <c r="V179" s="104">
        <f t="shared" si="98"/>
        <v>0.11541108007534202</v>
      </c>
      <c r="W179" s="104">
        <f t="shared" si="98"/>
        <v>0.11880020945322008</v>
      </c>
      <c r="X179" s="104">
        <f t="shared" si="98"/>
        <v>0.12515773969398425</v>
      </c>
      <c r="Y179" s="104">
        <f t="shared" si="98"/>
        <v>0.13135136967117372</v>
      </c>
      <c r="Z179" s="104">
        <f t="shared" si="98"/>
        <v>0.13738109938478849</v>
      </c>
      <c r="AA179" s="104">
        <f t="shared" si="98"/>
        <v>0.14324692883482856</v>
      </c>
      <c r="AB179" s="104">
        <f t="shared" si="98"/>
        <v>0.1489488580212939</v>
      </c>
      <c r="AC179" s="104">
        <f t="shared" si="98"/>
        <v>0.15448688694418455</v>
      </c>
      <c r="AD179" s="104">
        <f t="shared" si="98"/>
        <v>0.15986101560350047</v>
      </c>
      <c r="AE179" s="104">
        <f t="shared" si="98"/>
        <v>0.16507124399924167</v>
      </c>
      <c r="AF179" s="104">
        <f t="shared" si="98"/>
        <v>0.17011757213140816</v>
      </c>
      <c r="AG179" s="104">
        <f t="shared" si="98"/>
        <v>0.17499999999999999</v>
      </c>
      <c r="AJ179" s="198"/>
    </row>
    <row r="180" spans="1:63" outlineLevel="1">
      <c r="C180" s="104"/>
      <c r="D180" s="104"/>
      <c r="E180" s="104"/>
      <c r="F180" s="104"/>
      <c r="G180" s="104"/>
      <c r="H180" s="104"/>
      <c r="I180" s="104"/>
      <c r="J180" s="104"/>
      <c r="K180" s="104"/>
      <c r="L180" s="104"/>
      <c r="M180" s="104"/>
      <c r="N180" s="104"/>
      <c r="O180" s="104"/>
      <c r="P180" s="104"/>
      <c r="Q180" s="104"/>
      <c r="R180" s="104"/>
      <c r="S180" s="104"/>
      <c r="T180" s="104"/>
      <c r="U180" s="104"/>
      <c r="V180" s="104"/>
      <c r="W180" s="104"/>
      <c r="X180" s="104"/>
      <c r="Y180" s="104"/>
      <c r="Z180" s="104"/>
      <c r="AA180" s="104"/>
      <c r="AB180" s="104"/>
      <c r="AC180" s="104"/>
      <c r="AD180" s="104"/>
      <c r="AE180" s="104"/>
      <c r="AF180" s="104"/>
      <c r="AG180" s="104"/>
      <c r="AJ180" s="198"/>
    </row>
    <row r="181" spans="1:63" outlineLevel="1">
      <c r="A181" t="s">
        <v>1080</v>
      </c>
      <c r="C181" s="216">
        <f>'Overall recycling rates'!E87</f>
        <v>1</v>
      </c>
      <c r="D181" s="216">
        <f>C181-($C181-$AG181)/($AG$1-$C$1)</f>
        <v>1</v>
      </c>
      <c r="E181" s="216">
        <f t="shared" ref="E181:AF181" si="99">D181-($C181-$AG181)/($AG$1-$C$1)</f>
        <v>1</v>
      </c>
      <c r="F181" s="216">
        <f t="shared" si="99"/>
        <v>1</v>
      </c>
      <c r="G181" s="216">
        <f t="shared" si="99"/>
        <v>1</v>
      </c>
      <c r="H181" s="216">
        <f t="shared" si="99"/>
        <v>1</v>
      </c>
      <c r="I181" s="216">
        <f t="shared" si="99"/>
        <v>1</v>
      </c>
      <c r="J181" s="216">
        <f t="shared" si="99"/>
        <v>1</v>
      </c>
      <c r="K181" s="216">
        <f t="shared" si="99"/>
        <v>1</v>
      </c>
      <c r="L181" s="216">
        <f t="shared" si="99"/>
        <v>1</v>
      </c>
      <c r="M181" s="216">
        <f t="shared" si="99"/>
        <v>1</v>
      </c>
      <c r="N181" s="216">
        <f t="shared" si="99"/>
        <v>1</v>
      </c>
      <c r="O181" s="216">
        <f t="shared" si="99"/>
        <v>1</v>
      </c>
      <c r="P181" s="216">
        <f t="shared" si="99"/>
        <v>1</v>
      </c>
      <c r="Q181" s="216">
        <f t="shared" si="99"/>
        <v>1</v>
      </c>
      <c r="R181" s="216">
        <f t="shared" si="99"/>
        <v>1</v>
      </c>
      <c r="S181" s="216">
        <f t="shared" si="99"/>
        <v>1</v>
      </c>
      <c r="T181" s="216">
        <f t="shared" si="99"/>
        <v>1</v>
      </c>
      <c r="U181" s="216">
        <f t="shared" si="99"/>
        <v>1</v>
      </c>
      <c r="V181" s="216">
        <f t="shared" si="99"/>
        <v>1</v>
      </c>
      <c r="W181" s="216">
        <f t="shared" si="99"/>
        <v>1</v>
      </c>
      <c r="X181" s="216">
        <f t="shared" si="99"/>
        <v>1</v>
      </c>
      <c r="Y181" s="216">
        <f t="shared" si="99"/>
        <v>1</v>
      </c>
      <c r="Z181" s="216">
        <f t="shared" si="99"/>
        <v>1</v>
      </c>
      <c r="AA181" s="216">
        <f t="shared" si="99"/>
        <v>1</v>
      </c>
      <c r="AB181" s="216">
        <f t="shared" si="99"/>
        <v>1</v>
      </c>
      <c r="AC181" s="216">
        <f t="shared" si="99"/>
        <v>1</v>
      </c>
      <c r="AD181" s="216">
        <f t="shared" si="99"/>
        <v>1</v>
      </c>
      <c r="AE181" s="216">
        <f t="shared" si="99"/>
        <v>1</v>
      </c>
      <c r="AF181" s="216">
        <f t="shared" si="99"/>
        <v>1</v>
      </c>
      <c r="AG181" s="216">
        <f>'Overall recycling rates'!E96</f>
        <v>1</v>
      </c>
      <c r="AI181" s="126"/>
      <c r="AJ181" s="198" t="s">
        <v>1081</v>
      </c>
      <c r="AL181" s="102"/>
      <c r="AM181" s="194"/>
      <c r="AN181" s="194"/>
      <c r="AO181" s="194"/>
      <c r="BC181" s="1"/>
      <c r="BD181" s="194"/>
      <c r="BE181" s="194"/>
      <c r="BF181" s="194"/>
      <c r="BG181" s="194"/>
      <c r="BH181" s="194"/>
      <c r="BI181" s="194"/>
      <c r="BJ181" s="194"/>
      <c r="BK181" s="194"/>
    </row>
    <row r="182" spans="1:63" outlineLevel="1">
      <c r="A182" t="s">
        <v>1151</v>
      </c>
      <c r="B182" s="51" t="s">
        <v>126</v>
      </c>
      <c r="C182" s="104">
        <f t="shared" ref="C182:AG182" si="100">C171*C$181</f>
        <v>6.5000000000000006E-3</v>
      </c>
      <c r="D182" s="104">
        <f t="shared" si="100"/>
        <v>7.9086652478886511E-3</v>
      </c>
      <c r="E182" s="104">
        <f t="shared" si="100"/>
        <v>9.4102824713645332E-3</v>
      </c>
      <c r="F182" s="104">
        <f t="shared" si="100"/>
        <v>1.1004851670427652E-2</v>
      </c>
      <c r="G182" s="104">
        <f t="shared" si="100"/>
        <v>1.2692372845078003E-2</v>
      </c>
      <c r="H182" s="104">
        <f t="shared" si="100"/>
        <v>1.4472845995315585E-2</v>
      </c>
      <c r="I182" s="104">
        <f t="shared" si="100"/>
        <v>1.6346271121140402E-2</v>
      </c>
      <c r="J182" s="104">
        <f t="shared" si="100"/>
        <v>1.8312648222552456E-2</v>
      </c>
      <c r="K182" s="104">
        <f t="shared" si="100"/>
        <v>2.037197729955174E-2</v>
      </c>
      <c r="L182" s="104">
        <f t="shared" si="100"/>
        <v>2.2524258352138254E-2</v>
      </c>
      <c r="M182" s="104">
        <f t="shared" si="100"/>
        <v>2.4769491380312009E-2</v>
      </c>
      <c r="N182" s="104">
        <f t="shared" si="100"/>
        <v>2.7982854984986639E-2</v>
      </c>
      <c r="O182" s="104">
        <f t="shared" si="100"/>
        <v>3.1392132753591283E-2</v>
      </c>
      <c r="P182" s="104">
        <f t="shared" si="100"/>
        <v>3.4997324686125937E-2</v>
      </c>
      <c r="Q182" s="104">
        <f t="shared" si="100"/>
        <v>3.8798430782590612E-2</v>
      </c>
      <c r="R182" s="104">
        <f t="shared" si="100"/>
        <v>4.2795451042985301E-2</v>
      </c>
      <c r="S182" s="104">
        <f t="shared" si="100"/>
        <v>4.6988385467309997E-2</v>
      </c>
      <c r="T182" s="104">
        <f t="shared" si="100"/>
        <v>5.1377234055564727E-2</v>
      </c>
      <c r="U182" s="104">
        <f t="shared" si="100"/>
        <v>5.5961996807749458E-2</v>
      </c>
      <c r="V182" s="104">
        <f t="shared" si="100"/>
        <v>6.0742673723864209E-2</v>
      </c>
      <c r="W182" s="104">
        <f t="shared" si="100"/>
        <v>6.5719264803908967E-2</v>
      </c>
      <c r="X182" s="104">
        <f t="shared" si="100"/>
        <v>7.2672235951345684E-2</v>
      </c>
      <c r="Y182" s="104">
        <f t="shared" si="100"/>
        <v>7.9953007625931827E-2</v>
      </c>
      <c r="Z182" s="104">
        <f t="shared" si="100"/>
        <v>8.7561579827667393E-2</v>
      </c>
      <c r="AA182" s="104">
        <f t="shared" si="100"/>
        <v>9.5497952556552357E-2</v>
      </c>
      <c r="AB182" s="104">
        <f t="shared" si="100"/>
        <v>0.10376212581258674</v>
      </c>
      <c r="AC182" s="104">
        <f t="shared" si="100"/>
        <v>0.11235409959577057</v>
      </c>
      <c r="AD182" s="104">
        <f t="shared" si="100"/>
        <v>0.12127387390610381</v>
      </c>
      <c r="AE182" s="104">
        <f t="shared" si="100"/>
        <v>0.13052144874358648</v>
      </c>
      <c r="AF182" s="104">
        <f t="shared" si="100"/>
        <v>0.14009682410821853</v>
      </c>
      <c r="AG182" s="104">
        <f t="shared" si="100"/>
        <v>0.15</v>
      </c>
      <c r="AI182" s="126"/>
      <c r="AJ182"/>
      <c r="AL182" s="102"/>
      <c r="AM182" s="2"/>
      <c r="AN182" s="2"/>
      <c r="AO182" s="2"/>
      <c r="AV182" s="38"/>
    </row>
    <row r="183" spans="1:63" outlineLevel="1">
      <c r="A183" t="s">
        <v>1152</v>
      </c>
      <c r="B183" s="51" t="s">
        <v>126</v>
      </c>
      <c r="C183" s="104">
        <f t="shared" ref="C183:AG183" si="101">C172*C$181</f>
        <v>0.1235</v>
      </c>
      <c r="D183" s="104">
        <f t="shared" si="101"/>
        <v>0.12766845328734536</v>
      </c>
      <c r="E183" s="104">
        <f t="shared" si="101"/>
        <v>0.13174395459910349</v>
      </c>
      <c r="F183" s="104">
        <f t="shared" si="101"/>
        <v>0.13572650393527438</v>
      </c>
      <c r="G183" s="104">
        <f t="shared" si="101"/>
        <v>0.13961610129585802</v>
      </c>
      <c r="H183" s="104">
        <f t="shared" si="101"/>
        <v>0.14341274668085444</v>
      </c>
      <c r="I183" s="104">
        <f t="shared" si="101"/>
        <v>0.14711644009026364</v>
      </c>
      <c r="J183" s="104">
        <f t="shared" si="101"/>
        <v>0.15072718152408562</v>
      </c>
      <c r="K183" s="104">
        <f t="shared" si="101"/>
        <v>0.15424497098232032</v>
      </c>
      <c r="L183" s="104">
        <f t="shared" si="101"/>
        <v>0.15766980846496781</v>
      </c>
      <c r="M183" s="104">
        <f t="shared" si="101"/>
        <v>0.16100169397202807</v>
      </c>
      <c r="N183" s="104">
        <f t="shared" si="101"/>
        <v>0.16954318020315437</v>
      </c>
      <c r="O183" s="104">
        <f t="shared" si="101"/>
        <v>0.17788875227035059</v>
      </c>
      <c r="P183" s="104">
        <f t="shared" si="101"/>
        <v>0.18603841017361686</v>
      </c>
      <c r="Q183" s="104">
        <f t="shared" si="101"/>
        <v>0.1939921539129531</v>
      </c>
      <c r="R183" s="104">
        <f t="shared" si="101"/>
        <v>0.20174998348835926</v>
      </c>
      <c r="S183" s="104">
        <f t="shared" si="101"/>
        <v>0.20931189889983545</v>
      </c>
      <c r="T183" s="104">
        <f t="shared" si="101"/>
        <v>0.2166779001473817</v>
      </c>
      <c r="U183" s="104">
        <f t="shared" si="101"/>
        <v>0.22384798723099786</v>
      </c>
      <c r="V183" s="104">
        <f t="shared" si="101"/>
        <v>0.23082216015068405</v>
      </c>
      <c r="W183" s="104">
        <f t="shared" si="101"/>
        <v>0.23760041890644015</v>
      </c>
      <c r="X183" s="104">
        <f t="shared" si="101"/>
        <v>0.2503154793879685</v>
      </c>
      <c r="Y183" s="104">
        <f t="shared" si="101"/>
        <v>0.26270273934234745</v>
      </c>
      <c r="Z183" s="104">
        <f t="shared" si="101"/>
        <v>0.27476219876957697</v>
      </c>
      <c r="AA183" s="104">
        <f t="shared" si="101"/>
        <v>0.28649385766965713</v>
      </c>
      <c r="AB183" s="104">
        <f t="shared" si="101"/>
        <v>0.2978977160425878</v>
      </c>
      <c r="AC183" s="104">
        <f t="shared" si="101"/>
        <v>0.30897377388836911</v>
      </c>
      <c r="AD183" s="104">
        <f t="shared" si="101"/>
        <v>0.31972203120700093</v>
      </c>
      <c r="AE183" s="104">
        <f t="shared" si="101"/>
        <v>0.33014248799848334</v>
      </c>
      <c r="AF183" s="104">
        <f t="shared" si="101"/>
        <v>0.34023514426281631</v>
      </c>
      <c r="AG183" s="104">
        <f t="shared" si="101"/>
        <v>0.35</v>
      </c>
      <c r="AH183" s="230"/>
      <c r="AI183" s="126"/>
      <c r="AJ183" s="198"/>
      <c r="AL183" s="102"/>
      <c r="AM183" s="2"/>
      <c r="AN183" s="2"/>
      <c r="AO183" s="2"/>
      <c r="AV183" s="38"/>
    </row>
    <row r="184" spans="1:63" outlineLevel="1">
      <c r="A184" t="s">
        <v>1153</v>
      </c>
      <c r="B184" s="165" t="s">
        <v>126</v>
      </c>
      <c r="C184" s="104">
        <f>SUM(C182:C183)</f>
        <v>0.13</v>
      </c>
      <c r="D184" s="104">
        <f t="shared" ref="D184:AG184" si="102">SUM(D182:D183)</f>
        <v>0.13557711853523402</v>
      </c>
      <c r="E184" s="104">
        <f t="shared" si="102"/>
        <v>0.14115423707046801</v>
      </c>
      <c r="F184" s="104">
        <f t="shared" si="102"/>
        <v>0.14673135560570202</v>
      </c>
      <c r="G184" s="104">
        <f t="shared" si="102"/>
        <v>0.15230847414093604</v>
      </c>
      <c r="H184" s="104">
        <f t="shared" si="102"/>
        <v>0.15788559267617003</v>
      </c>
      <c r="I184" s="104">
        <f t="shared" si="102"/>
        <v>0.16346271121140404</v>
      </c>
      <c r="J184" s="104">
        <f t="shared" si="102"/>
        <v>0.16903982974663809</v>
      </c>
      <c r="K184" s="104">
        <f t="shared" si="102"/>
        <v>0.17461694828187205</v>
      </c>
      <c r="L184" s="104">
        <f t="shared" si="102"/>
        <v>0.18019406681710606</v>
      </c>
      <c r="M184" s="104">
        <f t="shared" si="102"/>
        <v>0.18577118535234008</v>
      </c>
      <c r="N184" s="104">
        <f t="shared" si="102"/>
        <v>0.19752603518814102</v>
      </c>
      <c r="O184" s="104">
        <f t="shared" si="102"/>
        <v>0.20928088502394188</v>
      </c>
      <c r="P184" s="104">
        <f t="shared" si="102"/>
        <v>0.22103573485974279</v>
      </c>
      <c r="Q184" s="104">
        <f t="shared" si="102"/>
        <v>0.2327905846955437</v>
      </c>
      <c r="R184" s="104">
        <f t="shared" si="102"/>
        <v>0.24454543453134456</v>
      </c>
      <c r="S184" s="104">
        <f t="shared" si="102"/>
        <v>0.25630028436714547</v>
      </c>
      <c r="T184" s="104">
        <f t="shared" si="102"/>
        <v>0.26805513420294641</v>
      </c>
      <c r="U184" s="104">
        <f t="shared" si="102"/>
        <v>0.27980998403874729</v>
      </c>
      <c r="V184" s="104">
        <f t="shared" si="102"/>
        <v>0.29156483387454823</v>
      </c>
      <c r="W184" s="104">
        <f t="shared" si="102"/>
        <v>0.30331968371034912</v>
      </c>
      <c r="X184" s="104">
        <f t="shared" si="102"/>
        <v>0.3229877153393142</v>
      </c>
      <c r="Y184" s="104">
        <f t="shared" si="102"/>
        <v>0.34265574696827927</v>
      </c>
      <c r="Z184" s="104">
        <f t="shared" si="102"/>
        <v>0.36232377859724435</v>
      </c>
      <c r="AA184" s="104">
        <f t="shared" si="102"/>
        <v>0.38199181022620948</v>
      </c>
      <c r="AB184" s="104">
        <f t="shared" si="102"/>
        <v>0.40165984185517456</v>
      </c>
      <c r="AC184" s="104">
        <f t="shared" si="102"/>
        <v>0.42132787348413969</v>
      </c>
      <c r="AD184" s="104">
        <f t="shared" si="102"/>
        <v>0.44099590511310471</v>
      </c>
      <c r="AE184" s="104">
        <f t="shared" si="102"/>
        <v>0.46066393674206985</v>
      </c>
      <c r="AF184" s="104">
        <f t="shared" si="102"/>
        <v>0.48033196837103487</v>
      </c>
      <c r="AG184" s="104">
        <f t="shared" si="102"/>
        <v>0.5</v>
      </c>
      <c r="AI184" s="126"/>
      <c r="AJ184" s="198"/>
      <c r="AL184" s="102"/>
      <c r="AM184" s="2"/>
      <c r="AN184" s="2"/>
      <c r="AO184" s="2"/>
    </row>
    <row r="185" spans="1:63" outlineLevel="1">
      <c r="A185" t="s">
        <v>1157</v>
      </c>
      <c r="B185" s="51" t="s">
        <v>126</v>
      </c>
      <c r="C185" s="104">
        <f>C174*C183</f>
        <v>6.1749999999999999E-2</v>
      </c>
      <c r="D185" s="104">
        <f t="shared" ref="D185:AG185" si="103">D171*D183</f>
        <v>1.0096870597653238E-3</v>
      </c>
      <c r="E185" s="104">
        <f t="shared" si="103"/>
        <v>1.2397478266721884E-3</v>
      </c>
      <c r="F185" s="104">
        <f t="shared" si="103"/>
        <v>1.4936500435534096E-3</v>
      </c>
      <c r="G185" s="104">
        <f t="shared" si="103"/>
        <v>1.7720596128232081E-3</v>
      </c>
      <c r="H185" s="104">
        <f t="shared" si="103"/>
        <v>2.0755905964772127E-3</v>
      </c>
      <c r="I185" s="104">
        <f t="shared" si="103"/>
        <v>2.4048052160924589E-3</v>
      </c>
      <c r="J185" s="104">
        <f t="shared" si="103"/>
        <v>2.7602138528273882E-3</v>
      </c>
      <c r="K185" s="104">
        <f t="shared" si="103"/>
        <v>3.1422750474218463E-3</v>
      </c>
      <c r="L185" s="104">
        <f t="shared" si="103"/>
        <v>3.5513955001970901E-3</v>
      </c>
      <c r="M185" s="104">
        <f t="shared" si="103"/>
        <v>3.9879300710557808E-3</v>
      </c>
      <c r="N185" s="104">
        <f t="shared" si="103"/>
        <v>4.7443022253183262E-3</v>
      </c>
      <c r="O185" s="104">
        <f t="shared" si="103"/>
        <v>5.5843073266415586E-3</v>
      </c>
      <c r="P185" s="104">
        <f t="shared" si="103"/>
        <v>6.5108466449367436E-3</v>
      </c>
      <c r="Q185" s="104">
        <f t="shared" si="103"/>
        <v>7.5265911559573755E-3</v>
      </c>
      <c r="R185" s="104">
        <f t="shared" si="103"/>
        <v>8.6339815412991711E-3</v>
      </c>
      <c r="S185" s="104">
        <f t="shared" si="103"/>
        <v>9.8352281884000869E-3</v>
      </c>
      <c r="T185" s="104">
        <f t="shared" si="103"/>
        <v>1.1132311190540312E-2</v>
      </c>
      <c r="U185" s="104">
        <f t="shared" si="103"/>
        <v>1.2526980346842244E-2</v>
      </c>
      <c r="V185" s="104">
        <f t="shared" si="103"/>
        <v>1.4020755162270531E-2</v>
      </c>
      <c r="W185" s="104">
        <f t="shared" si="103"/>
        <v>1.561492484763204E-2</v>
      </c>
      <c r="X185" s="104">
        <f t="shared" si="103"/>
        <v>1.8190985580356655E-2</v>
      </c>
      <c r="Y185" s="104">
        <f t="shared" si="103"/>
        <v>2.1003874121991888E-2</v>
      </c>
      <c r="Z185" s="104">
        <f t="shared" si="103"/>
        <v>2.405861220118773E-2</v>
      </c>
      <c r="AA185" s="104">
        <f t="shared" si="103"/>
        <v>2.7359576827480581E-2</v>
      </c>
      <c r="AB185" s="104">
        <f t="shared" si="103"/>
        <v>3.0910500291293237E-2</v>
      </c>
      <c r="AC185" s="104">
        <f t="shared" si="103"/>
        <v>3.4714470163934918E-2</v>
      </c>
      <c r="AD185" s="104">
        <f t="shared" si="103"/>
        <v>3.877392929760122E-2</v>
      </c>
      <c r="AE185" s="104">
        <f t="shared" si="103"/>
        <v>4.309067582537416E-2</v>
      </c>
      <c r="AF185" s="104">
        <f t="shared" si="103"/>
        <v>4.7665863161222136E-2</v>
      </c>
      <c r="AG185" s="104">
        <f t="shared" si="103"/>
        <v>5.2499999999999998E-2</v>
      </c>
      <c r="AI185" s="126"/>
      <c r="AJ185" s="198"/>
      <c r="BD185" s="190"/>
      <c r="BE185" s="190"/>
    </row>
    <row r="186" spans="1:63" outlineLevel="1">
      <c r="A186" t="s">
        <v>1158</v>
      </c>
      <c r="B186" s="51" t="s">
        <v>126</v>
      </c>
      <c r="C186" s="104">
        <f>C175*C183</f>
        <v>6.1749999999999999E-2</v>
      </c>
      <c r="D186" s="104">
        <f t="shared" ref="D186:AG186" si="104">D173*D183</f>
        <v>0</v>
      </c>
      <c r="E186" s="104">
        <f t="shared" si="104"/>
        <v>0</v>
      </c>
      <c r="F186" s="104">
        <f t="shared" si="104"/>
        <v>0</v>
      </c>
      <c r="G186" s="104">
        <f t="shared" si="104"/>
        <v>0</v>
      </c>
      <c r="H186" s="104">
        <f t="shared" si="104"/>
        <v>0</v>
      </c>
      <c r="I186" s="104">
        <f t="shared" si="104"/>
        <v>0</v>
      </c>
      <c r="J186" s="104">
        <f t="shared" si="104"/>
        <v>0</v>
      </c>
      <c r="K186" s="104">
        <f t="shared" si="104"/>
        <v>0</v>
      </c>
      <c r="L186" s="104">
        <f t="shared" si="104"/>
        <v>0</v>
      </c>
      <c r="M186" s="104">
        <f t="shared" si="104"/>
        <v>0</v>
      </c>
      <c r="N186" s="104">
        <f t="shared" si="104"/>
        <v>0</v>
      </c>
      <c r="O186" s="104">
        <f t="shared" si="104"/>
        <v>0</v>
      </c>
      <c r="P186" s="104">
        <f t="shared" si="104"/>
        <v>0</v>
      </c>
      <c r="Q186" s="104">
        <f t="shared" si="104"/>
        <v>0</v>
      </c>
      <c r="R186" s="104">
        <f t="shared" si="104"/>
        <v>0</v>
      </c>
      <c r="S186" s="104">
        <f t="shared" si="104"/>
        <v>0</v>
      </c>
      <c r="T186" s="104">
        <f t="shared" si="104"/>
        <v>0</v>
      </c>
      <c r="U186" s="104">
        <f t="shared" si="104"/>
        <v>0</v>
      </c>
      <c r="V186" s="104">
        <f t="shared" si="104"/>
        <v>0</v>
      </c>
      <c r="W186" s="104">
        <f t="shared" si="104"/>
        <v>0</v>
      </c>
      <c r="X186" s="104">
        <f t="shared" si="104"/>
        <v>0</v>
      </c>
      <c r="Y186" s="104">
        <f t="shared" si="104"/>
        <v>0</v>
      </c>
      <c r="Z186" s="104">
        <f t="shared" si="104"/>
        <v>0</v>
      </c>
      <c r="AA186" s="104">
        <f t="shared" si="104"/>
        <v>0</v>
      </c>
      <c r="AB186" s="104">
        <f t="shared" si="104"/>
        <v>0</v>
      </c>
      <c r="AC186" s="104">
        <f t="shared" si="104"/>
        <v>0</v>
      </c>
      <c r="AD186" s="104">
        <f t="shared" si="104"/>
        <v>0</v>
      </c>
      <c r="AE186" s="104">
        <f t="shared" si="104"/>
        <v>0</v>
      </c>
      <c r="AF186" s="104">
        <f t="shared" si="104"/>
        <v>0</v>
      </c>
      <c r="AG186" s="104">
        <f t="shared" si="104"/>
        <v>0</v>
      </c>
      <c r="AI186" s="127"/>
      <c r="AJ186" s="198"/>
      <c r="BC186" s="1"/>
      <c r="BD186" s="38"/>
      <c r="BF186" s="6"/>
      <c r="BG186" s="6"/>
      <c r="BH186" s="6"/>
      <c r="BI186" s="6"/>
      <c r="BJ186" s="6"/>
    </row>
    <row r="187" spans="1:63" outlineLevel="1">
      <c r="C187" s="104"/>
      <c r="D187" s="104"/>
      <c r="E187" s="104"/>
      <c r="F187" s="104"/>
      <c r="G187" s="104"/>
      <c r="H187" s="104"/>
      <c r="I187" s="104"/>
      <c r="J187" s="104"/>
      <c r="K187" s="104"/>
      <c r="L187" s="104"/>
      <c r="M187" s="104"/>
      <c r="N187" s="104"/>
      <c r="O187" s="104"/>
      <c r="P187" s="104"/>
      <c r="Q187" s="104"/>
      <c r="R187" s="104"/>
      <c r="S187" s="104"/>
      <c r="T187" s="104"/>
      <c r="U187" s="104"/>
      <c r="V187" s="104"/>
      <c r="W187" s="104"/>
      <c r="X187" s="104"/>
      <c r="Y187" s="104"/>
      <c r="Z187" s="104"/>
      <c r="AA187" s="104"/>
      <c r="AB187" s="104"/>
      <c r="AC187" s="104"/>
      <c r="AD187" s="104"/>
      <c r="AE187" s="104"/>
      <c r="AF187" s="104"/>
      <c r="AG187" s="104"/>
      <c r="AI187" s="127"/>
      <c r="AJ187" s="198"/>
      <c r="BC187" s="1"/>
      <c r="BD187" s="38"/>
      <c r="BF187" s="6"/>
      <c r="BG187" s="6"/>
      <c r="BH187" s="6"/>
      <c r="BI187" s="6"/>
      <c r="BJ187" s="6"/>
    </row>
    <row r="188" spans="1:63" s="1" customFormat="1" outlineLevel="1">
      <c r="A188" s="1" t="s">
        <v>261</v>
      </c>
      <c r="B188" s="61"/>
      <c r="C188" s="279">
        <f>C182*C42</f>
        <v>0.15547282504203289</v>
      </c>
      <c r="D188" s="279">
        <f t="shared" ref="D188:AG188" si="105">D182*D42</f>
        <v>0.18916654283092271</v>
      </c>
      <c r="E188" s="279">
        <f t="shared" si="105"/>
        <v>0.2250835692717795</v>
      </c>
      <c r="F188" s="279">
        <f t="shared" si="105"/>
        <v>0.2632239043646033</v>
      </c>
      <c r="G188" s="279">
        <f t="shared" si="105"/>
        <v>0.30358754810939403</v>
      </c>
      <c r="H188" s="279">
        <f t="shared" si="105"/>
        <v>0.34617450050615167</v>
      </c>
      <c r="I188" s="279">
        <f t="shared" si="105"/>
        <v>0.38494404698885348</v>
      </c>
      <c r="J188" s="279">
        <f t="shared" si="105"/>
        <v>0.42448356481977095</v>
      </c>
      <c r="K188" s="279">
        <f t="shared" si="105"/>
        <v>0.46469000364288537</v>
      </c>
      <c r="L188" s="279">
        <f t="shared" si="105"/>
        <v>0.50546031310217776</v>
      </c>
      <c r="M188" s="279">
        <f t="shared" si="105"/>
        <v>0.54669144284163007</v>
      </c>
      <c r="N188" s="279">
        <f t="shared" si="105"/>
        <v>0.60727313110886827</v>
      </c>
      <c r="O188" s="279">
        <f t="shared" si="105"/>
        <v>0.66965909614230346</v>
      </c>
      <c r="P188" s="279">
        <f t="shared" si="105"/>
        <v>0.73363213949925044</v>
      </c>
      <c r="Q188" s="279">
        <f t="shared" si="105"/>
        <v>0.79897506273702346</v>
      </c>
      <c r="R188" s="279">
        <f t="shared" si="105"/>
        <v>0.8654706674129371</v>
      </c>
      <c r="S188" s="279">
        <f t="shared" si="105"/>
        <v>0.93801554700724266</v>
      </c>
      <c r="T188" s="279">
        <f t="shared" si="105"/>
        <v>1.0122339965184945</v>
      </c>
      <c r="U188" s="279">
        <f t="shared" si="105"/>
        <v>1.0879727820939247</v>
      </c>
      <c r="V188" s="279">
        <f t="shared" si="105"/>
        <v>1.1650786698807643</v>
      </c>
      <c r="W188" s="279">
        <f t="shared" si="105"/>
        <v>1.2433984260262447</v>
      </c>
      <c r="X188" s="279">
        <f t="shared" si="105"/>
        <v>1.3560007630237736</v>
      </c>
      <c r="Y188" s="279">
        <f t="shared" si="105"/>
        <v>1.4710086089245171</v>
      </c>
      <c r="Z188" s="279">
        <f t="shared" si="105"/>
        <v>1.5881655752330901</v>
      </c>
      <c r="AA188" s="279">
        <f t="shared" si="105"/>
        <v>1.707215273454108</v>
      </c>
      <c r="AB188" s="279">
        <f t="shared" si="105"/>
        <v>1.8279013150921855</v>
      </c>
      <c r="AC188" s="279">
        <f t="shared" si="105"/>
        <v>1.94392069305875</v>
      </c>
      <c r="AD188" s="279">
        <f t="shared" si="105"/>
        <v>2.0601035572518445</v>
      </c>
      <c r="AE188" s="279">
        <f t="shared" si="105"/>
        <v>2.1761405949453847</v>
      </c>
      <c r="AF188" s="279">
        <f t="shared" si="105"/>
        <v>2.2917224934132863</v>
      </c>
      <c r="AG188" s="279">
        <f t="shared" si="105"/>
        <v>2.4065399399294658</v>
      </c>
      <c r="AH188" s="230"/>
      <c r="AI188" s="398"/>
      <c r="AJ188" s="399"/>
      <c r="AL188" s="207"/>
      <c r="AM188" s="118"/>
      <c r="AN188" s="118"/>
      <c r="AO188" s="118"/>
      <c r="BD188" s="118"/>
      <c r="BE188" s="118"/>
      <c r="BF188" s="118"/>
      <c r="BG188" s="118"/>
      <c r="BH188" s="118"/>
      <c r="BI188" s="118"/>
      <c r="BJ188" s="118"/>
      <c r="BK188" s="118"/>
    </row>
    <row r="189" spans="1:63" outlineLevel="1">
      <c r="A189" s="4" t="s">
        <v>35</v>
      </c>
      <c r="C189" s="216">
        <f>C$188*'Methanol recycling rates'!E60</f>
        <v>5.7597868844512928E-3</v>
      </c>
      <c r="D189" s="216">
        <f>D$188*'Methanol recycling rates'!F60</f>
        <v>7.0080348258930421E-3</v>
      </c>
      <c r="E189" s="216">
        <f>E$188*'Methanol recycling rates'!G60</f>
        <v>8.3386494703918974E-3</v>
      </c>
      <c r="F189" s="216">
        <f>F$188*'Methanol recycling rates'!H60</f>
        <v>9.7516308179478595E-3</v>
      </c>
      <c r="G189" s="216">
        <f>G$188*'Methanol recycling rates'!I60</f>
        <v>1.1246978868560926E-2</v>
      </c>
      <c r="H189" s="216">
        <f>H$188*'Methanol recycling rates'!J60</f>
        <v>1.2824693622231095E-2</v>
      </c>
      <c r="I189" s="216">
        <f>I$188*'Methanol recycling rates'!K60</f>
        <v>1.4260985303988463E-2</v>
      </c>
      <c r="J189" s="216">
        <f>J$188*'Methanol recycling rates'!L60</f>
        <v>1.5725802040665603E-2</v>
      </c>
      <c r="K189" s="216">
        <f>K$188*'Methanol recycling rates'!M60</f>
        <v>1.7215326135575814E-2</v>
      </c>
      <c r="L189" s="216">
        <f>L$188*'Methanol recycling rates'!N60</f>
        <v>1.8725739892032391E-2</v>
      </c>
      <c r="M189" s="216">
        <f>M$188*'Methanol recycling rates'!O60</f>
        <v>2.0253225613348653E-2</v>
      </c>
      <c r="N189" s="216">
        <f>N$188*'Methanol recycling rates'!P60</f>
        <v>2.2497589626321458E-2</v>
      </c>
      <c r="O189" s="216">
        <f>O$188*'Methanol recycling rates'!Q60</f>
        <v>2.4808796508143216E-2</v>
      </c>
      <c r="P189" s="216">
        <f>P$188*'Methanol recycling rates'!R60</f>
        <v>2.7178799728874294E-2</v>
      </c>
      <c r="Q189" s="216">
        <f>Q$188*'Methanol recycling rates'!S60</f>
        <v>2.9599552758575023E-2</v>
      </c>
      <c r="R189" s="216">
        <f>R$188*'Methanol recycling rates'!T60</f>
        <v>3.2063009067305755E-2</v>
      </c>
      <c r="S189" s="216">
        <f>S$188*'Methanol recycling rates'!U60</f>
        <v>3.4750572285562151E-2</v>
      </c>
      <c r="T189" s="216">
        <f>T$188*'Methanol recycling rates'!V60</f>
        <v>3.7500136088520306E-2</v>
      </c>
      <c r="U189" s="216">
        <f>U$188*'Methanol recycling rates'!W60</f>
        <v>4.0306023636287519E-2</v>
      </c>
      <c r="V189" s="216">
        <f>V$188*'Methanol recycling rates'!X60</f>
        <v>4.3162558088971091E-2</v>
      </c>
      <c r="W189" s="216">
        <f>W$188*'Methanol recycling rates'!Y60</f>
        <v>4.6064062606678308E-2</v>
      </c>
      <c r="X189" s="216">
        <f>X$188*'Methanol recycling rates'!Z60</f>
        <v>5.0235630619426437E-2</v>
      </c>
      <c r="Y189" s="216">
        <f>Y$188*'Methanol recycling rates'!AA60</f>
        <v>5.4496315290519341E-2</v>
      </c>
      <c r="Z189" s="216">
        <f>Z$188*'Methanol recycling rates'!AB60</f>
        <v>5.8836618219881981E-2</v>
      </c>
      <c r="AA189" s="216">
        <f>AA$188*'Methanol recycling rates'!AC60</f>
        <v>6.3247041007439359E-2</v>
      </c>
      <c r="AB189" s="216">
        <f>AB$188*'Methanol recycling rates'!AD60</f>
        <v>6.7718085253116442E-2</v>
      </c>
      <c r="AC189" s="216">
        <f>AC$188*'Methanol recycling rates'!AE60</f>
        <v>7.2016244055938428E-2</v>
      </c>
      <c r="AD189" s="216">
        <f>AD$188*'Methanol recycling rates'!AF60</f>
        <v>7.6320459517363617E-2</v>
      </c>
      <c r="AE189" s="216">
        <f>AE$188*'Methanol recycling rates'!AG60</f>
        <v>8.0619272558402413E-2</v>
      </c>
      <c r="AF189" s="216">
        <f>AF$188*'Methanol recycling rates'!AH60</f>
        <v>8.490122410006519E-2</v>
      </c>
      <c r="AG189" s="216">
        <f>AG$188*'Methanol recycling rates'!AI60</f>
        <v>8.9154855063362376E-2</v>
      </c>
      <c r="AH189" s="230"/>
      <c r="AI189" s="126"/>
      <c r="AJ189" s="198"/>
      <c r="AL189" s="102"/>
      <c r="AM189" s="2"/>
      <c r="AN189" s="2"/>
      <c r="AO189" s="2"/>
      <c r="BC189" s="1"/>
      <c r="BD189" s="2"/>
      <c r="BE189" s="2"/>
      <c r="BF189" s="2"/>
      <c r="BG189" s="2"/>
      <c r="BH189" s="2"/>
      <c r="BI189" s="2"/>
      <c r="BJ189" s="2"/>
      <c r="BK189" s="2"/>
    </row>
    <row r="190" spans="1:63" outlineLevel="1">
      <c r="A190" s="4" t="s">
        <v>160</v>
      </c>
      <c r="C190" s="216">
        <f>C$188*'Methanol recycling rates'!E61</f>
        <v>0</v>
      </c>
      <c r="D190" s="216">
        <f>D$188*'Methanol recycling rates'!F61</f>
        <v>0</v>
      </c>
      <c r="E190" s="216">
        <f>E$188*'Methanol recycling rates'!G61</f>
        <v>0</v>
      </c>
      <c r="F190" s="216">
        <f>F$188*'Methanol recycling rates'!H61</f>
        <v>0</v>
      </c>
      <c r="G190" s="216">
        <f>G$188*'Methanol recycling rates'!I61</f>
        <v>0</v>
      </c>
      <c r="H190" s="216">
        <f>H$188*'Methanol recycling rates'!J61</f>
        <v>0</v>
      </c>
      <c r="I190" s="216">
        <f>I$188*'Methanol recycling rates'!K61</f>
        <v>0</v>
      </c>
      <c r="J190" s="216">
        <f>J$188*'Methanol recycling rates'!L61</f>
        <v>0</v>
      </c>
      <c r="K190" s="216">
        <f>K$188*'Methanol recycling rates'!M61</f>
        <v>0</v>
      </c>
      <c r="L190" s="216">
        <f>L$188*'Methanol recycling rates'!N61</f>
        <v>0</v>
      </c>
      <c r="M190" s="216">
        <f>M$188*'Methanol recycling rates'!O61</f>
        <v>0</v>
      </c>
      <c r="N190" s="216">
        <f>N$188*'Methanol recycling rates'!P61</f>
        <v>0</v>
      </c>
      <c r="O190" s="216">
        <f>O$188*'Methanol recycling rates'!Q61</f>
        <v>0</v>
      </c>
      <c r="P190" s="216">
        <f>P$188*'Methanol recycling rates'!R61</f>
        <v>0</v>
      </c>
      <c r="Q190" s="216">
        <f>Q$188*'Methanol recycling rates'!S61</f>
        <v>0</v>
      </c>
      <c r="R190" s="216">
        <f>R$188*'Methanol recycling rates'!T61</f>
        <v>0</v>
      </c>
      <c r="S190" s="216">
        <f>S$188*'Methanol recycling rates'!U61</f>
        <v>0</v>
      </c>
      <c r="T190" s="216">
        <f>T$188*'Methanol recycling rates'!V61</f>
        <v>0</v>
      </c>
      <c r="U190" s="216">
        <f>U$188*'Methanol recycling rates'!W61</f>
        <v>0</v>
      </c>
      <c r="V190" s="216">
        <f>V$188*'Methanol recycling rates'!X61</f>
        <v>0</v>
      </c>
      <c r="W190" s="216">
        <f>W$188*'Methanol recycling rates'!Y61</f>
        <v>0</v>
      </c>
      <c r="X190" s="216">
        <f>X$188*'Methanol recycling rates'!Z61</f>
        <v>0</v>
      </c>
      <c r="Y190" s="216">
        <f>Y$188*'Methanol recycling rates'!AA61</f>
        <v>0</v>
      </c>
      <c r="Z190" s="216">
        <f>Z$188*'Methanol recycling rates'!AB61</f>
        <v>0</v>
      </c>
      <c r="AA190" s="216">
        <f>AA$188*'Methanol recycling rates'!AC61</f>
        <v>0</v>
      </c>
      <c r="AB190" s="216">
        <f>AB$188*'Methanol recycling rates'!AD61</f>
        <v>0</v>
      </c>
      <c r="AC190" s="216">
        <f>AC$188*'Methanol recycling rates'!AE61</f>
        <v>0</v>
      </c>
      <c r="AD190" s="216">
        <f>AD$188*'Methanol recycling rates'!AF61</f>
        <v>0</v>
      </c>
      <c r="AE190" s="216">
        <f>AE$188*'Methanol recycling rates'!AG61</f>
        <v>0</v>
      </c>
      <c r="AF190" s="216">
        <f>AF$188*'Methanol recycling rates'!AH61</f>
        <v>0</v>
      </c>
      <c r="AG190" s="216">
        <f>AG$188*'Methanol recycling rates'!AI61</f>
        <v>0</v>
      </c>
      <c r="AH190" s="230"/>
      <c r="AI190" s="126"/>
      <c r="AJ190" s="198"/>
      <c r="AL190" s="102"/>
      <c r="AM190" s="2"/>
      <c r="AN190" s="2"/>
      <c r="AO190" s="2"/>
      <c r="BC190" s="1"/>
      <c r="BD190" s="2"/>
      <c r="BE190" s="2"/>
      <c r="BF190" s="2"/>
      <c r="BG190" s="2"/>
      <c r="BH190" s="2"/>
      <c r="BI190" s="2"/>
      <c r="BJ190" s="2"/>
      <c r="BK190" s="2"/>
    </row>
    <row r="191" spans="1:63" outlineLevel="1">
      <c r="A191" s="4" t="s">
        <v>1159</v>
      </c>
      <c r="C191" s="216">
        <f>C$188*'Methanol recycling rates'!E62</f>
        <v>0.14971303815758161</v>
      </c>
      <c r="D191" s="216">
        <f>D$188*'Methanol recycling rates'!F62</f>
        <v>0.18215850800502967</v>
      </c>
      <c r="E191" s="216">
        <f>E$188*'Methanol recycling rates'!G62</f>
        <v>0.2167449198013876</v>
      </c>
      <c r="F191" s="216">
        <f>F$188*'Methanol recycling rates'!H62</f>
        <v>0.25347227354665547</v>
      </c>
      <c r="G191" s="216">
        <f>G$188*'Methanol recycling rates'!I62</f>
        <v>0.29234056924083313</v>
      </c>
      <c r="H191" s="216">
        <f>H$188*'Methanol recycling rates'!J62</f>
        <v>0.33334980688392057</v>
      </c>
      <c r="I191" s="216">
        <f>I$188*'Methanol recycling rates'!K62</f>
        <v>0.37068306168486503</v>
      </c>
      <c r="J191" s="216">
        <f>J$188*'Methanol recycling rates'!L62</f>
        <v>0.40875776277910536</v>
      </c>
      <c r="K191" s="216">
        <f>K$188*'Methanol recycling rates'!M62</f>
        <v>0.44747467750730957</v>
      </c>
      <c r="L191" s="216">
        <f>L$188*'Methanol recycling rates'!N62</f>
        <v>0.4867345732101454</v>
      </c>
      <c r="M191" s="216">
        <f>M$188*'Methanol recycling rates'!O62</f>
        <v>0.52643821722828144</v>
      </c>
      <c r="N191" s="216">
        <f>N$188*'Methanol recycling rates'!P62</f>
        <v>0.58477554148254685</v>
      </c>
      <c r="O191" s="216">
        <f>O$188*'Methanol recycling rates'!Q62</f>
        <v>0.6448502996341603</v>
      </c>
      <c r="P191" s="216">
        <f>P$188*'Methanol recycling rates'!R62</f>
        <v>0.70645333977037617</v>
      </c>
      <c r="Q191" s="216">
        <f>Q$188*'Methanol recycling rates'!S62</f>
        <v>0.7693755099784485</v>
      </c>
      <c r="R191" s="216">
        <f>R$188*'Methanol recycling rates'!T62</f>
        <v>0.83340765834563135</v>
      </c>
      <c r="S191" s="216">
        <f>S$188*'Methanol recycling rates'!U62</f>
        <v>0.90326497472168055</v>
      </c>
      <c r="T191" s="216">
        <f>T$188*'Methanol recycling rates'!V62</f>
        <v>0.97473386042997423</v>
      </c>
      <c r="U191" s="216">
        <f>U$188*'Methanol recycling rates'!W62</f>
        <v>1.0476667584576371</v>
      </c>
      <c r="V191" s="216">
        <f>V$188*'Methanol recycling rates'!X62</f>
        <v>1.1219161117917933</v>
      </c>
      <c r="W191" s="216">
        <f>W$188*'Methanol recycling rates'!Y62</f>
        <v>1.1973343634195666</v>
      </c>
      <c r="X191" s="216">
        <f>X$188*'Methanol recycling rates'!Z62</f>
        <v>1.3057651324043471</v>
      </c>
      <c r="Y191" s="216">
        <f>Y$188*'Methanol recycling rates'!AA62</f>
        <v>1.4165122936339978</v>
      </c>
      <c r="Z191" s="216">
        <f>Z$188*'Methanol recycling rates'!AB62</f>
        <v>1.5293289570132083</v>
      </c>
      <c r="AA191" s="216">
        <f>AA$188*'Methanol recycling rates'!AC62</f>
        <v>1.6439682324466687</v>
      </c>
      <c r="AB191" s="216">
        <f>AB$188*'Methanol recycling rates'!AD62</f>
        <v>1.7601832298390692</v>
      </c>
      <c r="AC191" s="216">
        <f>AC$188*'Methanol recycling rates'!AE62</f>
        <v>1.8719044490028116</v>
      </c>
      <c r="AD191" s="216">
        <f>AD$188*'Methanol recycling rates'!AF62</f>
        <v>1.983783097734481</v>
      </c>
      <c r="AE191" s="216">
        <f>AE$188*'Methanol recycling rates'!AG62</f>
        <v>2.0955213223869822</v>
      </c>
      <c r="AF191" s="216">
        <f>AF$188*'Methanol recycling rates'!AH62</f>
        <v>2.2068212693132212</v>
      </c>
      <c r="AG191" s="216">
        <f>AG$188*'Methanol recycling rates'!AI62</f>
        <v>2.3173850848661033</v>
      </c>
      <c r="AH191" s="230"/>
      <c r="AI191" s="126"/>
      <c r="AJ191" s="198"/>
      <c r="AL191" s="102"/>
      <c r="AM191" s="2"/>
      <c r="AN191" s="2"/>
      <c r="AO191" s="2"/>
      <c r="BC191" s="1"/>
      <c r="BD191" s="2"/>
      <c r="BE191" s="2"/>
      <c r="BF191" s="2"/>
      <c r="BG191" s="2"/>
      <c r="BH191" s="2"/>
      <c r="BI191" s="2"/>
      <c r="BJ191" s="2"/>
      <c r="BK191" s="2"/>
    </row>
    <row r="192" spans="1:63" s="1" customFormat="1" outlineLevel="1">
      <c r="A192" s="1" t="s">
        <v>1160</v>
      </c>
      <c r="B192" s="61"/>
      <c r="C192" s="279">
        <f>C188-$C188</f>
        <v>0</v>
      </c>
      <c r="D192" s="279">
        <f t="shared" ref="D192:AG193" si="106">D188-$C188</f>
        <v>3.3693717788889826E-2</v>
      </c>
      <c r="E192" s="279">
        <f t="shared" si="106"/>
        <v>6.9610744229746613E-2</v>
      </c>
      <c r="F192" s="279">
        <f t="shared" si="106"/>
        <v>0.10775107932257041</v>
      </c>
      <c r="G192" s="279">
        <f t="shared" si="106"/>
        <v>0.14811472306736115</v>
      </c>
      <c r="H192" s="279">
        <f t="shared" si="106"/>
        <v>0.19070167546411879</v>
      </c>
      <c r="I192" s="279">
        <f t="shared" si="106"/>
        <v>0.2294712219468206</v>
      </c>
      <c r="J192" s="279">
        <f t="shared" si="106"/>
        <v>0.26901073977773804</v>
      </c>
      <c r="K192" s="279">
        <f t="shared" si="106"/>
        <v>0.30921717860085252</v>
      </c>
      <c r="L192" s="279">
        <f t="shared" si="106"/>
        <v>0.3499874880601449</v>
      </c>
      <c r="M192" s="279">
        <f t="shared" si="106"/>
        <v>0.39121861779959721</v>
      </c>
      <c r="N192" s="279">
        <f t="shared" si="106"/>
        <v>0.45180030606683541</v>
      </c>
      <c r="O192" s="279">
        <f t="shared" si="106"/>
        <v>0.5141862711002706</v>
      </c>
      <c r="P192" s="279">
        <f t="shared" si="106"/>
        <v>0.57815931445721758</v>
      </c>
      <c r="Q192" s="279">
        <f t="shared" si="106"/>
        <v>0.6435022376949906</v>
      </c>
      <c r="R192" s="279">
        <f t="shared" si="106"/>
        <v>0.70999784237090424</v>
      </c>
      <c r="S192" s="279">
        <f t="shared" si="106"/>
        <v>0.7825427219652098</v>
      </c>
      <c r="T192" s="279">
        <f t="shared" si="106"/>
        <v>0.85676117147646169</v>
      </c>
      <c r="U192" s="279">
        <f t="shared" si="106"/>
        <v>0.93249995705189181</v>
      </c>
      <c r="V192" s="279">
        <f t="shared" si="106"/>
        <v>1.0096058448387313</v>
      </c>
      <c r="W192" s="279">
        <f t="shared" si="106"/>
        <v>1.0879256009842118</v>
      </c>
      <c r="X192" s="279">
        <f t="shared" si="106"/>
        <v>1.2005279379817406</v>
      </c>
      <c r="Y192" s="279">
        <f t="shared" si="106"/>
        <v>1.3155357838824842</v>
      </c>
      <c r="Z192" s="279">
        <f t="shared" si="106"/>
        <v>1.4326927501910571</v>
      </c>
      <c r="AA192" s="279">
        <f t="shared" si="106"/>
        <v>1.551742448412075</v>
      </c>
      <c r="AB192" s="279">
        <f t="shared" si="106"/>
        <v>1.6724284900501525</v>
      </c>
      <c r="AC192" s="279">
        <f t="shared" si="106"/>
        <v>1.7884478680167171</v>
      </c>
      <c r="AD192" s="279">
        <f t="shared" si="106"/>
        <v>1.9046307322098115</v>
      </c>
      <c r="AE192" s="279">
        <f t="shared" si="106"/>
        <v>2.0206677699033517</v>
      </c>
      <c r="AF192" s="279">
        <f t="shared" si="106"/>
        <v>2.1362496683712533</v>
      </c>
      <c r="AG192" s="279">
        <f t="shared" si="106"/>
        <v>2.2510671148874328</v>
      </c>
      <c r="AH192" s="230"/>
      <c r="AI192" s="398"/>
      <c r="AJ192" s="399"/>
      <c r="AL192" s="207"/>
      <c r="AM192" s="118"/>
      <c r="AN192" s="118"/>
      <c r="AO192" s="118"/>
      <c r="BD192" s="118"/>
      <c r="BE192" s="118"/>
      <c r="BF192" s="118"/>
      <c r="BG192" s="118"/>
      <c r="BH192" s="118"/>
      <c r="BI192" s="118"/>
      <c r="BJ192" s="118"/>
      <c r="BK192" s="118"/>
    </row>
    <row r="193" spans="1:63" outlineLevel="1">
      <c r="A193" s="4" t="s">
        <v>35</v>
      </c>
      <c r="C193" s="216">
        <f>C189-$C189</f>
        <v>0</v>
      </c>
      <c r="D193" s="216">
        <f t="shared" si="106"/>
        <v>1.2482479414417493E-3</v>
      </c>
      <c r="E193" s="216">
        <f t="shared" si="106"/>
        <v>2.5788625859406045E-3</v>
      </c>
      <c r="F193" s="216">
        <f t="shared" si="106"/>
        <v>3.9918439334965666E-3</v>
      </c>
      <c r="G193" s="216">
        <f t="shared" si="106"/>
        <v>5.487191984109633E-3</v>
      </c>
      <c r="H193" s="216">
        <f t="shared" si="106"/>
        <v>7.0649067377798018E-3</v>
      </c>
      <c r="I193" s="216">
        <f t="shared" si="106"/>
        <v>8.5011984195371704E-3</v>
      </c>
      <c r="J193" s="216">
        <f t="shared" si="106"/>
        <v>9.9660151562143105E-3</v>
      </c>
      <c r="K193" s="216">
        <f t="shared" si="106"/>
        <v>1.1455539251124521E-2</v>
      </c>
      <c r="L193" s="216">
        <f t="shared" si="106"/>
        <v>1.2965953007581098E-2</v>
      </c>
      <c r="M193" s="216">
        <f t="shared" si="106"/>
        <v>1.449343872889736E-2</v>
      </c>
      <c r="N193" s="216">
        <f t="shared" si="106"/>
        <v>1.6737802741870166E-2</v>
      </c>
      <c r="O193" s="216">
        <f t="shared" si="106"/>
        <v>1.9049009623691923E-2</v>
      </c>
      <c r="P193" s="216">
        <f t="shared" si="106"/>
        <v>2.1419012844423001E-2</v>
      </c>
      <c r="Q193" s="216">
        <f t="shared" si="106"/>
        <v>2.3839765874123731E-2</v>
      </c>
      <c r="R193" s="216">
        <f t="shared" si="106"/>
        <v>2.6303222182854462E-2</v>
      </c>
      <c r="S193" s="216">
        <f t="shared" si="106"/>
        <v>2.8990785401110858E-2</v>
      </c>
      <c r="T193" s="216">
        <f t="shared" si="106"/>
        <v>3.1740349204069013E-2</v>
      </c>
      <c r="U193" s="216">
        <f t="shared" si="106"/>
        <v>3.4546236751836226E-2</v>
      </c>
      <c r="V193" s="216">
        <f t="shared" si="106"/>
        <v>3.7402771204519798E-2</v>
      </c>
      <c r="W193" s="216">
        <f t="shared" si="106"/>
        <v>4.0304275722227015E-2</v>
      </c>
      <c r="X193" s="216">
        <f t="shared" si="106"/>
        <v>4.4475843734975144E-2</v>
      </c>
      <c r="Y193" s="216">
        <f t="shared" si="106"/>
        <v>4.8736528406068048E-2</v>
      </c>
      <c r="Z193" s="216">
        <f t="shared" si="106"/>
        <v>5.3076831335430688E-2</v>
      </c>
      <c r="AA193" s="216">
        <f t="shared" si="106"/>
        <v>5.7487254122988066E-2</v>
      </c>
      <c r="AB193" s="216">
        <f t="shared" si="106"/>
        <v>6.1958298368665149E-2</v>
      </c>
      <c r="AC193" s="216">
        <f t="shared" si="106"/>
        <v>6.6256457171487135E-2</v>
      </c>
      <c r="AD193" s="216">
        <f t="shared" si="106"/>
        <v>7.0560672632912325E-2</v>
      </c>
      <c r="AE193" s="216">
        <f t="shared" si="106"/>
        <v>7.4859485673951121E-2</v>
      </c>
      <c r="AF193" s="216">
        <f t="shared" si="106"/>
        <v>7.9141437215613897E-2</v>
      </c>
      <c r="AG193" s="216">
        <f>AG189-$C189</f>
        <v>8.3395068178911083E-2</v>
      </c>
      <c r="AH193" s="230"/>
      <c r="AI193" s="126"/>
      <c r="AJ193" s="198"/>
      <c r="AL193" s="102"/>
      <c r="AM193" s="2"/>
      <c r="AN193" s="2"/>
      <c r="AO193" s="2"/>
      <c r="BC193" s="1"/>
      <c r="BD193" s="2"/>
      <c r="BE193" s="2"/>
      <c r="BF193" s="2"/>
      <c r="BG193" s="2"/>
      <c r="BH193" s="2"/>
      <c r="BI193" s="2"/>
      <c r="BJ193" s="2"/>
      <c r="BK193" s="2"/>
    </row>
    <row r="194" spans="1:63" outlineLevel="1">
      <c r="A194" s="4" t="s">
        <v>160</v>
      </c>
      <c r="C194" s="216">
        <f t="shared" ref="C194:AG195" si="107">C190-$C190</f>
        <v>0</v>
      </c>
      <c r="D194" s="216">
        <f t="shared" si="107"/>
        <v>0</v>
      </c>
      <c r="E194" s="216">
        <f t="shared" si="107"/>
        <v>0</v>
      </c>
      <c r="F194" s="216">
        <f t="shared" si="107"/>
        <v>0</v>
      </c>
      <c r="G194" s="216">
        <f t="shared" si="107"/>
        <v>0</v>
      </c>
      <c r="H194" s="216">
        <f t="shared" si="107"/>
        <v>0</v>
      </c>
      <c r="I194" s="216">
        <f t="shared" si="107"/>
        <v>0</v>
      </c>
      <c r="J194" s="216">
        <f t="shared" si="107"/>
        <v>0</v>
      </c>
      <c r="K194" s="216">
        <f t="shared" si="107"/>
        <v>0</v>
      </c>
      <c r="L194" s="216">
        <f t="shared" si="107"/>
        <v>0</v>
      </c>
      <c r="M194" s="216">
        <f t="shared" si="107"/>
        <v>0</v>
      </c>
      <c r="N194" s="216">
        <f t="shared" si="107"/>
        <v>0</v>
      </c>
      <c r="O194" s="216">
        <f t="shared" si="107"/>
        <v>0</v>
      </c>
      <c r="P194" s="216">
        <f t="shared" si="107"/>
        <v>0</v>
      </c>
      <c r="Q194" s="216">
        <f t="shared" si="107"/>
        <v>0</v>
      </c>
      <c r="R194" s="216">
        <f t="shared" si="107"/>
        <v>0</v>
      </c>
      <c r="S194" s="216">
        <f t="shared" si="107"/>
        <v>0</v>
      </c>
      <c r="T194" s="216">
        <f t="shared" si="107"/>
        <v>0</v>
      </c>
      <c r="U194" s="216">
        <f t="shared" si="107"/>
        <v>0</v>
      </c>
      <c r="V194" s="216">
        <f t="shared" si="107"/>
        <v>0</v>
      </c>
      <c r="W194" s="216">
        <f t="shared" si="107"/>
        <v>0</v>
      </c>
      <c r="X194" s="216">
        <f t="shared" si="107"/>
        <v>0</v>
      </c>
      <c r="Y194" s="216">
        <f t="shared" si="107"/>
        <v>0</v>
      </c>
      <c r="Z194" s="216">
        <f t="shared" si="107"/>
        <v>0</v>
      </c>
      <c r="AA194" s="216">
        <f t="shared" si="107"/>
        <v>0</v>
      </c>
      <c r="AB194" s="216">
        <f t="shared" si="107"/>
        <v>0</v>
      </c>
      <c r="AC194" s="216">
        <f t="shared" si="107"/>
        <v>0</v>
      </c>
      <c r="AD194" s="216">
        <f t="shared" si="107"/>
        <v>0</v>
      </c>
      <c r="AE194" s="216">
        <f t="shared" si="107"/>
        <v>0</v>
      </c>
      <c r="AF194" s="216">
        <f t="shared" si="107"/>
        <v>0</v>
      </c>
      <c r="AG194" s="216">
        <f t="shared" si="107"/>
        <v>0</v>
      </c>
      <c r="AH194" s="230"/>
      <c r="AI194" s="126"/>
      <c r="AJ194" s="198"/>
      <c r="AL194" s="102"/>
      <c r="AM194" s="2"/>
      <c r="AN194" s="2"/>
      <c r="AO194" s="2"/>
      <c r="BC194" s="1"/>
      <c r="BD194" s="2"/>
      <c r="BE194" s="2"/>
      <c r="BF194" s="2"/>
      <c r="BG194" s="2"/>
      <c r="BH194" s="2"/>
      <c r="BI194" s="2"/>
      <c r="BJ194" s="2"/>
      <c r="BK194" s="2"/>
    </row>
    <row r="195" spans="1:63" outlineLevel="1">
      <c r="A195" s="4" t="s">
        <v>1159</v>
      </c>
      <c r="C195" s="216">
        <f t="shared" si="107"/>
        <v>0</v>
      </c>
      <c r="D195" s="216">
        <f t="shared" si="107"/>
        <v>3.2445469847448061E-2</v>
      </c>
      <c r="E195" s="216">
        <f t="shared" si="107"/>
        <v>6.7031881643805996E-2</v>
      </c>
      <c r="F195" s="216">
        <f t="shared" si="107"/>
        <v>0.10375923538907386</v>
      </c>
      <c r="G195" s="216">
        <f t="shared" si="107"/>
        <v>0.14262753108325152</v>
      </c>
      <c r="H195" s="216">
        <f t="shared" si="107"/>
        <v>0.18363676872633897</v>
      </c>
      <c r="I195" s="216">
        <f t="shared" si="107"/>
        <v>0.22097002352728343</v>
      </c>
      <c r="J195" s="216">
        <f t="shared" si="107"/>
        <v>0.25904472462152373</v>
      </c>
      <c r="K195" s="216">
        <f t="shared" si="107"/>
        <v>0.29776163934972799</v>
      </c>
      <c r="L195" s="216">
        <f t="shared" si="107"/>
        <v>0.33702153505256383</v>
      </c>
      <c r="M195" s="216">
        <f t="shared" si="107"/>
        <v>0.3767251790706998</v>
      </c>
      <c r="N195" s="216">
        <f t="shared" si="107"/>
        <v>0.43506250332496521</v>
      </c>
      <c r="O195" s="216">
        <f t="shared" si="107"/>
        <v>0.49513726147657866</v>
      </c>
      <c r="P195" s="216">
        <f t="shared" si="107"/>
        <v>0.55674030161279453</v>
      </c>
      <c r="Q195" s="216">
        <f t="shared" si="107"/>
        <v>0.61966247182086687</v>
      </c>
      <c r="R195" s="216">
        <f t="shared" si="107"/>
        <v>0.68369462018804972</v>
      </c>
      <c r="S195" s="216">
        <f t="shared" si="107"/>
        <v>0.75355193656409891</v>
      </c>
      <c r="T195" s="216">
        <f t="shared" si="107"/>
        <v>0.8250208222723926</v>
      </c>
      <c r="U195" s="216">
        <f t="shared" si="107"/>
        <v>0.89795372030005549</v>
      </c>
      <c r="V195" s="216">
        <f t="shared" si="107"/>
        <v>0.97220307363421166</v>
      </c>
      <c r="W195" s="216">
        <f t="shared" si="107"/>
        <v>1.047621325261985</v>
      </c>
      <c r="X195" s="216">
        <f t="shared" si="107"/>
        <v>1.1560520942467656</v>
      </c>
      <c r="Y195" s="216">
        <f t="shared" si="107"/>
        <v>1.2667992554764163</v>
      </c>
      <c r="Z195" s="216">
        <f t="shared" si="107"/>
        <v>1.3796159188556267</v>
      </c>
      <c r="AA195" s="216">
        <f t="shared" si="107"/>
        <v>1.4942551942890872</v>
      </c>
      <c r="AB195" s="216">
        <f t="shared" si="107"/>
        <v>1.6104701916814876</v>
      </c>
      <c r="AC195" s="216">
        <f t="shared" si="107"/>
        <v>1.7221914108452301</v>
      </c>
      <c r="AD195" s="216">
        <f t="shared" si="107"/>
        <v>1.8340700595768995</v>
      </c>
      <c r="AE195" s="216">
        <f t="shared" si="107"/>
        <v>1.9458082842294007</v>
      </c>
      <c r="AF195" s="216">
        <f t="shared" si="107"/>
        <v>2.0571082311556395</v>
      </c>
      <c r="AG195" s="216">
        <f t="shared" si="107"/>
        <v>2.1676720467085215</v>
      </c>
      <c r="AH195" s="230"/>
      <c r="AI195" s="126"/>
      <c r="AJ195" s="198"/>
      <c r="AL195" s="102"/>
      <c r="AM195" s="2"/>
      <c r="AN195" s="2"/>
      <c r="AO195" s="2"/>
      <c r="BC195" s="1"/>
      <c r="BD195" s="2"/>
      <c r="BE195" s="2"/>
      <c r="BF195" s="2"/>
      <c r="BG195" s="2"/>
      <c r="BH195" s="2"/>
      <c r="BI195" s="2"/>
      <c r="BJ195" s="2"/>
      <c r="BK195" s="2"/>
    </row>
    <row r="196" spans="1:63" s="1" customFormat="1" outlineLevel="1">
      <c r="A196" s="1" t="s">
        <v>1163</v>
      </c>
      <c r="B196" s="61"/>
      <c r="C196" s="279">
        <f>C182*C42</f>
        <v>0.15547282504203289</v>
      </c>
      <c r="D196" s="279">
        <f t="shared" ref="D196:AG196" si="108">D182*D42</f>
        <v>0.18916654283092271</v>
      </c>
      <c r="E196" s="279">
        <f t="shared" si="108"/>
        <v>0.2250835692717795</v>
      </c>
      <c r="F196" s="279">
        <f t="shared" si="108"/>
        <v>0.2632239043646033</v>
      </c>
      <c r="G196" s="279">
        <f t="shared" si="108"/>
        <v>0.30358754810939403</v>
      </c>
      <c r="H196" s="279">
        <f t="shared" si="108"/>
        <v>0.34617450050615167</v>
      </c>
      <c r="I196" s="279">
        <f t="shared" si="108"/>
        <v>0.38494404698885348</v>
      </c>
      <c r="J196" s="279">
        <f t="shared" si="108"/>
        <v>0.42448356481977095</v>
      </c>
      <c r="K196" s="279">
        <f t="shared" si="108"/>
        <v>0.46469000364288537</v>
      </c>
      <c r="L196" s="279">
        <f t="shared" si="108"/>
        <v>0.50546031310217776</v>
      </c>
      <c r="M196" s="279">
        <f t="shared" si="108"/>
        <v>0.54669144284163007</v>
      </c>
      <c r="N196" s="279">
        <f t="shared" si="108"/>
        <v>0.60727313110886827</v>
      </c>
      <c r="O196" s="279">
        <f t="shared" si="108"/>
        <v>0.66965909614230346</v>
      </c>
      <c r="P196" s="279">
        <f t="shared" si="108"/>
        <v>0.73363213949925044</v>
      </c>
      <c r="Q196" s="279">
        <f t="shared" si="108"/>
        <v>0.79897506273702346</v>
      </c>
      <c r="R196" s="279">
        <f t="shared" si="108"/>
        <v>0.8654706674129371</v>
      </c>
      <c r="S196" s="279">
        <f t="shared" si="108"/>
        <v>0.93801554700724266</v>
      </c>
      <c r="T196" s="279">
        <f t="shared" si="108"/>
        <v>1.0122339965184945</v>
      </c>
      <c r="U196" s="279">
        <f t="shared" si="108"/>
        <v>1.0879727820939247</v>
      </c>
      <c r="V196" s="279">
        <f t="shared" si="108"/>
        <v>1.1650786698807643</v>
      </c>
      <c r="W196" s="279">
        <f t="shared" si="108"/>
        <v>1.2433984260262447</v>
      </c>
      <c r="X196" s="279">
        <f t="shared" si="108"/>
        <v>1.3560007630237736</v>
      </c>
      <c r="Y196" s="279">
        <f t="shared" si="108"/>
        <v>1.4710086089245171</v>
      </c>
      <c r="Z196" s="279">
        <f t="shared" si="108"/>
        <v>1.5881655752330901</v>
      </c>
      <c r="AA196" s="279">
        <f t="shared" si="108"/>
        <v>1.707215273454108</v>
      </c>
      <c r="AB196" s="279">
        <f t="shared" si="108"/>
        <v>1.8279013150921855</v>
      </c>
      <c r="AC196" s="279">
        <f t="shared" si="108"/>
        <v>1.94392069305875</v>
      </c>
      <c r="AD196" s="279">
        <f t="shared" si="108"/>
        <v>2.0601035572518445</v>
      </c>
      <c r="AE196" s="279">
        <f t="shared" si="108"/>
        <v>2.1761405949453847</v>
      </c>
      <c r="AF196" s="279">
        <f t="shared" si="108"/>
        <v>2.2917224934132863</v>
      </c>
      <c r="AG196" s="279">
        <f t="shared" si="108"/>
        <v>2.4065399399294658</v>
      </c>
      <c r="AH196" s="230"/>
      <c r="AI196" s="398"/>
      <c r="AJ196" s="399"/>
      <c r="AL196" s="207"/>
      <c r="AM196" s="118"/>
      <c r="AN196" s="118"/>
      <c r="AO196" s="118"/>
      <c r="BD196" s="118"/>
      <c r="BE196" s="118"/>
      <c r="BF196" s="118"/>
      <c r="BG196" s="118"/>
      <c r="BH196" s="118"/>
      <c r="BI196" s="118"/>
      <c r="BJ196" s="118"/>
      <c r="BK196" s="118"/>
    </row>
    <row r="197" spans="1:63" outlineLevel="1">
      <c r="A197" s="4" t="s">
        <v>35</v>
      </c>
      <c r="C197" s="216">
        <f>C$196*'Methanol recycling rates'!E63</f>
        <v>5.7597868844512928E-3</v>
      </c>
      <c r="D197" s="216">
        <f>D$196*'Methanol recycling rates'!F63</f>
        <v>7.0080348258930421E-3</v>
      </c>
      <c r="E197" s="216">
        <f>E$196*'Methanol recycling rates'!G63</f>
        <v>8.3386494703918974E-3</v>
      </c>
      <c r="F197" s="216">
        <f>F$196*'Methanol recycling rates'!H63</f>
        <v>9.7516308179478595E-3</v>
      </c>
      <c r="G197" s="216">
        <f>G$196*'Methanol recycling rates'!I63</f>
        <v>1.1246978868560926E-2</v>
      </c>
      <c r="H197" s="216">
        <f>H$196*'Methanol recycling rates'!J63</f>
        <v>1.2824693622231095E-2</v>
      </c>
      <c r="I197" s="216">
        <f>I$196*'Methanol recycling rates'!K63</f>
        <v>1.4260985303988463E-2</v>
      </c>
      <c r="J197" s="216">
        <f>J$196*'Methanol recycling rates'!L63</f>
        <v>1.5725802040665603E-2</v>
      </c>
      <c r="K197" s="216">
        <f>K$196*'Methanol recycling rates'!M63</f>
        <v>1.7215326135575814E-2</v>
      </c>
      <c r="L197" s="216">
        <f>L$196*'Methanol recycling rates'!N63</f>
        <v>1.8725739892032391E-2</v>
      </c>
      <c r="M197" s="216">
        <f>M$196*'Methanol recycling rates'!O63</f>
        <v>2.0253225613348653E-2</v>
      </c>
      <c r="N197" s="216">
        <f>N$196*'Methanol recycling rates'!P63</f>
        <v>2.2497589626321458E-2</v>
      </c>
      <c r="O197" s="216">
        <f>O$196*'Methanol recycling rates'!Q63</f>
        <v>2.4808796508143216E-2</v>
      </c>
      <c r="P197" s="216">
        <f>P$196*'Methanol recycling rates'!R63</f>
        <v>2.7178799728874294E-2</v>
      </c>
      <c r="Q197" s="216">
        <f>Q$196*'Methanol recycling rates'!S63</f>
        <v>2.9599552758575023E-2</v>
      </c>
      <c r="R197" s="216">
        <f>R$196*'Methanol recycling rates'!T63</f>
        <v>3.2063009067305755E-2</v>
      </c>
      <c r="S197" s="216">
        <f>S$196*'Methanol recycling rates'!U63</f>
        <v>3.4750572285562151E-2</v>
      </c>
      <c r="T197" s="216">
        <f>T$196*'Methanol recycling rates'!V63</f>
        <v>3.7500136088520306E-2</v>
      </c>
      <c r="U197" s="216">
        <f>U$196*'Methanol recycling rates'!W63</f>
        <v>4.0306023636287519E-2</v>
      </c>
      <c r="V197" s="216">
        <f>V$196*'Methanol recycling rates'!X63</f>
        <v>4.3162558088971091E-2</v>
      </c>
      <c r="W197" s="216">
        <f>W$196*'Methanol recycling rates'!Y63</f>
        <v>4.6064062606678308E-2</v>
      </c>
      <c r="X197" s="216">
        <f>X$196*'Methanol recycling rates'!Z63</f>
        <v>5.0235630619426437E-2</v>
      </c>
      <c r="Y197" s="216">
        <f>Y$196*'Methanol recycling rates'!AA63</f>
        <v>5.4496315290519341E-2</v>
      </c>
      <c r="Z197" s="216">
        <f>Z$196*'Methanol recycling rates'!AB63</f>
        <v>5.8836618219881981E-2</v>
      </c>
      <c r="AA197" s="216">
        <f>AA$196*'Methanol recycling rates'!AC63</f>
        <v>6.3247041007439359E-2</v>
      </c>
      <c r="AB197" s="216">
        <f>AB$196*'Methanol recycling rates'!AD63</f>
        <v>6.7718085253116442E-2</v>
      </c>
      <c r="AC197" s="216">
        <f>AC$196*'Methanol recycling rates'!AE63</f>
        <v>7.2016244055938428E-2</v>
      </c>
      <c r="AD197" s="216">
        <f>AD$196*'Methanol recycling rates'!AF63</f>
        <v>7.6320459517363617E-2</v>
      </c>
      <c r="AE197" s="216">
        <f>AE$196*'Methanol recycling rates'!AG63</f>
        <v>8.0619272558402413E-2</v>
      </c>
      <c r="AF197" s="216">
        <f>AF$196*'Methanol recycling rates'!AH63</f>
        <v>8.490122410006519E-2</v>
      </c>
      <c r="AG197" s="216">
        <f>AG$196*'Methanol recycling rates'!AI63</f>
        <v>8.9154855063362376E-2</v>
      </c>
      <c r="AH197" s="230"/>
      <c r="AI197" s="126"/>
      <c r="AJ197" s="198"/>
      <c r="AL197" s="102"/>
      <c r="AM197" s="2"/>
      <c r="AN197" s="2"/>
      <c r="AO197" s="2"/>
      <c r="BC197" s="1"/>
      <c r="BD197" s="2"/>
      <c r="BE197" s="2"/>
      <c r="BF197" s="2"/>
      <c r="BG197" s="2"/>
      <c r="BH197" s="2"/>
      <c r="BI197" s="2"/>
      <c r="BJ197" s="2"/>
      <c r="BK197" s="2"/>
    </row>
    <row r="198" spans="1:63" outlineLevel="1">
      <c r="A198" s="4" t="s">
        <v>160</v>
      </c>
      <c r="C198" s="216">
        <f>C$196*'Methanol recycling rates'!E64</f>
        <v>0</v>
      </c>
      <c r="D198" s="216">
        <f>D$196*'Methanol recycling rates'!F64</f>
        <v>0</v>
      </c>
      <c r="E198" s="216">
        <f>E$196*'Methanol recycling rates'!G64</f>
        <v>0</v>
      </c>
      <c r="F198" s="216">
        <f>F$196*'Methanol recycling rates'!H64</f>
        <v>0</v>
      </c>
      <c r="G198" s="216">
        <f>G$196*'Methanol recycling rates'!I64</f>
        <v>0</v>
      </c>
      <c r="H198" s="216">
        <f>H$196*'Methanol recycling rates'!J64</f>
        <v>0</v>
      </c>
      <c r="I198" s="216">
        <f>I$196*'Methanol recycling rates'!K64</f>
        <v>0</v>
      </c>
      <c r="J198" s="216">
        <f>J$196*'Methanol recycling rates'!L64</f>
        <v>0</v>
      </c>
      <c r="K198" s="216">
        <f>K$196*'Methanol recycling rates'!M64</f>
        <v>0</v>
      </c>
      <c r="L198" s="216">
        <f>L$196*'Methanol recycling rates'!N64</f>
        <v>0</v>
      </c>
      <c r="M198" s="216">
        <f>M$196*'Methanol recycling rates'!O64</f>
        <v>0</v>
      </c>
      <c r="N198" s="216">
        <f>N$196*'Methanol recycling rates'!P64</f>
        <v>0</v>
      </c>
      <c r="O198" s="216">
        <f>O$196*'Methanol recycling rates'!Q64</f>
        <v>0</v>
      </c>
      <c r="P198" s="216">
        <f>P$196*'Methanol recycling rates'!R64</f>
        <v>0</v>
      </c>
      <c r="Q198" s="216">
        <f>Q$196*'Methanol recycling rates'!S64</f>
        <v>0</v>
      </c>
      <c r="R198" s="216">
        <f>R$196*'Methanol recycling rates'!T64</f>
        <v>0</v>
      </c>
      <c r="S198" s="216">
        <f>S$196*'Methanol recycling rates'!U64</f>
        <v>0</v>
      </c>
      <c r="T198" s="216">
        <f>T$196*'Methanol recycling rates'!V64</f>
        <v>0</v>
      </c>
      <c r="U198" s="216">
        <f>U$196*'Methanol recycling rates'!W64</f>
        <v>0</v>
      </c>
      <c r="V198" s="216">
        <f>V$196*'Methanol recycling rates'!X64</f>
        <v>0</v>
      </c>
      <c r="W198" s="216">
        <f>W$196*'Methanol recycling rates'!Y64</f>
        <v>0</v>
      </c>
      <c r="X198" s="216">
        <f>X$196*'Methanol recycling rates'!Z64</f>
        <v>0</v>
      </c>
      <c r="Y198" s="216">
        <f>Y$196*'Methanol recycling rates'!AA64</f>
        <v>0</v>
      </c>
      <c r="Z198" s="216">
        <f>Z$196*'Methanol recycling rates'!AB64</f>
        <v>0</v>
      </c>
      <c r="AA198" s="216">
        <f>AA$196*'Methanol recycling rates'!AC64</f>
        <v>0</v>
      </c>
      <c r="AB198" s="216">
        <f>AB$196*'Methanol recycling rates'!AD64</f>
        <v>0</v>
      </c>
      <c r="AC198" s="216">
        <f>AC$196*'Methanol recycling rates'!AE64</f>
        <v>0</v>
      </c>
      <c r="AD198" s="216">
        <f>AD$196*'Methanol recycling rates'!AF64</f>
        <v>0</v>
      </c>
      <c r="AE198" s="216">
        <f>AE$196*'Methanol recycling rates'!AG64</f>
        <v>0</v>
      </c>
      <c r="AF198" s="216">
        <f>AF$196*'Methanol recycling rates'!AH64</f>
        <v>0</v>
      </c>
      <c r="AG198" s="216">
        <f>AG$196*'Methanol recycling rates'!AI64</f>
        <v>0</v>
      </c>
      <c r="AH198" s="230"/>
      <c r="AI198" s="126"/>
      <c r="AJ198" s="198"/>
      <c r="AL198" s="102"/>
      <c r="AM198" s="2"/>
      <c r="AN198" s="2"/>
      <c r="AO198" s="2"/>
      <c r="BC198" s="1"/>
      <c r="BD198" s="2"/>
      <c r="BE198" s="2"/>
      <c r="BF198" s="2"/>
      <c r="BG198" s="2"/>
      <c r="BH198" s="2"/>
      <c r="BI198" s="2"/>
      <c r="BJ198" s="2"/>
      <c r="BK198" s="2"/>
    </row>
    <row r="199" spans="1:63" outlineLevel="1">
      <c r="A199" s="4" t="s">
        <v>1159</v>
      </c>
      <c r="C199" s="216">
        <f>C$196*'Methanol recycling rates'!E65</f>
        <v>0.14971303815758161</v>
      </c>
      <c r="D199" s="216">
        <f>D$196*'Methanol recycling rates'!F65</f>
        <v>0.18215850800502967</v>
      </c>
      <c r="E199" s="216">
        <f>E$196*'Methanol recycling rates'!G65</f>
        <v>0.2167449198013876</v>
      </c>
      <c r="F199" s="216">
        <f>F$196*'Methanol recycling rates'!H65</f>
        <v>0.25347227354665547</v>
      </c>
      <c r="G199" s="216">
        <f>G$196*'Methanol recycling rates'!I65</f>
        <v>0.29234056924083313</v>
      </c>
      <c r="H199" s="216">
        <f>H$196*'Methanol recycling rates'!J65</f>
        <v>0.33334980688392057</v>
      </c>
      <c r="I199" s="216">
        <f>I$196*'Methanol recycling rates'!K65</f>
        <v>0.37068306168486503</v>
      </c>
      <c r="J199" s="216">
        <f>J$196*'Methanol recycling rates'!L65</f>
        <v>0.40875776277910536</v>
      </c>
      <c r="K199" s="216">
        <f>K$196*'Methanol recycling rates'!M65</f>
        <v>0.44747467750730957</v>
      </c>
      <c r="L199" s="216">
        <f>L$196*'Methanol recycling rates'!N65</f>
        <v>0.4867345732101454</v>
      </c>
      <c r="M199" s="216">
        <f>M$196*'Methanol recycling rates'!O65</f>
        <v>0.52643821722828144</v>
      </c>
      <c r="N199" s="216">
        <f>N$196*'Methanol recycling rates'!P65</f>
        <v>0.58477554148254685</v>
      </c>
      <c r="O199" s="216">
        <f>O$196*'Methanol recycling rates'!Q65</f>
        <v>0.6448502996341603</v>
      </c>
      <c r="P199" s="216">
        <f>P$196*'Methanol recycling rates'!R65</f>
        <v>0.70645333977037617</v>
      </c>
      <c r="Q199" s="216">
        <f>Q$196*'Methanol recycling rates'!S65</f>
        <v>0.7693755099784485</v>
      </c>
      <c r="R199" s="216">
        <f>R$196*'Methanol recycling rates'!T65</f>
        <v>0.83340765834563135</v>
      </c>
      <c r="S199" s="216">
        <f>S$196*'Methanol recycling rates'!U65</f>
        <v>0.90326497472168055</v>
      </c>
      <c r="T199" s="216">
        <f>T$196*'Methanol recycling rates'!V65</f>
        <v>0.97473386042997423</v>
      </c>
      <c r="U199" s="216">
        <f>U$196*'Methanol recycling rates'!W65</f>
        <v>1.0476667584576371</v>
      </c>
      <c r="V199" s="216">
        <f>V$196*'Methanol recycling rates'!X65</f>
        <v>1.1219161117917933</v>
      </c>
      <c r="W199" s="216">
        <f>W$196*'Methanol recycling rates'!Y65</f>
        <v>1.1973343634195666</v>
      </c>
      <c r="X199" s="216">
        <f>X$196*'Methanol recycling rates'!Z65</f>
        <v>1.3057651324043471</v>
      </c>
      <c r="Y199" s="216">
        <f>Y$196*'Methanol recycling rates'!AA65</f>
        <v>1.4165122936339978</v>
      </c>
      <c r="Z199" s="216">
        <f>Z$196*'Methanol recycling rates'!AB65</f>
        <v>1.5293289570132083</v>
      </c>
      <c r="AA199" s="216">
        <f>AA$196*'Methanol recycling rates'!AC65</f>
        <v>1.6439682324466687</v>
      </c>
      <c r="AB199" s="216">
        <f>AB$196*'Methanol recycling rates'!AD65</f>
        <v>1.7601832298390692</v>
      </c>
      <c r="AC199" s="216">
        <f>AC$196*'Methanol recycling rates'!AE65</f>
        <v>1.8719044490028116</v>
      </c>
      <c r="AD199" s="216">
        <f>AD$196*'Methanol recycling rates'!AF65</f>
        <v>1.983783097734481</v>
      </c>
      <c r="AE199" s="216">
        <f>AE$196*'Methanol recycling rates'!AG65</f>
        <v>2.0955213223869822</v>
      </c>
      <c r="AF199" s="216">
        <f>AF$196*'Methanol recycling rates'!AH65</f>
        <v>2.2068212693132212</v>
      </c>
      <c r="AG199" s="216">
        <f>AG$196*'Methanol recycling rates'!AI65</f>
        <v>2.3173850848661033</v>
      </c>
      <c r="AH199" s="230"/>
      <c r="AI199" s="126"/>
      <c r="AJ199" s="198"/>
      <c r="AL199" s="102"/>
      <c r="AM199" s="2"/>
      <c r="AN199" s="2"/>
      <c r="AO199" s="2"/>
      <c r="BC199" s="1"/>
      <c r="BD199" s="2"/>
      <c r="BE199" s="2"/>
      <c r="BF199" s="2"/>
      <c r="BG199" s="2"/>
      <c r="BH199" s="2"/>
      <c r="BI199" s="2"/>
      <c r="BJ199" s="2"/>
      <c r="BK199" s="2"/>
    </row>
    <row r="200" spans="1:63" s="1" customFormat="1" outlineLevel="1">
      <c r="A200" s="1" t="s">
        <v>1166</v>
      </c>
      <c r="B200" s="61"/>
      <c r="C200" s="279">
        <f>C196-$C196</f>
        <v>0</v>
      </c>
      <c r="D200" s="279">
        <f t="shared" ref="D200:AG203" si="109">D196-$C196</f>
        <v>3.3693717788889826E-2</v>
      </c>
      <c r="E200" s="279">
        <f t="shared" si="109"/>
        <v>6.9610744229746613E-2</v>
      </c>
      <c r="F200" s="279">
        <f t="shared" si="109"/>
        <v>0.10775107932257041</v>
      </c>
      <c r="G200" s="279">
        <f t="shared" si="109"/>
        <v>0.14811472306736115</v>
      </c>
      <c r="H200" s="279">
        <f t="shared" si="109"/>
        <v>0.19070167546411879</v>
      </c>
      <c r="I200" s="279">
        <f t="shared" si="109"/>
        <v>0.2294712219468206</v>
      </c>
      <c r="J200" s="279">
        <f t="shared" si="109"/>
        <v>0.26901073977773804</v>
      </c>
      <c r="K200" s="279">
        <f t="shared" si="109"/>
        <v>0.30921717860085252</v>
      </c>
      <c r="L200" s="279">
        <f t="shared" si="109"/>
        <v>0.3499874880601449</v>
      </c>
      <c r="M200" s="279">
        <f t="shared" si="109"/>
        <v>0.39121861779959721</v>
      </c>
      <c r="N200" s="279">
        <f t="shared" si="109"/>
        <v>0.45180030606683541</v>
      </c>
      <c r="O200" s="279">
        <f t="shared" si="109"/>
        <v>0.5141862711002706</v>
      </c>
      <c r="P200" s="279">
        <f t="shared" si="109"/>
        <v>0.57815931445721758</v>
      </c>
      <c r="Q200" s="279">
        <f t="shared" si="109"/>
        <v>0.6435022376949906</v>
      </c>
      <c r="R200" s="279">
        <f t="shared" si="109"/>
        <v>0.70999784237090424</v>
      </c>
      <c r="S200" s="279">
        <f t="shared" si="109"/>
        <v>0.7825427219652098</v>
      </c>
      <c r="T200" s="279">
        <f t="shared" si="109"/>
        <v>0.85676117147646169</v>
      </c>
      <c r="U200" s="279">
        <f t="shared" si="109"/>
        <v>0.93249995705189181</v>
      </c>
      <c r="V200" s="279">
        <f t="shared" si="109"/>
        <v>1.0096058448387313</v>
      </c>
      <c r="W200" s="279">
        <f t="shared" si="109"/>
        <v>1.0879256009842118</v>
      </c>
      <c r="X200" s="279">
        <f t="shared" si="109"/>
        <v>1.2005279379817406</v>
      </c>
      <c r="Y200" s="279">
        <f t="shared" si="109"/>
        <v>1.3155357838824842</v>
      </c>
      <c r="Z200" s="279">
        <f t="shared" si="109"/>
        <v>1.4326927501910571</v>
      </c>
      <c r="AA200" s="279">
        <f t="shared" si="109"/>
        <v>1.551742448412075</v>
      </c>
      <c r="AB200" s="279">
        <f t="shared" si="109"/>
        <v>1.6724284900501525</v>
      </c>
      <c r="AC200" s="279">
        <f t="shared" si="109"/>
        <v>1.7884478680167171</v>
      </c>
      <c r="AD200" s="279">
        <f t="shared" si="109"/>
        <v>1.9046307322098115</v>
      </c>
      <c r="AE200" s="279">
        <f t="shared" si="109"/>
        <v>2.0206677699033517</v>
      </c>
      <c r="AF200" s="279">
        <f t="shared" si="109"/>
        <v>2.1362496683712533</v>
      </c>
      <c r="AG200" s="279">
        <f t="shared" si="109"/>
        <v>2.2510671148874328</v>
      </c>
      <c r="AH200" s="230"/>
      <c r="AI200" s="398"/>
      <c r="AJ200" s="399"/>
      <c r="AL200" s="207"/>
      <c r="AM200" s="118"/>
      <c r="AN200" s="118"/>
      <c r="AO200" s="118"/>
      <c r="BD200" s="118"/>
      <c r="BE200" s="118"/>
      <c r="BF200" s="118"/>
      <c r="BG200" s="118"/>
      <c r="BH200" s="118"/>
      <c r="BI200" s="118"/>
      <c r="BJ200" s="118"/>
      <c r="BK200" s="118"/>
    </row>
    <row r="201" spans="1:63" outlineLevel="1">
      <c r="A201" s="4" t="s">
        <v>35</v>
      </c>
      <c r="C201" s="216">
        <f t="shared" ref="C201:C203" si="110">C197-$C197</f>
        <v>0</v>
      </c>
      <c r="D201" s="216">
        <f t="shared" si="109"/>
        <v>1.2482479414417493E-3</v>
      </c>
      <c r="E201" s="216">
        <f t="shared" si="109"/>
        <v>2.5788625859406045E-3</v>
      </c>
      <c r="F201" s="216">
        <f t="shared" si="109"/>
        <v>3.9918439334965666E-3</v>
      </c>
      <c r="G201" s="216">
        <f t="shared" si="109"/>
        <v>5.487191984109633E-3</v>
      </c>
      <c r="H201" s="216">
        <f t="shared" si="109"/>
        <v>7.0649067377798018E-3</v>
      </c>
      <c r="I201" s="216">
        <f t="shared" si="109"/>
        <v>8.5011984195371704E-3</v>
      </c>
      <c r="J201" s="216">
        <f t="shared" si="109"/>
        <v>9.9660151562143105E-3</v>
      </c>
      <c r="K201" s="216">
        <f t="shared" si="109"/>
        <v>1.1455539251124521E-2</v>
      </c>
      <c r="L201" s="216">
        <f t="shared" si="109"/>
        <v>1.2965953007581098E-2</v>
      </c>
      <c r="M201" s="216">
        <f t="shared" si="109"/>
        <v>1.449343872889736E-2</v>
      </c>
      <c r="N201" s="216">
        <f t="shared" si="109"/>
        <v>1.6737802741870166E-2</v>
      </c>
      <c r="O201" s="216">
        <f t="shared" si="109"/>
        <v>1.9049009623691923E-2</v>
      </c>
      <c r="P201" s="216">
        <f t="shared" si="109"/>
        <v>2.1419012844423001E-2</v>
      </c>
      <c r="Q201" s="216">
        <f t="shared" si="109"/>
        <v>2.3839765874123731E-2</v>
      </c>
      <c r="R201" s="216">
        <f t="shared" si="109"/>
        <v>2.6303222182854462E-2</v>
      </c>
      <c r="S201" s="216">
        <f t="shared" si="109"/>
        <v>2.8990785401110858E-2</v>
      </c>
      <c r="T201" s="216">
        <f t="shared" si="109"/>
        <v>3.1740349204069013E-2</v>
      </c>
      <c r="U201" s="216">
        <f t="shared" si="109"/>
        <v>3.4546236751836226E-2</v>
      </c>
      <c r="V201" s="216">
        <f t="shared" si="109"/>
        <v>3.7402771204519798E-2</v>
      </c>
      <c r="W201" s="216">
        <f t="shared" si="109"/>
        <v>4.0304275722227015E-2</v>
      </c>
      <c r="X201" s="216">
        <f t="shared" si="109"/>
        <v>4.4475843734975144E-2</v>
      </c>
      <c r="Y201" s="216">
        <f t="shared" si="109"/>
        <v>4.8736528406068048E-2</v>
      </c>
      <c r="Z201" s="216">
        <f t="shared" si="109"/>
        <v>5.3076831335430688E-2</v>
      </c>
      <c r="AA201" s="216">
        <f t="shared" si="109"/>
        <v>5.7487254122988066E-2</v>
      </c>
      <c r="AB201" s="216">
        <f t="shared" si="109"/>
        <v>6.1958298368665149E-2</v>
      </c>
      <c r="AC201" s="216">
        <f t="shared" si="109"/>
        <v>6.6256457171487135E-2</v>
      </c>
      <c r="AD201" s="216">
        <f t="shared" si="109"/>
        <v>7.0560672632912325E-2</v>
      </c>
      <c r="AE201" s="216">
        <f t="shared" si="109"/>
        <v>7.4859485673951121E-2</v>
      </c>
      <c r="AF201" s="216">
        <f t="shared" si="109"/>
        <v>7.9141437215613897E-2</v>
      </c>
      <c r="AG201" s="216">
        <f t="shared" si="109"/>
        <v>8.3395068178911083E-2</v>
      </c>
      <c r="AH201" s="230"/>
      <c r="AI201" s="126"/>
      <c r="AJ201" s="198"/>
      <c r="AL201" s="102"/>
      <c r="AM201" s="2"/>
      <c r="AN201" s="2"/>
      <c r="AO201" s="2"/>
      <c r="BC201" s="1"/>
      <c r="BD201" s="2"/>
      <c r="BE201" s="2"/>
      <c r="BF201" s="2"/>
      <c r="BG201" s="2"/>
      <c r="BH201" s="2"/>
      <c r="BI201" s="2"/>
      <c r="BJ201" s="2"/>
      <c r="BK201" s="2"/>
    </row>
    <row r="202" spans="1:63" outlineLevel="1">
      <c r="A202" s="4" t="s">
        <v>160</v>
      </c>
      <c r="C202" s="216">
        <f t="shared" si="110"/>
        <v>0</v>
      </c>
      <c r="D202" s="216">
        <f t="shared" si="109"/>
        <v>0</v>
      </c>
      <c r="E202" s="216">
        <f t="shared" si="109"/>
        <v>0</v>
      </c>
      <c r="F202" s="216">
        <f t="shared" si="109"/>
        <v>0</v>
      </c>
      <c r="G202" s="216">
        <f t="shared" si="109"/>
        <v>0</v>
      </c>
      <c r="H202" s="216">
        <f t="shared" si="109"/>
        <v>0</v>
      </c>
      <c r="I202" s="216">
        <f t="shared" si="109"/>
        <v>0</v>
      </c>
      <c r="J202" s="216">
        <f t="shared" si="109"/>
        <v>0</v>
      </c>
      <c r="K202" s="216">
        <f t="shared" si="109"/>
        <v>0</v>
      </c>
      <c r="L202" s="216">
        <f t="shared" si="109"/>
        <v>0</v>
      </c>
      <c r="M202" s="216">
        <f t="shared" si="109"/>
        <v>0</v>
      </c>
      <c r="N202" s="216">
        <f t="shared" si="109"/>
        <v>0</v>
      </c>
      <c r="O202" s="216">
        <f t="shared" si="109"/>
        <v>0</v>
      </c>
      <c r="P202" s="216">
        <f t="shared" si="109"/>
        <v>0</v>
      </c>
      <c r="Q202" s="216">
        <f t="shared" si="109"/>
        <v>0</v>
      </c>
      <c r="R202" s="216">
        <f t="shared" si="109"/>
        <v>0</v>
      </c>
      <c r="S202" s="216">
        <f t="shared" si="109"/>
        <v>0</v>
      </c>
      <c r="T202" s="216">
        <f t="shared" si="109"/>
        <v>0</v>
      </c>
      <c r="U202" s="216">
        <f t="shared" si="109"/>
        <v>0</v>
      </c>
      <c r="V202" s="216">
        <f t="shared" si="109"/>
        <v>0</v>
      </c>
      <c r="W202" s="216">
        <f t="shared" si="109"/>
        <v>0</v>
      </c>
      <c r="X202" s="216">
        <f t="shared" si="109"/>
        <v>0</v>
      </c>
      <c r="Y202" s="216">
        <f t="shared" si="109"/>
        <v>0</v>
      </c>
      <c r="Z202" s="216">
        <f t="shared" si="109"/>
        <v>0</v>
      </c>
      <c r="AA202" s="216">
        <f t="shared" si="109"/>
        <v>0</v>
      </c>
      <c r="AB202" s="216">
        <f t="shared" si="109"/>
        <v>0</v>
      </c>
      <c r="AC202" s="216">
        <f t="shared" si="109"/>
        <v>0</v>
      </c>
      <c r="AD202" s="216">
        <f t="shared" si="109"/>
        <v>0</v>
      </c>
      <c r="AE202" s="216">
        <f t="shared" si="109"/>
        <v>0</v>
      </c>
      <c r="AF202" s="216">
        <f t="shared" si="109"/>
        <v>0</v>
      </c>
      <c r="AG202" s="216">
        <f t="shared" si="109"/>
        <v>0</v>
      </c>
      <c r="AH202" s="230"/>
      <c r="AI202" s="126"/>
      <c r="AJ202" s="198"/>
      <c r="AL202" s="102"/>
      <c r="AM202" s="2"/>
      <c r="AN202" s="2"/>
      <c r="AO202" s="2"/>
      <c r="BC202" s="1"/>
      <c r="BD202" s="2"/>
      <c r="BE202" s="2"/>
      <c r="BF202" s="2"/>
      <c r="BG202" s="2"/>
      <c r="BH202" s="2"/>
      <c r="BI202" s="2"/>
      <c r="BJ202" s="2"/>
      <c r="BK202" s="2"/>
    </row>
    <row r="203" spans="1:63" outlineLevel="1">
      <c r="A203" s="4" t="s">
        <v>1159</v>
      </c>
      <c r="C203" s="216">
        <f t="shared" si="110"/>
        <v>0</v>
      </c>
      <c r="D203" s="216">
        <f t="shared" si="109"/>
        <v>3.2445469847448061E-2</v>
      </c>
      <c r="E203" s="216">
        <f t="shared" si="109"/>
        <v>6.7031881643805996E-2</v>
      </c>
      <c r="F203" s="216">
        <f t="shared" si="109"/>
        <v>0.10375923538907386</v>
      </c>
      <c r="G203" s="216">
        <f t="shared" si="109"/>
        <v>0.14262753108325152</v>
      </c>
      <c r="H203" s="216">
        <f t="shared" si="109"/>
        <v>0.18363676872633897</v>
      </c>
      <c r="I203" s="216">
        <f t="shared" si="109"/>
        <v>0.22097002352728343</v>
      </c>
      <c r="J203" s="216">
        <f t="shared" si="109"/>
        <v>0.25904472462152373</v>
      </c>
      <c r="K203" s="216">
        <f t="shared" si="109"/>
        <v>0.29776163934972799</v>
      </c>
      <c r="L203" s="216">
        <f t="shared" si="109"/>
        <v>0.33702153505256383</v>
      </c>
      <c r="M203" s="216">
        <f t="shared" si="109"/>
        <v>0.3767251790706998</v>
      </c>
      <c r="N203" s="216">
        <f t="shared" si="109"/>
        <v>0.43506250332496521</v>
      </c>
      <c r="O203" s="216">
        <f t="shared" si="109"/>
        <v>0.49513726147657866</v>
      </c>
      <c r="P203" s="216">
        <f t="shared" si="109"/>
        <v>0.55674030161279453</v>
      </c>
      <c r="Q203" s="216">
        <f t="shared" si="109"/>
        <v>0.61966247182086687</v>
      </c>
      <c r="R203" s="216">
        <f t="shared" si="109"/>
        <v>0.68369462018804972</v>
      </c>
      <c r="S203" s="216">
        <f t="shared" si="109"/>
        <v>0.75355193656409891</v>
      </c>
      <c r="T203" s="216">
        <f t="shared" si="109"/>
        <v>0.8250208222723926</v>
      </c>
      <c r="U203" s="216">
        <f t="shared" si="109"/>
        <v>0.89795372030005549</v>
      </c>
      <c r="V203" s="216">
        <f t="shared" si="109"/>
        <v>0.97220307363421166</v>
      </c>
      <c r="W203" s="216">
        <f t="shared" si="109"/>
        <v>1.047621325261985</v>
      </c>
      <c r="X203" s="216">
        <f t="shared" si="109"/>
        <v>1.1560520942467656</v>
      </c>
      <c r="Y203" s="216">
        <f t="shared" si="109"/>
        <v>1.2667992554764163</v>
      </c>
      <c r="Z203" s="216">
        <f t="shared" si="109"/>
        <v>1.3796159188556267</v>
      </c>
      <c r="AA203" s="216">
        <f t="shared" si="109"/>
        <v>1.4942551942890872</v>
      </c>
      <c r="AB203" s="216">
        <f t="shared" si="109"/>
        <v>1.6104701916814876</v>
      </c>
      <c r="AC203" s="216">
        <f t="shared" si="109"/>
        <v>1.7221914108452301</v>
      </c>
      <c r="AD203" s="216">
        <f t="shared" si="109"/>
        <v>1.8340700595768995</v>
      </c>
      <c r="AE203" s="216">
        <f t="shared" si="109"/>
        <v>1.9458082842294007</v>
      </c>
      <c r="AF203" s="216">
        <f t="shared" si="109"/>
        <v>2.0571082311556395</v>
      </c>
      <c r="AG203" s="216">
        <f t="shared" si="109"/>
        <v>2.1676720467085215</v>
      </c>
      <c r="AH203" s="230"/>
      <c r="AI203" s="126"/>
      <c r="AJ203" s="198"/>
      <c r="AL203" s="102"/>
      <c r="AM203" s="2"/>
      <c r="AN203" s="2"/>
      <c r="AO203" s="2"/>
      <c r="BC203" s="1"/>
      <c r="BD203" s="2"/>
      <c r="BE203" s="2"/>
      <c r="BF203" s="2"/>
      <c r="BG203" s="2"/>
      <c r="BH203" s="2"/>
      <c r="BI203" s="2"/>
      <c r="BJ203" s="2"/>
      <c r="BK203" s="2"/>
    </row>
    <row r="204" spans="1:63" s="1" customFormat="1" outlineLevel="1">
      <c r="A204" s="1" t="s">
        <v>1162</v>
      </c>
      <c r="B204" s="61"/>
      <c r="C204" s="279">
        <f>C182*C42</f>
        <v>0.15547282504203289</v>
      </c>
      <c r="D204" s="279">
        <f t="shared" ref="D204:AG204" si="111">D182*D42</f>
        <v>0.18916654283092271</v>
      </c>
      <c r="E204" s="279">
        <f t="shared" si="111"/>
        <v>0.2250835692717795</v>
      </c>
      <c r="F204" s="279">
        <f t="shared" si="111"/>
        <v>0.2632239043646033</v>
      </c>
      <c r="G204" s="279">
        <f t="shared" si="111"/>
        <v>0.30358754810939403</v>
      </c>
      <c r="H204" s="279">
        <f t="shared" si="111"/>
        <v>0.34617450050615167</v>
      </c>
      <c r="I204" s="279">
        <f t="shared" si="111"/>
        <v>0.38494404698885348</v>
      </c>
      <c r="J204" s="279">
        <f t="shared" si="111"/>
        <v>0.42448356481977095</v>
      </c>
      <c r="K204" s="279">
        <f t="shared" si="111"/>
        <v>0.46469000364288537</v>
      </c>
      <c r="L204" s="279">
        <f t="shared" si="111"/>
        <v>0.50546031310217776</v>
      </c>
      <c r="M204" s="279">
        <f t="shared" si="111"/>
        <v>0.54669144284163007</v>
      </c>
      <c r="N204" s="279">
        <f t="shared" si="111"/>
        <v>0.60727313110886827</v>
      </c>
      <c r="O204" s="279">
        <f t="shared" si="111"/>
        <v>0.66965909614230346</v>
      </c>
      <c r="P204" s="279">
        <f t="shared" si="111"/>
        <v>0.73363213949925044</v>
      </c>
      <c r="Q204" s="279">
        <f t="shared" si="111"/>
        <v>0.79897506273702346</v>
      </c>
      <c r="R204" s="279">
        <f t="shared" si="111"/>
        <v>0.8654706674129371</v>
      </c>
      <c r="S204" s="279">
        <f t="shared" si="111"/>
        <v>0.93801554700724266</v>
      </c>
      <c r="T204" s="279">
        <f t="shared" si="111"/>
        <v>1.0122339965184945</v>
      </c>
      <c r="U204" s="279">
        <f t="shared" si="111"/>
        <v>1.0879727820939247</v>
      </c>
      <c r="V204" s="279">
        <f t="shared" si="111"/>
        <v>1.1650786698807643</v>
      </c>
      <c r="W204" s="279">
        <f t="shared" si="111"/>
        <v>1.2433984260262447</v>
      </c>
      <c r="X204" s="279">
        <f t="shared" si="111"/>
        <v>1.3560007630237736</v>
      </c>
      <c r="Y204" s="279">
        <f t="shared" si="111"/>
        <v>1.4710086089245171</v>
      </c>
      <c r="Z204" s="279">
        <f t="shared" si="111"/>
        <v>1.5881655752330901</v>
      </c>
      <c r="AA204" s="279">
        <f t="shared" si="111"/>
        <v>1.707215273454108</v>
      </c>
      <c r="AB204" s="279">
        <f t="shared" si="111"/>
        <v>1.8279013150921855</v>
      </c>
      <c r="AC204" s="279">
        <f t="shared" si="111"/>
        <v>1.94392069305875</v>
      </c>
      <c r="AD204" s="279">
        <f t="shared" si="111"/>
        <v>2.0601035572518445</v>
      </c>
      <c r="AE204" s="279">
        <f t="shared" si="111"/>
        <v>2.1761405949453847</v>
      </c>
      <c r="AF204" s="279">
        <f t="shared" si="111"/>
        <v>2.2917224934132863</v>
      </c>
      <c r="AG204" s="279">
        <f t="shared" si="111"/>
        <v>2.4065399399294658</v>
      </c>
      <c r="AH204" s="230"/>
      <c r="AI204" s="398"/>
      <c r="AJ204" s="399"/>
      <c r="AL204" s="207"/>
      <c r="AM204" s="118"/>
      <c r="AN204" s="118"/>
      <c r="AO204" s="118"/>
      <c r="BD204" s="118"/>
      <c r="BE204" s="118"/>
      <c r="BF204" s="118"/>
      <c r="BG204" s="118"/>
      <c r="BH204" s="118"/>
      <c r="BI204" s="118"/>
      <c r="BJ204" s="118"/>
      <c r="BK204" s="118"/>
    </row>
    <row r="205" spans="1:63" outlineLevel="1">
      <c r="A205" s="4" t="s">
        <v>35</v>
      </c>
      <c r="C205" s="216">
        <f>C$204*'Methanol recycling rates'!E66</f>
        <v>5.7597868844512928E-3</v>
      </c>
      <c r="D205" s="216">
        <f>D$204*'Methanol recycling rates'!F66</f>
        <v>7.0080348258930421E-3</v>
      </c>
      <c r="E205" s="216">
        <f>E$204*'Methanol recycling rates'!G66</f>
        <v>8.3386494703918974E-3</v>
      </c>
      <c r="F205" s="216">
        <f>F$204*'Methanol recycling rates'!H66</f>
        <v>9.7516308179478595E-3</v>
      </c>
      <c r="G205" s="216">
        <f>G$204*'Methanol recycling rates'!I66</f>
        <v>1.1246978868560926E-2</v>
      </c>
      <c r="H205" s="216">
        <f>H$204*'Methanol recycling rates'!J66</f>
        <v>1.2824693622231095E-2</v>
      </c>
      <c r="I205" s="216">
        <f>I$204*'Methanol recycling rates'!K66</f>
        <v>1.4260985303988463E-2</v>
      </c>
      <c r="J205" s="216">
        <f>J$204*'Methanol recycling rates'!L66</f>
        <v>1.5725802040665603E-2</v>
      </c>
      <c r="K205" s="216">
        <f>K$204*'Methanol recycling rates'!M66</f>
        <v>1.7215326135575814E-2</v>
      </c>
      <c r="L205" s="216">
        <f>L$204*'Methanol recycling rates'!N66</f>
        <v>1.8725739892032391E-2</v>
      </c>
      <c r="M205" s="216">
        <f>M$204*'Methanol recycling rates'!O66</f>
        <v>2.0253225613348653E-2</v>
      </c>
      <c r="N205" s="216">
        <f>N$204*'Methanol recycling rates'!P66</f>
        <v>2.2497589626321458E-2</v>
      </c>
      <c r="O205" s="216">
        <f>O$204*'Methanol recycling rates'!Q66</f>
        <v>2.4808796508143216E-2</v>
      </c>
      <c r="P205" s="216">
        <f>P$204*'Methanol recycling rates'!R66</f>
        <v>2.7178799728874294E-2</v>
      </c>
      <c r="Q205" s="216">
        <f>Q$204*'Methanol recycling rates'!S66</f>
        <v>2.9599552758575023E-2</v>
      </c>
      <c r="R205" s="216">
        <f>R$204*'Methanol recycling rates'!T66</f>
        <v>3.2063009067305755E-2</v>
      </c>
      <c r="S205" s="216">
        <f>S$204*'Methanol recycling rates'!U66</f>
        <v>3.4750572285562151E-2</v>
      </c>
      <c r="T205" s="216">
        <f>T$204*'Methanol recycling rates'!V66</f>
        <v>3.7500136088520306E-2</v>
      </c>
      <c r="U205" s="216">
        <f>U$204*'Methanol recycling rates'!W66</f>
        <v>4.0306023636287519E-2</v>
      </c>
      <c r="V205" s="216">
        <f>V$204*'Methanol recycling rates'!X66</f>
        <v>4.3162558088971091E-2</v>
      </c>
      <c r="W205" s="216">
        <f>W$204*'Methanol recycling rates'!Y66</f>
        <v>4.6064062606678308E-2</v>
      </c>
      <c r="X205" s="216">
        <f>X$204*'Methanol recycling rates'!Z66</f>
        <v>5.0235630619426437E-2</v>
      </c>
      <c r="Y205" s="216">
        <f>Y$204*'Methanol recycling rates'!AA66</f>
        <v>5.4496315290519341E-2</v>
      </c>
      <c r="Z205" s="216">
        <f>Z$204*'Methanol recycling rates'!AB66</f>
        <v>5.8836618219881981E-2</v>
      </c>
      <c r="AA205" s="216">
        <f>AA$204*'Methanol recycling rates'!AC66</f>
        <v>6.3247041007439359E-2</v>
      </c>
      <c r="AB205" s="216">
        <f>AB$204*'Methanol recycling rates'!AD66</f>
        <v>6.7718085253116442E-2</v>
      </c>
      <c r="AC205" s="216">
        <f>AC$204*'Methanol recycling rates'!AE66</f>
        <v>7.2016244055938428E-2</v>
      </c>
      <c r="AD205" s="216">
        <f>AD$204*'Methanol recycling rates'!AF66</f>
        <v>7.6320459517363617E-2</v>
      </c>
      <c r="AE205" s="216">
        <f>AE$204*'Methanol recycling rates'!AG66</f>
        <v>8.0619272558402413E-2</v>
      </c>
      <c r="AF205" s="216">
        <f>AF$204*'Methanol recycling rates'!AH66</f>
        <v>8.490122410006519E-2</v>
      </c>
      <c r="AG205" s="216">
        <f>AG$204*'Methanol recycling rates'!AI66</f>
        <v>8.9154855063362376E-2</v>
      </c>
      <c r="AH205" s="230"/>
      <c r="AI205" s="126"/>
      <c r="AJ205" s="198"/>
      <c r="AL205" s="102"/>
      <c r="AM205" s="2"/>
      <c r="AN205" s="2"/>
      <c r="AO205" s="2"/>
      <c r="BC205" s="1"/>
      <c r="BD205" s="2"/>
      <c r="BE205" s="2"/>
      <c r="BF205" s="2"/>
      <c r="BG205" s="2"/>
      <c r="BH205" s="2"/>
      <c r="BI205" s="2"/>
      <c r="BJ205" s="2"/>
      <c r="BK205" s="2"/>
    </row>
    <row r="206" spans="1:63" outlineLevel="1">
      <c r="A206" s="4" t="s">
        <v>160</v>
      </c>
      <c r="C206" s="216">
        <f>C$204*'Methanol recycling rates'!E67</f>
        <v>0</v>
      </c>
      <c r="D206" s="216">
        <f>D$204*'Methanol recycling rates'!F67</f>
        <v>0</v>
      </c>
      <c r="E206" s="216">
        <f>E$204*'Methanol recycling rates'!G67</f>
        <v>0</v>
      </c>
      <c r="F206" s="216">
        <f>F$204*'Methanol recycling rates'!H67</f>
        <v>0</v>
      </c>
      <c r="G206" s="216">
        <f>G$204*'Methanol recycling rates'!I67</f>
        <v>0</v>
      </c>
      <c r="H206" s="216">
        <f>H$204*'Methanol recycling rates'!J67</f>
        <v>0</v>
      </c>
      <c r="I206" s="216">
        <f>I$204*'Methanol recycling rates'!K67</f>
        <v>0</v>
      </c>
      <c r="J206" s="216">
        <f>J$204*'Methanol recycling rates'!L67</f>
        <v>0</v>
      </c>
      <c r="K206" s="216">
        <f>K$204*'Methanol recycling rates'!M67</f>
        <v>0</v>
      </c>
      <c r="L206" s="216">
        <f>L$204*'Methanol recycling rates'!N67</f>
        <v>0</v>
      </c>
      <c r="M206" s="216">
        <f>M$204*'Methanol recycling rates'!O67</f>
        <v>0</v>
      </c>
      <c r="N206" s="216">
        <f>N$204*'Methanol recycling rates'!P67</f>
        <v>0</v>
      </c>
      <c r="O206" s="216">
        <f>O$204*'Methanol recycling rates'!Q67</f>
        <v>0</v>
      </c>
      <c r="P206" s="216">
        <f>P$204*'Methanol recycling rates'!R67</f>
        <v>0</v>
      </c>
      <c r="Q206" s="216">
        <f>Q$204*'Methanol recycling rates'!S67</f>
        <v>0</v>
      </c>
      <c r="R206" s="216">
        <f>R$204*'Methanol recycling rates'!T67</f>
        <v>0</v>
      </c>
      <c r="S206" s="216">
        <f>S$204*'Methanol recycling rates'!U67</f>
        <v>0</v>
      </c>
      <c r="T206" s="216">
        <f>T$204*'Methanol recycling rates'!V67</f>
        <v>0</v>
      </c>
      <c r="U206" s="216">
        <f>U$204*'Methanol recycling rates'!W67</f>
        <v>0</v>
      </c>
      <c r="V206" s="216">
        <f>V$204*'Methanol recycling rates'!X67</f>
        <v>0</v>
      </c>
      <c r="W206" s="216">
        <f>W$204*'Methanol recycling rates'!Y67</f>
        <v>0</v>
      </c>
      <c r="X206" s="216">
        <f>X$204*'Methanol recycling rates'!Z67</f>
        <v>0</v>
      </c>
      <c r="Y206" s="216">
        <f>Y$204*'Methanol recycling rates'!AA67</f>
        <v>0</v>
      </c>
      <c r="Z206" s="216">
        <f>Z$204*'Methanol recycling rates'!AB67</f>
        <v>0</v>
      </c>
      <c r="AA206" s="216">
        <f>AA$204*'Methanol recycling rates'!AC67</f>
        <v>0</v>
      </c>
      <c r="AB206" s="216">
        <f>AB$204*'Methanol recycling rates'!AD67</f>
        <v>0</v>
      </c>
      <c r="AC206" s="216">
        <f>AC$204*'Methanol recycling rates'!AE67</f>
        <v>0</v>
      </c>
      <c r="AD206" s="216">
        <f>AD$204*'Methanol recycling rates'!AF67</f>
        <v>0</v>
      </c>
      <c r="AE206" s="216">
        <f>AE$204*'Methanol recycling rates'!AG67</f>
        <v>0</v>
      </c>
      <c r="AF206" s="216">
        <f>AF$204*'Methanol recycling rates'!AH67</f>
        <v>0</v>
      </c>
      <c r="AG206" s="216">
        <f>AG$204*'Methanol recycling rates'!AI67</f>
        <v>0</v>
      </c>
      <c r="AH206" s="230"/>
      <c r="AI206" s="126"/>
      <c r="AJ206" s="198"/>
      <c r="AL206" s="102"/>
      <c r="AM206" s="2"/>
      <c r="AN206" s="2"/>
      <c r="AO206" s="2"/>
      <c r="BC206" s="1"/>
      <c r="BD206" s="2"/>
      <c r="BE206" s="2"/>
      <c r="BF206" s="2"/>
      <c r="BG206" s="2"/>
      <c r="BH206" s="2"/>
      <c r="BI206" s="2"/>
      <c r="BJ206" s="2"/>
      <c r="BK206" s="2"/>
    </row>
    <row r="207" spans="1:63" outlineLevel="1">
      <c r="A207" s="4" t="s">
        <v>1159</v>
      </c>
      <c r="C207" s="216">
        <f>C$204*'Methanol recycling rates'!E68</f>
        <v>0.14971303815758161</v>
      </c>
      <c r="D207" s="216">
        <f>D$204*'Methanol recycling rates'!F68</f>
        <v>0.18215850800502967</v>
      </c>
      <c r="E207" s="216">
        <f>E$204*'Methanol recycling rates'!G68</f>
        <v>0.2167449198013876</v>
      </c>
      <c r="F207" s="216">
        <f>F$204*'Methanol recycling rates'!H68</f>
        <v>0.25347227354665547</v>
      </c>
      <c r="G207" s="216">
        <f>G$204*'Methanol recycling rates'!I68</f>
        <v>0.29234056924083313</v>
      </c>
      <c r="H207" s="216">
        <f>H$204*'Methanol recycling rates'!J68</f>
        <v>0.33334980688392057</v>
      </c>
      <c r="I207" s="216">
        <f>I$204*'Methanol recycling rates'!K68</f>
        <v>0.37068306168486503</v>
      </c>
      <c r="J207" s="216">
        <f>J$204*'Methanol recycling rates'!L68</f>
        <v>0.40875776277910536</v>
      </c>
      <c r="K207" s="216">
        <f>K$204*'Methanol recycling rates'!M68</f>
        <v>0.44747467750730957</v>
      </c>
      <c r="L207" s="216">
        <f>L$204*'Methanol recycling rates'!N68</f>
        <v>0.4867345732101454</v>
      </c>
      <c r="M207" s="216">
        <f>M$204*'Methanol recycling rates'!O68</f>
        <v>0.52643821722828144</v>
      </c>
      <c r="N207" s="216">
        <f>N$204*'Methanol recycling rates'!P68</f>
        <v>0.58477554148254685</v>
      </c>
      <c r="O207" s="216">
        <f>O$204*'Methanol recycling rates'!Q68</f>
        <v>0.6448502996341603</v>
      </c>
      <c r="P207" s="216">
        <f>P$204*'Methanol recycling rates'!R68</f>
        <v>0.70645333977037617</v>
      </c>
      <c r="Q207" s="216">
        <f>Q$204*'Methanol recycling rates'!S68</f>
        <v>0.7693755099784485</v>
      </c>
      <c r="R207" s="216">
        <f>R$204*'Methanol recycling rates'!T68</f>
        <v>0.83340765834563135</v>
      </c>
      <c r="S207" s="216">
        <f>S$204*'Methanol recycling rates'!U68</f>
        <v>0.90326497472168055</v>
      </c>
      <c r="T207" s="216">
        <f>T$204*'Methanol recycling rates'!V68</f>
        <v>0.97473386042997423</v>
      </c>
      <c r="U207" s="216">
        <f>U$204*'Methanol recycling rates'!W68</f>
        <v>1.0476667584576371</v>
      </c>
      <c r="V207" s="216">
        <f>V$204*'Methanol recycling rates'!X68</f>
        <v>1.1219161117917933</v>
      </c>
      <c r="W207" s="216">
        <f>W$204*'Methanol recycling rates'!Y68</f>
        <v>1.1973343634195666</v>
      </c>
      <c r="X207" s="216">
        <f>X$204*'Methanol recycling rates'!Z68</f>
        <v>1.3057651324043471</v>
      </c>
      <c r="Y207" s="216">
        <f>Y$204*'Methanol recycling rates'!AA68</f>
        <v>1.4165122936339978</v>
      </c>
      <c r="Z207" s="216">
        <f>Z$204*'Methanol recycling rates'!AB68</f>
        <v>1.5293289570132083</v>
      </c>
      <c r="AA207" s="216">
        <f>AA$204*'Methanol recycling rates'!AC68</f>
        <v>1.6439682324466687</v>
      </c>
      <c r="AB207" s="216">
        <f>AB$204*'Methanol recycling rates'!AD68</f>
        <v>1.7601832298390692</v>
      </c>
      <c r="AC207" s="216">
        <f>AC$204*'Methanol recycling rates'!AE68</f>
        <v>1.8719044490028116</v>
      </c>
      <c r="AD207" s="216">
        <f>AD$204*'Methanol recycling rates'!AF68</f>
        <v>1.983783097734481</v>
      </c>
      <c r="AE207" s="216">
        <f>AE$204*'Methanol recycling rates'!AG68</f>
        <v>2.0955213223869822</v>
      </c>
      <c r="AF207" s="216">
        <f>AF$204*'Methanol recycling rates'!AH68</f>
        <v>2.2068212693132212</v>
      </c>
      <c r="AG207" s="216">
        <f>AG$204*'Methanol recycling rates'!AI68</f>
        <v>2.3173850848661033</v>
      </c>
      <c r="AH207" s="230"/>
      <c r="AI207" s="126"/>
      <c r="AJ207" s="198"/>
      <c r="AL207" s="102"/>
      <c r="AM207" s="2"/>
      <c r="AN207" s="2"/>
      <c r="AO207" s="2"/>
      <c r="BC207" s="1"/>
      <c r="BD207" s="2"/>
      <c r="BE207" s="2"/>
      <c r="BF207" s="2"/>
      <c r="BG207" s="2"/>
      <c r="BH207" s="2"/>
      <c r="BI207" s="2"/>
      <c r="BJ207" s="2"/>
      <c r="BK207" s="2"/>
    </row>
    <row r="208" spans="1:63" s="1" customFormat="1" outlineLevel="1">
      <c r="A208" s="1" t="s">
        <v>1165</v>
      </c>
      <c r="B208" s="61"/>
      <c r="C208" s="279">
        <f>C204-$C204</f>
        <v>0</v>
      </c>
      <c r="D208" s="279">
        <f t="shared" ref="D208:AG211" si="112">D204-$C204</f>
        <v>3.3693717788889826E-2</v>
      </c>
      <c r="E208" s="279">
        <f t="shared" si="112"/>
        <v>6.9610744229746613E-2</v>
      </c>
      <c r="F208" s="279">
        <f t="shared" si="112"/>
        <v>0.10775107932257041</v>
      </c>
      <c r="G208" s="279">
        <f t="shared" si="112"/>
        <v>0.14811472306736115</v>
      </c>
      <c r="H208" s="279">
        <f t="shared" si="112"/>
        <v>0.19070167546411879</v>
      </c>
      <c r="I208" s="279">
        <f t="shared" si="112"/>
        <v>0.2294712219468206</v>
      </c>
      <c r="J208" s="279">
        <f t="shared" si="112"/>
        <v>0.26901073977773804</v>
      </c>
      <c r="K208" s="279">
        <f t="shared" si="112"/>
        <v>0.30921717860085252</v>
      </c>
      <c r="L208" s="279">
        <f t="shared" si="112"/>
        <v>0.3499874880601449</v>
      </c>
      <c r="M208" s="279">
        <f t="shared" si="112"/>
        <v>0.39121861779959721</v>
      </c>
      <c r="N208" s="279">
        <f t="shared" si="112"/>
        <v>0.45180030606683541</v>
      </c>
      <c r="O208" s="279">
        <f t="shared" si="112"/>
        <v>0.5141862711002706</v>
      </c>
      <c r="P208" s="279">
        <f t="shared" si="112"/>
        <v>0.57815931445721758</v>
      </c>
      <c r="Q208" s="279">
        <f t="shared" si="112"/>
        <v>0.6435022376949906</v>
      </c>
      <c r="R208" s="279">
        <f t="shared" si="112"/>
        <v>0.70999784237090424</v>
      </c>
      <c r="S208" s="279">
        <f t="shared" si="112"/>
        <v>0.7825427219652098</v>
      </c>
      <c r="T208" s="279">
        <f t="shared" si="112"/>
        <v>0.85676117147646169</v>
      </c>
      <c r="U208" s="279">
        <f t="shared" si="112"/>
        <v>0.93249995705189181</v>
      </c>
      <c r="V208" s="279">
        <f t="shared" si="112"/>
        <v>1.0096058448387313</v>
      </c>
      <c r="W208" s="279">
        <f t="shared" si="112"/>
        <v>1.0879256009842118</v>
      </c>
      <c r="X208" s="279">
        <f t="shared" si="112"/>
        <v>1.2005279379817406</v>
      </c>
      <c r="Y208" s="279">
        <f t="shared" si="112"/>
        <v>1.3155357838824842</v>
      </c>
      <c r="Z208" s="279">
        <f t="shared" si="112"/>
        <v>1.4326927501910571</v>
      </c>
      <c r="AA208" s="279">
        <f t="shared" si="112"/>
        <v>1.551742448412075</v>
      </c>
      <c r="AB208" s="279">
        <f t="shared" si="112"/>
        <v>1.6724284900501525</v>
      </c>
      <c r="AC208" s="279">
        <f t="shared" si="112"/>
        <v>1.7884478680167171</v>
      </c>
      <c r="AD208" s="279">
        <f t="shared" si="112"/>
        <v>1.9046307322098115</v>
      </c>
      <c r="AE208" s="279">
        <f t="shared" si="112"/>
        <v>2.0206677699033517</v>
      </c>
      <c r="AF208" s="279">
        <f t="shared" si="112"/>
        <v>2.1362496683712533</v>
      </c>
      <c r="AG208" s="279">
        <f t="shared" si="112"/>
        <v>2.2510671148874328</v>
      </c>
      <c r="AH208" s="230"/>
      <c r="AI208" s="398"/>
      <c r="AJ208" s="399"/>
      <c r="AL208" s="207"/>
      <c r="AM208" s="118"/>
      <c r="AN208" s="118"/>
      <c r="AO208" s="118"/>
      <c r="BD208" s="118"/>
      <c r="BE208" s="118"/>
      <c r="BF208" s="118"/>
      <c r="BG208" s="118"/>
      <c r="BH208" s="118"/>
      <c r="BI208" s="118"/>
      <c r="BJ208" s="118"/>
      <c r="BK208" s="118"/>
    </row>
    <row r="209" spans="1:63" outlineLevel="1">
      <c r="A209" s="4" t="s">
        <v>35</v>
      </c>
      <c r="C209" s="216">
        <f t="shared" ref="C209:C211" si="113">C205-$C205</f>
        <v>0</v>
      </c>
      <c r="D209" s="216">
        <f t="shared" si="112"/>
        <v>1.2482479414417493E-3</v>
      </c>
      <c r="E209" s="216">
        <f t="shared" si="112"/>
        <v>2.5788625859406045E-3</v>
      </c>
      <c r="F209" s="216">
        <f t="shared" si="112"/>
        <v>3.9918439334965666E-3</v>
      </c>
      <c r="G209" s="216">
        <f t="shared" si="112"/>
        <v>5.487191984109633E-3</v>
      </c>
      <c r="H209" s="216">
        <f t="shared" si="112"/>
        <v>7.0649067377798018E-3</v>
      </c>
      <c r="I209" s="216">
        <f t="shared" si="112"/>
        <v>8.5011984195371704E-3</v>
      </c>
      <c r="J209" s="216">
        <f t="shared" si="112"/>
        <v>9.9660151562143105E-3</v>
      </c>
      <c r="K209" s="216">
        <f t="shared" si="112"/>
        <v>1.1455539251124521E-2</v>
      </c>
      <c r="L209" s="216">
        <f t="shared" si="112"/>
        <v>1.2965953007581098E-2</v>
      </c>
      <c r="M209" s="216">
        <f t="shared" si="112"/>
        <v>1.449343872889736E-2</v>
      </c>
      <c r="N209" s="216">
        <f t="shared" si="112"/>
        <v>1.6737802741870166E-2</v>
      </c>
      <c r="O209" s="216">
        <f t="shared" si="112"/>
        <v>1.9049009623691923E-2</v>
      </c>
      <c r="P209" s="216">
        <f t="shared" si="112"/>
        <v>2.1419012844423001E-2</v>
      </c>
      <c r="Q209" s="216">
        <f t="shared" si="112"/>
        <v>2.3839765874123731E-2</v>
      </c>
      <c r="R209" s="216">
        <f t="shared" si="112"/>
        <v>2.6303222182854462E-2</v>
      </c>
      <c r="S209" s="216">
        <f t="shared" si="112"/>
        <v>2.8990785401110858E-2</v>
      </c>
      <c r="T209" s="216">
        <f t="shared" si="112"/>
        <v>3.1740349204069013E-2</v>
      </c>
      <c r="U209" s="216">
        <f t="shared" si="112"/>
        <v>3.4546236751836226E-2</v>
      </c>
      <c r="V209" s="216">
        <f t="shared" si="112"/>
        <v>3.7402771204519798E-2</v>
      </c>
      <c r="W209" s="216">
        <f t="shared" si="112"/>
        <v>4.0304275722227015E-2</v>
      </c>
      <c r="X209" s="216">
        <f t="shared" si="112"/>
        <v>4.4475843734975144E-2</v>
      </c>
      <c r="Y209" s="216">
        <f t="shared" si="112"/>
        <v>4.8736528406068048E-2</v>
      </c>
      <c r="Z209" s="216">
        <f t="shared" si="112"/>
        <v>5.3076831335430688E-2</v>
      </c>
      <c r="AA209" s="216">
        <f t="shared" si="112"/>
        <v>5.7487254122988066E-2</v>
      </c>
      <c r="AB209" s="216">
        <f t="shared" si="112"/>
        <v>6.1958298368665149E-2</v>
      </c>
      <c r="AC209" s="216">
        <f t="shared" si="112"/>
        <v>6.6256457171487135E-2</v>
      </c>
      <c r="AD209" s="216">
        <f t="shared" si="112"/>
        <v>7.0560672632912325E-2</v>
      </c>
      <c r="AE209" s="216">
        <f t="shared" si="112"/>
        <v>7.4859485673951121E-2</v>
      </c>
      <c r="AF209" s="216">
        <f t="shared" si="112"/>
        <v>7.9141437215613897E-2</v>
      </c>
      <c r="AG209" s="216">
        <f t="shared" si="112"/>
        <v>8.3395068178911083E-2</v>
      </c>
      <c r="AH209" s="230"/>
      <c r="AI209" s="126"/>
      <c r="AJ209" s="198"/>
      <c r="AL209" s="102"/>
      <c r="AM209" s="2"/>
      <c r="AN209" s="2"/>
      <c r="AO209" s="2"/>
      <c r="BC209" s="1"/>
      <c r="BD209" s="2"/>
      <c r="BE209" s="2"/>
      <c r="BF209" s="2"/>
      <c r="BG209" s="2"/>
      <c r="BH209" s="2"/>
      <c r="BI209" s="2"/>
      <c r="BJ209" s="2"/>
      <c r="BK209" s="2"/>
    </row>
    <row r="210" spans="1:63" outlineLevel="1">
      <c r="A210" s="4" t="s">
        <v>160</v>
      </c>
      <c r="C210" s="216">
        <f t="shared" si="113"/>
        <v>0</v>
      </c>
      <c r="D210" s="216">
        <f t="shared" si="112"/>
        <v>0</v>
      </c>
      <c r="E210" s="216">
        <f t="shared" si="112"/>
        <v>0</v>
      </c>
      <c r="F210" s="216">
        <f t="shared" si="112"/>
        <v>0</v>
      </c>
      <c r="G210" s="216">
        <f t="shared" si="112"/>
        <v>0</v>
      </c>
      <c r="H210" s="216">
        <f t="shared" si="112"/>
        <v>0</v>
      </c>
      <c r="I210" s="216">
        <f t="shared" si="112"/>
        <v>0</v>
      </c>
      <c r="J210" s="216">
        <f t="shared" si="112"/>
        <v>0</v>
      </c>
      <c r="K210" s="216">
        <f t="shared" si="112"/>
        <v>0</v>
      </c>
      <c r="L210" s="216">
        <f t="shared" si="112"/>
        <v>0</v>
      </c>
      <c r="M210" s="216">
        <f t="shared" si="112"/>
        <v>0</v>
      </c>
      <c r="N210" s="216">
        <f t="shared" si="112"/>
        <v>0</v>
      </c>
      <c r="O210" s="216">
        <f t="shared" si="112"/>
        <v>0</v>
      </c>
      <c r="P210" s="216">
        <f t="shared" si="112"/>
        <v>0</v>
      </c>
      <c r="Q210" s="216">
        <f t="shared" si="112"/>
        <v>0</v>
      </c>
      <c r="R210" s="216">
        <f t="shared" si="112"/>
        <v>0</v>
      </c>
      <c r="S210" s="216">
        <f t="shared" si="112"/>
        <v>0</v>
      </c>
      <c r="T210" s="216">
        <f t="shared" si="112"/>
        <v>0</v>
      </c>
      <c r="U210" s="216">
        <f t="shared" si="112"/>
        <v>0</v>
      </c>
      <c r="V210" s="216">
        <f t="shared" si="112"/>
        <v>0</v>
      </c>
      <c r="W210" s="216">
        <f t="shared" si="112"/>
        <v>0</v>
      </c>
      <c r="X210" s="216">
        <f t="shared" si="112"/>
        <v>0</v>
      </c>
      <c r="Y210" s="216">
        <f t="shared" si="112"/>
        <v>0</v>
      </c>
      <c r="Z210" s="216">
        <f t="shared" si="112"/>
        <v>0</v>
      </c>
      <c r="AA210" s="216">
        <f t="shared" si="112"/>
        <v>0</v>
      </c>
      <c r="AB210" s="216">
        <f t="shared" si="112"/>
        <v>0</v>
      </c>
      <c r="AC210" s="216">
        <f t="shared" si="112"/>
        <v>0</v>
      </c>
      <c r="AD210" s="216">
        <f t="shared" si="112"/>
        <v>0</v>
      </c>
      <c r="AE210" s="216">
        <f t="shared" si="112"/>
        <v>0</v>
      </c>
      <c r="AF210" s="216">
        <f t="shared" si="112"/>
        <v>0</v>
      </c>
      <c r="AG210" s="216">
        <f t="shared" si="112"/>
        <v>0</v>
      </c>
      <c r="AH210" s="230"/>
      <c r="AI210" s="126"/>
      <c r="AJ210" s="198"/>
      <c r="AL210" s="102"/>
      <c r="AM210" s="2"/>
      <c r="AN210" s="2"/>
      <c r="AO210" s="2"/>
      <c r="BC210" s="1"/>
      <c r="BD210" s="2"/>
      <c r="BE210" s="2"/>
      <c r="BF210" s="2"/>
      <c r="BG210" s="2"/>
      <c r="BH210" s="2"/>
      <c r="BI210" s="2"/>
      <c r="BJ210" s="2"/>
      <c r="BK210" s="2"/>
    </row>
    <row r="211" spans="1:63" outlineLevel="1">
      <c r="A211" s="4" t="s">
        <v>1159</v>
      </c>
      <c r="C211" s="216">
        <f t="shared" si="113"/>
        <v>0</v>
      </c>
      <c r="D211" s="216">
        <f t="shared" si="112"/>
        <v>3.2445469847448061E-2</v>
      </c>
      <c r="E211" s="216">
        <f t="shared" si="112"/>
        <v>6.7031881643805996E-2</v>
      </c>
      <c r="F211" s="216">
        <f t="shared" si="112"/>
        <v>0.10375923538907386</v>
      </c>
      <c r="G211" s="216">
        <f t="shared" si="112"/>
        <v>0.14262753108325152</v>
      </c>
      <c r="H211" s="216">
        <f t="shared" si="112"/>
        <v>0.18363676872633897</v>
      </c>
      <c r="I211" s="216">
        <f t="shared" si="112"/>
        <v>0.22097002352728343</v>
      </c>
      <c r="J211" s="216">
        <f t="shared" si="112"/>
        <v>0.25904472462152373</v>
      </c>
      <c r="K211" s="216">
        <f t="shared" si="112"/>
        <v>0.29776163934972799</v>
      </c>
      <c r="L211" s="216">
        <f t="shared" si="112"/>
        <v>0.33702153505256383</v>
      </c>
      <c r="M211" s="216">
        <f t="shared" si="112"/>
        <v>0.3767251790706998</v>
      </c>
      <c r="N211" s="216">
        <f t="shared" si="112"/>
        <v>0.43506250332496521</v>
      </c>
      <c r="O211" s="216">
        <f t="shared" si="112"/>
        <v>0.49513726147657866</v>
      </c>
      <c r="P211" s="216">
        <f t="shared" si="112"/>
        <v>0.55674030161279453</v>
      </c>
      <c r="Q211" s="216">
        <f t="shared" si="112"/>
        <v>0.61966247182086687</v>
      </c>
      <c r="R211" s="216">
        <f t="shared" si="112"/>
        <v>0.68369462018804972</v>
      </c>
      <c r="S211" s="216">
        <f t="shared" si="112"/>
        <v>0.75355193656409891</v>
      </c>
      <c r="T211" s="216">
        <f t="shared" si="112"/>
        <v>0.8250208222723926</v>
      </c>
      <c r="U211" s="216">
        <f t="shared" si="112"/>
        <v>0.89795372030005549</v>
      </c>
      <c r="V211" s="216">
        <f t="shared" si="112"/>
        <v>0.97220307363421166</v>
      </c>
      <c r="W211" s="216">
        <f t="shared" si="112"/>
        <v>1.047621325261985</v>
      </c>
      <c r="X211" s="216">
        <f t="shared" si="112"/>
        <v>1.1560520942467656</v>
      </c>
      <c r="Y211" s="216">
        <f t="shared" si="112"/>
        <v>1.2667992554764163</v>
      </c>
      <c r="Z211" s="216">
        <f t="shared" si="112"/>
        <v>1.3796159188556267</v>
      </c>
      <c r="AA211" s="216">
        <f t="shared" si="112"/>
        <v>1.4942551942890872</v>
      </c>
      <c r="AB211" s="216">
        <f t="shared" si="112"/>
        <v>1.6104701916814876</v>
      </c>
      <c r="AC211" s="216">
        <f t="shared" si="112"/>
        <v>1.7221914108452301</v>
      </c>
      <c r="AD211" s="216">
        <f t="shared" si="112"/>
        <v>1.8340700595768995</v>
      </c>
      <c r="AE211" s="216">
        <f t="shared" si="112"/>
        <v>1.9458082842294007</v>
      </c>
      <c r="AF211" s="216">
        <f t="shared" si="112"/>
        <v>2.0571082311556395</v>
      </c>
      <c r="AG211" s="216">
        <f t="shared" si="112"/>
        <v>2.1676720467085215</v>
      </c>
      <c r="AH211" s="230"/>
      <c r="AI211" s="126"/>
      <c r="AJ211" s="198"/>
      <c r="AL211" s="102"/>
      <c r="AM211" s="2"/>
      <c r="AN211" s="2"/>
      <c r="AO211" s="2"/>
      <c r="BC211" s="1"/>
      <c r="BD211" s="2"/>
      <c r="BE211" s="2"/>
      <c r="BF211" s="2"/>
      <c r="BG211" s="2"/>
      <c r="BH211" s="2"/>
      <c r="BI211" s="2"/>
      <c r="BJ211" s="2"/>
      <c r="BK211" s="2"/>
    </row>
    <row r="212" spans="1:63" outlineLevel="1">
      <c r="C212" s="104"/>
      <c r="D212" s="104"/>
      <c r="E212" s="104"/>
      <c r="F212" s="104"/>
      <c r="G212" s="104"/>
      <c r="H212" s="104"/>
      <c r="I212" s="104"/>
      <c r="J212" s="104"/>
      <c r="K212" s="104"/>
      <c r="L212" s="104"/>
      <c r="M212" s="104"/>
      <c r="N212" s="104"/>
      <c r="O212" s="104"/>
      <c r="P212" s="104"/>
      <c r="Q212" s="104"/>
      <c r="R212" s="104"/>
      <c r="S212" s="104"/>
      <c r="T212" s="104"/>
      <c r="U212" s="104"/>
      <c r="V212" s="104"/>
      <c r="W212" s="104"/>
      <c r="X212" s="104"/>
      <c r="Y212" s="104"/>
      <c r="Z212" s="104"/>
      <c r="AA212" s="104"/>
      <c r="AB212" s="104"/>
      <c r="AC212" s="104"/>
      <c r="AD212" s="104"/>
      <c r="AE212" s="104"/>
      <c r="AF212" s="104"/>
      <c r="AG212" s="104"/>
      <c r="AJ212" s="198"/>
    </row>
    <row r="213" spans="1:63" s="187" customFormat="1" ht="15.5" thickBot="1">
      <c r="A213" s="187" t="s">
        <v>461</v>
      </c>
      <c r="B213" s="202"/>
      <c r="C213" s="210">
        <f>C214</f>
        <v>1.6E-2</v>
      </c>
      <c r="D213" s="210">
        <f t="shared" ref="D213:AG213" si="114">D214</f>
        <v>2.329547397581962E-2</v>
      </c>
      <c r="E213" s="210">
        <f t="shared" si="114"/>
        <v>3.059094795163924E-2</v>
      </c>
      <c r="F213" s="210">
        <f t="shared" si="114"/>
        <v>3.7886421927458863E-2</v>
      </c>
      <c r="G213" s="210">
        <f t="shared" si="114"/>
        <v>4.5181895903278479E-2</v>
      </c>
      <c r="H213" s="210">
        <f t="shared" si="114"/>
        <v>5.2477369879098103E-2</v>
      </c>
      <c r="I213" s="210">
        <f t="shared" si="114"/>
        <v>5.9772843854917726E-2</v>
      </c>
      <c r="J213" s="210">
        <f t="shared" si="114"/>
        <v>6.7068317830737342E-2</v>
      </c>
      <c r="K213" s="210">
        <f t="shared" si="114"/>
        <v>7.4363791806556973E-2</v>
      </c>
      <c r="L213" s="210">
        <f t="shared" si="114"/>
        <v>8.1659265782376589E-2</v>
      </c>
      <c r="M213" s="210">
        <f t="shared" si="114"/>
        <v>8.8954739758196205E-2</v>
      </c>
      <c r="N213" s="210">
        <f t="shared" si="114"/>
        <v>0.10433135413800063</v>
      </c>
      <c r="O213" s="210">
        <f t="shared" si="114"/>
        <v>0.11970796851780505</v>
      </c>
      <c r="P213" s="210">
        <f t="shared" si="114"/>
        <v>0.1350845828976095</v>
      </c>
      <c r="Q213" s="210">
        <f t="shared" si="114"/>
        <v>0.15046119727741392</v>
      </c>
      <c r="R213" s="210">
        <f t="shared" si="114"/>
        <v>0.16583781165721834</v>
      </c>
      <c r="S213" s="210">
        <f t="shared" si="114"/>
        <v>0.18121442603702276</v>
      </c>
      <c r="T213" s="210">
        <f t="shared" si="114"/>
        <v>0.19659104041682718</v>
      </c>
      <c r="U213" s="210">
        <f t="shared" si="114"/>
        <v>0.2119676547966316</v>
      </c>
      <c r="V213" s="210">
        <f t="shared" si="114"/>
        <v>0.22734426917643602</v>
      </c>
      <c r="W213" s="210">
        <f t="shared" si="114"/>
        <v>0.24272088355624044</v>
      </c>
      <c r="X213" s="210">
        <f t="shared" si="114"/>
        <v>0.26844879520061637</v>
      </c>
      <c r="Y213" s="210">
        <f t="shared" si="114"/>
        <v>0.29417670684499236</v>
      </c>
      <c r="Z213" s="210">
        <f t="shared" si="114"/>
        <v>0.3199046184893683</v>
      </c>
      <c r="AA213" s="210">
        <f t="shared" si="114"/>
        <v>0.34563253013374429</v>
      </c>
      <c r="AB213" s="210">
        <f t="shared" si="114"/>
        <v>0.37136044177812022</v>
      </c>
      <c r="AC213" s="210">
        <f t="shared" si="114"/>
        <v>0.39708835342249615</v>
      </c>
      <c r="AD213" s="210">
        <f t="shared" si="114"/>
        <v>0.42281626506687209</v>
      </c>
      <c r="AE213" s="210">
        <f t="shared" si="114"/>
        <v>0.44854417671124808</v>
      </c>
      <c r="AF213" s="210">
        <f t="shared" si="114"/>
        <v>0.47427208835562407</v>
      </c>
      <c r="AG213" s="210">
        <f t="shared" si="114"/>
        <v>0.5</v>
      </c>
      <c r="AJ213" s="217" t="s">
        <v>473</v>
      </c>
      <c r="AL213" s="204"/>
      <c r="AM213" s="211"/>
      <c r="AN213" s="211"/>
      <c r="AO213" s="211"/>
    </row>
    <row r="214" spans="1:63" ht="15.5" outlineLevel="1" thickTop="1">
      <c r="A214" t="s">
        <v>469</v>
      </c>
      <c r="B214" s="51" t="s">
        <v>126</v>
      </c>
      <c r="C214" s="107">
        <v>1.6E-2</v>
      </c>
      <c r="D214" s="104">
        <f>$C214+($M214-$C214)/10*(D$1-$C$1)</f>
        <v>2.329547397581962E-2</v>
      </c>
      <c r="E214" s="104">
        <f t="shared" ref="E214:L214" si="115">$C214+($M214-$C214)/10*(E$1-$C$1)</f>
        <v>3.059094795163924E-2</v>
      </c>
      <c r="F214" s="104">
        <f t="shared" si="115"/>
        <v>3.7886421927458863E-2</v>
      </c>
      <c r="G214" s="104">
        <f t="shared" si="115"/>
        <v>4.5181895903278479E-2</v>
      </c>
      <c r="H214" s="104">
        <f t="shared" si="115"/>
        <v>5.2477369879098103E-2</v>
      </c>
      <c r="I214" s="104">
        <f t="shared" si="115"/>
        <v>5.9772843854917726E-2</v>
      </c>
      <c r="J214" s="104">
        <f t="shared" si="115"/>
        <v>6.7068317830737342E-2</v>
      </c>
      <c r="K214" s="104">
        <f t="shared" si="115"/>
        <v>7.4363791806556973E-2</v>
      </c>
      <c r="L214" s="104">
        <f t="shared" si="115"/>
        <v>8.1659265782376589E-2</v>
      </c>
      <c r="M214" s="115">
        <f>(M$49-$C$49)/($AG$49-$C$49)*($AG214-$C214)+$C214</f>
        <v>8.8954739758196205E-2</v>
      </c>
      <c r="N214" s="115">
        <f>$M214+($W214-$M214)/10*(N$1-$M$1)</f>
        <v>0.10433135413800063</v>
      </c>
      <c r="O214" s="115">
        <f t="shared" ref="O214:U214" si="116">$M214+($W214-$M214)/10*(O$1-$M$1)</f>
        <v>0.11970796851780505</v>
      </c>
      <c r="P214" s="115">
        <f t="shared" si="116"/>
        <v>0.1350845828976095</v>
      </c>
      <c r="Q214" s="115">
        <f t="shared" si="116"/>
        <v>0.15046119727741392</v>
      </c>
      <c r="R214" s="115">
        <f t="shared" si="116"/>
        <v>0.16583781165721834</v>
      </c>
      <c r="S214" s="115">
        <f t="shared" si="116"/>
        <v>0.18121442603702276</v>
      </c>
      <c r="T214" s="115">
        <f t="shared" si="116"/>
        <v>0.19659104041682718</v>
      </c>
      <c r="U214" s="115">
        <f t="shared" si="116"/>
        <v>0.2119676547966316</v>
      </c>
      <c r="V214" s="115">
        <f>$M214+($W214-$M214)/10*(V$1-$M$1)</f>
        <v>0.22734426917643602</v>
      </c>
      <c r="W214" s="115">
        <f>(W$49-$C$49)/($AG$49-$C$49)*($AG214-$C214)+$C214</f>
        <v>0.24272088355624044</v>
      </c>
      <c r="X214" s="22">
        <f t="shared" ref="X214:AF214" si="117">$W214+($AG214-$W214)/10*(X$1-$W$1)</f>
        <v>0.26844879520061637</v>
      </c>
      <c r="Y214" s="22">
        <f t="shared" si="117"/>
        <v>0.29417670684499236</v>
      </c>
      <c r="Z214" s="22">
        <f t="shared" si="117"/>
        <v>0.3199046184893683</v>
      </c>
      <c r="AA214" s="22">
        <f t="shared" si="117"/>
        <v>0.34563253013374429</v>
      </c>
      <c r="AB214" s="22">
        <f t="shared" si="117"/>
        <v>0.37136044177812022</v>
      </c>
      <c r="AC214" s="22">
        <f t="shared" si="117"/>
        <v>0.39708835342249615</v>
      </c>
      <c r="AD214" s="22">
        <f t="shared" si="117"/>
        <v>0.42281626506687209</v>
      </c>
      <c r="AE214" s="22">
        <f t="shared" si="117"/>
        <v>0.44854417671124808</v>
      </c>
      <c r="AF214" s="22">
        <f t="shared" si="117"/>
        <v>0.47427208835562407</v>
      </c>
      <c r="AG214" s="201">
        <v>0.5</v>
      </c>
      <c r="AJ214" s="198" t="s">
        <v>462</v>
      </c>
    </row>
    <row r="215" spans="1:63" outlineLevel="1">
      <c r="C215" s="107"/>
      <c r="D215" s="104"/>
      <c r="E215" s="104"/>
      <c r="F215" s="104"/>
      <c r="G215" s="104"/>
      <c r="H215" s="104"/>
      <c r="I215" s="104"/>
      <c r="J215" s="104"/>
      <c r="K215" s="104"/>
      <c r="L215" s="104"/>
      <c r="M215" s="115"/>
      <c r="N215" s="115"/>
      <c r="O215" s="115"/>
      <c r="P215" s="115"/>
      <c r="Q215" s="115"/>
      <c r="R215" s="115"/>
      <c r="S215" s="115"/>
      <c r="T215" s="115"/>
      <c r="U215" s="115"/>
      <c r="V215" s="115"/>
      <c r="W215" s="115"/>
      <c r="X215" s="22"/>
      <c r="Y215" s="22"/>
      <c r="Z215" s="22"/>
      <c r="AA215" s="22"/>
      <c r="AB215" s="22"/>
      <c r="AC215" s="22"/>
      <c r="AD215" s="22"/>
      <c r="AE215" s="22"/>
      <c r="AF215" s="22"/>
      <c r="AG215" s="100"/>
      <c r="AJ215" s="198"/>
    </row>
    <row r="216" spans="1:63" outlineLevel="1">
      <c r="A216" t="s">
        <v>1080</v>
      </c>
      <c r="C216" s="477">
        <f>'Overall recycling rates'!E85</f>
        <v>0.26203735567332748</v>
      </c>
      <c r="D216" s="477">
        <f>C216-($C216-$AG216)/($AG$1-$C$1)</f>
        <v>0.2799694438175499</v>
      </c>
      <c r="E216" s="477">
        <f t="shared" ref="E216:AF216" si="118">D216-($C216-$AG216)/($AG$1-$C$1)</f>
        <v>0.29790153196177233</v>
      </c>
      <c r="F216" s="477">
        <f t="shared" si="118"/>
        <v>0.31583362010599475</v>
      </c>
      <c r="G216" s="477">
        <f t="shared" si="118"/>
        <v>0.33376570825021717</v>
      </c>
      <c r="H216" s="477">
        <f t="shared" si="118"/>
        <v>0.3516977963944396</v>
      </c>
      <c r="I216" s="477">
        <f t="shared" si="118"/>
        <v>0.36962988453866202</v>
      </c>
      <c r="J216" s="477">
        <f t="shared" si="118"/>
        <v>0.38756197268288445</v>
      </c>
      <c r="K216" s="477">
        <f t="shared" si="118"/>
        <v>0.40549406082710687</v>
      </c>
      <c r="L216" s="477">
        <f t="shared" si="118"/>
        <v>0.4234261489713293</v>
      </c>
      <c r="M216" s="477">
        <f t="shared" si="118"/>
        <v>0.44135823711555172</v>
      </c>
      <c r="N216" s="477">
        <f t="shared" si="118"/>
        <v>0.45929032525977415</v>
      </c>
      <c r="O216" s="477">
        <f t="shared" si="118"/>
        <v>0.47722241340399657</v>
      </c>
      <c r="P216" s="477">
        <f t="shared" si="118"/>
        <v>0.49515450154821899</v>
      </c>
      <c r="Q216" s="477">
        <f t="shared" si="118"/>
        <v>0.51308658969244136</v>
      </c>
      <c r="R216" s="477">
        <f t="shared" si="118"/>
        <v>0.53101867783666379</v>
      </c>
      <c r="S216" s="477">
        <f t="shared" si="118"/>
        <v>0.54895076598088621</v>
      </c>
      <c r="T216" s="477">
        <f t="shared" si="118"/>
        <v>0.56688285412510864</v>
      </c>
      <c r="U216" s="477">
        <f t="shared" si="118"/>
        <v>0.58481494226933106</v>
      </c>
      <c r="V216" s="477">
        <f t="shared" si="118"/>
        <v>0.60274703041355349</v>
      </c>
      <c r="W216" s="477">
        <f t="shared" si="118"/>
        <v>0.62067911855777591</v>
      </c>
      <c r="X216" s="477">
        <f t="shared" si="118"/>
        <v>0.63861120670199834</v>
      </c>
      <c r="Y216" s="477">
        <f t="shared" si="118"/>
        <v>0.65654329484622076</v>
      </c>
      <c r="Z216" s="477">
        <f t="shared" si="118"/>
        <v>0.67447538299044318</v>
      </c>
      <c r="AA216" s="477">
        <f t="shared" si="118"/>
        <v>0.69240747113466561</v>
      </c>
      <c r="AB216" s="477">
        <f t="shared" si="118"/>
        <v>0.71033955927888803</v>
      </c>
      <c r="AC216" s="477">
        <f t="shared" si="118"/>
        <v>0.72827164742311046</v>
      </c>
      <c r="AD216" s="477">
        <f t="shared" si="118"/>
        <v>0.74620373556733288</v>
      </c>
      <c r="AE216" s="477">
        <f t="shared" si="118"/>
        <v>0.76413582371155531</v>
      </c>
      <c r="AF216" s="477">
        <f t="shared" si="118"/>
        <v>0.78206791185577773</v>
      </c>
      <c r="AG216" s="477">
        <f>'Overall recycling rates'!E94</f>
        <v>0.8</v>
      </c>
      <c r="AI216" s="126"/>
      <c r="AJ216" s="198" t="s">
        <v>1088</v>
      </c>
      <c r="AL216" s="102"/>
      <c r="AM216" s="194"/>
      <c r="AN216" s="194"/>
      <c r="AO216" s="194"/>
      <c r="BC216" s="1"/>
      <c r="BD216" s="194"/>
      <c r="BE216" s="194"/>
      <c r="BF216" s="194"/>
      <c r="BG216" s="194"/>
      <c r="BH216" s="194"/>
      <c r="BI216" s="194"/>
      <c r="BJ216" s="194"/>
      <c r="BK216" s="194"/>
    </row>
    <row r="217" spans="1:63" outlineLevel="1">
      <c r="A217" t="s">
        <v>1089</v>
      </c>
      <c r="B217" s="51" t="s">
        <v>126</v>
      </c>
      <c r="C217" s="104">
        <f>C214*C216</f>
        <v>4.19259769077324E-3</v>
      </c>
      <c r="D217" s="104">
        <f t="shared" ref="D217:AG217" si="119">D214*D216</f>
        <v>6.5220208924764269E-3</v>
      </c>
      <c r="E217" s="104">
        <f t="shared" si="119"/>
        <v>9.1130902589561715E-3</v>
      </c>
      <c r="F217" s="104">
        <f t="shared" si="119"/>
        <v>1.1965805790212471E-2</v>
      </c>
      <c r="G217" s="104">
        <f t="shared" si="119"/>
        <v>1.5080167486245327E-2</v>
      </c>
      <c r="H217" s="104">
        <f t="shared" si="119"/>
        <v>1.8456175347054741E-2</v>
      </c>
      <c r="I217" s="104">
        <f t="shared" si="119"/>
        <v>2.2093829372640712E-2</v>
      </c>
      <c r="J217" s="104">
        <f t="shared" si="119"/>
        <v>2.5993129563003238E-2</v>
      </c>
      <c r="K217" s="104">
        <f t="shared" si="119"/>
        <v>3.0154075918142325E-2</v>
      </c>
      <c r="L217" s="104">
        <f t="shared" si="119"/>
        <v>3.4576668438057963E-2</v>
      </c>
      <c r="M217" s="104">
        <f t="shared" si="119"/>
        <v>3.9260907122750155E-2</v>
      </c>
      <c r="N217" s="104">
        <f t="shared" si="119"/>
        <v>4.7918381576834992E-2</v>
      </c>
      <c r="O217" s="104">
        <f t="shared" si="119"/>
        <v>5.7127325639756567E-2</v>
      </c>
      <c r="P217" s="104">
        <f t="shared" si="119"/>
        <v>6.6887739311514899E-2</v>
      </c>
      <c r="Q217" s="104">
        <f t="shared" si="119"/>
        <v>7.7199622592109954E-2</v>
      </c>
      <c r="R217" s="104">
        <f t="shared" si="119"/>
        <v>8.8062975481541753E-2</v>
      </c>
      <c r="S217" s="104">
        <f t="shared" si="119"/>
        <v>9.9477797979810295E-2</v>
      </c>
      <c r="T217" s="104">
        <f t="shared" si="119"/>
        <v>0.11144409008691558</v>
      </c>
      <c r="U217" s="104">
        <f t="shared" si="119"/>
        <v>0.1239618518028576</v>
      </c>
      <c r="V217" s="104">
        <f t="shared" si="119"/>
        <v>0.13703108312763637</v>
      </c>
      <c r="W217" s="104">
        <f t="shared" si="119"/>
        <v>0.15065178406125188</v>
      </c>
      <c r="X217" s="104">
        <f t="shared" si="119"/>
        <v>0.17143440904076324</v>
      </c>
      <c r="Y217" s="104">
        <f t="shared" si="119"/>
        <v>0.19313974437902207</v>
      </c>
      <c r="Z217" s="104">
        <f t="shared" si="119"/>
        <v>0.21576779007602828</v>
      </c>
      <c r="AA217" s="104">
        <f t="shared" si="119"/>
        <v>0.239318546131782</v>
      </c>
      <c r="AB217" s="104">
        <f t="shared" si="119"/>
        <v>0.26379201254628309</v>
      </c>
      <c r="AC217" s="104">
        <f t="shared" si="119"/>
        <v>0.28918818931953161</v>
      </c>
      <c r="AD217" s="104">
        <f t="shared" si="119"/>
        <v>0.31550707645152753</v>
      </c>
      <c r="AE217" s="104">
        <f t="shared" si="119"/>
        <v>0.34274867394227099</v>
      </c>
      <c r="AF217" s="104">
        <f t="shared" si="119"/>
        <v>0.37091298179176185</v>
      </c>
      <c r="AG217" s="104">
        <f t="shared" si="119"/>
        <v>0.4</v>
      </c>
      <c r="AJ217" s="198" t="s">
        <v>462</v>
      </c>
    </row>
    <row r="218" spans="1:63" outlineLevel="1">
      <c r="C218" s="104"/>
      <c r="D218" s="104"/>
      <c r="E218" s="104"/>
      <c r="F218" s="104"/>
      <c r="G218" s="104"/>
      <c r="H218" s="104"/>
      <c r="I218" s="104"/>
      <c r="J218" s="104"/>
      <c r="K218" s="104"/>
      <c r="L218" s="104"/>
      <c r="M218" s="104"/>
      <c r="N218" s="104"/>
      <c r="O218" s="104"/>
      <c r="P218" s="104"/>
      <c r="Q218" s="104"/>
      <c r="R218" s="104"/>
      <c r="S218" s="104"/>
      <c r="T218" s="104"/>
      <c r="U218" s="104"/>
      <c r="V218" s="104"/>
      <c r="W218" s="104"/>
      <c r="X218" s="104"/>
      <c r="Y218" s="104"/>
      <c r="Z218" s="104"/>
      <c r="AA218" s="104"/>
      <c r="AB218" s="104"/>
      <c r="AC218" s="104"/>
      <c r="AD218" s="104"/>
      <c r="AE218" s="104"/>
      <c r="AF218" s="104"/>
      <c r="AG218" s="104"/>
      <c r="AI218" s="127"/>
      <c r="AJ218" s="198"/>
      <c r="BC218" s="1"/>
      <c r="BD218" s="38"/>
      <c r="BF218" s="6"/>
      <c r="BG218" s="6"/>
      <c r="BH218" s="6"/>
      <c r="BI218" s="6"/>
      <c r="BJ218" s="6"/>
    </row>
    <row r="219" spans="1:63" s="1" customFormat="1" outlineLevel="1">
      <c r="A219" s="1" t="s">
        <v>261</v>
      </c>
      <c r="B219" s="61"/>
      <c r="C219" s="279">
        <f>C217*C41</f>
        <v>18.852963772942033</v>
      </c>
      <c r="D219" s="279">
        <f t="shared" ref="D219:AG219" si="120">D217*D41</f>
        <v>29.327742054246983</v>
      </c>
      <c r="E219" s="279">
        <f t="shared" si="120"/>
        <v>40.979071493016292</v>
      </c>
      <c r="F219" s="279">
        <f t="shared" si="120"/>
        <v>53.806952089249954</v>
      </c>
      <c r="G219" s="279">
        <f t="shared" si="120"/>
        <v>67.811383842947976</v>
      </c>
      <c r="H219" s="279">
        <f t="shared" si="120"/>
        <v>82.99236675411035</v>
      </c>
      <c r="I219" s="279">
        <f t="shared" si="120"/>
        <v>99.349900822737084</v>
      </c>
      <c r="J219" s="279">
        <f t="shared" si="120"/>
        <v>116.88398604882818</v>
      </c>
      <c r="K219" s="279">
        <f t="shared" si="120"/>
        <v>135.59462243238363</v>
      </c>
      <c r="L219" s="279">
        <f t="shared" si="120"/>
        <v>155.48180997340344</v>
      </c>
      <c r="M219" s="279">
        <f t="shared" si="120"/>
        <v>176.54554867188756</v>
      </c>
      <c r="N219" s="279">
        <f t="shared" si="120"/>
        <v>215.47584064987367</v>
      </c>
      <c r="O219" s="279">
        <f t="shared" si="120"/>
        <v>256.88594045205389</v>
      </c>
      <c r="P219" s="279">
        <f t="shared" si="120"/>
        <v>300.77584807842823</v>
      </c>
      <c r="Q219" s="279">
        <f t="shared" si="120"/>
        <v>347.1455635289966</v>
      </c>
      <c r="R219" s="279">
        <f t="shared" si="120"/>
        <v>395.99508680375908</v>
      </c>
      <c r="S219" s="279">
        <f t="shared" si="120"/>
        <v>447.32441790271571</v>
      </c>
      <c r="T219" s="279">
        <f t="shared" si="120"/>
        <v>501.13355682586644</v>
      </c>
      <c r="U219" s="279">
        <f t="shared" si="120"/>
        <v>557.4225035732112</v>
      </c>
      <c r="V219" s="279">
        <f t="shared" si="120"/>
        <v>616.19125814475012</v>
      </c>
      <c r="W219" s="279">
        <f t="shared" si="120"/>
        <v>677.43982054048308</v>
      </c>
      <c r="X219" s="279">
        <f t="shared" si="120"/>
        <v>770.89359424923725</v>
      </c>
      <c r="Y219" s="279">
        <f t="shared" si="120"/>
        <v>868.49654377914601</v>
      </c>
      <c r="Z219" s="279">
        <f t="shared" si="120"/>
        <v>970.24866913020878</v>
      </c>
      <c r="AA219" s="279">
        <f t="shared" si="120"/>
        <v>1076.149970302426</v>
      </c>
      <c r="AB219" s="279">
        <f t="shared" si="120"/>
        <v>1186.2004472957976</v>
      </c>
      <c r="AC219" s="279">
        <f t="shared" si="120"/>
        <v>1300.4001001103234</v>
      </c>
      <c r="AD219" s="279">
        <f t="shared" si="120"/>
        <v>1418.7489287460032</v>
      </c>
      <c r="AE219" s="279">
        <f t="shared" si="120"/>
        <v>1541.2469332028377</v>
      </c>
      <c r="AF219" s="279">
        <f t="shared" si="120"/>
        <v>1667.8941134808267</v>
      </c>
      <c r="AG219" s="279">
        <f t="shared" si="120"/>
        <v>1798.6904695799692</v>
      </c>
      <c r="AH219" s="230"/>
      <c r="AI219" s="398"/>
      <c r="AJ219" s="399"/>
      <c r="AL219" s="207"/>
      <c r="AM219" s="118"/>
      <c r="AN219" s="118"/>
      <c r="AO219" s="118"/>
      <c r="BD219" s="118"/>
      <c r="BE219" s="118"/>
      <c r="BF219" s="118"/>
      <c r="BG219" s="118"/>
      <c r="BH219" s="118"/>
      <c r="BI219" s="118"/>
      <c r="BJ219" s="118"/>
      <c r="BK219" s="118"/>
    </row>
    <row r="220" spans="1:63" outlineLevel="1">
      <c r="A220" s="4" t="s">
        <v>35</v>
      </c>
      <c r="C220" s="216">
        <f>C$219*'Methanol recycling rates'!E69</f>
        <v>0</v>
      </c>
      <c r="D220" s="216">
        <f>D$219*'Methanol recycling rates'!F69</f>
        <v>7.4806875331784434E-5</v>
      </c>
      <c r="E220" s="216">
        <f>E$219*'Methanol recycling rates'!G69</f>
        <v>2.0905232231790106E-4</v>
      </c>
      <c r="F220" s="216">
        <f>F$219*'Methanol recycling rates'!H69</f>
        <v>4.1173950072377993E-4</v>
      </c>
      <c r="G220" s="216">
        <f>G$219*'Methanol recycling rates'!I69</f>
        <v>6.9187157031485116E-4</v>
      </c>
      <c r="H220" s="216">
        <f>H$219*'Methanol recycling rates'!J69</f>
        <v>1.0584516908565449E-3</v>
      </c>
      <c r="I220" s="216">
        <f>I$219*'Methanol recycling rates'!K69</f>
        <v>1.5204830221142911E-3</v>
      </c>
      <c r="J220" s="216">
        <f>J$219*'Methanol recycling rates'!L69</f>
        <v>2.0869687238535199E-3</v>
      </c>
      <c r="K220" s="216">
        <f>K$219*'Methanol recycling rates'!M69</f>
        <v>2.7669119558396617E-3</v>
      </c>
      <c r="L220" s="216">
        <f>L$219*'Methanol recycling rates'!N69</f>
        <v>3.5693158778381463E-3</v>
      </c>
      <c r="M220" s="216">
        <f>M$219*'Methanol recycling rates'!O69</f>
        <v>4.5031836496144031E-3</v>
      </c>
      <c r="N220" s="216">
        <f>N$219*'Methanol recycling rates'!P69</f>
        <v>6.0458052824389052E-3</v>
      </c>
      <c r="O220" s="216">
        <f>O$219*'Methanol recycling rates'!Q69</f>
        <v>7.862931071750413E-3</v>
      </c>
      <c r="P220" s="216">
        <f>P$219*'Methanol recycling rates'!R69</f>
        <v>9.9735369081314518E-3</v>
      </c>
      <c r="Q220" s="216">
        <f>Q$219*'Methanol recycling rates'!S69</f>
        <v>1.239659868216454E-2</v>
      </c>
      <c r="R220" s="216">
        <f>R$219*'Methanol recycling rates'!T69</f>
        <v>1.5151092284432201E-2</v>
      </c>
      <c r="S220" s="216">
        <f>S$219*'Methanol recycling rates'!U69</f>
        <v>1.8255993605516958E-2</v>
      </c>
      <c r="T220" s="216">
        <f>T$219*'Methanol recycling rates'!V69</f>
        <v>2.1730278536001332E-2</v>
      </c>
      <c r="U220" s="216">
        <f>U$219*'Methanol recycling rates'!W69</f>
        <v>2.559292296646784E-2</v>
      </c>
      <c r="V220" s="216">
        <f>V$219*'Methanol recycling rates'!X69</f>
        <v>2.9862902787499014E-2</v>
      </c>
      <c r="W220" s="216">
        <f>W$219*'Methanol recycling rates'!Y69</f>
        <v>3.4559193889677361E-2</v>
      </c>
      <c r="X220" s="216">
        <f>X$219*'Methanol recycling rates'!Z69</f>
        <v>4.1293017332890126E-2</v>
      </c>
      <c r="Y220" s="216">
        <f>Y$219*'Methanol recycling rates'!AA69</f>
        <v>4.8736424244348042E-2</v>
      </c>
      <c r="Z220" s="216">
        <f>Z$219*'Methanol recycling rates'!AB69</f>
        <v>5.6921164788568554E-2</v>
      </c>
      <c r="AA220" s="216">
        <f>AA$219*'Methanol recycling rates'!AC69</f>
        <v>6.5878989130069163E-2</v>
      </c>
      <c r="AB220" s="216">
        <f>AB$219*'Methanol recycling rates'!AD69</f>
        <v>7.5641647433367321E-2</v>
      </c>
      <c r="AC220" s="216">
        <f>AC$219*'Methanol recycling rates'!AE69</f>
        <v>8.6240889862980494E-2</v>
      </c>
      <c r="AD220" s="216">
        <f>AD$219*'Methanol recycling rates'!AF69</f>
        <v>9.7708466583426135E-2</v>
      </c>
      <c r="AE220" s="216">
        <f>AE$219*'Methanol recycling rates'!AG69</f>
        <v>0.11007612775922175</v>
      </c>
      <c r="AF220" s="216">
        <f>AF$219*'Methanol recycling rates'!AH69</f>
        <v>0.12337562355488481</v>
      </c>
      <c r="AG220" s="216">
        <f>AG$219*'Methanol recycling rates'!AI69</f>
        <v>0.13763870413493279</v>
      </c>
      <c r="AH220" s="230"/>
      <c r="AI220" s="126"/>
      <c r="AJ220" s="198"/>
      <c r="AL220" s="102"/>
      <c r="AM220" s="2"/>
      <c r="AN220" s="2"/>
      <c r="AO220" s="2"/>
      <c r="BC220" s="1"/>
      <c r="BD220" s="2"/>
      <c r="BE220" s="2"/>
      <c r="BF220" s="2"/>
      <c r="BG220" s="2"/>
      <c r="BH220" s="2"/>
      <c r="BI220" s="2"/>
      <c r="BJ220" s="2"/>
      <c r="BK220" s="2"/>
    </row>
    <row r="221" spans="1:63" outlineLevel="1">
      <c r="A221" s="4" t="s">
        <v>160</v>
      </c>
      <c r="C221" s="216">
        <f>C$219*'Methanol recycling rates'!E70</f>
        <v>11.976781189353876</v>
      </c>
      <c r="D221" s="216">
        <f>D$219*'Methanol recycling rates'!F70</f>
        <v>18.588860094896695</v>
      </c>
      <c r="E221" s="216">
        <f>E$219*'Methanol recycling rates'!G70</f>
        <v>25.914787274381684</v>
      </c>
      <c r="F221" s="216">
        <f>F$219*'Methanol recycling rates'!H70</f>
        <v>33.949475902823998</v>
      </c>
      <c r="G221" s="216">
        <f>G$219*'Methanol recycling rates'!I70</f>
        <v>42.687839155238812</v>
      </c>
      <c r="H221" s="216">
        <f>H$219*'Methanol recycling rates'!J70</f>
        <v>52.124790206641286</v>
      </c>
      <c r="I221" s="216">
        <f>I$219*'Methanol recycling rates'!K70</f>
        <v>62.255242232046584</v>
      </c>
      <c r="J221" s="216">
        <f>J$219*'Methanol recycling rates'!L70</f>
        <v>73.074108406469875</v>
      </c>
      <c r="K221" s="216">
        <f>K$219*'Methanol recycling rates'!M70</f>
        <v>84.576301904926311</v>
      </c>
      <c r="L221" s="216">
        <f>L$219*'Methanol recycling rates'!N70</f>
        <v>96.756735902431089</v>
      </c>
      <c r="M221" s="216">
        <f>M$219*'Methanol recycling rates'!O70</f>
        <v>109.6103235739993</v>
      </c>
      <c r="N221" s="216">
        <f>N$219*'Methanol recycling rates'!P70</f>
        <v>133.47010374237718</v>
      </c>
      <c r="O221" s="216">
        <f>O$219*'Methanol recycling rates'!Q70</f>
        <v>158.75014311432287</v>
      </c>
      <c r="P221" s="216">
        <f>P$219*'Methanol recycling rates'!R70</f>
        <v>185.43972022794529</v>
      </c>
      <c r="Q221" s="216">
        <f>Q$219*'Methanol recycling rates'!S70</f>
        <v>213.52811362135327</v>
      </c>
      <c r="R221" s="216">
        <f>R$219*'Methanol recycling rates'!T70</f>
        <v>243.00460183265574</v>
      </c>
      <c r="S221" s="216">
        <f>S$219*'Methanol recycling rates'!U70</f>
        <v>273.85846339996158</v>
      </c>
      <c r="T221" s="216">
        <f>T$219*'Methanol recycling rates'!V70</f>
        <v>306.07897686137966</v>
      </c>
      <c r="U221" s="216">
        <f>U$219*'Methanol recycling rates'!W70</f>
        <v>339.65542075501889</v>
      </c>
      <c r="V221" s="216">
        <f>V$219*'Methanol recycling rates'!X70</f>
        <v>374.57707361898815</v>
      </c>
      <c r="W221" s="216">
        <f>W$219*'Methanol recycling rates'!Y70</f>
        <v>410.83321399139624</v>
      </c>
      <c r="X221" s="216">
        <f>X$219*'Methanol recycling rates'!Z70</f>
        <v>466.39724479675687</v>
      </c>
      <c r="Y221" s="216">
        <f>Y$219*'Methanol recycling rates'!AA70</f>
        <v>524.19621769743185</v>
      </c>
      <c r="Z221" s="216">
        <f>Z$219*'Methanol recycling rates'!AB70</f>
        <v>584.21219371040286</v>
      </c>
      <c r="AA221" s="216">
        <f>AA$219*'Methanol recycling rates'!AC70</f>
        <v>646.42723385265231</v>
      </c>
      <c r="AB221" s="216">
        <f>AB$219*'Methanol recycling rates'!AD70</f>
        <v>710.8233991411621</v>
      </c>
      <c r="AC221" s="216">
        <f>AC$219*'Methanol recycling rates'!AE70</f>
        <v>777.38275059291402</v>
      </c>
      <c r="AD221" s="216">
        <f>AD$219*'Methanol recycling rates'!AF70</f>
        <v>846.08734922489032</v>
      </c>
      <c r="AE221" s="216">
        <f>AE$219*'Methanol recycling rates'!AG70</f>
        <v>916.91925605407323</v>
      </c>
      <c r="AF221" s="216">
        <f>AF$219*'Methanol recycling rates'!AH70</f>
        <v>989.86053209744466</v>
      </c>
      <c r="AG221" s="216">
        <f>AG$219*'Methanol recycling rates'!AI70</f>
        <v>1064.8932383719875</v>
      </c>
      <c r="AH221" s="230"/>
      <c r="AI221" s="126"/>
      <c r="AJ221" s="198"/>
      <c r="AL221" s="102"/>
      <c r="AM221" s="2"/>
      <c r="AN221" s="2"/>
      <c r="AO221" s="2"/>
      <c r="BC221" s="1"/>
      <c r="BD221" s="2"/>
      <c r="BE221" s="2"/>
      <c r="BF221" s="2"/>
      <c r="BG221" s="2"/>
      <c r="BH221" s="2"/>
      <c r="BI221" s="2"/>
      <c r="BJ221" s="2"/>
      <c r="BK221" s="2"/>
    </row>
    <row r="222" spans="1:63" outlineLevel="1">
      <c r="A222" s="4" t="s">
        <v>1159</v>
      </c>
      <c r="C222" s="216">
        <f>C$219*'Methanol recycling rates'!E71</f>
        <v>6.8761825835881591</v>
      </c>
      <c r="D222" s="216">
        <f>D$219*'Methanol recycling rates'!F71</f>
        <v>10.738807152474957</v>
      </c>
      <c r="E222" s="216">
        <f>E$219*'Methanol recycling rates'!G71</f>
        <v>15.064075166312291</v>
      </c>
      <c r="F222" s="216">
        <f>F$219*'Methanol recycling rates'!H71</f>
        <v>19.857064446925232</v>
      </c>
      <c r="G222" s="216">
        <f>G$219*'Methanol recycling rates'!I71</f>
        <v>25.122852816138845</v>
      </c>
      <c r="H222" s="216">
        <f>H$219*'Methanol recycling rates'!J71</f>
        <v>30.866518095778208</v>
      </c>
      <c r="I222" s="216">
        <f>I$219*'Methanol recycling rates'!K71</f>
        <v>37.093138107668381</v>
      </c>
      <c r="J222" s="216">
        <f>J$219*'Methanol recycling rates'!L71</f>
        <v>43.807790673634443</v>
      </c>
      <c r="K222" s="216">
        <f>K$219*'Methanol recycling rates'!M71</f>
        <v>51.01555361550146</v>
      </c>
      <c r="L222" s="216">
        <f>L$219*'Methanol recycling rates'!N71</f>
        <v>58.7215047550945</v>
      </c>
      <c r="M222" s="216">
        <f>M$219*'Methanol recycling rates'!O71</f>
        <v>66.930721914238617</v>
      </c>
      <c r="N222" s="216">
        <f>N$219*'Methanol recycling rates'!P71</f>
        <v>81.999691102214015</v>
      </c>
      <c r="O222" s="216">
        <f>O$219*'Methanol recycling rates'!Q71</f>
        <v>98.127934406659193</v>
      </c>
      <c r="P222" s="216">
        <f>P$219*'Methanol recycling rates'!R71</f>
        <v>115.32615431357472</v>
      </c>
      <c r="Q222" s="216">
        <f>Q$219*'Methanol recycling rates'!S71</f>
        <v>133.60505330896106</v>
      </c>
      <c r="R222" s="216">
        <f>R$219*'Methanol recycling rates'!T71</f>
        <v>152.97533387881879</v>
      </c>
      <c r="S222" s="216">
        <f>S$219*'Methanol recycling rates'!U71</f>
        <v>173.44769850914844</v>
      </c>
      <c r="T222" s="216">
        <f>T$219*'Methanol recycling rates'!V71</f>
        <v>195.03284968595057</v>
      </c>
      <c r="U222" s="216">
        <f>U$219*'Methanol recycling rates'!W71</f>
        <v>217.74148989522561</v>
      </c>
      <c r="V222" s="216">
        <f>V$219*'Methanol recycling rates'!X71</f>
        <v>241.58432162297422</v>
      </c>
      <c r="W222" s="216">
        <f>W$219*'Methanol recycling rates'!Y71</f>
        <v>266.57204735519684</v>
      </c>
      <c r="X222" s="216">
        <f>X$219*'Methanol recycling rates'!Z71</f>
        <v>304.45505643514707</v>
      </c>
      <c r="Y222" s="216">
        <f>Y$219*'Methanol recycling rates'!AA71</f>
        <v>344.25158965746931</v>
      </c>
      <c r="Z222" s="216">
        <f>Z$219*'Methanol recycling rates'!AB71</f>
        <v>385.97955425501675</v>
      </c>
      <c r="AA222" s="216">
        <f>AA$219*'Methanol recycling rates'!AC71</f>
        <v>429.65685746064298</v>
      </c>
      <c r="AB222" s="216">
        <f>AB$219*'Methanol recycling rates'!AD71</f>
        <v>475.30140650720142</v>
      </c>
      <c r="AC222" s="216">
        <f>AC$219*'Methanol recycling rates'!AE71</f>
        <v>522.93110862754543</v>
      </c>
      <c r="AD222" s="216">
        <f>AD$219*'Methanol recycling rates'!AF71</f>
        <v>572.56387105452848</v>
      </c>
      <c r="AE222" s="216">
        <f>AE$219*'Methanol recycling rates'!AG71</f>
        <v>624.21760102100416</v>
      </c>
      <c r="AF222" s="216">
        <f>AF$219*'Methanol recycling rates'!AH71</f>
        <v>677.910205759826</v>
      </c>
      <c r="AG222" s="216">
        <f>AG$219*'Methanol recycling rates'!AI71</f>
        <v>733.65959250384685</v>
      </c>
      <c r="AH222" s="230"/>
      <c r="AI222" s="126"/>
      <c r="AJ222" s="198"/>
      <c r="AL222" s="102"/>
      <c r="AM222" s="2"/>
      <c r="AN222" s="2"/>
      <c r="AO222" s="2"/>
      <c r="BC222" s="1"/>
      <c r="BD222" s="2"/>
      <c r="BE222" s="2"/>
      <c r="BF222" s="2"/>
      <c r="BG222" s="2"/>
      <c r="BH222" s="2"/>
      <c r="BI222" s="2"/>
      <c r="BJ222" s="2"/>
      <c r="BK222" s="2"/>
    </row>
    <row r="223" spans="1:63" s="1" customFormat="1" outlineLevel="1">
      <c r="A223" s="1" t="s">
        <v>1160</v>
      </c>
      <c r="B223" s="61"/>
      <c r="C223" s="279">
        <f>C219-$C219</f>
        <v>0</v>
      </c>
      <c r="D223" s="279">
        <f t="shared" ref="D223:AG224" si="121">D219-$C219</f>
        <v>10.47477828130495</v>
      </c>
      <c r="E223" s="279">
        <f t="shared" si="121"/>
        <v>22.126107720074259</v>
      </c>
      <c r="F223" s="279">
        <f t="shared" si="121"/>
        <v>34.953988316307921</v>
      </c>
      <c r="G223" s="279">
        <f t="shared" si="121"/>
        <v>48.958420070005943</v>
      </c>
      <c r="H223" s="279">
        <f t="shared" si="121"/>
        <v>64.139402981168317</v>
      </c>
      <c r="I223" s="279">
        <f t="shared" si="121"/>
        <v>80.496937049795051</v>
      </c>
      <c r="J223" s="279">
        <f t="shared" si="121"/>
        <v>98.031022275886144</v>
      </c>
      <c r="K223" s="279">
        <f t="shared" si="121"/>
        <v>116.7416586594416</v>
      </c>
      <c r="L223" s="279">
        <f t="shared" si="121"/>
        <v>136.6288462004614</v>
      </c>
      <c r="M223" s="279">
        <f t="shared" si="121"/>
        <v>157.69258489894554</v>
      </c>
      <c r="N223" s="279">
        <f t="shared" si="121"/>
        <v>196.62287687693163</v>
      </c>
      <c r="O223" s="279">
        <f t="shared" si="121"/>
        <v>238.03297667911187</v>
      </c>
      <c r="P223" s="279">
        <f t="shared" si="121"/>
        <v>281.92288430548621</v>
      </c>
      <c r="Q223" s="279">
        <f t="shared" si="121"/>
        <v>328.29259975605459</v>
      </c>
      <c r="R223" s="279">
        <f t="shared" si="121"/>
        <v>377.14212303081706</v>
      </c>
      <c r="S223" s="279">
        <f t="shared" si="121"/>
        <v>428.47145412977369</v>
      </c>
      <c r="T223" s="279">
        <f t="shared" si="121"/>
        <v>482.28059305292442</v>
      </c>
      <c r="U223" s="279">
        <f t="shared" si="121"/>
        <v>538.56953980026913</v>
      </c>
      <c r="V223" s="279">
        <f t="shared" si="121"/>
        <v>597.33829437180805</v>
      </c>
      <c r="W223" s="279">
        <f t="shared" si="121"/>
        <v>658.58685676754101</v>
      </c>
      <c r="X223" s="279">
        <f t="shared" si="121"/>
        <v>752.04063047629518</v>
      </c>
      <c r="Y223" s="279">
        <f t="shared" si="121"/>
        <v>849.64358000620393</v>
      </c>
      <c r="Z223" s="279">
        <f t="shared" si="121"/>
        <v>951.39570535726671</v>
      </c>
      <c r="AA223" s="279">
        <f t="shared" si="121"/>
        <v>1057.297006529484</v>
      </c>
      <c r="AB223" s="279">
        <f t="shared" si="121"/>
        <v>1167.3474835228556</v>
      </c>
      <c r="AC223" s="279">
        <f t="shared" si="121"/>
        <v>1281.5471363373813</v>
      </c>
      <c r="AD223" s="279">
        <f t="shared" si="121"/>
        <v>1399.8959649730612</v>
      </c>
      <c r="AE223" s="279">
        <f t="shared" si="121"/>
        <v>1522.3939694298956</v>
      </c>
      <c r="AF223" s="279">
        <f t="shared" si="121"/>
        <v>1649.0411497078846</v>
      </c>
      <c r="AG223" s="279">
        <f t="shared" si="121"/>
        <v>1779.8375058070271</v>
      </c>
      <c r="AH223" s="230"/>
      <c r="AI223" s="398"/>
      <c r="AJ223" s="399"/>
      <c r="AL223" s="207"/>
      <c r="AM223" s="118"/>
      <c r="AN223" s="118"/>
      <c r="AO223" s="118"/>
      <c r="BD223" s="118"/>
      <c r="BE223" s="118"/>
      <c r="BF223" s="118"/>
      <c r="BG223" s="118"/>
      <c r="BH223" s="118"/>
      <c r="BI223" s="118"/>
      <c r="BJ223" s="118"/>
      <c r="BK223" s="118"/>
    </row>
    <row r="224" spans="1:63" outlineLevel="1">
      <c r="A224" s="4" t="s">
        <v>35</v>
      </c>
      <c r="C224" s="216">
        <f>C220-$C220</f>
        <v>0</v>
      </c>
      <c r="D224" s="216">
        <f t="shared" si="121"/>
        <v>7.4806875331784434E-5</v>
      </c>
      <c r="E224" s="216">
        <f t="shared" si="121"/>
        <v>2.0905232231790106E-4</v>
      </c>
      <c r="F224" s="216">
        <f t="shared" si="121"/>
        <v>4.1173950072377993E-4</v>
      </c>
      <c r="G224" s="216">
        <f t="shared" si="121"/>
        <v>6.9187157031485116E-4</v>
      </c>
      <c r="H224" s="216">
        <f t="shared" si="121"/>
        <v>1.0584516908565449E-3</v>
      </c>
      <c r="I224" s="216">
        <f t="shared" si="121"/>
        <v>1.5204830221142911E-3</v>
      </c>
      <c r="J224" s="216">
        <f t="shared" si="121"/>
        <v>2.0869687238535199E-3</v>
      </c>
      <c r="K224" s="216">
        <f t="shared" si="121"/>
        <v>2.7669119558396617E-3</v>
      </c>
      <c r="L224" s="216">
        <f t="shared" si="121"/>
        <v>3.5693158778381463E-3</v>
      </c>
      <c r="M224" s="216">
        <f t="shared" si="121"/>
        <v>4.5031836496144031E-3</v>
      </c>
      <c r="N224" s="216">
        <f t="shared" si="121"/>
        <v>6.0458052824389052E-3</v>
      </c>
      <c r="O224" s="216">
        <f t="shared" si="121"/>
        <v>7.862931071750413E-3</v>
      </c>
      <c r="P224" s="216">
        <f t="shared" si="121"/>
        <v>9.9735369081314518E-3</v>
      </c>
      <c r="Q224" s="216">
        <f t="shared" si="121"/>
        <v>1.239659868216454E-2</v>
      </c>
      <c r="R224" s="216">
        <f t="shared" si="121"/>
        <v>1.5151092284432201E-2</v>
      </c>
      <c r="S224" s="216">
        <f t="shared" si="121"/>
        <v>1.8255993605516958E-2</v>
      </c>
      <c r="T224" s="216">
        <f t="shared" si="121"/>
        <v>2.1730278536001332E-2</v>
      </c>
      <c r="U224" s="216">
        <f t="shared" si="121"/>
        <v>2.559292296646784E-2</v>
      </c>
      <c r="V224" s="216">
        <f t="shared" si="121"/>
        <v>2.9862902787499014E-2</v>
      </c>
      <c r="W224" s="216">
        <f t="shared" si="121"/>
        <v>3.4559193889677361E-2</v>
      </c>
      <c r="X224" s="216">
        <f t="shared" si="121"/>
        <v>4.1293017332890126E-2</v>
      </c>
      <c r="Y224" s="216">
        <f t="shared" si="121"/>
        <v>4.8736424244348042E-2</v>
      </c>
      <c r="Z224" s="216">
        <f t="shared" si="121"/>
        <v>5.6921164788568554E-2</v>
      </c>
      <c r="AA224" s="216">
        <f t="shared" si="121"/>
        <v>6.5878989130069163E-2</v>
      </c>
      <c r="AB224" s="216">
        <f t="shared" si="121"/>
        <v>7.5641647433367321E-2</v>
      </c>
      <c r="AC224" s="216">
        <f t="shared" si="121"/>
        <v>8.6240889862980494E-2</v>
      </c>
      <c r="AD224" s="216">
        <f t="shared" si="121"/>
        <v>9.7708466583426135E-2</v>
      </c>
      <c r="AE224" s="216">
        <f t="shared" si="121"/>
        <v>0.11007612775922175</v>
      </c>
      <c r="AF224" s="216">
        <f t="shared" si="121"/>
        <v>0.12337562355488481</v>
      </c>
      <c r="AG224" s="216">
        <f>AG220-$C220</f>
        <v>0.13763870413493279</v>
      </c>
      <c r="AH224" s="230"/>
      <c r="AI224" s="126"/>
      <c r="AJ224" s="198"/>
      <c r="AL224" s="102"/>
      <c r="AM224" s="2"/>
      <c r="AN224" s="2"/>
      <c r="AO224" s="2"/>
      <c r="BC224" s="1"/>
      <c r="BD224" s="2"/>
      <c r="BE224" s="2"/>
      <c r="BF224" s="2"/>
      <c r="BG224" s="2"/>
      <c r="BH224" s="2"/>
      <c r="BI224" s="2"/>
      <c r="BJ224" s="2"/>
      <c r="BK224" s="2"/>
    </row>
    <row r="225" spans="1:63" outlineLevel="1">
      <c r="A225" s="4" t="s">
        <v>160</v>
      </c>
      <c r="C225" s="216">
        <f t="shared" ref="C225:AG226" si="122">C221-$C221</f>
        <v>0</v>
      </c>
      <c r="D225" s="216">
        <f t="shared" si="122"/>
        <v>6.6120789055428197</v>
      </c>
      <c r="E225" s="216">
        <f t="shared" si="122"/>
        <v>13.938006085027808</v>
      </c>
      <c r="F225" s="216">
        <f t="shared" si="122"/>
        <v>21.972694713470123</v>
      </c>
      <c r="G225" s="216">
        <f t="shared" si="122"/>
        <v>30.711057965884937</v>
      </c>
      <c r="H225" s="216">
        <f t="shared" si="122"/>
        <v>40.148009017287407</v>
      </c>
      <c r="I225" s="216">
        <f t="shared" si="122"/>
        <v>50.278461042692712</v>
      </c>
      <c r="J225" s="216">
        <f t="shared" si="122"/>
        <v>61.097327217116003</v>
      </c>
      <c r="K225" s="216">
        <f t="shared" si="122"/>
        <v>72.599520715572439</v>
      </c>
      <c r="L225" s="216">
        <f t="shared" si="122"/>
        <v>84.779954713077217</v>
      </c>
      <c r="M225" s="216">
        <f t="shared" si="122"/>
        <v>97.633542384645423</v>
      </c>
      <c r="N225" s="216">
        <f t="shared" si="122"/>
        <v>121.4933225530233</v>
      </c>
      <c r="O225" s="216">
        <f t="shared" si="122"/>
        <v>146.77336192496898</v>
      </c>
      <c r="P225" s="216">
        <f t="shared" si="122"/>
        <v>173.4629390385914</v>
      </c>
      <c r="Q225" s="216">
        <f t="shared" si="122"/>
        <v>201.55133243199938</v>
      </c>
      <c r="R225" s="216">
        <f t="shared" si="122"/>
        <v>231.02782064330185</v>
      </c>
      <c r="S225" s="216">
        <f t="shared" si="122"/>
        <v>261.88168221060772</v>
      </c>
      <c r="T225" s="216">
        <f t="shared" si="122"/>
        <v>294.1021956720258</v>
      </c>
      <c r="U225" s="216">
        <f t="shared" si="122"/>
        <v>327.67863956566504</v>
      </c>
      <c r="V225" s="216">
        <f t="shared" si="122"/>
        <v>362.60029242963429</v>
      </c>
      <c r="W225" s="216">
        <f t="shared" si="122"/>
        <v>398.85643280204238</v>
      </c>
      <c r="X225" s="216">
        <f t="shared" si="122"/>
        <v>454.42046360740301</v>
      </c>
      <c r="Y225" s="216">
        <f t="shared" si="122"/>
        <v>512.21943650807793</v>
      </c>
      <c r="Z225" s="216">
        <f t="shared" si="122"/>
        <v>572.23541252104894</v>
      </c>
      <c r="AA225" s="216">
        <f t="shared" si="122"/>
        <v>634.45045266329839</v>
      </c>
      <c r="AB225" s="216">
        <f t="shared" si="122"/>
        <v>698.84661795180818</v>
      </c>
      <c r="AC225" s="216">
        <f t="shared" si="122"/>
        <v>765.40596940356011</v>
      </c>
      <c r="AD225" s="216">
        <f t="shared" si="122"/>
        <v>834.1105680355364</v>
      </c>
      <c r="AE225" s="216">
        <f t="shared" si="122"/>
        <v>904.94247486471932</v>
      </c>
      <c r="AF225" s="216">
        <f t="shared" si="122"/>
        <v>977.88375090809075</v>
      </c>
      <c r="AG225" s="216">
        <f t="shared" si="122"/>
        <v>1052.9164571826336</v>
      </c>
      <c r="AH225" s="230"/>
      <c r="AI225" s="126"/>
      <c r="AJ225" s="198"/>
      <c r="AL225" s="102"/>
      <c r="AM225" s="2"/>
      <c r="AN225" s="2"/>
      <c r="AO225" s="2"/>
      <c r="BC225" s="1"/>
      <c r="BD225" s="2"/>
      <c r="BE225" s="2"/>
      <c r="BF225" s="2"/>
      <c r="BG225" s="2"/>
      <c r="BH225" s="2"/>
      <c r="BI225" s="2"/>
      <c r="BJ225" s="2"/>
      <c r="BK225" s="2"/>
    </row>
    <row r="226" spans="1:63" outlineLevel="1">
      <c r="A226" s="4" t="s">
        <v>1159</v>
      </c>
      <c r="C226" s="216">
        <f t="shared" si="122"/>
        <v>0</v>
      </c>
      <c r="D226" s="216">
        <f t="shared" si="122"/>
        <v>3.8626245688867975</v>
      </c>
      <c r="E226" s="216">
        <f t="shared" si="122"/>
        <v>8.1878925827241318</v>
      </c>
      <c r="F226" s="216">
        <f t="shared" si="122"/>
        <v>12.980881863337073</v>
      </c>
      <c r="G226" s="216">
        <f t="shared" si="122"/>
        <v>18.246670232550684</v>
      </c>
      <c r="H226" s="216">
        <f t="shared" si="122"/>
        <v>23.99033551219005</v>
      </c>
      <c r="I226" s="216">
        <f t="shared" si="122"/>
        <v>30.21695552408022</v>
      </c>
      <c r="J226" s="216">
        <f t="shared" si="122"/>
        <v>36.931608090046282</v>
      </c>
      <c r="K226" s="216">
        <f t="shared" si="122"/>
        <v>44.139371031913299</v>
      </c>
      <c r="L226" s="216">
        <f t="shared" si="122"/>
        <v>51.845322171506339</v>
      </c>
      <c r="M226" s="216">
        <f t="shared" si="122"/>
        <v>60.054539330650456</v>
      </c>
      <c r="N226" s="216">
        <f t="shared" si="122"/>
        <v>75.123508518625854</v>
      </c>
      <c r="O226" s="216">
        <f t="shared" si="122"/>
        <v>91.251751823071032</v>
      </c>
      <c r="P226" s="216">
        <f t="shared" si="122"/>
        <v>108.44997172998656</v>
      </c>
      <c r="Q226" s="216">
        <f t="shared" si="122"/>
        <v>126.7288707253729</v>
      </c>
      <c r="R226" s="216">
        <f t="shared" si="122"/>
        <v>146.09915129523063</v>
      </c>
      <c r="S226" s="216">
        <f t="shared" si="122"/>
        <v>166.57151592556028</v>
      </c>
      <c r="T226" s="216">
        <f t="shared" si="122"/>
        <v>188.15666710236241</v>
      </c>
      <c r="U226" s="216">
        <f t="shared" si="122"/>
        <v>210.86530731163745</v>
      </c>
      <c r="V226" s="216">
        <f t="shared" si="122"/>
        <v>234.70813903938605</v>
      </c>
      <c r="W226" s="216">
        <f t="shared" si="122"/>
        <v>259.69586477160868</v>
      </c>
      <c r="X226" s="216">
        <f t="shared" si="122"/>
        <v>297.57887385155891</v>
      </c>
      <c r="Y226" s="216">
        <f t="shared" si="122"/>
        <v>337.37540707388115</v>
      </c>
      <c r="Z226" s="216">
        <f t="shared" si="122"/>
        <v>379.10337167142859</v>
      </c>
      <c r="AA226" s="216">
        <f t="shared" si="122"/>
        <v>422.78067487705482</v>
      </c>
      <c r="AB226" s="216">
        <f t="shared" si="122"/>
        <v>468.42522392361326</v>
      </c>
      <c r="AC226" s="216">
        <f t="shared" si="122"/>
        <v>516.05492604395727</v>
      </c>
      <c r="AD226" s="216">
        <f t="shared" si="122"/>
        <v>565.68768847094032</v>
      </c>
      <c r="AE226" s="216">
        <f t="shared" si="122"/>
        <v>617.341418437416</v>
      </c>
      <c r="AF226" s="216">
        <f t="shared" si="122"/>
        <v>671.03402317623784</v>
      </c>
      <c r="AG226" s="216">
        <f t="shared" si="122"/>
        <v>726.78340992025869</v>
      </c>
      <c r="AH226" s="230"/>
      <c r="AI226" s="126"/>
      <c r="AJ226" s="198"/>
      <c r="AL226" s="102"/>
      <c r="AM226" s="2"/>
      <c r="AN226" s="2"/>
      <c r="AO226" s="2"/>
      <c r="BC226" s="1"/>
      <c r="BD226" s="2"/>
      <c r="BE226" s="2"/>
      <c r="BF226" s="2"/>
      <c r="BG226" s="2"/>
      <c r="BH226" s="2"/>
      <c r="BI226" s="2"/>
      <c r="BJ226" s="2"/>
      <c r="BK226" s="2"/>
    </row>
    <row r="227" spans="1:63" outlineLevel="1">
      <c r="AJ227" s="198"/>
    </row>
    <row r="228" spans="1:63" s="187" customFormat="1" ht="15.5" thickBot="1">
      <c r="A228" s="187" t="s">
        <v>463</v>
      </c>
      <c r="B228" s="202"/>
      <c r="C228" s="210">
        <f>C229</f>
        <v>0.05</v>
      </c>
      <c r="D228" s="210">
        <f t="shared" ref="D228:AG228" si="123">D229</f>
        <v>5.2260994000770548E-2</v>
      </c>
      <c r="E228" s="210">
        <f t="shared" si="123"/>
        <v>5.4521988001541094E-2</v>
      </c>
      <c r="F228" s="210">
        <f t="shared" si="123"/>
        <v>5.6782982002311633E-2</v>
      </c>
      <c r="G228" s="210">
        <f t="shared" si="123"/>
        <v>5.9043976003082178E-2</v>
      </c>
      <c r="H228" s="210">
        <f t="shared" si="123"/>
        <v>6.1304970003852724E-2</v>
      </c>
      <c r="I228" s="210">
        <f t="shared" si="123"/>
        <v>6.3565964004623277E-2</v>
      </c>
      <c r="J228" s="210">
        <f t="shared" si="123"/>
        <v>6.5826958005393815E-2</v>
      </c>
      <c r="K228" s="210">
        <f t="shared" si="123"/>
        <v>6.8087952006164354E-2</v>
      </c>
      <c r="L228" s="210">
        <f t="shared" si="123"/>
        <v>7.0348946006934907E-2</v>
      </c>
      <c r="M228" s="210">
        <f t="shared" si="123"/>
        <v>7.2609940007705445E-2</v>
      </c>
      <c r="N228" s="210">
        <f t="shared" si="123"/>
        <v>7.7375419670867973E-2</v>
      </c>
      <c r="O228" s="210">
        <f t="shared" si="123"/>
        <v>8.2140899334030501E-2</v>
      </c>
      <c r="P228" s="210">
        <f t="shared" si="123"/>
        <v>8.6906378997193029E-2</v>
      </c>
      <c r="Q228" s="210">
        <f t="shared" si="123"/>
        <v>9.1671858660355557E-2</v>
      </c>
      <c r="R228" s="210">
        <f t="shared" si="123"/>
        <v>9.6437338323518085E-2</v>
      </c>
      <c r="S228" s="210">
        <f t="shared" si="123"/>
        <v>0.10120281798668061</v>
      </c>
      <c r="T228" s="210">
        <f t="shared" si="123"/>
        <v>0.10596829764984314</v>
      </c>
      <c r="U228" s="210">
        <f t="shared" si="123"/>
        <v>0.11073377731300567</v>
      </c>
      <c r="V228" s="210">
        <f t="shared" si="123"/>
        <v>0.1154992569761682</v>
      </c>
      <c r="W228" s="210">
        <f t="shared" si="123"/>
        <v>0.12026473663933072</v>
      </c>
      <c r="X228" s="210">
        <f t="shared" si="123"/>
        <v>0.12823826297539764</v>
      </c>
      <c r="Y228" s="210">
        <f t="shared" si="123"/>
        <v>0.13621178931146458</v>
      </c>
      <c r="Z228" s="210">
        <f t="shared" si="123"/>
        <v>0.14418531564753151</v>
      </c>
      <c r="AA228" s="210">
        <f t="shared" si="123"/>
        <v>0.15215884198359844</v>
      </c>
      <c r="AB228" s="210">
        <f t="shared" si="123"/>
        <v>0.16013236831966537</v>
      </c>
      <c r="AC228" s="210">
        <f t="shared" si="123"/>
        <v>0.16810589465573231</v>
      </c>
      <c r="AD228" s="210">
        <f t="shared" si="123"/>
        <v>0.17607942099179924</v>
      </c>
      <c r="AE228" s="210">
        <f t="shared" si="123"/>
        <v>0.18405294732786615</v>
      </c>
      <c r="AF228" s="210">
        <f t="shared" si="123"/>
        <v>0.19202647366393311</v>
      </c>
      <c r="AG228" s="210">
        <f t="shared" si="123"/>
        <v>0.2</v>
      </c>
      <c r="AJ228" s="217" t="s">
        <v>472</v>
      </c>
      <c r="AL228" s="204"/>
      <c r="AM228" s="211"/>
      <c r="AN228" s="211"/>
      <c r="AO228" s="211"/>
    </row>
    <row r="229" spans="1:63" ht="15.5" outlineLevel="2" thickTop="1">
      <c r="A229" t="s">
        <v>464</v>
      </c>
      <c r="B229" s="51" t="s">
        <v>126</v>
      </c>
      <c r="C229" s="107">
        <v>0.05</v>
      </c>
      <c r="D229" s="104">
        <f>$C229+($M229-$C229)/10*(D$1-$C$1)</f>
        <v>5.2260994000770548E-2</v>
      </c>
      <c r="E229" s="104">
        <f t="shared" ref="E229:L229" si="124">$C229+($M229-$C229)/10*(E$1-$C$1)</f>
        <v>5.4521988001541094E-2</v>
      </c>
      <c r="F229" s="104">
        <f t="shared" si="124"/>
        <v>5.6782982002311633E-2</v>
      </c>
      <c r="G229" s="104">
        <f t="shared" si="124"/>
        <v>5.9043976003082178E-2</v>
      </c>
      <c r="H229" s="104">
        <f t="shared" si="124"/>
        <v>6.1304970003852724E-2</v>
      </c>
      <c r="I229" s="104">
        <f t="shared" si="124"/>
        <v>6.3565964004623277E-2</v>
      </c>
      <c r="J229" s="104">
        <f t="shared" si="124"/>
        <v>6.5826958005393815E-2</v>
      </c>
      <c r="K229" s="104">
        <f t="shared" si="124"/>
        <v>6.8087952006164354E-2</v>
      </c>
      <c r="L229" s="104">
        <f t="shared" si="124"/>
        <v>7.0348946006934907E-2</v>
      </c>
      <c r="M229" s="115">
        <f>(M$49-$C$49)/($AG$49-$C$49)*($AG229-$C229)+$C229</f>
        <v>7.2609940007705445E-2</v>
      </c>
      <c r="N229" s="115">
        <f>$M229+($W229-$M229)/10*(N$1-$M$1)</f>
        <v>7.7375419670867973E-2</v>
      </c>
      <c r="O229" s="115">
        <f t="shared" ref="O229:U229" si="125">$M229+($W229-$M229)/10*(O$1-$M$1)</f>
        <v>8.2140899334030501E-2</v>
      </c>
      <c r="P229" s="115">
        <f t="shared" si="125"/>
        <v>8.6906378997193029E-2</v>
      </c>
      <c r="Q229" s="115">
        <f t="shared" si="125"/>
        <v>9.1671858660355557E-2</v>
      </c>
      <c r="R229" s="115">
        <f t="shared" si="125"/>
        <v>9.6437338323518085E-2</v>
      </c>
      <c r="S229" s="115">
        <f t="shared" si="125"/>
        <v>0.10120281798668061</v>
      </c>
      <c r="T229" s="115">
        <f t="shared" si="125"/>
        <v>0.10596829764984314</v>
      </c>
      <c r="U229" s="115">
        <f t="shared" si="125"/>
        <v>0.11073377731300567</v>
      </c>
      <c r="V229" s="115">
        <f>$M229+($W229-$M229)/10*(V$1-$M$1)</f>
        <v>0.1154992569761682</v>
      </c>
      <c r="W229" s="115">
        <f>(W$49-$C$49)/($AG$49-$C$49)*($AG229-$C229)+$C229</f>
        <v>0.12026473663933072</v>
      </c>
      <c r="X229" s="22">
        <f t="shared" ref="X229:AF229" si="126">$W229+($AG229-$W229)/10*(X$1-$W$1)</f>
        <v>0.12823826297539764</v>
      </c>
      <c r="Y229" s="22">
        <f t="shared" si="126"/>
        <v>0.13621178931146458</v>
      </c>
      <c r="Z229" s="22">
        <f t="shared" si="126"/>
        <v>0.14418531564753151</v>
      </c>
      <c r="AA229" s="22">
        <f t="shared" si="126"/>
        <v>0.15215884198359844</v>
      </c>
      <c r="AB229" s="22">
        <f t="shared" si="126"/>
        <v>0.16013236831966537</v>
      </c>
      <c r="AC229" s="22">
        <f t="shared" si="126"/>
        <v>0.16810589465573231</v>
      </c>
      <c r="AD229" s="22">
        <f t="shared" si="126"/>
        <v>0.17607942099179924</v>
      </c>
      <c r="AE229" s="22">
        <f t="shared" si="126"/>
        <v>0.18405294732786615</v>
      </c>
      <c r="AF229" s="22">
        <f t="shared" si="126"/>
        <v>0.19202647366393311</v>
      </c>
      <c r="AG229" s="201">
        <v>0.2</v>
      </c>
      <c r="AJ229" s="198" t="s">
        <v>465</v>
      </c>
    </row>
    <row r="230" spans="1:63" outlineLevel="2">
      <c r="C230" s="107"/>
      <c r="D230" s="104"/>
      <c r="E230" s="104"/>
      <c r="F230" s="104"/>
      <c r="G230" s="104"/>
      <c r="H230" s="104"/>
      <c r="I230" s="104"/>
      <c r="J230" s="104"/>
      <c r="K230" s="104"/>
      <c r="L230" s="104"/>
      <c r="M230" s="115"/>
      <c r="N230" s="115"/>
      <c r="O230" s="115"/>
      <c r="P230" s="115"/>
      <c r="Q230" s="115"/>
      <c r="R230" s="115"/>
      <c r="S230" s="115"/>
      <c r="T230" s="115"/>
      <c r="U230" s="115"/>
      <c r="V230" s="115"/>
      <c r="W230" s="115"/>
      <c r="X230" s="22"/>
      <c r="Y230" s="22"/>
      <c r="Z230" s="22"/>
      <c r="AA230" s="22"/>
      <c r="AB230" s="22"/>
      <c r="AC230" s="22"/>
      <c r="AD230" s="22"/>
      <c r="AE230" s="22"/>
      <c r="AF230" s="22"/>
      <c r="AG230" s="100"/>
      <c r="AJ230" s="198"/>
    </row>
    <row r="231" spans="1:63" outlineLevel="1">
      <c r="A231" t="s">
        <v>1080</v>
      </c>
      <c r="C231" s="477">
        <f>'Overall recycling rates'!E88</f>
        <v>1.0000000000000002</v>
      </c>
      <c r="D231" s="477">
        <f>C231-($C231-$AG231)/($AG$1-$C$1)</f>
        <v>1.0000000000000002</v>
      </c>
      <c r="E231" s="477">
        <f t="shared" ref="E231:AF231" si="127">D231-($C231-$AG231)/($AG$1-$C$1)</f>
        <v>1.0000000000000002</v>
      </c>
      <c r="F231" s="477">
        <f t="shared" si="127"/>
        <v>1.0000000000000002</v>
      </c>
      <c r="G231" s="477">
        <f t="shared" si="127"/>
        <v>1.0000000000000002</v>
      </c>
      <c r="H231" s="477">
        <f t="shared" si="127"/>
        <v>1.0000000000000002</v>
      </c>
      <c r="I231" s="477">
        <f t="shared" si="127"/>
        <v>1.0000000000000002</v>
      </c>
      <c r="J231" s="477">
        <f t="shared" si="127"/>
        <v>1.0000000000000002</v>
      </c>
      <c r="K231" s="477">
        <f t="shared" si="127"/>
        <v>1.0000000000000002</v>
      </c>
      <c r="L231" s="477">
        <f t="shared" si="127"/>
        <v>1.0000000000000002</v>
      </c>
      <c r="M231" s="477">
        <f t="shared" si="127"/>
        <v>1.0000000000000002</v>
      </c>
      <c r="N231" s="477">
        <f t="shared" si="127"/>
        <v>1.0000000000000002</v>
      </c>
      <c r="O231" s="477">
        <f t="shared" si="127"/>
        <v>1.0000000000000002</v>
      </c>
      <c r="P231" s="477">
        <f t="shared" si="127"/>
        <v>1.0000000000000002</v>
      </c>
      <c r="Q231" s="477">
        <f t="shared" si="127"/>
        <v>1.0000000000000002</v>
      </c>
      <c r="R231" s="477">
        <f t="shared" si="127"/>
        <v>1.0000000000000002</v>
      </c>
      <c r="S231" s="477">
        <f t="shared" si="127"/>
        <v>1.0000000000000002</v>
      </c>
      <c r="T231" s="477">
        <f t="shared" si="127"/>
        <v>1.0000000000000002</v>
      </c>
      <c r="U231" s="477">
        <f t="shared" si="127"/>
        <v>1.0000000000000002</v>
      </c>
      <c r="V231" s="477">
        <f t="shared" si="127"/>
        <v>1.0000000000000002</v>
      </c>
      <c r="W231" s="477">
        <f t="shared" si="127"/>
        <v>1.0000000000000002</v>
      </c>
      <c r="X231" s="477">
        <f t="shared" si="127"/>
        <v>1.0000000000000002</v>
      </c>
      <c r="Y231" s="477">
        <f t="shared" si="127"/>
        <v>1.0000000000000002</v>
      </c>
      <c r="Z231" s="477">
        <f t="shared" si="127"/>
        <v>1.0000000000000002</v>
      </c>
      <c r="AA231" s="477">
        <f t="shared" si="127"/>
        <v>1.0000000000000002</v>
      </c>
      <c r="AB231" s="477">
        <f t="shared" si="127"/>
        <v>1.0000000000000002</v>
      </c>
      <c r="AC231" s="477">
        <f t="shared" si="127"/>
        <v>1.0000000000000002</v>
      </c>
      <c r="AD231" s="477">
        <f t="shared" si="127"/>
        <v>1.0000000000000002</v>
      </c>
      <c r="AE231" s="477">
        <f t="shared" si="127"/>
        <v>1.0000000000000002</v>
      </c>
      <c r="AF231" s="477">
        <f t="shared" si="127"/>
        <v>1.0000000000000002</v>
      </c>
      <c r="AG231" s="477">
        <f>'Overall recycling rates'!E97</f>
        <v>1</v>
      </c>
      <c r="AI231" s="126"/>
      <c r="AJ231" s="198" t="s">
        <v>1088</v>
      </c>
      <c r="AL231" s="102"/>
      <c r="AM231" s="194"/>
      <c r="AN231" s="194"/>
      <c r="AO231" s="194"/>
      <c r="BC231" s="1"/>
      <c r="BD231" s="194"/>
      <c r="BE231" s="194"/>
      <c r="BF231" s="194"/>
      <c r="BG231" s="194"/>
      <c r="BH231" s="194"/>
      <c r="BI231" s="194"/>
      <c r="BJ231" s="194"/>
      <c r="BK231" s="194"/>
    </row>
    <row r="232" spans="1:63" outlineLevel="1">
      <c r="A232" t="s">
        <v>1089</v>
      </c>
      <c r="B232" s="51" t="s">
        <v>126</v>
      </c>
      <c r="C232" s="104">
        <f>C229*C231</f>
        <v>5.0000000000000017E-2</v>
      </c>
      <c r="D232" s="104">
        <f t="shared" ref="D232:AG232" si="128">D229*D231</f>
        <v>5.2260994000770562E-2</v>
      </c>
      <c r="E232" s="104">
        <f t="shared" si="128"/>
        <v>5.4521988001541108E-2</v>
      </c>
      <c r="F232" s="104">
        <f t="shared" si="128"/>
        <v>5.6782982002311647E-2</v>
      </c>
      <c r="G232" s="104">
        <f t="shared" si="128"/>
        <v>5.9043976003082192E-2</v>
      </c>
      <c r="H232" s="104">
        <f t="shared" si="128"/>
        <v>6.1304970003852738E-2</v>
      </c>
      <c r="I232" s="104">
        <f t="shared" si="128"/>
        <v>6.356596400462329E-2</v>
      </c>
      <c r="J232" s="104">
        <f t="shared" si="128"/>
        <v>6.5826958005393829E-2</v>
      </c>
      <c r="K232" s="104">
        <f t="shared" si="128"/>
        <v>6.8087952006164368E-2</v>
      </c>
      <c r="L232" s="104">
        <f t="shared" si="128"/>
        <v>7.034894600693492E-2</v>
      </c>
      <c r="M232" s="104">
        <f t="shared" si="128"/>
        <v>7.2609940007705459E-2</v>
      </c>
      <c r="N232" s="104">
        <f t="shared" si="128"/>
        <v>7.7375419670867987E-2</v>
      </c>
      <c r="O232" s="104">
        <f t="shared" si="128"/>
        <v>8.2140899334030515E-2</v>
      </c>
      <c r="P232" s="104">
        <f t="shared" si="128"/>
        <v>8.6906378997193043E-2</v>
      </c>
      <c r="Q232" s="104">
        <f t="shared" si="128"/>
        <v>9.1671858660355571E-2</v>
      </c>
      <c r="R232" s="104">
        <f t="shared" si="128"/>
        <v>9.6437338323518113E-2</v>
      </c>
      <c r="S232" s="104">
        <f t="shared" si="128"/>
        <v>0.10120281798668064</v>
      </c>
      <c r="T232" s="104">
        <f t="shared" si="128"/>
        <v>0.10596829764984317</v>
      </c>
      <c r="U232" s="104">
        <f t="shared" si="128"/>
        <v>0.1107337773130057</v>
      </c>
      <c r="V232" s="104">
        <f t="shared" si="128"/>
        <v>0.11549925697616822</v>
      </c>
      <c r="W232" s="104">
        <f t="shared" si="128"/>
        <v>0.12026473663933075</v>
      </c>
      <c r="X232" s="104">
        <f t="shared" si="128"/>
        <v>0.12823826297539767</v>
      </c>
      <c r="Y232" s="104">
        <f t="shared" si="128"/>
        <v>0.1362117893114646</v>
      </c>
      <c r="Z232" s="104">
        <f t="shared" si="128"/>
        <v>0.14418531564753154</v>
      </c>
      <c r="AA232" s="104">
        <f t="shared" si="128"/>
        <v>0.15215884198359847</v>
      </c>
      <c r="AB232" s="104">
        <f t="shared" si="128"/>
        <v>0.1601323683196654</v>
      </c>
      <c r="AC232" s="104">
        <f t="shared" si="128"/>
        <v>0.16810589465573234</v>
      </c>
      <c r="AD232" s="104">
        <f t="shared" si="128"/>
        <v>0.17607942099179927</v>
      </c>
      <c r="AE232" s="104">
        <f t="shared" si="128"/>
        <v>0.18405294732786617</v>
      </c>
      <c r="AF232" s="104">
        <f t="shared" si="128"/>
        <v>0.19202647366393316</v>
      </c>
      <c r="AG232" s="104">
        <f t="shared" si="128"/>
        <v>0.2</v>
      </c>
      <c r="AJ232" s="198" t="s">
        <v>462</v>
      </c>
    </row>
    <row r="233" spans="1:63" outlineLevel="1">
      <c r="C233" s="104"/>
      <c r="D233" s="104"/>
      <c r="E233" s="104"/>
      <c r="F233" s="104"/>
      <c r="G233" s="104"/>
      <c r="H233" s="104"/>
      <c r="I233" s="104"/>
      <c r="J233" s="104"/>
      <c r="K233" s="104"/>
      <c r="L233" s="104"/>
      <c r="M233" s="104"/>
      <c r="N233" s="104"/>
      <c r="O233" s="104"/>
      <c r="P233" s="104"/>
      <c r="Q233" s="104"/>
      <c r="R233" s="104"/>
      <c r="S233" s="104"/>
      <c r="T233" s="104"/>
      <c r="U233" s="104"/>
      <c r="V233" s="104"/>
      <c r="W233" s="104"/>
      <c r="X233" s="104"/>
      <c r="Y233" s="104"/>
      <c r="Z233" s="104"/>
      <c r="AA233" s="104"/>
      <c r="AB233" s="104"/>
      <c r="AC233" s="104"/>
      <c r="AD233" s="104"/>
      <c r="AE233" s="104"/>
      <c r="AF233" s="104"/>
      <c r="AG233" s="104"/>
      <c r="AJ233" s="198"/>
    </row>
    <row r="234" spans="1:63" s="1" customFormat="1" outlineLevel="1">
      <c r="A234" s="1" t="s">
        <v>261</v>
      </c>
      <c r="B234" s="61"/>
      <c r="C234" s="279">
        <f>C232*C43</f>
        <v>4763.7994959144389</v>
      </c>
      <c r="D234" s="279">
        <f t="shared" ref="D234:AG234" si="129">D232*D43</f>
        <v>4979.2179375371643</v>
      </c>
      <c r="E234" s="279">
        <f t="shared" si="129"/>
        <v>5194.6363791598906</v>
      </c>
      <c r="F234" s="279">
        <f t="shared" si="129"/>
        <v>5410.0548207826159</v>
      </c>
      <c r="G234" s="279">
        <f t="shared" si="129"/>
        <v>5625.4732624053413</v>
      </c>
      <c r="H234" s="279">
        <f t="shared" si="129"/>
        <v>5840.8917040280676</v>
      </c>
      <c r="I234" s="279">
        <f t="shared" si="129"/>
        <v>6036.324322170145</v>
      </c>
      <c r="J234" s="279">
        <f t="shared" si="129"/>
        <v>6230.3351785975137</v>
      </c>
      <c r="K234" s="279">
        <f t="shared" si="129"/>
        <v>6422.924273310171</v>
      </c>
      <c r="L234" s="279">
        <f t="shared" si="129"/>
        <v>6614.0916063081204</v>
      </c>
      <c r="M234" s="279">
        <f t="shared" si="129"/>
        <v>6803.8371775913583</v>
      </c>
      <c r="N234" s="279">
        <f t="shared" si="129"/>
        <v>7226.0537143361771</v>
      </c>
      <c r="O234" s="279">
        <f t="shared" si="129"/>
        <v>7645.2736148515305</v>
      </c>
      <c r="P234" s="279">
        <f t="shared" si="129"/>
        <v>8061.4968791374158</v>
      </c>
      <c r="Q234" s="279">
        <f t="shared" si="129"/>
        <v>8474.7235071938376</v>
      </c>
      <c r="R234" s="279">
        <f t="shared" si="129"/>
        <v>8884.953499020794</v>
      </c>
      <c r="S234" s="279">
        <f t="shared" si="129"/>
        <v>9292.186854618285</v>
      </c>
      <c r="T234" s="279">
        <f t="shared" si="129"/>
        <v>9696.4235739863088</v>
      </c>
      <c r="U234" s="279">
        <f t="shared" si="129"/>
        <v>10097.663657124867</v>
      </c>
      <c r="V234" s="279">
        <f t="shared" si="129"/>
        <v>10495.90710403396</v>
      </c>
      <c r="W234" s="279">
        <f t="shared" si="129"/>
        <v>10891.153914713586</v>
      </c>
      <c r="X234" s="279">
        <f t="shared" si="129"/>
        <v>11572.915601002636</v>
      </c>
      <c r="Y234" s="279">
        <f t="shared" si="129"/>
        <v>12249.663362233949</v>
      </c>
      <c r="Z234" s="279">
        <f t="shared" si="129"/>
        <v>12921.397198407525</v>
      </c>
      <c r="AA234" s="279">
        <f t="shared" si="129"/>
        <v>13588.117109523368</v>
      </c>
      <c r="AB234" s="279">
        <f t="shared" si="129"/>
        <v>14249.823095581474</v>
      </c>
      <c r="AC234" s="279">
        <f t="shared" si="129"/>
        <v>14904.913511029405</v>
      </c>
      <c r="AD234" s="279">
        <f t="shared" si="129"/>
        <v>15554.838064296639</v>
      </c>
      <c r="AE234" s="279">
        <f t="shared" si="129"/>
        <v>16199.596755383174</v>
      </c>
      <c r="AF234" s="279">
        <f t="shared" si="129"/>
        <v>16839.189584289023</v>
      </c>
      <c r="AG234" s="279">
        <f t="shared" si="129"/>
        <v>17473.616551014155</v>
      </c>
      <c r="AH234" s="230"/>
      <c r="AI234" s="398"/>
      <c r="AJ234" s="399"/>
      <c r="AL234" s="207"/>
      <c r="AM234" s="118"/>
      <c r="AN234" s="118"/>
      <c r="AO234" s="118"/>
      <c r="BD234" s="118"/>
      <c r="BE234" s="118"/>
      <c r="BF234" s="118"/>
      <c r="BG234" s="118"/>
      <c r="BH234" s="118"/>
      <c r="BI234" s="118"/>
      <c r="BJ234" s="118"/>
      <c r="BK234" s="118"/>
    </row>
    <row r="235" spans="1:63" outlineLevel="1">
      <c r="A235" s="4" t="s">
        <v>35</v>
      </c>
      <c r="C235" s="216">
        <f>C$234*'Methanol recycling rates'!E72</f>
        <v>0</v>
      </c>
      <c r="D235" s="216">
        <f>D$234*'Methanol recycling rates'!F72</f>
        <v>0</v>
      </c>
      <c r="E235" s="216">
        <f>E$234*'Methanol recycling rates'!G72</f>
        <v>0</v>
      </c>
      <c r="F235" s="216">
        <f>F$234*'Methanol recycling rates'!H72</f>
        <v>0</v>
      </c>
      <c r="G235" s="216">
        <f>G$234*'Methanol recycling rates'!I72</f>
        <v>0</v>
      </c>
      <c r="H235" s="216">
        <f>H$234*'Methanol recycling rates'!J72</f>
        <v>0</v>
      </c>
      <c r="I235" s="216">
        <f>I$234*'Methanol recycling rates'!K72</f>
        <v>0</v>
      </c>
      <c r="J235" s="216">
        <f>J$234*'Methanol recycling rates'!L72</f>
        <v>0</v>
      </c>
      <c r="K235" s="216">
        <f>K$234*'Methanol recycling rates'!M72</f>
        <v>0</v>
      </c>
      <c r="L235" s="216">
        <f>L$234*'Methanol recycling rates'!N72</f>
        <v>0</v>
      </c>
      <c r="M235" s="216">
        <f>M$234*'Methanol recycling rates'!O72</f>
        <v>0</v>
      </c>
      <c r="N235" s="216">
        <f>N$234*'Methanol recycling rates'!P72</f>
        <v>0</v>
      </c>
      <c r="O235" s="216">
        <f>O$234*'Methanol recycling rates'!Q72</f>
        <v>0</v>
      </c>
      <c r="P235" s="216">
        <f>P$234*'Methanol recycling rates'!R72</f>
        <v>0</v>
      </c>
      <c r="Q235" s="216">
        <f>Q$234*'Methanol recycling rates'!S72</f>
        <v>0</v>
      </c>
      <c r="R235" s="216">
        <f>R$234*'Methanol recycling rates'!T72</f>
        <v>0</v>
      </c>
      <c r="S235" s="216">
        <f>S$234*'Methanol recycling rates'!U72</f>
        <v>0</v>
      </c>
      <c r="T235" s="216">
        <f>T$234*'Methanol recycling rates'!V72</f>
        <v>0</v>
      </c>
      <c r="U235" s="216">
        <f>U$234*'Methanol recycling rates'!W72</f>
        <v>0</v>
      </c>
      <c r="V235" s="216">
        <f>V$234*'Methanol recycling rates'!X72</f>
        <v>0</v>
      </c>
      <c r="W235" s="216">
        <f>W$234*'Methanol recycling rates'!Y72</f>
        <v>0</v>
      </c>
      <c r="X235" s="216">
        <f>X$234*'Methanol recycling rates'!Z72</f>
        <v>0</v>
      </c>
      <c r="Y235" s="216">
        <f>Y$234*'Methanol recycling rates'!AA72</f>
        <v>0</v>
      </c>
      <c r="Z235" s="216">
        <f>Z$234*'Methanol recycling rates'!AB72</f>
        <v>0</v>
      </c>
      <c r="AA235" s="216">
        <f>AA$234*'Methanol recycling rates'!AC72</f>
        <v>0</v>
      </c>
      <c r="AB235" s="216">
        <f>AB$234*'Methanol recycling rates'!AD72</f>
        <v>0</v>
      </c>
      <c r="AC235" s="216">
        <f>AC$234*'Methanol recycling rates'!AE72</f>
        <v>0</v>
      </c>
      <c r="AD235" s="216">
        <f>AD$234*'Methanol recycling rates'!AF72</f>
        <v>0</v>
      </c>
      <c r="AE235" s="216">
        <f>AE$234*'Methanol recycling rates'!AG72</f>
        <v>0</v>
      </c>
      <c r="AF235" s="216">
        <f>AF$234*'Methanol recycling rates'!AH72</f>
        <v>0</v>
      </c>
      <c r="AG235" s="216">
        <f>AG$234*'Methanol recycling rates'!AI72</f>
        <v>0</v>
      </c>
      <c r="AH235" s="230"/>
      <c r="AI235" s="126"/>
      <c r="AJ235" s="198"/>
      <c r="AL235" s="102"/>
      <c r="AM235" s="2"/>
      <c r="AN235" s="2"/>
      <c r="AO235" s="2"/>
      <c r="BC235" s="1"/>
      <c r="BD235" s="2"/>
      <c r="BE235" s="2"/>
      <c r="BF235" s="2"/>
      <c r="BG235" s="2"/>
      <c r="BH235" s="2"/>
      <c r="BI235" s="2"/>
      <c r="BJ235" s="2"/>
      <c r="BK235" s="2"/>
    </row>
    <row r="236" spans="1:63" outlineLevel="1">
      <c r="A236" s="4" t="s">
        <v>160</v>
      </c>
      <c r="C236" s="216">
        <f>C$234*'Methanol recycling rates'!E73</f>
        <v>1470.7207601533876</v>
      </c>
      <c r="D236" s="216">
        <f>D$234*'Methanol recycling rates'!F73</f>
        <v>1537.2265764636975</v>
      </c>
      <c r="E236" s="216">
        <f>E$234*'Methanol recycling rates'!G73</f>
        <v>1603.7323927740076</v>
      </c>
      <c r="F236" s="216">
        <f>F$234*'Methanol recycling rates'!H73</f>
        <v>1670.2382090843175</v>
      </c>
      <c r="G236" s="216">
        <f>G$234*'Methanol recycling rates'!I73</f>
        <v>1736.7440253946277</v>
      </c>
      <c r="H236" s="216">
        <f>H$234*'Methanol recycling rates'!J73</f>
        <v>1803.2498417049378</v>
      </c>
      <c r="I236" s="216">
        <f>I$234*'Methanol recycling rates'!K73</f>
        <v>1863.5854643437974</v>
      </c>
      <c r="J236" s="216">
        <f>J$234*'Methanol recycling rates'!L73</f>
        <v>1923.4821485950092</v>
      </c>
      <c r="K236" s="216">
        <f>K$234*'Methanol recycling rates'!M73</f>
        <v>1982.9398944585726</v>
      </c>
      <c r="L236" s="216">
        <f>L$234*'Methanol recycling rates'!N73</f>
        <v>2041.9587019344885</v>
      </c>
      <c r="M236" s="216">
        <f>M$234*'Methanol recycling rates'!O73</f>
        <v>2100.5385710227561</v>
      </c>
      <c r="N236" s="216">
        <f>N$234*'Methanol recycling rates'!P73</f>
        <v>2230.8888568404577</v>
      </c>
      <c r="O236" s="216">
        <f>O$234*'Methanol recycling rates'!Q73</f>
        <v>2360.3139955949628</v>
      </c>
      <c r="P236" s="216">
        <f>P$234*'Methanol recycling rates'!R73</f>
        <v>2488.8139872862707</v>
      </c>
      <c r="Q236" s="216">
        <f>Q$234*'Methanol recycling rates'!S73</f>
        <v>2616.3888319143825</v>
      </c>
      <c r="R236" s="216">
        <f>R$234*'Methanol recycling rates'!T73</f>
        <v>2743.0385294792977</v>
      </c>
      <c r="S236" s="216">
        <f>S$234*'Methanol recycling rates'!U73</f>
        <v>2868.7630799810163</v>
      </c>
      <c r="T236" s="216">
        <f>T$234*'Methanol recycling rates'!V73</f>
        <v>2993.5624834195378</v>
      </c>
      <c r="U236" s="216">
        <f>U$234*'Methanol recycling rates'!W73</f>
        <v>3117.4367397948631</v>
      </c>
      <c r="V236" s="216">
        <f>V$234*'Methanol recycling rates'!X73</f>
        <v>3240.3858491069914</v>
      </c>
      <c r="W236" s="216">
        <f>W$234*'Methanol recycling rates'!Y73</f>
        <v>3362.4098113559226</v>
      </c>
      <c r="X236" s="216">
        <f>X$234*'Methanol recycling rates'!Z73</f>
        <v>3572.8890866407901</v>
      </c>
      <c r="Y236" s="216">
        <f>Y$234*'Methanol recycling rates'!AA73</f>
        <v>3781.8204202713973</v>
      </c>
      <c r="Z236" s="216">
        <f>Z$234*'Methanol recycling rates'!AB73</f>
        <v>3989.2038122477452</v>
      </c>
      <c r="AA236" s="216">
        <f>AA$234*'Methanol recycling rates'!AC73</f>
        <v>4195.039262569835</v>
      </c>
      <c r="AB236" s="216">
        <f>AB$234*'Methanol recycling rates'!AD73</f>
        <v>4399.3267712376646</v>
      </c>
      <c r="AC236" s="216">
        <f>AC$234*'Methanol recycling rates'!AE73</f>
        <v>4601.5718645928873</v>
      </c>
      <c r="AD236" s="216">
        <f>AD$234*'Methanol recycling rates'!AF73</f>
        <v>4802.2221089709947</v>
      </c>
      <c r="AE236" s="216">
        <f>AE$234*'Methanol recycling rates'!AG73</f>
        <v>5001.2775043719867</v>
      </c>
      <c r="AF236" s="216">
        <f>AF$234*'Methanol recycling rates'!AH73</f>
        <v>5198.7380507958651</v>
      </c>
      <c r="AG236" s="216">
        <f>AG$234*'Methanol recycling rates'!AI73</f>
        <v>5394.6037482426227</v>
      </c>
      <c r="AH236" s="230"/>
      <c r="AI236" s="126"/>
      <c r="AJ236" s="198"/>
      <c r="AL236" s="102"/>
      <c r="AM236" s="2"/>
      <c r="AN236" s="2"/>
      <c r="AO236" s="2"/>
      <c r="BC236" s="1"/>
      <c r="BD236" s="2"/>
      <c r="BE236" s="2"/>
      <c r="BF236" s="2"/>
      <c r="BG236" s="2"/>
      <c r="BH236" s="2"/>
      <c r="BI236" s="2"/>
      <c r="BJ236" s="2"/>
      <c r="BK236" s="2"/>
    </row>
    <row r="237" spans="1:63" outlineLevel="1">
      <c r="A237" s="4" t="s">
        <v>1159</v>
      </c>
      <c r="C237" s="216">
        <f>C$234*'Methanol recycling rates'!E74</f>
        <v>3293.0787357610516</v>
      </c>
      <c r="D237" s="216">
        <f>D$234*'Methanol recycling rates'!F74</f>
        <v>3441.991361073467</v>
      </c>
      <c r="E237" s="216">
        <f>E$234*'Methanol recycling rates'!G74</f>
        <v>3590.9039863858829</v>
      </c>
      <c r="F237" s="216">
        <f>F$234*'Methanol recycling rates'!H74</f>
        <v>3739.8166116982984</v>
      </c>
      <c r="G237" s="216">
        <f>G$234*'Methanol recycling rates'!I74</f>
        <v>3888.7292370107139</v>
      </c>
      <c r="H237" s="216">
        <f>H$234*'Methanol recycling rates'!J74</f>
        <v>4037.6418623231302</v>
      </c>
      <c r="I237" s="216">
        <f>I$234*'Methanol recycling rates'!K74</f>
        <v>4172.7388578263481</v>
      </c>
      <c r="J237" s="216">
        <f>J$234*'Methanol recycling rates'!L74</f>
        <v>4306.853030002505</v>
      </c>
      <c r="K237" s="216">
        <f>K$234*'Methanol recycling rates'!M74</f>
        <v>4439.9843788515991</v>
      </c>
      <c r="L237" s="216">
        <f>L$234*'Methanol recycling rates'!N74</f>
        <v>4572.1329043736323</v>
      </c>
      <c r="M237" s="216">
        <f>M$234*'Methanol recycling rates'!O74</f>
        <v>4703.2986065686027</v>
      </c>
      <c r="N237" s="216">
        <f>N$234*'Methanol recycling rates'!P74</f>
        <v>4995.1648574957198</v>
      </c>
      <c r="O237" s="216">
        <f>O$234*'Methanol recycling rates'!Q74</f>
        <v>5284.9596192565677</v>
      </c>
      <c r="P237" s="216">
        <f>P$234*'Methanol recycling rates'!R74</f>
        <v>5572.6828918511455</v>
      </c>
      <c r="Q237" s="216">
        <f>Q$234*'Methanol recycling rates'!S74</f>
        <v>5858.334675279456</v>
      </c>
      <c r="R237" s="216">
        <f>R$234*'Methanol recycling rates'!T74</f>
        <v>6141.9149695414972</v>
      </c>
      <c r="S237" s="216">
        <f>S$234*'Methanol recycling rates'!U74</f>
        <v>6423.4237746372692</v>
      </c>
      <c r="T237" s="216">
        <f>T$234*'Methanol recycling rates'!V74</f>
        <v>6702.8610905667711</v>
      </c>
      <c r="U237" s="216">
        <f>U$234*'Methanol recycling rates'!W74</f>
        <v>6980.2269173300047</v>
      </c>
      <c r="V237" s="216">
        <f>V$234*'Methanol recycling rates'!X74</f>
        <v>7255.52125492697</v>
      </c>
      <c r="W237" s="216">
        <f>W$234*'Methanol recycling rates'!Y74</f>
        <v>7528.7441033576642</v>
      </c>
      <c r="X237" s="216">
        <f>X$234*'Methanol recycling rates'!Z74</f>
        <v>8000.0265143618471</v>
      </c>
      <c r="Y237" s="216">
        <f>Y$234*'Methanol recycling rates'!AA74</f>
        <v>8467.8429419625518</v>
      </c>
      <c r="Z237" s="216">
        <f>Z$234*'Methanol recycling rates'!AB74</f>
        <v>8932.1933861597809</v>
      </c>
      <c r="AA237" s="216">
        <f>AA$234*'Methanol recycling rates'!AC74</f>
        <v>9393.0778469535344</v>
      </c>
      <c r="AB237" s="216">
        <f>AB$234*'Methanol recycling rates'!AD74</f>
        <v>9850.4963243438106</v>
      </c>
      <c r="AC237" s="216">
        <f>AC$234*'Methanol recycling rates'!AE74</f>
        <v>10303.341646436518</v>
      </c>
      <c r="AD237" s="216">
        <f>AD$234*'Methanol recycling rates'!AF74</f>
        <v>10752.615955325644</v>
      </c>
      <c r="AE237" s="216">
        <f>AE$234*'Methanol recycling rates'!AG74</f>
        <v>11198.319251011189</v>
      </c>
      <c r="AF237" s="216">
        <f>AF$234*'Methanol recycling rates'!AH74</f>
        <v>11640.451533493158</v>
      </c>
      <c r="AG237" s="216">
        <f>AG$234*'Methanol recycling rates'!AI74</f>
        <v>12079.012802771531</v>
      </c>
      <c r="AH237" s="230"/>
      <c r="AI237" s="126"/>
      <c r="AJ237" s="198"/>
      <c r="AL237" s="102"/>
      <c r="AM237" s="2"/>
      <c r="AN237" s="2"/>
      <c r="AO237" s="2"/>
      <c r="BC237" s="1"/>
      <c r="BD237" s="2"/>
      <c r="BE237" s="2"/>
      <c r="BF237" s="2"/>
      <c r="BG237" s="2"/>
      <c r="BH237" s="2"/>
      <c r="BI237" s="2"/>
      <c r="BJ237" s="2"/>
      <c r="BK237" s="2"/>
    </row>
    <row r="238" spans="1:63" s="1" customFormat="1" outlineLevel="1">
      <c r="A238" s="1" t="s">
        <v>1160</v>
      </c>
      <c r="B238" s="61"/>
      <c r="C238" s="279">
        <f>C234-$C234</f>
        <v>0</v>
      </c>
      <c r="D238" s="279">
        <f t="shared" ref="D238:AG239" si="130">D234-$C234</f>
        <v>215.41844162272537</v>
      </c>
      <c r="E238" s="279">
        <f t="shared" si="130"/>
        <v>430.83688324545165</v>
      </c>
      <c r="F238" s="279">
        <f t="shared" si="130"/>
        <v>646.25532486817701</v>
      </c>
      <c r="G238" s="279">
        <f t="shared" si="130"/>
        <v>861.67376649090238</v>
      </c>
      <c r="H238" s="279">
        <f t="shared" si="130"/>
        <v>1077.0922081136287</v>
      </c>
      <c r="I238" s="279">
        <f t="shared" si="130"/>
        <v>1272.5248262557061</v>
      </c>
      <c r="J238" s="279">
        <f t="shared" si="130"/>
        <v>1466.5356826830748</v>
      </c>
      <c r="K238" s="279">
        <f t="shared" si="130"/>
        <v>1659.1247773957321</v>
      </c>
      <c r="L238" s="279">
        <f t="shared" si="130"/>
        <v>1850.2921103936815</v>
      </c>
      <c r="M238" s="279">
        <f t="shared" si="130"/>
        <v>2040.0376816769194</v>
      </c>
      <c r="N238" s="279">
        <f t="shared" si="130"/>
        <v>2462.2542184217382</v>
      </c>
      <c r="O238" s="279">
        <f t="shared" si="130"/>
        <v>2881.4741189370916</v>
      </c>
      <c r="P238" s="279">
        <f t="shared" si="130"/>
        <v>3297.6973832229769</v>
      </c>
      <c r="Q238" s="279">
        <f t="shared" si="130"/>
        <v>3710.9240112793987</v>
      </c>
      <c r="R238" s="279">
        <f t="shared" si="130"/>
        <v>4121.154003106355</v>
      </c>
      <c r="S238" s="279">
        <f t="shared" si="130"/>
        <v>4528.3873587038461</v>
      </c>
      <c r="T238" s="279">
        <f t="shared" si="130"/>
        <v>4932.6240780718699</v>
      </c>
      <c r="U238" s="279">
        <f t="shared" si="130"/>
        <v>5333.8641612104284</v>
      </c>
      <c r="V238" s="279">
        <f t="shared" si="130"/>
        <v>5732.1076081195215</v>
      </c>
      <c r="W238" s="279">
        <f t="shared" si="130"/>
        <v>6127.3544187991474</v>
      </c>
      <c r="X238" s="279">
        <f t="shared" si="130"/>
        <v>6809.1161050881974</v>
      </c>
      <c r="Y238" s="279">
        <f t="shared" si="130"/>
        <v>7485.8638663195097</v>
      </c>
      <c r="Z238" s="279">
        <f t="shared" si="130"/>
        <v>8157.5977024930862</v>
      </c>
      <c r="AA238" s="279">
        <f t="shared" si="130"/>
        <v>8824.3176136089278</v>
      </c>
      <c r="AB238" s="279">
        <f t="shared" si="130"/>
        <v>9486.0235996670344</v>
      </c>
      <c r="AC238" s="279">
        <f t="shared" si="130"/>
        <v>10141.114015114967</v>
      </c>
      <c r="AD238" s="279">
        <f t="shared" si="130"/>
        <v>10791.038568382199</v>
      </c>
      <c r="AE238" s="279">
        <f t="shared" si="130"/>
        <v>11435.797259468734</v>
      </c>
      <c r="AF238" s="279">
        <f t="shared" si="130"/>
        <v>12075.390088374585</v>
      </c>
      <c r="AG238" s="279">
        <f t="shared" si="130"/>
        <v>12709.817055099717</v>
      </c>
      <c r="AH238" s="230"/>
      <c r="AI238" s="398"/>
      <c r="AJ238" s="399"/>
      <c r="AL238" s="207"/>
      <c r="AM238" s="118"/>
      <c r="AN238" s="118"/>
      <c r="AO238" s="118"/>
      <c r="BD238" s="118"/>
      <c r="BE238" s="118"/>
      <c r="BF238" s="118"/>
      <c r="BG238" s="118"/>
      <c r="BH238" s="118"/>
      <c r="BI238" s="118"/>
      <c r="BJ238" s="118"/>
      <c r="BK238" s="118"/>
    </row>
    <row r="239" spans="1:63" outlineLevel="1">
      <c r="A239" s="4" t="s">
        <v>35</v>
      </c>
      <c r="C239" s="216">
        <f>C235-$C235</f>
        <v>0</v>
      </c>
      <c r="D239" s="216">
        <f t="shared" si="130"/>
        <v>0</v>
      </c>
      <c r="E239" s="216">
        <f t="shared" si="130"/>
        <v>0</v>
      </c>
      <c r="F239" s="216">
        <f t="shared" si="130"/>
        <v>0</v>
      </c>
      <c r="G239" s="216">
        <f t="shared" si="130"/>
        <v>0</v>
      </c>
      <c r="H239" s="216">
        <f t="shared" si="130"/>
        <v>0</v>
      </c>
      <c r="I239" s="216">
        <f t="shared" si="130"/>
        <v>0</v>
      </c>
      <c r="J239" s="216">
        <f t="shared" si="130"/>
        <v>0</v>
      </c>
      <c r="K239" s="216">
        <f t="shared" si="130"/>
        <v>0</v>
      </c>
      <c r="L239" s="216">
        <f t="shared" si="130"/>
        <v>0</v>
      </c>
      <c r="M239" s="216">
        <f t="shared" si="130"/>
        <v>0</v>
      </c>
      <c r="N239" s="216">
        <f t="shared" si="130"/>
        <v>0</v>
      </c>
      <c r="O239" s="216">
        <f t="shared" si="130"/>
        <v>0</v>
      </c>
      <c r="P239" s="216">
        <f t="shared" si="130"/>
        <v>0</v>
      </c>
      <c r="Q239" s="216">
        <f t="shared" si="130"/>
        <v>0</v>
      </c>
      <c r="R239" s="216">
        <f t="shared" si="130"/>
        <v>0</v>
      </c>
      <c r="S239" s="216">
        <f t="shared" si="130"/>
        <v>0</v>
      </c>
      <c r="T239" s="216">
        <f t="shared" si="130"/>
        <v>0</v>
      </c>
      <c r="U239" s="216">
        <f t="shared" si="130"/>
        <v>0</v>
      </c>
      <c r="V239" s="216">
        <f t="shared" si="130"/>
        <v>0</v>
      </c>
      <c r="W239" s="216">
        <f t="shared" si="130"/>
        <v>0</v>
      </c>
      <c r="X239" s="216">
        <f t="shared" si="130"/>
        <v>0</v>
      </c>
      <c r="Y239" s="216">
        <f t="shared" si="130"/>
        <v>0</v>
      </c>
      <c r="Z239" s="216">
        <f t="shared" si="130"/>
        <v>0</v>
      </c>
      <c r="AA239" s="216">
        <f t="shared" si="130"/>
        <v>0</v>
      </c>
      <c r="AB239" s="216">
        <f t="shared" si="130"/>
        <v>0</v>
      </c>
      <c r="AC239" s="216">
        <f t="shared" si="130"/>
        <v>0</v>
      </c>
      <c r="AD239" s="216">
        <f t="shared" si="130"/>
        <v>0</v>
      </c>
      <c r="AE239" s="216">
        <f t="shared" si="130"/>
        <v>0</v>
      </c>
      <c r="AF239" s="216">
        <f t="shared" si="130"/>
        <v>0</v>
      </c>
      <c r="AG239" s="216">
        <f>AG235-$C235</f>
        <v>0</v>
      </c>
      <c r="AH239" s="230"/>
      <c r="AI239" s="126"/>
      <c r="AJ239" s="198"/>
      <c r="AL239" s="102"/>
      <c r="AM239" s="2"/>
      <c r="AN239" s="2"/>
      <c r="AO239" s="2"/>
      <c r="BC239" s="1"/>
      <c r="BD239" s="2"/>
      <c r="BE239" s="2"/>
      <c r="BF239" s="2"/>
      <c r="BG239" s="2"/>
      <c r="BH239" s="2"/>
      <c r="BI239" s="2"/>
      <c r="BJ239" s="2"/>
      <c r="BK239" s="2"/>
    </row>
    <row r="240" spans="1:63" outlineLevel="1">
      <c r="A240" s="4" t="s">
        <v>160</v>
      </c>
      <c r="C240" s="216">
        <f t="shared" ref="C240:AG241" si="131">C236-$C236</f>
        <v>0</v>
      </c>
      <c r="D240" s="216">
        <f t="shared" si="131"/>
        <v>66.50581631030991</v>
      </c>
      <c r="E240" s="216">
        <f t="shared" si="131"/>
        <v>133.01163262062005</v>
      </c>
      <c r="F240" s="216">
        <f t="shared" si="131"/>
        <v>199.51744893092996</v>
      </c>
      <c r="G240" s="216">
        <f t="shared" si="131"/>
        <v>266.0232652412401</v>
      </c>
      <c r="H240" s="216">
        <f t="shared" si="131"/>
        <v>332.52908155155023</v>
      </c>
      <c r="I240" s="216">
        <f t="shared" si="131"/>
        <v>392.86470419040984</v>
      </c>
      <c r="J240" s="216">
        <f t="shared" si="131"/>
        <v>452.76138844162165</v>
      </c>
      <c r="K240" s="216">
        <f t="shared" si="131"/>
        <v>512.21913430518498</v>
      </c>
      <c r="L240" s="216">
        <f t="shared" si="131"/>
        <v>571.23794178110097</v>
      </c>
      <c r="M240" s="216">
        <f t="shared" si="131"/>
        <v>629.81781086936849</v>
      </c>
      <c r="N240" s="216">
        <f t="shared" si="131"/>
        <v>760.16809668707015</v>
      </c>
      <c r="O240" s="216">
        <f t="shared" si="131"/>
        <v>889.59323544157519</v>
      </c>
      <c r="P240" s="216">
        <f t="shared" si="131"/>
        <v>1018.0932271328832</v>
      </c>
      <c r="Q240" s="216">
        <f t="shared" si="131"/>
        <v>1145.668071760995</v>
      </c>
      <c r="R240" s="216">
        <f t="shared" si="131"/>
        <v>1272.3177693259101</v>
      </c>
      <c r="S240" s="216">
        <f t="shared" si="131"/>
        <v>1398.0423198276287</v>
      </c>
      <c r="T240" s="216">
        <f t="shared" si="131"/>
        <v>1522.8417232661502</v>
      </c>
      <c r="U240" s="216">
        <f t="shared" si="131"/>
        <v>1646.7159796414755</v>
      </c>
      <c r="V240" s="216">
        <f t="shared" si="131"/>
        <v>1769.6650889536038</v>
      </c>
      <c r="W240" s="216">
        <f t="shared" si="131"/>
        <v>1891.689051202535</v>
      </c>
      <c r="X240" s="216">
        <f t="shared" si="131"/>
        <v>2102.1683264874027</v>
      </c>
      <c r="Y240" s="216">
        <f t="shared" si="131"/>
        <v>2311.0996601180095</v>
      </c>
      <c r="Z240" s="216">
        <f t="shared" si="131"/>
        <v>2518.4830520943578</v>
      </c>
      <c r="AA240" s="216">
        <f t="shared" si="131"/>
        <v>2724.3185024164477</v>
      </c>
      <c r="AB240" s="216">
        <f t="shared" si="131"/>
        <v>2928.6060110842773</v>
      </c>
      <c r="AC240" s="216">
        <f t="shared" si="131"/>
        <v>3130.8511044395</v>
      </c>
      <c r="AD240" s="216">
        <f t="shared" si="131"/>
        <v>3331.5013488176073</v>
      </c>
      <c r="AE240" s="216">
        <f t="shared" si="131"/>
        <v>3530.5567442185993</v>
      </c>
      <c r="AF240" s="216">
        <f t="shared" si="131"/>
        <v>3728.0172906424777</v>
      </c>
      <c r="AG240" s="216">
        <f t="shared" si="131"/>
        <v>3923.8829880892354</v>
      </c>
      <c r="AH240" s="230"/>
      <c r="AI240" s="126"/>
      <c r="AJ240" s="198"/>
      <c r="AL240" s="102"/>
      <c r="AM240" s="2"/>
      <c r="AN240" s="2"/>
      <c r="AO240" s="2"/>
      <c r="BC240" s="1"/>
      <c r="BD240" s="2"/>
      <c r="BE240" s="2"/>
      <c r="BF240" s="2"/>
      <c r="BG240" s="2"/>
      <c r="BH240" s="2"/>
      <c r="BI240" s="2"/>
      <c r="BJ240" s="2"/>
      <c r="BK240" s="2"/>
    </row>
    <row r="241" spans="1:63" outlineLevel="1">
      <c r="A241" s="4" t="s">
        <v>1159</v>
      </c>
      <c r="C241" s="216">
        <f t="shared" si="131"/>
        <v>0</v>
      </c>
      <c r="D241" s="216">
        <f t="shared" si="131"/>
        <v>148.91262531241546</v>
      </c>
      <c r="E241" s="216">
        <f t="shared" si="131"/>
        <v>297.82525062483137</v>
      </c>
      <c r="F241" s="216">
        <f t="shared" si="131"/>
        <v>446.73787593724683</v>
      </c>
      <c r="G241" s="216">
        <f t="shared" si="131"/>
        <v>595.65050124966228</v>
      </c>
      <c r="H241" s="216">
        <f t="shared" si="131"/>
        <v>744.56312656207865</v>
      </c>
      <c r="I241" s="216">
        <f t="shared" si="131"/>
        <v>879.66012206529649</v>
      </c>
      <c r="J241" s="216">
        <f t="shared" si="131"/>
        <v>1013.7742942414534</v>
      </c>
      <c r="K241" s="216">
        <f t="shared" si="131"/>
        <v>1146.9056430905475</v>
      </c>
      <c r="L241" s="216">
        <f t="shared" si="131"/>
        <v>1279.0541686125807</v>
      </c>
      <c r="M241" s="216">
        <f t="shared" si="131"/>
        <v>1410.2198708075512</v>
      </c>
      <c r="N241" s="216">
        <f t="shared" si="131"/>
        <v>1702.0861217346683</v>
      </c>
      <c r="O241" s="216">
        <f t="shared" si="131"/>
        <v>1991.8808834955162</v>
      </c>
      <c r="P241" s="216">
        <f t="shared" si="131"/>
        <v>2279.604156090094</v>
      </c>
      <c r="Q241" s="216">
        <f t="shared" si="131"/>
        <v>2565.2559395184044</v>
      </c>
      <c r="R241" s="216">
        <f t="shared" si="131"/>
        <v>2848.8362337804456</v>
      </c>
      <c r="S241" s="216">
        <f t="shared" si="131"/>
        <v>3130.3450388762176</v>
      </c>
      <c r="T241" s="216">
        <f t="shared" si="131"/>
        <v>3409.7823548057195</v>
      </c>
      <c r="U241" s="216">
        <f t="shared" si="131"/>
        <v>3687.1481815689531</v>
      </c>
      <c r="V241" s="216">
        <f t="shared" si="131"/>
        <v>3962.4425191659184</v>
      </c>
      <c r="W241" s="216">
        <f t="shared" si="131"/>
        <v>4235.6653675966127</v>
      </c>
      <c r="X241" s="216">
        <f t="shared" si="131"/>
        <v>4706.9477786007956</v>
      </c>
      <c r="Y241" s="216">
        <f t="shared" si="131"/>
        <v>5174.7642062015002</v>
      </c>
      <c r="Z241" s="216">
        <f t="shared" si="131"/>
        <v>5639.1146503987293</v>
      </c>
      <c r="AA241" s="216">
        <f t="shared" si="131"/>
        <v>6099.9991111924828</v>
      </c>
      <c r="AB241" s="216">
        <f t="shared" si="131"/>
        <v>6557.417588582759</v>
      </c>
      <c r="AC241" s="216">
        <f t="shared" si="131"/>
        <v>7010.2629106754666</v>
      </c>
      <c r="AD241" s="216">
        <f t="shared" si="131"/>
        <v>7459.5372195645923</v>
      </c>
      <c r="AE241" s="216">
        <f t="shared" si="131"/>
        <v>7905.2405152501378</v>
      </c>
      <c r="AF241" s="216">
        <f t="shared" si="131"/>
        <v>8347.3727977321068</v>
      </c>
      <c r="AG241" s="216">
        <f t="shared" si="131"/>
        <v>8785.9340670104793</v>
      </c>
      <c r="AH241" s="230"/>
      <c r="AI241" s="126"/>
      <c r="AJ241" s="198"/>
      <c r="AL241" s="102"/>
      <c r="AM241" s="2"/>
      <c r="AN241" s="2"/>
      <c r="AO241" s="2"/>
      <c r="BC241" s="1"/>
      <c r="BD241" s="2"/>
      <c r="BE241" s="2"/>
      <c r="BF241" s="2"/>
      <c r="BG241" s="2"/>
      <c r="BH241" s="2"/>
      <c r="BI241" s="2"/>
      <c r="BJ241" s="2"/>
      <c r="BK241" s="2"/>
    </row>
    <row r="242" spans="1:63" outlineLevel="2">
      <c r="C242" s="107"/>
      <c r="D242" s="104"/>
      <c r="E242" s="104"/>
      <c r="F242" s="104"/>
      <c r="G242" s="104"/>
      <c r="H242" s="104"/>
      <c r="I242" s="104"/>
      <c r="J242" s="104"/>
      <c r="K242" s="104"/>
      <c r="L242" s="104"/>
      <c r="M242" s="115"/>
      <c r="N242" s="115"/>
      <c r="O242" s="115"/>
      <c r="P242" s="115"/>
      <c r="Q242" s="115"/>
      <c r="R242" s="115"/>
      <c r="S242" s="115"/>
      <c r="T242" s="115"/>
      <c r="U242" s="115"/>
      <c r="V242" s="115"/>
      <c r="W242" s="115"/>
      <c r="X242" s="22"/>
      <c r="Y242" s="22"/>
      <c r="Z242" s="22"/>
      <c r="AA242" s="22"/>
      <c r="AB242" s="22"/>
      <c r="AC242" s="22"/>
      <c r="AD242" s="22"/>
      <c r="AE242" s="22"/>
      <c r="AF242" s="22"/>
      <c r="AG242" s="100"/>
      <c r="AJ242" s="198"/>
    </row>
    <row r="243" spans="1:63" s="187" customFormat="1" ht="15.5" thickBot="1">
      <c r="A243" s="213" t="s">
        <v>1090</v>
      </c>
      <c r="B243" s="214"/>
      <c r="C243" s="215">
        <f>(C39*C63+C40*C129+C42*C184+C41*C217+C43*C232)/C44</f>
        <v>4.0138911140873396E-2</v>
      </c>
      <c r="D243" s="215">
        <f t="shared" ref="D243:AG243" si="132">(D39*D63+D40*D129+D42*D184+D41*D217+D43*D232)/D44</f>
        <v>4.2632285095087055E-2</v>
      </c>
      <c r="E243" s="215">
        <f t="shared" si="132"/>
        <v>4.5180677504579554E-2</v>
      </c>
      <c r="F243" s="215">
        <f t="shared" si="132"/>
        <v>4.7783978520937902E-2</v>
      </c>
      <c r="G243" s="215">
        <f t="shared" si="132"/>
        <v>5.0442078240563411E-2</v>
      </c>
      <c r="H243" s="215">
        <f t="shared" si="132"/>
        <v>5.3154866704637004E-2</v>
      </c>
      <c r="I243" s="215">
        <f t="shared" si="132"/>
        <v>5.590218804318782E-2</v>
      </c>
      <c r="J243" s="215">
        <f t="shared" si="132"/>
        <v>5.8706754039127895E-2</v>
      </c>
      <c r="K243" s="215">
        <f t="shared" si="132"/>
        <v>6.1568900751227694E-2</v>
      </c>
      <c r="L243" s="215">
        <f t="shared" si="132"/>
        <v>6.4488967909415731E-2</v>
      </c>
      <c r="M243" s="215">
        <f t="shared" si="132"/>
        <v>6.7467298965046163E-2</v>
      </c>
      <c r="N243" s="215">
        <f t="shared" si="132"/>
        <v>7.3153726695094193E-2</v>
      </c>
      <c r="O243" s="215">
        <f t="shared" si="132"/>
        <v>7.8960618281069345E-2</v>
      </c>
      <c r="P243" s="215">
        <f t="shared" si="132"/>
        <v>8.4889109987077077E-2</v>
      </c>
      <c r="Q243" s="215">
        <f t="shared" si="132"/>
        <v>9.0938451031917014E-2</v>
      </c>
      <c r="R243" s="215">
        <f t="shared" si="132"/>
        <v>9.7109012587368121E-2</v>
      </c>
      <c r="S243" s="215">
        <f t="shared" si="132"/>
        <v>0.10340130948850985</v>
      </c>
      <c r="T243" s="215">
        <f t="shared" si="132"/>
        <v>0.1098155894310051</v>
      </c>
      <c r="U243" s="215">
        <f t="shared" si="132"/>
        <v>0.1163522329382885</v>
      </c>
      <c r="V243" s="215">
        <f t="shared" si="132"/>
        <v>0.12301162383310217</v>
      </c>
      <c r="W243" s="215">
        <f t="shared" si="132"/>
        <v>0.12979414929210742</v>
      </c>
      <c r="X243" s="215">
        <f t="shared" si="132"/>
        <v>0.14049869564400752</v>
      </c>
      <c r="Y243" s="215">
        <f t="shared" si="132"/>
        <v>0.15140934306641229</v>
      </c>
      <c r="Z243" s="215">
        <f t="shared" si="132"/>
        <v>0.16251606733311472</v>
      </c>
      <c r="AA243" s="215">
        <f t="shared" si="132"/>
        <v>0.17382545137676669</v>
      </c>
      <c r="AB243" s="215">
        <f t="shared" si="132"/>
        <v>0.18533765816837239</v>
      </c>
      <c r="AC243" s="215">
        <f t="shared" si="132"/>
        <v>0.19705513481487227</v>
      </c>
      <c r="AD243" s="215">
        <f t="shared" si="132"/>
        <v>0.20897638100940547</v>
      </c>
      <c r="AE243" s="215">
        <f t="shared" si="132"/>
        <v>0.2211015719526522</v>
      </c>
      <c r="AF243" s="215">
        <f t="shared" si="132"/>
        <v>0.23343086783272959</v>
      </c>
      <c r="AG243" s="215">
        <f t="shared" si="132"/>
        <v>0.24596441357070295</v>
      </c>
      <c r="AJ243" s="452"/>
      <c r="AL243" s="204"/>
      <c r="AM243" s="211"/>
      <c r="AN243" s="211"/>
      <c r="AO243" s="211"/>
    </row>
    <row r="244" spans="1:63" s="187" customFormat="1" ht="16.25" thickTop="1" thickBot="1">
      <c r="A244" s="213" t="s">
        <v>467</v>
      </c>
      <c r="B244" s="214"/>
      <c r="C244" s="215">
        <f t="shared" ref="C244:AG244" si="133">(C11*C46+C110*C12+C14*C167+C213*C13+C228*C15)/C16</f>
        <v>0.10391498889855581</v>
      </c>
      <c r="D244" s="215">
        <f t="shared" si="133"/>
        <v>0.10913769993404097</v>
      </c>
      <c r="E244" s="215">
        <f t="shared" si="133"/>
        <v>0.11436041096952614</v>
      </c>
      <c r="F244" s="215">
        <f t="shared" si="133"/>
        <v>0.11958312200501135</v>
      </c>
      <c r="G244" s="215">
        <f t="shared" si="133"/>
        <v>0.12480583304049657</v>
      </c>
      <c r="H244" s="215">
        <f t="shared" si="133"/>
        <v>0.13002854407598174</v>
      </c>
      <c r="I244" s="215">
        <f t="shared" si="133"/>
        <v>0.13525125511146691</v>
      </c>
      <c r="J244" s="215">
        <f t="shared" si="133"/>
        <v>0.14047396614695212</v>
      </c>
      <c r="K244" s="215">
        <f t="shared" si="133"/>
        <v>0.14569667718243728</v>
      </c>
      <c r="L244" s="215">
        <f t="shared" si="133"/>
        <v>0.15091938821792247</v>
      </c>
      <c r="M244" s="215">
        <f t="shared" si="133"/>
        <v>0.15614209925340766</v>
      </c>
      <c r="N244" s="215">
        <f t="shared" si="133"/>
        <v>0.16714996712819952</v>
      </c>
      <c r="O244" s="215">
        <f t="shared" si="133"/>
        <v>0.17815783500299134</v>
      </c>
      <c r="P244" s="215">
        <f t="shared" si="133"/>
        <v>0.1891657028777832</v>
      </c>
      <c r="Q244" s="215">
        <f t="shared" si="133"/>
        <v>0.20017357075257503</v>
      </c>
      <c r="R244" s="215">
        <f t="shared" si="133"/>
        <v>0.21118143862736688</v>
      </c>
      <c r="S244" s="215">
        <f t="shared" si="133"/>
        <v>0.22218930650215879</v>
      </c>
      <c r="T244" s="215">
        <f t="shared" si="133"/>
        <v>0.23319717437695062</v>
      </c>
      <c r="U244" s="215">
        <f t="shared" si="133"/>
        <v>0.2442050422517425</v>
      </c>
      <c r="V244" s="215">
        <f t="shared" si="133"/>
        <v>0.25521291012653435</v>
      </c>
      <c r="W244" s="215">
        <f t="shared" si="133"/>
        <v>0.26622077800132615</v>
      </c>
      <c r="X244" s="215">
        <f t="shared" si="133"/>
        <v>0.28463897104956798</v>
      </c>
      <c r="Y244" s="215">
        <f t="shared" si="133"/>
        <v>0.30305716409780986</v>
      </c>
      <c r="Z244" s="215">
        <f t="shared" si="133"/>
        <v>0.32147535714605169</v>
      </c>
      <c r="AA244" s="215">
        <f t="shared" si="133"/>
        <v>0.3398935501942934</v>
      </c>
      <c r="AB244" s="215">
        <f t="shared" si="133"/>
        <v>0.35831174324253534</v>
      </c>
      <c r="AC244" s="215">
        <f t="shared" si="133"/>
        <v>0.37672993629077711</v>
      </c>
      <c r="AD244" s="215">
        <f t="shared" si="133"/>
        <v>0.39514812933901905</v>
      </c>
      <c r="AE244" s="215">
        <f t="shared" si="133"/>
        <v>0.41356632238726082</v>
      </c>
      <c r="AF244" s="215">
        <f t="shared" si="133"/>
        <v>0.43198451543550265</v>
      </c>
      <c r="AG244" s="215">
        <f t="shared" si="133"/>
        <v>0.45040270848374447</v>
      </c>
      <c r="AJ244" s="212"/>
      <c r="AL244" s="204"/>
      <c r="AM244" s="211"/>
      <c r="AN244" s="211"/>
      <c r="AO244" s="211"/>
    </row>
    <row r="245" spans="1:63" ht="15.5" thickTop="1">
      <c r="B245" s="123"/>
      <c r="C245" s="107"/>
      <c r="D245" s="22"/>
      <c r="E245" s="22"/>
      <c r="F245" s="22"/>
      <c r="G245" s="22"/>
      <c r="H245" s="22"/>
      <c r="I245" s="22"/>
      <c r="J245" s="22"/>
      <c r="K245" s="22"/>
      <c r="L245" s="22"/>
      <c r="M245" s="120"/>
      <c r="N245" s="104"/>
      <c r="O245" s="104"/>
      <c r="P245" s="104"/>
      <c r="Q245" s="104"/>
      <c r="R245" s="104"/>
      <c r="S245" s="104"/>
      <c r="T245" s="104"/>
      <c r="U245" s="104"/>
      <c r="V245" s="104"/>
      <c r="W245" s="120"/>
      <c r="X245" s="104"/>
      <c r="Y245" s="104"/>
      <c r="Z245" s="104"/>
      <c r="AA245" s="104"/>
      <c r="AB245" s="104"/>
      <c r="AC245" s="104"/>
      <c r="AD245" s="104"/>
      <c r="AE245" s="104"/>
      <c r="AF245" s="104"/>
      <c r="AG245" s="107"/>
    </row>
    <row r="246" spans="1:63">
      <c r="A246" t="s">
        <v>1091</v>
      </c>
      <c r="B246" s="123"/>
      <c r="C246" s="216">
        <f>(C39*C63+C40*C129+C42*C184+C41*C217+C43*C232)</f>
        <v>4908.1085276264903</v>
      </c>
      <c r="D246" s="216">
        <f t="shared" ref="D246:AG246" si="134">(D39*D63+D40*D129+D42*D184+D41*D217+D43*D232)</f>
        <v>5212.339080741438</v>
      </c>
      <c r="E246" s="216">
        <f t="shared" si="134"/>
        <v>5523.2189495421462</v>
      </c>
      <c r="F246" s="216">
        <f t="shared" si="134"/>
        <v>5840.7321734641682</v>
      </c>
      <c r="G246" s="216">
        <f t="shared" si="134"/>
        <v>6164.862791943061</v>
      </c>
      <c r="H246" s="216">
        <f t="shared" si="134"/>
        <v>6495.5948444143824</v>
      </c>
      <c r="I246" s="216">
        <f t="shared" si="134"/>
        <v>6812.8661396873795</v>
      </c>
      <c r="J246" s="216">
        <f t="shared" si="134"/>
        <v>7135.2810640949683</v>
      </c>
      <c r="K246" s="216">
        <f t="shared" si="134"/>
        <v>7462.8236570727004</v>
      </c>
      <c r="L246" s="216">
        <f t="shared" si="134"/>
        <v>7795.477958056139</v>
      </c>
      <c r="M246" s="216">
        <f t="shared" si="134"/>
        <v>8133.2280064808347</v>
      </c>
      <c r="N246" s="216">
        <f t="shared" si="134"/>
        <v>8793.1647262852221</v>
      </c>
      <c r="O246" s="216">
        <f t="shared" si="134"/>
        <v>9463.564630761899</v>
      </c>
      <c r="P246" s="216">
        <f t="shared" si="134"/>
        <v>10143.743386124985</v>
      </c>
      <c r="Q246" s="216">
        <f t="shared" si="134"/>
        <v>10834.067598016694</v>
      </c>
      <c r="R246" s="216">
        <f t="shared" si="134"/>
        <v>11534.44936989541</v>
      </c>
      <c r="S246" s="216">
        <f t="shared" si="134"/>
        <v>12244.828448840577</v>
      </c>
      <c r="T246" s="216">
        <f t="shared" si="134"/>
        <v>12965.091103904833</v>
      </c>
      <c r="U246" s="216">
        <f t="shared" si="134"/>
        <v>13695.148689178286</v>
      </c>
      <c r="V246" s="216">
        <f t="shared" si="134"/>
        <v>14434.912308961617</v>
      </c>
      <c r="W246" s="216">
        <f t="shared" si="134"/>
        <v>15184.29281776608</v>
      </c>
      <c r="X246" s="216">
        <f t="shared" si="134"/>
        <v>16386.223596013733</v>
      </c>
      <c r="Y246" s="216">
        <f t="shared" si="134"/>
        <v>17604.423969066891</v>
      </c>
      <c r="Z246" s="216">
        <f t="shared" si="134"/>
        <v>18832.564943441808</v>
      </c>
      <c r="AA246" s="216">
        <f t="shared" si="134"/>
        <v>20075.304142043071</v>
      </c>
      <c r="AB246" s="216">
        <f t="shared" si="134"/>
        <v>21332.391318143684</v>
      </c>
      <c r="AC246" s="216">
        <f t="shared" si="134"/>
        <v>22601.948770066148</v>
      </c>
      <c r="AD246" s="216">
        <f t="shared" si="134"/>
        <v>23885.190248206804</v>
      </c>
      <c r="AE246" s="216">
        <f t="shared" si="134"/>
        <v>25181.856102103673</v>
      </c>
      <c r="AF246" s="216">
        <f t="shared" si="134"/>
        <v>26491.683546716482</v>
      </c>
      <c r="AG246" s="216">
        <f t="shared" si="134"/>
        <v>27814.406662426591</v>
      </c>
      <c r="AI246" s="22">
        <f>(AG246/C246)^(1/30)-1</f>
        <v>5.952657651160842E-2</v>
      </c>
    </row>
    <row r="247" spans="1:63">
      <c r="A247" t="s">
        <v>1092</v>
      </c>
      <c r="B247" s="123"/>
      <c r="C247" s="216">
        <f>C246</f>
        <v>4908.1085276264903</v>
      </c>
      <c r="D247" s="216">
        <f>C247*(1+$AI$247)</f>
        <v>4990.0739400378525</v>
      </c>
      <c r="E247" s="216">
        <f t="shared" ref="E247:AG247" si="135">D247*(1+$AI$247)</f>
        <v>5073.4081748364842</v>
      </c>
      <c r="F247" s="216">
        <f t="shared" si="135"/>
        <v>5158.1340913562535</v>
      </c>
      <c r="G247" s="216">
        <f t="shared" si="135"/>
        <v>5244.2749306819023</v>
      </c>
      <c r="H247" s="216">
        <f t="shared" si="135"/>
        <v>5331.85432202429</v>
      </c>
      <c r="I247" s="216">
        <f t="shared" si="135"/>
        <v>5420.8962892020954</v>
      </c>
      <c r="J247" s="216">
        <f t="shared" si="135"/>
        <v>5511.42525723177</v>
      </c>
      <c r="K247" s="216">
        <f t="shared" si="135"/>
        <v>5603.4660590275398</v>
      </c>
      <c r="L247" s="216">
        <f t="shared" si="135"/>
        <v>5697.0439422132995</v>
      </c>
      <c r="M247" s="216">
        <f>L247*(1+$AI$247)</f>
        <v>5792.1845760482611</v>
      </c>
      <c r="N247" s="216">
        <f t="shared" si="135"/>
        <v>5888.9140584682664</v>
      </c>
      <c r="O247" s="216">
        <f t="shared" si="135"/>
        <v>5987.2589232446862</v>
      </c>
      <c r="P247" s="216">
        <f t="shared" si="135"/>
        <v>6087.246147262872</v>
      </c>
      <c r="Q247" s="216">
        <f t="shared" si="135"/>
        <v>6188.9031579221619</v>
      </c>
      <c r="R247" s="216">
        <f t="shared" si="135"/>
        <v>6292.2578406594612</v>
      </c>
      <c r="S247" s="216">
        <f t="shared" si="135"/>
        <v>6397.3385465984738</v>
      </c>
      <c r="T247" s="216">
        <f t="shared" si="135"/>
        <v>6504.1741003266679</v>
      </c>
      <c r="U247" s="216">
        <f t="shared" si="135"/>
        <v>6612.7938078021225</v>
      </c>
      <c r="V247" s="216">
        <f t="shared" si="135"/>
        <v>6723.2274643924175</v>
      </c>
      <c r="W247" s="216">
        <f t="shared" si="135"/>
        <v>6835.5053630477705</v>
      </c>
      <c r="X247" s="216">
        <f t="shared" si="135"/>
        <v>6949.6583026106682</v>
      </c>
      <c r="Y247" s="216">
        <f t="shared" si="135"/>
        <v>7065.7175962642659</v>
      </c>
      <c r="Z247" s="216">
        <f t="shared" si="135"/>
        <v>7183.7150801218786</v>
      </c>
      <c r="AA247" s="216">
        <f t="shared" si="135"/>
        <v>7303.6831219599135</v>
      </c>
      <c r="AB247" s="216">
        <f t="shared" si="135"/>
        <v>7425.6546300966438</v>
      </c>
      <c r="AC247" s="216">
        <f t="shared" si="135"/>
        <v>7549.6630624192576</v>
      </c>
      <c r="AD247" s="216">
        <f t="shared" si="135"/>
        <v>7675.7424355616586</v>
      </c>
      <c r="AE247" s="216">
        <f t="shared" si="135"/>
        <v>7803.9273342355382</v>
      </c>
      <c r="AF247" s="216">
        <f t="shared" si="135"/>
        <v>7934.2529207172711</v>
      </c>
      <c r="AG247" s="216">
        <f t="shared" si="135"/>
        <v>8066.7549444932492</v>
      </c>
      <c r="AI247" s="201">
        <v>1.67E-2</v>
      </c>
      <c r="AJ247" s="3" t="s">
        <v>676</v>
      </c>
    </row>
    <row r="248" spans="1:63">
      <c r="B248" s="48"/>
    </row>
    <row r="249" spans="1:63" s="55" customFormat="1">
      <c r="A249" s="55" t="s">
        <v>703</v>
      </c>
      <c r="B249" s="282"/>
      <c r="C249" s="283"/>
      <c r="D249" s="283"/>
      <c r="E249" s="283"/>
      <c r="F249" s="283"/>
      <c r="G249" s="283"/>
      <c r="H249" s="283"/>
      <c r="I249" s="283"/>
      <c r="J249" s="283"/>
      <c r="K249" s="283"/>
      <c r="L249" s="283"/>
      <c r="M249" s="283"/>
      <c r="N249" s="283"/>
      <c r="O249" s="283"/>
      <c r="P249" s="283"/>
      <c r="Q249" s="283"/>
      <c r="R249" s="283"/>
      <c r="S249" s="283"/>
      <c r="T249" s="283"/>
      <c r="U249" s="283"/>
      <c r="V249" s="283"/>
      <c r="W249" s="283"/>
      <c r="X249" s="283"/>
      <c r="Y249" s="283"/>
      <c r="Z249" s="283"/>
      <c r="AA249" s="283"/>
      <c r="AB249" s="283"/>
      <c r="AC249" s="283"/>
      <c r="AD249" s="283"/>
      <c r="AE249" s="283"/>
      <c r="AF249" s="283"/>
      <c r="AG249" s="283"/>
      <c r="AI249" s="284"/>
      <c r="AJ249" s="285"/>
    </row>
    <row r="250" spans="1:63" s="178" customFormat="1" outlineLevel="1">
      <c r="A250" s="321" t="s">
        <v>706</v>
      </c>
      <c r="B250" s="297" t="s">
        <v>126</v>
      </c>
      <c r="C250" s="678">
        <v>0.84</v>
      </c>
      <c r="D250" s="298">
        <f>-($C250-$AG250)/30+C250</f>
        <v>0.83566666666666667</v>
      </c>
      <c r="E250" s="298">
        <f t="shared" ref="E250:AF256" si="136">-($C250-$AG250)/30+D250</f>
        <v>0.83133333333333337</v>
      </c>
      <c r="F250" s="298">
        <f t="shared" si="136"/>
        <v>0.82700000000000007</v>
      </c>
      <c r="G250" s="298">
        <f t="shared" si="136"/>
        <v>0.82266666666666677</v>
      </c>
      <c r="H250" s="298">
        <f t="shared" si="136"/>
        <v>0.81833333333333347</v>
      </c>
      <c r="I250" s="298">
        <f t="shared" si="136"/>
        <v>0.81400000000000017</v>
      </c>
      <c r="J250" s="298">
        <f t="shared" si="136"/>
        <v>0.80966666666666687</v>
      </c>
      <c r="K250" s="298">
        <f t="shared" si="136"/>
        <v>0.80533333333333357</v>
      </c>
      <c r="L250" s="298">
        <f t="shared" si="136"/>
        <v>0.80100000000000027</v>
      </c>
      <c r="M250" s="298">
        <f t="shared" si="136"/>
        <v>0.79666666666666697</v>
      </c>
      <c r="N250" s="298">
        <f t="shared" si="136"/>
        <v>0.79233333333333367</v>
      </c>
      <c r="O250" s="298">
        <f t="shared" si="136"/>
        <v>0.78800000000000037</v>
      </c>
      <c r="P250" s="298">
        <f t="shared" si="136"/>
        <v>0.78366666666666707</v>
      </c>
      <c r="Q250" s="298">
        <f t="shared" si="136"/>
        <v>0.77933333333333377</v>
      </c>
      <c r="R250" s="298">
        <f t="shared" si="136"/>
        <v>0.77500000000000047</v>
      </c>
      <c r="S250" s="298">
        <f t="shared" si="136"/>
        <v>0.77066666666666717</v>
      </c>
      <c r="T250" s="298">
        <f t="shared" si="136"/>
        <v>0.76633333333333387</v>
      </c>
      <c r="U250" s="298">
        <f t="shared" si="136"/>
        <v>0.76200000000000057</v>
      </c>
      <c r="V250" s="298">
        <f t="shared" si="136"/>
        <v>0.75766666666666727</v>
      </c>
      <c r="W250" s="298">
        <f t="shared" si="136"/>
        <v>0.75333333333333397</v>
      </c>
      <c r="X250" s="298">
        <f t="shared" si="136"/>
        <v>0.74900000000000067</v>
      </c>
      <c r="Y250" s="298">
        <f t="shared" si="136"/>
        <v>0.74466666666666737</v>
      </c>
      <c r="Z250" s="298">
        <f t="shared" si="136"/>
        <v>0.74033333333333406</v>
      </c>
      <c r="AA250" s="298">
        <f t="shared" si="136"/>
        <v>0.73600000000000076</v>
      </c>
      <c r="AB250" s="298">
        <f t="shared" si="136"/>
        <v>0.73166666666666746</v>
      </c>
      <c r="AC250" s="298">
        <f t="shared" si="136"/>
        <v>0.72733333333333416</v>
      </c>
      <c r="AD250" s="298">
        <f t="shared" si="136"/>
        <v>0.72300000000000086</v>
      </c>
      <c r="AE250" s="298">
        <f t="shared" si="136"/>
        <v>0.71866666666666756</v>
      </c>
      <c r="AF250" s="298">
        <f t="shared" si="136"/>
        <v>0.71433333333333426</v>
      </c>
      <c r="AG250" s="678">
        <v>0.71</v>
      </c>
      <c r="AI250" s="299"/>
      <c r="AJ250" t="s">
        <v>1614</v>
      </c>
    </row>
    <row r="251" spans="1:63" outlineLevel="1">
      <c r="A251" s="3" t="s">
        <v>698</v>
      </c>
      <c r="B251" s="281" t="s">
        <v>126</v>
      </c>
      <c r="C251" s="275">
        <v>0.16</v>
      </c>
      <c r="D251" s="296">
        <f t="shared" ref="D251:S256" si="137">-($C251-$AG251)/30+C251</f>
        <v>0.16206666666666666</v>
      </c>
      <c r="E251" s="296">
        <f t="shared" si="137"/>
        <v>0.16413333333333333</v>
      </c>
      <c r="F251" s="296">
        <f t="shared" si="137"/>
        <v>0.16619999999999999</v>
      </c>
      <c r="G251" s="296">
        <f t="shared" si="137"/>
        <v>0.16826666666666665</v>
      </c>
      <c r="H251" s="296">
        <f t="shared" si="137"/>
        <v>0.17033333333333331</v>
      </c>
      <c r="I251" s="296">
        <f t="shared" si="137"/>
        <v>0.17239999999999997</v>
      </c>
      <c r="J251" s="296">
        <f t="shared" si="137"/>
        <v>0.17446666666666663</v>
      </c>
      <c r="K251" s="296">
        <f t="shared" si="137"/>
        <v>0.17653333333333329</v>
      </c>
      <c r="L251" s="296">
        <f t="shared" si="137"/>
        <v>0.17859999999999995</v>
      </c>
      <c r="M251" s="296">
        <f t="shared" si="137"/>
        <v>0.18066666666666661</v>
      </c>
      <c r="N251" s="296">
        <f t="shared" si="137"/>
        <v>0.18273333333333328</v>
      </c>
      <c r="O251" s="296">
        <f t="shared" si="137"/>
        <v>0.18479999999999994</v>
      </c>
      <c r="P251" s="296">
        <f t="shared" si="137"/>
        <v>0.1868666666666666</v>
      </c>
      <c r="Q251" s="296">
        <f t="shared" si="137"/>
        <v>0.18893333333333326</v>
      </c>
      <c r="R251" s="296">
        <f t="shared" si="137"/>
        <v>0.19099999999999992</v>
      </c>
      <c r="S251" s="296">
        <f t="shared" si="137"/>
        <v>0.19306666666666658</v>
      </c>
      <c r="T251" s="296">
        <f t="shared" si="136"/>
        <v>0.19513333333333324</v>
      </c>
      <c r="U251" s="296">
        <f t="shared" si="136"/>
        <v>0.1971999999999999</v>
      </c>
      <c r="V251" s="296">
        <f t="shared" si="136"/>
        <v>0.19926666666666656</v>
      </c>
      <c r="W251" s="296">
        <f t="shared" si="136"/>
        <v>0.20133333333333323</v>
      </c>
      <c r="X251" s="296">
        <f t="shared" si="136"/>
        <v>0.20339999999999989</v>
      </c>
      <c r="Y251" s="296">
        <f t="shared" si="136"/>
        <v>0.20546666666666655</v>
      </c>
      <c r="Z251" s="296">
        <f t="shared" si="136"/>
        <v>0.20753333333333321</v>
      </c>
      <c r="AA251" s="296">
        <f t="shared" si="136"/>
        <v>0.20959999999999987</v>
      </c>
      <c r="AB251" s="296">
        <f t="shared" si="136"/>
        <v>0.21166666666666653</v>
      </c>
      <c r="AC251" s="296">
        <f t="shared" si="136"/>
        <v>0.21373333333333319</v>
      </c>
      <c r="AD251" s="296">
        <f t="shared" si="136"/>
        <v>0.21579999999999985</v>
      </c>
      <c r="AE251" s="296">
        <f t="shared" si="136"/>
        <v>0.21786666666666651</v>
      </c>
      <c r="AF251" s="296">
        <f t="shared" si="136"/>
        <v>0.21993333333333318</v>
      </c>
      <c r="AG251" s="275">
        <v>0.222</v>
      </c>
      <c r="AI251" s="201"/>
      <c r="AJ251" t="s">
        <v>1614</v>
      </c>
    </row>
    <row r="252" spans="1:63" outlineLevel="1">
      <c r="A252" s="3" t="s">
        <v>697</v>
      </c>
      <c r="B252" s="281" t="s">
        <v>126</v>
      </c>
      <c r="C252" s="275">
        <v>0.37</v>
      </c>
      <c r="D252" s="296">
        <f t="shared" si="137"/>
        <v>0.36270000000000002</v>
      </c>
      <c r="E252" s="296">
        <f t="shared" si="137"/>
        <v>0.35540000000000005</v>
      </c>
      <c r="F252" s="296">
        <f t="shared" si="137"/>
        <v>0.34810000000000008</v>
      </c>
      <c r="G252" s="296">
        <f t="shared" si="137"/>
        <v>0.3408000000000001</v>
      </c>
      <c r="H252" s="296">
        <f t="shared" si="137"/>
        <v>0.33350000000000013</v>
      </c>
      <c r="I252" s="296">
        <f t="shared" si="137"/>
        <v>0.32620000000000016</v>
      </c>
      <c r="J252" s="296">
        <f t="shared" si="137"/>
        <v>0.31890000000000018</v>
      </c>
      <c r="K252" s="296">
        <f t="shared" si="137"/>
        <v>0.31160000000000021</v>
      </c>
      <c r="L252" s="296">
        <f t="shared" si="137"/>
        <v>0.30430000000000024</v>
      </c>
      <c r="M252" s="296">
        <f t="shared" si="137"/>
        <v>0.29700000000000026</v>
      </c>
      <c r="N252" s="296">
        <f t="shared" si="137"/>
        <v>0.28970000000000029</v>
      </c>
      <c r="O252" s="296">
        <f t="shared" si="137"/>
        <v>0.28240000000000032</v>
      </c>
      <c r="P252" s="296">
        <f t="shared" si="137"/>
        <v>0.27510000000000034</v>
      </c>
      <c r="Q252" s="296">
        <f t="shared" si="137"/>
        <v>0.26780000000000037</v>
      </c>
      <c r="R252" s="296">
        <f t="shared" si="137"/>
        <v>0.2605000000000004</v>
      </c>
      <c r="S252" s="296">
        <f t="shared" si="137"/>
        <v>0.25320000000000042</v>
      </c>
      <c r="T252" s="296">
        <f t="shared" si="136"/>
        <v>0.24590000000000042</v>
      </c>
      <c r="U252" s="296">
        <f t="shared" si="136"/>
        <v>0.23860000000000042</v>
      </c>
      <c r="V252" s="296">
        <f t="shared" si="136"/>
        <v>0.23130000000000042</v>
      </c>
      <c r="W252" s="296">
        <f t="shared" si="136"/>
        <v>0.22400000000000042</v>
      </c>
      <c r="X252" s="296">
        <f t="shared" si="136"/>
        <v>0.21670000000000042</v>
      </c>
      <c r="Y252" s="296">
        <f t="shared" si="136"/>
        <v>0.20940000000000042</v>
      </c>
      <c r="Z252" s="296">
        <f t="shared" si="136"/>
        <v>0.20210000000000042</v>
      </c>
      <c r="AA252" s="296">
        <f t="shared" si="136"/>
        <v>0.19480000000000042</v>
      </c>
      <c r="AB252" s="296">
        <f t="shared" si="136"/>
        <v>0.18750000000000042</v>
      </c>
      <c r="AC252" s="296">
        <f t="shared" si="136"/>
        <v>0.18020000000000042</v>
      </c>
      <c r="AD252" s="296">
        <f t="shared" si="136"/>
        <v>0.17290000000000041</v>
      </c>
      <c r="AE252" s="296">
        <f t="shared" si="136"/>
        <v>0.16560000000000041</v>
      </c>
      <c r="AF252" s="296">
        <f t="shared" si="136"/>
        <v>0.15830000000000041</v>
      </c>
      <c r="AG252" s="275">
        <v>0.151</v>
      </c>
      <c r="AI252" s="201"/>
      <c r="AJ252" t="s">
        <v>1614</v>
      </c>
    </row>
    <row r="253" spans="1:63" outlineLevel="1">
      <c r="A253" s="3" t="s">
        <v>699</v>
      </c>
      <c r="B253" s="281" t="s">
        <v>126</v>
      </c>
      <c r="C253" s="275">
        <v>0.08</v>
      </c>
      <c r="D253" s="296">
        <f t="shared" si="137"/>
        <v>8.0100000000000005E-2</v>
      </c>
      <c r="E253" s="296">
        <f t="shared" si="137"/>
        <v>8.0200000000000007E-2</v>
      </c>
      <c r="F253" s="296">
        <f t="shared" si="137"/>
        <v>8.030000000000001E-2</v>
      </c>
      <c r="G253" s="296">
        <f t="shared" si="137"/>
        <v>8.0400000000000013E-2</v>
      </c>
      <c r="H253" s="296">
        <f t="shared" si="137"/>
        <v>8.0500000000000016E-2</v>
      </c>
      <c r="I253" s="296">
        <f t="shared" si="137"/>
        <v>8.0600000000000019E-2</v>
      </c>
      <c r="J253" s="296">
        <f t="shared" si="137"/>
        <v>8.0700000000000022E-2</v>
      </c>
      <c r="K253" s="296">
        <f t="shared" si="137"/>
        <v>8.0800000000000025E-2</v>
      </c>
      <c r="L253" s="296">
        <f t="shared" si="137"/>
        <v>8.0900000000000027E-2</v>
      </c>
      <c r="M253" s="296">
        <f t="shared" si="137"/>
        <v>8.100000000000003E-2</v>
      </c>
      <c r="N253" s="296">
        <f t="shared" si="137"/>
        <v>8.1100000000000033E-2</v>
      </c>
      <c r="O253" s="296">
        <f t="shared" si="137"/>
        <v>8.1200000000000036E-2</v>
      </c>
      <c r="P253" s="296">
        <f t="shared" si="137"/>
        <v>8.1300000000000039E-2</v>
      </c>
      <c r="Q253" s="296">
        <f t="shared" si="137"/>
        <v>8.1400000000000042E-2</v>
      </c>
      <c r="R253" s="296">
        <f t="shared" si="137"/>
        <v>8.1500000000000045E-2</v>
      </c>
      <c r="S253" s="296">
        <f t="shared" si="137"/>
        <v>8.1600000000000047E-2</v>
      </c>
      <c r="T253" s="296">
        <f t="shared" si="136"/>
        <v>8.170000000000005E-2</v>
      </c>
      <c r="U253" s="296">
        <f t="shared" si="136"/>
        <v>8.1800000000000053E-2</v>
      </c>
      <c r="V253" s="296">
        <f t="shared" si="136"/>
        <v>8.1900000000000056E-2</v>
      </c>
      <c r="W253" s="296">
        <f t="shared" si="136"/>
        <v>8.2000000000000059E-2</v>
      </c>
      <c r="X253" s="296">
        <f t="shared" si="136"/>
        <v>8.2100000000000062E-2</v>
      </c>
      <c r="Y253" s="296">
        <f t="shared" si="136"/>
        <v>8.2200000000000065E-2</v>
      </c>
      <c r="Z253" s="296">
        <f t="shared" si="136"/>
        <v>8.2300000000000068E-2</v>
      </c>
      <c r="AA253" s="296">
        <f t="shared" si="136"/>
        <v>8.240000000000007E-2</v>
      </c>
      <c r="AB253" s="296">
        <f t="shared" si="136"/>
        <v>8.2500000000000073E-2</v>
      </c>
      <c r="AC253" s="296">
        <f t="shared" si="136"/>
        <v>8.2600000000000076E-2</v>
      </c>
      <c r="AD253" s="296">
        <f t="shared" si="136"/>
        <v>8.2700000000000079E-2</v>
      </c>
      <c r="AE253" s="296">
        <f t="shared" si="136"/>
        <v>8.2800000000000082E-2</v>
      </c>
      <c r="AF253" s="296">
        <f t="shared" si="136"/>
        <v>8.2900000000000085E-2</v>
      </c>
      <c r="AG253" s="275">
        <v>8.3000000000000004E-2</v>
      </c>
      <c r="AI253" s="201"/>
      <c r="AJ253" t="s">
        <v>1614</v>
      </c>
    </row>
    <row r="254" spans="1:63" outlineLevel="1">
      <c r="A254" s="3" t="s">
        <v>700</v>
      </c>
      <c r="B254" s="281" t="s">
        <v>126</v>
      </c>
      <c r="C254" s="275">
        <v>0.27</v>
      </c>
      <c r="D254" s="296">
        <f t="shared" si="137"/>
        <v>0.27313333333333334</v>
      </c>
      <c r="E254" s="296">
        <f t="shared" si="137"/>
        <v>0.27626666666666666</v>
      </c>
      <c r="F254" s="296">
        <f t="shared" si="137"/>
        <v>0.27939999999999998</v>
      </c>
      <c r="G254" s="296">
        <f t="shared" si="137"/>
        <v>0.2825333333333333</v>
      </c>
      <c r="H254" s="296">
        <f t="shared" si="137"/>
        <v>0.28566666666666662</v>
      </c>
      <c r="I254" s="296">
        <f t="shared" si="137"/>
        <v>0.28879999999999995</v>
      </c>
      <c r="J254" s="296">
        <f t="shared" si="137"/>
        <v>0.29193333333333327</v>
      </c>
      <c r="K254" s="296">
        <f t="shared" si="137"/>
        <v>0.29506666666666659</v>
      </c>
      <c r="L254" s="296">
        <f t="shared" si="137"/>
        <v>0.29819999999999991</v>
      </c>
      <c r="M254" s="296">
        <f t="shared" si="137"/>
        <v>0.30133333333333323</v>
      </c>
      <c r="N254" s="296">
        <f t="shared" si="137"/>
        <v>0.30446666666666655</v>
      </c>
      <c r="O254" s="296">
        <f t="shared" si="137"/>
        <v>0.30759999999999987</v>
      </c>
      <c r="P254" s="296">
        <f t="shared" si="137"/>
        <v>0.31073333333333319</v>
      </c>
      <c r="Q254" s="296">
        <f t="shared" si="137"/>
        <v>0.31386666666666652</v>
      </c>
      <c r="R254" s="296">
        <f t="shared" si="137"/>
        <v>0.31699999999999984</v>
      </c>
      <c r="S254" s="296">
        <f t="shared" si="137"/>
        <v>0.32013333333333316</v>
      </c>
      <c r="T254" s="296">
        <f t="shared" si="136"/>
        <v>0.32326666666666648</v>
      </c>
      <c r="U254" s="296">
        <f t="shared" si="136"/>
        <v>0.3263999999999998</v>
      </c>
      <c r="V254" s="296">
        <f t="shared" si="136"/>
        <v>0.32953333333333312</v>
      </c>
      <c r="W254" s="296">
        <f t="shared" si="136"/>
        <v>0.33266666666666644</v>
      </c>
      <c r="X254" s="296">
        <f t="shared" si="136"/>
        <v>0.33579999999999977</v>
      </c>
      <c r="Y254" s="296">
        <f t="shared" si="136"/>
        <v>0.33893333333333309</v>
      </c>
      <c r="Z254" s="296">
        <f t="shared" si="136"/>
        <v>0.34206666666666641</v>
      </c>
      <c r="AA254" s="296">
        <f t="shared" si="136"/>
        <v>0.34519999999999973</v>
      </c>
      <c r="AB254" s="296">
        <f t="shared" si="136"/>
        <v>0.34833333333333305</v>
      </c>
      <c r="AC254" s="296">
        <f t="shared" si="136"/>
        <v>0.35146666666666637</v>
      </c>
      <c r="AD254" s="296">
        <f t="shared" si="136"/>
        <v>0.35459999999999969</v>
      </c>
      <c r="AE254" s="296">
        <f t="shared" si="136"/>
        <v>0.35773333333333301</v>
      </c>
      <c r="AF254" s="296">
        <f t="shared" si="136"/>
        <v>0.36086666666666634</v>
      </c>
      <c r="AG254" s="275">
        <v>0.36399999999999999</v>
      </c>
      <c r="AI254" s="201"/>
      <c r="AJ254" t="s">
        <v>1614</v>
      </c>
    </row>
    <row r="255" spans="1:63" outlineLevel="1">
      <c r="A255" s="3" t="s">
        <v>701</v>
      </c>
      <c r="B255" s="281" t="s">
        <v>126</v>
      </c>
      <c r="C255" s="275">
        <v>7.0000000000000007E-2</v>
      </c>
      <c r="D255" s="296">
        <f t="shared" si="137"/>
        <v>7.1266666666666673E-2</v>
      </c>
      <c r="E255" s="296">
        <f t="shared" si="137"/>
        <v>7.2533333333333339E-2</v>
      </c>
      <c r="F255" s="296">
        <f t="shared" si="137"/>
        <v>7.3800000000000004E-2</v>
      </c>
      <c r="G255" s="296">
        <f t="shared" si="137"/>
        <v>7.506666666666667E-2</v>
      </c>
      <c r="H255" s="296">
        <f t="shared" si="137"/>
        <v>7.6333333333333336E-2</v>
      </c>
      <c r="I255" s="296">
        <f t="shared" si="137"/>
        <v>7.7600000000000002E-2</v>
      </c>
      <c r="J255" s="296">
        <f t="shared" si="137"/>
        <v>7.8866666666666668E-2</v>
      </c>
      <c r="K255" s="296">
        <f t="shared" si="137"/>
        <v>8.0133333333333334E-2</v>
      </c>
      <c r="L255" s="296">
        <f t="shared" si="137"/>
        <v>8.14E-2</v>
      </c>
      <c r="M255" s="296">
        <f t="shared" si="137"/>
        <v>8.2666666666666666E-2</v>
      </c>
      <c r="N255" s="296">
        <f t="shared" si="137"/>
        <v>8.3933333333333332E-2</v>
      </c>
      <c r="O255" s="296">
        <f t="shared" si="137"/>
        <v>8.5199999999999998E-2</v>
      </c>
      <c r="P255" s="296">
        <f t="shared" si="137"/>
        <v>8.6466666666666664E-2</v>
      </c>
      <c r="Q255" s="296">
        <f t="shared" si="137"/>
        <v>8.773333333333333E-2</v>
      </c>
      <c r="R255" s="296">
        <f t="shared" si="137"/>
        <v>8.8999999999999996E-2</v>
      </c>
      <c r="S255" s="296">
        <f t="shared" si="137"/>
        <v>9.0266666666666662E-2</v>
      </c>
      <c r="T255" s="296">
        <f t="shared" si="136"/>
        <v>9.1533333333333328E-2</v>
      </c>
      <c r="U255" s="296">
        <f t="shared" si="136"/>
        <v>9.2799999999999994E-2</v>
      </c>
      <c r="V255" s="296">
        <f t="shared" si="136"/>
        <v>9.406666666666666E-2</v>
      </c>
      <c r="W255" s="296">
        <f t="shared" si="136"/>
        <v>9.5333333333333325E-2</v>
      </c>
      <c r="X255" s="296">
        <f t="shared" si="136"/>
        <v>9.6599999999999991E-2</v>
      </c>
      <c r="Y255" s="296">
        <f t="shared" si="136"/>
        <v>9.7866666666666657E-2</v>
      </c>
      <c r="Z255" s="296">
        <f t="shared" si="136"/>
        <v>9.9133333333333323E-2</v>
      </c>
      <c r="AA255" s="296">
        <f t="shared" si="136"/>
        <v>0.10039999999999999</v>
      </c>
      <c r="AB255" s="296">
        <f t="shared" si="136"/>
        <v>0.10166666666666666</v>
      </c>
      <c r="AC255" s="296">
        <f t="shared" si="136"/>
        <v>0.10293333333333332</v>
      </c>
      <c r="AD255" s="296">
        <f t="shared" si="136"/>
        <v>0.10419999999999999</v>
      </c>
      <c r="AE255" s="296">
        <f t="shared" si="136"/>
        <v>0.10546666666666665</v>
      </c>
      <c r="AF255" s="296">
        <f t="shared" si="136"/>
        <v>0.10673333333333332</v>
      </c>
      <c r="AG255" s="275">
        <v>0.108</v>
      </c>
      <c r="AI255" s="201"/>
      <c r="AJ255" t="s">
        <v>1614</v>
      </c>
    </row>
    <row r="256" spans="1:63" outlineLevel="1">
      <c r="A256" s="3" t="s">
        <v>702</v>
      </c>
      <c r="B256" s="281" t="s">
        <v>126</v>
      </c>
      <c r="C256" s="275">
        <v>0.05</v>
      </c>
      <c r="D256" s="296">
        <f t="shared" si="137"/>
        <v>5.0733333333333339E-2</v>
      </c>
      <c r="E256" s="296">
        <f t="shared" si="137"/>
        <v>5.1466666666666674E-2</v>
      </c>
      <c r="F256" s="296">
        <f t="shared" si="137"/>
        <v>5.220000000000001E-2</v>
      </c>
      <c r="G256" s="296">
        <f t="shared" si="137"/>
        <v>5.2933333333333346E-2</v>
      </c>
      <c r="H256" s="296">
        <f t="shared" si="137"/>
        <v>5.3666666666666682E-2</v>
      </c>
      <c r="I256" s="296">
        <f t="shared" si="137"/>
        <v>5.4400000000000018E-2</v>
      </c>
      <c r="J256" s="296">
        <f t="shared" si="137"/>
        <v>5.5133333333333354E-2</v>
      </c>
      <c r="K256" s="296">
        <f t="shared" si="137"/>
        <v>5.5866666666666689E-2</v>
      </c>
      <c r="L256" s="296">
        <f t="shared" si="137"/>
        <v>5.6600000000000025E-2</v>
      </c>
      <c r="M256" s="296">
        <f t="shared" si="137"/>
        <v>5.7333333333333361E-2</v>
      </c>
      <c r="N256" s="296">
        <f t="shared" si="137"/>
        <v>5.8066666666666697E-2</v>
      </c>
      <c r="O256" s="296">
        <f t="shared" si="137"/>
        <v>5.8800000000000033E-2</v>
      </c>
      <c r="P256" s="296">
        <f t="shared" si="137"/>
        <v>5.9533333333333369E-2</v>
      </c>
      <c r="Q256" s="296">
        <f t="shared" si="137"/>
        <v>6.0266666666666704E-2</v>
      </c>
      <c r="R256" s="296">
        <f t="shared" si="137"/>
        <v>6.100000000000004E-2</v>
      </c>
      <c r="S256" s="296">
        <f t="shared" si="137"/>
        <v>6.1733333333333376E-2</v>
      </c>
      <c r="T256" s="296">
        <f t="shared" si="136"/>
        <v>6.2466666666666712E-2</v>
      </c>
      <c r="U256" s="296">
        <f t="shared" si="136"/>
        <v>6.3200000000000048E-2</v>
      </c>
      <c r="V256" s="296">
        <f t="shared" si="136"/>
        <v>6.3933333333333384E-2</v>
      </c>
      <c r="W256" s="296">
        <f t="shared" si="136"/>
        <v>6.4666666666666719E-2</v>
      </c>
      <c r="X256" s="296">
        <f t="shared" si="136"/>
        <v>6.5400000000000055E-2</v>
      </c>
      <c r="Y256" s="296">
        <f t="shared" si="136"/>
        <v>6.6133333333333391E-2</v>
      </c>
      <c r="Z256" s="296">
        <f t="shared" si="136"/>
        <v>6.6866666666666727E-2</v>
      </c>
      <c r="AA256" s="296">
        <f t="shared" si="136"/>
        <v>6.7600000000000063E-2</v>
      </c>
      <c r="AB256" s="296">
        <f t="shared" si="136"/>
        <v>6.8333333333333399E-2</v>
      </c>
      <c r="AC256" s="296">
        <f t="shared" si="136"/>
        <v>6.9066666666666734E-2</v>
      </c>
      <c r="AD256" s="296">
        <f t="shared" si="136"/>
        <v>6.980000000000007E-2</v>
      </c>
      <c r="AE256" s="296">
        <f t="shared" si="136"/>
        <v>7.0533333333333406E-2</v>
      </c>
      <c r="AF256" s="296">
        <f t="shared" si="136"/>
        <v>7.1266666666666742E-2</v>
      </c>
      <c r="AG256" s="275">
        <v>7.1999999999999995E-2</v>
      </c>
      <c r="AI256" s="201"/>
      <c r="AJ256" t="s">
        <v>1614</v>
      </c>
    </row>
    <row r="257" spans="1:36" s="55" customFormat="1" outlineLevel="1">
      <c r="A257" s="285" t="s">
        <v>704</v>
      </c>
      <c r="B257" s="282"/>
      <c r="C257" s="283"/>
      <c r="D257" s="283"/>
      <c r="E257" s="283"/>
      <c r="F257" s="283"/>
      <c r="G257" s="283"/>
      <c r="H257" s="283"/>
      <c r="I257" s="283"/>
      <c r="J257" s="283"/>
      <c r="K257" s="283"/>
      <c r="L257" s="283"/>
      <c r="M257" s="283"/>
      <c r="N257" s="283"/>
      <c r="O257" s="283"/>
      <c r="P257" s="283"/>
      <c r="Q257" s="283"/>
      <c r="R257" s="283"/>
      <c r="S257" s="283"/>
      <c r="T257" s="283"/>
      <c r="U257" s="283"/>
      <c r="V257" s="283"/>
      <c r="W257" s="283"/>
      <c r="X257" s="283"/>
      <c r="Y257" s="283"/>
      <c r="Z257" s="283"/>
      <c r="AA257" s="283"/>
      <c r="AB257" s="283"/>
      <c r="AC257" s="283"/>
      <c r="AD257" s="283"/>
      <c r="AE257" s="283"/>
      <c r="AF257" s="283"/>
      <c r="AG257" s="283"/>
      <c r="AI257" s="284"/>
      <c r="AJ257" s="285"/>
    </row>
    <row r="258" spans="1:36" s="55" customFormat="1" outlineLevel="1">
      <c r="A258" s="286" t="s">
        <v>732</v>
      </c>
      <c r="B258" s="287" t="s">
        <v>126</v>
      </c>
      <c r="C258" s="314">
        <v>0.84</v>
      </c>
      <c r="D258" s="315">
        <f>-($C258-$AG258)/30+C258</f>
        <v>0.84399999999999997</v>
      </c>
      <c r="E258" s="315">
        <f t="shared" ref="E258:AF259" si="138">-($C258-$AG258)/30+D258</f>
        <v>0.84799999999999998</v>
      </c>
      <c r="F258" s="315">
        <f t="shared" si="138"/>
        <v>0.85199999999999998</v>
      </c>
      <c r="G258" s="315">
        <f t="shared" si="138"/>
        <v>0.85599999999999998</v>
      </c>
      <c r="H258" s="315">
        <f t="shared" si="138"/>
        <v>0.86</v>
      </c>
      <c r="I258" s="315">
        <f t="shared" si="138"/>
        <v>0.86399999999999999</v>
      </c>
      <c r="J258" s="315">
        <f t="shared" si="138"/>
        <v>0.86799999999999999</v>
      </c>
      <c r="K258" s="315">
        <f t="shared" si="138"/>
        <v>0.872</v>
      </c>
      <c r="L258" s="315">
        <f t="shared" si="138"/>
        <v>0.876</v>
      </c>
      <c r="M258" s="315">
        <f t="shared" si="138"/>
        <v>0.88</v>
      </c>
      <c r="N258" s="315">
        <f t="shared" si="138"/>
        <v>0.88400000000000001</v>
      </c>
      <c r="O258" s="315">
        <f t="shared" si="138"/>
        <v>0.88800000000000001</v>
      </c>
      <c r="P258" s="315">
        <f t="shared" si="138"/>
        <v>0.89200000000000002</v>
      </c>
      <c r="Q258" s="315">
        <f t="shared" si="138"/>
        <v>0.89600000000000002</v>
      </c>
      <c r="R258" s="315">
        <f t="shared" si="138"/>
        <v>0.9</v>
      </c>
      <c r="S258" s="315">
        <f t="shared" si="138"/>
        <v>0.90400000000000003</v>
      </c>
      <c r="T258" s="315">
        <f t="shared" si="138"/>
        <v>0.90800000000000003</v>
      </c>
      <c r="U258" s="315">
        <f t="shared" si="138"/>
        <v>0.91200000000000003</v>
      </c>
      <c r="V258" s="315">
        <f t="shared" si="138"/>
        <v>0.91600000000000004</v>
      </c>
      <c r="W258" s="315">
        <f t="shared" si="138"/>
        <v>0.92</v>
      </c>
      <c r="X258" s="315">
        <f t="shared" si="138"/>
        <v>0.92400000000000004</v>
      </c>
      <c r="Y258" s="315">
        <f t="shared" si="138"/>
        <v>0.92800000000000005</v>
      </c>
      <c r="Z258" s="315">
        <f t="shared" si="138"/>
        <v>0.93200000000000005</v>
      </c>
      <c r="AA258" s="315">
        <f t="shared" si="138"/>
        <v>0.93600000000000005</v>
      </c>
      <c r="AB258" s="315">
        <f t="shared" si="138"/>
        <v>0.94000000000000006</v>
      </c>
      <c r="AC258" s="315">
        <f t="shared" si="138"/>
        <v>0.94400000000000006</v>
      </c>
      <c r="AD258" s="315">
        <f t="shared" si="138"/>
        <v>0.94800000000000006</v>
      </c>
      <c r="AE258" s="315">
        <f t="shared" si="138"/>
        <v>0.95200000000000007</v>
      </c>
      <c r="AF258" s="315">
        <f t="shared" si="138"/>
        <v>0.95600000000000007</v>
      </c>
      <c r="AG258" s="314">
        <v>0.96</v>
      </c>
      <c r="AI258" s="284"/>
      <c r="AJ258" s="316" t="s">
        <v>1614</v>
      </c>
    </row>
    <row r="259" spans="1:36" s="55" customFormat="1" outlineLevel="1">
      <c r="A259" s="286" t="s">
        <v>743</v>
      </c>
      <c r="B259" s="287" t="s">
        <v>126</v>
      </c>
      <c r="C259" s="314">
        <v>0.22</v>
      </c>
      <c r="D259" s="315">
        <f>-($C259-$AG259)/30+C259</f>
        <v>0.22666666666666666</v>
      </c>
      <c r="E259" s="315">
        <f t="shared" si="138"/>
        <v>0.23333333333333331</v>
      </c>
      <c r="F259" s="315">
        <f t="shared" si="138"/>
        <v>0.23999999999999996</v>
      </c>
      <c r="G259" s="315">
        <f t="shared" si="138"/>
        <v>0.24666666666666662</v>
      </c>
      <c r="H259" s="315">
        <f t="shared" si="138"/>
        <v>0.2533333333333333</v>
      </c>
      <c r="I259" s="315">
        <f t="shared" si="138"/>
        <v>0.25999999999999995</v>
      </c>
      <c r="J259" s="315">
        <f t="shared" si="138"/>
        <v>0.26666666666666661</v>
      </c>
      <c r="K259" s="315">
        <f t="shared" si="138"/>
        <v>0.27333333333333326</v>
      </c>
      <c r="L259" s="315">
        <f t="shared" si="138"/>
        <v>0.27999999999999992</v>
      </c>
      <c r="M259" s="315">
        <f t="shared" si="138"/>
        <v>0.28666666666666657</v>
      </c>
      <c r="N259" s="315">
        <f t="shared" si="138"/>
        <v>0.29333333333333322</v>
      </c>
      <c r="O259" s="315">
        <f t="shared" si="138"/>
        <v>0.29999999999999988</v>
      </c>
      <c r="P259" s="315">
        <f t="shared" si="138"/>
        <v>0.30666666666666653</v>
      </c>
      <c r="Q259" s="315">
        <f t="shared" si="138"/>
        <v>0.31333333333333319</v>
      </c>
      <c r="R259" s="315">
        <f t="shared" si="138"/>
        <v>0.31999999999999984</v>
      </c>
      <c r="S259" s="315">
        <f t="shared" si="138"/>
        <v>0.32666666666666649</v>
      </c>
      <c r="T259" s="315">
        <f t="shared" si="138"/>
        <v>0.33333333333333315</v>
      </c>
      <c r="U259" s="315">
        <f t="shared" si="138"/>
        <v>0.3399999999999998</v>
      </c>
      <c r="V259" s="315">
        <f t="shared" si="138"/>
        <v>0.34666666666666646</v>
      </c>
      <c r="W259" s="315">
        <f t="shared" si="138"/>
        <v>0.35333333333333311</v>
      </c>
      <c r="X259" s="315">
        <f t="shared" si="138"/>
        <v>0.35999999999999976</v>
      </c>
      <c r="Y259" s="315">
        <f t="shared" si="138"/>
        <v>0.36666666666666642</v>
      </c>
      <c r="Z259" s="315">
        <f t="shared" si="138"/>
        <v>0.37333333333333307</v>
      </c>
      <c r="AA259" s="315">
        <f t="shared" si="138"/>
        <v>0.37999999999999973</v>
      </c>
      <c r="AB259" s="315">
        <f t="shared" si="138"/>
        <v>0.38666666666666638</v>
      </c>
      <c r="AC259" s="315">
        <f t="shared" si="138"/>
        <v>0.39333333333333304</v>
      </c>
      <c r="AD259" s="315">
        <f t="shared" si="138"/>
        <v>0.39999999999999969</v>
      </c>
      <c r="AE259" s="315">
        <f t="shared" si="138"/>
        <v>0.40666666666666634</v>
      </c>
      <c r="AF259" s="315">
        <f t="shared" si="138"/>
        <v>0.413333333333333</v>
      </c>
      <c r="AG259" s="314">
        <v>0.42</v>
      </c>
      <c r="AI259" s="284"/>
      <c r="AJ259" s="316" t="s">
        <v>1614</v>
      </c>
    </row>
    <row r="260" spans="1:36" s="59" customFormat="1" outlineLevel="1">
      <c r="A260" s="290" t="s">
        <v>744</v>
      </c>
      <c r="B260" s="291" t="s">
        <v>126</v>
      </c>
      <c r="C260" s="317">
        <f>1-C259</f>
        <v>0.78</v>
      </c>
      <c r="D260" s="317">
        <f t="shared" ref="D260:AG260" si="139">1-D259</f>
        <v>0.77333333333333332</v>
      </c>
      <c r="E260" s="317">
        <f t="shared" si="139"/>
        <v>0.76666666666666672</v>
      </c>
      <c r="F260" s="317">
        <f t="shared" si="139"/>
        <v>0.76</v>
      </c>
      <c r="G260" s="317">
        <f t="shared" si="139"/>
        <v>0.75333333333333341</v>
      </c>
      <c r="H260" s="317">
        <f t="shared" si="139"/>
        <v>0.7466666666666667</v>
      </c>
      <c r="I260" s="317">
        <f t="shared" si="139"/>
        <v>0.74</v>
      </c>
      <c r="J260" s="317">
        <f t="shared" si="139"/>
        <v>0.73333333333333339</v>
      </c>
      <c r="K260" s="317">
        <f t="shared" si="139"/>
        <v>0.72666666666666679</v>
      </c>
      <c r="L260" s="317">
        <f t="shared" si="139"/>
        <v>0.72000000000000008</v>
      </c>
      <c r="M260" s="317">
        <f t="shared" si="139"/>
        <v>0.71333333333333337</v>
      </c>
      <c r="N260" s="317">
        <f t="shared" si="139"/>
        <v>0.70666666666666678</v>
      </c>
      <c r="O260" s="317">
        <f t="shared" si="139"/>
        <v>0.70000000000000018</v>
      </c>
      <c r="P260" s="317">
        <f t="shared" si="139"/>
        <v>0.69333333333333347</v>
      </c>
      <c r="Q260" s="317">
        <f t="shared" si="139"/>
        <v>0.68666666666666676</v>
      </c>
      <c r="R260" s="317">
        <f t="shared" si="139"/>
        <v>0.68000000000000016</v>
      </c>
      <c r="S260" s="317">
        <f t="shared" si="139"/>
        <v>0.67333333333333356</v>
      </c>
      <c r="T260" s="317">
        <f t="shared" si="139"/>
        <v>0.66666666666666685</v>
      </c>
      <c r="U260" s="317">
        <f t="shared" si="139"/>
        <v>0.66000000000000014</v>
      </c>
      <c r="V260" s="317">
        <f t="shared" si="139"/>
        <v>0.65333333333333354</v>
      </c>
      <c r="W260" s="317">
        <f t="shared" si="139"/>
        <v>0.64666666666666694</v>
      </c>
      <c r="X260" s="317">
        <f t="shared" si="139"/>
        <v>0.64000000000000024</v>
      </c>
      <c r="Y260" s="317">
        <f t="shared" si="139"/>
        <v>0.63333333333333353</v>
      </c>
      <c r="Z260" s="317">
        <f t="shared" si="139"/>
        <v>0.62666666666666693</v>
      </c>
      <c r="AA260" s="317">
        <f t="shared" si="139"/>
        <v>0.62000000000000033</v>
      </c>
      <c r="AB260" s="317">
        <f t="shared" si="139"/>
        <v>0.61333333333333362</v>
      </c>
      <c r="AC260" s="317">
        <f t="shared" si="139"/>
        <v>0.60666666666666691</v>
      </c>
      <c r="AD260" s="317">
        <f t="shared" si="139"/>
        <v>0.60000000000000031</v>
      </c>
      <c r="AE260" s="317">
        <f t="shared" si="139"/>
        <v>0.59333333333333371</v>
      </c>
      <c r="AF260" s="317">
        <f t="shared" si="139"/>
        <v>0.586666666666667</v>
      </c>
      <c r="AG260" s="317">
        <f t="shared" si="139"/>
        <v>0.58000000000000007</v>
      </c>
      <c r="AI260" s="319"/>
      <c r="AJ260" s="318" t="s">
        <v>1614</v>
      </c>
    </row>
    <row r="261" spans="1:36" s="1" customFormat="1" outlineLevel="1">
      <c r="A261" t="s">
        <v>725</v>
      </c>
      <c r="B261" s="281" t="s">
        <v>126</v>
      </c>
      <c r="C261" s="275">
        <v>0.85</v>
      </c>
      <c r="D261" s="296">
        <f t="shared" ref="D261:S276" si="140">-($C261-$AG261)/30+C261</f>
        <v>0.84833333333333327</v>
      </c>
      <c r="E261" s="296">
        <f t="shared" si="140"/>
        <v>0.84666666666666657</v>
      </c>
      <c r="F261" s="296">
        <f t="shared" si="140"/>
        <v>0.84499999999999986</v>
      </c>
      <c r="G261" s="296">
        <f t="shared" si="140"/>
        <v>0.84333333333333316</v>
      </c>
      <c r="H261" s="296">
        <f t="shared" si="140"/>
        <v>0.84166666666666645</v>
      </c>
      <c r="I261" s="296">
        <f t="shared" si="140"/>
        <v>0.83999999999999975</v>
      </c>
      <c r="J261" s="296">
        <f t="shared" si="140"/>
        <v>0.83833333333333304</v>
      </c>
      <c r="K261" s="296">
        <f t="shared" si="140"/>
        <v>0.83666666666666634</v>
      </c>
      <c r="L261" s="296">
        <f t="shared" si="140"/>
        <v>0.83499999999999963</v>
      </c>
      <c r="M261" s="296">
        <f t="shared" si="140"/>
        <v>0.83333333333333293</v>
      </c>
      <c r="N261" s="296">
        <f t="shared" si="140"/>
        <v>0.83166666666666622</v>
      </c>
      <c r="O261" s="296">
        <f t="shared" si="140"/>
        <v>0.82999999999999952</v>
      </c>
      <c r="P261" s="296">
        <f t="shared" si="140"/>
        <v>0.82833333333333281</v>
      </c>
      <c r="Q261" s="296">
        <f t="shared" si="140"/>
        <v>0.82666666666666611</v>
      </c>
      <c r="R261" s="296">
        <f t="shared" si="140"/>
        <v>0.8249999999999994</v>
      </c>
      <c r="S261" s="296">
        <f t="shared" si="140"/>
        <v>0.8233333333333327</v>
      </c>
      <c r="T261" s="296">
        <f t="shared" ref="T261:AF275" si="141">-($C261-$AG261)/30+S261</f>
        <v>0.82166666666666599</v>
      </c>
      <c r="U261" s="296">
        <f t="shared" si="141"/>
        <v>0.81999999999999929</v>
      </c>
      <c r="V261" s="296">
        <f t="shared" si="141"/>
        <v>0.81833333333333258</v>
      </c>
      <c r="W261" s="296">
        <f t="shared" si="141"/>
        <v>0.81666666666666587</v>
      </c>
      <c r="X261" s="296">
        <f t="shared" si="141"/>
        <v>0.81499999999999917</v>
      </c>
      <c r="Y261" s="296">
        <f t="shared" si="141"/>
        <v>0.81333333333333246</v>
      </c>
      <c r="Z261" s="296">
        <f t="shared" si="141"/>
        <v>0.81166666666666576</v>
      </c>
      <c r="AA261" s="296">
        <f t="shared" si="141"/>
        <v>0.80999999999999905</v>
      </c>
      <c r="AB261" s="296">
        <f t="shared" si="141"/>
        <v>0.80833333333333235</v>
      </c>
      <c r="AC261" s="296">
        <f t="shared" si="141"/>
        <v>0.80666666666666564</v>
      </c>
      <c r="AD261" s="296">
        <f t="shared" si="141"/>
        <v>0.80499999999999894</v>
      </c>
      <c r="AE261" s="296">
        <f t="shared" si="141"/>
        <v>0.80333333333333223</v>
      </c>
      <c r="AF261" s="296">
        <f t="shared" si="141"/>
        <v>0.80166666666666553</v>
      </c>
      <c r="AG261" s="275">
        <v>0.8</v>
      </c>
      <c r="AI261" s="295"/>
      <c r="AJ261" s="198" t="s">
        <v>1614</v>
      </c>
    </row>
    <row r="262" spans="1:36" s="1" customFormat="1" outlineLevel="1">
      <c r="A262" t="s">
        <v>731</v>
      </c>
      <c r="B262" s="281" t="s">
        <v>126</v>
      </c>
      <c r="C262" s="275">
        <v>0.15</v>
      </c>
      <c r="D262" s="296">
        <f t="shared" si="140"/>
        <v>0.15166666666666667</v>
      </c>
      <c r="E262" s="296">
        <f t="shared" si="140"/>
        <v>0.15333333333333335</v>
      </c>
      <c r="F262" s="296">
        <f t="shared" si="140"/>
        <v>0.15500000000000003</v>
      </c>
      <c r="G262" s="296">
        <f t="shared" si="140"/>
        <v>0.1566666666666667</v>
      </c>
      <c r="H262" s="296">
        <f t="shared" si="140"/>
        <v>0.15833333333333338</v>
      </c>
      <c r="I262" s="296">
        <f t="shared" si="140"/>
        <v>0.16000000000000006</v>
      </c>
      <c r="J262" s="296">
        <f t="shared" si="140"/>
        <v>0.16166666666666674</v>
      </c>
      <c r="K262" s="296">
        <f t="shared" si="140"/>
        <v>0.16333333333333341</v>
      </c>
      <c r="L262" s="296">
        <f t="shared" si="140"/>
        <v>0.16500000000000009</v>
      </c>
      <c r="M262" s="296">
        <f t="shared" si="140"/>
        <v>0.16666666666666677</v>
      </c>
      <c r="N262" s="296">
        <f t="shared" si="140"/>
        <v>0.16833333333333345</v>
      </c>
      <c r="O262" s="296">
        <f t="shared" si="140"/>
        <v>0.17000000000000012</v>
      </c>
      <c r="P262" s="296">
        <f t="shared" si="140"/>
        <v>0.1716666666666668</v>
      </c>
      <c r="Q262" s="296">
        <f t="shared" si="140"/>
        <v>0.17333333333333348</v>
      </c>
      <c r="R262" s="296">
        <f t="shared" si="140"/>
        <v>0.17500000000000016</v>
      </c>
      <c r="S262" s="296">
        <f t="shared" si="140"/>
        <v>0.17666666666666683</v>
      </c>
      <c r="T262" s="296">
        <f t="shared" si="141"/>
        <v>0.17833333333333351</v>
      </c>
      <c r="U262" s="296">
        <f t="shared" si="141"/>
        <v>0.18000000000000019</v>
      </c>
      <c r="V262" s="296">
        <f t="shared" si="141"/>
        <v>0.18166666666666687</v>
      </c>
      <c r="W262" s="296">
        <f t="shared" si="141"/>
        <v>0.18333333333333354</v>
      </c>
      <c r="X262" s="296">
        <f t="shared" si="141"/>
        <v>0.18500000000000022</v>
      </c>
      <c r="Y262" s="296">
        <f t="shared" si="141"/>
        <v>0.1866666666666669</v>
      </c>
      <c r="Z262" s="296">
        <f t="shared" si="141"/>
        <v>0.18833333333333357</v>
      </c>
      <c r="AA262" s="296">
        <f t="shared" si="141"/>
        <v>0.19000000000000025</v>
      </c>
      <c r="AB262" s="296">
        <f t="shared" si="141"/>
        <v>0.19166666666666693</v>
      </c>
      <c r="AC262" s="296">
        <f t="shared" si="141"/>
        <v>0.19333333333333361</v>
      </c>
      <c r="AD262" s="296">
        <f t="shared" si="141"/>
        <v>0.19500000000000028</v>
      </c>
      <c r="AE262" s="296">
        <f t="shared" si="141"/>
        <v>0.19666666666666696</v>
      </c>
      <c r="AF262" s="296">
        <f t="shared" si="141"/>
        <v>0.19833333333333364</v>
      </c>
      <c r="AG262" s="275">
        <v>0.2</v>
      </c>
      <c r="AI262" s="410" t="s">
        <v>858</v>
      </c>
      <c r="AJ262" s="198" t="s">
        <v>1614</v>
      </c>
    </row>
    <row r="263" spans="1:36" s="1" customFormat="1" outlineLevel="1">
      <c r="A263" t="s">
        <v>726</v>
      </c>
      <c r="B263" s="281" t="s">
        <v>126</v>
      </c>
      <c r="C263" s="275">
        <v>0.15</v>
      </c>
      <c r="D263" s="296">
        <f t="shared" si="140"/>
        <v>0.15633333333333332</v>
      </c>
      <c r="E263" s="296">
        <f t="shared" si="140"/>
        <v>0.16266666666666665</v>
      </c>
      <c r="F263" s="296">
        <f t="shared" si="140"/>
        <v>0.16899999999999998</v>
      </c>
      <c r="G263" s="296">
        <f t="shared" si="140"/>
        <v>0.17533333333333331</v>
      </c>
      <c r="H263" s="296">
        <f t="shared" si="140"/>
        <v>0.18166666666666664</v>
      </c>
      <c r="I263" s="296">
        <f t="shared" si="140"/>
        <v>0.18799999999999997</v>
      </c>
      <c r="J263" s="296">
        <f t="shared" si="140"/>
        <v>0.1943333333333333</v>
      </c>
      <c r="K263" s="296">
        <f t="shared" si="140"/>
        <v>0.20066666666666663</v>
      </c>
      <c r="L263" s="296">
        <f t="shared" si="140"/>
        <v>0.20699999999999996</v>
      </c>
      <c r="M263" s="296">
        <f t="shared" si="140"/>
        <v>0.21333333333333329</v>
      </c>
      <c r="N263" s="296">
        <f t="shared" si="140"/>
        <v>0.21966666666666662</v>
      </c>
      <c r="O263" s="296">
        <f t="shared" si="140"/>
        <v>0.22599999999999995</v>
      </c>
      <c r="P263" s="296">
        <f t="shared" si="140"/>
        <v>0.23233333333333328</v>
      </c>
      <c r="Q263" s="296">
        <f t="shared" si="140"/>
        <v>0.23866666666666661</v>
      </c>
      <c r="R263" s="296">
        <f t="shared" si="140"/>
        <v>0.24499999999999994</v>
      </c>
      <c r="S263" s="296">
        <f t="shared" si="140"/>
        <v>0.2513333333333333</v>
      </c>
      <c r="T263" s="296">
        <f t="shared" si="141"/>
        <v>0.25766666666666665</v>
      </c>
      <c r="U263" s="296">
        <f t="shared" si="141"/>
        <v>0.26400000000000001</v>
      </c>
      <c r="V263" s="296">
        <f t="shared" si="141"/>
        <v>0.27033333333333337</v>
      </c>
      <c r="W263" s="296">
        <f t="shared" si="141"/>
        <v>0.27666666666666673</v>
      </c>
      <c r="X263" s="296">
        <f t="shared" si="141"/>
        <v>0.28300000000000008</v>
      </c>
      <c r="Y263" s="296">
        <f t="shared" si="141"/>
        <v>0.28933333333333344</v>
      </c>
      <c r="Z263" s="296">
        <f t="shared" si="141"/>
        <v>0.2956666666666668</v>
      </c>
      <c r="AA263" s="296">
        <f t="shared" si="141"/>
        <v>0.30200000000000016</v>
      </c>
      <c r="AB263" s="296">
        <f t="shared" si="141"/>
        <v>0.30833333333333351</v>
      </c>
      <c r="AC263" s="296">
        <f t="shared" si="141"/>
        <v>0.31466666666666687</v>
      </c>
      <c r="AD263" s="296">
        <f t="shared" si="141"/>
        <v>0.32100000000000023</v>
      </c>
      <c r="AE263" s="296">
        <f t="shared" si="141"/>
        <v>0.32733333333333359</v>
      </c>
      <c r="AF263" s="296">
        <f t="shared" si="141"/>
        <v>0.33366666666666694</v>
      </c>
      <c r="AG263" s="275">
        <v>0.34</v>
      </c>
      <c r="AI263" s="295"/>
      <c r="AJ263" s="198" t="s">
        <v>1614</v>
      </c>
    </row>
    <row r="264" spans="1:36" s="1" customFormat="1" outlineLevel="1">
      <c r="A264" t="s">
        <v>727</v>
      </c>
      <c r="B264" s="281" t="s">
        <v>126</v>
      </c>
      <c r="C264" s="275">
        <v>0.85</v>
      </c>
      <c r="D264" s="296">
        <f t="shared" si="140"/>
        <v>0.84366666666666668</v>
      </c>
      <c r="E264" s="296">
        <f t="shared" si="140"/>
        <v>0.83733333333333337</v>
      </c>
      <c r="F264" s="296">
        <f t="shared" si="140"/>
        <v>0.83100000000000007</v>
      </c>
      <c r="G264" s="296">
        <f t="shared" si="140"/>
        <v>0.82466666666666677</v>
      </c>
      <c r="H264" s="296">
        <f t="shared" si="140"/>
        <v>0.81833333333333347</v>
      </c>
      <c r="I264" s="296">
        <f t="shared" si="140"/>
        <v>0.81200000000000017</v>
      </c>
      <c r="J264" s="296">
        <f t="shared" si="140"/>
        <v>0.80566666666666686</v>
      </c>
      <c r="K264" s="296">
        <f t="shared" si="140"/>
        <v>0.79933333333333356</v>
      </c>
      <c r="L264" s="296">
        <f t="shared" si="140"/>
        <v>0.79300000000000026</v>
      </c>
      <c r="M264" s="296">
        <f t="shared" si="140"/>
        <v>0.78666666666666696</v>
      </c>
      <c r="N264" s="296">
        <f t="shared" si="140"/>
        <v>0.78033333333333366</v>
      </c>
      <c r="O264" s="296">
        <f t="shared" si="140"/>
        <v>0.77400000000000035</v>
      </c>
      <c r="P264" s="296">
        <f t="shared" si="140"/>
        <v>0.76766666666666705</v>
      </c>
      <c r="Q264" s="296">
        <f t="shared" si="140"/>
        <v>0.76133333333333375</v>
      </c>
      <c r="R264" s="296">
        <f t="shared" si="140"/>
        <v>0.75500000000000045</v>
      </c>
      <c r="S264" s="296">
        <f t="shared" si="140"/>
        <v>0.74866666666666715</v>
      </c>
      <c r="T264" s="296">
        <f t="shared" si="141"/>
        <v>0.74233333333333384</v>
      </c>
      <c r="U264" s="296">
        <f t="shared" si="141"/>
        <v>0.73600000000000054</v>
      </c>
      <c r="V264" s="296">
        <f t="shared" si="141"/>
        <v>0.72966666666666724</v>
      </c>
      <c r="W264" s="296">
        <f t="shared" si="141"/>
        <v>0.72333333333333394</v>
      </c>
      <c r="X264" s="296">
        <f t="shared" si="141"/>
        <v>0.71700000000000064</v>
      </c>
      <c r="Y264" s="296">
        <f t="shared" si="141"/>
        <v>0.71066666666666733</v>
      </c>
      <c r="Z264" s="296">
        <f t="shared" si="141"/>
        <v>0.70433333333333403</v>
      </c>
      <c r="AA264" s="296">
        <f t="shared" si="141"/>
        <v>0.69800000000000073</v>
      </c>
      <c r="AB264" s="296">
        <f t="shared" si="141"/>
        <v>0.69166666666666743</v>
      </c>
      <c r="AC264" s="296">
        <f t="shared" si="141"/>
        <v>0.68533333333333413</v>
      </c>
      <c r="AD264" s="296">
        <f t="shared" si="141"/>
        <v>0.67900000000000083</v>
      </c>
      <c r="AE264" s="296">
        <f t="shared" si="141"/>
        <v>0.67266666666666752</v>
      </c>
      <c r="AF264" s="296">
        <f t="shared" si="141"/>
        <v>0.66633333333333422</v>
      </c>
      <c r="AG264" s="275">
        <v>0.66</v>
      </c>
      <c r="AI264" s="295"/>
      <c r="AJ264" s="198" t="s">
        <v>1614</v>
      </c>
    </row>
    <row r="265" spans="1:36" s="1" customFormat="1" outlineLevel="1">
      <c r="A265" t="s">
        <v>730</v>
      </c>
      <c r="B265" s="281" t="s">
        <v>126</v>
      </c>
      <c r="C265" s="275">
        <v>0</v>
      </c>
      <c r="D265" s="296">
        <f t="shared" si="140"/>
        <v>0</v>
      </c>
      <c r="E265" s="296">
        <f t="shared" si="140"/>
        <v>0</v>
      </c>
      <c r="F265" s="296">
        <f t="shared" si="140"/>
        <v>0</v>
      </c>
      <c r="G265" s="296">
        <f t="shared" si="140"/>
        <v>0</v>
      </c>
      <c r="H265" s="296">
        <f t="shared" si="140"/>
        <v>0</v>
      </c>
      <c r="I265" s="296">
        <f t="shared" si="140"/>
        <v>0</v>
      </c>
      <c r="J265" s="296">
        <f t="shared" si="140"/>
        <v>0</v>
      </c>
      <c r="K265" s="296">
        <f t="shared" si="140"/>
        <v>0</v>
      </c>
      <c r="L265" s="296">
        <f t="shared" si="140"/>
        <v>0</v>
      </c>
      <c r="M265" s="296">
        <f t="shared" si="140"/>
        <v>0</v>
      </c>
      <c r="N265" s="296">
        <f t="shared" si="140"/>
        <v>0</v>
      </c>
      <c r="O265" s="296">
        <f t="shared" si="140"/>
        <v>0</v>
      </c>
      <c r="P265" s="296">
        <f t="shared" si="140"/>
        <v>0</v>
      </c>
      <c r="Q265" s="296">
        <f t="shared" si="140"/>
        <v>0</v>
      </c>
      <c r="R265" s="296">
        <f t="shared" si="140"/>
        <v>0</v>
      </c>
      <c r="S265" s="296">
        <f t="shared" si="140"/>
        <v>0</v>
      </c>
      <c r="T265" s="296">
        <f t="shared" si="141"/>
        <v>0</v>
      </c>
      <c r="U265" s="296">
        <f t="shared" si="141"/>
        <v>0</v>
      </c>
      <c r="V265" s="296">
        <f t="shared" si="141"/>
        <v>0</v>
      </c>
      <c r="W265" s="296">
        <f t="shared" si="141"/>
        <v>0</v>
      </c>
      <c r="X265" s="296">
        <f t="shared" si="141"/>
        <v>0</v>
      </c>
      <c r="Y265" s="296">
        <f t="shared" si="141"/>
        <v>0</v>
      </c>
      <c r="Z265" s="296">
        <f t="shared" si="141"/>
        <v>0</v>
      </c>
      <c r="AA265" s="296">
        <f t="shared" si="141"/>
        <v>0</v>
      </c>
      <c r="AB265" s="296">
        <f t="shared" si="141"/>
        <v>0</v>
      </c>
      <c r="AC265" s="296">
        <f t="shared" si="141"/>
        <v>0</v>
      </c>
      <c r="AD265" s="296">
        <f t="shared" si="141"/>
        <v>0</v>
      </c>
      <c r="AE265" s="296">
        <f t="shared" si="141"/>
        <v>0</v>
      </c>
      <c r="AF265" s="296">
        <f t="shared" si="141"/>
        <v>0</v>
      </c>
      <c r="AG265" s="275">
        <v>0</v>
      </c>
      <c r="AI265" s="295"/>
      <c r="AJ265" s="198" t="s">
        <v>1615</v>
      </c>
    </row>
    <row r="266" spans="1:36" s="1" customFormat="1" outlineLevel="1">
      <c r="A266" t="s">
        <v>741</v>
      </c>
      <c r="B266" s="281" t="s">
        <v>126</v>
      </c>
      <c r="C266" s="275">
        <v>1</v>
      </c>
      <c r="D266" s="296">
        <f t="shared" si="140"/>
        <v>1</v>
      </c>
      <c r="E266" s="296">
        <f t="shared" si="140"/>
        <v>1</v>
      </c>
      <c r="F266" s="296">
        <f t="shared" si="140"/>
        <v>1</v>
      </c>
      <c r="G266" s="296">
        <f t="shared" si="140"/>
        <v>1</v>
      </c>
      <c r="H266" s="296">
        <f t="shared" si="140"/>
        <v>1</v>
      </c>
      <c r="I266" s="296">
        <f t="shared" si="140"/>
        <v>1</v>
      </c>
      <c r="J266" s="296">
        <f t="shared" si="140"/>
        <v>1</v>
      </c>
      <c r="K266" s="296">
        <f t="shared" si="140"/>
        <v>1</v>
      </c>
      <c r="L266" s="296">
        <f t="shared" si="140"/>
        <v>1</v>
      </c>
      <c r="M266" s="296">
        <f t="shared" si="140"/>
        <v>1</v>
      </c>
      <c r="N266" s="296">
        <f t="shared" si="140"/>
        <v>1</v>
      </c>
      <c r="O266" s="296">
        <f t="shared" si="140"/>
        <v>1</v>
      </c>
      <c r="P266" s="296">
        <f t="shared" si="140"/>
        <v>1</v>
      </c>
      <c r="Q266" s="296">
        <f t="shared" si="140"/>
        <v>1</v>
      </c>
      <c r="R266" s="296">
        <f t="shared" si="140"/>
        <v>1</v>
      </c>
      <c r="S266" s="296">
        <f t="shared" si="140"/>
        <v>1</v>
      </c>
      <c r="T266" s="296">
        <f t="shared" si="141"/>
        <v>1</v>
      </c>
      <c r="U266" s="296">
        <f t="shared" si="141"/>
        <v>1</v>
      </c>
      <c r="V266" s="296">
        <f t="shared" si="141"/>
        <v>1</v>
      </c>
      <c r="W266" s="296">
        <f t="shared" si="141"/>
        <v>1</v>
      </c>
      <c r="X266" s="296">
        <f t="shared" si="141"/>
        <v>1</v>
      </c>
      <c r="Y266" s="296">
        <f t="shared" si="141"/>
        <v>1</v>
      </c>
      <c r="Z266" s="296">
        <f t="shared" si="141"/>
        <v>1</v>
      </c>
      <c r="AA266" s="296">
        <f t="shared" si="141"/>
        <v>1</v>
      </c>
      <c r="AB266" s="296">
        <f t="shared" si="141"/>
        <v>1</v>
      </c>
      <c r="AC266" s="296">
        <f t="shared" si="141"/>
        <v>1</v>
      </c>
      <c r="AD266" s="296">
        <f t="shared" si="141"/>
        <v>1</v>
      </c>
      <c r="AE266" s="296">
        <f t="shared" si="141"/>
        <v>1</v>
      </c>
      <c r="AF266" s="296">
        <f t="shared" si="141"/>
        <v>1</v>
      </c>
      <c r="AG266" s="275">
        <v>1</v>
      </c>
      <c r="AI266" s="295"/>
      <c r="AJ266" s="198" t="s">
        <v>1616</v>
      </c>
    </row>
    <row r="267" spans="1:36" s="1" customFormat="1" outlineLevel="1">
      <c r="A267" t="s">
        <v>728</v>
      </c>
      <c r="B267" s="281" t="s">
        <v>126</v>
      </c>
      <c r="C267" s="275">
        <v>0.8</v>
      </c>
      <c r="D267" s="296">
        <f t="shared" si="140"/>
        <v>0.80333333333333334</v>
      </c>
      <c r="E267" s="296">
        <f t="shared" si="140"/>
        <v>0.80666666666666664</v>
      </c>
      <c r="F267" s="296">
        <f t="shared" si="140"/>
        <v>0.80999999999999994</v>
      </c>
      <c r="G267" s="296">
        <f t="shared" si="140"/>
        <v>0.81333333333333324</v>
      </c>
      <c r="H267" s="296">
        <f t="shared" si="140"/>
        <v>0.81666666666666654</v>
      </c>
      <c r="I267" s="296">
        <f t="shared" si="140"/>
        <v>0.81999999999999984</v>
      </c>
      <c r="J267" s="296">
        <f t="shared" si="140"/>
        <v>0.82333333333333314</v>
      </c>
      <c r="K267" s="296">
        <f t="shared" si="140"/>
        <v>0.82666666666666644</v>
      </c>
      <c r="L267" s="296">
        <f t="shared" si="140"/>
        <v>0.82999999999999974</v>
      </c>
      <c r="M267" s="296">
        <f t="shared" si="140"/>
        <v>0.83333333333333304</v>
      </c>
      <c r="N267" s="296">
        <f t="shared" si="140"/>
        <v>0.83666666666666634</v>
      </c>
      <c r="O267" s="296">
        <f t="shared" si="140"/>
        <v>0.83999999999999964</v>
      </c>
      <c r="P267" s="296">
        <f t="shared" si="140"/>
        <v>0.84333333333333294</v>
      </c>
      <c r="Q267" s="296">
        <f t="shared" si="140"/>
        <v>0.84666666666666623</v>
      </c>
      <c r="R267" s="296">
        <f t="shared" si="140"/>
        <v>0.84999999999999953</v>
      </c>
      <c r="S267" s="296">
        <f t="shared" si="140"/>
        <v>0.85333333333333283</v>
      </c>
      <c r="T267" s="296">
        <f t="shared" si="141"/>
        <v>0.85666666666666613</v>
      </c>
      <c r="U267" s="296">
        <f t="shared" si="141"/>
        <v>0.85999999999999943</v>
      </c>
      <c r="V267" s="296">
        <f t="shared" si="141"/>
        <v>0.86333333333333273</v>
      </c>
      <c r="W267" s="296">
        <f t="shared" si="141"/>
        <v>0.86666666666666603</v>
      </c>
      <c r="X267" s="296">
        <f t="shared" si="141"/>
        <v>0.86999999999999933</v>
      </c>
      <c r="Y267" s="296">
        <f t="shared" si="141"/>
        <v>0.87333333333333263</v>
      </c>
      <c r="Z267" s="296">
        <f t="shared" si="141"/>
        <v>0.87666666666666593</v>
      </c>
      <c r="AA267" s="296">
        <f t="shared" si="141"/>
        <v>0.87999999999999923</v>
      </c>
      <c r="AB267" s="296">
        <f t="shared" si="141"/>
        <v>0.88333333333333253</v>
      </c>
      <c r="AC267" s="296">
        <f t="shared" si="141"/>
        <v>0.88666666666666583</v>
      </c>
      <c r="AD267" s="296">
        <f t="shared" si="141"/>
        <v>0.88999999999999913</v>
      </c>
      <c r="AE267" s="296">
        <f t="shared" si="141"/>
        <v>0.89333333333333242</v>
      </c>
      <c r="AF267" s="296">
        <f t="shared" si="141"/>
        <v>0.89666666666666572</v>
      </c>
      <c r="AG267" s="275">
        <v>0.9</v>
      </c>
      <c r="AI267" s="295"/>
      <c r="AJ267" s="198" t="s">
        <v>1617</v>
      </c>
    </row>
    <row r="268" spans="1:36" s="1" customFormat="1" outlineLevel="1">
      <c r="A268" t="s">
        <v>729</v>
      </c>
      <c r="B268" s="281" t="s">
        <v>126</v>
      </c>
      <c r="C268" s="275">
        <v>0.2</v>
      </c>
      <c r="D268" s="296">
        <f t="shared" si="140"/>
        <v>0.19666666666666668</v>
      </c>
      <c r="E268" s="296">
        <f t="shared" si="140"/>
        <v>0.19333333333333336</v>
      </c>
      <c r="F268" s="296">
        <f t="shared" si="140"/>
        <v>0.19000000000000003</v>
      </c>
      <c r="G268" s="296">
        <f t="shared" si="140"/>
        <v>0.1866666666666667</v>
      </c>
      <c r="H268" s="296">
        <f t="shared" si="140"/>
        <v>0.18333333333333338</v>
      </c>
      <c r="I268" s="296">
        <f t="shared" si="140"/>
        <v>0.18000000000000005</v>
      </c>
      <c r="J268" s="296">
        <f t="shared" si="140"/>
        <v>0.17666666666666672</v>
      </c>
      <c r="K268" s="296">
        <f t="shared" si="140"/>
        <v>0.17333333333333339</v>
      </c>
      <c r="L268" s="296">
        <f t="shared" si="140"/>
        <v>0.17000000000000007</v>
      </c>
      <c r="M268" s="296">
        <f t="shared" si="140"/>
        <v>0.16666666666666674</v>
      </c>
      <c r="N268" s="296">
        <f t="shared" si="140"/>
        <v>0.16333333333333341</v>
      </c>
      <c r="O268" s="296">
        <f t="shared" si="140"/>
        <v>0.16000000000000009</v>
      </c>
      <c r="P268" s="296">
        <f t="shared" si="140"/>
        <v>0.15666666666666676</v>
      </c>
      <c r="Q268" s="296">
        <f t="shared" si="140"/>
        <v>0.15333333333333343</v>
      </c>
      <c r="R268" s="296">
        <f t="shared" si="140"/>
        <v>0.15000000000000011</v>
      </c>
      <c r="S268" s="296">
        <f t="shared" si="140"/>
        <v>0.14666666666666678</v>
      </c>
      <c r="T268" s="296">
        <f t="shared" si="141"/>
        <v>0.14333333333333345</v>
      </c>
      <c r="U268" s="296">
        <f t="shared" si="141"/>
        <v>0.14000000000000012</v>
      </c>
      <c r="V268" s="296">
        <f t="shared" si="141"/>
        <v>0.1366666666666668</v>
      </c>
      <c r="W268" s="296">
        <f t="shared" si="141"/>
        <v>0.13333333333333347</v>
      </c>
      <c r="X268" s="296">
        <f t="shared" si="141"/>
        <v>0.13000000000000014</v>
      </c>
      <c r="Y268" s="296">
        <f t="shared" si="141"/>
        <v>0.12666666666666682</v>
      </c>
      <c r="Z268" s="296">
        <f t="shared" si="141"/>
        <v>0.12333333333333349</v>
      </c>
      <c r="AA268" s="296">
        <f t="shared" si="141"/>
        <v>0.12000000000000016</v>
      </c>
      <c r="AB268" s="296">
        <f t="shared" si="141"/>
        <v>0.11666666666666684</v>
      </c>
      <c r="AC268" s="296">
        <f t="shared" si="141"/>
        <v>0.11333333333333351</v>
      </c>
      <c r="AD268" s="296">
        <f t="shared" si="141"/>
        <v>0.11000000000000018</v>
      </c>
      <c r="AE268" s="296">
        <f t="shared" si="141"/>
        <v>0.10666666666666685</v>
      </c>
      <c r="AF268" s="296">
        <f t="shared" si="141"/>
        <v>0.10333333333333353</v>
      </c>
      <c r="AG268" s="275">
        <v>0.1</v>
      </c>
      <c r="AI268" s="295"/>
      <c r="AJ268" s="198" t="s">
        <v>1618</v>
      </c>
    </row>
    <row r="269" spans="1:36" s="1" customFormat="1" outlineLevel="1">
      <c r="A269" t="s">
        <v>739</v>
      </c>
      <c r="B269" s="281" t="s">
        <v>126</v>
      </c>
      <c r="C269" s="275">
        <v>0.95</v>
      </c>
      <c r="D269" s="296">
        <f t="shared" si="140"/>
        <v>0.94866666666666666</v>
      </c>
      <c r="E269" s="296">
        <f t="shared" si="140"/>
        <v>0.94733333333333336</v>
      </c>
      <c r="F269" s="296">
        <f t="shared" si="140"/>
        <v>0.94600000000000006</v>
      </c>
      <c r="G269" s="296">
        <f t="shared" si="140"/>
        <v>0.94466666666666677</v>
      </c>
      <c r="H269" s="296">
        <f t="shared" si="140"/>
        <v>0.94333333333333347</v>
      </c>
      <c r="I269" s="296">
        <f t="shared" si="140"/>
        <v>0.94200000000000017</v>
      </c>
      <c r="J269" s="296">
        <f t="shared" si="140"/>
        <v>0.94066666666666687</v>
      </c>
      <c r="K269" s="296">
        <f t="shared" si="140"/>
        <v>0.93933333333333358</v>
      </c>
      <c r="L269" s="296">
        <f t="shared" si="140"/>
        <v>0.93800000000000028</v>
      </c>
      <c r="M269" s="296">
        <f t="shared" si="140"/>
        <v>0.93666666666666698</v>
      </c>
      <c r="N269" s="296">
        <f t="shared" si="140"/>
        <v>0.93533333333333368</v>
      </c>
      <c r="O269" s="296">
        <f t="shared" si="140"/>
        <v>0.93400000000000039</v>
      </c>
      <c r="P269" s="296">
        <f t="shared" si="140"/>
        <v>0.93266666666666709</v>
      </c>
      <c r="Q269" s="296">
        <f t="shared" si="140"/>
        <v>0.93133333333333379</v>
      </c>
      <c r="R269" s="296">
        <f t="shared" si="140"/>
        <v>0.93000000000000049</v>
      </c>
      <c r="S269" s="296">
        <f t="shared" si="140"/>
        <v>0.9286666666666672</v>
      </c>
      <c r="T269" s="296">
        <f t="shared" si="141"/>
        <v>0.9273333333333339</v>
      </c>
      <c r="U269" s="296">
        <f t="shared" si="141"/>
        <v>0.9260000000000006</v>
      </c>
      <c r="V269" s="296">
        <f t="shared" si="141"/>
        <v>0.9246666666666673</v>
      </c>
      <c r="W269" s="296">
        <f t="shared" si="141"/>
        <v>0.92333333333333401</v>
      </c>
      <c r="X269" s="296">
        <f t="shared" si="141"/>
        <v>0.92200000000000071</v>
      </c>
      <c r="Y269" s="296">
        <f t="shared" si="141"/>
        <v>0.92066666666666741</v>
      </c>
      <c r="Z269" s="296">
        <f t="shared" si="141"/>
        <v>0.91933333333333411</v>
      </c>
      <c r="AA269" s="296">
        <f t="shared" si="141"/>
        <v>0.91800000000000082</v>
      </c>
      <c r="AB269" s="296">
        <f t="shared" si="141"/>
        <v>0.91666666666666752</v>
      </c>
      <c r="AC269" s="296">
        <f t="shared" si="141"/>
        <v>0.91533333333333422</v>
      </c>
      <c r="AD269" s="296">
        <f t="shared" si="141"/>
        <v>0.91400000000000092</v>
      </c>
      <c r="AE269" s="296">
        <f t="shared" si="141"/>
        <v>0.91266666666666763</v>
      </c>
      <c r="AF269" s="296">
        <f t="shared" si="141"/>
        <v>0.91133333333333433</v>
      </c>
      <c r="AG269" s="275">
        <v>0.91</v>
      </c>
      <c r="AI269" s="295"/>
      <c r="AJ269" s="198" t="s">
        <v>1619</v>
      </c>
    </row>
    <row r="270" spans="1:36" s="1" customFormat="1" outlineLevel="1">
      <c r="A270" t="s">
        <v>740</v>
      </c>
      <c r="B270" s="281" t="s">
        <v>126</v>
      </c>
      <c r="C270" s="275">
        <v>0.05</v>
      </c>
      <c r="D270" s="296">
        <f t="shared" si="140"/>
        <v>5.1333333333333335E-2</v>
      </c>
      <c r="E270" s="296">
        <f t="shared" si="140"/>
        <v>5.2666666666666667E-2</v>
      </c>
      <c r="F270" s="296">
        <f t="shared" si="140"/>
        <v>5.3999999999999999E-2</v>
      </c>
      <c r="G270" s="296">
        <f t="shared" si="140"/>
        <v>5.5333333333333332E-2</v>
      </c>
      <c r="H270" s="296">
        <f t="shared" si="140"/>
        <v>5.6666666666666664E-2</v>
      </c>
      <c r="I270" s="296">
        <f t="shared" si="140"/>
        <v>5.7999999999999996E-2</v>
      </c>
      <c r="J270" s="296">
        <f t="shared" si="140"/>
        <v>5.9333333333333328E-2</v>
      </c>
      <c r="K270" s="296">
        <f t="shared" si="140"/>
        <v>6.066666666666666E-2</v>
      </c>
      <c r="L270" s="296">
        <f t="shared" si="140"/>
        <v>6.1999999999999993E-2</v>
      </c>
      <c r="M270" s="296">
        <f t="shared" si="140"/>
        <v>6.3333333333333325E-2</v>
      </c>
      <c r="N270" s="296">
        <f t="shared" si="140"/>
        <v>6.4666666666666664E-2</v>
      </c>
      <c r="O270" s="296">
        <f t="shared" si="140"/>
        <v>6.6000000000000003E-2</v>
      </c>
      <c r="P270" s="296">
        <f t="shared" si="140"/>
        <v>6.7333333333333342E-2</v>
      </c>
      <c r="Q270" s="296">
        <f t="shared" si="140"/>
        <v>6.8666666666666681E-2</v>
      </c>
      <c r="R270" s="296">
        <f t="shared" si="140"/>
        <v>7.0000000000000021E-2</v>
      </c>
      <c r="S270" s="296">
        <f t="shared" si="140"/>
        <v>7.133333333333336E-2</v>
      </c>
      <c r="T270" s="296">
        <f t="shared" si="141"/>
        <v>7.2666666666666699E-2</v>
      </c>
      <c r="U270" s="296">
        <f t="shared" si="141"/>
        <v>7.4000000000000038E-2</v>
      </c>
      <c r="V270" s="296">
        <f t="shared" si="141"/>
        <v>7.5333333333333377E-2</v>
      </c>
      <c r="W270" s="296">
        <f t="shared" si="141"/>
        <v>7.6666666666666716E-2</v>
      </c>
      <c r="X270" s="296">
        <f t="shared" si="141"/>
        <v>7.8000000000000055E-2</v>
      </c>
      <c r="Y270" s="296">
        <f t="shared" si="141"/>
        <v>7.9333333333333395E-2</v>
      </c>
      <c r="Z270" s="296">
        <f t="shared" si="141"/>
        <v>8.0666666666666734E-2</v>
      </c>
      <c r="AA270" s="296">
        <f t="shared" si="141"/>
        <v>8.2000000000000073E-2</v>
      </c>
      <c r="AB270" s="296">
        <f t="shared" si="141"/>
        <v>8.3333333333333412E-2</v>
      </c>
      <c r="AC270" s="296">
        <f t="shared" si="141"/>
        <v>8.4666666666666751E-2</v>
      </c>
      <c r="AD270" s="296">
        <f t="shared" si="141"/>
        <v>8.600000000000009E-2</v>
      </c>
      <c r="AE270" s="296">
        <f t="shared" si="141"/>
        <v>8.7333333333333429E-2</v>
      </c>
      <c r="AF270" s="296">
        <f t="shared" si="141"/>
        <v>8.8666666666666769E-2</v>
      </c>
      <c r="AG270" s="275">
        <v>0.09</v>
      </c>
      <c r="AI270" s="295"/>
      <c r="AJ270" s="198" t="s">
        <v>1620</v>
      </c>
    </row>
    <row r="271" spans="1:36" s="1" customFormat="1" outlineLevel="1">
      <c r="A271" t="s">
        <v>742</v>
      </c>
      <c r="B271" s="281"/>
      <c r="C271" s="275">
        <v>0.27</v>
      </c>
      <c r="D271" s="296">
        <f t="shared" si="140"/>
        <v>0.26600000000000001</v>
      </c>
      <c r="E271" s="296">
        <f t="shared" si="140"/>
        <v>0.26200000000000001</v>
      </c>
      <c r="F271" s="296">
        <f t="shared" si="140"/>
        <v>0.25800000000000001</v>
      </c>
      <c r="G271" s="296">
        <f t="shared" si="140"/>
        <v>0.254</v>
      </c>
      <c r="H271" s="296">
        <f t="shared" si="140"/>
        <v>0.25</v>
      </c>
      <c r="I271" s="296">
        <f t="shared" si="140"/>
        <v>0.246</v>
      </c>
      <c r="J271" s="296">
        <f t="shared" si="140"/>
        <v>0.24199999999999999</v>
      </c>
      <c r="K271" s="296">
        <f t="shared" si="140"/>
        <v>0.23799999999999999</v>
      </c>
      <c r="L271" s="296">
        <f t="shared" si="140"/>
        <v>0.23399999999999999</v>
      </c>
      <c r="M271" s="296">
        <f t="shared" si="140"/>
        <v>0.22999999999999998</v>
      </c>
      <c r="N271" s="296">
        <f t="shared" si="140"/>
        <v>0.22599999999999998</v>
      </c>
      <c r="O271" s="296">
        <f t="shared" si="140"/>
        <v>0.22199999999999998</v>
      </c>
      <c r="P271" s="296">
        <f t="shared" si="140"/>
        <v>0.21799999999999997</v>
      </c>
      <c r="Q271" s="296">
        <f t="shared" si="140"/>
        <v>0.21399999999999997</v>
      </c>
      <c r="R271" s="296">
        <f t="shared" si="140"/>
        <v>0.20999999999999996</v>
      </c>
      <c r="S271" s="296">
        <f t="shared" si="140"/>
        <v>0.20599999999999996</v>
      </c>
      <c r="T271" s="296">
        <f t="shared" si="141"/>
        <v>0.20199999999999996</v>
      </c>
      <c r="U271" s="296">
        <f t="shared" si="141"/>
        <v>0.19799999999999995</v>
      </c>
      <c r="V271" s="296">
        <f t="shared" si="141"/>
        <v>0.19399999999999995</v>
      </c>
      <c r="W271" s="296">
        <f t="shared" si="141"/>
        <v>0.18999999999999995</v>
      </c>
      <c r="X271" s="296">
        <f t="shared" si="141"/>
        <v>0.18599999999999994</v>
      </c>
      <c r="Y271" s="296">
        <f t="shared" si="141"/>
        <v>0.18199999999999994</v>
      </c>
      <c r="Z271" s="296">
        <f t="shared" si="141"/>
        <v>0.17799999999999994</v>
      </c>
      <c r="AA271" s="296">
        <f t="shared" si="141"/>
        <v>0.17399999999999993</v>
      </c>
      <c r="AB271" s="296">
        <f t="shared" si="141"/>
        <v>0.16999999999999993</v>
      </c>
      <c r="AC271" s="296">
        <f t="shared" si="141"/>
        <v>0.16599999999999993</v>
      </c>
      <c r="AD271" s="296">
        <f t="shared" si="141"/>
        <v>0.16199999999999992</v>
      </c>
      <c r="AE271" s="296">
        <f t="shared" si="141"/>
        <v>0.15799999999999992</v>
      </c>
      <c r="AF271" s="296">
        <f t="shared" si="141"/>
        <v>0.15399999999999991</v>
      </c>
      <c r="AG271" s="275">
        <v>0.15</v>
      </c>
      <c r="AI271" s="295"/>
      <c r="AJ271" s="198"/>
    </row>
    <row r="272" spans="1:36" s="62" customFormat="1" outlineLevel="1">
      <c r="A272" s="322" t="s">
        <v>733</v>
      </c>
      <c r="B272" s="287" t="s">
        <v>126</v>
      </c>
      <c r="C272" s="314">
        <v>0.16</v>
      </c>
      <c r="D272" s="315">
        <f t="shared" si="140"/>
        <v>0.16533333333333333</v>
      </c>
      <c r="E272" s="315">
        <f t="shared" si="140"/>
        <v>0.17066666666666666</v>
      </c>
      <c r="F272" s="315">
        <f t="shared" si="140"/>
        <v>0.17599999999999999</v>
      </c>
      <c r="G272" s="315">
        <f t="shared" si="140"/>
        <v>0.18133333333333332</v>
      </c>
      <c r="H272" s="315">
        <f t="shared" si="140"/>
        <v>0.18666666666666665</v>
      </c>
      <c r="I272" s="315">
        <f t="shared" si="140"/>
        <v>0.19199999999999998</v>
      </c>
      <c r="J272" s="315">
        <f t="shared" si="140"/>
        <v>0.19733333333333331</v>
      </c>
      <c r="K272" s="315">
        <f t="shared" si="140"/>
        <v>0.20266666666666663</v>
      </c>
      <c r="L272" s="315">
        <f t="shared" si="140"/>
        <v>0.20799999999999996</v>
      </c>
      <c r="M272" s="315">
        <f t="shared" si="140"/>
        <v>0.21333333333333329</v>
      </c>
      <c r="N272" s="315">
        <f t="shared" si="140"/>
        <v>0.21866666666666662</v>
      </c>
      <c r="O272" s="315">
        <f t="shared" si="140"/>
        <v>0.22399999999999995</v>
      </c>
      <c r="P272" s="315">
        <f t="shared" si="140"/>
        <v>0.22933333333333328</v>
      </c>
      <c r="Q272" s="315">
        <f t="shared" si="140"/>
        <v>0.23466666666666661</v>
      </c>
      <c r="R272" s="315">
        <f t="shared" si="140"/>
        <v>0.23999999999999994</v>
      </c>
      <c r="S272" s="315">
        <f t="shared" si="140"/>
        <v>0.24533333333333326</v>
      </c>
      <c r="T272" s="315">
        <f t="shared" si="141"/>
        <v>0.25066666666666659</v>
      </c>
      <c r="U272" s="315">
        <f t="shared" si="141"/>
        <v>0.25599999999999995</v>
      </c>
      <c r="V272" s="315">
        <f t="shared" si="141"/>
        <v>0.26133333333333331</v>
      </c>
      <c r="W272" s="315">
        <f t="shared" si="141"/>
        <v>0.26666666666666666</v>
      </c>
      <c r="X272" s="315">
        <f t="shared" si="141"/>
        <v>0.27200000000000002</v>
      </c>
      <c r="Y272" s="315">
        <f t="shared" si="141"/>
        <v>0.27733333333333338</v>
      </c>
      <c r="Z272" s="315">
        <f t="shared" si="141"/>
        <v>0.28266666666666673</v>
      </c>
      <c r="AA272" s="315">
        <f t="shared" si="141"/>
        <v>0.28800000000000009</v>
      </c>
      <c r="AB272" s="315">
        <f t="shared" si="141"/>
        <v>0.29333333333333345</v>
      </c>
      <c r="AC272" s="315">
        <f t="shared" si="141"/>
        <v>0.2986666666666668</v>
      </c>
      <c r="AD272" s="315">
        <f t="shared" si="141"/>
        <v>0.30400000000000016</v>
      </c>
      <c r="AE272" s="315">
        <f t="shared" si="141"/>
        <v>0.30933333333333352</v>
      </c>
      <c r="AF272" s="315">
        <f t="shared" si="141"/>
        <v>0.31466666666666687</v>
      </c>
      <c r="AG272" s="314">
        <v>0.32</v>
      </c>
      <c r="AI272" s="314"/>
      <c r="AJ272" s="316" t="s">
        <v>1620</v>
      </c>
    </row>
    <row r="273" spans="1:36" outlineLevel="1">
      <c r="A273" s="323" t="s">
        <v>734</v>
      </c>
      <c r="B273" s="281" t="s">
        <v>126</v>
      </c>
      <c r="C273" s="275">
        <v>0.37</v>
      </c>
      <c r="D273" s="296">
        <f t="shared" si="140"/>
        <v>0.37166666666666665</v>
      </c>
      <c r="E273" s="296">
        <f t="shared" si="140"/>
        <v>0.37333333333333329</v>
      </c>
      <c r="F273" s="296">
        <f t="shared" si="140"/>
        <v>0.37499999999999994</v>
      </c>
      <c r="G273" s="296">
        <f t="shared" si="140"/>
        <v>0.37666666666666659</v>
      </c>
      <c r="H273" s="296">
        <f t="shared" si="140"/>
        <v>0.37833333333333324</v>
      </c>
      <c r="I273" s="296">
        <f t="shared" si="140"/>
        <v>0.37999999999999989</v>
      </c>
      <c r="J273" s="296">
        <f t="shared" si="140"/>
        <v>0.38166666666666654</v>
      </c>
      <c r="K273" s="296">
        <f t="shared" si="140"/>
        <v>0.38333333333333319</v>
      </c>
      <c r="L273" s="296">
        <f t="shared" si="140"/>
        <v>0.38499999999999984</v>
      </c>
      <c r="M273" s="296">
        <f t="shared" si="140"/>
        <v>0.38666666666666649</v>
      </c>
      <c r="N273" s="296">
        <f t="shared" si="140"/>
        <v>0.38833333333333314</v>
      </c>
      <c r="O273" s="296">
        <f t="shared" si="140"/>
        <v>0.38999999999999979</v>
      </c>
      <c r="P273" s="296">
        <f t="shared" si="140"/>
        <v>0.39166666666666644</v>
      </c>
      <c r="Q273" s="296">
        <f t="shared" si="140"/>
        <v>0.39333333333333309</v>
      </c>
      <c r="R273" s="296">
        <f t="shared" si="140"/>
        <v>0.39499999999999974</v>
      </c>
      <c r="S273" s="296">
        <f t="shared" si="140"/>
        <v>0.39666666666666639</v>
      </c>
      <c r="T273" s="296">
        <f t="shared" si="141"/>
        <v>0.39833333333333304</v>
      </c>
      <c r="U273" s="296">
        <f t="shared" si="141"/>
        <v>0.39999999999999969</v>
      </c>
      <c r="V273" s="296">
        <f t="shared" si="141"/>
        <v>0.40166666666666634</v>
      </c>
      <c r="W273" s="296">
        <f t="shared" si="141"/>
        <v>0.40333333333333299</v>
      </c>
      <c r="X273" s="296">
        <f t="shared" si="141"/>
        <v>0.40499999999999964</v>
      </c>
      <c r="Y273" s="296">
        <f t="shared" si="141"/>
        <v>0.40666666666666629</v>
      </c>
      <c r="Z273" s="296">
        <f t="shared" si="141"/>
        <v>0.40833333333333294</v>
      </c>
      <c r="AA273" s="296">
        <f t="shared" si="141"/>
        <v>0.40999999999999959</v>
      </c>
      <c r="AB273" s="296">
        <f t="shared" si="141"/>
        <v>0.41166666666666624</v>
      </c>
      <c r="AC273" s="296">
        <f t="shared" si="141"/>
        <v>0.41333333333333289</v>
      </c>
      <c r="AD273" s="296">
        <f t="shared" si="141"/>
        <v>0.41499999999999954</v>
      </c>
      <c r="AE273" s="296">
        <f t="shared" si="141"/>
        <v>0.41666666666666619</v>
      </c>
      <c r="AF273" s="296">
        <f t="shared" si="141"/>
        <v>0.41833333333333284</v>
      </c>
      <c r="AG273" s="275">
        <v>0.42</v>
      </c>
      <c r="AI273" s="275"/>
      <c r="AJ273" s="198" t="s">
        <v>1621</v>
      </c>
    </row>
    <row r="274" spans="1:36" outlineLevel="1">
      <c r="A274" s="323" t="s">
        <v>735</v>
      </c>
      <c r="B274" s="281" t="s">
        <v>126</v>
      </c>
      <c r="C274" s="275">
        <v>0.08</v>
      </c>
      <c r="D274" s="296">
        <f t="shared" si="140"/>
        <v>7.7666666666666662E-2</v>
      </c>
      <c r="E274" s="296">
        <f t="shared" si="140"/>
        <v>7.5333333333333322E-2</v>
      </c>
      <c r="F274" s="296">
        <f t="shared" si="140"/>
        <v>7.2999999999999982E-2</v>
      </c>
      <c r="G274" s="296">
        <f t="shared" si="140"/>
        <v>7.0666666666666642E-2</v>
      </c>
      <c r="H274" s="296">
        <f t="shared" si="140"/>
        <v>6.8333333333333302E-2</v>
      </c>
      <c r="I274" s="296">
        <f t="shared" si="140"/>
        <v>6.5999999999999961E-2</v>
      </c>
      <c r="J274" s="296">
        <f t="shared" si="140"/>
        <v>6.3666666666666621E-2</v>
      </c>
      <c r="K274" s="296">
        <f t="shared" si="140"/>
        <v>6.1333333333333288E-2</v>
      </c>
      <c r="L274" s="296">
        <f t="shared" si="140"/>
        <v>5.8999999999999955E-2</v>
      </c>
      <c r="M274" s="296">
        <f t="shared" si="140"/>
        <v>5.6666666666666622E-2</v>
      </c>
      <c r="N274" s="296">
        <f t="shared" si="140"/>
        <v>5.4333333333333289E-2</v>
      </c>
      <c r="O274" s="296">
        <f t="shared" si="140"/>
        <v>5.1999999999999956E-2</v>
      </c>
      <c r="P274" s="296">
        <f t="shared" si="140"/>
        <v>4.9666666666666623E-2</v>
      </c>
      <c r="Q274" s="296">
        <f t="shared" si="140"/>
        <v>4.733333333333329E-2</v>
      </c>
      <c r="R274" s="296">
        <f t="shared" si="140"/>
        <v>4.4999999999999957E-2</v>
      </c>
      <c r="S274" s="296">
        <f t="shared" si="140"/>
        <v>4.2666666666666624E-2</v>
      </c>
      <c r="T274" s="296">
        <f t="shared" si="141"/>
        <v>4.0333333333333291E-2</v>
      </c>
      <c r="U274" s="296">
        <f t="shared" si="141"/>
        <v>3.7999999999999957E-2</v>
      </c>
      <c r="V274" s="296">
        <f t="shared" si="141"/>
        <v>3.5666666666666624E-2</v>
      </c>
      <c r="W274" s="296">
        <f t="shared" si="141"/>
        <v>3.3333333333333291E-2</v>
      </c>
      <c r="X274" s="296">
        <f t="shared" si="141"/>
        <v>3.0999999999999958E-2</v>
      </c>
      <c r="Y274" s="296">
        <f t="shared" si="141"/>
        <v>2.8666666666666625E-2</v>
      </c>
      <c r="Z274" s="296">
        <f t="shared" si="141"/>
        <v>2.6333333333333292E-2</v>
      </c>
      <c r="AA274" s="296">
        <f t="shared" si="141"/>
        <v>2.3999999999999959E-2</v>
      </c>
      <c r="AB274" s="296">
        <f t="shared" si="141"/>
        <v>2.1666666666666626E-2</v>
      </c>
      <c r="AC274" s="296">
        <f t="shared" si="141"/>
        <v>1.9333333333333293E-2</v>
      </c>
      <c r="AD274" s="296">
        <f t="shared" si="141"/>
        <v>1.699999999999996E-2</v>
      </c>
      <c r="AE274" s="296">
        <f t="shared" si="141"/>
        <v>1.4666666666666626E-2</v>
      </c>
      <c r="AF274" s="296">
        <f t="shared" si="141"/>
        <v>1.2333333333333293E-2</v>
      </c>
      <c r="AG274" s="275">
        <v>0.01</v>
      </c>
      <c r="AI274" s="275"/>
      <c r="AJ274" s="198" t="s">
        <v>1622</v>
      </c>
    </row>
    <row r="275" spans="1:36" outlineLevel="1">
      <c r="A275" s="323" t="s">
        <v>736</v>
      </c>
      <c r="B275" s="281" t="s">
        <v>126</v>
      </c>
      <c r="C275" s="275">
        <v>0.27</v>
      </c>
      <c r="D275" s="296">
        <f t="shared" si="140"/>
        <v>0.26633333333333337</v>
      </c>
      <c r="E275" s="296">
        <f t="shared" si="140"/>
        <v>0.26266666666666671</v>
      </c>
      <c r="F275" s="296">
        <f t="shared" si="140"/>
        <v>0.25900000000000006</v>
      </c>
      <c r="G275" s="296">
        <f t="shared" si="140"/>
        <v>0.25533333333333341</v>
      </c>
      <c r="H275" s="296">
        <f t="shared" si="140"/>
        <v>0.25166666666666676</v>
      </c>
      <c r="I275" s="296">
        <f t="shared" si="140"/>
        <v>0.24800000000000008</v>
      </c>
      <c r="J275" s="296">
        <f t="shared" si="140"/>
        <v>0.2443333333333334</v>
      </c>
      <c r="K275" s="296">
        <f t="shared" si="140"/>
        <v>0.24066666666666672</v>
      </c>
      <c r="L275" s="296">
        <f t="shared" si="140"/>
        <v>0.23700000000000004</v>
      </c>
      <c r="M275" s="296">
        <f t="shared" si="140"/>
        <v>0.23333333333333336</v>
      </c>
      <c r="N275" s="296">
        <f t="shared" si="140"/>
        <v>0.22966666666666669</v>
      </c>
      <c r="O275" s="296">
        <f t="shared" si="140"/>
        <v>0.22600000000000001</v>
      </c>
      <c r="P275" s="296">
        <f t="shared" si="140"/>
        <v>0.22233333333333333</v>
      </c>
      <c r="Q275" s="296">
        <f t="shared" si="140"/>
        <v>0.21866666666666665</v>
      </c>
      <c r="R275" s="296">
        <f t="shared" si="140"/>
        <v>0.21499999999999997</v>
      </c>
      <c r="S275" s="296">
        <f t="shared" si="140"/>
        <v>0.21133333333333329</v>
      </c>
      <c r="T275" s="296">
        <f t="shared" si="141"/>
        <v>0.20766666666666661</v>
      </c>
      <c r="U275" s="296">
        <f t="shared" si="141"/>
        <v>0.20399999999999993</v>
      </c>
      <c r="V275" s="296">
        <f t="shared" si="141"/>
        <v>0.20033333333333325</v>
      </c>
      <c r="W275" s="296">
        <f t="shared" si="141"/>
        <v>0.19666666666666657</v>
      </c>
      <c r="X275" s="296">
        <f t="shared" si="141"/>
        <v>0.19299999999999989</v>
      </c>
      <c r="Y275" s="296">
        <f t="shared" si="141"/>
        <v>0.18933333333333321</v>
      </c>
      <c r="Z275" s="296">
        <f t="shared" si="141"/>
        <v>0.18566666666666654</v>
      </c>
      <c r="AA275" s="296">
        <f t="shared" si="141"/>
        <v>0.18199999999999986</v>
      </c>
      <c r="AB275" s="296">
        <f t="shared" si="141"/>
        <v>0.17833333333333318</v>
      </c>
      <c r="AC275" s="296">
        <f t="shared" si="141"/>
        <v>0.1746666666666665</v>
      </c>
      <c r="AD275" s="296">
        <f t="shared" si="141"/>
        <v>0.17099999999999982</v>
      </c>
      <c r="AE275" s="296">
        <f t="shared" si="141"/>
        <v>0.16733333333333314</v>
      </c>
      <c r="AF275" s="296">
        <f t="shared" si="141"/>
        <v>0.16366666666666646</v>
      </c>
      <c r="AG275" s="275">
        <v>0.16</v>
      </c>
      <c r="AI275" s="275"/>
      <c r="AJ275" s="198" t="s">
        <v>1623</v>
      </c>
    </row>
    <row r="276" spans="1:36" outlineLevel="1">
      <c r="A276" s="323" t="s">
        <v>737</v>
      </c>
      <c r="B276" s="281" t="s">
        <v>126</v>
      </c>
      <c r="C276" s="275">
        <v>7.0000000000000007E-2</v>
      </c>
      <c r="D276" s="296">
        <f t="shared" si="140"/>
        <v>6.9666666666666668E-2</v>
      </c>
      <c r="E276" s="296">
        <f t="shared" si="140"/>
        <v>6.933333333333333E-2</v>
      </c>
      <c r="F276" s="296">
        <f t="shared" si="140"/>
        <v>6.8999999999999992E-2</v>
      </c>
      <c r="G276" s="296">
        <f t="shared" si="140"/>
        <v>6.8666666666666654E-2</v>
      </c>
      <c r="H276" s="296">
        <f t="shared" si="140"/>
        <v>6.8333333333333315E-2</v>
      </c>
      <c r="I276" s="296">
        <f t="shared" si="140"/>
        <v>6.7999999999999977E-2</v>
      </c>
      <c r="J276" s="296">
        <f t="shared" si="140"/>
        <v>6.7666666666666639E-2</v>
      </c>
      <c r="K276" s="296">
        <f t="shared" si="140"/>
        <v>6.7333333333333301E-2</v>
      </c>
      <c r="L276" s="296">
        <f t="shared" si="140"/>
        <v>6.6999999999999962E-2</v>
      </c>
      <c r="M276" s="296">
        <f t="shared" si="140"/>
        <v>6.6666666666666624E-2</v>
      </c>
      <c r="N276" s="296">
        <f t="shared" si="140"/>
        <v>6.6333333333333286E-2</v>
      </c>
      <c r="O276" s="296">
        <f t="shared" si="140"/>
        <v>6.5999999999999948E-2</v>
      </c>
      <c r="P276" s="296">
        <f t="shared" si="140"/>
        <v>6.5666666666666609E-2</v>
      </c>
      <c r="Q276" s="296">
        <f t="shared" si="140"/>
        <v>6.5333333333333271E-2</v>
      </c>
      <c r="R276" s="296">
        <f t="shared" si="140"/>
        <v>6.4999999999999933E-2</v>
      </c>
      <c r="S276" s="296">
        <f t="shared" ref="S276:AF276" si="142">-($C276-$AG276)/30+R276</f>
        <v>6.4666666666666595E-2</v>
      </c>
      <c r="T276" s="296">
        <f t="shared" si="142"/>
        <v>6.4333333333333256E-2</v>
      </c>
      <c r="U276" s="296">
        <f t="shared" si="142"/>
        <v>6.3999999999999918E-2</v>
      </c>
      <c r="V276" s="296">
        <f t="shared" si="142"/>
        <v>6.366666666666658E-2</v>
      </c>
      <c r="W276" s="296">
        <f t="shared" si="142"/>
        <v>6.3333333333333242E-2</v>
      </c>
      <c r="X276" s="296">
        <f t="shared" si="142"/>
        <v>6.2999999999999903E-2</v>
      </c>
      <c r="Y276" s="296">
        <f t="shared" si="142"/>
        <v>6.2666666666666565E-2</v>
      </c>
      <c r="Z276" s="296">
        <f t="shared" si="142"/>
        <v>6.2333333333333234E-2</v>
      </c>
      <c r="AA276" s="296">
        <f t="shared" si="142"/>
        <v>6.1999999999999902E-2</v>
      </c>
      <c r="AB276" s="296">
        <f t="shared" si="142"/>
        <v>6.1666666666666571E-2</v>
      </c>
      <c r="AC276" s="296">
        <f t="shared" si="142"/>
        <v>6.133333333333324E-2</v>
      </c>
      <c r="AD276" s="296">
        <f t="shared" si="142"/>
        <v>6.0999999999999908E-2</v>
      </c>
      <c r="AE276" s="296">
        <f t="shared" si="142"/>
        <v>6.0666666666666577E-2</v>
      </c>
      <c r="AF276" s="296">
        <f t="shared" si="142"/>
        <v>6.0333333333333246E-2</v>
      </c>
      <c r="AG276" s="275">
        <v>0.06</v>
      </c>
      <c r="AI276" s="275"/>
      <c r="AJ276" s="198" t="s">
        <v>1624</v>
      </c>
    </row>
    <row r="277" spans="1:36" s="63" customFormat="1" outlineLevel="1">
      <c r="A277" s="324" t="s">
        <v>738</v>
      </c>
      <c r="B277" s="291" t="s">
        <v>126</v>
      </c>
      <c r="C277" s="293">
        <v>0.05</v>
      </c>
      <c r="D277" s="317">
        <f t="shared" ref="D277:AF277" si="143">-($C277-$AG277)/30+C277</f>
        <v>4.9333333333333333E-2</v>
      </c>
      <c r="E277" s="317">
        <f t="shared" si="143"/>
        <v>4.8666666666666664E-2</v>
      </c>
      <c r="F277" s="317">
        <f t="shared" si="143"/>
        <v>4.7999999999999994E-2</v>
      </c>
      <c r="G277" s="317">
        <f t="shared" si="143"/>
        <v>4.7333333333333324E-2</v>
      </c>
      <c r="H277" s="317">
        <f t="shared" si="143"/>
        <v>4.6666666666666655E-2</v>
      </c>
      <c r="I277" s="317">
        <f t="shared" si="143"/>
        <v>4.5999999999999985E-2</v>
      </c>
      <c r="J277" s="317">
        <f t="shared" si="143"/>
        <v>4.5333333333333316E-2</v>
      </c>
      <c r="K277" s="317">
        <f t="shared" si="143"/>
        <v>4.4666666666666646E-2</v>
      </c>
      <c r="L277" s="317">
        <f t="shared" si="143"/>
        <v>4.3999999999999977E-2</v>
      </c>
      <c r="M277" s="317">
        <f t="shared" si="143"/>
        <v>4.3333333333333307E-2</v>
      </c>
      <c r="N277" s="317">
        <f t="shared" si="143"/>
        <v>4.2666666666666637E-2</v>
      </c>
      <c r="O277" s="317">
        <f t="shared" si="143"/>
        <v>4.1999999999999968E-2</v>
      </c>
      <c r="P277" s="317">
        <f t="shared" si="143"/>
        <v>4.1333333333333298E-2</v>
      </c>
      <c r="Q277" s="317">
        <f t="shared" si="143"/>
        <v>4.0666666666666629E-2</v>
      </c>
      <c r="R277" s="317">
        <f t="shared" si="143"/>
        <v>3.9999999999999959E-2</v>
      </c>
      <c r="S277" s="317">
        <f t="shared" si="143"/>
        <v>3.933333333333329E-2</v>
      </c>
      <c r="T277" s="317">
        <f t="shared" si="143"/>
        <v>3.866666666666662E-2</v>
      </c>
      <c r="U277" s="317">
        <f t="shared" si="143"/>
        <v>3.799999999999995E-2</v>
      </c>
      <c r="V277" s="317">
        <f t="shared" si="143"/>
        <v>3.7333333333333281E-2</v>
      </c>
      <c r="W277" s="317">
        <f t="shared" si="143"/>
        <v>3.6666666666666611E-2</v>
      </c>
      <c r="X277" s="317">
        <f t="shared" si="143"/>
        <v>3.5999999999999942E-2</v>
      </c>
      <c r="Y277" s="317">
        <f t="shared" si="143"/>
        <v>3.5333333333333272E-2</v>
      </c>
      <c r="Z277" s="317">
        <f t="shared" si="143"/>
        <v>3.4666666666666603E-2</v>
      </c>
      <c r="AA277" s="317">
        <f t="shared" si="143"/>
        <v>3.3999999999999933E-2</v>
      </c>
      <c r="AB277" s="317">
        <f t="shared" si="143"/>
        <v>3.3333333333333263E-2</v>
      </c>
      <c r="AC277" s="317">
        <f t="shared" si="143"/>
        <v>3.2666666666666594E-2</v>
      </c>
      <c r="AD277" s="317">
        <f t="shared" si="143"/>
        <v>3.1999999999999924E-2</v>
      </c>
      <c r="AE277" s="317">
        <f t="shared" si="143"/>
        <v>3.1333333333333255E-2</v>
      </c>
      <c r="AF277" s="317">
        <f t="shared" si="143"/>
        <v>3.0666666666666589E-2</v>
      </c>
      <c r="AG277" s="293">
        <v>0.03</v>
      </c>
      <c r="AI277" s="293"/>
      <c r="AJ277" s="318" t="s">
        <v>1625</v>
      </c>
    </row>
    <row r="278" spans="1:36" s="55" customFormat="1" outlineLevel="1">
      <c r="A278" s="55" t="s">
        <v>703</v>
      </c>
      <c r="B278" s="282"/>
      <c r="C278" s="283">
        <f>C29</f>
        <v>122278.0685405432</v>
      </c>
      <c r="D278" s="283">
        <f t="shared" ref="D278:AG278" si="144">D29</f>
        <v>122278.0685405432</v>
      </c>
      <c r="E278" s="283">
        <f t="shared" si="144"/>
        <v>122278.0685405432</v>
      </c>
      <c r="F278" s="283">
        <f t="shared" si="144"/>
        <v>122278.0685405432</v>
      </c>
      <c r="G278" s="283">
        <f t="shared" si="144"/>
        <v>122278.0685405432</v>
      </c>
      <c r="H278" s="283">
        <f t="shared" si="144"/>
        <v>122278.0685405432</v>
      </c>
      <c r="I278" s="283">
        <f t="shared" si="144"/>
        <v>122278.0685405432</v>
      </c>
      <c r="J278" s="283">
        <f t="shared" si="144"/>
        <v>122278.0685405432</v>
      </c>
      <c r="K278" s="283">
        <f t="shared" si="144"/>
        <v>122278.0685405432</v>
      </c>
      <c r="L278" s="283">
        <f t="shared" si="144"/>
        <v>122278.0685405432</v>
      </c>
      <c r="M278" s="283">
        <f t="shared" si="144"/>
        <v>122278.0685405432</v>
      </c>
      <c r="N278" s="283">
        <f t="shared" si="144"/>
        <v>122278.0685405432</v>
      </c>
      <c r="O278" s="283">
        <f t="shared" si="144"/>
        <v>122278.0685405432</v>
      </c>
      <c r="P278" s="283">
        <f t="shared" si="144"/>
        <v>122278.0685405432</v>
      </c>
      <c r="Q278" s="283">
        <f t="shared" si="144"/>
        <v>122278.0685405432</v>
      </c>
      <c r="R278" s="283">
        <f t="shared" si="144"/>
        <v>122278.0685405432</v>
      </c>
      <c r="S278" s="283">
        <f t="shared" si="144"/>
        <v>122278.0685405432</v>
      </c>
      <c r="T278" s="283">
        <f t="shared" si="144"/>
        <v>122278.0685405432</v>
      </c>
      <c r="U278" s="283">
        <f t="shared" si="144"/>
        <v>122278.0685405432</v>
      </c>
      <c r="V278" s="283">
        <f t="shared" si="144"/>
        <v>122278.0685405432</v>
      </c>
      <c r="W278" s="283">
        <f t="shared" si="144"/>
        <v>122278.0685405432</v>
      </c>
      <c r="X278" s="283">
        <f t="shared" si="144"/>
        <v>122278.0685405432</v>
      </c>
      <c r="Y278" s="283">
        <f t="shared" si="144"/>
        <v>122278.0685405432</v>
      </c>
      <c r="Z278" s="283">
        <f t="shared" si="144"/>
        <v>122278.0685405432</v>
      </c>
      <c r="AA278" s="283">
        <f t="shared" si="144"/>
        <v>122278.0685405432</v>
      </c>
      <c r="AB278" s="283">
        <f t="shared" si="144"/>
        <v>122278.0685405432</v>
      </c>
      <c r="AC278" s="283">
        <f t="shared" si="144"/>
        <v>122278.0685405432</v>
      </c>
      <c r="AD278" s="283">
        <f t="shared" si="144"/>
        <v>122278.0685405432</v>
      </c>
      <c r="AE278" s="283">
        <f t="shared" si="144"/>
        <v>122278.0685405432</v>
      </c>
      <c r="AF278" s="283">
        <f t="shared" si="144"/>
        <v>122278.0685405432</v>
      </c>
      <c r="AG278" s="283">
        <f t="shared" si="144"/>
        <v>122278.0685405432</v>
      </c>
      <c r="AI278" s="284"/>
      <c r="AJ278" s="285"/>
    </row>
    <row r="279" spans="1:36" s="55" customFormat="1" outlineLevel="1">
      <c r="A279" s="286" t="s">
        <v>173</v>
      </c>
      <c r="B279" s="287" t="s">
        <v>127</v>
      </c>
      <c r="C279" s="288">
        <v>0</v>
      </c>
      <c r="D279" s="288">
        <v>0</v>
      </c>
      <c r="E279" s="288">
        <v>0</v>
      </c>
      <c r="F279" s="288">
        <v>0</v>
      </c>
      <c r="G279" s="288">
        <v>0</v>
      </c>
      <c r="H279" s="288">
        <v>0</v>
      </c>
      <c r="I279" s="288">
        <v>0</v>
      </c>
      <c r="J279" s="288">
        <v>0</v>
      </c>
      <c r="K279" s="288">
        <v>0</v>
      </c>
      <c r="L279" s="288">
        <v>0</v>
      </c>
      <c r="M279" s="288">
        <v>0</v>
      </c>
      <c r="N279" s="288">
        <v>0</v>
      </c>
      <c r="O279" s="288">
        <v>0</v>
      </c>
      <c r="P279" s="288">
        <v>0</v>
      </c>
      <c r="Q279" s="288">
        <v>0</v>
      </c>
      <c r="R279" s="288">
        <v>0</v>
      </c>
      <c r="S279" s="288">
        <v>0</v>
      </c>
      <c r="T279" s="288">
        <v>0</v>
      </c>
      <c r="U279" s="288">
        <v>0</v>
      </c>
      <c r="V279" s="288">
        <v>0</v>
      </c>
      <c r="W279" s="288">
        <v>0</v>
      </c>
      <c r="X279" s="288">
        <v>0</v>
      </c>
      <c r="Y279" s="288">
        <v>0</v>
      </c>
      <c r="Z279" s="288">
        <v>0</v>
      </c>
      <c r="AA279" s="288">
        <v>0</v>
      </c>
      <c r="AB279" s="288">
        <v>0</v>
      </c>
      <c r="AC279" s="288">
        <v>0</v>
      </c>
      <c r="AD279" s="288">
        <v>0</v>
      </c>
      <c r="AE279" s="288">
        <v>0</v>
      </c>
      <c r="AF279" s="288">
        <v>0</v>
      </c>
      <c r="AG279" s="288">
        <v>0</v>
      </c>
      <c r="AI279" s="284"/>
      <c r="AJ279" s="285"/>
    </row>
    <row r="280" spans="1:36" outlineLevel="1">
      <c r="A280" s="289" t="s">
        <v>696</v>
      </c>
      <c r="B280" s="281" t="s">
        <v>127</v>
      </c>
      <c r="C280" s="234">
        <f t="shared" ref="C280:AG280" si="145">C247</f>
        <v>4908.1085276264903</v>
      </c>
      <c r="D280" s="234">
        <f t="shared" si="145"/>
        <v>4990.0739400378525</v>
      </c>
      <c r="E280" s="234">
        <f t="shared" si="145"/>
        <v>5073.4081748364842</v>
      </c>
      <c r="F280" s="234">
        <f t="shared" si="145"/>
        <v>5158.1340913562535</v>
      </c>
      <c r="G280" s="234">
        <f t="shared" si="145"/>
        <v>5244.2749306819023</v>
      </c>
      <c r="H280" s="234">
        <f t="shared" si="145"/>
        <v>5331.85432202429</v>
      </c>
      <c r="I280" s="234">
        <f t="shared" si="145"/>
        <v>5420.8962892020954</v>
      </c>
      <c r="J280" s="234">
        <f t="shared" si="145"/>
        <v>5511.42525723177</v>
      </c>
      <c r="K280" s="234">
        <f t="shared" si="145"/>
        <v>5603.4660590275398</v>
      </c>
      <c r="L280" s="234">
        <f t="shared" si="145"/>
        <v>5697.0439422132995</v>
      </c>
      <c r="M280" s="234">
        <f t="shared" si="145"/>
        <v>5792.1845760482611</v>
      </c>
      <c r="N280" s="234">
        <f t="shared" si="145"/>
        <v>5888.9140584682664</v>
      </c>
      <c r="O280" s="234">
        <f t="shared" si="145"/>
        <v>5987.2589232446862</v>
      </c>
      <c r="P280" s="234">
        <f t="shared" si="145"/>
        <v>6087.246147262872</v>
      </c>
      <c r="Q280" s="234">
        <f t="shared" si="145"/>
        <v>6188.9031579221619</v>
      </c>
      <c r="R280" s="234">
        <f t="shared" si="145"/>
        <v>6292.2578406594612</v>
      </c>
      <c r="S280" s="234">
        <f t="shared" si="145"/>
        <v>6397.3385465984738</v>
      </c>
      <c r="T280" s="234">
        <f t="shared" si="145"/>
        <v>6504.1741003266679</v>
      </c>
      <c r="U280" s="234">
        <f t="shared" si="145"/>
        <v>6612.7938078021225</v>
      </c>
      <c r="V280" s="234">
        <f t="shared" si="145"/>
        <v>6723.2274643924175</v>
      </c>
      <c r="W280" s="234">
        <f t="shared" si="145"/>
        <v>6835.5053630477705</v>
      </c>
      <c r="X280" s="234">
        <f t="shared" si="145"/>
        <v>6949.6583026106682</v>
      </c>
      <c r="Y280" s="234">
        <f t="shared" si="145"/>
        <v>7065.7175962642659</v>
      </c>
      <c r="Z280" s="234">
        <f t="shared" si="145"/>
        <v>7183.7150801218786</v>
      </c>
      <c r="AA280" s="234">
        <f t="shared" si="145"/>
        <v>7303.6831219599135</v>
      </c>
      <c r="AB280" s="234">
        <f t="shared" si="145"/>
        <v>7425.6546300966438</v>
      </c>
      <c r="AC280" s="234">
        <f t="shared" si="145"/>
        <v>7549.6630624192576</v>
      </c>
      <c r="AD280" s="234">
        <f t="shared" si="145"/>
        <v>7675.7424355616586</v>
      </c>
      <c r="AE280" s="234">
        <f t="shared" si="145"/>
        <v>7803.9273342355382</v>
      </c>
      <c r="AF280" s="234">
        <f t="shared" si="145"/>
        <v>7934.2529207172711</v>
      </c>
      <c r="AG280" s="234">
        <f t="shared" si="145"/>
        <v>8066.7549444932492</v>
      </c>
      <c r="AI280" s="275"/>
    </row>
    <row r="281" spans="1:36" s="63" customFormat="1" outlineLevel="1">
      <c r="A281" s="290" t="s">
        <v>705</v>
      </c>
      <c r="B281" s="291" t="s">
        <v>127</v>
      </c>
      <c r="C281" s="292">
        <f>C278-C279-C280</f>
        <v>117369.96001291671</v>
      </c>
      <c r="D281" s="292">
        <f t="shared" ref="D281:AG281" si="146">D278-D279-D280</f>
        <v>117287.99460050535</v>
      </c>
      <c r="E281" s="292">
        <f t="shared" si="146"/>
        <v>117204.66036570672</v>
      </c>
      <c r="F281" s="292">
        <f t="shared" si="146"/>
        <v>117119.93444918694</v>
      </c>
      <c r="G281" s="292">
        <f t="shared" si="146"/>
        <v>117033.7936098613</v>
      </c>
      <c r="H281" s="292">
        <f t="shared" si="146"/>
        <v>116946.21421851892</v>
      </c>
      <c r="I281" s="292">
        <f t="shared" si="146"/>
        <v>116857.17225134111</v>
      </c>
      <c r="J281" s="292">
        <f t="shared" si="146"/>
        <v>116766.64328331144</v>
      </c>
      <c r="K281" s="292">
        <f t="shared" si="146"/>
        <v>116674.60248151566</v>
      </c>
      <c r="L281" s="292">
        <f t="shared" si="146"/>
        <v>116581.0245983299</v>
      </c>
      <c r="M281" s="292">
        <f t="shared" si="146"/>
        <v>116485.88396449495</v>
      </c>
      <c r="N281" s="292">
        <f t="shared" si="146"/>
        <v>116389.15448207494</v>
      </c>
      <c r="O281" s="292">
        <f t="shared" si="146"/>
        <v>116290.80961729851</v>
      </c>
      <c r="P281" s="292">
        <f t="shared" si="146"/>
        <v>116190.82239328032</v>
      </c>
      <c r="Q281" s="292">
        <f t="shared" si="146"/>
        <v>116089.16538262104</v>
      </c>
      <c r="R281" s="292">
        <f t="shared" si="146"/>
        <v>115985.81069988375</v>
      </c>
      <c r="S281" s="292">
        <f t="shared" si="146"/>
        <v>115880.72999394473</v>
      </c>
      <c r="T281" s="292">
        <f t="shared" si="146"/>
        <v>115773.89444021654</v>
      </c>
      <c r="U281" s="292">
        <f t="shared" si="146"/>
        <v>115665.27473274108</v>
      </c>
      <c r="V281" s="292">
        <f t="shared" si="146"/>
        <v>115554.84107615078</v>
      </c>
      <c r="W281" s="292">
        <f t="shared" si="146"/>
        <v>115442.56317749544</v>
      </c>
      <c r="X281" s="292">
        <f t="shared" si="146"/>
        <v>115328.41023793253</v>
      </c>
      <c r="Y281" s="292">
        <f t="shared" si="146"/>
        <v>115212.35094427894</v>
      </c>
      <c r="Z281" s="292">
        <f t="shared" si="146"/>
        <v>115094.35346042132</v>
      </c>
      <c r="AA281" s="292">
        <f t="shared" si="146"/>
        <v>114974.38541858329</v>
      </c>
      <c r="AB281" s="292">
        <f t="shared" si="146"/>
        <v>114852.41391044656</v>
      </c>
      <c r="AC281" s="292">
        <f t="shared" si="146"/>
        <v>114728.40547812394</v>
      </c>
      <c r="AD281" s="292">
        <f t="shared" si="146"/>
        <v>114602.32610498155</v>
      </c>
      <c r="AE281" s="292">
        <f t="shared" si="146"/>
        <v>114474.14120630766</v>
      </c>
      <c r="AF281" s="292">
        <f t="shared" si="146"/>
        <v>114343.81561982592</v>
      </c>
      <c r="AG281" s="292">
        <f t="shared" si="146"/>
        <v>114211.31359604995</v>
      </c>
      <c r="AI281" s="293"/>
      <c r="AJ281" s="294"/>
    </row>
    <row r="282" spans="1:36" outlineLevel="1">
      <c r="A282" s="106" t="s">
        <v>698</v>
      </c>
      <c r="B282" s="281" t="s">
        <v>127</v>
      </c>
      <c r="C282" s="216">
        <f>C251*C$281</f>
        <v>18779.193602066673</v>
      </c>
      <c r="D282" s="216">
        <f t="shared" ref="D282:AG282" si="147">D251*D$281</f>
        <v>19008.474324921899</v>
      </c>
      <c r="E282" s="216">
        <f t="shared" si="147"/>
        <v>19237.191588024663</v>
      </c>
      <c r="F282" s="216">
        <f t="shared" si="147"/>
        <v>19465.333105454869</v>
      </c>
      <c r="G282" s="216">
        <f t="shared" si="147"/>
        <v>19692.886338085991</v>
      </c>
      <c r="H282" s="216">
        <f t="shared" si="147"/>
        <v>19919.838488554386</v>
      </c>
      <c r="I282" s="216">
        <f t="shared" si="147"/>
        <v>20146.176496131204</v>
      </c>
      <c r="J282" s="216">
        <f t="shared" si="147"/>
        <v>20371.887031495065</v>
      </c>
      <c r="K282" s="216">
        <f t="shared" si="147"/>
        <v>20596.956491403558</v>
      </c>
      <c r="L282" s="216">
        <f t="shared" si="147"/>
        <v>20821.370993261713</v>
      </c>
      <c r="M282" s="216">
        <f t="shared" si="147"/>
        <v>21045.116369585416</v>
      </c>
      <c r="N282" s="216">
        <f t="shared" si="147"/>
        <v>21268.178162357821</v>
      </c>
      <c r="O282" s="216">
        <f t="shared" si="147"/>
        <v>21490.541617276758</v>
      </c>
      <c r="P282" s="216">
        <f t="shared" si="147"/>
        <v>21712.191677890976</v>
      </c>
      <c r="Q282" s="216">
        <f t="shared" si="147"/>
        <v>21933.112979623194</v>
      </c>
      <c r="R282" s="216">
        <f t="shared" si="147"/>
        <v>22153.289843677787</v>
      </c>
      <c r="S282" s="216">
        <f t="shared" si="147"/>
        <v>22372.706270830917</v>
      </c>
      <c r="T282" s="216">
        <f t="shared" si="147"/>
        <v>22591.345935100908</v>
      </c>
      <c r="U282" s="216">
        <f t="shared" si="147"/>
        <v>22809.192177296529</v>
      </c>
      <c r="V282" s="216">
        <f t="shared" si="147"/>
        <v>23026.227998440969</v>
      </c>
      <c r="W282" s="216">
        <f t="shared" si="147"/>
        <v>23242.436053069068</v>
      </c>
      <c r="X282" s="216">
        <f t="shared" si="147"/>
        <v>23457.798642395464</v>
      </c>
      <c r="Y282" s="216">
        <f t="shared" si="147"/>
        <v>23672.297707351165</v>
      </c>
      <c r="Z282" s="216">
        <f t="shared" si="147"/>
        <v>23885.914821486091</v>
      </c>
      <c r="AA282" s="216">
        <f t="shared" si="147"/>
        <v>24098.631183735044</v>
      </c>
      <c r="AB282" s="216">
        <f t="shared" si="147"/>
        <v>24310.427611044506</v>
      </c>
      <c r="AC282" s="216">
        <f t="shared" si="147"/>
        <v>24521.284530857673</v>
      </c>
      <c r="AD282" s="216">
        <f t="shared" si="147"/>
        <v>24731.181973455001</v>
      </c>
      <c r="AE282" s="216">
        <f t="shared" si="147"/>
        <v>24940.099564147546</v>
      </c>
      <c r="AF282" s="216">
        <f t="shared" si="147"/>
        <v>25148.016515320363</v>
      </c>
      <c r="AG282" s="216">
        <f t="shared" si="147"/>
        <v>25354.911618323091</v>
      </c>
      <c r="AI282" s="201"/>
    </row>
    <row r="283" spans="1:36" outlineLevel="1">
      <c r="A283" s="106" t="s">
        <v>697</v>
      </c>
      <c r="B283" s="281" t="s">
        <v>127</v>
      </c>
      <c r="C283" s="216">
        <f t="shared" ref="C283:AG283" si="148">C252*C$281</f>
        <v>43426.885204779181</v>
      </c>
      <c r="D283" s="216">
        <f t="shared" si="148"/>
        <v>42540.355641603295</v>
      </c>
      <c r="E283" s="216">
        <f t="shared" si="148"/>
        <v>41654.536293972174</v>
      </c>
      <c r="F283" s="216">
        <f t="shared" si="148"/>
        <v>40769.449181761986</v>
      </c>
      <c r="G283" s="216">
        <f t="shared" si="148"/>
        <v>39885.116862240742</v>
      </c>
      <c r="H283" s="216">
        <f t="shared" si="148"/>
        <v>39001.562441876071</v>
      </c>
      <c r="I283" s="216">
        <f t="shared" si="148"/>
        <v>38118.809588387485</v>
      </c>
      <c r="J283" s="216">
        <f t="shared" si="148"/>
        <v>37236.882543048036</v>
      </c>
      <c r="K283" s="216">
        <f t="shared" si="148"/>
        <v>36355.806133240301</v>
      </c>
      <c r="L283" s="216">
        <f t="shared" si="148"/>
        <v>35475.605785271815</v>
      </c>
      <c r="M283" s="216">
        <f t="shared" si="148"/>
        <v>34596.307537455032</v>
      </c>
      <c r="N283" s="216">
        <f t="shared" si="148"/>
        <v>33717.938053457146</v>
      </c>
      <c r="O283" s="216">
        <f t="shared" si="148"/>
        <v>32840.52463592514</v>
      </c>
      <c r="P283" s="216">
        <f t="shared" si="148"/>
        <v>31964.095240391456</v>
      </c>
      <c r="Q283" s="216">
        <f t="shared" si="148"/>
        <v>31088.678489465958</v>
      </c>
      <c r="R283" s="216">
        <f t="shared" si="148"/>
        <v>30214.303687319763</v>
      </c>
      <c r="S283" s="216">
        <f t="shared" si="148"/>
        <v>29341.000834466853</v>
      </c>
      <c r="T283" s="216">
        <f t="shared" si="148"/>
        <v>28468.800642849295</v>
      </c>
      <c r="U283" s="216">
        <f t="shared" si="148"/>
        <v>27597.734551232068</v>
      </c>
      <c r="V283" s="216">
        <f t="shared" si="148"/>
        <v>26727.834740913724</v>
      </c>
      <c r="W283" s="216">
        <f t="shared" si="148"/>
        <v>25859.134151759026</v>
      </c>
      <c r="X283" s="216">
        <f t="shared" si="148"/>
        <v>24991.666498560029</v>
      </c>
      <c r="Y283" s="216">
        <f t="shared" si="148"/>
        <v>24125.466287732059</v>
      </c>
      <c r="Z283" s="216">
        <f t="shared" si="148"/>
        <v>23260.568834351197</v>
      </c>
      <c r="AA283" s="216">
        <f t="shared" si="148"/>
        <v>22397.010279540074</v>
      </c>
      <c r="AB283" s="216">
        <f t="shared" si="148"/>
        <v>21534.827608208776</v>
      </c>
      <c r="AC283" s="216">
        <f t="shared" si="148"/>
        <v>20674.05866715798</v>
      </c>
      <c r="AD283" s="216">
        <f t="shared" si="148"/>
        <v>19814.742183551356</v>
      </c>
      <c r="AE283" s="216">
        <f t="shared" si="148"/>
        <v>18956.917783764595</v>
      </c>
      <c r="AF283" s="216">
        <f t="shared" si="148"/>
        <v>18100.62601261849</v>
      </c>
      <c r="AG283" s="216">
        <f t="shared" si="148"/>
        <v>17245.908353003542</v>
      </c>
      <c r="AI283" s="201"/>
    </row>
    <row r="284" spans="1:36" outlineLevel="1">
      <c r="A284" s="106" t="s">
        <v>699</v>
      </c>
      <c r="B284" s="281" t="s">
        <v>127</v>
      </c>
      <c r="C284" s="216">
        <f t="shared" ref="C284:AG284" si="149">C253*C$281</f>
        <v>9389.5968010333363</v>
      </c>
      <c r="D284" s="216">
        <f t="shared" si="149"/>
        <v>9394.7683675004791</v>
      </c>
      <c r="E284" s="216">
        <f t="shared" si="149"/>
        <v>9399.8137613296803</v>
      </c>
      <c r="F284" s="216">
        <f t="shared" si="149"/>
        <v>9404.730736269712</v>
      </c>
      <c r="G284" s="216">
        <f t="shared" si="149"/>
        <v>9409.5170062328507</v>
      </c>
      <c r="H284" s="216">
        <f t="shared" si="149"/>
        <v>9414.170244590774</v>
      </c>
      <c r="I284" s="216">
        <f t="shared" si="149"/>
        <v>9418.6880834580952</v>
      </c>
      <c r="J284" s="216">
        <f t="shared" si="149"/>
        <v>9423.0681129632358</v>
      </c>
      <c r="K284" s="216">
        <f t="shared" si="149"/>
        <v>9427.3078805064688</v>
      </c>
      <c r="L284" s="216">
        <f t="shared" si="149"/>
        <v>9431.4048900048911</v>
      </c>
      <c r="M284" s="216">
        <f t="shared" si="149"/>
        <v>9435.3566011240946</v>
      </c>
      <c r="N284" s="216">
        <f t="shared" si="149"/>
        <v>9439.1604284962814</v>
      </c>
      <c r="O284" s="216">
        <f t="shared" si="149"/>
        <v>9442.8137409246428</v>
      </c>
      <c r="P284" s="216">
        <f t="shared" si="149"/>
        <v>9446.3138605736949</v>
      </c>
      <c r="Q284" s="216">
        <f t="shared" si="149"/>
        <v>9449.6580621453577</v>
      </c>
      <c r="R284" s="216">
        <f t="shared" si="149"/>
        <v>9452.8435720405305</v>
      </c>
      <c r="S284" s="216">
        <f t="shared" si="149"/>
        <v>9455.8675675058948</v>
      </c>
      <c r="T284" s="216">
        <f t="shared" si="149"/>
        <v>9458.7271757656963</v>
      </c>
      <c r="U284" s="216">
        <f t="shared" si="149"/>
        <v>9461.4194731382267</v>
      </c>
      <c r="V284" s="216">
        <f t="shared" si="149"/>
        <v>9463.9414841367561</v>
      </c>
      <c r="W284" s="216">
        <f t="shared" si="149"/>
        <v>9466.2901805546335</v>
      </c>
      <c r="X284" s="216">
        <f t="shared" si="149"/>
        <v>9468.4624805342683</v>
      </c>
      <c r="Y284" s="216">
        <f t="shared" si="149"/>
        <v>9470.4552476197368</v>
      </c>
      <c r="Z284" s="216">
        <f t="shared" si="149"/>
        <v>9472.2652897926819</v>
      </c>
      <c r="AA284" s="216">
        <f t="shared" si="149"/>
        <v>9473.8893584912712</v>
      </c>
      <c r="AB284" s="216">
        <f t="shared" si="149"/>
        <v>9475.3241476118492</v>
      </c>
      <c r="AC284" s="216">
        <f t="shared" si="149"/>
        <v>9476.5662924930457</v>
      </c>
      <c r="AD284" s="216">
        <f t="shared" si="149"/>
        <v>9477.6123688819825</v>
      </c>
      <c r="AE284" s="216">
        <f t="shared" si="149"/>
        <v>9478.4588918822828</v>
      </c>
      <c r="AF284" s="216">
        <f t="shared" si="149"/>
        <v>9479.1023148835793</v>
      </c>
      <c r="AG284" s="216">
        <f t="shared" si="149"/>
        <v>9479.539028472147</v>
      </c>
      <c r="AI284" s="201"/>
    </row>
    <row r="285" spans="1:36" outlineLevel="1">
      <c r="A285" s="106" t="s">
        <v>700</v>
      </c>
      <c r="B285" s="281" t="s">
        <v>127</v>
      </c>
      <c r="C285" s="216">
        <f t="shared" ref="C285:AG285" si="150">C254*C$281</f>
        <v>31689.889203487513</v>
      </c>
      <c r="D285" s="216">
        <f t="shared" si="150"/>
        <v>32035.26092521803</v>
      </c>
      <c r="E285" s="216">
        <f t="shared" si="150"/>
        <v>32379.740837032576</v>
      </c>
      <c r="F285" s="216">
        <f t="shared" si="150"/>
        <v>32723.309685102828</v>
      </c>
      <c r="G285" s="216">
        <f t="shared" si="150"/>
        <v>33065.947821239475</v>
      </c>
      <c r="H285" s="216">
        <f t="shared" si="150"/>
        <v>33407.635195090232</v>
      </c>
      <c r="I285" s="216">
        <f t="shared" si="150"/>
        <v>33748.351346187308</v>
      </c>
      <c r="J285" s="216">
        <f t="shared" si="150"/>
        <v>34088.075395841377</v>
      </c>
      <c r="K285" s="216">
        <f t="shared" si="150"/>
        <v>34426.786038879211</v>
      </c>
      <c r="L285" s="216">
        <f t="shared" si="150"/>
        <v>34764.461535221963</v>
      </c>
      <c r="M285" s="216">
        <f t="shared" si="150"/>
        <v>35101.079701301132</v>
      </c>
      <c r="N285" s="216">
        <f t="shared" si="150"/>
        <v>35436.617901309073</v>
      </c>
      <c r="O285" s="216">
        <f t="shared" si="150"/>
        <v>35771.05303828101</v>
      </c>
      <c r="P285" s="216">
        <f t="shared" si="150"/>
        <v>36104.361545005289</v>
      </c>
      <c r="Q285" s="216">
        <f t="shared" si="150"/>
        <v>36436.519374758638</v>
      </c>
      <c r="R285" s="216">
        <f t="shared" si="150"/>
        <v>36767.50199186313</v>
      </c>
      <c r="S285" s="216">
        <f t="shared" si="150"/>
        <v>37097.284362061488</v>
      </c>
      <c r="T285" s="216">
        <f t="shared" si="150"/>
        <v>37425.840942707313</v>
      </c>
      <c r="U285" s="216">
        <f t="shared" si="150"/>
        <v>37753.145672766666</v>
      </c>
      <c r="V285" s="216">
        <f t="shared" si="150"/>
        <v>38079.17196262753</v>
      </c>
      <c r="W285" s="216">
        <f t="shared" si="150"/>
        <v>38403.892683713457</v>
      </c>
      <c r="X285" s="216">
        <f t="shared" si="150"/>
        <v>38727.280157897716</v>
      </c>
      <c r="Y285" s="216">
        <f t="shared" si="150"/>
        <v>39049.306146714247</v>
      </c>
      <c r="Z285" s="216">
        <f t="shared" si="150"/>
        <v>39369.941840361425</v>
      </c>
      <c r="AA285" s="216">
        <f t="shared" si="150"/>
        <v>39689.15784649492</v>
      </c>
      <c r="AB285" s="216">
        <f t="shared" si="150"/>
        <v>40006.924178805515</v>
      </c>
      <c r="AC285" s="216">
        <f t="shared" si="150"/>
        <v>40323.21024537793</v>
      </c>
      <c r="AD285" s="216">
        <f t="shared" si="150"/>
        <v>40637.984836826421</v>
      </c>
      <c r="AE285" s="216">
        <f t="shared" si="150"/>
        <v>40951.216114203089</v>
      </c>
      <c r="AF285" s="216">
        <f t="shared" si="150"/>
        <v>41262.871596674478</v>
      </c>
      <c r="AG285" s="216">
        <f t="shared" si="150"/>
        <v>41572.918148962177</v>
      </c>
      <c r="AI285" s="201"/>
    </row>
    <row r="286" spans="1:36" outlineLevel="1">
      <c r="A286" s="106" t="s">
        <v>701</v>
      </c>
      <c r="B286" s="281" t="s">
        <v>127</v>
      </c>
      <c r="C286" s="216">
        <f t="shared" ref="C286:AG286" si="151">C255*C$281</f>
        <v>8215.8972009041699</v>
      </c>
      <c r="D286" s="216">
        <f t="shared" si="151"/>
        <v>8358.7244151960149</v>
      </c>
      <c r="E286" s="216">
        <f t="shared" si="151"/>
        <v>8501.2446985259285</v>
      </c>
      <c r="F286" s="216">
        <f t="shared" si="151"/>
        <v>8643.4511623499966</v>
      </c>
      <c r="G286" s="216">
        <f t="shared" si="151"/>
        <v>8785.3367736469227</v>
      </c>
      <c r="H286" s="216">
        <f t="shared" si="151"/>
        <v>8926.8943520136108</v>
      </c>
      <c r="I286" s="216">
        <f t="shared" si="151"/>
        <v>9068.1165667040696</v>
      </c>
      <c r="J286" s="216">
        <f t="shared" si="151"/>
        <v>9208.9959336104948</v>
      </c>
      <c r="K286" s="216">
        <f t="shared" si="151"/>
        <v>9349.5248121854547</v>
      </c>
      <c r="L286" s="216">
        <f t="shared" si="151"/>
        <v>9489.6954023040544</v>
      </c>
      <c r="M286" s="216">
        <f t="shared" si="151"/>
        <v>9629.4997410649157</v>
      </c>
      <c r="N286" s="216">
        <f t="shared" si="151"/>
        <v>9768.9296995288223</v>
      </c>
      <c r="O286" s="216">
        <f t="shared" si="151"/>
        <v>9907.9769793938322</v>
      </c>
      <c r="P286" s="216">
        <f t="shared" si="151"/>
        <v>10046.633109605638</v>
      </c>
      <c r="Q286" s="216">
        <f t="shared" si="151"/>
        <v>10184.889442901953</v>
      </c>
      <c r="R286" s="216">
        <f t="shared" si="151"/>
        <v>10322.737152289654</v>
      </c>
      <c r="S286" s="216">
        <f t="shared" si="151"/>
        <v>10460.16722745341</v>
      </c>
      <c r="T286" s="216">
        <f t="shared" si="151"/>
        <v>10597.170471094487</v>
      </c>
      <c r="U286" s="216">
        <f t="shared" si="151"/>
        <v>10733.737495198371</v>
      </c>
      <c r="V286" s="216">
        <f t="shared" si="151"/>
        <v>10869.858717229916</v>
      </c>
      <c r="W286" s="216">
        <f t="shared" si="151"/>
        <v>11005.524356254564</v>
      </c>
      <c r="X286" s="216">
        <f t="shared" si="151"/>
        <v>11140.724428984282</v>
      </c>
      <c r="Y286" s="216">
        <f t="shared" si="151"/>
        <v>11275.448745746764</v>
      </c>
      <c r="Z286" s="216">
        <f t="shared" si="151"/>
        <v>11409.686906376432</v>
      </c>
      <c r="AA286" s="216">
        <f t="shared" si="151"/>
        <v>11543.428296025761</v>
      </c>
      <c r="AB286" s="216">
        <f t="shared" si="151"/>
        <v>11676.662080895399</v>
      </c>
      <c r="AC286" s="216">
        <f t="shared" si="151"/>
        <v>11809.377203881557</v>
      </c>
      <c r="AD286" s="216">
        <f t="shared" si="151"/>
        <v>11941.562380139076</v>
      </c>
      <c r="AE286" s="216">
        <f t="shared" si="151"/>
        <v>12073.206092558579</v>
      </c>
      <c r="AF286" s="216">
        <f t="shared" si="151"/>
        <v>12204.296587156085</v>
      </c>
      <c r="AG286" s="216">
        <f t="shared" si="151"/>
        <v>12334.821868373394</v>
      </c>
      <c r="AI286" s="201"/>
    </row>
    <row r="287" spans="1:36" outlineLevel="1">
      <c r="A287" s="106" t="s">
        <v>702</v>
      </c>
      <c r="B287" s="281" t="s">
        <v>127</v>
      </c>
      <c r="C287" s="216">
        <f t="shared" ref="C287:AG287" si="152">C256*C$281</f>
        <v>5868.4980006458354</v>
      </c>
      <c r="D287" s="216">
        <f t="shared" si="152"/>
        <v>5950.4109260656387</v>
      </c>
      <c r="E287" s="216">
        <f t="shared" si="152"/>
        <v>6032.1331868217067</v>
      </c>
      <c r="F287" s="216">
        <f t="shared" si="152"/>
        <v>6113.6605782475599</v>
      </c>
      <c r="G287" s="216">
        <f t="shared" si="152"/>
        <v>6194.9888084153263</v>
      </c>
      <c r="H287" s="216">
        <f t="shared" si="152"/>
        <v>6276.1134963938503</v>
      </c>
      <c r="I287" s="216">
        <f t="shared" si="152"/>
        <v>6357.0301704729582</v>
      </c>
      <c r="J287" s="216">
        <f t="shared" si="152"/>
        <v>6437.7342663532399</v>
      </c>
      <c r="K287" s="216">
        <f t="shared" si="152"/>
        <v>6518.2211253006772</v>
      </c>
      <c r="L287" s="216">
        <f t="shared" si="152"/>
        <v>6598.485992265475</v>
      </c>
      <c r="M287" s="216">
        <f t="shared" si="152"/>
        <v>6678.5240139643802</v>
      </c>
      <c r="N287" s="216">
        <f t="shared" si="152"/>
        <v>6758.3302369258217</v>
      </c>
      <c r="O287" s="216">
        <f t="shared" si="152"/>
        <v>6837.8996054971558</v>
      </c>
      <c r="P287" s="216">
        <f t="shared" si="152"/>
        <v>6917.2269598132925</v>
      </c>
      <c r="Q287" s="216">
        <f t="shared" si="152"/>
        <v>6996.307033725966</v>
      </c>
      <c r="R287" s="216">
        <f t="shared" si="152"/>
        <v>7075.1344526929133</v>
      </c>
      <c r="S287" s="216">
        <f t="shared" si="152"/>
        <v>7153.7037316261931</v>
      </c>
      <c r="T287" s="216">
        <f t="shared" si="152"/>
        <v>7232.0092726988651</v>
      </c>
      <c r="U287" s="216">
        <f t="shared" si="152"/>
        <v>7310.0453631092414</v>
      </c>
      <c r="V287" s="216">
        <f t="shared" si="152"/>
        <v>7387.8061728019129</v>
      </c>
      <c r="W287" s="216">
        <f t="shared" si="152"/>
        <v>7465.2857521447113</v>
      </c>
      <c r="X287" s="216">
        <f t="shared" si="152"/>
        <v>7542.4780295607943</v>
      </c>
      <c r="Y287" s="216">
        <f t="shared" si="152"/>
        <v>7619.3768091149868</v>
      </c>
      <c r="Z287" s="216">
        <f t="shared" si="152"/>
        <v>7695.9757680535122</v>
      </c>
      <c r="AA287" s="216">
        <f t="shared" si="152"/>
        <v>7772.2684542962379</v>
      </c>
      <c r="AB287" s="216">
        <f t="shared" si="152"/>
        <v>7848.2482838805226</v>
      </c>
      <c r="AC287" s="216">
        <f t="shared" si="152"/>
        <v>7923.9085383557676</v>
      </c>
      <c r="AD287" s="216">
        <f t="shared" si="152"/>
        <v>7999.2423621277203</v>
      </c>
      <c r="AE287" s="216">
        <f t="shared" si="152"/>
        <v>8074.2427597515752</v>
      </c>
      <c r="AF287" s="216">
        <f t="shared" si="152"/>
        <v>8148.9025931729366</v>
      </c>
      <c r="AG287" s="216">
        <f t="shared" si="152"/>
        <v>8223.2145789155966</v>
      </c>
      <c r="AI287" s="201"/>
    </row>
    <row r="288" spans="1:36" s="55" customFormat="1">
      <c r="A288" s="55" t="s">
        <v>704</v>
      </c>
      <c r="B288" s="282"/>
      <c r="C288" s="283">
        <f>C44</f>
        <v>122278.0685405432</v>
      </c>
      <c r="D288" s="283">
        <f t="shared" ref="D288:AG288" si="153">D44</f>
        <v>122262.71871460411</v>
      </c>
      <c r="E288" s="283">
        <f t="shared" si="153"/>
        <v>122247.36888866502</v>
      </c>
      <c r="F288" s="283">
        <f t="shared" si="153"/>
        <v>122232.01906272593</v>
      </c>
      <c r="G288" s="283">
        <f t="shared" si="153"/>
        <v>122216.66923678684</v>
      </c>
      <c r="H288" s="283">
        <f t="shared" si="153"/>
        <v>122201.31941084775</v>
      </c>
      <c r="I288" s="283">
        <f t="shared" si="153"/>
        <v>121871.18927123261</v>
      </c>
      <c r="J288" s="283">
        <f t="shared" si="153"/>
        <v>121541.0591316175</v>
      </c>
      <c r="K288" s="283">
        <f t="shared" si="153"/>
        <v>121210.92899200236</v>
      </c>
      <c r="L288" s="283">
        <f t="shared" si="153"/>
        <v>120880.79885238725</v>
      </c>
      <c r="M288" s="283">
        <f t="shared" si="153"/>
        <v>120550.66871277214</v>
      </c>
      <c r="N288" s="283">
        <f t="shared" si="153"/>
        <v>120201.1862353269</v>
      </c>
      <c r="O288" s="283">
        <f t="shared" si="153"/>
        <v>119851.70375788167</v>
      </c>
      <c r="P288" s="283">
        <f t="shared" si="153"/>
        <v>119494.04803123978</v>
      </c>
      <c r="Q288" s="283">
        <f t="shared" si="153"/>
        <v>119136.26716837546</v>
      </c>
      <c r="R288" s="283">
        <f t="shared" si="153"/>
        <v>118778.36116928868</v>
      </c>
      <c r="S288" s="283">
        <f t="shared" si="153"/>
        <v>118420.43886495697</v>
      </c>
      <c r="T288" s="283">
        <f t="shared" si="153"/>
        <v>118062.39142440278</v>
      </c>
      <c r="U288" s="283">
        <f t="shared" si="153"/>
        <v>117704.21884762615</v>
      </c>
      <c r="V288" s="283">
        <f t="shared" si="153"/>
        <v>117345.92113462705</v>
      </c>
      <c r="W288" s="283">
        <f t="shared" si="153"/>
        <v>116987.49828540548</v>
      </c>
      <c r="X288" s="283">
        <f t="shared" si="153"/>
        <v>116629.00869580157</v>
      </c>
      <c r="Y288" s="283">
        <f t="shared" si="153"/>
        <v>116270.39396997521</v>
      </c>
      <c r="Z288" s="283">
        <f t="shared" si="153"/>
        <v>115881.24948187466</v>
      </c>
      <c r="AA288" s="283">
        <f t="shared" si="153"/>
        <v>115491.16647210566</v>
      </c>
      <c r="AB288" s="283">
        <f t="shared" si="153"/>
        <v>115100.14494066822</v>
      </c>
      <c r="AC288" s="283">
        <f t="shared" si="153"/>
        <v>114698.60347105413</v>
      </c>
      <c r="AD288" s="283">
        <f t="shared" si="153"/>
        <v>114296.1234797716</v>
      </c>
      <c r="AE288" s="283">
        <f t="shared" si="153"/>
        <v>113892.7049668206</v>
      </c>
      <c r="AF288" s="283">
        <f t="shared" si="153"/>
        <v>113488.34793220117</v>
      </c>
      <c r="AG288" s="283">
        <f t="shared" si="153"/>
        <v>113083.05237591325</v>
      </c>
      <c r="AI288" s="284"/>
      <c r="AJ288" s="285"/>
    </row>
    <row r="289" spans="1:36" s="55" customFormat="1">
      <c r="A289" s="286" t="s">
        <v>173</v>
      </c>
      <c r="B289" s="287" t="s">
        <v>127</v>
      </c>
      <c r="C289" s="288">
        <f>C288-C278</f>
        <v>0</v>
      </c>
      <c r="D289" s="288">
        <f t="shared" ref="D289:AF289" si="154">D288-D278</f>
        <v>-15.349825939090806</v>
      </c>
      <c r="E289" s="288">
        <f t="shared" si="154"/>
        <v>-30.699651878181612</v>
      </c>
      <c r="F289" s="288">
        <f t="shared" si="154"/>
        <v>-46.049477817272418</v>
      </c>
      <c r="G289" s="288">
        <f t="shared" si="154"/>
        <v>-61.399303756363224</v>
      </c>
      <c r="H289" s="288">
        <f t="shared" si="154"/>
        <v>-76.74912969545403</v>
      </c>
      <c r="I289" s="288">
        <f t="shared" si="154"/>
        <v>-406.87926931059337</v>
      </c>
      <c r="J289" s="288">
        <f t="shared" si="154"/>
        <v>-737.00940892570361</v>
      </c>
      <c r="K289" s="288">
        <f t="shared" si="154"/>
        <v>-1067.139548540843</v>
      </c>
      <c r="L289" s="288">
        <f t="shared" si="154"/>
        <v>-1397.2696881559532</v>
      </c>
      <c r="M289" s="288">
        <f t="shared" si="154"/>
        <v>-1727.3998277710634</v>
      </c>
      <c r="N289" s="288">
        <f t="shared" si="154"/>
        <v>-2076.8823052163061</v>
      </c>
      <c r="O289" s="288">
        <f t="shared" si="154"/>
        <v>-2426.3647826615343</v>
      </c>
      <c r="P289" s="288">
        <f t="shared" si="154"/>
        <v>-2784.0205093034165</v>
      </c>
      <c r="Q289" s="288">
        <f t="shared" si="154"/>
        <v>-3141.8013721677416</v>
      </c>
      <c r="R289" s="288">
        <f t="shared" si="154"/>
        <v>-3499.7073712545243</v>
      </c>
      <c r="S289" s="288">
        <f t="shared" si="154"/>
        <v>-3857.6296755862277</v>
      </c>
      <c r="T289" s="288">
        <f t="shared" si="154"/>
        <v>-4215.6771161404176</v>
      </c>
      <c r="U289" s="288">
        <f t="shared" si="154"/>
        <v>-4573.8496929170506</v>
      </c>
      <c r="V289" s="288">
        <f t="shared" si="154"/>
        <v>-4932.1474059161555</v>
      </c>
      <c r="W289" s="288">
        <f t="shared" si="154"/>
        <v>-5290.570255137718</v>
      </c>
      <c r="X289" s="288">
        <f t="shared" si="154"/>
        <v>-5649.0598447416269</v>
      </c>
      <c r="Y289" s="288">
        <f t="shared" si="154"/>
        <v>-6007.6745705679932</v>
      </c>
      <c r="Z289" s="288">
        <f t="shared" si="154"/>
        <v>-6396.8190586685378</v>
      </c>
      <c r="AA289" s="288">
        <f t="shared" si="154"/>
        <v>-6786.9020684375428</v>
      </c>
      <c r="AB289" s="288">
        <f t="shared" si="154"/>
        <v>-7177.9235998749791</v>
      </c>
      <c r="AC289" s="288">
        <f t="shared" si="154"/>
        <v>-7579.4650694890734</v>
      </c>
      <c r="AD289" s="288">
        <f t="shared" si="154"/>
        <v>-7981.9450607715989</v>
      </c>
      <c r="AE289" s="288">
        <f t="shared" si="154"/>
        <v>-8385.3635737225995</v>
      </c>
      <c r="AF289" s="288">
        <f t="shared" si="154"/>
        <v>-8789.7206083420315</v>
      </c>
      <c r="AG289" s="288">
        <f>AG288-AG278</f>
        <v>-9195.016164629953</v>
      </c>
      <c r="AI289" s="284"/>
      <c r="AJ289" s="285"/>
    </row>
    <row r="290" spans="1:36">
      <c r="A290" s="289" t="s">
        <v>696</v>
      </c>
      <c r="B290" s="281" t="s">
        <v>127</v>
      </c>
      <c r="C290" s="234">
        <f>C246</f>
        <v>4908.1085276264903</v>
      </c>
      <c r="D290" s="234">
        <f t="shared" ref="D290:AG290" si="155">D246</f>
        <v>5212.339080741438</v>
      </c>
      <c r="E290" s="234">
        <f t="shared" si="155"/>
        <v>5523.2189495421462</v>
      </c>
      <c r="F290" s="234">
        <f t="shared" si="155"/>
        <v>5840.7321734641682</v>
      </c>
      <c r="G290" s="234">
        <f t="shared" si="155"/>
        <v>6164.862791943061</v>
      </c>
      <c r="H290" s="234">
        <f t="shared" si="155"/>
        <v>6495.5948444143824</v>
      </c>
      <c r="I290" s="234">
        <f t="shared" si="155"/>
        <v>6812.8661396873795</v>
      </c>
      <c r="J290" s="234">
        <f t="shared" si="155"/>
        <v>7135.2810640949683</v>
      </c>
      <c r="K290" s="234">
        <f t="shared" si="155"/>
        <v>7462.8236570727004</v>
      </c>
      <c r="L290" s="234">
        <f t="shared" si="155"/>
        <v>7795.477958056139</v>
      </c>
      <c r="M290" s="234">
        <f t="shared" si="155"/>
        <v>8133.2280064808347</v>
      </c>
      <c r="N290" s="234">
        <f t="shared" si="155"/>
        <v>8793.1647262852221</v>
      </c>
      <c r="O290" s="234">
        <f t="shared" si="155"/>
        <v>9463.564630761899</v>
      </c>
      <c r="P290" s="234">
        <f t="shared" si="155"/>
        <v>10143.743386124985</v>
      </c>
      <c r="Q290" s="234">
        <f t="shared" si="155"/>
        <v>10834.067598016694</v>
      </c>
      <c r="R290" s="234">
        <f t="shared" si="155"/>
        <v>11534.44936989541</v>
      </c>
      <c r="S290" s="234">
        <f t="shared" si="155"/>
        <v>12244.828448840577</v>
      </c>
      <c r="T290" s="234">
        <f t="shared" si="155"/>
        <v>12965.091103904833</v>
      </c>
      <c r="U290" s="234">
        <f t="shared" si="155"/>
        <v>13695.148689178286</v>
      </c>
      <c r="V290" s="234">
        <f t="shared" si="155"/>
        <v>14434.912308961617</v>
      </c>
      <c r="W290" s="234">
        <f t="shared" si="155"/>
        <v>15184.29281776608</v>
      </c>
      <c r="X290" s="234">
        <f t="shared" si="155"/>
        <v>16386.223596013733</v>
      </c>
      <c r="Y290" s="234">
        <f t="shared" si="155"/>
        <v>17604.423969066891</v>
      </c>
      <c r="Z290" s="234">
        <f t="shared" si="155"/>
        <v>18832.564943441808</v>
      </c>
      <c r="AA290" s="234">
        <f t="shared" si="155"/>
        <v>20075.304142043071</v>
      </c>
      <c r="AB290" s="234">
        <f t="shared" si="155"/>
        <v>21332.391318143684</v>
      </c>
      <c r="AC290" s="234">
        <f t="shared" si="155"/>
        <v>22601.948770066148</v>
      </c>
      <c r="AD290" s="234">
        <f t="shared" si="155"/>
        <v>23885.190248206804</v>
      </c>
      <c r="AE290" s="234">
        <f t="shared" si="155"/>
        <v>25181.856102103673</v>
      </c>
      <c r="AF290" s="234">
        <f t="shared" si="155"/>
        <v>26491.683546716482</v>
      </c>
      <c r="AG290" s="234">
        <f t="shared" si="155"/>
        <v>27814.406662426591</v>
      </c>
      <c r="AI290" s="275"/>
    </row>
    <row r="291" spans="1:36" s="63" customFormat="1">
      <c r="A291" s="290" t="s">
        <v>705</v>
      </c>
      <c r="B291" s="291" t="s">
        <v>127</v>
      </c>
      <c r="C291" s="292">
        <f>C288-C290</f>
        <v>117369.96001291671</v>
      </c>
      <c r="D291" s="292">
        <f t="shared" ref="D291:AG291" si="156">D288-D290</f>
        <v>117050.37963386267</v>
      </c>
      <c r="E291" s="292">
        <f t="shared" si="156"/>
        <v>116724.14993912287</v>
      </c>
      <c r="F291" s="292">
        <f t="shared" si="156"/>
        <v>116391.28688926176</v>
      </c>
      <c r="G291" s="292">
        <f t="shared" si="156"/>
        <v>116051.80644484378</v>
      </c>
      <c r="H291" s="292">
        <f t="shared" si="156"/>
        <v>115705.72456643336</v>
      </c>
      <c r="I291" s="292">
        <f t="shared" si="156"/>
        <v>115058.32313154523</v>
      </c>
      <c r="J291" s="292">
        <f t="shared" si="156"/>
        <v>114405.77806752254</v>
      </c>
      <c r="K291" s="292">
        <f t="shared" si="156"/>
        <v>113748.10533492966</v>
      </c>
      <c r="L291" s="292">
        <f t="shared" si="156"/>
        <v>113085.3208943311</v>
      </c>
      <c r="M291" s="292">
        <f t="shared" si="156"/>
        <v>112417.44070629131</v>
      </c>
      <c r="N291" s="292">
        <f t="shared" si="156"/>
        <v>111408.02150904168</v>
      </c>
      <c r="O291" s="292">
        <f t="shared" si="156"/>
        <v>110388.13912711976</v>
      </c>
      <c r="P291" s="292">
        <f t="shared" si="156"/>
        <v>109350.3046451148</v>
      </c>
      <c r="Q291" s="292">
        <f t="shared" si="156"/>
        <v>108302.19957035876</v>
      </c>
      <c r="R291" s="292">
        <f t="shared" si="156"/>
        <v>107243.91179939327</v>
      </c>
      <c r="S291" s="292">
        <f t="shared" si="156"/>
        <v>106175.6104161164</v>
      </c>
      <c r="T291" s="292">
        <f t="shared" si="156"/>
        <v>105097.30032049795</v>
      </c>
      <c r="U291" s="292">
        <f t="shared" si="156"/>
        <v>104009.07015844787</v>
      </c>
      <c r="V291" s="292">
        <f t="shared" si="156"/>
        <v>102911.00882566543</v>
      </c>
      <c r="W291" s="292">
        <f t="shared" si="156"/>
        <v>101803.2054676394</v>
      </c>
      <c r="X291" s="292">
        <f t="shared" si="156"/>
        <v>100242.78509978784</v>
      </c>
      <c r="Y291" s="292">
        <f t="shared" si="156"/>
        <v>98665.970000908317</v>
      </c>
      <c r="Z291" s="292">
        <f t="shared" si="156"/>
        <v>97048.684538432863</v>
      </c>
      <c r="AA291" s="292">
        <f t="shared" si="156"/>
        <v>95415.862330062591</v>
      </c>
      <c r="AB291" s="292">
        <f t="shared" si="156"/>
        <v>93767.753622524542</v>
      </c>
      <c r="AC291" s="292">
        <f t="shared" si="156"/>
        <v>92096.654700987972</v>
      </c>
      <c r="AD291" s="292">
        <f t="shared" si="156"/>
        <v>90410.933231564792</v>
      </c>
      <c r="AE291" s="292">
        <f t="shared" si="156"/>
        <v>88710.848864716929</v>
      </c>
      <c r="AF291" s="292">
        <f t="shared" si="156"/>
        <v>86996.664385484692</v>
      </c>
      <c r="AG291" s="292">
        <f t="shared" si="156"/>
        <v>85268.64571348665</v>
      </c>
      <c r="AI291" s="293"/>
      <c r="AJ291" s="294"/>
    </row>
    <row r="292" spans="1:36" s="55" customFormat="1" outlineLevel="1">
      <c r="A292" s="286" t="s">
        <v>732</v>
      </c>
      <c r="B292" s="287" t="s">
        <v>126</v>
      </c>
      <c r="C292" s="288">
        <f>C288*C258</f>
        <v>102713.57757405628</v>
      </c>
      <c r="D292" s="288">
        <f t="shared" ref="D292:AG292" si="157">D288*D258</f>
        <v>103189.73459512586</v>
      </c>
      <c r="E292" s="288">
        <f t="shared" si="157"/>
        <v>103665.76881758793</v>
      </c>
      <c r="F292" s="288">
        <f t="shared" si="157"/>
        <v>104141.68024144249</v>
      </c>
      <c r="G292" s="288">
        <f t="shared" si="157"/>
        <v>104617.46886668954</v>
      </c>
      <c r="H292" s="288">
        <f t="shared" si="157"/>
        <v>105093.13469332906</v>
      </c>
      <c r="I292" s="288">
        <f t="shared" si="157"/>
        <v>105296.70753034497</v>
      </c>
      <c r="J292" s="288">
        <f t="shared" si="157"/>
        <v>105497.63932624398</v>
      </c>
      <c r="K292" s="288">
        <f t="shared" si="157"/>
        <v>105695.93008102606</v>
      </c>
      <c r="L292" s="288">
        <f t="shared" si="157"/>
        <v>105891.57979469124</v>
      </c>
      <c r="M292" s="288">
        <f t="shared" si="157"/>
        <v>106084.58846723947</v>
      </c>
      <c r="N292" s="288">
        <f t="shared" si="157"/>
        <v>106257.84863202898</v>
      </c>
      <c r="O292" s="288">
        <f t="shared" si="157"/>
        <v>106428.31293699892</v>
      </c>
      <c r="P292" s="288">
        <f t="shared" si="157"/>
        <v>106588.69084386589</v>
      </c>
      <c r="Q292" s="288">
        <f t="shared" si="157"/>
        <v>106746.09538286441</v>
      </c>
      <c r="R292" s="288">
        <f t="shared" si="157"/>
        <v>106900.52505235981</v>
      </c>
      <c r="S292" s="288">
        <f t="shared" si="157"/>
        <v>107052.0767339211</v>
      </c>
      <c r="T292" s="288">
        <f t="shared" si="157"/>
        <v>107200.65141335773</v>
      </c>
      <c r="U292" s="288">
        <f t="shared" si="157"/>
        <v>107346.24758903505</v>
      </c>
      <c r="V292" s="288">
        <f t="shared" si="157"/>
        <v>107488.86375931838</v>
      </c>
      <c r="W292" s="288">
        <f t="shared" si="157"/>
        <v>107628.49842257304</v>
      </c>
      <c r="X292" s="288">
        <f t="shared" si="157"/>
        <v>107765.20403492067</v>
      </c>
      <c r="Y292" s="288">
        <f t="shared" si="157"/>
        <v>107898.925604137</v>
      </c>
      <c r="Z292" s="288">
        <f t="shared" si="157"/>
        <v>108001.32451710719</v>
      </c>
      <c r="AA292" s="288">
        <f t="shared" si="157"/>
        <v>108099.7318178909</v>
      </c>
      <c r="AB292" s="288">
        <f t="shared" si="157"/>
        <v>108194.13624422814</v>
      </c>
      <c r="AC292" s="288">
        <f t="shared" si="157"/>
        <v>108275.4816766751</v>
      </c>
      <c r="AD292" s="288">
        <f t="shared" si="157"/>
        <v>108352.72505882349</v>
      </c>
      <c r="AE292" s="288">
        <f t="shared" si="157"/>
        <v>108425.85512841323</v>
      </c>
      <c r="AF292" s="288">
        <f t="shared" si="157"/>
        <v>108494.86062318433</v>
      </c>
      <c r="AG292" s="288">
        <f t="shared" si="157"/>
        <v>108559.73028087671</v>
      </c>
      <c r="AI292" s="284"/>
      <c r="AJ292" s="316" t="s">
        <v>1624</v>
      </c>
    </row>
    <row r="293" spans="1:36" s="55" customFormat="1" outlineLevel="1">
      <c r="A293" s="286" t="s">
        <v>743</v>
      </c>
      <c r="B293" s="287" t="s">
        <v>126</v>
      </c>
      <c r="C293" s="288">
        <f>C292*C259</f>
        <v>22596.987066292382</v>
      </c>
      <c r="D293" s="288">
        <f t="shared" ref="D293:AG293" si="158">D292*D259</f>
        <v>23389.673174895193</v>
      </c>
      <c r="E293" s="288">
        <f t="shared" si="158"/>
        <v>24188.679390770514</v>
      </c>
      <c r="F293" s="288">
        <f t="shared" si="158"/>
        <v>24994.003257946195</v>
      </c>
      <c r="G293" s="288">
        <f t="shared" si="158"/>
        <v>25805.642320450082</v>
      </c>
      <c r="H293" s="288">
        <f t="shared" si="158"/>
        <v>26623.594122310027</v>
      </c>
      <c r="I293" s="288">
        <f t="shared" si="158"/>
        <v>27377.143957889686</v>
      </c>
      <c r="J293" s="288">
        <f t="shared" si="158"/>
        <v>28132.703820331721</v>
      </c>
      <c r="K293" s="288">
        <f t="shared" si="158"/>
        <v>28890.220888813783</v>
      </c>
      <c r="L293" s="288">
        <f t="shared" si="158"/>
        <v>29649.642342513536</v>
      </c>
      <c r="M293" s="288">
        <f t="shared" si="158"/>
        <v>30410.91536060864</v>
      </c>
      <c r="N293" s="288">
        <f t="shared" si="158"/>
        <v>31168.968932061824</v>
      </c>
      <c r="O293" s="288">
        <f t="shared" si="158"/>
        <v>31928.493881099661</v>
      </c>
      <c r="P293" s="288">
        <f t="shared" si="158"/>
        <v>32687.19852545219</v>
      </c>
      <c r="Q293" s="288">
        <f t="shared" si="158"/>
        <v>33447.109886630831</v>
      </c>
      <c r="R293" s="288">
        <f t="shared" si="158"/>
        <v>34208.168016755124</v>
      </c>
      <c r="S293" s="288">
        <f t="shared" si="158"/>
        <v>34970.345066414207</v>
      </c>
      <c r="T293" s="288">
        <f t="shared" si="158"/>
        <v>35733.550471119226</v>
      </c>
      <c r="U293" s="288">
        <f t="shared" si="158"/>
        <v>36497.724180271893</v>
      </c>
      <c r="V293" s="288">
        <f t="shared" si="158"/>
        <v>37262.806103230352</v>
      </c>
      <c r="W293" s="288">
        <f t="shared" si="158"/>
        <v>38028.736109309117</v>
      </c>
      <c r="X293" s="288">
        <f t="shared" si="158"/>
        <v>38795.473452571416</v>
      </c>
      <c r="Y293" s="288">
        <f t="shared" si="158"/>
        <v>39562.939388183535</v>
      </c>
      <c r="Z293" s="288">
        <f t="shared" si="158"/>
        <v>40320.494486386655</v>
      </c>
      <c r="AA293" s="288">
        <f t="shared" si="158"/>
        <v>41077.898090798517</v>
      </c>
      <c r="AB293" s="288">
        <f t="shared" si="158"/>
        <v>41835.066014434851</v>
      </c>
      <c r="AC293" s="288">
        <f t="shared" si="158"/>
        <v>42588.35612615884</v>
      </c>
      <c r="AD293" s="288">
        <f t="shared" si="158"/>
        <v>43341.090023529359</v>
      </c>
      <c r="AE293" s="288">
        <f t="shared" si="158"/>
        <v>44093.181085554679</v>
      </c>
      <c r="AF293" s="288">
        <f t="shared" si="158"/>
        <v>44844.542390916155</v>
      </c>
      <c r="AG293" s="288">
        <f t="shared" si="158"/>
        <v>45595.086717968217</v>
      </c>
      <c r="AI293" s="284"/>
      <c r="AJ293" s="316" t="s">
        <v>1625</v>
      </c>
    </row>
    <row r="294" spans="1:36" s="59" customFormat="1" outlineLevel="1">
      <c r="A294" s="290" t="s">
        <v>744</v>
      </c>
      <c r="B294" s="291" t="s">
        <v>126</v>
      </c>
      <c r="C294" s="292">
        <f>C292*C260</f>
        <v>80116.590507763904</v>
      </c>
      <c r="D294" s="292">
        <f t="shared" ref="D294:AG294" si="159">D292*D260</f>
        <v>79800.061420230661</v>
      </c>
      <c r="E294" s="292">
        <f t="shared" si="159"/>
        <v>79477.089426817416</v>
      </c>
      <c r="F294" s="292">
        <f t="shared" si="159"/>
        <v>79147.676983496291</v>
      </c>
      <c r="G294" s="292">
        <f t="shared" si="159"/>
        <v>78811.826546239463</v>
      </c>
      <c r="H294" s="292">
        <f t="shared" si="159"/>
        <v>78469.540571019039</v>
      </c>
      <c r="I294" s="292">
        <f t="shared" si="159"/>
        <v>77919.56357245527</v>
      </c>
      <c r="J294" s="292">
        <f t="shared" si="159"/>
        <v>77364.935505912261</v>
      </c>
      <c r="K294" s="292">
        <f t="shared" si="159"/>
        <v>76805.709192212278</v>
      </c>
      <c r="L294" s="292">
        <f t="shared" si="159"/>
        <v>76241.937452177692</v>
      </c>
      <c r="M294" s="292">
        <f t="shared" si="159"/>
        <v>75673.673106630828</v>
      </c>
      <c r="N294" s="292">
        <f t="shared" si="159"/>
        <v>75088.879699967161</v>
      </c>
      <c r="O294" s="292">
        <f t="shared" si="159"/>
        <v>74499.819055899265</v>
      </c>
      <c r="P294" s="292">
        <f t="shared" si="159"/>
        <v>73901.492318413701</v>
      </c>
      <c r="Q294" s="292">
        <f t="shared" si="159"/>
        <v>73298.985496233567</v>
      </c>
      <c r="R294" s="292">
        <f t="shared" si="159"/>
        <v>72692.357035604684</v>
      </c>
      <c r="S294" s="292">
        <f t="shared" si="159"/>
        <v>72081.731667506901</v>
      </c>
      <c r="T294" s="292">
        <f t="shared" si="159"/>
        <v>71467.10094223851</v>
      </c>
      <c r="U294" s="292">
        <f t="shared" si="159"/>
        <v>70848.52340876314</v>
      </c>
      <c r="V294" s="292">
        <f t="shared" si="159"/>
        <v>70226.057656088029</v>
      </c>
      <c r="W294" s="292">
        <f t="shared" si="159"/>
        <v>69599.762313263927</v>
      </c>
      <c r="X294" s="292">
        <f t="shared" si="159"/>
        <v>68969.73058234925</v>
      </c>
      <c r="Y294" s="292">
        <f t="shared" si="159"/>
        <v>68335.986215953453</v>
      </c>
      <c r="Z294" s="292">
        <f t="shared" si="159"/>
        <v>67680.830030720535</v>
      </c>
      <c r="AA294" s="292">
        <f t="shared" si="159"/>
        <v>67021.833727092395</v>
      </c>
      <c r="AB294" s="292">
        <f t="shared" si="159"/>
        <v>66359.070229793288</v>
      </c>
      <c r="AC294" s="292">
        <f t="shared" si="159"/>
        <v>65687.125550516255</v>
      </c>
      <c r="AD294" s="292">
        <f t="shared" si="159"/>
        <v>65011.63503529413</v>
      </c>
      <c r="AE294" s="292">
        <f t="shared" si="159"/>
        <v>64332.674042858554</v>
      </c>
      <c r="AF294" s="292">
        <f t="shared" si="159"/>
        <v>63650.318232268175</v>
      </c>
      <c r="AG294" s="292">
        <f t="shared" si="159"/>
        <v>62964.643562908503</v>
      </c>
      <c r="AI294" s="319"/>
      <c r="AJ294" s="318" t="s">
        <v>1626</v>
      </c>
    </row>
    <row r="295" spans="1:36" s="1" customFormat="1" outlineLevel="1">
      <c r="A295" t="s">
        <v>725</v>
      </c>
      <c r="B295" s="281" t="s">
        <v>127</v>
      </c>
      <c r="C295" s="234">
        <f>C261*C292</f>
        <v>87306.540937947837</v>
      </c>
      <c r="D295" s="234">
        <f t="shared" ref="D295:AG295" si="160">D261*D292</f>
        <v>87539.291514865094</v>
      </c>
      <c r="E295" s="234">
        <f t="shared" si="160"/>
        <v>87770.350932224435</v>
      </c>
      <c r="F295" s="234">
        <f t="shared" si="160"/>
        <v>87999.719804018896</v>
      </c>
      <c r="G295" s="234">
        <f t="shared" si="160"/>
        <v>88227.398744241495</v>
      </c>
      <c r="H295" s="234">
        <f t="shared" si="160"/>
        <v>88453.388366885265</v>
      </c>
      <c r="I295" s="234">
        <f t="shared" si="160"/>
        <v>88449.234325489742</v>
      </c>
      <c r="J295" s="234">
        <f t="shared" si="160"/>
        <v>88442.187635167837</v>
      </c>
      <c r="K295" s="234">
        <f t="shared" si="160"/>
        <v>88432.261501125104</v>
      </c>
      <c r="L295" s="234">
        <f t="shared" si="160"/>
        <v>88419.469128567143</v>
      </c>
      <c r="M295" s="234">
        <f t="shared" si="160"/>
        <v>88403.823722699526</v>
      </c>
      <c r="N295" s="234">
        <f t="shared" si="160"/>
        <v>88371.110778970717</v>
      </c>
      <c r="O295" s="234">
        <f t="shared" si="160"/>
        <v>88335.499737709048</v>
      </c>
      <c r="P295" s="234">
        <f t="shared" si="160"/>
        <v>88290.965582335513</v>
      </c>
      <c r="Q295" s="234">
        <f t="shared" si="160"/>
        <v>88243.438849834522</v>
      </c>
      <c r="R295" s="234">
        <f t="shared" si="160"/>
        <v>88192.933168196774</v>
      </c>
      <c r="S295" s="234">
        <f t="shared" si="160"/>
        <v>88139.543177594969</v>
      </c>
      <c r="T295" s="234">
        <f t="shared" si="160"/>
        <v>88083.201911308861</v>
      </c>
      <c r="U295" s="234">
        <f t="shared" si="160"/>
        <v>88023.923023008669</v>
      </c>
      <c r="V295" s="234">
        <f t="shared" si="160"/>
        <v>87961.720176375457</v>
      </c>
      <c r="W295" s="234">
        <f t="shared" si="160"/>
        <v>87896.607045101235</v>
      </c>
      <c r="X295" s="234">
        <f t="shared" si="160"/>
        <v>87828.641288460247</v>
      </c>
      <c r="Y295" s="234">
        <f t="shared" si="160"/>
        <v>87757.792824698001</v>
      </c>
      <c r="Z295" s="234">
        <f t="shared" si="160"/>
        <v>87661.075066385238</v>
      </c>
      <c r="AA295" s="234">
        <f t="shared" si="160"/>
        <v>87560.782772491526</v>
      </c>
      <c r="AB295" s="234">
        <f t="shared" si="160"/>
        <v>87456.926797417633</v>
      </c>
      <c r="AC295" s="234">
        <f t="shared" si="160"/>
        <v>87342.221885851133</v>
      </c>
      <c r="AD295" s="234">
        <f t="shared" si="160"/>
        <v>87223.943672352791</v>
      </c>
      <c r="AE295" s="234">
        <f t="shared" si="160"/>
        <v>87102.103619825168</v>
      </c>
      <c r="AF295" s="234">
        <f t="shared" si="160"/>
        <v>86976.713266252642</v>
      </c>
      <c r="AG295" s="234">
        <f t="shared" si="160"/>
        <v>86847.784224701376</v>
      </c>
      <c r="AI295" s="295"/>
      <c r="AJ295" s="198" t="s">
        <v>1627</v>
      </c>
    </row>
    <row r="296" spans="1:36" s="1" customFormat="1" outlineLevel="1">
      <c r="A296" t="s">
        <v>731</v>
      </c>
      <c r="B296" s="281" t="s">
        <v>127</v>
      </c>
      <c r="C296" s="234">
        <f>C262*C292</f>
        <v>15407.036636108442</v>
      </c>
      <c r="D296" s="234">
        <f t="shared" ref="D296:AG296" si="161">D262*D292</f>
        <v>15650.443080260757</v>
      </c>
      <c r="E296" s="234">
        <f t="shared" si="161"/>
        <v>15895.417885363484</v>
      </c>
      <c r="F296" s="234">
        <f t="shared" si="161"/>
        <v>16141.960437423588</v>
      </c>
      <c r="G296" s="234">
        <f t="shared" si="161"/>
        <v>16390.070122448033</v>
      </c>
      <c r="H296" s="234">
        <f t="shared" si="161"/>
        <v>16639.746326443772</v>
      </c>
      <c r="I296" s="234">
        <f t="shared" si="161"/>
        <v>16847.4732048552</v>
      </c>
      <c r="J296" s="234">
        <f t="shared" si="161"/>
        <v>17055.451691076119</v>
      </c>
      <c r="K296" s="234">
        <f t="shared" si="161"/>
        <v>17263.668579900932</v>
      </c>
      <c r="L296" s="234">
        <f t="shared" si="161"/>
        <v>17472.110666124063</v>
      </c>
      <c r="M296" s="234">
        <f t="shared" si="161"/>
        <v>17680.764744539923</v>
      </c>
      <c r="N296" s="234">
        <f t="shared" si="161"/>
        <v>17886.737853058225</v>
      </c>
      <c r="O296" s="234">
        <f t="shared" si="161"/>
        <v>18092.813199289831</v>
      </c>
      <c r="P296" s="234">
        <f t="shared" si="161"/>
        <v>18297.725261530326</v>
      </c>
      <c r="Q296" s="234">
        <f t="shared" si="161"/>
        <v>18502.656533029847</v>
      </c>
      <c r="R296" s="234">
        <f t="shared" si="161"/>
        <v>18707.591884162983</v>
      </c>
      <c r="S296" s="234">
        <f t="shared" si="161"/>
        <v>18912.533556326078</v>
      </c>
      <c r="T296" s="234">
        <f t="shared" si="161"/>
        <v>19117.449502048814</v>
      </c>
      <c r="U296" s="234">
        <f t="shared" si="161"/>
        <v>19322.324566026327</v>
      </c>
      <c r="V296" s="234">
        <f t="shared" si="161"/>
        <v>19527.143582942859</v>
      </c>
      <c r="W296" s="234">
        <f t="shared" si="161"/>
        <v>19731.891377471748</v>
      </c>
      <c r="X296" s="234">
        <f t="shared" si="161"/>
        <v>19936.562746460346</v>
      </c>
      <c r="Y296" s="234">
        <f t="shared" si="161"/>
        <v>20141.132779438929</v>
      </c>
      <c r="Z296" s="234">
        <f t="shared" si="161"/>
        <v>20340.24945072188</v>
      </c>
      <c r="AA296" s="234">
        <f t="shared" si="161"/>
        <v>20538.949045399298</v>
      </c>
      <c r="AB296" s="234">
        <f t="shared" si="161"/>
        <v>20737.209446810422</v>
      </c>
      <c r="AC296" s="234">
        <f t="shared" si="161"/>
        <v>20933.259790823882</v>
      </c>
      <c r="AD296" s="234">
        <f t="shared" si="161"/>
        <v>21128.781386470611</v>
      </c>
      <c r="AE296" s="234">
        <f t="shared" si="161"/>
        <v>21323.751508587968</v>
      </c>
      <c r="AF296" s="234">
        <f t="shared" si="161"/>
        <v>21518.147356931593</v>
      </c>
      <c r="AG296" s="234">
        <f t="shared" si="161"/>
        <v>21711.946056175344</v>
      </c>
      <c r="AI296" s="295"/>
      <c r="AJ296" s="198" t="s">
        <v>1628</v>
      </c>
    </row>
    <row r="297" spans="1:36" s="1" customFormat="1" outlineLevel="1">
      <c r="A297" t="s">
        <v>726</v>
      </c>
      <c r="B297" s="281" t="s">
        <v>127</v>
      </c>
      <c r="C297" s="234">
        <f>C295*C263</f>
        <v>13095.981140692174</v>
      </c>
      <c r="D297" s="234">
        <f t="shared" ref="D297:AG297" si="162">D295*D263</f>
        <v>13685.309240157243</v>
      </c>
      <c r="E297" s="234">
        <f t="shared" si="162"/>
        <v>14277.310418308507</v>
      </c>
      <c r="F297" s="234">
        <f t="shared" si="162"/>
        <v>14871.952646879192</v>
      </c>
      <c r="G297" s="234">
        <f t="shared" si="162"/>
        <v>15469.203913157007</v>
      </c>
      <c r="H297" s="234">
        <f t="shared" si="162"/>
        <v>16069.032219984154</v>
      </c>
      <c r="I297" s="234">
        <f t="shared" si="162"/>
        <v>16628.456053192069</v>
      </c>
      <c r="J297" s="234">
        <f t="shared" si="162"/>
        <v>17187.26513043428</v>
      </c>
      <c r="K297" s="234">
        <f t="shared" si="162"/>
        <v>17745.407141225769</v>
      </c>
      <c r="L297" s="234">
        <f t="shared" si="162"/>
        <v>18302.830109613395</v>
      </c>
      <c r="M297" s="234">
        <f t="shared" si="162"/>
        <v>18859.482394175895</v>
      </c>
      <c r="N297" s="234">
        <f t="shared" si="162"/>
        <v>19412.18733444723</v>
      </c>
      <c r="O297" s="234">
        <f t="shared" si="162"/>
        <v>19963.822940722239</v>
      </c>
      <c r="P297" s="234">
        <f t="shared" si="162"/>
        <v>20512.934336962611</v>
      </c>
      <c r="Q297" s="234">
        <f t="shared" si="162"/>
        <v>21060.767405493832</v>
      </c>
      <c r="R297" s="234">
        <f t="shared" si="162"/>
        <v>21607.268626208206</v>
      </c>
      <c r="S297" s="234">
        <f t="shared" si="162"/>
        <v>22152.405185302199</v>
      </c>
      <c r="T297" s="234">
        <f t="shared" si="162"/>
        <v>22696.105025813915</v>
      </c>
      <c r="U297" s="234">
        <f t="shared" si="162"/>
        <v>23238.31567807429</v>
      </c>
      <c r="V297" s="234">
        <f t="shared" si="162"/>
        <v>23778.985021013501</v>
      </c>
      <c r="W297" s="234">
        <f t="shared" si="162"/>
        <v>24318.061282478015</v>
      </c>
      <c r="X297" s="234">
        <f t="shared" si="162"/>
        <v>24855.505484634257</v>
      </c>
      <c r="Y297" s="234">
        <f t="shared" si="162"/>
        <v>25391.254723945964</v>
      </c>
      <c r="Z297" s="234">
        <f t="shared" si="162"/>
        <v>25918.457861294581</v>
      </c>
      <c r="AA297" s="234">
        <f t="shared" si="162"/>
        <v>26443.356397292453</v>
      </c>
      <c r="AB297" s="234">
        <f t="shared" si="162"/>
        <v>26965.88576253712</v>
      </c>
      <c r="AC297" s="234">
        <f t="shared" si="162"/>
        <v>27483.685820081173</v>
      </c>
      <c r="AD297" s="234">
        <f t="shared" si="162"/>
        <v>27998.885918825265</v>
      </c>
      <c r="AE297" s="234">
        <f t="shared" si="162"/>
        <v>28511.421918222793</v>
      </c>
      <c r="AF297" s="234">
        <f t="shared" si="162"/>
        <v>29021.22999317299</v>
      </c>
      <c r="AG297" s="234">
        <f t="shared" si="162"/>
        <v>29528.246636398471</v>
      </c>
      <c r="AI297" s="295"/>
      <c r="AJ297" s="198" t="s">
        <v>1629</v>
      </c>
    </row>
    <row r="298" spans="1:36" s="1" customFormat="1" outlineLevel="1">
      <c r="A298" t="s">
        <v>727</v>
      </c>
      <c r="B298" s="281" t="s">
        <v>127</v>
      </c>
      <c r="C298" s="234">
        <f>C295*C264</f>
        <v>74210.559797255657</v>
      </c>
      <c r="D298" s="234">
        <f t="shared" ref="D298:AG298" si="163">D295*D264</f>
        <v>73853.982274707858</v>
      </c>
      <c r="E298" s="234">
        <f t="shared" si="163"/>
        <v>73493.040513915927</v>
      </c>
      <c r="F298" s="234">
        <f t="shared" si="163"/>
        <v>73127.767157139708</v>
      </c>
      <c r="G298" s="234">
        <f t="shared" si="163"/>
        <v>72758.194831084489</v>
      </c>
      <c r="H298" s="234">
        <f t="shared" si="163"/>
        <v>72384.356146901118</v>
      </c>
      <c r="I298" s="234">
        <f t="shared" si="163"/>
        <v>71820.778272297684</v>
      </c>
      <c r="J298" s="234">
        <f t="shared" si="163"/>
        <v>71254.922504733564</v>
      </c>
      <c r="K298" s="234">
        <f t="shared" si="163"/>
        <v>70686.854359899356</v>
      </c>
      <c r="L298" s="234">
        <f t="shared" si="163"/>
        <v>70116.639018953763</v>
      </c>
      <c r="M298" s="234">
        <f t="shared" si="163"/>
        <v>69544.34132852366</v>
      </c>
      <c r="N298" s="234">
        <f t="shared" si="163"/>
        <v>68958.923444523505</v>
      </c>
      <c r="O298" s="234">
        <f t="shared" si="163"/>
        <v>68371.676796986838</v>
      </c>
      <c r="P298" s="234">
        <f t="shared" si="163"/>
        <v>67778.031245372928</v>
      </c>
      <c r="Q298" s="234">
        <f t="shared" si="163"/>
        <v>67182.671444340725</v>
      </c>
      <c r="R298" s="234">
        <f t="shared" si="163"/>
        <v>66585.664541988604</v>
      </c>
      <c r="S298" s="234">
        <f t="shared" si="163"/>
        <v>65987.137992292803</v>
      </c>
      <c r="T298" s="234">
        <f t="shared" si="163"/>
        <v>65387.09688549499</v>
      </c>
      <c r="U298" s="234">
        <f t="shared" si="163"/>
        <v>64785.607344934426</v>
      </c>
      <c r="V298" s="234">
        <f t="shared" si="163"/>
        <v>64182.73515536201</v>
      </c>
      <c r="W298" s="234">
        <f t="shared" si="163"/>
        <v>63578.545762623282</v>
      </c>
      <c r="X298" s="234">
        <f t="shared" si="163"/>
        <v>62973.135803826051</v>
      </c>
      <c r="Y298" s="234">
        <f t="shared" si="163"/>
        <v>62366.538100752106</v>
      </c>
      <c r="Z298" s="234">
        <f t="shared" si="163"/>
        <v>61742.617205090733</v>
      </c>
      <c r="AA298" s="234">
        <f t="shared" si="163"/>
        <v>61117.426375199146</v>
      </c>
      <c r="AB298" s="234">
        <f t="shared" si="163"/>
        <v>60491.041034880596</v>
      </c>
      <c r="AC298" s="234">
        <f t="shared" si="163"/>
        <v>59858.536065770044</v>
      </c>
      <c r="AD298" s="234">
        <f t="shared" si="163"/>
        <v>59225.057753527617</v>
      </c>
      <c r="AE298" s="234">
        <f t="shared" si="163"/>
        <v>58590.681701602472</v>
      </c>
      <c r="AF298" s="234">
        <f t="shared" si="163"/>
        <v>57955.483273079757</v>
      </c>
      <c r="AG298" s="234">
        <f t="shared" si="163"/>
        <v>57319.537588302912</v>
      </c>
      <c r="AI298" s="295"/>
      <c r="AJ298" s="198" t="s">
        <v>1630</v>
      </c>
    </row>
    <row r="299" spans="1:36" s="1" customFormat="1" outlineLevel="1">
      <c r="A299" t="s">
        <v>730</v>
      </c>
      <c r="B299" s="281" t="s">
        <v>127</v>
      </c>
      <c r="C299" s="234">
        <f>C265*C298</f>
        <v>0</v>
      </c>
      <c r="D299" s="234">
        <f t="shared" ref="D299:AG299" si="164">D265*D298</f>
        <v>0</v>
      </c>
      <c r="E299" s="234">
        <f t="shared" si="164"/>
        <v>0</v>
      </c>
      <c r="F299" s="234">
        <f t="shared" si="164"/>
        <v>0</v>
      </c>
      <c r="G299" s="234">
        <f t="shared" si="164"/>
        <v>0</v>
      </c>
      <c r="H299" s="234">
        <f t="shared" si="164"/>
        <v>0</v>
      </c>
      <c r="I299" s="234">
        <f t="shared" si="164"/>
        <v>0</v>
      </c>
      <c r="J299" s="234">
        <f t="shared" si="164"/>
        <v>0</v>
      </c>
      <c r="K299" s="234">
        <f t="shared" si="164"/>
        <v>0</v>
      </c>
      <c r="L299" s="234">
        <f t="shared" si="164"/>
        <v>0</v>
      </c>
      <c r="M299" s="234">
        <f t="shared" si="164"/>
        <v>0</v>
      </c>
      <c r="N299" s="234">
        <f t="shared" si="164"/>
        <v>0</v>
      </c>
      <c r="O299" s="234">
        <f t="shared" si="164"/>
        <v>0</v>
      </c>
      <c r="P299" s="234">
        <f t="shared" si="164"/>
        <v>0</v>
      </c>
      <c r="Q299" s="234">
        <f t="shared" si="164"/>
        <v>0</v>
      </c>
      <c r="R299" s="234">
        <f t="shared" si="164"/>
        <v>0</v>
      </c>
      <c r="S299" s="234">
        <f t="shared" si="164"/>
        <v>0</v>
      </c>
      <c r="T299" s="234">
        <f t="shared" si="164"/>
        <v>0</v>
      </c>
      <c r="U299" s="234">
        <f t="shared" si="164"/>
        <v>0</v>
      </c>
      <c r="V299" s="234">
        <f t="shared" si="164"/>
        <v>0</v>
      </c>
      <c r="W299" s="234">
        <f t="shared" si="164"/>
        <v>0</v>
      </c>
      <c r="X299" s="234">
        <f t="shared" si="164"/>
        <v>0</v>
      </c>
      <c r="Y299" s="234">
        <f t="shared" si="164"/>
        <v>0</v>
      </c>
      <c r="Z299" s="234">
        <f t="shared" si="164"/>
        <v>0</v>
      </c>
      <c r="AA299" s="234">
        <f t="shared" si="164"/>
        <v>0</v>
      </c>
      <c r="AB299" s="234">
        <f t="shared" si="164"/>
        <v>0</v>
      </c>
      <c r="AC299" s="234">
        <f t="shared" si="164"/>
        <v>0</v>
      </c>
      <c r="AD299" s="234">
        <f t="shared" si="164"/>
        <v>0</v>
      </c>
      <c r="AE299" s="234">
        <f t="shared" si="164"/>
        <v>0</v>
      </c>
      <c r="AF299" s="234">
        <f t="shared" si="164"/>
        <v>0</v>
      </c>
      <c r="AG299" s="234">
        <f t="shared" si="164"/>
        <v>0</v>
      </c>
      <c r="AI299" s="295"/>
      <c r="AJ299" s="198" t="s">
        <v>1631</v>
      </c>
    </row>
    <row r="300" spans="1:36" s="1" customFormat="1" outlineLevel="1">
      <c r="A300" t="s">
        <v>758</v>
      </c>
      <c r="B300" s="281" t="s">
        <v>127</v>
      </c>
      <c r="C300" s="234">
        <f>C266*C298</f>
        <v>74210.559797255657</v>
      </c>
      <c r="D300" s="234">
        <f t="shared" ref="D300:AG300" si="165">D266*D298</f>
        <v>73853.982274707858</v>
      </c>
      <c r="E300" s="234">
        <f t="shared" si="165"/>
        <v>73493.040513915927</v>
      </c>
      <c r="F300" s="234">
        <f t="shared" si="165"/>
        <v>73127.767157139708</v>
      </c>
      <c r="G300" s="234">
        <f t="shared" si="165"/>
        <v>72758.194831084489</v>
      </c>
      <c r="H300" s="234">
        <f t="shared" si="165"/>
        <v>72384.356146901118</v>
      </c>
      <c r="I300" s="234">
        <f t="shared" si="165"/>
        <v>71820.778272297684</v>
      </c>
      <c r="J300" s="234">
        <f t="shared" si="165"/>
        <v>71254.922504733564</v>
      </c>
      <c r="K300" s="234">
        <f t="shared" si="165"/>
        <v>70686.854359899356</v>
      </c>
      <c r="L300" s="234">
        <f t="shared" si="165"/>
        <v>70116.639018953763</v>
      </c>
      <c r="M300" s="234">
        <f t="shared" si="165"/>
        <v>69544.34132852366</v>
      </c>
      <c r="N300" s="234">
        <f t="shared" si="165"/>
        <v>68958.923444523505</v>
      </c>
      <c r="O300" s="234">
        <f t="shared" si="165"/>
        <v>68371.676796986838</v>
      </c>
      <c r="P300" s="234">
        <f t="shared" si="165"/>
        <v>67778.031245372928</v>
      </c>
      <c r="Q300" s="234">
        <f t="shared" si="165"/>
        <v>67182.671444340725</v>
      </c>
      <c r="R300" s="234">
        <f t="shared" si="165"/>
        <v>66585.664541988604</v>
      </c>
      <c r="S300" s="234">
        <f t="shared" si="165"/>
        <v>65987.137992292803</v>
      </c>
      <c r="T300" s="234">
        <f t="shared" si="165"/>
        <v>65387.09688549499</v>
      </c>
      <c r="U300" s="234">
        <f t="shared" si="165"/>
        <v>64785.607344934426</v>
      </c>
      <c r="V300" s="234">
        <f t="shared" si="165"/>
        <v>64182.73515536201</v>
      </c>
      <c r="W300" s="234">
        <f t="shared" si="165"/>
        <v>63578.545762623282</v>
      </c>
      <c r="X300" s="234">
        <f t="shared" si="165"/>
        <v>62973.135803826051</v>
      </c>
      <c r="Y300" s="234">
        <f t="shared" si="165"/>
        <v>62366.538100752106</v>
      </c>
      <c r="Z300" s="234">
        <f t="shared" si="165"/>
        <v>61742.617205090733</v>
      </c>
      <c r="AA300" s="234">
        <f t="shared" si="165"/>
        <v>61117.426375199146</v>
      </c>
      <c r="AB300" s="234">
        <f t="shared" si="165"/>
        <v>60491.041034880596</v>
      </c>
      <c r="AC300" s="234">
        <f t="shared" si="165"/>
        <v>59858.536065770044</v>
      </c>
      <c r="AD300" s="234">
        <f t="shared" si="165"/>
        <v>59225.057753527617</v>
      </c>
      <c r="AE300" s="234">
        <f t="shared" si="165"/>
        <v>58590.681701602472</v>
      </c>
      <c r="AF300" s="234">
        <f t="shared" si="165"/>
        <v>57955.483273079757</v>
      </c>
      <c r="AG300" s="234">
        <f t="shared" si="165"/>
        <v>57319.537588302912</v>
      </c>
      <c r="AI300" s="295"/>
      <c r="AJ300" s="198" t="s">
        <v>1632</v>
      </c>
    </row>
    <row r="301" spans="1:36" s="1" customFormat="1" outlineLevel="1">
      <c r="A301" t="s">
        <v>728</v>
      </c>
      <c r="B301" s="281" t="s">
        <v>127</v>
      </c>
      <c r="C301" s="234">
        <f>C267*(C299+C297)</f>
        <v>10476.78491255374</v>
      </c>
      <c r="D301" s="234">
        <f t="shared" ref="D301:AG301" si="166">D267*(D299+D297)</f>
        <v>10993.865089592986</v>
      </c>
      <c r="E301" s="234">
        <f t="shared" si="166"/>
        <v>11517.030404102195</v>
      </c>
      <c r="F301" s="234">
        <f t="shared" si="166"/>
        <v>12046.281643972145</v>
      </c>
      <c r="G301" s="234">
        <f t="shared" si="166"/>
        <v>12581.619182701032</v>
      </c>
      <c r="H301" s="234">
        <f t="shared" si="166"/>
        <v>13123.042979653723</v>
      </c>
      <c r="I301" s="234">
        <f t="shared" si="166"/>
        <v>13635.333963617493</v>
      </c>
      <c r="J301" s="234">
        <f t="shared" si="166"/>
        <v>14150.84829072422</v>
      </c>
      <c r="K301" s="234">
        <f t="shared" si="166"/>
        <v>14669.536570079965</v>
      </c>
      <c r="L301" s="234">
        <f t="shared" si="166"/>
        <v>15191.348990979113</v>
      </c>
      <c r="M301" s="234">
        <f t="shared" si="166"/>
        <v>15716.235328479906</v>
      </c>
      <c r="N301" s="234">
        <f t="shared" si="166"/>
        <v>16241.530069820843</v>
      </c>
      <c r="O301" s="234">
        <f t="shared" si="166"/>
        <v>16769.611270206675</v>
      </c>
      <c r="P301" s="234">
        <f t="shared" si="166"/>
        <v>17299.241290838461</v>
      </c>
      <c r="Q301" s="234">
        <f t="shared" si="166"/>
        <v>17831.449736651437</v>
      </c>
      <c r="R301" s="234">
        <f t="shared" si="166"/>
        <v>18366.178332276966</v>
      </c>
      <c r="S301" s="234">
        <f t="shared" si="166"/>
        <v>18903.385758124532</v>
      </c>
      <c r="T301" s="234">
        <f t="shared" si="166"/>
        <v>19442.996638780576</v>
      </c>
      <c r="U301" s="234">
        <f t="shared" si="166"/>
        <v>19984.951483143876</v>
      </c>
      <c r="V301" s="234">
        <f t="shared" si="166"/>
        <v>20529.190401474974</v>
      </c>
      <c r="W301" s="234">
        <f t="shared" si="166"/>
        <v>21075.65311148093</v>
      </c>
      <c r="X301" s="234">
        <f t="shared" si="166"/>
        <v>21624.289771631786</v>
      </c>
      <c r="Y301" s="234">
        <f t="shared" si="166"/>
        <v>22175.029125579458</v>
      </c>
      <c r="Z301" s="234">
        <f t="shared" si="166"/>
        <v>22721.848058401563</v>
      </c>
      <c r="AA301" s="234">
        <f t="shared" si="166"/>
        <v>23270.15362961734</v>
      </c>
      <c r="AB301" s="234">
        <f t="shared" si="166"/>
        <v>23819.86575690777</v>
      </c>
      <c r="AC301" s="234">
        <f t="shared" si="166"/>
        <v>24368.868093805282</v>
      </c>
      <c r="AD301" s="234">
        <f t="shared" si="166"/>
        <v>24919.008467754462</v>
      </c>
      <c r="AE301" s="234">
        <f t="shared" si="166"/>
        <v>25470.203580279001</v>
      </c>
      <c r="AF301" s="234">
        <f t="shared" si="166"/>
        <v>26022.369560545088</v>
      </c>
      <c r="AG301" s="234">
        <f t="shared" si="166"/>
        <v>26575.421972758624</v>
      </c>
      <c r="AH301" s="234"/>
      <c r="AI301" s="295"/>
      <c r="AJ301" s="198" t="s">
        <v>1633</v>
      </c>
    </row>
    <row r="302" spans="1:36" s="1" customFormat="1" outlineLevel="1">
      <c r="A302" t="s">
        <v>729</v>
      </c>
      <c r="B302" s="281" t="s">
        <v>127</v>
      </c>
      <c r="C302" s="234">
        <f>C268*(C299+C297)</f>
        <v>2619.1962281384349</v>
      </c>
      <c r="D302" s="234">
        <f t="shared" ref="D302:AG302" si="167">D268*(D299+D297)</f>
        <v>2691.4441505642581</v>
      </c>
      <c r="E302" s="234">
        <f t="shared" si="167"/>
        <v>2760.2800142063115</v>
      </c>
      <c r="F302" s="234">
        <f t="shared" si="167"/>
        <v>2825.6710029070468</v>
      </c>
      <c r="G302" s="234">
        <f t="shared" si="167"/>
        <v>2887.5847304559752</v>
      </c>
      <c r="H302" s="234">
        <f t="shared" si="167"/>
        <v>2945.9892403304289</v>
      </c>
      <c r="I302" s="234">
        <f t="shared" si="167"/>
        <v>2993.1220895745732</v>
      </c>
      <c r="J302" s="234">
        <f t="shared" si="167"/>
        <v>3036.416839710057</v>
      </c>
      <c r="K302" s="234">
        <f t="shared" si="167"/>
        <v>3075.870571145801</v>
      </c>
      <c r="L302" s="234">
        <f t="shared" si="167"/>
        <v>3111.4811186342781</v>
      </c>
      <c r="M302" s="234">
        <f t="shared" si="167"/>
        <v>3143.247065695984</v>
      </c>
      <c r="N302" s="234">
        <f t="shared" si="167"/>
        <v>3170.6572646263826</v>
      </c>
      <c r="O302" s="234">
        <f t="shared" si="167"/>
        <v>3194.2116705155599</v>
      </c>
      <c r="P302" s="234">
        <f t="shared" si="167"/>
        <v>3213.6930461241445</v>
      </c>
      <c r="Q302" s="234">
        <f t="shared" si="167"/>
        <v>3229.3176688423896</v>
      </c>
      <c r="R302" s="234">
        <f t="shared" si="167"/>
        <v>3241.0902939312332</v>
      </c>
      <c r="S302" s="234">
        <f t="shared" si="167"/>
        <v>3249.0194271776581</v>
      </c>
      <c r="T302" s="234">
        <f t="shared" si="167"/>
        <v>3253.1083870333305</v>
      </c>
      <c r="U302" s="234">
        <f t="shared" si="167"/>
        <v>3253.3641949304033</v>
      </c>
      <c r="V302" s="234">
        <f t="shared" si="167"/>
        <v>3249.7946195385148</v>
      </c>
      <c r="W302" s="234">
        <f t="shared" si="167"/>
        <v>3242.4081709970719</v>
      </c>
      <c r="X302" s="234">
        <f t="shared" si="167"/>
        <v>3231.2157130024571</v>
      </c>
      <c r="Y302" s="234">
        <f t="shared" si="167"/>
        <v>3216.2255983664927</v>
      </c>
      <c r="Z302" s="234">
        <f t="shared" si="167"/>
        <v>3196.6098028930023</v>
      </c>
      <c r="AA302" s="234">
        <f t="shared" si="167"/>
        <v>3173.2027676750986</v>
      </c>
      <c r="AB302" s="234">
        <f t="shared" si="167"/>
        <v>3146.0200056293352</v>
      </c>
      <c r="AC302" s="234">
        <f t="shared" si="167"/>
        <v>3114.8177262758709</v>
      </c>
      <c r="AD302" s="234">
        <f t="shared" si="167"/>
        <v>3079.877451070784</v>
      </c>
      <c r="AE302" s="234">
        <f t="shared" si="167"/>
        <v>3041.2183379437702</v>
      </c>
      <c r="AF302" s="234">
        <f t="shared" si="167"/>
        <v>2998.8604326278814</v>
      </c>
      <c r="AG302" s="234">
        <f t="shared" si="167"/>
        <v>2952.8246636398471</v>
      </c>
      <c r="AI302" s="295"/>
      <c r="AJ302" s="198" t="s">
        <v>1634</v>
      </c>
    </row>
    <row r="303" spans="1:36" s="1" customFormat="1" outlineLevel="1">
      <c r="A303" t="s">
        <v>739</v>
      </c>
      <c r="B303" s="281" t="s">
        <v>127</v>
      </c>
      <c r="C303" s="234">
        <f>C296*C269</f>
        <v>14636.684804303019</v>
      </c>
      <c r="D303" s="234">
        <f t="shared" ref="D303:AG303" si="168">D296*D269</f>
        <v>14847.053668807372</v>
      </c>
      <c r="E303" s="234">
        <f t="shared" si="168"/>
        <v>15058.259210067674</v>
      </c>
      <c r="F303" s="234">
        <f t="shared" si="168"/>
        <v>15270.294573802716</v>
      </c>
      <c r="G303" s="234">
        <f t="shared" si="168"/>
        <v>15483.15290900591</v>
      </c>
      <c r="H303" s="234">
        <f t="shared" si="168"/>
        <v>15696.827367945294</v>
      </c>
      <c r="I303" s="234">
        <f t="shared" si="168"/>
        <v>15870.319758973601</v>
      </c>
      <c r="J303" s="234">
        <f t="shared" si="168"/>
        <v>16043.494890738941</v>
      </c>
      <c r="K303" s="234">
        <f t="shared" si="168"/>
        <v>16216.339352720279</v>
      </c>
      <c r="L303" s="234">
        <f t="shared" si="168"/>
        <v>16388.839804824376</v>
      </c>
      <c r="M303" s="234">
        <f t="shared" si="168"/>
        <v>16560.982977385735</v>
      </c>
      <c r="N303" s="234">
        <f t="shared" si="168"/>
        <v>16730.062138560465</v>
      </c>
      <c r="O303" s="234">
        <f t="shared" si="168"/>
        <v>16898.68752813671</v>
      </c>
      <c r="P303" s="234">
        <f t="shared" si="168"/>
        <v>17065.678427253959</v>
      </c>
      <c r="Q303" s="234">
        <f t="shared" si="168"/>
        <v>17232.140784428473</v>
      </c>
      <c r="R303" s="234">
        <f t="shared" si="168"/>
        <v>17398.060452271584</v>
      </c>
      <c r="S303" s="234">
        <f t="shared" si="168"/>
        <v>17563.439495974828</v>
      </c>
      <c r="T303" s="234">
        <f t="shared" si="168"/>
        <v>17728.248171566611</v>
      </c>
      <c r="U303" s="234">
        <f t="shared" si="168"/>
        <v>17892.472548140391</v>
      </c>
      <c r="V303" s="234">
        <f t="shared" si="168"/>
        <v>18056.098766361178</v>
      </c>
      <c r="W303" s="234">
        <f t="shared" si="168"/>
        <v>18219.113038532261</v>
      </c>
      <c r="X303" s="234">
        <f t="shared" si="168"/>
        <v>18381.510852236454</v>
      </c>
      <c r="Y303" s="234">
        <f t="shared" si="168"/>
        <v>18543.26957893679</v>
      </c>
      <c r="Z303" s="234">
        <f t="shared" si="168"/>
        <v>18699.469328363662</v>
      </c>
      <c r="AA303" s="234">
        <f t="shared" si="168"/>
        <v>18854.755223676573</v>
      </c>
      <c r="AB303" s="234">
        <f t="shared" si="168"/>
        <v>19009.108659576239</v>
      </c>
      <c r="AC303" s="234">
        <f t="shared" si="168"/>
        <v>19160.910461867479</v>
      </c>
      <c r="AD303" s="234">
        <f t="shared" si="168"/>
        <v>19311.706187234158</v>
      </c>
      <c r="AE303" s="234">
        <f t="shared" si="168"/>
        <v>19461.477210171306</v>
      </c>
      <c r="AF303" s="234">
        <f t="shared" si="168"/>
        <v>19610.204957950347</v>
      </c>
      <c r="AG303" s="234">
        <f t="shared" si="168"/>
        <v>19757.870911119564</v>
      </c>
      <c r="AI303" s="295"/>
      <c r="AJ303" s="198" t="s">
        <v>1635</v>
      </c>
    </row>
    <row r="304" spans="1:36" s="1" customFormat="1" outlineLevel="1">
      <c r="A304" t="s">
        <v>759</v>
      </c>
      <c r="B304" s="281" t="s">
        <v>127</v>
      </c>
      <c r="C304" s="234">
        <f>C296*C270</f>
        <v>770.35183180542208</v>
      </c>
      <c r="D304" s="234">
        <f t="shared" ref="D304:AG304" si="169">D296*D270</f>
        <v>803.38941145338549</v>
      </c>
      <c r="E304" s="234">
        <f t="shared" si="169"/>
        <v>837.15867529581021</v>
      </c>
      <c r="F304" s="234">
        <f t="shared" si="169"/>
        <v>871.66586362087378</v>
      </c>
      <c r="G304" s="234">
        <f t="shared" si="169"/>
        <v>906.91721344212442</v>
      </c>
      <c r="H304" s="234">
        <f t="shared" si="169"/>
        <v>942.91895849848038</v>
      </c>
      <c r="I304" s="234">
        <f t="shared" si="169"/>
        <v>977.15344588160156</v>
      </c>
      <c r="J304" s="234">
        <f t="shared" si="169"/>
        <v>1011.956800337183</v>
      </c>
      <c r="K304" s="234">
        <f t="shared" si="169"/>
        <v>1047.3292271806565</v>
      </c>
      <c r="L304" s="234">
        <f t="shared" si="169"/>
        <v>1083.2708612996917</v>
      </c>
      <c r="M304" s="234">
        <f t="shared" si="169"/>
        <v>1119.781767154195</v>
      </c>
      <c r="N304" s="234">
        <f t="shared" si="169"/>
        <v>1156.6757144977651</v>
      </c>
      <c r="O304" s="234">
        <f t="shared" si="169"/>
        <v>1194.1256711531289</v>
      </c>
      <c r="P304" s="234">
        <f t="shared" si="169"/>
        <v>1232.0468342763754</v>
      </c>
      <c r="Q304" s="234">
        <f t="shared" si="169"/>
        <v>1270.5157486013832</v>
      </c>
      <c r="R304" s="234">
        <f t="shared" si="169"/>
        <v>1309.5314318914093</v>
      </c>
      <c r="S304" s="234">
        <f t="shared" si="169"/>
        <v>1349.0940603512606</v>
      </c>
      <c r="T304" s="234">
        <f t="shared" si="169"/>
        <v>1389.2013304822144</v>
      </c>
      <c r="U304" s="234">
        <f t="shared" si="169"/>
        <v>1429.852017885949</v>
      </c>
      <c r="V304" s="234">
        <f t="shared" si="169"/>
        <v>1471.0448165816963</v>
      </c>
      <c r="W304" s="234">
        <f t="shared" si="169"/>
        <v>1512.7783389395017</v>
      </c>
      <c r="X304" s="234">
        <f t="shared" si="169"/>
        <v>1555.051894223908</v>
      </c>
      <c r="Y304" s="234">
        <f t="shared" si="169"/>
        <v>1597.8632005021564</v>
      </c>
      <c r="Z304" s="234">
        <f t="shared" si="169"/>
        <v>1640.780122358233</v>
      </c>
      <c r="AA304" s="234">
        <f t="shared" si="169"/>
        <v>1684.1938217227439</v>
      </c>
      <c r="AB304" s="234">
        <f t="shared" si="169"/>
        <v>1728.1007872342036</v>
      </c>
      <c r="AC304" s="234">
        <f t="shared" si="169"/>
        <v>1772.3493289564237</v>
      </c>
      <c r="AD304" s="234">
        <f t="shared" si="169"/>
        <v>1817.0751992364744</v>
      </c>
      <c r="AE304" s="234">
        <f t="shared" si="169"/>
        <v>1862.2742984166846</v>
      </c>
      <c r="AF304" s="234">
        <f t="shared" si="169"/>
        <v>1907.9423989812701</v>
      </c>
      <c r="AG304" s="234">
        <f t="shared" si="169"/>
        <v>1954.0751450557809</v>
      </c>
      <c r="AI304" s="295"/>
      <c r="AJ304" s="198" t="s">
        <v>1636</v>
      </c>
    </row>
    <row r="305" spans="1:36" s="1" customFormat="1" outlineLevel="1">
      <c r="A305" t="s">
        <v>742</v>
      </c>
      <c r="B305" s="281" t="s">
        <v>127</v>
      </c>
      <c r="C305" s="234">
        <f t="shared" ref="C305:AG305" si="170">C301*C271</f>
        <v>2828.7319263895097</v>
      </c>
      <c r="D305" s="234">
        <f t="shared" si="170"/>
        <v>2924.3681138317343</v>
      </c>
      <c r="E305" s="234">
        <f t="shared" si="170"/>
        <v>3017.4619658747752</v>
      </c>
      <c r="F305" s="234">
        <f t="shared" si="170"/>
        <v>3107.9406641448136</v>
      </c>
      <c r="G305" s="234">
        <f t="shared" si="170"/>
        <v>3195.7312724060621</v>
      </c>
      <c r="H305" s="234">
        <f t="shared" si="170"/>
        <v>3280.7607449134307</v>
      </c>
      <c r="I305" s="234">
        <f t="shared" si="170"/>
        <v>3354.2921550499032</v>
      </c>
      <c r="J305" s="234">
        <f t="shared" si="170"/>
        <v>3424.505286355261</v>
      </c>
      <c r="K305" s="234">
        <f t="shared" si="170"/>
        <v>3491.3497036790313</v>
      </c>
      <c r="L305" s="234">
        <f t="shared" si="170"/>
        <v>3554.7756638891124</v>
      </c>
      <c r="M305" s="234">
        <f t="shared" si="170"/>
        <v>3614.7341255503784</v>
      </c>
      <c r="N305" s="234">
        <f t="shared" si="170"/>
        <v>3670.5857957795101</v>
      </c>
      <c r="O305" s="234">
        <f t="shared" si="170"/>
        <v>3722.8537019858813</v>
      </c>
      <c r="P305" s="234">
        <f t="shared" si="170"/>
        <v>3771.2346014027839</v>
      </c>
      <c r="Q305" s="234">
        <f t="shared" si="170"/>
        <v>3815.9302436434068</v>
      </c>
      <c r="R305" s="234">
        <f t="shared" si="170"/>
        <v>3856.8974497781624</v>
      </c>
      <c r="S305" s="234">
        <f t="shared" si="170"/>
        <v>3894.0974661736527</v>
      </c>
      <c r="T305" s="234">
        <f t="shared" si="170"/>
        <v>3927.4853210336755</v>
      </c>
      <c r="U305" s="234">
        <f t="shared" si="170"/>
        <v>3957.0203936624866</v>
      </c>
      <c r="V305" s="234">
        <f t="shared" si="170"/>
        <v>3982.6629378861439</v>
      </c>
      <c r="W305" s="234">
        <f t="shared" si="170"/>
        <v>4004.3740911813757</v>
      </c>
      <c r="X305" s="234">
        <f t="shared" si="170"/>
        <v>4022.1178975235107</v>
      </c>
      <c r="Y305" s="234">
        <f t="shared" si="170"/>
        <v>4035.85530085546</v>
      </c>
      <c r="Z305" s="234">
        <f t="shared" si="170"/>
        <v>4044.4889543954769</v>
      </c>
      <c r="AA305" s="234">
        <f t="shared" si="170"/>
        <v>4049.0067315534156</v>
      </c>
      <c r="AB305" s="234">
        <f t="shared" si="170"/>
        <v>4049.3771786743191</v>
      </c>
      <c r="AC305" s="234">
        <f t="shared" si="170"/>
        <v>4045.232103571675</v>
      </c>
      <c r="AD305" s="234">
        <f t="shared" si="170"/>
        <v>4036.879371776221</v>
      </c>
      <c r="AE305" s="234">
        <f t="shared" si="170"/>
        <v>4024.2921656840804</v>
      </c>
      <c r="AF305" s="234">
        <f t="shared" si="170"/>
        <v>4007.4449123239415</v>
      </c>
      <c r="AG305" s="234">
        <f t="shared" si="170"/>
        <v>3986.3132959137934</v>
      </c>
      <c r="AI305" s="295"/>
      <c r="AJ305" s="198"/>
    </row>
    <row r="306" spans="1:36" s="62" customFormat="1">
      <c r="A306" s="322" t="s">
        <v>733</v>
      </c>
      <c r="B306" s="287" t="s">
        <v>127</v>
      </c>
      <c r="C306" s="288">
        <f>C272*C$291</f>
        <v>18779.193602066673</v>
      </c>
      <c r="D306" s="288">
        <f t="shared" ref="D306:AG311" si="171">D272*D$291</f>
        <v>19352.32943279863</v>
      </c>
      <c r="E306" s="288">
        <f t="shared" si="171"/>
        <v>19920.921589610301</v>
      </c>
      <c r="F306" s="288">
        <f t="shared" si="171"/>
        <v>20484.866492510067</v>
      </c>
      <c r="G306" s="288">
        <f t="shared" si="171"/>
        <v>21044.060901998339</v>
      </c>
      <c r="H306" s="288">
        <f t="shared" si="171"/>
        <v>21598.401919067557</v>
      </c>
      <c r="I306" s="288">
        <f t="shared" si="171"/>
        <v>22091.198041256681</v>
      </c>
      <c r="J306" s="288">
        <f t="shared" si="171"/>
        <v>22576.073538657776</v>
      </c>
      <c r="K306" s="288">
        <f t="shared" si="171"/>
        <v>23052.949347879072</v>
      </c>
      <c r="L306" s="288">
        <f t="shared" si="171"/>
        <v>23521.746746020865</v>
      </c>
      <c r="M306" s="288">
        <f t="shared" si="171"/>
        <v>23982.387350675475</v>
      </c>
      <c r="N306" s="288">
        <f t="shared" si="171"/>
        <v>24361.220703310442</v>
      </c>
      <c r="O306" s="288">
        <f t="shared" si="171"/>
        <v>24726.943164474822</v>
      </c>
      <c r="P306" s="288">
        <f t="shared" si="171"/>
        <v>25077.669865279655</v>
      </c>
      <c r="Q306" s="288">
        <f t="shared" si="171"/>
        <v>25414.916165844181</v>
      </c>
      <c r="R306" s="288">
        <f t="shared" si="171"/>
        <v>25738.538831854377</v>
      </c>
      <c r="S306" s="288">
        <f t="shared" si="171"/>
        <v>26048.416422087215</v>
      </c>
      <c r="T306" s="288">
        <f t="shared" si="171"/>
        <v>26344.389947004813</v>
      </c>
      <c r="U306" s="288">
        <f t="shared" si="171"/>
        <v>26626.321960562647</v>
      </c>
      <c r="V306" s="288">
        <f t="shared" si="171"/>
        <v>26894.076973107229</v>
      </c>
      <c r="W306" s="288">
        <f t="shared" si="171"/>
        <v>27147.521458037172</v>
      </c>
      <c r="X306" s="288">
        <f t="shared" si="171"/>
        <v>27266.037547142296</v>
      </c>
      <c r="Y306" s="288">
        <f t="shared" si="171"/>
        <v>27363.362346918577</v>
      </c>
      <c r="Z306" s="288">
        <f t="shared" si="171"/>
        <v>27432.428162863696</v>
      </c>
      <c r="AA306" s="288">
        <f t="shared" si="171"/>
        <v>27479.768351058035</v>
      </c>
      <c r="AB306" s="288">
        <f t="shared" si="171"/>
        <v>27505.207729273876</v>
      </c>
      <c r="AC306" s="288">
        <f t="shared" si="171"/>
        <v>27506.200870695087</v>
      </c>
      <c r="AD306" s="288">
        <f t="shared" si="171"/>
        <v>27484.92370239571</v>
      </c>
      <c r="AE306" s="288">
        <f t="shared" si="171"/>
        <v>27441.222582152452</v>
      </c>
      <c r="AF306" s="288">
        <f t="shared" si="171"/>
        <v>27374.950393299201</v>
      </c>
      <c r="AG306" s="288">
        <f t="shared" si="171"/>
        <v>27285.966628315728</v>
      </c>
      <c r="AI306" s="314"/>
      <c r="AJ306" s="325"/>
    </row>
    <row r="307" spans="1:36">
      <c r="A307" s="323" t="s">
        <v>734</v>
      </c>
      <c r="B307" s="281" t="s">
        <v>127</v>
      </c>
      <c r="C307" s="234">
        <f t="shared" ref="C307:R311" si="172">C273*C$291</f>
        <v>43426.885204779181</v>
      </c>
      <c r="D307" s="234">
        <f t="shared" si="172"/>
        <v>43503.724430585622</v>
      </c>
      <c r="E307" s="234">
        <f t="shared" si="172"/>
        <v>43577.015977272531</v>
      </c>
      <c r="F307" s="234">
        <f t="shared" si="172"/>
        <v>43646.732583473153</v>
      </c>
      <c r="G307" s="234">
        <f t="shared" si="172"/>
        <v>43712.847094224482</v>
      </c>
      <c r="H307" s="234">
        <f t="shared" si="172"/>
        <v>43775.332460967278</v>
      </c>
      <c r="I307" s="234">
        <f t="shared" si="172"/>
        <v>43722.162789987175</v>
      </c>
      <c r="J307" s="234">
        <f t="shared" si="172"/>
        <v>43664.871962437755</v>
      </c>
      <c r="K307" s="234">
        <f t="shared" si="172"/>
        <v>43603.440378389685</v>
      </c>
      <c r="L307" s="234">
        <f t="shared" si="172"/>
        <v>43537.848544317458</v>
      </c>
      <c r="M307" s="234">
        <f t="shared" si="172"/>
        <v>43468.077073099288</v>
      </c>
      <c r="N307" s="234">
        <f t="shared" si="172"/>
        <v>43263.448352677828</v>
      </c>
      <c r="O307" s="234">
        <f t="shared" si="172"/>
        <v>43051.374259576682</v>
      </c>
      <c r="P307" s="234">
        <f t="shared" si="172"/>
        <v>42828.869319336605</v>
      </c>
      <c r="Q307" s="234">
        <f t="shared" si="172"/>
        <v>42598.865164341085</v>
      </c>
      <c r="R307" s="234">
        <f t="shared" si="172"/>
        <v>42361.345160760313</v>
      </c>
      <c r="S307" s="234">
        <f t="shared" si="171"/>
        <v>42116.325465059475</v>
      </c>
      <c r="T307" s="234">
        <f t="shared" si="171"/>
        <v>41863.757960998315</v>
      </c>
      <c r="U307" s="234">
        <f t="shared" si="171"/>
        <v>41603.628063379118</v>
      </c>
      <c r="V307" s="234">
        <f t="shared" si="171"/>
        <v>41335.921878308916</v>
      </c>
      <c r="W307" s="234">
        <f t="shared" si="171"/>
        <v>41060.626205281194</v>
      </c>
      <c r="X307" s="234">
        <f t="shared" si="171"/>
        <v>40598.327965414042</v>
      </c>
      <c r="Y307" s="234">
        <f t="shared" si="171"/>
        <v>40124.161133702677</v>
      </c>
      <c r="Z307" s="234">
        <f t="shared" si="171"/>
        <v>39628.212853193378</v>
      </c>
      <c r="AA307" s="234">
        <f t="shared" si="171"/>
        <v>39120.503555325624</v>
      </c>
      <c r="AB307" s="234">
        <f t="shared" si="171"/>
        <v>38601.058574605893</v>
      </c>
      <c r="AC307" s="234">
        <f t="shared" si="171"/>
        <v>38066.617276408324</v>
      </c>
      <c r="AD307" s="234">
        <f t="shared" si="171"/>
        <v>37520.537291099346</v>
      </c>
      <c r="AE307" s="234">
        <f t="shared" si="171"/>
        <v>36962.853693632009</v>
      </c>
      <c r="AF307" s="234">
        <f t="shared" si="171"/>
        <v>36393.604601261053</v>
      </c>
      <c r="AG307" s="234">
        <f t="shared" si="171"/>
        <v>35812.83119966439</v>
      </c>
      <c r="AI307" s="275"/>
    </row>
    <row r="308" spans="1:36">
      <c r="A308" s="323" t="s">
        <v>735</v>
      </c>
      <c r="B308" s="281" t="s">
        <v>127</v>
      </c>
      <c r="C308" s="234">
        <f t="shared" si="172"/>
        <v>9389.5968010333363</v>
      </c>
      <c r="D308" s="234">
        <f t="shared" si="171"/>
        <v>9090.912818230001</v>
      </c>
      <c r="E308" s="234">
        <f t="shared" si="171"/>
        <v>8793.2192954139209</v>
      </c>
      <c r="F308" s="234">
        <f t="shared" si="171"/>
        <v>8496.5639429161056</v>
      </c>
      <c r="G308" s="234">
        <f t="shared" si="171"/>
        <v>8200.9943221022913</v>
      </c>
      <c r="H308" s="234">
        <f t="shared" si="171"/>
        <v>7906.5578453729422</v>
      </c>
      <c r="I308" s="234">
        <f t="shared" si="171"/>
        <v>7593.8493266819805</v>
      </c>
      <c r="J308" s="234">
        <f t="shared" si="171"/>
        <v>7283.8345369655963</v>
      </c>
      <c r="K308" s="234">
        <f t="shared" si="171"/>
        <v>6976.5504605423475</v>
      </c>
      <c r="L308" s="234">
        <f t="shared" si="171"/>
        <v>6672.0339327655302</v>
      </c>
      <c r="M308" s="234">
        <f t="shared" si="171"/>
        <v>6370.3216400231695</v>
      </c>
      <c r="N308" s="234">
        <f t="shared" si="171"/>
        <v>6053.1691686579261</v>
      </c>
      <c r="O308" s="234">
        <f t="shared" si="171"/>
        <v>5740.1832346102228</v>
      </c>
      <c r="P308" s="234">
        <f t="shared" si="171"/>
        <v>5431.0651307073631</v>
      </c>
      <c r="Q308" s="234">
        <f t="shared" si="171"/>
        <v>5126.304112996977</v>
      </c>
      <c r="R308" s="234">
        <f t="shared" si="171"/>
        <v>4825.9760309726926</v>
      </c>
      <c r="S308" s="234">
        <f t="shared" si="171"/>
        <v>4530.1593777542948</v>
      </c>
      <c r="T308" s="234">
        <f t="shared" si="171"/>
        <v>4238.9244462600791</v>
      </c>
      <c r="U308" s="234">
        <f t="shared" si="171"/>
        <v>3952.3446660210143</v>
      </c>
      <c r="V308" s="234">
        <f t="shared" si="171"/>
        <v>3670.4926481153957</v>
      </c>
      <c r="W308" s="234">
        <f t="shared" si="171"/>
        <v>3393.4401822546424</v>
      </c>
      <c r="X308" s="234">
        <f t="shared" si="171"/>
        <v>3107.5263380934189</v>
      </c>
      <c r="Y308" s="234">
        <f t="shared" si="171"/>
        <v>2828.4244733593678</v>
      </c>
      <c r="Z308" s="234">
        <f t="shared" si="171"/>
        <v>2555.6153595120613</v>
      </c>
      <c r="AA308" s="234">
        <f t="shared" si="171"/>
        <v>2289.9806959214984</v>
      </c>
      <c r="AB308" s="234">
        <f t="shared" si="171"/>
        <v>2031.6346618213613</v>
      </c>
      <c r="AC308" s="234">
        <f t="shared" si="171"/>
        <v>1780.535324219097</v>
      </c>
      <c r="AD308" s="234">
        <f t="shared" si="171"/>
        <v>1536.9858649365979</v>
      </c>
      <c r="AE308" s="234">
        <f t="shared" si="171"/>
        <v>1301.0924500158446</v>
      </c>
      <c r="AF308" s="234">
        <f t="shared" si="171"/>
        <v>1072.9588607543078</v>
      </c>
      <c r="AG308" s="234">
        <f t="shared" si="171"/>
        <v>852.68645713486649</v>
      </c>
      <c r="AI308" s="275"/>
    </row>
    <row r="309" spans="1:36">
      <c r="A309" s="323" t="s">
        <v>736</v>
      </c>
      <c r="B309" s="281" t="s">
        <v>127</v>
      </c>
      <c r="C309" s="234">
        <f t="shared" si="172"/>
        <v>31689.889203487513</v>
      </c>
      <c r="D309" s="234">
        <f t="shared" si="171"/>
        <v>31174.417775818762</v>
      </c>
      <c r="E309" s="234">
        <f t="shared" si="171"/>
        <v>30659.543384009612</v>
      </c>
      <c r="F309" s="234">
        <f t="shared" si="171"/>
        <v>30145.343304318802</v>
      </c>
      <c r="G309" s="234">
        <f t="shared" si="171"/>
        <v>29631.894578916788</v>
      </c>
      <c r="H309" s="234">
        <f t="shared" si="171"/>
        <v>29119.274015885741</v>
      </c>
      <c r="I309" s="234">
        <f t="shared" si="171"/>
        <v>28534.464136623224</v>
      </c>
      <c r="J309" s="234">
        <f t="shared" si="171"/>
        <v>27953.145107831348</v>
      </c>
      <c r="K309" s="234">
        <f t="shared" si="171"/>
        <v>27375.37735060641</v>
      </c>
      <c r="L309" s="234">
        <f t="shared" si="171"/>
        <v>26801.221051956476</v>
      </c>
      <c r="M309" s="234">
        <f t="shared" si="171"/>
        <v>26230.73616480131</v>
      </c>
      <c r="N309" s="234">
        <f t="shared" si="171"/>
        <v>25586.708939909906</v>
      </c>
      <c r="O309" s="234">
        <f t="shared" si="171"/>
        <v>24947.719442729067</v>
      </c>
      <c r="P309" s="234">
        <f t="shared" si="171"/>
        <v>24312.217732763856</v>
      </c>
      <c r="Q309" s="234">
        <f t="shared" si="171"/>
        <v>23682.080972718446</v>
      </c>
      <c r="R309" s="234">
        <f t="shared" si="171"/>
        <v>23057.44103686955</v>
      </c>
      <c r="S309" s="234">
        <f t="shared" si="171"/>
        <v>22438.445667939261</v>
      </c>
      <c r="T309" s="234">
        <f t="shared" si="171"/>
        <v>21825.2060332234</v>
      </c>
      <c r="U309" s="234">
        <f t="shared" si="171"/>
        <v>21217.850312323357</v>
      </c>
      <c r="V309" s="234">
        <f t="shared" si="171"/>
        <v>20616.505434741634</v>
      </c>
      <c r="W309" s="234">
        <f t="shared" si="171"/>
        <v>20021.297075302406</v>
      </c>
      <c r="X309" s="234">
        <f t="shared" si="171"/>
        <v>19346.857524259041</v>
      </c>
      <c r="Y309" s="234">
        <f t="shared" si="171"/>
        <v>18680.756986838631</v>
      </c>
      <c r="Z309" s="234">
        <f t="shared" si="171"/>
        <v>18018.705762635687</v>
      </c>
      <c r="AA309" s="234">
        <f t="shared" si="171"/>
        <v>17365.686944071378</v>
      </c>
      <c r="AB309" s="234">
        <f t="shared" si="171"/>
        <v>16721.916062683529</v>
      </c>
      <c r="AC309" s="234">
        <f t="shared" si="171"/>
        <v>16086.21568777255</v>
      </c>
      <c r="AD309" s="234">
        <f t="shared" si="171"/>
        <v>15460.269582597562</v>
      </c>
      <c r="AE309" s="234">
        <f t="shared" si="171"/>
        <v>14844.282043362615</v>
      </c>
      <c r="AF309" s="234">
        <f t="shared" si="171"/>
        <v>14238.454071090977</v>
      </c>
      <c r="AG309" s="234">
        <f t="shared" si="171"/>
        <v>13642.983314157864</v>
      </c>
      <c r="AI309" s="275"/>
    </row>
    <row r="310" spans="1:36">
      <c r="A310" s="323" t="s">
        <v>737</v>
      </c>
      <c r="B310" s="281" t="s">
        <v>127</v>
      </c>
      <c r="C310" s="234">
        <f t="shared" si="172"/>
        <v>8215.8972009041699</v>
      </c>
      <c r="D310" s="234">
        <f t="shared" si="171"/>
        <v>8154.5097811590995</v>
      </c>
      <c r="E310" s="234">
        <f t="shared" si="171"/>
        <v>8092.8743957791858</v>
      </c>
      <c r="F310" s="234">
        <f t="shared" si="171"/>
        <v>8030.9987953590598</v>
      </c>
      <c r="G310" s="234">
        <f t="shared" si="171"/>
        <v>7968.8907092126046</v>
      </c>
      <c r="H310" s="234">
        <f t="shared" si="171"/>
        <v>7906.557845372944</v>
      </c>
      <c r="I310" s="234">
        <f t="shared" si="171"/>
        <v>7823.9659729450732</v>
      </c>
      <c r="J310" s="234">
        <f t="shared" si="171"/>
        <v>7741.4576492356882</v>
      </c>
      <c r="K310" s="234">
        <f t="shared" si="171"/>
        <v>7659.0390925519268</v>
      </c>
      <c r="L310" s="234">
        <f t="shared" si="171"/>
        <v>7576.7164999201796</v>
      </c>
      <c r="M310" s="234">
        <f t="shared" si="171"/>
        <v>7494.4960470860824</v>
      </c>
      <c r="N310" s="234">
        <f t="shared" si="171"/>
        <v>7390.0654267664258</v>
      </c>
      <c r="O310" s="234">
        <f t="shared" si="171"/>
        <v>7285.6171823898985</v>
      </c>
      <c r="P310" s="234">
        <f t="shared" si="171"/>
        <v>7180.6700050291984</v>
      </c>
      <c r="Q310" s="234">
        <f t="shared" si="171"/>
        <v>7075.7437052634323</v>
      </c>
      <c r="R310" s="234">
        <f t="shared" si="171"/>
        <v>6970.8542669605558</v>
      </c>
      <c r="S310" s="234">
        <f t="shared" si="171"/>
        <v>6866.0228069088525</v>
      </c>
      <c r="T310" s="234">
        <f t="shared" si="171"/>
        <v>6761.2596539520264</v>
      </c>
      <c r="U310" s="234">
        <f t="shared" si="171"/>
        <v>6656.5804901406545</v>
      </c>
      <c r="V310" s="234">
        <f t="shared" si="171"/>
        <v>6552.0008952340231</v>
      </c>
      <c r="W310" s="234">
        <f t="shared" si="171"/>
        <v>6447.5363462838195</v>
      </c>
      <c r="X310" s="234">
        <f t="shared" si="171"/>
        <v>6315.2954612866242</v>
      </c>
      <c r="Y310" s="234">
        <f t="shared" si="171"/>
        <v>6183.0674533902447</v>
      </c>
      <c r="Z310" s="234">
        <f t="shared" si="171"/>
        <v>6049.3680028956387</v>
      </c>
      <c r="AA310" s="234">
        <f t="shared" si="171"/>
        <v>5915.7834644638715</v>
      </c>
      <c r="AB310" s="234">
        <f t="shared" si="171"/>
        <v>5782.344806722338</v>
      </c>
      <c r="AC310" s="234">
        <f t="shared" si="171"/>
        <v>5648.5948216605866</v>
      </c>
      <c r="AD310" s="234">
        <f t="shared" si="171"/>
        <v>5515.0669271254437</v>
      </c>
      <c r="AE310" s="234">
        <f t="shared" si="171"/>
        <v>5381.7914977928194</v>
      </c>
      <c r="AF310" s="234">
        <f t="shared" si="171"/>
        <v>5248.7987512575692</v>
      </c>
      <c r="AG310" s="234">
        <f t="shared" si="171"/>
        <v>5116.1187428091989</v>
      </c>
      <c r="AI310" s="275"/>
    </row>
    <row r="311" spans="1:36" s="63" customFormat="1">
      <c r="A311" s="324" t="s">
        <v>738</v>
      </c>
      <c r="B311" s="291" t="s">
        <v>127</v>
      </c>
      <c r="C311" s="292">
        <f t="shared" si="172"/>
        <v>5868.4980006458354</v>
      </c>
      <c r="D311" s="292">
        <f t="shared" si="171"/>
        <v>5774.485395270558</v>
      </c>
      <c r="E311" s="292">
        <f t="shared" si="171"/>
        <v>5680.5752970373123</v>
      </c>
      <c r="F311" s="292">
        <f t="shared" si="171"/>
        <v>5586.7817706845635</v>
      </c>
      <c r="G311" s="292">
        <f t="shared" si="171"/>
        <v>5493.1188383892713</v>
      </c>
      <c r="H311" s="292">
        <f t="shared" si="171"/>
        <v>5399.6004797668884</v>
      </c>
      <c r="I311" s="292">
        <f t="shared" si="171"/>
        <v>5292.6828640510785</v>
      </c>
      <c r="J311" s="292">
        <f t="shared" si="171"/>
        <v>5186.395272394353</v>
      </c>
      <c r="K311" s="292">
        <f t="shared" si="171"/>
        <v>5080.7487049601887</v>
      </c>
      <c r="L311" s="292">
        <f t="shared" si="171"/>
        <v>4975.7541193505658</v>
      </c>
      <c r="M311" s="292">
        <f t="shared" si="171"/>
        <v>4871.4224306059541</v>
      </c>
      <c r="N311" s="292">
        <f t="shared" si="171"/>
        <v>4753.4089177191081</v>
      </c>
      <c r="O311" s="292">
        <f t="shared" si="171"/>
        <v>4636.3018433390262</v>
      </c>
      <c r="P311" s="292">
        <f t="shared" si="171"/>
        <v>4519.8125919980748</v>
      </c>
      <c r="Q311" s="292">
        <f t="shared" si="171"/>
        <v>4404.2894491945854</v>
      </c>
      <c r="R311" s="292">
        <f t="shared" si="171"/>
        <v>4289.7564719757265</v>
      </c>
      <c r="S311" s="292">
        <f t="shared" si="171"/>
        <v>4176.2406763672407</v>
      </c>
      <c r="T311" s="292">
        <f t="shared" si="171"/>
        <v>4063.7622790592491</v>
      </c>
      <c r="U311" s="292">
        <f t="shared" si="171"/>
        <v>3952.3446660210138</v>
      </c>
      <c r="V311" s="292">
        <f t="shared" si="171"/>
        <v>3842.0109961581707</v>
      </c>
      <c r="W311" s="292">
        <f t="shared" si="171"/>
        <v>3732.7842004801059</v>
      </c>
      <c r="X311" s="292">
        <f t="shared" si="171"/>
        <v>3608.7402635923563</v>
      </c>
      <c r="Y311" s="292">
        <f t="shared" si="171"/>
        <v>3486.1976066987545</v>
      </c>
      <c r="Z311" s="292">
        <f t="shared" si="171"/>
        <v>3364.3543973323331</v>
      </c>
      <c r="AA311" s="292">
        <f t="shared" si="171"/>
        <v>3244.1393192221217</v>
      </c>
      <c r="AB311" s="292">
        <f t="shared" si="171"/>
        <v>3125.5917874174784</v>
      </c>
      <c r="AC311" s="292">
        <f t="shared" si="171"/>
        <v>3008.490720232267</v>
      </c>
      <c r="AD311" s="292">
        <f t="shared" si="171"/>
        <v>2893.1498634100667</v>
      </c>
      <c r="AE311" s="292">
        <f t="shared" si="171"/>
        <v>2779.6065977611233</v>
      </c>
      <c r="AF311" s="292">
        <f t="shared" si="171"/>
        <v>2667.8977078215239</v>
      </c>
      <c r="AG311" s="292">
        <f t="shared" si="171"/>
        <v>2558.0593714045995</v>
      </c>
      <c r="AI311" s="293"/>
      <c r="AJ311" s="294"/>
    </row>
    <row r="312" spans="1:36" s="169" customFormat="1">
      <c r="B312" s="165"/>
      <c r="C312" s="104"/>
      <c r="D312" s="104"/>
      <c r="E312" s="104"/>
      <c r="F312" s="104"/>
      <c r="G312" s="104"/>
      <c r="H312" s="104"/>
      <c r="I312" s="104"/>
      <c r="J312" s="104"/>
      <c r="K312" s="104"/>
      <c r="L312" s="104"/>
      <c r="M312" s="104"/>
      <c r="N312" s="104"/>
      <c r="O312" s="104"/>
      <c r="P312" s="104"/>
      <c r="Q312" s="104"/>
      <c r="R312" s="104"/>
      <c r="S312" s="104"/>
      <c r="T312" s="104"/>
      <c r="U312" s="104"/>
      <c r="V312" s="104"/>
      <c r="W312" s="104"/>
      <c r="X312" s="104"/>
      <c r="Y312" s="104"/>
      <c r="Z312" s="104"/>
      <c r="AA312" s="104"/>
      <c r="AB312" s="104"/>
      <c r="AC312" s="104"/>
      <c r="AD312" s="104"/>
      <c r="AE312" s="104"/>
      <c r="AF312" s="104"/>
      <c r="AG312" s="104"/>
      <c r="AJ312" s="300"/>
    </row>
    <row r="313" spans="1:36" s="169" customFormat="1">
      <c r="A313" s="169" t="s">
        <v>1173</v>
      </c>
      <c r="B313" s="327" t="s">
        <v>127</v>
      </c>
      <c r="C313" s="216">
        <f>C246</f>
        <v>4908.1085276264903</v>
      </c>
      <c r="D313" s="216">
        <f t="shared" ref="D313:AG313" si="173">D246</f>
        <v>5212.339080741438</v>
      </c>
      <c r="E313" s="216">
        <f t="shared" si="173"/>
        <v>5523.2189495421462</v>
      </c>
      <c r="F313" s="216">
        <f t="shared" si="173"/>
        <v>5840.7321734641682</v>
      </c>
      <c r="G313" s="216">
        <f t="shared" si="173"/>
        <v>6164.862791943061</v>
      </c>
      <c r="H313" s="216">
        <f t="shared" si="173"/>
        <v>6495.5948444143824</v>
      </c>
      <c r="I313" s="216">
        <f t="shared" si="173"/>
        <v>6812.8661396873795</v>
      </c>
      <c r="J313" s="216">
        <f t="shared" si="173"/>
        <v>7135.2810640949683</v>
      </c>
      <c r="K313" s="216">
        <f t="shared" si="173"/>
        <v>7462.8236570727004</v>
      </c>
      <c r="L313" s="216">
        <f t="shared" si="173"/>
        <v>7795.477958056139</v>
      </c>
      <c r="M313" s="216">
        <f t="shared" si="173"/>
        <v>8133.2280064808347</v>
      </c>
      <c r="N313" s="216">
        <f t="shared" si="173"/>
        <v>8793.1647262852221</v>
      </c>
      <c r="O313" s="216">
        <f t="shared" si="173"/>
        <v>9463.564630761899</v>
      </c>
      <c r="P313" s="216">
        <f t="shared" si="173"/>
        <v>10143.743386124985</v>
      </c>
      <c r="Q313" s="216">
        <f t="shared" si="173"/>
        <v>10834.067598016694</v>
      </c>
      <c r="R313" s="216">
        <f t="shared" si="173"/>
        <v>11534.44936989541</v>
      </c>
      <c r="S313" s="216">
        <f t="shared" si="173"/>
        <v>12244.828448840577</v>
      </c>
      <c r="T313" s="216">
        <f t="shared" si="173"/>
        <v>12965.091103904833</v>
      </c>
      <c r="U313" s="216">
        <f t="shared" si="173"/>
        <v>13695.148689178286</v>
      </c>
      <c r="V313" s="216">
        <f t="shared" si="173"/>
        <v>14434.912308961617</v>
      </c>
      <c r="W313" s="216">
        <f t="shared" si="173"/>
        <v>15184.29281776608</v>
      </c>
      <c r="X313" s="216">
        <f t="shared" si="173"/>
        <v>16386.223596013733</v>
      </c>
      <c r="Y313" s="216">
        <f t="shared" si="173"/>
        <v>17604.423969066891</v>
      </c>
      <c r="Z313" s="216">
        <f t="shared" si="173"/>
        <v>18832.564943441808</v>
      </c>
      <c r="AA313" s="216">
        <f t="shared" si="173"/>
        <v>20075.304142043071</v>
      </c>
      <c r="AB313" s="216">
        <f t="shared" si="173"/>
        <v>21332.391318143684</v>
      </c>
      <c r="AC313" s="216">
        <f t="shared" si="173"/>
        <v>22601.948770066148</v>
      </c>
      <c r="AD313" s="216">
        <f t="shared" si="173"/>
        <v>23885.190248206804</v>
      </c>
      <c r="AE313" s="216">
        <f t="shared" si="173"/>
        <v>25181.856102103673</v>
      </c>
      <c r="AF313" s="216">
        <f t="shared" si="173"/>
        <v>26491.683546716482</v>
      </c>
      <c r="AG313" s="216">
        <f t="shared" si="173"/>
        <v>27814.406662426591</v>
      </c>
      <c r="AI313" s="698"/>
      <c r="AJ313" s="300"/>
    </row>
    <row r="314" spans="1:36" s="169" customFormat="1">
      <c r="A314" s="169" t="s">
        <v>1174</v>
      </c>
      <c r="B314" s="326" t="s">
        <v>127</v>
      </c>
      <c r="C314" s="234">
        <f>C313/(1-C271)</f>
        <v>6723.4363392143705</v>
      </c>
      <c r="D314" s="234">
        <f t="shared" ref="D314:AG314" si="174">D313/(1-D271)</f>
        <v>7101.2794015550926</v>
      </c>
      <c r="E314" s="234">
        <f t="shared" si="174"/>
        <v>7484.0365169947781</v>
      </c>
      <c r="F314" s="234">
        <f t="shared" si="174"/>
        <v>7871.6067027818981</v>
      </c>
      <c r="G314" s="234">
        <f t="shared" si="174"/>
        <v>8263.891142014827</v>
      </c>
      <c r="H314" s="234">
        <f t="shared" si="174"/>
        <v>8660.7931258858425</v>
      </c>
      <c r="I314" s="234">
        <f t="shared" si="174"/>
        <v>9035.6314849965238</v>
      </c>
      <c r="J314" s="234">
        <f t="shared" si="174"/>
        <v>9413.2995568535207</v>
      </c>
      <c r="K314" s="234">
        <f t="shared" si="174"/>
        <v>9793.7318334287411</v>
      </c>
      <c r="L314" s="234">
        <f t="shared" si="174"/>
        <v>10176.864175008013</v>
      </c>
      <c r="M314" s="234">
        <f t="shared" si="174"/>
        <v>10562.633774650434</v>
      </c>
      <c r="N314" s="234">
        <f t="shared" si="174"/>
        <v>11360.677940936979</v>
      </c>
      <c r="O314" s="234">
        <f t="shared" si="174"/>
        <v>12163.964821030719</v>
      </c>
      <c r="P314" s="234">
        <f t="shared" si="174"/>
        <v>12971.538856937321</v>
      </c>
      <c r="Q314" s="234">
        <f t="shared" si="174"/>
        <v>13783.801015288414</v>
      </c>
      <c r="R314" s="234">
        <f t="shared" si="174"/>
        <v>14600.568822652418</v>
      </c>
      <c r="S314" s="234">
        <f t="shared" si="174"/>
        <v>15421.69829828788</v>
      </c>
      <c r="T314" s="234">
        <f t="shared" si="174"/>
        <v>16246.981333214077</v>
      </c>
      <c r="U314" s="234">
        <f t="shared" si="174"/>
        <v>17076.245248351977</v>
      </c>
      <c r="V314" s="234">
        <f t="shared" si="174"/>
        <v>17909.320482582651</v>
      </c>
      <c r="W314" s="234">
        <f t="shared" si="174"/>
        <v>18746.040515760589</v>
      </c>
      <c r="X314" s="234">
        <f t="shared" si="174"/>
        <v>20130.495818198688</v>
      </c>
      <c r="Y314" s="234">
        <f t="shared" si="174"/>
        <v>21521.300695680795</v>
      </c>
      <c r="Z314" s="234">
        <f t="shared" si="174"/>
        <v>22910.662948226043</v>
      </c>
      <c r="AA314" s="234">
        <f t="shared" si="174"/>
        <v>24304.242302715582</v>
      </c>
      <c r="AB314" s="234">
        <f t="shared" si="174"/>
        <v>25701.676286920097</v>
      </c>
      <c r="AC314" s="234">
        <f t="shared" si="174"/>
        <v>27100.657997681232</v>
      </c>
      <c r="AD314" s="234">
        <f t="shared" si="174"/>
        <v>28502.613661344632</v>
      </c>
      <c r="AE314" s="234">
        <f t="shared" si="174"/>
        <v>29907.192520313147</v>
      </c>
      <c r="AF314" s="234">
        <f t="shared" si="174"/>
        <v>31314.046745527754</v>
      </c>
      <c r="AG314" s="234">
        <f t="shared" si="174"/>
        <v>32722.831367560695</v>
      </c>
      <c r="AI314" s="698"/>
      <c r="AJ314" s="300"/>
    </row>
    <row r="315" spans="1:36" s="169" customFormat="1">
      <c r="A315" s="169" t="s">
        <v>1175</v>
      </c>
      <c r="B315" s="326" t="s">
        <v>127</v>
      </c>
      <c r="C315" s="234">
        <f>C303</f>
        <v>14636.684804303019</v>
      </c>
      <c r="D315" s="234">
        <f t="shared" ref="D315:AG315" si="175">D303</f>
        <v>14847.053668807372</v>
      </c>
      <c r="E315" s="234">
        <f t="shared" si="175"/>
        <v>15058.259210067674</v>
      </c>
      <c r="F315" s="234">
        <f t="shared" si="175"/>
        <v>15270.294573802716</v>
      </c>
      <c r="G315" s="234">
        <f t="shared" si="175"/>
        <v>15483.15290900591</v>
      </c>
      <c r="H315" s="234">
        <f t="shared" si="175"/>
        <v>15696.827367945294</v>
      </c>
      <c r="I315" s="234">
        <f t="shared" si="175"/>
        <v>15870.319758973601</v>
      </c>
      <c r="J315" s="234">
        <f t="shared" si="175"/>
        <v>16043.494890738941</v>
      </c>
      <c r="K315" s="234">
        <f t="shared" si="175"/>
        <v>16216.339352720279</v>
      </c>
      <c r="L315" s="234">
        <f t="shared" si="175"/>
        <v>16388.839804824376</v>
      </c>
      <c r="M315" s="234">
        <f t="shared" si="175"/>
        <v>16560.982977385735</v>
      </c>
      <c r="N315" s="234">
        <f t="shared" si="175"/>
        <v>16730.062138560465</v>
      </c>
      <c r="O315" s="234">
        <f t="shared" si="175"/>
        <v>16898.68752813671</v>
      </c>
      <c r="P315" s="234">
        <f t="shared" si="175"/>
        <v>17065.678427253959</v>
      </c>
      <c r="Q315" s="234">
        <f t="shared" si="175"/>
        <v>17232.140784428473</v>
      </c>
      <c r="R315" s="234">
        <f t="shared" si="175"/>
        <v>17398.060452271584</v>
      </c>
      <c r="S315" s="234">
        <f t="shared" si="175"/>
        <v>17563.439495974828</v>
      </c>
      <c r="T315" s="234">
        <f t="shared" si="175"/>
        <v>17728.248171566611</v>
      </c>
      <c r="U315" s="234">
        <f t="shared" si="175"/>
        <v>17892.472548140391</v>
      </c>
      <c r="V315" s="234">
        <f t="shared" si="175"/>
        <v>18056.098766361178</v>
      </c>
      <c r="W315" s="234">
        <f t="shared" si="175"/>
        <v>18219.113038532261</v>
      </c>
      <c r="X315" s="234">
        <f t="shared" si="175"/>
        <v>18381.510852236454</v>
      </c>
      <c r="Y315" s="234">
        <f t="shared" si="175"/>
        <v>18543.26957893679</v>
      </c>
      <c r="Z315" s="234">
        <f t="shared" si="175"/>
        <v>18699.469328363662</v>
      </c>
      <c r="AA315" s="234">
        <f t="shared" si="175"/>
        <v>18854.755223676573</v>
      </c>
      <c r="AB315" s="234">
        <f t="shared" si="175"/>
        <v>19009.108659576239</v>
      </c>
      <c r="AC315" s="234">
        <f t="shared" si="175"/>
        <v>19160.910461867479</v>
      </c>
      <c r="AD315" s="234">
        <f t="shared" si="175"/>
        <v>19311.706187234158</v>
      </c>
      <c r="AE315" s="234">
        <f t="shared" si="175"/>
        <v>19461.477210171306</v>
      </c>
      <c r="AF315" s="234">
        <f t="shared" si="175"/>
        <v>19610.204957950347</v>
      </c>
      <c r="AG315" s="234">
        <f t="shared" si="175"/>
        <v>19757.870911119564</v>
      </c>
      <c r="AI315" s="698"/>
      <c r="AJ315" s="300"/>
    </row>
    <row r="316" spans="1:36" s="169" customFormat="1">
      <c r="A316" s="169" t="s">
        <v>1176</v>
      </c>
      <c r="B316" s="326" t="s">
        <v>127</v>
      </c>
      <c r="C316" s="234">
        <f>C314-C315</f>
        <v>-7913.2484650886481</v>
      </c>
      <c r="D316" s="234">
        <f t="shared" ref="D316:AG316" si="176">D314-D315</f>
        <v>-7745.7742672522791</v>
      </c>
      <c r="E316" s="234">
        <f t="shared" si="176"/>
        <v>-7574.2226930728957</v>
      </c>
      <c r="F316" s="234">
        <f t="shared" si="176"/>
        <v>-7398.6878710208175</v>
      </c>
      <c r="G316" s="234">
        <f t="shared" si="176"/>
        <v>-7219.2617669910833</v>
      </c>
      <c r="H316" s="234">
        <f t="shared" si="176"/>
        <v>-7036.0342420594516</v>
      </c>
      <c r="I316" s="234">
        <f t="shared" si="176"/>
        <v>-6834.6882739770772</v>
      </c>
      <c r="J316" s="234">
        <f t="shared" si="176"/>
        <v>-6630.19533388542</v>
      </c>
      <c r="K316" s="234">
        <f t="shared" si="176"/>
        <v>-6422.6075192915378</v>
      </c>
      <c r="L316" s="234">
        <f t="shared" si="176"/>
        <v>-6211.9756298163629</v>
      </c>
      <c r="M316" s="234">
        <f t="shared" si="176"/>
        <v>-5998.3492027353004</v>
      </c>
      <c r="N316" s="234">
        <f t="shared" si="176"/>
        <v>-5369.3841976234853</v>
      </c>
      <c r="O316" s="234">
        <f t="shared" si="176"/>
        <v>-4734.7227071059915</v>
      </c>
      <c r="P316" s="234">
        <f t="shared" si="176"/>
        <v>-4094.1395703166381</v>
      </c>
      <c r="Q316" s="234">
        <f t="shared" si="176"/>
        <v>-3448.3397691400587</v>
      </c>
      <c r="R316" s="234">
        <f t="shared" si="176"/>
        <v>-2797.4916296191659</v>
      </c>
      <c r="S316" s="234">
        <f t="shared" si="176"/>
        <v>-2141.741197686948</v>
      </c>
      <c r="T316" s="234">
        <f t="shared" si="176"/>
        <v>-1481.2668383525343</v>
      </c>
      <c r="U316" s="234">
        <f t="shared" si="176"/>
        <v>-816.2272997884138</v>
      </c>
      <c r="V316" s="234">
        <f t="shared" si="176"/>
        <v>-146.77828377852711</v>
      </c>
      <c r="W316" s="234">
        <f t="shared" si="176"/>
        <v>526.92747722832792</v>
      </c>
      <c r="X316" s="234">
        <f t="shared" si="176"/>
        <v>1748.9849659622341</v>
      </c>
      <c r="Y316" s="234">
        <f t="shared" si="176"/>
        <v>2978.031116744005</v>
      </c>
      <c r="Z316" s="234">
        <f t="shared" si="176"/>
        <v>4211.1936198623807</v>
      </c>
      <c r="AA316" s="234">
        <f t="shared" si="176"/>
        <v>5449.4870790390087</v>
      </c>
      <c r="AB316" s="234">
        <f t="shared" si="176"/>
        <v>6692.5676273438585</v>
      </c>
      <c r="AC316" s="234">
        <f t="shared" si="176"/>
        <v>7939.7475358137526</v>
      </c>
      <c r="AD316" s="234">
        <f t="shared" si="176"/>
        <v>9190.9074741104741</v>
      </c>
      <c r="AE316" s="234">
        <f t="shared" si="176"/>
        <v>10445.715310141841</v>
      </c>
      <c r="AF316" s="234">
        <f t="shared" si="176"/>
        <v>11703.841787577407</v>
      </c>
      <c r="AG316" s="234">
        <f t="shared" si="176"/>
        <v>12964.960456441131</v>
      </c>
      <c r="AI316" s="698"/>
      <c r="AJ316" s="300"/>
    </row>
    <row r="317" spans="1:36" s="169" customFormat="1">
      <c r="A317" s="169" t="s">
        <v>1177</v>
      </c>
      <c r="B317" s="326" t="s">
        <v>127</v>
      </c>
      <c r="C317" s="234">
        <f>(C316)/(1-C268)</f>
        <v>-9891.560581360809</v>
      </c>
      <c r="D317" s="234">
        <f t="shared" ref="D317:AG317" si="177">(D314-D303)/(1-D268)</f>
        <v>-9642.0426563306373</v>
      </c>
      <c r="E317" s="234">
        <f t="shared" si="177"/>
        <v>-9389.5322641399543</v>
      </c>
      <c r="F317" s="234">
        <f t="shared" si="177"/>
        <v>-9134.1825568158256</v>
      </c>
      <c r="G317" s="234">
        <f t="shared" si="177"/>
        <v>-8876.1415167923169</v>
      </c>
      <c r="H317" s="234">
        <f t="shared" si="177"/>
        <v>-8615.5521331340224</v>
      </c>
      <c r="I317" s="234">
        <f t="shared" si="177"/>
        <v>-8334.985699972045</v>
      </c>
      <c r="J317" s="234">
        <f t="shared" si="177"/>
        <v>-8052.8688265814826</v>
      </c>
      <c r="K317" s="234">
        <f t="shared" si="177"/>
        <v>-7769.2832894655703</v>
      </c>
      <c r="L317" s="234">
        <f t="shared" si="177"/>
        <v>-7484.3079877305581</v>
      </c>
      <c r="M317" s="234">
        <f t="shared" si="177"/>
        <v>-7198.0190432823611</v>
      </c>
      <c r="N317" s="234">
        <f t="shared" si="177"/>
        <v>-6417.5906744503818</v>
      </c>
      <c r="O317" s="234">
        <f t="shared" si="177"/>
        <v>-5636.5746513166578</v>
      </c>
      <c r="P317" s="234">
        <f t="shared" si="177"/>
        <v>-4854.7109529446307</v>
      </c>
      <c r="Q317" s="234">
        <f t="shared" si="177"/>
        <v>-4072.842247015818</v>
      </c>
      <c r="R317" s="234">
        <f t="shared" si="177"/>
        <v>-3291.1666230813721</v>
      </c>
      <c r="S317" s="234">
        <f t="shared" si="177"/>
        <v>-2509.8529660393924</v>
      </c>
      <c r="T317" s="234">
        <f t="shared" si="177"/>
        <v>-1729.1052587772774</v>
      </c>
      <c r="U317" s="234">
        <f t="shared" si="177"/>
        <v>-949.10151138187666</v>
      </c>
      <c r="V317" s="234">
        <f t="shared" si="177"/>
        <v>-170.0134561141241</v>
      </c>
      <c r="W317" s="234">
        <f t="shared" si="177"/>
        <v>607.99324295576309</v>
      </c>
      <c r="X317" s="234">
        <f t="shared" si="177"/>
        <v>2010.3275470830281</v>
      </c>
      <c r="Y317" s="234">
        <f t="shared" si="177"/>
        <v>3409.9592939816857</v>
      </c>
      <c r="Z317" s="234">
        <f t="shared" si="177"/>
        <v>4803.6429123905491</v>
      </c>
      <c r="AA317" s="234">
        <f t="shared" si="177"/>
        <v>6192.5989534534201</v>
      </c>
      <c r="AB317" s="234">
        <f t="shared" si="177"/>
        <v>7576.4916535968223</v>
      </c>
      <c r="AC317" s="234">
        <f t="shared" si="177"/>
        <v>8954.6024840004739</v>
      </c>
      <c r="AD317" s="234">
        <f t="shared" si="177"/>
        <v>10326.86233046121</v>
      </c>
      <c r="AE317" s="234">
        <f t="shared" si="177"/>
        <v>11692.964899412511</v>
      </c>
      <c r="AF317" s="234">
        <f t="shared" si="177"/>
        <v>13052.611659008262</v>
      </c>
      <c r="AG317" s="234">
        <f t="shared" si="177"/>
        <v>14405.511618267923</v>
      </c>
      <c r="AI317" s="698"/>
      <c r="AJ317" s="300"/>
    </row>
    <row r="318" spans="1:36" s="169" customFormat="1">
      <c r="A318" s="169" t="s">
        <v>1178</v>
      </c>
      <c r="B318" s="326" t="s">
        <v>127</v>
      </c>
      <c r="C318" s="234">
        <f>IF(C297&gt;C317,C317,C297)</f>
        <v>-9891.560581360809</v>
      </c>
      <c r="D318" s="234">
        <f t="shared" ref="D318:AG318" si="178">IF(D297&gt;D317,D317,D297)</f>
        <v>-9642.0426563306373</v>
      </c>
      <c r="E318" s="234">
        <f t="shared" si="178"/>
        <v>-9389.5322641399543</v>
      </c>
      <c r="F318" s="234">
        <f t="shared" si="178"/>
        <v>-9134.1825568158256</v>
      </c>
      <c r="G318" s="234">
        <f t="shared" si="178"/>
        <v>-8876.1415167923169</v>
      </c>
      <c r="H318" s="234">
        <f t="shared" si="178"/>
        <v>-8615.5521331340224</v>
      </c>
      <c r="I318" s="234">
        <f t="shared" si="178"/>
        <v>-8334.985699972045</v>
      </c>
      <c r="J318" s="234">
        <f t="shared" si="178"/>
        <v>-8052.8688265814826</v>
      </c>
      <c r="K318" s="234">
        <f t="shared" si="178"/>
        <v>-7769.2832894655703</v>
      </c>
      <c r="L318" s="234">
        <f t="shared" si="178"/>
        <v>-7484.3079877305581</v>
      </c>
      <c r="M318" s="234">
        <f t="shared" si="178"/>
        <v>-7198.0190432823611</v>
      </c>
      <c r="N318" s="234">
        <f t="shared" si="178"/>
        <v>-6417.5906744503818</v>
      </c>
      <c r="O318" s="234">
        <f t="shared" si="178"/>
        <v>-5636.5746513166578</v>
      </c>
      <c r="P318" s="234">
        <f t="shared" si="178"/>
        <v>-4854.7109529446307</v>
      </c>
      <c r="Q318" s="234">
        <f t="shared" si="178"/>
        <v>-4072.842247015818</v>
      </c>
      <c r="R318" s="234">
        <f t="shared" si="178"/>
        <v>-3291.1666230813721</v>
      </c>
      <c r="S318" s="234">
        <f t="shared" si="178"/>
        <v>-2509.8529660393924</v>
      </c>
      <c r="T318" s="234">
        <f t="shared" si="178"/>
        <v>-1729.1052587772774</v>
      </c>
      <c r="U318" s="234">
        <f t="shared" si="178"/>
        <v>-949.10151138187666</v>
      </c>
      <c r="V318" s="234">
        <f t="shared" si="178"/>
        <v>-170.0134561141241</v>
      </c>
      <c r="W318" s="234">
        <f t="shared" si="178"/>
        <v>607.99324295576309</v>
      </c>
      <c r="X318" s="234">
        <f t="shared" si="178"/>
        <v>2010.3275470830281</v>
      </c>
      <c r="Y318" s="234">
        <f t="shared" si="178"/>
        <v>3409.9592939816857</v>
      </c>
      <c r="Z318" s="234">
        <f t="shared" si="178"/>
        <v>4803.6429123905491</v>
      </c>
      <c r="AA318" s="234">
        <f t="shared" si="178"/>
        <v>6192.5989534534201</v>
      </c>
      <c r="AB318" s="234">
        <f t="shared" si="178"/>
        <v>7576.4916535968223</v>
      </c>
      <c r="AC318" s="234">
        <f t="shared" si="178"/>
        <v>8954.6024840004739</v>
      </c>
      <c r="AD318" s="234">
        <f t="shared" si="178"/>
        <v>10326.86233046121</v>
      </c>
      <c r="AE318" s="234">
        <f t="shared" si="178"/>
        <v>11692.964899412511</v>
      </c>
      <c r="AF318" s="234">
        <f t="shared" si="178"/>
        <v>13052.611659008262</v>
      </c>
      <c r="AG318" s="234">
        <f t="shared" si="178"/>
        <v>14405.511618267923</v>
      </c>
      <c r="AI318" s="698"/>
      <c r="AJ318" s="300"/>
    </row>
    <row r="319" spans="1:36" s="169" customFormat="1">
      <c r="A319" s="169" t="s">
        <v>1179</v>
      </c>
      <c r="B319" s="326" t="s">
        <v>127</v>
      </c>
      <c r="C319" s="234">
        <f>IF(C317-C318&lt;0,0,C317-C318)</f>
        <v>0</v>
      </c>
      <c r="D319" s="234">
        <f t="shared" ref="D319:AG319" si="179">IF(D317-D318&lt;0,0,D317-D318)</f>
        <v>0</v>
      </c>
      <c r="E319" s="234">
        <f t="shared" si="179"/>
        <v>0</v>
      </c>
      <c r="F319" s="234">
        <f t="shared" si="179"/>
        <v>0</v>
      </c>
      <c r="G319" s="234">
        <f t="shared" si="179"/>
        <v>0</v>
      </c>
      <c r="H319" s="234">
        <f t="shared" si="179"/>
        <v>0</v>
      </c>
      <c r="I319" s="234">
        <f t="shared" si="179"/>
        <v>0</v>
      </c>
      <c r="J319" s="234">
        <f t="shared" si="179"/>
        <v>0</v>
      </c>
      <c r="K319" s="234">
        <f t="shared" si="179"/>
        <v>0</v>
      </c>
      <c r="L319" s="234">
        <f t="shared" si="179"/>
        <v>0</v>
      </c>
      <c r="M319" s="234">
        <f t="shared" si="179"/>
        <v>0</v>
      </c>
      <c r="N319" s="234">
        <f t="shared" si="179"/>
        <v>0</v>
      </c>
      <c r="O319" s="234">
        <f t="shared" si="179"/>
        <v>0</v>
      </c>
      <c r="P319" s="234">
        <f t="shared" si="179"/>
        <v>0</v>
      </c>
      <c r="Q319" s="234">
        <f t="shared" si="179"/>
        <v>0</v>
      </c>
      <c r="R319" s="234">
        <f t="shared" si="179"/>
        <v>0</v>
      </c>
      <c r="S319" s="234">
        <f t="shared" si="179"/>
        <v>0</v>
      </c>
      <c r="T319" s="234">
        <f t="shared" si="179"/>
        <v>0</v>
      </c>
      <c r="U319" s="234">
        <f t="shared" si="179"/>
        <v>0</v>
      </c>
      <c r="V319" s="234">
        <f t="shared" si="179"/>
        <v>0</v>
      </c>
      <c r="W319" s="234">
        <f t="shared" si="179"/>
        <v>0</v>
      </c>
      <c r="X319" s="234">
        <f t="shared" si="179"/>
        <v>0</v>
      </c>
      <c r="Y319" s="234">
        <f t="shared" si="179"/>
        <v>0</v>
      </c>
      <c r="Z319" s="234">
        <f t="shared" si="179"/>
        <v>0</v>
      </c>
      <c r="AA319" s="234">
        <f t="shared" si="179"/>
        <v>0</v>
      </c>
      <c r="AB319" s="234">
        <f t="shared" si="179"/>
        <v>0</v>
      </c>
      <c r="AC319" s="234">
        <f t="shared" si="179"/>
        <v>0</v>
      </c>
      <c r="AD319" s="234">
        <f t="shared" si="179"/>
        <v>0</v>
      </c>
      <c r="AE319" s="234">
        <f t="shared" si="179"/>
        <v>0</v>
      </c>
      <c r="AF319" s="234">
        <f t="shared" si="179"/>
        <v>0</v>
      </c>
      <c r="AG319" s="234">
        <f t="shared" si="179"/>
        <v>0</v>
      </c>
      <c r="AI319" s="698"/>
      <c r="AJ319" s="300"/>
    </row>
    <row r="320" spans="1:36" s="169" customFormat="1">
      <c r="A320" s="169" t="s">
        <v>1180</v>
      </c>
      <c r="B320" s="326" t="s">
        <v>127</v>
      </c>
      <c r="C320" s="234">
        <f>C314*C271+C268*C317+C304+IF(C297&gt;C317,C297-C317,0)</f>
        <v>23594.909249174125</v>
      </c>
      <c r="D320" s="234">
        <f t="shared" ref="D320:AG320" si="180">D314*D271+D268*D317+D304+IF(D297&gt;D317,D297-D317,0)</f>
        <v>24123.413239676564</v>
      </c>
      <c r="E320" s="234">
        <f t="shared" si="180"/>
        <v>24649.509354129848</v>
      </c>
      <c r="F320" s="234">
        <f t="shared" si="180"/>
        <v>25173.180910838615</v>
      </c>
      <c r="G320" s="234">
        <f t="shared" si="180"/>
        <v>25694.411243661983</v>
      </c>
      <c r="H320" s="234">
        <f t="shared" si="180"/>
        <v>26213.183702013543</v>
      </c>
      <c r="I320" s="234">
        <f t="shared" si="180"/>
        <v>26663.063118359893</v>
      </c>
      <c r="J320" s="234">
        <f t="shared" si="180"/>
        <v>27107.435757415435</v>
      </c>
      <c r="K320" s="234">
        <f t="shared" si="180"/>
        <v>27546.252064054002</v>
      </c>
      <c r="L320" s="234">
        <f t="shared" si="180"/>
        <v>27979.462817681324</v>
      </c>
      <c r="M320" s="234">
        <f t="shared" si="180"/>
        <v>28407.019132234993</v>
      </c>
      <c r="N320" s="234">
        <f t="shared" si="180"/>
        <v>28505.760461220238</v>
      </c>
      <c r="O320" s="234">
        <f t="shared" si="180"/>
        <v>28593.071509250181</v>
      </c>
      <c r="P320" s="234">
        <f t="shared" si="180"/>
        <v>28666.916212367963</v>
      </c>
      <c r="Q320" s="234">
        <f t="shared" si="180"/>
        <v>28729.356340506994</v>
      </c>
      <c r="R320" s="234">
        <f t="shared" si="180"/>
        <v>28780.41114047579</v>
      </c>
      <c r="S320" s="234">
        <f t="shared" si="180"/>
        <v>28820.110292787715</v>
      </c>
      <c r="T320" s="234">
        <f t="shared" si="180"/>
        <v>28848.46342395791</v>
      </c>
      <c r="U320" s="234">
        <f t="shared" si="180"/>
        <v>28865.491554922344</v>
      </c>
      <c r="V320" s="234">
        <f t="shared" si="180"/>
        <v>28871.21629499476</v>
      </c>
      <c r="W320" s="234">
        <f t="shared" si="180"/>
        <v>28865.659842183697</v>
      </c>
      <c r="X320" s="234">
        <f t="shared" si="180"/>
        <v>28405.844635080888</v>
      </c>
      <c r="Y320" s="234">
        <f t="shared" si="180"/>
        <v>27927.963534318016</v>
      </c>
      <c r="Z320" s="234">
        <f t="shared" si="180"/>
        <v>27426.142368574663</v>
      </c>
      <c r="AA320" s="234">
        <f t="shared" si="180"/>
        <v>26907.001300648699</v>
      </c>
      <c r="AB320" s="234">
        <f t="shared" si="180"/>
        <v>26370.703891203881</v>
      </c>
      <c r="AC320" s="234">
        <f t="shared" si="180"/>
        <v>25814.996840838929</v>
      </c>
      <c r="AD320" s="234">
        <f t="shared" si="180"/>
        <v>25242.477057089094</v>
      </c>
      <c r="AE320" s="234">
        <f t="shared" si="180"/>
        <v>24653.31732470711</v>
      </c>
      <c r="AF320" s="234">
        <f t="shared" si="180"/>
        <v>24047.693803388127</v>
      </c>
      <c r="AG320" s="234">
        <f t="shared" si="180"/>
        <v>23425.786030147225</v>
      </c>
      <c r="AI320" s="698"/>
      <c r="AJ320" s="300"/>
    </row>
    <row r="321" spans="1:37" s="169" customFormat="1">
      <c r="A321" s="169" t="s">
        <v>1181</v>
      </c>
      <c r="B321" s="326" t="s">
        <v>127</v>
      </c>
      <c r="C321" s="234">
        <f>C300-C319</f>
        <v>74210.559797255657</v>
      </c>
      <c r="D321" s="234">
        <f t="shared" ref="D321:AF321" si="181">D300-D319</f>
        <v>73853.982274707858</v>
      </c>
      <c r="E321" s="234">
        <f t="shared" si="181"/>
        <v>73493.040513915927</v>
      </c>
      <c r="F321" s="234">
        <f t="shared" si="181"/>
        <v>73127.767157139708</v>
      </c>
      <c r="G321" s="234">
        <f t="shared" si="181"/>
        <v>72758.194831084489</v>
      </c>
      <c r="H321" s="234">
        <f t="shared" si="181"/>
        <v>72384.356146901118</v>
      </c>
      <c r="I321" s="234">
        <f t="shared" si="181"/>
        <v>71820.778272297684</v>
      </c>
      <c r="J321" s="234">
        <f t="shared" si="181"/>
        <v>71254.922504733564</v>
      </c>
      <c r="K321" s="234">
        <f t="shared" si="181"/>
        <v>70686.854359899356</v>
      </c>
      <c r="L321" s="234">
        <f t="shared" si="181"/>
        <v>70116.639018953763</v>
      </c>
      <c r="M321" s="234">
        <f t="shared" si="181"/>
        <v>69544.34132852366</v>
      </c>
      <c r="N321" s="234">
        <f t="shared" si="181"/>
        <v>68958.923444523505</v>
      </c>
      <c r="O321" s="234">
        <f t="shared" si="181"/>
        <v>68371.676796986838</v>
      </c>
      <c r="P321" s="234">
        <f t="shared" si="181"/>
        <v>67778.031245372928</v>
      </c>
      <c r="Q321" s="234">
        <f t="shared" si="181"/>
        <v>67182.671444340725</v>
      </c>
      <c r="R321" s="234">
        <f t="shared" si="181"/>
        <v>66585.664541988604</v>
      </c>
      <c r="S321" s="234">
        <f t="shared" si="181"/>
        <v>65987.137992292803</v>
      </c>
      <c r="T321" s="234">
        <f t="shared" si="181"/>
        <v>65387.09688549499</v>
      </c>
      <c r="U321" s="234">
        <f t="shared" si="181"/>
        <v>64785.607344934426</v>
      </c>
      <c r="V321" s="234">
        <f t="shared" si="181"/>
        <v>64182.73515536201</v>
      </c>
      <c r="W321" s="234">
        <f t="shared" si="181"/>
        <v>63578.545762623282</v>
      </c>
      <c r="X321" s="234">
        <f t="shared" si="181"/>
        <v>62973.135803826051</v>
      </c>
      <c r="Y321" s="234">
        <f t="shared" si="181"/>
        <v>62366.538100752106</v>
      </c>
      <c r="Z321" s="234">
        <f t="shared" si="181"/>
        <v>61742.617205090733</v>
      </c>
      <c r="AA321" s="234">
        <f t="shared" si="181"/>
        <v>61117.426375199146</v>
      </c>
      <c r="AB321" s="234">
        <f t="shared" si="181"/>
        <v>60491.041034880596</v>
      </c>
      <c r="AC321" s="234">
        <f t="shared" si="181"/>
        <v>59858.536065770044</v>
      </c>
      <c r="AD321" s="234">
        <f t="shared" si="181"/>
        <v>59225.057753527617</v>
      </c>
      <c r="AE321" s="234">
        <f t="shared" si="181"/>
        <v>58590.681701602472</v>
      </c>
      <c r="AF321" s="234">
        <f t="shared" si="181"/>
        <v>57955.483273079757</v>
      </c>
      <c r="AG321" s="234">
        <f>AG300-AG319</f>
        <v>57319.537588302912</v>
      </c>
      <c r="AI321" s="698"/>
      <c r="AJ321" s="300"/>
    </row>
    <row r="322" spans="1:37" s="169" customFormat="1">
      <c r="B322" s="327"/>
      <c r="C322" s="304"/>
      <c r="D322" s="304"/>
      <c r="E322" s="304"/>
      <c r="F322" s="304"/>
      <c r="G322" s="304"/>
      <c r="H322" s="304"/>
      <c r="I322" s="304"/>
      <c r="J322" s="304"/>
      <c r="K322" s="304"/>
      <c r="L322" s="304"/>
      <c r="M322" s="304"/>
      <c r="N322" s="304"/>
      <c r="O322" s="304"/>
      <c r="P322" s="304"/>
      <c r="Q322" s="304"/>
      <c r="R322" s="304"/>
      <c r="S322" s="304"/>
      <c r="T322" s="304"/>
      <c r="U322" s="304"/>
      <c r="V322" s="304"/>
      <c r="W322" s="304"/>
      <c r="X322" s="304"/>
      <c r="Y322" s="304"/>
      <c r="Z322" s="304"/>
      <c r="AA322" s="304"/>
      <c r="AB322" s="304"/>
      <c r="AC322" s="304"/>
      <c r="AD322" s="304"/>
      <c r="AE322" s="304"/>
      <c r="AF322" s="304"/>
      <c r="AG322" s="304"/>
      <c r="AJ322" s="300"/>
    </row>
    <row r="323" spans="1:37" s="169" customFormat="1">
      <c r="A323" s="169" t="s">
        <v>753</v>
      </c>
      <c r="B323" s="327" t="s">
        <v>126</v>
      </c>
      <c r="C323" s="275">
        <v>0.8</v>
      </c>
      <c r="D323" s="296">
        <f>C323</f>
        <v>0.8</v>
      </c>
      <c r="E323" s="296">
        <f t="shared" ref="E323:AG323" si="182">D323</f>
        <v>0.8</v>
      </c>
      <c r="F323" s="296">
        <f t="shared" si="182"/>
        <v>0.8</v>
      </c>
      <c r="G323" s="296">
        <f t="shared" si="182"/>
        <v>0.8</v>
      </c>
      <c r="H323" s="296">
        <f t="shared" si="182"/>
        <v>0.8</v>
      </c>
      <c r="I323" s="296">
        <f t="shared" si="182"/>
        <v>0.8</v>
      </c>
      <c r="J323" s="296">
        <f t="shared" si="182"/>
        <v>0.8</v>
      </c>
      <c r="K323" s="296">
        <f t="shared" si="182"/>
        <v>0.8</v>
      </c>
      <c r="L323" s="296">
        <f t="shared" si="182"/>
        <v>0.8</v>
      </c>
      <c r="M323" s="296">
        <f t="shared" si="182"/>
        <v>0.8</v>
      </c>
      <c r="N323" s="296">
        <f t="shared" si="182"/>
        <v>0.8</v>
      </c>
      <c r="O323" s="296">
        <f t="shared" si="182"/>
        <v>0.8</v>
      </c>
      <c r="P323" s="296">
        <f t="shared" si="182"/>
        <v>0.8</v>
      </c>
      <c r="Q323" s="296">
        <f t="shared" si="182"/>
        <v>0.8</v>
      </c>
      <c r="R323" s="296">
        <f t="shared" si="182"/>
        <v>0.8</v>
      </c>
      <c r="S323" s="296">
        <f t="shared" si="182"/>
        <v>0.8</v>
      </c>
      <c r="T323" s="296">
        <f t="shared" si="182"/>
        <v>0.8</v>
      </c>
      <c r="U323" s="296">
        <f t="shared" si="182"/>
        <v>0.8</v>
      </c>
      <c r="V323" s="296">
        <f t="shared" si="182"/>
        <v>0.8</v>
      </c>
      <c r="W323" s="296">
        <f t="shared" si="182"/>
        <v>0.8</v>
      </c>
      <c r="X323" s="296">
        <f t="shared" si="182"/>
        <v>0.8</v>
      </c>
      <c r="Y323" s="296">
        <f t="shared" si="182"/>
        <v>0.8</v>
      </c>
      <c r="Z323" s="296">
        <f t="shared" si="182"/>
        <v>0.8</v>
      </c>
      <c r="AA323" s="296">
        <f t="shared" si="182"/>
        <v>0.8</v>
      </c>
      <c r="AB323" s="296">
        <f t="shared" si="182"/>
        <v>0.8</v>
      </c>
      <c r="AC323" s="296">
        <f t="shared" si="182"/>
        <v>0.8</v>
      </c>
      <c r="AD323" s="296">
        <f t="shared" si="182"/>
        <v>0.8</v>
      </c>
      <c r="AE323" s="296">
        <f t="shared" si="182"/>
        <v>0.8</v>
      </c>
      <c r="AF323" s="296">
        <f t="shared" si="182"/>
        <v>0.8</v>
      </c>
      <c r="AG323" s="296">
        <f t="shared" si="182"/>
        <v>0.8</v>
      </c>
      <c r="AJ323" s="300" t="s">
        <v>754</v>
      </c>
    </row>
    <row r="324" spans="1:37" s="169" customFormat="1">
      <c r="B324" s="327"/>
      <c r="C324" s="304"/>
      <c r="D324" s="304"/>
      <c r="E324" s="304"/>
      <c r="F324" s="304"/>
      <c r="G324" s="304"/>
      <c r="H324" s="304"/>
      <c r="I324" s="304"/>
      <c r="J324" s="304"/>
      <c r="K324" s="304"/>
      <c r="L324" s="304"/>
      <c r="M324" s="304"/>
      <c r="N324" s="304"/>
      <c r="O324" s="304"/>
      <c r="P324" s="304"/>
      <c r="Q324" s="304"/>
      <c r="R324" s="304"/>
      <c r="S324" s="304"/>
      <c r="T324" s="304"/>
      <c r="U324" s="304"/>
      <c r="V324" s="304"/>
      <c r="W324" s="304"/>
      <c r="X324" s="304"/>
      <c r="Y324" s="304"/>
      <c r="Z324" s="304"/>
      <c r="AA324" s="304"/>
      <c r="AB324" s="304"/>
      <c r="AC324" s="304"/>
      <c r="AD324" s="304"/>
      <c r="AE324" s="304"/>
      <c r="AF324" s="304"/>
      <c r="AG324" s="304"/>
      <c r="AJ324" s="300"/>
    </row>
    <row r="325" spans="1:37" s="169" customFormat="1">
      <c r="A325" s="169" t="s">
        <v>710</v>
      </c>
      <c r="B325" s="327" t="s">
        <v>127</v>
      </c>
      <c r="C325" s="304">
        <f>C259*C320*C323</f>
        <v>4152.7040278546465</v>
      </c>
      <c r="D325" s="304">
        <f t="shared" ref="D325:AG325" si="183">D259*D320*D323</f>
        <v>4374.3789341280162</v>
      </c>
      <c r="E325" s="304">
        <f t="shared" si="183"/>
        <v>4601.2417461042378</v>
      </c>
      <c r="F325" s="304">
        <f t="shared" si="183"/>
        <v>4833.2507348810132</v>
      </c>
      <c r="G325" s="304">
        <f t="shared" si="183"/>
        <v>5070.3638187492979</v>
      </c>
      <c r="H325" s="304">
        <f t="shared" si="183"/>
        <v>5312.5385636080773</v>
      </c>
      <c r="I325" s="304">
        <f t="shared" si="183"/>
        <v>5545.9171286188575</v>
      </c>
      <c r="J325" s="304">
        <f t="shared" si="183"/>
        <v>5782.9196282486255</v>
      </c>
      <c r="K325" s="304">
        <f t="shared" si="183"/>
        <v>6023.4471180064738</v>
      </c>
      <c r="L325" s="304">
        <f t="shared" si="183"/>
        <v>6267.3996711606151</v>
      </c>
      <c r="M325" s="304">
        <f t="shared" si="183"/>
        <v>6514.6763876592231</v>
      </c>
      <c r="N325" s="304">
        <f t="shared" si="183"/>
        <v>6689.3517882330143</v>
      </c>
      <c r="O325" s="304">
        <f t="shared" si="183"/>
        <v>6862.3371622200402</v>
      </c>
      <c r="P325" s="304">
        <f t="shared" si="183"/>
        <v>7032.9501107676042</v>
      </c>
      <c r="Q325" s="304">
        <f t="shared" si="183"/>
        <v>7201.4919893537508</v>
      </c>
      <c r="R325" s="304">
        <f t="shared" si="183"/>
        <v>7367.7852519617991</v>
      </c>
      <c r="S325" s="304">
        <f t="shared" si="183"/>
        <v>7531.6554898485192</v>
      </c>
      <c r="T325" s="304">
        <f t="shared" si="183"/>
        <v>7692.9235797221045</v>
      </c>
      <c r="U325" s="304">
        <f t="shared" si="183"/>
        <v>7851.413702938873</v>
      </c>
      <c r="V325" s="304">
        <f t="shared" si="183"/>
        <v>8006.9506524785429</v>
      </c>
      <c r="W325" s="304">
        <f t="shared" si="183"/>
        <v>8159.3598487239205</v>
      </c>
      <c r="X325" s="304">
        <f t="shared" si="183"/>
        <v>8180.8832549032904</v>
      </c>
      <c r="Y325" s="304">
        <f t="shared" si="183"/>
        <v>8192.2026367332783</v>
      </c>
      <c r="Z325" s="304">
        <f t="shared" si="183"/>
        <v>8191.2745207476273</v>
      </c>
      <c r="AA325" s="304">
        <f t="shared" si="183"/>
        <v>8179.7283953971992</v>
      </c>
      <c r="AB325" s="304">
        <f t="shared" si="183"/>
        <v>8157.3377370123944</v>
      </c>
      <c r="AC325" s="304">
        <f t="shared" si="183"/>
        <v>8123.1190059173096</v>
      </c>
      <c r="AD325" s="304">
        <f t="shared" si="183"/>
        <v>8077.5926582685033</v>
      </c>
      <c r="AE325" s="304">
        <f t="shared" si="183"/>
        <v>8020.5459029713738</v>
      </c>
      <c r="AF325" s="304">
        <f t="shared" si="183"/>
        <v>7951.7707509870015</v>
      </c>
      <c r="AG325" s="304">
        <f t="shared" si="183"/>
        <v>7871.0641061294682</v>
      </c>
      <c r="AJ325" s="300"/>
    </row>
    <row r="326" spans="1:37" s="169" customFormat="1">
      <c r="A326" s="169" t="s">
        <v>715</v>
      </c>
      <c r="B326" s="327" t="s">
        <v>127</v>
      </c>
      <c r="C326" s="304">
        <f>C320*C323-C325</f>
        <v>14723.223371484653</v>
      </c>
      <c r="D326" s="304">
        <f t="shared" ref="D326:AG326" si="184">D320*D323-D325</f>
        <v>14924.351657613235</v>
      </c>
      <c r="E326" s="304">
        <f t="shared" si="184"/>
        <v>15118.365737199641</v>
      </c>
      <c r="F326" s="304">
        <f t="shared" si="184"/>
        <v>15305.293993789881</v>
      </c>
      <c r="G326" s="304">
        <f t="shared" si="184"/>
        <v>15485.16517618029</v>
      </c>
      <c r="H326" s="304">
        <f t="shared" si="184"/>
        <v>15658.008398002758</v>
      </c>
      <c r="I326" s="304">
        <f t="shared" si="184"/>
        <v>15784.533366069059</v>
      </c>
      <c r="J326" s="304">
        <f t="shared" si="184"/>
        <v>15903.028977683723</v>
      </c>
      <c r="K326" s="304">
        <f t="shared" si="184"/>
        <v>16013.554533236731</v>
      </c>
      <c r="L326" s="304">
        <f t="shared" si="184"/>
        <v>16116.170582984443</v>
      </c>
      <c r="M326" s="304">
        <f t="shared" si="184"/>
        <v>16210.938918128773</v>
      </c>
      <c r="N326" s="304">
        <f t="shared" si="184"/>
        <v>16115.256580743177</v>
      </c>
      <c r="O326" s="304">
        <f t="shared" si="184"/>
        <v>16012.120045180109</v>
      </c>
      <c r="P326" s="304">
        <f t="shared" si="184"/>
        <v>15900.582859126767</v>
      </c>
      <c r="Q326" s="304">
        <f t="shared" si="184"/>
        <v>15781.993083051846</v>
      </c>
      <c r="R326" s="304">
        <f t="shared" si="184"/>
        <v>15656.543660418833</v>
      </c>
      <c r="S326" s="304">
        <f t="shared" si="184"/>
        <v>15524.432744381655</v>
      </c>
      <c r="T326" s="304">
        <f t="shared" si="184"/>
        <v>15385.847159444224</v>
      </c>
      <c r="U326" s="304">
        <f t="shared" si="184"/>
        <v>15240.979540999004</v>
      </c>
      <c r="V326" s="304">
        <f t="shared" si="184"/>
        <v>15090.022383517266</v>
      </c>
      <c r="W326" s="304">
        <f t="shared" si="184"/>
        <v>14933.168025023038</v>
      </c>
      <c r="X326" s="304">
        <f t="shared" si="184"/>
        <v>14543.792453161421</v>
      </c>
      <c r="Y326" s="304">
        <f t="shared" si="184"/>
        <v>14150.168190721137</v>
      </c>
      <c r="Z326" s="304">
        <f t="shared" si="184"/>
        <v>13749.639374112105</v>
      </c>
      <c r="AA326" s="304">
        <f t="shared" si="184"/>
        <v>13345.872645121759</v>
      </c>
      <c r="AB326" s="304">
        <f t="shared" si="184"/>
        <v>12939.225375950713</v>
      </c>
      <c r="AC326" s="304">
        <f t="shared" si="184"/>
        <v>12528.878466753835</v>
      </c>
      <c r="AD326" s="304">
        <f t="shared" si="184"/>
        <v>12116.388987402774</v>
      </c>
      <c r="AE326" s="304">
        <f t="shared" si="184"/>
        <v>11702.107956794316</v>
      </c>
      <c r="AF326" s="304">
        <f t="shared" si="184"/>
        <v>11286.384291723502</v>
      </c>
      <c r="AG326" s="304">
        <f t="shared" si="184"/>
        <v>10869.564717988311</v>
      </c>
      <c r="AJ326" s="300"/>
    </row>
    <row r="327" spans="1:37" s="169" customFormat="1">
      <c r="B327" s="165"/>
      <c r="C327" s="304"/>
      <c r="D327" s="304"/>
      <c r="E327" s="304"/>
      <c r="F327" s="304"/>
      <c r="G327" s="304"/>
      <c r="H327" s="304"/>
      <c r="I327" s="304"/>
      <c r="J327" s="304"/>
      <c r="K327" s="304"/>
      <c r="L327" s="304"/>
      <c r="M327" s="304"/>
      <c r="N327" s="304"/>
      <c r="O327" s="304"/>
      <c r="P327" s="304"/>
      <c r="Q327" s="304"/>
      <c r="R327" s="304"/>
      <c r="S327" s="304"/>
      <c r="T327" s="304"/>
      <c r="U327" s="304"/>
      <c r="V327" s="304"/>
      <c r="W327" s="304"/>
      <c r="X327" s="304"/>
      <c r="Y327" s="304"/>
      <c r="Z327" s="304"/>
      <c r="AA327" s="304"/>
      <c r="AB327" s="304"/>
      <c r="AC327" s="304"/>
      <c r="AD327" s="304"/>
      <c r="AE327" s="304"/>
      <c r="AF327" s="304"/>
      <c r="AG327" s="304"/>
      <c r="AJ327" s="300"/>
    </row>
    <row r="328" spans="1:37" s="169" customFormat="1">
      <c r="B328" s="197" t="s">
        <v>709</v>
      </c>
      <c r="C328" s="308">
        <v>0</v>
      </c>
      <c r="D328" s="308">
        <f>C328+1</f>
        <v>1</v>
      </c>
      <c r="E328" s="308">
        <f t="shared" ref="E328:AG328" si="185">D328+1</f>
        <v>2</v>
      </c>
      <c r="F328" s="308">
        <f t="shared" si="185"/>
        <v>3</v>
      </c>
      <c r="G328" s="308">
        <f t="shared" si="185"/>
        <v>4</v>
      </c>
      <c r="H328" s="308">
        <f t="shared" si="185"/>
        <v>5</v>
      </c>
      <c r="I328" s="308">
        <f t="shared" si="185"/>
        <v>6</v>
      </c>
      <c r="J328" s="308">
        <f t="shared" si="185"/>
        <v>7</v>
      </c>
      <c r="K328" s="308">
        <f t="shared" si="185"/>
        <v>8</v>
      </c>
      <c r="L328" s="308">
        <f t="shared" si="185"/>
        <v>9</v>
      </c>
      <c r="M328" s="308">
        <f t="shared" si="185"/>
        <v>10</v>
      </c>
      <c r="N328" s="308">
        <f t="shared" si="185"/>
        <v>11</v>
      </c>
      <c r="O328" s="308">
        <f t="shared" si="185"/>
        <v>12</v>
      </c>
      <c r="P328" s="308">
        <f t="shared" si="185"/>
        <v>13</v>
      </c>
      <c r="Q328" s="308">
        <f t="shared" si="185"/>
        <v>14</v>
      </c>
      <c r="R328" s="308">
        <f t="shared" si="185"/>
        <v>15</v>
      </c>
      <c r="S328" s="308">
        <f t="shared" si="185"/>
        <v>16</v>
      </c>
      <c r="T328" s="308">
        <f t="shared" si="185"/>
        <v>17</v>
      </c>
      <c r="U328" s="308">
        <f t="shared" si="185"/>
        <v>18</v>
      </c>
      <c r="V328" s="308">
        <f t="shared" si="185"/>
        <v>19</v>
      </c>
      <c r="W328" s="308">
        <f t="shared" si="185"/>
        <v>20</v>
      </c>
      <c r="X328" s="308">
        <f t="shared" si="185"/>
        <v>21</v>
      </c>
      <c r="Y328" s="308">
        <f t="shared" si="185"/>
        <v>22</v>
      </c>
      <c r="Z328" s="308">
        <f t="shared" si="185"/>
        <v>23</v>
      </c>
      <c r="AA328" s="308">
        <f t="shared" si="185"/>
        <v>24</v>
      </c>
      <c r="AB328" s="308">
        <f t="shared" si="185"/>
        <v>25</v>
      </c>
      <c r="AC328" s="308">
        <f t="shared" si="185"/>
        <v>26</v>
      </c>
      <c r="AD328" s="308">
        <f t="shared" si="185"/>
        <v>27</v>
      </c>
      <c r="AE328" s="308">
        <f t="shared" si="185"/>
        <v>28</v>
      </c>
      <c r="AF328" s="308">
        <f t="shared" si="185"/>
        <v>29</v>
      </c>
      <c r="AG328" s="308">
        <f t="shared" si="185"/>
        <v>30</v>
      </c>
      <c r="AJ328" s="300" t="s">
        <v>717</v>
      </c>
      <c r="AK328" s="169">
        <f>'Propylene Recycling HC'!AK196</f>
        <v>1.9</v>
      </c>
    </row>
    <row r="329" spans="1:37" s="169" customFormat="1">
      <c r="A329" s="169" t="s">
        <v>761</v>
      </c>
      <c r="B329" s="165"/>
      <c r="C329" s="310">
        <f>$AK$330/((1+EXP(-$AK$329*(C328-$AK$331)))^$AK$328)</f>
        <v>4.6088632748610021E-5</v>
      </c>
      <c r="D329" s="310">
        <f t="shared" ref="D329:AG329" si="186">$AK$330/((1+EXP(-$AK$329*(D328-$AK$331)))^$AK$328)</f>
        <v>8.924759460408035E-5</v>
      </c>
      <c r="E329" s="310">
        <f t="shared" si="186"/>
        <v>1.7252431976790472E-4</v>
      </c>
      <c r="F329" s="310">
        <f t="shared" si="186"/>
        <v>3.3269643715580369E-4</v>
      </c>
      <c r="G329" s="310">
        <f t="shared" si="186"/>
        <v>6.393827369910735E-4</v>
      </c>
      <c r="H329" s="310">
        <f t="shared" si="186"/>
        <v>1.2229053771654547E-3</v>
      </c>
      <c r="I329" s="310">
        <f t="shared" si="186"/>
        <v>2.3234018804222717E-3</v>
      </c>
      <c r="J329" s="310">
        <f t="shared" si="186"/>
        <v>4.3736281679830789E-3</v>
      </c>
      <c r="K329" s="310">
        <f t="shared" si="186"/>
        <v>8.1294184230466908E-3</v>
      </c>
      <c r="L329" s="310">
        <f t="shared" si="186"/>
        <v>1.4853985082038716E-2</v>
      </c>
      <c r="M329" s="310">
        <f t="shared" si="186"/>
        <v>2.6531412096832362E-2</v>
      </c>
      <c r="N329" s="310">
        <f t="shared" si="186"/>
        <v>4.6014759335105015E-2</v>
      </c>
      <c r="O329" s="310">
        <f t="shared" si="186"/>
        <v>7.6910635328419796E-2</v>
      </c>
      <c r="P329" s="310">
        <f t="shared" si="186"/>
        <v>0.12294065829885638</v>
      </c>
      <c r="Q329" s="310">
        <f t="shared" si="186"/>
        <v>0.18666754187878853</v>
      </c>
      <c r="R329" s="310">
        <f t="shared" si="186"/>
        <v>0.26794336563407328</v>
      </c>
      <c r="S329" s="310">
        <f t="shared" si="186"/>
        <v>0.36297326582455031</v>
      </c>
      <c r="T329" s="310">
        <f t="shared" si="186"/>
        <v>0.46484396312424381</v>
      </c>
      <c r="U329" s="310">
        <f t="shared" si="186"/>
        <v>0.56546260593861253</v>
      </c>
      <c r="V329" s="310">
        <f t="shared" si="186"/>
        <v>0.6578403022607352</v>
      </c>
      <c r="W329" s="310">
        <f t="shared" si="186"/>
        <v>0.73754668886795227</v>
      </c>
      <c r="X329" s="310">
        <f t="shared" si="186"/>
        <v>0.80293052021410605</v>
      </c>
      <c r="Y329" s="310">
        <f t="shared" si="186"/>
        <v>0.85447682949112158</v>
      </c>
      <c r="Z329" s="310">
        <f t="shared" si="186"/>
        <v>0.89389910336617451</v>
      </c>
      <c r="AA329" s="310">
        <f t="shared" si="186"/>
        <v>0.92337223319290385</v>
      </c>
      <c r="AB329" s="310">
        <f t="shared" si="186"/>
        <v>0.94504210708611314</v>
      </c>
      <c r="AC329" s="310">
        <f t="shared" si="186"/>
        <v>0.96078240575184182</v>
      </c>
      <c r="AD329" s="310">
        <f t="shared" si="186"/>
        <v>0.97211605463477313</v>
      </c>
      <c r="AE329" s="310">
        <f t="shared" si="186"/>
        <v>0.98022577885232642</v>
      </c>
      <c r="AF329" s="310">
        <f t="shared" si="186"/>
        <v>0.98600279580400285</v>
      </c>
      <c r="AG329" s="310">
        <f t="shared" si="186"/>
        <v>0.9901050637460882</v>
      </c>
      <c r="AI329" s="165" t="s">
        <v>716</v>
      </c>
      <c r="AJ329" s="300" t="s">
        <v>718</v>
      </c>
      <c r="AK329" s="169">
        <f>'Propylene Recycling HC'!AK197</f>
        <v>0.35</v>
      </c>
    </row>
    <row r="330" spans="1:37" s="169" customFormat="1">
      <c r="B330" s="165"/>
      <c r="C330" s="306">
        <v>0</v>
      </c>
      <c r="D330" s="306">
        <v>0</v>
      </c>
      <c r="E330" s="306">
        <v>0</v>
      </c>
      <c r="F330" s="306">
        <v>0</v>
      </c>
      <c r="G330" s="306">
        <v>0</v>
      </c>
      <c r="H330" s="306">
        <v>0</v>
      </c>
      <c r="I330" s="306">
        <v>0</v>
      </c>
      <c r="J330" s="306">
        <v>0</v>
      </c>
      <c r="K330" s="306">
        <v>0</v>
      </c>
      <c r="L330" s="306">
        <v>0</v>
      </c>
      <c r="M330" s="306">
        <f>C329</f>
        <v>4.6088632748610021E-5</v>
      </c>
      <c r="N330" s="306">
        <v>0</v>
      </c>
      <c r="O330" s="306">
        <v>0</v>
      </c>
      <c r="P330" s="306">
        <v>0</v>
      </c>
      <c r="Q330" s="306">
        <v>0</v>
      </c>
      <c r="R330" s="306">
        <f t="shared" ref="R330:AG330" si="187">C329</f>
        <v>4.6088632748610021E-5</v>
      </c>
      <c r="S330" s="306">
        <f t="shared" si="187"/>
        <v>8.924759460408035E-5</v>
      </c>
      <c r="T330" s="306">
        <f t="shared" si="187"/>
        <v>1.7252431976790472E-4</v>
      </c>
      <c r="U330" s="306">
        <f t="shared" si="187"/>
        <v>3.3269643715580369E-4</v>
      </c>
      <c r="V330" s="306">
        <f t="shared" si="187"/>
        <v>6.393827369910735E-4</v>
      </c>
      <c r="W330" s="306">
        <f t="shared" si="187"/>
        <v>1.2229053771654547E-3</v>
      </c>
      <c r="X330" s="306">
        <f t="shared" si="187"/>
        <v>2.3234018804222717E-3</v>
      </c>
      <c r="Y330" s="306">
        <f t="shared" si="187"/>
        <v>4.3736281679830789E-3</v>
      </c>
      <c r="Z330" s="306">
        <f t="shared" si="187"/>
        <v>8.1294184230466908E-3</v>
      </c>
      <c r="AA330" s="306">
        <f t="shared" si="187"/>
        <v>1.4853985082038716E-2</v>
      </c>
      <c r="AB330" s="306">
        <f t="shared" si="187"/>
        <v>2.6531412096832362E-2</v>
      </c>
      <c r="AC330" s="306">
        <f t="shared" si="187"/>
        <v>4.6014759335105015E-2</v>
      </c>
      <c r="AD330" s="306">
        <f t="shared" si="187"/>
        <v>7.6910635328419796E-2</v>
      </c>
      <c r="AE330" s="306">
        <f t="shared" si="187"/>
        <v>0.12294065829885638</v>
      </c>
      <c r="AF330" s="306">
        <f t="shared" si="187"/>
        <v>0.18666754187878853</v>
      </c>
      <c r="AG330" s="306">
        <f t="shared" si="187"/>
        <v>0.26794336563407328</v>
      </c>
      <c r="AI330" s="165" t="s">
        <v>762</v>
      </c>
      <c r="AJ330" s="300" t="s">
        <v>719</v>
      </c>
      <c r="AK330" s="169">
        <f>'Propylene Recycling HC'!AK198</f>
        <v>1</v>
      </c>
    </row>
    <row r="331" spans="1:37" s="169" customFormat="1">
      <c r="B331" s="165"/>
      <c r="C331" s="304"/>
      <c r="D331" s="304"/>
      <c r="E331" s="304"/>
      <c r="F331" s="304"/>
      <c r="G331" s="304"/>
      <c r="H331" s="304"/>
      <c r="I331" s="304"/>
      <c r="J331" s="304"/>
      <c r="K331" s="304"/>
      <c r="L331" s="304"/>
      <c r="M331" s="304"/>
      <c r="N331" s="304"/>
      <c r="O331" s="304"/>
      <c r="P331" s="304"/>
      <c r="Q331" s="304"/>
      <c r="R331" s="304"/>
      <c r="S331" s="304"/>
      <c r="T331" s="304"/>
      <c r="U331" s="304"/>
      <c r="V331" s="304"/>
      <c r="W331" s="304"/>
      <c r="X331" s="304"/>
      <c r="Y331" s="304"/>
      <c r="Z331" s="304"/>
      <c r="AA331" s="304"/>
      <c r="AB331" s="304"/>
      <c r="AC331" s="304"/>
      <c r="AD331" s="304"/>
      <c r="AE331" s="304"/>
      <c r="AF331" s="304"/>
      <c r="AG331" s="304"/>
      <c r="AJ331" s="300" t="s">
        <v>720</v>
      </c>
      <c r="AK331" s="169">
        <f>'Propylene Recycling HC'!AK199</f>
        <v>15</v>
      </c>
    </row>
    <row r="332" spans="1:37" s="169" customFormat="1">
      <c r="A332" s="169" t="s">
        <v>842</v>
      </c>
      <c r="B332" s="165" t="s">
        <v>126</v>
      </c>
      <c r="C332" s="305">
        <f>('Overall recycling rates'!G12+'Overall recycling rates'!G15)*'Overall recycling rates'!G57/(SUMPRODUCT('Overall recycling rates'!C57:I57,'Overall recycling rates'!C12:I12)+SUMPRODUCT('Overall recycling rates'!C15:I15,'Overall recycling rates'!C57:I57))</f>
        <v>9.3753800180177274E-2</v>
      </c>
      <c r="D332" s="305">
        <f>C332</f>
        <v>9.3753800180177274E-2</v>
      </c>
      <c r="E332" s="305">
        <f t="shared" ref="E332:AG332" si="188">D332</f>
        <v>9.3753800180177274E-2</v>
      </c>
      <c r="F332" s="305">
        <f t="shared" si="188"/>
        <v>9.3753800180177274E-2</v>
      </c>
      <c r="G332" s="305">
        <f t="shared" si="188"/>
        <v>9.3753800180177274E-2</v>
      </c>
      <c r="H332" s="305">
        <f t="shared" si="188"/>
        <v>9.3753800180177274E-2</v>
      </c>
      <c r="I332" s="305">
        <f t="shared" si="188"/>
        <v>9.3753800180177274E-2</v>
      </c>
      <c r="J332" s="305">
        <f t="shared" si="188"/>
        <v>9.3753800180177274E-2</v>
      </c>
      <c r="K332" s="305">
        <f t="shared" si="188"/>
        <v>9.3753800180177274E-2</v>
      </c>
      <c r="L332" s="305">
        <f t="shared" si="188"/>
        <v>9.3753800180177274E-2</v>
      </c>
      <c r="M332" s="305">
        <f t="shared" si="188"/>
        <v>9.3753800180177274E-2</v>
      </c>
      <c r="N332" s="305">
        <f t="shared" si="188"/>
        <v>9.3753800180177274E-2</v>
      </c>
      <c r="O332" s="305">
        <f t="shared" si="188"/>
        <v>9.3753800180177274E-2</v>
      </c>
      <c r="P332" s="305">
        <f t="shared" si="188"/>
        <v>9.3753800180177274E-2</v>
      </c>
      <c r="Q332" s="305">
        <f t="shared" si="188"/>
        <v>9.3753800180177274E-2</v>
      </c>
      <c r="R332" s="305">
        <f t="shared" si="188"/>
        <v>9.3753800180177274E-2</v>
      </c>
      <c r="S332" s="305">
        <f t="shared" si="188"/>
        <v>9.3753800180177274E-2</v>
      </c>
      <c r="T332" s="305">
        <f t="shared" si="188"/>
        <v>9.3753800180177274E-2</v>
      </c>
      <c r="U332" s="305">
        <f t="shared" si="188"/>
        <v>9.3753800180177274E-2</v>
      </c>
      <c r="V332" s="305">
        <f t="shared" si="188"/>
        <v>9.3753800180177274E-2</v>
      </c>
      <c r="W332" s="305">
        <f t="shared" si="188"/>
        <v>9.3753800180177274E-2</v>
      </c>
      <c r="X332" s="305">
        <f t="shared" si="188"/>
        <v>9.3753800180177274E-2</v>
      </c>
      <c r="Y332" s="305">
        <f t="shared" si="188"/>
        <v>9.3753800180177274E-2</v>
      </c>
      <c r="Z332" s="305">
        <f t="shared" si="188"/>
        <v>9.3753800180177274E-2</v>
      </c>
      <c r="AA332" s="305">
        <f t="shared" si="188"/>
        <v>9.3753800180177274E-2</v>
      </c>
      <c r="AB332" s="305">
        <f t="shared" si="188"/>
        <v>9.3753800180177274E-2</v>
      </c>
      <c r="AC332" s="305">
        <f t="shared" si="188"/>
        <v>9.3753800180177274E-2</v>
      </c>
      <c r="AD332" s="305">
        <f t="shared" si="188"/>
        <v>9.3753800180177274E-2</v>
      </c>
      <c r="AE332" s="305">
        <f t="shared" si="188"/>
        <v>9.3753800180177274E-2</v>
      </c>
      <c r="AF332" s="305">
        <f t="shared" si="188"/>
        <v>9.3753800180177274E-2</v>
      </c>
      <c r="AG332" s="305">
        <f t="shared" si="188"/>
        <v>9.3753800180177274E-2</v>
      </c>
      <c r="AI332" s="165" t="s">
        <v>846</v>
      </c>
      <c r="AJ332" s="300"/>
    </row>
    <row r="333" spans="1:37" s="279" customFormat="1" ht="15.5" thickBot="1">
      <c r="A333" s="311" t="s">
        <v>707</v>
      </c>
      <c r="B333" s="312" t="s">
        <v>127</v>
      </c>
      <c r="C333" s="313">
        <f>C332*(C325*C329+C326*C330)</f>
        <v>1.7943769593310288E-2</v>
      </c>
      <c r="D333" s="313">
        <f t="shared" ref="D333:AG333" si="189">D332*(D325*D329+D326*D330)</f>
        <v>3.6601745890756279E-2</v>
      </c>
      <c r="E333" s="313">
        <f t="shared" si="189"/>
        <v>7.4424213776060774E-2</v>
      </c>
      <c r="F333" s="313">
        <f t="shared" si="189"/>
        <v>0.15075660752632453</v>
      </c>
      <c r="G333" s="313">
        <f t="shared" si="189"/>
        <v>0.30394073506329794</v>
      </c>
      <c r="H333" s="313">
        <f t="shared" si="189"/>
        <v>0.60909331148661783</v>
      </c>
      <c r="I333" s="313">
        <f t="shared" si="189"/>
        <v>1.2080546810667336</v>
      </c>
      <c r="J333" s="313">
        <f t="shared" si="189"/>
        <v>2.3712530072582636</v>
      </c>
      <c r="K333" s="313">
        <f t="shared" si="189"/>
        <v>4.5908537687021278</v>
      </c>
      <c r="L333" s="313">
        <f t="shared" si="189"/>
        <v>8.7280907702895902</v>
      </c>
      <c r="M333" s="313">
        <f t="shared" si="189"/>
        <v>16.274788169276828</v>
      </c>
      <c r="N333" s="313">
        <f t="shared" si="189"/>
        <v>28.858255289646639</v>
      </c>
      <c r="O333" s="313">
        <f t="shared" si="189"/>
        <v>49.482009839362718</v>
      </c>
      <c r="P333" s="313">
        <f t="shared" si="189"/>
        <v>81.062865433323509</v>
      </c>
      <c r="Q333" s="313">
        <f t="shared" si="189"/>
        <v>126.03180922877044</v>
      </c>
      <c r="R333" s="313">
        <f t="shared" si="189"/>
        <v>185.15163921198379</v>
      </c>
      <c r="S333" s="313">
        <f t="shared" si="189"/>
        <v>256.43306057970517</v>
      </c>
      <c r="T333" s="313">
        <f t="shared" si="189"/>
        <v>335.51330434352366</v>
      </c>
      <c r="U333" s="313">
        <f t="shared" si="189"/>
        <v>416.7123413900008</v>
      </c>
      <c r="V333" s="313">
        <f t="shared" si="189"/>
        <v>494.73347244965407</v>
      </c>
      <c r="W333" s="313">
        <f t="shared" si="189"/>
        <v>565.91394083474097</v>
      </c>
      <c r="X333" s="313">
        <f t="shared" si="189"/>
        <v>619.00683330834374</v>
      </c>
      <c r="Y333" s="313">
        <f t="shared" si="189"/>
        <v>662.08323441555365</v>
      </c>
      <c r="Z333" s="313">
        <f t="shared" si="189"/>
        <v>696.96101795642005</v>
      </c>
      <c r="AA333" s="313">
        <f t="shared" si="189"/>
        <v>726.70196853202322</v>
      </c>
      <c r="AB333" s="313">
        <f t="shared" si="189"/>
        <v>754.93593439248821</v>
      </c>
      <c r="AC333" s="313">
        <f t="shared" si="189"/>
        <v>785.75651968443367</v>
      </c>
      <c r="AD333" s="313">
        <f t="shared" si="189"/>
        <v>823.55557050806351</v>
      </c>
      <c r="AE333" s="313">
        <f t="shared" si="189"/>
        <v>871.96759808272589</v>
      </c>
      <c r="AF333" s="313">
        <f t="shared" si="189"/>
        <v>932.594345589505</v>
      </c>
      <c r="AG333" s="313">
        <f t="shared" si="189"/>
        <v>1003.6914503085018</v>
      </c>
      <c r="AJ333" s="303"/>
    </row>
    <row r="334" spans="1:37" s="216" customFormat="1">
      <c r="A334" s="302" t="s">
        <v>713</v>
      </c>
      <c r="B334" s="301" t="s">
        <v>126</v>
      </c>
      <c r="C334" s="307">
        <v>0.25</v>
      </c>
      <c r="D334" s="307">
        <v>0.25</v>
      </c>
      <c r="E334" s="307">
        <v>0.25</v>
      </c>
      <c r="F334" s="307">
        <v>0.25</v>
      </c>
      <c r="G334" s="307">
        <v>0.25</v>
      </c>
      <c r="H334" s="307">
        <v>0.25</v>
      </c>
      <c r="I334" s="307">
        <v>0.25</v>
      </c>
      <c r="J334" s="307">
        <v>0.25</v>
      </c>
      <c r="K334" s="307">
        <v>0.25</v>
      </c>
      <c r="L334" s="307">
        <v>0.25</v>
      </c>
      <c r="M334" s="307">
        <v>0.25</v>
      </c>
      <c r="N334" s="307">
        <v>0.25</v>
      </c>
      <c r="O334" s="307">
        <v>0.25</v>
      </c>
      <c r="P334" s="307">
        <v>0.25</v>
      </c>
      <c r="Q334" s="307">
        <v>0.25</v>
      </c>
      <c r="R334" s="307">
        <v>0.25</v>
      </c>
      <c r="S334" s="307">
        <v>0.25</v>
      </c>
      <c r="T334" s="307">
        <v>0.25</v>
      </c>
      <c r="U334" s="307">
        <v>0.25</v>
      </c>
      <c r="V334" s="307">
        <v>0.25</v>
      </c>
      <c r="W334" s="307">
        <v>0.25</v>
      </c>
      <c r="X334" s="307">
        <v>0.25</v>
      </c>
      <c r="Y334" s="307">
        <v>0.25</v>
      </c>
      <c r="Z334" s="307">
        <v>0.25</v>
      </c>
      <c r="AA334" s="307">
        <v>0.25</v>
      </c>
      <c r="AB334" s="307">
        <v>0.25</v>
      </c>
      <c r="AC334" s="307">
        <v>0.25</v>
      </c>
      <c r="AD334" s="307">
        <v>0.25</v>
      </c>
      <c r="AE334" s="307">
        <v>0.25</v>
      </c>
      <c r="AF334" s="307">
        <v>0.25</v>
      </c>
      <c r="AG334" s="307">
        <v>0.25</v>
      </c>
      <c r="AJ334" s="216" t="s">
        <v>757</v>
      </c>
    </row>
    <row r="335" spans="1:37" s="216" customFormat="1" ht="15.5" thickBot="1">
      <c r="A335" s="280" t="s">
        <v>708</v>
      </c>
      <c r="B335" s="312" t="s">
        <v>127</v>
      </c>
      <c r="C335" s="313">
        <f>C334*(C325*C329+C326*C330)</f>
        <v>4.78481127133666E-2</v>
      </c>
      <c r="D335" s="313">
        <f t="shared" ref="D335:AG335" si="190">D334*(D325*D329+D326*D330)</f>
        <v>9.7600699439421568E-2</v>
      </c>
      <c r="E335" s="313">
        <f t="shared" si="190"/>
        <v>0.19845652558357996</v>
      </c>
      <c r="F335" s="313">
        <f t="shared" si="190"/>
        <v>0.40200132484389572</v>
      </c>
      <c r="G335" s="313">
        <f t="shared" si="190"/>
        <v>0.81047577399310933</v>
      </c>
      <c r="H335" s="313">
        <f t="shared" si="190"/>
        <v>1.6241829939587897</v>
      </c>
      <c r="I335" s="313">
        <f t="shared" si="190"/>
        <v>3.2213485713247847</v>
      </c>
      <c r="J335" s="313">
        <f t="shared" si="190"/>
        <v>6.3230850448226059</v>
      </c>
      <c r="K335" s="313">
        <f t="shared" si="190"/>
        <v>12.241780492842331</v>
      </c>
      <c r="L335" s="313">
        <f t="shared" si="190"/>
        <v>23.273965304648534</v>
      </c>
      <c r="M335" s="313">
        <f t="shared" si="190"/>
        <v>43.397675982199466</v>
      </c>
      <c r="N335" s="313">
        <f t="shared" si="190"/>
        <v>76.952228160849131</v>
      </c>
      <c r="O335" s="313">
        <f t="shared" si="190"/>
        <v>131.94667774604216</v>
      </c>
      <c r="P335" s="313">
        <f t="shared" si="190"/>
        <v>216.15887910019603</v>
      </c>
      <c r="Q335" s="313">
        <f t="shared" si="190"/>
        <v>336.07120187811284</v>
      </c>
      <c r="R335" s="313">
        <f t="shared" si="190"/>
        <v>493.71769159265267</v>
      </c>
      <c r="S335" s="313">
        <f t="shared" si="190"/>
        <v>683.79377712393728</v>
      </c>
      <c r="T335" s="313">
        <f t="shared" si="190"/>
        <v>894.66587940630086</v>
      </c>
      <c r="U335" s="313">
        <f t="shared" si="190"/>
        <v>1111.1878680895004</v>
      </c>
      <c r="V335" s="313">
        <f t="shared" si="190"/>
        <v>1319.2357843065263</v>
      </c>
      <c r="W335" s="313">
        <f t="shared" si="190"/>
        <v>1509.0426727960898</v>
      </c>
      <c r="X335" s="313">
        <f t="shared" si="190"/>
        <v>1650.6179806011287</v>
      </c>
      <c r="Y335" s="313">
        <f t="shared" si="190"/>
        <v>1765.4837274413235</v>
      </c>
      <c r="Z335" s="313">
        <f t="shared" si="190"/>
        <v>1858.4873802901625</v>
      </c>
      <c r="AA335" s="313">
        <f t="shared" si="190"/>
        <v>1937.7933671366866</v>
      </c>
      <c r="AB335" s="313">
        <f t="shared" si="190"/>
        <v>2013.0808909655996</v>
      </c>
      <c r="AC335" s="313">
        <f t="shared" si="190"/>
        <v>2095.26578702505</v>
      </c>
      <c r="AD335" s="313">
        <f t="shared" si="190"/>
        <v>2196.0591702025508</v>
      </c>
      <c r="AE335" s="313">
        <f t="shared" si="190"/>
        <v>2325.152677563382</v>
      </c>
      <c r="AF335" s="313">
        <f t="shared" si="190"/>
        <v>2486.8174511252691</v>
      </c>
      <c r="AG335" s="313">
        <f t="shared" si="190"/>
        <v>2676.4020455160071</v>
      </c>
      <c r="AJ335" s="302"/>
    </row>
    <row r="336" spans="1:37" s="216" customFormat="1">
      <c r="A336" s="303"/>
      <c r="B336" s="301"/>
      <c r="AJ336" s="302"/>
    </row>
    <row r="337" spans="1:36" s="216" customFormat="1">
      <c r="A337" s="303" t="s">
        <v>711</v>
      </c>
      <c r="B337" s="301" t="s">
        <v>127</v>
      </c>
      <c r="C337" s="216">
        <f>SUM(C306:C307)-SUM(C333,C335)</f>
        <v>62206.013014963544</v>
      </c>
      <c r="D337" s="216">
        <f t="shared" ref="D337:AG337" si="191">SUM(D306:D307)-SUM(D333,D335)</f>
        <v>62855.919660938918</v>
      </c>
      <c r="E337" s="216">
        <f t="shared" si="191"/>
        <v>63497.664686143471</v>
      </c>
      <c r="F337" s="216">
        <f t="shared" si="191"/>
        <v>64131.046318050852</v>
      </c>
      <c r="G337" s="216">
        <f t="shared" si="191"/>
        <v>64755.793579713762</v>
      </c>
      <c r="H337" s="216">
        <f t="shared" si="191"/>
        <v>65371.501103729388</v>
      </c>
      <c r="I337" s="216">
        <f t="shared" si="191"/>
        <v>65808.931427991469</v>
      </c>
      <c r="J337" s="216">
        <f t="shared" si="191"/>
        <v>66232.251163043446</v>
      </c>
      <c r="K337" s="216">
        <f t="shared" si="191"/>
        <v>66639.557092007206</v>
      </c>
      <c r="L337" s="216">
        <f t="shared" si="191"/>
        <v>67027.59323426339</v>
      </c>
      <c r="M337" s="216">
        <f t="shared" si="191"/>
        <v>67390.791959623297</v>
      </c>
      <c r="N337" s="216">
        <f t="shared" si="191"/>
        <v>67518.858572537778</v>
      </c>
      <c r="O337" s="216">
        <f t="shared" si="191"/>
        <v>67596.888736466106</v>
      </c>
      <c r="P337" s="216">
        <f t="shared" si="191"/>
        <v>67609.317440082741</v>
      </c>
      <c r="Q337" s="216">
        <f t="shared" si="191"/>
        <v>67551.67831907839</v>
      </c>
      <c r="R337" s="216">
        <f t="shared" si="191"/>
        <v>67421.014661810055</v>
      </c>
      <c r="S337" s="216">
        <f t="shared" si="191"/>
        <v>67224.515049443056</v>
      </c>
      <c r="T337" s="216">
        <f t="shared" si="191"/>
        <v>66977.968724253296</v>
      </c>
      <c r="U337" s="216">
        <f t="shared" si="191"/>
        <v>66702.049814462269</v>
      </c>
      <c r="V337" s="216">
        <f t="shared" si="191"/>
        <v>66416.029594659951</v>
      </c>
      <c r="W337" s="216">
        <f t="shared" si="191"/>
        <v>66133.191049687535</v>
      </c>
      <c r="X337" s="216">
        <f t="shared" si="191"/>
        <v>65594.74069864687</v>
      </c>
      <c r="Y337" s="216">
        <f t="shared" si="191"/>
        <v>65059.956518764375</v>
      </c>
      <c r="Z337" s="216">
        <f t="shared" si="191"/>
        <v>64505.192617810499</v>
      </c>
      <c r="AA337" s="216">
        <f t="shared" si="191"/>
        <v>63935.776570714945</v>
      </c>
      <c r="AB337" s="216">
        <f t="shared" si="191"/>
        <v>63338.249478521677</v>
      </c>
      <c r="AC337" s="216">
        <f t="shared" si="191"/>
        <v>62691.795840393934</v>
      </c>
      <c r="AD337" s="216">
        <f t="shared" si="191"/>
        <v>61985.846252784439</v>
      </c>
      <c r="AE337" s="216">
        <f t="shared" si="191"/>
        <v>61206.956000138358</v>
      </c>
      <c r="AF337" s="216">
        <f t="shared" si="191"/>
        <v>60349.143197845478</v>
      </c>
      <c r="AG337" s="216">
        <f t="shared" si="191"/>
        <v>59418.704332155612</v>
      </c>
      <c r="AJ337" s="302"/>
    </row>
    <row r="338" spans="1:36" s="216" customFormat="1">
      <c r="A338" s="303"/>
      <c r="B338" s="301"/>
      <c r="AJ338" s="302"/>
    </row>
    <row r="339" spans="1:36" s="216" customFormat="1">
      <c r="A339" s="302" t="s">
        <v>722</v>
      </c>
      <c r="B339" s="301" t="s">
        <v>127</v>
      </c>
      <c r="C339" s="304">
        <f>C259*C258*C179</f>
        <v>1.1411399999999999E-2</v>
      </c>
      <c r="D339" s="304">
        <f t="shared" ref="D339:AG339" si="192">D259*D258*D179</f>
        <v>1.2211913118445541E-2</v>
      </c>
      <c r="E339" s="304">
        <f t="shared" si="192"/>
        <v>1.3033868575004636E-2</v>
      </c>
      <c r="F339" s="304">
        <f t="shared" si="192"/>
        <v>1.387667776234245E-2</v>
      </c>
      <c r="G339" s="304">
        <f t="shared" si="192"/>
        <v>1.4739737200808048E-2</v>
      </c>
      <c r="H339" s="304">
        <f t="shared" si="192"/>
        <v>1.5622428538434407E-2</v>
      </c>
      <c r="I339" s="304">
        <f t="shared" si="192"/>
        <v>1.652411855093841E-2</v>
      </c>
      <c r="J339" s="304">
        <f t="shared" si="192"/>
        <v>1.7444159141720841E-2</v>
      </c>
      <c r="K339" s="304">
        <f t="shared" si="192"/>
        <v>1.8381887341866382E-2</v>
      </c>
      <c r="L339" s="304">
        <f t="shared" si="192"/>
        <v>1.9336625310143647E-2</v>
      </c>
      <c r="M339" s="304">
        <f t="shared" si="192"/>
        <v>2.0307680333005135E-2</v>
      </c>
      <c r="N339" s="304">
        <f t="shared" si="192"/>
        <v>2.1981838457272966E-2</v>
      </c>
      <c r="O339" s="304">
        <f t="shared" si="192"/>
        <v>2.3694781802410692E-2</v>
      </c>
      <c r="P339" s="304">
        <f t="shared" si="192"/>
        <v>2.5445093487479479E-2</v>
      </c>
      <c r="Q339" s="304">
        <f t="shared" si="192"/>
        <v>2.7231325285274256E-2</v>
      </c>
      <c r="R339" s="304">
        <f t="shared" si="192"/>
        <v>2.905199762232372E-2</v>
      </c>
      <c r="S339" s="304">
        <f t="shared" si="192"/>
        <v>3.0905599578890351E-2</v>
      </c>
      <c r="T339" s="304">
        <f t="shared" si="192"/>
        <v>3.2790588888970414E-2</v>
      </c>
      <c r="U339" s="304">
        <f t="shared" si="192"/>
        <v>3.4705391940293893E-2</v>
      </c>
      <c r="V339" s="304">
        <f t="shared" si="192"/>
        <v>3.6648403774324587E-2</v>
      </c>
      <c r="W339" s="304">
        <f t="shared" si="192"/>
        <v>3.8617988086260047E-2</v>
      </c>
      <c r="X339" s="304">
        <f t="shared" si="192"/>
        <v>4.1632470531806902E-2</v>
      </c>
      <c r="Y339" s="304">
        <f t="shared" si="192"/>
        <v>4.4694492720111348E-2</v>
      </c>
      <c r="Z339" s="304">
        <f t="shared" si="192"/>
        <v>4.7801295593939176E-2</v>
      </c>
      <c r="AA339" s="304">
        <f t="shared" si="192"/>
        <v>5.0950067647971789E-2</v>
      </c>
      <c r="AB339" s="304">
        <f t="shared" si="192"/>
        <v>5.4137944928806254E-2</v>
      </c>
      <c r="AC339" s="304">
        <f t="shared" si="192"/>
        <v>5.7362011034955314E-2</v>
      </c>
      <c r="AD339" s="304">
        <f t="shared" si="192"/>
        <v>6.0619297116847333E-2</v>
      </c>
      <c r="AE339" s="304">
        <f t="shared" si="192"/>
        <v>6.3906781876826357E-2</v>
      </c>
      <c r="AF339" s="304">
        <f t="shared" si="192"/>
        <v>6.7221391569152106E-2</v>
      </c>
      <c r="AG339" s="304">
        <f t="shared" si="192"/>
        <v>7.0559999999999984E-2</v>
      </c>
      <c r="AJ339" s="302"/>
    </row>
    <row r="340" spans="1:36" s="216" customFormat="1">
      <c r="A340" s="216" t="s">
        <v>721</v>
      </c>
      <c r="B340" s="301" t="s">
        <v>127</v>
      </c>
      <c r="C340" s="304">
        <f>C260*C258*C179</f>
        <v>4.0458599999999997E-2</v>
      </c>
      <c r="D340" s="304">
        <f t="shared" ref="D340:AG340" si="193">D260*D258*D179</f>
        <v>4.1664174168814197E-2</v>
      </c>
      <c r="E340" s="304">
        <f t="shared" si="193"/>
        <v>4.282556817501524E-2</v>
      </c>
      <c r="F340" s="304">
        <f t="shared" si="193"/>
        <v>4.3942812914084431E-2</v>
      </c>
      <c r="G340" s="304">
        <f t="shared" si="193"/>
        <v>4.501595415381919E-2</v>
      </c>
      <c r="H340" s="304">
        <f t="shared" si="193"/>
        <v>4.6045052534332997E-2</v>
      </c>
      <c r="I340" s="304">
        <f t="shared" si="193"/>
        <v>4.7030183568055488E-2</v>
      </c>
      <c r="J340" s="304">
        <f t="shared" si="193"/>
        <v>4.7971437639732321E-2</v>
      </c>
      <c r="K340" s="304">
        <f t="shared" si="193"/>
        <v>4.886892000642528E-2</v>
      </c>
      <c r="L340" s="304">
        <f t="shared" si="193"/>
        <v>4.9722750797512254E-2</v>
      </c>
      <c r="M340" s="304">
        <f t="shared" si="193"/>
        <v>5.0533065014687212E-2</v>
      </c>
      <c r="N340" s="304">
        <f t="shared" si="193"/>
        <v>5.2956247192521268E-2</v>
      </c>
      <c r="O340" s="304">
        <f t="shared" si="193"/>
        <v>5.5287824205624975E-2</v>
      </c>
      <c r="P340" s="304">
        <f t="shared" si="193"/>
        <v>5.7528037449953634E-2</v>
      </c>
      <c r="Q340" s="304">
        <f t="shared" si="193"/>
        <v>5.9677159667728727E-2</v>
      </c>
      <c r="R340" s="304">
        <f t="shared" si="193"/>
        <v>6.1735494947437956E-2</v>
      </c>
      <c r="S340" s="304">
        <f t="shared" si="193"/>
        <v>6.3703378723835274E-2</v>
      </c>
      <c r="T340" s="304">
        <f t="shared" si="193"/>
        <v>6.5581177777940883E-2</v>
      </c>
      <c r="U340" s="304">
        <f t="shared" si="193"/>
        <v>6.7369290237041135E-2</v>
      </c>
      <c r="V340" s="304">
        <f t="shared" si="193"/>
        <v>6.9068145574688711E-2</v>
      </c>
      <c r="W340" s="304">
        <f t="shared" si="193"/>
        <v>7.0678204610702441E-2</v>
      </c>
      <c r="X340" s="304">
        <f t="shared" si="193"/>
        <v>7.4013280945434551E-2</v>
      </c>
      <c r="Y340" s="304">
        <f t="shared" si="193"/>
        <v>7.7199578334737867E-2</v>
      </c>
      <c r="Z340" s="304">
        <f t="shared" si="193"/>
        <v>8.023788903268371E-2</v>
      </c>
      <c r="AA340" s="304">
        <f t="shared" si="193"/>
        <v>8.3129057741427773E-2</v>
      </c>
      <c r="AB340" s="304">
        <f t="shared" si="193"/>
        <v>8.5873981611210029E-2</v>
      </c>
      <c r="AC340" s="304">
        <f t="shared" si="193"/>
        <v>8.8473610240354911E-2</v>
      </c>
      <c r="AD340" s="304">
        <f t="shared" si="193"/>
        <v>9.0928945675271114E-2</v>
      </c>
      <c r="AE340" s="304">
        <f t="shared" si="193"/>
        <v>9.3241042410451724E-2</v>
      </c>
      <c r="AF340" s="304">
        <f t="shared" si="193"/>
        <v>9.5411007388474092E-2</v>
      </c>
      <c r="AG340" s="304">
        <f t="shared" si="193"/>
        <v>9.7440000000000013E-2</v>
      </c>
      <c r="AJ340" s="302"/>
    </row>
    <row r="341" spans="1:36" s="216" customFormat="1">
      <c r="B341" s="301"/>
      <c r="C341" s="296"/>
      <c r="D341" s="296"/>
      <c r="E341" s="296"/>
      <c r="F341" s="296"/>
      <c r="G341" s="296"/>
      <c r="H341" s="296"/>
      <c r="I341" s="296"/>
      <c r="J341" s="296"/>
      <c r="K341" s="296"/>
      <c r="L341" s="296"/>
      <c r="M341" s="296"/>
      <c r="N341" s="296"/>
      <c r="O341" s="296"/>
      <c r="P341" s="296"/>
      <c r="Q341" s="296"/>
      <c r="R341" s="296"/>
      <c r="S341" s="296"/>
      <c r="T341" s="296"/>
      <c r="U341" s="296"/>
      <c r="V341" s="296"/>
      <c r="W341" s="296"/>
      <c r="X341" s="296"/>
      <c r="Y341" s="296"/>
      <c r="Z341" s="296"/>
      <c r="AA341" s="296"/>
      <c r="AB341" s="296"/>
      <c r="AC341" s="296"/>
      <c r="AD341" s="296"/>
      <c r="AE341" s="296"/>
      <c r="AF341" s="296"/>
      <c r="AG341" s="296"/>
      <c r="AJ341" s="302"/>
    </row>
    <row r="342" spans="1:36" s="216" customFormat="1">
      <c r="A342" s="328" t="s">
        <v>723</v>
      </c>
      <c r="B342" s="329" t="s">
        <v>127</v>
      </c>
      <c r="C342" s="283">
        <f>C320-C333-C335</f>
        <v>23594.84345729182</v>
      </c>
      <c r="D342" s="330">
        <f t="shared" ref="D342:AG342" si="194">D320-D333-D335</f>
        <v>24123.279037231234</v>
      </c>
      <c r="E342" s="330">
        <f t="shared" si="194"/>
        <v>24649.236473390487</v>
      </c>
      <c r="F342" s="330">
        <f t="shared" si="194"/>
        <v>25172.628152906243</v>
      </c>
      <c r="G342" s="330">
        <f t="shared" si="194"/>
        <v>25693.296827152928</v>
      </c>
      <c r="H342" s="330">
        <f t="shared" si="194"/>
        <v>26210.950425708099</v>
      </c>
      <c r="I342" s="330">
        <f t="shared" si="194"/>
        <v>26658.633715107499</v>
      </c>
      <c r="J342" s="330">
        <f t="shared" si="194"/>
        <v>27098.741419363352</v>
      </c>
      <c r="K342" s="330">
        <f t="shared" si="194"/>
        <v>27529.419429792459</v>
      </c>
      <c r="L342" s="330">
        <f t="shared" si="194"/>
        <v>27947.460761606388</v>
      </c>
      <c r="M342" s="330">
        <f t="shared" si="194"/>
        <v>28347.346668083515</v>
      </c>
      <c r="N342" s="330">
        <f t="shared" si="194"/>
        <v>28399.949977769742</v>
      </c>
      <c r="O342" s="330">
        <f t="shared" si="194"/>
        <v>28411.642821664776</v>
      </c>
      <c r="P342" s="330">
        <f t="shared" si="194"/>
        <v>28369.694467834444</v>
      </c>
      <c r="Q342" s="330">
        <f t="shared" si="194"/>
        <v>28267.253329400111</v>
      </c>
      <c r="R342" s="330">
        <f t="shared" si="194"/>
        <v>28101.541809671151</v>
      </c>
      <c r="S342" s="330">
        <f t="shared" si="194"/>
        <v>27879.883455084073</v>
      </c>
      <c r="T342" s="330">
        <f t="shared" si="194"/>
        <v>27618.284240208086</v>
      </c>
      <c r="U342" s="330">
        <f t="shared" si="194"/>
        <v>27337.591345442845</v>
      </c>
      <c r="V342" s="330">
        <f t="shared" si="194"/>
        <v>27057.24703823858</v>
      </c>
      <c r="W342" s="330">
        <f t="shared" si="194"/>
        <v>26790.703228552866</v>
      </c>
      <c r="X342" s="330">
        <f t="shared" si="194"/>
        <v>26136.219821171417</v>
      </c>
      <c r="Y342" s="330">
        <f t="shared" si="194"/>
        <v>25500.396572461141</v>
      </c>
      <c r="Z342" s="330">
        <f t="shared" si="194"/>
        <v>24870.69397032808</v>
      </c>
      <c r="AA342" s="330">
        <f t="shared" si="194"/>
        <v>24242.505964979988</v>
      </c>
      <c r="AB342" s="330">
        <f t="shared" si="194"/>
        <v>23602.687065845792</v>
      </c>
      <c r="AC342" s="330">
        <f t="shared" si="194"/>
        <v>22933.974534129444</v>
      </c>
      <c r="AD342" s="330">
        <f t="shared" si="194"/>
        <v>22222.86231637848</v>
      </c>
      <c r="AE342" s="330">
        <f t="shared" si="194"/>
        <v>21456.197049061</v>
      </c>
      <c r="AF342" s="330">
        <f t="shared" si="194"/>
        <v>20628.282006673351</v>
      </c>
      <c r="AG342" s="331">
        <f t="shared" si="194"/>
        <v>19745.692534322716</v>
      </c>
      <c r="AI342" s="216" t="s">
        <v>755</v>
      </c>
      <c r="AJ342" s="302"/>
    </row>
    <row r="343" spans="1:36" s="216" customFormat="1">
      <c r="A343" s="332" t="s">
        <v>724</v>
      </c>
      <c r="B343" s="333" t="s">
        <v>127</v>
      </c>
      <c r="C343" s="334">
        <f>C321+C342</f>
        <v>97805.403254547477</v>
      </c>
      <c r="D343" s="334">
        <f t="shared" ref="D343:AF343" si="195">D321+D342</f>
        <v>97977.261311939088</v>
      </c>
      <c r="E343" s="334">
        <f t="shared" si="195"/>
        <v>98142.27698730641</v>
      </c>
      <c r="F343" s="334">
        <f t="shared" si="195"/>
        <v>98300.395310045948</v>
      </c>
      <c r="G343" s="334">
        <f t="shared" si="195"/>
        <v>98451.491658237414</v>
      </c>
      <c r="H343" s="334">
        <f t="shared" si="195"/>
        <v>98595.306572609217</v>
      </c>
      <c r="I343" s="334">
        <f t="shared" si="195"/>
        <v>98479.411987405183</v>
      </c>
      <c r="J343" s="334">
        <f t="shared" si="195"/>
        <v>98353.663924096909</v>
      </c>
      <c r="K343" s="334">
        <f t="shared" si="195"/>
        <v>98216.273789691812</v>
      </c>
      <c r="L343" s="334">
        <f t="shared" si="195"/>
        <v>98064.099780560151</v>
      </c>
      <c r="M343" s="334">
        <f t="shared" si="195"/>
        <v>97891.687996607172</v>
      </c>
      <c r="N343" s="334">
        <f t="shared" si="195"/>
        <v>97358.873422293254</v>
      </c>
      <c r="O343" s="334">
        <f t="shared" si="195"/>
        <v>96783.319618651614</v>
      </c>
      <c r="P343" s="334">
        <f t="shared" si="195"/>
        <v>96147.725713207372</v>
      </c>
      <c r="Q343" s="334">
        <f t="shared" si="195"/>
        <v>95449.924773740844</v>
      </c>
      <c r="R343" s="334">
        <f t="shared" si="195"/>
        <v>94687.206351659755</v>
      </c>
      <c r="S343" s="334">
        <f t="shared" si="195"/>
        <v>93867.021447376872</v>
      </c>
      <c r="T343" s="334">
        <f t="shared" si="195"/>
        <v>93005.381125703076</v>
      </c>
      <c r="U343" s="334">
        <f t="shared" si="195"/>
        <v>92123.198690377263</v>
      </c>
      <c r="V343" s="334">
        <f t="shared" si="195"/>
        <v>91239.98219360059</v>
      </c>
      <c r="W343" s="334">
        <f t="shared" si="195"/>
        <v>90369.248991176151</v>
      </c>
      <c r="X343" s="334">
        <f t="shared" si="195"/>
        <v>89109.355624997464</v>
      </c>
      <c r="Y343" s="334">
        <f t="shared" si="195"/>
        <v>87866.934673213254</v>
      </c>
      <c r="Z343" s="334">
        <f t="shared" si="195"/>
        <v>86613.311175418814</v>
      </c>
      <c r="AA343" s="334">
        <f t="shared" si="195"/>
        <v>85359.932340179133</v>
      </c>
      <c r="AB343" s="334">
        <f t="shared" si="195"/>
        <v>84093.728100726381</v>
      </c>
      <c r="AC343" s="334">
        <f t="shared" si="195"/>
        <v>82792.510599899484</v>
      </c>
      <c r="AD343" s="334">
        <f t="shared" si="195"/>
        <v>81447.920069906104</v>
      </c>
      <c r="AE343" s="334">
        <f t="shared" si="195"/>
        <v>80046.878750663469</v>
      </c>
      <c r="AF343" s="334">
        <f t="shared" si="195"/>
        <v>78583.765279753105</v>
      </c>
      <c r="AG343" s="335">
        <f>AG321+AG342</f>
        <v>77065.230122625624</v>
      </c>
      <c r="AI343" s="216" t="s">
        <v>756</v>
      </c>
      <c r="AJ343" s="302"/>
    </row>
    <row r="344" spans="1:36" s="216" customFormat="1">
      <c r="A344" s="408"/>
      <c r="B344" s="409"/>
      <c r="C344" s="408"/>
      <c r="D344" s="408"/>
      <c r="E344" s="408"/>
      <c r="F344" s="408"/>
      <c r="G344" s="408"/>
      <c r="H344" s="408"/>
      <c r="I344" s="408"/>
      <c r="J344" s="408"/>
      <c r="K344" s="408"/>
      <c r="L344" s="408"/>
      <c r="M344" s="408"/>
      <c r="N344" s="408"/>
      <c r="O344" s="408"/>
      <c r="P344" s="408"/>
      <c r="Q344" s="408"/>
      <c r="R344" s="408"/>
      <c r="S344" s="408"/>
      <c r="T344" s="408"/>
      <c r="U344" s="408"/>
      <c r="V344" s="408"/>
      <c r="W344" s="408"/>
      <c r="X344" s="408"/>
      <c r="Y344" s="408"/>
      <c r="Z344" s="408"/>
      <c r="AA344" s="408"/>
      <c r="AB344" s="408"/>
      <c r="AC344" s="408"/>
      <c r="AD344" s="408"/>
      <c r="AE344" s="408"/>
      <c r="AF344" s="408"/>
      <c r="AG344" s="408"/>
      <c r="AJ344" s="302"/>
    </row>
    <row r="345" spans="1:36">
      <c r="B345" s="123"/>
      <c r="C345" s="216"/>
      <c r="D345" s="216"/>
      <c r="E345" s="216"/>
      <c r="F345" s="216"/>
      <c r="G345" s="216"/>
      <c r="H345" s="216"/>
      <c r="I345" s="216"/>
      <c r="J345" s="216"/>
      <c r="K345" s="216"/>
      <c r="L345" s="216"/>
      <c r="M345" s="216"/>
      <c r="N345" s="216"/>
      <c r="O345" s="216"/>
      <c r="P345" s="216"/>
      <c r="Q345" s="216"/>
      <c r="R345" s="216"/>
      <c r="S345" s="216"/>
      <c r="T345" s="216"/>
      <c r="U345" s="216"/>
      <c r="V345" s="216"/>
      <c r="W345" s="216"/>
      <c r="X345" s="216"/>
      <c r="Y345" s="216"/>
      <c r="Z345" s="216"/>
      <c r="AA345" s="216"/>
      <c r="AB345" s="216"/>
      <c r="AC345" s="216"/>
      <c r="AD345" s="216"/>
      <c r="AE345" s="216"/>
      <c r="AF345" s="216"/>
      <c r="AG345" s="216"/>
      <c r="AI345" s="22"/>
    </row>
    <row r="346" spans="1:36">
      <c r="B346" s="123"/>
      <c r="C346" s="216"/>
      <c r="D346" s="216"/>
      <c r="E346" s="216"/>
      <c r="F346" s="216"/>
      <c r="G346" s="216"/>
      <c r="H346" s="216"/>
      <c r="I346" s="216"/>
      <c r="J346" s="216"/>
      <c r="K346" s="216"/>
      <c r="L346" s="216"/>
      <c r="M346" s="216"/>
      <c r="N346" s="216"/>
      <c r="O346" s="216"/>
      <c r="P346" s="216"/>
      <c r="Q346" s="216"/>
      <c r="R346" s="216"/>
      <c r="S346" s="216"/>
      <c r="T346" s="216"/>
      <c r="U346" s="216"/>
      <c r="V346" s="216"/>
      <c r="W346" s="216"/>
      <c r="X346" s="216"/>
      <c r="Y346" s="216"/>
      <c r="Z346" s="216"/>
      <c r="AA346" s="216"/>
      <c r="AB346" s="216"/>
      <c r="AC346" s="216"/>
      <c r="AD346" s="216"/>
      <c r="AE346" s="216"/>
      <c r="AF346" s="216"/>
      <c r="AG346" s="216"/>
      <c r="AI346" s="201"/>
    </row>
  </sheetData>
  <mergeCells count="5">
    <mergeCell ref="BD113:BE113"/>
    <mergeCell ref="BD118:BE118"/>
    <mergeCell ref="BD123:BE123"/>
    <mergeCell ref="BD131:BE131"/>
    <mergeCell ref="AI313:AI321"/>
  </mergeCells>
  <hyperlinks>
    <hyperlink ref="AJ117" r:id="rId1" xr:uid="{F0C84D4B-5052-453B-9EA4-1E35A779DD2D}"/>
    <hyperlink ref="AJ118" r:id="rId2" xr:uid="{50DDC5C2-C3BE-4A74-9075-F8F14D5B2262}"/>
  </hyperlinks>
  <pageMargins left="0.7" right="0.7" top="0.75" bottom="0.75" header="0.3" footer="0.3"/>
  <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E4A05-261D-4640-B6A7-76D6FB48F244}">
  <sheetPr>
    <tabColor theme="4"/>
  </sheetPr>
  <dimension ref="A1:BL346"/>
  <sheetViews>
    <sheetView zoomScale="70" zoomScaleNormal="70" workbookViewId="0">
      <pane xSplit="2" ySplit="3" topLeftCell="C235" activePane="bottomRight" state="frozen"/>
      <selection pane="topRight" activeCell="C1" sqref="C1"/>
      <selection pane="bottomLeft" activeCell="A4" sqref="A4"/>
      <selection pane="bottomRight" activeCell="AG229" sqref="AG229"/>
    </sheetView>
  </sheetViews>
  <sheetFormatPr defaultRowHeight="14.75" outlineLevelRow="2" outlineLevelCol="1"/>
  <cols>
    <col min="1" max="1" width="84.26953125" customWidth="1"/>
    <col min="2" max="2" width="15.36328125" style="51" bestFit="1" customWidth="1"/>
    <col min="3" max="3" width="10.86328125" style="101" customWidth="1"/>
    <col min="4" max="12" width="8.81640625" style="101" hidden="1" customWidth="1" outlineLevel="1"/>
    <col min="13" max="13" width="10.36328125" style="101" customWidth="1" collapsed="1"/>
    <col min="14" max="22" width="8.81640625" style="101" hidden="1" customWidth="1" outlineLevel="1"/>
    <col min="23" max="23" width="10.36328125" style="101" bestFit="1" customWidth="1" collapsed="1"/>
    <col min="24" max="32" width="8.81640625" style="101" hidden="1" customWidth="1" outlineLevel="1"/>
    <col min="33" max="33" width="10.36328125" style="101" bestFit="1" customWidth="1" collapsed="1"/>
    <col min="35" max="35" width="52.81640625" bestFit="1" customWidth="1"/>
    <col min="36" max="36" width="30.36328125" style="3" customWidth="1"/>
    <col min="37" max="37" width="13.26953125" customWidth="1"/>
    <col min="38" max="38" width="20.36328125" bestFit="1" customWidth="1"/>
    <col min="41" max="41" width="17.81640625" customWidth="1"/>
    <col min="42" max="42" width="18.08984375" customWidth="1"/>
    <col min="44" max="44" width="10.36328125" customWidth="1"/>
    <col min="47" max="47" width="20.08984375" bestFit="1" customWidth="1"/>
    <col min="55" max="55" width="49" bestFit="1" customWidth="1"/>
    <col min="56" max="56" width="8.81640625" customWidth="1"/>
  </cols>
  <sheetData>
    <row r="1" spans="1:47">
      <c r="C1" s="113">
        <v>2020</v>
      </c>
      <c r="D1" s="113">
        <f>C1+1</f>
        <v>2021</v>
      </c>
      <c r="E1" s="113">
        <f t="shared" ref="E1:L1" si="0">D1+1</f>
        <v>2022</v>
      </c>
      <c r="F1" s="113">
        <f t="shared" si="0"/>
        <v>2023</v>
      </c>
      <c r="G1" s="113">
        <f t="shared" si="0"/>
        <v>2024</v>
      </c>
      <c r="H1" s="113">
        <f t="shared" si="0"/>
        <v>2025</v>
      </c>
      <c r="I1" s="113">
        <f t="shared" si="0"/>
        <v>2026</v>
      </c>
      <c r="J1" s="113">
        <f t="shared" si="0"/>
        <v>2027</v>
      </c>
      <c r="K1" s="113">
        <f t="shared" si="0"/>
        <v>2028</v>
      </c>
      <c r="L1" s="113">
        <f t="shared" si="0"/>
        <v>2029</v>
      </c>
      <c r="M1" s="113">
        <v>2030</v>
      </c>
      <c r="N1" s="113">
        <f>M1+1</f>
        <v>2031</v>
      </c>
      <c r="O1" s="113">
        <f t="shared" ref="O1:V1" si="1">N1+1</f>
        <v>2032</v>
      </c>
      <c r="P1" s="113">
        <f t="shared" si="1"/>
        <v>2033</v>
      </c>
      <c r="Q1" s="113">
        <f t="shared" si="1"/>
        <v>2034</v>
      </c>
      <c r="R1" s="113">
        <f t="shared" si="1"/>
        <v>2035</v>
      </c>
      <c r="S1" s="113">
        <f t="shared" si="1"/>
        <v>2036</v>
      </c>
      <c r="T1" s="113">
        <f t="shared" si="1"/>
        <v>2037</v>
      </c>
      <c r="U1" s="113">
        <f t="shared" si="1"/>
        <v>2038</v>
      </c>
      <c r="V1" s="113">
        <f t="shared" si="1"/>
        <v>2039</v>
      </c>
      <c r="W1" s="113">
        <v>2040</v>
      </c>
      <c r="X1" s="113">
        <f>W1+1</f>
        <v>2041</v>
      </c>
      <c r="Y1" s="113">
        <f t="shared" ref="Y1:AF1" si="2">X1+1</f>
        <v>2042</v>
      </c>
      <c r="Z1" s="113">
        <f t="shared" si="2"/>
        <v>2043</v>
      </c>
      <c r="AA1" s="113">
        <f t="shared" si="2"/>
        <v>2044</v>
      </c>
      <c r="AB1" s="113">
        <f t="shared" si="2"/>
        <v>2045</v>
      </c>
      <c r="AC1" s="113">
        <f t="shared" si="2"/>
        <v>2046</v>
      </c>
      <c r="AD1" s="113">
        <f t="shared" si="2"/>
        <v>2047</v>
      </c>
      <c r="AE1" s="113">
        <f t="shared" si="2"/>
        <v>2048</v>
      </c>
      <c r="AF1" s="113">
        <f t="shared" si="2"/>
        <v>2049</v>
      </c>
      <c r="AG1" s="113">
        <v>2050</v>
      </c>
      <c r="AI1" s="1" t="s">
        <v>67</v>
      </c>
      <c r="AJ1" s="151" t="s">
        <v>60</v>
      </c>
      <c r="AO1" s="1"/>
    </row>
    <row r="2" spans="1:47" ht="15.5" thickBot="1">
      <c r="A2" s="187" t="str">
        <f>'Ethylene Recycling HC'!A2</f>
        <v>Plastic waste generation</v>
      </c>
      <c r="B2" s="187" t="str">
        <f>'Ethylene Recycling HC'!B2</f>
        <v>mT</v>
      </c>
      <c r="C2" s="203">
        <f>'Ethylene Recycling HC'!C2</f>
        <v>5301378.929236711</v>
      </c>
      <c r="D2" s="203">
        <f>'Ethylene Recycling HC'!D2</f>
        <v>5301378.929236711</v>
      </c>
      <c r="E2" s="203">
        <f>'Ethylene Recycling HC'!E2</f>
        <v>5301378.929236711</v>
      </c>
      <c r="F2" s="203">
        <f>'Ethylene Recycling HC'!F2</f>
        <v>5301378.929236711</v>
      </c>
      <c r="G2" s="203">
        <f>'Ethylene Recycling HC'!G2</f>
        <v>5301378.929236711</v>
      </c>
      <c r="H2" s="203">
        <f>'Ethylene Recycling HC'!H2</f>
        <v>5301378.929236711</v>
      </c>
      <c r="I2" s="203">
        <f>'Ethylene Recycling HC'!I2</f>
        <v>5301378.929236711</v>
      </c>
      <c r="J2" s="203">
        <f>'Ethylene Recycling HC'!J2</f>
        <v>5301378.929236711</v>
      </c>
      <c r="K2" s="203">
        <f>'Ethylene Recycling HC'!K2</f>
        <v>5301378.929236711</v>
      </c>
      <c r="L2" s="203">
        <f>'Ethylene Recycling HC'!L2</f>
        <v>5301378.929236711</v>
      </c>
      <c r="M2" s="203">
        <f>'Ethylene Recycling HC'!M2</f>
        <v>5301378.929236711</v>
      </c>
      <c r="N2" s="203">
        <f>'Ethylene Recycling HC'!N2</f>
        <v>5301378.929236711</v>
      </c>
      <c r="O2" s="203">
        <f>'Ethylene Recycling HC'!O2</f>
        <v>5301378.929236711</v>
      </c>
      <c r="P2" s="203">
        <f>'Ethylene Recycling HC'!P2</f>
        <v>5301378.929236711</v>
      </c>
      <c r="Q2" s="203">
        <f>'Ethylene Recycling HC'!Q2</f>
        <v>5301378.929236711</v>
      </c>
      <c r="R2" s="203">
        <f>'Ethylene Recycling HC'!R2</f>
        <v>5301378.929236711</v>
      </c>
      <c r="S2" s="203">
        <f>'Ethylene Recycling HC'!S2</f>
        <v>5301378.929236711</v>
      </c>
      <c r="T2" s="203">
        <f>'Ethylene Recycling HC'!T2</f>
        <v>5301378.929236711</v>
      </c>
      <c r="U2" s="203">
        <f>'Ethylene Recycling HC'!U2</f>
        <v>5301378.929236711</v>
      </c>
      <c r="V2" s="203">
        <f>'Ethylene Recycling HC'!V2</f>
        <v>5301378.929236711</v>
      </c>
      <c r="W2" s="203">
        <f>'Ethylene Recycling HC'!W2</f>
        <v>5301378.929236711</v>
      </c>
      <c r="X2" s="203">
        <f>'Ethylene Recycling HC'!X2</f>
        <v>5301378.929236711</v>
      </c>
      <c r="Y2" s="203">
        <f>'Ethylene Recycling HC'!Y2</f>
        <v>5301378.929236711</v>
      </c>
      <c r="Z2" s="203">
        <f>'Ethylene Recycling HC'!Z2</f>
        <v>5301378.929236711</v>
      </c>
      <c r="AA2" s="203">
        <f>'Ethylene Recycling HC'!AA2</f>
        <v>5301378.929236711</v>
      </c>
      <c r="AB2" s="203">
        <f>'Ethylene Recycling HC'!AB2</f>
        <v>5301378.929236711</v>
      </c>
      <c r="AC2" s="203">
        <f>'Ethylene Recycling HC'!AC2</f>
        <v>5301378.929236711</v>
      </c>
      <c r="AD2" s="203">
        <f>'Ethylene Recycling HC'!AD2</f>
        <v>5301378.929236711</v>
      </c>
      <c r="AE2" s="203">
        <f>'Ethylene Recycling HC'!AE2</f>
        <v>5301378.929236711</v>
      </c>
      <c r="AF2" s="203">
        <f>'Ethylene Recycling HC'!AF2</f>
        <v>5301378.929236711</v>
      </c>
      <c r="AG2" s="203">
        <f>'Ethylene Recycling HC'!AG2</f>
        <v>5301378.929236711</v>
      </c>
      <c r="AH2" s="80"/>
      <c r="AI2" s="349">
        <f>(AG2/C2)^(1/30)-1</f>
        <v>0</v>
      </c>
      <c r="AJ2" s="199" t="s">
        <v>397</v>
      </c>
      <c r="AR2" s="1"/>
      <c r="AU2" s="22"/>
    </row>
    <row r="3" spans="1:47" ht="15.5" outlineLevel="1" thickTop="1">
      <c r="C3" s="105"/>
      <c r="D3" s="105"/>
      <c r="E3" s="105"/>
      <c r="F3" s="105"/>
      <c r="G3" s="105"/>
      <c r="H3" s="105"/>
      <c r="I3" s="105"/>
      <c r="J3" s="105"/>
      <c r="K3" s="105"/>
      <c r="L3" s="105"/>
      <c r="N3" s="105"/>
      <c r="O3" s="105"/>
      <c r="P3" s="105"/>
      <c r="Q3" s="105"/>
      <c r="R3" s="105"/>
      <c r="S3" s="105"/>
      <c r="T3" s="105"/>
      <c r="U3" s="105"/>
      <c r="V3" s="105"/>
      <c r="X3" s="105"/>
      <c r="Y3" s="105"/>
      <c r="Z3" s="105"/>
      <c r="AA3" s="105"/>
      <c r="AB3" s="105"/>
      <c r="AC3" s="105"/>
      <c r="AD3" s="105"/>
      <c r="AE3" s="105"/>
      <c r="AF3" s="105"/>
      <c r="AI3" s="52"/>
      <c r="AJ3" s="200"/>
    </row>
    <row r="4" spans="1:47" outlineLevel="1">
      <c r="A4" t="s">
        <v>401</v>
      </c>
      <c r="B4" s="51" t="s">
        <v>126</v>
      </c>
      <c r="C4" s="104">
        <f>'Waste gen. - Industry shares'!C18+'Waste gen. - Industry shares'!C22</f>
        <v>0.52761781690498222</v>
      </c>
      <c r="D4" s="22">
        <f>C4</f>
        <v>0.52761781690498222</v>
      </c>
      <c r="E4" s="22">
        <f t="shared" ref="E4:T8" si="3">D4</f>
        <v>0.52761781690498222</v>
      </c>
      <c r="F4" s="22">
        <f t="shared" si="3"/>
        <v>0.52761781690498222</v>
      </c>
      <c r="G4" s="22">
        <f t="shared" si="3"/>
        <v>0.52761781690498222</v>
      </c>
      <c r="H4" s="22">
        <f t="shared" si="3"/>
        <v>0.52761781690498222</v>
      </c>
      <c r="I4" s="22">
        <f t="shared" si="3"/>
        <v>0.52761781690498222</v>
      </c>
      <c r="J4" s="22">
        <f t="shared" si="3"/>
        <v>0.52761781690498222</v>
      </c>
      <c r="K4" s="22">
        <f t="shared" si="3"/>
        <v>0.52761781690498222</v>
      </c>
      <c r="L4" s="22">
        <f t="shared" si="3"/>
        <v>0.52761781690498222</v>
      </c>
      <c r="M4" s="22">
        <f t="shared" si="3"/>
        <v>0.52761781690498222</v>
      </c>
      <c r="N4" s="22">
        <f t="shared" si="3"/>
        <v>0.52761781690498222</v>
      </c>
      <c r="O4" s="22">
        <f t="shared" si="3"/>
        <v>0.52761781690498222</v>
      </c>
      <c r="P4" s="22">
        <f t="shared" si="3"/>
        <v>0.52761781690498222</v>
      </c>
      <c r="Q4" s="22">
        <f t="shared" si="3"/>
        <v>0.52761781690498222</v>
      </c>
      <c r="R4" s="22">
        <f t="shared" si="3"/>
        <v>0.52761781690498222</v>
      </c>
      <c r="S4" s="22">
        <f t="shared" si="3"/>
        <v>0.52761781690498222</v>
      </c>
      <c r="T4" s="22">
        <f t="shared" si="3"/>
        <v>0.52761781690498222</v>
      </c>
      <c r="U4" s="22">
        <f t="shared" ref="T4:AG8" si="4">T4</f>
        <v>0.52761781690498222</v>
      </c>
      <c r="V4" s="22">
        <f t="shared" si="4"/>
        <v>0.52761781690498222</v>
      </c>
      <c r="W4" s="22">
        <f t="shared" si="4"/>
        <v>0.52761781690498222</v>
      </c>
      <c r="X4" s="22">
        <f t="shared" si="4"/>
        <v>0.52761781690498222</v>
      </c>
      <c r="Y4" s="22">
        <f t="shared" si="4"/>
        <v>0.52761781690498222</v>
      </c>
      <c r="Z4" s="22">
        <f t="shared" si="4"/>
        <v>0.52761781690498222</v>
      </c>
      <c r="AA4" s="22">
        <f t="shared" si="4"/>
        <v>0.52761781690498222</v>
      </c>
      <c r="AB4" s="22">
        <f t="shared" si="4"/>
        <v>0.52761781690498222</v>
      </c>
      <c r="AC4" s="22">
        <f t="shared" si="4"/>
        <v>0.52761781690498222</v>
      </c>
      <c r="AD4" s="22">
        <f t="shared" si="4"/>
        <v>0.52761781690498222</v>
      </c>
      <c r="AE4" s="22">
        <f t="shared" si="4"/>
        <v>0.52761781690498222</v>
      </c>
      <c r="AF4" s="22">
        <f t="shared" si="4"/>
        <v>0.52761781690498222</v>
      </c>
      <c r="AG4" s="22">
        <f t="shared" si="4"/>
        <v>0.52761781690498222</v>
      </c>
      <c r="AI4" s="51" t="s">
        <v>268</v>
      </c>
      <c r="AJ4" s="198"/>
    </row>
    <row r="5" spans="1:47" outlineLevel="1">
      <c r="A5" t="s">
        <v>286</v>
      </c>
      <c r="B5" s="51" t="s">
        <v>126</v>
      </c>
      <c r="C5" s="104">
        <f>'Waste gen. - Industry shares'!C20</f>
        <v>4.980376521164729E-2</v>
      </c>
      <c r="D5" s="22">
        <f>C5</f>
        <v>4.980376521164729E-2</v>
      </c>
      <c r="E5" s="22">
        <f t="shared" si="3"/>
        <v>4.980376521164729E-2</v>
      </c>
      <c r="F5" s="22">
        <f t="shared" si="3"/>
        <v>4.980376521164729E-2</v>
      </c>
      <c r="G5" s="22">
        <f t="shared" si="3"/>
        <v>4.980376521164729E-2</v>
      </c>
      <c r="H5" s="22">
        <f t="shared" si="3"/>
        <v>4.980376521164729E-2</v>
      </c>
      <c r="I5" s="22">
        <f t="shared" si="3"/>
        <v>4.980376521164729E-2</v>
      </c>
      <c r="J5" s="22">
        <f t="shared" si="3"/>
        <v>4.980376521164729E-2</v>
      </c>
      <c r="K5" s="22">
        <f t="shared" si="3"/>
        <v>4.980376521164729E-2</v>
      </c>
      <c r="L5" s="22">
        <f t="shared" si="3"/>
        <v>4.980376521164729E-2</v>
      </c>
      <c r="M5" s="22">
        <f t="shared" si="3"/>
        <v>4.980376521164729E-2</v>
      </c>
      <c r="N5" s="22">
        <f t="shared" si="3"/>
        <v>4.980376521164729E-2</v>
      </c>
      <c r="O5" s="22">
        <f t="shared" si="3"/>
        <v>4.980376521164729E-2</v>
      </c>
      <c r="P5" s="22">
        <f t="shared" si="3"/>
        <v>4.980376521164729E-2</v>
      </c>
      <c r="Q5" s="22">
        <f t="shared" si="3"/>
        <v>4.980376521164729E-2</v>
      </c>
      <c r="R5" s="22">
        <f t="shared" si="3"/>
        <v>4.980376521164729E-2</v>
      </c>
      <c r="S5" s="22">
        <f t="shared" si="3"/>
        <v>4.980376521164729E-2</v>
      </c>
      <c r="T5" s="22">
        <f t="shared" si="4"/>
        <v>4.980376521164729E-2</v>
      </c>
      <c r="U5" s="22">
        <f t="shared" si="4"/>
        <v>4.980376521164729E-2</v>
      </c>
      <c r="V5" s="22">
        <f t="shared" si="4"/>
        <v>4.980376521164729E-2</v>
      </c>
      <c r="W5" s="22">
        <f t="shared" si="4"/>
        <v>4.980376521164729E-2</v>
      </c>
      <c r="X5" s="22">
        <f t="shared" si="4"/>
        <v>4.980376521164729E-2</v>
      </c>
      <c r="Y5" s="22">
        <f t="shared" si="4"/>
        <v>4.980376521164729E-2</v>
      </c>
      <c r="Z5" s="22">
        <f t="shared" si="4"/>
        <v>4.980376521164729E-2</v>
      </c>
      <c r="AA5" s="22">
        <f t="shared" si="4"/>
        <v>4.980376521164729E-2</v>
      </c>
      <c r="AB5" s="22">
        <f t="shared" si="4"/>
        <v>4.980376521164729E-2</v>
      </c>
      <c r="AC5" s="22">
        <f t="shared" si="4"/>
        <v>4.980376521164729E-2</v>
      </c>
      <c r="AD5" s="22">
        <f t="shared" si="4"/>
        <v>4.980376521164729E-2</v>
      </c>
      <c r="AE5" s="22">
        <f t="shared" si="4"/>
        <v>4.980376521164729E-2</v>
      </c>
      <c r="AF5" s="22">
        <f t="shared" si="4"/>
        <v>4.980376521164729E-2</v>
      </c>
      <c r="AG5" s="22">
        <f>AF5</f>
        <v>4.980376521164729E-2</v>
      </c>
      <c r="AI5" s="51" t="s">
        <v>268</v>
      </c>
      <c r="AJ5" s="198"/>
    </row>
    <row r="6" spans="1:47" outlineLevel="1">
      <c r="A6" t="s">
        <v>287</v>
      </c>
      <c r="B6" s="51" t="s">
        <v>126</v>
      </c>
      <c r="C6" s="104">
        <f>'Waste gen. - Industry shares'!C19</f>
        <v>3.9181884245312638E-2</v>
      </c>
      <c r="D6" s="22">
        <f t="shared" ref="D6:D7" si="5">C6</f>
        <v>3.9181884245312638E-2</v>
      </c>
      <c r="E6" s="22">
        <f t="shared" si="3"/>
        <v>3.9181884245312638E-2</v>
      </c>
      <c r="F6" s="22">
        <f t="shared" si="3"/>
        <v>3.9181884245312638E-2</v>
      </c>
      <c r="G6" s="22">
        <f t="shared" si="3"/>
        <v>3.9181884245312638E-2</v>
      </c>
      <c r="H6" s="22">
        <f t="shared" si="3"/>
        <v>3.9181884245312638E-2</v>
      </c>
      <c r="I6" s="22">
        <f t="shared" si="3"/>
        <v>3.9181884245312638E-2</v>
      </c>
      <c r="J6" s="22">
        <f t="shared" si="3"/>
        <v>3.9181884245312638E-2</v>
      </c>
      <c r="K6" s="22">
        <f t="shared" si="3"/>
        <v>3.9181884245312638E-2</v>
      </c>
      <c r="L6" s="22">
        <f t="shared" si="3"/>
        <v>3.9181884245312638E-2</v>
      </c>
      <c r="M6" s="22">
        <f t="shared" si="3"/>
        <v>3.9181884245312638E-2</v>
      </c>
      <c r="N6" s="22">
        <f t="shared" si="3"/>
        <v>3.9181884245312638E-2</v>
      </c>
      <c r="O6" s="22">
        <f t="shared" si="3"/>
        <v>3.9181884245312638E-2</v>
      </c>
      <c r="P6" s="22">
        <f t="shared" si="3"/>
        <v>3.9181884245312638E-2</v>
      </c>
      <c r="Q6" s="22">
        <f t="shared" si="3"/>
        <v>3.9181884245312638E-2</v>
      </c>
      <c r="R6" s="22">
        <f t="shared" si="3"/>
        <v>3.9181884245312638E-2</v>
      </c>
      <c r="S6" s="22">
        <f t="shared" si="3"/>
        <v>3.9181884245312638E-2</v>
      </c>
      <c r="T6" s="22">
        <f t="shared" si="3"/>
        <v>3.9181884245312638E-2</v>
      </c>
      <c r="U6" s="22">
        <f t="shared" si="4"/>
        <v>3.9181884245312638E-2</v>
      </c>
      <c r="V6" s="22">
        <f t="shared" si="4"/>
        <v>3.9181884245312638E-2</v>
      </c>
      <c r="W6" s="22">
        <f t="shared" si="4"/>
        <v>3.9181884245312638E-2</v>
      </c>
      <c r="X6" s="22">
        <f t="shared" si="4"/>
        <v>3.9181884245312638E-2</v>
      </c>
      <c r="Y6" s="22">
        <f t="shared" si="4"/>
        <v>3.9181884245312638E-2</v>
      </c>
      <c r="Z6" s="22">
        <f t="shared" si="4"/>
        <v>3.9181884245312638E-2</v>
      </c>
      <c r="AA6" s="22">
        <f t="shared" si="4"/>
        <v>3.9181884245312638E-2</v>
      </c>
      <c r="AB6" s="22">
        <f t="shared" si="4"/>
        <v>3.9181884245312638E-2</v>
      </c>
      <c r="AC6" s="22">
        <f t="shared" si="4"/>
        <v>3.9181884245312638E-2</v>
      </c>
      <c r="AD6" s="22">
        <f t="shared" si="4"/>
        <v>3.9181884245312638E-2</v>
      </c>
      <c r="AE6" s="22">
        <f t="shared" si="4"/>
        <v>3.9181884245312638E-2</v>
      </c>
      <c r="AF6" s="22">
        <f t="shared" si="4"/>
        <v>3.9181884245312638E-2</v>
      </c>
      <c r="AG6" s="22">
        <f t="shared" si="4"/>
        <v>3.9181884245312638E-2</v>
      </c>
      <c r="AI6" s="51" t="s">
        <v>268</v>
      </c>
      <c r="AJ6" s="198"/>
      <c r="AR6" s="22"/>
    </row>
    <row r="7" spans="1:47" outlineLevel="1">
      <c r="A7" t="s">
        <v>410</v>
      </c>
      <c r="B7" s="51" t="s">
        <v>126</v>
      </c>
      <c r="C7" s="104">
        <f>'Waste gen. - Industry shares'!C23</f>
        <v>0.1</v>
      </c>
      <c r="D7" s="22">
        <f t="shared" si="5"/>
        <v>0.1</v>
      </c>
      <c r="E7" s="22">
        <f t="shared" si="3"/>
        <v>0.1</v>
      </c>
      <c r="F7" s="22">
        <f t="shared" si="3"/>
        <v>0.1</v>
      </c>
      <c r="G7" s="22">
        <f t="shared" si="3"/>
        <v>0.1</v>
      </c>
      <c r="H7" s="22">
        <f t="shared" si="3"/>
        <v>0.1</v>
      </c>
      <c r="I7" s="22">
        <f t="shared" si="3"/>
        <v>0.1</v>
      </c>
      <c r="J7" s="22">
        <f t="shared" si="3"/>
        <v>0.1</v>
      </c>
      <c r="K7" s="22">
        <f t="shared" si="3"/>
        <v>0.1</v>
      </c>
      <c r="L7" s="22">
        <f t="shared" si="3"/>
        <v>0.1</v>
      </c>
      <c r="M7" s="22">
        <f>L7</f>
        <v>0.1</v>
      </c>
      <c r="N7" s="22">
        <f t="shared" si="3"/>
        <v>0.1</v>
      </c>
      <c r="O7" s="22">
        <f t="shared" si="3"/>
        <v>0.1</v>
      </c>
      <c r="P7" s="22">
        <f t="shared" si="3"/>
        <v>0.1</v>
      </c>
      <c r="Q7" s="22">
        <f t="shared" si="3"/>
        <v>0.1</v>
      </c>
      <c r="R7" s="22">
        <f t="shared" si="3"/>
        <v>0.1</v>
      </c>
      <c r="S7" s="22">
        <f t="shared" si="3"/>
        <v>0.1</v>
      </c>
      <c r="T7" s="22">
        <f t="shared" si="3"/>
        <v>0.1</v>
      </c>
      <c r="U7" s="22">
        <f t="shared" si="4"/>
        <v>0.1</v>
      </c>
      <c r="V7" s="22">
        <f t="shared" si="4"/>
        <v>0.1</v>
      </c>
      <c r="W7" s="22">
        <f t="shared" si="4"/>
        <v>0.1</v>
      </c>
      <c r="X7" s="22">
        <f t="shared" si="4"/>
        <v>0.1</v>
      </c>
      <c r="Y7" s="22">
        <f t="shared" si="4"/>
        <v>0.1</v>
      </c>
      <c r="Z7" s="22">
        <f t="shared" si="4"/>
        <v>0.1</v>
      </c>
      <c r="AA7" s="22">
        <f t="shared" si="4"/>
        <v>0.1</v>
      </c>
      <c r="AB7" s="22">
        <f t="shared" si="4"/>
        <v>0.1</v>
      </c>
      <c r="AC7" s="22">
        <f t="shared" si="4"/>
        <v>0.1</v>
      </c>
      <c r="AD7" s="22">
        <f t="shared" si="4"/>
        <v>0.1</v>
      </c>
      <c r="AE7" s="22">
        <f t="shared" si="4"/>
        <v>0.1</v>
      </c>
      <c r="AF7" s="22">
        <f t="shared" si="4"/>
        <v>0.1</v>
      </c>
      <c r="AG7" s="22">
        <f t="shared" si="4"/>
        <v>0.1</v>
      </c>
      <c r="AI7" s="51" t="s">
        <v>268</v>
      </c>
      <c r="AJ7" s="198"/>
    </row>
    <row r="8" spans="1:47" outlineLevel="1">
      <c r="A8" t="s">
        <v>402</v>
      </c>
      <c r="B8" s="51" t="s">
        <v>126</v>
      </c>
      <c r="C8" s="104">
        <f>'Waste gen. - Industry shares'!C24+'Waste gen. - Industry shares'!C21</f>
        <v>0.28429743453895867</v>
      </c>
      <c r="D8" s="119">
        <f>C8</f>
        <v>0.28429743453895867</v>
      </c>
      <c r="E8" s="119">
        <f t="shared" si="3"/>
        <v>0.28429743453895867</v>
      </c>
      <c r="F8" s="119">
        <f t="shared" si="3"/>
        <v>0.28429743453895867</v>
      </c>
      <c r="G8" s="119">
        <f t="shared" si="3"/>
        <v>0.28429743453895867</v>
      </c>
      <c r="H8" s="119">
        <f t="shared" si="3"/>
        <v>0.28429743453895867</v>
      </c>
      <c r="I8" s="119">
        <f t="shared" si="3"/>
        <v>0.28429743453895867</v>
      </c>
      <c r="J8" s="119">
        <f t="shared" si="3"/>
        <v>0.28429743453895867</v>
      </c>
      <c r="K8" s="119">
        <f t="shared" si="3"/>
        <v>0.28429743453895867</v>
      </c>
      <c r="L8" s="119">
        <f t="shared" si="3"/>
        <v>0.28429743453895867</v>
      </c>
      <c r="M8" s="121">
        <f t="shared" si="3"/>
        <v>0.28429743453895867</v>
      </c>
      <c r="N8" s="121">
        <f t="shared" si="3"/>
        <v>0.28429743453895867</v>
      </c>
      <c r="O8" s="121">
        <f t="shared" si="3"/>
        <v>0.28429743453895867</v>
      </c>
      <c r="P8" s="121">
        <f t="shared" si="3"/>
        <v>0.28429743453895867</v>
      </c>
      <c r="Q8" s="121">
        <f t="shared" si="3"/>
        <v>0.28429743453895867</v>
      </c>
      <c r="R8" s="121">
        <f t="shared" si="3"/>
        <v>0.28429743453895867</v>
      </c>
      <c r="S8" s="121">
        <f t="shared" si="3"/>
        <v>0.28429743453895867</v>
      </c>
      <c r="T8" s="121">
        <f t="shared" si="3"/>
        <v>0.28429743453895867</v>
      </c>
      <c r="U8" s="121">
        <f t="shared" si="4"/>
        <v>0.28429743453895867</v>
      </c>
      <c r="V8" s="121">
        <f t="shared" si="4"/>
        <v>0.28429743453895867</v>
      </c>
      <c r="W8" s="121">
        <f t="shared" si="4"/>
        <v>0.28429743453895867</v>
      </c>
      <c r="X8" s="121">
        <f t="shared" si="4"/>
        <v>0.28429743453895867</v>
      </c>
      <c r="Y8" s="121">
        <f t="shared" si="4"/>
        <v>0.28429743453895867</v>
      </c>
      <c r="Z8" s="121">
        <f t="shared" si="4"/>
        <v>0.28429743453895867</v>
      </c>
      <c r="AA8" s="121">
        <f t="shared" si="4"/>
        <v>0.28429743453895867</v>
      </c>
      <c r="AB8" s="121">
        <f t="shared" si="4"/>
        <v>0.28429743453895867</v>
      </c>
      <c r="AC8" s="121">
        <f t="shared" si="4"/>
        <v>0.28429743453895867</v>
      </c>
      <c r="AD8" s="121">
        <f t="shared" si="4"/>
        <v>0.28429743453895867</v>
      </c>
      <c r="AE8" s="121">
        <f t="shared" si="4"/>
        <v>0.28429743453895867</v>
      </c>
      <c r="AF8" s="121">
        <f t="shared" si="4"/>
        <v>0.28429743453895867</v>
      </c>
      <c r="AG8" s="121">
        <f t="shared" si="4"/>
        <v>0.28429743453895867</v>
      </c>
      <c r="AI8" s="51" t="s">
        <v>268</v>
      </c>
      <c r="AJ8" s="198"/>
    </row>
    <row r="9" spans="1:47" ht="15.5" outlineLevel="1" thickBot="1">
      <c r="A9" s="182" t="s">
        <v>433</v>
      </c>
      <c r="B9" s="183"/>
      <c r="C9" s="184">
        <f>SUM(C4:C8)</f>
        <v>1.0009009009009009</v>
      </c>
      <c r="D9" s="184">
        <f t="shared" ref="D9:AG9" si="6">SUM(D4:D8)</f>
        <v>1.0009009009009009</v>
      </c>
      <c r="E9" s="184">
        <f t="shared" si="6"/>
        <v>1.0009009009009009</v>
      </c>
      <c r="F9" s="184">
        <f t="shared" si="6"/>
        <v>1.0009009009009009</v>
      </c>
      <c r="G9" s="184">
        <f t="shared" si="6"/>
        <v>1.0009009009009009</v>
      </c>
      <c r="H9" s="184">
        <f t="shared" si="6"/>
        <v>1.0009009009009009</v>
      </c>
      <c r="I9" s="184">
        <f t="shared" si="6"/>
        <v>1.0009009009009009</v>
      </c>
      <c r="J9" s="184">
        <f t="shared" si="6"/>
        <v>1.0009009009009009</v>
      </c>
      <c r="K9" s="184">
        <f t="shared" si="6"/>
        <v>1.0009009009009009</v>
      </c>
      <c r="L9" s="184">
        <f t="shared" si="6"/>
        <v>1.0009009009009009</v>
      </c>
      <c r="M9" s="184">
        <f t="shared" si="6"/>
        <v>1.0009009009009009</v>
      </c>
      <c r="N9" s="184">
        <f t="shared" si="6"/>
        <v>1.0009009009009009</v>
      </c>
      <c r="O9" s="184">
        <f t="shared" si="6"/>
        <v>1.0009009009009009</v>
      </c>
      <c r="P9" s="184">
        <f t="shared" si="6"/>
        <v>1.0009009009009009</v>
      </c>
      <c r="Q9" s="184">
        <f t="shared" si="6"/>
        <v>1.0009009009009009</v>
      </c>
      <c r="R9" s="184">
        <f t="shared" si="6"/>
        <v>1.0009009009009009</v>
      </c>
      <c r="S9" s="184">
        <f t="shared" si="6"/>
        <v>1.0009009009009009</v>
      </c>
      <c r="T9" s="184">
        <f t="shared" si="6"/>
        <v>1.0009009009009009</v>
      </c>
      <c r="U9" s="184">
        <f t="shared" si="6"/>
        <v>1.0009009009009009</v>
      </c>
      <c r="V9" s="184">
        <f t="shared" si="6"/>
        <v>1.0009009009009009</v>
      </c>
      <c r="W9" s="184">
        <f t="shared" si="6"/>
        <v>1.0009009009009009</v>
      </c>
      <c r="X9" s="184">
        <f t="shared" si="6"/>
        <v>1.0009009009009009</v>
      </c>
      <c r="Y9" s="184">
        <f t="shared" si="6"/>
        <v>1.0009009009009009</v>
      </c>
      <c r="Z9" s="184">
        <f t="shared" si="6"/>
        <v>1.0009009009009009</v>
      </c>
      <c r="AA9" s="184">
        <f t="shared" si="6"/>
        <v>1.0009009009009009</v>
      </c>
      <c r="AB9" s="184">
        <f t="shared" si="6"/>
        <v>1.0009009009009009</v>
      </c>
      <c r="AC9" s="184">
        <f t="shared" si="6"/>
        <v>1.0009009009009009</v>
      </c>
      <c r="AD9" s="184">
        <f t="shared" si="6"/>
        <v>1.0009009009009009</v>
      </c>
      <c r="AE9" s="184">
        <f t="shared" si="6"/>
        <v>1.0009009009009009</v>
      </c>
      <c r="AF9" s="184">
        <f t="shared" si="6"/>
        <v>1.0009009009009009</v>
      </c>
      <c r="AG9" s="184">
        <f t="shared" si="6"/>
        <v>1.0009009009009009</v>
      </c>
      <c r="AM9" s="24"/>
      <c r="AN9" s="2"/>
      <c r="AO9" s="24"/>
      <c r="AR9" s="2"/>
    </row>
    <row r="10" spans="1:47" ht="15.5" outlineLevel="1" thickTop="1">
      <c r="AM10" s="24"/>
      <c r="AN10" s="2"/>
      <c r="AO10" s="24"/>
      <c r="AR10" s="2"/>
    </row>
    <row r="11" spans="1:47" outlineLevel="1">
      <c r="A11" t="s">
        <v>413</v>
      </c>
      <c r="B11" s="51" t="s">
        <v>296</v>
      </c>
      <c r="C11" s="101">
        <f t="shared" ref="C11:AG15" si="7">C$2*C4</f>
        <v>2797101.9772299458</v>
      </c>
      <c r="D11" s="101">
        <f t="shared" si="7"/>
        <v>2797101.9772299458</v>
      </c>
      <c r="E11" s="101">
        <f t="shared" si="7"/>
        <v>2797101.9772299458</v>
      </c>
      <c r="F11" s="101">
        <f t="shared" si="7"/>
        <v>2797101.9772299458</v>
      </c>
      <c r="G11" s="101">
        <f t="shared" si="7"/>
        <v>2797101.9772299458</v>
      </c>
      <c r="H11" s="101">
        <f t="shared" si="7"/>
        <v>2797101.9772299458</v>
      </c>
      <c r="I11" s="101">
        <f t="shared" si="7"/>
        <v>2797101.9772299458</v>
      </c>
      <c r="J11" s="101">
        <f t="shared" si="7"/>
        <v>2797101.9772299458</v>
      </c>
      <c r="K11" s="101">
        <f t="shared" si="7"/>
        <v>2797101.9772299458</v>
      </c>
      <c r="L11" s="101">
        <f t="shared" si="7"/>
        <v>2797101.9772299458</v>
      </c>
      <c r="M11" s="101">
        <f t="shared" si="7"/>
        <v>2797101.9772299458</v>
      </c>
      <c r="N11" s="101">
        <f t="shared" si="7"/>
        <v>2797101.9772299458</v>
      </c>
      <c r="O11" s="101">
        <f t="shared" si="7"/>
        <v>2797101.9772299458</v>
      </c>
      <c r="P11" s="101">
        <f t="shared" si="7"/>
        <v>2797101.9772299458</v>
      </c>
      <c r="Q11" s="101">
        <f t="shared" si="7"/>
        <v>2797101.9772299458</v>
      </c>
      <c r="R11" s="101">
        <f t="shared" si="7"/>
        <v>2797101.9772299458</v>
      </c>
      <c r="S11" s="101">
        <f t="shared" si="7"/>
        <v>2797101.9772299458</v>
      </c>
      <c r="T11" s="101">
        <f t="shared" si="7"/>
        <v>2797101.9772299458</v>
      </c>
      <c r="U11" s="101">
        <f t="shared" si="7"/>
        <v>2797101.9772299458</v>
      </c>
      <c r="V11" s="101">
        <f t="shared" si="7"/>
        <v>2797101.9772299458</v>
      </c>
      <c r="W11" s="101">
        <f t="shared" si="7"/>
        <v>2797101.9772299458</v>
      </c>
      <c r="X11" s="101">
        <f t="shared" si="7"/>
        <v>2797101.9772299458</v>
      </c>
      <c r="Y11" s="101">
        <f t="shared" si="7"/>
        <v>2797101.9772299458</v>
      </c>
      <c r="Z11" s="101">
        <f t="shared" si="7"/>
        <v>2797101.9772299458</v>
      </c>
      <c r="AA11" s="101">
        <f t="shared" si="7"/>
        <v>2797101.9772299458</v>
      </c>
      <c r="AB11" s="101">
        <f t="shared" si="7"/>
        <v>2797101.9772299458</v>
      </c>
      <c r="AC11" s="101">
        <f t="shared" si="7"/>
        <v>2797101.9772299458</v>
      </c>
      <c r="AD11" s="101">
        <f t="shared" si="7"/>
        <v>2797101.9772299458</v>
      </c>
      <c r="AE11" s="101">
        <f t="shared" si="7"/>
        <v>2797101.9772299458</v>
      </c>
      <c r="AF11" s="101">
        <f t="shared" si="7"/>
        <v>2797101.9772299458</v>
      </c>
      <c r="AG11" s="101">
        <f t="shared" si="7"/>
        <v>2797101.9772299458</v>
      </c>
      <c r="AM11" s="24"/>
      <c r="AN11" s="2"/>
      <c r="AO11" s="24"/>
      <c r="AR11" s="2"/>
    </row>
    <row r="12" spans="1:47" outlineLevel="1">
      <c r="A12" t="s">
        <v>269</v>
      </c>
      <c r="B12" s="51" t="s">
        <v>296</v>
      </c>
      <c r="C12" s="101">
        <f t="shared" si="7"/>
        <v>264028.63148967928</v>
      </c>
      <c r="D12" s="101">
        <f t="shared" si="7"/>
        <v>264028.63148967928</v>
      </c>
      <c r="E12" s="101">
        <f t="shared" si="7"/>
        <v>264028.63148967928</v>
      </c>
      <c r="F12" s="101">
        <f t="shared" si="7"/>
        <v>264028.63148967928</v>
      </c>
      <c r="G12" s="101">
        <f t="shared" si="7"/>
        <v>264028.63148967928</v>
      </c>
      <c r="H12" s="101">
        <f t="shared" si="7"/>
        <v>264028.63148967928</v>
      </c>
      <c r="I12" s="101">
        <f t="shared" si="7"/>
        <v>264028.63148967928</v>
      </c>
      <c r="J12" s="101">
        <f t="shared" si="7"/>
        <v>264028.63148967928</v>
      </c>
      <c r="K12" s="101">
        <f t="shared" si="7"/>
        <v>264028.63148967928</v>
      </c>
      <c r="L12" s="101">
        <f t="shared" si="7"/>
        <v>264028.63148967928</v>
      </c>
      <c r="M12" s="101">
        <f t="shared" si="7"/>
        <v>264028.63148967928</v>
      </c>
      <c r="N12" s="101">
        <f t="shared" si="7"/>
        <v>264028.63148967928</v>
      </c>
      <c r="O12" s="101">
        <f t="shared" si="7"/>
        <v>264028.63148967928</v>
      </c>
      <c r="P12" s="101">
        <f t="shared" si="7"/>
        <v>264028.63148967928</v>
      </c>
      <c r="Q12" s="101">
        <f t="shared" si="7"/>
        <v>264028.63148967928</v>
      </c>
      <c r="R12" s="101">
        <f t="shared" si="7"/>
        <v>264028.63148967928</v>
      </c>
      <c r="S12" s="101">
        <f t="shared" si="7"/>
        <v>264028.63148967928</v>
      </c>
      <c r="T12" s="101">
        <f t="shared" si="7"/>
        <v>264028.63148967928</v>
      </c>
      <c r="U12" s="101">
        <f t="shared" si="7"/>
        <v>264028.63148967928</v>
      </c>
      <c r="V12" s="101">
        <f t="shared" si="7"/>
        <v>264028.63148967928</v>
      </c>
      <c r="W12" s="101">
        <f t="shared" si="7"/>
        <v>264028.63148967928</v>
      </c>
      <c r="X12" s="101">
        <f t="shared" si="7"/>
        <v>264028.63148967928</v>
      </c>
      <c r="Y12" s="101">
        <f t="shared" si="7"/>
        <v>264028.63148967928</v>
      </c>
      <c r="Z12" s="101">
        <f t="shared" si="7"/>
        <v>264028.63148967928</v>
      </c>
      <c r="AA12" s="101">
        <f t="shared" si="7"/>
        <v>264028.63148967928</v>
      </c>
      <c r="AB12" s="101">
        <f t="shared" si="7"/>
        <v>264028.63148967928</v>
      </c>
      <c r="AC12" s="101">
        <f t="shared" si="7"/>
        <v>264028.63148967928</v>
      </c>
      <c r="AD12" s="101">
        <f t="shared" si="7"/>
        <v>264028.63148967928</v>
      </c>
      <c r="AE12" s="101">
        <f t="shared" si="7"/>
        <v>264028.63148967928</v>
      </c>
      <c r="AF12" s="101">
        <f t="shared" si="7"/>
        <v>264028.63148967928</v>
      </c>
      <c r="AG12" s="101">
        <f t="shared" si="7"/>
        <v>264028.63148967928</v>
      </c>
      <c r="AM12" s="24"/>
      <c r="AN12" s="2"/>
      <c r="AO12" s="24"/>
      <c r="AR12" s="2"/>
    </row>
    <row r="13" spans="1:47" outlineLevel="1">
      <c r="A13" t="s">
        <v>270</v>
      </c>
      <c r="B13" s="51" t="s">
        <v>296</v>
      </c>
      <c r="C13" s="101">
        <f t="shared" si="7"/>
        <v>207718.01554589227</v>
      </c>
      <c r="D13" s="101">
        <f t="shared" si="7"/>
        <v>207718.01554589227</v>
      </c>
      <c r="E13" s="101">
        <f t="shared" si="7"/>
        <v>207718.01554589227</v>
      </c>
      <c r="F13" s="101">
        <f t="shared" si="7"/>
        <v>207718.01554589227</v>
      </c>
      <c r="G13" s="101">
        <f t="shared" si="7"/>
        <v>207718.01554589227</v>
      </c>
      <c r="H13" s="101">
        <f t="shared" si="7"/>
        <v>207718.01554589227</v>
      </c>
      <c r="I13" s="101">
        <f t="shared" si="7"/>
        <v>207718.01554589227</v>
      </c>
      <c r="J13" s="101">
        <f t="shared" si="7"/>
        <v>207718.01554589227</v>
      </c>
      <c r="K13" s="101">
        <f t="shared" si="7"/>
        <v>207718.01554589227</v>
      </c>
      <c r="L13" s="101">
        <f t="shared" si="7"/>
        <v>207718.01554589227</v>
      </c>
      <c r="M13" s="101">
        <f t="shared" si="7"/>
        <v>207718.01554589227</v>
      </c>
      <c r="N13" s="101">
        <f t="shared" si="7"/>
        <v>207718.01554589227</v>
      </c>
      <c r="O13" s="101">
        <f t="shared" si="7"/>
        <v>207718.01554589227</v>
      </c>
      <c r="P13" s="101">
        <f t="shared" si="7"/>
        <v>207718.01554589227</v>
      </c>
      <c r="Q13" s="101">
        <f t="shared" si="7"/>
        <v>207718.01554589227</v>
      </c>
      <c r="R13" s="101">
        <f t="shared" si="7"/>
        <v>207718.01554589227</v>
      </c>
      <c r="S13" s="101">
        <f t="shared" si="7"/>
        <v>207718.01554589227</v>
      </c>
      <c r="T13" s="101">
        <f t="shared" si="7"/>
        <v>207718.01554589227</v>
      </c>
      <c r="U13" s="101">
        <f t="shared" si="7"/>
        <v>207718.01554589227</v>
      </c>
      <c r="V13" s="101">
        <f t="shared" si="7"/>
        <v>207718.01554589227</v>
      </c>
      <c r="W13" s="101">
        <f t="shared" si="7"/>
        <v>207718.01554589227</v>
      </c>
      <c r="X13" s="101">
        <f t="shared" si="7"/>
        <v>207718.01554589227</v>
      </c>
      <c r="Y13" s="101">
        <f t="shared" si="7"/>
        <v>207718.01554589227</v>
      </c>
      <c r="Z13" s="101">
        <f t="shared" si="7"/>
        <v>207718.01554589227</v>
      </c>
      <c r="AA13" s="101">
        <f t="shared" si="7"/>
        <v>207718.01554589227</v>
      </c>
      <c r="AB13" s="101">
        <f t="shared" si="7"/>
        <v>207718.01554589227</v>
      </c>
      <c r="AC13" s="101">
        <f t="shared" si="7"/>
        <v>207718.01554589227</v>
      </c>
      <c r="AD13" s="101">
        <f t="shared" si="7"/>
        <v>207718.01554589227</v>
      </c>
      <c r="AE13" s="101">
        <f t="shared" si="7"/>
        <v>207718.01554589227</v>
      </c>
      <c r="AF13" s="101">
        <f t="shared" si="7"/>
        <v>207718.01554589227</v>
      </c>
      <c r="AG13" s="101">
        <f t="shared" si="7"/>
        <v>207718.01554589227</v>
      </c>
      <c r="AM13" s="24"/>
      <c r="AN13" s="2"/>
      <c r="AO13" s="24"/>
      <c r="AR13" s="2"/>
    </row>
    <row r="14" spans="1:47" outlineLevel="1">
      <c r="A14" t="s">
        <v>411</v>
      </c>
      <c r="B14" s="51" t="s">
        <v>296</v>
      </c>
      <c r="C14" s="101">
        <f t="shared" si="7"/>
        <v>530137.89292367117</v>
      </c>
      <c r="D14" s="101">
        <f t="shared" si="7"/>
        <v>530137.89292367117</v>
      </c>
      <c r="E14" s="101">
        <f t="shared" si="7"/>
        <v>530137.89292367117</v>
      </c>
      <c r="F14" s="101">
        <f t="shared" si="7"/>
        <v>530137.89292367117</v>
      </c>
      <c r="G14" s="101">
        <f t="shared" si="7"/>
        <v>530137.89292367117</v>
      </c>
      <c r="H14" s="101">
        <f t="shared" si="7"/>
        <v>530137.89292367117</v>
      </c>
      <c r="I14" s="101">
        <f t="shared" si="7"/>
        <v>530137.89292367117</v>
      </c>
      <c r="J14" s="101">
        <f t="shared" si="7"/>
        <v>530137.89292367117</v>
      </c>
      <c r="K14" s="101">
        <f t="shared" si="7"/>
        <v>530137.89292367117</v>
      </c>
      <c r="L14" s="101">
        <f t="shared" si="7"/>
        <v>530137.89292367117</v>
      </c>
      <c r="M14" s="101">
        <f t="shared" si="7"/>
        <v>530137.89292367117</v>
      </c>
      <c r="N14" s="101">
        <f t="shared" si="7"/>
        <v>530137.89292367117</v>
      </c>
      <c r="O14" s="101">
        <f t="shared" si="7"/>
        <v>530137.89292367117</v>
      </c>
      <c r="P14" s="101">
        <f t="shared" si="7"/>
        <v>530137.89292367117</v>
      </c>
      <c r="Q14" s="101">
        <f t="shared" si="7"/>
        <v>530137.89292367117</v>
      </c>
      <c r="R14" s="101">
        <f t="shared" si="7"/>
        <v>530137.89292367117</v>
      </c>
      <c r="S14" s="101">
        <f t="shared" si="7"/>
        <v>530137.89292367117</v>
      </c>
      <c r="T14" s="101">
        <f t="shared" si="7"/>
        <v>530137.89292367117</v>
      </c>
      <c r="U14" s="101">
        <f t="shared" si="7"/>
        <v>530137.89292367117</v>
      </c>
      <c r="V14" s="101">
        <f t="shared" si="7"/>
        <v>530137.89292367117</v>
      </c>
      <c r="W14" s="101">
        <f t="shared" si="7"/>
        <v>530137.89292367117</v>
      </c>
      <c r="X14" s="101">
        <f t="shared" si="7"/>
        <v>530137.89292367117</v>
      </c>
      <c r="Y14" s="101">
        <f t="shared" si="7"/>
        <v>530137.89292367117</v>
      </c>
      <c r="Z14" s="101">
        <f t="shared" si="7"/>
        <v>530137.89292367117</v>
      </c>
      <c r="AA14" s="101">
        <f t="shared" si="7"/>
        <v>530137.89292367117</v>
      </c>
      <c r="AB14" s="101">
        <f t="shared" si="7"/>
        <v>530137.89292367117</v>
      </c>
      <c r="AC14" s="101">
        <f t="shared" si="7"/>
        <v>530137.89292367117</v>
      </c>
      <c r="AD14" s="101">
        <f t="shared" si="7"/>
        <v>530137.89292367117</v>
      </c>
      <c r="AE14" s="101">
        <f t="shared" si="7"/>
        <v>530137.89292367117</v>
      </c>
      <c r="AF14" s="101">
        <f t="shared" si="7"/>
        <v>530137.89292367117</v>
      </c>
      <c r="AG14" s="101">
        <f t="shared" si="7"/>
        <v>530137.89292367117</v>
      </c>
      <c r="AM14" s="24"/>
      <c r="AN14" s="2"/>
      <c r="AO14" s="24"/>
      <c r="AR14" s="2"/>
    </row>
    <row r="15" spans="1:47" outlineLevel="1">
      <c r="A15" t="s">
        <v>271</v>
      </c>
      <c r="B15" s="51" t="s">
        <v>296</v>
      </c>
      <c r="C15" s="122">
        <f t="shared" si="7"/>
        <v>1507168.4291008885</v>
      </c>
      <c r="D15" s="122">
        <f t="shared" si="7"/>
        <v>1507168.4291008885</v>
      </c>
      <c r="E15" s="122">
        <f t="shared" si="7"/>
        <v>1507168.4291008885</v>
      </c>
      <c r="F15" s="122">
        <f t="shared" si="7"/>
        <v>1507168.4291008885</v>
      </c>
      <c r="G15" s="122">
        <f t="shared" si="7"/>
        <v>1507168.4291008885</v>
      </c>
      <c r="H15" s="122">
        <f t="shared" si="7"/>
        <v>1507168.4291008885</v>
      </c>
      <c r="I15" s="122">
        <f t="shared" si="7"/>
        <v>1507168.4291008885</v>
      </c>
      <c r="J15" s="122">
        <f t="shared" si="7"/>
        <v>1507168.4291008885</v>
      </c>
      <c r="K15" s="122">
        <f t="shared" si="7"/>
        <v>1507168.4291008885</v>
      </c>
      <c r="L15" s="122">
        <f t="shared" si="7"/>
        <v>1507168.4291008885</v>
      </c>
      <c r="M15" s="122">
        <f t="shared" si="7"/>
        <v>1507168.4291008885</v>
      </c>
      <c r="N15" s="122">
        <f t="shared" si="7"/>
        <v>1507168.4291008885</v>
      </c>
      <c r="O15" s="122">
        <f t="shared" si="7"/>
        <v>1507168.4291008885</v>
      </c>
      <c r="P15" s="122">
        <f t="shared" si="7"/>
        <v>1507168.4291008885</v>
      </c>
      <c r="Q15" s="122">
        <f t="shared" si="7"/>
        <v>1507168.4291008885</v>
      </c>
      <c r="R15" s="122">
        <f t="shared" si="7"/>
        <v>1507168.4291008885</v>
      </c>
      <c r="S15" s="122">
        <f t="shared" si="7"/>
        <v>1507168.4291008885</v>
      </c>
      <c r="T15" s="122">
        <f t="shared" si="7"/>
        <v>1507168.4291008885</v>
      </c>
      <c r="U15" s="122">
        <f t="shared" si="7"/>
        <v>1507168.4291008885</v>
      </c>
      <c r="V15" s="122">
        <f t="shared" si="7"/>
        <v>1507168.4291008885</v>
      </c>
      <c r="W15" s="122">
        <f t="shared" si="7"/>
        <v>1507168.4291008885</v>
      </c>
      <c r="X15" s="122">
        <f t="shared" si="7"/>
        <v>1507168.4291008885</v>
      </c>
      <c r="Y15" s="122">
        <f t="shared" si="7"/>
        <v>1507168.4291008885</v>
      </c>
      <c r="Z15" s="122">
        <f t="shared" si="7"/>
        <v>1507168.4291008885</v>
      </c>
      <c r="AA15" s="122">
        <f t="shared" si="7"/>
        <v>1507168.4291008885</v>
      </c>
      <c r="AB15" s="122">
        <f t="shared" si="7"/>
        <v>1507168.4291008885</v>
      </c>
      <c r="AC15" s="122">
        <f t="shared" si="7"/>
        <v>1507168.4291008885</v>
      </c>
      <c r="AD15" s="122">
        <f t="shared" si="7"/>
        <v>1507168.4291008885</v>
      </c>
      <c r="AE15" s="122">
        <f t="shared" si="7"/>
        <v>1507168.4291008885</v>
      </c>
      <c r="AF15" s="122">
        <f t="shared" si="7"/>
        <v>1507168.4291008885</v>
      </c>
      <c r="AG15" s="122">
        <f t="shared" si="7"/>
        <v>1507168.4291008885</v>
      </c>
    </row>
    <row r="16" spans="1:47" ht="15.5" outlineLevel="1" thickBot="1">
      <c r="A16" s="187" t="s">
        <v>432</v>
      </c>
      <c r="B16" s="185"/>
      <c r="C16" s="186">
        <f t="shared" ref="C16:AG16" si="8">SUM(C11:C15)</f>
        <v>5306154.9462900767</v>
      </c>
      <c r="D16" s="186">
        <f t="shared" si="8"/>
        <v>5306154.9462900767</v>
      </c>
      <c r="E16" s="186">
        <f t="shared" si="8"/>
        <v>5306154.9462900767</v>
      </c>
      <c r="F16" s="186">
        <f t="shared" si="8"/>
        <v>5306154.9462900767</v>
      </c>
      <c r="G16" s="186">
        <f t="shared" si="8"/>
        <v>5306154.9462900767</v>
      </c>
      <c r="H16" s="186">
        <f t="shared" si="8"/>
        <v>5306154.9462900767</v>
      </c>
      <c r="I16" s="186">
        <f t="shared" si="8"/>
        <v>5306154.9462900767</v>
      </c>
      <c r="J16" s="186">
        <f t="shared" si="8"/>
        <v>5306154.9462900767</v>
      </c>
      <c r="K16" s="186">
        <f t="shared" si="8"/>
        <v>5306154.9462900767</v>
      </c>
      <c r="L16" s="186">
        <f t="shared" si="8"/>
        <v>5306154.9462900767</v>
      </c>
      <c r="M16" s="186">
        <f t="shared" si="8"/>
        <v>5306154.9462900767</v>
      </c>
      <c r="N16" s="186">
        <f t="shared" si="8"/>
        <v>5306154.9462900767</v>
      </c>
      <c r="O16" s="186">
        <f t="shared" si="8"/>
        <v>5306154.9462900767</v>
      </c>
      <c r="P16" s="186">
        <f t="shared" si="8"/>
        <v>5306154.9462900767</v>
      </c>
      <c r="Q16" s="186">
        <f t="shared" si="8"/>
        <v>5306154.9462900767</v>
      </c>
      <c r="R16" s="186">
        <f t="shared" si="8"/>
        <v>5306154.9462900767</v>
      </c>
      <c r="S16" s="186">
        <f t="shared" si="8"/>
        <v>5306154.9462900767</v>
      </c>
      <c r="T16" s="186">
        <f t="shared" si="8"/>
        <v>5306154.9462900767</v>
      </c>
      <c r="U16" s="186">
        <f t="shared" si="8"/>
        <v>5306154.9462900767</v>
      </c>
      <c r="V16" s="186">
        <f t="shared" si="8"/>
        <v>5306154.9462900767</v>
      </c>
      <c r="W16" s="186">
        <f t="shared" si="8"/>
        <v>5306154.9462900767</v>
      </c>
      <c r="X16" s="186">
        <f t="shared" si="8"/>
        <v>5306154.9462900767</v>
      </c>
      <c r="Y16" s="186">
        <f t="shared" si="8"/>
        <v>5306154.9462900767</v>
      </c>
      <c r="Z16" s="186">
        <f t="shared" si="8"/>
        <v>5306154.9462900767</v>
      </c>
      <c r="AA16" s="186">
        <f t="shared" si="8"/>
        <v>5306154.9462900767</v>
      </c>
      <c r="AB16" s="186">
        <f t="shared" si="8"/>
        <v>5306154.9462900767</v>
      </c>
      <c r="AC16" s="186">
        <f t="shared" si="8"/>
        <v>5306154.9462900767</v>
      </c>
      <c r="AD16" s="186">
        <f t="shared" si="8"/>
        <v>5306154.9462900767</v>
      </c>
      <c r="AE16" s="186">
        <f t="shared" si="8"/>
        <v>5306154.9462900767</v>
      </c>
      <c r="AF16" s="186">
        <f t="shared" si="8"/>
        <v>5306154.9462900767</v>
      </c>
      <c r="AG16" s="186">
        <f t="shared" si="8"/>
        <v>5306154.9462900767</v>
      </c>
    </row>
    <row r="17" spans="1:64" ht="15.5" outlineLevel="1" thickTop="1">
      <c r="AL17" s="108"/>
      <c r="AM17" s="109"/>
      <c r="AN17" s="109"/>
      <c r="AO17" s="109"/>
      <c r="AP17" s="109"/>
      <c r="AQ17" s="109"/>
    </row>
    <row r="18" spans="1:64" outlineLevel="1">
      <c r="A18" t="s">
        <v>1056</v>
      </c>
      <c r="B18" s="51" t="s">
        <v>126</v>
      </c>
      <c r="C18" s="148">
        <f>'Overall recycling rates'!E76</f>
        <v>3.8950121861776169E-3</v>
      </c>
      <c r="D18" s="148">
        <f>C18</f>
        <v>3.8950121861776169E-3</v>
      </c>
      <c r="E18" s="148">
        <f t="shared" ref="E18:T18" si="9">D18</f>
        <v>3.8950121861776169E-3</v>
      </c>
      <c r="F18" s="148">
        <f t="shared" si="9"/>
        <v>3.8950121861776169E-3</v>
      </c>
      <c r="G18" s="148">
        <f t="shared" si="9"/>
        <v>3.8950121861776169E-3</v>
      </c>
      <c r="H18" s="148">
        <f t="shared" si="9"/>
        <v>3.8950121861776169E-3</v>
      </c>
      <c r="I18" s="148">
        <f t="shared" si="9"/>
        <v>3.8950121861776169E-3</v>
      </c>
      <c r="J18" s="148">
        <f t="shared" si="9"/>
        <v>3.8950121861776169E-3</v>
      </c>
      <c r="K18" s="148">
        <f t="shared" si="9"/>
        <v>3.8950121861776169E-3</v>
      </c>
      <c r="L18" s="148">
        <f t="shared" si="9"/>
        <v>3.8950121861776169E-3</v>
      </c>
      <c r="M18" s="148">
        <f t="shared" si="9"/>
        <v>3.8950121861776169E-3</v>
      </c>
      <c r="N18" s="148">
        <f t="shared" si="9"/>
        <v>3.8950121861776169E-3</v>
      </c>
      <c r="O18" s="148">
        <f t="shared" si="9"/>
        <v>3.8950121861776169E-3</v>
      </c>
      <c r="P18" s="148">
        <f t="shared" si="9"/>
        <v>3.8950121861776169E-3</v>
      </c>
      <c r="Q18" s="148">
        <f t="shared" si="9"/>
        <v>3.8950121861776169E-3</v>
      </c>
      <c r="R18" s="148">
        <f t="shared" si="9"/>
        <v>3.8950121861776169E-3</v>
      </c>
      <c r="S18" s="148">
        <f t="shared" si="9"/>
        <v>3.8950121861776169E-3</v>
      </c>
      <c r="T18" s="148">
        <f t="shared" si="9"/>
        <v>3.8950121861776169E-3</v>
      </c>
      <c r="U18" s="148">
        <f t="shared" ref="T18:AG22" si="10">T18</f>
        <v>3.8950121861776169E-3</v>
      </c>
      <c r="V18" s="148">
        <f t="shared" si="10"/>
        <v>3.8950121861776169E-3</v>
      </c>
      <c r="W18" s="148">
        <f t="shared" si="10"/>
        <v>3.8950121861776169E-3</v>
      </c>
      <c r="X18" s="148">
        <f t="shared" si="10"/>
        <v>3.8950121861776169E-3</v>
      </c>
      <c r="Y18" s="148">
        <f t="shared" si="10"/>
        <v>3.8950121861776169E-3</v>
      </c>
      <c r="Z18" s="148">
        <f t="shared" si="10"/>
        <v>3.8950121861776169E-3</v>
      </c>
      <c r="AA18" s="148">
        <f t="shared" si="10"/>
        <v>3.8950121861776169E-3</v>
      </c>
      <c r="AB18" s="148">
        <f t="shared" si="10"/>
        <v>3.8950121861776169E-3</v>
      </c>
      <c r="AC18" s="148">
        <f t="shared" si="10"/>
        <v>3.8950121861776169E-3</v>
      </c>
      <c r="AD18" s="148">
        <f t="shared" si="10"/>
        <v>3.8950121861776169E-3</v>
      </c>
      <c r="AE18" s="148">
        <f t="shared" si="10"/>
        <v>3.8950121861776169E-3</v>
      </c>
      <c r="AF18" s="148">
        <f t="shared" si="10"/>
        <v>3.8950121861776169E-3</v>
      </c>
      <c r="AG18" s="148">
        <f>AF18</f>
        <v>3.8950121861776169E-3</v>
      </c>
      <c r="AI18" s="51" t="s">
        <v>268</v>
      </c>
      <c r="AJ18" s="198"/>
      <c r="AM18" s="109"/>
      <c r="AN18" s="109"/>
      <c r="AO18" s="109"/>
      <c r="AP18" s="109"/>
      <c r="AQ18" s="109"/>
    </row>
    <row r="19" spans="1:64" outlineLevel="1">
      <c r="A19" t="s">
        <v>1057</v>
      </c>
      <c r="B19" s="51" t="s">
        <v>126</v>
      </c>
      <c r="C19" s="148">
        <f>'Overall recycling rates'!E78</f>
        <v>4.3884207555365047E-2</v>
      </c>
      <c r="D19" s="148">
        <f t="shared" ref="D19:S22" si="11">C19</f>
        <v>4.3884207555365047E-2</v>
      </c>
      <c r="E19" s="148">
        <f t="shared" si="11"/>
        <v>4.3884207555365047E-2</v>
      </c>
      <c r="F19" s="148">
        <f t="shared" si="11"/>
        <v>4.3884207555365047E-2</v>
      </c>
      <c r="G19" s="148">
        <f t="shared" si="11"/>
        <v>4.3884207555365047E-2</v>
      </c>
      <c r="H19" s="148">
        <f t="shared" si="11"/>
        <v>4.3884207555365047E-2</v>
      </c>
      <c r="I19" s="148">
        <f t="shared" si="11"/>
        <v>4.3884207555365047E-2</v>
      </c>
      <c r="J19" s="148">
        <f t="shared" si="11"/>
        <v>4.3884207555365047E-2</v>
      </c>
      <c r="K19" s="148">
        <f t="shared" si="11"/>
        <v>4.3884207555365047E-2</v>
      </c>
      <c r="L19" s="148">
        <f t="shared" si="11"/>
        <v>4.3884207555365047E-2</v>
      </c>
      <c r="M19" s="148">
        <f t="shared" si="11"/>
        <v>4.3884207555365047E-2</v>
      </c>
      <c r="N19" s="148">
        <f t="shared" si="11"/>
        <v>4.3884207555365047E-2</v>
      </c>
      <c r="O19" s="148">
        <f t="shared" si="11"/>
        <v>4.3884207555365047E-2</v>
      </c>
      <c r="P19" s="148">
        <f t="shared" si="11"/>
        <v>4.3884207555365047E-2</v>
      </c>
      <c r="Q19" s="148">
        <f t="shared" si="11"/>
        <v>4.3884207555365047E-2</v>
      </c>
      <c r="R19" s="148">
        <f t="shared" si="11"/>
        <v>4.3884207555365047E-2</v>
      </c>
      <c r="S19" s="148">
        <f t="shared" si="11"/>
        <v>4.3884207555365047E-2</v>
      </c>
      <c r="T19" s="148">
        <f t="shared" si="10"/>
        <v>4.3884207555365047E-2</v>
      </c>
      <c r="U19" s="148">
        <f t="shared" si="10"/>
        <v>4.3884207555365047E-2</v>
      </c>
      <c r="V19" s="148">
        <f t="shared" si="10"/>
        <v>4.3884207555365047E-2</v>
      </c>
      <c r="W19" s="148">
        <f t="shared" si="10"/>
        <v>4.3884207555365047E-2</v>
      </c>
      <c r="X19" s="148">
        <f t="shared" si="10"/>
        <v>4.3884207555365047E-2</v>
      </c>
      <c r="Y19" s="148">
        <f t="shared" si="10"/>
        <v>4.3884207555365047E-2</v>
      </c>
      <c r="Z19" s="148">
        <f t="shared" si="10"/>
        <v>4.3884207555365047E-2</v>
      </c>
      <c r="AA19" s="148">
        <f t="shared" si="10"/>
        <v>4.3884207555365047E-2</v>
      </c>
      <c r="AB19" s="148">
        <f t="shared" si="10"/>
        <v>4.3884207555365047E-2</v>
      </c>
      <c r="AC19" s="148">
        <f t="shared" si="10"/>
        <v>4.3884207555365047E-2</v>
      </c>
      <c r="AD19" s="148">
        <f t="shared" si="10"/>
        <v>4.3884207555365047E-2</v>
      </c>
      <c r="AE19" s="148">
        <f t="shared" si="10"/>
        <v>4.3884207555365047E-2</v>
      </c>
      <c r="AF19" s="148">
        <f t="shared" si="10"/>
        <v>4.3884207555365047E-2</v>
      </c>
      <c r="AG19" s="148">
        <f t="shared" si="10"/>
        <v>4.3884207555365047E-2</v>
      </c>
      <c r="AI19" s="51" t="s">
        <v>268</v>
      </c>
      <c r="AJ19" s="198"/>
      <c r="AM19" s="114"/>
      <c r="AN19" s="109"/>
      <c r="AO19" s="110"/>
      <c r="AP19" s="111"/>
      <c r="AQ19" s="110"/>
    </row>
    <row r="20" spans="1:64" outlineLevel="1">
      <c r="A20" t="s">
        <v>1058</v>
      </c>
      <c r="B20" s="51" t="s">
        <v>126</v>
      </c>
      <c r="C20" s="148">
        <f>'Overall recycling rates'!E77</f>
        <v>2.1648224214603266E-2</v>
      </c>
      <c r="D20" s="148">
        <f t="shared" si="11"/>
        <v>2.1648224214603266E-2</v>
      </c>
      <c r="E20" s="148">
        <f t="shared" si="11"/>
        <v>2.1648224214603266E-2</v>
      </c>
      <c r="F20" s="148">
        <f t="shared" si="11"/>
        <v>2.1648224214603266E-2</v>
      </c>
      <c r="G20" s="148">
        <f t="shared" si="11"/>
        <v>2.1648224214603266E-2</v>
      </c>
      <c r="H20" s="148">
        <f t="shared" si="11"/>
        <v>2.1648224214603266E-2</v>
      </c>
      <c r="I20" s="148">
        <f t="shared" si="11"/>
        <v>2.1648224214603266E-2</v>
      </c>
      <c r="J20" s="148">
        <f t="shared" si="11"/>
        <v>2.1648224214603266E-2</v>
      </c>
      <c r="K20" s="148">
        <f t="shared" si="11"/>
        <v>2.1648224214603266E-2</v>
      </c>
      <c r="L20" s="148">
        <f t="shared" si="11"/>
        <v>2.1648224214603266E-2</v>
      </c>
      <c r="M20" s="148">
        <f t="shared" si="11"/>
        <v>2.1648224214603266E-2</v>
      </c>
      <c r="N20" s="148">
        <f t="shared" si="11"/>
        <v>2.1648224214603266E-2</v>
      </c>
      <c r="O20" s="148">
        <f t="shared" si="11"/>
        <v>2.1648224214603266E-2</v>
      </c>
      <c r="P20" s="148">
        <f t="shared" si="11"/>
        <v>2.1648224214603266E-2</v>
      </c>
      <c r="Q20" s="148">
        <f t="shared" si="11"/>
        <v>2.1648224214603266E-2</v>
      </c>
      <c r="R20" s="148">
        <f t="shared" si="11"/>
        <v>2.1648224214603266E-2</v>
      </c>
      <c r="S20" s="148">
        <f t="shared" si="11"/>
        <v>2.1648224214603266E-2</v>
      </c>
      <c r="T20" s="148">
        <f t="shared" si="10"/>
        <v>2.1648224214603266E-2</v>
      </c>
      <c r="U20" s="148">
        <f t="shared" si="10"/>
        <v>2.1648224214603266E-2</v>
      </c>
      <c r="V20" s="148">
        <f t="shared" si="10"/>
        <v>2.1648224214603266E-2</v>
      </c>
      <c r="W20" s="148">
        <f t="shared" si="10"/>
        <v>2.1648224214603266E-2</v>
      </c>
      <c r="X20" s="148">
        <f t="shared" si="10"/>
        <v>2.1648224214603266E-2</v>
      </c>
      <c r="Y20" s="148">
        <f t="shared" si="10"/>
        <v>2.1648224214603266E-2</v>
      </c>
      <c r="Z20" s="148">
        <f t="shared" si="10"/>
        <v>2.1648224214603266E-2</v>
      </c>
      <c r="AA20" s="148">
        <f t="shared" si="10"/>
        <v>2.1648224214603266E-2</v>
      </c>
      <c r="AB20" s="148">
        <f t="shared" si="10"/>
        <v>2.1648224214603266E-2</v>
      </c>
      <c r="AC20" s="148">
        <f t="shared" si="10"/>
        <v>2.1648224214603266E-2</v>
      </c>
      <c r="AD20" s="148">
        <f t="shared" si="10"/>
        <v>2.1648224214603266E-2</v>
      </c>
      <c r="AE20" s="148">
        <f t="shared" si="10"/>
        <v>2.1648224214603266E-2</v>
      </c>
      <c r="AF20" s="148">
        <f t="shared" si="10"/>
        <v>2.1648224214603266E-2</v>
      </c>
      <c r="AG20" s="148">
        <f t="shared" si="10"/>
        <v>2.1648224214603266E-2</v>
      </c>
      <c r="AI20" s="51" t="s">
        <v>268</v>
      </c>
      <c r="AJ20" s="198"/>
      <c r="AM20" s="114"/>
      <c r="AN20" s="109"/>
      <c r="AO20" s="110"/>
      <c r="AP20" s="111"/>
      <c r="AQ20" s="110"/>
    </row>
    <row r="21" spans="1:64" outlineLevel="1">
      <c r="A21" t="s">
        <v>1059</v>
      </c>
      <c r="B21" s="51" t="s">
        <v>126</v>
      </c>
      <c r="C21" s="148">
        <f>'Overall recycling rates'!E79</f>
        <v>4.5118254098762509E-5</v>
      </c>
      <c r="D21" s="148">
        <f t="shared" si="11"/>
        <v>4.5118254098762509E-5</v>
      </c>
      <c r="E21" s="148">
        <f t="shared" si="11"/>
        <v>4.5118254098762509E-5</v>
      </c>
      <c r="F21" s="148">
        <f t="shared" si="11"/>
        <v>4.5118254098762509E-5</v>
      </c>
      <c r="G21" s="148">
        <f t="shared" si="11"/>
        <v>4.5118254098762509E-5</v>
      </c>
      <c r="H21" s="148">
        <f t="shared" si="11"/>
        <v>4.5118254098762509E-5</v>
      </c>
      <c r="I21" s="148">
        <f t="shared" si="11"/>
        <v>4.5118254098762509E-5</v>
      </c>
      <c r="J21" s="148">
        <f t="shared" si="11"/>
        <v>4.5118254098762509E-5</v>
      </c>
      <c r="K21" s="148">
        <f t="shared" si="11"/>
        <v>4.5118254098762509E-5</v>
      </c>
      <c r="L21" s="148">
        <f t="shared" si="11"/>
        <v>4.5118254098762509E-5</v>
      </c>
      <c r="M21" s="148">
        <f t="shared" si="11"/>
        <v>4.5118254098762509E-5</v>
      </c>
      <c r="N21" s="148">
        <f t="shared" si="11"/>
        <v>4.5118254098762509E-5</v>
      </c>
      <c r="O21" s="148">
        <f t="shared" si="11"/>
        <v>4.5118254098762509E-5</v>
      </c>
      <c r="P21" s="148">
        <f t="shared" si="11"/>
        <v>4.5118254098762509E-5</v>
      </c>
      <c r="Q21" s="148">
        <f t="shared" si="11"/>
        <v>4.5118254098762509E-5</v>
      </c>
      <c r="R21" s="148">
        <f t="shared" si="11"/>
        <v>4.5118254098762509E-5</v>
      </c>
      <c r="S21" s="148">
        <f t="shared" si="11"/>
        <v>4.5118254098762509E-5</v>
      </c>
      <c r="T21" s="148">
        <f t="shared" si="10"/>
        <v>4.5118254098762509E-5</v>
      </c>
      <c r="U21" s="148">
        <f t="shared" si="10"/>
        <v>4.5118254098762509E-5</v>
      </c>
      <c r="V21" s="148">
        <f t="shared" si="10"/>
        <v>4.5118254098762509E-5</v>
      </c>
      <c r="W21" s="148">
        <f t="shared" si="10"/>
        <v>4.5118254098762509E-5</v>
      </c>
      <c r="X21" s="148">
        <f t="shared" si="10"/>
        <v>4.5118254098762509E-5</v>
      </c>
      <c r="Y21" s="148">
        <f t="shared" si="10"/>
        <v>4.5118254098762509E-5</v>
      </c>
      <c r="Z21" s="148">
        <f t="shared" si="10"/>
        <v>4.5118254098762509E-5</v>
      </c>
      <c r="AA21" s="148">
        <f t="shared" si="10"/>
        <v>4.5118254098762509E-5</v>
      </c>
      <c r="AB21" s="148">
        <f t="shared" si="10"/>
        <v>4.5118254098762509E-5</v>
      </c>
      <c r="AC21" s="148">
        <f t="shared" si="10"/>
        <v>4.5118254098762509E-5</v>
      </c>
      <c r="AD21" s="148">
        <f t="shared" si="10"/>
        <v>4.5118254098762509E-5</v>
      </c>
      <c r="AE21" s="148">
        <f t="shared" si="10"/>
        <v>4.5118254098762509E-5</v>
      </c>
      <c r="AF21" s="148">
        <f t="shared" si="10"/>
        <v>4.5118254098762509E-5</v>
      </c>
      <c r="AG21" s="148">
        <f t="shared" si="10"/>
        <v>4.5118254098762509E-5</v>
      </c>
      <c r="AI21" s="51" t="s">
        <v>268</v>
      </c>
      <c r="AJ21" s="198"/>
      <c r="AM21" s="114"/>
      <c r="AN21" s="109"/>
      <c r="AO21" s="450"/>
      <c r="AP21" s="451"/>
      <c r="AQ21" s="450"/>
    </row>
    <row r="22" spans="1:64" outlineLevel="1">
      <c r="A22" t="s">
        <v>1060</v>
      </c>
      <c r="B22" s="51" t="s">
        <v>126</v>
      </c>
      <c r="C22" s="148">
        <f>'Overall recycling rates'!E80</f>
        <v>6.3215224044419691E-2</v>
      </c>
      <c r="D22" s="148">
        <f>C22</f>
        <v>6.3215224044419691E-2</v>
      </c>
      <c r="E22" s="148">
        <f t="shared" si="11"/>
        <v>6.3215224044419691E-2</v>
      </c>
      <c r="F22" s="148">
        <f t="shared" si="11"/>
        <v>6.3215224044419691E-2</v>
      </c>
      <c r="G22" s="148">
        <f t="shared" si="11"/>
        <v>6.3215224044419691E-2</v>
      </c>
      <c r="H22" s="148">
        <f t="shared" si="11"/>
        <v>6.3215224044419691E-2</v>
      </c>
      <c r="I22" s="148">
        <f t="shared" si="11"/>
        <v>6.3215224044419691E-2</v>
      </c>
      <c r="J22" s="148">
        <f t="shared" si="11"/>
        <v>6.3215224044419691E-2</v>
      </c>
      <c r="K22" s="148">
        <f t="shared" si="11"/>
        <v>6.3215224044419691E-2</v>
      </c>
      <c r="L22" s="148">
        <f t="shared" si="11"/>
        <v>6.3215224044419691E-2</v>
      </c>
      <c r="M22" s="148">
        <f t="shared" si="11"/>
        <v>6.3215224044419691E-2</v>
      </c>
      <c r="N22" s="148">
        <f t="shared" si="11"/>
        <v>6.3215224044419691E-2</v>
      </c>
      <c r="O22" s="148">
        <f t="shared" si="11"/>
        <v>6.3215224044419691E-2</v>
      </c>
      <c r="P22" s="148">
        <f t="shared" si="11"/>
        <v>6.3215224044419691E-2</v>
      </c>
      <c r="Q22" s="148">
        <f t="shared" si="11"/>
        <v>6.3215224044419691E-2</v>
      </c>
      <c r="R22" s="148">
        <f t="shared" si="11"/>
        <v>6.3215224044419691E-2</v>
      </c>
      <c r="S22" s="148">
        <f t="shared" si="11"/>
        <v>6.3215224044419691E-2</v>
      </c>
      <c r="T22" s="148">
        <f t="shared" si="10"/>
        <v>6.3215224044419691E-2</v>
      </c>
      <c r="U22" s="148">
        <f t="shared" si="10"/>
        <v>6.3215224044419691E-2</v>
      </c>
      <c r="V22" s="148">
        <f t="shared" si="10"/>
        <v>6.3215224044419691E-2</v>
      </c>
      <c r="W22" s="148">
        <f t="shared" si="10"/>
        <v>6.3215224044419691E-2</v>
      </c>
      <c r="X22" s="148">
        <f t="shared" si="10"/>
        <v>6.3215224044419691E-2</v>
      </c>
      <c r="Y22" s="148">
        <f t="shared" si="10"/>
        <v>6.3215224044419691E-2</v>
      </c>
      <c r="Z22" s="148">
        <f t="shared" si="10"/>
        <v>6.3215224044419691E-2</v>
      </c>
      <c r="AA22" s="148">
        <f t="shared" si="10"/>
        <v>6.3215224044419691E-2</v>
      </c>
      <c r="AB22" s="148">
        <f t="shared" si="10"/>
        <v>6.3215224044419691E-2</v>
      </c>
      <c r="AC22" s="148">
        <f t="shared" si="10"/>
        <v>6.3215224044419691E-2</v>
      </c>
      <c r="AD22" s="148">
        <f t="shared" si="10"/>
        <v>6.3215224044419691E-2</v>
      </c>
      <c r="AE22" s="148">
        <f t="shared" si="10"/>
        <v>6.3215224044419691E-2</v>
      </c>
      <c r="AF22" s="148">
        <f t="shared" si="10"/>
        <v>6.3215224044419691E-2</v>
      </c>
      <c r="AG22" s="148">
        <f t="shared" si="10"/>
        <v>6.3215224044419691E-2</v>
      </c>
      <c r="AI22" s="51" t="s">
        <v>268</v>
      </c>
      <c r="AJ22" s="198"/>
      <c r="AM22" s="114"/>
      <c r="AN22" s="109"/>
      <c r="AO22" s="110"/>
      <c r="AP22" s="111"/>
      <c r="AQ22" s="110"/>
    </row>
    <row r="23" spans="1:64" outlineLevel="1">
      <c r="AI23" s="51"/>
      <c r="AM23" s="114"/>
      <c r="AN23" s="109"/>
      <c r="AO23" s="110"/>
      <c r="AP23" s="111"/>
      <c r="AQ23" s="110"/>
      <c r="BD23" s="22"/>
      <c r="BE23" s="22"/>
      <c r="BF23" s="22"/>
      <c r="BG23" s="22"/>
      <c r="BH23" s="22"/>
      <c r="BI23" s="22"/>
      <c r="BJ23" s="22"/>
      <c r="BK23" s="22"/>
      <c r="BL23" s="22"/>
    </row>
    <row r="24" spans="1:64" outlineLevel="1">
      <c r="A24" t="s">
        <v>1061</v>
      </c>
      <c r="B24" s="51" t="s">
        <v>1062</v>
      </c>
      <c r="C24" s="191">
        <f>C11*C18</f>
        <v>10894.746287292146</v>
      </c>
      <c r="D24" s="191">
        <f t="shared" ref="D24:AG24" si="12">D11*D18</f>
        <v>10894.746287292146</v>
      </c>
      <c r="E24" s="191">
        <f t="shared" si="12"/>
        <v>10894.746287292146</v>
      </c>
      <c r="F24" s="191">
        <f t="shared" si="12"/>
        <v>10894.746287292146</v>
      </c>
      <c r="G24" s="191">
        <f t="shared" si="12"/>
        <v>10894.746287292146</v>
      </c>
      <c r="H24" s="191">
        <f t="shared" si="12"/>
        <v>10894.746287292146</v>
      </c>
      <c r="I24" s="191">
        <f t="shared" si="12"/>
        <v>10894.746287292146</v>
      </c>
      <c r="J24" s="191">
        <f t="shared" si="12"/>
        <v>10894.746287292146</v>
      </c>
      <c r="K24" s="191">
        <f t="shared" si="12"/>
        <v>10894.746287292146</v>
      </c>
      <c r="L24" s="191">
        <f t="shared" si="12"/>
        <v>10894.746287292146</v>
      </c>
      <c r="M24" s="191">
        <f>M11*M18</f>
        <v>10894.746287292146</v>
      </c>
      <c r="N24" s="191">
        <f t="shared" si="12"/>
        <v>10894.746287292146</v>
      </c>
      <c r="O24" s="191">
        <f t="shared" si="12"/>
        <v>10894.746287292146</v>
      </c>
      <c r="P24" s="191">
        <f t="shared" si="12"/>
        <v>10894.746287292146</v>
      </c>
      <c r="Q24" s="191">
        <f t="shared" si="12"/>
        <v>10894.746287292146</v>
      </c>
      <c r="R24" s="191">
        <f t="shared" si="12"/>
        <v>10894.746287292146</v>
      </c>
      <c r="S24" s="191">
        <f t="shared" si="12"/>
        <v>10894.746287292146</v>
      </c>
      <c r="T24" s="191">
        <f t="shared" si="12"/>
        <v>10894.746287292146</v>
      </c>
      <c r="U24" s="191">
        <f t="shared" si="12"/>
        <v>10894.746287292146</v>
      </c>
      <c r="V24" s="191">
        <f t="shared" si="12"/>
        <v>10894.746287292146</v>
      </c>
      <c r="W24" s="191">
        <f t="shared" si="12"/>
        <v>10894.746287292146</v>
      </c>
      <c r="X24" s="191">
        <f t="shared" si="12"/>
        <v>10894.746287292146</v>
      </c>
      <c r="Y24" s="191">
        <f t="shared" si="12"/>
        <v>10894.746287292146</v>
      </c>
      <c r="Z24" s="191">
        <f t="shared" si="12"/>
        <v>10894.746287292146</v>
      </c>
      <c r="AA24" s="191">
        <f t="shared" si="12"/>
        <v>10894.746287292146</v>
      </c>
      <c r="AB24" s="191">
        <f t="shared" si="12"/>
        <v>10894.746287292146</v>
      </c>
      <c r="AC24" s="191">
        <f t="shared" si="12"/>
        <v>10894.746287292146</v>
      </c>
      <c r="AD24" s="191">
        <f t="shared" si="12"/>
        <v>10894.746287292146</v>
      </c>
      <c r="AE24" s="191">
        <f t="shared" si="12"/>
        <v>10894.746287292146</v>
      </c>
      <c r="AF24" s="191">
        <f t="shared" si="12"/>
        <v>10894.746287292146</v>
      </c>
      <c r="AG24" s="191">
        <f t="shared" si="12"/>
        <v>10894.746287292146</v>
      </c>
      <c r="AI24" s="230"/>
      <c r="AM24" s="114"/>
      <c r="AN24" s="109"/>
      <c r="AO24" s="109"/>
      <c r="AP24" s="109"/>
      <c r="AQ24" s="109"/>
      <c r="BD24" s="192"/>
      <c r="BE24" s="192"/>
      <c r="BF24" s="192"/>
      <c r="BG24" s="192"/>
      <c r="BH24" s="192"/>
      <c r="BI24" s="192"/>
      <c r="BJ24" s="192"/>
      <c r="BK24" s="192"/>
      <c r="BL24" s="192"/>
    </row>
    <row r="25" spans="1:64" outlineLevel="1">
      <c r="A25" t="s">
        <v>1063</v>
      </c>
      <c r="B25" s="51" t="s">
        <v>1062</v>
      </c>
      <c r="C25" s="191">
        <f t="shared" ref="C25:AG28" si="13">C12*C19</f>
        <v>11586.687264852077</v>
      </c>
      <c r="D25" s="191">
        <f t="shared" si="13"/>
        <v>11586.687264852077</v>
      </c>
      <c r="E25" s="191">
        <f t="shared" si="13"/>
        <v>11586.687264852077</v>
      </c>
      <c r="F25" s="191">
        <f t="shared" si="13"/>
        <v>11586.687264852077</v>
      </c>
      <c r="G25" s="191">
        <f t="shared" si="13"/>
        <v>11586.687264852077</v>
      </c>
      <c r="H25" s="191">
        <f t="shared" si="13"/>
        <v>11586.687264852077</v>
      </c>
      <c r="I25" s="191">
        <f t="shared" si="13"/>
        <v>11586.687264852077</v>
      </c>
      <c r="J25" s="191">
        <f t="shared" si="13"/>
        <v>11586.687264852077</v>
      </c>
      <c r="K25" s="191">
        <f t="shared" si="13"/>
        <v>11586.687264852077</v>
      </c>
      <c r="L25" s="191">
        <f t="shared" si="13"/>
        <v>11586.687264852077</v>
      </c>
      <c r="M25" s="191">
        <f t="shared" si="13"/>
        <v>11586.687264852077</v>
      </c>
      <c r="N25" s="191">
        <f t="shared" si="13"/>
        <v>11586.687264852077</v>
      </c>
      <c r="O25" s="191">
        <f t="shared" si="13"/>
        <v>11586.687264852077</v>
      </c>
      <c r="P25" s="191">
        <f t="shared" si="13"/>
        <v>11586.687264852077</v>
      </c>
      <c r="Q25" s="191">
        <f t="shared" si="13"/>
        <v>11586.687264852077</v>
      </c>
      <c r="R25" s="191">
        <f t="shared" si="13"/>
        <v>11586.687264852077</v>
      </c>
      <c r="S25" s="191">
        <f t="shared" si="13"/>
        <v>11586.687264852077</v>
      </c>
      <c r="T25" s="191">
        <f t="shared" si="13"/>
        <v>11586.687264852077</v>
      </c>
      <c r="U25" s="191">
        <f t="shared" si="13"/>
        <v>11586.687264852077</v>
      </c>
      <c r="V25" s="191">
        <f t="shared" si="13"/>
        <v>11586.687264852077</v>
      </c>
      <c r="W25" s="191">
        <f t="shared" si="13"/>
        <v>11586.687264852077</v>
      </c>
      <c r="X25" s="191">
        <f t="shared" si="13"/>
        <v>11586.687264852077</v>
      </c>
      <c r="Y25" s="191">
        <f t="shared" si="13"/>
        <v>11586.687264852077</v>
      </c>
      <c r="Z25" s="191">
        <f t="shared" si="13"/>
        <v>11586.687264852077</v>
      </c>
      <c r="AA25" s="191">
        <f t="shared" si="13"/>
        <v>11586.687264852077</v>
      </c>
      <c r="AB25" s="191">
        <f t="shared" si="13"/>
        <v>11586.687264852077</v>
      </c>
      <c r="AC25" s="191">
        <f t="shared" si="13"/>
        <v>11586.687264852077</v>
      </c>
      <c r="AD25" s="191">
        <f t="shared" si="13"/>
        <v>11586.687264852077</v>
      </c>
      <c r="AE25" s="191">
        <f t="shared" si="13"/>
        <v>11586.687264852077</v>
      </c>
      <c r="AF25" s="191">
        <f t="shared" si="13"/>
        <v>11586.687264852077</v>
      </c>
      <c r="AG25" s="191">
        <f t="shared" si="13"/>
        <v>11586.687264852077</v>
      </c>
      <c r="AM25" s="193"/>
      <c r="BD25" s="192"/>
      <c r="BE25" s="192"/>
      <c r="BF25" s="192"/>
      <c r="BG25" s="192"/>
      <c r="BH25" s="192"/>
      <c r="BI25" s="192"/>
      <c r="BJ25" s="192"/>
      <c r="BK25" s="192"/>
      <c r="BL25" s="192"/>
    </row>
    <row r="26" spans="1:64" outlineLevel="1">
      <c r="A26" t="s">
        <v>1064</v>
      </c>
      <c r="B26" s="51" t="s">
        <v>1062</v>
      </c>
      <c r="C26" s="191">
        <f t="shared" si="13"/>
        <v>4496.7261739499227</v>
      </c>
      <c r="D26" s="191">
        <f t="shared" si="13"/>
        <v>4496.7261739499227</v>
      </c>
      <c r="E26" s="191">
        <f t="shared" si="13"/>
        <v>4496.7261739499227</v>
      </c>
      <c r="F26" s="191">
        <f t="shared" si="13"/>
        <v>4496.7261739499227</v>
      </c>
      <c r="G26" s="191">
        <f t="shared" si="13"/>
        <v>4496.7261739499227</v>
      </c>
      <c r="H26" s="191">
        <f t="shared" si="13"/>
        <v>4496.7261739499227</v>
      </c>
      <c r="I26" s="191">
        <f t="shared" si="13"/>
        <v>4496.7261739499227</v>
      </c>
      <c r="J26" s="191">
        <f t="shared" si="13"/>
        <v>4496.7261739499227</v>
      </c>
      <c r="K26" s="191">
        <f t="shared" si="13"/>
        <v>4496.7261739499227</v>
      </c>
      <c r="L26" s="191">
        <f t="shared" si="13"/>
        <v>4496.7261739499227</v>
      </c>
      <c r="M26" s="191">
        <f t="shared" si="13"/>
        <v>4496.7261739499227</v>
      </c>
      <c r="N26" s="191">
        <f t="shared" si="13"/>
        <v>4496.7261739499227</v>
      </c>
      <c r="O26" s="191">
        <f t="shared" si="13"/>
        <v>4496.7261739499227</v>
      </c>
      <c r="P26" s="191">
        <f t="shared" si="13"/>
        <v>4496.7261739499227</v>
      </c>
      <c r="Q26" s="191">
        <f t="shared" si="13"/>
        <v>4496.7261739499227</v>
      </c>
      <c r="R26" s="191">
        <f t="shared" si="13"/>
        <v>4496.7261739499227</v>
      </c>
      <c r="S26" s="191">
        <f t="shared" si="13"/>
        <v>4496.7261739499227</v>
      </c>
      <c r="T26" s="191">
        <f t="shared" si="13"/>
        <v>4496.7261739499227</v>
      </c>
      <c r="U26" s="191">
        <f t="shared" si="13"/>
        <v>4496.7261739499227</v>
      </c>
      <c r="V26" s="191">
        <f t="shared" si="13"/>
        <v>4496.7261739499227</v>
      </c>
      <c r="W26" s="191">
        <f t="shared" si="13"/>
        <v>4496.7261739499227</v>
      </c>
      <c r="X26" s="191">
        <f t="shared" si="13"/>
        <v>4496.7261739499227</v>
      </c>
      <c r="Y26" s="191">
        <f t="shared" si="13"/>
        <v>4496.7261739499227</v>
      </c>
      <c r="Z26" s="191">
        <f t="shared" si="13"/>
        <v>4496.7261739499227</v>
      </c>
      <c r="AA26" s="191">
        <f t="shared" si="13"/>
        <v>4496.7261739499227</v>
      </c>
      <c r="AB26" s="191">
        <f t="shared" si="13"/>
        <v>4496.7261739499227</v>
      </c>
      <c r="AC26" s="191">
        <f t="shared" si="13"/>
        <v>4496.7261739499227</v>
      </c>
      <c r="AD26" s="191">
        <f t="shared" si="13"/>
        <v>4496.7261739499227</v>
      </c>
      <c r="AE26" s="191">
        <f t="shared" si="13"/>
        <v>4496.7261739499227</v>
      </c>
      <c r="AF26" s="191">
        <f t="shared" si="13"/>
        <v>4496.7261739499227</v>
      </c>
      <c r="AG26" s="191">
        <f t="shared" si="13"/>
        <v>4496.7261739499227</v>
      </c>
      <c r="BD26" s="192"/>
      <c r="BE26" s="192"/>
      <c r="BF26" s="192"/>
      <c r="BG26" s="192"/>
      <c r="BH26" s="192"/>
      <c r="BI26" s="192"/>
      <c r="BJ26" s="192"/>
      <c r="BK26" s="192"/>
      <c r="BL26" s="192"/>
    </row>
    <row r="27" spans="1:64" outlineLevel="1">
      <c r="A27" t="s">
        <v>1065</v>
      </c>
      <c r="B27" s="51" t="s">
        <v>1062</v>
      </c>
      <c r="C27" s="191">
        <f t="shared" si="13"/>
        <v>23.918896160312748</v>
      </c>
      <c r="D27" s="191">
        <f t="shared" si="13"/>
        <v>23.918896160312748</v>
      </c>
      <c r="E27" s="191">
        <f t="shared" si="13"/>
        <v>23.918896160312748</v>
      </c>
      <c r="F27" s="191">
        <f t="shared" si="13"/>
        <v>23.918896160312748</v>
      </c>
      <c r="G27" s="191">
        <f t="shared" si="13"/>
        <v>23.918896160312748</v>
      </c>
      <c r="H27" s="191">
        <f t="shared" si="13"/>
        <v>23.918896160312748</v>
      </c>
      <c r="I27" s="191">
        <f t="shared" si="13"/>
        <v>23.918896160312748</v>
      </c>
      <c r="J27" s="191">
        <f t="shared" si="13"/>
        <v>23.918896160312748</v>
      </c>
      <c r="K27" s="191">
        <f t="shared" si="13"/>
        <v>23.918896160312748</v>
      </c>
      <c r="L27" s="191">
        <f t="shared" si="13"/>
        <v>23.918896160312748</v>
      </c>
      <c r="M27" s="191">
        <f t="shared" si="13"/>
        <v>23.918896160312748</v>
      </c>
      <c r="N27" s="191">
        <f t="shared" si="13"/>
        <v>23.918896160312748</v>
      </c>
      <c r="O27" s="191">
        <f t="shared" si="13"/>
        <v>23.918896160312748</v>
      </c>
      <c r="P27" s="191">
        <f t="shared" si="13"/>
        <v>23.918896160312748</v>
      </c>
      <c r="Q27" s="191">
        <f t="shared" si="13"/>
        <v>23.918896160312748</v>
      </c>
      <c r="R27" s="191">
        <f t="shared" si="13"/>
        <v>23.918896160312748</v>
      </c>
      <c r="S27" s="191">
        <f t="shared" si="13"/>
        <v>23.918896160312748</v>
      </c>
      <c r="T27" s="191">
        <f t="shared" si="13"/>
        <v>23.918896160312748</v>
      </c>
      <c r="U27" s="191">
        <f t="shared" si="13"/>
        <v>23.918896160312748</v>
      </c>
      <c r="V27" s="191">
        <f t="shared" si="13"/>
        <v>23.918896160312748</v>
      </c>
      <c r="W27" s="191">
        <f t="shared" si="13"/>
        <v>23.918896160312748</v>
      </c>
      <c r="X27" s="191">
        <f t="shared" si="13"/>
        <v>23.918896160312748</v>
      </c>
      <c r="Y27" s="191">
        <f t="shared" si="13"/>
        <v>23.918896160312748</v>
      </c>
      <c r="Z27" s="191">
        <f t="shared" si="13"/>
        <v>23.918896160312748</v>
      </c>
      <c r="AA27" s="191">
        <f t="shared" si="13"/>
        <v>23.918896160312748</v>
      </c>
      <c r="AB27" s="191">
        <f t="shared" si="13"/>
        <v>23.918896160312748</v>
      </c>
      <c r="AC27" s="191">
        <f t="shared" si="13"/>
        <v>23.918896160312748</v>
      </c>
      <c r="AD27" s="191">
        <f t="shared" si="13"/>
        <v>23.918896160312748</v>
      </c>
      <c r="AE27" s="191">
        <f t="shared" si="13"/>
        <v>23.918896160312748</v>
      </c>
      <c r="AF27" s="191">
        <f t="shared" si="13"/>
        <v>23.918896160312748</v>
      </c>
      <c r="AG27" s="191">
        <f t="shared" si="13"/>
        <v>23.918896160312748</v>
      </c>
      <c r="BD27" s="192"/>
      <c r="BE27" s="192"/>
      <c r="BF27" s="192"/>
      <c r="BG27" s="192"/>
      <c r="BH27" s="192"/>
      <c r="BI27" s="192"/>
      <c r="BJ27" s="192"/>
      <c r="BK27" s="192"/>
      <c r="BL27" s="192"/>
    </row>
    <row r="28" spans="1:64" outlineLevel="1">
      <c r="A28" s="169" t="s">
        <v>1066</v>
      </c>
      <c r="B28" s="165" t="s">
        <v>1062</v>
      </c>
      <c r="C28" s="191">
        <f t="shared" si="13"/>
        <v>95275.989918288746</v>
      </c>
      <c r="D28" s="191">
        <f t="shared" si="13"/>
        <v>95275.989918288746</v>
      </c>
      <c r="E28" s="191">
        <f t="shared" si="13"/>
        <v>95275.989918288746</v>
      </c>
      <c r="F28" s="191">
        <f t="shared" si="13"/>
        <v>95275.989918288746</v>
      </c>
      <c r="G28" s="191">
        <f t="shared" si="13"/>
        <v>95275.989918288746</v>
      </c>
      <c r="H28" s="191">
        <f t="shared" si="13"/>
        <v>95275.989918288746</v>
      </c>
      <c r="I28" s="191">
        <f t="shared" si="13"/>
        <v>95275.989918288746</v>
      </c>
      <c r="J28" s="191">
        <f t="shared" si="13"/>
        <v>95275.989918288746</v>
      </c>
      <c r="K28" s="191">
        <f t="shared" si="13"/>
        <v>95275.989918288746</v>
      </c>
      <c r="L28" s="191">
        <f t="shared" si="13"/>
        <v>95275.989918288746</v>
      </c>
      <c r="M28" s="191">
        <f t="shared" si="13"/>
        <v>95275.989918288746</v>
      </c>
      <c r="N28" s="191">
        <f t="shared" si="13"/>
        <v>95275.989918288746</v>
      </c>
      <c r="O28" s="191">
        <f t="shared" si="13"/>
        <v>95275.989918288746</v>
      </c>
      <c r="P28" s="191">
        <f t="shared" si="13"/>
        <v>95275.989918288746</v>
      </c>
      <c r="Q28" s="191">
        <f t="shared" si="13"/>
        <v>95275.989918288746</v>
      </c>
      <c r="R28" s="191">
        <f t="shared" si="13"/>
        <v>95275.989918288746</v>
      </c>
      <c r="S28" s="191">
        <f t="shared" si="13"/>
        <v>95275.989918288746</v>
      </c>
      <c r="T28" s="191">
        <f t="shared" si="13"/>
        <v>95275.989918288746</v>
      </c>
      <c r="U28" s="191">
        <f t="shared" si="13"/>
        <v>95275.989918288746</v>
      </c>
      <c r="V28" s="191">
        <f t="shared" si="13"/>
        <v>95275.989918288746</v>
      </c>
      <c r="W28" s="191">
        <f t="shared" si="13"/>
        <v>95275.989918288746</v>
      </c>
      <c r="X28" s="191">
        <f t="shared" si="13"/>
        <v>95275.989918288746</v>
      </c>
      <c r="Y28" s="191">
        <f t="shared" si="13"/>
        <v>95275.989918288746</v>
      </c>
      <c r="Z28" s="191">
        <f t="shared" si="13"/>
        <v>95275.989918288746</v>
      </c>
      <c r="AA28" s="191">
        <f t="shared" si="13"/>
        <v>95275.989918288746</v>
      </c>
      <c r="AB28" s="191">
        <f t="shared" si="13"/>
        <v>95275.989918288746</v>
      </c>
      <c r="AC28" s="191">
        <f t="shared" si="13"/>
        <v>95275.989918288746</v>
      </c>
      <c r="AD28" s="191">
        <f t="shared" si="13"/>
        <v>95275.989918288746</v>
      </c>
      <c r="AE28" s="191">
        <f t="shared" si="13"/>
        <v>95275.989918288746</v>
      </c>
      <c r="AF28" s="191">
        <f t="shared" si="13"/>
        <v>95275.989918288746</v>
      </c>
      <c r="AG28" s="191">
        <f t="shared" si="13"/>
        <v>95275.989918288746</v>
      </c>
      <c r="AL28" s="102"/>
      <c r="AM28" s="194"/>
      <c r="AN28" s="194"/>
      <c r="AO28" s="194"/>
    </row>
    <row r="29" spans="1:64" s="1" customFormat="1" ht="15.5" thickBot="1">
      <c r="A29" s="187" t="s">
        <v>1067</v>
      </c>
      <c r="B29" s="206" t="s">
        <v>1062</v>
      </c>
      <c r="C29" s="203">
        <f>SUM(C24:C28)</f>
        <v>122278.0685405432</v>
      </c>
      <c r="D29" s="203">
        <f t="shared" ref="D29:AG29" si="14">SUM(D24:D28)</f>
        <v>122278.0685405432</v>
      </c>
      <c r="E29" s="203">
        <f t="shared" si="14"/>
        <v>122278.0685405432</v>
      </c>
      <c r="F29" s="203">
        <f t="shared" si="14"/>
        <v>122278.0685405432</v>
      </c>
      <c r="G29" s="203">
        <f t="shared" si="14"/>
        <v>122278.0685405432</v>
      </c>
      <c r="H29" s="203">
        <f t="shared" si="14"/>
        <v>122278.0685405432</v>
      </c>
      <c r="I29" s="203">
        <f t="shared" si="14"/>
        <v>122278.0685405432</v>
      </c>
      <c r="J29" s="203">
        <f t="shared" si="14"/>
        <v>122278.0685405432</v>
      </c>
      <c r="K29" s="203">
        <f t="shared" si="14"/>
        <v>122278.0685405432</v>
      </c>
      <c r="L29" s="203">
        <f t="shared" si="14"/>
        <v>122278.0685405432</v>
      </c>
      <c r="M29" s="203">
        <f t="shared" si="14"/>
        <v>122278.0685405432</v>
      </c>
      <c r="N29" s="203">
        <f t="shared" si="14"/>
        <v>122278.0685405432</v>
      </c>
      <c r="O29" s="203">
        <f t="shared" si="14"/>
        <v>122278.0685405432</v>
      </c>
      <c r="P29" s="203">
        <f t="shared" si="14"/>
        <v>122278.0685405432</v>
      </c>
      <c r="Q29" s="203">
        <f t="shared" si="14"/>
        <v>122278.0685405432</v>
      </c>
      <c r="R29" s="203">
        <f t="shared" si="14"/>
        <v>122278.0685405432</v>
      </c>
      <c r="S29" s="203">
        <f t="shared" si="14"/>
        <v>122278.0685405432</v>
      </c>
      <c r="T29" s="203">
        <f t="shared" si="14"/>
        <v>122278.0685405432</v>
      </c>
      <c r="U29" s="203">
        <f t="shared" si="14"/>
        <v>122278.0685405432</v>
      </c>
      <c r="V29" s="203">
        <f t="shared" si="14"/>
        <v>122278.0685405432</v>
      </c>
      <c r="W29" s="203">
        <f t="shared" si="14"/>
        <v>122278.0685405432</v>
      </c>
      <c r="X29" s="203">
        <f t="shared" si="14"/>
        <v>122278.0685405432</v>
      </c>
      <c r="Y29" s="203">
        <f t="shared" si="14"/>
        <v>122278.0685405432</v>
      </c>
      <c r="Z29" s="203">
        <f t="shared" si="14"/>
        <v>122278.0685405432</v>
      </c>
      <c r="AA29" s="203">
        <f t="shared" si="14"/>
        <v>122278.0685405432</v>
      </c>
      <c r="AB29" s="203">
        <f t="shared" si="14"/>
        <v>122278.0685405432</v>
      </c>
      <c r="AC29" s="203">
        <f t="shared" si="14"/>
        <v>122278.0685405432</v>
      </c>
      <c r="AD29" s="203">
        <f t="shared" si="14"/>
        <v>122278.0685405432</v>
      </c>
      <c r="AE29" s="203">
        <f t="shared" si="14"/>
        <v>122278.0685405432</v>
      </c>
      <c r="AF29" s="203">
        <f t="shared" si="14"/>
        <v>122278.0685405432</v>
      </c>
      <c r="AG29" s="203">
        <f t="shared" si="14"/>
        <v>122278.0685405432</v>
      </c>
      <c r="AJ29" s="151"/>
      <c r="AL29" s="207"/>
      <c r="AM29" s="118"/>
      <c r="AN29" s="118"/>
      <c r="AO29" s="118"/>
    </row>
    <row r="30" spans="1:64" ht="15.5" outlineLevel="1" thickTop="1">
      <c r="AL30" s="102"/>
      <c r="AM30" s="2"/>
      <c r="AN30" s="2"/>
      <c r="AO30" s="2"/>
    </row>
    <row r="31" spans="1:64" outlineLevel="1">
      <c r="A31" t="s">
        <v>1068</v>
      </c>
      <c r="B31" s="165" t="s">
        <v>1062</v>
      </c>
      <c r="C31" s="101">
        <f>C29</f>
        <v>122278.0685405432</v>
      </c>
      <c r="D31" s="101">
        <f t="shared" ref="D31:AG31" si="15">D29</f>
        <v>122278.0685405432</v>
      </c>
      <c r="E31" s="101">
        <f t="shared" si="15"/>
        <v>122278.0685405432</v>
      </c>
      <c r="F31" s="101">
        <f t="shared" si="15"/>
        <v>122278.0685405432</v>
      </c>
      <c r="G31" s="101">
        <f t="shared" si="15"/>
        <v>122278.0685405432</v>
      </c>
      <c r="H31" s="101">
        <f t="shared" si="15"/>
        <v>122278.0685405432</v>
      </c>
      <c r="I31" s="101">
        <f t="shared" si="15"/>
        <v>122278.0685405432</v>
      </c>
      <c r="J31" s="101">
        <f t="shared" si="15"/>
        <v>122278.0685405432</v>
      </c>
      <c r="K31" s="101">
        <f t="shared" si="15"/>
        <v>122278.0685405432</v>
      </c>
      <c r="L31" s="101">
        <f t="shared" si="15"/>
        <v>122278.0685405432</v>
      </c>
      <c r="M31" s="101">
        <f t="shared" si="15"/>
        <v>122278.0685405432</v>
      </c>
      <c r="N31" s="101">
        <f t="shared" si="15"/>
        <v>122278.0685405432</v>
      </c>
      <c r="O31" s="101">
        <f t="shared" si="15"/>
        <v>122278.0685405432</v>
      </c>
      <c r="P31" s="101">
        <f t="shared" si="15"/>
        <v>122278.0685405432</v>
      </c>
      <c r="Q31" s="101">
        <f t="shared" si="15"/>
        <v>122278.0685405432</v>
      </c>
      <c r="R31" s="101">
        <f t="shared" si="15"/>
        <v>122278.0685405432</v>
      </c>
      <c r="S31" s="101">
        <f t="shared" si="15"/>
        <v>122278.0685405432</v>
      </c>
      <c r="T31" s="101">
        <f t="shared" si="15"/>
        <v>122278.0685405432</v>
      </c>
      <c r="U31" s="101">
        <f t="shared" si="15"/>
        <v>122278.0685405432</v>
      </c>
      <c r="V31" s="101">
        <f t="shared" si="15"/>
        <v>122278.0685405432</v>
      </c>
      <c r="W31" s="101">
        <f t="shared" si="15"/>
        <v>122278.0685405432</v>
      </c>
      <c r="X31" s="101">
        <f t="shared" si="15"/>
        <v>122278.0685405432</v>
      </c>
      <c r="Y31" s="101">
        <f t="shared" si="15"/>
        <v>122278.0685405432</v>
      </c>
      <c r="Z31" s="101">
        <f t="shared" si="15"/>
        <v>122278.0685405432</v>
      </c>
      <c r="AA31" s="101">
        <f t="shared" si="15"/>
        <v>122278.0685405432</v>
      </c>
      <c r="AB31" s="101">
        <f t="shared" si="15"/>
        <v>122278.0685405432</v>
      </c>
      <c r="AC31" s="101">
        <f t="shared" si="15"/>
        <v>122278.0685405432</v>
      </c>
      <c r="AD31" s="101">
        <f t="shared" si="15"/>
        <v>122278.0685405432</v>
      </c>
      <c r="AE31" s="101">
        <f t="shared" si="15"/>
        <v>122278.0685405432</v>
      </c>
      <c r="AF31" s="101">
        <f t="shared" si="15"/>
        <v>122278.0685405432</v>
      </c>
      <c r="AG31" s="101">
        <f t="shared" si="15"/>
        <v>122278.0685405432</v>
      </c>
      <c r="AL31" s="102"/>
      <c r="AM31" s="2"/>
      <c r="AN31" s="2"/>
      <c r="AO31" s="2"/>
    </row>
    <row r="32" spans="1:64" outlineLevel="1">
      <c r="AL32" s="102"/>
      <c r="AM32" s="2"/>
      <c r="AN32" s="2"/>
      <c r="AO32" s="2"/>
    </row>
    <row r="33" spans="1:64" outlineLevel="1">
      <c r="A33" t="s">
        <v>1069</v>
      </c>
      <c r="B33" s="51" t="s">
        <v>126</v>
      </c>
      <c r="C33" s="192">
        <f>'Yearly Methanol'!D36/'Yearly Methanol'!D29</f>
        <v>1</v>
      </c>
      <c r="D33" s="192">
        <f>'Yearly Methanol'!E36/'Yearly Methanol'!E29</f>
        <v>0.99818899999999999</v>
      </c>
      <c r="E33" s="192">
        <f>'Yearly Methanol'!F36/'Yearly Methanol'!F29</f>
        <v>0.99637800000000021</v>
      </c>
      <c r="F33" s="192">
        <f>'Yearly Methanol'!G36/'Yearly Methanol'!G29</f>
        <v>0.99456699999999987</v>
      </c>
      <c r="G33" s="192">
        <f>'Yearly Methanol'!H36/'Yearly Methanol'!H29</f>
        <v>0.99275600000000008</v>
      </c>
      <c r="H33" s="192">
        <f>'Yearly Methanol'!I36/'Yearly Methanol'!I29</f>
        <v>0.99094499999999985</v>
      </c>
      <c r="I33" s="192">
        <f>'Yearly Methanol'!J36/'Yearly Methanol'!J29</f>
        <v>0.98913400000000007</v>
      </c>
      <c r="J33" s="192">
        <f>'Yearly Methanol'!K36/'Yearly Methanol'!K29</f>
        <v>0.98732300000000006</v>
      </c>
      <c r="K33" s="192">
        <f>'Yearly Methanol'!L36/'Yearly Methanol'!L29</f>
        <v>0.98551199999999994</v>
      </c>
      <c r="L33" s="192">
        <f>'Yearly Methanol'!M36/'Yearly Methanol'!M29</f>
        <v>0.98370099999999994</v>
      </c>
      <c r="M33" s="192">
        <f>'Yearly Methanol'!N36/'Yearly Methanol'!N29</f>
        <v>0.98188999999999993</v>
      </c>
      <c r="N33" s="192">
        <f>'Yearly Methanol'!O36/'Yearly Methanol'!O29</f>
        <v>0.97769899999999998</v>
      </c>
      <c r="O33" s="192">
        <f>'Yearly Methanol'!P36/'Yearly Methanol'!P29</f>
        <v>0.97350800000000004</v>
      </c>
      <c r="P33" s="192">
        <f>'Yearly Methanol'!Q36/'Yearly Methanol'!Q29</f>
        <v>0.96931699999999998</v>
      </c>
      <c r="Q33" s="192">
        <f>'Yearly Methanol'!R36/'Yearly Methanol'!R29</f>
        <v>0.96512599999999993</v>
      </c>
      <c r="R33" s="192">
        <f>'Yearly Methanol'!S36/'Yearly Methanol'!S29</f>
        <v>0.96093500000000009</v>
      </c>
      <c r="S33" s="192">
        <f>'Yearly Methanol'!T36/'Yearly Methanol'!T29</f>
        <v>0.95674400000000004</v>
      </c>
      <c r="T33" s="192">
        <f>'Yearly Methanol'!U36/'Yearly Methanol'!U29</f>
        <v>0.95255299999999998</v>
      </c>
      <c r="U33" s="192">
        <f>'Yearly Methanol'!V36/'Yearly Methanol'!V29</f>
        <v>0.94836200000000004</v>
      </c>
      <c r="V33" s="192">
        <f>'Yearly Methanol'!W36/'Yearly Methanol'!W29</f>
        <v>0.94417099999999987</v>
      </c>
      <c r="W33" s="192">
        <f>'Yearly Methanol'!X36/'Yearly Methanol'!X29</f>
        <v>0.93997999999999993</v>
      </c>
      <c r="X33" s="192">
        <f>'Yearly Methanol'!Y36/'Yearly Methanol'!Y29</f>
        <v>0.93578199999999989</v>
      </c>
      <c r="Y33" s="192">
        <f>'Yearly Methanol'!Z36/'Yearly Methanol'!Z29</f>
        <v>0.93158400000000008</v>
      </c>
      <c r="Z33" s="192">
        <f>'Yearly Methanol'!AA36/'Yearly Methanol'!AA29</f>
        <v>0.92738599999999993</v>
      </c>
      <c r="AA33" s="192">
        <f>'Yearly Methanol'!AB36/'Yearly Methanol'!AB29</f>
        <v>0.92318800000000001</v>
      </c>
      <c r="AB33" s="192">
        <f>'Yearly Methanol'!AC36/'Yearly Methanol'!AC29</f>
        <v>0.91898999999999997</v>
      </c>
      <c r="AC33" s="192">
        <f>'Yearly Methanol'!AD36/'Yearly Methanol'!AD29</f>
        <v>0.91479200000000016</v>
      </c>
      <c r="AD33" s="192">
        <f>'Yearly Methanol'!AE36/'Yearly Methanol'!AE29</f>
        <v>0.91059400000000013</v>
      </c>
      <c r="AE33" s="192">
        <f>'Yearly Methanol'!AF36/'Yearly Methanol'!AF29</f>
        <v>0.90639599999999998</v>
      </c>
      <c r="AF33" s="192">
        <f>'Yearly Methanol'!AG36/'Yearly Methanol'!AG29</f>
        <v>0.90219800000000006</v>
      </c>
      <c r="AG33" s="192">
        <f>'Yearly Methanol'!AH36/'Yearly Methanol'!AH29</f>
        <v>0.89800000000000002</v>
      </c>
      <c r="AL33" s="102"/>
      <c r="AM33" s="194"/>
      <c r="AN33" s="194"/>
      <c r="AO33" s="194"/>
      <c r="BC33" s="1"/>
      <c r="BD33" s="550"/>
      <c r="BE33" s="550"/>
      <c r="BF33" s="550"/>
      <c r="BG33" s="550"/>
      <c r="BH33" s="550"/>
      <c r="BI33" s="550"/>
      <c r="BJ33" s="550"/>
      <c r="BK33" s="550"/>
    </row>
    <row r="34" spans="1:64" outlineLevel="1">
      <c r="A34" t="s">
        <v>1070</v>
      </c>
      <c r="B34" s="51" t="s">
        <v>126</v>
      </c>
      <c r="C34" s="192">
        <f>'Yearly Methanol'!D25/'Yearly Methanol'!D18</f>
        <v>1</v>
      </c>
      <c r="D34" s="192">
        <f>'Yearly Methanol'!E25/'Yearly Methanol'!E18</f>
        <v>0.99658919999999995</v>
      </c>
      <c r="E34" s="192">
        <f>'Yearly Methanol'!F25/'Yearly Methanol'!F18</f>
        <v>0.99315680000000006</v>
      </c>
      <c r="F34" s="192">
        <f>'Yearly Methanol'!G25/'Yearly Methanol'!G18</f>
        <v>0.98970279999999988</v>
      </c>
      <c r="G34" s="192">
        <f>'Yearly Methanol'!H25/'Yearly Methanol'!H18</f>
        <v>0.98622719999999997</v>
      </c>
      <c r="H34" s="192">
        <f>'Yearly Methanol'!I25/'Yearly Methanol'!I18</f>
        <v>0.98272999999999999</v>
      </c>
      <c r="I34" s="192">
        <f>'Yearly Methanol'!J25/'Yearly Methanol'!J18</f>
        <v>0.97921120000000006</v>
      </c>
      <c r="J34" s="192">
        <f>'Yearly Methanol'!K25/'Yearly Methanol'!K18</f>
        <v>0.97567079999999995</v>
      </c>
      <c r="K34" s="192">
        <f>'Yearly Methanol'!L25/'Yearly Methanol'!L18</f>
        <v>0.9721088</v>
      </c>
      <c r="L34" s="192">
        <f>'Yearly Methanol'!M25/'Yearly Methanol'!M18</f>
        <v>0.96852519999999998</v>
      </c>
      <c r="M34" s="192">
        <f>'Yearly Methanol'!N25/'Yearly Methanol'!N18</f>
        <v>0.96492</v>
      </c>
      <c r="N34" s="192">
        <f>'Yearly Methanol'!O25/'Yearly Methanol'!O18</f>
        <v>0.95304500000000014</v>
      </c>
      <c r="O34" s="192">
        <f>'Yearly Methanol'!P25/'Yearly Methanol'!P18</f>
        <v>0.94100799999999996</v>
      </c>
      <c r="P34" s="192">
        <f>'Yearly Methanol'!Q25/'Yearly Methanol'!Q18</f>
        <v>0.928809</v>
      </c>
      <c r="Q34" s="192">
        <f>'Yearly Methanol'!R25/'Yearly Methanol'!R18</f>
        <v>0.91644800000000015</v>
      </c>
      <c r="R34" s="192">
        <f>'Yearly Methanol'!S25/'Yearly Methanol'!S18</f>
        <v>0.90392499999999987</v>
      </c>
      <c r="S34" s="192">
        <f>'Yearly Methanol'!T25/'Yearly Methanol'!T18</f>
        <v>0.89123999999999992</v>
      </c>
      <c r="T34" s="192">
        <f>'Yearly Methanol'!U25/'Yearly Methanol'!U18</f>
        <v>0.87839299999999987</v>
      </c>
      <c r="U34" s="192">
        <f>'Yearly Methanol'!V25/'Yearly Methanol'!V18</f>
        <v>0.86538399999999982</v>
      </c>
      <c r="V34" s="192">
        <f>'Yearly Methanol'!W25/'Yearly Methanol'!W18</f>
        <v>0.85221299999999989</v>
      </c>
      <c r="W34" s="192">
        <f>'Yearly Methanol'!X25/'Yearly Methanol'!X18</f>
        <v>0.83888000000000007</v>
      </c>
      <c r="X34" s="192">
        <f>'Yearly Methanol'!Y25/'Yearly Methanol'!Y18</f>
        <v>0.80646679999999993</v>
      </c>
      <c r="Y34" s="192">
        <f>'Yearly Methanol'!Z25/'Yearly Methanol'!Z18</f>
        <v>0.77385920000000008</v>
      </c>
      <c r="Z34" s="192">
        <f>'Yearly Methanol'!AA25/'Yearly Methanol'!AA18</f>
        <v>0.74105719999999986</v>
      </c>
      <c r="AA34" s="192">
        <f>'Yearly Methanol'!AB25/'Yearly Methanol'!AB18</f>
        <v>0.70806080000000005</v>
      </c>
      <c r="AB34" s="192">
        <f>'Yearly Methanol'!AC25/'Yearly Methanol'!AC18</f>
        <v>0.67487000000000008</v>
      </c>
      <c r="AC34" s="192">
        <f>'Yearly Methanol'!AD25/'Yearly Methanol'!AD18</f>
        <v>0.64148480000000008</v>
      </c>
      <c r="AD34" s="192">
        <f>'Yearly Methanol'!AE25/'Yearly Methanol'!AE18</f>
        <v>0.60790519999999992</v>
      </c>
      <c r="AE34" s="192">
        <f>'Yearly Methanol'!AF25/'Yearly Methanol'!AF18</f>
        <v>0.57413120000000006</v>
      </c>
      <c r="AF34" s="192">
        <f>'Yearly Methanol'!AG25/'Yearly Methanol'!AG18</f>
        <v>0.54016280000000005</v>
      </c>
      <c r="AG34" s="192">
        <f>'Yearly Methanol'!AH25/'Yearly Methanol'!AH18</f>
        <v>0.50600000000000001</v>
      </c>
      <c r="AL34" s="102"/>
      <c r="AM34" s="194"/>
      <c r="AN34" s="194"/>
      <c r="AO34" s="194"/>
      <c r="BL34" s="1"/>
    </row>
    <row r="35" spans="1:64" outlineLevel="1">
      <c r="A35" t="s">
        <v>1071</v>
      </c>
      <c r="B35" s="51" t="s">
        <v>126</v>
      </c>
      <c r="C35" s="192">
        <f>'Yearly Methanol'!D43/'Yearly Methanol'!D40</f>
        <v>1</v>
      </c>
      <c r="D35" s="192">
        <f>'Yearly Methanol'!E43/'Yearly Methanol'!E40</f>
        <v>0.97593875518672202</v>
      </c>
      <c r="E35" s="192">
        <f>'Yearly Methanol'!F43/'Yearly Methanol'!F40</f>
        <v>0.95187751037344404</v>
      </c>
      <c r="F35" s="192">
        <f>'Yearly Methanol'!G43/'Yearly Methanol'!G40</f>
        <v>0.92781626556016605</v>
      </c>
      <c r="G35" s="192">
        <f>'Yearly Methanol'!H43/'Yearly Methanol'!H40</f>
        <v>0.90375502074688796</v>
      </c>
      <c r="H35" s="192">
        <f>'Yearly Methanol'!I43/'Yearly Methanol'!I40</f>
        <v>0.87969377593360998</v>
      </c>
      <c r="I35" s="192">
        <f>'Yearly Methanol'!J43/'Yearly Methanol'!J40</f>
        <v>0.85563253112033189</v>
      </c>
      <c r="J35" s="192">
        <f>'Yearly Methanol'!K43/'Yearly Methanol'!K40</f>
        <v>0.8315712863070539</v>
      </c>
      <c r="K35" s="192">
        <f>'Yearly Methanol'!L43/'Yearly Methanol'!L40</f>
        <v>0.80751004149377592</v>
      </c>
      <c r="L35" s="192">
        <f>'Yearly Methanol'!M43/'Yearly Methanol'!M40</f>
        <v>0.78344879668049794</v>
      </c>
      <c r="M35" s="192">
        <f>'Yearly Methanol'!N43/'Yearly Methanol'!N40</f>
        <v>0.75938755186721985</v>
      </c>
      <c r="N35" s="192">
        <f>'Yearly Methanol'!O43/'Yearly Methanol'!O40</f>
        <v>0.73532630705394186</v>
      </c>
      <c r="O35" s="192">
        <f>'Yearly Methanol'!P43/'Yearly Methanol'!P40</f>
        <v>0.71126506224066388</v>
      </c>
      <c r="P35" s="192">
        <f>'Yearly Methanol'!Q43/'Yearly Methanol'!Q40</f>
        <v>0.6872038174273859</v>
      </c>
      <c r="Q35" s="192">
        <f>'Yearly Methanol'!R43/'Yearly Methanol'!R40</f>
        <v>0.66314257261410792</v>
      </c>
      <c r="R35" s="192">
        <f>'Yearly Methanol'!S43/'Yearly Methanol'!S40</f>
        <v>0.63908132780082982</v>
      </c>
      <c r="S35" s="192">
        <f>'Yearly Methanol'!T43/'Yearly Methanol'!T40</f>
        <v>0.61502008298755173</v>
      </c>
      <c r="T35" s="192">
        <f>'Yearly Methanol'!U43/'Yearly Methanol'!U40</f>
        <v>0.59095883817427375</v>
      </c>
      <c r="U35" s="192">
        <f>'Yearly Methanol'!V43/'Yearly Methanol'!V40</f>
        <v>0.56689759336099577</v>
      </c>
      <c r="V35" s="192">
        <f>'Yearly Methanol'!W43/'Yearly Methanol'!W40</f>
        <v>0.54283634854771778</v>
      </c>
      <c r="W35" s="192">
        <f>'Yearly Methanol'!X43/'Yearly Methanol'!X40</f>
        <v>0.5187751037344398</v>
      </c>
      <c r="X35" s="192">
        <f>'Yearly Methanol'!Y43/'Yearly Methanol'!Y40</f>
        <v>0.49398473029045636</v>
      </c>
      <c r="Y35" s="192">
        <f>'Yearly Methanol'!Z43/'Yearly Methanol'!Z40</f>
        <v>0.46919435684647287</v>
      </c>
      <c r="Z35" s="192">
        <f>'Yearly Methanol'!AA43/'Yearly Methanol'!AA40</f>
        <v>0.44440398340248954</v>
      </c>
      <c r="AA35" s="192">
        <f>'Yearly Methanol'!AB43/'Yearly Methanol'!AB40</f>
        <v>0.41961360995850616</v>
      </c>
      <c r="AB35" s="192">
        <f>'Yearly Methanol'!AC43/'Yearly Methanol'!AC40</f>
        <v>0.39482323651452267</v>
      </c>
      <c r="AC35" s="192">
        <f>'Yearly Methanol'!AD43/'Yearly Methanol'!AD40</f>
        <v>0.37003286307053929</v>
      </c>
      <c r="AD35" s="192">
        <f>'Yearly Methanol'!AE43/'Yearly Methanol'!AE40</f>
        <v>0.3452424896265559</v>
      </c>
      <c r="AE35" s="192">
        <f>'Yearly Methanol'!AF43/'Yearly Methanol'!AF40</f>
        <v>0.32045211618257258</v>
      </c>
      <c r="AF35" s="192">
        <f>'Yearly Methanol'!AG43/'Yearly Methanol'!AG40</f>
        <v>0.29566174273858919</v>
      </c>
      <c r="AG35" s="192">
        <f>'Yearly Methanol'!AH43/'Yearly Methanol'!AH40</f>
        <v>0.2708713692946057</v>
      </c>
      <c r="AL35" s="102"/>
      <c r="AM35" s="194"/>
      <c r="AN35" s="194"/>
      <c r="AO35" s="194"/>
      <c r="BD35" s="38"/>
      <c r="BE35" s="38"/>
      <c r="BF35" s="38"/>
      <c r="BG35" s="38"/>
      <c r="BH35" s="38"/>
      <c r="BI35" s="38"/>
      <c r="BJ35" s="38"/>
      <c r="BK35" s="38"/>
      <c r="BL35" s="112"/>
    </row>
    <row r="36" spans="1:64" outlineLevel="1">
      <c r="A36" t="s">
        <v>1072</v>
      </c>
      <c r="B36" s="51" t="s">
        <v>126</v>
      </c>
      <c r="C36" s="192">
        <f>'Yearly Methanol'!D52/'Yearly Methanol'!D47</f>
        <v>1</v>
      </c>
      <c r="D36" s="192">
        <f>'Yearly Methanol'!E52/'Yearly Methanol'!E47</f>
        <v>0.96909999999999996</v>
      </c>
      <c r="E36" s="192">
        <f>'Yearly Methanol'!F52/'Yearly Methanol'!F47</f>
        <v>0.93820000000000014</v>
      </c>
      <c r="F36" s="192">
        <f>'Yearly Methanol'!G52/'Yearly Methanol'!G47</f>
        <v>0.90729999999999988</v>
      </c>
      <c r="G36" s="192">
        <f>'Yearly Methanol'!H52/'Yearly Methanol'!H47</f>
        <v>0.87639999999999996</v>
      </c>
      <c r="H36" s="192">
        <f>'Yearly Methanol'!I52/'Yearly Methanol'!I47</f>
        <v>0.84550000000000003</v>
      </c>
      <c r="I36" s="192">
        <f>'Yearly Methanol'!J52/'Yearly Methanol'!J47</f>
        <v>0.8146000000000001</v>
      </c>
      <c r="J36" s="192">
        <f>'Yearly Methanol'!K52/'Yearly Methanol'!K47</f>
        <v>0.78369999999999995</v>
      </c>
      <c r="K36" s="192">
        <f>'Yearly Methanol'!L52/'Yearly Methanol'!L47</f>
        <v>0.75279999999999991</v>
      </c>
      <c r="L36" s="192">
        <f>'Yearly Methanol'!M52/'Yearly Methanol'!M47</f>
        <v>0.72189999999999988</v>
      </c>
      <c r="M36" s="192">
        <f>'Yearly Methanol'!N52/'Yearly Methanol'!N47</f>
        <v>0.69099999999999995</v>
      </c>
      <c r="N36" s="192">
        <f>'Yearly Methanol'!O52/'Yearly Methanol'!O47</f>
        <v>0.66920000000000002</v>
      </c>
      <c r="O36" s="192">
        <f>'Yearly Methanol'!P52/'Yearly Methanol'!P47</f>
        <v>0.64739999999999998</v>
      </c>
      <c r="P36" s="192">
        <f>'Yearly Methanol'!Q52/'Yearly Methanol'!Q47</f>
        <v>0.62559999999999993</v>
      </c>
      <c r="Q36" s="192">
        <f>'Yearly Methanol'!R52/'Yearly Methanol'!R47</f>
        <v>0.6038</v>
      </c>
      <c r="R36" s="192">
        <f>'Yearly Methanol'!S52/'Yearly Methanol'!S47</f>
        <v>0.58199999999999996</v>
      </c>
      <c r="S36" s="192">
        <f>'Yearly Methanol'!T52/'Yearly Methanol'!T47</f>
        <v>0.56019999999999992</v>
      </c>
      <c r="T36" s="192">
        <f>'Yearly Methanol'!U52/'Yearly Methanol'!U47</f>
        <v>0.53839999999999988</v>
      </c>
      <c r="U36" s="192">
        <f>'Yearly Methanol'!V52/'Yearly Methanol'!V47</f>
        <v>0.51659999999999995</v>
      </c>
      <c r="V36" s="192">
        <f>'Yearly Methanol'!W52/'Yearly Methanol'!W47</f>
        <v>0.49480000000000002</v>
      </c>
      <c r="W36" s="192">
        <f>'Yearly Methanol'!X52/'Yearly Methanol'!X47</f>
        <v>0.47299999999999998</v>
      </c>
      <c r="X36" s="192">
        <f>'Yearly Methanol'!Y52/'Yearly Methanol'!Y47</f>
        <v>0.44669999999999993</v>
      </c>
      <c r="Y36" s="192">
        <f>'Yearly Methanol'!Z52/'Yearly Methanol'!Z47</f>
        <v>0.42039999999999994</v>
      </c>
      <c r="Z36" s="192">
        <f>'Yearly Methanol'!AA52/'Yearly Methanol'!AA47</f>
        <v>0.39410000000000001</v>
      </c>
      <c r="AA36" s="192">
        <f>'Yearly Methanol'!AB52/'Yearly Methanol'!AB47</f>
        <v>0.36779999999999996</v>
      </c>
      <c r="AB36" s="192">
        <f>'Yearly Methanol'!AC52/'Yearly Methanol'!AC47</f>
        <v>0.34149999999999997</v>
      </c>
      <c r="AC36" s="192">
        <f>'Yearly Methanol'!AD52/'Yearly Methanol'!AD47</f>
        <v>0.31519999999999992</v>
      </c>
      <c r="AD36" s="192">
        <f>'Yearly Methanol'!AE52/'Yearly Methanol'!AE47</f>
        <v>0.28889999999999993</v>
      </c>
      <c r="AE36" s="192">
        <f>'Yearly Methanol'!AF52/'Yearly Methanol'!AF47</f>
        <v>0.2626</v>
      </c>
      <c r="AF36" s="192">
        <f>'Yearly Methanol'!AG52/'Yearly Methanol'!AG47</f>
        <v>0.23629999999999995</v>
      </c>
      <c r="AG36" s="192">
        <f>'Yearly Methanol'!AH52/'Yearly Methanol'!AH47</f>
        <v>0.20999999999999996</v>
      </c>
      <c r="AL36" s="102"/>
      <c r="AM36" s="194"/>
      <c r="AN36" s="194"/>
      <c r="AO36" s="194"/>
      <c r="BD36" s="38"/>
      <c r="BE36" s="38"/>
      <c r="BF36" s="38"/>
      <c r="BG36" s="38"/>
      <c r="BH36" s="38"/>
      <c r="BI36" s="38"/>
      <c r="BJ36" s="38"/>
      <c r="BK36" s="38"/>
      <c r="BL36" s="112"/>
    </row>
    <row r="37" spans="1:64" outlineLevel="1">
      <c r="A37" t="s">
        <v>1073</v>
      </c>
      <c r="B37" s="165" t="s">
        <v>126</v>
      </c>
      <c r="C37" s="148">
        <f>'Yearly Methanol'!D59/'Yearly Methanol'!D56</f>
        <v>1</v>
      </c>
      <c r="D37" s="148">
        <f>'Yearly Methanol'!E59/'Yearly Methanol'!E56</f>
        <v>0.99340000000000017</v>
      </c>
      <c r="E37" s="148">
        <f>'Yearly Methanol'!F59/'Yearly Methanol'!F56</f>
        <v>0.9867999999999999</v>
      </c>
      <c r="F37" s="148">
        <f>'Yearly Methanol'!G59/'Yearly Methanol'!G56</f>
        <v>0.98020000000000007</v>
      </c>
      <c r="G37" s="148">
        <f>'Yearly Methanol'!H59/'Yearly Methanol'!H56</f>
        <v>0.97360000000000013</v>
      </c>
      <c r="H37" s="148">
        <f>'Yearly Methanol'!I59/'Yearly Methanol'!I56</f>
        <v>0.96699999999999986</v>
      </c>
      <c r="I37" s="148">
        <f>'Yearly Methanol'!J59/'Yearly Methanol'!J56</f>
        <v>0.96039999999999992</v>
      </c>
      <c r="J37" s="148">
        <f>'Yearly Methanol'!K59/'Yearly Methanol'!K56</f>
        <v>0.95380000000000009</v>
      </c>
      <c r="K37" s="148">
        <f>'Yearly Methanol'!L59/'Yearly Methanol'!L56</f>
        <v>0.94720000000000004</v>
      </c>
      <c r="L37" s="148">
        <f>'Yearly Methanol'!M59/'Yearly Methanol'!M56</f>
        <v>0.94059999999999999</v>
      </c>
      <c r="M37" s="148">
        <f>'Yearly Methanol'!N59/'Yearly Methanol'!N56</f>
        <v>0.93400000000000005</v>
      </c>
      <c r="N37" s="148">
        <f>'Yearly Methanol'!O59/'Yearly Methanol'!O56</f>
        <v>0.9274</v>
      </c>
      <c r="O37" s="148">
        <f>'Yearly Methanol'!P59/'Yearly Methanol'!P56</f>
        <v>0.92080000000000006</v>
      </c>
      <c r="P37" s="148">
        <f>'Yearly Methanol'!Q59/'Yearly Methanol'!Q56</f>
        <v>0.91420000000000001</v>
      </c>
      <c r="Q37" s="148">
        <f>'Yearly Methanol'!R59/'Yearly Methanol'!R56</f>
        <v>0.90759999999999996</v>
      </c>
      <c r="R37" s="148">
        <f>'Yearly Methanol'!S59/'Yearly Methanol'!S56</f>
        <v>0.90100000000000002</v>
      </c>
      <c r="S37" s="148">
        <f>'Yearly Methanol'!T59/'Yearly Methanol'!T56</f>
        <v>0.89439999999999997</v>
      </c>
      <c r="T37" s="148">
        <f>'Yearly Methanol'!U59/'Yearly Methanol'!U56</f>
        <v>0.88780000000000003</v>
      </c>
      <c r="U37" s="148">
        <f>'Yearly Methanol'!V59/'Yearly Methanol'!V56</f>
        <v>0.88119999999999998</v>
      </c>
      <c r="V37" s="148">
        <f>'Yearly Methanol'!W59/'Yearly Methanol'!W56</f>
        <v>0.87459999999999993</v>
      </c>
      <c r="W37" s="148">
        <f>'Yearly Methanol'!X59/'Yearly Methanol'!X56</f>
        <v>0.86799999999999999</v>
      </c>
      <c r="X37" s="148">
        <f>'Yearly Methanol'!Y59/'Yearly Methanol'!Y56</f>
        <v>0.86119999999999997</v>
      </c>
      <c r="Y37" s="148">
        <f>'Yearly Methanol'!Z59/'Yearly Methanol'!Z56</f>
        <v>0.85440000000000005</v>
      </c>
      <c r="Z37" s="148">
        <f>'Yearly Methanol'!AA59/'Yearly Methanol'!AA56</f>
        <v>0.84760000000000002</v>
      </c>
      <c r="AA37" s="148">
        <f>'Yearly Methanol'!AB59/'Yearly Methanol'!AB56</f>
        <v>0.84079999999999999</v>
      </c>
      <c r="AB37" s="148">
        <f>'Yearly Methanol'!AC59/'Yearly Methanol'!AC56</f>
        <v>0.83399999999999996</v>
      </c>
      <c r="AC37" s="148">
        <f>'Yearly Methanol'!AD59/'Yearly Methanol'!AD56</f>
        <v>0.82720000000000005</v>
      </c>
      <c r="AD37" s="148">
        <f>'Yearly Methanol'!AE59/'Yearly Methanol'!AE56</f>
        <v>0.82040000000000013</v>
      </c>
      <c r="AE37" s="148">
        <f>'Yearly Methanol'!AF59/'Yearly Methanol'!AF56</f>
        <v>0.81359999999999999</v>
      </c>
      <c r="AF37" s="148">
        <f>'Yearly Methanol'!AG59/'Yearly Methanol'!AG56</f>
        <v>0.80679999999999996</v>
      </c>
      <c r="AG37" s="148">
        <f>'Yearly Methanol'!AH59/'Yearly Methanol'!AH56</f>
        <v>0.8</v>
      </c>
      <c r="AI37" s="124"/>
      <c r="AL37" s="102"/>
      <c r="AM37" s="194"/>
      <c r="AN37" s="194"/>
      <c r="AO37" s="194"/>
      <c r="BD37" s="38"/>
      <c r="BE37" s="38"/>
      <c r="BF37" s="38"/>
      <c r="BG37" s="38"/>
      <c r="BH37" s="38"/>
      <c r="BI37" s="38"/>
      <c r="BJ37" s="38"/>
      <c r="BK37" s="38"/>
      <c r="BL37" s="112"/>
    </row>
    <row r="38" spans="1:64" outlineLevel="1">
      <c r="AI38" t="s">
        <v>421</v>
      </c>
      <c r="BD38" s="38"/>
      <c r="BE38" s="38"/>
      <c r="BF38" s="38"/>
      <c r="BG38" s="38"/>
      <c r="BH38" s="38"/>
      <c r="BI38" s="38"/>
      <c r="BJ38" s="38"/>
      <c r="BK38" s="38"/>
      <c r="BL38" s="112"/>
    </row>
    <row r="39" spans="1:64" outlineLevel="1">
      <c r="A39" t="s">
        <v>1074</v>
      </c>
      <c r="B39" s="51" t="s">
        <v>1062</v>
      </c>
      <c r="C39" s="101">
        <f>C24*C33</f>
        <v>10894.746287292146</v>
      </c>
      <c r="D39" s="101">
        <f t="shared" ref="D39:AF39" si="16">D24*D33</f>
        <v>10875.015901765861</v>
      </c>
      <c r="E39" s="101">
        <f t="shared" si="16"/>
        <v>10855.285516239575</v>
      </c>
      <c r="F39" s="101">
        <f t="shared" si="16"/>
        <v>10835.555130713286</v>
      </c>
      <c r="G39" s="101">
        <f t="shared" si="16"/>
        <v>10815.824745187003</v>
      </c>
      <c r="H39" s="101">
        <f t="shared" si="16"/>
        <v>10796.094359660714</v>
      </c>
      <c r="I39" s="101">
        <f t="shared" si="16"/>
        <v>10776.36397413443</v>
      </c>
      <c r="J39" s="101">
        <f t="shared" si="16"/>
        <v>10756.633588608143</v>
      </c>
      <c r="K39" s="101">
        <f t="shared" si="16"/>
        <v>10736.903203081856</v>
      </c>
      <c r="L39" s="101">
        <f t="shared" si="16"/>
        <v>10717.172817555571</v>
      </c>
      <c r="M39" s="101">
        <f t="shared" si="16"/>
        <v>10697.442432029284</v>
      </c>
      <c r="N39" s="101">
        <f t="shared" si="16"/>
        <v>10651.782550339243</v>
      </c>
      <c r="O39" s="101">
        <f t="shared" si="16"/>
        <v>10606.122668649203</v>
      </c>
      <c r="P39" s="101">
        <f t="shared" si="16"/>
        <v>10560.46278695916</v>
      </c>
      <c r="Q39" s="101">
        <f t="shared" si="16"/>
        <v>10514.802905269118</v>
      </c>
      <c r="R39" s="101">
        <f t="shared" si="16"/>
        <v>10469.143023579079</v>
      </c>
      <c r="S39" s="101">
        <f t="shared" si="16"/>
        <v>10423.483141889037</v>
      </c>
      <c r="T39" s="101">
        <f t="shared" si="16"/>
        <v>10377.823260198995</v>
      </c>
      <c r="U39" s="101">
        <f t="shared" si="16"/>
        <v>10332.163378508954</v>
      </c>
      <c r="V39" s="101">
        <f t="shared" si="16"/>
        <v>10286.503496818912</v>
      </c>
      <c r="W39" s="101">
        <f t="shared" si="16"/>
        <v>10240.84361512887</v>
      </c>
      <c r="X39" s="101">
        <f t="shared" si="16"/>
        <v>10195.107470214818</v>
      </c>
      <c r="Y39" s="101">
        <f t="shared" si="16"/>
        <v>10149.371325300768</v>
      </c>
      <c r="Z39" s="101">
        <f t="shared" si="16"/>
        <v>10103.635180386713</v>
      </c>
      <c r="AA39" s="101">
        <f t="shared" si="16"/>
        <v>10057.899035472661</v>
      </c>
      <c r="AB39" s="101">
        <f t="shared" si="16"/>
        <v>10012.162890558609</v>
      </c>
      <c r="AC39" s="101">
        <f t="shared" si="16"/>
        <v>9966.4267456445577</v>
      </c>
      <c r="AD39" s="101">
        <f t="shared" si="16"/>
        <v>9920.690600730506</v>
      </c>
      <c r="AE39" s="101">
        <f t="shared" si="16"/>
        <v>9874.9544558164525</v>
      </c>
      <c r="AF39" s="101">
        <f t="shared" si="16"/>
        <v>9829.2183109024008</v>
      </c>
      <c r="AG39" s="101">
        <f>AG24*AG33</f>
        <v>9783.4821659883473</v>
      </c>
      <c r="AI39" s="197" t="s">
        <v>281</v>
      </c>
      <c r="AJ39" s="198" t="s">
        <v>422</v>
      </c>
      <c r="BD39" s="38"/>
      <c r="BE39" s="38"/>
      <c r="BF39" s="38"/>
      <c r="BG39" s="38"/>
      <c r="BH39" s="38"/>
      <c r="BI39" s="38"/>
      <c r="BJ39" s="38"/>
      <c r="BK39" s="38"/>
      <c r="BL39" s="112"/>
    </row>
    <row r="40" spans="1:64" outlineLevel="1">
      <c r="A40" t="s">
        <v>1075</v>
      </c>
      <c r="B40" s="51" t="s">
        <v>1062</v>
      </c>
      <c r="C40" s="101">
        <f t="shared" ref="C40:O40" si="17">C25*$C$34</f>
        <v>11586.687264852077</v>
      </c>
      <c r="D40" s="101">
        <f t="shared" si="17"/>
        <v>11586.687264852077</v>
      </c>
      <c r="E40" s="101">
        <f t="shared" si="17"/>
        <v>11586.687264852077</v>
      </c>
      <c r="F40" s="101">
        <f t="shared" si="17"/>
        <v>11586.687264852077</v>
      </c>
      <c r="G40" s="101">
        <f t="shared" si="17"/>
        <v>11586.687264852077</v>
      </c>
      <c r="H40" s="101">
        <f t="shared" si="17"/>
        <v>11586.687264852077</v>
      </c>
      <c r="I40" s="101">
        <f t="shared" si="17"/>
        <v>11586.687264852077</v>
      </c>
      <c r="J40" s="101">
        <f t="shared" si="17"/>
        <v>11586.687264852077</v>
      </c>
      <c r="K40" s="101">
        <f t="shared" si="17"/>
        <v>11586.687264852077</v>
      </c>
      <c r="L40" s="101">
        <f t="shared" si="17"/>
        <v>11586.687264852077</v>
      </c>
      <c r="M40" s="101">
        <f t="shared" si="17"/>
        <v>11586.687264852077</v>
      </c>
      <c r="N40" s="101">
        <f t="shared" si="17"/>
        <v>11586.687264852077</v>
      </c>
      <c r="O40" s="101">
        <f t="shared" si="17"/>
        <v>11586.687264852077</v>
      </c>
      <c r="P40" s="101">
        <f t="shared" ref="P40:AG40" si="18">D34*P25</f>
        <v>11547.167391929119</v>
      </c>
      <c r="Q40" s="101">
        <f t="shared" si="18"/>
        <v>11507.397246561242</v>
      </c>
      <c r="R40" s="101">
        <f t="shared" si="18"/>
        <v>11467.37682874844</v>
      </c>
      <c r="S40" s="101">
        <f t="shared" si="18"/>
        <v>11427.106138490721</v>
      </c>
      <c r="T40" s="101">
        <f t="shared" si="18"/>
        <v>11386.585175788081</v>
      </c>
      <c r="U40" s="101">
        <f t="shared" si="18"/>
        <v>11345.813940640521</v>
      </c>
      <c r="V40" s="101">
        <f t="shared" si="18"/>
        <v>11304.792433048036</v>
      </c>
      <c r="W40" s="101">
        <f t="shared" si="18"/>
        <v>11263.520653010635</v>
      </c>
      <c r="X40" s="101">
        <f t="shared" si="18"/>
        <v>11221.99860052831</v>
      </c>
      <c r="Y40" s="101">
        <f t="shared" si="18"/>
        <v>11180.226275601066</v>
      </c>
      <c r="Z40" s="101">
        <f t="shared" si="18"/>
        <v>11042.634364330948</v>
      </c>
      <c r="AA40" s="101">
        <f t="shared" si="18"/>
        <v>10903.165409723922</v>
      </c>
      <c r="AB40" s="101">
        <f t="shared" si="18"/>
        <v>10761.819411779992</v>
      </c>
      <c r="AC40" s="101">
        <f t="shared" si="18"/>
        <v>10618.596370499157</v>
      </c>
      <c r="AD40" s="101">
        <f t="shared" si="18"/>
        <v>10473.496285881412</v>
      </c>
      <c r="AE40" s="101">
        <f t="shared" si="18"/>
        <v>10326.519157926763</v>
      </c>
      <c r="AF40" s="101">
        <f t="shared" si="18"/>
        <v>10177.664986635209</v>
      </c>
      <c r="AG40" s="101">
        <f t="shared" si="18"/>
        <v>10026.933772006747</v>
      </c>
      <c r="AI40" s="197" t="s">
        <v>282</v>
      </c>
      <c r="AJ40" s="198" t="s">
        <v>422</v>
      </c>
      <c r="BD40" s="38"/>
      <c r="BE40" s="38"/>
      <c r="BF40" s="38"/>
      <c r="BG40" s="38"/>
      <c r="BH40" s="38"/>
      <c r="BI40" s="38"/>
      <c r="BJ40" s="38"/>
      <c r="BK40" s="38"/>
      <c r="BL40" s="112"/>
    </row>
    <row r="41" spans="1:64" outlineLevel="1">
      <c r="A41" t="s">
        <v>1076</v>
      </c>
      <c r="B41" s="51" t="s">
        <v>1062</v>
      </c>
      <c r="C41" s="101">
        <f t="shared" ref="C41:AG41" si="19">C26</f>
        <v>4496.7261739499227</v>
      </c>
      <c r="D41" s="101">
        <f t="shared" si="19"/>
        <v>4496.7261739499227</v>
      </c>
      <c r="E41" s="101">
        <f t="shared" si="19"/>
        <v>4496.7261739499227</v>
      </c>
      <c r="F41" s="101">
        <f t="shared" si="19"/>
        <v>4496.7261739499227</v>
      </c>
      <c r="G41" s="101">
        <f t="shared" si="19"/>
        <v>4496.7261739499227</v>
      </c>
      <c r="H41" s="101">
        <f t="shared" si="19"/>
        <v>4496.7261739499227</v>
      </c>
      <c r="I41" s="101">
        <f t="shared" si="19"/>
        <v>4496.7261739499227</v>
      </c>
      <c r="J41" s="101">
        <f t="shared" si="19"/>
        <v>4496.7261739499227</v>
      </c>
      <c r="K41" s="101">
        <f t="shared" si="19"/>
        <v>4496.7261739499227</v>
      </c>
      <c r="L41" s="101">
        <f t="shared" si="19"/>
        <v>4496.7261739499227</v>
      </c>
      <c r="M41" s="101">
        <f t="shared" si="19"/>
        <v>4496.7261739499227</v>
      </c>
      <c r="N41" s="101">
        <f t="shared" si="19"/>
        <v>4496.7261739499227</v>
      </c>
      <c r="O41" s="101">
        <f t="shared" si="19"/>
        <v>4496.7261739499227</v>
      </c>
      <c r="P41" s="101">
        <f t="shared" si="19"/>
        <v>4496.7261739499227</v>
      </c>
      <c r="Q41" s="101">
        <f t="shared" si="19"/>
        <v>4496.7261739499227</v>
      </c>
      <c r="R41" s="101">
        <f t="shared" si="19"/>
        <v>4496.7261739499227</v>
      </c>
      <c r="S41" s="101">
        <f t="shared" si="19"/>
        <v>4496.7261739499227</v>
      </c>
      <c r="T41" s="101">
        <f t="shared" si="19"/>
        <v>4496.7261739499227</v>
      </c>
      <c r="U41" s="101">
        <f t="shared" si="19"/>
        <v>4496.7261739499227</v>
      </c>
      <c r="V41" s="101">
        <f t="shared" si="19"/>
        <v>4496.7261739499227</v>
      </c>
      <c r="W41" s="101">
        <f t="shared" si="19"/>
        <v>4496.7261739499227</v>
      </c>
      <c r="X41" s="101">
        <f t="shared" si="19"/>
        <v>4496.7261739499227</v>
      </c>
      <c r="Y41" s="101">
        <f t="shared" si="19"/>
        <v>4496.7261739499227</v>
      </c>
      <c r="Z41" s="101">
        <f t="shared" si="19"/>
        <v>4496.7261739499227</v>
      </c>
      <c r="AA41" s="101">
        <f t="shared" si="19"/>
        <v>4496.7261739499227</v>
      </c>
      <c r="AB41" s="101">
        <f t="shared" si="19"/>
        <v>4496.7261739499227</v>
      </c>
      <c r="AC41" s="101">
        <f t="shared" si="19"/>
        <v>4496.7261739499227</v>
      </c>
      <c r="AD41" s="101">
        <f t="shared" si="19"/>
        <v>4496.7261739499227</v>
      </c>
      <c r="AE41" s="101">
        <f t="shared" si="19"/>
        <v>4496.7261739499227</v>
      </c>
      <c r="AF41" s="101">
        <f t="shared" si="19"/>
        <v>4496.7261739499227</v>
      </c>
      <c r="AG41" s="101">
        <f t="shared" si="19"/>
        <v>4496.7261739499227</v>
      </c>
      <c r="AI41" s="197" t="s">
        <v>283</v>
      </c>
      <c r="AJ41" s="198" t="s">
        <v>422</v>
      </c>
      <c r="BD41" s="38"/>
      <c r="BE41" s="38"/>
      <c r="BF41" s="38"/>
      <c r="BG41" s="38"/>
      <c r="BH41" s="38"/>
      <c r="BI41" s="38"/>
      <c r="BJ41" s="38"/>
      <c r="BK41" s="38"/>
      <c r="BL41" s="112"/>
    </row>
    <row r="42" spans="1:64" outlineLevel="1">
      <c r="A42" t="s">
        <v>1077</v>
      </c>
      <c r="B42" s="51" t="s">
        <v>1062</v>
      </c>
      <c r="C42" s="246">
        <f t="shared" ref="C42:H42" si="20">C27*$C$36</f>
        <v>23.918896160312748</v>
      </c>
      <c r="D42" s="246">
        <f t="shared" si="20"/>
        <v>23.918896160312748</v>
      </c>
      <c r="E42" s="246">
        <f t="shared" si="20"/>
        <v>23.918896160312748</v>
      </c>
      <c r="F42" s="246">
        <f t="shared" si="20"/>
        <v>23.918896160312748</v>
      </c>
      <c r="G42" s="246">
        <f t="shared" si="20"/>
        <v>23.918896160312748</v>
      </c>
      <c r="H42" s="246">
        <f t="shared" si="20"/>
        <v>23.918896160312748</v>
      </c>
      <c r="I42" s="246">
        <f t="shared" ref="I42:AG43" si="21">I27*D36</f>
        <v>23.179802268959083</v>
      </c>
      <c r="J42" s="246">
        <f t="shared" si="21"/>
        <v>22.440708377605425</v>
      </c>
      <c r="K42" s="246">
        <f t="shared" si="21"/>
        <v>21.701614486251753</v>
      </c>
      <c r="L42" s="246">
        <f t="shared" si="21"/>
        <v>20.962520594898091</v>
      </c>
      <c r="M42" s="246">
        <f t="shared" si="21"/>
        <v>20.22342670354443</v>
      </c>
      <c r="N42" s="246">
        <f t="shared" si="21"/>
        <v>19.484332812190768</v>
      </c>
      <c r="O42" s="246">
        <f t="shared" si="21"/>
        <v>18.7452389208371</v>
      </c>
      <c r="P42" s="246">
        <f t="shared" si="21"/>
        <v>18.006145029483434</v>
      </c>
      <c r="Q42" s="246">
        <f t="shared" si="21"/>
        <v>17.267051138129769</v>
      </c>
      <c r="R42" s="246">
        <f t="shared" si="21"/>
        <v>16.527957246776108</v>
      </c>
      <c r="S42" s="246">
        <f t="shared" si="21"/>
        <v>16.00652531048129</v>
      </c>
      <c r="T42" s="246">
        <f t="shared" si="21"/>
        <v>15.485093374186473</v>
      </c>
      <c r="U42" s="246">
        <f t="shared" si="21"/>
        <v>14.963661437891654</v>
      </c>
      <c r="V42" s="246">
        <f t="shared" si="21"/>
        <v>14.442229501596838</v>
      </c>
      <c r="W42" s="246">
        <f t="shared" si="21"/>
        <v>13.920797565302019</v>
      </c>
      <c r="X42" s="246">
        <f t="shared" si="21"/>
        <v>13.3993656290072</v>
      </c>
      <c r="Y42" s="246">
        <f t="shared" si="21"/>
        <v>12.87793369271238</v>
      </c>
      <c r="Z42" s="246">
        <f t="shared" si="21"/>
        <v>12.356501756417565</v>
      </c>
      <c r="AA42" s="246">
        <f t="shared" si="21"/>
        <v>11.835069820122747</v>
      </c>
      <c r="AB42" s="246">
        <f t="shared" si="21"/>
        <v>11.31363788382793</v>
      </c>
      <c r="AC42" s="246">
        <f t="shared" si="21"/>
        <v>10.684570914811703</v>
      </c>
      <c r="AD42" s="246">
        <f t="shared" si="21"/>
        <v>10.055503945795477</v>
      </c>
      <c r="AE42" s="246">
        <f t="shared" si="21"/>
        <v>9.4264369767792537</v>
      </c>
      <c r="AF42" s="246">
        <f t="shared" si="21"/>
        <v>8.7973700077630284</v>
      </c>
      <c r="AG42" s="246">
        <f t="shared" si="21"/>
        <v>8.168303038746803</v>
      </c>
      <c r="AI42" s="197" t="s">
        <v>284</v>
      </c>
      <c r="AJ42" s="198" t="s">
        <v>422</v>
      </c>
      <c r="AL42" s="5"/>
      <c r="AM42" s="103"/>
      <c r="AN42" s="103"/>
      <c r="AO42" s="103"/>
      <c r="BC42" s="1"/>
      <c r="BD42" s="112"/>
      <c r="BE42" s="112"/>
      <c r="BF42" s="112"/>
      <c r="BG42" s="112"/>
      <c r="BH42" s="112"/>
      <c r="BI42" s="112"/>
      <c r="BJ42" s="112"/>
      <c r="BK42" s="112"/>
      <c r="BL42" s="112"/>
    </row>
    <row r="43" spans="1:64" outlineLevel="1">
      <c r="A43" s="169" t="s">
        <v>1078</v>
      </c>
      <c r="B43" s="165" t="s">
        <v>1062</v>
      </c>
      <c r="C43" s="101">
        <f t="shared" ref="C43:H43" si="22">C28*$C$37</f>
        <v>95275.989918288746</v>
      </c>
      <c r="D43" s="101">
        <f t="shared" si="22"/>
        <v>95275.989918288746</v>
      </c>
      <c r="E43" s="101">
        <f t="shared" si="22"/>
        <v>95275.989918288746</v>
      </c>
      <c r="F43" s="101">
        <f t="shared" si="22"/>
        <v>95275.989918288746</v>
      </c>
      <c r="G43" s="101">
        <f t="shared" si="22"/>
        <v>95275.989918288746</v>
      </c>
      <c r="H43" s="101">
        <f t="shared" si="22"/>
        <v>95275.989918288746</v>
      </c>
      <c r="I43" s="101">
        <f t="shared" si="21"/>
        <v>94647.168384828052</v>
      </c>
      <c r="J43" s="101">
        <f t="shared" si="21"/>
        <v>94018.346851367329</v>
      </c>
      <c r="K43" s="101">
        <f t="shared" si="21"/>
        <v>93389.525317906635</v>
      </c>
      <c r="L43" s="101">
        <f t="shared" si="21"/>
        <v>92760.703784445941</v>
      </c>
      <c r="M43" s="101">
        <f t="shared" si="21"/>
        <v>92131.882250985203</v>
      </c>
      <c r="N43" s="101">
        <f t="shared" si="21"/>
        <v>91503.06071752451</v>
      </c>
      <c r="O43" s="101">
        <f t="shared" si="21"/>
        <v>90874.239184063816</v>
      </c>
      <c r="P43" s="101">
        <f t="shared" si="21"/>
        <v>90245.417650603107</v>
      </c>
      <c r="Q43" s="101">
        <f t="shared" si="21"/>
        <v>89616.596117142399</v>
      </c>
      <c r="R43" s="101">
        <f t="shared" si="21"/>
        <v>88987.77458368169</v>
      </c>
      <c r="S43" s="101">
        <f t="shared" si="21"/>
        <v>88358.953050220982</v>
      </c>
      <c r="T43" s="101">
        <f t="shared" si="21"/>
        <v>87730.131516760288</v>
      </c>
      <c r="U43" s="101">
        <f t="shared" si="21"/>
        <v>87101.309983299579</v>
      </c>
      <c r="V43" s="101">
        <f t="shared" si="21"/>
        <v>86472.488449838856</v>
      </c>
      <c r="W43" s="101">
        <f t="shared" si="21"/>
        <v>85843.666916378163</v>
      </c>
      <c r="X43" s="101">
        <f t="shared" si="21"/>
        <v>85214.845382917454</v>
      </c>
      <c r="Y43" s="101">
        <f t="shared" si="21"/>
        <v>84586.023849456746</v>
      </c>
      <c r="Z43" s="101">
        <f t="shared" si="21"/>
        <v>83957.202315996037</v>
      </c>
      <c r="AA43" s="101">
        <f t="shared" si="21"/>
        <v>83328.380782535329</v>
      </c>
      <c r="AB43" s="101">
        <f t="shared" si="21"/>
        <v>82699.559249074635</v>
      </c>
      <c r="AC43" s="101">
        <f t="shared" si="21"/>
        <v>82051.682517630266</v>
      </c>
      <c r="AD43" s="101">
        <f t="shared" si="21"/>
        <v>81403.805786185912</v>
      </c>
      <c r="AE43" s="101">
        <f t="shared" si="21"/>
        <v>80755.929054741544</v>
      </c>
      <c r="AF43" s="101">
        <f t="shared" si="21"/>
        <v>80108.052323297175</v>
      </c>
      <c r="AG43" s="101">
        <f t="shared" si="21"/>
        <v>79460.175591852807</v>
      </c>
      <c r="AI43" s="197" t="s">
        <v>284</v>
      </c>
      <c r="AJ43" s="198" t="s">
        <v>422</v>
      </c>
      <c r="AL43" s="102"/>
      <c r="AM43" s="2"/>
      <c r="AN43" s="2"/>
      <c r="AO43" s="2"/>
    </row>
    <row r="44" spans="1:64" s="1" customFormat="1" ht="15.5" thickBot="1">
      <c r="A44" s="187" t="s">
        <v>1079</v>
      </c>
      <c r="B44" s="202" t="s">
        <v>1062</v>
      </c>
      <c r="C44" s="203">
        <f>SUM(C39:C43)</f>
        <v>122278.0685405432</v>
      </c>
      <c r="D44" s="203">
        <f t="shared" ref="D44:AF44" si="23">SUM(D39:D43)</f>
        <v>122258.33815501691</v>
      </c>
      <c r="E44" s="203">
        <f t="shared" si="23"/>
        <v>122238.60776949063</v>
      </c>
      <c r="F44" s="203">
        <f t="shared" si="23"/>
        <v>122218.87738396434</v>
      </c>
      <c r="G44" s="203">
        <f t="shared" si="23"/>
        <v>122199.14699843805</v>
      </c>
      <c r="H44" s="203">
        <f t="shared" si="23"/>
        <v>122179.41661291177</v>
      </c>
      <c r="I44" s="203">
        <f t="shared" si="23"/>
        <v>121530.12560003344</v>
      </c>
      <c r="J44" s="203">
        <f t="shared" si="23"/>
        <v>120880.83458715508</v>
      </c>
      <c r="K44" s="203">
        <f t="shared" si="23"/>
        <v>120231.54357427674</v>
      </c>
      <c r="L44" s="203">
        <f t="shared" si="23"/>
        <v>119582.2525613984</v>
      </c>
      <c r="M44" s="203">
        <f t="shared" si="23"/>
        <v>118932.96154852003</v>
      </c>
      <c r="N44" s="203">
        <f t="shared" si="23"/>
        <v>118257.74103947794</v>
      </c>
      <c r="O44" s="203">
        <f t="shared" si="23"/>
        <v>117582.52053043585</v>
      </c>
      <c r="P44" s="203">
        <f t="shared" si="23"/>
        <v>116867.78014847079</v>
      </c>
      <c r="Q44" s="203">
        <f t="shared" si="23"/>
        <v>116152.78949406081</v>
      </c>
      <c r="R44" s="203">
        <f t="shared" si="23"/>
        <v>115437.5485672059</v>
      </c>
      <c r="S44" s="203">
        <f t="shared" si="23"/>
        <v>114722.27502986114</v>
      </c>
      <c r="T44" s="203">
        <f t="shared" si="23"/>
        <v>114006.75122007147</v>
      </c>
      <c r="U44" s="203">
        <f t="shared" si="23"/>
        <v>113290.97713783686</v>
      </c>
      <c r="V44" s="203">
        <f t="shared" si="23"/>
        <v>112574.95278315732</v>
      </c>
      <c r="W44" s="203">
        <f t="shared" si="23"/>
        <v>111858.6781560329</v>
      </c>
      <c r="X44" s="203">
        <f t="shared" si="23"/>
        <v>111142.07699323952</v>
      </c>
      <c r="Y44" s="203">
        <f t="shared" si="23"/>
        <v>110425.22555800121</v>
      </c>
      <c r="Z44" s="203">
        <f t="shared" si="23"/>
        <v>109612.55453642004</v>
      </c>
      <c r="AA44" s="203">
        <f t="shared" si="23"/>
        <v>108798.00647150195</v>
      </c>
      <c r="AB44" s="203">
        <f t="shared" si="23"/>
        <v>107981.58136324698</v>
      </c>
      <c r="AC44" s="203">
        <f t="shared" si="23"/>
        <v>107144.11637863872</v>
      </c>
      <c r="AD44" s="203">
        <f t="shared" si="23"/>
        <v>106304.77435069355</v>
      </c>
      <c r="AE44" s="203">
        <f t="shared" si="23"/>
        <v>105463.55527941146</v>
      </c>
      <c r="AF44" s="203">
        <f t="shared" si="23"/>
        <v>104620.45916479247</v>
      </c>
      <c r="AG44" s="203">
        <f>SUM(AG39:AG43)</f>
        <v>103775.48600683657</v>
      </c>
      <c r="AJ44" s="151"/>
      <c r="AL44" s="207"/>
      <c r="AM44" s="118"/>
      <c r="AN44" s="118"/>
      <c r="AO44" s="118"/>
    </row>
    <row r="45" spans="1:64" ht="15.5" thickTop="1">
      <c r="B45" s="165"/>
      <c r="C45" s="196"/>
      <c r="D45" s="196"/>
      <c r="E45" s="196"/>
      <c r="F45" s="196"/>
      <c r="G45" s="196"/>
      <c r="H45" s="196"/>
      <c r="I45" s="196"/>
      <c r="J45" s="196"/>
      <c r="K45" s="196"/>
      <c r="L45" s="196"/>
      <c r="M45" s="196"/>
      <c r="N45" s="196"/>
      <c r="O45" s="196"/>
      <c r="P45" s="196"/>
      <c r="Q45" s="196"/>
      <c r="R45" s="196"/>
      <c r="S45" s="196"/>
      <c r="T45" s="196"/>
      <c r="U45" s="196"/>
      <c r="V45" s="196"/>
      <c r="W45" s="196"/>
      <c r="X45" s="196"/>
      <c r="Y45" s="196"/>
      <c r="Z45" s="196"/>
      <c r="AA45" s="196"/>
      <c r="AB45" s="196"/>
      <c r="AC45" s="196"/>
      <c r="AD45" s="196"/>
      <c r="AE45" s="196"/>
      <c r="AF45" s="196"/>
      <c r="AG45" s="196"/>
      <c r="AL45" s="102"/>
      <c r="AM45" s="2"/>
      <c r="AN45" s="2"/>
      <c r="AO45" s="2"/>
    </row>
    <row r="46" spans="1:64" s="187" customFormat="1" ht="15.5" thickBot="1">
      <c r="A46" s="187" t="s">
        <v>431</v>
      </c>
      <c r="B46" s="202" t="s">
        <v>126</v>
      </c>
      <c r="C46" s="208">
        <f>C49</f>
        <v>0.14200000000000002</v>
      </c>
      <c r="D46" s="208">
        <f t="shared" ref="D46:AG46" si="24">D49</f>
        <v>0.14849999999999999</v>
      </c>
      <c r="E46" s="208">
        <f t="shared" si="24"/>
        <v>0.155</v>
      </c>
      <c r="F46" s="208">
        <f t="shared" si="24"/>
        <v>0.16149999999999998</v>
      </c>
      <c r="G46" s="208">
        <f t="shared" si="24"/>
        <v>0.16800000000000001</v>
      </c>
      <c r="H46" s="208">
        <f t="shared" si="24"/>
        <v>0.17449999999999999</v>
      </c>
      <c r="I46" s="208">
        <f t="shared" si="24"/>
        <v>0.18099999999999999</v>
      </c>
      <c r="J46" s="208">
        <f t="shared" si="24"/>
        <v>0.1875</v>
      </c>
      <c r="K46" s="208">
        <f t="shared" si="24"/>
        <v>0.19400000000000001</v>
      </c>
      <c r="L46" s="208">
        <f t="shared" si="24"/>
        <v>0.20050000000000001</v>
      </c>
      <c r="M46" s="208">
        <f t="shared" si="24"/>
        <v>0.20700000000000002</v>
      </c>
      <c r="N46" s="208">
        <f t="shared" si="24"/>
        <v>0.22070000000000001</v>
      </c>
      <c r="O46" s="208">
        <f t="shared" si="24"/>
        <v>0.2344</v>
      </c>
      <c r="P46" s="208">
        <f t="shared" si="24"/>
        <v>0.24809999999999999</v>
      </c>
      <c r="Q46" s="208">
        <f t="shared" si="24"/>
        <v>0.26179999999999998</v>
      </c>
      <c r="R46" s="208">
        <f t="shared" si="24"/>
        <v>0.27549999999999997</v>
      </c>
      <c r="S46" s="208">
        <f t="shared" si="24"/>
        <v>0.28920000000000001</v>
      </c>
      <c r="T46" s="208">
        <f t="shared" si="24"/>
        <v>0.3029</v>
      </c>
      <c r="U46" s="208">
        <f t="shared" si="24"/>
        <v>0.31659999999999999</v>
      </c>
      <c r="V46" s="208">
        <f t="shared" si="24"/>
        <v>0.33030000000000004</v>
      </c>
      <c r="W46" s="208">
        <f t="shared" si="24"/>
        <v>0.34399999999999997</v>
      </c>
      <c r="X46" s="208">
        <f t="shared" si="24"/>
        <v>0.36692262658227848</v>
      </c>
      <c r="Y46" s="208">
        <f t="shared" si="24"/>
        <v>0.38984525316455698</v>
      </c>
      <c r="Z46" s="208">
        <f t="shared" si="24"/>
        <v>0.41276787974683543</v>
      </c>
      <c r="AA46" s="208">
        <f t="shared" si="24"/>
        <v>0.43569050632911388</v>
      </c>
      <c r="AB46" s="208">
        <f t="shared" si="24"/>
        <v>0.45861313291139238</v>
      </c>
      <c r="AC46" s="208">
        <f t="shared" si="24"/>
        <v>0.48153575949367089</v>
      </c>
      <c r="AD46" s="208">
        <f t="shared" si="24"/>
        <v>0.50445838607594939</v>
      </c>
      <c r="AE46" s="208">
        <f t="shared" si="24"/>
        <v>0.5273810126582279</v>
      </c>
      <c r="AF46" s="208">
        <f t="shared" si="24"/>
        <v>0.55030363924050629</v>
      </c>
      <c r="AG46" s="208">
        <f t="shared" si="24"/>
        <v>0.5732262658227848</v>
      </c>
      <c r="AJ46" s="217" t="s">
        <v>473</v>
      </c>
      <c r="AL46" s="204"/>
      <c r="AM46" s="205"/>
      <c r="AN46" s="205"/>
      <c r="AO46" s="205"/>
    </row>
    <row r="47" spans="1:64" ht="15.5" outlineLevel="1" thickTop="1">
      <c r="A47" t="s">
        <v>423</v>
      </c>
      <c r="B47" s="51" t="s">
        <v>126</v>
      </c>
      <c r="C47" s="107">
        <v>4.7E-2</v>
      </c>
      <c r="D47" s="104">
        <f>$C47+($M47-$C47)/10*(D$1-$C$1)</f>
        <v>5.0200000000000002E-2</v>
      </c>
      <c r="E47" s="104">
        <f t="shared" ref="E47:L48" si="25">$C47+($M47-$C47)/10*(E$1-$C$1)</f>
        <v>5.3400000000000003E-2</v>
      </c>
      <c r="F47" s="104">
        <f t="shared" si="25"/>
        <v>5.6599999999999998E-2</v>
      </c>
      <c r="G47" s="104">
        <f t="shared" si="25"/>
        <v>5.9799999999999999E-2</v>
      </c>
      <c r="H47" s="104">
        <f t="shared" si="25"/>
        <v>6.3E-2</v>
      </c>
      <c r="I47" s="104">
        <f t="shared" si="25"/>
        <v>6.6200000000000009E-2</v>
      </c>
      <c r="J47" s="104">
        <f t="shared" si="25"/>
        <v>6.9400000000000003E-2</v>
      </c>
      <c r="K47" s="104">
        <f t="shared" si="25"/>
        <v>7.2599999999999998E-2</v>
      </c>
      <c r="L47" s="104">
        <f t="shared" si="25"/>
        <v>7.5800000000000006E-2</v>
      </c>
      <c r="M47" s="107">
        <v>7.9000000000000001E-2</v>
      </c>
      <c r="N47" s="104">
        <f>$M47+($W47-$M47)/10*(N$1-$M$1)</f>
        <v>8.5100000000000009E-2</v>
      </c>
      <c r="O47" s="104">
        <f t="shared" ref="O47:U48" si="26">$M47+($W47-$M47)/10*(O$1-$M$1)</f>
        <v>9.1200000000000003E-2</v>
      </c>
      <c r="P47" s="104">
        <f t="shared" si="26"/>
        <v>9.7299999999999998E-2</v>
      </c>
      <c r="Q47" s="104">
        <f t="shared" si="26"/>
        <v>0.10340000000000001</v>
      </c>
      <c r="R47" s="104">
        <f t="shared" si="26"/>
        <v>0.10950000000000001</v>
      </c>
      <c r="S47" s="104">
        <f t="shared" si="26"/>
        <v>0.11560000000000001</v>
      </c>
      <c r="T47" s="104">
        <f t="shared" si="26"/>
        <v>0.1217</v>
      </c>
      <c r="U47" s="104">
        <f t="shared" si="26"/>
        <v>0.12780000000000002</v>
      </c>
      <c r="V47" s="104">
        <f>$M47+($W47-$M47)/10*(V$1-$M$1)</f>
        <v>0.13390000000000002</v>
      </c>
      <c r="W47" s="107">
        <v>0.14000000000000001</v>
      </c>
      <c r="X47" s="104">
        <f>$W47+($AG47-$W47)/10*(X$1-$W$1)</f>
        <v>0.15081012658227849</v>
      </c>
      <c r="Y47" s="104">
        <f t="shared" ref="Y47:AF48" si="27">$W47+($AG47-$W47)/10*(Y$1-$W$1)</f>
        <v>0.16162025316455697</v>
      </c>
      <c r="Z47" s="104">
        <f t="shared" si="27"/>
        <v>0.17243037974683545</v>
      </c>
      <c r="AA47" s="104">
        <f t="shared" si="27"/>
        <v>0.18324050632911396</v>
      </c>
      <c r="AB47" s="104">
        <f t="shared" si="27"/>
        <v>0.19405063291139243</v>
      </c>
      <c r="AC47" s="104">
        <f t="shared" si="27"/>
        <v>0.20486075949367091</v>
      </c>
      <c r="AD47" s="104">
        <f t="shared" si="27"/>
        <v>0.21567088607594942</v>
      </c>
      <c r="AE47" s="104">
        <f t="shared" si="27"/>
        <v>0.2264810126582279</v>
      </c>
      <c r="AF47" s="104">
        <f t="shared" si="27"/>
        <v>0.23729113924050638</v>
      </c>
      <c r="AG47" s="104">
        <f>(W47/M47)*W47</f>
        <v>0.24810126582278486</v>
      </c>
      <c r="AI47" s="126"/>
      <c r="AJ47" s="198" t="s">
        <v>484</v>
      </c>
      <c r="AL47" s="102"/>
      <c r="AM47" s="2"/>
      <c r="AN47" s="2"/>
      <c r="AO47" s="2"/>
      <c r="AV47" s="38"/>
    </row>
    <row r="48" spans="1:64" outlineLevel="1">
      <c r="A48" t="s">
        <v>425</v>
      </c>
      <c r="B48" s="51" t="s">
        <v>126</v>
      </c>
      <c r="C48" s="107">
        <v>9.5000000000000001E-2</v>
      </c>
      <c r="D48" s="104">
        <f>$C48+($M48-$C48)/10*(D$1-$C$1)</f>
        <v>9.8299999999999998E-2</v>
      </c>
      <c r="E48" s="104">
        <f t="shared" si="25"/>
        <v>0.1016</v>
      </c>
      <c r="F48" s="104">
        <f t="shared" si="25"/>
        <v>0.10489999999999999</v>
      </c>
      <c r="G48" s="104">
        <f t="shared" si="25"/>
        <v>0.1082</v>
      </c>
      <c r="H48" s="104">
        <f t="shared" si="25"/>
        <v>0.1115</v>
      </c>
      <c r="I48" s="104">
        <f t="shared" si="25"/>
        <v>0.1148</v>
      </c>
      <c r="J48" s="104">
        <f t="shared" si="25"/>
        <v>0.1181</v>
      </c>
      <c r="K48" s="104">
        <f t="shared" si="25"/>
        <v>0.12140000000000001</v>
      </c>
      <c r="L48" s="104">
        <f t="shared" si="25"/>
        <v>0.12470000000000001</v>
      </c>
      <c r="M48" s="107">
        <v>0.128</v>
      </c>
      <c r="N48" s="104">
        <f>$M48+($W48-$M48)/10*(N$1-$M$1)</f>
        <v>0.1356</v>
      </c>
      <c r="O48" s="104">
        <f t="shared" si="26"/>
        <v>0.14319999999999999</v>
      </c>
      <c r="P48" s="104">
        <f t="shared" si="26"/>
        <v>0.15079999999999999</v>
      </c>
      <c r="Q48" s="104">
        <f t="shared" si="26"/>
        <v>0.15839999999999999</v>
      </c>
      <c r="R48" s="104">
        <f t="shared" si="26"/>
        <v>0.16599999999999998</v>
      </c>
      <c r="S48" s="104">
        <f t="shared" si="26"/>
        <v>0.17359999999999998</v>
      </c>
      <c r="T48" s="104">
        <f t="shared" si="26"/>
        <v>0.1812</v>
      </c>
      <c r="U48" s="104">
        <f t="shared" si="26"/>
        <v>0.1888</v>
      </c>
      <c r="V48" s="104">
        <f>$M48+($W48-$M48)/10*(V$1-$M$1)</f>
        <v>0.19639999999999999</v>
      </c>
      <c r="W48" s="107">
        <v>0.20399999999999999</v>
      </c>
      <c r="X48" s="104">
        <f>$W48+($AG48-$W48)/10*(X$1-$W$1)</f>
        <v>0.21611249999999999</v>
      </c>
      <c r="Y48" s="104">
        <f t="shared" si="27"/>
        <v>0.22822499999999998</v>
      </c>
      <c r="Z48" s="104">
        <f t="shared" si="27"/>
        <v>0.24033749999999998</v>
      </c>
      <c r="AA48" s="104">
        <f t="shared" si="27"/>
        <v>0.25244999999999995</v>
      </c>
      <c r="AB48" s="104">
        <f t="shared" si="27"/>
        <v>0.26456249999999998</v>
      </c>
      <c r="AC48" s="104">
        <f t="shared" si="27"/>
        <v>0.27667499999999995</v>
      </c>
      <c r="AD48" s="104">
        <f t="shared" si="27"/>
        <v>0.28878749999999997</v>
      </c>
      <c r="AE48" s="104">
        <f t="shared" si="27"/>
        <v>0.30089999999999995</v>
      </c>
      <c r="AF48" s="104">
        <f t="shared" si="27"/>
        <v>0.31301249999999992</v>
      </c>
      <c r="AG48" s="104">
        <f>(W48/M48)*W48</f>
        <v>0.32512499999999994</v>
      </c>
      <c r="AI48" s="126"/>
      <c r="AJ48" s="198" t="s">
        <v>484</v>
      </c>
      <c r="AL48" s="102"/>
      <c r="AM48" s="2"/>
      <c r="AN48" s="2"/>
      <c r="AO48" s="2"/>
      <c r="AV48" s="38"/>
    </row>
    <row r="49" spans="1:63" outlineLevel="1">
      <c r="A49" t="s">
        <v>424</v>
      </c>
      <c r="B49" s="165" t="s">
        <v>126</v>
      </c>
      <c r="C49" s="104">
        <f>C47+C48</f>
        <v>0.14200000000000002</v>
      </c>
      <c r="D49" s="104">
        <f t="shared" ref="D49:AF49" si="28">D47+D48</f>
        <v>0.14849999999999999</v>
      </c>
      <c r="E49" s="104">
        <f t="shared" si="28"/>
        <v>0.155</v>
      </c>
      <c r="F49" s="104">
        <f t="shared" si="28"/>
        <v>0.16149999999999998</v>
      </c>
      <c r="G49" s="104">
        <f t="shared" si="28"/>
        <v>0.16800000000000001</v>
      </c>
      <c r="H49" s="104">
        <f t="shared" si="28"/>
        <v>0.17449999999999999</v>
      </c>
      <c r="I49" s="104">
        <f t="shared" si="28"/>
        <v>0.18099999999999999</v>
      </c>
      <c r="J49" s="104">
        <f t="shared" si="28"/>
        <v>0.1875</v>
      </c>
      <c r="K49" s="104">
        <f t="shared" si="28"/>
        <v>0.19400000000000001</v>
      </c>
      <c r="L49" s="104">
        <f t="shared" si="28"/>
        <v>0.20050000000000001</v>
      </c>
      <c r="M49" s="104">
        <f t="shared" si="28"/>
        <v>0.20700000000000002</v>
      </c>
      <c r="N49" s="104">
        <f t="shared" si="28"/>
        <v>0.22070000000000001</v>
      </c>
      <c r="O49" s="104">
        <f t="shared" si="28"/>
        <v>0.2344</v>
      </c>
      <c r="P49" s="104">
        <f t="shared" si="28"/>
        <v>0.24809999999999999</v>
      </c>
      <c r="Q49" s="104">
        <f t="shared" si="28"/>
        <v>0.26179999999999998</v>
      </c>
      <c r="R49" s="104">
        <f t="shared" si="28"/>
        <v>0.27549999999999997</v>
      </c>
      <c r="S49" s="104">
        <f t="shared" si="28"/>
        <v>0.28920000000000001</v>
      </c>
      <c r="T49" s="104">
        <f t="shared" si="28"/>
        <v>0.3029</v>
      </c>
      <c r="U49" s="104">
        <f t="shared" si="28"/>
        <v>0.31659999999999999</v>
      </c>
      <c r="V49" s="104">
        <f t="shared" si="28"/>
        <v>0.33030000000000004</v>
      </c>
      <c r="W49" s="104">
        <f t="shared" si="28"/>
        <v>0.34399999999999997</v>
      </c>
      <c r="X49" s="104">
        <f t="shared" si="28"/>
        <v>0.36692262658227848</v>
      </c>
      <c r="Y49" s="104">
        <f t="shared" si="28"/>
        <v>0.38984525316455698</v>
      </c>
      <c r="Z49" s="104">
        <f t="shared" si="28"/>
        <v>0.41276787974683543</v>
      </c>
      <c r="AA49" s="104">
        <f t="shared" si="28"/>
        <v>0.43569050632911388</v>
      </c>
      <c r="AB49" s="104">
        <f t="shared" si="28"/>
        <v>0.45861313291139238</v>
      </c>
      <c r="AC49" s="104">
        <f t="shared" si="28"/>
        <v>0.48153575949367089</v>
      </c>
      <c r="AD49" s="104">
        <f t="shared" si="28"/>
        <v>0.50445838607594939</v>
      </c>
      <c r="AE49" s="104">
        <f t="shared" si="28"/>
        <v>0.5273810126582279</v>
      </c>
      <c r="AF49" s="104">
        <f t="shared" si="28"/>
        <v>0.55030363924050629</v>
      </c>
      <c r="AG49" s="104">
        <f>AG47+AG48</f>
        <v>0.5732262658227848</v>
      </c>
      <c r="AI49" s="126"/>
      <c r="AJ49" s="198"/>
      <c r="AL49" s="102"/>
      <c r="AM49" s="2"/>
      <c r="AN49" s="2"/>
      <c r="AO49" s="2"/>
    </row>
    <row r="50" spans="1:63" outlineLevel="1">
      <c r="C50" s="107"/>
      <c r="D50" s="104"/>
      <c r="E50" s="104"/>
      <c r="F50" s="104"/>
      <c r="G50" s="104"/>
      <c r="H50" s="104"/>
      <c r="I50" s="104"/>
      <c r="J50" s="104"/>
      <c r="K50" s="104"/>
      <c r="L50" s="104"/>
      <c r="M50" s="107"/>
      <c r="N50" s="104"/>
      <c r="O50" s="104"/>
      <c r="P50" s="104"/>
      <c r="Q50" s="104"/>
      <c r="R50" s="104"/>
      <c r="S50" s="104"/>
      <c r="T50" s="104"/>
      <c r="U50" s="104"/>
      <c r="V50" s="104"/>
      <c r="W50" s="107"/>
      <c r="X50" s="104"/>
      <c r="Y50" s="104"/>
      <c r="Z50" s="104"/>
      <c r="AA50" s="104"/>
      <c r="AB50" s="104"/>
      <c r="AC50" s="104"/>
      <c r="AD50" s="104"/>
      <c r="AE50" s="104"/>
      <c r="AF50" s="104"/>
      <c r="AG50" s="107"/>
      <c r="AI50" s="126"/>
      <c r="AJ50" s="198"/>
      <c r="AL50" s="102"/>
      <c r="AM50" s="2"/>
      <c r="AN50" s="2"/>
      <c r="AO50" s="2"/>
      <c r="AV50" s="38"/>
    </row>
    <row r="51" spans="1:63" outlineLevel="1">
      <c r="A51" t="s">
        <v>438</v>
      </c>
      <c r="B51" s="51" t="s">
        <v>126</v>
      </c>
      <c r="C51" s="104">
        <f>'Ethylene Recycling HC'!C54</f>
        <v>0.11499935012302656</v>
      </c>
      <c r="D51" s="104">
        <f>'Ethylene Recycling HC'!D54</f>
        <v>0.11283270511892568</v>
      </c>
      <c r="E51" s="104">
        <f>'Ethylene Recycling HC'!E54</f>
        <v>0.1106660601148248</v>
      </c>
      <c r="F51" s="104">
        <f>'Ethylene Recycling HC'!F54</f>
        <v>0.10849941511072392</v>
      </c>
      <c r="G51" s="104">
        <f>'Ethylene Recycling HC'!G54</f>
        <v>0.10633277010662304</v>
      </c>
      <c r="H51" s="104">
        <f>'Ethylene Recycling HC'!H54</f>
        <v>0.10416612510252216</v>
      </c>
      <c r="I51" s="104">
        <f>'Ethylene Recycling HC'!I54</f>
        <v>0.10199948009842127</v>
      </c>
      <c r="J51" s="104">
        <f>'Ethylene Recycling HC'!J54</f>
        <v>9.9832835094320393E-2</v>
      </c>
      <c r="K51" s="104">
        <f>'Ethylene Recycling HC'!K54</f>
        <v>9.7666190090219512E-2</v>
      </c>
      <c r="L51" s="104">
        <f>'Ethylene Recycling HC'!L54</f>
        <v>9.5499545086118631E-2</v>
      </c>
      <c r="M51" s="104">
        <f>'Ethylene Recycling HC'!M54</f>
        <v>9.333290008201775E-2</v>
      </c>
      <c r="N51" s="104">
        <f>'Ethylene Recycling HC'!N54</f>
        <v>9.1166255077916869E-2</v>
      </c>
      <c r="O51" s="104">
        <f>'Ethylene Recycling HC'!O54</f>
        <v>8.8999610073815988E-2</v>
      </c>
      <c r="P51" s="104">
        <f>'Ethylene Recycling HC'!P54</f>
        <v>8.6832965069715107E-2</v>
      </c>
      <c r="Q51" s="104">
        <f>'Ethylene Recycling HC'!Q54</f>
        <v>8.4666320065614226E-2</v>
      </c>
      <c r="R51" s="104">
        <f>'Ethylene Recycling HC'!R54</f>
        <v>8.2499675061513345E-2</v>
      </c>
      <c r="S51" s="104">
        <f>'Ethylene Recycling HC'!S54</f>
        <v>8.0333030057412463E-2</v>
      </c>
      <c r="T51" s="104">
        <f>'Ethylene Recycling HC'!T54</f>
        <v>7.8166385053311582E-2</v>
      </c>
      <c r="U51" s="104">
        <f>'Ethylene Recycling HC'!U54</f>
        <v>7.5999740049210701E-2</v>
      </c>
      <c r="V51" s="104">
        <f>'Ethylene Recycling HC'!V54</f>
        <v>7.383309504510982E-2</v>
      </c>
      <c r="W51" s="104">
        <f>'Ethylene Recycling HC'!W54</f>
        <v>7.1666450041008939E-2</v>
      </c>
      <c r="X51" s="104">
        <f>'Ethylene Recycling HC'!X54</f>
        <v>6.9499805036908058E-2</v>
      </c>
      <c r="Y51" s="104">
        <f>'Ethylene Recycling HC'!Y54</f>
        <v>6.7333160032807177E-2</v>
      </c>
      <c r="Z51" s="104">
        <f>'Ethylene Recycling HC'!Z54</f>
        <v>6.5166515028706296E-2</v>
      </c>
      <c r="AA51" s="104">
        <f>'Ethylene Recycling HC'!AA54</f>
        <v>6.2999870024605414E-2</v>
      </c>
      <c r="AB51" s="104">
        <f>'Ethylene Recycling HC'!AB54</f>
        <v>6.0833225020504526E-2</v>
      </c>
      <c r="AC51" s="104">
        <f>'Ethylene Recycling HC'!AC54</f>
        <v>5.8666580016403638E-2</v>
      </c>
      <c r="AD51" s="104">
        <f>'Ethylene Recycling HC'!AD54</f>
        <v>5.649993501230275E-2</v>
      </c>
      <c r="AE51" s="104">
        <f>'Ethylene Recycling HC'!AE54</f>
        <v>5.4333290008201862E-2</v>
      </c>
      <c r="AF51" s="104">
        <f>'Ethylene Recycling HC'!AF54</f>
        <v>5.2166645004100974E-2</v>
      </c>
      <c r="AG51" s="104">
        <f>'Ethylene Recycling HC'!AG54</f>
        <v>0.05</v>
      </c>
      <c r="AI51" s="126"/>
      <c r="AJ51" s="198" t="s">
        <v>832</v>
      </c>
      <c r="AL51" s="102"/>
      <c r="AM51" s="2"/>
      <c r="AN51" s="2"/>
      <c r="AO51" s="2"/>
      <c r="AV51" s="38"/>
    </row>
    <row r="52" spans="1:63" outlineLevel="1">
      <c r="A52" t="s">
        <v>439</v>
      </c>
      <c r="C52" s="104">
        <f>'Ethylene Recycling HC'!C55</f>
        <v>0.13791632052401978</v>
      </c>
      <c r="D52" s="104">
        <f>'Ethylene Recycling HC'!D55</f>
        <v>0.13791632052401978</v>
      </c>
      <c r="E52" s="104">
        <f>'Ethylene Recycling HC'!E55</f>
        <v>0.13791632052401978</v>
      </c>
      <c r="F52" s="104">
        <f>'Ethylene Recycling HC'!F55</f>
        <v>0.13791632052401978</v>
      </c>
      <c r="G52" s="104">
        <f>'Ethylene Recycling HC'!G55</f>
        <v>0.13791632052401978</v>
      </c>
      <c r="H52" s="104">
        <f>'Ethylene Recycling HC'!H55</f>
        <v>0.13791632052401978</v>
      </c>
      <c r="I52" s="104">
        <f>'Ethylene Recycling HC'!I55</f>
        <v>0.13791632052401978</v>
      </c>
      <c r="J52" s="104">
        <f>'Ethylene Recycling HC'!J55</f>
        <v>0.13791632052401978</v>
      </c>
      <c r="K52" s="104">
        <f>'Ethylene Recycling HC'!K55</f>
        <v>0.13791632052401978</v>
      </c>
      <c r="L52" s="104">
        <f>'Ethylene Recycling HC'!L55</f>
        <v>0.13791632052401978</v>
      </c>
      <c r="M52" s="104">
        <f>'Ethylene Recycling HC'!M55</f>
        <v>0.13791632052401978</v>
      </c>
      <c r="N52" s="104">
        <f>'Ethylene Recycling HC'!N55</f>
        <v>0.13791632052401978</v>
      </c>
      <c r="O52" s="104">
        <f>'Ethylene Recycling HC'!O55</f>
        <v>0.13791632052401978</v>
      </c>
      <c r="P52" s="104">
        <f>'Ethylene Recycling HC'!P55</f>
        <v>0.13791632052401978</v>
      </c>
      <c r="Q52" s="104">
        <f>'Ethylene Recycling HC'!Q55</f>
        <v>0.13791632052401978</v>
      </c>
      <c r="R52" s="104">
        <f>'Ethylene Recycling HC'!R55</f>
        <v>0.13791632052401978</v>
      </c>
      <c r="S52" s="104">
        <f>'Ethylene Recycling HC'!S55</f>
        <v>0.13791632052401978</v>
      </c>
      <c r="T52" s="104">
        <f>'Ethylene Recycling HC'!T55</f>
        <v>0.13791632052401978</v>
      </c>
      <c r="U52" s="104">
        <f>'Ethylene Recycling HC'!U55</f>
        <v>0.13791632052401978</v>
      </c>
      <c r="V52" s="104">
        <f>'Ethylene Recycling HC'!V55</f>
        <v>0.13791632052401978</v>
      </c>
      <c r="W52" s="104">
        <f>'Ethylene Recycling HC'!W55</f>
        <v>0.13791632052401978</v>
      </c>
      <c r="X52" s="104">
        <f>'Ethylene Recycling HC'!X55</f>
        <v>0.13791632052401978</v>
      </c>
      <c r="Y52" s="104">
        <f>'Ethylene Recycling HC'!Y55</f>
        <v>0.13791632052401978</v>
      </c>
      <c r="Z52" s="104">
        <f>'Ethylene Recycling HC'!Z55</f>
        <v>0.13791632052401978</v>
      </c>
      <c r="AA52" s="104">
        <f>'Ethylene Recycling HC'!AA55</f>
        <v>0.13791632052401978</v>
      </c>
      <c r="AB52" s="104">
        <f>'Ethylene Recycling HC'!AB55</f>
        <v>0.13791632052401978</v>
      </c>
      <c r="AC52" s="104">
        <f>'Ethylene Recycling HC'!AC55</f>
        <v>0.13791632052401978</v>
      </c>
      <c r="AD52" s="104">
        <f>'Ethylene Recycling HC'!AD55</f>
        <v>0.13791632052401978</v>
      </c>
      <c r="AE52" s="104">
        <f>'Ethylene Recycling HC'!AE55</f>
        <v>0.13791632052401978</v>
      </c>
      <c r="AF52" s="104">
        <f>'Ethylene Recycling HC'!AF55</f>
        <v>0.13791632052401978</v>
      </c>
      <c r="AG52" s="104">
        <f>'Ethylene Recycling HC'!AG55</f>
        <v>0.13791632052401978</v>
      </c>
      <c r="AI52" s="126"/>
      <c r="AJ52" s="198" t="s">
        <v>832</v>
      </c>
      <c r="AL52" s="102"/>
      <c r="AM52" s="2"/>
      <c r="AN52" s="2"/>
      <c r="AO52" s="2"/>
      <c r="AV52" s="38"/>
    </row>
    <row r="53" spans="1:63" outlineLevel="1">
      <c r="A53" t="s">
        <v>831</v>
      </c>
      <c r="B53" s="51" t="s">
        <v>126</v>
      </c>
      <c r="C53" s="104">
        <f>'Ethylene Recycling HC'!C56</f>
        <v>0.10855071452136934</v>
      </c>
      <c r="D53" s="104">
        <f>'Ethylene Recycling HC'!D56</f>
        <v>0.10855071452136934</v>
      </c>
      <c r="E53" s="104">
        <f>'Ethylene Recycling HC'!E56</f>
        <v>0.10855071452136934</v>
      </c>
      <c r="F53" s="104">
        <f>'Ethylene Recycling HC'!F56</f>
        <v>0.10855071452136934</v>
      </c>
      <c r="G53" s="104">
        <f>'Ethylene Recycling HC'!G56</f>
        <v>0.10855071452136934</v>
      </c>
      <c r="H53" s="104">
        <f>'Ethylene Recycling HC'!H56</f>
        <v>0.10855071452136934</v>
      </c>
      <c r="I53" s="104">
        <f>'Ethylene Recycling HC'!I56</f>
        <v>0.10855071452136934</v>
      </c>
      <c r="J53" s="104">
        <f>'Ethylene Recycling HC'!J56</f>
        <v>0.10855071452136934</v>
      </c>
      <c r="K53" s="104">
        <f>'Ethylene Recycling HC'!K56</f>
        <v>0.10855071452136934</v>
      </c>
      <c r="L53" s="104">
        <f>'Ethylene Recycling HC'!L56</f>
        <v>0.10855071452136934</v>
      </c>
      <c r="M53" s="104">
        <f>'Ethylene Recycling HC'!M56</f>
        <v>0.10855071452136934</v>
      </c>
      <c r="N53" s="104">
        <f>'Ethylene Recycling HC'!N56</f>
        <v>0.10855071452136934</v>
      </c>
      <c r="O53" s="104">
        <f>'Ethylene Recycling HC'!O56</f>
        <v>0.10855071452136934</v>
      </c>
      <c r="P53" s="104">
        <f>'Ethylene Recycling HC'!P56</f>
        <v>0.10855071452136934</v>
      </c>
      <c r="Q53" s="104">
        <f>'Ethylene Recycling HC'!Q56</f>
        <v>0.10855071452136934</v>
      </c>
      <c r="R53" s="104">
        <f>'Ethylene Recycling HC'!R56</f>
        <v>0.10855071452136934</v>
      </c>
      <c r="S53" s="104">
        <f>'Ethylene Recycling HC'!S56</f>
        <v>0.10855071452136934</v>
      </c>
      <c r="T53" s="104">
        <f>'Ethylene Recycling HC'!T56</f>
        <v>0.10855071452136934</v>
      </c>
      <c r="U53" s="104">
        <f>'Ethylene Recycling HC'!U56</f>
        <v>0.10855071452136934</v>
      </c>
      <c r="V53" s="104">
        <f>'Ethylene Recycling HC'!V56</f>
        <v>0.10855071452136934</v>
      </c>
      <c r="W53" s="104">
        <f>'Ethylene Recycling HC'!W56</f>
        <v>0.10855071452136934</v>
      </c>
      <c r="X53" s="104">
        <f>'Ethylene Recycling HC'!X56</f>
        <v>0.10855071452136934</v>
      </c>
      <c r="Y53" s="104">
        <f>'Ethylene Recycling HC'!Y56</f>
        <v>0.10855071452136934</v>
      </c>
      <c r="Z53" s="104">
        <f>'Ethylene Recycling HC'!Z56</f>
        <v>0.10855071452136934</v>
      </c>
      <c r="AA53" s="104">
        <f>'Ethylene Recycling HC'!AA56</f>
        <v>0.10855071452136934</v>
      </c>
      <c r="AB53" s="104">
        <f>'Ethylene Recycling HC'!AB56</f>
        <v>0.10855071452136934</v>
      </c>
      <c r="AC53" s="104">
        <f>'Ethylene Recycling HC'!AC56</f>
        <v>0.10855071452136934</v>
      </c>
      <c r="AD53" s="104">
        <f>'Ethylene Recycling HC'!AD56</f>
        <v>0.10855071452136934</v>
      </c>
      <c r="AE53" s="104">
        <f>'Ethylene Recycling HC'!AE56</f>
        <v>0.10855071452136934</v>
      </c>
      <c r="AF53" s="104">
        <f>'Ethylene Recycling HC'!AF56</f>
        <v>0.10855071452136934</v>
      </c>
      <c r="AG53" s="104">
        <f>'Ethylene Recycling HC'!AG56</f>
        <v>0.10855071452136934</v>
      </c>
      <c r="AI53" s="126"/>
      <c r="AJ53" s="198" t="s">
        <v>832</v>
      </c>
      <c r="AL53" s="102"/>
      <c r="AM53" s="2"/>
      <c r="AN53" s="2"/>
      <c r="AO53" s="2"/>
      <c r="AV53" s="38"/>
    </row>
    <row r="54" spans="1:63" outlineLevel="1">
      <c r="A54" t="s">
        <v>440</v>
      </c>
      <c r="B54" s="51" t="s">
        <v>126</v>
      </c>
      <c r="C54" s="104">
        <f>'Ethylene Recycling HC'!C57</f>
        <v>0.63853361483158433</v>
      </c>
      <c r="D54" s="104">
        <f>'Ethylene Recycling HC'!D57</f>
        <v>0.64070025983568524</v>
      </c>
      <c r="E54" s="104">
        <f>'Ethylene Recycling HC'!E57</f>
        <v>0.64286690483978604</v>
      </c>
      <c r="F54" s="104">
        <f>'Ethylene Recycling HC'!F57</f>
        <v>0.64503354984388694</v>
      </c>
      <c r="G54" s="104">
        <f>'Ethylene Recycling HC'!G57</f>
        <v>0.64720019484798785</v>
      </c>
      <c r="H54" s="104">
        <f>'Ethylene Recycling HC'!H57</f>
        <v>0.64936683985208865</v>
      </c>
      <c r="I54" s="104">
        <f>'Ethylene Recycling HC'!I57</f>
        <v>0.65153348485618956</v>
      </c>
      <c r="J54" s="104">
        <f>'Ethylene Recycling HC'!J57</f>
        <v>0.65370012986029047</v>
      </c>
      <c r="K54" s="104">
        <f>'Ethylene Recycling HC'!K57</f>
        <v>0.65586677486439138</v>
      </c>
      <c r="L54" s="104">
        <f>'Ethylene Recycling HC'!L57</f>
        <v>0.65803341986849229</v>
      </c>
      <c r="M54" s="104">
        <f>'Ethylene Recycling HC'!M57</f>
        <v>0.66020006487259308</v>
      </c>
      <c r="N54" s="104">
        <f>'Ethylene Recycling HC'!N57</f>
        <v>0.66236670987669399</v>
      </c>
      <c r="O54" s="104">
        <f>'Ethylene Recycling HC'!O57</f>
        <v>0.6645333548807949</v>
      </c>
      <c r="P54" s="104">
        <f>'Ethylene Recycling HC'!P57</f>
        <v>0.6666999998848957</v>
      </c>
      <c r="Q54" s="104">
        <f>'Ethylene Recycling HC'!Q57</f>
        <v>0.66886664488899661</v>
      </c>
      <c r="R54" s="104">
        <f>'Ethylene Recycling HC'!R57</f>
        <v>0.67103328989309752</v>
      </c>
      <c r="S54" s="104">
        <f>'Ethylene Recycling HC'!S57</f>
        <v>0.67319993489719843</v>
      </c>
      <c r="T54" s="104">
        <f>'Ethylene Recycling HC'!T57</f>
        <v>0.67536657990129934</v>
      </c>
      <c r="U54" s="104">
        <f>'Ethylene Recycling HC'!U57</f>
        <v>0.67753322490540013</v>
      </c>
      <c r="V54" s="104">
        <f>'Ethylene Recycling HC'!V57</f>
        <v>0.67969986990950104</v>
      </c>
      <c r="W54" s="104">
        <f>'Ethylene Recycling HC'!W57</f>
        <v>0.68186651491360195</v>
      </c>
      <c r="X54" s="104">
        <f>'Ethylene Recycling HC'!X57</f>
        <v>0.68403315991770275</v>
      </c>
      <c r="Y54" s="104">
        <f>'Ethylene Recycling HC'!Y57</f>
        <v>0.68619980492180366</v>
      </c>
      <c r="Z54" s="104">
        <f>'Ethylene Recycling HC'!Z57</f>
        <v>0.68836644992590457</v>
      </c>
      <c r="AA54" s="104">
        <f>'Ethylene Recycling HC'!AA57</f>
        <v>0.69053309493000548</v>
      </c>
      <c r="AB54" s="104">
        <f>'Ethylene Recycling HC'!AB57</f>
        <v>0.69269973993410638</v>
      </c>
      <c r="AC54" s="104">
        <f>'Ethylene Recycling HC'!AC57</f>
        <v>0.69486638493820718</v>
      </c>
      <c r="AD54" s="104">
        <f>'Ethylene Recycling HC'!AD57</f>
        <v>0.69703302994230809</v>
      </c>
      <c r="AE54" s="104">
        <f>'Ethylene Recycling HC'!AE57</f>
        <v>0.699199674946409</v>
      </c>
      <c r="AF54" s="104">
        <f>'Ethylene Recycling HC'!AF57</f>
        <v>0.70136631995050991</v>
      </c>
      <c r="AG54" s="104">
        <f>'Ethylene Recycling HC'!AG57</f>
        <v>0.70353296495461082</v>
      </c>
      <c r="AI54" s="126"/>
      <c r="AJ54" s="198" t="s">
        <v>832</v>
      </c>
      <c r="AL54" s="102"/>
      <c r="AM54" s="2"/>
      <c r="AN54" s="2"/>
      <c r="AO54" s="2"/>
      <c r="AV54" s="38"/>
    </row>
    <row r="55" spans="1:63" outlineLevel="1">
      <c r="A55" t="s">
        <v>438</v>
      </c>
      <c r="B55" s="51" t="s">
        <v>126</v>
      </c>
      <c r="C55" s="104">
        <f>'Ethylene Recycling HC'!C58</f>
        <v>1.0924938261687523E-2</v>
      </c>
      <c r="D55" s="104">
        <f>'Ethylene Recycling HC'!D58</f>
        <v>1.1091454913190394E-2</v>
      </c>
      <c r="E55" s="104">
        <f>'Ethylene Recycling HC'!E58</f>
        <v>1.1243671707666198E-2</v>
      </c>
      <c r="F55" s="104">
        <f>'Ethylene Recycling HC'!F58</f>
        <v>1.1381588645114939E-2</v>
      </c>
      <c r="G55" s="104">
        <f>'Ethylene Recycling HC'!G58</f>
        <v>1.1505205725536613E-2</v>
      </c>
      <c r="H55" s="104">
        <f>'Ethylene Recycling HC'!H58</f>
        <v>1.161452294893122E-2</v>
      </c>
      <c r="I55" s="104">
        <f>'Ethylene Recycling HC'!I58</f>
        <v>1.1709540315298762E-2</v>
      </c>
      <c r="J55" s="104">
        <f>'Ethylene Recycling HC'!J58</f>
        <v>1.1790257824639237E-2</v>
      </c>
      <c r="K55" s="104">
        <f>'Ethylene Recycling HC'!K58</f>
        <v>1.185667547695265E-2</v>
      </c>
      <c r="L55" s="104">
        <f>'Ethylene Recycling HC'!L58</f>
        <v>1.1908793272238994E-2</v>
      </c>
      <c r="M55" s="104">
        <f>'Ethylene Recycling HC'!M58</f>
        <v>1.1946611210498273E-2</v>
      </c>
      <c r="N55" s="104">
        <f>'Ethylene Recycling HC'!N58</f>
        <v>1.2362144188565528E-2</v>
      </c>
      <c r="O55" s="104">
        <f>'Ethylene Recycling HC'!O58</f>
        <v>1.2744744162570449E-2</v>
      </c>
      <c r="P55" s="104">
        <f>'Ethylene Recycling HC'!P58</f>
        <v>1.3094411132513037E-2</v>
      </c>
      <c r="Q55" s="104">
        <f>'Ethylene Recycling HC'!Q58</f>
        <v>1.3411145098393293E-2</v>
      </c>
      <c r="R55" s="104">
        <f>'Ethylene Recycling HC'!R58</f>
        <v>1.3694946060211214E-2</v>
      </c>
      <c r="S55" s="104">
        <f>'Ethylene Recycling HC'!S58</f>
        <v>1.3945814017966802E-2</v>
      </c>
      <c r="T55" s="104">
        <f>'Ethylene Recycling HC'!T58</f>
        <v>1.4163748971660058E-2</v>
      </c>
      <c r="U55" s="104">
        <f>'Ethylene Recycling HC'!U58</f>
        <v>1.434875092129098E-2</v>
      </c>
      <c r="V55" s="104">
        <f>'Ethylene Recycling HC'!V58</f>
        <v>1.4500819866859568E-2</v>
      </c>
      <c r="W55" s="104">
        <f>'Ethylene Recycling HC'!W58</f>
        <v>1.4619955808365823E-2</v>
      </c>
      <c r="X55" s="104">
        <f>'Ethylene Recycling HC'!X58</f>
        <v>1.5019776616038791E-2</v>
      </c>
      <c r="Y55" s="104">
        <f>'Ethylene Recycling HC'!Y58</f>
        <v>1.5367110448487417E-2</v>
      </c>
      <c r="Z55" s="104">
        <f>'Ethylene Recycling HC'!Z58</f>
        <v>1.56619573057117E-2</v>
      </c>
      <c r="AA55" s="104">
        <f>'Ethylene Recycling HC'!AA58</f>
        <v>1.5904317187711636E-2</v>
      </c>
      <c r="AB55" s="104">
        <f>'Ethylene Recycling HC'!AB58</f>
        <v>1.6094190094487228E-2</v>
      </c>
      <c r="AC55" s="104">
        <f>'Ethylene Recycling HC'!AC58</f>
        <v>1.6231576026038474E-2</v>
      </c>
      <c r="AD55" s="104">
        <f>'Ethylene Recycling HC'!AD58</f>
        <v>1.6316474982365377E-2</v>
      </c>
      <c r="AE55" s="104">
        <f>'Ethylene Recycling HC'!AE58</f>
        <v>1.6348886963467937E-2</v>
      </c>
      <c r="AF55" s="104">
        <f>'Ethylene Recycling HC'!AF58</f>
        <v>1.6328811969346151E-2</v>
      </c>
      <c r="AG55" s="104">
        <f>'Ethylene Recycling HC'!AG58</f>
        <v>1.6256249999999996E-2</v>
      </c>
      <c r="AH55" s="252"/>
      <c r="AI55" s="126"/>
      <c r="AJ55" s="198"/>
      <c r="AL55" s="102"/>
      <c r="AM55" s="2"/>
      <c r="AN55" s="2"/>
      <c r="AO55" s="2"/>
    </row>
    <row r="56" spans="1:63" outlineLevel="1">
      <c r="A56" t="s">
        <v>439</v>
      </c>
      <c r="B56" s="51" t="s">
        <v>126</v>
      </c>
      <c r="C56" s="104">
        <f>'Ethylene Recycling HC'!C59</f>
        <v>1.3102050449781879E-2</v>
      </c>
      <c r="D56" s="104">
        <f>'Ethylene Recycling HC'!D59</f>
        <v>1.3557174307511145E-2</v>
      </c>
      <c r="E56" s="104">
        <f>'Ethylene Recycling HC'!E59</f>
        <v>1.4012298165240409E-2</v>
      </c>
      <c r="F56" s="104">
        <f>'Ethylene Recycling HC'!F59</f>
        <v>1.4467422022969674E-2</v>
      </c>
      <c r="G56" s="104">
        <f>'Ethylene Recycling HC'!G59</f>
        <v>1.4922545880698941E-2</v>
      </c>
      <c r="H56" s="104">
        <f>'Ethylene Recycling HC'!H59</f>
        <v>1.5377669738428206E-2</v>
      </c>
      <c r="I56" s="104">
        <f>'Ethylene Recycling HC'!I59</f>
        <v>1.5832793596157472E-2</v>
      </c>
      <c r="J56" s="104">
        <f>'Ethylene Recycling HC'!J59</f>
        <v>1.6287917453886736E-2</v>
      </c>
      <c r="K56" s="104">
        <f>'Ethylene Recycling HC'!K59</f>
        <v>1.6743041311616004E-2</v>
      </c>
      <c r="L56" s="104">
        <f>'Ethylene Recycling HC'!L59</f>
        <v>1.7198165169345268E-2</v>
      </c>
      <c r="M56" s="104">
        <f>'Ethylene Recycling HC'!M59</f>
        <v>1.7653289027074533E-2</v>
      </c>
      <c r="N56" s="104">
        <f>'Ethylene Recycling HC'!N59</f>
        <v>1.8701453063057084E-2</v>
      </c>
      <c r="O56" s="104">
        <f>'Ethylene Recycling HC'!O59</f>
        <v>1.9749617099039631E-2</v>
      </c>
      <c r="P56" s="104">
        <f>'Ethylene Recycling HC'!P59</f>
        <v>2.0797781135022182E-2</v>
      </c>
      <c r="Q56" s="104">
        <f>'Ethylene Recycling HC'!Q59</f>
        <v>2.184594517100473E-2</v>
      </c>
      <c r="R56" s="104">
        <f>'Ethylene Recycling HC'!R59</f>
        <v>2.2894109206987281E-2</v>
      </c>
      <c r="S56" s="104">
        <f>'Ethylene Recycling HC'!S59</f>
        <v>2.3942273242969832E-2</v>
      </c>
      <c r="T56" s="104">
        <f>'Ethylene Recycling HC'!T59</f>
        <v>2.4990437278952383E-2</v>
      </c>
      <c r="U56" s="104">
        <f>'Ethylene Recycling HC'!U59</f>
        <v>2.6038601314934934E-2</v>
      </c>
      <c r="V56" s="104">
        <f>'Ethylene Recycling HC'!V59</f>
        <v>2.7086765350917485E-2</v>
      </c>
      <c r="W56" s="104">
        <f>'Ethylene Recycling HC'!W59</f>
        <v>2.8134929386900032E-2</v>
      </c>
      <c r="X56" s="104">
        <f>'Ethylene Recycling HC'!X59</f>
        <v>2.9805440819247221E-2</v>
      </c>
      <c r="Y56" s="104">
        <f>'Ethylene Recycling HC'!Y59</f>
        <v>3.1475952251594413E-2</v>
      </c>
      <c r="Z56" s="104">
        <f>'Ethylene Recycling HC'!Z59</f>
        <v>3.3146463683941599E-2</v>
      </c>
      <c r="AA56" s="104">
        <f>'Ethylene Recycling HC'!AA59</f>
        <v>3.4816975116288784E-2</v>
      </c>
      <c r="AB56" s="104">
        <f>'Ethylene Recycling HC'!AB59</f>
        <v>3.6487486548635983E-2</v>
      </c>
      <c r="AC56" s="104">
        <f>'Ethylene Recycling HC'!AC59</f>
        <v>3.8157997980983169E-2</v>
      </c>
      <c r="AD56" s="104">
        <f>'Ethylene Recycling HC'!AD59</f>
        <v>3.9828509413330361E-2</v>
      </c>
      <c r="AE56" s="104">
        <f>'Ethylene Recycling HC'!AE59</f>
        <v>4.1499020845677546E-2</v>
      </c>
      <c r="AF56" s="104">
        <f>'Ethylene Recycling HC'!AF59</f>
        <v>4.3169532278024732E-2</v>
      </c>
      <c r="AG56" s="104">
        <f>'Ethylene Recycling HC'!AG59</f>
        <v>4.4840043710371924E-2</v>
      </c>
      <c r="AH56" s="252"/>
      <c r="AJ56" s="198"/>
      <c r="AL56" s="102"/>
      <c r="AM56" s="2"/>
      <c r="AN56" s="2"/>
      <c r="AO56" s="2"/>
      <c r="BC56" s="1"/>
      <c r="BD56" s="2"/>
      <c r="BE56" s="2"/>
      <c r="BF56" s="2"/>
      <c r="BG56" s="2"/>
      <c r="BH56" s="2"/>
      <c r="BI56" s="2"/>
      <c r="BJ56" s="2"/>
      <c r="BK56" s="2"/>
    </row>
    <row r="57" spans="1:63" outlineLevel="1">
      <c r="A57" t="s">
        <v>831</v>
      </c>
      <c r="C57" s="104">
        <f>'Ethylene Recycling HC'!C60</f>
        <v>1.0312317879530087E-2</v>
      </c>
      <c r="D57" s="104">
        <f>'Ethylene Recycling HC'!D60</f>
        <v>1.0670535237450606E-2</v>
      </c>
      <c r="E57" s="104">
        <f>'Ethylene Recycling HC'!E60</f>
        <v>1.1028752595371125E-2</v>
      </c>
      <c r="F57" s="104">
        <f>'Ethylene Recycling HC'!F60</f>
        <v>1.1386969953291644E-2</v>
      </c>
      <c r="G57" s="104">
        <f>'Ethylene Recycling HC'!G60</f>
        <v>1.1745187311212163E-2</v>
      </c>
      <c r="H57" s="104">
        <f>'Ethylene Recycling HC'!H60</f>
        <v>1.2103404669132681E-2</v>
      </c>
      <c r="I57" s="104">
        <f>'Ethylene Recycling HC'!I60</f>
        <v>1.24616220270532E-2</v>
      </c>
      <c r="J57" s="104">
        <f>'Ethylene Recycling HC'!J60</f>
        <v>1.2819839384973719E-2</v>
      </c>
      <c r="K57" s="104">
        <f>'Ethylene Recycling HC'!K60</f>
        <v>1.317805674289424E-2</v>
      </c>
      <c r="L57" s="104">
        <f>'Ethylene Recycling HC'!L60</f>
        <v>1.3536274100814759E-2</v>
      </c>
      <c r="M57" s="104">
        <f>'Ethylene Recycling HC'!M60</f>
        <v>1.3894491458735276E-2</v>
      </c>
      <c r="N57" s="104">
        <f>'Ethylene Recycling HC'!N60</f>
        <v>1.4719476889097683E-2</v>
      </c>
      <c r="O57" s="104">
        <f>'Ethylene Recycling HC'!O60</f>
        <v>1.5544462319460089E-2</v>
      </c>
      <c r="P57" s="104">
        <f>'Ethylene Recycling HC'!P60</f>
        <v>1.6369447749822495E-2</v>
      </c>
      <c r="Q57" s="104">
        <f>'Ethylene Recycling HC'!Q60</f>
        <v>1.7194433180184904E-2</v>
      </c>
      <c r="R57" s="104">
        <f>'Ethylene Recycling HC'!R60</f>
        <v>1.8019418610547309E-2</v>
      </c>
      <c r="S57" s="104">
        <f>'Ethylene Recycling HC'!S60</f>
        <v>1.8844404040909715E-2</v>
      </c>
      <c r="T57" s="104">
        <f>'Ethylene Recycling HC'!T60</f>
        <v>1.9669389471272124E-2</v>
      </c>
      <c r="U57" s="104">
        <f>'Ethylene Recycling HC'!U60</f>
        <v>2.049437490163453E-2</v>
      </c>
      <c r="V57" s="104">
        <f>'Ethylene Recycling HC'!V60</f>
        <v>2.1319360331996939E-2</v>
      </c>
      <c r="W57" s="104">
        <f>'Ethylene Recycling HC'!W60</f>
        <v>2.2144345762359345E-2</v>
      </c>
      <c r="X57" s="104">
        <f>'Ethylene Recycling HC'!X60</f>
        <v>2.3459166291999432E-2</v>
      </c>
      <c r="Y57" s="104">
        <f>'Ethylene Recycling HC'!Y60</f>
        <v>2.4773986821639518E-2</v>
      </c>
      <c r="Z57" s="104">
        <f>'Ethylene Recycling HC'!Z60</f>
        <v>2.6088807351279601E-2</v>
      </c>
      <c r="AA57" s="104">
        <f>'Ethylene Recycling HC'!AA60</f>
        <v>2.7403627880919684E-2</v>
      </c>
      <c r="AB57" s="104">
        <f>'Ethylene Recycling HC'!AB60</f>
        <v>2.8718448410559774E-2</v>
      </c>
      <c r="AC57" s="104">
        <f>'Ethylene Recycling HC'!AC60</f>
        <v>3.0033268940199857E-2</v>
      </c>
      <c r="AD57" s="104">
        <f>'Ethylene Recycling HC'!AD60</f>
        <v>3.1348089469839947E-2</v>
      </c>
      <c r="AE57" s="104">
        <f>'Ethylene Recycling HC'!AE60</f>
        <v>3.266290999948003E-2</v>
      </c>
      <c r="AF57" s="104">
        <f>'Ethylene Recycling HC'!AF60</f>
        <v>3.3977730529120113E-2</v>
      </c>
      <c r="AG57" s="104">
        <f>'Ethylene Recycling HC'!AG60</f>
        <v>3.5292551058760203E-2</v>
      </c>
      <c r="AH57" s="252"/>
      <c r="AJ57" s="198"/>
      <c r="AL57" s="102"/>
      <c r="AM57" s="2"/>
      <c r="AN57" s="2"/>
      <c r="AO57" s="2"/>
      <c r="BC57" s="1"/>
      <c r="BD57" s="2"/>
      <c r="BE57" s="2"/>
      <c r="BF57" s="2"/>
      <c r="BG57" s="2"/>
      <c r="BH57" s="2"/>
      <c r="BI57" s="2"/>
      <c r="BJ57" s="2"/>
      <c r="BK57" s="2"/>
    </row>
    <row r="58" spans="1:63" outlineLevel="1">
      <c r="A58" t="s">
        <v>440</v>
      </c>
      <c r="B58" s="51" t="s">
        <v>126</v>
      </c>
      <c r="C58" s="104">
        <f>'Ethylene Recycling HC'!C61</f>
        <v>6.0660693409000509E-2</v>
      </c>
      <c r="D58" s="104">
        <f>'Ethylene Recycling HC'!D61</f>
        <v>6.2980835541847857E-2</v>
      </c>
      <c r="E58" s="104">
        <f>'Ethylene Recycling HC'!E61</f>
        <v>6.5315277531722254E-2</v>
      </c>
      <c r="F58" s="104">
        <f>'Ethylene Recycling HC'!F61</f>
        <v>6.7664019378623735E-2</v>
      </c>
      <c r="G58" s="104">
        <f>'Ethylene Recycling HC'!G61</f>
        <v>7.0027061082552286E-2</v>
      </c>
      <c r="H58" s="104">
        <f>'Ethylene Recycling HC'!H61</f>
        <v>7.2404402643507892E-2</v>
      </c>
      <c r="I58" s="104">
        <f>'Ethylene Recycling HC'!I61</f>
        <v>7.4796044061490555E-2</v>
      </c>
      <c r="J58" s="104">
        <f>'Ethylene Recycling HC'!J61</f>
        <v>7.7201985336500301E-2</v>
      </c>
      <c r="K58" s="104">
        <f>'Ethylene Recycling HC'!K61</f>
        <v>7.9622226468537116E-2</v>
      </c>
      <c r="L58" s="104">
        <f>'Ethylene Recycling HC'!L61</f>
        <v>8.2056767457600988E-2</v>
      </c>
      <c r="M58" s="104">
        <f>'Ethylene Recycling HC'!M61</f>
        <v>8.4505608303691915E-2</v>
      </c>
      <c r="N58" s="104">
        <f>'Ethylene Recycling HC'!N61</f>
        <v>8.9816925859279709E-2</v>
      </c>
      <c r="O58" s="104">
        <f>'Ethylene Recycling HC'!O61</f>
        <v>9.5161176418929821E-2</v>
      </c>
      <c r="P58" s="104">
        <f>'Ethylene Recycling HC'!P61</f>
        <v>0.10053835998264227</v>
      </c>
      <c r="Q58" s="104">
        <f>'Ethylene Recycling HC'!Q61</f>
        <v>0.10594847655041706</v>
      </c>
      <c r="R58" s="104">
        <f>'Ethylene Recycling HC'!R61</f>
        <v>0.11139152612225417</v>
      </c>
      <c r="S58" s="104">
        <f>'Ethylene Recycling HC'!S61</f>
        <v>0.11686750869815363</v>
      </c>
      <c r="T58" s="104">
        <f>'Ethylene Recycling HC'!T61</f>
        <v>0.12237642427811544</v>
      </c>
      <c r="U58" s="104">
        <f>'Ethylene Recycling HC'!U61</f>
        <v>0.12791827286213955</v>
      </c>
      <c r="V58" s="104">
        <f>'Ethylene Recycling HC'!V61</f>
        <v>0.133493054450226</v>
      </c>
      <c r="W58" s="104">
        <f>'Ethylene Recycling HC'!W61</f>
        <v>0.13910076904237478</v>
      </c>
      <c r="X58" s="104">
        <f>'Ethylene Recycling HC'!X61</f>
        <v>0.14782811627271453</v>
      </c>
      <c r="Y58" s="104">
        <f>'Ethylene Recycling HC'!Y61</f>
        <v>0.15660795047827863</v>
      </c>
      <c r="Z58" s="104">
        <f>'Ethylene Recycling HC'!Z61</f>
        <v>0.16544027165906708</v>
      </c>
      <c r="AA58" s="104">
        <f>'Ethylene Recycling HC'!AA61</f>
        <v>0.17432507981507986</v>
      </c>
      <c r="AB58" s="104">
        <f>'Ethylene Recycling HC'!AB61</f>
        <v>0.183262374946317</v>
      </c>
      <c r="AC58" s="104">
        <f>'Ethylene Recycling HC'!AC61</f>
        <v>0.19225215705277843</v>
      </c>
      <c r="AD58" s="104">
        <f>'Ethylene Recycling HC'!AD61</f>
        <v>0.20129442613446427</v>
      </c>
      <c r="AE58" s="104">
        <f>'Ethylene Recycling HC'!AE61</f>
        <v>0.21038918219137442</v>
      </c>
      <c r="AF58" s="104">
        <f>'Ethylene Recycling HC'!AF61</f>
        <v>0.21953642522350891</v>
      </c>
      <c r="AG58" s="104">
        <f>'Ethylene Recycling HC'!AG61</f>
        <v>0.22873615523086779</v>
      </c>
      <c r="AH58" s="252"/>
      <c r="AI58" s="126"/>
      <c r="AJ58" s="198"/>
      <c r="AL58" s="102"/>
      <c r="AM58" s="2"/>
      <c r="AN58" s="2"/>
      <c r="AO58" s="2"/>
      <c r="BC58" s="1"/>
      <c r="BD58" s="2"/>
      <c r="BE58" s="2"/>
      <c r="BF58" s="2"/>
      <c r="BG58" s="2"/>
      <c r="BH58" s="2"/>
      <c r="BI58" s="2"/>
      <c r="BJ58" s="2"/>
      <c r="BK58" s="2"/>
    </row>
    <row r="59" spans="1:63" outlineLevel="1">
      <c r="C59" s="104"/>
      <c r="D59" s="104"/>
      <c r="E59" s="104"/>
      <c r="F59" s="104"/>
      <c r="G59" s="104"/>
      <c r="H59" s="104"/>
      <c r="I59" s="104"/>
      <c r="J59" s="104"/>
      <c r="K59" s="104"/>
      <c r="L59" s="104"/>
      <c r="M59" s="104"/>
      <c r="N59" s="104"/>
      <c r="O59" s="104"/>
      <c r="P59" s="104"/>
      <c r="Q59" s="104"/>
      <c r="R59" s="104"/>
      <c r="S59" s="104"/>
      <c r="T59" s="104"/>
      <c r="U59" s="104"/>
      <c r="V59" s="104"/>
      <c r="W59" s="104"/>
      <c r="X59" s="104"/>
      <c r="Y59" s="104"/>
      <c r="Z59" s="104"/>
      <c r="AA59" s="104"/>
      <c r="AB59" s="104"/>
      <c r="AC59" s="104"/>
      <c r="AD59" s="104"/>
      <c r="AE59" s="104"/>
      <c r="AF59" s="104"/>
      <c r="AG59" s="104"/>
      <c r="AI59" s="126"/>
      <c r="AJ59" s="198"/>
      <c r="AL59" s="102"/>
      <c r="AM59" s="2"/>
      <c r="AN59" s="2"/>
      <c r="AO59" s="2"/>
      <c r="BC59" s="1"/>
      <c r="BD59" s="2"/>
      <c r="BE59" s="2"/>
      <c r="BF59" s="2"/>
      <c r="BG59" s="2"/>
      <c r="BH59" s="2"/>
      <c r="BI59" s="2"/>
      <c r="BJ59" s="2"/>
      <c r="BK59" s="2"/>
    </row>
    <row r="60" spans="1:63" outlineLevel="1">
      <c r="A60" t="s">
        <v>1080</v>
      </c>
      <c r="C60" s="357">
        <f>'Overall recycling rates'!E84</f>
        <v>1.6309546538973254E-4</v>
      </c>
      <c r="D60" s="357">
        <f>C60-($C60-$AG60)/($AG$1-$C$1)</f>
        <v>2.682432561654341E-2</v>
      </c>
      <c r="E60" s="357">
        <f t="shared" ref="E60:AF60" si="29">D60-($C60-$AG60)/($AG$1-$C$1)</f>
        <v>5.3485555767697091E-2</v>
      </c>
      <c r="F60" s="357">
        <f t="shared" si="29"/>
        <v>8.0146785918850771E-2</v>
      </c>
      <c r="G60" s="357">
        <f t="shared" si="29"/>
        <v>0.10680801607000445</v>
      </c>
      <c r="H60" s="357">
        <f t="shared" si="29"/>
        <v>0.13346924622115813</v>
      </c>
      <c r="I60" s="357">
        <f t="shared" si="29"/>
        <v>0.16013047637231181</v>
      </c>
      <c r="J60" s="357">
        <f t="shared" si="29"/>
        <v>0.18679170652346549</v>
      </c>
      <c r="K60" s="357">
        <f t="shared" si="29"/>
        <v>0.21345293667461918</v>
      </c>
      <c r="L60" s="357">
        <f t="shared" si="29"/>
        <v>0.24011416682577286</v>
      </c>
      <c r="M60" s="357">
        <f t="shared" si="29"/>
        <v>0.26677539697692654</v>
      </c>
      <c r="N60" s="357">
        <f t="shared" si="29"/>
        <v>0.29343662712808022</v>
      </c>
      <c r="O60" s="357">
        <f t="shared" si="29"/>
        <v>0.3200978572792339</v>
      </c>
      <c r="P60" s="357">
        <f t="shared" si="29"/>
        <v>0.34675908743038758</v>
      </c>
      <c r="Q60" s="357">
        <f t="shared" si="29"/>
        <v>0.37342031758154126</v>
      </c>
      <c r="R60" s="357">
        <f t="shared" si="29"/>
        <v>0.40008154773269494</v>
      </c>
      <c r="S60" s="357">
        <f t="shared" si="29"/>
        <v>0.42674277788384862</v>
      </c>
      <c r="T60" s="357">
        <f t="shared" si="29"/>
        <v>0.4534040080350023</v>
      </c>
      <c r="U60" s="357">
        <f t="shared" si="29"/>
        <v>0.48006523818615598</v>
      </c>
      <c r="V60" s="357">
        <f t="shared" si="29"/>
        <v>0.50672646833730961</v>
      </c>
      <c r="W60" s="357">
        <f t="shared" si="29"/>
        <v>0.53338769848846324</v>
      </c>
      <c r="X60" s="357">
        <f t="shared" si="29"/>
        <v>0.56004892863961686</v>
      </c>
      <c r="Y60" s="357">
        <f t="shared" si="29"/>
        <v>0.58671015879077049</v>
      </c>
      <c r="Z60" s="357">
        <f t="shared" si="29"/>
        <v>0.61337138894192411</v>
      </c>
      <c r="AA60" s="357">
        <f t="shared" si="29"/>
        <v>0.64003261909307774</v>
      </c>
      <c r="AB60" s="357">
        <f t="shared" si="29"/>
        <v>0.66669384924423136</v>
      </c>
      <c r="AC60" s="357">
        <f t="shared" si="29"/>
        <v>0.69335507939538499</v>
      </c>
      <c r="AD60" s="357">
        <f t="shared" si="29"/>
        <v>0.72001630954653861</v>
      </c>
      <c r="AE60" s="357">
        <f t="shared" si="29"/>
        <v>0.74667753969769224</v>
      </c>
      <c r="AF60" s="357">
        <f t="shared" si="29"/>
        <v>0.77333876984884586</v>
      </c>
      <c r="AG60" s="357">
        <f>'Overall recycling rates'!E93</f>
        <v>0.8</v>
      </c>
      <c r="AI60" s="126"/>
      <c r="AJ60" s="198"/>
      <c r="AL60" s="102"/>
      <c r="AM60" s="2"/>
      <c r="AN60" s="2"/>
      <c r="AO60" s="2"/>
      <c r="BC60" s="1"/>
      <c r="BD60" s="2"/>
      <c r="BE60" s="2"/>
      <c r="BF60" s="2"/>
      <c r="BG60" s="2"/>
      <c r="BH60" s="2"/>
      <c r="BI60" s="2"/>
      <c r="BJ60" s="2"/>
      <c r="BK60" s="2"/>
    </row>
    <row r="61" spans="1:63" outlineLevel="1">
      <c r="A61" t="s">
        <v>1082</v>
      </c>
      <c r="B61" s="51" t="s">
        <v>126</v>
      </c>
      <c r="C61" s="104">
        <f>C47*C$60</f>
        <v>7.6654868733174297E-6</v>
      </c>
      <c r="D61" s="104">
        <f t="shared" ref="D61:AG61" si="30">D47*D$60</f>
        <v>1.3465811459504793E-3</v>
      </c>
      <c r="E61" s="104">
        <f t="shared" si="30"/>
        <v>2.8561286779950246E-3</v>
      </c>
      <c r="F61" s="104">
        <f t="shared" si="30"/>
        <v>4.5363080830069531E-3</v>
      </c>
      <c r="G61" s="104">
        <f t="shared" si="30"/>
        <v>6.3871193609862662E-3</v>
      </c>
      <c r="H61" s="104">
        <f t="shared" si="30"/>
        <v>8.4085625119329627E-3</v>
      </c>
      <c r="I61" s="104">
        <f t="shared" si="30"/>
        <v>1.0600637535847043E-2</v>
      </c>
      <c r="J61" s="104">
        <f t="shared" si="30"/>
        <v>1.2963344432728506E-2</v>
      </c>
      <c r="K61" s="104">
        <f t="shared" si="30"/>
        <v>1.5496683202577351E-2</v>
      </c>
      <c r="L61" s="104">
        <f t="shared" si="30"/>
        <v>1.8200653845393586E-2</v>
      </c>
      <c r="M61" s="104">
        <f t="shared" si="30"/>
        <v>2.1075256361177196E-2</v>
      </c>
      <c r="N61" s="104">
        <f t="shared" si="30"/>
        <v>2.4971456968599631E-2</v>
      </c>
      <c r="O61" s="104">
        <f t="shared" si="30"/>
        <v>2.9192924583866131E-2</v>
      </c>
      <c r="P61" s="104">
        <f t="shared" si="30"/>
        <v>3.3739659206976712E-2</v>
      </c>
      <c r="Q61" s="104">
        <f t="shared" si="30"/>
        <v>3.8611660837931369E-2</v>
      </c>
      <c r="R61" s="104">
        <f t="shared" si="30"/>
        <v>4.3808929476730103E-2</v>
      </c>
      <c r="S61" s="104">
        <f t="shared" si="30"/>
        <v>4.9331465123372907E-2</v>
      </c>
      <c r="T61" s="104">
        <f t="shared" si="30"/>
        <v>5.5179267777859781E-2</v>
      </c>
      <c r="U61" s="104">
        <f t="shared" si="30"/>
        <v>6.1352337440190745E-2</v>
      </c>
      <c r="V61" s="104">
        <f t="shared" si="30"/>
        <v>6.7850674110365772E-2</v>
      </c>
      <c r="W61" s="104">
        <f t="shared" si="30"/>
        <v>7.4674277788384855E-2</v>
      </c>
      <c r="X61" s="104">
        <f t="shared" si="30"/>
        <v>8.446104982041007E-2</v>
      </c>
      <c r="Y61" s="104">
        <f t="shared" si="30"/>
        <v>9.4824244397981747E-2</v>
      </c>
      <c r="Z61" s="104">
        <f t="shared" si="30"/>
        <v>0.10576386152109989</v>
      </c>
      <c r="AA61" s="104">
        <f t="shared" si="30"/>
        <v>0.11727990118976449</v>
      </c>
      <c r="AB61" s="104">
        <f t="shared" si="30"/>
        <v>0.12937236340397554</v>
      </c>
      <c r="AC61" s="104">
        <f t="shared" si="30"/>
        <v>0.14204124816373306</v>
      </c>
      <c r="AD61" s="104">
        <f t="shared" si="30"/>
        <v>0.15528655546903705</v>
      </c>
      <c r="AE61" s="104">
        <f t="shared" si="30"/>
        <v>0.1691082853198875</v>
      </c>
      <c r="AF61" s="104">
        <f t="shared" si="30"/>
        <v>0.18350643771628439</v>
      </c>
      <c r="AG61" s="104">
        <f t="shared" si="30"/>
        <v>0.1984810126582279</v>
      </c>
      <c r="AI61" s="126"/>
      <c r="AJ61" s="198"/>
      <c r="AL61" s="102"/>
      <c r="AM61" s="2"/>
      <c r="AN61" s="2"/>
      <c r="AO61" s="2"/>
      <c r="AV61" s="38"/>
    </row>
    <row r="62" spans="1:63" outlineLevel="1">
      <c r="A62" t="s">
        <v>1083</v>
      </c>
      <c r="B62" s="51" t="s">
        <v>126</v>
      </c>
      <c r="C62" s="104">
        <f>C48*C$60</f>
        <v>1.5494069212024591E-5</v>
      </c>
      <c r="D62" s="104">
        <f t="shared" ref="D62:AG62" si="31">D48*D$60</f>
        <v>2.6368312081062172E-3</v>
      </c>
      <c r="E62" s="104">
        <f t="shared" si="31"/>
        <v>5.4341324659980244E-3</v>
      </c>
      <c r="F62" s="104">
        <f t="shared" si="31"/>
        <v>8.4073978428874461E-3</v>
      </c>
      <c r="G62" s="104">
        <f t="shared" si="31"/>
        <v>1.1556627338774482E-2</v>
      </c>
      <c r="H62" s="104">
        <f t="shared" si="31"/>
        <v>1.4881820953659131E-2</v>
      </c>
      <c r="I62" s="104">
        <f t="shared" si="31"/>
        <v>1.8382978687541397E-2</v>
      </c>
      <c r="J62" s="104">
        <f t="shared" si="31"/>
        <v>2.2060100540421273E-2</v>
      </c>
      <c r="K62" s="104">
        <f t="shared" si="31"/>
        <v>2.5913186512298771E-2</v>
      </c>
      <c r="L62" s="104">
        <f t="shared" si="31"/>
        <v>2.9942236603173876E-2</v>
      </c>
      <c r="M62" s="104">
        <f t="shared" si="31"/>
        <v>3.4147250813046599E-2</v>
      </c>
      <c r="N62" s="104">
        <f t="shared" si="31"/>
        <v>3.9790006638567674E-2</v>
      </c>
      <c r="O62" s="104">
        <f t="shared" si="31"/>
        <v>4.5838013162386296E-2</v>
      </c>
      <c r="P62" s="104">
        <f t="shared" si="31"/>
        <v>5.2291270384502445E-2</v>
      </c>
      <c r="Q62" s="104">
        <f t="shared" si="31"/>
        <v>5.9149778304916127E-2</v>
      </c>
      <c r="R62" s="104">
        <f t="shared" si="31"/>
        <v>6.641353692362735E-2</v>
      </c>
      <c r="S62" s="104">
        <f t="shared" si="31"/>
        <v>7.4082546240636107E-2</v>
      </c>
      <c r="T62" s="104">
        <f t="shared" si="31"/>
        <v>8.2156806255942419E-2</v>
      </c>
      <c r="U62" s="104">
        <f t="shared" si="31"/>
        <v>9.0636316969546243E-2</v>
      </c>
      <c r="V62" s="104">
        <f t="shared" si="31"/>
        <v>9.9521078381447609E-2</v>
      </c>
      <c r="W62" s="104">
        <f t="shared" si="31"/>
        <v>0.10881109049164649</v>
      </c>
      <c r="X62" s="104">
        <f t="shared" si="31"/>
        <v>0.12103357409062919</v>
      </c>
      <c r="Y62" s="104">
        <f t="shared" si="31"/>
        <v>0.1339019259900236</v>
      </c>
      <c r="Z62" s="104">
        <f t="shared" si="31"/>
        <v>0.14741614618982968</v>
      </c>
      <c r="AA62" s="104">
        <f t="shared" si="31"/>
        <v>0.16157623469004745</v>
      </c>
      <c r="AB62" s="104">
        <f t="shared" si="31"/>
        <v>0.17638219149067694</v>
      </c>
      <c r="AC62" s="104">
        <f t="shared" si="31"/>
        <v>0.19183401659171812</v>
      </c>
      <c r="AD62" s="104">
        <f t="shared" si="31"/>
        <v>0.20793170999317101</v>
      </c>
      <c r="AE62" s="104">
        <f t="shared" si="31"/>
        <v>0.22467527169503557</v>
      </c>
      <c r="AF62" s="104">
        <f t="shared" si="31"/>
        <v>0.24206470169731181</v>
      </c>
      <c r="AG62" s="104">
        <f t="shared" si="31"/>
        <v>0.26009999999999994</v>
      </c>
      <c r="AH62" s="230"/>
      <c r="AI62" s="126"/>
      <c r="AJ62" s="198"/>
      <c r="AL62" s="102"/>
      <c r="AM62" s="2"/>
      <c r="AN62" s="2"/>
      <c r="AO62" s="2"/>
      <c r="AV62" s="38"/>
    </row>
    <row r="63" spans="1:63" outlineLevel="1">
      <c r="A63" t="s">
        <v>1084</v>
      </c>
      <c r="B63" s="165" t="s">
        <v>126</v>
      </c>
      <c r="C63" s="104">
        <f>SUM(C61:C62)</f>
        <v>2.3159556085342019E-5</v>
      </c>
      <c r="D63" s="104">
        <f t="shared" ref="D63:AG63" si="32">SUM(D61:D62)</f>
        <v>3.9834123540566967E-3</v>
      </c>
      <c r="E63" s="104">
        <f t="shared" si="32"/>
        <v>8.2902611439930485E-3</v>
      </c>
      <c r="F63" s="104">
        <f t="shared" si="32"/>
        <v>1.2943705925894399E-2</v>
      </c>
      <c r="G63" s="104">
        <f t="shared" si="32"/>
        <v>1.7943746699760749E-2</v>
      </c>
      <c r="H63" s="104">
        <f t="shared" si="32"/>
        <v>2.3290383465592094E-2</v>
      </c>
      <c r="I63" s="104">
        <f t="shared" si="32"/>
        <v>2.898361622338844E-2</v>
      </c>
      <c r="J63" s="104">
        <f t="shared" si="32"/>
        <v>3.5023444973149777E-2</v>
      </c>
      <c r="K63" s="104">
        <f t="shared" si="32"/>
        <v>4.1409869714876119E-2</v>
      </c>
      <c r="L63" s="104">
        <f t="shared" si="32"/>
        <v>4.8142890448567462E-2</v>
      </c>
      <c r="M63" s="104">
        <f t="shared" si="32"/>
        <v>5.5222507174223792E-2</v>
      </c>
      <c r="N63" s="104">
        <f t="shared" si="32"/>
        <v>6.4761463607167308E-2</v>
      </c>
      <c r="O63" s="104">
        <f t="shared" si="32"/>
        <v>7.5030937746252427E-2</v>
      </c>
      <c r="P63" s="104">
        <f t="shared" si="32"/>
        <v>8.6030929591479149E-2</v>
      </c>
      <c r="Q63" s="104">
        <f t="shared" si="32"/>
        <v>9.7761439142847489E-2</v>
      </c>
      <c r="R63" s="104">
        <f t="shared" si="32"/>
        <v>0.11022246640035746</v>
      </c>
      <c r="S63" s="104">
        <f t="shared" si="32"/>
        <v>0.12341401136400901</v>
      </c>
      <c r="T63" s="104">
        <f t="shared" si="32"/>
        <v>0.13733607403380221</v>
      </c>
      <c r="U63" s="104">
        <f t="shared" si="32"/>
        <v>0.151988654409737</v>
      </c>
      <c r="V63" s="104">
        <f t="shared" si="32"/>
        <v>0.16737175249181338</v>
      </c>
      <c r="W63" s="104">
        <f t="shared" si="32"/>
        <v>0.18348536828003134</v>
      </c>
      <c r="X63" s="104">
        <f t="shared" si="32"/>
        <v>0.20549462391103926</v>
      </c>
      <c r="Y63" s="104">
        <f t="shared" si="32"/>
        <v>0.22872617038800536</v>
      </c>
      <c r="Z63" s="104">
        <f t="shared" si="32"/>
        <v>0.25318000771092958</v>
      </c>
      <c r="AA63" s="104">
        <f t="shared" si="32"/>
        <v>0.27885613587981195</v>
      </c>
      <c r="AB63" s="104">
        <f t="shared" si="32"/>
        <v>0.30575455489465247</v>
      </c>
      <c r="AC63" s="104">
        <f t="shared" si="32"/>
        <v>0.33387526475545115</v>
      </c>
      <c r="AD63" s="104">
        <f t="shared" si="32"/>
        <v>0.36321826546220803</v>
      </c>
      <c r="AE63" s="104">
        <f t="shared" si="32"/>
        <v>0.39378355701492307</v>
      </c>
      <c r="AF63" s="104">
        <f t="shared" si="32"/>
        <v>0.4255711394135962</v>
      </c>
      <c r="AG63" s="104">
        <f t="shared" si="32"/>
        <v>0.45858101265822782</v>
      </c>
      <c r="AI63" s="126"/>
      <c r="AJ63" s="198"/>
      <c r="AL63" s="102"/>
      <c r="AM63" s="2"/>
      <c r="AN63" s="2"/>
      <c r="AO63" s="2"/>
    </row>
    <row r="64" spans="1:63" outlineLevel="1">
      <c r="A64" t="s">
        <v>1085</v>
      </c>
      <c r="B64" s="51" t="s">
        <v>126</v>
      </c>
      <c r="C64" s="104">
        <f>C$60*C55</f>
        <v>1.7818078901440221E-6</v>
      </c>
      <c r="D64" s="104">
        <f t="shared" ref="D64:AG67" si="33">D$60*D55</f>
        <v>2.9752079815262934E-4</v>
      </c>
      <c r="E64" s="104">
        <f t="shared" si="33"/>
        <v>6.013740301540584E-4</v>
      </c>
      <c r="F64" s="104">
        <f t="shared" si="33"/>
        <v>9.121977485564498E-4</v>
      </c>
      <c r="G64" s="104">
        <f t="shared" si="33"/>
        <v>1.2288481980218219E-3</v>
      </c>
      <c r="H64" s="104">
        <f t="shared" si="33"/>
        <v>1.5501816232121927E-3</v>
      </c>
      <c r="I64" s="104">
        <f t="shared" si="33"/>
        <v>1.875054268789581E-3</v>
      </c>
      <c r="J64" s="104">
        <f t="shared" si="33"/>
        <v>2.2023223794160052E-3</v>
      </c>
      <c r="K64" s="104">
        <f t="shared" si="33"/>
        <v>2.5308421997534839E-3</v>
      </c>
      <c r="L64" s="104">
        <f t="shared" si="33"/>
        <v>2.8594699744640354E-3</v>
      </c>
      <c r="M64" s="104">
        <f t="shared" si="33"/>
        <v>3.1870619482096776E-3</v>
      </c>
      <c r="N64" s="104">
        <f t="shared" si="33"/>
        <v>3.6275058947636669E-3</v>
      </c>
      <c r="O64" s="104">
        <f t="shared" si="33"/>
        <v>4.0795652980108246E-3</v>
      </c>
      <c r="P64" s="104">
        <f t="shared" si="33"/>
        <v>4.5406060547485286E-3</v>
      </c>
      <c r="Q64" s="104">
        <f t="shared" si="33"/>
        <v>5.0079940617741535E-3</v>
      </c>
      <c r="R64" s="104">
        <f t="shared" si="33"/>
        <v>5.4790952158850752E-3</v>
      </c>
      <c r="S64" s="104">
        <f t="shared" si="33"/>
        <v>5.9512754138786698E-3</v>
      </c>
      <c r="T64" s="104">
        <f t="shared" si="33"/>
        <v>6.4219005525523124E-3</v>
      </c>
      <c r="U64" s="104">
        <f t="shared" si="33"/>
        <v>6.8883365287033789E-3</v>
      </c>
      <c r="V64" s="104">
        <f t="shared" si="33"/>
        <v>7.3479492391292454E-3</v>
      </c>
      <c r="W64" s="104">
        <f t="shared" si="33"/>
        <v>7.798104580627286E-3</v>
      </c>
      <c r="X64" s="104">
        <f t="shared" si="33"/>
        <v>8.4118098022188947E-3</v>
      </c>
      <c r="Y64" s="104">
        <f t="shared" si="33"/>
        <v>9.0160398113873601E-3</v>
      </c>
      <c r="Z64" s="104">
        <f t="shared" si="33"/>
        <v>9.6065965061535013E-3</v>
      </c>
      <c r="AA64" s="104">
        <f t="shared" si="33"/>
        <v>1.0179281784538131E-2</v>
      </c>
      <c r="AB64" s="104">
        <f t="shared" si="33"/>
        <v>1.0729897544562069E-2</v>
      </c>
      <c r="AC64" s="104">
        <f t="shared" si="33"/>
        <v>1.1254245684246133E-2</v>
      </c>
      <c r="AD64" s="104">
        <f t="shared" si="33"/>
        <v>1.1748128101611143E-2</v>
      </c>
      <c r="AE64" s="104">
        <f t="shared" si="33"/>
        <v>1.2207346694677913E-2</v>
      </c>
      <c r="AF64" s="104">
        <f t="shared" si="33"/>
        <v>1.2627703361467263E-2</v>
      </c>
      <c r="AG64" s="104">
        <f t="shared" si="33"/>
        <v>1.3004999999999997E-2</v>
      </c>
      <c r="AI64" s="126"/>
      <c r="AJ64" s="198"/>
      <c r="AL64" s="102"/>
      <c r="AM64" s="2"/>
      <c r="AN64" s="2"/>
      <c r="AO64" s="2"/>
    </row>
    <row r="65" spans="1:63" outlineLevel="1">
      <c r="A65" t="s">
        <v>1086</v>
      </c>
      <c r="B65" s="51" t="s">
        <v>126</v>
      </c>
      <c r="C65" s="104">
        <f t="shared" ref="C65:R67" si="34">C$60*C56</f>
        <v>2.1368850156669302E-6</v>
      </c>
      <c r="D65" s="104">
        <f t="shared" si="34"/>
        <v>3.6366205806491535E-4</v>
      </c>
      <c r="E65" s="104">
        <f t="shared" si="34"/>
        <v>7.4945555495056554E-4</v>
      </c>
      <c r="F65" s="104">
        <f t="shared" si="34"/>
        <v>1.1595173756726175E-3</v>
      </c>
      <c r="G65" s="104">
        <f t="shared" si="34"/>
        <v>1.5938475202310713E-3</v>
      </c>
      <c r="H65" s="104">
        <f t="shared" si="34"/>
        <v>2.0524459886259267E-3</v>
      </c>
      <c r="I65" s="104">
        <f t="shared" si="34"/>
        <v>2.5353127808571837E-3</v>
      </c>
      <c r="J65" s="104">
        <f t="shared" si="34"/>
        <v>3.0424478969248428E-3</v>
      </c>
      <c r="K65" s="104">
        <f t="shared" si="34"/>
        <v>3.5738513368289036E-3</v>
      </c>
      <c r="L65" s="104">
        <f t="shared" si="34"/>
        <v>4.1295231005693657E-3</v>
      </c>
      <c r="M65" s="104">
        <f t="shared" si="34"/>
        <v>4.70946318814623E-3</v>
      </c>
      <c r="N65" s="104">
        <f t="shared" si="34"/>
        <v>5.4876913092175754E-3</v>
      </c>
      <c r="O65" s="104">
        <f t="shared" si="34"/>
        <v>6.3218101154879055E-3</v>
      </c>
      <c r="P65" s="104">
        <f t="shared" si="34"/>
        <v>7.2118196069572227E-3</v>
      </c>
      <c r="Q65" s="104">
        <f t="shared" si="34"/>
        <v>8.1577197836255246E-3</v>
      </c>
      <c r="R65" s="104">
        <f t="shared" si="34"/>
        <v>9.1595106454928129E-3</v>
      </c>
      <c r="S65" s="104">
        <f t="shared" si="33"/>
        <v>1.0217192192559087E-2</v>
      </c>
      <c r="T65" s="104">
        <f t="shared" si="33"/>
        <v>1.1330764424824348E-2</v>
      </c>
      <c r="U65" s="104">
        <f t="shared" si="33"/>
        <v>1.2500227342288594E-2</v>
      </c>
      <c r="V65" s="104">
        <f t="shared" si="33"/>
        <v>1.3725580944951824E-2</v>
      </c>
      <c r="W65" s="104">
        <f t="shared" si="33"/>
        <v>1.5006825232814039E-2</v>
      </c>
      <c r="X65" s="104">
        <f t="shared" si="33"/>
        <v>1.6692505198450912E-2</v>
      </c>
      <c r="Y65" s="104">
        <f t="shared" si="33"/>
        <v>1.8467260943623668E-2</v>
      </c>
      <c r="Z65" s="104">
        <f t="shared" si="33"/>
        <v>2.0331092468332305E-2</v>
      </c>
      <c r="AA65" s="104">
        <f t="shared" si="33"/>
        <v>2.2283999772576824E-2</v>
      </c>
      <c r="AB65" s="104">
        <f t="shared" si="33"/>
        <v>2.4325982856357238E-2</v>
      </c>
      <c r="AC65" s="104">
        <f t="shared" si="33"/>
        <v>2.6457041719673526E-2</v>
      </c>
      <c r="AD65" s="104">
        <f t="shared" si="33"/>
        <v>2.8677176362525699E-2</v>
      </c>
      <c r="AE65" s="104">
        <f t="shared" si="33"/>
        <v>3.0986386784913753E-2</v>
      </c>
      <c r="AF65" s="104">
        <f t="shared" si="33"/>
        <v>3.3384672986837692E-2</v>
      </c>
      <c r="AG65" s="104">
        <f t="shared" si="33"/>
        <v>3.5872034968297543E-2</v>
      </c>
      <c r="AI65" s="126"/>
      <c r="AJ65" s="198"/>
      <c r="AL65" s="102"/>
      <c r="AM65" s="2"/>
      <c r="AN65" s="2"/>
      <c r="AO65" s="2"/>
      <c r="BC65" s="1"/>
      <c r="BD65" s="2"/>
      <c r="BE65" s="2"/>
      <c r="BF65" s="2"/>
      <c r="BG65" s="2"/>
      <c r="BH65" s="2"/>
      <c r="BI65" s="2"/>
      <c r="BJ65" s="2"/>
      <c r="BK65" s="2"/>
    </row>
    <row r="66" spans="1:63" outlineLevel="1">
      <c r="A66" t="s">
        <v>1171</v>
      </c>
      <c r="C66" s="104">
        <f t="shared" si="34"/>
        <v>1.6818922838088195E-6</v>
      </c>
      <c r="D66" s="104">
        <f t="shared" si="33"/>
        <v>2.8622991171217541E-4</v>
      </c>
      <c r="E66" s="104">
        <f t="shared" si="33"/>
        <v>5.898789619878563E-4</v>
      </c>
      <c r="F66" s="104">
        <f t="shared" si="33"/>
        <v>9.1262904311085156E-4</v>
      </c>
      <c r="G66" s="104">
        <f t="shared" si="33"/>
        <v>1.2544801550811611E-3</v>
      </c>
      <c r="H66" s="104">
        <f t="shared" si="33"/>
        <v>1.6154322978987848E-3</v>
      </c>
      <c r="I66" s="104">
        <f t="shared" si="33"/>
        <v>1.9954854715637229E-3</v>
      </c>
      <c r="J66" s="104">
        <f t="shared" si="33"/>
        <v>2.3946396760759752E-3</v>
      </c>
      <c r="K66" s="104">
        <f t="shared" si="33"/>
        <v>2.8128949114355423E-3</v>
      </c>
      <c r="L66" s="104">
        <f t="shared" si="33"/>
        <v>3.2502511776424233E-3</v>
      </c>
      <c r="M66" s="104">
        <f t="shared" si="33"/>
        <v>3.7067084746966183E-3</v>
      </c>
      <c r="N66" s="104">
        <f t="shared" si="33"/>
        <v>4.3192336514265512E-3</v>
      </c>
      <c r="O66" s="104">
        <f t="shared" si="33"/>
        <v>4.9757490810169646E-3</v>
      </c>
      <c r="P66" s="104">
        <f t="shared" si="33"/>
        <v>5.6762547634678596E-3</v>
      </c>
      <c r="Q66" s="104">
        <f t="shared" si="33"/>
        <v>6.420750698779237E-3</v>
      </c>
      <c r="R66" s="104">
        <f t="shared" si="33"/>
        <v>7.209236886951095E-3</v>
      </c>
      <c r="S66" s="104">
        <f t="shared" si="33"/>
        <v>8.0417133279834345E-3</v>
      </c>
      <c r="T66" s="104">
        <f t="shared" si="33"/>
        <v>8.9181800218762555E-3</v>
      </c>
      <c r="U66" s="104">
        <f t="shared" si="33"/>
        <v>9.8386369686295581E-3</v>
      </c>
      <c r="V66" s="104">
        <f t="shared" si="33"/>
        <v>1.0803084168243342E-2</v>
      </c>
      <c r="W66" s="104">
        <f t="shared" si="33"/>
        <v>1.1811521620717604E-2</v>
      </c>
      <c r="X66" s="104">
        <f t="shared" si="33"/>
        <v>1.3138280948612895E-2</v>
      </c>
      <c r="Y66" s="104">
        <f t="shared" si="33"/>
        <v>1.4535149742004577E-2</v>
      </c>
      <c r="Z66" s="104">
        <f t="shared" si="33"/>
        <v>1.6002128000892648E-2</v>
      </c>
      <c r="AA66" s="104">
        <f t="shared" si="33"/>
        <v>1.7539215725277113E-2</v>
      </c>
      <c r="AB66" s="104">
        <f t="shared" si="33"/>
        <v>1.9146412915157975E-2</v>
      </c>
      <c r="AC66" s="104">
        <f t="shared" si="33"/>
        <v>2.0823719570535221E-2</v>
      </c>
      <c r="AD66" s="104">
        <f t="shared" si="33"/>
        <v>2.2571135691408867E-2</v>
      </c>
      <c r="AE66" s="104">
        <f t="shared" si="33"/>
        <v>2.43886612777789E-2</v>
      </c>
      <c r="AF66" s="104">
        <f t="shared" si="33"/>
        <v>2.6276296329645323E-2</v>
      </c>
      <c r="AG66" s="104">
        <f t="shared" si="33"/>
        <v>2.8234040847008163E-2</v>
      </c>
      <c r="AI66" s="126"/>
      <c r="AJ66" s="198"/>
      <c r="AL66" s="102"/>
      <c r="AM66" s="2"/>
      <c r="AN66" s="2"/>
      <c r="AO66" s="2"/>
      <c r="BC66" s="1"/>
      <c r="BD66" s="2"/>
      <c r="BE66" s="2"/>
      <c r="BF66" s="2"/>
      <c r="BG66" s="2"/>
      <c r="BH66" s="2"/>
      <c r="BI66" s="2"/>
      <c r="BJ66" s="2"/>
      <c r="BK66" s="2"/>
    </row>
    <row r="67" spans="1:63" outlineLevel="1">
      <c r="A67" t="s">
        <v>1087</v>
      </c>
      <c r="B67" s="51" t="s">
        <v>126</v>
      </c>
      <c r="C67" s="104">
        <f t="shared" si="34"/>
        <v>9.89348402240482E-6</v>
      </c>
      <c r="D67" s="104">
        <f t="shared" si="33"/>
        <v>1.6894184401764971E-3</v>
      </c>
      <c r="E67" s="104">
        <f t="shared" si="33"/>
        <v>3.4934239189055435E-3</v>
      </c>
      <c r="F67" s="104">
        <f t="shared" si="33"/>
        <v>5.4230536755475265E-3</v>
      </c>
      <c r="G67" s="104">
        <f t="shared" si="33"/>
        <v>7.4794514654404282E-3</v>
      </c>
      <c r="H67" s="104">
        <f t="shared" si="33"/>
        <v>9.6637610439222286E-3</v>
      </c>
      <c r="I67" s="104">
        <f t="shared" si="33"/>
        <v>1.1977126166330907E-2</v>
      </c>
      <c r="J67" s="104">
        <f t="shared" si="33"/>
        <v>1.4420690588004451E-2</v>
      </c>
      <c r="K67" s="104">
        <f t="shared" si="33"/>
        <v>1.6995598064280838E-2</v>
      </c>
      <c r="L67" s="104">
        <f t="shared" si="33"/>
        <v>1.9702992350498053E-2</v>
      </c>
      <c r="M67" s="104">
        <f t="shared" si="33"/>
        <v>2.254401720199407E-2</v>
      </c>
      <c r="N67" s="104">
        <f t="shared" si="33"/>
        <v>2.6355575783159887E-2</v>
      </c>
      <c r="O67" s="104">
        <f t="shared" si="33"/>
        <v>3.0460888667870598E-2</v>
      </c>
      <c r="P67" s="104">
        <f t="shared" si="33"/>
        <v>3.4862589959328831E-2</v>
      </c>
      <c r="Q67" s="104">
        <f t="shared" si="33"/>
        <v>3.9563313760737212E-2</v>
      </c>
      <c r="R67" s="104">
        <f t="shared" si="33"/>
        <v>4.4565694175298369E-2</v>
      </c>
      <c r="S67" s="104">
        <f t="shared" si="33"/>
        <v>4.9872365306214923E-2</v>
      </c>
      <c r="T67" s="104">
        <f t="shared" si="33"/>
        <v>5.5485961256689503E-2</v>
      </c>
      <c r="U67" s="104">
        <f t="shared" si="33"/>
        <v>6.1409116129924717E-2</v>
      </c>
      <c r="V67" s="104">
        <f t="shared" si="33"/>
        <v>6.7644464029123191E-2</v>
      </c>
      <c r="W67" s="104">
        <f t="shared" si="33"/>
        <v>7.4194639057487563E-2</v>
      </c>
      <c r="X67" s="104">
        <f t="shared" si="33"/>
        <v>8.2790978141346477E-2</v>
      </c>
      <c r="Y67" s="104">
        <f t="shared" si="33"/>
        <v>9.1883475493007974E-2</v>
      </c>
      <c r="Z67" s="104">
        <f t="shared" si="33"/>
        <v>0.10147632921445121</v>
      </c>
      <c r="AA67" s="104">
        <f t="shared" si="33"/>
        <v>0.11157373740765539</v>
      </c>
      <c r="AB67" s="104">
        <f t="shared" si="33"/>
        <v>0.12217989817459968</v>
      </c>
      <c r="AC67" s="104">
        <f t="shared" si="33"/>
        <v>0.13329900961726321</v>
      </c>
      <c r="AD67" s="104">
        <f t="shared" si="33"/>
        <v>0.14493526983762528</v>
      </c>
      <c r="AE67" s="104">
        <f t="shared" si="33"/>
        <v>0.15709287693766499</v>
      </c>
      <c r="AF67" s="104">
        <f t="shared" si="33"/>
        <v>0.16977602901936151</v>
      </c>
      <c r="AG67" s="104">
        <f t="shared" si="33"/>
        <v>0.18298892418469426</v>
      </c>
      <c r="AH67" s="230"/>
      <c r="AI67" s="126"/>
      <c r="AJ67" s="198"/>
      <c r="AL67" s="102"/>
      <c r="AM67" s="2"/>
      <c r="AN67" s="2"/>
      <c r="AO67" s="2"/>
      <c r="BC67" s="1"/>
      <c r="BD67" s="2"/>
      <c r="BE67" s="2"/>
      <c r="BF67" s="2"/>
      <c r="BG67" s="2"/>
      <c r="BH67" s="2"/>
      <c r="BI67" s="2"/>
      <c r="BJ67" s="2"/>
      <c r="BK67" s="2"/>
    </row>
    <row r="68" spans="1:63" outlineLevel="1">
      <c r="C68" s="104"/>
      <c r="D68" s="104"/>
      <c r="E68" s="104"/>
      <c r="F68" s="104"/>
      <c r="G68" s="104"/>
      <c r="H68" s="104"/>
      <c r="I68" s="104"/>
      <c r="J68" s="104"/>
      <c r="K68" s="104"/>
      <c r="L68" s="104"/>
      <c r="M68" s="104"/>
      <c r="N68" s="104"/>
      <c r="O68" s="104"/>
      <c r="P68" s="104"/>
      <c r="Q68" s="104"/>
      <c r="R68" s="104"/>
      <c r="S68" s="104"/>
      <c r="T68" s="104"/>
      <c r="U68" s="104"/>
      <c r="V68" s="104"/>
      <c r="W68" s="104"/>
      <c r="X68" s="104"/>
      <c r="Y68" s="104"/>
      <c r="Z68" s="104"/>
      <c r="AA68" s="104"/>
      <c r="AB68" s="104"/>
      <c r="AC68" s="104"/>
      <c r="AD68" s="104"/>
      <c r="AE68" s="104"/>
      <c r="AF68" s="104"/>
      <c r="AG68" s="104"/>
      <c r="AI68" s="127"/>
      <c r="AJ68" s="198"/>
      <c r="BC68" s="1"/>
      <c r="BD68" s="38"/>
      <c r="BF68" s="6"/>
      <c r="BG68" s="6"/>
      <c r="BH68" s="6"/>
      <c r="BI68" s="6"/>
      <c r="BJ68" s="6"/>
    </row>
    <row r="69" spans="1:63" s="1" customFormat="1" outlineLevel="1">
      <c r="A69" s="1" t="s">
        <v>261</v>
      </c>
      <c r="B69" s="61"/>
      <c r="C69" s="279">
        <f>C39*C61</f>
        <v>8.3513534653361754E-2</v>
      </c>
      <c r="D69" s="279">
        <f t="shared" ref="D69:AG69" si="35">D39*D61</f>
        <v>14.644091375229557</v>
      </c>
      <c r="E69" s="279">
        <f t="shared" si="35"/>
        <v>31.004092270755876</v>
      </c>
      <c r="F69" s="279">
        <f t="shared" si="35"/>
        <v>49.153416323322141</v>
      </c>
      <c r="G69" s="279">
        <f t="shared" si="35"/>
        <v>69.081963635018255</v>
      </c>
      <c r="H69" s="279">
        <f t="shared" si="35"/>
        <v>90.779634307933989</v>
      </c>
      <c r="I69" s="279">
        <f t="shared" si="35"/>
        <v>114.23632844415926</v>
      </c>
      <c r="J69" s="279">
        <f t="shared" si="35"/>
        <v>139.44194614578382</v>
      </c>
      <c r="K69" s="279">
        <f t="shared" si="35"/>
        <v>166.38638751489756</v>
      </c>
      <c r="L69" s="279">
        <f t="shared" si="35"/>
        <v>195.0595526535904</v>
      </c>
      <c r="M69" s="279">
        <f t="shared" si="35"/>
        <v>225.45134166395201</v>
      </c>
      <c r="N69" s="279">
        <f t="shared" si="35"/>
        <v>265.99052959467684</v>
      </c>
      <c r="O69" s="279">
        <f t="shared" si="35"/>
        <v>309.62373919310915</v>
      </c>
      <c r="P69" s="279">
        <f t="shared" si="35"/>
        <v>356.30641549996159</v>
      </c>
      <c r="Q69" s="279">
        <f t="shared" si="35"/>
        <v>405.99400355594662</v>
      </c>
      <c r="R69" s="279">
        <f t="shared" si="35"/>
        <v>458.64194840177686</v>
      </c>
      <c r="S69" s="279">
        <f t="shared" si="35"/>
        <v>514.20569507816447</v>
      </c>
      <c r="T69" s="279">
        <f t="shared" si="35"/>
        <v>572.64068862582212</v>
      </c>
      <c r="U69" s="279">
        <f t="shared" si="35"/>
        <v>633.90237408546261</v>
      </c>
      <c r="V69" s="279">
        <f t="shared" si="35"/>
        <v>697.94619649779793</v>
      </c>
      <c r="W69" s="279">
        <f t="shared" si="35"/>
        <v>764.72760090354063</v>
      </c>
      <c r="X69" s="279">
        <f t="shared" si="35"/>
        <v>861.08947996624863</v>
      </c>
      <c r="Y69" s="279">
        <f t="shared" si="35"/>
        <v>962.40646703618791</v>
      </c>
      <c r="Z69" s="279">
        <f t="shared" si="35"/>
        <v>1068.5994720781334</v>
      </c>
      <c r="AA69" s="279">
        <f t="shared" si="35"/>
        <v>1179.5894050568613</v>
      </c>
      <c r="AB69" s="279">
        <f t="shared" si="35"/>
        <v>1295.2971759371467</v>
      </c>
      <c r="AC69" s="279">
        <f t="shared" si="35"/>
        <v>1415.643694683765</v>
      </c>
      <c r="AD69" s="279">
        <f t="shared" si="35"/>
        <v>1540.5498712614922</v>
      </c>
      <c r="AE69" s="279">
        <f t="shared" si="35"/>
        <v>1669.9366156351032</v>
      </c>
      <c r="AF69" s="279">
        <f t="shared" si="35"/>
        <v>1803.7248377693734</v>
      </c>
      <c r="AG69" s="279">
        <f t="shared" si="35"/>
        <v>1941.8354476290801</v>
      </c>
      <c r="AH69" s="230"/>
      <c r="AI69" s="398"/>
      <c r="AJ69" s="399"/>
      <c r="AL69" s="207"/>
      <c r="AM69" s="118"/>
      <c r="AN69" s="118"/>
      <c r="AO69" s="118"/>
      <c r="BD69" s="118"/>
      <c r="BE69" s="118"/>
      <c r="BF69" s="118"/>
      <c r="BG69" s="118"/>
      <c r="BH69" s="118"/>
      <c r="BI69" s="118"/>
      <c r="BJ69" s="118"/>
      <c r="BK69" s="118"/>
    </row>
    <row r="70" spans="1:63" outlineLevel="1">
      <c r="A70" s="4" t="s">
        <v>35</v>
      </c>
      <c r="C70" s="216">
        <f>C$69*'Methanol recycling rates'!E33</f>
        <v>8.3513534653361754E-2</v>
      </c>
      <c r="D70" s="216">
        <f>D$69*'Methanol recycling rates'!F33</f>
        <v>14.15599234904054</v>
      </c>
      <c r="E70" s="216">
        <f>E$69*'Methanol recycling rates'!G33</f>
        <v>28.937310951591488</v>
      </c>
      <c r="F70" s="216">
        <f>F$69*'Methanol recycling rates'!H33</f>
        <v>44.238450820882257</v>
      </c>
      <c r="G70" s="216">
        <f>G$69*'Methanol recycling rates'!I33</f>
        <v>59.871739985495594</v>
      </c>
      <c r="H70" s="216">
        <f>H$69*'Methanol recycling rates'!J33</f>
        <v>75.650853024020734</v>
      </c>
      <c r="I70" s="216">
        <f>I$69*'Methanol recycling rates'!K33</f>
        <v>91.390811065053654</v>
      </c>
      <c r="J70" s="216">
        <f>J$69*'Methanol recycling rates'!L33</f>
        <v>106.90798178719683</v>
      </c>
      <c r="K70" s="216">
        <f>K$69*'Methanol recycling rates'!M33</f>
        <v>122.02007941905947</v>
      </c>
      <c r="L70" s="216">
        <f>L$69*'Methanol recycling rates'!N33</f>
        <v>136.54616473925739</v>
      </c>
      <c r="M70" s="216">
        <f>M$69*'Methanol recycling rates'!O33</f>
        <v>150.30664507641285</v>
      </c>
      <c r="N70" s="216">
        <f>N$69*'Methanol recycling rates'!P33</f>
        <v>168.46813188600348</v>
      </c>
      <c r="O70" s="216">
        <f>O$69*'Methanol recycling rates'!Q33</f>
        <v>185.78372067960285</v>
      </c>
      <c r="P70" s="216">
        <f>P$69*'Methanol recycling rates'!R33</f>
        <v>201.9187836787174</v>
      </c>
      <c r="Q70" s="216">
        <f>Q$69*'Methanol recycling rates'!S33</f>
        <v>216.54463331150274</v>
      </c>
      <c r="R70" s="216">
        <f>R$69*'Methanol recycling rates'!T33</f>
        <v>229.33852221276388</v>
      </c>
      <c r="S70" s="216">
        <f>S$69*'Methanol recycling rates'!U33</f>
        <v>239.98364322395491</v>
      </c>
      <c r="T70" s="216">
        <f>T$69*'Methanol recycling rates'!V33</f>
        <v>248.16912939317962</v>
      </c>
      <c r="U70" s="216">
        <f>U$69*'Methanol recycling rates'!W33</f>
        <v>253.59005397519104</v>
      </c>
      <c r="V70" s="216">
        <f>V$69*'Methanol recycling rates'!X33</f>
        <v>255.94743043139121</v>
      </c>
      <c r="W70" s="216">
        <f>W$69*'Methanol recycling rates'!Y33</f>
        <v>254.94821242983184</v>
      </c>
      <c r="X70" s="216">
        <f>X$69*'Methanol recycling rates'!Z33</f>
        <v>258.37296836175545</v>
      </c>
      <c r="Y70" s="216">
        <f>Y$69*'Methanol recycling rates'!AA33</f>
        <v>256.69573080266207</v>
      </c>
      <c r="Z70" s="216">
        <f>Z$69*'Methanol recycling rates'!AB33</f>
        <v>249.40256788762278</v>
      </c>
      <c r="AA70" s="216">
        <f>AA$69*'Methanol recycling rates'!AC33</f>
        <v>235.99009228279238</v>
      </c>
      <c r="AB70" s="216">
        <f>AB$69*'Methanol recycling rates'!AD33</f>
        <v>215.96546118540911</v>
      </c>
      <c r="AC70" s="216">
        <f>AC$69*'Methanol recycling rates'!AE33</f>
        <v>188.84637632379497</v>
      </c>
      <c r="AD70" s="216">
        <f>AD$69*'Methanol recycling rates'!AF33</f>
        <v>154.16108395735554</v>
      </c>
      <c r="AE70" s="216">
        <f>AE$69*'Methanol recycling rates'!AG33</f>
        <v>111.4483748765799</v>
      </c>
      <c r="AF70" s="216">
        <f>AF$69*'Methanol recycling rates'!AH33</f>
        <v>60.257584403040866</v>
      </c>
      <c r="AG70" s="216">
        <f>AG$69*'Methanol recycling rates'!AI33</f>
        <v>0.1485923893939112</v>
      </c>
      <c r="AH70" s="230"/>
      <c r="AI70" s="126"/>
      <c r="AJ70" s="198"/>
      <c r="AL70" s="102"/>
      <c r="AM70" s="2"/>
      <c r="AN70" s="2"/>
      <c r="AO70" s="2"/>
      <c r="BC70" s="1"/>
      <c r="BD70" s="2"/>
      <c r="BE70" s="2"/>
      <c r="BF70" s="2"/>
      <c r="BG70" s="2"/>
      <c r="BH70" s="2"/>
      <c r="BI70" s="2"/>
      <c r="BJ70" s="2"/>
      <c r="BK70" s="2"/>
    </row>
    <row r="71" spans="1:63" outlineLevel="1">
      <c r="A71" s="4" t="s">
        <v>160</v>
      </c>
      <c r="C71" s="216">
        <f>C$69*'Methanol recycling rates'!E34</f>
        <v>0</v>
      </c>
      <c r="D71" s="216">
        <f>D$69*'Methanol recycling rates'!F34</f>
        <v>0.28899532097232017</v>
      </c>
      <c r="E71" s="216">
        <f>E$69*'Methanol recycling rates'!G34</f>
        <v>1.2237068682046612</v>
      </c>
      <c r="F71" s="216">
        <f>F$69*'Methanol recycling rates'!H34</f>
        <v>2.9100693849682884</v>
      </c>
      <c r="G71" s="216">
        <f>G$69*'Methanol recycling rates'!I34</f>
        <v>5.4532203446558443</v>
      </c>
      <c r="H71" s="216">
        <f>H$69*'Methanol recycling rates'!J34</f>
        <v>8.9574999507813367</v>
      </c>
      <c r="I71" s="216">
        <f>I$69*'Methanol recycling rates'!K34</f>
        <v>13.526451136980157</v>
      </c>
      <c r="J71" s="216">
        <f>J$69*'Methanol recycling rates'!L34</f>
        <v>19.262819567009053</v>
      </c>
      <c r="K71" s="216">
        <f>K$69*'Methanol recycling rates'!M34</f>
        <v>26.268553634746166</v>
      </c>
      <c r="L71" s="216">
        <f>L$69*'Methanol recycling rates'!N34</f>
        <v>34.644804464191004</v>
      </c>
      <c r="M71" s="216">
        <f>M$69*'Methanol recycling rates'!O34</f>
        <v>44.49192590946442</v>
      </c>
      <c r="N71" s="216">
        <f>N$69*'Methanol recycling rates'!P34</f>
        <v>57.741390815424822</v>
      </c>
      <c r="O71" s="216">
        <f>O$69*'Methanol recycling rates'!Q34</f>
        <v>73.323616682794608</v>
      </c>
      <c r="P71" s="216">
        <f>P$69*'Methanol recycling rates'!R34</f>
        <v>91.410350806679787</v>
      </c>
      <c r="Q71" s="216">
        <f>Q$69*'Methanol recycling rates'!S34</f>
        <v>112.16982338455834</v>
      </c>
      <c r="R71" s="216">
        <f>R$69*'Methanol recycling rates'!T34</f>
        <v>135.76674751628019</v>
      </c>
      <c r="S71" s="216">
        <f>S$69*'Methanol recycling rates'!U34</f>
        <v>162.36231920406706</v>
      </c>
      <c r="T71" s="216">
        <f>T$69*'Methanol recycling rates'!V34</f>
        <v>192.11421735251278</v>
      </c>
      <c r="U71" s="216">
        <f>U$69*'Methanol recycling rates'!W34</f>
        <v>225.17660376858325</v>
      </c>
      <c r="V71" s="216">
        <f>V$69*'Methanol recycling rates'!X34</f>
        <v>261.70012316161592</v>
      </c>
      <c r="W71" s="216">
        <f>W$69*'Methanol recycling rates'!Y34</f>
        <v>301.83190314332052</v>
      </c>
      <c r="X71" s="216">
        <f>X$69*'Methanol recycling rates'!Z34</f>
        <v>356.85842909058618</v>
      </c>
      <c r="Y71" s="216">
        <f>Y$69*'Methanol recycling rates'!AA34</f>
        <v>417.83959768123196</v>
      </c>
      <c r="Z71" s="216">
        <f>Z$69*'Methanol recycling rates'!AB34</f>
        <v>485.03287153535098</v>
      </c>
      <c r="AA71" s="216">
        <f>AA$69*'Methanol recycling rates'!AC34</f>
        <v>558.68947003143728</v>
      </c>
      <c r="AB71" s="216">
        <f>AB$69*'Methanol recycling rates'!AD34</f>
        <v>639.05436930638473</v>
      </c>
      <c r="AC71" s="216">
        <f>AC$69*'Methanol recycling rates'!AE34</f>
        <v>726.36630225548799</v>
      </c>
      <c r="AD71" s="216">
        <f>AD$69*'Methanol recycling rates'!AF34</f>
        <v>820.85775853244206</v>
      </c>
      <c r="AE71" s="216">
        <f>AE$69*'Methanol recycling rates'!AG34</f>
        <v>922.75498454934245</v>
      </c>
      <c r="AF71" s="216">
        <f>AF$69*'Methanol recycling rates'!AH34</f>
        <v>1032.2779834766848</v>
      </c>
      <c r="AG71" s="216">
        <f>AG$69*'Methanol recycling rates'!AI34</f>
        <v>1149.6405152433667</v>
      </c>
      <c r="AH71" s="230"/>
      <c r="AI71" s="126"/>
      <c r="AJ71" s="198"/>
      <c r="AL71" s="102"/>
      <c r="AM71" s="2"/>
      <c r="AN71" s="2"/>
      <c r="AO71" s="2"/>
      <c r="BC71" s="1"/>
      <c r="BD71" s="2"/>
      <c r="BE71" s="2"/>
      <c r="BF71" s="2"/>
      <c r="BG71" s="2"/>
      <c r="BH71" s="2"/>
      <c r="BI71" s="2"/>
      <c r="BJ71" s="2"/>
      <c r="BK71" s="2"/>
    </row>
    <row r="72" spans="1:63" outlineLevel="1">
      <c r="A72" s="4" t="s">
        <v>1159</v>
      </c>
      <c r="C72" s="216">
        <f>C$69*'Methanol recycling rates'!E35</f>
        <v>0</v>
      </c>
      <c r="D72" s="216">
        <f>D$69*'Methanol recycling rates'!F35</f>
        <v>0.19910370521669774</v>
      </c>
      <c r="E72" s="216">
        <f>E$69*'Methanol recycling rates'!G35</f>
        <v>0.84307445095972822</v>
      </c>
      <c r="F72" s="216">
        <f>F$69*'Methanol recycling rates'!H35</f>
        <v>2.0048961174715978</v>
      </c>
      <c r="G72" s="216">
        <f>G$69*'Methanol recycling rates'!I35</f>
        <v>3.7570033048668261</v>
      </c>
      <c r="H72" s="216">
        <f>H$69*'Methanol recycling rates'!J35</f>
        <v>6.1712813331319367</v>
      </c>
      <c r="I72" s="216">
        <f>I$69*'Methanol recycling rates'!K35</f>
        <v>9.3190662421254693</v>
      </c>
      <c r="J72" s="216">
        <f>J$69*'Methanol recycling rates'!L35</f>
        <v>13.271144791577964</v>
      </c>
      <c r="K72" s="216">
        <f>K$69*'Methanol recycling rates'!M35</f>
        <v>18.097754461091977</v>
      </c>
      <c r="L72" s="216">
        <f>L$69*'Methanol recycling rates'!N35</f>
        <v>23.868583450142086</v>
      </c>
      <c r="M72" s="216">
        <f>M$69*'Methanol recycling rates'!O35</f>
        <v>30.652770678074837</v>
      </c>
      <c r="N72" s="216">
        <f>N$69*'Methanol recycling rates'!P35</f>
        <v>39.78100689324868</v>
      </c>
      <c r="O72" s="216">
        <f>O$69*'Methanol recycling rates'!Q35</f>
        <v>50.516401830711871</v>
      </c>
      <c r="P72" s="216">
        <f>P$69*'Methanol recycling rates'!R35</f>
        <v>62.977281014564618</v>
      </c>
      <c r="Q72" s="216">
        <f>Q$69*'Methanol recycling rates'!S35</f>
        <v>77.279546859885812</v>
      </c>
      <c r="R72" s="216">
        <f>R$69*'Methanol recycling rates'!T35</f>
        <v>93.536678672733132</v>
      </c>
      <c r="S72" s="216">
        <f>S$69*'Methanol recycling rates'!U35</f>
        <v>111.85973265014285</v>
      </c>
      <c r="T72" s="216">
        <f>T$69*'Methanol recycling rates'!V35</f>
        <v>132.35734188013009</v>
      </c>
      <c r="U72" s="216">
        <f>U$69*'Methanol recycling rates'!W35</f>
        <v>155.13571634168875</v>
      </c>
      <c r="V72" s="216">
        <f>V$69*'Methanol recycling rates'!X35</f>
        <v>180.29864290479122</v>
      </c>
      <c r="W72" s="216">
        <f>W$69*'Methanol recycling rates'!Y35</f>
        <v>207.94748533038882</v>
      </c>
      <c r="X72" s="216">
        <f>X$69*'Methanol recycling rates'!Z35</f>
        <v>245.85808251390762</v>
      </c>
      <c r="Y72" s="216">
        <f>Y$69*'Methanol recycling rates'!AA35</f>
        <v>287.8711385522945</v>
      </c>
      <c r="Z72" s="216">
        <f>Z$69*'Methanol recycling rates'!AB35</f>
        <v>334.16403265516038</v>
      </c>
      <c r="AA72" s="216">
        <f>AA$69*'Methanol recycling rates'!AC35</f>
        <v>384.90984274263252</v>
      </c>
      <c r="AB72" s="216">
        <f>AB$69*'Methanol recycling rates'!AD35</f>
        <v>440.27734544535383</v>
      </c>
      <c r="AC72" s="216">
        <f>AC$69*'Methanol recycling rates'!AE35</f>
        <v>500.43101610448321</v>
      </c>
      <c r="AD72" s="216">
        <f>AD$69*'Methanol recycling rates'!AF35</f>
        <v>565.53102877169567</v>
      </c>
      <c r="AE72" s="216">
        <f>AE$69*'Methanol recycling rates'!AG35</f>
        <v>635.73325620918206</v>
      </c>
      <c r="AF72" s="216">
        <f>AF$69*'Methanol recycling rates'!AH35</f>
        <v>711.18926988964893</v>
      </c>
      <c r="AG72" s="216">
        <f>AG$69*'Methanol recycling rates'!AI35</f>
        <v>792.04633999631949</v>
      </c>
      <c r="AH72" s="230"/>
      <c r="AI72" s="126"/>
      <c r="AJ72" s="198"/>
      <c r="AL72" s="102"/>
      <c r="AM72" s="2"/>
      <c r="AN72" s="2"/>
      <c r="AO72" s="2"/>
      <c r="BC72" s="1"/>
      <c r="BD72" s="2"/>
      <c r="BE72" s="2"/>
      <c r="BF72" s="2"/>
      <c r="BG72" s="2"/>
      <c r="BH72" s="2"/>
      <c r="BI72" s="2"/>
      <c r="BJ72" s="2"/>
      <c r="BK72" s="2"/>
    </row>
    <row r="73" spans="1:63" s="1" customFormat="1" outlineLevel="1">
      <c r="A73" s="1" t="s">
        <v>1160</v>
      </c>
      <c r="B73" s="61"/>
      <c r="C73" s="279">
        <f>C69-$C69</f>
        <v>0</v>
      </c>
      <c r="D73" s="279">
        <f t="shared" ref="D73:AG76" si="36">D69-$C69</f>
        <v>14.560577840576196</v>
      </c>
      <c r="E73" s="279">
        <f t="shared" si="36"/>
        <v>30.920578736102513</v>
      </c>
      <c r="F73" s="279">
        <f t="shared" si="36"/>
        <v>49.069902788668777</v>
      </c>
      <c r="G73" s="279">
        <f t="shared" si="36"/>
        <v>68.998450100364892</v>
      </c>
      <c r="H73" s="279">
        <f t="shared" si="36"/>
        <v>90.696120773280626</v>
      </c>
      <c r="I73" s="279">
        <f t="shared" si="36"/>
        <v>114.15281490950589</v>
      </c>
      <c r="J73" s="279">
        <f t="shared" si="36"/>
        <v>139.35843261113047</v>
      </c>
      <c r="K73" s="279">
        <f t="shared" si="36"/>
        <v>166.30287398024421</v>
      </c>
      <c r="L73" s="279">
        <f t="shared" si="36"/>
        <v>194.97603911893705</v>
      </c>
      <c r="M73" s="279">
        <f t="shared" si="36"/>
        <v>225.36782812929866</v>
      </c>
      <c r="N73" s="279">
        <f t="shared" si="36"/>
        <v>265.90701606002347</v>
      </c>
      <c r="O73" s="279">
        <f t="shared" si="36"/>
        <v>309.54022565845577</v>
      </c>
      <c r="P73" s="279">
        <f t="shared" si="36"/>
        <v>356.22290196530821</v>
      </c>
      <c r="Q73" s="279">
        <f t="shared" si="36"/>
        <v>405.91049002129324</v>
      </c>
      <c r="R73" s="279">
        <f t="shared" si="36"/>
        <v>458.55843486712348</v>
      </c>
      <c r="S73" s="279">
        <f t="shared" si="36"/>
        <v>514.12218154351115</v>
      </c>
      <c r="T73" s="279">
        <f t="shared" si="36"/>
        <v>572.5571750911688</v>
      </c>
      <c r="U73" s="279">
        <f t="shared" si="36"/>
        <v>633.81886055080929</v>
      </c>
      <c r="V73" s="279">
        <f t="shared" si="36"/>
        <v>697.86268296314461</v>
      </c>
      <c r="W73" s="279">
        <f t="shared" si="36"/>
        <v>764.64408736888731</v>
      </c>
      <c r="X73" s="279">
        <f t="shared" si="36"/>
        <v>861.00596643159531</v>
      </c>
      <c r="Y73" s="279">
        <f t="shared" si="36"/>
        <v>962.32295350153458</v>
      </c>
      <c r="Z73" s="279">
        <f t="shared" si="36"/>
        <v>1068.5159585434801</v>
      </c>
      <c r="AA73" s="279">
        <f t="shared" si="36"/>
        <v>1179.505891522208</v>
      </c>
      <c r="AB73" s="279">
        <f t="shared" si="36"/>
        <v>1295.2136624024934</v>
      </c>
      <c r="AC73" s="279">
        <f t="shared" si="36"/>
        <v>1415.5601811491117</v>
      </c>
      <c r="AD73" s="279">
        <f t="shared" si="36"/>
        <v>1540.4663577268389</v>
      </c>
      <c r="AE73" s="279">
        <f t="shared" si="36"/>
        <v>1669.8531021004499</v>
      </c>
      <c r="AF73" s="279">
        <f t="shared" si="36"/>
        <v>1803.6413242347201</v>
      </c>
      <c r="AG73" s="279">
        <f t="shared" si="36"/>
        <v>1941.7519340944268</v>
      </c>
      <c r="AH73" s="230"/>
      <c r="AI73" s="398"/>
      <c r="AJ73" s="399"/>
      <c r="AL73" s="207"/>
      <c r="AM73" s="118"/>
      <c r="AN73" s="118"/>
      <c r="AO73" s="118"/>
      <c r="BD73" s="118"/>
      <c r="BE73" s="118"/>
      <c r="BF73" s="118"/>
      <c r="BG73" s="118"/>
      <c r="BH73" s="118"/>
      <c r="BI73" s="118"/>
      <c r="BJ73" s="118"/>
      <c r="BK73" s="118"/>
    </row>
    <row r="74" spans="1:63" outlineLevel="1">
      <c r="A74" s="4" t="s">
        <v>35</v>
      </c>
      <c r="C74" s="216">
        <f t="shared" ref="C74:R76" si="37">C70-$C70</f>
        <v>0</v>
      </c>
      <c r="D74" s="216">
        <f t="shared" si="37"/>
        <v>14.072478814387178</v>
      </c>
      <c r="E74" s="216">
        <f t="shared" si="37"/>
        <v>28.853797416938125</v>
      </c>
      <c r="F74" s="216">
        <f t="shared" si="37"/>
        <v>44.154937286228893</v>
      </c>
      <c r="G74" s="216">
        <f t="shared" si="37"/>
        <v>59.788226450842231</v>
      </c>
      <c r="H74" s="216">
        <f t="shared" si="37"/>
        <v>75.56733948936737</v>
      </c>
      <c r="I74" s="216">
        <f t="shared" si="37"/>
        <v>91.307297530400291</v>
      </c>
      <c r="J74" s="216">
        <f t="shared" si="37"/>
        <v>106.82446825254347</v>
      </c>
      <c r="K74" s="216">
        <f t="shared" si="37"/>
        <v>121.93656588440611</v>
      </c>
      <c r="L74" s="216">
        <f t="shared" si="37"/>
        <v>136.46265120460404</v>
      </c>
      <c r="M74" s="216">
        <f t="shared" si="37"/>
        <v>150.2231315417595</v>
      </c>
      <c r="N74" s="216">
        <f t="shared" si="37"/>
        <v>168.38461835135013</v>
      </c>
      <c r="O74" s="216">
        <f t="shared" si="37"/>
        <v>185.7002071449495</v>
      </c>
      <c r="P74" s="216">
        <f t="shared" si="37"/>
        <v>201.83527014406405</v>
      </c>
      <c r="Q74" s="216">
        <f t="shared" si="37"/>
        <v>216.46111977684939</v>
      </c>
      <c r="R74" s="216">
        <f t="shared" si="37"/>
        <v>229.25500867811053</v>
      </c>
      <c r="S74" s="216">
        <f t="shared" si="36"/>
        <v>239.90012968930156</v>
      </c>
      <c r="T74" s="216">
        <f t="shared" si="36"/>
        <v>248.08561585852627</v>
      </c>
      <c r="U74" s="216">
        <f t="shared" si="36"/>
        <v>253.50654044053769</v>
      </c>
      <c r="V74" s="216">
        <f t="shared" si="36"/>
        <v>255.86391689673786</v>
      </c>
      <c r="W74" s="216">
        <f t="shared" si="36"/>
        <v>254.86469889517849</v>
      </c>
      <c r="X74" s="216">
        <f t="shared" si="36"/>
        <v>258.28945482710208</v>
      </c>
      <c r="Y74" s="216">
        <f t="shared" si="36"/>
        <v>256.61221726800869</v>
      </c>
      <c r="Z74" s="216">
        <f t="shared" si="36"/>
        <v>249.31905435296943</v>
      </c>
      <c r="AA74" s="216">
        <f t="shared" si="36"/>
        <v>235.90657874813903</v>
      </c>
      <c r="AB74" s="216">
        <f t="shared" si="36"/>
        <v>215.88194765075576</v>
      </c>
      <c r="AC74" s="216">
        <f t="shared" si="36"/>
        <v>188.76286278914162</v>
      </c>
      <c r="AD74" s="216">
        <f t="shared" si="36"/>
        <v>154.07757042270219</v>
      </c>
      <c r="AE74" s="216">
        <f t="shared" si="36"/>
        <v>111.36486134192654</v>
      </c>
      <c r="AF74" s="216">
        <f t="shared" si="36"/>
        <v>60.174070868387503</v>
      </c>
      <c r="AG74" s="216">
        <f>AG70-$C70</f>
        <v>6.5078854740549447E-2</v>
      </c>
      <c r="AH74" s="230"/>
      <c r="AI74" s="126"/>
      <c r="AJ74" s="198"/>
      <c r="AL74" s="102"/>
      <c r="AM74" s="2"/>
      <c r="AN74" s="2"/>
      <c r="AO74" s="2"/>
      <c r="BC74" s="1"/>
      <c r="BD74" s="2"/>
      <c r="BE74" s="2"/>
      <c r="BF74" s="2"/>
      <c r="BG74" s="2"/>
      <c r="BH74" s="2"/>
      <c r="BI74" s="2"/>
      <c r="BJ74" s="2"/>
      <c r="BK74" s="2"/>
    </row>
    <row r="75" spans="1:63" outlineLevel="1">
      <c r="A75" s="4" t="s">
        <v>160</v>
      </c>
      <c r="C75" s="216">
        <f t="shared" si="37"/>
        <v>0</v>
      </c>
      <c r="D75" s="216">
        <f t="shared" si="36"/>
        <v>0.28899532097232017</v>
      </c>
      <c r="E75" s="216">
        <f t="shared" si="36"/>
        <v>1.2237068682046612</v>
      </c>
      <c r="F75" s="216">
        <f t="shared" si="36"/>
        <v>2.9100693849682884</v>
      </c>
      <c r="G75" s="216">
        <f t="shared" si="36"/>
        <v>5.4532203446558443</v>
      </c>
      <c r="H75" s="216">
        <f t="shared" si="36"/>
        <v>8.9574999507813367</v>
      </c>
      <c r="I75" s="216">
        <f t="shared" si="36"/>
        <v>13.526451136980157</v>
      </c>
      <c r="J75" s="216">
        <f t="shared" si="36"/>
        <v>19.262819567009053</v>
      </c>
      <c r="K75" s="216">
        <f t="shared" si="36"/>
        <v>26.268553634746166</v>
      </c>
      <c r="L75" s="216">
        <f t="shared" si="36"/>
        <v>34.644804464191004</v>
      </c>
      <c r="M75" s="216">
        <f t="shared" si="36"/>
        <v>44.49192590946442</v>
      </c>
      <c r="N75" s="216">
        <f t="shared" si="36"/>
        <v>57.741390815424822</v>
      </c>
      <c r="O75" s="216">
        <f t="shared" si="36"/>
        <v>73.323616682794608</v>
      </c>
      <c r="P75" s="216">
        <f t="shared" si="36"/>
        <v>91.410350806679787</v>
      </c>
      <c r="Q75" s="216">
        <f t="shared" si="36"/>
        <v>112.16982338455834</v>
      </c>
      <c r="R75" s="216">
        <f t="shared" si="36"/>
        <v>135.76674751628019</v>
      </c>
      <c r="S75" s="216">
        <f t="shared" si="36"/>
        <v>162.36231920406706</v>
      </c>
      <c r="T75" s="216">
        <f t="shared" si="36"/>
        <v>192.11421735251278</v>
      </c>
      <c r="U75" s="216">
        <f t="shared" si="36"/>
        <v>225.17660376858325</v>
      </c>
      <c r="V75" s="216">
        <f t="shared" si="36"/>
        <v>261.70012316161592</v>
      </c>
      <c r="W75" s="216">
        <f t="shared" si="36"/>
        <v>301.83190314332052</v>
      </c>
      <c r="X75" s="216">
        <f t="shared" si="36"/>
        <v>356.85842909058618</v>
      </c>
      <c r="Y75" s="216">
        <f t="shared" si="36"/>
        <v>417.83959768123196</v>
      </c>
      <c r="Z75" s="216">
        <f t="shared" si="36"/>
        <v>485.03287153535098</v>
      </c>
      <c r="AA75" s="216">
        <f t="shared" si="36"/>
        <v>558.68947003143728</v>
      </c>
      <c r="AB75" s="216">
        <f t="shared" si="36"/>
        <v>639.05436930638473</v>
      </c>
      <c r="AC75" s="216">
        <f t="shared" si="36"/>
        <v>726.36630225548799</v>
      </c>
      <c r="AD75" s="216">
        <f t="shared" si="36"/>
        <v>820.85775853244206</v>
      </c>
      <c r="AE75" s="216">
        <f t="shared" si="36"/>
        <v>922.75498454934245</v>
      </c>
      <c r="AF75" s="216">
        <f t="shared" si="36"/>
        <v>1032.2779834766848</v>
      </c>
      <c r="AG75" s="216">
        <f t="shared" si="36"/>
        <v>1149.6405152433667</v>
      </c>
      <c r="AH75" s="230"/>
      <c r="AI75" s="126"/>
      <c r="AJ75" s="198"/>
      <c r="AL75" s="102"/>
      <c r="AM75" s="2"/>
      <c r="AN75" s="2"/>
      <c r="AO75" s="2"/>
      <c r="BC75" s="1"/>
      <c r="BD75" s="2"/>
      <c r="BE75" s="2"/>
      <c r="BF75" s="2"/>
      <c r="BG75" s="2"/>
      <c r="BH75" s="2"/>
      <c r="BI75" s="2"/>
      <c r="BJ75" s="2"/>
      <c r="BK75" s="2"/>
    </row>
    <row r="76" spans="1:63" outlineLevel="1">
      <c r="A76" s="4" t="s">
        <v>1159</v>
      </c>
      <c r="C76" s="216">
        <f t="shared" si="37"/>
        <v>0</v>
      </c>
      <c r="D76" s="216">
        <f t="shared" si="36"/>
        <v>0.19910370521669774</v>
      </c>
      <c r="E76" s="216">
        <f t="shared" si="36"/>
        <v>0.84307445095972822</v>
      </c>
      <c r="F76" s="216">
        <f t="shared" si="36"/>
        <v>2.0048961174715978</v>
      </c>
      <c r="G76" s="216">
        <f t="shared" si="36"/>
        <v>3.7570033048668261</v>
      </c>
      <c r="H76" s="216">
        <f t="shared" si="36"/>
        <v>6.1712813331319367</v>
      </c>
      <c r="I76" s="216">
        <f t="shared" si="36"/>
        <v>9.3190662421254693</v>
      </c>
      <c r="J76" s="216">
        <f t="shared" si="36"/>
        <v>13.271144791577964</v>
      </c>
      <c r="K76" s="216">
        <f t="shared" si="36"/>
        <v>18.097754461091977</v>
      </c>
      <c r="L76" s="216">
        <f t="shared" si="36"/>
        <v>23.868583450142086</v>
      </c>
      <c r="M76" s="216">
        <f t="shared" si="36"/>
        <v>30.652770678074837</v>
      </c>
      <c r="N76" s="216">
        <f t="shared" si="36"/>
        <v>39.78100689324868</v>
      </c>
      <c r="O76" s="216">
        <f t="shared" si="36"/>
        <v>50.516401830711871</v>
      </c>
      <c r="P76" s="216">
        <f t="shared" si="36"/>
        <v>62.977281014564618</v>
      </c>
      <c r="Q76" s="216">
        <f t="shared" si="36"/>
        <v>77.279546859885812</v>
      </c>
      <c r="R76" s="216">
        <f t="shared" si="36"/>
        <v>93.536678672733132</v>
      </c>
      <c r="S76" s="216">
        <f t="shared" si="36"/>
        <v>111.85973265014285</v>
      </c>
      <c r="T76" s="216">
        <f t="shared" si="36"/>
        <v>132.35734188013009</v>
      </c>
      <c r="U76" s="216">
        <f t="shared" si="36"/>
        <v>155.13571634168875</v>
      </c>
      <c r="V76" s="216">
        <f t="shared" si="36"/>
        <v>180.29864290479122</v>
      </c>
      <c r="W76" s="216">
        <f t="shared" si="36"/>
        <v>207.94748533038882</v>
      </c>
      <c r="X76" s="216">
        <f t="shared" si="36"/>
        <v>245.85808251390762</v>
      </c>
      <c r="Y76" s="216">
        <f t="shared" si="36"/>
        <v>287.8711385522945</v>
      </c>
      <c r="Z76" s="216">
        <f t="shared" si="36"/>
        <v>334.16403265516038</v>
      </c>
      <c r="AA76" s="216">
        <f t="shared" si="36"/>
        <v>384.90984274263252</v>
      </c>
      <c r="AB76" s="216">
        <f t="shared" si="36"/>
        <v>440.27734544535383</v>
      </c>
      <c r="AC76" s="216">
        <f t="shared" si="36"/>
        <v>500.43101610448321</v>
      </c>
      <c r="AD76" s="216">
        <f t="shared" si="36"/>
        <v>565.53102877169567</v>
      </c>
      <c r="AE76" s="216">
        <f t="shared" si="36"/>
        <v>635.73325620918206</v>
      </c>
      <c r="AF76" s="216">
        <f t="shared" si="36"/>
        <v>711.18926988964893</v>
      </c>
      <c r="AG76" s="216">
        <f t="shared" si="36"/>
        <v>792.04633999631949</v>
      </c>
      <c r="AH76" s="230"/>
      <c r="AI76" s="126"/>
      <c r="AJ76" s="198"/>
      <c r="AL76" s="102"/>
      <c r="AM76" s="2"/>
      <c r="AN76" s="2"/>
      <c r="AO76" s="2"/>
      <c r="BC76" s="1"/>
      <c r="BD76" s="2"/>
      <c r="BE76" s="2"/>
      <c r="BF76" s="2"/>
      <c r="BG76" s="2"/>
      <c r="BH76" s="2"/>
      <c r="BI76" s="2"/>
      <c r="BJ76" s="2"/>
      <c r="BK76" s="2"/>
    </row>
    <row r="77" spans="1:63" s="1" customFormat="1" outlineLevel="1">
      <c r="A77" s="1" t="s">
        <v>1161</v>
      </c>
      <c r="B77" s="61"/>
      <c r="C77" s="279">
        <f>C39*C64</f>
        <v>1.9412344895814438E-2</v>
      </c>
      <c r="D77" s="279">
        <f t="shared" ref="D77:AG77" si="38">D39*D64</f>
        <v>3.2355434110159149</v>
      </c>
      <c r="E77" s="279">
        <f t="shared" si="38"/>
        <v>6.5280867993739715</v>
      </c>
      <c r="F77" s="279">
        <f t="shared" si="38"/>
        <v>9.8841689945959477</v>
      </c>
      <c r="G77" s="279">
        <f t="shared" si="38"/>
        <v>13.291006748242879</v>
      </c>
      <c r="H77" s="279">
        <f t="shared" si="38"/>
        <v>16.735907078810843</v>
      </c>
      <c r="I77" s="279">
        <f t="shared" si="38"/>
        <v>20.206267271731019</v>
      </c>
      <c r="J77" s="279">
        <f t="shared" si="38"/>
        <v>23.689574879369609</v>
      </c>
      <c r="K77" s="279">
        <f t="shared" si="38"/>
        <v>27.17340772102791</v>
      </c>
      <c r="L77" s="279">
        <f t="shared" si="38"/>
        <v>30.645433882942282</v>
      </c>
      <c r="M77" s="279">
        <f t="shared" si="38"/>
        <v>34.093411718284123</v>
      </c>
      <c r="N77" s="279">
        <f t="shared" si="38"/>
        <v>38.639403991096373</v>
      </c>
      <c r="O77" s="279">
        <f t="shared" si="38"/>
        <v>43.268369985467245</v>
      </c>
      <c r="P77" s="279">
        <f t="shared" si="38"/>
        <v>47.950901271413287</v>
      </c>
      <c r="Q77" s="279">
        <f t="shared" si="38"/>
        <v>52.658070510313358</v>
      </c>
      <c r="R77" s="279">
        <f t="shared" si="38"/>
        <v>57.361431454908747</v>
      </c>
      <c r="S77" s="279">
        <f t="shared" si="38"/>
        <v>62.03301894930302</v>
      </c>
      <c r="T77" s="279">
        <f t="shared" si="38"/>
        <v>66.645348928962164</v>
      </c>
      <c r="U77" s="279">
        <f t="shared" si="38"/>
        <v>71.171418420714545</v>
      </c>
      <c r="V77" s="279">
        <f t="shared" si="38"/>
        <v>75.584705542750839</v>
      </c>
      <c r="W77" s="279">
        <f t="shared" si="38"/>
        <v>79.859169504624134</v>
      </c>
      <c r="X77" s="279">
        <f t="shared" si="38"/>
        <v>85.759304952628085</v>
      </c>
      <c r="Y77" s="279">
        <f t="shared" si="38"/>
        <v>91.507135929465022</v>
      </c>
      <c r="Z77" s="279">
        <f t="shared" si="38"/>
        <v>97.061546423352596</v>
      </c>
      <c r="AA77" s="279">
        <f t="shared" si="38"/>
        <v>102.3821884425105</v>
      </c>
      <c r="AB77" s="279">
        <f t="shared" si="38"/>
        <v>107.42948201516029</v>
      </c>
      <c r="AC77" s="279">
        <f t="shared" si="38"/>
        <v>112.16461518952549</v>
      </c>
      <c r="AD77" s="279">
        <f t="shared" si="38"/>
        <v>116.54954403383159</v>
      </c>
      <c r="AE77" s="279">
        <f t="shared" si="38"/>
        <v>120.5469926363059</v>
      </c>
      <c r="AF77" s="279">
        <f t="shared" si="38"/>
        <v>124.12045310517782</v>
      </c>
      <c r="AG77" s="279">
        <f t="shared" si="38"/>
        <v>127.23418556867843</v>
      </c>
      <c r="AH77" s="230"/>
      <c r="AI77" s="398"/>
      <c r="AJ77" s="399"/>
      <c r="AL77" s="207"/>
      <c r="AM77" s="118"/>
      <c r="AN77" s="118"/>
      <c r="AO77" s="118"/>
      <c r="BD77" s="118"/>
      <c r="BE77" s="118"/>
      <c r="BF77" s="118"/>
      <c r="BG77" s="118"/>
      <c r="BH77" s="118"/>
      <c r="BI77" s="118"/>
      <c r="BJ77" s="118"/>
      <c r="BK77" s="118"/>
    </row>
    <row r="78" spans="1:63" outlineLevel="1">
      <c r="A78" s="4" t="s">
        <v>35</v>
      </c>
      <c r="C78" s="216">
        <f>C$77*'Methanol recycling rates'!E36</f>
        <v>1.9412344895814438E-2</v>
      </c>
      <c r="D78" s="216">
        <f>D$77*'Methanol recycling rates'!F36</f>
        <v>3.1277002169492292</v>
      </c>
      <c r="E78" s="216">
        <f>E$77*'Methanol recycling rates'!G36</f>
        <v>6.0929143153997831</v>
      </c>
      <c r="F78" s="216">
        <f>F$77*'Methanol recycling rates'!H36</f>
        <v>8.8958277303962756</v>
      </c>
      <c r="G78" s="216">
        <f>G$77*'Methanol recycling rates'!I36</f>
        <v>11.519008121721795</v>
      </c>
      <c r="H78" s="216">
        <f>H$77*'Methanol recycling rates'!J36</f>
        <v>13.946802675455737</v>
      </c>
      <c r="I78" s="216">
        <f>I$77*'Methanol recycling rates'!K36</f>
        <v>16.16532306063592</v>
      </c>
      <c r="J78" s="216">
        <f>J$77*'Methanol recycling rates'!L36</f>
        <v>18.162430385920558</v>
      </c>
      <c r="K78" s="216">
        <f>K$77*'Methanol recycling rates'!M36</f>
        <v>19.927720156250373</v>
      </c>
      <c r="L78" s="216">
        <f>L$77*'Methanol recycling rates'!N36</f>
        <v>21.452507229510626</v>
      </c>
      <c r="M78" s="216">
        <f>M$77*'Methanol recycling rates'!O36</f>
        <v>22.729810773193151</v>
      </c>
      <c r="N78" s="216">
        <f>N$77*'Methanol recycling rates'!P36</f>
        <v>24.472706669248517</v>
      </c>
      <c r="O78" s="216">
        <f>O$77*'Methanol recycling rates'!Q36</f>
        <v>25.962346377543717</v>
      </c>
      <c r="P78" s="216">
        <f>P$77*'Methanol recycling rates'!R36</f>
        <v>27.173767408695671</v>
      </c>
      <c r="Q78" s="216">
        <f>Q$77*'Methanol recycling rates'!S36</f>
        <v>28.086184696508045</v>
      </c>
      <c r="R78" s="216">
        <f>R$77*'Methanol recycling rates'!T36</f>
        <v>28.682910422213261</v>
      </c>
      <c r="S78" s="216">
        <f>S$77*'Methanol recycling rates'!U36</f>
        <v>28.951273838714311</v>
      </c>
      <c r="T78" s="216">
        <f>T$77*'Methanol recycling rates'!V36</f>
        <v>28.882541094826784</v>
      </c>
      <c r="U78" s="216">
        <f>U$77*'Methanol recycling rates'!W36</f>
        <v>28.471835059520743</v>
      </c>
      <c r="V78" s="216">
        <f>V$77*'Methanol recycling rates'!X36</f>
        <v>27.718055146162616</v>
      </c>
      <c r="W78" s="216">
        <f>W$77*'Methanol recycling rates'!Y36</f>
        <v>26.623797136757165</v>
      </c>
      <c r="X78" s="216">
        <f>X$77*'Methanol recycling rates'!Z36</f>
        <v>25.732385194300615</v>
      </c>
      <c r="Y78" s="216">
        <f>Y$77*'Methanol recycling rates'!AA36</f>
        <v>24.407037915497842</v>
      </c>
      <c r="Z78" s="216">
        <f>Z$77*'Methanol recycling rates'!AB36</f>
        <v>22.653388433789026</v>
      </c>
      <c r="AA78" s="216">
        <f>AA$77*'Methanol recycling rates'!AC36</f>
        <v>20.482705249033344</v>
      </c>
      <c r="AB78" s="216">
        <f>AB$77*'Methanol recycling rates'!AD36</f>
        <v>17.911764233970292</v>
      </c>
      <c r="AC78" s="216">
        <f>AC$77*'Methanol recycling rates'!AE36</f>
        <v>14.96272064068107</v>
      </c>
      <c r="AD78" s="216">
        <f>AD$77*'Methanol recycling rates'!AF36</f>
        <v>11.662981107049951</v>
      </c>
      <c r="AE78" s="216">
        <f>AE$77*'Methanol recycling rates'!AG36</f>
        <v>8.0450756632256279</v>
      </c>
      <c r="AF78" s="216">
        <f>AF$77*'Methanol recycling rates'!AH36</f>
        <v>4.1465297380826049</v>
      </c>
      <c r="AG78" s="216">
        <f>AG$77*'Methanol recycling rates'!AI36</f>
        <v>9.7361656824845218E-3</v>
      </c>
      <c r="AH78" s="230"/>
      <c r="AI78" s="126"/>
      <c r="AJ78" s="198"/>
      <c r="AL78" s="102"/>
      <c r="AM78" s="2"/>
      <c r="AN78" s="2"/>
      <c r="AO78" s="2"/>
      <c r="BC78" s="1"/>
      <c r="BD78" s="2"/>
      <c r="BE78" s="2"/>
      <c r="BF78" s="2"/>
      <c r="BG78" s="2"/>
      <c r="BH78" s="2"/>
      <c r="BI78" s="2"/>
      <c r="BJ78" s="2"/>
      <c r="BK78" s="2"/>
    </row>
    <row r="79" spans="1:63" outlineLevel="1">
      <c r="A79" s="4" t="s">
        <v>160</v>
      </c>
      <c r="C79" s="216">
        <f>C$77*'Methanol recycling rates'!E37</f>
        <v>0</v>
      </c>
      <c r="D79" s="216">
        <f>D$77*'Methanol recycling rates'!F37</f>
        <v>6.3852162802539345E-2</v>
      </c>
      <c r="E79" s="216">
        <f>E$77*'Methanol recycling rates'!G37</f>
        <v>0.25765839499081566</v>
      </c>
      <c r="F79" s="216">
        <f>F$77*'Methanol recycling rates'!H37</f>
        <v>0.5851804358383691</v>
      </c>
      <c r="G79" s="216">
        <f>G$77*'Methanol recycling rates'!I37</f>
        <v>1.0491709353168421</v>
      </c>
      <c r="H79" s="216">
        <f>H$77*'Methanol recycling rates'!J37</f>
        <v>1.6513823610063507</v>
      </c>
      <c r="I79" s="216">
        <f>I$77*'Methanol recycling rates'!K37</f>
        <v>2.3925759050058595</v>
      </c>
      <c r="J79" s="216">
        <f>J$77*'Methanol recycling rates'!L37</f>
        <v>3.2725303908435488</v>
      </c>
      <c r="K79" s="216">
        <f>K$77*'Methanol recycling rates'!M37</f>
        <v>4.2900511803871932</v>
      </c>
      <c r="L79" s="216">
        <f>L$77*'Methanol recycling rates'!N37</f>
        <v>5.4429790807545286</v>
      </c>
      <c r="M79" s="216">
        <f>M$77*'Methanol recycling rates'!O37</f>
        <v>6.7281992512236233</v>
      </c>
      <c r="N79" s="216">
        <f>N$77*'Methanol recycling rates'!P37</f>
        <v>8.387866027128025</v>
      </c>
      <c r="O79" s="216">
        <f>O$77*'Methanol recycling rates'!Q37</f>
        <v>10.246608944041663</v>
      </c>
      <c r="P79" s="216">
        <f>P$77*'Methanol recycling rates'!R37</f>
        <v>12.301795634428673</v>
      </c>
      <c r="Q79" s="216">
        <f>Q$77*'Methanol recycling rates'!S37</f>
        <v>14.548605194114705</v>
      </c>
      <c r="R79" s="216">
        <f>R$77*'Methanol recycling rates'!T37</f>
        <v>16.980075653020744</v>
      </c>
      <c r="S79" s="216">
        <f>S$77*'Methanol recycling rates'!U37</f>
        <v>19.587151445896875</v>
      </c>
      <c r="T79" s="216">
        <f>T$77*'Methanol recycling rates'!V37</f>
        <v>22.358730883056122</v>
      </c>
      <c r="U79" s="216">
        <f>U$77*'Methanol recycling rates'!W37</f>
        <v>25.281713621108231</v>
      </c>
      <c r="V79" s="216">
        <f>V$77*'Methanol recycling rates'!X37</f>
        <v>28.341048133693466</v>
      </c>
      <c r="W79" s="216">
        <f>W$77*'Methanol recycling rates'!Y37</f>
        <v>31.519779182216418</v>
      </c>
      <c r="X79" s="216">
        <f>X$77*'Methanol recycling rates'!Z37</f>
        <v>35.540941513412683</v>
      </c>
      <c r="Y79" s="216">
        <f>Y$77*'Methanol recycling rates'!AA37</f>
        <v>39.728852799044802</v>
      </c>
      <c r="Z79" s="216">
        <f>Z$77*'Methanol recycling rates'!AB37</f>
        <v>44.055833647219181</v>
      </c>
      <c r="AA79" s="216">
        <f>AA$77*'Methanol recycling rates'!AC37</f>
        <v>48.491322791126329</v>
      </c>
      <c r="AB79" s="216">
        <f>AB$77*'Methanol recycling rates'!AD37</f>
        <v>53.001952871887681</v>
      </c>
      <c r="AC79" s="216">
        <f>AC$77*'Methanol recycling rates'!AE37</f>
        <v>57.551626221402557</v>
      </c>
      <c r="AD79" s="216">
        <f>AD$77*'Methanol recycling rates'!AF37</f>
        <v>62.101590645195074</v>
      </c>
      <c r="AE79" s="216">
        <f>AE$77*'Methanol recycling rates'!AG37</f>
        <v>66.610515205261009</v>
      </c>
      <c r="AF79" s="216">
        <f>AF$77*'Methanol recycling rates'!AH37</f>
        <v>71.034566002914829</v>
      </c>
      <c r="AG79" s="216">
        <f>AG$77*'Methanol recycling rates'!AI37</f>
        <v>75.327481961636352</v>
      </c>
      <c r="AH79" s="230"/>
      <c r="AI79" s="126"/>
      <c r="AJ79" s="198"/>
      <c r="AL79" s="102"/>
      <c r="AM79" s="2"/>
      <c r="AN79" s="2"/>
      <c r="AO79" s="2"/>
      <c r="BC79" s="1"/>
      <c r="BD79" s="2"/>
      <c r="BE79" s="2"/>
      <c r="BF79" s="2"/>
      <c r="BG79" s="2"/>
      <c r="BH79" s="2"/>
      <c r="BI79" s="2"/>
      <c r="BJ79" s="2"/>
      <c r="BK79" s="2"/>
    </row>
    <row r="80" spans="1:63" outlineLevel="1">
      <c r="A80" s="4" t="s">
        <v>1159</v>
      </c>
      <c r="C80" s="216">
        <f>C$77*'Methanol recycling rates'!E38</f>
        <v>0</v>
      </c>
      <c r="D80" s="216">
        <f>D$77*'Methanol recycling rates'!F38</f>
        <v>4.3991031264146489E-2</v>
      </c>
      <c r="E80" s="216">
        <f>E$77*'Methanol recycling rates'!G38</f>
        <v>0.17751408898337284</v>
      </c>
      <c r="F80" s="216">
        <f>F$77*'Methanol recycling rates'!H38</f>
        <v>0.40316082836130335</v>
      </c>
      <c r="G80" s="216">
        <f>G$77*'Methanol recycling rates'!I38</f>
        <v>0.72282769120424395</v>
      </c>
      <c r="H80" s="216">
        <f>H$77*'Methanol recycling rates'!J38</f>
        <v>1.1377220423487575</v>
      </c>
      <c r="I80" s="216">
        <f>I$77*'Methanol recycling rates'!K38</f>
        <v>1.6483683060892433</v>
      </c>
      <c r="J80" s="216">
        <f>J$77*'Methanol recycling rates'!L38</f>
        <v>2.2546141026055095</v>
      </c>
      <c r="K80" s="216">
        <f>K$77*'Methanol recycling rates'!M38</f>
        <v>2.9556363843903535</v>
      </c>
      <c r="L80" s="216">
        <f>L$77*'Methanol recycling rates'!N38</f>
        <v>3.7499475726771379</v>
      </c>
      <c r="M80" s="216">
        <f>M$77*'Methanol recycling rates'!O38</f>
        <v>4.6354016938673626</v>
      </c>
      <c r="N80" s="216">
        <f>N$77*'Methanol recycling rates'!P38</f>
        <v>5.7788312947198524</v>
      </c>
      <c r="O80" s="216">
        <f>O$77*'Methanol recycling rates'!Q38</f>
        <v>7.0594146638818884</v>
      </c>
      <c r="P80" s="216">
        <f>P$77*'Methanol recycling rates'!R38</f>
        <v>8.4753382282889707</v>
      </c>
      <c r="Q80" s="216">
        <f>Q$77*'Methanol recycling rates'!S38</f>
        <v>10.02328061969064</v>
      </c>
      <c r="R80" s="216">
        <f>R$77*'Methanol recycling rates'!T38</f>
        <v>11.698445379674782</v>
      </c>
      <c r="S80" s="216">
        <f>S$77*'Methanol recycling rates'!U38</f>
        <v>13.494593664691877</v>
      </c>
      <c r="T80" s="216">
        <f>T$77*'Methanol recycling rates'!V38</f>
        <v>15.404076951079304</v>
      </c>
      <c r="U80" s="216">
        <f>U$77*'Methanol recycling rates'!W38</f>
        <v>17.417869740085621</v>
      </c>
      <c r="V80" s="216">
        <f>V$77*'Methanol recycling rates'!X38</f>
        <v>19.525602262894807</v>
      </c>
      <c r="W80" s="216">
        <f>W$77*'Methanol recycling rates'!Y38</f>
        <v>21.715593185650601</v>
      </c>
      <c r="X80" s="216">
        <f>X$77*'Methanol recycling rates'!Z38</f>
        <v>24.485978244914843</v>
      </c>
      <c r="Y80" s="216">
        <f>Y$77*'Methanol recycling rates'!AA38</f>
        <v>27.371245214922443</v>
      </c>
      <c r="Z80" s="216">
        <f>Z$77*'Methanol recycling rates'!AB38</f>
        <v>30.352324342344456</v>
      </c>
      <c r="AA80" s="216">
        <f>AA$77*'Methanol recycling rates'!AC38</f>
        <v>33.408160402350894</v>
      </c>
      <c r="AB80" s="216">
        <f>AB$77*'Methanol recycling rates'!AD38</f>
        <v>36.515764909302398</v>
      </c>
      <c r="AC80" s="216">
        <f>AC$77*'Methanol recycling rates'!AE38</f>
        <v>39.65026832744195</v>
      </c>
      <c r="AD80" s="216">
        <f>AD$77*'Methanol recycling rates'!AF38</f>
        <v>42.784972281586654</v>
      </c>
      <c r="AE80" s="216">
        <f>AE$77*'Methanol recycling rates'!AG38</f>
        <v>45.891401767819353</v>
      </c>
      <c r="AF80" s="216">
        <f>AF$77*'Methanol recycling rates'!AH38</f>
        <v>48.939357364180474</v>
      </c>
      <c r="AG80" s="216">
        <f>AG$77*'Methanol recycling rates'!AI38</f>
        <v>51.896967441359585</v>
      </c>
      <c r="AH80" s="230"/>
      <c r="AI80" s="126"/>
      <c r="AJ80" s="198"/>
      <c r="AL80" s="102"/>
      <c r="AM80" s="2"/>
      <c r="AN80" s="2"/>
      <c r="AO80" s="2"/>
      <c r="BC80" s="1"/>
      <c r="BD80" s="2"/>
      <c r="BE80" s="2"/>
      <c r="BF80" s="2"/>
      <c r="BG80" s="2"/>
      <c r="BH80" s="2"/>
      <c r="BI80" s="2"/>
      <c r="BJ80" s="2"/>
      <c r="BK80" s="2"/>
    </row>
    <row r="81" spans="1:63" s="1" customFormat="1" outlineLevel="1">
      <c r="A81" s="1" t="s">
        <v>1164</v>
      </c>
      <c r="B81" s="61"/>
      <c r="C81" s="279">
        <f>C77-$C77</f>
        <v>0</v>
      </c>
      <c r="D81" s="279">
        <f t="shared" ref="D81:AG81" si="39">D77-$C77</f>
        <v>3.2161310661201004</v>
      </c>
      <c r="E81" s="279">
        <f t="shared" si="39"/>
        <v>6.5086744544781574</v>
      </c>
      <c r="F81" s="279">
        <f t="shared" si="39"/>
        <v>9.8647566497001336</v>
      </c>
      <c r="G81" s="279">
        <f t="shared" si="39"/>
        <v>13.271594403347065</v>
      </c>
      <c r="H81" s="279">
        <f t="shared" si="39"/>
        <v>16.716494733915027</v>
      </c>
      <c r="I81" s="279">
        <f t="shared" si="39"/>
        <v>20.186854926835203</v>
      </c>
      <c r="J81" s="279">
        <f t="shared" si="39"/>
        <v>23.670162534473793</v>
      </c>
      <c r="K81" s="279">
        <f t="shared" si="39"/>
        <v>27.153995376132094</v>
      </c>
      <c r="L81" s="279">
        <f t="shared" si="39"/>
        <v>30.626021538046466</v>
      </c>
      <c r="M81" s="279">
        <f t="shared" si="39"/>
        <v>34.073999373388311</v>
      </c>
      <c r="N81" s="279">
        <f t="shared" si="39"/>
        <v>38.61999164620056</v>
      </c>
      <c r="O81" s="279">
        <f t="shared" si="39"/>
        <v>43.248957640571433</v>
      </c>
      <c r="P81" s="279">
        <f t="shared" si="39"/>
        <v>47.931488926517474</v>
      </c>
      <c r="Q81" s="279">
        <f t="shared" si="39"/>
        <v>52.638658165417546</v>
      </c>
      <c r="R81" s="279">
        <f t="shared" si="39"/>
        <v>57.342019110012934</v>
      </c>
      <c r="S81" s="279">
        <f t="shared" si="39"/>
        <v>62.013606604407208</v>
      </c>
      <c r="T81" s="279">
        <f t="shared" si="39"/>
        <v>66.625936584066352</v>
      </c>
      <c r="U81" s="279">
        <f t="shared" si="39"/>
        <v>71.152006075818733</v>
      </c>
      <c r="V81" s="279">
        <f t="shared" si="39"/>
        <v>75.565293197855027</v>
      </c>
      <c r="W81" s="279">
        <f t="shared" si="39"/>
        <v>79.839757159728322</v>
      </c>
      <c r="X81" s="279">
        <f t="shared" si="39"/>
        <v>85.739892607732273</v>
      </c>
      <c r="Y81" s="279">
        <f t="shared" si="39"/>
        <v>91.48772358456921</v>
      </c>
      <c r="Z81" s="279">
        <f t="shared" si="39"/>
        <v>97.042134078456783</v>
      </c>
      <c r="AA81" s="279">
        <f t="shared" si="39"/>
        <v>102.36277609761468</v>
      </c>
      <c r="AB81" s="279">
        <f t="shared" si="39"/>
        <v>107.41006967026448</v>
      </c>
      <c r="AC81" s="279">
        <f t="shared" si="39"/>
        <v>112.14520284462968</v>
      </c>
      <c r="AD81" s="279">
        <f t="shared" si="39"/>
        <v>116.53013168893578</v>
      </c>
      <c r="AE81" s="279">
        <f t="shared" si="39"/>
        <v>120.52758029141009</v>
      </c>
      <c r="AF81" s="279">
        <f t="shared" si="39"/>
        <v>124.101040760282</v>
      </c>
      <c r="AG81" s="279">
        <f t="shared" si="39"/>
        <v>127.21477322378261</v>
      </c>
      <c r="AH81" s="230"/>
      <c r="AI81" s="398"/>
      <c r="AJ81" s="399"/>
      <c r="AL81" s="207"/>
      <c r="AM81" s="118"/>
      <c r="AN81" s="118"/>
      <c r="AO81" s="118"/>
      <c r="BD81" s="118"/>
      <c r="BE81" s="118"/>
      <c r="BF81" s="118"/>
      <c r="BG81" s="118"/>
      <c r="BH81" s="118"/>
      <c r="BI81" s="118"/>
      <c r="BJ81" s="118"/>
      <c r="BK81" s="118"/>
    </row>
    <row r="82" spans="1:63" outlineLevel="1">
      <c r="A82" s="4" t="s">
        <v>35</v>
      </c>
      <c r="C82" s="216">
        <f t="shared" ref="C82:AF82" si="40">C78-$C78</f>
        <v>0</v>
      </c>
      <c r="D82" s="216">
        <f t="shared" si="40"/>
        <v>3.1082878720534146</v>
      </c>
      <c r="E82" s="216">
        <f t="shared" si="40"/>
        <v>6.073501970503969</v>
      </c>
      <c r="F82" s="216">
        <f t="shared" si="40"/>
        <v>8.8764153855004615</v>
      </c>
      <c r="G82" s="216">
        <f t="shared" si="40"/>
        <v>11.499595776825981</v>
      </c>
      <c r="H82" s="216">
        <f t="shared" si="40"/>
        <v>13.927390330559923</v>
      </c>
      <c r="I82" s="216">
        <f t="shared" si="40"/>
        <v>16.145910715740104</v>
      </c>
      <c r="J82" s="216">
        <f t="shared" si="40"/>
        <v>18.143018041024742</v>
      </c>
      <c r="K82" s="216">
        <f t="shared" si="40"/>
        <v>19.908307811354558</v>
      </c>
      <c r="L82" s="216">
        <f t="shared" si="40"/>
        <v>21.43309488461481</v>
      </c>
      <c r="M82" s="216">
        <f t="shared" si="40"/>
        <v>22.710398428297335</v>
      </c>
      <c r="N82" s="216">
        <f t="shared" si="40"/>
        <v>24.453294324352701</v>
      </c>
      <c r="O82" s="216">
        <f t="shared" si="40"/>
        <v>25.942934032647901</v>
      </c>
      <c r="P82" s="216">
        <f t="shared" si="40"/>
        <v>27.154355063799855</v>
      </c>
      <c r="Q82" s="216">
        <f t="shared" si="40"/>
        <v>28.066772351612229</v>
      </c>
      <c r="R82" s="216">
        <f t="shared" si="40"/>
        <v>28.663498077317445</v>
      </c>
      <c r="S82" s="216">
        <f t="shared" si="40"/>
        <v>28.931861493818495</v>
      </c>
      <c r="T82" s="216">
        <f t="shared" si="40"/>
        <v>28.863128749930969</v>
      </c>
      <c r="U82" s="216">
        <f t="shared" si="40"/>
        <v>28.452422714624927</v>
      </c>
      <c r="V82" s="216">
        <f t="shared" si="40"/>
        <v>27.6986428012668</v>
      </c>
      <c r="W82" s="216">
        <f t="shared" si="40"/>
        <v>26.604384791861349</v>
      </c>
      <c r="X82" s="216">
        <f t="shared" si="40"/>
        <v>25.7129728494048</v>
      </c>
      <c r="Y82" s="216">
        <f t="shared" si="40"/>
        <v>24.387625570602026</v>
      </c>
      <c r="Z82" s="216">
        <f t="shared" si="40"/>
        <v>22.63397608889321</v>
      </c>
      <c r="AA82" s="216">
        <f t="shared" si="40"/>
        <v>20.463292904137528</v>
      </c>
      <c r="AB82" s="216">
        <f t="shared" si="40"/>
        <v>17.892351889074476</v>
      </c>
      <c r="AC82" s="216">
        <f t="shared" si="40"/>
        <v>14.943308295785256</v>
      </c>
      <c r="AD82" s="216">
        <f t="shared" si="40"/>
        <v>11.643568762154137</v>
      </c>
      <c r="AE82" s="216">
        <f t="shared" si="40"/>
        <v>8.0256633183298138</v>
      </c>
      <c r="AF82" s="216">
        <f t="shared" si="40"/>
        <v>4.1271173931867908</v>
      </c>
      <c r="AG82" s="216">
        <f>AG78-$C78</f>
        <v>-9.6761792133299163E-3</v>
      </c>
      <c r="AH82" s="230"/>
      <c r="AI82" s="126"/>
      <c r="AJ82" s="198"/>
      <c r="AL82" s="102"/>
      <c r="AM82" s="2"/>
      <c r="AN82" s="2"/>
      <c r="AO82" s="2"/>
      <c r="BC82" s="1"/>
      <c r="BD82" s="2"/>
      <c r="BE82" s="2"/>
      <c r="BF82" s="2"/>
      <c r="BG82" s="2"/>
      <c r="BH82" s="2"/>
      <c r="BI82" s="2"/>
      <c r="BJ82" s="2"/>
      <c r="BK82" s="2"/>
    </row>
    <row r="83" spans="1:63" outlineLevel="1">
      <c r="A83" s="4" t="s">
        <v>160</v>
      </c>
      <c r="C83" s="216">
        <f t="shared" ref="C83:AG83" si="41">C79-$C79</f>
        <v>0</v>
      </c>
      <c r="D83" s="216">
        <f t="shared" si="41"/>
        <v>6.3852162802539345E-2</v>
      </c>
      <c r="E83" s="216">
        <f t="shared" si="41"/>
        <v>0.25765839499081566</v>
      </c>
      <c r="F83" s="216">
        <f t="shared" si="41"/>
        <v>0.5851804358383691</v>
      </c>
      <c r="G83" s="216">
        <f t="shared" si="41"/>
        <v>1.0491709353168421</v>
      </c>
      <c r="H83" s="216">
        <f t="shared" si="41"/>
        <v>1.6513823610063507</v>
      </c>
      <c r="I83" s="216">
        <f t="shared" si="41"/>
        <v>2.3925759050058595</v>
      </c>
      <c r="J83" s="216">
        <f t="shared" si="41"/>
        <v>3.2725303908435488</v>
      </c>
      <c r="K83" s="216">
        <f t="shared" si="41"/>
        <v>4.2900511803871932</v>
      </c>
      <c r="L83" s="216">
        <f t="shared" si="41"/>
        <v>5.4429790807545286</v>
      </c>
      <c r="M83" s="216">
        <f t="shared" si="41"/>
        <v>6.7281992512236233</v>
      </c>
      <c r="N83" s="216">
        <f t="shared" si="41"/>
        <v>8.387866027128025</v>
      </c>
      <c r="O83" s="216">
        <f t="shared" si="41"/>
        <v>10.246608944041663</v>
      </c>
      <c r="P83" s="216">
        <f t="shared" si="41"/>
        <v>12.301795634428673</v>
      </c>
      <c r="Q83" s="216">
        <f t="shared" si="41"/>
        <v>14.548605194114705</v>
      </c>
      <c r="R83" s="216">
        <f t="shared" si="41"/>
        <v>16.980075653020744</v>
      </c>
      <c r="S83" s="216">
        <f t="shared" si="41"/>
        <v>19.587151445896875</v>
      </c>
      <c r="T83" s="216">
        <f t="shared" si="41"/>
        <v>22.358730883056122</v>
      </c>
      <c r="U83" s="216">
        <f t="shared" si="41"/>
        <v>25.281713621108231</v>
      </c>
      <c r="V83" s="216">
        <f t="shared" si="41"/>
        <v>28.341048133693466</v>
      </c>
      <c r="W83" s="216">
        <f t="shared" si="41"/>
        <v>31.519779182216418</v>
      </c>
      <c r="X83" s="216">
        <f t="shared" si="41"/>
        <v>35.540941513412683</v>
      </c>
      <c r="Y83" s="216">
        <f t="shared" si="41"/>
        <v>39.728852799044802</v>
      </c>
      <c r="Z83" s="216">
        <f t="shared" si="41"/>
        <v>44.055833647219181</v>
      </c>
      <c r="AA83" s="216">
        <f t="shared" si="41"/>
        <v>48.491322791126329</v>
      </c>
      <c r="AB83" s="216">
        <f t="shared" si="41"/>
        <v>53.001952871887681</v>
      </c>
      <c r="AC83" s="216">
        <f t="shared" si="41"/>
        <v>57.551626221402557</v>
      </c>
      <c r="AD83" s="216">
        <f t="shared" si="41"/>
        <v>62.101590645195074</v>
      </c>
      <c r="AE83" s="216">
        <f t="shared" si="41"/>
        <v>66.610515205261009</v>
      </c>
      <c r="AF83" s="216">
        <f t="shared" si="41"/>
        <v>71.034566002914829</v>
      </c>
      <c r="AG83" s="216">
        <f t="shared" si="41"/>
        <v>75.327481961636352</v>
      </c>
      <c r="AH83" s="230"/>
      <c r="AI83" s="126"/>
      <c r="AJ83" s="198"/>
      <c r="AL83" s="102"/>
      <c r="AM83" s="2"/>
      <c r="AN83" s="2"/>
      <c r="AO83" s="2"/>
      <c r="BC83" s="1"/>
      <c r="BD83" s="2"/>
      <c r="BE83" s="2"/>
      <c r="BF83" s="2"/>
      <c r="BG83" s="2"/>
      <c r="BH83" s="2"/>
      <c r="BI83" s="2"/>
      <c r="BJ83" s="2"/>
      <c r="BK83" s="2"/>
    </row>
    <row r="84" spans="1:63" outlineLevel="1">
      <c r="A84" s="4" t="s">
        <v>1159</v>
      </c>
      <c r="C84" s="216">
        <f t="shared" ref="C84:AG84" si="42">C80-$C80</f>
        <v>0</v>
      </c>
      <c r="D84" s="216">
        <f t="shared" si="42"/>
        <v>4.3991031264146489E-2</v>
      </c>
      <c r="E84" s="216">
        <f t="shared" si="42"/>
        <v>0.17751408898337284</v>
      </c>
      <c r="F84" s="216">
        <f t="shared" si="42"/>
        <v>0.40316082836130335</v>
      </c>
      <c r="G84" s="216">
        <f t="shared" si="42"/>
        <v>0.72282769120424395</v>
      </c>
      <c r="H84" s="216">
        <f t="shared" si="42"/>
        <v>1.1377220423487575</v>
      </c>
      <c r="I84" s="216">
        <f t="shared" si="42"/>
        <v>1.6483683060892433</v>
      </c>
      <c r="J84" s="216">
        <f t="shared" si="42"/>
        <v>2.2546141026055095</v>
      </c>
      <c r="K84" s="216">
        <f t="shared" si="42"/>
        <v>2.9556363843903535</v>
      </c>
      <c r="L84" s="216">
        <f t="shared" si="42"/>
        <v>3.7499475726771379</v>
      </c>
      <c r="M84" s="216">
        <f t="shared" si="42"/>
        <v>4.6354016938673626</v>
      </c>
      <c r="N84" s="216">
        <f t="shared" si="42"/>
        <v>5.7788312947198524</v>
      </c>
      <c r="O84" s="216">
        <f t="shared" si="42"/>
        <v>7.0594146638818884</v>
      </c>
      <c r="P84" s="216">
        <f t="shared" si="42"/>
        <v>8.4753382282889707</v>
      </c>
      <c r="Q84" s="216">
        <f t="shared" si="42"/>
        <v>10.02328061969064</v>
      </c>
      <c r="R84" s="216">
        <f t="shared" si="42"/>
        <v>11.698445379674782</v>
      </c>
      <c r="S84" s="216">
        <f t="shared" si="42"/>
        <v>13.494593664691877</v>
      </c>
      <c r="T84" s="216">
        <f t="shared" si="42"/>
        <v>15.404076951079304</v>
      </c>
      <c r="U84" s="216">
        <f t="shared" si="42"/>
        <v>17.417869740085621</v>
      </c>
      <c r="V84" s="216">
        <f t="shared" si="42"/>
        <v>19.525602262894807</v>
      </c>
      <c r="W84" s="216">
        <f t="shared" si="42"/>
        <v>21.715593185650601</v>
      </c>
      <c r="X84" s="216">
        <f t="shared" si="42"/>
        <v>24.485978244914843</v>
      </c>
      <c r="Y84" s="216">
        <f t="shared" si="42"/>
        <v>27.371245214922443</v>
      </c>
      <c r="Z84" s="216">
        <f t="shared" si="42"/>
        <v>30.352324342344456</v>
      </c>
      <c r="AA84" s="216">
        <f t="shared" si="42"/>
        <v>33.408160402350894</v>
      </c>
      <c r="AB84" s="216">
        <f t="shared" si="42"/>
        <v>36.515764909302398</v>
      </c>
      <c r="AC84" s="216">
        <f t="shared" si="42"/>
        <v>39.65026832744195</v>
      </c>
      <c r="AD84" s="216">
        <f t="shared" si="42"/>
        <v>42.784972281586654</v>
      </c>
      <c r="AE84" s="216">
        <f t="shared" si="42"/>
        <v>45.891401767819353</v>
      </c>
      <c r="AF84" s="216">
        <f t="shared" si="42"/>
        <v>48.939357364180474</v>
      </c>
      <c r="AG84" s="216">
        <f t="shared" si="42"/>
        <v>51.896967441359585</v>
      </c>
      <c r="AH84" s="230"/>
      <c r="AI84" s="126"/>
      <c r="AJ84" s="198"/>
      <c r="AL84" s="102"/>
      <c r="AM84" s="2"/>
      <c r="AN84" s="2"/>
      <c r="AO84" s="2"/>
      <c r="BC84" s="1"/>
      <c r="BD84" s="2"/>
      <c r="BE84" s="2"/>
      <c r="BF84" s="2"/>
      <c r="BG84" s="2"/>
      <c r="BH84" s="2"/>
      <c r="BI84" s="2"/>
      <c r="BJ84" s="2"/>
      <c r="BK84" s="2"/>
    </row>
    <row r="85" spans="1:63" s="1" customFormat="1" outlineLevel="1">
      <c r="A85" s="1" t="s">
        <v>1169</v>
      </c>
      <c r="B85" s="61"/>
      <c r="C85" s="279">
        <f>C47*C66</f>
        <v>7.9048937339014513E-8</v>
      </c>
      <c r="D85" s="279">
        <f t="shared" ref="D85:AG85" si="43">D47*D66</f>
        <v>1.4368741567951206E-5</v>
      </c>
      <c r="E85" s="279">
        <f t="shared" si="43"/>
        <v>3.1499536570151528E-5</v>
      </c>
      <c r="F85" s="279">
        <f t="shared" si="43"/>
        <v>5.1654803840074199E-5</v>
      </c>
      <c r="G85" s="279">
        <f t="shared" si="43"/>
        <v>7.5017913273853437E-5</v>
      </c>
      <c r="H85" s="279">
        <f t="shared" si="43"/>
        <v>1.0177223476762345E-4</v>
      </c>
      <c r="I85" s="279">
        <f t="shared" si="43"/>
        <v>1.3210113821751849E-4</v>
      </c>
      <c r="J85" s="279">
        <f t="shared" si="43"/>
        <v>1.6618799351967269E-4</v>
      </c>
      <c r="K85" s="279">
        <f t="shared" si="43"/>
        <v>2.0421617057022037E-4</v>
      </c>
      <c r="L85" s="279">
        <f t="shared" si="43"/>
        <v>2.4636903926529568E-4</v>
      </c>
      <c r="M85" s="279">
        <f t="shared" si="43"/>
        <v>2.9282996950103288E-4</v>
      </c>
      <c r="N85" s="279">
        <f t="shared" si="43"/>
        <v>3.6756678373639956E-4</v>
      </c>
      <c r="O85" s="279">
        <f t="shared" si="43"/>
        <v>4.5378831618874717E-4</v>
      </c>
      <c r="P85" s="279">
        <f t="shared" si="43"/>
        <v>5.5229958848542274E-4</v>
      </c>
      <c r="Q85" s="279">
        <f t="shared" si="43"/>
        <v>6.6390562225377315E-4</v>
      </c>
      <c r="R85" s="279">
        <f t="shared" si="43"/>
        <v>7.89411439121145E-4</v>
      </c>
      <c r="S85" s="279">
        <f t="shared" si="43"/>
        <v>9.2962206071488512E-4</v>
      </c>
      <c r="T85" s="279">
        <f t="shared" si="43"/>
        <v>1.0853425086623403E-3</v>
      </c>
      <c r="U85" s="279">
        <f t="shared" si="43"/>
        <v>1.2573778045908578E-3</v>
      </c>
      <c r="V85" s="279">
        <f t="shared" si="43"/>
        <v>1.4465329701277838E-3</v>
      </c>
      <c r="W85" s="279">
        <f t="shared" si="43"/>
        <v>1.6536130269004647E-3</v>
      </c>
      <c r="X85" s="279">
        <f t="shared" si="43"/>
        <v>1.9813858129338487E-3</v>
      </c>
      <c r="Y85" s="279">
        <f t="shared" si="43"/>
        <v>2.3491745810875248E-3</v>
      </c>
      <c r="Z85" s="279">
        <f t="shared" si="43"/>
        <v>2.759253007951388E-3</v>
      </c>
      <c r="AA85" s="279">
        <f t="shared" si="43"/>
        <v>3.2138947701153358E-3</v>
      </c>
      <c r="AB85" s="279">
        <f t="shared" si="43"/>
        <v>3.7153735441692631E-3</v>
      </c>
      <c r="AC85" s="279">
        <f t="shared" si="43"/>
        <v>4.2659630067030637E-3</v>
      </c>
      <c r="AD85" s="279">
        <f t="shared" si="43"/>
        <v>4.8679368343066375E-3</v>
      </c>
      <c r="AE85" s="279">
        <f t="shared" si="43"/>
        <v>5.5235687035698755E-3</v>
      </c>
      <c r="AF85" s="279">
        <f t="shared" si="43"/>
        <v>6.2351322910826745E-3</v>
      </c>
      <c r="AG85" s="279">
        <f t="shared" si="43"/>
        <v>7.0049012734349379E-3</v>
      </c>
      <c r="AH85" s="230"/>
      <c r="AI85" s="398"/>
      <c r="AJ85" s="399"/>
      <c r="AL85" s="207"/>
      <c r="AM85" s="118"/>
      <c r="AN85" s="118"/>
      <c r="AO85" s="118"/>
      <c r="BD85" s="118"/>
      <c r="BE85" s="118"/>
      <c r="BF85" s="118"/>
      <c r="BG85" s="118"/>
      <c r="BH85" s="118"/>
      <c r="BI85" s="118"/>
      <c r="BJ85" s="118"/>
      <c r="BK85" s="118"/>
    </row>
    <row r="86" spans="1:63" outlineLevel="1">
      <c r="A86" s="4" t="s">
        <v>35</v>
      </c>
      <c r="C86" s="216">
        <f>C$85*'Methanol recycling rates'!E44</f>
        <v>0</v>
      </c>
      <c r="D86" s="216">
        <f>D$85*'Methanol recycling rates'!F44</f>
        <v>2.3947902613252009E-7</v>
      </c>
      <c r="E86" s="216">
        <f>E$85*'Methanol recycling rates'!G44</f>
        <v>1.0499845523383843E-6</v>
      </c>
      <c r="F86" s="216">
        <f>F$85*'Methanol recycling rates'!H44</f>
        <v>2.58274019200371E-6</v>
      </c>
      <c r="G86" s="216">
        <f>G$85*'Methanol recycling rates'!I44</f>
        <v>5.0011942182568954E-6</v>
      </c>
      <c r="H86" s="216">
        <f>H$85*'Methanol recycling rates'!J44</f>
        <v>8.48101956396862E-6</v>
      </c>
      <c r="I86" s="216">
        <f>I$85*'Methanol recycling rates'!K44</f>
        <v>1.3210113821751848E-5</v>
      </c>
      <c r="J86" s="216">
        <f>J$85*'Methanol recycling rates'!L44</f>
        <v>1.9388599243961813E-5</v>
      </c>
      <c r="K86" s="216">
        <f>K$85*'Methanol recycling rates'!M44</f>
        <v>2.7228822742696048E-5</v>
      </c>
      <c r="L86" s="216">
        <f>L$85*'Methanol recycling rates'!N44</f>
        <v>3.6955355889794354E-5</v>
      </c>
      <c r="M86" s="216">
        <f>M$85*'Methanol recycling rates'!O44</f>
        <v>4.8804994916838811E-5</v>
      </c>
      <c r="N86" s="216">
        <f>N$85*'Methanol recycling rates'!P44</f>
        <v>6.7387243685006578E-5</v>
      </c>
      <c r="O86" s="216">
        <f>O$85*'Methanol recycling rates'!Q44</f>
        <v>9.0757663237749428E-5</v>
      </c>
      <c r="P86" s="216">
        <f>P$85*'Methanol recycling rates'!R44</f>
        <v>1.1966491083850825E-4</v>
      </c>
      <c r="Q86" s="216">
        <f>Q$85*'Methanol recycling rates'!S44</f>
        <v>1.5491131185921373E-4</v>
      </c>
      <c r="R86" s="216">
        <f>R$85*'Methanol recycling rates'!T44</f>
        <v>1.9735285978028622E-4</v>
      </c>
      <c r="S86" s="216">
        <f>S$85*'Methanol recycling rates'!U44</f>
        <v>2.4789921619063602E-4</v>
      </c>
      <c r="T86" s="216">
        <f>T$85*'Methanol recycling rates'!V44</f>
        <v>3.0751371078766308E-4</v>
      </c>
      <c r="U86" s="216">
        <f>U$85*'Methanol recycling rates'!W44</f>
        <v>3.772133413772573E-4</v>
      </c>
      <c r="V86" s="216">
        <f>V$85*'Methanol recycling rates'!X44</f>
        <v>4.5806877387379817E-4</v>
      </c>
      <c r="W86" s="216">
        <f>W$85*'Methanol recycling rates'!Y44</f>
        <v>5.5120434230015482E-4</v>
      </c>
      <c r="X86" s="216">
        <f>X$85*'Methanol recycling rates'!Z44</f>
        <v>6.9348503452684696E-4</v>
      </c>
      <c r="Y86" s="216">
        <f>Y$85*'Methanol recycling rates'!AA44</f>
        <v>8.6136401306542568E-4</v>
      </c>
      <c r="Z86" s="216">
        <f>Z$85*'Methanol recycling rates'!AB44</f>
        <v>1.0577136530480319E-3</v>
      </c>
      <c r="AA86" s="216">
        <f>AA$85*'Methanol recycling rates'!AC44</f>
        <v>1.2855579080461343E-3</v>
      </c>
      <c r="AB86" s="216">
        <f>AB$85*'Methanol recycling rates'!AD44</f>
        <v>1.5480723100705263E-3</v>
      </c>
      <c r="AC86" s="216">
        <f>AC$85*'Methanol recycling rates'!AE44</f>
        <v>1.8485839695713275E-3</v>
      </c>
      <c r="AD86" s="216">
        <f>AD$85*'Methanol recycling rates'!AF44</f>
        <v>2.1905715754379869E-3</v>
      </c>
      <c r="AE86" s="216">
        <f>AE$85*'Methanol recycling rates'!AG44</f>
        <v>2.5776653949992749E-3</v>
      </c>
      <c r="AF86" s="216">
        <f>AF$85*'Methanol recycling rates'!AH44</f>
        <v>3.0136472740232923E-3</v>
      </c>
      <c r="AG86" s="216">
        <f>AG$85*'Methanol recycling rates'!AI44</f>
        <v>3.5024506367174689E-3</v>
      </c>
      <c r="AH86" s="230"/>
      <c r="AI86" s="126"/>
      <c r="AJ86" s="198"/>
      <c r="AL86" s="102"/>
      <c r="AM86" s="2"/>
      <c r="AN86" s="2"/>
      <c r="AO86" s="2"/>
      <c r="BC86" s="1"/>
      <c r="BD86" s="2"/>
      <c r="BE86" s="2"/>
      <c r="BF86" s="2"/>
      <c r="BG86" s="2"/>
      <c r="BH86" s="2"/>
      <c r="BI86" s="2"/>
      <c r="BJ86" s="2"/>
      <c r="BK86" s="2"/>
    </row>
    <row r="87" spans="1:63" outlineLevel="1">
      <c r="A87" s="4" t="s">
        <v>160</v>
      </c>
      <c r="C87" s="216">
        <f>C$85*'Methanol recycling rates'!E45</f>
        <v>7.9048937339014513E-8</v>
      </c>
      <c r="D87" s="216">
        <f>D$85*'Methanol recycling rates'!F45</f>
        <v>1.3889820166331045E-5</v>
      </c>
      <c r="E87" s="216">
        <f>E$85*'Methanol recycling rates'!G45</f>
        <v>2.9399728158507375E-5</v>
      </c>
      <c r="F87" s="216">
        <f>F$85*'Methanol recycling rates'!H45</f>
        <v>4.6489718726980995E-5</v>
      </c>
      <c r="G87" s="216">
        <f>G$85*'Methanol recycling rates'!I45</f>
        <v>6.5016290236281801E-5</v>
      </c>
      <c r="H87" s="216">
        <f>H$85*'Methanol recycling rates'!J45</f>
        <v>8.4811493602356591E-5</v>
      </c>
      <c r="I87" s="216">
        <f>I$85*'Methanol recycling rates'!K45</f>
        <v>1.0568293229256912E-4</v>
      </c>
      <c r="J87" s="216">
        <f>J$85*'Methanol recycling rates'!L45</f>
        <v>1.2741376232569996E-4</v>
      </c>
      <c r="K87" s="216">
        <f>K$85*'Methanol recycling rates'!M45</f>
        <v>1.4976269227194675E-4</v>
      </c>
      <c r="L87" s="216">
        <f>L$85*'Methanol recycling rates'!N45</f>
        <v>1.7246398325292386E-4</v>
      </c>
      <c r="M87" s="216">
        <f>M$85*'Methanol recycling rates'!O45</f>
        <v>1.9522744894166273E-4</v>
      </c>
      <c r="N87" s="216">
        <f>N$85*'Methanol recycling rates'!P45</f>
        <v>2.3280260952815939E-4</v>
      </c>
      <c r="O87" s="216">
        <f>O$85*'Methanol recycling rates'!Q45</f>
        <v>2.7228687955963357E-4</v>
      </c>
      <c r="P87" s="216">
        <f>P$85*'Methanol recycling rates'!R45</f>
        <v>3.1298808071347995E-4</v>
      </c>
      <c r="Q87" s="216">
        <f>Q$85*'Methanol recycling rates'!S45</f>
        <v>3.5410670666365465E-4</v>
      </c>
      <c r="R87" s="216">
        <f>R$85*'Methanol recycling rates'!T45</f>
        <v>3.9473592308067478E-4</v>
      </c>
      <c r="S87" s="216">
        <f>S$85*'Methanol recycling rates'!U45</f>
        <v>4.3386156763161908E-4</v>
      </c>
      <c r="T87" s="216">
        <f>T$85*'Methanol recycling rates'!V45</f>
        <v>4.7036214998012765E-4</v>
      </c>
      <c r="U87" s="216">
        <f>U$85*'Methanol recycling rates'!W45</f>
        <v>5.0300885178640204E-4</v>
      </c>
      <c r="V87" s="216">
        <f>V$85*'Methanol recycling rates'!X45</f>
        <v>5.304655267072048E-4</v>
      </c>
      <c r="W87" s="216">
        <f>W$85*'Methanol recycling rates'!Y45</f>
        <v>5.5128870039586005E-4</v>
      </c>
      <c r="X87" s="216">
        <f>X$85*'Methanol recycling rates'!Z45</f>
        <v>5.9452187707327965E-4</v>
      </c>
      <c r="Y87" s="216">
        <f>Y$85*'Methanol recycling rates'!AA45</f>
        <v>6.265783808917664E-4</v>
      </c>
      <c r="Z87" s="216">
        <f>Z$85*'Methanol recycling rates'!AB45</f>
        <v>6.4398757777451568E-4</v>
      </c>
      <c r="AA87" s="216">
        <f>AA$85*'Methanol recycling rates'!AC45</f>
        <v>6.4297569996412556E-4</v>
      </c>
      <c r="AB87" s="216">
        <f>AB$85*'Methanol recycling rates'!AD45</f>
        <v>6.1946584602259522E-4</v>
      </c>
      <c r="AC87" s="216">
        <f>AC$85*'Methanol recycling rates'!AE45</f>
        <v>5.6907798083132564E-4</v>
      </c>
      <c r="AD87" s="216">
        <f>AD$85*'Methanol recycling rates'!AF45</f>
        <v>4.8712893559112094E-4</v>
      </c>
      <c r="AE87" s="216">
        <f>AE$85*'Methanol recycling rates'!AG45</f>
        <v>3.6863240782218572E-4</v>
      </c>
      <c r="AF87" s="216">
        <f>AF$85*'Methanol recycling rates'!AH45</f>
        <v>2.0829896136412748E-4</v>
      </c>
      <c r="AG87" s="216">
        <f>AG$85*'Methanol recycling rates'!AI45</f>
        <v>5.3602637595220765E-7</v>
      </c>
      <c r="AH87" s="230"/>
      <c r="AI87" s="126"/>
      <c r="AJ87" s="198"/>
      <c r="AL87" s="102"/>
      <c r="AM87" s="2"/>
      <c r="AN87" s="2"/>
      <c r="AO87" s="2"/>
      <c r="BC87" s="1"/>
      <c r="BD87" s="2"/>
      <c r="BE87" s="2"/>
      <c r="BF87" s="2"/>
      <c r="BG87" s="2"/>
      <c r="BH87" s="2"/>
      <c r="BI87" s="2"/>
      <c r="BJ87" s="2"/>
      <c r="BK87" s="2"/>
    </row>
    <row r="88" spans="1:63" outlineLevel="1">
      <c r="A88" s="4" t="s">
        <v>1159</v>
      </c>
      <c r="C88" s="216">
        <f>C$85*'Methanol recycling rates'!E46</f>
        <v>0</v>
      </c>
      <c r="D88" s="216">
        <f>D$85*'Methanol recycling rates'!F46</f>
        <v>2.8356140200151437E-7</v>
      </c>
      <c r="E88" s="216">
        <f>E$85*'Methanol recycling rates'!G46</f>
        <v>1.2432616607361996E-6</v>
      </c>
      <c r="F88" s="216">
        <f>F$85*'Methanol recycling rates'!H46</f>
        <v>3.0581610493311622E-6</v>
      </c>
      <c r="G88" s="216">
        <f>G$85*'Methanol recycling rates'!I46</f>
        <v>5.9217947688915194E-6</v>
      </c>
      <c r="H88" s="216">
        <f>H$85*'Methanol recycling rates'!J46</f>
        <v>1.0042172948500402E-5</v>
      </c>
      <c r="I88" s="216">
        <f>I$85*'Methanol recycling rates'!K46</f>
        <v>1.5641780645218954E-5</v>
      </c>
      <c r="J88" s="216">
        <f>J$85*'Methanol recycling rates'!L46</f>
        <v>2.2957577844086322E-5</v>
      </c>
      <c r="K88" s="216">
        <f>K$85*'Methanol recycling rates'!M46</f>
        <v>3.224099945811969E-5</v>
      </c>
      <c r="L88" s="216">
        <f>L$85*'Methanol recycling rates'!N46</f>
        <v>4.3757955328314219E-5</v>
      </c>
      <c r="M88" s="216">
        <f>M$85*'Methanol recycling rates'!O46</f>
        <v>5.7788830223643119E-5</v>
      </c>
      <c r="N88" s="216">
        <f>N$85*'Methanol recycling rates'!P46</f>
        <v>7.9791627705067458E-5</v>
      </c>
      <c r="O88" s="216">
        <f>O$85*'Methanol recycling rates'!Q46</f>
        <v>1.0746398398929682E-4</v>
      </c>
      <c r="P88" s="216">
        <f>P$85*'Methanol recycling rates'!R46</f>
        <v>1.4169236628253421E-4</v>
      </c>
      <c r="Q88" s="216">
        <f>Q$85*'Methanol recycling rates'!S46</f>
        <v>1.8342678891797705E-4</v>
      </c>
      <c r="R88" s="216">
        <f>R$85*'Methanol recycling rates'!T46</f>
        <v>2.3368081335581702E-4</v>
      </c>
      <c r="S88" s="216">
        <f>S$85*'Methanol recycling rates'!U46</f>
        <v>2.9353154818324026E-4</v>
      </c>
      <c r="T88" s="216">
        <f>T$85*'Methanol recycling rates'!V46</f>
        <v>3.6411964911442724E-4</v>
      </c>
      <c r="U88" s="216">
        <f>U$85*'Methanol recycling rates'!W46</f>
        <v>4.4664931899055307E-4</v>
      </c>
      <c r="V88" s="216">
        <f>V$85*'Methanol recycling rates'!X46</f>
        <v>5.4238830777978678E-4</v>
      </c>
      <c r="W88" s="216">
        <f>W$85*'Methanol recycling rates'!Y46</f>
        <v>6.5266791257729173E-4</v>
      </c>
      <c r="X88" s="216">
        <f>X$85*'Methanol recycling rates'!Z46</f>
        <v>8.2113908609551453E-4</v>
      </c>
      <c r="Y88" s="216">
        <f>Y$85*'Methanol recycling rates'!AA46</f>
        <v>1.0199205797810575E-3</v>
      </c>
      <c r="Z88" s="216">
        <f>Z$85*'Methanol recycling rates'!AB46</f>
        <v>1.2524135045065426E-3</v>
      </c>
      <c r="AA88" s="216">
        <f>AA$85*'Methanol recycling rates'!AC46</f>
        <v>1.5221984515586511E-3</v>
      </c>
      <c r="AB88" s="216">
        <f>AB$85*'Methanol recycling rates'!AD46</f>
        <v>1.8330354926381219E-3</v>
      </c>
      <c r="AC88" s="216">
        <f>AC$85*'Methanol recycling rates'!AE46</f>
        <v>2.1888641798597512E-3</v>
      </c>
      <c r="AD88" s="216">
        <f>AD$85*'Methanol recycling rates'!AF46</f>
        <v>2.5938035457523977E-3</v>
      </c>
      <c r="AE88" s="216">
        <f>AE$85*'Methanol recycling rates'!AG46</f>
        <v>3.0521521032589737E-3</v>
      </c>
      <c r="AF88" s="216">
        <f>AF$85*'Methanol recycling rates'!AH46</f>
        <v>3.5683878457364519E-3</v>
      </c>
      <c r="AG88" s="216">
        <f>AG$85*'Methanol recycling rates'!AI46</f>
        <v>4.1471682469558686E-3</v>
      </c>
      <c r="AH88" s="230"/>
      <c r="AI88" s="126"/>
      <c r="AJ88" s="198"/>
      <c r="AL88" s="102"/>
      <c r="AM88" s="2"/>
      <c r="AN88" s="2"/>
      <c r="AO88" s="2"/>
      <c r="BC88" s="1"/>
      <c r="BD88" s="2"/>
      <c r="BE88" s="2"/>
      <c r="BF88" s="2"/>
      <c r="BG88" s="2"/>
      <c r="BH88" s="2"/>
      <c r="BI88" s="2"/>
      <c r="BJ88" s="2"/>
      <c r="BK88" s="2"/>
    </row>
    <row r="89" spans="1:63" s="1" customFormat="1" outlineLevel="1">
      <c r="A89" s="1" t="s">
        <v>1170</v>
      </c>
      <c r="B89" s="61"/>
      <c r="C89" s="279">
        <f>C85-$C85</f>
        <v>0</v>
      </c>
      <c r="D89" s="279">
        <f t="shared" ref="D89:AG89" si="44">D85-$C85</f>
        <v>1.4289692630612192E-5</v>
      </c>
      <c r="E89" s="279">
        <f t="shared" si="44"/>
        <v>3.1420487632812514E-5</v>
      </c>
      <c r="F89" s="279">
        <f t="shared" si="44"/>
        <v>5.1575754902735185E-5</v>
      </c>
      <c r="G89" s="279">
        <f t="shared" si="44"/>
        <v>7.4938864336514423E-5</v>
      </c>
      <c r="H89" s="279">
        <f t="shared" si="44"/>
        <v>1.0169318583028443E-4</v>
      </c>
      <c r="I89" s="279">
        <f t="shared" si="44"/>
        <v>1.3202208928017947E-4</v>
      </c>
      <c r="J89" s="279">
        <f t="shared" si="44"/>
        <v>1.6610894458233367E-4</v>
      </c>
      <c r="K89" s="279">
        <f t="shared" si="44"/>
        <v>2.0413712163288135E-4</v>
      </c>
      <c r="L89" s="279">
        <f t="shared" si="44"/>
        <v>2.4628999032795664E-4</v>
      </c>
      <c r="M89" s="279">
        <f t="shared" si="44"/>
        <v>2.9275092056369384E-4</v>
      </c>
      <c r="N89" s="279">
        <f t="shared" si="44"/>
        <v>3.6748773479906052E-4</v>
      </c>
      <c r="O89" s="279">
        <f t="shared" si="44"/>
        <v>4.5370926725140813E-4</v>
      </c>
      <c r="P89" s="279">
        <f t="shared" si="44"/>
        <v>5.522205395480837E-4</v>
      </c>
      <c r="Q89" s="279">
        <f t="shared" si="44"/>
        <v>6.6382657331643411E-4</v>
      </c>
      <c r="R89" s="279">
        <f t="shared" si="44"/>
        <v>7.8933239018380596E-4</v>
      </c>
      <c r="S89" s="279">
        <f t="shared" si="44"/>
        <v>9.2954301177754608E-4</v>
      </c>
      <c r="T89" s="279">
        <f t="shared" si="44"/>
        <v>1.0852634597250013E-3</v>
      </c>
      <c r="U89" s="279">
        <f t="shared" si="44"/>
        <v>1.2572987556535187E-3</v>
      </c>
      <c r="V89" s="279">
        <f t="shared" si="44"/>
        <v>1.4464539211904448E-3</v>
      </c>
      <c r="W89" s="279">
        <f t="shared" si="44"/>
        <v>1.6535339779631256E-3</v>
      </c>
      <c r="X89" s="279">
        <f t="shared" si="44"/>
        <v>1.9813067639965097E-3</v>
      </c>
      <c r="Y89" s="279">
        <f t="shared" si="44"/>
        <v>2.3490955321501857E-3</v>
      </c>
      <c r="Z89" s="279">
        <f t="shared" si="44"/>
        <v>2.7591739590140489E-3</v>
      </c>
      <c r="AA89" s="279">
        <f t="shared" si="44"/>
        <v>3.2138157211779967E-3</v>
      </c>
      <c r="AB89" s="279">
        <f t="shared" si="44"/>
        <v>3.7152944952319241E-3</v>
      </c>
      <c r="AC89" s="279">
        <f t="shared" si="44"/>
        <v>4.2658839577657251E-3</v>
      </c>
      <c r="AD89" s="279">
        <f t="shared" si="44"/>
        <v>4.8678577853692988E-3</v>
      </c>
      <c r="AE89" s="279">
        <f t="shared" si="44"/>
        <v>5.5234896546325369E-3</v>
      </c>
      <c r="AF89" s="279">
        <f t="shared" si="44"/>
        <v>6.2350532421453359E-3</v>
      </c>
      <c r="AG89" s="279">
        <f t="shared" si="44"/>
        <v>7.0048222244975993E-3</v>
      </c>
      <c r="AH89" s="230"/>
      <c r="AI89" s="398"/>
      <c r="AJ89" s="399"/>
      <c r="AL89" s="207"/>
      <c r="AM89" s="118"/>
      <c r="AN89" s="118"/>
      <c r="AO89" s="118"/>
      <c r="BD89" s="118"/>
      <c r="BE89" s="118"/>
      <c r="BF89" s="118"/>
      <c r="BG89" s="118"/>
      <c r="BH89" s="118"/>
      <c r="BI89" s="118"/>
      <c r="BJ89" s="118"/>
      <c r="BK89" s="118"/>
    </row>
    <row r="90" spans="1:63" outlineLevel="1">
      <c r="A90" s="4" t="s">
        <v>35</v>
      </c>
      <c r="C90" s="216">
        <f t="shared" ref="C90:AF90" si="45">C86-$C86</f>
        <v>0</v>
      </c>
      <c r="D90" s="216">
        <f t="shared" si="45"/>
        <v>2.3947902613252009E-7</v>
      </c>
      <c r="E90" s="216">
        <f t="shared" si="45"/>
        <v>1.0499845523383843E-6</v>
      </c>
      <c r="F90" s="216">
        <f t="shared" si="45"/>
        <v>2.58274019200371E-6</v>
      </c>
      <c r="G90" s="216">
        <f t="shared" si="45"/>
        <v>5.0011942182568954E-6</v>
      </c>
      <c r="H90" s="216">
        <f t="shared" si="45"/>
        <v>8.48101956396862E-6</v>
      </c>
      <c r="I90" s="216">
        <f t="shared" si="45"/>
        <v>1.3210113821751848E-5</v>
      </c>
      <c r="J90" s="216">
        <f t="shared" si="45"/>
        <v>1.9388599243961813E-5</v>
      </c>
      <c r="K90" s="216">
        <f t="shared" si="45"/>
        <v>2.7228822742696048E-5</v>
      </c>
      <c r="L90" s="216">
        <f t="shared" si="45"/>
        <v>3.6955355889794354E-5</v>
      </c>
      <c r="M90" s="216">
        <f t="shared" si="45"/>
        <v>4.8804994916838811E-5</v>
      </c>
      <c r="N90" s="216">
        <f t="shared" si="45"/>
        <v>6.7387243685006578E-5</v>
      </c>
      <c r="O90" s="216">
        <f t="shared" si="45"/>
        <v>9.0757663237749428E-5</v>
      </c>
      <c r="P90" s="216">
        <f t="shared" si="45"/>
        <v>1.1966491083850825E-4</v>
      </c>
      <c r="Q90" s="216">
        <f t="shared" si="45"/>
        <v>1.5491131185921373E-4</v>
      </c>
      <c r="R90" s="216">
        <f t="shared" si="45"/>
        <v>1.9735285978028622E-4</v>
      </c>
      <c r="S90" s="216">
        <f t="shared" si="45"/>
        <v>2.4789921619063602E-4</v>
      </c>
      <c r="T90" s="216">
        <f t="shared" si="45"/>
        <v>3.0751371078766308E-4</v>
      </c>
      <c r="U90" s="216">
        <f t="shared" si="45"/>
        <v>3.772133413772573E-4</v>
      </c>
      <c r="V90" s="216">
        <f t="shared" si="45"/>
        <v>4.5806877387379817E-4</v>
      </c>
      <c r="W90" s="216">
        <f t="shared" si="45"/>
        <v>5.5120434230015482E-4</v>
      </c>
      <c r="X90" s="216">
        <f t="shared" si="45"/>
        <v>6.9348503452684696E-4</v>
      </c>
      <c r="Y90" s="216">
        <f t="shared" si="45"/>
        <v>8.6136401306542568E-4</v>
      </c>
      <c r="Z90" s="216">
        <f t="shared" si="45"/>
        <v>1.0577136530480319E-3</v>
      </c>
      <c r="AA90" s="216">
        <f t="shared" si="45"/>
        <v>1.2855579080461343E-3</v>
      </c>
      <c r="AB90" s="216">
        <f t="shared" si="45"/>
        <v>1.5480723100705263E-3</v>
      </c>
      <c r="AC90" s="216">
        <f t="shared" si="45"/>
        <v>1.8485839695713275E-3</v>
      </c>
      <c r="AD90" s="216">
        <f t="shared" si="45"/>
        <v>2.1905715754379869E-3</v>
      </c>
      <c r="AE90" s="216">
        <f t="shared" si="45"/>
        <v>2.5776653949992749E-3</v>
      </c>
      <c r="AF90" s="216">
        <f t="shared" si="45"/>
        <v>3.0136472740232923E-3</v>
      </c>
      <c r="AG90" s="216">
        <f>AG86-$C86</f>
        <v>3.5024506367174689E-3</v>
      </c>
      <c r="AH90" s="230"/>
      <c r="AI90" s="126"/>
      <c r="AJ90" s="198"/>
      <c r="AL90" s="102"/>
      <c r="AM90" s="2"/>
      <c r="AN90" s="2"/>
      <c r="AO90" s="2"/>
      <c r="BC90" s="1"/>
      <c r="BD90" s="2"/>
      <c r="BE90" s="2"/>
      <c r="BF90" s="2"/>
      <c r="BG90" s="2"/>
      <c r="BH90" s="2"/>
      <c r="BI90" s="2"/>
      <c r="BJ90" s="2"/>
      <c r="BK90" s="2"/>
    </row>
    <row r="91" spans="1:63" outlineLevel="1">
      <c r="A91" s="4" t="s">
        <v>160</v>
      </c>
      <c r="C91" s="216">
        <f t="shared" ref="C91:AG91" si="46">C87-$C87</f>
        <v>0</v>
      </c>
      <c r="D91" s="216">
        <f t="shared" si="46"/>
        <v>1.3810771228992031E-5</v>
      </c>
      <c r="E91" s="216">
        <f t="shared" si="46"/>
        <v>2.9320679221168361E-5</v>
      </c>
      <c r="F91" s="216">
        <f t="shared" si="46"/>
        <v>4.641066978964198E-5</v>
      </c>
      <c r="G91" s="216">
        <f t="shared" si="46"/>
        <v>6.4937241298942787E-5</v>
      </c>
      <c r="H91" s="216">
        <f t="shared" si="46"/>
        <v>8.4732444665017577E-5</v>
      </c>
      <c r="I91" s="216">
        <f t="shared" si="46"/>
        <v>1.0560388335523011E-4</v>
      </c>
      <c r="J91" s="216">
        <f t="shared" si="46"/>
        <v>1.2733471338836094E-4</v>
      </c>
      <c r="K91" s="216">
        <f t="shared" si="46"/>
        <v>1.4968364333460774E-4</v>
      </c>
      <c r="L91" s="216">
        <f t="shared" si="46"/>
        <v>1.7238493431558484E-4</v>
      </c>
      <c r="M91" s="216">
        <f t="shared" si="46"/>
        <v>1.9514840000432371E-4</v>
      </c>
      <c r="N91" s="216">
        <f t="shared" si="46"/>
        <v>2.3272356059082037E-4</v>
      </c>
      <c r="O91" s="216">
        <f t="shared" si="46"/>
        <v>2.7220783062229453E-4</v>
      </c>
      <c r="P91" s="216">
        <f t="shared" si="46"/>
        <v>3.129090317761409E-4</v>
      </c>
      <c r="Q91" s="216">
        <f t="shared" si="46"/>
        <v>3.5402765772631561E-4</v>
      </c>
      <c r="R91" s="216">
        <f t="shared" si="46"/>
        <v>3.9465687414333574E-4</v>
      </c>
      <c r="S91" s="216">
        <f t="shared" si="46"/>
        <v>4.3378251869428003E-4</v>
      </c>
      <c r="T91" s="216">
        <f t="shared" si="46"/>
        <v>4.7028310104278861E-4</v>
      </c>
      <c r="U91" s="216">
        <f t="shared" si="46"/>
        <v>5.02929802849063E-4</v>
      </c>
      <c r="V91" s="216">
        <f t="shared" si="46"/>
        <v>5.3038647776986576E-4</v>
      </c>
      <c r="W91" s="216">
        <f t="shared" si="46"/>
        <v>5.5120965145852101E-4</v>
      </c>
      <c r="X91" s="216">
        <f t="shared" si="46"/>
        <v>5.9444282813594061E-4</v>
      </c>
      <c r="Y91" s="216">
        <f t="shared" si="46"/>
        <v>6.2649933195442736E-4</v>
      </c>
      <c r="Z91" s="216">
        <f t="shared" si="46"/>
        <v>6.4390852883717663E-4</v>
      </c>
      <c r="AA91" s="216">
        <f t="shared" si="46"/>
        <v>6.4289665102678652E-4</v>
      </c>
      <c r="AB91" s="216">
        <f t="shared" si="46"/>
        <v>6.1938679708525618E-4</v>
      </c>
      <c r="AC91" s="216">
        <f t="shared" si="46"/>
        <v>5.689989318939866E-4</v>
      </c>
      <c r="AD91" s="216">
        <f t="shared" si="46"/>
        <v>4.8704988665378189E-4</v>
      </c>
      <c r="AE91" s="216">
        <f t="shared" si="46"/>
        <v>3.6855335888484668E-4</v>
      </c>
      <c r="AF91" s="216">
        <f t="shared" si="46"/>
        <v>2.0821991242678847E-4</v>
      </c>
      <c r="AG91" s="216">
        <f t="shared" si="46"/>
        <v>4.5697743861319312E-7</v>
      </c>
      <c r="AH91" s="230"/>
      <c r="AI91" s="126"/>
      <c r="AJ91" s="198"/>
      <c r="AL91" s="102"/>
      <c r="AM91" s="2"/>
      <c r="AN91" s="2"/>
      <c r="AO91" s="2"/>
      <c r="BC91" s="1"/>
      <c r="BD91" s="2"/>
      <c r="BE91" s="2"/>
      <c r="BF91" s="2"/>
      <c r="BG91" s="2"/>
      <c r="BH91" s="2"/>
      <c r="BI91" s="2"/>
      <c r="BJ91" s="2"/>
      <c r="BK91" s="2"/>
    </row>
    <row r="92" spans="1:63" outlineLevel="1">
      <c r="A92" s="4" t="s">
        <v>1159</v>
      </c>
      <c r="C92" s="216">
        <f t="shared" ref="C92:AG92" si="47">C88-$C88</f>
        <v>0</v>
      </c>
      <c r="D92" s="216">
        <f t="shared" si="47"/>
        <v>2.8356140200151437E-7</v>
      </c>
      <c r="E92" s="216">
        <f t="shared" si="47"/>
        <v>1.2432616607361996E-6</v>
      </c>
      <c r="F92" s="216">
        <f t="shared" si="47"/>
        <v>3.0581610493311622E-6</v>
      </c>
      <c r="G92" s="216">
        <f t="shared" si="47"/>
        <v>5.9217947688915194E-6</v>
      </c>
      <c r="H92" s="216">
        <f t="shared" si="47"/>
        <v>1.0042172948500402E-5</v>
      </c>
      <c r="I92" s="216">
        <f t="shared" si="47"/>
        <v>1.5641780645218954E-5</v>
      </c>
      <c r="J92" s="216">
        <f t="shared" si="47"/>
        <v>2.2957577844086322E-5</v>
      </c>
      <c r="K92" s="216">
        <f t="shared" si="47"/>
        <v>3.224099945811969E-5</v>
      </c>
      <c r="L92" s="216">
        <f t="shared" si="47"/>
        <v>4.3757955328314219E-5</v>
      </c>
      <c r="M92" s="216">
        <f t="shared" si="47"/>
        <v>5.7788830223643119E-5</v>
      </c>
      <c r="N92" s="216">
        <f t="shared" si="47"/>
        <v>7.9791627705067458E-5</v>
      </c>
      <c r="O92" s="216">
        <f t="shared" si="47"/>
        <v>1.0746398398929682E-4</v>
      </c>
      <c r="P92" s="216">
        <f t="shared" si="47"/>
        <v>1.4169236628253421E-4</v>
      </c>
      <c r="Q92" s="216">
        <f t="shared" si="47"/>
        <v>1.8342678891797705E-4</v>
      </c>
      <c r="R92" s="216">
        <f t="shared" si="47"/>
        <v>2.3368081335581702E-4</v>
      </c>
      <c r="S92" s="216">
        <f t="shared" si="47"/>
        <v>2.9353154818324026E-4</v>
      </c>
      <c r="T92" s="216">
        <f t="shared" si="47"/>
        <v>3.6411964911442724E-4</v>
      </c>
      <c r="U92" s="216">
        <f t="shared" si="47"/>
        <v>4.4664931899055307E-4</v>
      </c>
      <c r="V92" s="216">
        <f t="shared" si="47"/>
        <v>5.4238830777978678E-4</v>
      </c>
      <c r="W92" s="216">
        <f t="shared" si="47"/>
        <v>6.5266791257729173E-4</v>
      </c>
      <c r="X92" s="216">
        <f t="shared" si="47"/>
        <v>8.2113908609551453E-4</v>
      </c>
      <c r="Y92" s="216">
        <f t="shared" si="47"/>
        <v>1.0199205797810575E-3</v>
      </c>
      <c r="Z92" s="216">
        <f t="shared" si="47"/>
        <v>1.2524135045065426E-3</v>
      </c>
      <c r="AA92" s="216">
        <f t="shared" si="47"/>
        <v>1.5221984515586511E-3</v>
      </c>
      <c r="AB92" s="216">
        <f t="shared" si="47"/>
        <v>1.8330354926381219E-3</v>
      </c>
      <c r="AC92" s="216">
        <f t="shared" si="47"/>
        <v>2.1888641798597512E-3</v>
      </c>
      <c r="AD92" s="216">
        <f t="shared" si="47"/>
        <v>2.5938035457523977E-3</v>
      </c>
      <c r="AE92" s="216">
        <f t="shared" si="47"/>
        <v>3.0521521032589737E-3</v>
      </c>
      <c r="AF92" s="216">
        <f t="shared" si="47"/>
        <v>3.5683878457364519E-3</v>
      </c>
      <c r="AG92" s="216">
        <f t="shared" si="47"/>
        <v>4.1471682469558686E-3</v>
      </c>
      <c r="AH92" s="230"/>
      <c r="AI92" s="126"/>
      <c r="AJ92" s="198"/>
      <c r="AL92" s="102"/>
      <c r="AM92" s="2"/>
      <c r="AN92" s="2"/>
      <c r="AO92" s="2"/>
      <c r="BC92" s="1"/>
      <c r="BD92" s="2"/>
      <c r="BE92" s="2"/>
      <c r="BF92" s="2"/>
      <c r="BG92" s="2"/>
      <c r="BH92" s="2"/>
      <c r="BI92" s="2"/>
      <c r="BJ92" s="2"/>
      <c r="BK92" s="2"/>
    </row>
    <row r="93" spans="1:63" s="1" customFormat="1" outlineLevel="1">
      <c r="A93" s="1" t="s">
        <v>1162</v>
      </c>
      <c r="B93" s="61"/>
      <c r="C93" s="279">
        <f>C39*C65</f>
        <v>2.3280820090807508E-2</v>
      </c>
      <c r="D93" s="279">
        <f t="shared" ref="D93:AG93" si="48">D39*D65</f>
        <v>3.9548306643248541</v>
      </c>
      <c r="E93" s="279">
        <f t="shared" si="48"/>
        <v>8.1355540307201668</v>
      </c>
      <c r="F93" s="279">
        <f t="shared" si="48"/>
        <v>12.564014449120636</v>
      </c>
      <c r="G93" s="279">
        <f t="shared" si="48"/>
        <v>17.238775449370163</v>
      </c>
      <c r="H93" s="279">
        <f t="shared" si="48"/>
        <v>22.158400561312625</v>
      </c>
      <c r="I93" s="279">
        <f t="shared" si="48"/>
        <v>27.321453314791935</v>
      </c>
      <c r="J93" s="279">
        <f t="shared" si="48"/>
        <v>32.72649723965197</v>
      </c>
      <c r="K93" s="279">
        <f t="shared" si="48"/>
        <v>38.372095865736625</v>
      </c>
      <c r="L93" s="279">
        <f t="shared" si="48"/>
        <v>44.256812722889805</v>
      </c>
      <c r="M93" s="279">
        <f t="shared" si="48"/>
        <v>50.379211340955393</v>
      </c>
      <c r="N93" s="279">
        <f t="shared" si="48"/>
        <v>58.45369452917209</v>
      </c>
      <c r="O93" s="279">
        <f t="shared" si="48"/>
        <v>67.049893572772106</v>
      </c>
      <c r="P93" s="279">
        <f t="shared" si="48"/>
        <v>76.160152585534192</v>
      </c>
      <c r="Q93" s="279">
        <f t="shared" si="48"/>
        <v>85.776815681237025</v>
      </c>
      <c r="R93" s="279">
        <f t="shared" si="48"/>
        <v>95.89222697365939</v>
      </c>
      <c r="S93" s="279">
        <f t="shared" si="48"/>
        <v>106.49873057657993</v>
      </c>
      <c r="T93" s="279">
        <f t="shared" si="48"/>
        <v>117.5886706037774</v>
      </c>
      <c r="U93" s="279">
        <f t="shared" si="48"/>
        <v>129.15439116903053</v>
      </c>
      <c r="V93" s="279">
        <f t="shared" si="48"/>
        <v>141.18823638611798</v>
      </c>
      <c r="W93" s="279">
        <f t="shared" si="48"/>
        <v>153.68255036881845</v>
      </c>
      <c r="X93" s="279">
        <f t="shared" si="48"/>
        <v>170.18188444532657</v>
      </c>
      <c r="Y93" s="279">
        <f t="shared" si="48"/>
        <v>187.43108867806086</v>
      </c>
      <c r="Z93" s="279">
        <f t="shared" si="48"/>
        <v>205.41794111873762</v>
      </c>
      <c r="AA93" s="279">
        <f t="shared" si="48"/>
        <v>224.13021981907343</v>
      </c>
      <c r="AB93" s="279">
        <f t="shared" si="48"/>
        <v>243.55570283078487</v>
      </c>
      <c r="AC93" s="279">
        <f t="shared" si="48"/>
        <v>263.68216820558814</v>
      </c>
      <c r="AD93" s="279">
        <f t="shared" si="48"/>
        <v>284.49739399519973</v>
      </c>
      <c r="AE93" s="279">
        <f t="shared" si="48"/>
        <v>305.98915825133611</v>
      </c>
      <c r="AF93" s="279">
        <f t="shared" si="48"/>
        <v>328.14523902571381</v>
      </c>
      <c r="AG93" s="279">
        <f t="shared" si="48"/>
        <v>350.95341437004936</v>
      </c>
      <c r="AH93" s="230"/>
      <c r="AI93" s="398"/>
      <c r="AJ93" s="399"/>
      <c r="AL93" s="207"/>
      <c r="AM93" s="118"/>
      <c r="AN93" s="118"/>
      <c r="AO93" s="118"/>
      <c r="BD93" s="118"/>
      <c r="BE93" s="118"/>
      <c r="BF93" s="118"/>
      <c r="BG93" s="118"/>
      <c r="BH93" s="118"/>
      <c r="BI93" s="118"/>
      <c r="BJ93" s="118"/>
      <c r="BK93" s="118"/>
    </row>
    <row r="94" spans="1:63" outlineLevel="1">
      <c r="A94" s="4" t="s">
        <v>35</v>
      </c>
      <c r="C94" s="216">
        <f>C$93*'Methanol recycling rates'!E45</f>
        <v>2.3280820090807508E-2</v>
      </c>
      <c r="D94" s="216">
        <f>D$93*'Methanol recycling rates'!F45</f>
        <v>3.8230130631820063</v>
      </c>
      <c r="E94" s="216">
        <f>E$93*'Methanol recycling rates'!G45</f>
        <v>7.5932252650557421</v>
      </c>
      <c r="F94" s="216">
        <f>F$93*'Methanol recycling rates'!H45</f>
        <v>11.307709146079382</v>
      </c>
      <c r="G94" s="216">
        <f>G$93*'Methanol recycling rates'!I45</f>
        <v>14.940447941318318</v>
      </c>
      <c r="H94" s="216">
        <f>H$93*'Methanol recycling rates'!J45</f>
        <v>18.465616400535929</v>
      </c>
      <c r="I94" s="216">
        <f>I$93*'Methanol recycling rates'!K45</f>
        <v>21.857580788193637</v>
      </c>
      <c r="J94" s="216">
        <f>J$93*'Methanol recycling rates'!L45</f>
        <v>25.090898883450848</v>
      </c>
      <c r="K94" s="216">
        <f>K$93*'Methanol recycling rates'!M45</f>
        <v>28.140319980164993</v>
      </c>
      <c r="L94" s="216">
        <f>L$93*'Methanol recycling rates'!N45</f>
        <v>30.980784886891517</v>
      </c>
      <c r="M94" s="216">
        <f>M$93*'Methanol recycling rates'!O45</f>
        <v>33.587425926883867</v>
      </c>
      <c r="N94" s="216">
        <f>N$93*'Methanol recycling rates'!P45</f>
        <v>37.022313291269143</v>
      </c>
      <c r="O94" s="216">
        <f>O$93*'Methanol recycling rates'!Q45</f>
        <v>40.231988450187359</v>
      </c>
      <c r="P94" s="216">
        <f>P$93*'Methanol recycling rates'!R45</f>
        <v>43.15994522096458</v>
      </c>
      <c r="Q94" s="216">
        <f>Q$93*'Methanol recycling rates'!S45</f>
        <v>45.75069812764422</v>
      </c>
      <c r="R94" s="216">
        <f>R$93*'Methanol recycling rates'!T45</f>
        <v>47.949782400987154</v>
      </c>
      <c r="S94" s="216">
        <f>S$93*'Methanol recycling rates'!U45</f>
        <v>49.703753978471575</v>
      </c>
      <c r="T94" s="216">
        <f>T$93*'Methanol recycling rates'!V45</f>
        <v>50.960189504293133</v>
      </c>
      <c r="U94" s="216">
        <f>U$93*'Methanol recycling rates'!W45</f>
        <v>51.667686329364862</v>
      </c>
      <c r="V94" s="216">
        <f>V$93*'Methanol recycling rates'!X45</f>
        <v>51.775862511317179</v>
      </c>
      <c r="W94" s="216">
        <f>W$93*'Methanol recycling rates'!Y45</f>
        <v>51.235356814497905</v>
      </c>
      <c r="X94" s="216">
        <f>X$93*'Methanol recycling rates'!Z45</f>
        <v>51.063681148746298</v>
      </c>
      <c r="Y94" s="216">
        <f>Y$93*'Methanol recycling rates'!AA45</f>
        <v>49.992141502873217</v>
      </c>
      <c r="Z94" s="216">
        <f>Z$93*'Methanol recycling rates'!AB45</f>
        <v>47.9429040944311</v>
      </c>
      <c r="AA94" s="216">
        <f>AA$93*'Methanol recycling rates'!AC45</f>
        <v>44.839764609377816</v>
      </c>
      <c r="AB94" s="216">
        <f>AB$93*'Methanol recycling rates'!AD45</f>
        <v>40.608148202076578</v>
      </c>
      <c r="AC94" s="216">
        <f>AC$93*'Methanol recycling rates'!AE45</f>
        <v>35.175109495295921</v>
      </c>
      <c r="AD94" s="216">
        <f>AD$93*'Methanol recycling rates'!AF45</f>
        <v>28.469332580209819</v>
      </c>
      <c r="AE94" s="216">
        <f>AE$93*'Methanol recycling rates'!AG45</f>
        <v>20.421131016397599</v>
      </c>
      <c r="AF94" s="216">
        <f>AF$93*'Methanol recycling rates'!AH45</f>
        <v>10.962447831843962</v>
      </c>
      <c r="AG94" s="216">
        <f>AG$93*'Methanol recycling rates'!AI45</f>
        <v>2.6855522938809946E-2</v>
      </c>
      <c r="AH94" s="230"/>
      <c r="AI94" s="126"/>
      <c r="AJ94" s="198"/>
      <c r="AL94" s="102"/>
      <c r="AM94" s="2"/>
      <c r="AN94" s="2"/>
      <c r="AO94" s="2"/>
      <c r="BC94" s="1"/>
      <c r="BD94" s="2"/>
      <c r="BE94" s="2"/>
      <c r="BF94" s="2"/>
      <c r="BG94" s="2"/>
      <c r="BH94" s="2"/>
      <c r="BI94" s="2"/>
      <c r="BJ94" s="2"/>
      <c r="BK94" s="2"/>
    </row>
    <row r="95" spans="1:63" outlineLevel="1">
      <c r="A95" s="4" t="s">
        <v>160</v>
      </c>
      <c r="C95" s="216">
        <f>C$93*'Methanol recycling rates'!E46</f>
        <v>0</v>
      </c>
      <c r="D95" s="216">
        <f>D$93*'Methanol recycling rates'!F46</f>
        <v>7.8047010766471622E-2</v>
      </c>
      <c r="E95" s="216">
        <f>E$93*'Methanol recycling rates'!G46</f>
        <v>0.32110384839206479</v>
      </c>
      <c r="F95" s="216">
        <f>F$93*'Methanol recycling rates'!H46</f>
        <v>0.74383748954876394</v>
      </c>
      <c r="G95" s="216">
        <f>G$93*'Methanol recycling rates'!I46</f>
        <v>1.3608015182389253</v>
      </c>
      <c r="H95" s="216">
        <f>H$93*'Methanol recycling rates'!J46</f>
        <v>2.1864361257952747</v>
      </c>
      <c r="I95" s="216">
        <f>I$93*'Methanol recycling rates'!K46</f>
        <v>3.2350681108809116</v>
      </c>
      <c r="J95" s="216">
        <f>J$93*'Methanol recycling rates'!L46</f>
        <v>4.5209108794893043</v>
      </c>
      <c r="K95" s="216">
        <f>K$93*'Methanol recycling rates'!M46</f>
        <v>6.0580644449442937</v>
      </c>
      <c r="L95" s="216">
        <f>L$93*'Methanol recycling rates'!N46</f>
        <v>7.8605154279000935</v>
      </c>
      <c r="M95" s="216">
        <f>M$93*'Methanol recycling rates'!O46</f>
        <v>9.9421370563412843</v>
      </c>
      <c r="N95" s="216">
        <f>N$93*'Methanol recycling rates'!P46</f>
        <v>12.689164631378409</v>
      </c>
      <c r="O95" s="216">
        <f>O$93*'Methanol recycling rates'!Q46</f>
        <v>15.878435896951183</v>
      </c>
      <c r="P95" s="216">
        <f>P$93*'Methanol recycling rates'!R46</f>
        <v>19.538874301674458</v>
      </c>
      <c r="Q95" s="216">
        <f>Q$93*'Methanol recycling rates'!S46</f>
        <v>23.698798950680324</v>
      </c>
      <c r="R95" s="216">
        <f>R$93*'Methanol recycling rates'!T46</f>
        <v>28.385924605618147</v>
      </c>
      <c r="S95" s="216">
        <f>S$93*'Methanol recycling rates'!U46</f>
        <v>33.62736168465451</v>
      </c>
      <c r="T95" s="216">
        <f>T$93*'Methanol recycling rates'!V46</f>
        <v>39.44961626247327</v>
      </c>
      <c r="U95" s="216">
        <f>U$93*'Methanol recycling rates'!W46</f>
        <v>45.878590070275543</v>
      </c>
      <c r="V95" s="216">
        <f>V$93*'Methanol recycling rates'!X46</f>
        <v>52.939580495779659</v>
      </c>
      <c r="W95" s="216">
        <f>W$93*'Methanol recycling rates'!Y46</f>
        <v>60.65728058322123</v>
      </c>
      <c r="X95" s="216">
        <f>X$93*'Methanol recycling rates'!Z46</f>
        <v>70.527908371630915</v>
      </c>
      <c r="Y95" s="216">
        <f>Y$93*'Methanol recycling rates'!AA46</f>
        <v>81.37531632281879</v>
      </c>
      <c r="Z95" s="216">
        <f>Z$93*'Methanol recycling rates'!AB46</f>
        <v>93.238352113293885</v>
      </c>
      <c r="AA95" s="216">
        <f>AA$93*'Methanol recycling rates'!AC46</f>
        <v>106.15489863840509</v>
      </c>
      <c r="AB95" s="216">
        <f>AB$93*'Methanol recycling rates'!AD46</f>
        <v>120.16187401234097</v>
      </c>
      <c r="AC95" s="216">
        <f>AC$93*'Methanol recycling rates'!AE46</f>
        <v>135.29523156812968</v>
      </c>
      <c r="AD95" s="216">
        <f>AD$93*'Methanol recycling rates'!AF46</f>
        <v>151.58995985763912</v>
      </c>
      <c r="AE95" s="216">
        <f>AE$93*'Methanol recycling rates'!AG46</f>
        <v>169.08008265157696</v>
      </c>
      <c r="AF95" s="216">
        <f>AF$93*'Methanol recycling rates'!AH46</f>
        <v>187.79865893949062</v>
      </c>
      <c r="AG95" s="216">
        <f>AG$93*'Methanol recycling rates'!AI46</f>
        <v>207.7777829297672</v>
      </c>
      <c r="AH95" s="230"/>
      <c r="AI95" s="126"/>
      <c r="AJ95" s="198"/>
      <c r="AL95" s="102"/>
      <c r="AM95" s="2"/>
      <c r="AN95" s="2"/>
      <c r="AO95" s="2"/>
      <c r="BC95" s="1"/>
      <c r="BD95" s="2"/>
      <c r="BE95" s="2"/>
      <c r="BF95" s="2"/>
      <c r="BG95" s="2"/>
      <c r="BH95" s="2"/>
      <c r="BI95" s="2"/>
      <c r="BJ95" s="2"/>
      <c r="BK95" s="2"/>
    </row>
    <row r="96" spans="1:63" outlineLevel="1">
      <c r="A96" s="4" t="s">
        <v>1159</v>
      </c>
      <c r="C96" s="216">
        <f>C$93*'Methanol recycling rates'!E47</f>
        <v>0</v>
      </c>
      <c r="D96" s="216">
        <f>D$93*'Methanol recycling rates'!F47</f>
        <v>5.3770590376376236E-2</v>
      </c>
      <c r="E96" s="216">
        <f>E$93*'Methanol recycling rates'!G47</f>
        <v>0.22122491727236077</v>
      </c>
      <c r="F96" s="216">
        <f>F$93*'Methanol recycling rates'!H47</f>
        <v>0.51246781349249115</v>
      </c>
      <c r="G96" s="216">
        <f>G$93*'Methanol recycling rates'!I47</f>
        <v>0.93752598981292257</v>
      </c>
      <c r="H96" s="216">
        <f>H$93*'Methanol recycling rates'!J47</f>
        <v>1.5063480349814262</v>
      </c>
      <c r="I96" s="216">
        <f>I$93*'Methanol recycling rates'!K47</f>
        <v>2.2288044157173927</v>
      </c>
      <c r="J96" s="216">
        <f>J$93*'Methanol recycling rates'!L47</f>
        <v>3.1146874767118269</v>
      </c>
      <c r="K96" s="216">
        <f>K$93*'Methanol recycling rates'!M47</f>
        <v>4.1737114406273523</v>
      </c>
      <c r="L96" s="216">
        <f>L$93*'Methanol recycling rates'!N47</f>
        <v>5.4155124080982118</v>
      </c>
      <c r="M96" s="216">
        <f>M$93*'Methanol recycling rates'!O47</f>
        <v>6.8496483577302607</v>
      </c>
      <c r="N96" s="216">
        <f>N$93*'Methanol recycling rates'!P47</f>
        <v>8.7422166065245648</v>
      </c>
      <c r="O96" s="216">
        <f>O$93*'Methanol recycling rates'!Q47</f>
        <v>10.939469225633598</v>
      </c>
      <c r="P96" s="216">
        <f>P$93*'Methanol recycling rates'!R47</f>
        <v>13.461333062895196</v>
      </c>
      <c r="Q96" s="216">
        <f>Q$93*'Methanol recycling rates'!S47</f>
        <v>16.327318602912534</v>
      </c>
      <c r="R96" s="216">
        <f>R$93*'Methanol recycling rates'!T47</f>
        <v>19.556519967054154</v>
      </c>
      <c r="S96" s="216">
        <f>S$93*'Methanol recycling rates'!U47</f>
        <v>23.167614913453924</v>
      </c>
      <c r="T96" s="216">
        <f>T$93*'Methanol recycling rates'!V47</f>
        <v>27.178864837011083</v>
      </c>
      <c r="U96" s="216">
        <f>U$93*'Methanol recycling rates'!W47</f>
        <v>31.608114769390216</v>
      </c>
      <c r="V96" s="216">
        <f>V$93*'Methanol recycling rates'!X47</f>
        <v>36.472793379021233</v>
      </c>
      <c r="W96" s="216">
        <f>W$93*'Methanol recycling rates'!Y47</f>
        <v>41.789912971099419</v>
      </c>
      <c r="X96" s="216">
        <f>X$93*'Methanol recycling rates'!Z47</f>
        <v>48.590294924949468</v>
      </c>
      <c r="Y96" s="216">
        <f>Y$93*'Methanol recycling rates'!AA47</f>
        <v>56.063630852368981</v>
      </c>
      <c r="Z96" s="216">
        <f>Z$93*'Methanol recycling rates'!AB47</f>
        <v>64.236684911012773</v>
      </c>
      <c r="AA96" s="216">
        <f>AA$93*'Methanol recycling rates'!AC47</f>
        <v>73.135556571290692</v>
      </c>
      <c r="AB96" s="216">
        <f>AB$93*'Methanol recycling rates'!AD47</f>
        <v>82.7856806163675</v>
      </c>
      <c r="AC96" s="216">
        <f>AC$93*'Methanol recycling rates'!AE47</f>
        <v>93.211827142162747</v>
      </c>
      <c r="AD96" s="216">
        <f>AD$93*'Methanol recycling rates'!AF47</f>
        <v>104.438101557351</v>
      </c>
      <c r="AE96" s="216">
        <f>AE$93*'Methanol recycling rates'!AG47</f>
        <v>116.48794458336177</v>
      </c>
      <c r="AF96" s="216">
        <f>AF$93*'Methanol recycling rates'!AH47</f>
        <v>129.38413225437944</v>
      </c>
      <c r="AG96" s="216">
        <f>AG$93*'Methanol recycling rates'!AI47</f>
        <v>143.14877591734336</v>
      </c>
      <c r="AH96" s="230"/>
      <c r="AI96" s="126"/>
      <c r="AJ96" s="198"/>
      <c r="AL96" s="102"/>
      <c r="AM96" s="2"/>
      <c r="AN96" s="2"/>
      <c r="AO96" s="2"/>
      <c r="BC96" s="1"/>
      <c r="BD96" s="2"/>
      <c r="BE96" s="2"/>
      <c r="BF96" s="2"/>
      <c r="BG96" s="2"/>
      <c r="BH96" s="2"/>
      <c r="BI96" s="2"/>
      <c r="BJ96" s="2"/>
      <c r="BK96" s="2"/>
    </row>
    <row r="97" spans="1:63" s="1" customFormat="1" outlineLevel="1">
      <c r="A97" s="1" t="s">
        <v>1165</v>
      </c>
      <c r="B97" s="61"/>
      <c r="C97" s="279">
        <f>C93-$C93</f>
        <v>0</v>
      </c>
      <c r="D97" s="279">
        <f t="shared" ref="D97:AG97" si="49">D93-$C93</f>
        <v>3.9315498442340466</v>
      </c>
      <c r="E97" s="279">
        <f t="shared" si="49"/>
        <v>8.1122732106293594</v>
      </c>
      <c r="F97" s="279">
        <f t="shared" si="49"/>
        <v>12.540733629029829</v>
      </c>
      <c r="G97" s="279">
        <f t="shared" si="49"/>
        <v>17.215494629279355</v>
      </c>
      <c r="H97" s="279">
        <f t="shared" si="49"/>
        <v>22.135119741221818</v>
      </c>
      <c r="I97" s="279">
        <f t="shared" si="49"/>
        <v>27.298172494701127</v>
      </c>
      <c r="J97" s="279">
        <f t="shared" si="49"/>
        <v>32.703216419561159</v>
      </c>
      <c r="K97" s="279">
        <f t="shared" si="49"/>
        <v>38.348815045645814</v>
      </c>
      <c r="L97" s="279">
        <f t="shared" si="49"/>
        <v>44.233531902798994</v>
      </c>
      <c r="M97" s="279">
        <f t="shared" si="49"/>
        <v>50.355930520864582</v>
      </c>
      <c r="N97" s="279">
        <f t="shared" si="49"/>
        <v>58.430413709081279</v>
      </c>
      <c r="O97" s="279">
        <f t="shared" si="49"/>
        <v>67.026612752681302</v>
      </c>
      <c r="P97" s="279">
        <f t="shared" si="49"/>
        <v>76.136871765443388</v>
      </c>
      <c r="Q97" s="279">
        <f t="shared" si="49"/>
        <v>85.753534861146221</v>
      </c>
      <c r="R97" s="279">
        <f t="shared" si="49"/>
        <v>95.868946153568587</v>
      </c>
      <c r="S97" s="279">
        <f t="shared" si="49"/>
        <v>106.47544975648913</v>
      </c>
      <c r="T97" s="279">
        <f t="shared" si="49"/>
        <v>117.5653897836866</v>
      </c>
      <c r="U97" s="279">
        <f t="shared" si="49"/>
        <v>129.13111034893973</v>
      </c>
      <c r="V97" s="279">
        <f t="shared" si="49"/>
        <v>141.16495556602717</v>
      </c>
      <c r="W97" s="279">
        <f t="shared" si="49"/>
        <v>153.65926954872765</v>
      </c>
      <c r="X97" s="279">
        <f t="shared" si="49"/>
        <v>170.15860362523577</v>
      </c>
      <c r="Y97" s="279">
        <f t="shared" si="49"/>
        <v>187.40780785797006</v>
      </c>
      <c r="Z97" s="279">
        <f t="shared" si="49"/>
        <v>205.39466029864681</v>
      </c>
      <c r="AA97" s="279">
        <f t="shared" si="49"/>
        <v>224.10693899898263</v>
      </c>
      <c r="AB97" s="279">
        <f t="shared" si="49"/>
        <v>243.53242201069406</v>
      </c>
      <c r="AC97" s="279">
        <f t="shared" si="49"/>
        <v>263.65888738549734</v>
      </c>
      <c r="AD97" s="279">
        <f t="shared" si="49"/>
        <v>284.47411317510893</v>
      </c>
      <c r="AE97" s="279">
        <f t="shared" si="49"/>
        <v>305.9658774312453</v>
      </c>
      <c r="AF97" s="279">
        <f t="shared" si="49"/>
        <v>328.121958205623</v>
      </c>
      <c r="AG97" s="279">
        <f t="shared" si="49"/>
        <v>350.93013354995855</v>
      </c>
      <c r="AH97" s="230"/>
      <c r="AI97" s="398"/>
      <c r="AJ97" s="399"/>
      <c r="AL97" s="207"/>
      <c r="AM97" s="118"/>
      <c r="AN97" s="118"/>
      <c r="AO97" s="118"/>
      <c r="BD97" s="118"/>
      <c r="BE97" s="118"/>
      <c r="BF97" s="118"/>
      <c r="BG97" s="118"/>
      <c r="BH97" s="118"/>
      <c r="BI97" s="118"/>
      <c r="BJ97" s="118"/>
      <c r="BK97" s="118"/>
    </row>
    <row r="98" spans="1:63" outlineLevel="1">
      <c r="A98" s="4" t="s">
        <v>35</v>
      </c>
      <c r="C98" s="216">
        <f t="shared" ref="C98:AF98" si="50">C94-$C94</f>
        <v>0</v>
      </c>
      <c r="D98" s="216">
        <f t="shared" si="50"/>
        <v>3.7997322430911988</v>
      </c>
      <c r="E98" s="216">
        <f t="shared" si="50"/>
        <v>7.5699444449649347</v>
      </c>
      <c r="F98" s="216">
        <f t="shared" si="50"/>
        <v>11.284428325988575</v>
      </c>
      <c r="G98" s="216">
        <f t="shared" si="50"/>
        <v>14.917167121227511</v>
      </c>
      <c r="H98" s="216">
        <f t="shared" si="50"/>
        <v>18.442335580445121</v>
      </c>
      <c r="I98" s="216">
        <f t="shared" si="50"/>
        <v>21.83429996810283</v>
      </c>
      <c r="J98" s="216">
        <f t="shared" si="50"/>
        <v>25.06761806336004</v>
      </c>
      <c r="K98" s="216">
        <f t="shared" si="50"/>
        <v>28.117039160074185</v>
      </c>
      <c r="L98" s="216">
        <f t="shared" si="50"/>
        <v>30.957504066800709</v>
      </c>
      <c r="M98" s="216">
        <f t="shared" si="50"/>
        <v>33.564145106793056</v>
      </c>
      <c r="N98" s="216">
        <f t="shared" si="50"/>
        <v>36.999032471178332</v>
      </c>
      <c r="O98" s="216">
        <f t="shared" si="50"/>
        <v>40.208707630096548</v>
      </c>
      <c r="P98" s="216">
        <f t="shared" si="50"/>
        <v>43.136664400873769</v>
      </c>
      <c r="Q98" s="216">
        <f t="shared" si="50"/>
        <v>45.727417307553409</v>
      </c>
      <c r="R98" s="216">
        <f t="shared" si="50"/>
        <v>47.926501580896343</v>
      </c>
      <c r="S98" s="216">
        <f t="shared" si="50"/>
        <v>49.680473158380764</v>
      </c>
      <c r="T98" s="216">
        <f t="shared" si="50"/>
        <v>50.936908684202322</v>
      </c>
      <c r="U98" s="216">
        <f t="shared" si="50"/>
        <v>51.644405509274051</v>
      </c>
      <c r="V98" s="216">
        <f t="shared" si="50"/>
        <v>51.752581691226368</v>
      </c>
      <c r="W98" s="216">
        <f t="shared" si="50"/>
        <v>51.212075994407094</v>
      </c>
      <c r="X98" s="216">
        <f t="shared" si="50"/>
        <v>51.040400328655487</v>
      </c>
      <c r="Y98" s="216">
        <f t="shared" si="50"/>
        <v>49.968860682782406</v>
      </c>
      <c r="Z98" s="216">
        <f t="shared" si="50"/>
        <v>47.919623274340289</v>
      </c>
      <c r="AA98" s="216">
        <f t="shared" si="50"/>
        <v>44.816483789287005</v>
      </c>
      <c r="AB98" s="216">
        <f t="shared" si="50"/>
        <v>40.584867381985767</v>
      </c>
      <c r="AC98" s="216">
        <f t="shared" si="50"/>
        <v>35.15182867520511</v>
      </c>
      <c r="AD98" s="216">
        <f t="shared" si="50"/>
        <v>28.446051760119012</v>
      </c>
      <c r="AE98" s="216">
        <f t="shared" si="50"/>
        <v>20.397850196306791</v>
      </c>
      <c r="AF98" s="216">
        <f t="shared" si="50"/>
        <v>10.939167011753154</v>
      </c>
      <c r="AG98" s="216">
        <f>AG94-$C94</f>
        <v>3.5747028480024381E-3</v>
      </c>
      <c r="AH98" s="230"/>
      <c r="AI98" s="126"/>
      <c r="AJ98" s="198"/>
      <c r="AL98" s="102"/>
      <c r="AM98" s="2"/>
      <c r="AN98" s="2"/>
      <c r="AO98" s="2"/>
      <c r="BC98" s="1"/>
      <c r="BD98" s="2"/>
      <c r="BE98" s="2"/>
      <c r="BF98" s="2"/>
      <c r="BG98" s="2"/>
      <c r="BH98" s="2"/>
      <c r="BI98" s="2"/>
      <c r="BJ98" s="2"/>
      <c r="BK98" s="2"/>
    </row>
    <row r="99" spans="1:63" outlineLevel="1">
      <c r="A99" s="4" t="s">
        <v>160</v>
      </c>
      <c r="C99" s="216">
        <f t="shared" ref="C99:AG99" si="51">C95-$C95</f>
        <v>0</v>
      </c>
      <c r="D99" s="216">
        <f t="shared" si="51"/>
        <v>7.8047010766471622E-2</v>
      </c>
      <c r="E99" s="216">
        <f t="shared" si="51"/>
        <v>0.32110384839206479</v>
      </c>
      <c r="F99" s="216">
        <f t="shared" si="51"/>
        <v>0.74383748954876394</v>
      </c>
      <c r="G99" s="216">
        <f t="shared" si="51"/>
        <v>1.3608015182389253</v>
      </c>
      <c r="H99" s="216">
        <f t="shared" si="51"/>
        <v>2.1864361257952747</v>
      </c>
      <c r="I99" s="216">
        <f t="shared" si="51"/>
        <v>3.2350681108809116</v>
      </c>
      <c r="J99" s="216">
        <f t="shared" si="51"/>
        <v>4.5209108794893043</v>
      </c>
      <c r="K99" s="216">
        <f t="shared" si="51"/>
        <v>6.0580644449442937</v>
      </c>
      <c r="L99" s="216">
        <f t="shared" si="51"/>
        <v>7.8605154279000935</v>
      </c>
      <c r="M99" s="216">
        <f t="shared" si="51"/>
        <v>9.9421370563412843</v>
      </c>
      <c r="N99" s="216">
        <f t="shared" si="51"/>
        <v>12.689164631378409</v>
      </c>
      <c r="O99" s="216">
        <f t="shared" si="51"/>
        <v>15.878435896951183</v>
      </c>
      <c r="P99" s="216">
        <f t="shared" si="51"/>
        <v>19.538874301674458</v>
      </c>
      <c r="Q99" s="216">
        <f t="shared" si="51"/>
        <v>23.698798950680324</v>
      </c>
      <c r="R99" s="216">
        <f t="shared" si="51"/>
        <v>28.385924605618147</v>
      </c>
      <c r="S99" s="216">
        <f t="shared" si="51"/>
        <v>33.62736168465451</v>
      </c>
      <c r="T99" s="216">
        <f t="shared" si="51"/>
        <v>39.44961626247327</v>
      </c>
      <c r="U99" s="216">
        <f t="shared" si="51"/>
        <v>45.878590070275543</v>
      </c>
      <c r="V99" s="216">
        <f t="shared" si="51"/>
        <v>52.939580495779659</v>
      </c>
      <c r="W99" s="216">
        <f t="shared" si="51"/>
        <v>60.65728058322123</v>
      </c>
      <c r="X99" s="216">
        <f t="shared" si="51"/>
        <v>70.527908371630915</v>
      </c>
      <c r="Y99" s="216">
        <f t="shared" si="51"/>
        <v>81.37531632281879</v>
      </c>
      <c r="Z99" s="216">
        <f t="shared" si="51"/>
        <v>93.238352113293885</v>
      </c>
      <c r="AA99" s="216">
        <f t="shared" si="51"/>
        <v>106.15489863840509</v>
      </c>
      <c r="AB99" s="216">
        <f t="shared" si="51"/>
        <v>120.16187401234097</v>
      </c>
      <c r="AC99" s="216">
        <f t="shared" si="51"/>
        <v>135.29523156812968</v>
      </c>
      <c r="AD99" s="216">
        <f t="shared" si="51"/>
        <v>151.58995985763912</v>
      </c>
      <c r="AE99" s="216">
        <f t="shared" si="51"/>
        <v>169.08008265157696</v>
      </c>
      <c r="AF99" s="216">
        <f t="shared" si="51"/>
        <v>187.79865893949062</v>
      </c>
      <c r="AG99" s="216">
        <f t="shared" si="51"/>
        <v>207.7777829297672</v>
      </c>
      <c r="AH99" s="230"/>
      <c r="AI99" s="126"/>
      <c r="AJ99" s="198"/>
      <c r="AL99" s="102"/>
      <c r="AM99" s="2"/>
      <c r="AN99" s="2"/>
      <c r="AO99" s="2"/>
      <c r="BC99" s="1"/>
      <c r="BD99" s="2"/>
      <c r="BE99" s="2"/>
      <c r="BF99" s="2"/>
      <c r="BG99" s="2"/>
      <c r="BH99" s="2"/>
      <c r="BI99" s="2"/>
      <c r="BJ99" s="2"/>
      <c r="BK99" s="2"/>
    </row>
    <row r="100" spans="1:63" outlineLevel="1">
      <c r="A100" s="4" t="s">
        <v>1159</v>
      </c>
      <c r="C100" s="216">
        <f t="shared" ref="C100:AG100" si="52">C96-$C96</f>
        <v>0</v>
      </c>
      <c r="D100" s="216">
        <f t="shared" si="52"/>
        <v>5.3770590376376236E-2</v>
      </c>
      <c r="E100" s="216">
        <f t="shared" si="52"/>
        <v>0.22122491727236077</v>
      </c>
      <c r="F100" s="216">
        <f t="shared" si="52"/>
        <v>0.51246781349249115</v>
      </c>
      <c r="G100" s="216">
        <f t="shared" si="52"/>
        <v>0.93752598981292257</v>
      </c>
      <c r="H100" s="216">
        <f t="shared" si="52"/>
        <v>1.5063480349814262</v>
      </c>
      <c r="I100" s="216">
        <f t="shared" si="52"/>
        <v>2.2288044157173927</v>
      </c>
      <c r="J100" s="216">
        <f t="shared" si="52"/>
        <v>3.1146874767118269</v>
      </c>
      <c r="K100" s="216">
        <f t="shared" si="52"/>
        <v>4.1737114406273523</v>
      </c>
      <c r="L100" s="216">
        <f t="shared" si="52"/>
        <v>5.4155124080982118</v>
      </c>
      <c r="M100" s="216">
        <f t="shared" si="52"/>
        <v>6.8496483577302607</v>
      </c>
      <c r="N100" s="216">
        <f t="shared" si="52"/>
        <v>8.7422166065245648</v>
      </c>
      <c r="O100" s="216">
        <f t="shared" si="52"/>
        <v>10.939469225633598</v>
      </c>
      <c r="P100" s="216">
        <f t="shared" si="52"/>
        <v>13.461333062895196</v>
      </c>
      <c r="Q100" s="216">
        <f t="shared" si="52"/>
        <v>16.327318602912534</v>
      </c>
      <c r="R100" s="216">
        <f t="shared" si="52"/>
        <v>19.556519967054154</v>
      </c>
      <c r="S100" s="216">
        <f t="shared" si="52"/>
        <v>23.167614913453924</v>
      </c>
      <c r="T100" s="216">
        <f t="shared" si="52"/>
        <v>27.178864837011083</v>
      </c>
      <c r="U100" s="216">
        <f t="shared" si="52"/>
        <v>31.608114769390216</v>
      </c>
      <c r="V100" s="216">
        <f t="shared" si="52"/>
        <v>36.472793379021233</v>
      </c>
      <c r="W100" s="216">
        <f t="shared" si="52"/>
        <v>41.789912971099419</v>
      </c>
      <c r="X100" s="216">
        <f t="shared" si="52"/>
        <v>48.590294924949468</v>
      </c>
      <c r="Y100" s="216">
        <f t="shared" si="52"/>
        <v>56.063630852368981</v>
      </c>
      <c r="Z100" s="216">
        <f t="shared" si="52"/>
        <v>64.236684911012773</v>
      </c>
      <c r="AA100" s="216">
        <f t="shared" si="52"/>
        <v>73.135556571290692</v>
      </c>
      <c r="AB100" s="216">
        <f t="shared" si="52"/>
        <v>82.7856806163675</v>
      </c>
      <c r="AC100" s="216">
        <f t="shared" si="52"/>
        <v>93.211827142162747</v>
      </c>
      <c r="AD100" s="216">
        <f t="shared" si="52"/>
        <v>104.438101557351</v>
      </c>
      <c r="AE100" s="216">
        <f t="shared" si="52"/>
        <v>116.48794458336177</v>
      </c>
      <c r="AF100" s="216">
        <f t="shared" si="52"/>
        <v>129.38413225437944</v>
      </c>
      <c r="AG100" s="216">
        <f t="shared" si="52"/>
        <v>143.14877591734336</v>
      </c>
      <c r="AH100" s="230"/>
      <c r="AI100" s="126"/>
      <c r="AJ100" s="198"/>
      <c r="AL100" s="102"/>
      <c r="AM100" s="2"/>
      <c r="AN100" s="2"/>
      <c r="AO100" s="2"/>
      <c r="BC100" s="1"/>
      <c r="BD100" s="2"/>
      <c r="BE100" s="2"/>
      <c r="BF100" s="2"/>
      <c r="BG100" s="2"/>
      <c r="BH100" s="2"/>
      <c r="BI100" s="2"/>
      <c r="BJ100" s="2"/>
      <c r="BK100" s="2"/>
    </row>
    <row r="101" spans="1:63" s="1" customFormat="1" outlineLevel="1">
      <c r="A101" s="1" t="s">
        <v>1163</v>
      </c>
      <c r="B101" s="61"/>
      <c r="C101" s="279">
        <f>C39*C67</f>
        <v>0.10778699832147907</v>
      </c>
      <c r="D101" s="279">
        <f t="shared" ref="D101:AG101" si="53">D39*D67</f>
        <v>18.372452401655881</v>
      </c>
      <c r="E101" s="279">
        <f t="shared" si="53"/>
        <v>37.922114068980243</v>
      </c>
      <c r="F101" s="279">
        <f t="shared" si="53"/>
        <v>58.761797078212545</v>
      </c>
      <c r="G101" s="279">
        <f t="shared" si="53"/>
        <v>80.896436240335774</v>
      </c>
      <c r="H101" s="279">
        <f t="shared" si="53"/>
        <v>104.3308760993977</v>
      </c>
      <c r="I101" s="279">
        <f t="shared" si="53"/>
        <v>129.06987093251121</v>
      </c>
      <c r="J101" s="279">
        <f t="shared" si="53"/>
        <v>155.11808474985398</v>
      </c>
      <c r="K101" s="279">
        <f t="shared" si="53"/>
        <v>182.48009129466874</v>
      </c>
      <c r="L101" s="279">
        <f t="shared" si="53"/>
        <v>211.16037404326309</v>
      </c>
      <c r="M101" s="279">
        <f t="shared" si="53"/>
        <v>241.16332620500947</v>
      </c>
      <c r="N101" s="279">
        <f t="shared" si="53"/>
        <v>280.73386223120599</v>
      </c>
      <c r="O101" s="279">
        <f t="shared" si="53"/>
        <v>323.07192180750195</v>
      </c>
      <c r="P101" s="279">
        <f t="shared" si="53"/>
        <v>368.16508392250819</v>
      </c>
      <c r="Q101" s="279">
        <f t="shared" si="53"/>
        <v>416.00044647347329</v>
      </c>
      <c r="R101" s="279">
        <f t="shared" si="53"/>
        <v>466.56462626628371</v>
      </c>
      <c r="S101" s="279">
        <f t="shared" si="53"/>
        <v>519.84375901546298</v>
      </c>
      <c r="T101" s="279">
        <f t="shared" si="53"/>
        <v>575.82349934417255</v>
      </c>
      <c r="U101" s="279">
        <f t="shared" si="53"/>
        <v>634.48902078421168</v>
      </c>
      <c r="V101" s="279">
        <f t="shared" si="53"/>
        <v>695.82501577601681</v>
      </c>
      <c r="W101" s="279">
        <f t="shared" si="53"/>
        <v>759.81569566866256</v>
      </c>
      <c r="X101" s="279">
        <f t="shared" si="53"/>
        <v>844.06291971523319</v>
      </c>
      <c r="Y101" s="279">
        <f t="shared" si="53"/>
        <v>932.55951143771097</v>
      </c>
      <c r="Z101" s="279">
        <f t="shared" si="53"/>
        <v>1025.2798098276332</v>
      </c>
      <c r="AA101" s="279">
        <f t="shared" si="53"/>
        <v>1122.197385856537</v>
      </c>
      <c r="AB101" s="279">
        <f t="shared" si="53"/>
        <v>1223.2850424759565</v>
      </c>
      <c r="AC101" s="279">
        <f t="shared" si="53"/>
        <v>1328.5148146174231</v>
      </c>
      <c r="AD101" s="279">
        <f t="shared" si="53"/>
        <v>1437.8579691924688</v>
      </c>
      <c r="AE101" s="279">
        <f t="shared" si="53"/>
        <v>1551.2850050926206</v>
      </c>
      <c r="AF101" s="279">
        <f t="shared" si="53"/>
        <v>1668.7656531894056</v>
      </c>
      <c r="AG101" s="279">
        <f t="shared" si="53"/>
        <v>1790.2688763343501</v>
      </c>
      <c r="AH101" s="230"/>
      <c r="AI101" s="398"/>
      <c r="AJ101" s="399"/>
      <c r="AL101" s="207"/>
      <c r="AM101" s="118"/>
      <c r="AN101" s="118"/>
      <c r="AO101" s="118"/>
      <c r="BD101" s="118"/>
      <c r="BE101" s="118"/>
      <c r="BF101" s="118"/>
      <c r="BG101" s="118"/>
      <c r="BH101" s="118"/>
      <c r="BI101" s="118"/>
      <c r="BJ101" s="118"/>
      <c r="BK101" s="118"/>
    </row>
    <row r="102" spans="1:63" outlineLevel="1">
      <c r="A102" s="4" t="s">
        <v>35</v>
      </c>
      <c r="C102" s="216">
        <f>C$101*'Methanol recycling rates'!E42</f>
        <v>0.10778699832147907</v>
      </c>
      <c r="D102" s="216">
        <f>D$101*'Methanol recycling rates'!F42</f>
        <v>17.760037321600684</v>
      </c>
      <c r="E102" s="216">
        <f>E$101*'Methanol recycling rates'!G42</f>
        <v>35.393973131048227</v>
      </c>
      <c r="F102" s="216">
        <f>F$101*'Methanol recycling rates'!H42</f>
        <v>52.885617370391294</v>
      </c>
      <c r="G102" s="216">
        <f>G$101*'Methanol recycling rates'!I42</f>
        <v>70.110244741624342</v>
      </c>
      <c r="H102" s="216">
        <f>H$101*'Methanol recycling rates'!J42</f>
        <v>86.942396749498087</v>
      </c>
      <c r="I102" s="216">
        <f>I$101*'Methanol recycling rates'!K42</f>
        <v>103.25589674600897</v>
      </c>
      <c r="J102" s="216">
        <f>J$101*'Methanol recycling rates'!L42</f>
        <v>118.92386497488806</v>
      </c>
      <c r="K102" s="216">
        <f>K$101*'Methanol recycling rates'!M42</f>
        <v>133.81873361609041</v>
      </c>
      <c r="L102" s="216">
        <f>L$101*'Methanol recycling rates'!N42</f>
        <v>147.81226183028417</v>
      </c>
      <c r="M102" s="216">
        <f>M$101*'Methanol recycling rates'!O42</f>
        <v>160.77555080333966</v>
      </c>
      <c r="N102" s="216">
        <f>N$101*'Methanol recycling rates'!P42</f>
        <v>177.79811274643049</v>
      </c>
      <c r="O102" s="216">
        <f>O$101*'Methanol recycling rates'!Q42</f>
        <v>193.84315308450121</v>
      </c>
      <c r="P102" s="216">
        <f>P$101*'Methanol recycling rates'!R42</f>
        <v>208.62688088942133</v>
      </c>
      <c r="Q102" s="216">
        <f>Q$101*'Methanol recycling rates'!S42</f>
        <v>221.86690478585246</v>
      </c>
      <c r="R102" s="216">
        <f>R$101*'Methanol recycling rates'!T42</f>
        <v>233.28231313314191</v>
      </c>
      <c r="S102" s="216">
        <f>S$101*'Methanol recycling rates'!U42</f>
        <v>242.59375420721611</v>
      </c>
      <c r="T102" s="216">
        <f>T$101*'Methanol recycling rates'!V42</f>
        <v>249.52351638247484</v>
      </c>
      <c r="U102" s="216">
        <f>U$101*'Methanol recycling rates'!W42</f>
        <v>253.79560831368477</v>
      </c>
      <c r="V102" s="216">
        <f>V$101*'Methanol recycling rates'!X42</f>
        <v>255.13583911787293</v>
      </c>
      <c r="W102" s="216">
        <f>W$101*'Methanol recycling rates'!Y42</f>
        <v>253.27189855622098</v>
      </c>
      <c r="X102" s="216">
        <f>X$101*'Methanol recycling rates'!Z42</f>
        <v>253.21887591457008</v>
      </c>
      <c r="Y102" s="216">
        <f>Y$101*'Methanol recycling rates'!AA42</f>
        <v>248.68253638338973</v>
      </c>
      <c r="Z102" s="216">
        <f>Z$101*'Methanol recycling rates'!AB42</f>
        <v>239.23195562644793</v>
      </c>
      <c r="AA102" s="216">
        <f>AA$101*'Methanol recycling rates'!AC42</f>
        <v>224.4394771713076</v>
      </c>
      <c r="AB102" s="216">
        <f>AB$101*'Methanol recycling rates'!AD42</f>
        <v>203.88084041265964</v>
      </c>
      <c r="AC102" s="216">
        <f>AC$101*'Methanol recycling rates'!AE42</f>
        <v>177.13530861565667</v>
      </c>
      <c r="AD102" s="216">
        <f>AD$101*'Methanol recycling rates'!AF42</f>
        <v>143.78579691924716</v>
      </c>
      <c r="AE102" s="216">
        <f>AE$101*'Methanol recycling rates'!AG42</f>
        <v>103.41900033950836</v>
      </c>
      <c r="AF102" s="216">
        <f>AF$101*'Methanol recycling rates'!AH42</f>
        <v>55.625521772980534</v>
      </c>
      <c r="AG102" s="216">
        <f>AG$101*'Methanol recycling rates'!AI42</f>
        <v>0</v>
      </c>
      <c r="AH102" s="230"/>
      <c r="AI102" s="126"/>
      <c r="AJ102" s="198"/>
      <c r="AL102" s="102"/>
      <c r="AM102" s="2"/>
      <c r="AN102" s="2"/>
      <c r="AO102" s="2"/>
      <c r="BC102" s="1"/>
      <c r="BD102" s="2"/>
      <c r="BE102" s="2"/>
      <c r="BF102" s="2"/>
      <c r="BG102" s="2"/>
      <c r="BH102" s="2"/>
      <c r="BI102" s="2"/>
      <c r="BJ102" s="2"/>
      <c r="BK102" s="2"/>
    </row>
    <row r="103" spans="1:63" outlineLevel="1">
      <c r="A103" s="4" t="s">
        <v>160</v>
      </c>
      <c r="C103" s="216">
        <f>C$101*'Methanol recycling rates'!E43</f>
        <v>0</v>
      </c>
      <c r="D103" s="216">
        <f>D$101*'Methanol recycling rates'!F43</f>
        <v>0.30620754002759804</v>
      </c>
      <c r="E103" s="216">
        <f>E$101*'Methanol recycling rates'!G43</f>
        <v>1.2640704689660081</v>
      </c>
      <c r="F103" s="216">
        <f>F$101*'Methanol recycling rates'!H43</f>
        <v>2.9380898539106273</v>
      </c>
      <c r="G103" s="216">
        <f>G$101*'Methanol recycling rates'!I43</f>
        <v>5.3930957493557186</v>
      </c>
      <c r="H103" s="216">
        <f>H$101*'Methanol recycling rates'!J43</f>
        <v>8.6942396749498077</v>
      </c>
      <c r="I103" s="216">
        <f>I$101*'Methanol recycling rates'!K43</f>
        <v>12.90698709325112</v>
      </c>
      <c r="J103" s="216">
        <f>J$101*'Methanol recycling rates'!L43</f>
        <v>18.097109887482961</v>
      </c>
      <c r="K103" s="216">
        <f>K$101*'Methanol recycling rates'!M43</f>
        <v>24.330678839289163</v>
      </c>
      <c r="L103" s="216">
        <f>L$101*'Methanol recycling rates'!N43</f>
        <v>31.674056106489463</v>
      </c>
      <c r="M103" s="216">
        <f>M$101*'Methanol recycling rates'!O43</f>
        <v>40.193887700834907</v>
      </c>
      <c r="N103" s="216">
        <f>N$101*'Methanol recycling rates'!P43</f>
        <v>51.467874742387764</v>
      </c>
      <c r="O103" s="216">
        <f>O$101*'Methanol recycling rates'!Q43</f>
        <v>64.614384361500385</v>
      </c>
      <c r="P103" s="216">
        <f>P$101*'Methanol recycling rates'!R43</f>
        <v>79.769101516543429</v>
      </c>
      <c r="Q103" s="216">
        <f>Q$101*'Methanol recycling rates'!S43</f>
        <v>97.066770843810417</v>
      </c>
      <c r="R103" s="216">
        <f>R$101*'Methanol recycling rates'!T43</f>
        <v>116.64115656657091</v>
      </c>
      <c r="S103" s="216">
        <f>S$101*'Methanol recycling rates'!U43</f>
        <v>138.62500240412345</v>
      </c>
      <c r="T103" s="216">
        <f>T$101*'Methanol recycling rates'!V43</f>
        <v>163.14999148084888</v>
      </c>
      <c r="U103" s="216">
        <f>U$101*'Methanol recycling rates'!W43</f>
        <v>190.3467062352635</v>
      </c>
      <c r="V103" s="216">
        <f>V$101*'Methanol recycling rates'!X43</f>
        <v>220.34458832907197</v>
      </c>
      <c r="W103" s="216">
        <f>W$101*'Methanol recycling rates'!Y43</f>
        <v>253.27189855622083</v>
      </c>
      <c r="X103" s="216">
        <f>X$101*'Methanol recycling rates'!Z43</f>
        <v>295.42202190033157</v>
      </c>
      <c r="Y103" s="216">
        <f>Y$101*'Methanol recycling rates'!AA43</f>
        <v>341.93848752716065</v>
      </c>
      <c r="Z103" s="216">
        <f>Z$101*'Methanol recycling rates'!AB43</f>
        <v>393.02392710059269</v>
      </c>
      <c r="AA103" s="216">
        <f>AA$101*'Methanol recycling rates'!AC43</f>
        <v>448.8789543426148</v>
      </c>
      <c r="AB103" s="216">
        <f>AB$101*'Methanol recycling rates'!AD43</f>
        <v>509.70210103164851</v>
      </c>
      <c r="AC103" s="216">
        <f>AC$101*'Methanol recycling rates'!AE43</f>
        <v>575.68975300088334</v>
      </c>
      <c r="AD103" s="216">
        <f>AD$101*'Methanol recycling rates'!AF43</f>
        <v>647.03608613661083</v>
      </c>
      <c r="AE103" s="216">
        <f>AE$101*'Methanol recycling rates'!AG43</f>
        <v>723.93300237655626</v>
      </c>
      <c r="AF103" s="216">
        <f>AF$101*'Methanol recycling rates'!AH43</f>
        <v>806.57006570821261</v>
      </c>
      <c r="AG103" s="216">
        <f>AG$101*'Methanol recycling rates'!AI43</f>
        <v>895.13443816717506</v>
      </c>
      <c r="AH103" s="230"/>
      <c r="AI103" s="126"/>
      <c r="AJ103" s="198"/>
      <c r="AL103" s="102"/>
      <c r="AM103" s="2"/>
      <c r="AN103" s="2"/>
      <c r="AO103" s="2"/>
      <c r="BC103" s="1"/>
      <c r="BD103" s="2"/>
      <c r="BE103" s="2"/>
      <c r="BF103" s="2"/>
      <c r="BG103" s="2"/>
      <c r="BH103" s="2"/>
      <c r="BI103" s="2"/>
      <c r="BJ103" s="2"/>
      <c r="BK103" s="2"/>
    </row>
    <row r="104" spans="1:63" outlineLevel="1">
      <c r="A104" s="4" t="s">
        <v>1159</v>
      </c>
      <c r="C104" s="216">
        <f>C$101*'Methanol recycling rates'!E44</f>
        <v>0</v>
      </c>
      <c r="D104" s="216">
        <f>D$101*'Methanol recycling rates'!F44</f>
        <v>0.30620754002759804</v>
      </c>
      <c r="E104" s="216">
        <f>E$101*'Methanol recycling rates'!G44</f>
        <v>1.2640704689660081</v>
      </c>
      <c r="F104" s="216">
        <f>F$101*'Methanol recycling rates'!H44</f>
        <v>2.9380898539106273</v>
      </c>
      <c r="G104" s="216">
        <f>G$101*'Methanol recycling rates'!I44</f>
        <v>5.3930957493557186</v>
      </c>
      <c r="H104" s="216">
        <f>H$101*'Methanol recycling rates'!J44</f>
        <v>8.6942396749498077</v>
      </c>
      <c r="I104" s="216">
        <f>I$101*'Methanol recycling rates'!K44</f>
        <v>12.90698709325112</v>
      </c>
      <c r="J104" s="216">
        <f>J$101*'Methanol recycling rates'!L44</f>
        <v>18.097109887482961</v>
      </c>
      <c r="K104" s="216">
        <f>K$101*'Methanol recycling rates'!M44</f>
        <v>24.330678839289163</v>
      </c>
      <c r="L104" s="216">
        <f>L$101*'Methanol recycling rates'!N44</f>
        <v>31.674056106489463</v>
      </c>
      <c r="M104" s="216">
        <f>M$101*'Methanol recycling rates'!O44</f>
        <v>40.193887700834907</v>
      </c>
      <c r="N104" s="216">
        <f>N$101*'Methanol recycling rates'!P44</f>
        <v>51.467874742387764</v>
      </c>
      <c r="O104" s="216">
        <f>O$101*'Methanol recycling rates'!Q44</f>
        <v>64.614384361500385</v>
      </c>
      <c r="P104" s="216">
        <f>P$101*'Methanol recycling rates'!R44</f>
        <v>79.769101516543429</v>
      </c>
      <c r="Q104" s="216">
        <f>Q$101*'Methanol recycling rates'!S44</f>
        <v>97.066770843810417</v>
      </c>
      <c r="R104" s="216">
        <f>R$101*'Methanol recycling rates'!T44</f>
        <v>116.64115656657091</v>
      </c>
      <c r="S104" s="216">
        <f>S$101*'Methanol recycling rates'!U44</f>
        <v>138.62500240412345</v>
      </c>
      <c r="T104" s="216">
        <f>T$101*'Methanol recycling rates'!V44</f>
        <v>163.14999148084888</v>
      </c>
      <c r="U104" s="216">
        <f>U$101*'Methanol recycling rates'!W44</f>
        <v>190.3467062352635</v>
      </c>
      <c r="V104" s="216">
        <f>V$101*'Methanol recycling rates'!X44</f>
        <v>220.34458832907197</v>
      </c>
      <c r="W104" s="216">
        <f>W$101*'Methanol recycling rates'!Y44</f>
        <v>253.27189855622083</v>
      </c>
      <c r="X104" s="216">
        <f>X$101*'Methanol recycling rates'!Z44</f>
        <v>295.42202190033157</v>
      </c>
      <c r="Y104" s="216">
        <f>Y$101*'Methanol recycling rates'!AA44</f>
        <v>341.93848752716065</v>
      </c>
      <c r="Z104" s="216">
        <f>Z$101*'Methanol recycling rates'!AB44</f>
        <v>393.02392710059269</v>
      </c>
      <c r="AA104" s="216">
        <f>AA$101*'Methanol recycling rates'!AC44</f>
        <v>448.8789543426148</v>
      </c>
      <c r="AB104" s="216">
        <f>AB$101*'Methanol recycling rates'!AD44</f>
        <v>509.70210103164851</v>
      </c>
      <c r="AC104" s="216">
        <f>AC$101*'Methanol recycling rates'!AE44</f>
        <v>575.68975300088334</v>
      </c>
      <c r="AD104" s="216">
        <f>AD$101*'Methanol recycling rates'!AF44</f>
        <v>647.03608613661083</v>
      </c>
      <c r="AE104" s="216">
        <f>AE$101*'Methanol recycling rates'!AG44</f>
        <v>723.93300237655626</v>
      </c>
      <c r="AF104" s="216">
        <f>AF$101*'Methanol recycling rates'!AH44</f>
        <v>806.57006570821261</v>
      </c>
      <c r="AG104" s="216">
        <f>AG$101*'Methanol recycling rates'!AI44</f>
        <v>895.13443816717506</v>
      </c>
      <c r="AH104" s="230"/>
      <c r="AI104" s="126"/>
      <c r="AJ104" s="198"/>
      <c r="AL104" s="102"/>
      <c r="AM104" s="2"/>
      <c r="AN104" s="2"/>
      <c r="AO104" s="2"/>
      <c r="BC104" s="1"/>
      <c r="BD104" s="2"/>
      <c r="BE104" s="2"/>
      <c r="BF104" s="2"/>
      <c r="BG104" s="2"/>
      <c r="BH104" s="2"/>
      <c r="BI104" s="2"/>
      <c r="BJ104" s="2"/>
      <c r="BK104" s="2"/>
    </row>
    <row r="105" spans="1:63" s="1" customFormat="1" outlineLevel="1">
      <c r="A105" s="1" t="s">
        <v>1166</v>
      </c>
      <c r="B105" s="61"/>
      <c r="C105" s="279">
        <f>C101-$C101</f>
        <v>0</v>
      </c>
      <c r="D105" s="279">
        <f t="shared" ref="D105:AG105" si="54">D101-$C101</f>
        <v>18.264665403334401</v>
      </c>
      <c r="E105" s="279">
        <f t="shared" si="54"/>
        <v>37.814327070658763</v>
      </c>
      <c r="F105" s="279">
        <f t="shared" si="54"/>
        <v>58.654010079891066</v>
      </c>
      <c r="G105" s="279">
        <f t="shared" si="54"/>
        <v>80.788649242014301</v>
      </c>
      <c r="H105" s="279">
        <f t="shared" si="54"/>
        <v>104.22308910107623</v>
      </c>
      <c r="I105" s="279">
        <f t="shared" si="54"/>
        <v>128.96208393418974</v>
      </c>
      <c r="J105" s="279">
        <f t="shared" si="54"/>
        <v>155.01029775153251</v>
      </c>
      <c r="K105" s="279">
        <f t="shared" si="54"/>
        <v>182.37230429634727</v>
      </c>
      <c r="L105" s="279">
        <f t="shared" si="54"/>
        <v>211.05258704494162</v>
      </c>
      <c r="M105" s="279">
        <f t="shared" si="54"/>
        <v>241.055539206688</v>
      </c>
      <c r="N105" s="279">
        <f t="shared" si="54"/>
        <v>280.62607523288449</v>
      </c>
      <c r="O105" s="279">
        <f t="shared" si="54"/>
        <v>322.96413480918045</v>
      </c>
      <c r="P105" s="279">
        <f t="shared" si="54"/>
        <v>368.05729692418669</v>
      </c>
      <c r="Q105" s="279">
        <f t="shared" si="54"/>
        <v>415.89265947515179</v>
      </c>
      <c r="R105" s="279">
        <f t="shared" si="54"/>
        <v>466.45683926796221</v>
      </c>
      <c r="S105" s="279">
        <f t="shared" si="54"/>
        <v>519.73597201714153</v>
      </c>
      <c r="T105" s="279">
        <f t="shared" si="54"/>
        <v>575.7157123458511</v>
      </c>
      <c r="U105" s="279">
        <f t="shared" si="54"/>
        <v>634.38123378589023</v>
      </c>
      <c r="V105" s="279">
        <f t="shared" si="54"/>
        <v>695.71722877769537</v>
      </c>
      <c r="W105" s="279">
        <f t="shared" si="54"/>
        <v>759.70790867034111</v>
      </c>
      <c r="X105" s="279">
        <f t="shared" si="54"/>
        <v>843.95513271691175</v>
      </c>
      <c r="Y105" s="279">
        <f t="shared" si="54"/>
        <v>932.45172443938952</v>
      </c>
      <c r="Z105" s="279">
        <f t="shared" si="54"/>
        <v>1025.1720228293118</v>
      </c>
      <c r="AA105" s="279">
        <f t="shared" si="54"/>
        <v>1122.0895988582156</v>
      </c>
      <c r="AB105" s="279">
        <f t="shared" si="54"/>
        <v>1223.1772554776351</v>
      </c>
      <c r="AC105" s="279">
        <f t="shared" si="54"/>
        <v>1328.4070276191017</v>
      </c>
      <c r="AD105" s="279">
        <f t="shared" si="54"/>
        <v>1437.7501821941473</v>
      </c>
      <c r="AE105" s="279">
        <f t="shared" si="54"/>
        <v>1551.1772180942992</v>
      </c>
      <c r="AF105" s="279">
        <f t="shared" si="54"/>
        <v>1668.6578661910842</v>
      </c>
      <c r="AG105" s="279">
        <f t="shared" si="54"/>
        <v>1790.1610893360287</v>
      </c>
      <c r="AH105" s="230"/>
      <c r="AI105" s="398"/>
      <c r="AJ105" s="399"/>
      <c r="AL105" s="207"/>
      <c r="AM105" s="118"/>
      <c r="AN105" s="118"/>
      <c r="AO105" s="118"/>
      <c r="BD105" s="118"/>
      <c r="BE105" s="118"/>
      <c r="BF105" s="118"/>
      <c r="BG105" s="118"/>
      <c r="BH105" s="118"/>
      <c r="BI105" s="118"/>
      <c r="BJ105" s="118"/>
      <c r="BK105" s="118"/>
    </row>
    <row r="106" spans="1:63" outlineLevel="1">
      <c r="A106" s="4" t="s">
        <v>35</v>
      </c>
      <c r="C106" s="216">
        <f t="shared" ref="C106:AF106" si="55">C102-$C102</f>
        <v>0</v>
      </c>
      <c r="D106" s="216">
        <f t="shared" si="55"/>
        <v>17.652250323279205</v>
      </c>
      <c r="E106" s="216">
        <f t="shared" si="55"/>
        <v>35.286186132726748</v>
      </c>
      <c r="F106" s="216">
        <f t="shared" si="55"/>
        <v>52.777830372069815</v>
      </c>
      <c r="G106" s="216">
        <f t="shared" si="55"/>
        <v>70.00245774330287</v>
      </c>
      <c r="H106" s="216">
        <f t="shared" si="55"/>
        <v>86.834609751176615</v>
      </c>
      <c r="I106" s="216">
        <f t="shared" si="55"/>
        <v>103.1481097476875</v>
      </c>
      <c r="J106" s="216">
        <f t="shared" si="55"/>
        <v>118.81607797656659</v>
      </c>
      <c r="K106" s="216">
        <f t="shared" si="55"/>
        <v>133.71094661776894</v>
      </c>
      <c r="L106" s="216">
        <f t="shared" si="55"/>
        <v>147.7044748319627</v>
      </c>
      <c r="M106" s="216">
        <f t="shared" si="55"/>
        <v>160.66776380501818</v>
      </c>
      <c r="N106" s="216">
        <f t="shared" si="55"/>
        <v>177.69032574810902</v>
      </c>
      <c r="O106" s="216">
        <f t="shared" si="55"/>
        <v>193.73536608617974</v>
      </c>
      <c r="P106" s="216">
        <f t="shared" si="55"/>
        <v>208.51909389109986</v>
      </c>
      <c r="Q106" s="216">
        <f t="shared" si="55"/>
        <v>221.75911778753098</v>
      </c>
      <c r="R106" s="216">
        <f t="shared" si="55"/>
        <v>233.17452613482044</v>
      </c>
      <c r="S106" s="216">
        <f t="shared" si="55"/>
        <v>242.48596720889464</v>
      </c>
      <c r="T106" s="216">
        <f t="shared" si="55"/>
        <v>249.41572938415337</v>
      </c>
      <c r="U106" s="216">
        <f t="shared" si="55"/>
        <v>253.68782131536329</v>
      </c>
      <c r="V106" s="216">
        <f t="shared" si="55"/>
        <v>255.02805211955146</v>
      </c>
      <c r="W106" s="216">
        <f t="shared" si="55"/>
        <v>253.1641115578995</v>
      </c>
      <c r="X106" s="216">
        <f t="shared" si="55"/>
        <v>253.1110889162486</v>
      </c>
      <c r="Y106" s="216">
        <f t="shared" si="55"/>
        <v>248.57474938506826</v>
      </c>
      <c r="Z106" s="216">
        <f t="shared" si="55"/>
        <v>239.12416862812645</v>
      </c>
      <c r="AA106" s="216">
        <f t="shared" si="55"/>
        <v>224.33169017298613</v>
      </c>
      <c r="AB106" s="216">
        <f t="shared" si="55"/>
        <v>203.77305341433816</v>
      </c>
      <c r="AC106" s="216">
        <f t="shared" si="55"/>
        <v>177.0275216173352</v>
      </c>
      <c r="AD106" s="216">
        <f t="shared" si="55"/>
        <v>143.67800992092569</v>
      </c>
      <c r="AE106" s="216">
        <f t="shared" si="55"/>
        <v>103.31121334118689</v>
      </c>
      <c r="AF106" s="216">
        <f t="shared" si="55"/>
        <v>55.517734774659054</v>
      </c>
      <c r="AG106" s="216">
        <f>AG102-$C102</f>
        <v>-0.10778699832147907</v>
      </c>
      <c r="AH106" s="230"/>
      <c r="AI106" s="126"/>
      <c r="AJ106" s="198"/>
      <c r="AL106" s="102"/>
      <c r="AM106" s="2"/>
      <c r="AN106" s="2"/>
      <c r="AO106" s="2"/>
      <c r="BC106" s="1"/>
      <c r="BD106" s="2"/>
      <c r="BE106" s="2"/>
      <c r="BF106" s="2"/>
      <c r="BG106" s="2"/>
      <c r="BH106" s="2"/>
      <c r="BI106" s="2"/>
      <c r="BJ106" s="2"/>
      <c r="BK106" s="2"/>
    </row>
    <row r="107" spans="1:63" outlineLevel="1">
      <c r="A107" s="4" t="s">
        <v>160</v>
      </c>
      <c r="C107" s="216">
        <f t="shared" ref="C107:AG107" si="56">C103-$C103</f>
        <v>0</v>
      </c>
      <c r="D107" s="216">
        <f t="shared" si="56"/>
        <v>0.30620754002759804</v>
      </c>
      <c r="E107" s="216">
        <f t="shared" si="56"/>
        <v>1.2640704689660081</v>
      </c>
      <c r="F107" s="216">
        <f t="shared" si="56"/>
        <v>2.9380898539106273</v>
      </c>
      <c r="G107" s="216">
        <f t="shared" si="56"/>
        <v>5.3930957493557186</v>
      </c>
      <c r="H107" s="216">
        <f t="shared" si="56"/>
        <v>8.6942396749498077</v>
      </c>
      <c r="I107" s="216">
        <f t="shared" si="56"/>
        <v>12.90698709325112</v>
      </c>
      <c r="J107" s="216">
        <f t="shared" si="56"/>
        <v>18.097109887482961</v>
      </c>
      <c r="K107" s="216">
        <f t="shared" si="56"/>
        <v>24.330678839289163</v>
      </c>
      <c r="L107" s="216">
        <f t="shared" si="56"/>
        <v>31.674056106489463</v>
      </c>
      <c r="M107" s="216">
        <f t="shared" si="56"/>
        <v>40.193887700834907</v>
      </c>
      <c r="N107" s="216">
        <f t="shared" si="56"/>
        <v>51.467874742387764</v>
      </c>
      <c r="O107" s="216">
        <f t="shared" si="56"/>
        <v>64.614384361500385</v>
      </c>
      <c r="P107" s="216">
        <f t="shared" si="56"/>
        <v>79.769101516543429</v>
      </c>
      <c r="Q107" s="216">
        <f t="shared" si="56"/>
        <v>97.066770843810417</v>
      </c>
      <c r="R107" s="216">
        <f t="shared" si="56"/>
        <v>116.64115656657091</v>
      </c>
      <c r="S107" s="216">
        <f t="shared" si="56"/>
        <v>138.62500240412345</v>
      </c>
      <c r="T107" s="216">
        <f t="shared" si="56"/>
        <v>163.14999148084888</v>
      </c>
      <c r="U107" s="216">
        <f t="shared" si="56"/>
        <v>190.3467062352635</v>
      </c>
      <c r="V107" s="216">
        <f t="shared" si="56"/>
        <v>220.34458832907197</v>
      </c>
      <c r="W107" s="216">
        <f t="shared" si="56"/>
        <v>253.27189855622083</v>
      </c>
      <c r="X107" s="216">
        <f t="shared" si="56"/>
        <v>295.42202190033157</v>
      </c>
      <c r="Y107" s="216">
        <f t="shared" si="56"/>
        <v>341.93848752716065</v>
      </c>
      <c r="Z107" s="216">
        <f t="shared" si="56"/>
        <v>393.02392710059269</v>
      </c>
      <c r="AA107" s="216">
        <f t="shared" si="56"/>
        <v>448.8789543426148</v>
      </c>
      <c r="AB107" s="216">
        <f t="shared" si="56"/>
        <v>509.70210103164851</v>
      </c>
      <c r="AC107" s="216">
        <f t="shared" si="56"/>
        <v>575.68975300088334</v>
      </c>
      <c r="AD107" s="216">
        <f t="shared" si="56"/>
        <v>647.03608613661083</v>
      </c>
      <c r="AE107" s="216">
        <f t="shared" si="56"/>
        <v>723.93300237655626</v>
      </c>
      <c r="AF107" s="216">
        <f t="shared" si="56"/>
        <v>806.57006570821261</v>
      </c>
      <c r="AG107" s="216">
        <f t="shared" si="56"/>
        <v>895.13443816717506</v>
      </c>
      <c r="AH107" s="230"/>
      <c r="AI107" s="126"/>
      <c r="AJ107" s="198"/>
      <c r="AL107" s="102"/>
      <c r="AM107" s="2"/>
      <c r="AN107" s="2"/>
      <c r="AO107" s="2"/>
      <c r="BC107" s="1"/>
      <c r="BD107" s="2"/>
      <c r="BE107" s="2"/>
      <c r="BF107" s="2"/>
      <c r="BG107" s="2"/>
      <c r="BH107" s="2"/>
      <c r="BI107" s="2"/>
      <c r="BJ107" s="2"/>
      <c r="BK107" s="2"/>
    </row>
    <row r="108" spans="1:63" outlineLevel="1">
      <c r="A108" s="4" t="s">
        <v>1159</v>
      </c>
      <c r="C108" s="216">
        <f t="shared" ref="C108:AG108" si="57">C104-$C104</f>
        <v>0</v>
      </c>
      <c r="D108" s="216">
        <f t="shared" si="57"/>
        <v>0.30620754002759804</v>
      </c>
      <c r="E108" s="216">
        <f t="shared" si="57"/>
        <v>1.2640704689660081</v>
      </c>
      <c r="F108" s="216">
        <f t="shared" si="57"/>
        <v>2.9380898539106273</v>
      </c>
      <c r="G108" s="216">
        <f t="shared" si="57"/>
        <v>5.3930957493557186</v>
      </c>
      <c r="H108" s="216">
        <f t="shared" si="57"/>
        <v>8.6942396749498077</v>
      </c>
      <c r="I108" s="216">
        <f t="shared" si="57"/>
        <v>12.90698709325112</v>
      </c>
      <c r="J108" s="216">
        <f t="shared" si="57"/>
        <v>18.097109887482961</v>
      </c>
      <c r="K108" s="216">
        <f t="shared" si="57"/>
        <v>24.330678839289163</v>
      </c>
      <c r="L108" s="216">
        <f t="shared" si="57"/>
        <v>31.674056106489463</v>
      </c>
      <c r="M108" s="216">
        <f t="shared" si="57"/>
        <v>40.193887700834907</v>
      </c>
      <c r="N108" s="216">
        <f t="shared" si="57"/>
        <v>51.467874742387764</v>
      </c>
      <c r="O108" s="216">
        <f t="shared" si="57"/>
        <v>64.614384361500385</v>
      </c>
      <c r="P108" s="216">
        <f t="shared" si="57"/>
        <v>79.769101516543429</v>
      </c>
      <c r="Q108" s="216">
        <f t="shared" si="57"/>
        <v>97.066770843810417</v>
      </c>
      <c r="R108" s="216">
        <f t="shared" si="57"/>
        <v>116.64115656657091</v>
      </c>
      <c r="S108" s="216">
        <f t="shared" si="57"/>
        <v>138.62500240412345</v>
      </c>
      <c r="T108" s="216">
        <f t="shared" si="57"/>
        <v>163.14999148084888</v>
      </c>
      <c r="U108" s="216">
        <f t="shared" si="57"/>
        <v>190.3467062352635</v>
      </c>
      <c r="V108" s="216">
        <f t="shared" si="57"/>
        <v>220.34458832907197</v>
      </c>
      <c r="W108" s="216">
        <f t="shared" si="57"/>
        <v>253.27189855622083</v>
      </c>
      <c r="X108" s="216">
        <f t="shared" si="57"/>
        <v>295.42202190033157</v>
      </c>
      <c r="Y108" s="216">
        <f t="shared" si="57"/>
        <v>341.93848752716065</v>
      </c>
      <c r="Z108" s="216">
        <f t="shared" si="57"/>
        <v>393.02392710059269</v>
      </c>
      <c r="AA108" s="216">
        <f t="shared" si="57"/>
        <v>448.8789543426148</v>
      </c>
      <c r="AB108" s="216">
        <f t="shared" si="57"/>
        <v>509.70210103164851</v>
      </c>
      <c r="AC108" s="216">
        <f t="shared" si="57"/>
        <v>575.68975300088334</v>
      </c>
      <c r="AD108" s="216">
        <f t="shared" si="57"/>
        <v>647.03608613661083</v>
      </c>
      <c r="AE108" s="216">
        <f t="shared" si="57"/>
        <v>723.93300237655626</v>
      </c>
      <c r="AF108" s="216">
        <f t="shared" si="57"/>
        <v>806.57006570821261</v>
      </c>
      <c r="AG108" s="216">
        <f t="shared" si="57"/>
        <v>895.13443816717506</v>
      </c>
      <c r="AH108" s="230"/>
      <c r="AI108" s="126"/>
      <c r="AJ108" s="198"/>
      <c r="AL108" s="102"/>
      <c r="AM108" s="2"/>
      <c r="AN108" s="2"/>
      <c r="AO108" s="2"/>
      <c r="BC108" s="1"/>
      <c r="BD108" s="2"/>
      <c r="BE108" s="2"/>
      <c r="BF108" s="2"/>
      <c r="BG108" s="2"/>
      <c r="BH108" s="2"/>
      <c r="BI108" s="2"/>
      <c r="BJ108" s="2"/>
      <c r="BK108" s="2"/>
    </row>
    <row r="109" spans="1:63" outlineLevel="1"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I109" s="127"/>
      <c r="AJ109" s="198"/>
      <c r="AL109" s="102"/>
      <c r="AM109" s="125"/>
      <c r="AN109" s="2"/>
      <c r="AO109" s="2"/>
    </row>
    <row r="110" spans="1:63" s="187" customFormat="1" ht="15.5" thickBot="1">
      <c r="A110" s="187" t="s">
        <v>436</v>
      </c>
      <c r="B110" s="202"/>
      <c r="C110" s="208">
        <f>C111</f>
        <v>2.5000000000000001E-2</v>
      </c>
      <c r="D110" s="208">
        <f t="shared" ref="D110:AG110" si="58">D111</f>
        <v>3.1255416735465176E-2</v>
      </c>
      <c r="E110" s="208">
        <f t="shared" si="58"/>
        <v>3.7510833470930344E-2</v>
      </c>
      <c r="F110" s="208">
        <f t="shared" si="58"/>
        <v>4.3766250206395518E-2</v>
      </c>
      <c r="G110" s="208">
        <f t="shared" si="58"/>
        <v>5.0021666941860693E-2</v>
      </c>
      <c r="H110" s="208">
        <f t="shared" si="58"/>
        <v>5.6277083677325861E-2</v>
      </c>
      <c r="I110" s="208">
        <f t="shared" si="58"/>
        <v>6.2532500412791042E-2</v>
      </c>
      <c r="J110" s="208">
        <f t="shared" si="58"/>
        <v>6.8787917148256203E-2</v>
      </c>
      <c r="K110" s="208">
        <f t="shared" si="58"/>
        <v>7.5043333883721378E-2</v>
      </c>
      <c r="L110" s="208">
        <f t="shared" si="58"/>
        <v>8.1298750619186552E-2</v>
      </c>
      <c r="M110" s="208">
        <f t="shared" si="58"/>
        <v>8.7554167354651713E-2</v>
      </c>
      <c r="N110" s="208">
        <f t="shared" si="58"/>
        <v>0.10073866108940137</v>
      </c>
      <c r="O110" s="208">
        <f t="shared" si="58"/>
        <v>0.11392315482415102</v>
      </c>
      <c r="P110" s="208">
        <f t="shared" si="58"/>
        <v>0.12710764855890069</v>
      </c>
      <c r="Q110" s="208">
        <f t="shared" si="58"/>
        <v>0.14029214229365033</v>
      </c>
      <c r="R110" s="208">
        <f t="shared" si="58"/>
        <v>0.1534766360284</v>
      </c>
      <c r="S110" s="208">
        <f t="shared" si="58"/>
        <v>0.16666112976314967</v>
      </c>
      <c r="T110" s="208">
        <f t="shared" si="58"/>
        <v>0.17984562349789934</v>
      </c>
      <c r="U110" s="208">
        <f t="shared" si="58"/>
        <v>0.19303011723264898</v>
      </c>
      <c r="V110" s="208">
        <f t="shared" si="58"/>
        <v>0.20621461096739863</v>
      </c>
      <c r="W110" s="208">
        <f t="shared" si="58"/>
        <v>0.2193991047021483</v>
      </c>
      <c r="X110" s="208">
        <f t="shared" si="58"/>
        <v>0.24145919423193346</v>
      </c>
      <c r="Y110" s="208">
        <f t="shared" si="58"/>
        <v>0.26351928376171863</v>
      </c>
      <c r="Z110" s="208">
        <f t="shared" si="58"/>
        <v>0.28557937329150385</v>
      </c>
      <c r="AA110" s="208">
        <f t="shared" si="58"/>
        <v>0.30763946282128896</v>
      </c>
      <c r="AB110" s="208">
        <f t="shared" si="58"/>
        <v>0.32969955235107418</v>
      </c>
      <c r="AC110" s="208">
        <f t="shared" si="58"/>
        <v>0.35175964188085934</v>
      </c>
      <c r="AD110" s="208">
        <f t="shared" si="58"/>
        <v>0.37381973141064451</v>
      </c>
      <c r="AE110" s="208">
        <f t="shared" si="58"/>
        <v>0.39587982094042967</v>
      </c>
      <c r="AF110" s="208">
        <f t="shared" si="58"/>
        <v>0.41793991047021484</v>
      </c>
      <c r="AG110" s="208">
        <f t="shared" si="58"/>
        <v>0.44</v>
      </c>
      <c r="AJ110" s="217" t="s">
        <v>472</v>
      </c>
      <c r="AL110" s="204"/>
      <c r="AM110" s="205"/>
      <c r="AN110" s="205"/>
      <c r="AO110" s="205"/>
    </row>
    <row r="111" spans="1:63" ht="15.5" outlineLevel="1" thickTop="1">
      <c r="A111" t="s">
        <v>428</v>
      </c>
      <c r="B111" s="51" t="s">
        <v>126</v>
      </c>
      <c r="C111" s="201">
        <v>2.5000000000000001E-2</v>
      </c>
      <c r="D111" s="104">
        <f>$C111+($M111-$C111)/10*(D$1-$C$1)</f>
        <v>3.1255416735465176E-2</v>
      </c>
      <c r="E111" s="104">
        <f t="shared" ref="E111:L111" si="59">$C111+($M111-$C111)/10*(E$1-$C$1)</f>
        <v>3.7510833470930344E-2</v>
      </c>
      <c r="F111" s="104">
        <f t="shared" si="59"/>
        <v>4.3766250206395518E-2</v>
      </c>
      <c r="G111" s="104">
        <f t="shared" si="59"/>
        <v>5.0021666941860693E-2</v>
      </c>
      <c r="H111" s="104">
        <f t="shared" si="59"/>
        <v>5.6277083677325861E-2</v>
      </c>
      <c r="I111" s="104">
        <f t="shared" si="59"/>
        <v>6.2532500412791042E-2</v>
      </c>
      <c r="J111" s="104">
        <f t="shared" si="59"/>
        <v>6.8787917148256203E-2</v>
      </c>
      <c r="K111" s="104">
        <f t="shared" si="59"/>
        <v>7.5043333883721378E-2</v>
      </c>
      <c r="L111" s="104">
        <f t="shared" si="59"/>
        <v>8.1298750619186552E-2</v>
      </c>
      <c r="M111" s="115">
        <f>(M$49-$C$49)/($AG$49-$C$49)*($AG111-$C111)+$C111</f>
        <v>8.7554167354651713E-2</v>
      </c>
      <c r="N111" s="115">
        <f>$M111+($W111-$M111)/10*(N$1-$M$1)</f>
        <v>0.10073866108940137</v>
      </c>
      <c r="O111" s="115">
        <f t="shared" ref="O111:U111" si="60">$M111+($W111-$M111)/10*(O$1-$M$1)</f>
        <v>0.11392315482415102</v>
      </c>
      <c r="P111" s="115">
        <f t="shared" si="60"/>
        <v>0.12710764855890069</v>
      </c>
      <c r="Q111" s="115">
        <f t="shared" si="60"/>
        <v>0.14029214229365033</v>
      </c>
      <c r="R111" s="115">
        <f t="shared" si="60"/>
        <v>0.1534766360284</v>
      </c>
      <c r="S111" s="115">
        <f t="shared" si="60"/>
        <v>0.16666112976314967</v>
      </c>
      <c r="T111" s="115">
        <f t="shared" si="60"/>
        <v>0.17984562349789934</v>
      </c>
      <c r="U111" s="115">
        <f t="shared" si="60"/>
        <v>0.19303011723264898</v>
      </c>
      <c r="V111" s="115">
        <f>$M111+($W111-$M111)/10*(V$1-$M$1)</f>
        <v>0.20621461096739863</v>
      </c>
      <c r="W111" s="115">
        <f>(W$49-$C$49)/($AG$49-$C$49)*($AG111-$C111)+$C111</f>
        <v>0.2193991047021483</v>
      </c>
      <c r="X111" s="104">
        <f>$W111+($AG111-$W111)/10*(X$1-$W$1)</f>
        <v>0.24145919423193346</v>
      </c>
      <c r="Y111" s="104">
        <f t="shared" ref="Y111:AF111" si="61">$W111+($AG111-$W111)/10*(Y$1-$W$1)</f>
        <v>0.26351928376171863</v>
      </c>
      <c r="Z111" s="104">
        <f t="shared" si="61"/>
        <v>0.28557937329150385</v>
      </c>
      <c r="AA111" s="104">
        <f t="shared" si="61"/>
        <v>0.30763946282128896</v>
      </c>
      <c r="AB111" s="104">
        <f t="shared" si="61"/>
        <v>0.32969955235107418</v>
      </c>
      <c r="AC111" s="104">
        <f t="shared" si="61"/>
        <v>0.35175964188085934</v>
      </c>
      <c r="AD111" s="104">
        <f t="shared" si="61"/>
        <v>0.37381973141064451</v>
      </c>
      <c r="AE111" s="104">
        <f t="shared" si="61"/>
        <v>0.39587982094042967</v>
      </c>
      <c r="AF111" s="104">
        <f t="shared" si="61"/>
        <v>0.41793991047021484</v>
      </c>
      <c r="AG111" s="201">
        <v>0.44</v>
      </c>
      <c r="AJ111" s="198" t="s">
        <v>427</v>
      </c>
    </row>
    <row r="112" spans="1:63" outlineLevel="1">
      <c r="A112" t="s">
        <v>429</v>
      </c>
      <c r="B112" s="51" t="s">
        <v>126</v>
      </c>
      <c r="C112" s="201">
        <v>0.08</v>
      </c>
      <c r="D112" s="104">
        <f t="shared" ref="D112:AF112" si="62">C112-($C$112-$AG$112)/($AG$1-$C$1)</f>
        <v>0.10400000000000001</v>
      </c>
      <c r="E112" s="104">
        <f t="shared" si="62"/>
        <v>0.128</v>
      </c>
      <c r="F112" s="104">
        <f t="shared" si="62"/>
        <v>0.152</v>
      </c>
      <c r="G112" s="104">
        <f t="shared" si="62"/>
        <v>0.17599999999999999</v>
      </c>
      <c r="H112" s="104">
        <f t="shared" si="62"/>
        <v>0.19999999999999998</v>
      </c>
      <c r="I112" s="104">
        <f t="shared" si="62"/>
        <v>0.22399999999999998</v>
      </c>
      <c r="J112" s="104">
        <f t="shared" si="62"/>
        <v>0.24799999999999997</v>
      </c>
      <c r="K112" s="104">
        <f t="shared" si="62"/>
        <v>0.27199999999999996</v>
      </c>
      <c r="L112" s="104">
        <f t="shared" si="62"/>
        <v>0.29599999999999999</v>
      </c>
      <c r="M112" s="104">
        <f t="shared" si="62"/>
        <v>0.32</v>
      </c>
      <c r="N112" s="104">
        <f t="shared" si="62"/>
        <v>0.34400000000000003</v>
      </c>
      <c r="O112" s="104">
        <f t="shared" si="62"/>
        <v>0.36800000000000005</v>
      </c>
      <c r="P112" s="104">
        <f t="shared" si="62"/>
        <v>0.39200000000000007</v>
      </c>
      <c r="Q112" s="104">
        <f t="shared" si="62"/>
        <v>0.41600000000000009</v>
      </c>
      <c r="R112" s="104">
        <f t="shared" si="62"/>
        <v>0.44000000000000011</v>
      </c>
      <c r="S112" s="104">
        <f t="shared" si="62"/>
        <v>0.46400000000000013</v>
      </c>
      <c r="T112" s="104">
        <f t="shared" si="62"/>
        <v>0.48800000000000016</v>
      </c>
      <c r="U112" s="104">
        <f t="shared" si="62"/>
        <v>0.51200000000000012</v>
      </c>
      <c r="V112" s="104">
        <f t="shared" si="62"/>
        <v>0.53600000000000014</v>
      </c>
      <c r="W112" s="104">
        <f t="shared" si="62"/>
        <v>0.56000000000000016</v>
      </c>
      <c r="X112" s="104">
        <f t="shared" si="62"/>
        <v>0.58400000000000019</v>
      </c>
      <c r="Y112" s="104">
        <f t="shared" si="62"/>
        <v>0.60800000000000021</v>
      </c>
      <c r="Z112" s="104">
        <f t="shared" si="62"/>
        <v>0.63200000000000023</v>
      </c>
      <c r="AA112" s="104">
        <f t="shared" si="62"/>
        <v>0.65600000000000025</v>
      </c>
      <c r="AB112" s="104">
        <f t="shared" si="62"/>
        <v>0.68000000000000027</v>
      </c>
      <c r="AC112" s="104">
        <f t="shared" si="62"/>
        <v>0.70400000000000029</v>
      </c>
      <c r="AD112" s="104">
        <f t="shared" si="62"/>
        <v>0.72800000000000031</v>
      </c>
      <c r="AE112" s="104">
        <f t="shared" si="62"/>
        <v>0.75200000000000033</v>
      </c>
      <c r="AF112" s="104">
        <f t="shared" si="62"/>
        <v>0.77600000000000036</v>
      </c>
      <c r="AG112" s="201">
        <v>0.8</v>
      </c>
      <c r="AI112" s="127"/>
      <c r="AJ112" s="198" t="s">
        <v>459</v>
      </c>
      <c r="AL112" s="51" t="s">
        <v>294</v>
      </c>
    </row>
    <row r="113" spans="1:63" outlineLevel="1">
      <c r="A113" t="s">
        <v>430</v>
      </c>
      <c r="B113" s="165" t="s">
        <v>126</v>
      </c>
      <c r="C113" s="104">
        <f>1-C112</f>
        <v>0.92</v>
      </c>
      <c r="D113" s="104">
        <f t="shared" ref="D113:AG113" si="63">1-D112</f>
        <v>0.89600000000000002</v>
      </c>
      <c r="E113" s="104">
        <f t="shared" si="63"/>
        <v>0.872</v>
      </c>
      <c r="F113" s="104">
        <f t="shared" si="63"/>
        <v>0.84799999999999998</v>
      </c>
      <c r="G113" s="104">
        <f t="shared" si="63"/>
        <v>0.82400000000000007</v>
      </c>
      <c r="H113" s="104">
        <f t="shared" si="63"/>
        <v>0.8</v>
      </c>
      <c r="I113" s="104">
        <f t="shared" si="63"/>
        <v>0.77600000000000002</v>
      </c>
      <c r="J113" s="104">
        <f t="shared" si="63"/>
        <v>0.752</v>
      </c>
      <c r="K113" s="104">
        <f t="shared" si="63"/>
        <v>0.72799999999999998</v>
      </c>
      <c r="L113" s="104">
        <f t="shared" si="63"/>
        <v>0.70399999999999996</v>
      </c>
      <c r="M113" s="104">
        <f t="shared" si="63"/>
        <v>0.67999999999999994</v>
      </c>
      <c r="N113" s="104">
        <f t="shared" si="63"/>
        <v>0.65599999999999992</v>
      </c>
      <c r="O113" s="104">
        <f t="shared" si="63"/>
        <v>0.6319999999999999</v>
      </c>
      <c r="P113" s="104">
        <f t="shared" si="63"/>
        <v>0.60799999999999987</v>
      </c>
      <c r="Q113" s="104">
        <f t="shared" si="63"/>
        <v>0.58399999999999985</v>
      </c>
      <c r="R113" s="104">
        <f t="shared" si="63"/>
        <v>0.55999999999999983</v>
      </c>
      <c r="S113" s="104">
        <f t="shared" si="63"/>
        <v>0.53599999999999981</v>
      </c>
      <c r="T113" s="104">
        <f t="shared" si="63"/>
        <v>0.51199999999999979</v>
      </c>
      <c r="U113" s="104">
        <f t="shared" si="63"/>
        <v>0.48799999999999988</v>
      </c>
      <c r="V113" s="104">
        <f t="shared" si="63"/>
        <v>0.46399999999999986</v>
      </c>
      <c r="W113" s="104">
        <f t="shared" si="63"/>
        <v>0.43999999999999984</v>
      </c>
      <c r="X113" s="104">
        <f t="shared" si="63"/>
        <v>0.41599999999999981</v>
      </c>
      <c r="Y113" s="104">
        <f t="shared" si="63"/>
        <v>0.39199999999999979</v>
      </c>
      <c r="Z113" s="104">
        <f t="shared" si="63"/>
        <v>0.36799999999999977</v>
      </c>
      <c r="AA113" s="104">
        <f t="shared" si="63"/>
        <v>0.34399999999999975</v>
      </c>
      <c r="AB113" s="104">
        <f t="shared" si="63"/>
        <v>0.31999999999999973</v>
      </c>
      <c r="AC113" s="104">
        <f t="shared" si="63"/>
        <v>0.29599999999999971</v>
      </c>
      <c r="AD113" s="104">
        <f t="shared" si="63"/>
        <v>0.27199999999999969</v>
      </c>
      <c r="AE113" s="104">
        <f t="shared" si="63"/>
        <v>0.24799999999999967</v>
      </c>
      <c r="AF113" s="104">
        <f t="shared" si="63"/>
        <v>0.22399999999999964</v>
      </c>
      <c r="AG113" s="104">
        <f t="shared" si="63"/>
        <v>0.19999999999999996</v>
      </c>
      <c r="AI113" s="127"/>
      <c r="AJ113" s="198"/>
      <c r="BD113" s="687"/>
      <c r="BE113" s="687"/>
    </row>
    <row r="114" spans="1:63" outlineLevel="1">
      <c r="A114" t="s">
        <v>493</v>
      </c>
      <c r="B114" s="51" t="s">
        <v>126</v>
      </c>
      <c r="C114" s="104">
        <f>C111*C112</f>
        <v>2E-3</v>
      </c>
      <c r="D114" s="104">
        <f t="shared" ref="D114:AG114" si="64">D111*D112</f>
        <v>3.2505633404883785E-3</v>
      </c>
      <c r="E114" s="104">
        <f t="shared" si="64"/>
        <v>4.8013866842790843E-3</v>
      </c>
      <c r="F114" s="104">
        <f t="shared" si="64"/>
        <v>6.652470031372119E-3</v>
      </c>
      <c r="G114" s="104">
        <f t="shared" si="64"/>
        <v>8.8038133817674811E-3</v>
      </c>
      <c r="H114" s="104">
        <f t="shared" si="64"/>
        <v>1.125541673546517E-2</v>
      </c>
      <c r="I114" s="104">
        <f t="shared" si="64"/>
        <v>1.4007280092465192E-2</v>
      </c>
      <c r="J114" s="104">
        <f t="shared" si="64"/>
        <v>1.7059403452767536E-2</v>
      </c>
      <c r="K114" s="104">
        <f t="shared" si="64"/>
        <v>2.0411786816372211E-2</v>
      </c>
      <c r="L114" s="104">
        <f t="shared" si="64"/>
        <v>2.4064430183279219E-2</v>
      </c>
      <c r="M114" s="104">
        <f t="shared" si="64"/>
        <v>2.8017333553488549E-2</v>
      </c>
      <c r="N114" s="104">
        <f t="shared" si="64"/>
        <v>3.4654099414754072E-2</v>
      </c>
      <c r="O114" s="104">
        <f t="shared" si="64"/>
        <v>4.1923720975287584E-2</v>
      </c>
      <c r="P114" s="104">
        <f t="shared" si="64"/>
        <v>4.9826198235089082E-2</v>
      </c>
      <c r="Q114" s="104">
        <f t="shared" si="64"/>
        <v>5.8361531194158552E-2</v>
      </c>
      <c r="R114" s="104">
        <f t="shared" si="64"/>
        <v>6.752971985249602E-2</v>
      </c>
      <c r="S114" s="104">
        <f t="shared" si="64"/>
        <v>7.7330764210101474E-2</v>
      </c>
      <c r="T114" s="104">
        <f t="shared" si="64"/>
        <v>8.7764664266974907E-2</v>
      </c>
      <c r="U114" s="104">
        <f t="shared" si="64"/>
        <v>9.8831420023116304E-2</v>
      </c>
      <c r="V114" s="104">
        <f t="shared" si="64"/>
        <v>0.11053103147852569</v>
      </c>
      <c r="W114" s="104">
        <f t="shared" si="64"/>
        <v>0.12286349863320307</v>
      </c>
      <c r="X114" s="104">
        <f t="shared" si="64"/>
        <v>0.14101216943144917</v>
      </c>
      <c r="Y114" s="104">
        <f t="shared" si="64"/>
        <v>0.16021972452712499</v>
      </c>
      <c r="Z114" s="104">
        <f t="shared" si="64"/>
        <v>0.18048616392023051</v>
      </c>
      <c r="AA114" s="104">
        <f t="shared" si="64"/>
        <v>0.20181148761076564</v>
      </c>
      <c r="AB114" s="104">
        <f t="shared" si="64"/>
        <v>0.22419569559873054</v>
      </c>
      <c r="AC114" s="104">
        <f t="shared" si="64"/>
        <v>0.24763878788412508</v>
      </c>
      <c r="AD114" s="104">
        <f t="shared" si="64"/>
        <v>0.27214076446694929</v>
      </c>
      <c r="AE114" s="104">
        <f t="shared" si="64"/>
        <v>0.29770162534720324</v>
      </c>
      <c r="AF114" s="104">
        <f t="shared" si="64"/>
        <v>0.32432137052488685</v>
      </c>
      <c r="AG114" s="104">
        <f t="shared" si="64"/>
        <v>0.35200000000000004</v>
      </c>
      <c r="AI114" s="127"/>
      <c r="AJ114" s="198"/>
      <c r="BD114" s="190"/>
      <c r="BE114" s="190"/>
    </row>
    <row r="115" spans="1:63" outlineLevel="1">
      <c r="A115" t="s">
        <v>494</v>
      </c>
      <c r="B115" s="51" t="s">
        <v>126</v>
      </c>
      <c r="C115" s="104">
        <f>C111*C113</f>
        <v>2.3000000000000003E-2</v>
      </c>
      <c r="D115" s="104">
        <f t="shared" ref="D115:AG115" si="65">D111*D113</f>
        <v>2.8004853394976797E-2</v>
      </c>
      <c r="E115" s="104">
        <f t="shared" si="65"/>
        <v>3.2709446786651261E-2</v>
      </c>
      <c r="F115" s="104">
        <f t="shared" si="65"/>
        <v>3.7113780175023398E-2</v>
      </c>
      <c r="G115" s="104">
        <f t="shared" si="65"/>
        <v>4.1217853560093214E-2</v>
      </c>
      <c r="H115" s="104">
        <f t="shared" si="65"/>
        <v>4.5021666941860689E-2</v>
      </c>
      <c r="I115" s="104">
        <f t="shared" si="65"/>
        <v>4.852522032032585E-2</v>
      </c>
      <c r="J115" s="104">
        <f t="shared" si="65"/>
        <v>5.1728513695488663E-2</v>
      </c>
      <c r="K115" s="104">
        <f t="shared" si="65"/>
        <v>5.4631547067349163E-2</v>
      </c>
      <c r="L115" s="104">
        <f t="shared" si="65"/>
        <v>5.7234320435907329E-2</v>
      </c>
      <c r="M115" s="104">
        <f t="shared" si="65"/>
        <v>5.9536833801163161E-2</v>
      </c>
      <c r="N115" s="104">
        <f t="shared" si="65"/>
        <v>6.6084561674647282E-2</v>
      </c>
      <c r="O115" s="104">
        <f t="shared" si="65"/>
        <v>7.1999433848863439E-2</v>
      </c>
      <c r="P115" s="104">
        <f t="shared" si="65"/>
        <v>7.7281450323811604E-2</v>
      </c>
      <c r="Q115" s="104">
        <f t="shared" si="65"/>
        <v>8.1930611099491776E-2</v>
      </c>
      <c r="R115" s="104">
        <f t="shared" si="65"/>
        <v>8.594691617590397E-2</v>
      </c>
      <c r="S115" s="104">
        <f t="shared" si="65"/>
        <v>8.9330365553048199E-2</v>
      </c>
      <c r="T115" s="104">
        <f t="shared" si="65"/>
        <v>9.2080959230924422E-2</v>
      </c>
      <c r="U115" s="104">
        <f t="shared" si="65"/>
        <v>9.4198697209532681E-2</v>
      </c>
      <c r="V115" s="104">
        <f t="shared" si="65"/>
        <v>9.5683579488872933E-2</v>
      </c>
      <c r="W115" s="104">
        <f t="shared" si="65"/>
        <v>9.6535606068945221E-2</v>
      </c>
      <c r="X115" s="104">
        <f t="shared" si="65"/>
        <v>0.10044702480048427</v>
      </c>
      <c r="Y115" s="104">
        <f t="shared" si="65"/>
        <v>0.10329955923459365</v>
      </c>
      <c r="Z115" s="104">
        <f t="shared" si="65"/>
        <v>0.10509320937127335</v>
      </c>
      <c r="AA115" s="104">
        <f t="shared" si="65"/>
        <v>0.10582797521052333</v>
      </c>
      <c r="AB115" s="104">
        <f t="shared" si="65"/>
        <v>0.10550385675234365</v>
      </c>
      <c r="AC115" s="104">
        <f t="shared" si="65"/>
        <v>0.10412085399673426</v>
      </c>
      <c r="AD115" s="104">
        <f t="shared" si="65"/>
        <v>0.10167896694369519</v>
      </c>
      <c r="AE115" s="104">
        <f t="shared" si="65"/>
        <v>9.8178195593226422E-2</v>
      </c>
      <c r="AF115" s="104">
        <f t="shared" si="65"/>
        <v>9.3618539945327969E-2</v>
      </c>
      <c r="AG115" s="104">
        <f t="shared" si="65"/>
        <v>8.7999999999999981E-2</v>
      </c>
      <c r="AI115" s="127"/>
      <c r="AJ115" s="198"/>
      <c r="BD115" s="190"/>
      <c r="BE115" s="190"/>
    </row>
    <row r="116" spans="1:63" outlineLevel="1">
      <c r="B116" s="165"/>
      <c r="C116" s="104"/>
      <c r="D116" s="104"/>
      <c r="E116" s="104"/>
      <c r="F116" s="104"/>
      <c r="G116" s="104"/>
      <c r="H116" s="104"/>
      <c r="I116" s="104"/>
      <c r="J116" s="104"/>
      <c r="K116" s="104"/>
      <c r="L116" s="104"/>
      <c r="M116" s="104"/>
      <c r="N116" s="104"/>
      <c r="O116" s="104"/>
      <c r="P116" s="104"/>
      <c r="Q116" s="104"/>
      <c r="R116" s="104"/>
      <c r="S116" s="104"/>
      <c r="T116" s="104"/>
      <c r="U116" s="104"/>
      <c r="V116" s="104"/>
      <c r="W116" s="104"/>
      <c r="X116" s="104"/>
      <c r="Y116" s="104"/>
      <c r="Z116" s="104"/>
      <c r="AA116" s="104"/>
      <c r="AB116" s="104"/>
      <c r="AC116" s="104"/>
      <c r="AD116" s="104"/>
      <c r="AE116" s="104"/>
      <c r="AF116" s="104"/>
      <c r="AG116" s="104"/>
      <c r="AI116" s="127"/>
      <c r="AJ116" s="198"/>
      <c r="BD116" s="190"/>
      <c r="BE116" s="190"/>
    </row>
    <row r="117" spans="1:63" outlineLevel="1">
      <c r="A117" t="s">
        <v>437</v>
      </c>
      <c r="B117" s="51" t="s">
        <v>126</v>
      </c>
      <c r="C117" s="201">
        <v>0.52</v>
      </c>
      <c r="D117" s="104">
        <f>C117</f>
        <v>0.52</v>
      </c>
      <c r="E117" s="104">
        <f t="shared" ref="E117:AG119" si="66">D117</f>
        <v>0.52</v>
      </c>
      <c r="F117" s="104">
        <f t="shared" si="66"/>
        <v>0.52</v>
      </c>
      <c r="G117" s="104">
        <f t="shared" si="66"/>
        <v>0.52</v>
      </c>
      <c r="H117" s="104">
        <f t="shared" si="66"/>
        <v>0.52</v>
      </c>
      <c r="I117" s="104">
        <f t="shared" si="66"/>
        <v>0.52</v>
      </c>
      <c r="J117" s="104">
        <f t="shared" si="66"/>
        <v>0.52</v>
      </c>
      <c r="K117" s="104">
        <f t="shared" si="66"/>
        <v>0.52</v>
      </c>
      <c r="L117" s="104">
        <f t="shared" si="66"/>
        <v>0.52</v>
      </c>
      <c r="M117" s="104">
        <f t="shared" si="66"/>
        <v>0.52</v>
      </c>
      <c r="N117" s="104">
        <f t="shared" si="66"/>
        <v>0.52</v>
      </c>
      <c r="O117" s="104">
        <f t="shared" si="66"/>
        <v>0.52</v>
      </c>
      <c r="P117" s="104">
        <f t="shared" si="66"/>
        <v>0.52</v>
      </c>
      <c r="Q117" s="104">
        <f t="shared" si="66"/>
        <v>0.52</v>
      </c>
      <c r="R117" s="104">
        <f t="shared" si="66"/>
        <v>0.52</v>
      </c>
      <c r="S117" s="104">
        <f t="shared" si="66"/>
        <v>0.52</v>
      </c>
      <c r="T117" s="104">
        <f t="shared" si="66"/>
        <v>0.52</v>
      </c>
      <c r="U117" s="104">
        <f t="shared" si="66"/>
        <v>0.52</v>
      </c>
      <c r="V117" s="104">
        <f t="shared" si="66"/>
        <v>0.52</v>
      </c>
      <c r="W117" s="104">
        <f t="shared" si="66"/>
        <v>0.52</v>
      </c>
      <c r="X117" s="104">
        <f t="shared" si="66"/>
        <v>0.52</v>
      </c>
      <c r="Y117" s="104">
        <f t="shared" si="66"/>
        <v>0.52</v>
      </c>
      <c r="Z117" s="104">
        <f t="shared" si="66"/>
        <v>0.52</v>
      </c>
      <c r="AA117" s="104">
        <f t="shared" si="66"/>
        <v>0.52</v>
      </c>
      <c r="AB117" s="104">
        <f t="shared" si="66"/>
        <v>0.52</v>
      </c>
      <c r="AC117" s="104">
        <f t="shared" si="66"/>
        <v>0.52</v>
      </c>
      <c r="AD117" s="104">
        <f t="shared" si="66"/>
        <v>0.52</v>
      </c>
      <c r="AE117" s="104">
        <f t="shared" si="66"/>
        <v>0.52</v>
      </c>
      <c r="AF117" s="104">
        <f t="shared" si="66"/>
        <v>0.52</v>
      </c>
      <c r="AG117" s="104">
        <f t="shared" si="66"/>
        <v>0.52</v>
      </c>
      <c r="AI117" s="126" t="s">
        <v>446</v>
      </c>
      <c r="AJ117" s="218" t="s">
        <v>458</v>
      </c>
      <c r="BD117" s="190"/>
      <c r="BE117" s="190"/>
    </row>
    <row r="118" spans="1:63" outlineLevel="1">
      <c r="A118" t="s">
        <v>444</v>
      </c>
      <c r="B118" s="51" t="s">
        <v>126</v>
      </c>
      <c r="C118" s="201">
        <v>0.12</v>
      </c>
      <c r="D118" s="104">
        <f t="shared" ref="D118:S119" si="67">C118</f>
        <v>0.12</v>
      </c>
      <c r="E118" s="104">
        <f t="shared" si="67"/>
        <v>0.12</v>
      </c>
      <c r="F118" s="104">
        <f t="shared" si="67"/>
        <v>0.12</v>
      </c>
      <c r="G118" s="104">
        <f t="shared" si="67"/>
        <v>0.12</v>
      </c>
      <c r="H118" s="104">
        <f t="shared" si="67"/>
        <v>0.12</v>
      </c>
      <c r="I118" s="104">
        <f t="shared" si="67"/>
        <v>0.12</v>
      </c>
      <c r="J118" s="104">
        <f t="shared" si="67"/>
        <v>0.12</v>
      </c>
      <c r="K118" s="104">
        <f t="shared" si="67"/>
        <v>0.12</v>
      </c>
      <c r="L118" s="104">
        <f t="shared" si="67"/>
        <v>0.12</v>
      </c>
      <c r="M118" s="104">
        <f t="shared" si="67"/>
        <v>0.12</v>
      </c>
      <c r="N118" s="104">
        <f t="shared" si="67"/>
        <v>0.12</v>
      </c>
      <c r="O118" s="104">
        <f t="shared" si="67"/>
        <v>0.12</v>
      </c>
      <c r="P118" s="104">
        <f t="shared" si="67"/>
        <v>0.12</v>
      </c>
      <c r="Q118" s="104">
        <f t="shared" si="67"/>
        <v>0.12</v>
      </c>
      <c r="R118" s="104">
        <f t="shared" si="67"/>
        <v>0.12</v>
      </c>
      <c r="S118" s="104">
        <f t="shared" si="67"/>
        <v>0.12</v>
      </c>
      <c r="T118" s="104">
        <f t="shared" si="66"/>
        <v>0.12</v>
      </c>
      <c r="U118" s="104">
        <f t="shared" si="66"/>
        <v>0.12</v>
      </c>
      <c r="V118" s="104">
        <f t="shared" si="66"/>
        <v>0.12</v>
      </c>
      <c r="W118" s="104">
        <f t="shared" si="66"/>
        <v>0.12</v>
      </c>
      <c r="X118" s="104">
        <f t="shared" si="66"/>
        <v>0.12</v>
      </c>
      <c r="Y118" s="104">
        <f t="shared" si="66"/>
        <v>0.12</v>
      </c>
      <c r="Z118" s="104">
        <f t="shared" si="66"/>
        <v>0.12</v>
      </c>
      <c r="AA118" s="104">
        <f t="shared" si="66"/>
        <v>0.12</v>
      </c>
      <c r="AB118" s="104">
        <f t="shared" si="66"/>
        <v>0.12</v>
      </c>
      <c r="AC118" s="104">
        <f t="shared" si="66"/>
        <v>0.12</v>
      </c>
      <c r="AD118" s="104">
        <f t="shared" si="66"/>
        <v>0.12</v>
      </c>
      <c r="AE118" s="104">
        <f t="shared" si="66"/>
        <v>0.12</v>
      </c>
      <c r="AF118" s="104">
        <f t="shared" si="66"/>
        <v>0.12</v>
      </c>
      <c r="AG118" s="104">
        <f t="shared" si="66"/>
        <v>0.12</v>
      </c>
      <c r="AI118" s="126" t="s">
        <v>446</v>
      </c>
      <c r="AJ118" s="218" t="s">
        <v>458</v>
      </c>
      <c r="AL118" s="1"/>
      <c r="BC118" s="1"/>
      <c r="BD118" s="697"/>
      <c r="BE118" s="687"/>
      <c r="BF118" s="6"/>
      <c r="BG118" s="6"/>
      <c r="BH118" s="6"/>
      <c r="BI118" s="6"/>
      <c r="BJ118" s="6"/>
    </row>
    <row r="119" spans="1:63" outlineLevel="1">
      <c r="A119" t="s">
        <v>445</v>
      </c>
      <c r="B119" s="51" t="s">
        <v>126</v>
      </c>
      <c r="C119" s="115">
        <f>1-C117-C118</f>
        <v>0.36</v>
      </c>
      <c r="D119" s="104">
        <f t="shared" si="67"/>
        <v>0.36</v>
      </c>
      <c r="E119" s="104">
        <f t="shared" si="67"/>
        <v>0.36</v>
      </c>
      <c r="F119" s="104">
        <f t="shared" si="67"/>
        <v>0.36</v>
      </c>
      <c r="G119" s="104">
        <f t="shared" si="67"/>
        <v>0.36</v>
      </c>
      <c r="H119" s="104">
        <f t="shared" si="67"/>
        <v>0.36</v>
      </c>
      <c r="I119" s="104">
        <f t="shared" si="67"/>
        <v>0.36</v>
      </c>
      <c r="J119" s="104">
        <f t="shared" si="67"/>
        <v>0.36</v>
      </c>
      <c r="K119" s="104">
        <f t="shared" si="67"/>
        <v>0.36</v>
      </c>
      <c r="L119" s="104">
        <f t="shared" si="67"/>
        <v>0.36</v>
      </c>
      <c r="M119" s="104">
        <f t="shared" si="67"/>
        <v>0.36</v>
      </c>
      <c r="N119" s="104">
        <f t="shared" si="67"/>
        <v>0.36</v>
      </c>
      <c r="O119" s="104">
        <f t="shared" si="67"/>
        <v>0.36</v>
      </c>
      <c r="P119" s="104">
        <f t="shared" si="67"/>
        <v>0.36</v>
      </c>
      <c r="Q119" s="104">
        <f t="shared" si="67"/>
        <v>0.36</v>
      </c>
      <c r="R119" s="104">
        <f t="shared" si="67"/>
        <v>0.36</v>
      </c>
      <c r="S119" s="104">
        <f t="shared" si="67"/>
        <v>0.36</v>
      </c>
      <c r="T119" s="104">
        <f t="shared" si="66"/>
        <v>0.36</v>
      </c>
      <c r="U119" s="104">
        <f t="shared" si="66"/>
        <v>0.36</v>
      </c>
      <c r="V119" s="104">
        <f t="shared" si="66"/>
        <v>0.36</v>
      </c>
      <c r="W119" s="104">
        <f t="shared" si="66"/>
        <v>0.36</v>
      </c>
      <c r="X119" s="104">
        <f t="shared" si="66"/>
        <v>0.36</v>
      </c>
      <c r="Y119" s="104">
        <f t="shared" si="66"/>
        <v>0.36</v>
      </c>
      <c r="Z119" s="104">
        <f t="shared" si="66"/>
        <v>0.36</v>
      </c>
      <c r="AA119" s="104">
        <f t="shared" si="66"/>
        <v>0.36</v>
      </c>
      <c r="AB119" s="104">
        <f t="shared" si="66"/>
        <v>0.36</v>
      </c>
      <c r="AC119" s="104">
        <f t="shared" si="66"/>
        <v>0.36</v>
      </c>
      <c r="AD119" s="104">
        <f t="shared" si="66"/>
        <v>0.36</v>
      </c>
      <c r="AE119" s="104">
        <f t="shared" si="66"/>
        <v>0.36</v>
      </c>
      <c r="AF119" s="104">
        <f t="shared" si="66"/>
        <v>0.36</v>
      </c>
      <c r="AG119" s="104">
        <f t="shared" si="66"/>
        <v>0.36</v>
      </c>
      <c r="AI119" s="126"/>
      <c r="AJ119" s="209"/>
      <c r="BC119" s="1"/>
      <c r="BD119" s="38"/>
      <c r="BF119" s="6"/>
      <c r="BG119" s="6"/>
      <c r="BH119" s="6"/>
      <c r="BI119" s="6"/>
      <c r="BJ119" s="6"/>
    </row>
    <row r="120" spans="1:63" outlineLevel="1">
      <c r="A120" t="s">
        <v>433</v>
      </c>
      <c r="B120" s="51" t="s">
        <v>126</v>
      </c>
      <c r="C120" s="104">
        <f>SUM(C117:C119)</f>
        <v>1</v>
      </c>
      <c r="D120" s="104">
        <f t="shared" ref="D120:AG120" si="68">SUM(D117:D119)</f>
        <v>1</v>
      </c>
      <c r="E120" s="104">
        <f t="shared" si="68"/>
        <v>1</v>
      </c>
      <c r="F120" s="104">
        <f t="shared" si="68"/>
        <v>1</v>
      </c>
      <c r="G120" s="104">
        <f t="shared" si="68"/>
        <v>1</v>
      </c>
      <c r="H120" s="104">
        <f t="shared" si="68"/>
        <v>1</v>
      </c>
      <c r="I120" s="104">
        <f t="shared" si="68"/>
        <v>1</v>
      </c>
      <c r="J120" s="104">
        <f t="shared" si="68"/>
        <v>1</v>
      </c>
      <c r="K120" s="104">
        <f t="shared" si="68"/>
        <v>1</v>
      </c>
      <c r="L120" s="104">
        <f t="shared" si="68"/>
        <v>1</v>
      </c>
      <c r="M120" s="104">
        <f t="shared" si="68"/>
        <v>1</v>
      </c>
      <c r="N120" s="104">
        <f t="shared" si="68"/>
        <v>1</v>
      </c>
      <c r="O120" s="104">
        <f t="shared" si="68"/>
        <v>1</v>
      </c>
      <c r="P120" s="104">
        <f t="shared" si="68"/>
        <v>1</v>
      </c>
      <c r="Q120" s="104">
        <f t="shared" si="68"/>
        <v>1</v>
      </c>
      <c r="R120" s="104">
        <f t="shared" si="68"/>
        <v>1</v>
      </c>
      <c r="S120" s="104">
        <f t="shared" si="68"/>
        <v>1</v>
      </c>
      <c r="T120" s="104">
        <f t="shared" si="68"/>
        <v>1</v>
      </c>
      <c r="U120" s="104">
        <f t="shared" si="68"/>
        <v>1</v>
      </c>
      <c r="V120" s="104">
        <f t="shared" si="68"/>
        <v>1</v>
      </c>
      <c r="W120" s="104">
        <f t="shared" si="68"/>
        <v>1</v>
      </c>
      <c r="X120" s="104">
        <f t="shared" si="68"/>
        <v>1</v>
      </c>
      <c r="Y120" s="104">
        <f t="shared" si="68"/>
        <v>1</v>
      </c>
      <c r="Z120" s="104">
        <f t="shared" si="68"/>
        <v>1</v>
      </c>
      <c r="AA120" s="104">
        <f t="shared" si="68"/>
        <v>1</v>
      </c>
      <c r="AB120" s="104">
        <f t="shared" si="68"/>
        <v>1</v>
      </c>
      <c r="AC120" s="104">
        <f t="shared" si="68"/>
        <v>1</v>
      </c>
      <c r="AD120" s="104">
        <f t="shared" si="68"/>
        <v>1</v>
      </c>
      <c r="AE120" s="104">
        <f t="shared" si="68"/>
        <v>1</v>
      </c>
      <c r="AF120" s="104">
        <f t="shared" si="68"/>
        <v>1</v>
      </c>
      <c r="AG120" s="104">
        <f t="shared" si="68"/>
        <v>1</v>
      </c>
      <c r="AI120" s="126"/>
      <c r="AJ120" s="198"/>
      <c r="BC120" s="1"/>
      <c r="BD120" s="38"/>
      <c r="BF120" s="6"/>
      <c r="BG120" s="6"/>
      <c r="BH120" s="6"/>
      <c r="BI120" s="6"/>
      <c r="BJ120" s="6"/>
    </row>
    <row r="121" spans="1:63" outlineLevel="1">
      <c r="C121" s="201"/>
      <c r="D121" s="104"/>
      <c r="E121" s="104"/>
      <c r="F121" s="104"/>
      <c r="G121" s="104"/>
      <c r="H121" s="104"/>
      <c r="I121" s="104"/>
      <c r="J121" s="104"/>
      <c r="K121" s="104"/>
      <c r="L121" s="104"/>
      <c r="M121" s="104"/>
      <c r="N121" s="104"/>
      <c r="O121" s="104"/>
      <c r="P121" s="104"/>
      <c r="Q121" s="104"/>
      <c r="R121" s="104"/>
      <c r="S121" s="104"/>
      <c r="T121" s="104"/>
      <c r="U121" s="104"/>
      <c r="V121" s="104"/>
      <c r="W121" s="104"/>
      <c r="X121" s="104"/>
      <c r="Y121" s="104"/>
      <c r="Z121" s="104"/>
      <c r="AA121" s="104"/>
      <c r="AB121" s="104"/>
      <c r="AC121" s="104"/>
      <c r="AD121" s="104"/>
      <c r="AE121" s="104"/>
      <c r="AF121" s="104"/>
      <c r="AG121" s="104"/>
      <c r="AI121" s="126"/>
      <c r="AJ121" s="198"/>
      <c r="BC121" s="1"/>
      <c r="BD121" s="38"/>
      <c r="BF121" s="6"/>
      <c r="BG121" s="6"/>
      <c r="BH121" s="6"/>
      <c r="BI121" s="6"/>
      <c r="BJ121" s="6"/>
    </row>
    <row r="122" spans="1:63" outlineLevel="1">
      <c r="A122" t="s">
        <v>441</v>
      </c>
      <c r="B122" s="51" t="s">
        <v>126</v>
      </c>
      <c r="C122" s="104">
        <f>C117*C115</f>
        <v>1.1960000000000002E-2</v>
      </c>
      <c r="D122" s="104">
        <f t="shared" ref="D122:AG122" si="69">D117*D115</f>
        <v>1.4562523765387934E-2</v>
      </c>
      <c r="E122" s="104">
        <f t="shared" si="69"/>
        <v>1.7008912329058656E-2</v>
      </c>
      <c r="F122" s="104">
        <f t="shared" si="69"/>
        <v>1.9299165691012168E-2</v>
      </c>
      <c r="G122" s="104">
        <f t="shared" si="69"/>
        <v>2.1433283851248472E-2</v>
      </c>
      <c r="H122" s="104">
        <f t="shared" si="69"/>
        <v>2.3411266809767559E-2</v>
      </c>
      <c r="I122" s="104">
        <f t="shared" si="69"/>
        <v>2.5233114566569442E-2</v>
      </c>
      <c r="J122" s="104">
        <f t="shared" si="69"/>
        <v>2.6898827121654107E-2</v>
      </c>
      <c r="K122" s="104">
        <f t="shared" si="69"/>
        <v>2.8408404475021565E-2</v>
      </c>
      <c r="L122" s="104">
        <f t="shared" si="69"/>
        <v>2.9761846626671813E-2</v>
      </c>
      <c r="M122" s="104">
        <f t="shared" si="69"/>
        <v>3.0959153576604843E-2</v>
      </c>
      <c r="N122" s="104">
        <f t="shared" si="69"/>
        <v>3.4363972070816588E-2</v>
      </c>
      <c r="O122" s="104">
        <f t="shared" si="69"/>
        <v>3.7439705601408989E-2</v>
      </c>
      <c r="P122" s="104">
        <f t="shared" si="69"/>
        <v>4.0186354168382038E-2</v>
      </c>
      <c r="Q122" s="104">
        <f t="shared" si="69"/>
        <v>4.2603917771735722E-2</v>
      </c>
      <c r="R122" s="104">
        <f t="shared" si="69"/>
        <v>4.4692396411470069E-2</v>
      </c>
      <c r="S122" s="104">
        <f t="shared" si="69"/>
        <v>4.6451790087585064E-2</v>
      </c>
      <c r="T122" s="104">
        <f t="shared" si="69"/>
        <v>4.7882098800080701E-2</v>
      </c>
      <c r="U122" s="104">
        <f t="shared" si="69"/>
        <v>4.8983322548956994E-2</v>
      </c>
      <c r="V122" s="104">
        <f t="shared" si="69"/>
        <v>4.9755461334213928E-2</v>
      </c>
      <c r="W122" s="104">
        <f t="shared" si="69"/>
        <v>5.0198515155851518E-2</v>
      </c>
      <c r="X122" s="104">
        <f t="shared" si="69"/>
        <v>5.2232452896251821E-2</v>
      </c>
      <c r="Y122" s="104">
        <f t="shared" si="69"/>
        <v>5.3715770801988701E-2</v>
      </c>
      <c r="Z122" s="104">
        <f t="shared" si="69"/>
        <v>5.4648468873062142E-2</v>
      </c>
      <c r="AA122" s="104">
        <f t="shared" si="69"/>
        <v>5.5030547109472132E-2</v>
      </c>
      <c r="AB122" s="104">
        <f t="shared" si="69"/>
        <v>5.4862005511218705E-2</v>
      </c>
      <c r="AC122" s="104">
        <f t="shared" si="69"/>
        <v>5.4142844078301819E-2</v>
      </c>
      <c r="AD122" s="104">
        <f t="shared" si="69"/>
        <v>5.2873062810721502E-2</v>
      </c>
      <c r="AE122" s="104">
        <f t="shared" si="69"/>
        <v>5.1052661708477741E-2</v>
      </c>
      <c r="AF122" s="104">
        <f t="shared" si="69"/>
        <v>4.8681640771570549E-2</v>
      </c>
      <c r="AG122" s="104">
        <f t="shared" si="69"/>
        <v>4.5759999999999995E-2</v>
      </c>
      <c r="AI122" s="126"/>
      <c r="AJ122" s="198"/>
      <c r="BD122" s="190"/>
      <c r="BE122" s="190"/>
    </row>
    <row r="123" spans="1:63" outlineLevel="1">
      <c r="A123" t="s">
        <v>442</v>
      </c>
      <c r="B123" s="51" t="s">
        <v>126</v>
      </c>
      <c r="C123" s="104">
        <f>C115*C118</f>
        <v>2.7600000000000003E-3</v>
      </c>
      <c r="D123" s="104">
        <f t="shared" ref="D123:AG123" si="70">D115*D118</f>
        <v>3.3605824073972158E-3</v>
      </c>
      <c r="E123" s="104">
        <f t="shared" si="70"/>
        <v>3.9251336143981512E-3</v>
      </c>
      <c r="F123" s="104">
        <f t="shared" si="70"/>
        <v>4.4536536210028075E-3</v>
      </c>
      <c r="G123" s="104">
        <f t="shared" si="70"/>
        <v>4.9461424272111854E-3</v>
      </c>
      <c r="H123" s="104">
        <f t="shared" si="70"/>
        <v>5.4026000330232825E-3</v>
      </c>
      <c r="I123" s="104">
        <f t="shared" si="70"/>
        <v>5.8230264384391021E-3</v>
      </c>
      <c r="J123" s="104">
        <f t="shared" si="70"/>
        <v>6.2074216434586391E-3</v>
      </c>
      <c r="K123" s="104">
        <f t="shared" si="70"/>
        <v>6.5557856480818995E-3</v>
      </c>
      <c r="L123" s="104">
        <f t="shared" si="70"/>
        <v>6.868118452308879E-3</v>
      </c>
      <c r="M123" s="104">
        <f t="shared" si="70"/>
        <v>7.1444200561395794E-3</v>
      </c>
      <c r="N123" s="104">
        <f t="shared" si="70"/>
        <v>7.9301474009576736E-3</v>
      </c>
      <c r="O123" s="104">
        <f t="shared" si="70"/>
        <v>8.6399320618636127E-3</v>
      </c>
      <c r="P123" s="104">
        <f t="shared" si="70"/>
        <v>9.2737740388573915E-3</v>
      </c>
      <c r="Q123" s="104">
        <f t="shared" si="70"/>
        <v>9.8316733319390136E-3</v>
      </c>
      <c r="R123" s="104">
        <f t="shared" si="70"/>
        <v>1.0313629941108475E-2</v>
      </c>
      <c r="S123" s="104">
        <f t="shared" si="70"/>
        <v>1.0719643866365784E-2</v>
      </c>
      <c r="T123" s="104">
        <f t="shared" si="70"/>
        <v>1.104971510771093E-2</v>
      </c>
      <c r="U123" s="104">
        <f t="shared" si="70"/>
        <v>1.1303843665143922E-2</v>
      </c>
      <c r="V123" s="104">
        <f t="shared" si="70"/>
        <v>1.1482029538664751E-2</v>
      </c>
      <c r="W123" s="104">
        <f t="shared" si="70"/>
        <v>1.1584272728273426E-2</v>
      </c>
      <c r="X123" s="104">
        <f t="shared" si="70"/>
        <v>1.2053642976058113E-2</v>
      </c>
      <c r="Y123" s="104">
        <f t="shared" si="70"/>
        <v>1.2395947108151237E-2</v>
      </c>
      <c r="Z123" s="104">
        <f t="shared" si="70"/>
        <v>1.2611185124552803E-2</v>
      </c>
      <c r="AA123" s="104">
        <f t="shared" si="70"/>
        <v>1.2699357025262798E-2</v>
      </c>
      <c r="AB123" s="104">
        <f t="shared" si="70"/>
        <v>1.2660462810281237E-2</v>
      </c>
      <c r="AC123" s="104">
        <f t="shared" si="70"/>
        <v>1.2494502479608111E-2</v>
      </c>
      <c r="AD123" s="104">
        <f t="shared" si="70"/>
        <v>1.2201476033243421E-2</v>
      </c>
      <c r="AE123" s="104">
        <f t="shared" si="70"/>
        <v>1.178138347118717E-2</v>
      </c>
      <c r="AF123" s="104">
        <f t="shared" si="70"/>
        <v>1.1234224793439355E-2</v>
      </c>
      <c r="AG123" s="104">
        <f t="shared" si="70"/>
        <v>1.0559999999999996E-2</v>
      </c>
      <c r="AI123" s="126"/>
      <c r="AJ123" s="198"/>
      <c r="AL123" s="1"/>
      <c r="BC123" s="1"/>
      <c r="BD123" s="697"/>
      <c r="BE123" s="687"/>
      <c r="BF123" s="6"/>
      <c r="BG123" s="6"/>
      <c r="BH123" s="6"/>
      <c r="BI123" s="6"/>
      <c r="BJ123" s="6"/>
    </row>
    <row r="124" spans="1:63" outlineLevel="1">
      <c r="A124" t="s">
        <v>443</v>
      </c>
      <c r="B124" s="51" t="s">
        <v>126</v>
      </c>
      <c r="C124" s="104">
        <f>C115*C119</f>
        <v>8.2800000000000009E-3</v>
      </c>
      <c r="D124" s="104">
        <f t="shared" ref="D124:AG124" si="71">D115*D119</f>
        <v>1.0081747222191647E-2</v>
      </c>
      <c r="E124" s="104">
        <f t="shared" si="71"/>
        <v>1.1775400843194454E-2</v>
      </c>
      <c r="F124" s="104">
        <f t="shared" si="71"/>
        <v>1.3360960863008423E-2</v>
      </c>
      <c r="G124" s="104">
        <f t="shared" si="71"/>
        <v>1.4838427281633556E-2</v>
      </c>
      <c r="H124" s="104">
        <f t="shared" si="71"/>
        <v>1.6207800099069847E-2</v>
      </c>
      <c r="I124" s="104">
        <f t="shared" si="71"/>
        <v>1.7469079315317305E-2</v>
      </c>
      <c r="J124" s="104">
        <f t="shared" si="71"/>
        <v>1.8622264930375918E-2</v>
      </c>
      <c r="K124" s="104">
        <f t="shared" si="71"/>
        <v>1.9667356944245699E-2</v>
      </c>
      <c r="L124" s="104">
        <f t="shared" si="71"/>
        <v>2.0604355356926639E-2</v>
      </c>
      <c r="M124" s="104">
        <f t="shared" si="71"/>
        <v>2.1433260168418736E-2</v>
      </c>
      <c r="N124" s="104">
        <f t="shared" si="71"/>
        <v>2.3790442202873022E-2</v>
      </c>
      <c r="O124" s="104">
        <f t="shared" si="71"/>
        <v>2.5919796185590836E-2</v>
      </c>
      <c r="P124" s="104">
        <f t="shared" si="71"/>
        <v>2.7821322116572178E-2</v>
      </c>
      <c r="Q124" s="104">
        <f t="shared" si="71"/>
        <v>2.9495019995817037E-2</v>
      </c>
      <c r="R124" s="104">
        <f t="shared" si="71"/>
        <v>3.0940889823325428E-2</v>
      </c>
      <c r="S124" s="104">
        <f t="shared" si="71"/>
        <v>3.215893159909735E-2</v>
      </c>
      <c r="T124" s="104">
        <f t="shared" si="71"/>
        <v>3.3149145323132789E-2</v>
      </c>
      <c r="U124" s="104">
        <f t="shared" si="71"/>
        <v>3.3911530995431767E-2</v>
      </c>
      <c r="V124" s="104">
        <f t="shared" si="71"/>
        <v>3.4446088615994255E-2</v>
      </c>
      <c r="W124" s="104">
        <f t="shared" si="71"/>
        <v>3.4752818184820275E-2</v>
      </c>
      <c r="X124" s="104">
        <f t="shared" si="71"/>
        <v>3.6160928928174338E-2</v>
      </c>
      <c r="Y124" s="104">
        <f t="shared" si="71"/>
        <v>3.7187841324453713E-2</v>
      </c>
      <c r="Z124" s="104">
        <f t="shared" si="71"/>
        <v>3.7833555373658408E-2</v>
      </c>
      <c r="AA124" s="104">
        <f t="shared" si="71"/>
        <v>3.8098071075788394E-2</v>
      </c>
      <c r="AB124" s="104">
        <f t="shared" si="71"/>
        <v>3.7981388430843713E-2</v>
      </c>
      <c r="AC124" s="104">
        <f t="shared" si="71"/>
        <v>3.748350743882433E-2</v>
      </c>
      <c r="AD124" s="104">
        <f t="shared" si="71"/>
        <v>3.6604428099730267E-2</v>
      </c>
      <c r="AE124" s="104">
        <f t="shared" si="71"/>
        <v>3.5344150413561509E-2</v>
      </c>
      <c r="AF124" s="104">
        <f t="shared" si="71"/>
        <v>3.3702674380318071E-2</v>
      </c>
      <c r="AG124" s="104">
        <f t="shared" si="71"/>
        <v>3.1679999999999993E-2</v>
      </c>
      <c r="AI124" s="127"/>
      <c r="AJ124" s="198"/>
      <c r="BC124" s="1"/>
      <c r="BD124" s="38"/>
      <c r="BF124" s="6"/>
      <c r="BG124" s="6"/>
      <c r="BH124" s="6"/>
      <c r="BI124" s="6"/>
      <c r="BJ124" s="6"/>
    </row>
    <row r="125" spans="1:63" outlineLevel="1">
      <c r="C125" s="104"/>
      <c r="D125" s="104"/>
      <c r="E125" s="104"/>
      <c r="F125" s="104"/>
      <c r="G125" s="104"/>
      <c r="H125" s="104"/>
      <c r="I125" s="104"/>
      <c r="J125" s="104"/>
      <c r="K125" s="104"/>
      <c r="L125" s="104"/>
      <c r="M125" s="104"/>
      <c r="N125" s="104"/>
      <c r="O125" s="104"/>
      <c r="P125" s="104"/>
      <c r="Q125" s="104"/>
      <c r="R125" s="104"/>
      <c r="S125" s="104"/>
      <c r="T125" s="104"/>
      <c r="U125" s="104"/>
      <c r="V125" s="104"/>
      <c r="W125" s="104"/>
      <c r="X125" s="104"/>
      <c r="Y125" s="104"/>
      <c r="Z125" s="104"/>
      <c r="AA125" s="104"/>
      <c r="AB125" s="104"/>
      <c r="AC125" s="104"/>
      <c r="AD125" s="104"/>
      <c r="AE125" s="104"/>
      <c r="AF125" s="104"/>
      <c r="AG125" s="104"/>
      <c r="AI125" s="127"/>
      <c r="AJ125" s="198"/>
      <c r="BC125" s="1"/>
      <c r="BD125" s="38"/>
      <c r="BF125" s="6"/>
      <c r="BG125" s="6"/>
      <c r="BH125" s="6"/>
      <c r="BI125" s="6"/>
      <c r="BJ125" s="6"/>
    </row>
    <row r="126" spans="1:63" outlineLevel="1">
      <c r="A126" t="s">
        <v>1080</v>
      </c>
      <c r="C126" s="216">
        <f>'Overall recycling rates'!E86</f>
        <v>0.42149853934855852</v>
      </c>
      <c r="D126" s="216">
        <f>C126-($C126-$AG126)/($AG$1-$C$1)</f>
        <v>0.43411525470360657</v>
      </c>
      <c r="E126" s="216">
        <f t="shared" ref="E126:AF126" si="72">D126-($C126-$AG126)/($AG$1-$C$1)</f>
        <v>0.44673197005865461</v>
      </c>
      <c r="F126" s="216">
        <f t="shared" si="72"/>
        <v>0.45934868541370266</v>
      </c>
      <c r="G126" s="216">
        <f t="shared" si="72"/>
        <v>0.47196540076875071</v>
      </c>
      <c r="H126" s="216">
        <f t="shared" si="72"/>
        <v>0.48458211612379876</v>
      </c>
      <c r="I126" s="216">
        <f t="shared" si="72"/>
        <v>0.4971988314788468</v>
      </c>
      <c r="J126" s="216">
        <f t="shared" si="72"/>
        <v>0.50981554683389485</v>
      </c>
      <c r="K126" s="216">
        <f t="shared" si="72"/>
        <v>0.5224322621889429</v>
      </c>
      <c r="L126" s="216">
        <f t="shared" si="72"/>
        <v>0.53504897754399094</v>
      </c>
      <c r="M126" s="216">
        <f t="shared" si="72"/>
        <v>0.54766569289903899</v>
      </c>
      <c r="N126" s="216">
        <f t="shared" si="72"/>
        <v>0.56028240825408704</v>
      </c>
      <c r="O126" s="216">
        <f t="shared" si="72"/>
        <v>0.57289912360913509</v>
      </c>
      <c r="P126" s="216">
        <f t="shared" si="72"/>
        <v>0.58551583896418313</v>
      </c>
      <c r="Q126" s="216">
        <f t="shared" si="72"/>
        <v>0.59813255431923118</v>
      </c>
      <c r="R126" s="216">
        <f t="shared" si="72"/>
        <v>0.61074926967427923</v>
      </c>
      <c r="S126" s="216">
        <f t="shared" si="72"/>
        <v>0.62336598502932727</v>
      </c>
      <c r="T126" s="216">
        <f t="shared" si="72"/>
        <v>0.63598270038437532</v>
      </c>
      <c r="U126" s="216">
        <f t="shared" si="72"/>
        <v>0.64859941573942337</v>
      </c>
      <c r="V126" s="216">
        <f t="shared" si="72"/>
        <v>0.66121613109447142</v>
      </c>
      <c r="W126" s="216">
        <f t="shared" si="72"/>
        <v>0.67383284644951946</v>
      </c>
      <c r="X126" s="216">
        <f t="shared" si="72"/>
        <v>0.68644956180456751</v>
      </c>
      <c r="Y126" s="216">
        <f t="shared" si="72"/>
        <v>0.69906627715961556</v>
      </c>
      <c r="Z126" s="216">
        <f t="shared" si="72"/>
        <v>0.7116829925146636</v>
      </c>
      <c r="AA126" s="216">
        <f t="shared" si="72"/>
        <v>0.72429970786971165</v>
      </c>
      <c r="AB126" s="216">
        <f t="shared" si="72"/>
        <v>0.7369164232247597</v>
      </c>
      <c r="AC126" s="216">
        <f t="shared" si="72"/>
        <v>0.74953313857980775</v>
      </c>
      <c r="AD126" s="216">
        <f t="shared" si="72"/>
        <v>0.76214985393485579</v>
      </c>
      <c r="AE126" s="216">
        <f t="shared" si="72"/>
        <v>0.77476656928990384</v>
      </c>
      <c r="AF126" s="216">
        <f t="shared" si="72"/>
        <v>0.78738328464495189</v>
      </c>
      <c r="AG126" s="216">
        <f>'Overall recycling rates'!E95</f>
        <v>0.8</v>
      </c>
      <c r="AI126" s="126"/>
      <c r="AJ126" s="198" t="s">
        <v>1081</v>
      </c>
      <c r="AL126" s="102"/>
      <c r="AM126" s="194"/>
      <c r="AN126" s="194"/>
      <c r="AO126" s="194"/>
      <c r="BC126" s="1"/>
      <c r="BD126" s="194"/>
      <c r="BE126" s="194"/>
      <c r="BF126" s="194"/>
      <c r="BG126" s="194"/>
      <c r="BH126" s="194"/>
      <c r="BI126" s="194"/>
      <c r="BJ126" s="194"/>
      <c r="BK126" s="194"/>
    </row>
    <row r="127" spans="1:63" outlineLevel="1">
      <c r="A127" t="s">
        <v>1151</v>
      </c>
      <c r="B127" s="51" t="s">
        <v>126</v>
      </c>
      <c r="C127" s="104">
        <f>C114*C$126</f>
        <v>8.4299707869711703E-4</v>
      </c>
      <c r="D127" s="104">
        <f t="shared" ref="D127:AG127" si="73">D114*D$126</f>
        <v>1.4111191324863187E-3</v>
      </c>
      <c r="E127" s="104">
        <f t="shared" si="73"/>
        <v>2.1449329324813868E-3</v>
      </c>
      <c r="F127" s="104">
        <f t="shared" si="73"/>
        <v>3.0558033636648363E-3</v>
      </c>
      <c r="G127" s="104">
        <f t="shared" si="73"/>
        <v>4.1550953110191793E-3</v>
      </c>
      <c r="H127" s="104">
        <f t="shared" si="73"/>
        <v>5.454173659526931E-3</v>
      </c>
      <c r="I127" s="104">
        <f t="shared" si="73"/>
        <v>6.9644032941706064E-3</v>
      </c>
      <c r="J127" s="104">
        <f t="shared" si="73"/>
        <v>8.6971490999327161E-3</v>
      </c>
      <c r="K127" s="104">
        <f t="shared" si="73"/>
        <v>1.0663775961795775E-2</v>
      </c>
      <c r="L127" s="104">
        <f t="shared" si="73"/>
        <v>1.2875648764742301E-2</v>
      </c>
      <c r="M127" s="104">
        <f t="shared" si="73"/>
        <v>1.53441323937548E-2</v>
      </c>
      <c r="N127" s="104">
        <f t="shared" si="73"/>
        <v>1.9416082275974959E-2</v>
      </c>
      <c r="O127" s="104">
        <f t="shared" si="73"/>
        <v>2.4018063005176171E-2</v>
      </c>
      <c r="P127" s="104">
        <f t="shared" si="73"/>
        <v>2.9174028262013884E-2</v>
      </c>
      <c r="Q127" s="104">
        <f t="shared" si="73"/>
        <v>3.4907931727143543E-2</v>
      </c>
      <c r="R127" s="104">
        <f t="shared" si="73"/>
        <v>4.1243727081220621E-2</v>
      </c>
      <c r="S127" s="104">
        <f t="shared" si="73"/>
        <v>4.8205368004900551E-2</v>
      </c>
      <c r="T127" s="104">
        <f t="shared" si="73"/>
        <v>5.5816808178838793E-2</v>
      </c>
      <c r="U127" s="104">
        <f t="shared" si="73"/>
        <v>6.4102001283690785E-2</v>
      </c>
      <c r="V127" s="104">
        <f t="shared" si="73"/>
        <v>7.3084901000111988E-2</v>
      </c>
      <c r="W127" s="104">
        <f t="shared" si="73"/>
        <v>8.2789461008757878E-2</v>
      </c>
      <c r="X127" s="104">
        <f t="shared" si="73"/>
        <v>9.6797741915329721E-2</v>
      </c>
      <c r="Y127" s="104">
        <f t="shared" si="73"/>
        <v>0.11200420635271641</v>
      </c>
      <c r="Z127" s="104">
        <f t="shared" si="73"/>
        <v>0.12844893324624176</v>
      </c>
      <c r="AA127" s="104">
        <f t="shared" si="73"/>
        <v>0.1461720015212295</v>
      </c>
      <c r="AB127" s="104">
        <f t="shared" si="73"/>
        <v>0.16521349010300351</v>
      </c>
      <c r="AC127" s="104">
        <f t="shared" si="73"/>
        <v>0.18561347791688754</v>
      </c>
      <c r="AD127" s="104">
        <f t="shared" si="73"/>
        <v>0.20741204388820539</v>
      </c>
      <c r="AE127" s="104">
        <f t="shared" si="73"/>
        <v>0.23064926694228094</v>
      </c>
      <c r="AF127" s="104">
        <f t="shared" si="73"/>
        <v>0.2553652260044379</v>
      </c>
      <c r="AG127" s="104">
        <f t="shared" si="73"/>
        <v>0.28160000000000002</v>
      </c>
      <c r="AI127" s="126"/>
      <c r="AJ127"/>
      <c r="AL127" s="102"/>
      <c r="AM127" s="2"/>
      <c r="AN127" s="2"/>
      <c r="AO127" s="2"/>
      <c r="AV127" s="38"/>
    </row>
    <row r="128" spans="1:63" outlineLevel="1">
      <c r="A128" t="s">
        <v>1152</v>
      </c>
      <c r="B128" s="51" t="s">
        <v>126</v>
      </c>
      <c r="C128" s="104">
        <f>C115*C$126</f>
        <v>9.694466405016847E-3</v>
      </c>
      <c r="D128" s="104">
        <f t="shared" ref="D128:AG128" si="74">D115*D$126</f>
        <v>1.2157334064497514E-2</v>
      </c>
      <c r="E128" s="104">
        <f t="shared" si="74"/>
        <v>1.4612355602529447E-2</v>
      </c>
      <c r="F128" s="104">
        <f t="shared" si="74"/>
        <v>1.7048166134130138E-2</v>
      </c>
      <c r="G128" s="104">
        <f t="shared" si="74"/>
        <v>1.9453400774317071E-2</v>
      </c>
      <c r="H128" s="104">
        <f t="shared" si="74"/>
        <v>2.1816694638107727E-2</v>
      </c>
      <c r="I128" s="104">
        <f t="shared" si="74"/>
        <v>2.4126682840519605E-2</v>
      </c>
      <c r="J128" s="104">
        <f t="shared" si="74"/>
        <v>2.6372000496570173E-2</v>
      </c>
      <c r="K128" s="104">
        <f t="shared" si="74"/>
        <v>2.8541282721276932E-2</v>
      </c>
      <c r="L128" s="104">
        <f t="shared" si="74"/>
        <v>3.0623164629657362E-2</v>
      </c>
      <c r="M128" s="104">
        <f t="shared" si="74"/>
        <v>3.2606281336728951E-2</v>
      </c>
      <c r="N128" s="104">
        <f t="shared" si="74"/>
        <v>3.7026017363487124E-2</v>
      </c>
      <c r="O128" s="104">
        <f t="shared" si="74"/>
        <v>4.1248412552367761E-2</v>
      </c>
      <c r="P128" s="104">
        <f t="shared" si="74"/>
        <v>4.5249513222715393E-2</v>
      </c>
      <c r="Q128" s="104">
        <f t="shared" si="74"/>
        <v>4.9005365693874571E-2</v>
      </c>
      <c r="R128" s="104">
        <f t="shared" si="74"/>
        <v>5.2492016285189846E-2</v>
      </c>
      <c r="S128" s="104">
        <f t="shared" si="74"/>
        <v>5.5685511316005777E-2</v>
      </c>
      <c r="T128" s="104">
        <f t="shared" si="74"/>
        <v>5.8561897105666887E-2</v>
      </c>
      <c r="U128" s="104">
        <f t="shared" si="74"/>
        <v>6.1097219973517747E-2</v>
      </c>
      <c r="V128" s="104">
        <f t="shared" si="74"/>
        <v>6.3267526238902888E-2</v>
      </c>
      <c r="W128" s="104">
        <f t="shared" si="74"/>
        <v>6.5048862221166862E-2</v>
      </c>
      <c r="X128" s="104">
        <f t="shared" si="74"/>
        <v>6.8951816158864948E-2</v>
      </c>
      <c r="Y128" s="104">
        <f t="shared" si="74"/>
        <v>7.2213238306356564E-2</v>
      </c>
      <c r="Z128" s="104">
        <f t="shared" si="74"/>
        <v>7.4793049738317907E-2</v>
      </c>
      <c r="AA128" s="104">
        <f t="shared" si="74"/>
        <v>7.6651171529425133E-2</v>
      </c>
      <c r="AB128" s="104">
        <f t="shared" si="74"/>
        <v>7.7747524754354494E-2</v>
      </c>
      <c r="AC128" s="104">
        <f t="shared" si="74"/>
        <v>7.8042030487782146E-2</v>
      </c>
      <c r="AD128" s="104">
        <f t="shared" si="74"/>
        <v>7.7494609804384315E-2</v>
      </c>
      <c r="AE128" s="104">
        <f t="shared" si="74"/>
        <v>7.6065183778837184E-2</v>
      </c>
      <c r="AF128" s="104">
        <f t="shared" si="74"/>
        <v>7.3713673485816977E-2</v>
      </c>
      <c r="AG128" s="104">
        <f t="shared" si="74"/>
        <v>7.039999999999999E-2</v>
      </c>
      <c r="AH128" s="230"/>
      <c r="AI128" s="126"/>
      <c r="AJ128" s="198"/>
      <c r="AL128" s="102"/>
      <c r="AM128" s="2"/>
      <c r="AN128" s="2"/>
      <c r="AO128" s="2"/>
      <c r="AV128" s="38"/>
    </row>
    <row r="129" spans="1:63" outlineLevel="1">
      <c r="A129" t="s">
        <v>1153</v>
      </c>
      <c r="B129" s="165" t="s">
        <v>126</v>
      </c>
      <c r="C129" s="104">
        <f>SUM(C127:C128)</f>
        <v>1.0537463483713963E-2</v>
      </c>
      <c r="D129" s="104">
        <f t="shared" ref="D129:AG129" si="75">SUM(D127:D128)</f>
        <v>1.3568453196983833E-2</v>
      </c>
      <c r="E129" s="104">
        <f t="shared" si="75"/>
        <v>1.6757288535010833E-2</v>
      </c>
      <c r="F129" s="104">
        <f t="shared" si="75"/>
        <v>2.0103969497794975E-2</v>
      </c>
      <c r="G129" s="104">
        <f t="shared" si="75"/>
        <v>2.3608496085336252E-2</v>
      </c>
      <c r="H129" s="104">
        <f t="shared" si="75"/>
        <v>2.7270868297634657E-2</v>
      </c>
      <c r="I129" s="104">
        <f t="shared" si="75"/>
        <v>3.1091086134690211E-2</v>
      </c>
      <c r="J129" s="104">
        <f t="shared" si="75"/>
        <v>3.506914959650289E-2</v>
      </c>
      <c r="K129" s="104">
        <f t="shared" si="75"/>
        <v>3.920505868307271E-2</v>
      </c>
      <c r="L129" s="104">
        <f t="shared" si="75"/>
        <v>4.3498813394399663E-2</v>
      </c>
      <c r="M129" s="104">
        <f t="shared" si="75"/>
        <v>4.7950413730483754E-2</v>
      </c>
      <c r="N129" s="104">
        <f t="shared" si="75"/>
        <v>5.6442099639462083E-2</v>
      </c>
      <c r="O129" s="104">
        <f t="shared" si="75"/>
        <v>6.5266475557543932E-2</v>
      </c>
      <c r="P129" s="104">
        <f t="shared" si="75"/>
        <v>7.442354148472928E-2</v>
      </c>
      <c r="Q129" s="104">
        <f t="shared" si="75"/>
        <v>8.3913297421018107E-2</v>
      </c>
      <c r="R129" s="104">
        <f t="shared" si="75"/>
        <v>9.3735743366410468E-2</v>
      </c>
      <c r="S129" s="104">
        <f t="shared" si="75"/>
        <v>0.10389087932090632</v>
      </c>
      <c r="T129" s="104">
        <f t="shared" si="75"/>
        <v>0.11437870528450568</v>
      </c>
      <c r="U129" s="104">
        <f t="shared" si="75"/>
        <v>0.12519922125720853</v>
      </c>
      <c r="V129" s="104">
        <f t="shared" si="75"/>
        <v>0.13635242723901486</v>
      </c>
      <c r="W129" s="104">
        <f t="shared" si="75"/>
        <v>0.14783832322992474</v>
      </c>
      <c r="X129" s="104">
        <f t="shared" si="75"/>
        <v>0.16574955807419467</v>
      </c>
      <c r="Y129" s="104">
        <f t="shared" si="75"/>
        <v>0.18421744465907297</v>
      </c>
      <c r="Z129" s="104">
        <f t="shared" si="75"/>
        <v>0.20324198298455967</v>
      </c>
      <c r="AA129" s="104">
        <f t="shared" si="75"/>
        <v>0.22282317305065463</v>
      </c>
      <c r="AB129" s="104">
        <f t="shared" si="75"/>
        <v>0.24296101485735799</v>
      </c>
      <c r="AC129" s="104">
        <f t="shared" si="75"/>
        <v>0.26365550840466967</v>
      </c>
      <c r="AD129" s="104">
        <f t="shared" si="75"/>
        <v>0.28490665369258972</v>
      </c>
      <c r="AE129" s="104">
        <f t="shared" si="75"/>
        <v>0.30671445072111814</v>
      </c>
      <c r="AF129" s="104">
        <f t="shared" si="75"/>
        <v>0.32907889949025487</v>
      </c>
      <c r="AG129" s="104">
        <f t="shared" si="75"/>
        <v>0.35199999999999998</v>
      </c>
      <c r="AI129" s="126"/>
      <c r="AJ129" s="198"/>
      <c r="AL129" s="102"/>
      <c r="AM129" s="2"/>
      <c r="AN129" s="2"/>
      <c r="AO129" s="2"/>
    </row>
    <row r="130" spans="1:63" outlineLevel="1">
      <c r="A130" t="s">
        <v>1154</v>
      </c>
      <c r="B130" s="51" t="s">
        <v>126</v>
      </c>
      <c r="C130" s="104">
        <f>C117*C128</f>
        <v>5.0411225306087604E-3</v>
      </c>
      <c r="D130" s="104">
        <f t="shared" ref="D130:AG130" si="76">D117*D128</f>
        <v>6.3218137135387072E-3</v>
      </c>
      <c r="E130" s="104">
        <f t="shared" si="76"/>
        <v>7.5984249133153126E-3</v>
      </c>
      <c r="F130" s="104">
        <f t="shared" si="76"/>
        <v>8.8650463897476713E-3</v>
      </c>
      <c r="G130" s="104">
        <f t="shared" si="76"/>
        <v>1.0115768402644878E-2</v>
      </c>
      <c r="H130" s="104">
        <f t="shared" si="76"/>
        <v>1.1344681211816018E-2</v>
      </c>
      <c r="I130" s="104">
        <f t="shared" si="76"/>
        <v>1.2545875077070195E-2</v>
      </c>
      <c r="J130" s="104">
        <f t="shared" si="76"/>
        <v>1.371344025821649E-2</v>
      </c>
      <c r="K130" s="104">
        <f t="shared" si="76"/>
        <v>1.4841467015064004E-2</v>
      </c>
      <c r="L130" s="104">
        <f t="shared" si="76"/>
        <v>1.5924045607421829E-2</v>
      </c>
      <c r="M130" s="104">
        <f t="shared" si="76"/>
        <v>1.6955266295099056E-2</v>
      </c>
      <c r="N130" s="104">
        <f t="shared" si="76"/>
        <v>1.9253529029013304E-2</v>
      </c>
      <c r="O130" s="104">
        <f t="shared" si="76"/>
        <v>2.1449174527231236E-2</v>
      </c>
      <c r="P130" s="104">
        <f t="shared" si="76"/>
        <v>2.3529746875812003E-2</v>
      </c>
      <c r="Q130" s="104">
        <f t="shared" si="76"/>
        <v>2.5482790160814776E-2</v>
      </c>
      <c r="R130" s="104">
        <f t="shared" si="76"/>
        <v>2.729584846829872E-2</v>
      </c>
      <c r="S130" s="104">
        <f t="shared" si="76"/>
        <v>2.8956465884323004E-2</v>
      </c>
      <c r="T130" s="104">
        <f t="shared" si="76"/>
        <v>3.0452186494946781E-2</v>
      </c>
      <c r="U130" s="104">
        <f t="shared" si="76"/>
        <v>3.1770554386229229E-2</v>
      </c>
      <c r="V130" s="104">
        <f t="shared" si="76"/>
        <v>3.2899113644229504E-2</v>
      </c>
      <c r="W130" s="104">
        <f t="shared" si="76"/>
        <v>3.3825408355006768E-2</v>
      </c>
      <c r="X130" s="104">
        <f t="shared" si="76"/>
        <v>3.5854944402609772E-2</v>
      </c>
      <c r="Y130" s="104">
        <f t="shared" si="76"/>
        <v>3.7550883919305417E-2</v>
      </c>
      <c r="Z130" s="104">
        <f t="shared" si="76"/>
        <v>3.8892385863925315E-2</v>
      </c>
      <c r="AA130" s="104">
        <f t="shared" si="76"/>
        <v>3.985860919530107E-2</v>
      </c>
      <c r="AB130" s="104">
        <f t="shared" si="76"/>
        <v>4.0428712872264336E-2</v>
      </c>
      <c r="AC130" s="104">
        <f t="shared" si="76"/>
        <v>4.0581855853646716E-2</v>
      </c>
      <c r="AD130" s="104">
        <f t="shared" si="76"/>
        <v>4.0297197098279842E-2</v>
      </c>
      <c r="AE130" s="104">
        <f t="shared" si="76"/>
        <v>3.9553895564995334E-2</v>
      </c>
      <c r="AF130" s="104">
        <f t="shared" si="76"/>
        <v>3.8331110212624829E-2</v>
      </c>
      <c r="AG130" s="104">
        <f t="shared" si="76"/>
        <v>3.6607999999999995E-2</v>
      </c>
      <c r="AI130" s="126"/>
      <c r="AJ130" s="198"/>
      <c r="BD130" s="190"/>
      <c r="BE130" s="190"/>
    </row>
    <row r="131" spans="1:63" outlineLevel="1">
      <c r="A131" t="s">
        <v>1155</v>
      </c>
      <c r="B131" s="51" t="s">
        <v>126</v>
      </c>
      <c r="C131" s="104">
        <f>C118*C128</f>
        <v>1.1633359686020217E-3</v>
      </c>
      <c r="D131" s="104">
        <f t="shared" ref="D131:AG131" si="77">D118*D128</f>
        <v>1.4588800877397016E-3</v>
      </c>
      <c r="E131" s="104">
        <f t="shared" si="77"/>
        <v>1.7534826723035336E-3</v>
      </c>
      <c r="F131" s="104">
        <f t="shared" si="77"/>
        <v>2.0457799360956166E-3</v>
      </c>
      <c r="G131" s="104">
        <f t="shared" si="77"/>
        <v>2.3344080929180483E-3</v>
      </c>
      <c r="H131" s="104">
        <f t="shared" si="77"/>
        <v>2.6180033565729273E-3</v>
      </c>
      <c r="I131" s="104">
        <f t="shared" si="77"/>
        <v>2.8952019408623525E-3</v>
      </c>
      <c r="J131" s="104">
        <f t="shared" si="77"/>
        <v>3.1646400595884208E-3</v>
      </c>
      <c r="K131" s="104">
        <f t="shared" si="77"/>
        <v>3.4249539265532318E-3</v>
      </c>
      <c r="L131" s="104">
        <f t="shared" si="77"/>
        <v>3.6747797555588832E-3</v>
      </c>
      <c r="M131" s="104">
        <f t="shared" si="77"/>
        <v>3.9127537604074737E-3</v>
      </c>
      <c r="N131" s="104">
        <f t="shared" si="77"/>
        <v>4.4431220836184549E-3</v>
      </c>
      <c r="O131" s="104">
        <f t="shared" si="77"/>
        <v>4.9498095062841313E-3</v>
      </c>
      <c r="P131" s="104">
        <f t="shared" si="77"/>
        <v>5.4299415867258474E-3</v>
      </c>
      <c r="Q131" s="104">
        <f t="shared" si="77"/>
        <v>5.8806438832649487E-3</v>
      </c>
      <c r="R131" s="104">
        <f t="shared" si="77"/>
        <v>6.2990419542227815E-3</v>
      </c>
      <c r="S131" s="104">
        <f t="shared" si="77"/>
        <v>6.6822613579206932E-3</v>
      </c>
      <c r="T131" s="104">
        <f t="shared" si="77"/>
        <v>7.0274276526800265E-3</v>
      </c>
      <c r="U131" s="104">
        <f t="shared" si="77"/>
        <v>7.3316663968221295E-3</v>
      </c>
      <c r="V131" s="104">
        <f t="shared" si="77"/>
        <v>7.5921031486683461E-3</v>
      </c>
      <c r="W131" s="104">
        <f t="shared" si="77"/>
        <v>7.8058634665400233E-3</v>
      </c>
      <c r="X131" s="104">
        <f t="shared" si="77"/>
        <v>8.2742179390637941E-3</v>
      </c>
      <c r="Y131" s="104">
        <f t="shared" si="77"/>
        <v>8.6655885967627869E-3</v>
      </c>
      <c r="Z131" s="104">
        <f t="shared" si="77"/>
        <v>8.9751659685981481E-3</v>
      </c>
      <c r="AA131" s="104">
        <f t="shared" si="77"/>
        <v>9.1981405835310157E-3</v>
      </c>
      <c r="AB131" s="104">
        <f t="shared" si="77"/>
        <v>9.3297029705225396E-3</v>
      </c>
      <c r="AC131" s="104">
        <f t="shared" si="77"/>
        <v>9.3650436585338576E-3</v>
      </c>
      <c r="AD131" s="104">
        <f t="shared" si="77"/>
        <v>9.2993531765261182E-3</v>
      </c>
      <c r="AE131" s="104">
        <f t="shared" si="77"/>
        <v>9.1278220534604625E-3</v>
      </c>
      <c r="AF131" s="104">
        <f t="shared" si="77"/>
        <v>8.8456408182980371E-3</v>
      </c>
      <c r="AG131" s="104">
        <f t="shared" si="77"/>
        <v>8.4479999999999989E-3</v>
      </c>
      <c r="AI131" s="126"/>
      <c r="AJ131" s="198"/>
      <c r="AL131" s="1"/>
      <c r="BC131" s="1"/>
      <c r="BD131" s="697"/>
      <c r="BE131" s="687"/>
      <c r="BF131" s="6"/>
      <c r="BG131" s="6"/>
      <c r="BH131" s="6"/>
      <c r="BI131" s="6"/>
      <c r="BJ131" s="6"/>
    </row>
    <row r="132" spans="1:63" outlineLevel="1">
      <c r="A132" t="s">
        <v>1156</v>
      </c>
      <c r="B132" s="51" t="s">
        <v>126</v>
      </c>
      <c r="C132" s="104">
        <f>C119*C128</f>
        <v>3.490007905806065E-3</v>
      </c>
      <c r="D132" s="104">
        <f t="shared" ref="D132:AG132" si="78">D119*D128</f>
        <v>4.3766402632191047E-3</v>
      </c>
      <c r="E132" s="104">
        <f t="shared" si="78"/>
        <v>5.2604480169106006E-3</v>
      </c>
      <c r="F132" s="104">
        <f t="shared" si="78"/>
        <v>6.1373398082868492E-3</v>
      </c>
      <c r="G132" s="104">
        <f t="shared" si="78"/>
        <v>7.0032242787541454E-3</v>
      </c>
      <c r="H132" s="104">
        <f t="shared" si="78"/>
        <v>7.8540100697187809E-3</v>
      </c>
      <c r="I132" s="104">
        <f t="shared" si="78"/>
        <v>8.6856058225870583E-3</v>
      </c>
      <c r="J132" s="104">
        <f t="shared" si="78"/>
        <v>9.4939201787652625E-3</v>
      </c>
      <c r="K132" s="104">
        <f t="shared" si="78"/>
        <v>1.0274861779659696E-2</v>
      </c>
      <c r="L132" s="104">
        <f t="shared" si="78"/>
        <v>1.1024339266676651E-2</v>
      </c>
      <c r="M132" s="104">
        <f t="shared" si="78"/>
        <v>1.1738261281222422E-2</v>
      </c>
      <c r="N132" s="104">
        <f t="shared" si="78"/>
        <v>1.3329366250855365E-2</v>
      </c>
      <c r="O132" s="104">
        <f t="shared" si="78"/>
        <v>1.4849428518852393E-2</v>
      </c>
      <c r="P132" s="104">
        <f t="shared" si="78"/>
        <v>1.628982476017754E-2</v>
      </c>
      <c r="Q132" s="104">
        <f t="shared" si="78"/>
        <v>1.7641931649794846E-2</v>
      </c>
      <c r="R132" s="104">
        <f t="shared" si="78"/>
        <v>1.8897125862668344E-2</v>
      </c>
      <c r="S132" s="104">
        <f t="shared" si="78"/>
        <v>2.0046784073762078E-2</v>
      </c>
      <c r="T132" s="104">
        <f t="shared" si="78"/>
        <v>2.1082282958040079E-2</v>
      </c>
      <c r="U132" s="104">
        <f t="shared" si="78"/>
        <v>2.1994999190466387E-2</v>
      </c>
      <c r="V132" s="104">
        <f t="shared" si="78"/>
        <v>2.277630944600504E-2</v>
      </c>
      <c r="W132" s="104">
        <f t="shared" si="78"/>
        <v>2.3417590399620068E-2</v>
      </c>
      <c r="X132" s="104">
        <f t="shared" si="78"/>
        <v>2.4822653817191381E-2</v>
      </c>
      <c r="Y132" s="104">
        <f t="shared" si="78"/>
        <v>2.5996765790288361E-2</v>
      </c>
      <c r="Z132" s="104">
        <f t="shared" si="78"/>
        <v>2.6925497905794446E-2</v>
      </c>
      <c r="AA132" s="104">
        <f t="shared" si="78"/>
        <v>2.7594421750593047E-2</v>
      </c>
      <c r="AB132" s="104">
        <f t="shared" si="78"/>
        <v>2.7989108911567615E-2</v>
      </c>
      <c r="AC132" s="104">
        <f t="shared" si="78"/>
        <v>2.8095130975601571E-2</v>
      </c>
      <c r="AD132" s="104">
        <f t="shared" si="78"/>
        <v>2.7898059529578353E-2</v>
      </c>
      <c r="AE132" s="104">
        <f t="shared" si="78"/>
        <v>2.7383466160381384E-2</v>
      </c>
      <c r="AF132" s="104">
        <f t="shared" si="78"/>
        <v>2.6536922454894109E-2</v>
      </c>
      <c r="AG132" s="104">
        <f t="shared" si="78"/>
        <v>2.5343999999999995E-2</v>
      </c>
      <c r="AI132" s="127"/>
      <c r="AJ132" s="198"/>
      <c r="BC132" s="1"/>
      <c r="BD132" s="38"/>
      <c r="BF132" s="6"/>
      <c r="BG132" s="6"/>
      <c r="BH132" s="6"/>
      <c r="BI132" s="6"/>
      <c r="BJ132" s="6"/>
    </row>
    <row r="133" spans="1:63" outlineLevel="1">
      <c r="C133" s="104"/>
      <c r="D133" s="104"/>
      <c r="E133" s="104"/>
      <c r="F133" s="104"/>
      <c r="G133" s="104"/>
      <c r="H133" s="104"/>
      <c r="I133" s="104"/>
      <c r="J133" s="104"/>
      <c r="K133" s="104"/>
      <c r="L133" s="104"/>
      <c r="M133" s="104"/>
      <c r="N133" s="104"/>
      <c r="O133" s="104"/>
      <c r="P133" s="104"/>
      <c r="Q133" s="104"/>
      <c r="R133" s="104"/>
      <c r="S133" s="104"/>
      <c r="T133" s="104"/>
      <c r="U133" s="104"/>
      <c r="V133" s="104"/>
      <c r="W133" s="104"/>
      <c r="X133" s="104"/>
      <c r="Y133" s="104"/>
      <c r="Z133" s="104"/>
      <c r="AA133" s="104"/>
      <c r="AB133" s="104"/>
      <c r="AC133" s="104"/>
      <c r="AD133" s="104"/>
      <c r="AE133" s="104"/>
      <c r="AF133" s="104"/>
      <c r="AG133" s="104"/>
      <c r="AI133" s="127"/>
      <c r="AJ133" s="198"/>
      <c r="BC133" s="1"/>
      <c r="BD133" s="38"/>
      <c r="BF133" s="6"/>
      <c r="BG133" s="6"/>
      <c r="BH133" s="6"/>
      <c r="BI133" s="6"/>
      <c r="BJ133" s="6"/>
    </row>
    <row r="134" spans="1:63" s="1" customFormat="1" outlineLevel="1">
      <c r="A134" s="1" t="s">
        <v>261</v>
      </c>
      <c r="B134" s="61"/>
      <c r="C134" s="279">
        <f>C40*C127</f>
        <v>9.7675435160473896</v>
      </c>
      <c r="D134" s="279">
        <f t="shared" ref="D134:AG134" si="79">D40*D127</f>
        <v>16.350196081568338</v>
      </c>
      <c r="E134" s="279">
        <f t="shared" si="79"/>
        <v>24.852667092743904</v>
      </c>
      <c r="F134" s="279">
        <f t="shared" si="79"/>
        <v>35.406637917667496</v>
      </c>
      <c r="G134" s="279">
        <f t="shared" si="79"/>
        <v>48.143789924432504</v>
      </c>
      <c r="H134" s="279">
        <f t="shared" si="79"/>
        <v>63.195804481132335</v>
      </c>
      <c r="I134" s="279">
        <f t="shared" si="79"/>
        <v>80.694362955860413</v>
      </c>
      <c r="J134" s="279">
        <f t="shared" si="79"/>
        <v>100.77114671671011</v>
      </c>
      <c r="K134" s="279">
        <f t="shared" si="79"/>
        <v>123.55783713177482</v>
      </c>
      <c r="L134" s="279">
        <f t="shared" si="79"/>
        <v>149.186115569148</v>
      </c>
      <c r="M134" s="279">
        <f t="shared" si="79"/>
        <v>177.78766339692294</v>
      </c>
      <c r="N134" s="279">
        <f t="shared" si="79"/>
        <v>224.96807324035919</v>
      </c>
      <c r="O134" s="279">
        <f t="shared" si="79"/>
        <v>278.28978474848952</v>
      </c>
      <c r="P134" s="279">
        <f t="shared" si="79"/>
        <v>336.87738783834527</v>
      </c>
      <c r="Q134" s="279">
        <f t="shared" si="79"/>
        <v>401.69943744007946</v>
      </c>
      <c r="R134" s="279">
        <f t="shared" si="79"/>
        <v>472.95736026241389</v>
      </c>
      <c r="S134" s="279">
        <f t="shared" si="79"/>
        <v>550.84785663700325</v>
      </c>
      <c r="T134" s="279">
        <f t="shared" si="79"/>
        <v>635.56284056897277</v>
      </c>
      <c r="U134" s="279">
        <f t="shared" si="79"/>
        <v>727.28937978745546</v>
      </c>
      <c r="V134" s="279">
        <f t="shared" si="79"/>
        <v>826.2096357961309</v>
      </c>
      <c r="W134" s="279">
        <f t="shared" si="79"/>
        <v>932.5008039237631</v>
      </c>
      <c r="X134" s="279">
        <f t="shared" si="79"/>
        <v>1086.2641243081307</v>
      </c>
      <c r="Y134" s="279">
        <f t="shared" si="79"/>
        <v>1252.2323708424838</v>
      </c>
      <c r="Z134" s="279">
        <f t="shared" si="79"/>
        <v>1418.4146043266014</v>
      </c>
      <c r="AA134" s="279">
        <f t="shared" si="79"/>
        <v>1593.737510856382</v>
      </c>
      <c r="AB134" s="279">
        <f t="shared" si="79"/>
        <v>1777.9977448784248</v>
      </c>
      <c r="AC134" s="279">
        <f t="shared" si="79"/>
        <v>1970.9546029239875</v>
      </c>
      <c r="AD134" s="279">
        <f t="shared" si="79"/>
        <v>2172.3292713101914</v>
      </c>
      <c r="AE134" s="279">
        <f t="shared" si="79"/>
        <v>2381.8040738412283</v>
      </c>
      <c r="AF134" s="279">
        <f t="shared" si="79"/>
        <v>2599.0217195095547</v>
      </c>
      <c r="AG134" s="279">
        <f t="shared" si="79"/>
        <v>2823.5845501971003</v>
      </c>
      <c r="AH134" s="230"/>
      <c r="AI134" s="398"/>
      <c r="AJ134" s="399"/>
      <c r="AL134" s="207"/>
      <c r="AM134" s="118"/>
      <c r="AN134" s="118"/>
      <c r="AO134" s="118"/>
      <c r="BD134" s="118"/>
      <c r="BE134" s="118"/>
      <c r="BF134" s="118"/>
      <c r="BG134" s="118"/>
      <c r="BH134" s="118"/>
      <c r="BI134" s="118"/>
      <c r="BJ134" s="118"/>
      <c r="BK134" s="118"/>
    </row>
    <row r="135" spans="1:63" outlineLevel="1">
      <c r="A135" s="4" t="s">
        <v>35</v>
      </c>
      <c r="C135" s="216">
        <f>C$134*'Methanol recycling rates'!E48</f>
        <v>0</v>
      </c>
      <c r="D135" s="216">
        <f>D$134*'Methanol recycling rates'!F48</f>
        <v>0</v>
      </c>
      <c r="E135" s="216">
        <f>E$134*'Methanol recycling rates'!G48</f>
        <v>0</v>
      </c>
      <c r="F135" s="216">
        <f>F$134*'Methanol recycling rates'!H48</f>
        <v>0</v>
      </c>
      <c r="G135" s="216">
        <f>G$134*'Methanol recycling rates'!I48</f>
        <v>0</v>
      </c>
      <c r="H135" s="216">
        <f>H$134*'Methanol recycling rates'!J48</f>
        <v>0</v>
      </c>
      <c r="I135" s="216">
        <f>I$134*'Methanol recycling rates'!K48</f>
        <v>0</v>
      </c>
      <c r="J135" s="216">
        <f>J$134*'Methanol recycling rates'!L48</f>
        <v>0</v>
      </c>
      <c r="K135" s="216">
        <f>K$134*'Methanol recycling rates'!M48</f>
        <v>0</v>
      </c>
      <c r="L135" s="216">
        <f>L$134*'Methanol recycling rates'!N48</f>
        <v>0</v>
      </c>
      <c r="M135" s="216">
        <f>M$134*'Methanol recycling rates'!O48</f>
        <v>0</v>
      </c>
      <c r="N135" s="216">
        <f>N$134*'Methanol recycling rates'!P48</f>
        <v>0</v>
      </c>
      <c r="O135" s="216">
        <f>O$134*'Methanol recycling rates'!Q48</f>
        <v>0</v>
      </c>
      <c r="P135" s="216">
        <f>P$134*'Methanol recycling rates'!R48</f>
        <v>0</v>
      </c>
      <c r="Q135" s="216">
        <f>Q$134*'Methanol recycling rates'!S48</f>
        <v>0</v>
      </c>
      <c r="R135" s="216">
        <f>R$134*'Methanol recycling rates'!T48</f>
        <v>0</v>
      </c>
      <c r="S135" s="216">
        <f>S$134*'Methanol recycling rates'!U48</f>
        <v>0</v>
      </c>
      <c r="T135" s="216">
        <f>T$134*'Methanol recycling rates'!V48</f>
        <v>0</v>
      </c>
      <c r="U135" s="216">
        <f>U$134*'Methanol recycling rates'!W48</f>
        <v>0</v>
      </c>
      <c r="V135" s="216">
        <f>V$134*'Methanol recycling rates'!X48</f>
        <v>0</v>
      </c>
      <c r="W135" s="216">
        <f>W$134*'Methanol recycling rates'!Y48</f>
        <v>0</v>
      </c>
      <c r="X135" s="216">
        <f>X$134*'Methanol recycling rates'!Z48</f>
        <v>0</v>
      </c>
      <c r="Y135" s="216">
        <f>Y$134*'Methanol recycling rates'!AA48</f>
        <v>0</v>
      </c>
      <c r="Z135" s="216">
        <f>Z$134*'Methanol recycling rates'!AB48</f>
        <v>0</v>
      </c>
      <c r="AA135" s="216">
        <f>AA$134*'Methanol recycling rates'!AC48</f>
        <v>0</v>
      </c>
      <c r="AB135" s="216">
        <f>AB$134*'Methanol recycling rates'!AD48</f>
        <v>0</v>
      </c>
      <c r="AC135" s="216">
        <f>AC$134*'Methanol recycling rates'!AE48</f>
        <v>0</v>
      </c>
      <c r="AD135" s="216">
        <f>AD$134*'Methanol recycling rates'!AF48</f>
        <v>0</v>
      </c>
      <c r="AE135" s="216">
        <f>AE$134*'Methanol recycling rates'!AG48</f>
        <v>0</v>
      </c>
      <c r="AF135" s="216">
        <f>AF$134*'Methanol recycling rates'!AH48</f>
        <v>0</v>
      </c>
      <c r="AG135" s="216">
        <f>AG$134*'Methanol recycling rates'!AI48</f>
        <v>0</v>
      </c>
      <c r="AH135" s="230"/>
      <c r="AI135" s="126"/>
      <c r="AJ135" s="198"/>
      <c r="AL135" s="102"/>
      <c r="AM135" s="2"/>
      <c r="AN135" s="2"/>
      <c r="AO135" s="2"/>
      <c r="BC135" s="1"/>
      <c r="BD135" s="2"/>
      <c r="BE135" s="2"/>
      <c r="BF135" s="2"/>
      <c r="BG135" s="2"/>
      <c r="BH135" s="2"/>
      <c r="BI135" s="2"/>
      <c r="BJ135" s="2"/>
      <c r="BK135" s="2"/>
    </row>
    <row r="136" spans="1:63" outlineLevel="1">
      <c r="A136" s="4" t="s">
        <v>160</v>
      </c>
      <c r="C136" s="216">
        <f>C$134*'Methanol recycling rates'!E49</f>
        <v>0</v>
      </c>
      <c r="D136" s="216">
        <f>D$134*'Methanol recycling rates'!F49</f>
        <v>6.353194574252144E-2</v>
      </c>
      <c r="E136" s="216">
        <f>E$134*'Methanol recycling rates'!G49</f>
        <v>0.19313998308229458</v>
      </c>
      <c r="F136" s="216">
        <f>F$134*'Methanol recycling rates'!H49</f>
        <v>0.41273864629296531</v>
      </c>
      <c r="G136" s="216">
        <f>G$134*'Methanol recycling rates'!I49</f>
        <v>0.74828916645628485</v>
      </c>
      <c r="H136" s="216">
        <f>H$134*'Methanol recycling rates'!J49</f>
        <v>1.2277994714621099</v>
      </c>
      <c r="I136" s="216">
        <f>I$134*'Methanol recycling rates'!K49</f>
        <v>1.8813241860084031</v>
      </c>
      <c r="J136" s="216">
        <f>J$134*'Methanol recycling rates'!L49</f>
        <v>2.7409646316012317</v>
      </c>
      <c r="K136" s="216">
        <f>K$134*'Methanol recycling rates'!M49</f>
        <v>3.8408688265547681</v>
      </c>
      <c r="L136" s="216">
        <f>L$134*'Methanol recycling rates'!N49</f>
        <v>5.2172314859912934</v>
      </c>
      <c r="M136" s="216">
        <f>M$134*'Methanol recycling rates'!O49</f>
        <v>6.9082940218411863</v>
      </c>
      <c r="N136" s="216">
        <f>N$134*'Methanol recycling rates'!P49</f>
        <v>9.6157411732328466</v>
      </c>
      <c r="O136" s="216">
        <f>O$134*'Methanol recycling rates'!Q49</f>
        <v>12.976205117395574</v>
      </c>
      <c r="P136" s="216">
        <f>P$134*'Methanol recycling rates'!R49</f>
        <v>17.017055064680111</v>
      </c>
      <c r="Q136" s="216">
        <f>Q$134*'Methanol recycling rates'!S49</f>
        <v>21.852365214274016</v>
      </c>
      <c r="R136" s="216">
        <f>R$134*'Methanol recycling rates'!T49</f>
        <v>27.566551374198205</v>
      </c>
      <c r="S136" s="216">
        <f>S$134*'Methanol recycling rates'!U49</f>
        <v>34.246866242489162</v>
      </c>
      <c r="T136" s="216">
        <f>T$134*'Methanol recycling rates'!V49</f>
        <v>41.983303620723277</v>
      </c>
      <c r="U136" s="216">
        <f>U$134*'Methanol recycling rates'!W49</f>
        <v>50.868501229867675</v>
      </c>
      <c r="V136" s="216">
        <f>V$134*'Methanol recycling rates'!X49</f>
        <v>60.997642128457635</v>
      </c>
      <c r="W136" s="216">
        <f>W$134*'Methanol recycling rates'!Y49</f>
        <v>72.468354733100426</v>
      </c>
      <c r="X136" s="216">
        <f>X$134*'Methanol recycling rates'!Z49</f>
        <v>88.63881107781863</v>
      </c>
      <c r="Y136" s="216">
        <f>Y$134*'Methanol recycling rates'!AA49</f>
        <v>107.04756629088536</v>
      </c>
      <c r="Z136" s="216">
        <f>Z$134*'Methanol recycling rates'!AB49</f>
        <v>126.76525115398954</v>
      </c>
      <c r="AA136" s="216">
        <f>AA$134*'Methanol recycling rates'!AC49</f>
        <v>148.62683416748814</v>
      </c>
      <c r="AB136" s="216">
        <f>AB$134*'Methanol recycling rates'!AD49</f>
        <v>172.71911556045734</v>
      </c>
      <c r="AC136" s="216">
        <f>AC$134*'Methanol recycling rates'!AE49</f>
        <v>199.12196080098263</v>
      </c>
      <c r="AD136" s="216">
        <f>AD$134*'Methanol recycling rates'!AF49</f>
        <v>227.90749586144162</v>
      </c>
      <c r="AE136" s="216">
        <f>AE$134*'Methanol recycling rates'!AG49</f>
        <v>259.13928494454541</v>
      </c>
      <c r="AF136" s="216">
        <f>AF$134*'Methanol recycling rates'!AH49</f>
        <v>292.87149067013729</v>
      </c>
      <c r="AG136" s="216">
        <f>AG$134*'Methanol recycling rates'!AI49</f>
        <v>329.14801672275138</v>
      </c>
      <c r="AH136" s="230"/>
      <c r="AI136" s="126"/>
      <c r="AJ136" s="198"/>
      <c r="AL136" s="102"/>
      <c r="AM136" s="2"/>
      <c r="AN136" s="2"/>
      <c r="AO136" s="2"/>
      <c r="BC136" s="1"/>
      <c r="BD136" s="2"/>
      <c r="BE136" s="2"/>
      <c r="BF136" s="2"/>
      <c r="BG136" s="2"/>
      <c r="BH136" s="2"/>
      <c r="BI136" s="2"/>
      <c r="BJ136" s="2"/>
      <c r="BK136" s="2"/>
    </row>
    <row r="137" spans="1:63" outlineLevel="1">
      <c r="A137" s="4" t="s">
        <v>1159</v>
      </c>
      <c r="C137" s="216">
        <f>C$134*'Methanol recycling rates'!E50</f>
        <v>9.7675435160473896</v>
      </c>
      <c r="D137" s="216">
        <f>D$134*'Methanol recycling rates'!F50</f>
        <v>16.286664135825816</v>
      </c>
      <c r="E137" s="216">
        <f>E$134*'Methanol recycling rates'!G50</f>
        <v>24.65952710966161</v>
      </c>
      <c r="F137" s="216">
        <f>F$134*'Methanol recycling rates'!H50</f>
        <v>34.993899271374538</v>
      </c>
      <c r="G137" s="216">
        <f>G$134*'Methanol recycling rates'!I50</f>
        <v>47.39550075797623</v>
      </c>
      <c r="H137" s="216">
        <f>H$134*'Methanol recycling rates'!J50</f>
        <v>61.968005009670236</v>
      </c>
      <c r="I137" s="216">
        <f>I$134*'Methanol recycling rates'!K50</f>
        <v>78.813038769852028</v>
      </c>
      <c r="J137" s="216">
        <f>J$134*'Methanol recycling rates'!L50</f>
        <v>98.030182085108905</v>
      </c>
      <c r="K137" s="216">
        <f>K$134*'Methanol recycling rates'!M50</f>
        <v>119.71696830522009</v>
      </c>
      <c r="L137" s="216">
        <f>L$134*'Methanol recycling rates'!N50</f>
        <v>143.96888408315678</v>
      </c>
      <c r="M137" s="216">
        <f>M$134*'Methanol recycling rates'!O50</f>
        <v>170.87936937508184</v>
      </c>
      <c r="N137" s="216">
        <f>N$134*'Methanol recycling rates'!P50</f>
        <v>215.35233206712647</v>
      </c>
      <c r="O137" s="216">
        <f>O$134*'Methanol recycling rates'!Q50</f>
        <v>265.31357963109411</v>
      </c>
      <c r="P137" s="216">
        <f>P$134*'Methanol recycling rates'!R50</f>
        <v>319.86033277366539</v>
      </c>
      <c r="Q137" s="216">
        <f>Q$134*'Methanol recycling rates'!S50</f>
        <v>379.84707222580573</v>
      </c>
      <c r="R137" s="216">
        <f>R$134*'Methanol recycling rates'!T50</f>
        <v>445.39080888821599</v>
      </c>
      <c r="S137" s="216">
        <f>S$134*'Methanol recycling rates'!U50</f>
        <v>516.6009903945145</v>
      </c>
      <c r="T137" s="216">
        <f>T$134*'Methanol recycling rates'!V50</f>
        <v>593.57953694825005</v>
      </c>
      <c r="U137" s="216">
        <f>U$134*'Methanol recycling rates'!W50</f>
        <v>676.42087855758837</v>
      </c>
      <c r="V137" s="216">
        <f>V$134*'Methanol recycling rates'!X50</f>
        <v>765.21199366767405</v>
      </c>
      <c r="W137" s="216">
        <f>W$134*'Methanol recycling rates'!Y50</f>
        <v>860.03244919066356</v>
      </c>
      <c r="X137" s="216">
        <f>X$134*'Methanol recycling rates'!Z50</f>
        <v>997.62531323031317</v>
      </c>
      <c r="Y137" s="216">
        <f>Y$134*'Methanol recycling rates'!AA50</f>
        <v>1145.1848045515997</v>
      </c>
      <c r="Z137" s="216">
        <f>Z$134*'Methanol recycling rates'!AB50</f>
        <v>1291.6493531726135</v>
      </c>
      <c r="AA137" s="216">
        <f>AA$134*'Methanol recycling rates'!AC50</f>
        <v>1445.1106766888956</v>
      </c>
      <c r="AB137" s="216">
        <f>AB$134*'Methanol recycling rates'!AD50</f>
        <v>1605.2786293179695</v>
      </c>
      <c r="AC137" s="216">
        <f>AC$134*'Methanol recycling rates'!AE50</f>
        <v>1771.8326421230072</v>
      </c>
      <c r="AD137" s="216">
        <f>AD$134*'Methanol recycling rates'!AF50</f>
        <v>1944.4217754487524</v>
      </c>
      <c r="AE137" s="216">
        <f>AE$134*'Methanol recycling rates'!AG50</f>
        <v>2122.6647888966859</v>
      </c>
      <c r="AF137" s="216">
        <f>AF$134*'Methanol recycling rates'!AH50</f>
        <v>2306.1502288394208</v>
      </c>
      <c r="AG137" s="216">
        <f>AG$134*'Methanol recycling rates'!AI50</f>
        <v>2494.4365334743488</v>
      </c>
      <c r="AH137" s="230"/>
      <c r="AI137" s="126"/>
      <c r="AJ137" s="198"/>
      <c r="AL137" s="102"/>
      <c r="AM137" s="2"/>
      <c r="AN137" s="2"/>
      <c r="AO137" s="2"/>
      <c r="BC137" s="1"/>
      <c r="BD137" s="2"/>
      <c r="BE137" s="2"/>
      <c r="BF137" s="2"/>
      <c r="BG137" s="2"/>
      <c r="BH137" s="2"/>
      <c r="BI137" s="2"/>
      <c r="BJ137" s="2"/>
      <c r="BK137" s="2"/>
    </row>
    <row r="138" spans="1:63" s="1" customFormat="1" outlineLevel="1">
      <c r="A138" s="1" t="s">
        <v>1160</v>
      </c>
      <c r="B138" s="61"/>
      <c r="C138" s="279">
        <f>C134-$C134</f>
        <v>0</v>
      </c>
      <c r="D138" s="279">
        <f t="shared" ref="D138:AG138" si="80">D134-$C134</f>
        <v>6.5826525655209487</v>
      </c>
      <c r="E138" s="279">
        <f t="shared" si="80"/>
        <v>15.085123576696514</v>
      </c>
      <c r="F138" s="279">
        <f t="shared" si="80"/>
        <v>25.639094401620106</v>
      </c>
      <c r="G138" s="279">
        <f t="shared" si="80"/>
        <v>38.376246408385114</v>
      </c>
      <c r="H138" s="279">
        <f t="shared" si="80"/>
        <v>53.428260965084945</v>
      </c>
      <c r="I138" s="279">
        <f t="shared" si="80"/>
        <v>70.926819439813016</v>
      </c>
      <c r="J138" s="279">
        <f t="shared" si="80"/>
        <v>91.003603200662724</v>
      </c>
      <c r="K138" s="279">
        <f t="shared" si="80"/>
        <v>113.79029361572742</v>
      </c>
      <c r="L138" s="279">
        <f t="shared" si="80"/>
        <v>139.4185720531006</v>
      </c>
      <c r="M138" s="279">
        <f t="shared" si="80"/>
        <v>168.02011988087554</v>
      </c>
      <c r="N138" s="279">
        <f t="shared" si="80"/>
        <v>215.20052972431179</v>
      </c>
      <c r="O138" s="279">
        <f t="shared" si="80"/>
        <v>268.52224123244213</v>
      </c>
      <c r="P138" s="279">
        <f t="shared" si="80"/>
        <v>327.10984432229787</v>
      </c>
      <c r="Q138" s="279">
        <f t="shared" si="80"/>
        <v>391.93189392403207</v>
      </c>
      <c r="R138" s="279">
        <f t="shared" si="80"/>
        <v>463.18981674636649</v>
      </c>
      <c r="S138" s="279">
        <f t="shared" si="80"/>
        <v>541.08031312095591</v>
      </c>
      <c r="T138" s="279">
        <f t="shared" si="80"/>
        <v>625.79529705292543</v>
      </c>
      <c r="U138" s="279">
        <f t="shared" si="80"/>
        <v>717.52183627140812</v>
      </c>
      <c r="V138" s="279">
        <f t="shared" si="80"/>
        <v>816.44209228008356</v>
      </c>
      <c r="W138" s="279">
        <f t="shared" si="80"/>
        <v>922.73326040771576</v>
      </c>
      <c r="X138" s="279">
        <f t="shared" si="80"/>
        <v>1076.4965807920833</v>
      </c>
      <c r="Y138" s="279">
        <f t="shared" si="80"/>
        <v>1242.4648273264363</v>
      </c>
      <c r="Z138" s="279">
        <f t="shared" si="80"/>
        <v>1408.647060810554</v>
      </c>
      <c r="AA138" s="279">
        <f t="shared" si="80"/>
        <v>1583.9699673403345</v>
      </c>
      <c r="AB138" s="279">
        <f t="shared" si="80"/>
        <v>1768.2302013623773</v>
      </c>
      <c r="AC138" s="279">
        <f t="shared" si="80"/>
        <v>1961.1870594079401</v>
      </c>
      <c r="AD138" s="279">
        <f t="shared" si="80"/>
        <v>2162.5617277941442</v>
      </c>
      <c r="AE138" s="279">
        <f t="shared" si="80"/>
        <v>2372.036530325181</v>
      </c>
      <c r="AF138" s="279">
        <f t="shared" si="80"/>
        <v>2589.2541759935075</v>
      </c>
      <c r="AG138" s="279">
        <f t="shared" si="80"/>
        <v>2813.817006681053</v>
      </c>
      <c r="AH138" s="230"/>
      <c r="AI138" s="398"/>
      <c r="AJ138" s="399"/>
      <c r="AL138" s="207"/>
      <c r="AM138" s="118"/>
      <c r="AN138" s="118"/>
      <c r="AO138" s="118"/>
      <c r="BD138" s="118"/>
      <c r="BE138" s="118"/>
      <c r="BF138" s="118"/>
      <c r="BG138" s="118"/>
      <c r="BH138" s="118"/>
      <c r="BI138" s="118"/>
      <c r="BJ138" s="118"/>
      <c r="BK138" s="118"/>
    </row>
    <row r="139" spans="1:63" outlineLevel="1">
      <c r="A139" s="4" t="s">
        <v>35</v>
      </c>
      <c r="C139" s="216">
        <f>C135-$C135</f>
        <v>0</v>
      </c>
      <c r="D139" s="216">
        <f t="shared" ref="D139:AF139" si="81">D135-$C135</f>
        <v>0</v>
      </c>
      <c r="E139" s="216">
        <f t="shared" si="81"/>
        <v>0</v>
      </c>
      <c r="F139" s="216">
        <f t="shared" si="81"/>
        <v>0</v>
      </c>
      <c r="G139" s="216">
        <f t="shared" si="81"/>
        <v>0</v>
      </c>
      <c r="H139" s="216">
        <f t="shared" si="81"/>
        <v>0</v>
      </c>
      <c r="I139" s="216">
        <f t="shared" si="81"/>
        <v>0</v>
      </c>
      <c r="J139" s="216">
        <f t="shared" si="81"/>
        <v>0</v>
      </c>
      <c r="K139" s="216">
        <f t="shared" si="81"/>
        <v>0</v>
      </c>
      <c r="L139" s="216">
        <f t="shared" si="81"/>
        <v>0</v>
      </c>
      <c r="M139" s="216">
        <f t="shared" si="81"/>
        <v>0</v>
      </c>
      <c r="N139" s="216">
        <f t="shared" si="81"/>
        <v>0</v>
      </c>
      <c r="O139" s="216">
        <f t="shared" si="81"/>
        <v>0</v>
      </c>
      <c r="P139" s="216">
        <f t="shared" si="81"/>
        <v>0</v>
      </c>
      <c r="Q139" s="216">
        <f t="shared" si="81"/>
        <v>0</v>
      </c>
      <c r="R139" s="216">
        <f t="shared" si="81"/>
        <v>0</v>
      </c>
      <c r="S139" s="216">
        <f t="shared" si="81"/>
        <v>0</v>
      </c>
      <c r="T139" s="216">
        <f t="shared" si="81"/>
        <v>0</v>
      </c>
      <c r="U139" s="216">
        <f t="shared" si="81"/>
        <v>0</v>
      </c>
      <c r="V139" s="216">
        <f t="shared" si="81"/>
        <v>0</v>
      </c>
      <c r="W139" s="216">
        <f t="shared" si="81"/>
        <v>0</v>
      </c>
      <c r="X139" s="216">
        <f t="shared" si="81"/>
        <v>0</v>
      </c>
      <c r="Y139" s="216">
        <f t="shared" si="81"/>
        <v>0</v>
      </c>
      <c r="Z139" s="216">
        <f t="shared" si="81"/>
        <v>0</v>
      </c>
      <c r="AA139" s="216">
        <f t="shared" si="81"/>
        <v>0</v>
      </c>
      <c r="AB139" s="216">
        <f t="shared" si="81"/>
        <v>0</v>
      </c>
      <c r="AC139" s="216">
        <f t="shared" si="81"/>
        <v>0</v>
      </c>
      <c r="AD139" s="216">
        <f t="shared" si="81"/>
        <v>0</v>
      </c>
      <c r="AE139" s="216">
        <f t="shared" si="81"/>
        <v>0</v>
      </c>
      <c r="AF139" s="216">
        <f t="shared" si="81"/>
        <v>0</v>
      </c>
      <c r="AG139" s="216">
        <f>AG135-$C135</f>
        <v>0</v>
      </c>
      <c r="AH139" s="230"/>
      <c r="AI139" s="126"/>
      <c r="AJ139" s="198"/>
      <c r="AL139" s="102"/>
      <c r="AM139" s="2"/>
      <c r="AN139" s="2"/>
      <c r="AO139" s="2"/>
      <c r="BC139" s="1"/>
      <c r="BD139" s="2"/>
      <c r="BE139" s="2"/>
      <c r="BF139" s="2"/>
      <c r="BG139" s="2"/>
      <c r="BH139" s="2"/>
      <c r="BI139" s="2"/>
      <c r="BJ139" s="2"/>
      <c r="BK139" s="2"/>
    </row>
    <row r="140" spans="1:63" outlineLevel="1">
      <c r="A140" s="4" t="s">
        <v>160</v>
      </c>
      <c r="C140" s="216">
        <f t="shared" ref="C140:AG140" si="82">C136-$C136</f>
        <v>0</v>
      </c>
      <c r="D140" s="216">
        <f t="shared" si="82"/>
        <v>6.353194574252144E-2</v>
      </c>
      <c r="E140" s="216">
        <f t="shared" si="82"/>
        <v>0.19313998308229458</v>
      </c>
      <c r="F140" s="216">
        <f t="shared" si="82"/>
        <v>0.41273864629296531</v>
      </c>
      <c r="G140" s="216">
        <f t="shared" si="82"/>
        <v>0.74828916645628485</v>
      </c>
      <c r="H140" s="216">
        <f t="shared" si="82"/>
        <v>1.2277994714621099</v>
      </c>
      <c r="I140" s="216">
        <f t="shared" si="82"/>
        <v>1.8813241860084031</v>
      </c>
      <c r="J140" s="216">
        <f t="shared" si="82"/>
        <v>2.7409646316012317</v>
      </c>
      <c r="K140" s="216">
        <f t="shared" si="82"/>
        <v>3.8408688265547681</v>
      </c>
      <c r="L140" s="216">
        <f t="shared" si="82"/>
        <v>5.2172314859912934</v>
      </c>
      <c r="M140" s="216">
        <f t="shared" si="82"/>
        <v>6.9082940218411863</v>
      </c>
      <c r="N140" s="216">
        <f t="shared" si="82"/>
        <v>9.6157411732328466</v>
      </c>
      <c r="O140" s="216">
        <f t="shared" si="82"/>
        <v>12.976205117395574</v>
      </c>
      <c r="P140" s="216">
        <f t="shared" si="82"/>
        <v>17.017055064680111</v>
      </c>
      <c r="Q140" s="216">
        <f t="shared" si="82"/>
        <v>21.852365214274016</v>
      </c>
      <c r="R140" s="216">
        <f t="shared" si="82"/>
        <v>27.566551374198205</v>
      </c>
      <c r="S140" s="216">
        <f t="shared" si="82"/>
        <v>34.246866242489162</v>
      </c>
      <c r="T140" s="216">
        <f t="shared" si="82"/>
        <v>41.983303620723277</v>
      </c>
      <c r="U140" s="216">
        <f t="shared" si="82"/>
        <v>50.868501229867675</v>
      </c>
      <c r="V140" s="216">
        <f t="shared" si="82"/>
        <v>60.997642128457635</v>
      </c>
      <c r="W140" s="216">
        <f t="shared" si="82"/>
        <v>72.468354733100426</v>
      </c>
      <c r="X140" s="216">
        <f t="shared" si="82"/>
        <v>88.63881107781863</v>
      </c>
      <c r="Y140" s="216">
        <f t="shared" si="82"/>
        <v>107.04756629088536</v>
      </c>
      <c r="Z140" s="216">
        <f t="shared" si="82"/>
        <v>126.76525115398954</v>
      </c>
      <c r="AA140" s="216">
        <f t="shared" si="82"/>
        <v>148.62683416748814</v>
      </c>
      <c r="AB140" s="216">
        <f t="shared" si="82"/>
        <v>172.71911556045734</v>
      </c>
      <c r="AC140" s="216">
        <f t="shared" si="82"/>
        <v>199.12196080098263</v>
      </c>
      <c r="AD140" s="216">
        <f t="shared" si="82"/>
        <v>227.90749586144162</v>
      </c>
      <c r="AE140" s="216">
        <f t="shared" si="82"/>
        <v>259.13928494454541</v>
      </c>
      <c r="AF140" s="216">
        <f t="shared" si="82"/>
        <v>292.87149067013729</v>
      </c>
      <c r="AG140" s="216">
        <f t="shared" si="82"/>
        <v>329.14801672275138</v>
      </c>
      <c r="AH140" s="230"/>
      <c r="AI140" s="126"/>
      <c r="AJ140" s="198"/>
      <c r="AL140" s="102"/>
      <c r="AM140" s="2"/>
      <c r="AN140" s="2"/>
      <c r="AO140" s="2"/>
      <c r="BC140" s="1"/>
      <c r="BD140" s="2"/>
      <c r="BE140" s="2"/>
      <c r="BF140" s="2"/>
      <c r="BG140" s="2"/>
      <c r="BH140" s="2"/>
      <c r="BI140" s="2"/>
      <c r="BJ140" s="2"/>
      <c r="BK140" s="2"/>
    </row>
    <row r="141" spans="1:63" outlineLevel="1">
      <c r="A141" s="4" t="s">
        <v>1159</v>
      </c>
      <c r="C141" s="216">
        <f t="shared" ref="C141:AG141" si="83">C137-$C137</f>
        <v>0</v>
      </c>
      <c r="D141" s="216">
        <f t="shared" si="83"/>
        <v>6.5191206197784268</v>
      </c>
      <c r="E141" s="216">
        <f t="shared" si="83"/>
        <v>14.891983593614221</v>
      </c>
      <c r="F141" s="216">
        <f t="shared" si="83"/>
        <v>25.226355755327148</v>
      </c>
      <c r="G141" s="216">
        <f t="shared" si="83"/>
        <v>37.62795724192884</v>
      </c>
      <c r="H141" s="216">
        <f t="shared" si="83"/>
        <v>52.200461493622846</v>
      </c>
      <c r="I141" s="216">
        <f t="shared" si="83"/>
        <v>69.045495253804631</v>
      </c>
      <c r="J141" s="216">
        <f t="shared" si="83"/>
        <v>88.262638569061522</v>
      </c>
      <c r="K141" s="216">
        <f t="shared" si="83"/>
        <v>109.9494247891727</v>
      </c>
      <c r="L141" s="216">
        <f t="shared" si="83"/>
        <v>134.20134056710938</v>
      </c>
      <c r="M141" s="216">
        <f t="shared" si="83"/>
        <v>161.11182585903444</v>
      </c>
      <c r="N141" s="216">
        <f t="shared" si="83"/>
        <v>205.58478855107907</v>
      </c>
      <c r="O141" s="216">
        <f t="shared" si="83"/>
        <v>255.54603611504672</v>
      </c>
      <c r="P141" s="216">
        <f t="shared" si="83"/>
        <v>310.09278925761799</v>
      </c>
      <c r="Q141" s="216">
        <f t="shared" si="83"/>
        <v>370.07952870975834</v>
      </c>
      <c r="R141" s="216">
        <f t="shared" si="83"/>
        <v>435.62326537216859</v>
      </c>
      <c r="S141" s="216">
        <f t="shared" si="83"/>
        <v>506.8334468784671</v>
      </c>
      <c r="T141" s="216">
        <f t="shared" si="83"/>
        <v>583.81199343220271</v>
      </c>
      <c r="U141" s="216">
        <f t="shared" si="83"/>
        <v>666.65333504154103</v>
      </c>
      <c r="V141" s="216">
        <f t="shared" si="83"/>
        <v>755.44445015162671</v>
      </c>
      <c r="W141" s="216">
        <f t="shared" si="83"/>
        <v>850.26490567461622</v>
      </c>
      <c r="X141" s="216">
        <f t="shared" si="83"/>
        <v>987.85776971426583</v>
      </c>
      <c r="Y141" s="216">
        <f t="shared" si="83"/>
        <v>1135.4172610355522</v>
      </c>
      <c r="Z141" s="216">
        <f t="shared" si="83"/>
        <v>1281.881809656566</v>
      </c>
      <c r="AA141" s="216">
        <f t="shared" si="83"/>
        <v>1435.3431331728482</v>
      </c>
      <c r="AB141" s="216">
        <f t="shared" si="83"/>
        <v>1595.511085801922</v>
      </c>
      <c r="AC141" s="216">
        <f t="shared" si="83"/>
        <v>1762.0650986069597</v>
      </c>
      <c r="AD141" s="216">
        <f t="shared" si="83"/>
        <v>1934.654231932705</v>
      </c>
      <c r="AE141" s="216">
        <f t="shared" si="83"/>
        <v>2112.8972453806387</v>
      </c>
      <c r="AF141" s="216">
        <f t="shared" si="83"/>
        <v>2296.3826853233736</v>
      </c>
      <c r="AG141" s="216">
        <f t="shared" si="83"/>
        <v>2484.6689899583016</v>
      </c>
      <c r="AH141" s="230"/>
      <c r="AI141" s="126"/>
      <c r="AJ141" s="198"/>
      <c r="AL141" s="102"/>
      <c r="AM141" s="2"/>
      <c r="AN141" s="2"/>
      <c r="AO141" s="2"/>
      <c r="BC141" s="1"/>
      <c r="BD141" s="2"/>
      <c r="BE141" s="2"/>
      <c r="BF141" s="2"/>
      <c r="BG141" s="2"/>
      <c r="BH141" s="2"/>
      <c r="BI141" s="2"/>
      <c r="BJ141" s="2"/>
      <c r="BK141" s="2"/>
    </row>
    <row r="142" spans="1:63" s="1" customFormat="1" outlineLevel="1">
      <c r="A142" s="1" t="s">
        <v>1163</v>
      </c>
      <c r="B142" s="61"/>
      <c r="C142" s="279">
        <f>C40*C130</f>
        <v>58.409910225963394</v>
      </c>
      <c r="D142" s="279">
        <f t="shared" ref="D142:AG142" si="84">D40*D130</f>
        <v>73.248878445426158</v>
      </c>
      <c r="E142" s="279">
        <f t="shared" si="84"/>
        <v>88.040573176045271</v>
      </c>
      <c r="F142" s="279">
        <f t="shared" si="84"/>
        <v>102.71652010641222</v>
      </c>
      <c r="G142" s="279">
        <f t="shared" si="84"/>
        <v>117.20824492511845</v>
      </c>
      <c r="H142" s="279">
        <f t="shared" si="84"/>
        <v>131.44727332075527</v>
      </c>
      <c r="I142" s="279">
        <f t="shared" si="84"/>
        <v>145.36513098191429</v>
      </c>
      <c r="J142" s="279">
        <f t="shared" si="84"/>
        <v>158.89334359718677</v>
      </c>
      <c r="K142" s="279">
        <f t="shared" si="84"/>
        <v>171.96343685516428</v>
      </c>
      <c r="L142" s="279">
        <f t="shared" si="84"/>
        <v>184.50693644443817</v>
      </c>
      <c r="M142" s="279">
        <f t="shared" si="84"/>
        <v>196.4553680535999</v>
      </c>
      <c r="N142" s="279">
        <f t="shared" si="84"/>
        <v>223.08461960392822</v>
      </c>
      <c r="O142" s="279">
        <f t="shared" si="84"/>
        <v>248.52487733625972</v>
      </c>
      <c r="P142" s="279">
        <f t="shared" si="84"/>
        <v>271.7019258647224</v>
      </c>
      <c r="Q142" s="279">
        <f t="shared" si="84"/>
        <v>293.24058933125787</v>
      </c>
      <c r="R142" s="279">
        <f t="shared" si="84"/>
        <v>313.01178024639734</v>
      </c>
      <c r="S142" s="279">
        <f t="shared" si="84"/>
        <v>330.88860905574455</v>
      </c>
      <c r="T142" s="279">
        <f t="shared" si="84"/>
        <v>346.74641531369502</v>
      </c>
      <c r="U142" s="279">
        <f t="shared" si="84"/>
        <v>360.46279885715745</v>
      </c>
      <c r="V142" s="279">
        <f t="shared" si="84"/>
        <v>371.91765097927311</v>
      </c>
      <c r="W142" s="279">
        <f t="shared" si="84"/>
        <v>380.99318560313725</v>
      </c>
      <c r="X142" s="279">
        <f t="shared" si="84"/>
        <v>402.36413590810724</v>
      </c>
      <c r="Y142" s="279">
        <f t="shared" si="84"/>
        <v>419.82737906666398</v>
      </c>
      <c r="Z142" s="279">
        <f t="shared" si="84"/>
        <v>429.47439665180087</v>
      </c>
      <c r="AA142" s="279">
        <f t="shared" si="84"/>
        <v>434.5850090579105</v>
      </c>
      <c r="AB142" s="279">
        <f t="shared" si="84"/>
        <v>435.08650698201399</v>
      </c>
      <c r="AC142" s="279">
        <f t="shared" si="84"/>
        <v>430.92234727565301</v>
      </c>
      <c r="AD142" s="279">
        <f t="shared" si="84"/>
        <v>422.05254414026518</v>
      </c>
      <c r="AE142" s="279">
        <f t="shared" si="84"/>
        <v>408.45406032255875</v>
      </c>
      <c r="AF142" s="279">
        <f t="shared" si="84"/>
        <v>390.12119830988701</v>
      </c>
      <c r="AG142" s="279">
        <f t="shared" si="84"/>
        <v>367.06599152562296</v>
      </c>
      <c r="AH142" s="230"/>
      <c r="AI142" s="398"/>
      <c r="AJ142" s="399"/>
      <c r="AL142" s="207"/>
      <c r="AM142" s="118"/>
      <c r="AN142" s="118"/>
      <c r="AO142" s="118"/>
      <c r="BD142" s="118"/>
      <c r="BE142" s="118"/>
      <c r="BF142" s="118"/>
      <c r="BG142" s="118"/>
      <c r="BH142" s="118"/>
      <c r="BI142" s="118"/>
      <c r="BJ142" s="118"/>
      <c r="BK142" s="118"/>
    </row>
    <row r="143" spans="1:63" outlineLevel="1">
      <c r="A143" s="4" t="s">
        <v>35</v>
      </c>
      <c r="C143" s="216">
        <f>C$142*'Methanol recycling rates'!E51</f>
        <v>0</v>
      </c>
      <c r="D143" s="216">
        <f>D$142*'Methanol recycling rates'!F51</f>
        <v>0</v>
      </c>
      <c r="E143" s="216">
        <f>E$142*'Methanol recycling rates'!G51</f>
        <v>0</v>
      </c>
      <c r="F143" s="216">
        <f>F$142*'Methanol recycling rates'!H51</f>
        <v>0</v>
      </c>
      <c r="G143" s="216">
        <f>G$142*'Methanol recycling rates'!I51</f>
        <v>0</v>
      </c>
      <c r="H143" s="216">
        <f>H$142*'Methanol recycling rates'!J51</f>
        <v>0</v>
      </c>
      <c r="I143" s="216">
        <f>I$142*'Methanol recycling rates'!K51</f>
        <v>0</v>
      </c>
      <c r="J143" s="216">
        <f>J$142*'Methanol recycling rates'!L51</f>
        <v>0</v>
      </c>
      <c r="K143" s="216">
        <f>K$142*'Methanol recycling rates'!M51</f>
        <v>0</v>
      </c>
      <c r="L143" s="216">
        <f>L$142*'Methanol recycling rates'!N51</f>
        <v>0</v>
      </c>
      <c r="M143" s="216">
        <f>M$142*'Methanol recycling rates'!O51</f>
        <v>0</v>
      </c>
      <c r="N143" s="216">
        <f>N$142*'Methanol recycling rates'!P51</f>
        <v>0</v>
      </c>
      <c r="O143" s="216">
        <f>O$142*'Methanol recycling rates'!Q51</f>
        <v>0</v>
      </c>
      <c r="P143" s="216">
        <f>P$142*'Methanol recycling rates'!R51</f>
        <v>0</v>
      </c>
      <c r="Q143" s="216">
        <f>Q$142*'Methanol recycling rates'!S51</f>
        <v>0</v>
      </c>
      <c r="R143" s="216">
        <f>R$142*'Methanol recycling rates'!T51</f>
        <v>0</v>
      </c>
      <c r="S143" s="216">
        <f>S$142*'Methanol recycling rates'!U51</f>
        <v>0</v>
      </c>
      <c r="T143" s="216">
        <f>T$142*'Methanol recycling rates'!V51</f>
        <v>0</v>
      </c>
      <c r="U143" s="216">
        <f>U$142*'Methanol recycling rates'!W51</f>
        <v>0</v>
      </c>
      <c r="V143" s="216">
        <f>V$142*'Methanol recycling rates'!X51</f>
        <v>0</v>
      </c>
      <c r="W143" s="216">
        <f>W$142*'Methanol recycling rates'!Y51</f>
        <v>0</v>
      </c>
      <c r="X143" s="216">
        <f>X$142*'Methanol recycling rates'!Z51</f>
        <v>0</v>
      </c>
      <c r="Y143" s="216">
        <f>Y$142*'Methanol recycling rates'!AA51</f>
        <v>0</v>
      </c>
      <c r="Z143" s="216">
        <f>Z$142*'Methanol recycling rates'!AB51</f>
        <v>0</v>
      </c>
      <c r="AA143" s="216">
        <f>AA$142*'Methanol recycling rates'!AC51</f>
        <v>0</v>
      </c>
      <c r="AB143" s="216">
        <f>AB$142*'Methanol recycling rates'!AD51</f>
        <v>0</v>
      </c>
      <c r="AC143" s="216">
        <f>AC$142*'Methanol recycling rates'!AE51</f>
        <v>0</v>
      </c>
      <c r="AD143" s="216">
        <f>AD$142*'Methanol recycling rates'!AF51</f>
        <v>0</v>
      </c>
      <c r="AE143" s="216">
        <f>AE$142*'Methanol recycling rates'!AG51</f>
        <v>0</v>
      </c>
      <c r="AF143" s="216">
        <f>AF$142*'Methanol recycling rates'!AH51</f>
        <v>0</v>
      </c>
      <c r="AG143" s="216">
        <f>AG$142*'Methanol recycling rates'!AI51</f>
        <v>0</v>
      </c>
      <c r="AH143" s="230"/>
      <c r="AI143" s="126"/>
      <c r="AJ143" s="198"/>
      <c r="AL143" s="102"/>
      <c r="AM143" s="2"/>
      <c r="AN143" s="2"/>
      <c r="AO143" s="2"/>
      <c r="BC143" s="1"/>
      <c r="BD143" s="2"/>
      <c r="BE143" s="2"/>
      <c r="BF143" s="2"/>
      <c r="BG143" s="2"/>
      <c r="BH143" s="2"/>
      <c r="BI143" s="2"/>
      <c r="BJ143" s="2"/>
      <c r="BK143" s="2"/>
    </row>
    <row r="144" spans="1:63" outlineLevel="1">
      <c r="A144" s="4" t="s">
        <v>160</v>
      </c>
      <c r="C144" s="216">
        <f>C$142*'Methanol recycling rates'!E52</f>
        <v>0</v>
      </c>
      <c r="D144" s="216">
        <f>D$142*'Methanol recycling rates'!F52</f>
        <v>0.28462311692649611</v>
      </c>
      <c r="E144" s="216">
        <f>E$142*'Methanol recycling rates'!G52</f>
        <v>0.68419839006902849</v>
      </c>
      <c r="F144" s="216">
        <f>F$142*'Methanol recycling rates'!H52</f>
        <v>1.1973765359825392</v>
      </c>
      <c r="G144" s="216">
        <f>G$142*'Methanol recycling rates'!I52</f>
        <v>1.8217439888817559</v>
      </c>
      <c r="H144" s="216">
        <f>H$142*'Methanol recycling rates'!J52</f>
        <v>2.553822900641189</v>
      </c>
      <c r="I144" s="216">
        <f>I$142*'Methanol recycling rates'!K52</f>
        <v>3.3890711407951386</v>
      </c>
      <c r="J144" s="216">
        <f>J$142*'Methanol recycling rates'!L52</f>
        <v>4.3218822965376837</v>
      </c>
      <c r="K144" s="216">
        <f>K$142*'Methanol recycling rates'!M52</f>
        <v>5.3455856727226951</v>
      </c>
      <c r="L144" s="216">
        <f>L$142*'Methanol recycling rates'!N52</f>
        <v>6.4524462918638257</v>
      </c>
      <c r="M144" s="216">
        <f>M$142*'Methanol recycling rates'!O52</f>
        <v>7.6336648941345135</v>
      </c>
      <c r="N144" s="216">
        <f>N$142*'Methanol recycling rates'!P52</f>
        <v>9.5352372936429877</v>
      </c>
      <c r="O144" s="216">
        <f>O$142*'Methanol recycling rates'!Q52</f>
        <v>11.588315352665436</v>
      </c>
      <c r="P144" s="216">
        <f>P$142*'Methanol recycling rates'!R52</f>
        <v>13.724775839921584</v>
      </c>
      <c r="Q144" s="216">
        <f>Q$142*'Methanol recycling rates'!S52</f>
        <v>15.952226606420025</v>
      </c>
      <c r="R144" s="216">
        <f>R$142*'Methanol recycling rates'!T52</f>
        <v>18.244044909469345</v>
      </c>
      <c r="S144" s="216">
        <f>S$142*'Methanol recycling rates'!U52</f>
        <v>20.571738273936582</v>
      </c>
      <c r="T144" s="216">
        <f>T$142*'Methanol recycling rates'!V52</f>
        <v>22.904989254060155</v>
      </c>
      <c r="U144" s="216">
        <f>U$142*'Methanol recycling rates'!W52</f>
        <v>25.211700922053154</v>
      </c>
      <c r="V144" s="216">
        <f>V$142*'Methanol recycling rates'!X52</f>
        <v>27.458043083496737</v>
      </c>
      <c r="W144" s="216">
        <f>W$142*'Methanol recycling rates'!Y52</f>
        <v>29.608499219523871</v>
      </c>
      <c r="X144" s="216">
        <f>X$142*'Methanol recycling rates'!Z52</f>
        <v>32.832787007454982</v>
      </c>
      <c r="Y144" s="216">
        <f>Y$142*'Methanol recycling rates'!AA52</f>
        <v>35.889105119628375</v>
      </c>
      <c r="Z144" s="216">
        <f>Z$142*'Methanol recycling rates'!AB52</f>
        <v>38.382592501309198</v>
      </c>
      <c r="AA144" s="216">
        <f>AA$142*'Methanol recycling rates'!AC52</f>
        <v>40.528000146158917</v>
      </c>
      <c r="AB144" s="216">
        <f>AB$142*'Methanol recycling rates'!AD52</f>
        <v>42.265383572441273</v>
      </c>
      <c r="AC144" s="216">
        <f>AC$142*'Methanol recycling rates'!AE52</f>
        <v>43.535301429669325</v>
      </c>
      <c r="AD144" s="216">
        <f>AD$142*'Methanol recycling rates'!AF52</f>
        <v>44.279170624508595</v>
      </c>
      <c r="AE144" s="216">
        <f>AE$142*'Methanol recycling rates'!AG52</f>
        <v>44.439630567085786</v>
      </c>
      <c r="AF144" s="216">
        <f>AF$142*'Methanol recycling rates'!AH52</f>
        <v>43.960916537702992</v>
      </c>
      <c r="AG144" s="216">
        <f>AG$142*'Methanol recycling rates'!AI52</f>
        <v>42.789242173957675</v>
      </c>
      <c r="AH144" s="230"/>
      <c r="AI144" s="126"/>
      <c r="AJ144" s="198"/>
      <c r="AL144" s="102"/>
      <c r="AM144" s="2"/>
      <c r="AN144" s="2"/>
      <c r="AO144" s="2"/>
      <c r="BC144" s="1"/>
      <c r="BD144" s="2"/>
      <c r="BE144" s="2"/>
      <c r="BF144" s="2"/>
      <c r="BG144" s="2"/>
      <c r="BH144" s="2"/>
      <c r="BI144" s="2"/>
      <c r="BJ144" s="2"/>
      <c r="BK144" s="2"/>
    </row>
    <row r="145" spans="1:63" outlineLevel="1">
      <c r="A145" s="4" t="s">
        <v>1159</v>
      </c>
      <c r="C145" s="216">
        <f>C$142*'Methanol recycling rates'!E53</f>
        <v>58.409910225963394</v>
      </c>
      <c r="D145" s="216">
        <f>D$142*'Methanol recycling rates'!F53</f>
        <v>72.964255328499661</v>
      </c>
      <c r="E145" s="216">
        <f>E$142*'Methanol recycling rates'!G53</f>
        <v>87.356374785976257</v>
      </c>
      <c r="F145" s="216">
        <f>F$142*'Methanol recycling rates'!H53</f>
        <v>101.51914357042969</v>
      </c>
      <c r="G145" s="216">
        <f>G$142*'Methanol recycling rates'!I53</f>
        <v>115.38650093623671</v>
      </c>
      <c r="H145" s="216">
        <f>H$142*'Methanol recycling rates'!J53</f>
        <v>128.89345042011411</v>
      </c>
      <c r="I145" s="216">
        <f>I$142*'Methanol recycling rates'!K53</f>
        <v>141.97605984111919</v>
      </c>
      <c r="J145" s="216">
        <f>J$142*'Methanol recycling rates'!L53</f>
        <v>154.57146130064913</v>
      </c>
      <c r="K145" s="216">
        <f>K$142*'Methanol recycling rates'!M53</f>
        <v>166.61785118244165</v>
      </c>
      <c r="L145" s="216">
        <f>L$142*'Methanol recycling rates'!N53</f>
        <v>178.05449015257443</v>
      </c>
      <c r="M145" s="216">
        <f>M$142*'Methanol recycling rates'!O53</f>
        <v>188.82170315946547</v>
      </c>
      <c r="N145" s="216">
        <f>N$142*'Methanol recycling rates'!P53</f>
        <v>213.54938231028535</v>
      </c>
      <c r="O145" s="216">
        <f>O$142*'Methanol recycling rates'!Q53</f>
        <v>236.93656198359443</v>
      </c>
      <c r="P145" s="216">
        <f>P$142*'Methanol recycling rates'!R53</f>
        <v>257.97715002480101</v>
      </c>
      <c r="Q145" s="216">
        <f>Q$142*'Methanol recycling rates'!S53</f>
        <v>277.28836272483801</v>
      </c>
      <c r="R145" s="216">
        <f>R$142*'Methanol recycling rates'!T53</f>
        <v>294.76773533692824</v>
      </c>
      <c r="S145" s="216">
        <f>S$142*'Methanol recycling rates'!U53</f>
        <v>310.31687078180823</v>
      </c>
      <c r="T145" s="216">
        <f>T$142*'Methanol recycling rates'!V53</f>
        <v>323.84142605963513</v>
      </c>
      <c r="U145" s="216">
        <f>U$142*'Methanol recycling rates'!W53</f>
        <v>335.25109793510461</v>
      </c>
      <c r="V145" s="216">
        <f>V$142*'Methanol recycling rates'!X53</f>
        <v>344.45960789577668</v>
      </c>
      <c r="W145" s="216">
        <f>W$142*'Methanol recycling rates'!Y53</f>
        <v>351.38468638361371</v>
      </c>
      <c r="X145" s="216">
        <f>X$142*'Methanol recycling rates'!Z53</f>
        <v>369.53134890065263</v>
      </c>
      <c r="Y145" s="216">
        <f>Y$142*'Methanol recycling rates'!AA53</f>
        <v>383.93827394703601</v>
      </c>
      <c r="Z145" s="216">
        <f>Z$142*'Methanol recycling rates'!AB53</f>
        <v>391.09180415049212</v>
      </c>
      <c r="AA145" s="216">
        <f>AA$142*'Methanol recycling rates'!AC53</f>
        <v>394.05700891175206</v>
      </c>
      <c r="AB145" s="216">
        <f>AB$142*'Methanol recycling rates'!AD53</f>
        <v>392.8211234095732</v>
      </c>
      <c r="AC145" s="216">
        <f>AC$142*'Methanol recycling rates'!AE53</f>
        <v>387.38704584598418</v>
      </c>
      <c r="AD145" s="216">
        <f>AD$142*'Methanol recycling rates'!AF53</f>
        <v>377.7733735157571</v>
      </c>
      <c r="AE145" s="216">
        <f>AE$142*'Methanol recycling rates'!AG53</f>
        <v>364.01442975547349</v>
      </c>
      <c r="AF145" s="216">
        <f>AF$142*'Methanol recycling rates'!AH53</f>
        <v>346.16028177218453</v>
      </c>
      <c r="AG145" s="216">
        <f>AG$142*'Methanol recycling rates'!AI53</f>
        <v>324.27674935166533</v>
      </c>
      <c r="AH145" s="230"/>
      <c r="AI145" s="126"/>
      <c r="AJ145" s="198"/>
      <c r="AL145" s="102"/>
      <c r="AM145" s="2"/>
      <c r="AN145" s="2"/>
      <c r="AO145" s="2"/>
      <c r="BC145" s="1"/>
      <c r="BD145" s="2"/>
      <c r="BE145" s="2"/>
      <c r="BF145" s="2"/>
      <c r="BG145" s="2"/>
      <c r="BH145" s="2"/>
      <c r="BI145" s="2"/>
      <c r="BJ145" s="2"/>
      <c r="BK145" s="2"/>
    </row>
    <row r="146" spans="1:63" s="1" customFormat="1" outlineLevel="1">
      <c r="A146" s="1" t="s">
        <v>1166</v>
      </c>
      <c r="B146" s="61"/>
      <c r="C146" s="279">
        <f>C142-$C142</f>
        <v>0</v>
      </c>
      <c r="D146" s="279">
        <f t="shared" ref="D146:AG146" si="85">D142-$C142</f>
        <v>14.838968219462764</v>
      </c>
      <c r="E146" s="279">
        <f t="shared" si="85"/>
        <v>29.630662950081877</v>
      </c>
      <c r="F146" s="279">
        <f t="shared" si="85"/>
        <v>44.306609880448825</v>
      </c>
      <c r="G146" s="279">
        <f t="shared" si="85"/>
        <v>58.798334699155056</v>
      </c>
      <c r="H146" s="279">
        <f t="shared" si="85"/>
        <v>73.037363094791885</v>
      </c>
      <c r="I146" s="279">
        <f t="shared" si="85"/>
        <v>86.955220755950904</v>
      </c>
      <c r="J146" s="279">
        <f t="shared" si="85"/>
        <v>100.48343337122338</v>
      </c>
      <c r="K146" s="279">
        <f t="shared" si="85"/>
        <v>113.55352662920089</v>
      </c>
      <c r="L146" s="279">
        <f t="shared" si="85"/>
        <v>126.09702621847478</v>
      </c>
      <c r="M146" s="279">
        <f t="shared" si="85"/>
        <v>138.04545782763651</v>
      </c>
      <c r="N146" s="279">
        <f t="shared" si="85"/>
        <v>164.67470937796483</v>
      </c>
      <c r="O146" s="279">
        <f t="shared" si="85"/>
        <v>190.11496711029633</v>
      </c>
      <c r="P146" s="279">
        <f t="shared" si="85"/>
        <v>213.29201563875901</v>
      </c>
      <c r="Q146" s="279">
        <f t="shared" si="85"/>
        <v>234.83067910529448</v>
      </c>
      <c r="R146" s="279">
        <f t="shared" si="85"/>
        <v>254.60187002043395</v>
      </c>
      <c r="S146" s="279">
        <f t="shared" si="85"/>
        <v>272.47869882978114</v>
      </c>
      <c r="T146" s="279">
        <f t="shared" si="85"/>
        <v>288.33650508773161</v>
      </c>
      <c r="U146" s="279">
        <f t="shared" si="85"/>
        <v>302.05288863119404</v>
      </c>
      <c r="V146" s="279">
        <f t="shared" si="85"/>
        <v>313.50774075330969</v>
      </c>
      <c r="W146" s="279">
        <f t="shared" si="85"/>
        <v>322.58327537717383</v>
      </c>
      <c r="X146" s="279">
        <f t="shared" si="85"/>
        <v>343.95422568214383</v>
      </c>
      <c r="Y146" s="279">
        <f t="shared" si="85"/>
        <v>361.41746884070056</v>
      </c>
      <c r="Z146" s="279">
        <f t="shared" si="85"/>
        <v>371.06448642583746</v>
      </c>
      <c r="AA146" s="279">
        <f t="shared" si="85"/>
        <v>376.17509883194708</v>
      </c>
      <c r="AB146" s="279">
        <f t="shared" si="85"/>
        <v>376.67659675605057</v>
      </c>
      <c r="AC146" s="279">
        <f t="shared" si="85"/>
        <v>372.51243704968959</v>
      </c>
      <c r="AD146" s="279">
        <f t="shared" si="85"/>
        <v>363.64263391430177</v>
      </c>
      <c r="AE146" s="279">
        <f t="shared" si="85"/>
        <v>350.04415009659533</v>
      </c>
      <c r="AF146" s="279">
        <f t="shared" si="85"/>
        <v>331.71128808392359</v>
      </c>
      <c r="AG146" s="279">
        <f t="shared" si="85"/>
        <v>308.65608129965955</v>
      </c>
      <c r="AH146" s="230"/>
      <c r="AI146" s="398"/>
      <c r="AJ146" s="399"/>
      <c r="AL146" s="207"/>
      <c r="AM146" s="118"/>
      <c r="AN146" s="118"/>
      <c r="AO146" s="118"/>
      <c r="BD146" s="118"/>
      <c r="BE146" s="118"/>
      <c r="BF146" s="118"/>
      <c r="BG146" s="118"/>
      <c r="BH146" s="118"/>
      <c r="BI146" s="118"/>
      <c r="BJ146" s="118"/>
      <c r="BK146" s="118"/>
    </row>
    <row r="147" spans="1:63" outlineLevel="1">
      <c r="A147" s="4" t="s">
        <v>35</v>
      </c>
      <c r="C147" s="216">
        <f t="shared" ref="C147" si="86">C143-$C143</f>
        <v>0</v>
      </c>
      <c r="D147" s="216">
        <f t="shared" ref="D147:AG147" si="87">D143-$C143</f>
        <v>0</v>
      </c>
      <c r="E147" s="216">
        <f t="shared" si="87"/>
        <v>0</v>
      </c>
      <c r="F147" s="216">
        <f t="shared" si="87"/>
        <v>0</v>
      </c>
      <c r="G147" s="216">
        <f t="shared" si="87"/>
        <v>0</v>
      </c>
      <c r="H147" s="216">
        <f t="shared" si="87"/>
        <v>0</v>
      </c>
      <c r="I147" s="216">
        <f t="shared" si="87"/>
        <v>0</v>
      </c>
      <c r="J147" s="216">
        <f t="shared" si="87"/>
        <v>0</v>
      </c>
      <c r="K147" s="216">
        <f t="shared" si="87"/>
        <v>0</v>
      </c>
      <c r="L147" s="216">
        <f t="shared" si="87"/>
        <v>0</v>
      </c>
      <c r="M147" s="216">
        <f t="shared" si="87"/>
        <v>0</v>
      </c>
      <c r="N147" s="216">
        <f t="shared" si="87"/>
        <v>0</v>
      </c>
      <c r="O147" s="216">
        <f t="shared" si="87"/>
        <v>0</v>
      </c>
      <c r="P147" s="216">
        <f t="shared" si="87"/>
        <v>0</v>
      </c>
      <c r="Q147" s="216">
        <f t="shared" si="87"/>
        <v>0</v>
      </c>
      <c r="R147" s="216">
        <f t="shared" si="87"/>
        <v>0</v>
      </c>
      <c r="S147" s="216">
        <f t="shared" si="87"/>
        <v>0</v>
      </c>
      <c r="T147" s="216">
        <f t="shared" si="87"/>
        <v>0</v>
      </c>
      <c r="U147" s="216">
        <f t="shared" si="87"/>
        <v>0</v>
      </c>
      <c r="V147" s="216">
        <f t="shared" si="87"/>
        <v>0</v>
      </c>
      <c r="W147" s="216">
        <f t="shared" si="87"/>
        <v>0</v>
      </c>
      <c r="X147" s="216">
        <f t="shared" si="87"/>
        <v>0</v>
      </c>
      <c r="Y147" s="216">
        <f t="shared" si="87"/>
        <v>0</v>
      </c>
      <c r="Z147" s="216">
        <f t="shared" si="87"/>
        <v>0</v>
      </c>
      <c r="AA147" s="216">
        <f t="shared" si="87"/>
        <v>0</v>
      </c>
      <c r="AB147" s="216">
        <f t="shared" si="87"/>
        <v>0</v>
      </c>
      <c r="AC147" s="216">
        <f t="shared" si="87"/>
        <v>0</v>
      </c>
      <c r="AD147" s="216">
        <f t="shared" si="87"/>
        <v>0</v>
      </c>
      <c r="AE147" s="216">
        <f t="shared" si="87"/>
        <v>0</v>
      </c>
      <c r="AF147" s="216">
        <f t="shared" si="87"/>
        <v>0</v>
      </c>
      <c r="AG147" s="216">
        <f t="shared" si="87"/>
        <v>0</v>
      </c>
      <c r="AH147" s="230"/>
      <c r="AI147" s="126"/>
      <c r="AJ147" s="198"/>
      <c r="AL147" s="102"/>
      <c r="AM147" s="2"/>
      <c r="AN147" s="2"/>
      <c r="AO147" s="2"/>
      <c r="BC147" s="1"/>
      <c r="BD147" s="2"/>
      <c r="BE147" s="2"/>
      <c r="BF147" s="2"/>
      <c r="BG147" s="2"/>
      <c r="BH147" s="2"/>
      <c r="BI147" s="2"/>
      <c r="BJ147" s="2"/>
      <c r="BK147" s="2"/>
    </row>
    <row r="148" spans="1:63" outlineLevel="1">
      <c r="A148" s="4" t="s">
        <v>160</v>
      </c>
      <c r="C148" s="216">
        <f t="shared" ref="C148" si="88">C144-$C144</f>
        <v>0</v>
      </c>
      <c r="D148" s="216">
        <f t="shared" ref="D148:AG148" si="89">D144-$C144</f>
        <v>0.28462311692649611</v>
      </c>
      <c r="E148" s="216">
        <f t="shared" si="89"/>
        <v>0.68419839006902849</v>
      </c>
      <c r="F148" s="216">
        <f t="shared" si="89"/>
        <v>1.1973765359825392</v>
      </c>
      <c r="G148" s="216">
        <f t="shared" si="89"/>
        <v>1.8217439888817559</v>
      </c>
      <c r="H148" s="216">
        <f t="shared" si="89"/>
        <v>2.553822900641189</v>
      </c>
      <c r="I148" s="216">
        <f t="shared" si="89"/>
        <v>3.3890711407951386</v>
      </c>
      <c r="J148" s="216">
        <f t="shared" si="89"/>
        <v>4.3218822965376837</v>
      </c>
      <c r="K148" s="216">
        <f t="shared" si="89"/>
        <v>5.3455856727226951</v>
      </c>
      <c r="L148" s="216">
        <f t="shared" si="89"/>
        <v>6.4524462918638257</v>
      </c>
      <c r="M148" s="216">
        <f t="shared" si="89"/>
        <v>7.6336648941345135</v>
      </c>
      <c r="N148" s="216">
        <f t="shared" si="89"/>
        <v>9.5352372936429877</v>
      </c>
      <c r="O148" s="216">
        <f t="shared" si="89"/>
        <v>11.588315352665436</v>
      </c>
      <c r="P148" s="216">
        <f t="shared" si="89"/>
        <v>13.724775839921584</v>
      </c>
      <c r="Q148" s="216">
        <f t="shared" si="89"/>
        <v>15.952226606420025</v>
      </c>
      <c r="R148" s="216">
        <f t="shared" si="89"/>
        <v>18.244044909469345</v>
      </c>
      <c r="S148" s="216">
        <f t="shared" si="89"/>
        <v>20.571738273936582</v>
      </c>
      <c r="T148" s="216">
        <f t="shared" si="89"/>
        <v>22.904989254060155</v>
      </c>
      <c r="U148" s="216">
        <f t="shared" si="89"/>
        <v>25.211700922053154</v>
      </c>
      <c r="V148" s="216">
        <f t="shared" si="89"/>
        <v>27.458043083496737</v>
      </c>
      <c r="W148" s="216">
        <f t="shared" si="89"/>
        <v>29.608499219523871</v>
      </c>
      <c r="X148" s="216">
        <f t="shared" si="89"/>
        <v>32.832787007454982</v>
      </c>
      <c r="Y148" s="216">
        <f t="shared" si="89"/>
        <v>35.889105119628375</v>
      </c>
      <c r="Z148" s="216">
        <f t="shared" si="89"/>
        <v>38.382592501309198</v>
      </c>
      <c r="AA148" s="216">
        <f t="shared" si="89"/>
        <v>40.528000146158917</v>
      </c>
      <c r="AB148" s="216">
        <f t="shared" si="89"/>
        <v>42.265383572441273</v>
      </c>
      <c r="AC148" s="216">
        <f t="shared" si="89"/>
        <v>43.535301429669325</v>
      </c>
      <c r="AD148" s="216">
        <f t="shared" si="89"/>
        <v>44.279170624508595</v>
      </c>
      <c r="AE148" s="216">
        <f t="shared" si="89"/>
        <v>44.439630567085786</v>
      </c>
      <c r="AF148" s="216">
        <f t="shared" si="89"/>
        <v>43.960916537702992</v>
      </c>
      <c r="AG148" s="216">
        <f t="shared" si="89"/>
        <v>42.789242173957675</v>
      </c>
      <c r="AH148" s="230"/>
      <c r="AI148" s="126"/>
      <c r="AJ148" s="198"/>
      <c r="AL148" s="102"/>
      <c r="AM148" s="2"/>
      <c r="AN148" s="2"/>
      <c r="AO148" s="2"/>
      <c r="BC148" s="1"/>
      <c r="BD148" s="2"/>
      <c r="BE148" s="2"/>
      <c r="BF148" s="2"/>
      <c r="BG148" s="2"/>
      <c r="BH148" s="2"/>
      <c r="BI148" s="2"/>
      <c r="BJ148" s="2"/>
      <c r="BK148" s="2"/>
    </row>
    <row r="149" spans="1:63" outlineLevel="1">
      <c r="A149" s="4" t="s">
        <v>1159</v>
      </c>
      <c r="C149" s="216">
        <f t="shared" ref="C149" si="90">C145-$C145</f>
        <v>0</v>
      </c>
      <c r="D149" s="216">
        <f t="shared" ref="D149:AG149" si="91">D145-$C145</f>
        <v>14.554345102536267</v>
      </c>
      <c r="E149" s="216">
        <f t="shared" si="91"/>
        <v>28.946464560012863</v>
      </c>
      <c r="F149" s="216">
        <f t="shared" si="91"/>
        <v>43.109233344466297</v>
      </c>
      <c r="G149" s="216">
        <f t="shared" si="91"/>
        <v>56.976590710273321</v>
      </c>
      <c r="H149" s="216">
        <f t="shared" si="91"/>
        <v>70.48354019415072</v>
      </c>
      <c r="I149" s="216">
        <f t="shared" si="91"/>
        <v>83.566149615155808</v>
      </c>
      <c r="J149" s="216">
        <f t="shared" si="91"/>
        <v>96.161551074685747</v>
      </c>
      <c r="K149" s="216">
        <f t="shared" si="91"/>
        <v>108.20794095647827</v>
      </c>
      <c r="L149" s="216">
        <f t="shared" si="91"/>
        <v>119.64457992661104</v>
      </c>
      <c r="M149" s="216">
        <f t="shared" si="91"/>
        <v>130.41179293350208</v>
      </c>
      <c r="N149" s="216">
        <f t="shared" si="91"/>
        <v>155.13947208432197</v>
      </c>
      <c r="O149" s="216">
        <f t="shared" si="91"/>
        <v>178.52665175763104</v>
      </c>
      <c r="P149" s="216">
        <f t="shared" si="91"/>
        <v>199.56723979883762</v>
      </c>
      <c r="Q149" s="216">
        <f t="shared" si="91"/>
        <v>218.87845249887462</v>
      </c>
      <c r="R149" s="216">
        <f t="shared" si="91"/>
        <v>236.35782511096485</v>
      </c>
      <c r="S149" s="216">
        <f t="shared" si="91"/>
        <v>251.90696055584485</v>
      </c>
      <c r="T149" s="216">
        <f t="shared" si="91"/>
        <v>265.43151583367171</v>
      </c>
      <c r="U149" s="216">
        <f t="shared" si="91"/>
        <v>276.8411877091412</v>
      </c>
      <c r="V149" s="216">
        <f t="shared" si="91"/>
        <v>286.04969766981327</v>
      </c>
      <c r="W149" s="216">
        <f t="shared" si="91"/>
        <v>292.9747761576503</v>
      </c>
      <c r="X149" s="216">
        <f t="shared" si="91"/>
        <v>311.12143867468922</v>
      </c>
      <c r="Y149" s="216">
        <f t="shared" si="91"/>
        <v>325.52836372107259</v>
      </c>
      <c r="Z149" s="216">
        <f t="shared" si="91"/>
        <v>332.68189392452871</v>
      </c>
      <c r="AA149" s="216">
        <f t="shared" si="91"/>
        <v>335.64709868578865</v>
      </c>
      <c r="AB149" s="216">
        <f t="shared" si="91"/>
        <v>334.41121318360979</v>
      </c>
      <c r="AC149" s="216">
        <f t="shared" si="91"/>
        <v>328.97713562002076</v>
      </c>
      <c r="AD149" s="216">
        <f t="shared" si="91"/>
        <v>319.36346328979369</v>
      </c>
      <c r="AE149" s="216">
        <f t="shared" si="91"/>
        <v>305.60451952951007</v>
      </c>
      <c r="AF149" s="216">
        <f t="shared" si="91"/>
        <v>287.75037154622112</v>
      </c>
      <c r="AG149" s="216">
        <f t="shared" si="91"/>
        <v>265.86683912570192</v>
      </c>
      <c r="AH149" s="230"/>
      <c r="AI149" s="126"/>
      <c r="AJ149" s="198"/>
      <c r="AL149" s="102"/>
      <c r="AM149" s="2"/>
      <c r="AN149" s="2"/>
      <c r="AO149" s="2"/>
      <c r="BC149" s="1"/>
      <c r="BD149" s="2"/>
      <c r="BE149" s="2"/>
      <c r="BF149" s="2"/>
      <c r="BG149" s="2"/>
      <c r="BH149" s="2"/>
      <c r="BI149" s="2"/>
      <c r="BJ149" s="2"/>
      <c r="BK149" s="2"/>
    </row>
    <row r="150" spans="1:63" s="1" customFormat="1" outlineLevel="1">
      <c r="A150" s="1" t="s">
        <v>1167</v>
      </c>
      <c r="B150" s="61"/>
      <c r="C150" s="279">
        <f>C40*C131</f>
        <v>13.479210052145399</v>
      </c>
      <c r="D150" s="279">
        <f t="shared" ref="D150:AG150" si="92">D40*D131</f>
        <v>16.90358733355988</v>
      </c>
      <c r="E150" s="279">
        <f t="shared" si="92"/>
        <v>20.317055348318139</v>
      </c>
      <c r="F150" s="279">
        <f t="shared" si="92"/>
        <v>23.703812332248976</v>
      </c>
      <c r="G150" s="279">
        <f t="shared" si="92"/>
        <v>27.048056521181174</v>
      </c>
      <c r="H150" s="279">
        <f t="shared" si="92"/>
        <v>30.333986150943527</v>
      </c>
      <c r="I150" s="279">
        <f t="shared" si="92"/>
        <v>33.545799457364836</v>
      </c>
      <c r="J150" s="279">
        <f t="shared" si="92"/>
        <v>36.667694676273875</v>
      </c>
      <c r="K150" s="279">
        <f t="shared" si="92"/>
        <v>39.683870043499446</v>
      </c>
      <c r="L150" s="279">
        <f t="shared" si="92"/>
        <v>42.578523794870343</v>
      </c>
      <c r="M150" s="279">
        <f t="shared" si="92"/>
        <v>45.335854166215348</v>
      </c>
      <c r="N150" s="279">
        <f t="shared" si="92"/>
        <v>51.481066062444974</v>
      </c>
      <c r="O150" s="279">
        <f t="shared" si="92"/>
        <v>57.351894769906089</v>
      </c>
      <c r="P150" s="279">
        <f t="shared" si="92"/>
        <v>62.700444430320566</v>
      </c>
      <c r="Q150" s="279">
        <f t="shared" si="92"/>
        <v>67.670905230290288</v>
      </c>
      <c r="R150" s="279">
        <f t="shared" si="92"/>
        <v>72.233487749168617</v>
      </c>
      <c r="S150" s="279">
        <f t="shared" si="92"/>
        <v>76.358909782094898</v>
      </c>
      <c r="T150" s="279">
        <f t="shared" si="92"/>
        <v>80.018403533929614</v>
      </c>
      <c r="U150" s="279">
        <f t="shared" si="92"/>
        <v>83.183722813190172</v>
      </c>
      <c r="V150" s="279">
        <f t="shared" si="92"/>
        <v>85.827150225986088</v>
      </c>
      <c r="W150" s="279">
        <f t="shared" si="92"/>
        <v>87.921504369954746</v>
      </c>
      <c r="X150" s="279">
        <f t="shared" si="92"/>
        <v>92.85326213264014</v>
      </c>
      <c r="Y150" s="279">
        <f t="shared" si="92"/>
        <v>96.883241323076277</v>
      </c>
      <c r="Z150" s="279">
        <f t="shared" si="92"/>
        <v>99.109476150415574</v>
      </c>
      <c r="AA150" s="279">
        <f t="shared" si="92"/>
        <v>100.28884824413319</v>
      </c>
      <c r="AB150" s="279">
        <f t="shared" si="92"/>
        <v>100.40457853431093</v>
      </c>
      <c r="AC150" s="279">
        <f t="shared" si="92"/>
        <v>99.443618602073769</v>
      </c>
      <c r="AD150" s="279">
        <f t="shared" si="92"/>
        <v>97.396740955445807</v>
      </c>
      <c r="AE150" s="279">
        <f t="shared" si="92"/>
        <v>94.258629305205872</v>
      </c>
      <c r="AF150" s="279">
        <f t="shared" si="92"/>
        <v>90.027968840743156</v>
      </c>
      <c r="AG150" s="279">
        <f t="shared" si="92"/>
        <v>84.707536505912984</v>
      </c>
      <c r="AH150" s="230"/>
      <c r="AI150" s="398"/>
      <c r="AJ150" s="399"/>
      <c r="AL150" s="207"/>
      <c r="AM150" s="118"/>
      <c r="AN150" s="118"/>
      <c r="AO150" s="118"/>
      <c r="BD150" s="118"/>
      <c r="BE150" s="118"/>
      <c r="BF150" s="118"/>
      <c r="BG150" s="118"/>
      <c r="BH150" s="118"/>
      <c r="BI150" s="118"/>
      <c r="BJ150" s="118"/>
      <c r="BK150" s="118"/>
    </row>
    <row r="151" spans="1:63" outlineLevel="1">
      <c r="A151" s="4" t="s">
        <v>35</v>
      </c>
      <c r="C151" s="216">
        <f>C$150*'Methanol recycling rates'!E54</f>
        <v>0</v>
      </c>
      <c r="D151" s="216">
        <f>D$150*'Methanol recycling rates'!F54</f>
        <v>0</v>
      </c>
      <c r="E151" s="216">
        <f>E$150*'Methanol recycling rates'!G54</f>
        <v>0</v>
      </c>
      <c r="F151" s="216">
        <f>F$150*'Methanol recycling rates'!H54</f>
        <v>0</v>
      </c>
      <c r="G151" s="216">
        <f>G$150*'Methanol recycling rates'!I54</f>
        <v>0</v>
      </c>
      <c r="H151" s="216">
        <f>H$150*'Methanol recycling rates'!J54</f>
        <v>0</v>
      </c>
      <c r="I151" s="216">
        <f>I$150*'Methanol recycling rates'!K54</f>
        <v>0</v>
      </c>
      <c r="J151" s="216">
        <f>J$150*'Methanol recycling rates'!L54</f>
        <v>0</v>
      </c>
      <c r="K151" s="216">
        <f>K$150*'Methanol recycling rates'!M54</f>
        <v>0</v>
      </c>
      <c r="L151" s="216">
        <f>L$150*'Methanol recycling rates'!N54</f>
        <v>0</v>
      </c>
      <c r="M151" s="216">
        <f>M$150*'Methanol recycling rates'!O54</f>
        <v>0</v>
      </c>
      <c r="N151" s="216">
        <f>N$150*'Methanol recycling rates'!P54</f>
        <v>0</v>
      </c>
      <c r="O151" s="216">
        <f>O$150*'Methanol recycling rates'!Q54</f>
        <v>0</v>
      </c>
      <c r="P151" s="216">
        <f>P$150*'Methanol recycling rates'!R54</f>
        <v>0</v>
      </c>
      <c r="Q151" s="216">
        <f>Q$150*'Methanol recycling rates'!S54</f>
        <v>0</v>
      </c>
      <c r="R151" s="216">
        <f>R$150*'Methanol recycling rates'!T54</f>
        <v>0</v>
      </c>
      <c r="S151" s="216">
        <f>S$150*'Methanol recycling rates'!U54</f>
        <v>0</v>
      </c>
      <c r="T151" s="216">
        <f>T$150*'Methanol recycling rates'!V54</f>
        <v>0</v>
      </c>
      <c r="U151" s="216">
        <f>U$150*'Methanol recycling rates'!W54</f>
        <v>0</v>
      </c>
      <c r="V151" s="216">
        <f>V$150*'Methanol recycling rates'!X54</f>
        <v>0</v>
      </c>
      <c r="W151" s="216">
        <f>W$150*'Methanol recycling rates'!Y54</f>
        <v>0</v>
      </c>
      <c r="X151" s="216">
        <f>X$150*'Methanol recycling rates'!Z54</f>
        <v>0</v>
      </c>
      <c r="Y151" s="216">
        <f>Y$150*'Methanol recycling rates'!AA54</f>
        <v>0</v>
      </c>
      <c r="Z151" s="216">
        <f>Z$150*'Methanol recycling rates'!AB54</f>
        <v>0</v>
      </c>
      <c r="AA151" s="216">
        <f>AA$150*'Methanol recycling rates'!AC54</f>
        <v>0</v>
      </c>
      <c r="AB151" s="216">
        <f>AB$150*'Methanol recycling rates'!AD54</f>
        <v>0</v>
      </c>
      <c r="AC151" s="216">
        <f>AC$150*'Methanol recycling rates'!AE54</f>
        <v>0</v>
      </c>
      <c r="AD151" s="216">
        <f>AD$150*'Methanol recycling rates'!AF54</f>
        <v>0</v>
      </c>
      <c r="AE151" s="216">
        <f>AE$150*'Methanol recycling rates'!AG54</f>
        <v>0</v>
      </c>
      <c r="AF151" s="216">
        <f>AF$150*'Methanol recycling rates'!AH54</f>
        <v>0</v>
      </c>
      <c r="AG151" s="216">
        <f>AG$150*'Methanol recycling rates'!AI54</f>
        <v>0</v>
      </c>
      <c r="AH151" s="230"/>
      <c r="AI151" s="126"/>
      <c r="AJ151" s="198"/>
      <c r="AL151" s="102"/>
      <c r="AM151" s="2"/>
      <c r="AN151" s="2"/>
      <c r="AO151" s="2"/>
      <c r="BC151" s="1"/>
      <c r="BD151" s="2"/>
      <c r="BE151" s="2"/>
      <c r="BF151" s="2"/>
      <c r="BG151" s="2"/>
      <c r="BH151" s="2"/>
      <c r="BI151" s="2"/>
      <c r="BJ151" s="2"/>
      <c r="BK151" s="2"/>
    </row>
    <row r="152" spans="1:63" outlineLevel="1">
      <c r="A152" s="4" t="s">
        <v>160</v>
      </c>
      <c r="C152" s="216">
        <f>C$150*'Methanol recycling rates'!E55</f>
        <v>0</v>
      </c>
      <c r="D152" s="216">
        <f>D$150*'Methanol recycling rates'!F55</f>
        <v>6.5682257752268325E-2</v>
      </c>
      <c r="E152" s="216">
        <f>E$150*'Methanol recycling rates'!G55</f>
        <v>0.15789193616977579</v>
      </c>
      <c r="F152" s="216">
        <f>F$150*'Methanol recycling rates'!H55</f>
        <v>0.27631766214981673</v>
      </c>
      <c r="G152" s="216">
        <f>G$150*'Methanol recycling rates'!I55</f>
        <v>0.42040245897271278</v>
      </c>
      <c r="H152" s="216">
        <f>H$150*'Methanol recycling rates'!J55</f>
        <v>0.58934374630181285</v>
      </c>
      <c r="I152" s="216">
        <f>I$150*'Methanol recycling rates'!K55</f>
        <v>0.78209334018349352</v>
      </c>
      <c r="J152" s="216">
        <f>J$150*'Methanol recycling rates'!L55</f>
        <v>0.99735745304715795</v>
      </c>
      <c r="K152" s="216">
        <f>K$150*'Methanol recycling rates'!M55</f>
        <v>1.2335966937052374</v>
      </c>
      <c r="L152" s="216">
        <f>L$150*'Methanol recycling rates'!N55</f>
        <v>1.4890260673531905</v>
      </c>
      <c r="M152" s="216">
        <f>M$150*'Methanol recycling rates'!O55</f>
        <v>1.7616149755695025</v>
      </c>
      <c r="N152" s="216">
        <f>N$150*'Methanol recycling rates'!P55</f>
        <v>2.200439375456074</v>
      </c>
      <c r="O152" s="216">
        <f>O$150*'Methanol recycling rates'!Q55</f>
        <v>2.6742266198458697</v>
      </c>
      <c r="P152" s="216">
        <f>P$150*'Methanol recycling rates'!R55</f>
        <v>3.1672559630588277</v>
      </c>
      <c r="Q152" s="216">
        <f>Q$150*'Methanol recycling rates'!S55</f>
        <v>3.6812830630200062</v>
      </c>
      <c r="R152" s="216">
        <f>R$150*'Methanol recycling rates'!T55</f>
        <v>4.2101642098775418</v>
      </c>
      <c r="S152" s="216">
        <f>S$150*'Methanol recycling rates'!U55</f>
        <v>4.747324217062288</v>
      </c>
      <c r="T152" s="216">
        <f>T$150*'Methanol recycling rates'!V55</f>
        <v>5.2857667509369586</v>
      </c>
      <c r="U152" s="216">
        <f>U$150*'Methanol recycling rates'!W55</f>
        <v>5.8180848281661124</v>
      </c>
      <c r="V152" s="216">
        <f>V$150*'Methanol recycling rates'!X55</f>
        <v>6.3364714808069387</v>
      </c>
      <c r="W152" s="216">
        <f>W$150*'Methanol recycling rates'!Y55</f>
        <v>6.8327305891208931</v>
      </c>
      <c r="X152" s="216">
        <f>X$150*'Methanol recycling rates'!Z55</f>
        <v>7.5767970017203803</v>
      </c>
      <c r="Y152" s="216">
        <f>Y$150*'Methanol recycling rates'!AA55</f>
        <v>8.2821011814527008</v>
      </c>
      <c r="Z152" s="216">
        <f>Z$150*'Methanol recycling rates'!AB55</f>
        <v>8.8575213464559681</v>
      </c>
      <c r="AA152" s="216">
        <f>AA$150*'Methanol recycling rates'!AC55</f>
        <v>9.3526154183443655</v>
      </c>
      <c r="AB152" s="216">
        <f>AB$150*'Methanol recycling rates'!AD55</f>
        <v>9.7535500551787564</v>
      </c>
      <c r="AC152" s="216">
        <f>AC$150*'Methanol recycling rates'!AE55</f>
        <v>10.046608022231382</v>
      </c>
      <c r="AD152" s="216">
        <f>AD$150*'Methanol recycling rates'!AF55</f>
        <v>10.218270144117369</v>
      </c>
      <c r="AE152" s="216">
        <f>AE$150*'Methanol recycling rates'!AG55</f>
        <v>10.255299361635181</v>
      </c>
      <c r="AF152" s="216">
        <f>AF$150*'Methanol recycling rates'!AH55</f>
        <v>10.144826893316075</v>
      </c>
      <c r="AG152" s="216">
        <f>AG$150*'Methanol recycling rates'!AI55</f>
        <v>9.874440501682539</v>
      </c>
      <c r="AH152" s="230"/>
      <c r="AI152" s="126"/>
      <c r="AJ152" s="198"/>
      <c r="AL152" s="102"/>
      <c r="AM152" s="2"/>
      <c r="AN152" s="2"/>
      <c r="AO152" s="2"/>
      <c r="BC152" s="1"/>
      <c r="BD152" s="2"/>
      <c r="BE152" s="2"/>
      <c r="BF152" s="2"/>
      <c r="BG152" s="2"/>
      <c r="BH152" s="2"/>
      <c r="BI152" s="2"/>
      <c r="BJ152" s="2"/>
      <c r="BK152" s="2"/>
    </row>
    <row r="153" spans="1:63" outlineLevel="1">
      <c r="A153" s="4" t="s">
        <v>1159</v>
      </c>
      <c r="C153" s="216">
        <f>C$150*'Methanol recycling rates'!E56</f>
        <v>13.479210052145399</v>
      </c>
      <c r="D153" s="216">
        <f>D$150*'Methanol recycling rates'!F56</f>
        <v>16.837905075807612</v>
      </c>
      <c r="E153" s="216">
        <f>E$150*'Methanol recycling rates'!G56</f>
        <v>20.159163412148366</v>
      </c>
      <c r="F153" s="216">
        <f>F$150*'Methanol recycling rates'!H56</f>
        <v>23.427494670099161</v>
      </c>
      <c r="G153" s="216">
        <f>G$150*'Methanol recycling rates'!I56</f>
        <v>26.627654062208467</v>
      </c>
      <c r="H153" s="216">
        <f>H$150*'Methanol recycling rates'!J56</f>
        <v>29.74464240464172</v>
      </c>
      <c r="I153" s="216">
        <f>I$150*'Methanol recycling rates'!K56</f>
        <v>32.76370611718135</v>
      </c>
      <c r="J153" s="216">
        <f>J$150*'Methanol recycling rates'!L56</f>
        <v>35.670337223226731</v>
      </c>
      <c r="K153" s="216">
        <f>K$150*'Methanol recycling rates'!M56</f>
        <v>38.450273349794223</v>
      </c>
      <c r="L153" s="216">
        <f>L$150*'Methanol recycling rates'!N56</f>
        <v>41.08949772751717</v>
      </c>
      <c r="M153" s="216">
        <f>M$150*'Methanol recycling rates'!O56</f>
        <v>43.574239190645869</v>
      </c>
      <c r="N153" s="216">
        <f>N$150*'Methanol recycling rates'!P56</f>
        <v>49.280626686988924</v>
      </c>
      <c r="O153" s="216">
        <f>O$150*'Methanol recycling rates'!Q56</f>
        <v>54.677668150060249</v>
      </c>
      <c r="P153" s="216">
        <f>P$150*'Methanol recycling rates'!R56</f>
        <v>59.533188467261773</v>
      </c>
      <c r="Q153" s="216">
        <f>Q$150*'Methanol recycling rates'!S56</f>
        <v>63.989622167270326</v>
      </c>
      <c r="R153" s="216">
        <f>R$150*'Methanol recycling rates'!T56</f>
        <v>68.023323539291127</v>
      </c>
      <c r="S153" s="216">
        <f>S$150*'Methanol recycling rates'!U56</f>
        <v>71.611585565032669</v>
      </c>
      <c r="T153" s="216">
        <f>T$150*'Methanol recycling rates'!V56</f>
        <v>74.732636782992714</v>
      </c>
      <c r="U153" s="216">
        <f>U$150*'Methanol recycling rates'!W56</f>
        <v>77.365637985024136</v>
      </c>
      <c r="V153" s="216">
        <f>V$150*'Methanol recycling rates'!X56</f>
        <v>79.490678745179224</v>
      </c>
      <c r="W153" s="216">
        <f>W$150*'Methanol recycling rates'!Y56</f>
        <v>81.088773780833932</v>
      </c>
      <c r="X153" s="216">
        <f>X$150*'Methanol recycling rates'!Z56</f>
        <v>85.276465130919846</v>
      </c>
      <c r="Y153" s="216">
        <f>Y$150*'Methanol recycling rates'!AA56</f>
        <v>88.601140141623674</v>
      </c>
      <c r="Z153" s="216">
        <f>Z$150*'Methanol recycling rates'!AB56</f>
        <v>90.251954803959705</v>
      </c>
      <c r="AA153" s="216">
        <f>AA$150*'Methanol recycling rates'!AC56</f>
        <v>90.936232825788935</v>
      </c>
      <c r="AB153" s="216">
        <f>AB$150*'Methanol recycling rates'!AD56</f>
        <v>90.651028479132293</v>
      </c>
      <c r="AC153" s="216">
        <f>AC$150*'Methanol recycling rates'!AE56</f>
        <v>89.397010579842501</v>
      </c>
      <c r="AD153" s="216">
        <f>AD$150*'Methanol recycling rates'!AF56</f>
        <v>87.178470811328552</v>
      </c>
      <c r="AE153" s="216">
        <f>AE$150*'Methanol recycling rates'!AG56</f>
        <v>84.003329943570805</v>
      </c>
      <c r="AF153" s="216">
        <f>AF$150*'Methanol recycling rates'!AH56</f>
        <v>79.883141947427191</v>
      </c>
      <c r="AG153" s="216">
        <f>AG$150*'Methanol recycling rates'!AI56</f>
        <v>74.833096004230455</v>
      </c>
      <c r="AH153" s="230"/>
      <c r="AI153" s="126"/>
      <c r="AJ153" s="198"/>
      <c r="AL153" s="102"/>
      <c r="AM153" s="2"/>
      <c r="AN153" s="2"/>
      <c r="AO153" s="2"/>
      <c r="BC153" s="1"/>
      <c r="BD153" s="2"/>
      <c r="BE153" s="2"/>
      <c r="BF153" s="2"/>
      <c r="BG153" s="2"/>
      <c r="BH153" s="2"/>
      <c r="BI153" s="2"/>
      <c r="BJ153" s="2"/>
      <c r="BK153" s="2"/>
    </row>
    <row r="154" spans="1:63" s="1" customFormat="1" outlineLevel="1">
      <c r="A154" s="1" t="s">
        <v>1168</v>
      </c>
      <c r="B154" s="61"/>
      <c r="C154" s="279">
        <f>C150-$C150</f>
        <v>0</v>
      </c>
      <c r="D154" s="279">
        <f t="shared" ref="D154:AG154" si="93">D150-$C150</f>
        <v>3.4243772814144808</v>
      </c>
      <c r="E154" s="279">
        <f t="shared" si="93"/>
        <v>6.8378452961727394</v>
      </c>
      <c r="F154" s="279">
        <f t="shared" si="93"/>
        <v>10.224602280103577</v>
      </c>
      <c r="G154" s="279">
        <f t="shared" si="93"/>
        <v>13.568846469035774</v>
      </c>
      <c r="H154" s="279">
        <f t="shared" si="93"/>
        <v>16.854776098798126</v>
      </c>
      <c r="I154" s="279">
        <f t="shared" si="93"/>
        <v>20.066589405219439</v>
      </c>
      <c r="J154" s="279">
        <f t="shared" si="93"/>
        <v>23.188484624128478</v>
      </c>
      <c r="K154" s="279">
        <f t="shared" si="93"/>
        <v>26.204659991354049</v>
      </c>
      <c r="L154" s="279">
        <f t="shared" si="93"/>
        <v>29.099313742724945</v>
      </c>
      <c r="M154" s="279">
        <f t="shared" si="93"/>
        <v>31.856644114069951</v>
      </c>
      <c r="N154" s="279">
        <f t="shared" si="93"/>
        <v>38.001856010299576</v>
      </c>
      <c r="O154" s="279">
        <f t="shared" si="93"/>
        <v>43.872684717760691</v>
      </c>
      <c r="P154" s="279">
        <f t="shared" si="93"/>
        <v>49.221234378175168</v>
      </c>
      <c r="Q154" s="279">
        <f t="shared" si="93"/>
        <v>54.19169517814489</v>
      </c>
      <c r="R154" s="279">
        <f t="shared" si="93"/>
        <v>58.75427769702322</v>
      </c>
      <c r="S154" s="279">
        <f t="shared" si="93"/>
        <v>62.8796997299495</v>
      </c>
      <c r="T154" s="279">
        <f t="shared" si="93"/>
        <v>66.53919348178421</v>
      </c>
      <c r="U154" s="279">
        <f t="shared" si="93"/>
        <v>69.704512761044768</v>
      </c>
      <c r="V154" s="279">
        <f t="shared" si="93"/>
        <v>72.347940173840684</v>
      </c>
      <c r="W154" s="279">
        <f t="shared" si="93"/>
        <v>74.442294317809342</v>
      </c>
      <c r="X154" s="279">
        <f t="shared" si="93"/>
        <v>79.374052080494735</v>
      </c>
      <c r="Y154" s="279">
        <f t="shared" si="93"/>
        <v>83.404031270930872</v>
      </c>
      <c r="Z154" s="279">
        <f t="shared" si="93"/>
        <v>85.63026609827017</v>
      </c>
      <c r="AA154" s="279">
        <f t="shared" si="93"/>
        <v>86.809638191987787</v>
      </c>
      <c r="AB154" s="279">
        <f t="shared" si="93"/>
        <v>86.925368482165524</v>
      </c>
      <c r="AC154" s="279">
        <f t="shared" si="93"/>
        <v>85.964408549928365</v>
      </c>
      <c r="AD154" s="279">
        <f t="shared" si="93"/>
        <v>83.917530903300403</v>
      </c>
      <c r="AE154" s="279">
        <f t="shared" si="93"/>
        <v>80.779419253060468</v>
      </c>
      <c r="AF154" s="279">
        <f t="shared" si="93"/>
        <v>76.548758788597752</v>
      </c>
      <c r="AG154" s="279">
        <f t="shared" si="93"/>
        <v>71.228326453767579</v>
      </c>
      <c r="AH154" s="230"/>
      <c r="AI154" s="398"/>
      <c r="AJ154" s="399"/>
      <c r="AL154" s="207"/>
      <c r="AM154" s="118"/>
      <c r="AN154" s="118"/>
      <c r="AO154" s="118"/>
      <c r="BD154" s="118"/>
      <c r="BE154" s="118"/>
      <c r="BF154" s="118"/>
      <c r="BG154" s="118"/>
      <c r="BH154" s="118"/>
      <c r="BI154" s="118"/>
      <c r="BJ154" s="118"/>
      <c r="BK154" s="118"/>
    </row>
    <row r="155" spans="1:63" outlineLevel="1">
      <c r="A155" s="4" t="s">
        <v>35</v>
      </c>
      <c r="C155" s="216">
        <f t="shared" ref="C155" si="94">C151-$C151</f>
        <v>0</v>
      </c>
      <c r="D155" s="216">
        <f t="shared" ref="D155:AG155" si="95">D151-$C151</f>
        <v>0</v>
      </c>
      <c r="E155" s="216">
        <f t="shared" si="95"/>
        <v>0</v>
      </c>
      <c r="F155" s="216">
        <f t="shared" si="95"/>
        <v>0</v>
      </c>
      <c r="G155" s="216">
        <f t="shared" si="95"/>
        <v>0</v>
      </c>
      <c r="H155" s="216">
        <f t="shared" si="95"/>
        <v>0</v>
      </c>
      <c r="I155" s="216">
        <f t="shared" si="95"/>
        <v>0</v>
      </c>
      <c r="J155" s="216">
        <f t="shared" si="95"/>
        <v>0</v>
      </c>
      <c r="K155" s="216">
        <f t="shared" si="95"/>
        <v>0</v>
      </c>
      <c r="L155" s="216">
        <f t="shared" si="95"/>
        <v>0</v>
      </c>
      <c r="M155" s="216">
        <f t="shared" si="95"/>
        <v>0</v>
      </c>
      <c r="N155" s="216">
        <f t="shared" si="95"/>
        <v>0</v>
      </c>
      <c r="O155" s="216">
        <f t="shared" si="95"/>
        <v>0</v>
      </c>
      <c r="P155" s="216">
        <f t="shared" si="95"/>
        <v>0</v>
      </c>
      <c r="Q155" s="216">
        <f t="shared" si="95"/>
        <v>0</v>
      </c>
      <c r="R155" s="216">
        <f t="shared" si="95"/>
        <v>0</v>
      </c>
      <c r="S155" s="216">
        <f t="shared" si="95"/>
        <v>0</v>
      </c>
      <c r="T155" s="216">
        <f t="shared" si="95"/>
        <v>0</v>
      </c>
      <c r="U155" s="216">
        <f t="shared" si="95"/>
        <v>0</v>
      </c>
      <c r="V155" s="216">
        <f t="shared" si="95"/>
        <v>0</v>
      </c>
      <c r="W155" s="216">
        <f t="shared" si="95"/>
        <v>0</v>
      </c>
      <c r="X155" s="216">
        <f t="shared" si="95"/>
        <v>0</v>
      </c>
      <c r="Y155" s="216">
        <f t="shared" si="95"/>
        <v>0</v>
      </c>
      <c r="Z155" s="216">
        <f t="shared" si="95"/>
        <v>0</v>
      </c>
      <c r="AA155" s="216">
        <f t="shared" si="95"/>
        <v>0</v>
      </c>
      <c r="AB155" s="216">
        <f t="shared" si="95"/>
        <v>0</v>
      </c>
      <c r="AC155" s="216">
        <f t="shared" si="95"/>
        <v>0</v>
      </c>
      <c r="AD155" s="216">
        <f t="shared" si="95"/>
        <v>0</v>
      </c>
      <c r="AE155" s="216">
        <f t="shared" si="95"/>
        <v>0</v>
      </c>
      <c r="AF155" s="216">
        <f t="shared" si="95"/>
        <v>0</v>
      </c>
      <c r="AG155" s="216">
        <f t="shared" si="95"/>
        <v>0</v>
      </c>
      <c r="AH155" s="230"/>
      <c r="AI155" s="126"/>
      <c r="AJ155" s="198"/>
      <c r="AL155" s="102"/>
      <c r="AM155" s="2"/>
      <c r="AN155" s="2"/>
      <c r="AO155" s="2"/>
      <c r="BC155" s="1"/>
      <c r="BD155" s="2"/>
      <c r="BE155" s="2"/>
      <c r="BF155" s="2"/>
      <c r="BG155" s="2"/>
      <c r="BH155" s="2"/>
      <c r="BI155" s="2"/>
      <c r="BJ155" s="2"/>
      <c r="BK155" s="2"/>
    </row>
    <row r="156" spans="1:63" outlineLevel="1">
      <c r="A156" s="4" t="s">
        <v>160</v>
      </c>
      <c r="C156" s="216">
        <f t="shared" ref="C156" si="96">C152-$C152</f>
        <v>0</v>
      </c>
      <c r="D156" s="216">
        <f t="shared" ref="D156:AG156" si="97">D152-$C152</f>
        <v>6.5682257752268325E-2</v>
      </c>
      <c r="E156" s="216">
        <f t="shared" si="97"/>
        <v>0.15789193616977579</v>
      </c>
      <c r="F156" s="216">
        <f t="shared" si="97"/>
        <v>0.27631766214981673</v>
      </c>
      <c r="G156" s="216">
        <f t="shared" si="97"/>
        <v>0.42040245897271278</v>
      </c>
      <c r="H156" s="216">
        <f t="shared" si="97"/>
        <v>0.58934374630181285</v>
      </c>
      <c r="I156" s="216">
        <f t="shared" si="97"/>
        <v>0.78209334018349352</v>
      </c>
      <c r="J156" s="216">
        <f t="shared" si="97"/>
        <v>0.99735745304715795</v>
      </c>
      <c r="K156" s="216">
        <f t="shared" si="97"/>
        <v>1.2335966937052374</v>
      </c>
      <c r="L156" s="216">
        <f t="shared" si="97"/>
        <v>1.4890260673531905</v>
      </c>
      <c r="M156" s="216">
        <f t="shared" si="97"/>
        <v>1.7616149755695025</v>
      </c>
      <c r="N156" s="216">
        <f t="shared" si="97"/>
        <v>2.200439375456074</v>
      </c>
      <c r="O156" s="216">
        <f t="shared" si="97"/>
        <v>2.6742266198458697</v>
      </c>
      <c r="P156" s="216">
        <f t="shared" si="97"/>
        <v>3.1672559630588277</v>
      </c>
      <c r="Q156" s="216">
        <f t="shared" si="97"/>
        <v>3.6812830630200062</v>
      </c>
      <c r="R156" s="216">
        <f t="shared" si="97"/>
        <v>4.2101642098775418</v>
      </c>
      <c r="S156" s="216">
        <f t="shared" si="97"/>
        <v>4.747324217062288</v>
      </c>
      <c r="T156" s="216">
        <f t="shared" si="97"/>
        <v>5.2857667509369586</v>
      </c>
      <c r="U156" s="216">
        <f t="shared" si="97"/>
        <v>5.8180848281661124</v>
      </c>
      <c r="V156" s="216">
        <f t="shared" si="97"/>
        <v>6.3364714808069387</v>
      </c>
      <c r="W156" s="216">
        <f t="shared" si="97"/>
        <v>6.8327305891208931</v>
      </c>
      <c r="X156" s="216">
        <f t="shared" si="97"/>
        <v>7.5767970017203803</v>
      </c>
      <c r="Y156" s="216">
        <f t="shared" si="97"/>
        <v>8.2821011814527008</v>
      </c>
      <c r="Z156" s="216">
        <f t="shared" si="97"/>
        <v>8.8575213464559681</v>
      </c>
      <c r="AA156" s="216">
        <f t="shared" si="97"/>
        <v>9.3526154183443655</v>
      </c>
      <c r="AB156" s="216">
        <f t="shared" si="97"/>
        <v>9.7535500551787564</v>
      </c>
      <c r="AC156" s="216">
        <f t="shared" si="97"/>
        <v>10.046608022231382</v>
      </c>
      <c r="AD156" s="216">
        <f t="shared" si="97"/>
        <v>10.218270144117369</v>
      </c>
      <c r="AE156" s="216">
        <f t="shared" si="97"/>
        <v>10.255299361635181</v>
      </c>
      <c r="AF156" s="216">
        <f t="shared" si="97"/>
        <v>10.144826893316075</v>
      </c>
      <c r="AG156" s="216">
        <f t="shared" si="97"/>
        <v>9.874440501682539</v>
      </c>
      <c r="AH156" s="230"/>
      <c r="AI156" s="126"/>
      <c r="AJ156" s="198"/>
      <c r="AL156" s="102"/>
      <c r="AM156" s="2"/>
      <c r="AN156" s="2"/>
      <c r="AO156" s="2"/>
      <c r="BC156" s="1"/>
      <c r="BD156" s="2"/>
      <c r="BE156" s="2"/>
      <c r="BF156" s="2"/>
      <c r="BG156" s="2"/>
      <c r="BH156" s="2"/>
      <c r="BI156" s="2"/>
      <c r="BJ156" s="2"/>
      <c r="BK156" s="2"/>
    </row>
    <row r="157" spans="1:63" outlineLevel="1">
      <c r="A157" s="4" t="s">
        <v>1159</v>
      </c>
      <c r="C157" s="216">
        <f t="shared" ref="C157" si="98">C153-$C153</f>
        <v>0</v>
      </c>
      <c r="D157" s="216">
        <f t="shared" ref="D157:AG157" si="99">D153-$C153</f>
        <v>3.3586950236622126</v>
      </c>
      <c r="E157" s="216">
        <f t="shared" si="99"/>
        <v>6.6799533600029672</v>
      </c>
      <c r="F157" s="216">
        <f t="shared" si="99"/>
        <v>9.9482846179537621</v>
      </c>
      <c r="G157" s="216">
        <f t="shared" si="99"/>
        <v>13.148444010063068</v>
      </c>
      <c r="H157" s="216">
        <f t="shared" si="99"/>
        <v>16.265432352496319</v>
      </c>
      <c r="I157" s="216">
        <f t="shared" si="99"/>
        <v>19.284496065035952</v>
      </c>
      <c r="J157" s="216">
        <f t="shared" si="99"/>
        <v>22.191127171081334</v>
      </c>
      <c r="K157" s="216">
        <f t="shared" si="99"/>
        <v>24.971063297648826</v>
      </c>
      <c r="L157" s="216">
        <f t="shared" si="99"/>
        <v>27.610287675371772</v>
      </c>
      <c r="M157" s="216">
        <f t="shared" si="99"/>
        <v>30.095029138500472</v>
      </c>
      <c r="N157" s="216">
        <f t="shared" si="99"/>
        <v>35.801416634843527</v>
      </c>
      <c r="O157" s="216">
        <f t="shared" si="99"/>
        <v>41.198458097914852</v>
      </c>
      <c r="P157" s="216">
        <f t="shared" si="99"/>
        <v>46.053978415116376</v>
      </c>
      <c r="Q157" s="216">
        <f t="shared" si="99"/>
        <v>50.510412115124929</v>
      </c>
      <c r="R157" s="216">
        <f t="shared" si="99"/>
        <v>54.544113487145729</v>
      </c>
      <c r="S157" s="216">
        <f t="shared" si="99"/>
        <v>58.132375512887272</v>
      </c>
      <c r="T157" s="216">
        <f t="shared" si="99"/>
        <v>61.253426730847316</v>
      </c>
      <c r="U157" s="216">
        <f t="shared" si="99"/>
        <v>63.886427932878739</v>
      </c>
      <c r="V157" s="216">
        <f t="shared" si="99"/>
        <v>66.011468693033819</v>
      </c>
      <c r="W157" s="216">
        <f t="shared" si="99"/>
        <v>67.609563728688528</v>
      </c>
      <c r="X157" s="216">
        <f t="shared" si="99"/>
        <v>71.797255078774441</v>
      </c>
      <c r="Y157" s="216">
        <f t="shared" si="99"/>
        <v>75.121930089478269</v>
      </c>
      <c r="Z157" s="216">
        <f t="shared" si="99"/>
        <v>76.772744751814301</v>
      </c>
      <c r="AA157" s="216">
        <f t="shared" si="99"/>
        <v>77.45702277364353</v>
      </c>
      <c r="AB157" s="216">
        <f t="shared" si="99"/>
        <v>77.171818426986889</v>
      </c>
      <c r="AC157" s="216">
        <f t="shared" si="99"/>
        <v>75.917800527697096</v>
      </c>
      <c r="AD157" s="216">
        <f t="shared" si="99"/>
        <v>73.699260759183147</v>
      </c>
      <c r="AE157" s="216">
        <f t="shared" si="99"/>
        <v>70.5241198914254</v>
      </c>
      <c r="AF157" s="216">
        <f t="shared" si="99"/>
        <v>66.403931895281787</v>
      </c>
      <c r="AG157" s="216">
        <f t="shared" si="99"/>
        <v>61.353885952085058</v>
      </c>
      <c r="AH157" s="230"/>
      <c r="AI157" s="126"/>
      <c r="AJ157" s="198"/>
      <c r="AL157" s="102"/>
      <c r="AM157" s="2"/>
      <c r="AN157" s="2"/>
      <c r="AO157" s="2"/>
      <c r="BC157" s="1"/>
      <c r="BD157" s="2"/>
      <c r="BE157" s="2"/>
      <c r="BF157" s="2"/>
      <c r="BG157" s="2"/>
      <c r="BH157" s="2"/>
      <c r="BI157" s="2"/>
      <c r="BJ157" s="2"/>
      <c r="BK157" s="2"/>
    </row>
    <row r="158" spans="1:63" s="1" customFormat="1" outlineLevel="1">
      <c r="A158" s="1" t="s">
        <v>1162</v>
      </c>
      <c r="B158" s="61"/>
      <c r="C158" s="279">
        <f>C40*C132</f>
        <v>40.4376301564362</v>
      </c>
      <c r="D158" s="279">
        <f t="shared" ref="D158:AG158" si="100">D40*D132</f>
        <v>50.710762000679644</v>
      </c>
      <c r="E158" s="279">
        <f t="shared" si="100"/>
        <v>60.951166044954419</v>
      </c>
      <c r="F158" s="279">
        <f t="shared" si="100"/>
        <v>71.111436996746917</v>
      </c>
      <c r="G158" s="279">
        <f t="shared" si="100"/>
        <v>81.144169563543528</v>
      </c>
      <c r="H158" s="279">
        <f t="shared" si="100"/>
        <v>91.001958452830564</v>
      </c>
      <c r="I158" s="279">
        <f t="shared" si="100"/>
        <v>100.63739837209451</v>
      </c>
      <c r="J158" s="279">
        <f t="shared" si="100"/>
        <v>110.00308402882162</v>
      </c>
      <c r="K158" s="279">
        <f t="shared" si="100"/>
        <v>119.05161013049835</v>
      </c>
      <c r="L158" s="279">
        <f t="shared" si="100"/>
        <v>127.73557138461103</v>
      </c>
      <c r="M158" s="279">
        <f t="shared" si="100"/>
        <v>136.00756249864605</v>
      </c>
      <c r="N158" s="279">
        <f t="shared" si="100"/>
        <v>154.44319818733493</v>
      </c>
      <c r="O158" s="279">
        <f t="shared" si="100"/>
        <v>172.05568430971826</v>
      </c>
      <c r="P158" s="279">
        <f t="shared" si="100"/>
        <v>188.10133329096166</v>
      </c>
      <c r="Q158" s="279">
        <f t="shared" si="100"/>
        <v>203.01271569087083</v>
      </c>
      <c r="R158" s="279">
        <f t="shared" si="100"/>
        <v>216.70046324750584</v>
      </c>
      <c r="S158" s="279">
        <f t="shared" si="100"/>
        <v>229.07672934628465</v>
      </c>
      <c r="T158" s="279">
        <f t="shared" si="100"/>
        <v>240.05521060178884</v>
      </c>
      <c r="U158" s="279">
        <f t="shared" si="100"/>
        <v>249.55116843957049</v>
      </c>
      <c r="V158" s="279">
        <f t="shared" si="100"/>
        <v>257.48145067795826</v>
      </c>
      <c r="W158" s="279">
        <f t="shared" si="100"/>
        <v>263.7645131098642</v>
      </c>
      <c r="X158" s="279">
        <f t="shared" si="100"/>
        <v>278.55978639792039</v>
      </c>
      <c r="Y158" s="279">
        <f t="shared" si="100"/>
        <v>290.64972396922883</v>
      </c>
      <c r="Z158" s="279">
        <f t="shared" si="100"/>
        <v>297.32842845124674</v>
      </c>
      <c r="AA158" s="279">
        <f t="shared" si="100"/>
        <v>300.86654473239957</v>
      </c>
      <c r="AB158" s="279">
        <f t="shared" si="100"/>
        <v>301.21373560293273</v>
      </c>
      <c r="AC158" s="279">
        <f t="shared" si="100"/>
        <v>298.33085580622128</v>
      </c>
      <c r="AD158" s="279">
        <f t="shared" si="100"/>
        <v>292.19022286633742</v>
      </c>
      <c r="AE158" s="279">
        <f t="shared" si="100"/>
        <v>282.7758879156176</v>
      </c>
      <c r="AF158" s="279">
        <f t="shared" si="100"/>
        <v>270.08390652222943</v>
      </c>
      <c r="AG158" s="279">
        <f t="shared" si="100"/>
        <v>254.12260951773894</v>
      </c>
      <c r="AH158" s="230"/>
      <c r="AI158" s="398"/>
      <c r="AJ158" s="399"/>
      <c r="AL158" s="207"/>
      <c r="AM158" s="118"/>
      <c r="AN158" s="118"/>
      <c r="AO158" s="118"/>
      <c r="BD158" s="118"/>
      <c r="BE158" s="118"/>
      <c r="BF158" s="118"/>
      <c r="BG158" s="118"/>
      <c r="BH158" s="118"/>
      <c r="BI158" s="118"/>
      <c r="BJ158" s="118"/>
      <c r="BK158" s="118"/>
    </row>
    <row r="159" spans="1:63" outlineLevel="1">
      <c r="A159" s="4" t="s">
        <v>35</v>
      </c>
      <c r="C159" s="216">
        <f>C$158*'Methanol recycling rates'!E57</f>
        <v>0</v>
      </c>
      <c r="D159" s="216">
        <f>D$158*'Methanol recycling rates'!F57</f>
        <v>0</v>
      </c>
      <c r="E159" s="216">
        <f>E$158*'Methanol recycling rates'!G57</f>
        <v>0</v>
      </c>
      <c r="F159" s="216">
        <f>F$158*'Methanol recycling rates'!H57</f>
        <v>0</v>
      </c>
      <c r="G159" s="216">
        <f>G$158*'Methanol recycling rates'!I57</f>
        <v>0</v>
      </c>
      <c r="H159" s="216">
        <f>H$158*'Methanol recycling rates'!J57</f>
        <v>0</v>
      </c>
      <c r="I159" s="216">
        <f>I$158*'Methanol recycling rates'!K57</f>
        <v>0</v>
      </c>
      <c r="J159" s="216">
        <f>J$158*'Methanol recycling rates'!L57</f>
        <v>0</v>
      </c>
      <c r="K159" s="216">
        <f>K$158*'Methanol recycling rates'!M57</f>
        <v>0</v>
      </c>
      <c r="L159" s="216">
        <f>L$158*'Methanol recycling rates'!N57</f>
        <v>0</v>
      </c>
      <c r="M159" s="216">
        <f>M$158*'Methanol recycling rates'!O57</f>
        <v>0</v>
      </c>
      <c r="N159" s="216">
        <f>N$158*'Methanol recycling rates'!P57</f>
        <v>0</v>
      </c>
      <c r="O159" s="216">
        <f>O$158*'Methanol recycling rates'!Q57</f>
        <v>0</v>
      </c>
      <c r="P159" s="216">
        <f>P$158*'Methanol recycling rates'!R57</f>
        <v>0</v>
      </c>
      <c r="Q159" s="216">
        <f>Q$158*'Methanol recycling rates'!S57</f>
        <v>0</v>
      </c>
      <c r="R159" s="216">
        <f>R$158*'Methanol recycling rates'!T57</f>
        <v>0</v>
      </c>
      <c r="S159" s="216">
        <f>S$158*'Methanol recycling rates'!U57</f>
        <v>0</v>
      </c>
      <c r="T159" s="216">
        <f>T$158*'Methanol recycling rates'!V57</f>
        <v>0</v>
      </c>
      <c r="U159" s="216">
        <f>U$158*'Methanol recycling rates'!W57</f>
        <v>0</v>
      </c>
      <c r="V159" s="216">
        <f>V$158*'Methanol recycling rates'!X57</f>
        <v>0</v>
      </c>
      <c r="W159" s="216">
        <f>W$158*'Methanol recycling rates'!Y57</f>
        <v>0</v>
      </c>
      <c r="X159" s="216">
        <f>X$158*'Methanol recycling rates'!Z57</f>
        <v>0</v>
      </c>
      <c r="Y159" s="216">
        <f>Y$158*'Methanol recycling rates'!AA57</f>
        <v>0</v>
      </c>
      <c r="Z159" s="216">
        <f>Z$158*'Methanol recycling rates'!AB57</f>
        <v>0</v>
      </c>
      <c r="AA159" s="216">
        <f>AA$158*'Methanol recycling rates'!AC57</f>
        <v>0</v>
      </c>
      <c r="AB159" s="216">
        <f>AB$158*'Methanol recycling rates'!AD57</f>
        <v>0</v>
      </c>
      <c r="AC159" s="216">
        <f>AC$158*'Methanol recycling rates'!AE57</f>
        <v>0</v>
      </c>
      <c r="AD159" s="216">
        <f>AD$158*'Methanol recycling rates'!AF57</f>
        <v>0</v>
      </c>
      <c r="AE159" s="216">
        <f>AE$158*'Methanol recycling rates'!AG57</f>
        <v>0</v>
      </c>
      <c r="AF159" s="216">
        <f>AF$158*'Methanol recycling rates'!AH57</f>
        <v>0</v>
      </c>
      <c r="AG159" s="216">
        <f>AG$158*'Methanol recycling rates'!AI57</f>
        <v>0</v>
      </c>
      <c r="AH159" s="230"/>
      <c r="AI159" s="126"/>
      <c r="AJ159" s="198"/>
      <c r="AL159" s="102"/>
      <c r="AM159" s="2"/>
      <c r="AN159" s="2"/>
      <c r="AO159" s="2"/>
      <c r="BC159" s="1"/>
      <c r="BD159" s="2"/>
      <c r="BE159" s="2"/>
      <c r="BF159" s="2"/>
      <c r="BG159" s="2"/>
      <c r="BH159" s="2"/>
      <c r="BI159" s="2"/>
      <c r="BJ159" s="2"/>
      <c r="BK159" s="2"/>
    </row>
    <row r="160" spans="1:63" outlineLevel="1">
      <c r="A160" s="4" t="s">
        <v>160</v>
      </c>
      <c r="C160" s="216">
        <f>C$158*'Methanol recycling rates'!E58</f>
        <v>0</v>
      </c>
      <c r="D160" s="216">
        <f>D$158*'Methanol recycling rates'!F58</f>
        <v>0.19704677325680497</v>
      </c>
      <c r="E160" s="216">
        <f>E$158*'Methanol recycling rates'!G58</f>
        <v>0.47367580850932739</v>
      </c>
      <c r="F160" s="216">
        <f>F$158*'Methanol recycling rates'!H58</f>
        <v>0.82895298644945015</v>
      </c>
      <c r="G160" s="216">
        <f>G$158*'Methanol recycling rates'!I58</f>
        <v>1.2612073769181384</v>
      </c>
      <c r="H160" s="216">
        <f>H$158*'Methanol recycling rates'!J58</f>
        <v>1.7680312389054382</v>
      </c>
      <c r="I160" s="216">
        <f>I$158*'Methanol recycling rates'!K58</f>
        <v>2.3462800205504806</v>
      </c>
      <c r="J160" s="216">
        <f>J$158*'Methanol recycling rates'!L58</f>
        <v>2.9920723591414733</v>
      </c>
      <c r="K160" s="216">
        <f>K$158*'Methanol recycling rates'!M58</f>
        <v>3.7007900811157124</v>
      </c>
      <c r="L160" s="216">
        <f>L$158*'Methanol recycling rates'!N58</f>
        <v>4.4670782020595716</v>
      </c>
      <c r="M160" s="216">
        <f>M$158*'Methanol recycling rates'!O58</f>
        <v>5.2848449267085078</v>
      </c>
      <c r="N160" s="216">
        <f>N$158*'Methanol recycling rates'!P58</f>
        <v>6.6013181263682217</v>
      </c>
      <c r="O160" s="216">
        <f>O$158*'Methanol recycling rates'!Q58</f>
        <v>8.0226798595376092</v>
      </c>
      <c r="P160" s="216">
        <f>P$158*'Methanol recycling rates'!R58</f>
        <v>9.5017678891764827</v>
      </c>
      <c r="Q160" s="216">
        <f>Q$158*'Methanol recycling rates'!S58</f>
        <v>11.043849189060017</v>
      </c>
      <c r="R160" s="216">
        <f>R$158*'Methanol recycling rates'!T58</f>
        <v>12.630492629632624</v>
      </c>
      <c r="S160" s="216">
        <f>S$158*'Methanol recycling rates'!U58</f>
        <v>14.241972651186863</v>
      </c>
      <c r="T160" s="216">
        <f>T$158*'Methanol recycling rates'!V58</f>
        <v>15.857300252810875</v>
      </c>
      <c r="U160" s="216">
        <f>U$158*'Methanol recycling rates'!W58</f>
        <v>17.454254484498335</v>
      </c>
      <c r="V160" s="216">
        <f>V$158*'Methanol recycling rates'!X58</f>
        <v>19.009414442420816</v>
      </c>
      <c r="W160" s="216">
        <f>W$158*'Methanol recycling rates'!Y58</f>
        <v>20.498191767362677</v>
      </c>
      <c r="X160" s="216">
        <f>X$158*'Methanol recycling rates'!Z58</f>
        <v>22.730391005161138</v>
      </c>
      <c r="Y160" s="216">
        <f>Y$158*'Methanol recycling rates'!AA58</f>
        <v>24.846303544358101</v>
      </c>
      <c r="Z160" s="216">
        <f>Z$158*'Methanol recycling rates'!AB58</f>
        <v>26.572564039367904</v>
      </c>
      <c r="AA160" s="216">
        <f>AA$158*'Methanol recycling rates'!AC58</f>
        <v>28.057846255033095</v>
      </c>
      <c r="AB160" s="216">
        <f>AB$158*'Methanol recycling rates'!AD58</f>
        <v>29.260650165536262</v>
      </c>
      <c r="AC160" s="216">
        <f>AC$158*'Methanol recycling rates'!AE58</f>
        <v>30.139824066694143</v>
      </c>
      <c r="AD160" s="216">
        <f>AD$158*'Methanol recycling rates'!AF58</f>
        <v>30.654810432352104</v>
      </c>
      <c r="AE160" s="216">
        <f>AE$158*'Methanol recycling rates'!AG58</f>
        <v>30.765898084905544</v>
      </c>
      <c r="AF160" s="216">
        <f>AF$158*'Methanol recycling rates'!AH58</f>
        <v>30.434480679948223</v>
      </c>
      <c r="AG160" s="216">
        <f>AG$158*'Methanol recycling rates'!AI58</f>
        <v>29.623321505047617</v>
      </c>
      <c r="AH160" s="230"/>
      <c r="AI160" s="126"/>
      <c r="AJ160" s="198"/>
      <c r="AL160" s="102"/>
      <c r="AM160" s="2"/>
      <c r="AN160" s="2"/>
      <c r="AO160" s="2"/>
      <c r="BC160" s="1"/>
      <c r="BD160" s="2"/>
      <c r="BE160" s="2"/>
      <c r="BF160" s="2"/>
      <c r="BG160" s="2"/>
      <c r="BH160" s="2"/>
      <c r="BI160" s="2"/>
      <c r="BJ160" s="2"/>
      <c r="BK160" s="2"/>
    </row>
    <row r="161" spans="1:63" outlineLevel="1">
      <c r="A161" s="4" t="s">
        <v>1159</v>
      </c>
      <c r="C161" s="216">
        <f>C$158*'Methanol recycling rates'!E59</f>
        <v>40.4376301564362</v>
      </c>
      <c r="D161" s="216">
        <f>D$158*'Methanol recycling rates'!F59</f>
        <v>50.513715227422843</v>
      </c>
      <c r="E161" s="216">
        <f>E$158*'Methanol recycling rates'!G59</f>
        <v>60.477490236445099</v>
      </c>
      <c r="F161" s="216">
        <f>F$158*'Methanol recycling rates'!H59</f>
        <v>70.28248401029748</v>
      </c>
      <c r="G161" s="216">
        <f>G$158*'Methanol recycling rates'!I59</f>
        <v>79.882962186625406</v>
      </c>
      <c r="H161" s="216">
        <f>H$158*'Methanol recycling rates'!J59</f>
        <v>89.233927213925142</v>
      </c>
      <c r="I161" s="216">
        <f>I$158*'Methanol recycling rates'!K59</f>
        <v>98.291118351544057</v>
      </c>
      <c r="J161" s="216">
        <f>J$158*'Methanol recycling rates'!L59</f>
        <v>107.01101166968019</v>
      </c>
      <c r="K161" s="216">
        <f>K$158*'Methanol recycling rates'!M59</f>
        <v>115.35082004938268</v>
      </c>
      <c r="L161" s="216">
        <f>L$158*'Methanol recycling rates'!N59</f>
        <v>123.26849318255151</v>
      </c>
      <c r="M161" s="216">
        <f>M$158*'Methanol recycling rates'!O59</f>
        <v>130.72271757193761</v>
      </c>
      <c r="N161" s="216">
        <f>N$158*'Methanol recycling rates'!P59</f>
        <v>147.84188006096679</v>
      </c>
      <c r="O161" s="216">
        <f>O$158*'Methanol recycling rates'!Q59</f>
        <v>164.03300445018075</v>
      </c>
      <c r="P161" s="216">
        <f>P$158*'Methanol recycling rates'!R59</f>
        <v>178.5995654017853</v>
      </c>
      <c r="Q161" s="216">
        <f>Q$158*'Methanol recycling rates'!S59</f>
        <v>191.96886650181096</v>
      </c>
      <c r="R161" s="216">
        <f>R$158*'Methanol recycling rates'!T59</f>
        <v>204.06997061787337</v>
      </c>
      <c r="S161" s="216">
        <f>S$158*'Methanol recycling rates'!U59</f>
        <v>214.83475669509795</v>
      </c>
      <c r="T161" s="216">
        <f>T$158*'Methanol recycling rates'!V59</f>
        <v>224.19791034897816</v>
      </c>
      <c r="U161" s="216">
        <f>U$158*'Methanol recycling rates'!W59</f>
        <v>232.09691395507235</v>
      </c>
      <c r="V161" s="216">
        <f>V$158*'Methanol recycling rates'!X59</f>
        <v>238.47203623553767</v>
      </c>
      <c r="W161" s="216">
        <f>W$158*'Methanol recycling rates'!Y59</f>
        <v>243.26632134250175</v>
      </c>
      <c r="X161" s="216">
        <f>X$158*'Methanol recycling rates'!Z59</f>
        <v>255.82939539275952</v>
      </c>
      <c r="Y161" s="216">
        <f>Y$158*'Methanol recycling rates'!AA59</f>
        <v>265.80342042487104</v>
      </c>
      <c r="Z161" s="216">
        <f>Z$158*'Methanol recycling rates'!AB59</f>
        <v>270.75586441187914</v>
      </c>
      <c r="AA161" s="216">
        <f>AA$158*'Methanol recycling rates'!AC59</f>
        <v>272.80869847736682</v>
      </c>
      <c r="AB161" s="216">
        <f>AB$158*'Methanol recycling rates'!AD59</f>
        <v>271.95308543739679</v>
      </c>
      <c r="AC161" s="216">
        <f>AC$158*'Methanol recycling rates'!AE59</f>
        <v>268.19103173952749</v>
      </c>
      <c r="AD161" s="216">
        <f>AD$158*'Methanol recycling rates'!AF59</f>
        <v>261.5354124339857</v>
      </c>
      <c r="AE161" s="216">
        <f>AE$158*'Methanol recycling rates'!AG59</f>
        <v>252.00998983071241</v>
      </c>
      <c r="AF161" s="216">
        <f>AF$158*'Methanol recycling rates'!AH59</f>
        <v>239.64942584228154</v>
      </c>
      <c r="AG161" s="216">
        <f>AG$158*'Methanol recycling rates'!AI59</f>
        <v>224.49928801269132</v>
      </c>
      <c r="AH161" s="230"/>
      <c r="AI161" s="126"/>
      <c r="AJ161" s="198"/>
      <c r="AL161" s="102"/>
      <c r="AM161" s="2"/>
      <c r="AN161" s="2"/>
      <c r="AO161" s="2"/>
      <c r="BC161" s="1"/>
      <c r="BD161" s="2"/>
      <c r="BE161" s="2"/>
      <c r="BF161" s="2"/>
      <c r="BG161" s="2"/>
      <c r="BH161" s="2"/>
      <c r="BI161" s="2"/>
      <c r="BJ161" s="2"/>
      <c r="BK161" s="2"/>
    </row>
    <row r="162" spans="1:63" s="1" customFormat="1" outlineLevel="1">
      <c r="A162" s="1" t="s">
        <v>1165</v>
      </c>
      <c r="B162" s="61"/>
      <c r="C162" s="279">
        <f>C158-$C158</f>
        <v>0</v>
      </c>
      <c r="D162" s="279">
        <f t="shared" ref="D162:AG162" si="101">D158-$C158</f>
        <v>10.273131844243444</v>
      </c>
      <c r="E162" s="279">
        <f t="shared" si="101"/>
        <v>20.51353588851822</v>
      </c>
      <c r="F162" s="279">
        <f t="shared" si="101"/>
        <v>30.673806840310718</v>
      </c>
      <c r="G162" s="279">
        <f t="shared" si="101"/>
        <v>40.706539407107329</v>
      </c>
      <c r="H162" s="279">
        <f t="shared" si="101"/>
        <v>50.564328296394365</v>
      </c>
      <c r="I162" s="279">
        <f t="shared" si="101"/>
        <v>60.19976821565831</v>
      </c>
      <c r="J162" s="279">
        <f t="shared" si="101"/>
        <v>69.565453872385419</v>
      </c>
      <c r="K162" s="279">
        <f t="shared" si="101"/>
        <v>78.613979974062147</v>
      </c>
      <c r="L162" s="279">
        <f t="shared" si="101"/>
        <v>87.297941228174835</v>
      </c>
      <c r="M162" s="279">
        <f t="shared" si="101"/>
        <v>95.569932342209853</v>
      </c>
      <c r="N162" s="279">
        <f t="shared" si="101"/>
        <v>114.00556803089873</v>
      </c>
      <c r="O162" s="279">
        <f t="shared" si="101"/>
        <v>131.61805415328206</v>
      </c>
      <c r="P162" s="279">
        <f t="shared" si="101"/>
        <v>147.66370313452546</v>
      </c>
      <c r="Q162" s="279">
        <f t="shared" si="101"/>
        <v>162.57508553443463</v>
      </c>
      <c r="R162" s="279">
        <f t="shared" si="101"/>
        <v>176.26283309106964</v>
      </c>
      <c r="S162" s="279">
        <f t="shared" si="101"/>
        <v>188.63909918984845</v>
      </c>
      <c r="T162" s="279">
        <f t="shared" si="101"/>
        <v>199.61758044535264</v>
      </c>
      <c r="U162" s="279">
        <f t="shared" si="101"/>
        <v>209.11353828313429</v>
      </c>
      <c r="V162" s="279">
        <f t="shared" si="101"/>
        <v>217.04382052152206</v>
      </c>
      <c r="W162" s="279">
        <f t="shared" si="101"/>
        <v>223.326882953428</v>
      </c>
      <c r="X162" s="279">
        <f t="shared" si="101"/>
        <v>238.12215624148419</v>
      </c>
      <c r="Y162" s="279">
        <f t="shared" si="101"/>
        <v>250.21209381279263</v>
      </c>
      <c r="Z162" s="279">
        <f t="shared" si="101"/>
        <v>256.89079829481057</v>
      </c>
      <c r="AA162" s="279">
        <f t="shared" si="101"/>
        <v>260.4289145759634</v>
      </c>
      <c r="AB162" s="279">
        <f t="shared" si="101"/>
        <v>260.77610544649656</v>
      </c>
      <c r="AC162" s="279">
        <f t="shared" si="101"/>
        <v>257.89322564978511</v>
      </c>
      <c r="AD162" s="279">
        <f t="shared" si="101"/>
        <v>251.75259270990122</v>
      </c>
      <c r="AE162" s="279">
        <f t="shared" si="101"/>
        <v>242.3382577591814</v>
      </c>
      <c r="AF162" s="279">
        <f t="shared" si="101"/>
        <v>229.64627636579323</v>
      </c>
      <c r="AG162" s="279">
        <f t="shared" si="101"/>
        <v>213.68497936130274</v>
      </c>
      <c r="AH162" s="230"/>
      <c r="AI162" s="398"/>
      <c r="AJ162" s="399"/>
      <c r="AL162" s="207"/>
      <c r="AM162" s="118"/>
      <c r="AN162" s="118"/>
      <c r="AO162" s="118"/>
      <c r="BD162" s="118"/>
      <c r="BE162" s="118"/>
      <c r="BF162" s="118"/>
      <c r="BG162" s="118"/>
      <c r="BH162" s="118"/>
      <c r="BI162" s="118"/>
      <c r="BJ162" s="118"/>
      <c r="BK162" s="118"/>
    </row>
    <row r="163" spans="1:63" outlineLevel="1">
      <c r="A163" s="4" t="s">
        <v>35</v>
      </c>
      <c r="C163" s="216">
        <f t="shared" ref="C163" si="102">C159-$C159</f>
        <v>0</v>
      </c>
      <c r="D163" s="216">
        <f t="shared" ref="D163:AG163" si="103">D159-$C159</f>
        <v>0</v>
      </c>
      <c r="E163" s="216">
        <f t="shared" si="103"/>
        <v>0</v>
      </c>
      <c r="F163" s="216">
        <f t="shared" si="103"/>
        <v>0</v>
      </c>
      <c r="G163" s="216">
        <f t="shared" si="103"/>
        <v>0</v>
      </c>
      <c r="H163" s="216">
        <f t="shared" si="103"/>
        <v>0</v>
      </c>
      <c r="I163" s="216">
        <f t="shared" si="103"/>
        <v>0</v>
      </c>
      <c r="J163" s="216">
        <f t="shared" si="103"/>
        <v>0</v>
      </c>
      <c r="K163" s="216">
        <f t="shared" si="103"/>
        <v>0</v>
      </c>
      <c r="L163" s="216">
        <f t="shared" si="103"/>
        <v>0</v>
      </c>
      <c r="M163" s="216">
        <f t="shared" si="103"/>
        <v>0</v>
      </c>
      <c r="N163" s="216">
        <f t="shared" si="103"/>
        <v>0</v>
      </c>
      <c r="O163" s="216">
        <f t="shared" si="103"/>
        <v>0</v>
      </c>
      <c r="P163" s="216">
        <f t="shared" si="103"/>
        <v>0</v>
      </c>
      <c r="Q163" s="216">
        <f t="shared" si="103"/>
        <v>0</v>
      </c>
      <c r="R163" s="216">
        <f t="shared" si="103"/>
        <v>0</v>
      </c>
      <c r="S163" s="216">
        <f t="shared" si="103"/>
        <v>0</v>
      </c>
      <c r="T163" s="216">
        <f t="shared" si="103"/>
        <v>0</v>
      </c>
      <c r="U163" s="216">
        <f t="shared" si="103"/>
        <v>0</v>
      </c>
      <c r="V163" s="216">
        <f t="shared" si="103"/>
        <v>0</v>
      </c>
      <c r="W163" s="216">
        <f t="shared" si="103"/>
        <v>0</v>
      </c>
      <c r="X163" s="216">
        <f t="shared" si="103"/>
        <v>0</v>
      </c>
      <c r="Y163" s="216">
        <f t="shared" si="103"/>
        <v>0</v>
      </c>
      <c r="Z163" s="216">
        <f t="shared" si="103"/>
        <v>0</v>
      </c>
      <c r="AA163" s="216">
        <f t="shared" si="103"/>
        <v>0</v>
      </c>
      <c r="AB163" s="216">
        <f t="shared" si="103"/>
        <v>0</v>
      </c>
      <c r="AC163" s="216">
        <f t="shared" si="103"/>
        <v>0</v>
      </c>
      <c r="AD163" s="216">
        <f t="shared" si="103"/>
        <v>0</v>
      </c>
      <c r="AE163" s="216">
        <f t="shared" si="103"/>
        <v>0</v>
      </c>
      <c r="AF163" s="216">
        <f t="shared" si="103"/>
        <v>0</v>
      </c>
      <c r="AG163" s="216">
        <f t="shared" si="103"/>
        <v>0</v>
      </c>
      <c r="AH163" s="230"/>
      <c r="AI163" s="126"/>
      <c r="AJ163" s="198"/>
      <c r="AL163" s="102"/>
      <c r="AM163" s="2"/>
      <c r="AN163" s="2"/>
      <c r="AO163" s="2"/>
      <c r="BC163" s="1"/>
      <c r="BD163" s="2"/>
      <c r="BE163" s="2"/>
      <c r="BF163" s="2"/>
      <c r="BG163" s="2"/>
      <c r="BH163" s="2"/>
      <c r="BI163" s="2"/>
      <c r="BJ163" s="2"/>
      <c r="BK163" s="2"/>
    </row>
    <row r="164" spans="1:63" outlineLevel="1">
      <c r="A164" s="4" t="s">
        <v>160</v>
      </c>
      <c r="C164" s="216">
        <f t="shared" ref="C164" si="104">C160-$C160</f>
        <v>0</v>
      </c>
      <c r="D164" s="216">
        <f t="shared" ref="D164:AG164" si="105">D160-$C160</f>
        <v>0.19704677325680497</v>
      </c>
      <c r="E164" s="216">
        <f t="shared" si="105"/>
        <v>0.47367580850932739</v>
      </c>
      <c r="F164" s="216">
        <f t="shared" si="105"/>
        <v>0.82895298644945015</v>
      </c>
      <c r="G164" s="216">
        <f t="shared" si="105"/>
        <v>1.2612073769181384</v>
      </c>
      <c r="H164" s="216">
        <f t="shared" si="105"/>
        <v>1.7680312389054382</v>
      </c>
      <c r="I164" s="216">
        <f t="shared" si="105"/>
        <v>2.3462800205504806</v>
      </c>
      <c r="J164" s="216">
        <f t="shared" si="105"/>
        <v>2.9920723591414733</v>
      </c>
      <c r="K164" s="216">
        <f t="shared" si="105"/>
        <v>3.7007900811157124</v>
      </c>
      <c r="L164" s="216">
        <f t="shared" si="105"/>
        <v>4.4670782020595716</v>
      </c>
      <c r="M164" s="216">
        <f t="shared" si="105"/>
        <v>5.2848449267085078</v>
      </c>
      <c r="N164" s="216">
        <f t="shared" si="105"/>
        <v>6.6013181263682217</v>
      </c>
      <c r="O164" s="216">
        <f t="shared" si="105"/>
        <v>8.0226798595376092</v>
      </c>
      <c r="P164" s="216">
        <f t="shared" si="105"/>
        <v>9.5017678891764827</v>
      </c>
      <c r="Q164" s="216">
        <f t="shared" si="105"/>
        <v>11.043849189060017</v>
      </c>
      <c r="R164" s="216">
        <f t="shared" si="105"/>
        <v>12.630492629632624</v>
      </c>
      <c r="S164" s="216">
        <f t="shared" si="105"/>
        <v>14.241972651186863</v>
      </c>
      <c r="T164" s="216">
        <f t="shared" si="105"/>
        <v>15.857300252810875</v>
      </c>
      <c r="U164" s="216">
        <f t="shared" si="105"/>
        <v>17.454254484498335</v>
      </c>
      <c r="V164" s="216">
        <f t="shared" si="105"/>
        <v>19.009414442420816</v>
      </c>
      <c r="W164" s="216">
        <f t="shared" si="105"/>
        <v>20.498191767362677</v>
      </c>
      <c r="X164" s="216">
        <f t="shared" si="105"/>
        <v>22.730391005161138</v>
      </c>
      <c r="Y164" s="216">
        <f t="shared" si="105"/>
        <v>24.846303544358101</v>
      </c>
      <c r="Z164" s="216">
        <f t="shared" si="105"/>
        <v>26.572564039367904</v>
      </c>
      <c r="AA164" s="216">
        <f t="shared" si="105"/>
        <v>28.057846255033095</v>
      </c>
      <c r="AB164" s="216">
        <f t="shared" si="105"/>
        <v>29.260650165536262</v>
      </c>
      <c r="AC164" s="216">
        <f t="shared" si="105"/>
        <v>30.139824066694143</v>
      </c>
      <c r="AD164" s="216">
        <f t="shared" si="105"/>
        <v>30.654810432352104</v>
      </c>
      <c r="AE164" s="216">
        <f t="shared" si="105"/>
        <v>30.765898084905544</v>
      </c>
      <c r="AF164" s="216">
        <f t="shared" si="105"/>
        <v>30.434480679948223</v>
      </c>
      <c r="AG164" s="216">
        <f t="shared" si="105"/>
        <v>29.623321505047617</v>
      </c>
      <c r="AH164" s="230"/>
      <c r="AI164" s="126"/>
      <c r="AJ164" s="198"/>
      <c r="AL164" s="102"/>
      <c r="AM164" s="2"/>
      <c r="AN164" s="2"/>
      <c r="AO164" s="2"/>
      <c r="BC164" s="1"/>
      <c r="BD164" s="2"/>
      <c r="BE164" s="2"/>
      <c r="BF164" s="2"/>
      <c r="BG164" s="2"/>
      <c r="BH164" s="2"/>
      <c r="BI164" s="2"/>
      <c r="BJ164" s="2"/>
      <c r="BK164" s="2"/>
    </row>
    <row r="165" spans="1:63" outlineLevel="1">
      <c r="A165" s="4" t="s">
        <v>1159</v>
      </c>
      <c r="C165" s="216">
        <f t="shared" ref="C165" si="106">C161-$C161</f>
        <v>0</v>
      </c>
      <c r="D165" s="216">
        <f t="shared" ref="D165:AG165" si="107">D161-$C161</f>
        <v>10.076085070986643</v>
      </c>
      <c r="E165" s="216">
        <f t="shared" si="107"/>
        <v>20.0398600800089</v>
      </c>
      <c r="F165" s="216">
        <f t="shared" si="107"/>
        <v>29.844853853861281</v>
      </c>
      <c r="G165" s="216">
        <f t="shared" si="107"/>
        <v>39.445332030189206</v>
      </c>
      <c r="H165" s="216">
        <f t="shared" si="107"/>
        <v>48.796297057488943</v>
      </c>
      <c r="I165" s="216">
        <f t="shared" si="107"/>
        <v>57.853488195107857</v>
      </c>
      <c r="J165" s="216">
        <f t="shared" si="107"/>
        <v>66.573381513243987</v>
      </c>
      <c r="K165" s="216">
        <f t="shared" si="107"/>
        <v>74.913189892946477</v>
      </c>
      <c r="L165" s="216">
        <f t="shared" si="107"/>
        <v>82.83086302611531</v>
      </c>
      <c r="M165" s="216">
        <f t="shared" si="107"/>
        <v>90.285087415501408</v>
      </c>
      <c r="N165" s="216">
        <f t="shared" si="107"/>
        <v>107.40424990453059</v>
      </c>
      <c r="O165" s="216">
        <f t="shared" si="107"/>
        <v>123.59537429374456</v>
      </c>
      <c r="P165" s="216">
        <f t="shared" si="107"/>
        <v>138.1619352453491</v>
      </c>
      <c r="Q165" s="216">
        <f t="shared" si="107"/>
        <v>151.53123634537477</v>
      </c>
      <c r="R165" s="216">
        <f t="shared" si="107"/>
        <v>163.63234046143717</v>
      </c>
      <c r="S165" s="216">
        <f t="shared" si="107"/>
        <v>174.39712653866175</v>
      </c>
      <c r="T165" s="216">
        <f t="shared" si="107"/>
        <v>183.76028019254196</v>
      </c>
      <c r="U165" s="216">
        <f t="shared" si="107"/>
        <v>191.65928379863615</v>
      </c>
      <c r="V165" s="216">
        <f t="shared" si="107"/>
        <v>198.03440607910147</v>
      </c>
      <c r="W165" s="216">
        <f t="shared" si="107"/>
        <v>202.82869118606556</v>
      </c>
      <c r="X165" s="216">
        <f t="shared" si="107"/>
        <v>215.39176523632332</v>
      </c>
      <c r="Y165" s="216">
        <f t="shared" si="107"/>
        <v>225.36579026843484</v>
      </c>
      <c r="Z165" s="216">
        <f t="shared" si="107"/>
        <v>230.31823425544295</v>
      </c>
      <c r="AA165" s="216">
        <f t="shared" si="107"/>
        <v>232.37106832093062</v>
      </c>
      <c r="AB165" s="216">
        <f t="shared" si="107"/>
        <v>231.51545528096059</v>
      </c>
      <c r="AC165" s="216">
        <f t="shared" si="107"/>
        <v>227.75340158309129</v>
      </c>
      <c r="AD165" s="216">
        <f t="shared" si="107"/>
        <v>221.0977822775495</v>
      </c>
      <c r="AE165" s="216">
        <f t="shared" si="107"/>
        <v>211.57235967427621</v>
      </c>
      <c r="AF165" s="216">
        <f t="shared" si="107"/>
        <v>199.21179568584535</v>
      </c>
      <c r="AG165" s="216">
        <f t="shared" si="107"/>
        <v>184.06165785625512</v>
      </c>
      <c r="AH165" s="230"/>
      <c r="AI165" s="126"/>
      <c r="AJ165" s="198"/>
      <c r="AL165" s="102"/>
      <c r="AM165" s="2"/>
      <c r="AN165" s="2"/>
      <c r="AO165" s="2"/>
      <c r="BC165" s="1"/>
      <c r="BD165" s="2"/>
      <c r="BE165" s="2"/>
      <c r="BF165" s="2"/>
      <c r="BG165" s="2"/>
      <c r="BH165" s="2"/>
      <c r="BI165" s="2"/>
      <c r="BJ165" s="2"/>
      <c r="BK165" s="2"/>
    </row>
    <row r="166" spans="1:63" outlineLevel="1">
      <c r="C166" s="104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  <c r="AF166" s="22"/>
      <c r="AG166" s="22"/>
      <c r="AJ166" s="198"/>
      <c r="AM166" s="117"/>
      <c r="AN166" s="117"/>
    </row>
    <row r="167" spans="1:63" s="187" customFormat="1" ht="15.5" thickBot="1">
      <c r="A167" s="187" t="s">
        <v>447</v>
      </c>
      <c r="B167" s="202"/>
      <c r="C167" s="210">
        <f>C168</f>
        <v>0.13</v>
      </c>
      <c r="D167" s="210">
        <f t="shared" ref="D167:AG167" si="108">D168</f>
        <v>0.13557711853523402</v>
      </c>
      <c r="E167" s="210">
        <f t="shared" si="108"/>
        <v>0.14115423707046801</v>
      </c>
      <c r="F167" s="210">
        <f t="shared" si="108"/>
        <v>0.14673135560570202</v>
      </c>
      <c r="G167" s="210">
        <f t="shared" si="108"/>
        <v>0.15230847414093604</v>
      </c>
      <c r="H167" s="210">
        <f t="shared" si="108"/>
        <v>0.15788559267617003</v>
      </c>
      <c r="I167" s="210">
        <f t="shared" si="108"/>
        <v>0.16346271121140404</v>
      </c>
      <c r="J167" s="210">
        <f t="shared" si="108"/>
        <v>0.16903982974663806</v>
      </c>
      <c r="K167" s="210">
        <f t="shared" si="108"/>
        <v>0.17461694828187208</v>
      </c>
      <c r="L167" s="210">
        <f t="shared" si="108"/>
        <v>0.18019406681710606</v>
      </c>
      <c r="M167" s="210">
        <f t="shared" si="108"/>
        <v>0.18577118535234008</v>
      </c>
      <c r="N167" s="210">
        <f t="shared" si="108"/>
        <v>0.19752603518814099</v>
      </c>
      <c r="O167" s="210">
        <f t="shared" si="108"/>
        <v>0.20928088502394188</v>
      </c>
      <c r="P167" s="210">
        <f t="shared" si="108"/>
        <v>0.22103573485974279</v>
      </c>
      <c r="Q167" s="210">
        <f t="shared" si="108"/>
        <v>0.2327905846955437</v>
      </c>
      <c r="R167" s="210">
        <f t="shared" si="108"/>
        <v>0.24454543453134459</v>
      </c>
      <c r="S167" s="210">
        <f t="shared" si="108"/>
        <v>0.25630028436714547</v>
      </c>
      <c r="T167" s="210">
        <f t="shared" si="108"/>
        <v>0.26805513420294641</v>
      </c>
      <c r="U167" s="210">
        <f t="shared" si="108"/>
        <v>0.27980998403874729</v>
      </c>
      <c r="V167" s="210">
        <f t="shared" si="108"/>
        <v>0.29156483387454823</v>
      </c>
      <c r="W167" s="210">
        <f t="shared" si="108"/>
        <v>0.30331968371034912</v>
      </c>
      <c r="X167" s="210">
        <f t="shared" si="108"/>
        <v>0.3229877153393142</v>
      </c>
      <c r="Y167" s="210">
        <f t="shared" si="108"/>
        <v>0.34265574696827927</v>
      </c>
      <c r="Z167" s="210">
        <f t="shared" si="108"/>
        <v>0.36232377859724441</v>
      </c>
      <c r="AA167" s="210">
        <f t="shared" si="108"/>
        <v>0.38199181022620948</v>
      </c>
      <c r="AB167" s="210">
        <f t="shared" si="108"/>
        <v>0.40165984185517456</v>
      </c>
      <c r="AC167" s="210">
        <f t="shared" si="108"/>
        <v>0.42132787348413964</v>
      </c>
      <c r="AD167" s="210">
        <f t="shared" si="108"/>
        <v>0.44099590511310471</v>
      </c>
      <c r="AE167" s="210">
        <f t="shared" si="108"/>
        <v>0.46066393674206985</v>
      </c>
      <c r="AF167" s="210">
        <f t="shared" si="108"/>
        <v>0.48033196837103487</v>
      </c>
      <c r="AG167" s="210">
        <f t="shared" si="108"/>
        <v>0.5</v>
      </c>
      <c r="AJ167" s="217" t="s">
        <v>471</v>
      </c>
      <c r="AL167" s="204"/>
      <c r="AM167" s="211"/>
      <c r="AN167" s="211"/>
      <c r="AO167" s="211"/>
    </row>
    <row r="168" spans="1:63" ht="15.5" outlineLevel="1" thickTop="1">
      <c r="A168" t="s">
        <v>448</v>
      </c>
      <c r="B168" s="51" t="s">
        <v>126</v>
      </c>
      <c r="C168" s="201">
        <v>0.13</v>
      </c>
      <c r="D168" s="104">
        <f>$C168+($M168-$C168)/10*(D$1-$C$1)</f>
        <v>0.13557711853523402</v>
      </c>
      <c r="E168" s="104">
        <f t="shared" ref="E168:L168" si="109">$C168+($M168-$C168)/10*(E$1-$C$1)</f>
        <v>0.14115423707046801</v>
      </c>
      <c r="F168" s="104">
        <f t="shared" si="109"/>
        <v>0.14673135560570202</v>
      </c>
      <c r="G168" s="104">
        <f t="shared" si="109"/>
        <v>0.15230847414093604</v>
      </c>
      <c r="H168" s="104">
        <f t="shared" si="109"/>
        <v>0.15788559267617003</v>
      </c>
      <c r="I168" s="104">
        <f t="shared" si="109"/>
        <v>0.16346271121140404</v>
      </c>
      <c r="J168" s="104">
        <f t="shared" si="109"/>
        <v>0.16903982974663806</v>
      </c>
      <c r="K168" s="104">
        <f t="shared" si="109"/>
        <v>0.17461694828187208</v>
      </c>
      <c r="L168" s="104">
        <f t="shared" si="109"/>
        <v>0.18019406681710606</v>
      </c>
      <c r="M168" s="115">
        <f>(M$49-$C$49)/($AG$49-$C$49)*($AG168-$C168)+$C168</f>
        <v>0.18577118535234008</v>
      </c>
      <c r="N168" s="115">
        <f>$M168+($W168-$M168)/10*(N$1-$M$1)</f>
        <v>0.19752603518814099</v>
      </c>
      <c r="O168" s="115">
        <f t="shared" ref="O168:U168" si="110">$M168+($W168-$M168)/10*(O$1-$M$1)</f>
        <v>0.20928088502394188</v>
      </c>
      <c r="P168" s="115">
        <f t="shared" si="110"/>
        <v>0.22103573485974279</v>
      </c>
      <c r="Q168" s="115">
        <f t="shared" si="110"/>
        <v>0.2327905846955437</v>
      </c>
      <c r="R168" s="115">
        <f t="shared" si="110"/>
        <v>0.24454543453134459</v>
      </c>
      <c r="S168" s="115">
        <f t="shared" si="110"/>
        <v>0.25630028436714547</v>
      </c>
      <c r="T168" s="115">
        <f t="shared" si="110"/>
        <v>0.26805513420294641</v>
      </c>
      <c r="U168" s="115">
        <f t="shared" si="110"/>
        <v>0.27980998403874729</v>
      </c>
      <c r="V168" s="115">
        <f>$M168+($W168-$M168)/10*(V$1-$M$1)</f>
        <v>0.29156483387454823</v>
      </c>
      <c r="W168" s="115">
        <f>(W$49-$C$49)/($AG$49-$C$49)*($AG168-$C168)+$C168</f>
        <v>0.30331968371034912</v>
      </c>
      <c r="X168" s="104">
        <f>$W168+($AG168-$W168)/10*(X$1-$W$1)</f>
        <v>0.3229877153393142</v>
      </c>
      <c r="Y168" s="104">
        <f t="shared" ref="Y168:AF168" si="111">$W168+($AG168-$W168)/10*(Y$1-$W$1)</f>
        <v>0.34265574696827927</v>
      </c>
      <c r="Z168" s="104">
        <f t="shared" si="111"/>
        <v>0.36232377859724441</v>
      </c>
      <c r="AA168" s="104">
        <f t="shared" si="111"/>
        <v>0.38199181022620948</v>
      </c>
      <c r="AB168" s="104">
        <f t="shared" si="111"/>
        <v>0.40165984185517456</v>
      </c>
      <c r="AC168" s="104">
        <f t="shared" si="111"/>
        <v>0.42132787348413964</v>
      </c>
      <c r="AD168" s="104">
        <f t="shared" si="111"/>
        <v>0.44099590511310471</v>
      </c>
      <c r="AE168" s="104">
        <f t="shared" si="111"/>
        <v>0.46066393674206985</v>
      </c>
      <c r="AF168" s="104">
        <f t="shared" si="111"/>
        <v>0.48033196837103487</v>
      </c>
      <c r="AG168" s="201">
        <v>0.5</v>
      </c>
      <c r="AJ168" s="198" t="s">
        <v>453</v>
      </c>
    </row>
    <row r="169" spans="1:63" outlineLevel="1">
      <c r="A169" t="s">
        <v>449</v>
      </c>
      <c r="B169" s="51" t="s">
        <v>126</v>
      </c>
      <c r="C169" s="201">
        <v>0.05</v>
      </c>
      <c r="D169" s="104">
        <f t="shared" ref="D169:AF169" si="112">C169-($C$169-$AG$169)/($AG$1-$C$1)</f>
        <v>5.8333333333333334E-2</v>
      </c>
      <c r="E169" s="104">
        <f t="shared" si="112"/>
        <v>6.6666666666666666E-2</v>
      </c>
      <c r="F169" s="104">
        <f t="shared" si="112"/>
        <v>7.4999999999999997E-2</v>
      </c>
      <c r="G169" s="104">
        <f t="shared" si="112"/>
        <v>8.3333333333333329E-2</v>
      </c>
      <c r="H169" s="104">
        <f t="shared" si="112"/>
        <v>9.166666666666666E-2</v>
      </c>
      <c r="I169" s="104">
        <f t="shared" si="112"/>
        <v>9.9999999999999992E-2</v>
      </c>
      <c r="J169" s="104">
        <f t="shared" si="112"/>
        <v>0.10833333333333332</v>
      </c>
      <c r="K169" s="104">
        <f t="shared" si="112"/>
        <v>0.11666666666666665</v>
      </c>
      <c r="L169" s="104">
        <f t="shared" si="112"/>
        <v>0.12499999999999999</v>
      </c>
      <c r="M169" s="104">
        <f t="shared" si="112"/>
        <v>0.13333333333333333</v>
      </c>
      <c r="N169" s="104">
        <f t="shared" si="112"/>
        <v>0.14166666666666666</v>
      </c>
      <c r="O169" s="104">
        <f t="shared" si="112"/>
        <v>0.15</v>
      </c>
      <c r="P169" s="104">
        <f t="shared" si="112"/>
        <v>0.15833333333333333</v>
      </c>
      <c r="Q169" s="104">
        <f t="shared" si="112"/>
        <v>0.16666666666666666</v>
      </c>
      <c r="R169" s="104">
        <f t="shared" si="112"/>
        <v>0.17499999999999999</v>
      </c>
      <c r="S169" s="104">
        <f t="shared" si="112"/>
        <v>0.18333333333333332</v>
      </c>
      <c r="T169" s="104">
        <f t="shared" si="112"/>
        <v>0.19166666666666665</v>
      </c>
      <c r="U169" s="104">
        <f t="shared" si="112"/>
        <v>0.19999999999999998</v>
      </c>
      <c r="V169" s="104">
        <f t="shared" si="112"/>
        <v>0.20833333333333331</v>
      </c>
      <c r="W169" s="104">
        <f t="shared" si="112"/>
        <v>0.21666666666666665</v>
      </c>
      <c r="X169" s="104">
        <f t="shared" si="112"/>
        <v>0.22499999999999998</v>
      </c>
      <c r="Y169" s="104">
        <f t="shared" si="112"/>
        <v>0.23333333333333331</v>
      </c>
      <c r="Z169" s="104">
        <f t="shared" si="112"/>
        <v>0.24166666666666664</v>
      </c>
      <c r="AA169" s="104">
        <f t="shared" si="112"/>
        <v>0.24999999999999997</v>
      </c>
      <c r="AB169" s="104">
        <f t="shared" si="112"/>
        <v>0.2583333333333333</v>
      </c>
      <c r="AC169" s="104">
        <f t="shared" si="112"/>
        <v>0.26666666666666666</v>
      </c>
      <c r="AD169" s="104">
        <f t="shared" si="112"/>
        <v>0.27500000000000002</v>
      </c>
      <c r="AE169" s="104">
        <f t="shared" si="112"/>
        <v>0.28333333333333338</v>
      </c>
      <c r="AF169" s="104">
        <f t="shared" si="112"/>
        <v>0.29166666666666674</v>
      </c>
      <c r="AG169" s="201">
        <v>0.3</v>
      </c>
      <c r="AI169" s="128"/>
      <c r="AJ169" s="198" t="s">
        <v>645</v>
      </c>
      <c r="AM169" s="117"/>
      <c r="AN169" s="117"/>
    </row>
    <row r="170" spans="1:63" ht="14.5" customHeight="1" outlineLevel="1">
      <c r="A170" t="s">
        <v>450</v>
      </c>
      <c r="B170" s="165" t="s">
        <v>126</v>
      </c>
      <c r="C170" s="104">
        <f>1-C169</f>
        <v>0.95</v>
      </c>
      <c r="D170" s="104">
        <f t="shared" ref="D170:AG170" si="113">1-D169</f>
        <v>0.94166666666666665</v>
      </c>
      <c r="E170" s="104">
        <f t="shared" si="113"/>
        <v>0.93333333333333335</v>
      </c>
      <c r="F170" s="104">
        <f t="shared" si="113"/>
        <v>0.92500000000000004</v>
      </c>
      <c r="G170" s="104">
        <f t="shared" si="113"/>
        <v>0.91666666666666663</v>
      </c>
      <c r="H170" s="104">
        <f t="shared" si="113"/>
        <v>0.90833333333333333</v>
      </c>
      <c r="I170" s="104">
        <f t="shared" si="113"/>
        <v>0.9</v>
      </c>
      <c r="J170" s="104">
        <f t="shared" si="113"/>
        <v>0.89166666666666672</v>
      </c>
      <c r="K170" s="104">
        <f t="shared" si="113"/>
        <v>0.8833333333333333</v>
      </c>
      <c r="L170" s="104">
        <f t="shared" si="113"/>
        <v>0.875</v>
      </c>
      <c r="M170" s="104">
        <f t="shared" si="113"/>
        <v>0.8666666666666667</v>
      </c>
      <c r="N170" s="104">
        <f t="shared" si="113"/>
        <v>0.85833333333333339</v>
      </c>
      <c r="O170" s="104">
        <f t="shared" si="113"/>
        <v>0.85</v>
      </c>
      <c r="P170" s="104">
        <f t="shared" si="113"/>
        <v>0.84166666666666667</v>
      </c>
      <c r="Q170" s="104">
        <f t="shared" si="113"/>
        <v>0.83333333333333337</v>
      </c>
      <c r="R170" s="104">
        <f t="shared" si="113"/>
        <v>0.82499999999999996</v>
      </c>
      <c r="S170" s="104">
        <f t="shared" si="113"/>
        <v>0.81666666666666665</v>
      </c>
      <c r="T170" s="104">
        <f t="shared" si="113"/>
        <v>0.80833333333333335</v>
      </c>
      <c r="U170" s="104">
        <f t="shared" si="113"/>
        <v>0.8</v>
      </c>
      <c r="V170" s="104">
        <f t="shared" si="113"/>
        <v>0.79166666666666674</v>
      </c>
      <c r="W170" s="104">
        <f t="shared" si="113"/>
        <v>0.78333333333333333</v>
      </c>
      <c r="X170" s="104">
        <f t="shared" si="113"/>
        <v>0.77500000000000002</v>
      </c>
      <c r="Y170" s="104">
        <f t="shared" si="113"/>
        <v>0.76666666666666672</v>
      </c>
      <c r="Z170" s="104">
        <f t="shared" si="113"/>
        <v>0.7583333333333333</v>
      </c>
      <c r="AA170" s="104">
        <f t="shared" si="113"/>
        <v>0.75</v>
      </c>
      <c r="AB170" s="104">
        <f t="shared" si="113"/>
        <v>0.7416666666666667</v>
      </c>
      <c r="AC170" s="104">
        <f t="shared" si="113"/>
        <v>0.73333333333333339</v>
      </c>
      <c r="AD170" s="104">
        <f t="shared" si="113"/>
        <v>0.72499999999999998</v>
      </c>
      <c r="AE170" s="104">
        <f t="shared" si="113"/>
        <v>0.71666666666666656</v>
      </c>
      <c r="AF170" s="104">
        <f t="shared" si="113"/>
        <v>0.70833333333333326</v>
      </c>
      <c r="AG170" s="104">
        <f t="shared" si="113"/>
        <v>0.7</v>
      </c>
      <c r="AI170" s="128" t="s">
        <v>285</v>
      </c>
      <c r="AJ170" s="198"/>
    </row>
    <row r="171" spans="1:63" outlineLevel="1">
      <c r="A171" t="s">
        <v>451</v>
      </c>
      <c r="B171" s="51" t="s">
        <v>126</v>
      </c>
      <c r="C171" s="104">
        <f>C168*C169</f>
        <v>6.5000000000000006E-3</v>
      </c>
      <c r="D171" s="104">
        <f t="shared" ref="D171:AG171" si="114">D168*D169</f>
        <v>7.9086652478886511E-3</v>
      </c>
      <c r="E171" s="104">
        <f t="shared" si="114"/>
        <v>9.4102824713645332E-3</v>
      </c>
      <c r="F171" s="104">
        <f t="shared" si="114"/>
        <v>1.1004851670427652E-2</v>
      </c>
      <c r="G171" s="104">
        <f t="shared" si="114"/>
        <v>1.2692372845078003E-2</v>
      </c>
      <c r="H171" s="104">
        <f t="shared" si="114"/>
        <v>1.4472845995315585E-2</v>
      </c>
      <c r="I171" s="104">
        <f t="shared" si="114"/>
        <v>1.6346271121140402E-2</v>
      </c>
      <c r="J171" s="104">
        <f t="shared" si="114"/>
        <v>1.8312648222552456E-2</v>
      </c>
      <c r="K171" s="104">
        <f t="shared" si="114"/>
        <v>2.037197729955174E-2</v>
      </c>
      <c r="L171" s="104">
        <f t="shared" si="114"/>
        <v>2.2524258352138254E-2</v>
      </c>
      <c r="M171" s="104">
        <f t="shared" si="114"/>
        <v>2.4769491380312009E-2</v>
      </c>
      <c r="N171" s="104">
        <f t="shared" si="114"/>
        <v>2.7982854984986639E-2</v>
      </c>
      <c r="O171" s="104">
        <f t="shared" si="114"/>
        <v>3.1392132753591283E-2</v>
      </c>
      <c r="P171" s="104">
        <f t="shared" si="114"/>
        <v>3.4997324686125937E-2</v>
      </c>
      <c r="Q171" s="104">
        <f t="shared" si="114"/>
        <v>3.8798430782590612E-2</v>
      </c>
      <c r="R171" s="104">
        <f t="shared" si="114"/>
        <v>4.2795451042985301E-2</v>
      </c>
      <c r="S171" s="104">
        <f t="shared" si="114"/>
        <v>4.6988385467309997E-2</v>
      </c>
      <c r="T171" s="104">
        <f t="shared" si="114"/>
        <v>5.1377234055564727E-2</v>
      </c>
      <c r="U171" s="104">
        <f t="shared" si="114"/>
        <v>5.5961996807749458E-2</v>
      </c>
      <c r="V171" s="104">
        <f t="shared" si="114"/>
        <v>6.0742673723864209E-2</v>
      </c>
      <c r="W171" s="104">
        <f t="shared" si="114"/>
        <v>6.5719264803908967E-2</v>
      </c>
      <c r="X171" s="104">
        <f t="shared" si="114"/>
        <v>7.2672235951345684E-2</v>
      </c>
      <c r="Y171" s="104">
        <f t="shared" si="114"/>
        <v>7.9953007625931827E-2</v>
      </c>
      <c r="Z171" s="104">
        <f t="shared" si="114"/>
        <v>8.7561579827667393E-2</v>
      </c>
      <c r="AA171" s="104">
        <f t="shared" si="114"/>
        <v>9.5497952556552357E-2</v>
      </c>
      <c r="AB171" s="104">
        <f t="shared" si="114"/>
        <v>0.10376212581258674</v>
      </c>
      <c r="AC171" s="104">
        <f t="shared" si="114"/>
        <v>0.11235409959577057</v>
      </c>
      <c r="AD171" s="104">
        <f t="shared" si="114"/>
        <v>0.12127387390610381</v>
      </c>
      <c r="AE171" s="104">
        <f t="shared" si="114"/>
        <v>0.13052144874358648</v>
      </c>
      <c r="AF171" s="104">
        <f t="shared" si="114"/>
        <v>0.14009682410821853</v>
      </c>
      <c r="AG171" s="104">
        <f t="shared" si="114"/>
        <v>0.15</v>
      </c>
      <c r="AI171" s="127"/>
      <c r="AJ171" s="198"/>
      <c r="BD171" s="190"/>
      <c r="BE171" s="190"/>
    </row>
    <row r="172" spans="1:63" outlineLevel="1">
      <c r="A172" t="s">
        <v>452</v>
      </c>
      <c r="B172" s="51" t="s">
        <v>126</v>
      </c>
      <c r="C172" s="104">
        <f>C168*C170</f>
        <v>0.1235</v>
      </c>
      <c r="D172" s="104">
        <f t="shared" ref="D172:AG172" si="115">D168*D170</f>
        <v>0.12766845328734536</v>
      </c>
      <c r="E172" s="104">
        <f t="shared" si="115"/>
        <v>0.13174395459910349</v>
      </c>
      <c r="F172" s="104">
        <f t="shared" si="115"/>
        <v>0.13572650393527438</v>
      </c>
      <c r="G172" s="104">
        <f t="shared" si="115"/>
        <v>0.13961610129585802</v>
      </c>
      <c r="H172" s="104">
        <f t="shared" si="115"/>
        <v>0.14341274668085444</v>
      </c>
      <c r="I172" s="104">
        <f t="shared" si="115"/>
        <v>0.14711644009026364</v>
      </c>
      <c r="J172" s="104">
        <f t="shared" si="115"/>
        <v>0.15072718152408562</v>
      </c>
      <c r="K172" s="104">
        <f t="shared" si="115"/>
        <v>0.15424497098232032</v>
      </c>
      <c r="L172" s="104">
        <f t="shared" si="115"/>
        <v>0.15766980846496781</v>
      </c>
      <c r="M172" s="104">
        <f t="shared" si="115"/>
        <v>0.16100169397202807</v>
      </c>
      <c r="N172" s="104">
        <f t="shared" si="115"/>
        <v>0.16954318020315437</v>
      </c>
      <c r="O172" s="104">
        <f t="shared" si="115"/>
        <v>0.17788875227035059</v>
      </c>
      <c r="P172" s="104">
        <f t="shared" si="115"/>
        <v>0.18603841017361686</v>
      </c>
      <c r="Q172" s="104">
        <f t="shared" si="115"/>
        <v>0.1939921539129531</v>
      </c>
      <c r="R172" s="104">
        <f t="shared" si="115"/>
        <v>0.20174998348835926</v>
      </c>
      <c r="S172" s="104">
        <f t="shared" si="115"/>
        <v>0.20931189889983545</v>
      </c>
      <c r="T172" s="104">
        <f t="shared" si="115"/>
        <v>0.2166779001473817</v>
      </c>
      <c r="U172" s="104">
        <f t="shared" si="115"/>
        <v>0.22384798723099786</v>
      </c>
      <c r="V172" s="104">
        <f t="shared" si="115"/>
        <v>0.23082216015068405</v>
      </c>
      <c r="W172" s="104">
        <f t="shared" si="115"/>
        <v>0.23760041890644015</v>
      </c>
      <c r="X172" s="104">
        <f t="shared" si="115"/>
        <v>0.2503154793879685</v>
      </c>
      <c r="Y172" s="104">
        <f t="shared" si="115"/>
        <v>0.26270273934234745</v>
      </c>
      <c r="Z172" s="104">
        <f t="shared" si="115"/>
        <v>0.27476219876957697</v>
      </c>
      <c r="AA172" s="104">
        <f t="shared" si="115"/>
        <v>0.28649385766965713</v>
      </c>
      <c r="AB172" s="104">
        <f t="shared" si="115"/>
        <v>0.2978977160425878</v>
      </c>
      <c r="AC172" s="104">
        <f t="shared" si="115"/>
        <v>0.30897377388836911</v>
      </c>
      <c r="AD172" s="104">
        <f t="shared" si="115"/>
        <v>0.31972203120700093</v>
      </c>
      <c r="AE172" s="104">
        <f t="shared" si="115"/>
        <v>0.33014248799848334</v>
      </c>
      <c r="AF172" s="104">
        <f t="shared" si="115"/>
        <v>0.34023514426281631</v>
      </c>
      <c r="AG172" s="104">
        <f t="shared" si="115"/>
        <v>0.35</v>
      </c>
      <c r="AI172" s="127"/>
      <c r="AJ172" s="198"/>
      <c r="BD172" s="190"/>
      <c r="BE172" s="190"/>
    </row>
    <row r="173" spans="1:63" outlineLevel="1">
      <c r="C173" s="104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J173" s="198"/>
    </row>
    <row r="174" spans="1:63" outlineLevel="1">
      <c r="A174" t="s">
        <v>437</v>
      </c>
      <c r="B174" s="51" t="s">
        <v>126</v>
      </c>
      <c r="C174" s="201">
        <v>0.5</v>
      </c>
      <c r="D174" s="104">
        <f>C174</f>
        <v>0.5</v>
      </c>
      <c r="E174" s="104">
        <f t="shared" ref="E174:AG174" si="116">D174</f>
        <v>0.5</v>
      </c>
      <c r="F174" s="104">
        <f t="shared" si="116"/>
        <v>0.5</v>
      </c>
      <c r="G174" s="104">
        <f t="shared" si="116"/>
        <v>0.5</v>
      </c>
      <c r="H174" s="104">
        <f t="shared" si="116"/>
        <v>0.5</v>
      </c>
      <c r="I174" s="104">
        <f t="shared" si="116"/>
        <v>0.5</v>
      </c>
      <c r="J174" s="104">
        <f t="shared" si="116"/>
        <v>0.5</v>
      </c>
      <c r="K174" s="104">
        <f t="shared" si="116"/>
        <v>0.5</v>
      </c>
      <c r="L174" s="104">
        <f t="shared" si="116"/>
        <v>0.5</v>
      </c>
      <c r="M174" s="104">
        <f t="shared" si="116"/>
        <v>0.5</v>
      </c>
      <c r="N174" s="104">
        <f t="shared" si="116"/>
        <v>0.5</v>
      </c>
      <c r="O174" s="104">
        <f t="shared" si="116"/>
        <v>0.5</v>
      </c>
      <c r="P174" s="104">
        <f t="shared" si="116"/>
        <v>0.5</v>
      </c>
      <c r="Q174" s="104">
        <f t="shared" si="116"/>
        <v>0.5</v>
      </c>
      <c r="R174" s="104">
        <f t="shared" si="116"/>
        <v>0.5</v>
      </c>
      <c r="S174" s="104">
        <f t="shared" si="116"/>
        <v>0.5</v>
      </c>
      <c r="T174" s="104">
        <f t="shared" si="116"/>
        <v>0.5</v>
      </c>
      <c r="U174" s="104">
        <f t="shared" si="116"/>
        <v>0.5</v>
      </c>
      <c r="V174" s="104">
        <f t="shared" si="116"/>
        <v>0.5</v>
      </c>
      <c r="W174" s="104">
        <f t="shared" si="116"/>
        <v>0.5</v>
      </c>
      <c r="X174" s="104">
        <f t="shared" si="116"/>
        <v>0.5</v>
      </c>
      <c r="Y174" s="104">
        <f t="shared" si="116"/>
        <v>0.5</v>
      </c>
      <c r="Z174" s="104">
        <f t="shared" si="116"/>
        <v>0.5</v>
      </c>
      <c r="AA174" s="104">
        <f t="shared" si="116"/>
        <v>0.5</v>
      </c>
      <c r="AB174" s="104">
        <f t="shared" si="116"/>
        <v>0.5</v>
      </c>
      <c r="AC174" s="104">
        <f t="shared" si="116"/>
        <v>0.5</v>
      </c>
      <c r="AD174" s="104">
        <f t="shared" si="116"/>
        <v>0.5</v>
      </c>
      <c r="AE174" s="104">
        <f t="shared" si="116"/>
        <v>0.5</v>
      </c>
      <c r="AF174" s="104">
        <f t="shared" si="116"/>
        <v>0.5</v>
      </c>
      <c r="AG174" s="104">
        <f t="shared" si="116"/>
        <v>0.5</v>
      </c>
      <c r="AI174" s="51"/>
      <c r="AJ174" s="198" t="s">
        <v>460</v>
      </c>
    </row>
    <row r="175" spans="1:63" outlineLevel="1">
      <c r="A175" t="s">
        <v>445</v>
      </c>
      <c r="B175" s="51" t="s">
        <v>126</v>
      </c>
      <c r="C175" s="115">
        <f>1-C174</f>
        <v>0.5</v>
      </c>
      <c r="D175" s="104">
        <f t="shared" ref="D175:AG175" si="117">C175</f>
        <v>0.5</v>
      </c>
      <c r="E175" s="104">
        <f t="shared" si="117"/>
        <v>0.5</v>
      </c>
      <c r="F175" s="104">
        <f t="shared" si="117"/>
        <v>0.5</v>
      </c>
      <c r="G175" s="104">
        <f t="shared" si="117"/>
        <v>0.5</v>
      </c>
      <c r="H175" s="104">
        <f t="shared" si="117"/>
        <v>0.5</v>
      </c>
      <c r="I175" s="104">
        <f t="shared" si="117"/>
        <v>0.5</v>
      </c>
      <c r="J175" s="104">
        <f t="shared" si="117"/>
        <v>0.5</v>
      </c>
      <c r="K175" s="104">
        <f t="shared" si="117"/>
        <v>0.5</v>
      </c>
      <c r="L175" s="104">
        <f t="shared" si="117"/>
        <v>0.5</v>
      </c>
      <c r="M175" s="104">
        <f t="shared" si="117"/>
        <v>0.5</v>
      </c>
      <c r="N175" s="104">
        <f t="shared" si="117"/>
        <v>0.5</v>
      </c>
      <c r="O175" s="104">
        <f t="shared" si="117"/>
        <v>0.5</v>
      </c>
      <c r="P175" s="104">
        <f t="shared" si="117"/>
        <v>0.5</v>
      </c>
      <c r="Q175" s="104">
        <f t="shared" si="117"/>
        <v>0.5</v>
      </c>
      <c r="R175" s="104">
        <f t="shared" si="117"/>
        <v>0.5</v>
      </c>
      <c r="S175" s="104">
        <f t="shared" si="117"/>
        <v>0.5</v>
      </c>
      <c r="T175" s="104">
        <f t="shared" si="117"/>
        <v>0.5</v>
      </c>
      <c r="U175" s="104">
        <f t="shared" si="117"/>
        <v>0.5</v>
      </c>
      <c r="V175" s="104">
        <f t="shared" si="117"/>
        <v>0.5</v>
      </c>
      <c r="W175" s="104">
        <f t="shared" si="117"/>
        <v>0.5</v>
      </c>
      <c r="X175" s="104">
        <f t="shared" si="117"/>
        <v>0.5</v>
      </c>
      <c r="Y175" s="104">
        <f t="shared" si="117"/>
        <v>0.5</v>
      </c>
      <c r="Z175" s="104">
        <f t="shared" si="117"/>
        <v>0.5</v>
      </c>
      <c r="AA175" s="104">
        <f t="shared" si="117"/>
        <v>0.5</v>
      </c>
      <c r="AB175" s="104">
        <f t="shared" si="117"/>
        <v>0.5</v>
      </c>
      <c r="AC175" s="104">
        <f t="shared" si="117"/>
        <v>0.5</v>
      </c>
      <c r="AD175" s="104">
        <f t="shared" si="117"/>
        <v>0.5</v>
      </c>
      <c r="AE175" s="104">
        <f t="shared" si="117"/>
        <v>0.5</v>
      </c>
      <c r="AF175" s="104">
        <f t="shared" si="117"/>
        <v>0.5</v>
      </c>
      <c r="AG175" s="104">
        <f t="shared" si="117"/>
        <v>0.5</v>
      </c>
      <c r="AJ175" s="209"/>
    </row>
    <row r="176" spans="1:63" outlineLevel="1">
      <c r="A176" t="s">
        <v>433</v>
      </c>
      <c r="B176" s="51" t="s">
        <v>126</v>
      </c>
      <c r="C176" s="104">
        <f t="shared" ref="C176:AG176" si="118">SUM(C174:C175)</f>
        <v>1</v>
      </c>
      <c r="D176" s="104">
        <f t="shared" si="118"/>
        <v>1</v>
      </c>
      <c r="E176" s="104">
        <f t="shared" si="118"/>
        <v>1</v>
      </c>
      <c r="F176" s="104">
        <f t="shared" si="118"/>
        <v>1</v>
      </c>
      <c r="G176" s="104">
        <f t="shared" si="118"/>
        <v>1</v>
      </c>
      <c r="H176" s="104">
        <f t="shared" si="118"/>
        <v>1</v>
      </c>
      <c r="I176" s="104">
        <f t="shared" si="118"/>
        <v>1</v>
      </c>
      <c r="J176" s="104">
        <f t="shared" si="118"/>
        <v>1</v>
      </c>
      <c r="K176" s="104">
        <f t="shared" si="118"/>
        <v>1</v>
      </c>
      <c r="L176" s="104">
        <f t="shared" si="118"/>
        <v>1</v>
      </c>
      <c r="M176" s="104">
        <f t="shared" si="118"/>
        <v>1</v>
      </c>
      <c r="N176" s="104">
        <f t="shared" si="118"/>
        <v>1</v>
      </c>
      <c r="O176" s="104">
        <f t="shared" si="118"/>
        <v>1</v>
      </c>
      <c r="P176" s="104">
        <f t="shared" si="118"/>
        <v>1</v>
      </c>
      <c r="Q176" s="104">
        <f t="shared" si="118"/>
        <v>1</v>
      </c>
      <c r="R176" s="104">
        <f t="shared" si="118"/>
        <v>1</v>
      </c>
      <c r="S176" s="104">
        <f t="shared" si="118"/>
        <v>1</v>
      </c>
      <c r="T176" s="104">
        <f t="shared" si="118"/>
        <v>1</v>
      </c>
      <c r="U176" s="104">
        <f t="shared" si="118"/>
        <v>1</v>
      </c>
      <c r="V176" s="104">
        <f t="shared" si="118"/>
        <v>1</v>
      </c>
      <c r="W176" s="104">
        <f t="shared" si="118"/>
        <v>1</v>
      </c>
      <c r="X176" s="104">
        <f t="shared" si="118"/>
        <v>1</v>
      </c>
      <c r="Y176" s="104">
        <f t="shared" si="118"/>
        <v>1</v>
      </c>
      <c r="Z176" s="104">
        <f t="shared" si="118"/>
        <v>1</v>
      </c>
      <c r="AA176" s="104">
        <f t="shared" si="118"/>
        <v>1</v>
      </c>
      <c r="AB176" s="104">
        <f t="shared" si="118"/>
        <v>1</v>
      </c>
      <c r="AC176" s="104">
        <f t="shared" si="118"/>
        <v>1</v>
      </c>
      <c r="AD176" s="104">
        <f t="shared" si="118"/>
        <v>1</v>
      </c>
      <c r="AE176" s="104">
        <f t="shared" si="118"/>
        <v>1</v>
      </c>
      <c r="AF176" s="104">
        <f t="shared" si="118"/>
        <v>1</v>
      </c>
      <c r="AG176" s="104">
        <f t="shared" si="118"/>
        <v>1</v>
      </c>
      <c r="AH176" s="124"/>
      <c r="AI176" s="51"/>
      <c r="AJ176" s="209"/>
    </row>
    <row r="177" spans="1:63" outlineLevel="1">
      <c r="C177" s="201"/>
      <c r="D177" s="104"/>
      <c r="E177" s="104"/>
      <c r="F177" s="104"/>
      <c r="G177" s="104"/>
      <c r="H177" s="104"/>
      <c r="I177" s="104"/>
      <c r="J177" s="104"/>
      <c r="K177" s="104"/>
      <c r="L177" s="104"/>
      <c r="M177" s="104"/>
      <c r="N177" s="104"/>
      <c r="O177" s="104"/>
      <c r="P177" s="104"/>
      <c r="Q177" s="104"/>
      <c r="R177" s="104"/>
      <c r="S177" s="104"/>
      <c r="T177" s="104"/>
      <c r="U177" s="104"/>
      <c r="V177" s="104"/>
      <c r="W177" s="104"/>
      <c r="X177" s="104"/>
      <c r="Y177" s="104"/>
      <c r="Z177" s="104"/>
      <c r="AA177" s="104"/>
      <c r="AB177" s="104"/>
      <c r="AC177" s="104"/>
      <c r="AD177" s="104"/>
      <c r="AE177" s="104"/>
      <c r="AF177" s="104"/>
      <c r="AG177" s="104"/>
      <c r="AH177" s="124"/>
      <c r="AI177" s="124"/>
      <c r="AJ177" s="209"/>
    </row>
    <row r="178" spans="1:63" outlineLevel="1">
      <c r="A178" t="s">
        <v>455</v>
      </c>
      <c r="B178" s="51" t="s">
        <v>126</v>
      </c>
      <c r="C178" s="104">
        <f>C174*C172</f>
        <v>6.1749999999999999E-2</v>
      </c>
      <c r="D178" s="104">
        <f t="shared" ref="D178:AG178" si="119">D174*D172</f>
        <v>6.3834226643672679E-2</v>
      </c>
      <c r="E178" s="104">
        <f t="shared" si="119"/>
        <v>6.5871977299551743E-2</v>
      </c>
      <c r="F178" s="104">
        <f t="shared" si="119"/>
        <v>6.7863251967637192E-2</v>
      </c>
      <c r="G178" s="104">
        <f t="shared" si="119"/>
        <v>6.9808050647929012E-2</v>
      </c>
      <c r="H178" s="104">
        <f t="shared" si="119"/>
        <v>7.1706373340427218E-2</v>
      </c>
      <c r="I178" s="104">
        <f t="shared" si="119"/>
        <v>7.3558220045131822E-2</v>
      </c>
      <c r="J178" s="104">
        <f t="shared" si="119"/>
        <v>7.5363590762042812E-2</v>
      </c>
      <c r="K178" s="104">
        <f t="shared" si="119"/>
        <v>7.7122485491160159E-2</v>
      </c>
      <c r="L178" s="104">
        <f t="shared" si="119"/>
        <v>7.8834904232483904E-2</v>
      </c>
      <c r="M178" s="104">
        <f t="shared" si="119"/>
        <v>8.0500846986014035E-2</v>
      </c>
      <c r="N178" s="104">
        <f t="shared" si="119"/>
        <v>8.4771590101577185E-2</v>
      </c>
      <c r="O178" s="104">
        <f t="shared" si="119"/>
        <v>8.8944376135175293E-2</v>
      </c>
      <c r="P178" s="104">
        <f t="shared" si="119"/>
        <v>9.3019205086808429E-2</v>
      </c>
      <c r="Q178" s="104">
        <f t="shared" si="119"/>
        <v>9.6996076956476551E-2</v>
      </c>
      <c r="R178" s="104">
        <f t="shared" si="119"/>
        <v>0.10087499174417963</v>
      </c>
      <c r="S178" s="104">
        <f t="shared" si="119"/>
        <v>0.10465594944991773</v>
      </c>
      <c r="T178" s="104">
        <f t="shared" si="119"/>
        <v>0.10833895007369085</v>
      </c>
      <c r="U178" s="104">
        <f t="shared" si="119"/>
        <v>0.11192399361549893</v>
      </c>
      <c r="V178" s="104">
        <f t="shared" si="119"/>
        <v>0.11541108007534202</v>
      </c>
      <c r="W178" s="104">
        <f t="shared" si="119"/>
        <v>0.11880020945322008</v>
      </c>
      <c r="X178" s="104">
        <f t="shared" si="119"/>
        <v>0.12515773969398425</v>
      </c>
      <c r="Y178" s="104">
        <f t="shared" si="119"/>
        <v>0.13135136967117372</v>
      </c>
      <c r="Z178" s="104">
        <f t="shared" si="119"/>
        <v>0.13738109938478849</v>
      </c>
      <c r="AA178" s="104">
        <f t="shared" si="119"/>
        <v>0.14324692883482856</v>
      </c>
      <c r="AB178" s="104">
        <f t="shared" si="119"/>
        <v>0.1489488580212939</v>
      </c>
      <c r="AC178" s="104">
        <f t="shared" si="119"/>
        <v>0.15448688694418455</v>
      </c>
      <c r="AD178" s="104">
        <f t="shared" si="119"/>
        <v>0.15986101560350047</v>
      </c>
      <c r="AE178" s="104">
        <f t="shared" si="119"/>
        <v>0.16507124399924167</v>
      </c>
      <c r="AF178" s="104">
        <f t="shared" si="119"/>
        <v>0.17011757213140816</v>
      </c>
      <c r="AG178" s="104">
        <f t="shared" si="119"/>
        <v>0.17499999999999999</v>
      </c>
      <c r="AH178" s="124"/>
      <c r="AI178" s="124"/>
      <c r="AJ178" s="198"/>
    </row>
    <row r="179" spans="1:63" outlineLevel="1">
      <c r="A179" t="s">
        <v>531</v>
      </c>
      <c r="B179" s="51" t="s">
        <v>126</v>
      </c>
      <c r="C179" s="104">
        <f>C172*C175</f>
        <v>6.1749999999999999E-2</v>
      </c>
      <c r="D179" s="104">
        <f t="shared" ref="D179:AG179" si="120">D172*D175</f>
        <v>6.3834226643672679E-2</v>
      </c>
      <c r="E179" s="104">
        <f t="shared" si="120"/>
        <v>6.5871977299551743E-2</v>
      </c>
      <c r="F179" s="104">
        <f t="shared" si="120"/>
        <v>6.7863251967637192E-2</v>
      </c>
      <c r="G179" s="104">
        <f t="shared" si="120"/>
        <v>6.9808050647929012E-2</v>
      </c>
      <c r="H179" s="104">
        <f t="shared" si="120"/>
        <v>7.1706373340427218E-2</v>
      </c>
      <c r="I179" s="104">
        <f t="shared" si="120"/>
        <v>7.3558220045131822E-2</v>
      </c>
      <c r="J179" s="104">
        <f t="shared" si="120"/>
        <v>7.5363590762042812E-2</v>
      </c>
      <c r="K179" s="104">
        <f t="shared" si="120"/>
        <v>7.7122485491160159E-2</v>
      </c>
      <c r="L179" s="104">
        <f t="shared" si="120"/>
        <v>7.8834904232483904E-2</v>
      </c>
      <c r="M179" s="104">
        <f t="shared" si="120"/>
        <v>8.0500846986014035E-2</v>
      </c>
      <c r="N179" s="104">
        <f t="shared" si="120"/>
        <v>8.4771590101577185E-2</v>
      </c>
      <c r="O179" s="104">
        <f t="shared" si="120"/>
        <v>8.8944376135175293E-2</v>
      </c>
      <c r="P179" s="104">
        <f t="shared" si="120"/>
        <v>9.3019205086808429E-2</v>
      </c>
      <c r="Q179" s="104">
        <f t="shared" si="120"/>
        <v>9.6996076956476551E-2</v>
      </c>
      <c r="R179" s="104">
        <f t="shared" si="120"/>
        <v>0.10087499174417963</v>
      </c>
      <c r="S179" s="104">
        <f t="shared" si="120"/>
        <v>0.10465594944991773</v>
      </c>
      <c r="T179" s="104">
        <f t="shared" si="120"/>
        <v>0.10833895007369085</v>
      </c>
      <c r="U179" s="104">
        <f t="shared" si="120"/>
        <v>0.11192399361549893</v>
      </c>
      <c r="V179" s="104">
        <f t="shared" si="120"/>
        <v>0.11541108007534202</v>
      </c>
      <c r="W179" s="104">
        <f t="shared" si="120"/>
        <v>0.11880020945322008</v>
      </c>
      <c r="X179" s="104">
        <f t="shared" si="120"/>
        <v>0.12515773969398425</v>
      </c>
      <c r="Y179" s="104">
        <f t="shared" si="120"/>
        <v>0.13135136967117372</v>
      </c>
      <c r="Z179" s="104">
        <f t="shared" si="120"/>
        <v>0.13738109938478849</v>
      </c>
      <c r="AA179" s="104">
        <f t="shared" si="120"/>
        <v>0.14324692883482856</v>
      </c>
      <c r="AB179" s="104">
        <f t="shared" si="120"/>
        <v>0.1489488580212939</v>
      </c>
      <c r="AC179" s="104">
        <f t="shared" si="120"/>
        <v>0.15448688694418455</v>
      </c>
      <c r="AD179" s="104">
        <f t="shared" si="120"/>
        <v>0.15986101560350047</v>
      </c>
      <c r="AE179" s="104">
        <f t="shared" si="120"/>
        <v>0.16507124399924167</v>
      </c>
      <c r="AF179" s="104">
        <f t="shared" si="120"/>
        <v>0.17011757213140816</v>
      </c>
      <c r="AG179" s="104">
        <f t="shared" si="120"/>
        <v>0.17499999999999999</v>
      </c>
      <c r="AJ179" s="198"/>
    </row>
    <row r="180" spans="1:63" outlineLevel="1">
      <c r="C180" s="104"/>
      <c r="D180" s="104"/>
      <c r="E180" s="104"/>
      <c r="F180" s="104"/>
      <c r="G180" s="104"/>
      <c r="H180" s="104"/>
      <c r="I180" s="104"/>
      <c r="J180" s="104"/>
      <c r="K180" s="104"/>
      <c r="L180" s="104"/>
      <c r="M180" s="104"/>
      <c r="N180" s="104"/>
      <c r="O180" s="104"/>
      <c r="P180" s="104"/>
      <c r="Q180" s="104"/>
      <c r="R180" s="104"/>
      <c r="S180" s="104"/>
      <c r="T180" s="104"/>
      <c r="U180" s="104"/>
      <c r="V180" s="104"/>
      <c r="W180" s="104"/>
      <c r="X180" s="104"/>
      <c r="Y180" s="104"/>
      <c r="Z180" s="104"/>
      <c r="AA180" s="104"/>
      <c r="AB180" s="104"/>
      <c r="AC180" s="104"/>
      <c r="AD180" s="104"/>
      <c r="AE180" s="104"/>
      <c r="AF180" s="104"/>
      <c r="AG180" s="104"/>
      <c r="AJ180" s="198"/>
    </row>
    <row r="181" spans="1:63" outlineLevel="1">
      <c r="A181" t="s">
        <v>1080</v>
      </c>
      <c r="C181" s="216">
        <f>'Overall recycling rates'!E87</f>
        <v>1</v>
      </c>
      <c r="D181" s="216">
        <f>C181-($C181-$AG181)/($AG$1-$C$1)</f>
        <v>1</v>
      </c>
      <c r="E181" s="216">
        <f t="shared" ref="E181:AF181" si="121">D181-($C181-$AG181)/($AG$1-$C$1)</f>
        <v>1</v>
      </c>
      <c r="F181" s="216">
        <f t="shared" si="121"/>
        <v>1</v>
      </c>
      <c r="G181" s="216">
        <f t="shared" si="121"/>
        <v>1</v>
      </c>
      <c r="H181" s="216">
        <f t="shared" si="121"/>
        <v>1</v>
      </c>
      <c r="I181" s="216">
        <f t="shared" si="121"/>
        <v>1</v>
      </c>
      <c r="J181" s="216">
        <f t="shared" si="121"/>
        <v>1</v>
      </c>
      <c r="K181" s="216">
        <f t="shared" si="121"/>
        <v>1</v>
      </c>
      <c r="L181" s="216">
        <f t="shared" si="121"/>
        <v>1</v>
      </c>
      <c r="M181" s="216">
        <f t="shared" si="121"/>
        <v>1</v>
      </c>
      <c r="N181" s="216">
        <f t="shared" si="121"/>
        <v>1</v>
      </c>
      <c r="O181" s="216">
        <f t="shared" si="121"/>
        <v>1</v>
      </c>
      <c r="P181" s="216">
        <f t="shared" si="121"/>
        <v>1</v>
      </c>
      <c r="Q181" s="216">
        <f t="shared" si="121"/>
        <v>1</v>
      </c>
      <c r="R181" s="216">
        <f t="shared" si="121"/>
        <v>1</v>
      </c>
      <c r="S181" s="216">
        <f t="shared" si="121"/>
        <v>1</v>
      </c>
      <c r="T181" s="216">
        <f t="shared" si="121"/>
        <v>1</v>
      </c>
      <c r="U181" s="216">
        <f t="shared" si="121"/>
        <v>1</v>
      </c>
      <c r="V181" s="216">
        <f t="shared" si="121"/>
        <v>1</v>
      </c>
      <c r="W181" s="216">
        <f t="shared" si="121"/>
        <v>1</v>
      </c>
      <c r="X181" s="216">
        <f t="shared" si="121"/>
        <v>1</v>
      </c>
      <c r="Y181" s="216">
        <f t="shared" si="121"/>
        <v>1</v>
      </c>
      <c r="Z181" s="216">
        <f t="shared" si="121"/>
        <v>1</v>
      </c>
      <c r="AA181" s="216">
        <f t="shared" si="121"/>
        <v>1</v>
      </c>
      <c r="AB181" s="216">
        <f t="shared" si="121"/>
        <v>1</v>
      </c>
      <c r="AC181" s="216">
        <f t="shared" si="121"/>
        <v>1</v>
      </c>
      <c r="AD181" s="216">
        <f t="shared" si="121"/>
        <v>1</v>
      </c>
      <c r="AE181" s="216">
        <f t="shared" si="121"/>
        <v>1</v>
      </c>
      <c r="AF181" s="216">
        <f t="shared" si="121"/>
        <v>1</v>
      </c>
      <c r="AG181" s="216">
        <f>'Overall recycling rates'!E96</f>
        <v>1</v>
      </c>
      <c r="AI181" s="126"/>
      <c r="AJ181" s="198" t="s">
        <v>1081</v>
      </c>
      <c r="AL181" s="102"/>
      <c r="AM181" s="194"/>
      <c r="AN181" s="194"/>
      <c r="AO181" s="194"/>
      <c r="BC181" s="1"/>
      <c r="BD181" s="194"/>
      <c r="BE181" s="194"/>
      <c r="BF181" s="194"/>
      <c r="BG181" s="194"/>
      <c r="BH181" s="194"/>
      <c r="BI181" s="194"/>
      <c r="BJ181" s="194"/>
      <c r="BK181" s="194"/>
    </row>
    <row r="182" spans="1:63" outlineLevel="1">
      <c r="A182" t="s">
        <v>1151</v>
      </c>
      <c r="B182" s="51" t="s">
        <v>126</v>
      </c>
      <c r="C182" s="104">
        <f>C171*C$181</f>
        <v>6.5000000000000006E-3</v>
      </c>
      <c r="D182" s="104">
        <f>D171*D$126</f>
        <v>3.4332722284527435E-3</v>
      </c>
      <c r="E182" s="104">
        <f t="shared" ref="E182:AG182" si="122">E171*E$126</f>
        <v>4.2038740272411033E-3</v>
      </c>
      <c r="F182" s="104">
        <f t="shared" si="122"/>
        <v>5.0550641479837318E-3</v>
      </c>
      <c r="G182" s="104">
        <f t="shared" si="122"/>
        <v>5.990360836533648E-3</v>
      </c>
      <c r="H182" s="104">
        <f t="shared" si="122"/>
        <v>7.0132823387438724E-3</v>
      </c>
      <c r="I182" s="104">
        <f t="shared" si="122"/>
        <v>8.1273469004674269E-3</v>
      </c>
      <c r="J182" s="104">
        <f t="shared" si="122"/>
        <v>9.3360727675573327E-3</v>
      </c>
      <c r="K182" s="104">
        <f t="shared" si="122"/>
        <v>1.0642978185866608E-2</v>
      </c>
      <c r="L182" s="104">
        <f t="shared" si="122"/>
        <v>1.2051581401248271E-2</v>
      </c>
      <c r="M182" s="104">
        <f t="shared" si="122"/>
        <v>1.356540065955535E-2</v>
      </c>
      <c r="N182" s="104">
        <f t="shared" si="122"/>
        <v>1.5678301380813199E-2</v>
      </c>
      <c r="O182" s="104">
        <f t="shared" si="122"/>
        <v>1.7984525342754069E-2</v>
      </c>
      <c r="P182" s="104">
        <f t="shared" si="122"/>
        <v>2.0491487925098945E-2</v>
      </c>
      <c r="Q182" s="104">
        <f t="shared" si="122"/>
        <v>2.3206604507568812E-2</v>
      </c>
      <c r="R182" s="104">
        <f t="shared" si="122"/>
        <v>2.6137290469884642E-2</v>
      </c>
      <c r="S182" s="104">
        <f t="shared" si="122"/>
        <v>2.9290961191767422E-2</v>
      </c>
      <c r="T182" s="104">
        <f t="shared" si="122"/>
        <v>3.2675032052938147E-2</v>
      </c>
      <c r="U182" s="104">
        <f t="shared" si="122"/>
        <v>3.6296918433117775E-2</v>
      </c>
      <c r="V182" s="104">
        <f t="shared" si="122"/>
        <v>4.0164035712027299E-2</v>
      </c>
      <c r="W182" s="104">
        <f t="shared" si="122"/>
        <v>4.4283799269387698E-2</v>
      </c>
      <c r="X182" s="104">
        <f t="shared" si="122"/>
        <v>4.9885824524159385E-2</v>
      </c>
      <c r="Y182" s="104">
        <f t="shared" si="122"/>
        <v>5.5892451388774515E-2</v>
      </c>
      <c r="Z182" s="104">
        <f t="shared" si="122"/>
        <v>6.2316087161065931E-2</v>
      </c>
      <c r="AA182" s="104">
        <f t="shared" si="122"/>
        <v>6.9169139138866451E-2</v>
      </c>
      <c r="AB182" s="104">
        <f t="shared" si="122"/>
        <v>7.646401462000893E-2</v>
      </c>
      <c r="AC182" s="104">
        <f t="shared" si="122"/>
        <v>8.421312090232623E-2</v>
      </c>
      <c r="AD182" s="104">
        <f t="shared" si="122"/>
        <v>9.2428865283651129E-2</v>
      </c>
      <c r="AE182" s="104">
        <f t="shared" si="122"/>
        <v>0.10112365506181653</v>
      </c>
      <c r="AF182" s="104">
        <f t="shared" si="122"/>
        <v>0.11030989753465519</v>
      </c>
      <c r="AG182" s="104">
        <f t="shared" si="122"/>
        <v>0.12</v>
      </c>
      <c r="AI182" s="126"/>
      <c r="AJ182"/>
      <c r="AL182" s="102"/>
      <c r="AM182" s="2"/>
      <c r="AN182" s="2"/>
      <c r="AO182" s="2"/>
      <c r="AV182" s="38"/>
    </row>
    <row r="183" spans="1:63" outlineLevel="1">
      <c r="A183" t="s">
        <v>1152</v>
      </c>
      <c r="B183" s="51" t="s">
        <v>126</v>
      </c>
      <c r="C183" s="104">
        <f>C172*C$181</f>
        <v>0.1235</v>
      </c>
      <c r="D183" s="104">
        <f t="shared" ref="D183:AG183" si="123">D169*D$126</f>
        <v>2.5323389857710384E-2</v>
      </c>
      <c r="E183" s="104">
        <f t="shared" si="123"/>
        <v>2.9782131337243639E-2</v>
      </c>
      <c r="F183" s="104">
        <f t="shared" si="123"/>
        <v>3.4451151406027697E-2</v>
      </c>
      <c r="G183" s="104">
        <f t="shared" si="123"/>
        <v>3.9330450064062557E-2</v>
      </c>
      <c r="H183" s="104">
        <f t="shared" si="123"/>
        <v>4.4420027311348219E-2</v>
      </c>
      <c r="I183" s="104">
        <f t="shared" si="123"/>
        <v>4.9719883147884676E-2</v>
      </c>
      <c r="J183" s="104">
        <f t="shared" si="123"/>
        <v>5.5230017573671936E-2</v>
      </c>
      <c r="K183" s="104">
        <f t="shared" si="123"/>
        <v>6.0950430588709997E-2</v>
      </c>
      <c r="L183" s="104">
        <f t="shared" si="123"/>
        <v>6.6881122192998854E-2</v>
      </c>
      <c r="M183" s="104">
        <f t="shared" si="123"/>
        <v>7.3022092386538534E-2</v>
      </c>
      <c r="N183" s="104">
        <f t="shared" si="123"/>
        <v>7.9373341169328995E-2</v>
      </c>
      <c r="O183" s="104">
        <f t="shared" si="123"/>
        <v>8.5934868541370266E-2</v>
      </c>
      <c r="P183" s="104">
        <f t="shared" si="123"/>
        <v>9.2706674502662331E-2</v>
      </c>
      <c r="Q183" s="104">
        <f t="shared" si="123"/>
        <v>9.9688759053205192E-2</v>
      </c>
      <c r="R183" s="104">
        <f t="shared" si="123"/>
        <v>0.10688112219299886</v>
      </c>
      <c r="S183" s="104">
        <f t="shared" si="123"/>
        <v>0.11428376392204333</v>
      </c>
      <c r="T183" s="104">
        <f t="shared" si="123"/>
        <v>0.12189668424033859</v>
      </c>
      <c r="U183" s="104">
        <f t="shared" si="123"/>
        <v>0.12971988314788466</v>
      </c>
      <c r="V183" s="104">
        <f t="shared" si="123"/>
        <v>0.13775336064468152</v>
      </c>
      <c r="W183" s="104">
        <f t="shared" si="123"/>
        <v>0.14599711673072921</v>
      </c>
      <c r="X183" s="104">
        <f t="shared" si="123"/>
        <v>0.15445115140602766</v>
      </c>
      <c r="Y183" s="104">
        <f t="shared" si="123"/>
        <v>0.16311546467057694</v>
      </c>
      <c r="Z183" s="104">
        <f t="shared" si="123"/>
        <v>0.17199005652437702</v>
      </c>
      <c r="AA183" s="104">
        <f t="shared" si="123"/>
        <v>0.18107492696742788</v>
      </c>
      <c r="AB183" s="104">
        <f t="shared" si="123"/>
        <v>0.19037007599972958</v>
      </c>
      <c r="AC183" s="104">
        <f t="shared" si="123"/>
        <v>0.19987550362128206</v>
      </c>
      <c r="AD183" s="104">
        <f t="shared" si="123"/>
        <v>0.20959120983208537</v>
      </c>
      <c r="AE183" s="104">
        <f t="shared" si="123"/>
        <v>0.21951719463213945</v>
      </c>
      <c r="AF183" s="104">
        <f t="shared" si="123"/>
        <v>0.22965345802144435</v>
      </c>
      <c r="AG183" s="104">
        <f t="shared" si="123"/>
        <v>0.24</v>
      </c>
      <c r="AH183" s="230"/>
      <c r="AI183" s="126"/>
      <c r="AJ183" s="198"/>
      <c r="AL183" s="102"/>
      <c r="AM183" s="2"/>
      <c r="AN183" s="2"/>
      <c r="AO183" s="2"/>
      <c r="AV183" s="38"/>
    </row>
    <row r="184" spans="1:63" outlineLevel="1">
      <c r="A184" t="s">
        <v>1153</v>
      </c>
      <c r="B184" s="165" t="s">
        <v>126</v>
      </c>
      <c r="C184" s="104">
        <f>SUM(C182:C183)</f>
        <v>0.13</v>
      </c>
      <c r="D184" s="104">
        <f t="shared" ref="D184" si="124">SUM(D182:D183)</f>
        <v>2.8756662086163128E-2</v>
      </c>
      <c r="E184" s="104">
        <f t="shared" ref="E184" si="125">SUM(E182:E183)</f>
        <v>3.3986005364484741E-2</v>
      </c>
      <c r="F184" s="104">
        <f t="shared" ref="F184" si="126">SUM(F182:F183)</f>
        <v>3.9506215554011431E-2</v>
      </c>
      <c r="G184" s="104">
        <f t="shared" ref="G184" si="127">SUM(G182:G183)</f>
        <v>4.5320810900596205E-2</v>
      </c>
      <c r="H184" s="104">
        <f t="shared" ref="H184" si="128">SUM(H182:H183)</f>
        <v>5.1433309650092088E-2</v>
      </c>
      <c r="I184" s="104">
        <f t="shared" ref="I184" si="129">SUM(I182:I183)</f>
        <v>5.78472300483521E-2</v>
      </c>
      <c r="J184" s="104">
        <f t="shared" ref="J184" si="130">SUM(J182:J183)</f>
        <v>6.4566090341229274E-2</v>
      </c>
      <c r="K184" s="104">
        <f t="shared" ref="K184" si="131">SUM(K182:K183)</f>
        <v>7.1593408774576608E-2</v>
      </c>
      <c r="L184" s="104">
        <f t="shared" ref="L184" si="132">SUM(L182:L183)</f>
        <v>7.8932703594247131E-2</v>
      </c>
      <c r="M184" s="104">
        <f t="shared" ref="M184" si="133">SUM(M182:M183)</f>
        <v>8.658749304609388E-2</v>
      </c>
      <c r="N184" s="104">
        <f t="shared" ref="N184" si="134">SUM(N182:N183)</f>
        <v>9.5051642550142201E-2</v>
      </c>
      <c r="O184" s="104">
        <f t="shared" ref="O184" si="135">SUM(O182:O183)</f>
        <v>0.10391939388412433</v>
      </c>
      <c r="P184" s="104">
        <f t="shared" ref="P184" si="136">SUM(P182:P183)</f>
        <v>0.11319816242776128</v>
      </c>
      <c r="Q184" s="104">
        <f t="shared" ref="Q184" si="137">SUM(Q182:Q183)</f>
        <v>0.122895363560774</v>
      </c>
      <c r="R184" s="104">
        <f t="shared" ref="R184" si="138">SUM(R182:R183)</f>
        <v>0.1330184126628835</v>
      </c>
      <c r="S184" s="104">
        <f t="shared" ref="S184" si="139">SUM(S182:S183)</f>
        <v>0.14357472511381075</v>
      </c>
      <c r="T184" s="104">
        <f t="shared" ref="T184" si="140">SUM(T182:T183)</f>
        <v>0.15457171629327673</v>
      </c>
      <c r="U184" s="104">
        <f t="shared" ref="U184" si="141">SUM(U182:U183)</f>
        <v>0.16601680158100243</v>
      </c>
      <c r="V184" s="104">
        <f t="shared" ref="V184" si="142">SUM(V182:V183)</f>
        <v>0.17791739635670883</v>
      </c>
      <c r="W184" s="104">
        <f t="shared" ref="W184" si="143">SUM(W182:W183)</f>
        <v>0.1902809160001169</v>
      </c>
      <c r="X184" s="104">
        <f t="shared" ref="X184" si="144">SUM(X182:X183)</f>
        <v>0.20433697593018704</v>
      </c>
      <c r="Y184" s="104">
        <f t="shared" ref="Y184" si="145">SUM(Y182:Y183)</f>
        <v>0.21900791605935147</v>
      </c>
      <c r="Z184" s="104">
        <f t="shared" ref="Z184" si="146">SUM(Z182:Z183)</f>
        <v>0.23430614368544295</v>
      </c>
      <c r="AA184" s="104">
        <f t="shared" ref="AA184" si="147">SUM(AA182:AA183)</f>
        <v>0.25024406610629435</v>
      </c>
      <c r="AB184" s="104">
        <f t="shared" ref="AB184" si="148">SUM(AB182:AB183)</f>
        <v>0.26683409061973851</v>
      </c>
      <c r="AC184" s="104">
        <f t="shared" ref="AC184" si="149">SUM(AC182:AC183)</f>
        <v>0.28408862452360828</v>
      </c>
      <c r="AD184" s="104">
        <f t="shared" ref="AD184" si="150">SUM(AD182:AD183)</f>
        <v>0.30202007511573647</v>
      </c>
      <c r="AE184" s="104">
        <f t="shared" ref="AE184" si="151">SUM(AE182:AE183)</f>
        <v>0.32064084969395601</v>
      </c>
      <c r="AF184" s="104">
        <f t="shared" ref="AF184" si="152">SUM(AF182:AF183)</f>
        <v>0.33996335555609952</v>
      </c>
      <c r="AG184" s="104">
        <f t="shared" ref="AG184" si="153">SUM(AG182:AG183)</f>
        <v>0.36</v>
      </c>
      <c r="AI184" s="126"/>
      <c r="AJ184" s="198"/>
      <c r="AL184" s="102"/>
      <c r="AM184" s="2"/>
      <c r="AN184" s="2"/>
      <c r="AO184" s="2"/>
    </row>
    <row r="185" spans="1:63" outlineLevel="1">
      <c r="A185" t="s">
        <v>1157</v>
      </c>
      <c r="B185" s="51" t="s">
        <v>126</v>
      </c>
      <c r="C185" s="104">
        <f>C174*C183</f>
        <v>6.1749999999999999E-2</v>
      </c>
      <c r="D185" s="104">
        <f t="shared" ref="D185:AG185" si="154">D171*D183</f>
        <v>2.0027421332641004E-4</v>
      </c>
      <c r="E185" s="104">
        <f t="shared" si="154"/>
        <v>2.8025826848274019E-4</v>
      </c>
      <c r="F185" s="104">
        <f t="shared" si="154"/>
        <v>3.7912981109877985E-4</v>
      </c>
      <c r="G185" s="104">
        <f t="shared" si="154"/>
        <v>4.9919673637780404E-4</v>
      </c>
      <c r="H185" s="104">
        <f t="shared" si="154"/>
        <v>6.4288421438485495E-4</v>
      </c>
      <c r="I185" s="104">
        <f t="shared" si="154"/>
        <v>8.1273469004674269E-4</v>
      </c>
      <c r="J185" s="104">
        <f t="shared" si="154"/>
        <v>1.0114078831520443E-3</v>
      </c>
      <c r="K185" s="104">
        <f t="shared" si="154"/>
        <v>1.241680788351104E-3</v>
      </c>
      <c r="L185" s="104">
        <f t="shared" si="154"/>
        <v>1.5064476751560337E-3</v>
      </c>
      <c r="M185" s="104">
        <f t="shared" si="154"/>
        <v>1.8087200879407133E-3</v>
      </c>
      <c r="N185" s="104">
        <f t="shared" si="154"/>
        <v>2.2210926956152031E-3</v>
      </c>
      <c r="O185" s="104">
        <f t="shared" si="154"/>
        <v>2.6976788014131106E-3</v>
      </c>
      <c r="P185" s="104">
        <f t="shared" si="154"/>
        <v>3.2444855881406665E-3</v>
      </c>
      <c r="Q185" s="104">
        <f t="shared" si="154"/>
        <v>3.8677674179281351E-3</v>
      </c>
      <c r="R185" s="104">
        <f t="shared" si="154"/>
        <v>4.5740258322298126E-3</v>
      </c>
      <c r="S185" s="104">
        <f t="shared" si="154"/>
        <v>5.3700095518240268E-3</v>
      </c>
      <c r="T185" s="104">
        <f t="shared" si="154"/>
        <v>6.2627144768131436E-3</v>
      </c>
      <c r="U185" s="104">
        <f t="shared" si="154"/>
        <v>7.2593836866235535E-3</v>
      </c>
      <c r="V185" s="104">
        <f t="shared" si="154"/>
        <v>8.3675074400056861E-3</v>
      </c>
      <c r="W185" s="104">
        <f t="shared" si="154"/>
        <v>9.5948231750340018E-3</v>
      </c>
      <c r="X185" s="104">
        <f t="shared" si="154"/>
        <v>1.1224310517935859E-2</v>
      </c>
      <c r="Y185" s="104">
        <f t="shared" si="154"/>
        <v>1.3041571990714053E-2</v>
      </c>
      <c r="Z185" s="104">
        <f t="shared" si="154"/>
        <v>1.5059721063924265E-2</v>
      </c>
      <c r="AA185" s="104">
        <f t="shared" si="154"/>
        <v>1.7292284784716613E-2</v>
      </c>
      <c r="AB185" s="104">
        <f t="shared" si="154"/>
        <v>1.9753203776835641E-2</v>
      </c>
      <c r="AC185" s="104">
        <f t="shared" si="154"/>
        <v>2.2456832240620325E-2</v>
      </c>
      <c r="AD185" s="104">
        <f t="shared" si="154"/>
        <v>2.5417937953004066E-2</v>
      </c>
      <c r="AE185" s="104">
        <f t="shared" si="154"/>
        <v>2.8651702267514689E-2</v>
      </c>
      <c r="AF185" s="104">
        <f t="shared" si="154"/>
        <v>3.2173720114274433E-2</v>
      </c>
      <c r="AG185" s="104">
        <f t="shared" si="154"/>
        <v>3.5999999999999997E-2</v>
      </c>
      <c r="AI185" s="126"/>
      <c r="AJ185" s="198"/>
      <c r="BD185" s="190"/>
      <c r="BE185" s="190"/>
    </row>
    <row r="186" spans="1:63" outlineLevel="1">
      <c r="A186" t="s">
        <v>1158</v>
      </c>
      <c r="B186" s="51" t="s">
        <v>126</v>
      </c>
      <c r="C186" s="104">
        <f>C175*C183</f>
        <v>6.1749999999999999E-2</v>
      </c>
      <c r="D186" s="104">
        <f t="shared" ref="D186:AG186" si="155">D173*D183</f>
        <v>0</v>
      </c>
      <c r="E186" s="104">
        <f t="shared" si="155"/>
        <v>0</v>
      </c>
      <c r="F186" s="104">
        <f t="shared" si="155"/>
        <v>0</v>
      </c>
      <c r="G186" s="104">
        <f t="shared" si="155"/>
        <v>0</v>
      </c>
      <c r="H186" s="104">
        <f t="shared" si="155"/>
        <v>0</v>
      </c>
      <c r="I186" s="104">
        <f t="shared" si="155"/>
        <v>0</v>
      </c>
      <c r="J186" s="104">
        <f t="shared" si="155"/>
        <v>0</v>
      </c>
      <c r="K186" s="104">
        <f t="shared" si="155"/>
        <v>0</v>
      </c>
      <c r="L186" s="104">
        <f t="shared" si="155"/>
        <v>0</v>
      </c>
      <c r="M186" s="104">
        <f t="shared" si="155"/>
        <v>0</v>
      </c>
      <c r="N186" s="104">
        <f t="shared" si="155"/>
        <v>0</v>
      </c>
      <c r="O186" s="104">
        <f t="shared" si="155"/>
        <v>0</v>
      </c>
      <c r="P186" s="104">
        <f t="shared" si="155"/>
        <v>0</v>
      </c>
      <c r="Q186" s="104">
        <f t="shared" si="155"/>
        <v>0</v>
      </c>
      <c r="R186" s="104">
        <f t="shared" si="155"/>
        <v>0</v>
      </c>
      <c r="S186" s="104">
        <f t="shared" si="155"/>
        <v>0</v>
      </c>
      <c r="T186" s="104">
        <f t="shared" si="155"/>
        <v>0</v>
      </c>
      <c r="U186" s="104">
        <f t="shared" si="155"/>
        <v>0</v>
      </c>
      <c r="V186" s="104">
        <f t="shared" si="155"/>
        <v>0</v>
      </c>
      <c r="W186" s="104">
        <f t="shared" si="155"/>
        <v>0</v>
      </c>
      <c r="X186" s="104">
        <f t="shared" si="155"/>
        <v>0</v>
      </c>
      <c r="Y186" s="104">
        <f t="shared" si="155"/>
        <v>0</v>
      </c>
      <c r="Z186" s="104">
        <f t="shared" si="155"/>
        <v>0</v>
      </c>
      <c r="AA186" s="104">
        <f t="shared" si="155"/>
        <v>0</v>
      </c>
      <c r="AB186" s="104">
        <f t="shared" si="155"/>
        <v>0</v>
      </c>
      <c r="AC186" s="104">
        <f t="shared" si="155"/>
        <v>0</v>
      </c>
      <c r="AD186" s="104">
        <f t="shared" si="155"/>
        <v>0</v>
      </c>
      <c r="AE186" s="104">
        <f t="shared" si="155"/>
        <v>0</v>
      </c>
      <c r="AF186" s="104">
        <f t="shared" si="155"/>
        <v>0</v>
      </c>
      <c r="AG186" s="104">
        <f t="shared" si="155"/>
        <v>0</v>
      </c>
      <c r="AI186" s="127"/>
      <c r="AJ186" s="198"/>
      <c r="BC186" s="1"/>
      <c r="BD186" s="38"/>
      <c r="BF186" s="6"/>
      <c r="BG186" s="6"/>
      <c r="BH186" s="6"/>
      <c r="BI186" s="6"/>
      <c r="BJ186" s="6"/>
    </row>
    <row r="187" spans="1:63" outlineLevel="1">
      <c r="C187" s="104"/>
      <c r="D187" s="104"/>
      <c r="E187" s="104"/>
      <c r="F187" s="104"/>
      <c r="G187" s="104"/>
      <c r="H187" s="104"/>
      <c r="I187" s="104"/>
      <c r="J187" s="104"/>
      <c r="K187" s="104"/>
      <c r="L187" s="104"/>
      <c r="M187" s="104"/>
      <c r="N187" s="104"/>
      <c r="O187" s="104"/>
      <c r="P187" s="104"/>
      <c r="Q187" s="104"/>
      <c r="R187" s="104"/>
      <c r="S187" s="104"/>
      <c r="T187" s="104"/>
      <c r="U187" s="104"/>
      <c r="V187" s="104"/>
      <c r="W187" s="104"/>
      <c r="X187" s="104"/>
      <c r="Y187" s="104"/>
      <c r="Z187" s="104"/>
      <c r="AA187" s="104"/>
      <c r="AB187" s="104"/>
      <c r="AC187" s="104"/>
      <c r="AD187" s="104"/>
      <c r="AE187" s="104"/>
      <c r="AF187" s="104"/>
      <c r="AG187" s="104"/>
      <c r="AI187" s="127"/>
      <c r="AJ187" s="198"/>
      <c r="BC187" s="1"/>
      <c r="BD187" s="38"/>
      <c r="BF187" s="6"/>
      <c r="BG187" s="6"/>
      <c r="BH187" s="6"/>
      <c r="BI187" s="6"/>
      <c r="BJ187" s="6"/>
    </row>
    <row r="188" spans="1:63" s="1" customFormat="1" outlineLevel="1">
      <c r="A188" s="1" t="s">
        <v>261</v>
      </c>
      <c r="B188" s="61"/>
      <c r="C188" s="279">
        <f>C182*C42</f>
        <v>0.15547282504203289</v>
      </c>
      <c r="D188" s="279">
        <f t="shared" ref="D188:AG188" si="156">D182*D42</f>
        <v>8.2120081922446714E-2</v>
      </c>
      <c r="E188" s="279">
        <f t="shared" si="156"/>
        <v>0.10055202632861572</v>
      </c>
      <c r="F188" s="279">
        <f t="shared" si="156"/>
        <v>0.12091155443934272</v>
      </c>
      <c r="G188" s="279">
        <f t="shared" si="156"/>
        <v>0.14328281881185254</v>
      </c>
      <c r="H188" s="279">
        <f t="shared" si="156"/>
        <v>0.16774997200337002</v>
      </c>
      <c r="I188" s="279">
        <f t="shared" si="156"/>
        <v>0.18839029412407243</v>
      </c>
      <c r="J188" s="279">
        <f t="shared" si="156"/>
        <v>0.2095080863688577</v>
      </c>
      <c r="K188" s="279">
        <f t="shared" si="156"/>
        <v>0.23096980957526417</v>
      </c>
      <c r="L188" s="279">
        <f t="shared" si="156"/>
        <v>0.25263152332475769</v>
      </c>
      <c r="M188" s="279">
        <f t="shared" si="156"/>
        <v>0.27433888594273087</v>
      </c>
      <c r="N188" s="279">
        <f t="shared" si="156"/>
        <v>0.30548124203359445</v>
      </c>
      <c r="O188" s="279">
        <f t="shared" si="156"/>
        <v>0.33712422442777473</v>
      </c>
      <c r="P188" s="279">
        <f t="shared" si="156"/>
        <v>0.36897270344924016</v>
      </c>
      <c r="Q188" s="279">
        <f t="shared" si="156"/>
        <v>0.40070962677454347</v>
      </c>
      <c r="R188" s="279">
        <f t="shared" si="156"/>
        <v>0.43199601943282195</v>
      </c>
      <c r="S188" s="279">
        <f t="shared" si="156"/>
        <v>0.46884651168435049</v>
      </c>
      <c r="T188" s="279">
        <f t="shared" si="156"/>
        <v>0.50597592234428312</v>
      </c>
      <c r="U188" s="279">
        <f t="shared" si="156"/>
        <v>0.54313479867194325</v>
      </c>
      <c r="V188" s="279">
        <f t="shared" si="156"/>
        <v>0.58005822146342967</v>
      </c>
      <c r="W188" s="279">
        <f t="shared" si="156"/>
        <v>0.61646580505161563</v>
      </c>
      <c r="X188" s="279">
        <f t="shared" si="156"/>
        <v>0.66843840250370568</v>
      </c>
      <c r="Y188" s="279">
        <f t="shared" si="156"/>
        <v>0.71977928290778825</v>
      </c>
      <c r="Z188" s="279">
        <f t="shared" si="156"/>
        <v>0.77000884045878126</v>
      </c>
      <c r="AA188" s="279">
        <f t="shared" si="156"/>
        <v>0.81862159110626942</v>
      </c>
      <c r="AB188" s="279">
        <f t="shared" si="156"/>
        <v>0.86508617255450571</v>
      </c>
      <c r="AC188" s="279">
        <f t="shared" si="156"/>
        <v>0.89978106223851628</v>
      </c>
      <c r="AD188" s="279">
        <f t="shared" si="156"/>
        <v>0.9294188195651526</v>
      </c>
      <c r="AE188" s="279">
        <f t="shared" si="156"/>
        <v>0.9532357613017779</v>
      </c>
      <c r="AF188" s="279">
        <f t="shared" si="156"/>
        <v>0.97043698413078838</v>
      </c>
      <c r="AG188" s="279">
        <f t="shared" si="156"/>
        <v>0.98019636464961635</v>
      </c>
      <c r="AH188" s="230"/>
      <c r="AI188" s="398"/>
      <c r="AJ188" s="399"/>
      <c r="AL188" s="207"/>
      <c r="AM188" s="118"/>
      <c r="AN188" s="118"/>
      <c r="AO188" s="118"/>
      <c r="BD188" s="118"/>
      <c r="BE188" s="118"/>
      <c r="BF188" s="118"/>
      <c r="BG188" s="118"/>
      <c r="BH188" s="118"/>
      <c r="BI188" s="118"/>
      <c r="BJ188" s="118"/>
      <c r="BK188" s="118"/>
    </row>
    <row r="189" spans="1:63" outlineLevel="1">
      <c r="A189" s="4" t="s">
        <v>35</v>
      </c>
      <c r="C189" s="216">
        <f>C$188*'Methanol recycling rates'!E60</f>
        <v>5.7597868844512928E-3</v>
      </c>
      <c r="D189" s="216">
        <f>D$188*'Methanol recycling rates'!F60</f>
        <v>3.0422948234143034E-3</v>
      </c>
      <c r="E189" s="216">
        <f>E$188*'Methanol recycling rates'!G60</f>
        <v>3.7251413055367296E-3</v>
      </c>
      <c r="F189" s="216">
        <f>F$188*'Methanol recycling rates'!H60</f>
        <v>4.4793987968640989E-3</v>
      </c>
      <c r="G189" s="216">
        <f>G$188*'Methanol recycling rates'!I60</f>
        <v>5.3081848891380267E-3</v>
      </c>
      <c r="H189" s="216">
        <f>H$188*'Methanol recycling rates'!J60</f>
        <v>6.2146171741001297E-3</v>
      </c>
      <c r="I189" s="216">
        <f>I$188*'Methanol recycling rates'!K60</f>
        <v>6.9792772142681187E-3</v>
      </c>
      <c r="J189" s="216">
        <f>J$188*'Methanol recycling rates'!L60</f>
        <v>7.7616260444717056E-3</v>
      </c>
      <c r="K189" s="216">
        <f>K$188*'Methanol recycling rates'!M60</f>
        <v>8.5567164521269598E-3</v>
      </c>
      <c r="L189" s="216">
        <f>L$188*'Methanol recycling rates'!N60</f>
        <v>9.3592158903107042E-3</v>
      </c>
      <c r="M189" s="216">
        <f>M$188*'Methanol recycling rates'!O60</f>
        <v>1.0163406477760491E-2</v>
      </c>
      <c r="N189" s="216">
        <f>N$188*'Methanol recycling rates'!P60</f>
        <v>1.1317134366313189E-2</v>
      </c>
      <c r="O189" s="216">
        <f>O$188*'Methanol recycling rates'!Q60</f>
        <v>1.2489408909659582E-2</v>
      </c>
      <c r="P189" s="216">
        <f>P$188*'Methanol recycling rates'!R60</f>
        <v>1.3669296466909312E-2</v>
      </c>
      <c r="Q189" s="216">
        <f>Q$188*'Methanol recycling rates'!S60</f>
        <v>1.4845051230949253E-2</v>
      </c>
      <c r="R189" s="216">
        <f>R$188*'Methanol recycling rates'!T60</f>
        <v>1.600411522844352E-2</v>
      </c>
      <c r="S189" s="216">
        <f>S$188*'Methanol recycling rates'!U60</f>
        <v>1.7369311891580922E-2</v>
      </c>
      <c r="T189" s="216">
        <f>T$188*'Methanol recycling rates'!V60</f>
        <v>1.8744841618326857E-2</v>
      </c>
      <c r="U189" s="216">
        <f>U$188*'Methanol recycling rates'!W60</f>
        <v>2.0121462956847854E-2</v>
      </c>
      <c r="V189" s="216">
        <f>V$188*'Methanol recycling rates'!X60</f>
        <v>2.1489361470726127E-2</v>
      </c>
      <c r="W189" s="216">
        <f>W$188*'Methanol recycling rates'!Y60</f>
        <v>2.2838149738959524E-2</v>
      </c>
      <c r="X189" s="216">
        <f>X$188*'Methanol recycling rates'!Z60</f>
        <v>2.4763573587625577E-2</v>
      </c>
      <c r="Y189" s="216">
        <f>Y$188*'Methanol recycling rates'!AA60</f>
        <v>2.6665594275213072E-2</v>
      </c>
      <c r="Z189" s="216">
        <f>Z$188*'Methanol recycling rates'!AB60</f>
        <v>2.852644389131662E-2</v>
      </c>
      <c r="AA189" s="216">
        <f>AA$188*'Methanol recycling rates'!AC60</f>
        <v>3.032739581665022E-2</v>
      </c>
      <c r="AB189" s="216">
        <f>AB$188*'Methanol recycling rates'!AD60</f>
        <v>3.204876472304731E-2</v>
      </c>
      <c r="AC189" s="216">
        <f>AC$188*'Methanol recycling rates'!AE60</f>
        <v>3.3334102983964754E-2</v>
      </c>
      <c r="AD189" s="216">
        <f>AD$188*'Methanol recycling rates'!AF60</f>
        <v>3.4432090145955017E-2</v>
      </c>
      <c r="AE189" s="216">
        <f>AE$188*'Methanol recycling rates'!AG60</f>
        <v>3.5314434109314966E-2</v>
      </c>
      <c r="AF189" s="216">
        <f>AF$188*'Methanol recycling rates'!AH60</f>
        <v>3.5951686166838671E-2</v>
      </c>
      <c r="AG189" s="216">
        <f>AG$188*'Methanol recycling rates'!AI60</f>
        <v>3.6313241003817526E-2</v>
      </c>
      <c r="AH189" s="230"/>
      <c r="AI189" s="126"/>
      <c r="AJ189" s="198"/>
      <c r="AL189" s="102"/>
      <c r="AM189" s="2"/>
      <c r="AN189" s="2"/>
      <c r="AO189" s="2"/>
      <c r="BC189" s="1"/>
      <c r="BD189" s="2"/>
      <c r="BE189" s="2"/>
      <c r="BF189" s="2"/>
      <c r="BG189" s="2"/>
      <c r="BH189" s="2"/>
      <c r="BI189" s="2"/>
      <c r="BJ189" s="2"/>
      <c r="BK189" s="2"/>
    </row>
    <row r="190" spans="1:63" outlineLevel="1">
      <c r="A190" s="4" t="s">
        <v>160</v>
      </c>
      <c r="C190" s="216">
        <f>C$188*'Methanol recycling rates'!E61</f>
        <v>0</v>
      </c>
      <c r="D190" s="216">
        <f>D$188*'Methanol recycling rates'!F61</f>
        <v>0</v>
      </c>
      <c r="E190" s="216">
        <f>E$188*'Methanol recycling rates'!G61</f>
        <v>0</v>
      </c>
      <c r="F190" s="216">
        <f>F$188*'Methanol recycling rates'!H61</f>
        <v>0</v>
      </c>
      <c r="G190" s="216">
        <f>G$188*'Methanol recycling rates'!I61</f>
        <v>0</v>
      </c>
      <c r="H190" s="216">
        <f>H$188*'Methanol recycling rates'!J61</f>
        <v>0</v>
      </c>
      <c r="I190" s="216">
        <f>I$188*'Methanol recycling rates'!K61</f>
        <v>0</v>
      </c>
      <c r="J190" s="216">
        <f>J$188*'Methanol recycling rates'!L61</f>
        <v>0</v>
      </c>
      <c r="K190" s="216">
        <f>K$188*'Methanol recycling rates'!M61</f>
        <v>0</v>
      </c>
      <c r="L190" s="216">
        <f>L$188*'Methanol recycling rates'!N61</f>
        <v>0</v>
      </c>
      <c r="M190" s="216">
        <f>M$188*'Methanol recycling rates'!O61</f>
        <v>0</v>
      </c>
      <c r="N190" s="216">
        <f>N$188*'Methanol recycling rates'!P61</f>
        <v>0</v>
      </c>
      <c r="O190" s="216">
        <f>O$188*'Methanol recycling rates'!Q61</f>
        <v>0</v>
      </c>
      <c r="P190" s="216">
        <f>P$188*'Methanol recycling rates'!R61</f>
        <v>0</v>
      </c>
      <c r="Q190" s="216">
        <f>Q$188*'Methanol recycling rates'!S61</f>
        <v>0</v>
      </c>
      <c r="R190" s="216">
        <f>R$188*'Methanol recycling rates'!T61</f>
        <v>0</v>
      </c>
      <c r="S190" s="216">
        <f>S$188*'Methanol recycling rates'!U61</f>
        <v>0</v>
      </c>
      <c r="T190" s="216">
        <f>T$188*'Methanol recycling rates'!V61</f>
        <v>0</v>
      </c>
      <c r="U190" s="216">
        <f>U$188*'Methanol recycling rates'!W61</f>
        <v>0</v>
      </c>
      <c r="V190" s="216">
        <f>V$188*'Methanol recycling rates'!X61</f>
        <v>0</v>
      </c>
      <c r="W190" s="216">
        <f>W$188*'Methanol recycling rates'!Y61</f>
        <v>0</v>
      </c>
      <c r="X190" s="216">
        <f>X$188*'Methanol recycling rates'!Z61</f>
        <v>0</v>
      </c>
      <c r="Y190" s="216">
        <f>Y$188*'Methanol recycling rates'!AA61</f>
        <v>0</v>
      </c>
      <c r="Z190" s="216">
        <f>Z$188*'Methanol recycling rates'!AB61</f>
        <v>0</v>
      </c>
      <c r="AA190" s="216">
        <f>AA$188*'Methanol recycling rates'!AC61</f>
        <v>0</v>
      </c>
      <c r="AB190" s="216">
        <f>AB$188*'Methanol recycling rates'!AD61</f>
        <v>0</v>
      </c>
      <c r="AC190" s="216">
        <f>AC$188*'Methanol recycling rates'!AE61</f>
        <v>0</v>
      </c>
      <c r="AD190" s="216">
        <f>AD$188*'Methanol recycling rates'!AF61</f>
        <v>0</v>
      </c>
      <c r="AE190" s="216">
        <f>AE$188*'Methanol recycling rates'!AG61</f>
        <v>0</v>
      </c>
      <c r="AF190" s="216">
        <f>AF$188*'Methanol recycling rates'!AH61</f>
        <v>0</v>
      </c>
      <c r="AG190" s="216">
        <f>AG$188*'Methanol recycling rates'!AI61</f>
        <v>0</v>
      </c>
      <c r="AH190" s="230"/>
      <c r="AI190" s="126"/>
      <c r="AJ190" s="198"/>
      <c r="AL190" s="102"/>
      <c r="AM190" s="2"/>
      <c r="AN190" s="2"/>
      <c r="AO190" s="2"/>
      <c r="BC190" s="1"/>
      <c r="BD190" s="2"/>
      <c r="BE190" s="2"/>
      <c r="BF190" s="2"/>
      <c r="BG190" s="2"/>
      <c r="BH190" s="2"/>
      <c r="BI190" s="2"/>
      <c r="BJ190" s="2"/>
      <c r="BK190" s="2"/>
    </row>
    <row r="191" spans="1:63" outlineLevel="1">
      <c r="A191" s="4" t="s">
        <v>1159</v>
      </c>
      <c r="C191" s="216">
        <f>C$188*'Methanol recycling rates'!E62</f>
        <v>0.14971303815758161</v>
      </c>
      <c r="D191" s="216">
        <f>D$188*'Methanol recycling rates'!F62</f>
        <v>7.9077787099032418E-2</v>
      </c>
      <c r="E191" s="216">
        <f>E$188*'Methanol recycling rates'!G62</f>
        <v>9.6826885023078998E-2</v>
      </c>
      <c r="F191" s="216">
        <f>F$188*'Methanol recycling rates'!H62</f>
        <v>0.11643215564247862</v>
      </c>
      <c r="G191" s="216">
        <f>G$188*'Methanol recycling rates'!I62</f>
        <v>0.1379746339227145</v>
      </c>
      <c r="H191" s="216">
        <f>H$188*'Methanol recycling rates'!J62</f>
        <v>0.16153535482926989</v>
      </c>
      <c r="I191" s="216">
        <f>I$188*'Methanol recycling rates'!K62</f>
        <v>0.18141101690980432</v>
      </c>
      <c r="J191" s="216">
        <f>J$188*'Methanol recycling rates'!L62</f>
        <v>0.20174646032438601</v>
      </c>
      <c r="K191" s="216">
        <f>K$188*'Methanol recycling rates'!M62</f>
        <v>0.22241309312313723</v>
      </c>
      <c r="L191" s="216">
        <f>L$188*'Methanol recycling rates'!N62</f>
        <v>0.243272307434447</v>
      </c>
      <c r="M191" s="216">
        <f>M$188*'Methanol recycling rates'!O62</f>
        <v>0.26417547946497039</v>
      </c>
      <c r="N191" s="216">
        <f>N$188*'Methanol recycling rates'!P62</f>
        <v>0.29416410766728129</v>
      </c>
      <c r="O191" s="216">
        <f>O$188*'Methanol recycling rates'!Q62</f>
        <v>0.32463481551811518</v>
      </c>
      <c r="P191" s="216">
        <f>P$188*'Methanol recycling rates'!R62</f>
        <v>0.35530340698233087</v>
      </c>
      <c r="Q191" s="216">
        <f>Q$188*'Methanol recycling rates'!S62</f>
        <v>0.38586457554359421</v>
      </c>
      <c r="R191" s="216">
        <f>R$188*'Methanol recycling rates'!T62</f>
        <v>0.41599190420437843</v>
      </c>
      <c r="S191" s="216">
        <f>S$188*'Methanol recycling rates'!U62</f>
        <v>0.45147719979276957</v>
      </c>
      <c r="T191" s="216">
        <f>T$188*'Methanol recycling rates'!V62</f>
        <v>0.48723108072595628</v>
      </c>
      <c r="U191" s="216">
        <f>U$188*'Methanol recycling rates'!W62</f>
        <v>0.52301333571509545</v>
      </c>
      <c r="V191" s="216">
        <f>V$188*'Methanol recycling rates'!X62</f>
        <v>0.55856885999270356</v>
      </c>
      <c r="W191" s="216">
        <f>W$188*'Methanol recycling rates'!Y62</f>
        <v>0.59362765531265616</v>
      </c>
      <c r="X191" s="216">
        <f>X$188*'Methanol recycling rates'!Z62</f>
        <v>0.64367482891608008</v>
      </c>
      <c r="Y191" s="216">
        <f>Y$188*'Methanol recycling rates'!AA62</f>
        <v>0.69311368863257516</v>
      </c>
      <c r="Z191" s="216">
        <f>Z$188*'Methanol recycling rates'!AB62</f>
        <v>0.74148239656746462</v>
      </c>
      <c r="AA191" s="216">
        <f>AA$188*'Methanol recycling rates'!AC62</f>
        <v>0.78829419528961919</v>
      </c>
      <c r="AB191" s="216">
        <f>AB$188*'Methanol recycling rates'!AD62</f>
        <v>0.83303740783145841</v>
      </c>
      <c r="AC191" s="216">
        <f>AC$188*'Methanol recycling rates'!AE62</f>
        <v>0.86644695925455151</v>
      </c>
      <c r="AD191" s="216">
        <f>AD$188*'Methanol recycling rates'!AF62</f>
        <v>0.89498672941919766</v>
      </c>
      <c r="AE191" s="216">
        <f>AE$188*'Methanol recycling rates'!AG62</f>
        <v>0.917921327192463</v>
      </c>
      <c r="AF191" s="216">
        <f>AF$188*'Methanol recycling rates'!AH62</f>
        <v>0.93448529796394975</v>
      </c>
      <c r="AG191" s="216">
        <f>AG$188*'Methanol recycling rates'!AI62</f>
        <v>0.94388312364579885</v>
      </c>
      <c r="AH191" s="230"/>
      <c r="AI191" s="126"/>
      <c r="AJ191" s="198"/>
      <c r="AL191" s="102"/>
      <c r="AM191" s="2"/>
      <c r="AN191" s="2"/>
      <c r="AO191" s="2"/>
      <c r="BC191" s="1"/>
      <c r="BD191" s="2"/>
      <c r="BE191" s="2"/>
      <c r="BF191" s="2"/>
      <c r="BG191" s="2"/>
      <c r="BH191" s="2"/>
      <c r="BI191" s="2"/>
      <c r="BJ191" s="2"/>
      <c r="BK191" s="2"/>
    </row>
    <row r="192" spans="1:63" s="1" customFormat="1" outlineLevel="1">
      <c r="A192" s="1" t="s">
        <v>1160</v>
      </c>
      <c r="B192" s="61"/>
      <c r="C192" s="279">
        <f>C188-$C188</f>
        <v>0</v>
      </c>
      <c r="D192" s="279">
        <f t="shared" ref="D192:AG192" si="157">D188-$C188</f>
        <v>-7.3352743119586172E-2</v>
      </c>
      <c r="E192" s="279">
        <f t="shared" si="157"/>
        <v>-5.4920798713417165E-2</v>
      </c>
      <c r="F192" s="279">
        <f t="shared" si="157"/>
        <v>-3.4561270602690167E-2</v>
      </c>
      <c r="G192" s="279">
        <f t="shared" si="157"/>
        <v>-1.219000623018035E-2</v>
      </c>
      <c r="H192" s="279">
        <f t="shared" si="157"/>
        <v>1.2277146961337138E-2</v>
      </c>
      <c r="I192" s="279">
        <f t="shared" si="157"/>
        <v>3.2917469082039547E-2</v>
      </c>
      <c r="J192" s="279">
        <f t="shared" si="157"/>
        <v>5.4035261326824818E-2</v>
      </c>
      <c r="K192" s="279">
        <f t="shared" si="157"/>
        <v>7.5496984533231282E-2</v>
      </c>
      <c r="L192" s="279">
        <f t="shared" si="157"/>
        <v>9.7158698282724804E-2</v>
      </c>
      <c r="M192" s="279">
        <f t="shared" si="157"/>
        <v>0.11886606090069798</v>
      </c>
      <c r="N192" s="279">
        <f t="shared" si="157"/>
        <v>0.15000841699156156</v>
      </c>
      <c r="O192" s="279">
        <f t="shared" si="157"/>
        <v>0.18165139938574185</v>
      </c>
      <c r="P192" s="279">
        <f t="shared" si="157"/>
        <v>0.21349987840720727</v>
      </c>
      <c r="Q192" s="279">
        <f t="shared" si="157"/>
        <v>0.24523680173251058</v>
      </c>
      <c r="R192" s="279">
        <f t="shared" si="157"/>
        <v>0.2765231943907891</v>
      </c>
      <c r="S192" s="279">
        <f t="shared" si="157"/>
        <v>0.31337368664231757</v>
      </c>
      <c r="T192" s="279">
        <f t="shared" si="157"/>
        <v>0.35050309730225027</v>
      </c>
      <c r="U192" s="279">
        <f t="shared" si="157"/>
        <v>0.38766197362991039</v>
      </c>
      <c r="V192" s="279">
        <f t="shared" si="157"/>
        <v>0.42458539642139681</v>
      </c>
      <c r="W192" s="279">
        <f t="shared" si="157"/>
        <v>0.46099298000958278</v>
      </c>
      <c r="X192" s="279">
        <f t="shared" si="157"/>
        <v>0.51296557746167282</v>
      </c>
      <c r="Y192" s="279">
        <f t="shared" si="157"/>
        <v>0.5643064578657554</v>
      </c>
      <c r="Z192" s="279">
        <f t="shared" si="157"/>
        <v>0.6145360154167484</v>
      </c>
      <c r="AA192" s="279">
        <f t="shared" si="157"/>
        <v>0.66314876606423656</v>
      </c>
      <c r="AB192" s="279">
        <f t="shared" si="157"/>
        <v>0.70961334751247285</v>
      </c>
      <c r="AC192" s="279">
        <f t="shared" si="157"/>
        <v>0.74430823719648342</v>
      </c>
      <c r="AD192" s="279">
        <f t="shared" si="157"/>
        <v>0.77394599452311974</v>
      </c>
      <c r="AE192" s="279">
        <f t="shared" si="157"/>
        <v>0.79776293625974504</v>
      </c>
      <c r="AF192" s="279">
        <f t="shared" si="157"/>
        <v>0.81496415908875552</v>
      </c>
      <c r="AG192" s="279">
        <f t="shared" si="157"/>
        <v>0.82472353960758349</v>
      </c>
      <c r="AH192" s="230"/>
      <c r="AI192" s="398"/>
      <c r="AJ192" s="399"/>
      <c r="AL192" s="207"/>
      <c r="AM192" s="118"/>
      <c r="AN192" s="118"/>
      <c r="AO192" s="118"/>
      <c r="BD192" s="118"/>
      <c r="BE192" s="118"/>
      <c r="BF192" s="118"/>
      <c r="BG192" s="118"/>
      <c r="BH192" s="118"/>
      <c r="BI192" s="118"/>
      <c r="BJ192" s="118"/>
      <c r="BK192" s="118"/>
    </row>
    <row r="193" spans="1:63" outlineLevel="1">
      <c r="A193" s="4" t="s">
        <v>35</v>
      </c>
      <c r="C193" s="216">
        <f>C189-$C189</f>
        <v>0</v>
      </c>
      <c r="D193" s="216">
        <f t="shared" ref="D193:AF193" si="158">D189-$C189</f>
        <v>-2.7174920610369894E-3</v>
      </c>
      <c r="E193" s="216">
        <f t="shared" si="158"/>
        <v>-2.0346455789145633E-3</v>
      </c>
      <c r="F193" s="216">
        <f t="shared" si="158"/>
        <v>-1.2803880875871939E-3</v>
      </c>
      <c r="G193" s="216">
        <f t="shared" si="158"/>
        <v>-4.5160199531326609E-4</v>
      </c>
      <c r="H193" s="216">
        <f t="shared" si="158"/>
        <v>4.5483028964883685E-4</v>
      </c>
      <c r="I193" s="216">
        <f t="shared" si="158"/>
        <v>1.2194903298168259E-3</v>
      </c>
      <c r="J193" s="216">
        <f t="shared" si="158"/>
        <v>2.0018391600204128E-3</v>
      </c>
      <c r="K193" s="216">
        <f t="shared" si="158"/>
        <v>2.796929567675667E-3</v>
      </c>
      <c r="L193" s="216">
        <f t="shared" si="158"/>
        <v>3.5994290058594114E-3</v>
      </c>
      <c r="M193" s="216">
        <f t="shared" si="158"/>
        <v>4.4036195933091979E-3</v>
      </c>
      <c r="N193" s="216">
        <f t="shared" si="158"/>
        <v>5.5573474818618965E-3</v>
      </c>
      <c r="O193" s="216">
        <f t="shared" si="158"/>
        <v>6.7296220252082897E-3</v>
      </c>
      <c r="P193" s="216">
        <f t="shared" si="158"/>
        <v>7.9095095824580196E-3</v>
      </c>
      <c r="Q193" s="216">
        <f t="shared" si="158"/>
        <v>9.0852643464979597E-3</v>
      </c>
      <c r="R193" s="216">
        <f t="shared" si="158"/>
        <v>1.0244328343992228E-2</v>
      </c>
      <c r="S193" s="216">
        <f t="shared" si="158"/>
        <v>1.1609525007129629E-2</v>
      </c>
      <c r="T193" s="216">
        <f t="shared" si="158"/>
        <v>1.2985054733875564E-2</v>
      </c>
      <c r="U193" s="216">
        <f t="shared" si="158"/>
        <v>1.4361676072396561E-2</v>
      </c>
      <c r="V193" s="216">
        <f t="shared" si="158"/>
        <v>1.5729574586274834E-2</v>
      </c>
      <c r="W193" s="216">
        <f t="shared" si="158"/>
        <v>1.7078362854508231E-2</v>
      </c>
      <c r="X193" s="216">
        <f t="shared" si="158"/>
        <v>1.9003786703174284E-2</v>
      </c>
      <c r="Y193" s="216">
        <f t="shared" si="158"/>
        <v>2.0905807390761779E-2</v>
      </c>
      <c r="Z193" s="216">
        <f t="shared" si="158"/>
        <v>2.2766657006865327E-2</v>
      </c>
      <c r="AA193" s="216">
        <f t="shared" si="158"/>
        <v>2.4567608932198927E-2</v>
      </c>
      <c r="AB193" s="216">
        <f t="shared" si="158"/>
        <v>2.6288977838596017E-2</v>
      </c>
      <c r="AC193" s="216">
        <f t="shared" si="158"/>
        <v>2.7574316099513461E-2</v>
      </c>
      <c r="AD193" s="216">
        <f t="shared" si="158"/>
        <v>2.8672303261503725E-2</v>
      </c>
      <c r="AE193" s="216">
        <f t="shared" si="158"/>
        <v>2.9554647224863673E-2</v>
      </c>
      <c r="AF193" s="216">
        <f t="shared" si="158"/>
        <v>3.0191899282387379E-2</v>
      </c>
      <c r="AG193" s="216">
        <f>AG189-$C189</f>
        <v>3.0553454119366233E-2</v>
      </c>
      <c r="AH193" s="230"/>
      <c r="AI193" s="126"/>
      <c r="AJ193" s="198"/>
      <c r="AL193" s="102"/>
      <c r="AM193" s="2"/>
      <c r="AN193" s="2"/>
      <c r="AO193" s="2"/>
      <c r="BC193" s="1"/>
      <c r="BD193" s="2"/>
      <c r="BE193" s="2"/>
      <c r="BF193" s="2"/>
      <c r="BG193" s="2"/>
      <c r="BH193" s="2"/>
      <c r="BI193" s="2"/>
      <c r="BJ193" s="2"/>
      <c r="BK193" s="2"/>
    </row>
    <row r="194" spans="1:63" outlineLevel="1">
      <c r="A194" s="4" t="s">
        <v>160</v>
      </c>
      <c r="C194" s="216">
        <f t="shared" ref="C194:AG194" si="159">C190-$C190</f>
        <v>0</v>
      </c>
      <c r="D194" s="216">
        <f t="shared" si="159"/>
        <v>0</v>
      </c>
      <c r="E194" s="216">
        <f t="shared" si="159"/>
        <v>0</v>
      </c>
      <c r="F194" s="216">
        <f t="shared" si="159"/>
        <v>0</v>
      </c>
      <c r="G194" s="216">
        <f t="shared" si="159"/>
        <v>0</v>
      </c>
      <c r="H194" s="216">
        <f t="shared" si="159"/>
        <v>0</v>
      </c>
      <c r="I194" s="216">
        <f t="shared" si="159"/>
        <v>0</v>
      </c>
      <c r="J194" s="216">
        <f t="shared" si="159"/>
        <v>0</v>
      </c>
      <c r="K194" s="216">
        <f t="shared" si="159"/>
        <v>0</v>
      </c>
      <c r="L194" s="216">
        <f t="shared" si="159"/>
        <v>0</v>
      </c>
      <c r="M194" s="216">
        <f t="shared" si="159"/>
        <v>0</v>
      </c>
      <c r="N194" s="216">
        <f t="shared" si="159"/>
        <v>0</v>
      </c>
      <c r="O194" s="216">
        <f t="shared" si="159"/>
        <v>0</v>
      </c>
      <c r="P194" s="216">
        <f t="shared" si="159"/>
        <v>0</v>
      </c>
      <c r="Q194" s="216">
        <f t="shared" si="159"/>
        <v>0</v>
      </c>
      <c r="R194" s="216">
        <f t="shared" si="159"/>
        <v>0</v>
      </c>
      <c r="S194" s="216">
        <f t="shared" si="159"/>
        <v>0</v>
      </c>
      <c r="T194" s="216">
        <f t="shared" si="159"/>
        <v>0</v>
      </c>
      <c r="U194" s="216">
        <f t="shared" si="159"/>
        <v>0</v>
      </c>
      <c r="V194" s="216">
        <f t="shared" si="159"/>
        <v>0</v>
      </c>
      <c r="W194" s="216">
        <f t="shared" si="159"/>
        <v>0</v>
      </c>
      <c r="X194" s="216">
        <f t="shared" si="159"/>
        <v>0</v>
      </c>
      <c r="Y194" s="216">
        <f t="shared" si="159"/>
        <v>0</v>
      </c>
      <c r="Z194" s="216">
        <f t="shared" si="159"/>
        <v>0</v>
      </c>
      <c r="AA194" s="216">
        <f t="shared" si="159"/>
        <v>0</v>
      </c>
      <c r="AB194" s="216">
        <f t="shared" si="159"/>
        <v>0</v>
      </c>
      <c r="AC194" s="216">
        <f t="shared" si="159"/>
        <v>0</v>
      </c>
      <c r="AD194" s="216">
        <f t="shared" si="159"/>
        <v>0</v>
      </c>
      <c r="AE194" s="216">
        <f t="shared" si="159"/>
        <v>0</v>
      </c>
      <c r="AF194" s="216">
        <f t="shared" si="159"/>
        <v>0</v>
      </c>
      <c r="AG194" s="216">
        <f t="shared" si="159"/>
        <v>0</v>
      </c>
      <c r="AH194" s="230"/>
      <c r="AI194" s="126"/>
      <c r="AJ194" s="198"/>
      <c r="AL194" s="102"/>
      <c r="AM194" s="2"/>
      <c r="AN194" s="2"/>
      <c r="AO194" s="2"/>
      <c r="BC194" s="1"/>
      <c r="BD194" s="2"/>
      <c r="BE194" s="2"/>
      <c r="BF194" s="2"/>
      <c r="BG194" s="2"/>
      <c r="BH194" s="2"/>
      <c r="BI194" s="2"/>
      <c r="BJ194" s="2"/>
      <c r="BK194" s="2"/>
    </row>
    <row r="195" spans="1:63" outlineLevel="1">
      <c r="A195" s="4" t="s">
        <v>1159</v>
      </c>
      <c r="C195" s="216">
        <f t="shared" ref="C195:AG195" si="160">C191-$C191</f>
        <v>0</v>
      </c>
      <c r="D195" s="216">
        <f t="shared" si="160"/>
        <v>-7.0635251058549189E-2</v>
      </c>
      <c r="E195" s="216">
        <f t="shared" si="160"/>
        <v>-5.2886153134502609E-2</v>
      </c>
      <c r="F195" s="216">
        <f t="shared" si="160"/>
        <v>-3.3280882515102986E-2</v>
      </c>
      <c r="G195" s="216">
        <f t="shared" si="160"/>
        <v>-1.1738404234867106E-2</v>
      </c>
      <c r="H195" s="216">
        <f t="shared" si="160"/>
        <v>1.1822316671688288E-2</v>
      </c>
      <c r="I195" s="216">
        <f t="shared" si="160"/>
        <v>3.1697978752222716E-2</v>
      </c>
      <c r="J195" s="216">
        <f t="shared" si="160"/>
        <v>5.2033422166804399E-2</v>
      </c>
      <c r="K195" s="216">
        <f t="shared" si="160"/>
        <v>7.2700054965555622E-2</v>
      </c>
      <c r="L195" s="216">
        <f t="shared" si="160"/>
        <v>9.3559269276865392E-2</v>
      </c>
      <c r="M195" s="216">
        <f t="shared" si="160"/>
        <v>0.11446244130738878</v>
      </c>
      <c r="N195" s="216">
        <f t="shared" si="160"/>
        <v>0.14445106950969969</v>
      </c>
      <c r="O195" s="216">
        <f t="shared" si="160"/>
        <v>0.17492177736053358</v>
      </c>
      <c r="P195" s="216">
        <f t="shared" si="160"/>
        <v>0.20559036882474926</v>
      </c>
      <c r="Q195" s="216">
        <f t="shared" si="160"/>
        <v>0.23615153738601261</v>
      </c>
      <c r="R195" s="216">
        <f t="shared" si="160"/>
        <v>0.26627886604679685</v>
      </c>
      <c r="S195" s="216">
        <f t="shared" si="160"/>
        <v>0.30176416163518793</v>
      </c>
      <c r="T195" s="216">
        <f t="shared" si="160"/>
        <v>0.3375180425683747</v>
      </c>
      <c r="U195" s="216">
        <f t="shared" si="160"/>
        <v>0.37330029755751382</v>
      </c>
      <c r="V195" s="216">
        <f t="shared" si="160"/>
        <v>0.40885582183512192</v>
      </c>
      <c r="W195" s="216">
        <f t="shared" si="160"/>
        <v>0.44391461715507452</v>
      </c>
      <c r="X195" s="216">
        <f t="shared" si="160"/>
        <v>0.49396179075849844</v>
      </c>
      <c r="Y195" s="216">
        <f t="shared" si="160"/>
        <v>0.54340065047499353</v>
      </c>
      <c r="Z195" s="216">
        <f t="shared" si="160"/>
        <v>0.59176935840988298</v>
      </c>
      <c r="AA195" s="216">
        <f t="shared" si="160"/>
        <v>0.63858115713203756</v>
      </c>
      <c r="AB195" s="216">
        <f t="shared" si="160"/>
        <v>0.68332436967387677</v>
      </c>
      <c r="AC195" s="216">
        <f t="shared" si="160"/>
        <v>0.71673392109696987</v>
      </c>
      <c r="AD195" s="216">
        <f t="shared" si="160"/>
        <v>0.74527369126161602</v>
      </c>
      <c r="AE195" s="216">
        <f t="shared" si="160"/>
        <v>0.76820828903488136</v>
      </c>
      <c r="AF195" s="216">
        <f t="shared" si="160"/>
        <v>0.78477225980636811</v>
      </c>
      <c r="AG195" s="216">
        <f t="shared" si="160"/>
        <v>0.79417008548821721</v>
      </c>
      <c r="AH195" s="230"/>
      <c r="AI195" s="126"/>
      <c r="AJ195" s="198"/>
      <c r="AL195" s="102"/>
      <c r="AM195" s="2"/>
      <c r="AN195" s="2"/>
      <c r="AO195" s="2"/>
      <c r="BC195" s="1"/>
      <c r="BD195" s="2"/>
      <c r="BE195" s="2"/>
      <c r="BF195" s="2"/>
      <c r="BG195" s="2"/>
      <c r="BH195" s="2"/>
      <c r="BI195" s="2"/>
      <c r="BJ195" s="2"/>
      <c r="BK195" s="2"/>
    </row>
    <row r="196" spans="1:63" s="1" customFormat="1" outlineLevel="1">
      <c r="A196" s="1" t="s">
        <v>1163</v>
      </c>
      <c r="B196" s="61"/>
      <c r="C196" s="279">
        <f>C182*C42</f>
        <v>0.15547282504203289</v>
      </c>
      <c r="D196" s="279">
        <f t="shared" ref="D196:AG196" si="161">D182*D42</f>
        <v>8.2120081922446714E-2</v>
      </c>
      <c r="E196" s="279">
        <f t="shared" si="161"/>
        <v>0.10055202632861572</v>
      </c>
      <c r="F196" s="279">
        <f t="shared" si="161"/>
        <v>0.12091155443934272</v>
      </c>
      <c r="G196" s="279">
        <f t="shared" si="161"/>
        <v>0.14328281881185254</v>
      </c>
      <c r="H196" s="279">
        <f t="shared" si="161"/>
        <v>0.16774997200337002</v>
      </c>
      <c r="I196" s="279">
        <f t="shared" si="161"/>
        <v>0.18839029412407243</v>
      </c>
      <c r="J196" s="279">
        <f t="shared" si="161"/>
        <v>0.2095080863688577</v>
      </c>
      <c r="K196" s="279">
        <f t="shared" si="161"/>
        <v>0.23096980957526417</v>
      </c>
      <c r="L196" s="279">
        <f t="shared" si="161"/>
        <v>0.25263152332475769</v>
      </c>
      <c r="M196" s="279">
        <f t="shared" si="161"/>
        <v>0.27433888594273087</v>
      </c>
      <c r="N196" s="279">
        <f t="shared" si="161"/>
        <v>0.30548124203359445</v>
      </c>
      <c r="O196" s="279">
        <f t="shared" si="161"/>
        <v>0.33712422442777473</v>
      </c>
      <c r="P196" s="279">
        <f t="shared" si="161"/>
        <v>0.36897270344924016</v>
      </c>
      <c r="Q196" s="279">
        <f t="shared" si="161"/>
        <v>0.40070962677454347</v>
      </c>
      <c r="R196" s="279">
        <f t="shared" si="161"/>
        <v>0.43199601943282195</v>
      </c>
      <c r="S196" s="279">
        <f t="shared" si="161"/>
        <v>0.46884651168435049</v>
      </c>
      <c r="T196" s="279">
        <f t="shared" si="161"/>
        <v>0.50597592234428312</v>
      </c>
      <c r="U196" s="279">
        <f t="shared" si="161"/>
        <v>0.54313479867194325</v>
      </c>
      <c r="V196" s="279">
        <f t="shared" si="161"/>
        <v>0.58005822146342967</v>
      </c>
      <c r="W196" s="279">
        <f t="shared" si="161"/>
        <v>0.61646580505161563</v>
      </c>
      <c r="X196" s="279">
        <f t="shared" si="161"/>
        <v>0.66843840250370568</v>
      </c>
      <c r="Y196" s="279">
        <f t="shared" si="161"/>
        <v>0.71977928290778825</v>
      </c>
      <c r="Z196" s="279">
        <f t="shared" si="161"/>
        <v>0.77000884045878126</v>
      </c>
      <c r="AA196" s="279">
        <f t="shared" si="161"/>
        <v>0.81862159110626942</v>
      </c>
      <c r="AB196" s="279">
        <f t="shared" si="161"/>
        <v>0.86508617255450571</v>
      </c>
      <c r="AC196" s="279">
        <f t="shared" si="161"/>
        <v>0.89978106223851628</v>
      </c>
      <c r="AD196" s="279">
        <f t="shared" si="161"/>
        <v>0.9294188195651526</v>
      </c>
      <c r="AE196" s="279">
        <f t="shared" si="161"/>
        <v>0.9532357613017779</v>
      </c>
      <c r="AF196" s="279">
        <f t="shared" si="161"/>
        <v>0.97043698413078838</v>
      </c>
      <c r="AG196" s="279">
        <f t="shared" si="161"/>
        <v>0.98019636464961635</v>
      </c>
      <c r="AH196" s="230"/>
      <c r="AI196" s="398"/>
      <c r="AJ196" s="399"/>
      <c r="AL196" s="207"/>
      <c r="AM196" s="118"/>
      <c r="AN196" s="118"/>
      <c r="AO196" s="118"/>
      <c r="BD196" s="118"/>
      <c r="BE196" s="118"/>
      <c r="BF196" s="118"/>
      <c r="BG196" s="118"/>
      <c r="BH196" s="118"/>
      <c r="BI196" s="118"/>
      <c r="BJ196" s="118"/>
      <c r="BK196" s="118"/>
    </row>
    <row r="197" spans="1:63" outlineLevel="1">
      <c r="A197" s="4" t="s">
        <v>35</v>
      </c>
      <c r="C197" s="216">
        <f>C$196*'Methanol recycling rates'!E63</f>
        <v>5.7597868844512928E-3</v>
      </c>
      <c r="D197" s="216">
        <f>D$196*'Methanol recycling rates'!F63</f>
        <v>3.0422948234143034E-3</v>
      </c>
      <c r="E197" s="216">
        <f>E$196*'Methanol recycling rates'!G63</f>
        <v>3.7251413055367296E-3</v>
      </c>
      <c r="F197" s="216">
        <f>F$196*'Methanol recycling rates'!H63</f>
        <v>4.4793987968640989E-3</v>
      </c>
      <c r="G197" s="216">
        <f>G$196*'Methanol recycling rates'!I63</f>
        <v>5.3081848891380267E-3</v>
      </c>
      <c r="H197" s="216">
        <f>H$196*'Methanol recycling rates'!J63</f>
        <v>6.2146171741001297E-3</v>
      </c>
      <c r="I197" s="216">
        <f>I$196*'Methanol recycling rates'!K63</f>
        <v>6.9792772142681187E-3</v>
      </c>
      <c r="J197" s="216">
        <f>J$196*'Methanol recycling rates'!L63</f>
        <v>7.7616260444717056E-3</v>
      </c>
      <c r="K197" s="216">
        <f>K$196*'Methanol recycling rates'!M63</f>
        <v>8.5567164521269598E-3</v>
      </c>
      <c r="L197" s="216">
        <f>L$196*'Methanol recycling rates'!N63</f>
        <v>9.3592158903107042E-3</v>
      </c>
      <c r="M197" s="216">
        <f>M$196*'Methanol recycling rates'!O63</f>
        <v>1.0163406477760491E-2</v>
      </c>
      <c r="N197" s="216">
        <f>N$196*'Methanol recycling rates'!P63</f>
        <v>1.1317134366313189E-2</v>
      </c>
      <c r="O197" s="216">
        <f>O$196*'Methanol recycling rates'!Q63</f>
        <v>1.2489408909659582E-2</v>
      </c>
      <c r="P197" s="216">
        <f>P$196*'Methanol recycling rates'!R63</f>
        <v>1.3669296466909312E-2</v>
      </c>
      <c r="Q197" s="216">
        <f>Q$196*'Methanol recycling rates'!S63</f>
        <v>1.4845051230949253E-2</v>
      </c>
      <c r="R197" s="216">
        <f>R$196*'Methanol recycling rates'!T63</f>
        <v>1.600411522844352E-2</v>
      </c>
      <c r="S197" s="216">
        <f>S$196*'Methanol recycling rates'!U63</f>
        <v>1.7369311891580922E-2</v>
      </c>
      <c r="T197" s="216">
        <f>T$196*'Methanol recycling rates'!V63</f>
        <v>1.8744841618326857E-2</v>
      </c>
      <c r="U197" s="216">
        <f>U$196*'Methanol recycling rates'!W63</f>
        <v>2.0121462956847854E-2</v>
      </c>
      <c r="V197" s="216">
        <f>V$196*'Methanol recycling rates'!X63</f>
        <v>2.1489361470726127E-2</v>
      </c>
      <c r="W197" s="216">
        <f>W$196*'Methanol recycling rates'!Y63</f>
        <v>2.2838149738959524E-2</v>
      </c>
      <c r="X197" s="216">
        <f>X$196*'Methanol recycling rates'!Z63</f>
        <v>2.4763573587625577E-2</v>
      </c>
      <c r="Y197" s="216">
        <f>Y$196*'Methanol recycling rates'!AA63</f>
        <v>2.6665594275213072E-2</v>
      </c>
      <c r="Z197" s="216">
        <f>Z$196*'Methanol recycling rates'!AB63</f>
        <v>2.852644389131662E-2</v>
      </c>
      <c r="AA197" s="216">
        <f>AA$196*'Methanol recycling rates'!AC63</f>
        <v>3.032739581665022E-2</v>
      </c>
      <c r="AB197" s="216">
        <f>AB$196*'Methanol recycling rates'!AD63</f>
        <v>3.204876472304731E-2</v>
      </c>
      <c r="AC197" s="216">
        <f>AC$196*'Methanol recycling rates'!AE63</f>
        <v>3.3334102983964754E-2</v>
      </c>
      <c r="AD197" s="216">
        <f>AD$196*'Methanol recycling rates'!AF63</f>
        <v>3.4432090145955017E-2</v>
      </c>
      <c r="AE197" s="216">
        <f>AE$196*'Methanol recycling rates'!AG63</f>
        <v>3.5314434109314966E-2</v>
      </c>
      <c r="AF197" s="216">
        <f>AF$196*'Methanol recycling rates'!AH63</f>
        <v>3.5951686166838671E-2</v>
      </c>
      <c r="AG197" s="216">
        <f>AG$196*'Methanol recycling rates'!AI63</f>
        <v>3.6313241003817526E-2</v>
      </c>
      <c r="AH197" s="230"/>
      <c r="AI197" s="126"/>
      <c r="AJ197" s="198"/>
      <c r="AL197" s="102"/>
      <c r="AM197" s="2"/>
      <c r="AN197" s="2"/>
      <c r="AO197" s="2"/>
      <c r="BC197" s="1"/>
      <c r="BD197" s="2"/>
      <c r="BE197" s="2"/>
      <c r="BF197" s="2"/>
      <c r="BG197" s="2"/>
      <c r="BH197" s="2"/>
      <c r="BI197" s="2"/>
      <c r="BJ197" s="2"/>
      <c r="BK197" s="2"/>
    </row>
    <row r="198" spans="1:63" outlineLevel="1">
      <c r="A198" s="4" t="s">
        <v>160</v>
      </c>
      <c r="C198" s="216">
        <f>C$196*'Methanol recycling rates'!E64</f>
        <v>0</v>
      </c>
      <c r="D198" s="216">
        <f>D$196*'Methanol recycling rates'!F64</f>
        <v>0</v>
      </c>
      <c r="E198" s="216">
        <f>E$196*'Methanol recycling rates'!G64</f>
        <v>0</v>
      </c>
      <c r="F198" s="216">
        <f>F$196*'Methanol recycling rates'!H64</f>
        <v>0</v>
      </c>
      <c r="G198" s="216">
        <f>G$196*'Methanol recycling rates'!I64</f>
        <v>0</v>
      </c>
      <c r="H198" s="216">
        <f>H$196*'Methanol recycling rates'!J64</f>
        <v>0</v>
      </c>
      <c r="I198" s="216">
        <f>I$196*'Methanol recycling rates'!K64</f>
        <v>0</v>
      </c>
      <c r="J198" s="216">
        <f>J$196*'Methanol recycling rates'!L64</f>
        <v>0</v>
      </c>
      <c r="K198" s="216">
        <f>K$196*'Methanol recycling rates'!M64</f>
        <v>0</v>
      </c>
      <c r="L198" s="216">
        <f>L$196*'Methanol recycling rates'!N64</f>
        <v>0</v>
      </c>
      <c r="M198" s="216">
        <f>M$196*'Methanol recycling rates'!O64</f>
        <v>0</v>
      </c>
      <c r="N198" s="216">
        <f>N$196*'Methanol recycling rates'!P64</f>
        <v>0</v>
      </c>
      <c r="O198" s="216">
        <f>O$196*'Methanol recycling rates'!Q64</f>
        <v>0</v>
      </c>
      <c r="P198" s="216">
        <f>P$196*'Methanol recycling rates'!R64</f>
        <v>0</v>
      </c>
      <c r="Q198" s="216">
        <f>Q$196*'Methanol recycling rates'!S64</f>
        <v>0</v>
      </c>
      <c r="R198" s="216">
        <f>R$196*'Methanol recycling rates'!T64</f>
        <v>0</v>
      </c>
      <c r="S198" s="216">
        <f>S$196*'Methanol recycling rates'!U64</f>
        <v>0</v>
      </c>
      <c r="T198" s="216">
        <f>T$196*'Methanol recycling rates'!V64</f>
        <v>0</v>
      </c>
      <c r="U198" s="216">
        <f>U$196*'Methanol recycling rates'!W64</f>
        <v>0</v>
      </c>
      <c r="V198" s="216">
        <f>V$196*'Methanol recycling rates'!X64</f>
        <v>0</v>
      </c>
      <c r="W198" s="216">
        <f>W$196*'Methanol recycling rates'!Y64</f>
        <v>0</v>
      </c>
      <c r="X198" s="216">
        <f>X$196*'Methanol recycling rates'!Z64</f>
        <v>0</v>
      </c>
      <c r="Y198" s="216">
        <f>Y$196*'Methanol recycling rates'!AA64</f>
        <v>0</v>
      </c>
      <c r="Z198" s="216">
        <f>Z$196*'Methanol recycling rates'!AB64</f>
        <v>0</v>
      </c>
      <c r="AA198" s="216">
        <f>AA$196*'Methanol recycling rates'!AC64</f>
        <v>0</v>
      </c>
      <c r="AB198" s="216">
        <f>AB$196*'Methanol recycling rates'!AD64</f>
        <v>0</v>
      </c>
      <c r="AC198" s="216">
        <f>AC$196*'Methanol recycling rates'!AE64</f>
        <v>0</v>
      </c>
      <c r="AD198" s="216">
        <f>AD$196*'Methanol recycling rates'!AF64</f>
        <v>0</v>
      </c>
      <c r="AE198" s="216">
        <f>AE$196*'Methanol recycling rates'!AG64</f>
        <v>0</v>
      </c>
      <c r="AF198" s="216">
        <f>AF$196*'Methanol recycling rates'!AH64</f>
        <v>0</v>
      </c>
      <c r="AG198" s="216">
        <f>AG$196*'Methanol recycling rates'!AI64</f>
        <v>0</v>
      </c>
      <c r="AH198" s="230"/>
      <c r="AI198" s="126"/>
      <c r="AJ198" s="198"/>
      <c r="AL198" s="102"/>
      <c r="AM198" s="2"/>
      <c r="AN198" s="2"/>
      <c r="AO198" s="2"/>
      <c r="BC198" s="1"/>
      <c r="BD198" s="2"/>
      <c r="BE198" s="2"/>
      <c r="BF198" s="2"/>
      <c r="BG198" s="2"/>
      <c r="BH198" s="2"/>
      <c r="BI198" s="2"/>
      <c r="BJ198" s="2"/>
      <c r="BK198" s="2"/>
    </row>
    <row r="199" spans="1:63" outlineLevel="1">
      <c r="A199" s="4" t="s">
        <v>1159</v>
      </c>
      <c r="C199" s="216">
        <f>C$196*'Methanol recycling rates'!E65</f>
        <v>0.14971303815758161</v>
      </c>
      <c r="D199" s="216">
        <f>D$196*'Methanol recycling rates'!F65</f>
        <v>7.9077787099032418E-2</v>
      </c>
      <c r="E199" s="216">
        <f>E$196*'Methanol recycling rates'!G65</f>
        <v>9.6826885023078998E-2</v>
      </c>
      <c r="F199" s="216">
        <f>F$196*'Methanol recycling rates'!H65</f>
        <v>0.11643215564247862</v>
      </c>
      <c r="G199" s="216">
        <f>G$196*'Methanol recycling rates'!I65</f>
        <v>0.1379746339227145</v>
      </c>
      <c r="H199" s="216">
        <f>H$196*'Methanol recycling rates'!J65</f>
        <v>0.16153535482926989</v>
      </c>
      <c r="I199" s="216">
        <f>I$196*'Methanol recycling rates'!K65</f>
        <v>0.18141101690980432</v>
      </c>
      <c r="J199" s="216">
        <f>J$196*'Methanol recycling rates'!L65</f>
        <v>0.20174646032438601</v>
      </c>
      <c r="K199" s="216">
        <f>K$196*'Methanol recycling rates'!M65</f>
        <v>0.22241309312313723</v>
      </c>
      <c r="L199" s="216">
        <f>L$196*'Methanol recycling rates'!N65</f>
        <v>0.243272307434447</v>
      </c>
      <c r="M199" s="216">
        <f>M$196*'Methanol recycling rates'!O65</f>
        <v>0.26417547946497039</v>
      </c>
      <c r="N199" s="216">
        <f>N$196*'Methanol recycling rates'!P65</f>
        <v>0.29416410766728129</v>
      </c>
      <c r="O199" s="216">
        <f>O$196*'Methanol recycling rates'!Q65</f>
        <v>0.32463481551811518</v>
      </c>
      <c r="P199" s="216">
        <f>P$196*'Methanol recycling rates'!R65</f>
        <v>0.35530340698233087</v>
      </c>
      <c r="Q199" s="216">
        <f>Q$196*'Methanol recycling rates'!S65</f>
        <v>0.38586457554359421</v>
      </c>
      <c r="R199" s="216">
        <f>R$196*'Methanol recycling rates'!T65</f>
        <v>0.41599190420437843</v>
      </c>
      <c r="S199" s="216">
        <f>S$196*'Methanol recycling rates'!U65</f>
        <v>0.45147719979276957</v>
      </c>
      <c r="T199" s="216">
        <f>T$196*'Methanol recycling rates'!V65</f>
        <v>0.48723108072595628</v>
      </c>
      <c r="U199" s="216">
        <f>U$196*'Methanol recycling rates'!W65</f>
        <v>0.52301333571509545</v>
      </c>
      <c r="V199" s="216">
        <f>V$196*'Methanol recycling rates'!X65</f>
        <v>0.55856885999270356</v>
      </c>
      <c r="W199" s="216">
        <f>W$196*'Methanol recycling rates'!Y65</f>
        <v>0.59362765531265616</v>
      </c>
      <c r="X199" s="216">
        <f>X$196*'Methanol recycling rates'!Z65</f>
        <v>0.64367482891608008</v>
      </c>
      <c r="Y199" s="216">
        <f>Y$196*'Methanol recycling rates'!AA65</f>
        <v>0.69311368863257516</v>
      </c>
      <c r="Z199" s="216">
        <f>Z$196*'Methanol recycling rates'!AB65</f>
        <v>0.74148239656746462</v>
      </c>
      <c r="AA199" s="216">
        <f>AA$196*'Methanol recycling rates'!AC65</f>
        <v>0.78829419528961919</v>
      </c>
      <c r="AB199" s="216">
        <f>AB$196*'Methanol recycling rates'!AD65</f>
        <v>0.83303740783145841</v>
      </c>
      <c r="AC199" s="216">
        <f>AC$196*'Methanol recycling rates'!AE65</f>
        <v>0.86644695925455151</v>
      </c>
      <c r="AD199" s="216">
        <f>AD$196*'Methanol recycling rates'!AF65</f>
        <v>0.89498672941919766</v>
      </c>
      <c r="AE199" s="216">
        <f>AE$196*'Methanol recycling rates'!AG65</f>
        <v>0.917921327192463</v>
      </c>
      <c r="AF199" s="216">
        <f>AF$196*'Methanol recycling rates'!AH65</f>
        <v>0.93448529796394975</v>
      </c>
      <c r="AG199" s="216">
        <f>AG$196*'Methanol recycling rates'!AI65</f>
        <v>0.94388312364579885</v>
      </c>
      <c r="AH199" s="230"/>
      <c r="AI199" s="126"/>
      <c r="AJ199" s="198"/>
      <c r="AL199" s="102"/>
      <c r="AM199" s="2"/>
      <c r="AN199" s="2"/>
      <c r="AO199" s="2"/>
      <c r="BC199" s="1"/>
      <c r="BD199" s="2"/>
      <c r="BE199" s="2"/>
      <c r="BF199" s="2"/>
      <c r="BG199" s="2"/>
      <c r="BH199" s="2"/>
      <c r="BI199" s="2"/>
      <c r="BJ199" s="2"/>
      <c r="BK199" s="2"/>
    </row>
    <row r="200" spans="1:63" s="1" customFormat="1" outlineLevel="1">
      <c r="A200" s="1" t="s">
        <v>1166</v>
      </c>
      <c r="B200" s="61"/>
      <c r="C200" s="279">
        <f>C196-$C196</f>
        <v>0</v>
      </c>
      <c r="D200" s="279">
        <f t="shared" ref="D200:AG200" si="162">D196-$C196</f>
        <v>-7.3352743119586172E-2</v>
      </c>
      <c r="E200" s="279">
        <f t="shared" si="162"/>
        <v>-5.4920798713417165E-2</v>
      </c>
      <c r="F200" s="279">
        <f t="shared" si="162"/>
        <v>-3.4561270602690167E-2</v>
      </c>
      <c r="G200" s="279">
        <f t="shared" si="162"/>
        <v>-1.219000623018035E-2</v>
      </c>
      <c r="H200" s="279">
        <f t="shared" si="162"/>
        <v>1.2277146961337138E-2</v>
      </c>
      <c r="I200" s="279">
        <f t="shared" si="162"/>
        <v>3.2917469082039547E-2</v>
      </c>
      <c r="J200" s="279">
        <f t="shared" si="162"/>
        <v>5.4035261326824818E-2</v>
      </c>
      <c r="K200" s="279">
        <f t="shared" si="162"/>
        <v>7.5496984533231282E-2</v>
      </c>
      <c r="L200" s="279">
        <f t="shared" si="162"/>
        <v>9.7158698282724804E-2</v>
      </c>
      <c r="M200" s="279">
        <f t="shared" si="162"/>
        <v>0.11886606090069798</v>
      </c>
      <c r="N200" s="279">
        <f t="shared" si="162"/>
        <v>0.15000841699156156</v>
      </c>
      <c r="O200" s="279">
        <f t="shared" si="162"/>
        <v>0.18165139938574185</v>
      </c>
      <c r="P200" s="279">
        <f t="shared" si="162"/>
        <v>0.21349987840720727</v>
      </c>
      <c r="Q200" s="279">
        <f t="shared" si="162"/>
        <v>0.24523680173251058</v>
      </c>
      <c r="R200" s="279">
        <f t="shared" si="162"/>
        <v>0.2765231943907891</v>
      </c>
      <c r="S200" s="279">
        <f t="shared" si="162"/>
        <v>0.31337368664231757</v>
      </c>
      <c r="T200" s="279">
        <f t="shared" si="162"/>
        <v>0.35050309730225027</v>
      </c>
      <c r="U200" s="279">
        <f t="shared" si="162"/>
        <v>0.38766197362991039</v>
      </c>
      <c r="V200" s="279">
        <f t="shared" si="162"/>
        <v>0.42458539642139681</v>
      </c>
      <c r="W200" s="279">
        <f t="shared" si="162"/>
        <v>0.46099298000958278</v>
      </c>
      <c r="X200" s="279">
        <f t="shared" si="162"/>
        <v>0.51296557746167282</v>
      </c>
      <c r="Y200" s="279">
        <f t="shared" si="162"/>
        <v>0.5643064578657554</v>
      </c>
      <c r="Z200" s="279">
        <f t="shared" si="162"/>
        <v>0.6145360154167484</v>
      </c>
      <c r="AA200" s="279">
        <f t="shared" si="162"/>
        <v>0.66314876606423656</v>
      </c>
      <c r="AB200" s="279">
        <f t="shared" si="162"/>
        <v>0.70961334751247285</v>
      </c>
      <c r="AC200" s="279">
        <f t="shared" si="162"/>
        <v>0.74430823719648342</v>
      </c>
      <c r="AD200" s="279">
        <f t="shared" si="162"/>
        <v>0.77394599452311974</v>
      </c>
      <c r="AE200" s="279">
        <f t="shared" si="162"/>
        <v>0.79776293625974504</v>
      </c>
      <c r="AF200" s="279">
        <f t="shared" si="162"/>
        <v>0.81496415908875552</v>
      </c>
      <c r="AG200" s="279">
        <f t="shared" si="162"/>
        <v>0.82472353960758349</v>
      </c>
      <c r="AH200" s="230"/>
      <c r="AI200" s="398"/>
      <c r="AJ200" s="399"/>
      <c r="AL200" s="207"/>
      <c r="AM200" s="118"/>
      <c r="AN200" s="118"/>
      <c r="AO200" s="118"/>
      <c r="BD200" s="118"/>
      <c r="BE200" s="118"/>
      <c r="BF200" s="118"/>
      <c r="BG200" s="118"/>
      <c r="BH200" s="118"/>
      <c r="BI200" s="118"/>
      <c r="BJ200" s="118"/>
      <c r="BK200" s="118"/>
    </row>
    <row r="201" spans="1:63" outlineLevel="1">
      <c r="A201" s="4" t="s">
        <v>35</v>
      </c>
      <c r="C201" s="216">
        <f t="shared" ref="C201:C203" si="163">C197-$C197</f>
        <v>0</v>
      </c>
      <c r="D201" s="216">
        <f t="shared" ref="D201:AG201" si="164">D197-$C197</f>
        <v>-2.7174920610369894E-3</v>
      </c>
      <c r="E201" s="216">
        <f t="shared" si="164"/>
        <v>-2.0346455789145633E-3</v>
      </c>
      <c r="F201" s="216">
        <f t="shared" si="164"/>
        <v>-1.2803880875871939E-3</v>
      </c>
      <c r="G201" s="216">
        <f t="shared" si="164"/>
        <v>-4.5160199531326609E-4</v>
      </c>
      <c r="H201" s="216">
        <f t="shared" si="164"/>
        <v>4.5483028964883685E-4</v>
      </c>
      <c r="I201" s="216">
        <f t="shared" si="164"/>
        <v>1.2194903298168259E-3</v>
      </c>
      <c r="J201" s="216">
        <f t="shared" si="164"/>
        <v>2.0018391600204128E-3</v>
      </c>
      <c r="K201" s="216">
        <f t="shared" si="164"/>
        <v>2.796929567675667E-3</v>
      </c>
      <c r="L201" s="216">
        <f t="shared" si="164"/>
        <v>3.5994290058594114E-3</v>
      </c>
      <c r="M201" s="216">
        <f t="shared" si="164"/>
        <v>4.4036195933091979E-3</v>
      </c>
      <c r="N201" s="216">
        <f t="shared" si="164"/>
        <v>5.5573474818618965E-3</v>
      </c>
      <c r="O201" s="216">
        <f t="shared" si="164"/>
        <v>6.7296220252082897E-3</v>
      </c>
      <c r="P201" s="216">
        <f t="shared" si="164"/>
        <v>7.9095095824580196E-3</v>
      </c>
      <c r="Q201" s="216">
        <f t="shared" si="164"/>
        <v>9.0852643464979597E-3</v>
      </c>
      <c r="R201" s="216">
        <f t="shared" si="164"/>
        <v>1.0244328343992228E-2</v>
      </c>
      <c r="S201" s="216">
        <f t="shared" si="164"/>
        <v>1.1609525007129629E-2</v>
      </c>
      <c r="T201" s="216">
        <f t="shared" si="164"/>
        <v>1.2985054733875564E-2</v>
      </c>
      <c r="U201" s="216">
        <f t="shared" si="164"/>
        <v>1.4361676072396561E-2</v>
      </c>
      <c r="V201" s="216">
        <f t="shared" si="164"/>
        <v>1.5729574586274834E-2</v>
      </c>
      <c r="W201" s="216">
        <f t="shared" si="164"/>
        <v>1.7078362854508231E-2</v>
      </c>
      <c r="X201" s="216">
        <f t="shared" si="164"/>
        <v>1.9003786703174284E-2</v>
      </c>
      <c r="Y201" s="216">
        <f t="shared" si="164"/>
        <v>2.0905807390761779E-2</v>
      </c>
      <c r="Z201" s="216">
        <f t="shared" si="164"/>
        <v>2.2766657006865327E-2</v>
      </c>
      <c r="AA201" s="216">
        <f t="shared" si="164"/>
        <v>2.4567608932198927E-2</v>
      </c>
      <c r="AB201" s="216">
        <f t="shared" si="164"/>
        <v>2.6288977838596017E-2</v>
      </c>
      <c r="AC201" s="216">
        <f t="shared" si="164"/>
        <v>2.7574316099513461E-2</v>
      </c>
      <c r="AD201" s="216">
        <f t="shared" si="164"/>
        <v>2.8672303261503725E-2</v>
      </c>
      <c r="AE201" s="216">
        <f t="shared" si="164"/>
        <v>2.9554647224863673E-2</v>
      </c>
      <c r="AF201" s="216">
        <f t="shared" si="164"/>
        <v>3.0191899282387379E-2</v>
      </c>
      <c r="AG201" s="216">
        <f t="shared" si="164"/>
        <v>3.0553454119366233E-2</v>
      </c>
      <c r="AH201" s="230"/>
      <c r="AI201" s="126"/>
      <c r="AJ201" s="198"/>
      <c r="AL201" s="102"/>
      <c r="AM201" s="2"/>
      <c r="AN201" s="2"/>
      <c r="AO201" s="2"/>
      <c r="BC201" s="1"/>
      <c r="BD201" s="2"/>
      <c r="BE201" s="2"/>
      <c r="BF201" s="2"/>
      <c r="BG201" s="2"/>
      <c r="BH201" s="2"/>
      <c r="BI201" s="2"/>
      <c r="BJ201" s="2"/>
      <c r="BK201" s="2"/>
    </row>
    <row r="202" spans="1:63" outlineLevel="1">
      <c r="A202" s="4" t="s">
        <v>160</v>
      </c>
      <c r="C202" s="216">
        <f t="shared" si="163"/>
        <v>0</v>
      </c>
      <c r="D202" s="216">
        <f t="shared" ref="D202:AG202" si="165">D198-$C198</f>
        <v>0</v>
      </c>
      <c r="E202" s="216">
        <f t="shared" si="165"/>
        <v>0</v>
      </c>
      <c r="F202" s="216">
        <f t="shared" si="165"/>
        <v>0</v>
      </c>
      <c r="G202" s="216">
        <f t="shared" si="165"/>
        <v>0</v>
      </c>
      <c r="H202" s="216">
        <f t="shared" si="165"/>
        <v>0</v>
      </c>
      <c r="I202" s="216">
        <f t="shared" si="165"/>
        <v>0</v>
      </c>
      <c r="J202" s="216">
        <f t="shared" si="165"/>
        <v>0</v>
      </c>
      <c r="K202" s="216">
        <f t="shared" si="165"/>
        <v>0</v>
      </c>
      <c r="L202" s="216">
        <f t="shared" si="165"/>
        <v>0</v>
      </c>
      <c r="M202" s="216">
        <f t="shared" si="165"/>
        <v>0</v>
      </c>
      <c r="N202" s="216">
        <f t="shared" si="165"/>
        <v>0</v>
      </c>
      <c r="O202" s="216">
        <f t="shared" si="165"/>
        <v>0</v>
      </c>
      <c r="P202" s="216">
        <f t="shared" si="165"/>
        <v>0</v>
      </c>
      <c r="Q202" s="216">
        <f t="shared" si="165"/>
        <v>0</v>
      </c>
      <c r="R202" s="216">
        <f t="shared" si="165"/>
        <v>0</v>
      </c>
      <c r="S202" s="216">
        <f t="shared" si="165"/>
        <v>0</v>
      </c>
      <c r="T202" s="216">
        <f t="shared" si="165"/>
        <v>0</v>
      </c>
      <c r="U202" s="216">
        <f t="shared" si="165"/>
        <v>0</v>
      </c>
      <c r="V202" s="216">
        <f t="shared" si="165"/>
        <v>0</v>
      </c>
      <c r="W202" s="216">
        <f t="shared" si="165"/>
        <v>0</v>
      </c>
      <c r="X202" s="216">
        <f t="shared" si="165"/>
        <v>0</v>
      </c>
      <c r="Y202" s="216">
        <f t="shared" si="165"/>
        <v>0</v>
      </c>
      <c r="Z202" s="216">
        <f t="shared" si="165"/>
        <v>0</v>
      </c>
      <c r="AA202" s="216">
        <f t="shared" si="165"/>
        <v>0</v>
      </c>
      <c r="AB202" s="216">
        <f t="shared" si="165"/>
        <v>0</v>
      </c>
      <c r="AC202" s="216">
        <f t="shared" si="165"/>
        <v>0</v>
      </c>
      <c r="AD202" s="216">
        <f t="shared" si="165"/>
        <v>0</v>
      </c>
      <c r="AE202" s="216">
        <f t="shared" si="165"/>
        <v>0</v>
      </c>
      <c r="AF202" s="216">
        <f t="shared" si="165"/>
        <v>0</v>
      </c>
      <c r="AG202" s="216">
        <f t="shared" si="165"/>
        <v>0</v>
      </c>
      <c r="AH202" s="230"/>
      <c r="AI202" s="126"/>
      <c r="AJ202" s="198"/>
      <c r="AL202" s="102"/>
      <c r="AM202" s="2"/>
      <c r="AN202" s="2"/>
      <c r="AO202" s="2"/>
      <c r="BC202" s="1"/>
      <c r="BD202" s="2"/>
      <c r="BE202" s="2"/>
      <c r="BF202" s="2"/>
      <c r="BG202" s="2"/>
      <c r="BH202" s="2"/>
      <c r="BI202" s="2"/>
      <c r="BJ202" s="2"/>
      <c r="BK202" s="2"/>
    </row>
    <row r="203" spans="1:63" outlineLevel="1">
      <c r="A203" s="4" t="s">
        <v>1159</v>
      </c>
      <c r="C203" s="216">
        <f t="shared" si="163"/>
        <v>0</v>
      </c>
      <c r="D203" s="216">
        <f t="shared" ref="D203:AG203" si="166">D199-$C199</f>
        <v>-7.0635251058549189E-2</v>
      </c>
      <c r="E203" s="216">
        <f t="shared" si="166"/>
        <v>-5.2886153134502609E-2</v>
      </c>
      <c r="F203" s="216">
        <f t="shared" si="166"/>
        <v>-3.3280882515102986E-2</v>
      </c>
      <c r="G203" s="216">
        <f t="shared" si="166"/>
        <v>-1.1738404234867106E-2</v>
      </c>
      <c r="H203" s="216">
        <f t="shared" si="166"/>
        <v>1.1822316671688288E-2</v>
      </c>
      <c r="I203" s="216">
        <f t="shared" si="166"/>
        <v>3.1697978752222716E-2</v>
      </c>
      <c r="J203" s="216">
        <f t="shared" si="166"/>
        <v>5.2033422166804399E-2</v>
      </c>
      <c r="K203" s="216">
        <f t="shared" si="166"/>
        <v>7.2700054965555622E-2</v>
      </c>
      <c r="L203" s="216">
        <f t="shared" si="166"/>
        <v>9.3559269276865392E-2</v>
      </c>
      <c r="M203" s="216">
        <f t="shared" si="166"/>
        <v>0.11446244130738878</v>
      </c>
      <c r="N203" s="216">
        <f t="shared" si="166"/>
        <v>0.14445106950969969</v>
      </c>
      <c r="O203" s="216">
        <f t="shared" si="166"/>
        <v>0.17492177736053358</v>
      </c>
      <c r="P203" s="216">
        <f t="shared" si="166"/>
        <v>0.20559036882474926</v>
      </c>
      <c r="Q203" s="216">
        <f t="shared" si="166"/>
        <v>0.23615153738601261</v>
      </c>
      <c r="R203" s="216">
        <f t="shared" si="166"/>
        <v>0.26627886604679685</v>
      </c>
      <c r="S203" s="216">
        <f t="shared" si="166"/>
        <v>0.30176416163518793</v>
      </c>
      <c r="T203" s="216">
        <f t="shared" si="166"/>
        <v>0.3375180425683747</v>
      </c>
      <c r="U203" s="216">
        <f t="shared" si="166"/>
        <v>0.37330029755751382</v>
      </c>
      <c r="V203" s="216">
        <f t="shared" si="166"/>
        <v>0.40885582183512192</v>
      </c>
      <c r="W203" s="216">
        <f t="shared" si="166"/>
        <v>0.44391461715507452</v>
      </c>
      <c r="X203" s="216">
        <f t="shared" si="166"/>
        <v>0.49396179075849844</v>
      </c>
      <c r="Y203" s="216">
        <f t="shared" si="166"/>
        <v>0.54340065047499353</v>
      </c>
      <c r="Z203" s="216">
        <f t="shared" si="166"/>
        <v>0.59176935840988298</v>
      </c>
      <c r="AA203" s="216">
        <f t="shared" si="166"/>
        <v>0.63858115713203756</v>
      </c>
      <c r="AB203" s="216">
        <f t="shared" si="166"/>
        <v>0.68332436967387677</v>
      </c>
      <c r="AC203" s="216">
        <f t="shared" si="166"/>
        <v>0.71673392109696987</v>
      </c>
      <c r="AD203" s="216">
        <f t="shared" si="166"/>
        <v>0.74527369126161602</v>
      </c>
      <c r="AE203" s="216">
        <f t="shared" si="166"/>
        <v>0.76820828903488136</v>
      </c>
      <c r="AF203" s="216">
        <f t="shared" si="166"/>
        <v>0.78477225980636811</v>
      </c>
      <c r="AG203" s="216">
        <f t="shared" si="166"/>
        <v>0.79417008548821721</v>
      </c>
      <c r="AH203" s="230"/>
      <c r="AI203" s="126"/>
      <c r="AJ203" s="198"/>
      <c r="AL203" s="102"/>
      <c r="AM203" s="2"/>
      <c r="AN203" s="2"/>
      <c r="AO203" s="2"/>
      <c r="BC203" s="1"/>
      <c r="BD203" s="2"/>
      <c r="BE203" s="2"/>
      <c r="BF203" s="2"/>
      <c r="BG203" s="2"/>
      <c r="BH203" s="2"/>
      <c r="BI203" s="2"/>
      <c r="BJ203" s="2"/>
      <c r="BK203" s="2"/>
    </row>
    <row r="204" spans="1:63" s="1" customFormat="1" outlineLevel="1">
      <c r="A204" s="1" t="s">
        <v>1162</v>
      </c>
      <c r="B204" s="61"/>
      <c r="C204" s="279">
        <f>C182*C42</f>
        <v>0.15547282504203289</v>
      </c>
      <c r="D204" s="279">
        <f t="shared" ref="D204:AG204" si="167">D182*D42</f>
        <v>8.2120081922446714E-2</v>
      </c>
      <c r="E204" s="279">
        <f t="shared" si="167"/>
        <v>0.10055202632861572</v>
      </c>
      <c r="F204" s="279">
        <f t="shared" si="167"/>
        <v>0.12091155443934272</v>
      </c>
      <c r="G204" s="279">
        <f t="shared" si="167"/>
        <v>0.14328281881185254</v>
      </c>
      <c r="H204" s="279">
        <f t="shared" si="167"/>
        <v>0.16774997200337002</v>
      </c>
      <c r="I204" s="279">
        <f t="shared" si="167"/>
        <v>0.18839029412407243</v>
      </c>
      <c r="J204" s="279">
        <f t="shared" si="167"/>
        <v>0.2095080863688577</v>
      </c>
      <c r="K204" s="279">
        <f t="shared" si="167"/>
        <v>0.23096980957526417</v>
      </c>
      <c r="L204" s="279">
        <f t="shared" si="167"/>
        <v>0.25263152332475769</v>
      </c>
      <c r="M204" s="279">
        <f t="shared" si="167"/>
        <v>0.27433888594273087</v>
      </c>
      <c r="N204" s="279">
        <f t="shared" si="167"/>
        <v>0.30548124203359445</v>
      </c>
      <c r="O204" s="279">
        <f t="shared" si="167"/>
        <v>0.33712422442777473</v>
      </c>
      <c r="P204" s="279">
        <f t="shared" si="167"/>
        <v>0.36897270344924016</v>
      </c>
      <c r="Q204" s="279">
        <f t="shared" si="167"/>
        <v>0.40070962677454347</v>
      </c>
      <c r="R204" s="279">
        <f t="shared" si="167"/>
        <v>0.43199601943282195</v>
      </c>
      <c r="S204" s="279">
        <f t="shared" si="167"/>
        <v>0.46884651168435049</v>
      </c>
      <c r="T204" s="279">
        <f t="shared" si="167"/>
        <v>0.50597592234428312</v>
      </c>
      <c r="U204" s="279">
        <f t="shared" si="167"/>
        <v>0.54313479867194325</v>
      </c>
      <c r="V204" s="279">
        <f t="shared" si="167"/>
        <v>0.58005822146342967</v>
      </c>
      <c r="W204" s="279">
        <f t="shared" si="167"/>
        <v>0.61646580505161563</v>
      </c>
      <c r="X204" s="279">
        <f t="shared" si="167"/>
        <v>0.66843840250370568</v>
      </c>
      <c r="Y204" s="279">
        <f t="shared" si="167"/>
        <v>0.71977928290778825</v>
      </c>
      <c r="Z204" s="279">
        <f t="shared" si="167"/>
        <v>0.77000884045878126</v>
      </c>
      <c r="AA204" s="279">
        <f t="shared" si="167"/>
        <v>0.81862159110626942</v>
      </c>
      <c r="AB204" s="279">
        <f t="shared" si="167"/>
        <v>0.86508617255450571</v>
      </c>
      <c r="AC204" s="279">
        <f t="shared" si="167"/>
        <v>0.89978106223851628</v>
      </c>
      <c r="AD204" s="279">
        <f t="shared" si="167"/>
        <v>0.9294188195651526</v>
      </c>
      <c r="AE204" s="279">
        <f t="shared" si="167"/>
        <v>0.9532357613017779</v>
      </c>
      <c r="AF204" s="279">
        <f t="shared" si="167"/>
        <v>0.97043698413078838</v>
      </c>
      <c r="AG204" s="279">
        <f t="shared" si="167"/>
        <v>0.98019636464961635</v>
      </c>
      <c r="AH204" s="230"/>
      <c r="AI204" s="398"/>
      <c r="AJ204" s="399"/>
      <c r="AL204" s="207"/>
      <c r="AM204" s="118"/>
      <c r="AN204" s="118"/>
      <c r="AO204" s="118"/>
      <c r="BD204" s="118"/>
      <c r="BE204" s="118"/>
      <c r="BF204" s="118"/>
      <c r="BG204" s="118"/>
      <c r="BH204" s="118"/>
      <c r="BI204" s="118"/>
      <c r="BJ204" s="118"/>
      <c r="BK204" s="118"/>
    </row>
    <row r="205" spans="1:63" outlineLevel="1">
      <c r="A205" s="4" t="s">
        <v>35</v>
      </c>
      <c r="C205" s="216">
        <f>C$204*'Methanol recycling rates'!E66</f>
        <v>5.7597868844512928E-3</v>
      </c>
      <c r="D205" s="216">
        <f>D$204*'Methanol recycling rates'!F66</f>
        <v>3.0422948234143034E-3</v>
      </c>
      <c r="E205" s="216">
        <f>E$204*'Methanol recycling rates'!G66</f>
        <v>3.7251413055367296E-3</v>
      </c>
      <c r="F205" s="216">
        <f>F$204*'Methanol recycling rates'!H66</f>
        <v>4.4793987968640989E-3</v>
      </c>
      <c r="G205" s="216">
        <f>G$204*'Methanol recycling rates'!I66</f>
        <v>5.3081848891380267E-3</v>
      </c>
      <c r="H205" s="216">
        <f>H$204*'Methanol recycling rates'!J66</f>
        <v>6.2146171741001297E-3</v>
      </c>
      <c r="I205" s="216">
        <f>I$204*'Methanol recycling rates'!K66</f>
        <v>6.9792772142681187E-3</v>
      </c>
      <c r="J205" s="216">
        <f>J$204*'Methanol recycling rates'!L66</f>
        <v>7.7616260444717056E-3</v>
      </c>
      <c r="K205" s="216">
        <f>K$204*'Methanol recycling rates'!M66</f>
        <v>8.5567164521269598E-3</v>
      </c>
      <c r="L205" s="216">
        <f>L$204*'Methanol recycling rates'!N66</f>
        <v>9.3592158903107042E-3</v>
      </c>
      <c r="M205" s="216">
        <f>M$204*'Methanol recycling rates'!O66</f>
        <v>1.0163406477760491E-2</v>
      </c>
      <c r="N205" s="216">
        <f>N$204*'Methanol recycling rates'!P66</f>
        <v>1.1317134366313189E-2</v>
      </c>
      <c r="O205" s="216">
        <f>O$204*'Methanol recycling rates'!Q66</f>
        <v>1.2489408909659582E-2</v>
      </c>
      <c r="P205" s="216">
        <f>P$204*'Methanol recycling rates'!R66</f>
        <v>1.3669296466909312E-2</v>
      </c>
      <c r="Q205" s="216">
        <f>Q$204*'Methanol recycling rates'!S66</f>
        <v>1.4845051230949253E-2</v>
      </c>
      <c r="R205" s="216">
        <f>R$204*'Methanol recycling rates'!T66</f>
        <v>1.600411522844352E-2</v>
      </c>
      <c r="S205" s="216">
        <f>S$204*'Methanol recycling rates'!U66</f>
        <v>1.7369311891580922E-2</v>
      </c>
      <c r="T205" s="216">
        <f>T$204*'Methanol recycling rates'!V66</f>
        <v>1.8744841618326857E-2</v>
      </c>
      <c r="U205" s="216">
        <f>U$204*'Methanol recycling rates'!W66</f>
        <v>2.0121462956847854E-2</v>
      </c>
      <c r="V205" s="216">
        <f>V$204*'Methanol recycling rates'!X66</f>
        <v>2.1489361470726127E-2</v>
      </c>
      <c r="W205" s="216">
        <f>W$204*'Methanol recycling rates'!Y66</f>
        <v>2.2838149738959524E-2</v>
      </c>
      <c r="X205" s="216">
        <f>X$204*'Methanol recycling rates'!Z66</f>
        <v>2.4763573587625577E-2</v>
      </c>
      <c r="Y205" s="216">
        <f>Y$204*'Methanol recycling rates'!AA66</f>
        <v>2.6665594275213072E-2</v>
      </c>
      <c r="Z205" s="216">
        <f>Z$204*'Methanol recycling rates'!AB66</f>
        <v>2.852644389131662E-2</v>
      </c>
      <c r="AA205" s="216">
        <f>AA$204*'Methanol recycling rates'!AC66</f>
        <v>3.032739581665022E-2</v>
      </c>
      <c r="AB205" s="216">
        <f>AB$204*'Methanol recycling rates'!AD66</f>
        <v>3.204876472304731E-2</v>
      </c>
      <c r="AC205" s="216">
        <f>AC$204*'Methanol recycling rates'!AE66</f>
        <v>3.3334102983964754E-2</v>
      </c>
      <c r="AD205" s="216">
        <f>AD$204*'Methanol recycling rates'!AF66</f>
        <v>3.4432090145955017E-2</v>
      </c>
      <c r="AE205" s="216">
        <f>AE$204*'Methanol recycling rates'!AG66</f>
        <v>3.5314434109314966E-2</v>
      </c>
      <c r="AF205" s="216">
        <f>AF$204*'Methanol recycling rates'!AH66</f>
        <v>3.5951686166838671E-2</v>
      </c>
      <c r="AG205" s="216">
        <f>AG$204*'Methanol recycling rates'!AI66</f>
        <v>3.6313241003817526E-2</v>
      </c>
      <c r="AH205" s="230"/>
      <c r="AI205" s="126"/>
      <c r="AJ205" s="198"/>
      <c r="AL205" s="102"/>
      <c r="AM205" s="2"/>
      <c r="AN205" s="2"/>
      <c r="AO205" s="2"/>
      <c r="BC205" s="1"/>
      <c r="BD205" s="2"/>
      <c r="BE205" s="2"/>
      <c r="BF205" s="2"/>
      <c r="BG205" s="2"/>
      <c r="BH205" s="2"/>
      <c r="BI205" s="2"/>
      <c r="BJ205" s="2"/>
      <c r="BK205" s="2"/>
    </row>
    <row r="206" spans="1:63" outlineLevel="1">
      <c r="A206" s="4" t="s">
        <v>160</v>
      </c>
      <c r="C206" s="216">
        <f>C$204*'Methanol recycling rates'!E67</f>
        <v>0</v>
      </c>
      <c r="D206" s="216">
        <f>D$204*'Methanol recycling rates'!F67</f>
        <v>0</v>
      </c>
      <c r="E206" s="216">
        <f>E$204*'Methanol recycling rates'!G67</f>
        <v>0</v>
      </c>
      <c r="F206" s="216">
        <f>F$204*'Methanol recycling rates'!H67</f>
        <v>0</v>
      </c>
      <c r="G206" s="216">
        <f>G$204*'Methanol recycling rates'!I67</f>
        <v>0</v>
      </c>
      <c r="H206" s="216">
        <f>H$204*'Methanol recycling rates'!J67</f>
        <v>0</v>
      </c>
      <c r="I206" s="216">
        <f>I$204*'Methanol recycling rates'!K67</f>
        <v>0</v>
      </c>
      <c r="J206" s="216">
        <f>J$204*'Methanol recycling rates'!L67</f>
        <v>0</v>
      </c>
      <c r="K206" s="216">
        <f>K$204*'Methanol recycling rates'!M67</f>
        <v>0</v>
      </c>
      <c r="L206" s="216">
        <f>L$204*'Methanol recycling rates'!N67</f>
        <v>0</v>
      </c>
      <c r="M206" s="216">
        <f>M$204*'Methanol recycling rates'!O67</f>
        <v>0</v>
      </c>
      <c r="N206" s="216">
        <f>N$204*'Methanol recycling rates'!P67</f>
        <v>0</v>
      </c>
      <c r="O206" s="216">
        <f>O$204*'Methanol recycling rates'!Q67</f>
        <v>0</v>
      </c>
      <c r="P206" s="216">
        <f>P$204*'Methanol recycling rates'!R67</f>
        <v>0</v>
      </c>
      <c r="Q206" s="216">
        <f>Q$204*'Methanol recycling rates'!S67</f>
        <v>0</v>
      </c>
      <c r="R206" s="216">
        <f>R$204*'Methanol recycling rates'!T67</f>
        <v>0</v>
      </c>
      <c r="S206" s="216">
        <f>S$204*'Methanol recycling rates'!U67</f>
        <v>0</v>
      </c>
      <c r="T206" s="216">
        <f>T$204*'Methanol recycling rates'!V67</f>
        <v>0</v>
      </c>
      <c r="U206" s="216">
        <f>U$204*'Methanol recycling rates'!W67</f>
        <v>0</v>
      </c>
      <c r="V206" s="216">
        <f>V$204*'Methanol recycling rates'!X67</f>
        <v>0</v>
      </c>
      <c r="W206" s="216">
        <f>W$204*'Methanol recycling rates'!Y67</f>
        <v>0</v>
      </c>
      <c r="X206" s="216">
        <f>X$204*'Methanol recycling rates'!Z67</f>
        <v>0</v>
      </c>
      <c r="Y206" s="216">
        <f>Y$204*'Methanol recycling rates'!AA67</f>
        <v>0</v>
      </c>
      <c r="Z206" s="216">
        <f>Z$204*'Methanol recycling rates'!AB67</f>
        <v>0</v>
      </c>
      <c r="AA206" s="216">
        <f>AA$204*'Methanol recycling rates'!AC67</f>
        <v>0</v>
      </c>
      <c r="AB206" s="216">
        <f>AB$204*'Methanol recycling rates'!AD67</f>
        <v>0</v>
      </c>
      <c r="AC206" s="216">
        <f>AC$204*'Methanol recycling rates'!AE67</f>
        <v>0</v>
      </c>
      <c r="AD206" s="216">
        <f>AD$204*'Methanol recycling rates'!AF67</f>
        <v>0</v>
      </c>
      <c r="AE206" s="216">
        <f>AE$204*'Methanol recycling rates'!AG67</f>
        <v>0</v>
      </c>
      <c r="AF206" s="216">
        <f>AF$204*'Methanol recycling rates'!AH67</f>
        <v>0</v>
      </c>
      <c r="AG206" s="216">
        <f>AG$204*'Methanol recycling rates'!AI67</f>
        <v>0</v>
      </c>
      <c r="AH206" s="230"/>
      <c r="AI206" s="126"/>
      <c r="AJ206" s="198"/>
      <c r="AL206" s="102"/>
      <c r="AM206" s="2"/>
      <c r="AN206" s="2"/>
      <c r="AO206" s="2"/>
      <c r="BC206" s="1"/>
      <c r="BD206" s="2"/>
      <c r="BE206" s="2"/>
      <c r="BF206" s="2"/>
      <c r="BG206" s="2"/>
      <c r="BH206" s="2"/>
      <c r="BI206" s="2"/>
      <c r="BJ206" s="2"/>
      <c r="BK206" s="2"/>
    </row>
    <row r="207" spans="1:63" outlineLevel="1">
      <c r="A207" s="4" t="s">
        <v>1159</v>
      </c>
      <c r="C207" s="216">
        <f>C$204*'Methanol recycling rates'!E68</f>
        <v>0.14971303815758161</v>
      </c>
      <c r="D207" s="216">
        <f>D$204*'Methanol recycling rates'!F68</f>
        <v>7.9077787099032418E-2</v>
      </c>
      <c r="E207" s="216">
        <f>E$204*'Methanol recycling rates'!G68</f>
        <v>9.6826885023078998E-2</v>
      </c>
      <c r="F207" s="216">
        <f>F$204*'Methanol recycling rates'!H68</f>
        <v>0.11643215564247862</v>
      </c>
      <c r="G207" s="216">
        <f>G$204*'Methanol recycling rates'!I68</f>
        <v>0.1379746339227145</v>
      </c>
      <c r="H207" s="216">
        <f>H$204*'Methanol recycling rates'!J68</f>
        <v>0.16153535482926989</v>
      </c>
      <c r="I207" s="216">
        <f>I$204*'Methanol recycling rates'!K68</f>
        <v>0.18141101690980432</v>
      </c>
      <c r="J207" s="216">
        <f>J$204*'Methanol recycling rates'!L68</f>
        <v>0.20174646032438601</v>
      </c>
      <c r="K207" s="216">
        <f>K$204*'Methanol recycling rates'!M68</f>
        <v>0.22241309312313723</v>
      </c>
      <c r="L207" s="216">
        <f>L$204*'Methanol recycling rates'!N68</f>
        <v>0.243272307434447</v>
      </c>
      <c r="M207" s="216">
        <f>M$204*'Methanol recycling rates'!O68</f>
        <v>0.26417547946497039</v>
      </c>
      <c r="N207" s="216">
        <f>N$204*'Methanol recycling rates'!P68</f>
        <v>0.29416410766728129</v>
      </c>
      <c r="O207" s="216">
        <f>O$204*'Methanol recycling rates'!Q68</f>
        <v>0.32463481551811518</v>
      </c>
      <c r="P207" s="216">
        <f>P$204*'Methanol recycling rates'!R68</f>
        <v>0.35530340698233087</v>
      </c>
      <c r="Q207" s="216">
        <f>Q$204*'Methanol recycling rates'!S68</f>
        <v>0.38586457554359421</v>
      </c>
      <c r="R207" s="216">
        <f>R$204*'Methanol recycling rates'!T68</f>
        <v>0.41599190420437843</v>
      </c>
      <c r="S207" s="216">
        <f>S$204*'Methanol recycling rates'!U68</f>
        <v>0.45147719979276957</v>
      </c>
      <c r="T207" s="216">
        <f>T$204*'Methanol recycling rates'!V68</f>
        <v>0.48723108072595628</v>
      </c>
      <c r="U207" s="216">
        <f>U$204*'Methanol recycling rates'!W68</f>
        <v>0.52301333571509545</v>
      </c>
      <c r="V207" s="216">
        <f>V$204*'Methanol recycling rates'!X68</f>
        <v>0.55856885999270356</v>
      </c>
      <c r="W207" s="216">
        <f>W$204*'Methanol recycling rates'!Y68</f>
        <v>0.59362765531265616</v>
      </c>
      <c r="X207" s="216">
        <f>X$204*'Methanol recycling rates'!Z68</f>
        <v>0.64367482891608008</v>
      </c>
      <c r="Y207" s="216">
        <f>Y$204*'Methanol recycling rates'!AA68</f>
        <v>0.69311368863257516</v>
      </c>
      <c r="Z207" s="216">
        <f>Z$204*'Methanol recycling rates'!AB68</f>
        <v>0.74148239656746462</v>
      </c>
      <c r="AA207" s="216">
        <f>AA$204*'Methanol recycling rates'!AC68</f>
        <v>0.78829419528961919</v>
      </c>
      <c r="AB207" s="216">
        <f>AB$204*'Methanol recycling rates'!AD68</f>
        <v>0.83303740783145841</v>
      </c>
      <c r="AC207" s="216">
        <f>AC$204*'Methanol recycling rates'!AE68</f>
        <v>0.86644695925455151</v>
      </c>
      <c r="AD207" s="216">
        <f>AD$204*'Methanol recycling rates'!AF68</f>
        <v>0.89498672941919766</v>
      </c>
      <c r="AE207" s="216">
        <f>AE$204*'Methanol recycling rates'!AG68</f>
        <v>0.917921327192463</v>
      </c>
      <c r="AF207" s="216">
        <f>AF$204*'Methanol recycling rates'!AH68</f>
        <v>0.93448529796394975</v>
      </c>
      <c r="AG207" s="216">
        <f>AG$204*'Methanol recycling rates'!AI68</f>
        <v>0.94388312364579885</v>
      </c>
      <c r="AH207" s="230"/>
      <c r="AI207" s="126"/>
      <c r="AJ207" s="198"/>
      <c r="AL207" s="102"/>
      <c r="AM207" s="2"/>
      <c r="AN207" s="2"/>
      <c r="AO207" s="2"/>
      <c r="BC207" s="1"/>
      <c r="BD207" s="2"/>
      <c r="BE207" s="2"/>
      <c r="BF207" s="2"/>
      <c r="BG207" s="2"/>
      <c r="BH207" s="2"/>
      <c r="BI207" s="2"/>
      <c r="BJ207" s="2"/>
      <c r="BK207" s="2"/>
    </row>
    <row r="208" spans="1:63" s="1" customFormat="1" outlineLevel="1">
      <c r="A208" s="1" t="s">
        <v>1165</v>
      </c>
      <c r="B208" s="61"/>
      <c r="C208" s="279">
        <f>C204-$C204</f>
        <v>0</v>
      </c>
      <c r="D208" s="279">
        <f t="shared" ref="D208:AG208" si="168">D204-$C204</f>
        <v>-7.3352743119586172E-2</v>
      </c>
      <c r="E208" s="279">
        <f t="shared" si="168"/>
        <v>-5.4920798713417165E-2</v>
      </c>
      <c r="F208" s="279">
        <f t="shared" si="168"/>
        <v>-3.4561270602690167E-2</v>
      </c>
      <c r="G208" s="279">
        <f t="shared" si="168"/>
        <v>-1.219000623018035E-2</v>
      </c>
      <c r="H208" s="279">
        <f t="shared" si="168"/>
        <v>1.2277146961337138E-2</v>
      </c>
      <c r="I208" s="279">
        <f t="shared" si="168"/>
        <v>3.2917469082039547E-2</v>
      </c>
      <c r="J208" s="279">
        <f t="shared" si="168"/>
        <v>5.4035261326824818E-2</v>
      </c>
      <c r="K208" s="279">
        <f t="shared" si="168"/>
        <v>7.5496984533231282E-2</v>
      </c>
      <c r="L208" s="279">
        <f t="shared" si="168"/>
        <v>9.7158698282724804E-2</v>
      </c>
      <c r="M208" s="279">
        <f t="shared" si="168"/>
        <v>0.11886606090069798</v>
      </c>
      <c r="N208" s="279">
        <f t="shared" si="168"/>
        <v>0.15000841699156156</v>
      </c>
      <c r="O208" s="279">
        <f t="shared" si="168"/>
        <v>0.18165139938574185</v>
      </c>
      <c r="P208" s="279">
        <f t="shared" si="168"/>
        <v>0.21349987840720727</v>
      </c>
      <c r="Q208" s="279">
        <f t="shared" si="168"/>
        <v>0.24523680173251058</v>
      </c>
      <c r="R208" s="279">
        <f t="shared" si="168"/>
        <v>0.2765231943907891</v>
      </c>
      <c r="S208" s="279">
        <f t="shared" si="168"/>
        <v>0.31337368664231757</v>
      </c>
      <c r="T208" s="279">
        <f t="shared" si="168"/>
        <v>0.35050309730225027</v>
      </c>
      <c r="U208" s="279">
        <f t="shared" si="168"/>
        <v>0.38766197362991039</v>
      </c>
      <c r="V208" s="279">
        <f t="shared" si="168"/>
        <v>0.42458539642139681</v>
      </c>
      <c r="W208" s="279">
        <f t="shared" si="168"/>
        <v>0.46099298000958278</v>
      </c>
      <c r="X208" s="279">
        <f t="shared" si="168"/>
        <v>0.51296557746167282</v>
      </c>
      <c r="Y208" s="279">
        <f t="shared" si="168"/>
        <v>0.5643064578657554</v>
      </c>
      <c r="Z208" s="279">
        <f t="shared" si="168"/>
        <v>0.6145360154167484</v>
      </c>
      <c r="AA208" s="279">
        <f t="shared" si="168"/>
        <v>0.66314876606423656</v>
      </c>
      <c r="AB208" s="279">
        <f t="shared" si="168"/>
        <v>0.70961334751247285</v>
      </c>
      <c r="AC208" s="279">
        <f t="shared" si="168"/>
        <v>0.74430823719648342</v>
      </c>
      <c r="AD208" s="279">
        <f t="shared" si="168"/>
        <v>0.77394599452311974</v>
      </c>
      <c r="AE208" s="279">
        <f t="shared" si="168"/>
        <v>0.79776293625974504</v>
      </c>
      <c r="AF208" s="279">
        <f t="shared" si="168"/>
        <v>0.81496415908875552</v>
      </c>
      <c r="AG208" s="279">
        <f t="shared" si="168"/>
        <v>0.82472353960758349</v>
      </c>
      <c r="AH208" s="230"/>
      <c r="AI208" s="398"/>
      <c r="AJ208" s="399"/>
      <c r="AL208" s="207"/>
      <c r="AM208" s="118"/>
      <c r="AN208" s="118"/>
      <c r="AO208" s="118"/>
      <c r="BD208" s="118"/>
      <c r="BE208" s="118"/>
      <c r="BF208" s="118"/>
      <c r="BG208" s="118"/>
      <c r="BH208" s="118"/>
      <c r="BI208" s="118"/>
      <c r="BJ208" s="118"/>
      <c r="BK208" s="118"/>
    </row>
    <row r="209" spans="1:63" outlineLevel="1">
      <c r="A209" s="4" t="s">
        <v>35</v>
      </c>
      <c r="C209" s="216">
        <f t="shared" ref="C209:C211" si="169">C205-$C205</f>
        <v>0</v>
      </c>
      <c r="D209" s="216">
        <f t="shared" ref="D209:AG209" si="170">D205-$C205</f>
        <v>-2.7174920610369894E-3</v>
      </c>
      <c r="E209" s="216">
        <f t="shared" si="170"/>
        <v>-2.0346455789145633E-3</v>
      </c>
      <c r="F209" s="216">
        <f t="shared" si="170"/>
        <v>-1.2803880875871939E-3</v>
      </c>
      <c r="G209" s="216">
        <f t="shared" si="170"/>
        <v>-4.5160199531326609E-4</v>
      </c>
      <c r="H209" s="216">
        <f t="shared" si="170"/>
        <v>4.5483028964883685E-4</v>
      </c>
      <c r="I209" s="216">
        <f t="shared" si="170"/>
        <v>1.2194903298168259E-3</v>
      </c>
      <c r="J209" s="216">
        <f t="shared" si="170"/>
        <v>2.0018391600204128E-3</v>
      </c>
      <c r="K209" s="216">
        <f t="shared" si="170"/>
        <v>2.796929567675667E-3</v>
      </c>
      <c r="L209" s="216">
        <f t="shared" si="170"/>
        <v>3.5994290058594114E-3</v>
      </c>
      <c r="M209" s="216">
        <f t="shared" si="170"/>
        <v>4.4036195933091979E-3</v>
      </c>
      <c r="N209" s="216">
        <f t="shared" si="170"/>
        <v>5.5573474818618965E-3</v>
      </c>
      <c r="O209" s="216">
        <f t="shared" si="170"/>
        <v>6.7296220252082897E-3</v>
      </c>
      <c r="P209" s="216">
        <f t="shared" si="170"/>
        <v>7.9095095824580196E-3</v>
      </c>
      <c r="Q209" s="216">
        <f t="shared" si="170"/>
        <v>9.0852643464979597E-3</v>
      </c>
      <c r="R209" s="216">
        <f t="shared" si="170"/>
        <v>1.0244328343992228E-2</v>
      </c>
      <c r="S209" s="216">
        <f t="shared" si="170"/>
        <v>1.1609525007129629E-2</v>
      </c>
      <c r="T209" s="216">
        <f t="shared" si="170"/>
        <v>1.2985054733875564E-2</v>
      </c>
      <c r="U209" s="216">
        <f t="shared" si="170"/>
        <v>1.4361676072396561E-2</v>
      </c>
      <c r="V209" s="216">
        <f t="shared" si="170"/>
        <v>1.5729574586274834E-2</v>
      </c>
      <c r="W209" s="216">
        <f t="shared" si="170"/>
        <v>1.7078362854508231E-2</v>
      </c>
      <c r="X209" s="216">
        <f t="shared" si="170"/>
        <v>1.9003786703174284E-2</v>
      </c>
      <c r="Y209" s="216">
        <f t="shared" si="170"/>
        <v>2.0905807390761779E-2</v>
      </c>
      <c r="Z209" s="216">
        <f t="shared" si="170"/>
        <v>2.2766657006865327E-2</v>
      </c>
      <c r="AA209" s="216">
        <f t="shared" si="170"/>
        <v>2.4567608932198927E-2</v>
      </c>
      <c r="AB209" s="216">
        <f t="shared" si="170"/>
        <v>2.6288977838596017E-2</v>
      </c>
      <c r="AC209" s="216">
        <f t="shared" si="170"/>
        <v>2.7574316099513461E-2</v>
      </c>
      <c r="AD209" s="216">
        <f t="shared" si="170"/>
        <v>2.8672303261503725E-2</v>
      </c>
      <c r="AE209" s="216">
        <f t="shared" si="170"/>
        <v>2.9554647224863673E-2</v>
      </c>
      <c r="AF209" s="216">
        <f t="shared" si="170"/>
        <v>3.0191899282387379E-2</v>
      </c>
      <c r="AG209" s="216">
        <f t="shared" si="170"/>
        <v>3.0553454119366233E-2</v>
      </c>
      <c r="AH209" s="230"/>
      <c r="AI209" s="126"/>
      <c r="AJ209" s="198"/>
      <c r="AL209" s="102"/>
      <c r="AM209" s="2"/>
      <c r="AN209" s="2"/>
      <c r="AO209" s="2"/>
      <c r="BC209" s="1"/>
      <c r="BD209" s="2"/>
      <c r="BE209" s="2"/>
      <c r="BF209" s="2"/>
      <c r="BG209" s="2"/>
      <c r="BH209" s="2"/>
      <c r="BI209" s="2"/>
      <c r="BJ209" s="2"/>
      <c r="BK209" s="2"/>
    </row>
    <row r="210" spans="1:63" outlineLevel="1">
      <c r="A210" s="4" t="s">
        <v>160</v>
      </c>
      <c r="C210" s="216">
        <f t="shared" si="169"/>
        <v>0</v>
      </c>
      <c r="D210" s="216">
        <f t="shared" ref="D210:AG210" si="171">D206-$C206</f>
        <v>0</v>
      </c>
      <c r="E210" s="216">
        <f t="shared" si="171"/>
        <v>0</v>
      </c>
      <c r="F210" s="216">
        <f t="shared" si="171"/>
        <v>0</v>
      </c>
      <c r="G210" s="216">
        <f t="shared" si="171"/>
        <v>0</v>
      </c>
      <c r="H210" s="216">
        <f t="shared" si="171"/>
        <v>0</v>
      </c>
      <c r="I210" s="216">
        <f t="shared" si="171"/>
        <v>0</v>
      </c>
      <c r="J210" s="216">
        <f t="shared" si="171"/>
        <v>0</v>
      </c>
      <c r="K210" s="216">
        <f t="shared" si="171"/>
        <v>0</v>
      </c>
      <c r="L210" s="216">
        <f t="shared" si="171"/>
        <v>0</v>
      </c>
      <c r="M210" s="216">
        <f t="shared" si="171"/>
        <v>0</v>
      </c>
      <c r="N210" s="216">
        <f t="shared" si="171"/>
        <v>0</v>
      </c>
      <c r="O210" s="216">
        <f t="shared" si="171"/>
        <v>0</v>
      </c>
      <c r="P210" s="216">
        <f t="shared" si="171"/>
        <v>0</v>
      </c>
      <c r="Q210" s="216">
        <f t="shared" si="171"/>
        <v>0</v>
      </c>
      <c r="R210" s="216">
        <f t="shared" si="171"/>
        <v>0</v>
      </c>
      <c r="S210" s="216">
        <f t="shared" si="171"/>
        <v>0</v>
      </c>
      <c r="T210" s="216">
        <f t="shared" si="171"/>
        <v>0</v>
      </c>
      <c r="U210" s="216">
        <f t="shared" si="171"/>
        <v>0</v>
      </c>
      <c r="V210" s="216">
        <f t="shared" si="171"/>
        <v>0</v>
      </c>
      <c r="W210" s="216">
        <f t="shared" si="171"/>
        <v>0</v>
      </c>
      <c r="X210" s="216">
        <f t="shared" si="171"/>
        <v>0</v>
      </c>
      <c r="Y210" s="216">
        <f t="shared" si="171"/>
        <v>0</v>
      </c>
      <c r="Z210" s="216">
        <f t="shared" si="171"/>
        <v>0</v>
      </c>
      <c r="AA210" s="216">
        <f t="shared" si="171"/>
        <v>0</v>
      </c>
      <c r="AB210" s="216">
        <f t="shared" si="171"/>
        <v>0</v>
      </c>
      <c r="AC210" s="216">
        <f t="shared" si="171"/>
        <v>0</v>
      </c>
      <c r="AD210" s="216">
        <f t="shared" si="171"/>
        <v>0</v>
      </c>
      <c r="AE210" s="216">
        <f t="shared" si="171"/>
        <v>0</v>
      </c>
      <c r="AF210" s="216">
        <f t="shared" si="171"/>
        <v>0</v>
      </c>
      <c r="AG210" s="216">
        <f t="shared" si="171"/>
        <v>0</v>
      </c>
      <c r="AH210" s="230"/>
      <c r="AI210" s="126"/>
      <c r="AJ210" s="198"/>
      <c r="AL210" s="102"/>
      <c r="AM210" s="2"/>
      <c r="AN210" s="2"/>
      <c r="AO210" s="2"/>
      <c r="BC210" s="1"/>
      <c r="BD210" s="2"/>
      <c r="BE210" s="2"/>
      <c r="BF210" s="2"/>
      <c r="BG210" s="2"/>
      <c r="BH210" s="2"/>
      <c r="BI210" s="2"/>
      <c r="BJ210" s="2"/>
      <c r="BK210" s="2"/>
    </row>
    <row r="211" spans="1:63" outlineLevel="1">
      <c r="A211" s="4" t="s">
        <v>1159</v>
      </c>
      <c r="C211" s="216">
        <f t="shared" si="169"/>
        <v>0</v>
      </c>
      <c r="D211" s="216">
        <f t="shared" ref="D211:AG211" si="172">D207-$C207</f>
        <v>-7.0635251058549189E-2</v>
      </c>
      <c r="E211" s="216">
        <f t="shared" si="172"/>
        <v>-5.2886153134502609E-2</v>
      </c>
      <c r="F211" s="216">
        <f t="shared" si="172"/>
        <v>-3.3280882515102986E-2</v>
      </c>
      <c r="G211" s="216">
        <f t="shared" si="172"/>
        <v>-1.1738404234867106E-2</v>
      </c>
      <c r="H211" s="216">
        <f t="shared" si="172"/>
        <v>1.1822316671688288E-2</v>
      </c>
      <c r="I211" s="216">
        <f t="shared" si="172"/>
        <v>3.1697978752222716E-2</v>
      </c>
      <c r="J211" s="216">
        <f t="shared" si="172"/>
        <v>5.2033422166804399E-2</v>
      </c>
      <c r="K211" s="216">
        <f t="shared" si="172"/>
        <v>7.2700054965555622E-2</v>
      </c>
      <c r="L211" s="216">
        <f t="shared" si="172"/>
        <v>9.3559269276865392E-2</v>
      </c>
      <c r="M211" s="216">
        <f t="shared" si="172"/>
        <v>0.11446244130738878</v>
      </c>
      <c r="N211" s="216">
        <f t="shared" si="172"/>
        <v>0.14445106950969969</v>
      </c>
      <c r="O211" s="216">
        <f t="shared" si="172"/>
        <v>0.17492177736053358</v>
      </c>
      <c r="P211" s="216">
        <f t="shared" si="172"/>
        <v>0.20559036882474926</v>
      </c>
      <c r="Q211" s="216">
        <f t="shared" si="172"/>
        <v>0.23615153738601261</v>
      </c>
      <c r="R211" s="216">
        <f t="shared" si="172"/>
        <v>0.26627886604679685</v>
      </c>
      <c r="S211" s="216">
        <f t="shared" si="172"/>
        <v>0.30176416163518793</v>
      </c>
      <c r="T211" s="216">
        <f t="shared" si="172"/>
        <v>0.3375180425683747</v>
      </c>
      <c r="U211" s="216">
        <f t="shared" si="172"/>
        <v>0.37330029755751382</v>
      </c>
      <c r="V211" s="216">
        <f t="shared" si="172"/>
        <v>0.40885582183512192</v>
      </c>
      <c r="W211" s="216">
        <f t="shared" si="172"/>
        <v>0.44391461715507452</v>
      </c>
      <c r="X211" s="216">
        <f t="shared" si="172"/>
        <v>0.49396179075849844</v>
      </c>
      <c r="Y211" s="216">
        <f t="shared" si="172"/>
        <v>0.54340065047499353</v>
      </c>
      <c r="Z211" s="216">
        <f t="shared" si="172"/>
        <v>0.59176935840988298</v>
      </c>
      <c r="AA211" s="216">
        <f t="shared" si="172"/>
        <v>0.63858115713203756</v>
      </c>
      <c r="AB211" s="216">
        <f t="shared" si="172"/>
        <v>0.68332436967387677</v>
      </c>
      <c r="AC211" s="216">
        <f t="shared" si="172"/>
        <v>0.71673392109696987</v>
      </c>
      <c r="AD211" s="216">
        <f t="shared" si="172"/>
        <v>0.74527369126161602</v>
      </c>
      <c r="AE211" s="216">
        <f t="shared" si="172"/>
        <v>0.76820828903488136</v>
      </c>
      <c r="AF211" s="216">
        <f t="shared" si="172"/>
        <v>0.78477225980636811</v>
      </c>
      <c r="AG211" s="216">
        <f t="shared" si="172"/>
        <v>0.79417008548821721</v>
      </c>
      <c r="AH211" s="230"/>
      <c r="AI211" s="126"/>
      <c r="AJ211" s="198"/>
      <c r="AL211" s="102"/>
      <c r="AM211" s="2"/>
      <c r="AN211" s="2"/>
      <c r="AO211" s="2"/>
      <c r="BC211" s="1"/>
      <c r="BD211" s="2"/>
      <c r="BE211" s="2"/>
      <c r="BF211" s="2"/>
      <c r="BG211" s="2"/>
      <c r="BH211" s="2"/>
      <c r="BI211" s="2"/>
      <c r="BJ211" s="2"/>
      <c r="BK211" s="2"/>
    </row>
    <row r="212" spans="1:63" outlineLevel="1">
      <c r="C212" s="104"/>
      <c r="D212" s="104"/>
      <c r="E212" s="104"/>
      <c r="F212" s="104"/>
      <c r="G212" s="104"/>
      <c r="H212" s="104"/>
      <c r="I212" s="104"/>
      <c r="J212" s="104"/>
      <c r="K212" s="104"/>
      <c r="L212" s="104"/>
      <c r="M212" s="104"/>
      <c r="N212" s="104"/>
      <c r="O212" s="104"/>
      <c r="P212" s="104"/>
      <c r="Q212" s="104"/>
      <c r="R212" s="104"/>
      <c r="S212" s="104"/>
      <c r="T212" s="104"/>
      <c r="U212" s="104"/>
      <c r="V212" s="104"/>
      <c r="W212" s="104"/>
      <c r="X212" s="104"/>
      <c r="Y212" s="104"/>
      <c r="Z212" s="104"/>
      <c r="AA212" s="104"/>
      <c r="AB212" s="104"/>
      <c r="AC212" s="104"/>
      <c r="AD212" s="104"/>
      <c r="AE212" s="104"/>
      <c r="AF212" s="104"/>
      <c r="AG212" s="104"/>
      <c r="AJ212" s="198"/>
    </row>
    <row r="213" spans="1:63" s="187" customFormat="1" ht="15.5" thickBot="1">
      <c r="A213" s="187" t="s">
        <v>461</v>
      </c>
      <c r="B213" s="202"/>
      <c r="C213" s="210">
        <f>C214</f>
        <v>1.6E-2</v>
      </c>
      <c r="D213" s="210">
        <f t="shared" ref="D213:AG213" si="173">D214</f>
        <v>2.329547397581962E-2</v>
      </c>
      <c r="E213" s="210">
        <f t="shared" si="173"/>
        <v>3.059094795163924E-2</v>
      </c>
      <c r="F213" s="210">
        <f t="shared" si="173"/>
        <v>3.7886421927458863E-2</v>
      </c>
      <c r="G213" s="210">
        <f t="shared" si="173"/>
        <v>4.5181895903278479E-2</v>
      </c>
      <c r="H213" s="210">
        <f t="shared" si="173"/>
        <v>5.2477369879098103E-2</v>
      </c>
      <c r="I213" s="210">
        <f t="shared" si="173"/>
        <v>5.9772843854917726E-2</v>
      </c>
      <c r="J213" s="210">
        <f t="shared" si="173"/>
        <v>6.7068317830737342E-2</v>
      </c>
      <c r="K213" s="210">
        <f t="shared" si="173"/>
        <v>7.4363791806556973E-2</v>
      </c>
      <c r="L213" s="210">
        <f t="shared" si="173"/>
        <v>8.1659265782376589E-2</v>
      </c>
      <c r="M213" s="210">
        <f t="shared" si="173"/>
        <v>8.8954739758196205E-2</v>
      </c>
      <c r="N213" s="210">
        <f t="shared" si="173"/>
        <v>0.10433135413800063</v>
      </c>
      <c r="O213" s="210">
        <f t="shared" si="173"/>
        <v>0.11970796851780505</v>
      </c>
      <c r="P213" s="210">
        <f t="shared" si="173"/>
        <v>0.1350845828976095</v>
      </c>
      <c r="Q213" s="210">
        <f t="shared" si="173"/>
        <v>0.15046119727741392</v>
      </c>
      <c r="R213" s="210">
        <f t="shared" si="173"/>
        <v>0.16583781165721834</v>
      </c>
      <c r="S213" s="210">
        <f t="shared" si="173"/>
        <v>0.18121442603702276</v>
      </c>
      <c r="T213" s="210">
        <f t="shared" si="173"/>
        <v>0.19659104041682718</v>
      </c>
      <c r="U213" s="210">
        <f t="shared" si="173"/>
        <v>0.2119676547966316</v>
      </c>
      <c r="V213" s="210">
        <f t="shared" si="173"/>
        <v>0.22734426917643602</v>
      </c>
      <c r="W213" s="210">
        <f t="shared" si="173"/>
        <v>0.24272088355624044</v>
      </c>
      <c r="X213" s="210">
        <f t="shared" si="173"/>
        <v>0.26844879520061637</v>
      </c>
      <c r="Y213" s="210">
        <f t="shared" si="173"/>
        <v>0.29417670684499236</v>
      </c>
      <c r="Z213" s="210">
        <f t="shared" si="173"/>
        <v>0.3199046184893683</v>
      </c>
      <c r="AA213" s="210">
        <f t="shared" si="173"/>
        <v>0.34563253013374429</v>
      </c>
      <c r="AB213" s="210">
        <f t="shared" si="173"/>
        <v>0.37136044177812022</v>
      </c>
      <c r="AC213" s="210">
        <f t="shared" si="173"/>
        <v>0.39708835342249615</v>
      </c>
      <c r="AD213" s="210">
        <f t="shared" si="173"/>
        <v>0.42281626506687209</v>
      </c>
      <c r="AE213" s="210">
        <f t="shared" si="173"/>
        <v>0.44854417671124808</v>
      </c>
      <c r="AF213" s="210">
        <f t="shared" si="173"/>
        <v>0.47427208835562407</v>
      </c>
      <c r="AG213" s="210">
        <f t="shared" si="173"/>
        <v>0.5</v>
      </c>
      <c r="AJ213" s="217" t="s">
        <v>473</v>
      </c>
      <c r="AL213" s="204"/>
      <c r="AM213" s="211"/>
      <c r="AN213" s="211"/>
      <c r="AO213" s="211"/>
    </row>
    <row r="214" spans="1:63" ht="15.5" outlineLevel="1" thickTop="1">
      <c r="A214" t="s">
        <v>469</v>
      </c>
      <c r="B214" s="51" t="s">
        <v>126</v>
      </c>
      <c r="C214" s="107">
        <v>1.6E-2</v>
      </c>
      <c r="D214" s="104">
        <f>$C214+($M214-$C214)/10*(D$1-$C$1)</f>
        <v>2.329547397581962E-2</v>
      </c>
      <c r="E214" s="104">
        <f t="shared" ref="E214:L214" si="174">$C214+($M214-$C214)/10*(E$1-$C$1)</f>
        <v>3.059094795163924E-2</v>
      </c>
      <c r="F214" s="104">
        <f t="shared" si="174"/>
        <v>3.7886421927458863E-2</v>
      </c>
      <c r="G214" s="104">
        <f t="shared" si="174"/>
        <v>4.5181895903278479E-2</v>
      </c>
      <c r="H214" s="104">
        <f t="shared" si="174"/>
        <v>5.2477369879098103E-2</v>
      </c>
      <c r="I214" s="104">
        <f t="shared" si="174"/>
        <v>5.9772843854917726E-2</v>
      </c>
      <c r="J214" s="104">
        <f t="shared" si="174"/>
        <v>6.7068317830737342E-2</v>
      </c>
      <c r="K214" s="104">
        <f t="shared" si="174"/>
        <v>7.4363791806556973E-2</v>
      </c>
      <c r="L214" s="104">
        <f t="shared" si="174"/>
        <v>8.1659265782376589E-2</v>
      </c>
      <c r="M214" s="115">
        <f>(M$49-$C$49)/($AG$49-$C$49)*($AG214-$C214)+$C214</f>
        <v>8.8954739758196205E-2</v>
      </c>
      <c r="N214" s="115">
        <f>$M214+($W214-$M214)/10*(N$1-$M$1)</f>
        <v>0.10433135413800063</v>
      </c>
      <c r="O214" s="115">
        <f t="shared" ref="O214:U214" si="175">$M214+($W214-$M214)/10*(O$1-$M$1)</f>
        <v>0.11970796851780505</v>
      </c>
      <c r="P214" s="115">
        <f t="shared" si="175"/>
        <v>0.1350845828976095</v>
      </c>
      <c r="Q214" s="115">
        <f t="shared" si="175"/>
        <v>0.15046119727741392</v>
      </c>
      <c r="R214" s="115">
        <f t="shared" si="175"/>
        <v>0.16583781165721834</v>
      </c>
      <c r="S214" s="115">
        <f t="shared" si="175"/>
        <v>0.18121442603702276</v>
      </c>
      <c r="T214" s="115">
        <f t="shared" si="175"/>
        <v>0.19659104041682718</v>
      </c>
      <c r="U214" s="115">
        <f t="shared" si="175"/>
        <v>0.2119676547966316</v>
      </c>
      <c r="V214" s="115">
        <f>$M214+($W214-$M214)/10*(V$1-$M$1)</f>
        <v>0.22734426917643602</v>
      </c>
      <c r="W214" s="115">
        <f>(W$49-$C$49)/($AG$49-$C$49)*($AG214-$C214)+$C214</f>
        <v>0.24272088355624044</v>
      </c>
      <c r="X214" s="22">
        <f t="shared" ref="X214:AF214" si="176">$W214+($AG214-$W214)/10*(X$1-$W$1)</f>
        <v>0.26844879520061637</v>
      </c>
      <c r="Y214" s="22">
        <f t="shared" si="176"/>
        <v>0.29417670684499236</v>
      </c>
      <c r="Z214" s="22">
        <f t="shared" si="176"/>
        <v>0.3199046184893683</v>
      </c>
      <c r="AA214" s="22">
        <f t="shared" si="176"/>
        <v>0.34563253013374429</v>
      </c>
      <c r="AB214" s="22">
        <f t="shared" si="176"/>
        <v>0.37136044177812022</v>
      </c>
      <c r="AC214" s="22">
        <f t="shared" si="176"/>
        <v>0.39708835342249615</v>
      </c>
      <c r="AD214" s="22">
        <f t="shared" si="176"/>
        <v>0.42281626506687209</v>
      </c>
      <c r="AE214" s="22">
        <f t="shared" si="176"/>
        <v>0.44854417671124808</v>
      </c>
      <c r="AF214" s="22">
        <f t="shared" si="176"/>
        <v>0.47427208835562407</v>
      </c>
      <c r="AG214" s="201">
        <v>0.5</v>
      </c>
      <c r="AJ214" s="198" t="s">
        <v>462</v>
      </c>
    </row>
    <row r="215" spans="1:63" outlineLevel="1">
      <c r="C215" s="107"/>
      <c r="D215" s="104"/>
      <c r="E215" s="104"/>
      <c r="F215" s="104"/>
      <c r="G215" s="104"/>
      <c r="H215" s="104"/>
      <c r="I215" s="104"/>
      <c r="J215" s="104"/>
      <c r="K215" s="104"/>
      <c r="L215" s="104"/>
      <c r="M215" s="115"/>
      <c r="N215" s="115"/>
      <c r="O215" s="115"/>
      <c r="P215" s="115"/>
      <c r="Q215" s="115"/>
      <c r="R215" s="115"/>
      <c r="S215" s="115"/>
      <c r="T215" s="115"/>
      <c r="U215" s="115"/>
      <c r="V215" s="115"/>
      <c r="W215" s="115"/>
      <c r="X215" s="22"/>
      <c r="Y215" s="22"/>
      <c r="Z215" s="22"/>
      <c r="AA215" s="22"/>
      <c r="AB215" s="22"/>
      <c r="AC215" s="22"/>
      <c r="AD215" s="22"/>
      <c r="AE215" s="22"/>
      <c r="AF215" s="22"/>
      <c r="AG215" s="100"/>
      <c r="AJ215" s="198"/>
    </row>
    <row r="216" spans="1:63" outlineLevel="1">
      <c r="A216" t="s">
        <v>1080</v>
      </c>
      <c r="C216" s="477">
        <f>'Overall recycling rates'!E85</f>
        <v>0.26203735567332748</v>
      </c>
      <c r="D216" s="477">
        <f>C216-($C216-$AG216)/($AG$1-$C$1)</f>
        <v>0.2799694438175499</v>
      </c>
      <c r="E216" s="477">
        <f t="shared" ref="E216:AF216" si="177">D216-($C216-$AG216)/($AG$1-$C$1)</f>
        <v>0.29790153196177233</v>
      </c>
      <c r="F216" s="477">
        <f t="shared" si="177"/>
        <v>0.31583362010599475</v>
      </c>
      <c r="G216" s="477">
        <f t="shared" si="177"/>
        <v>0.33376570825021717</v>
      </c>
      <c r="H216" s="477">
        <f t="shared" si="177"/>
        <v>0.3516977963944396</v>
      </c>
      <c r="I216" s="477">
        <f t="shared" si="177"/>
        <v>0.36962988453866202</v>
      </c>
      <c r="J216" s="477">
        <f t="shared" si="177"/>
        <v>0.38756197268288445</v>
      </c>
      <c r="K216" s="477">
        <f t="shared" si="177"/>
        <v>0.40549406082710687</v>
      </c>
      <c r="L216" s="477">
        <f t="shared" si="177"/>
        <v>0.4234261489713293</v>
      </c>
      <c r="M216" s="477">
        <f t="shared" si="177"/>
        <v>0.44135823711555172</v>
      </c>
      <c r="N216" s="477">
        <f t="shared" si="177"/>
        <v>0.45929032525977415</v>
      </c>
      <c r="O216" s="477">
        <f t="shared" si="177"/>
        <v>0.47722241340399657</v>
      </c>
      <c r="P216" s="477">
        <f t="shared" si="177"/>
        <v>0.49515450154821899</v>
      </c>
      <c r="Q216" s="477">
        <f t="shared" si="177"/>
        <v>0.51308658969244136</v>
      </c>
      <c r="R216" s="477">
        <f t="shared" si="177"/>
        <v>0.53101867783666379</v>
      </c>
      <c r="S216" s="477">
        <f t="shared" si="177"/>
        <v>0.54895076598088621</v>
      </c>
      <c r="T216" s="477">
        <f t="shared" si="177"/>
        <v>0.56688285412510864</v>
      </c>
      <c r="U216" s="477">
        <f t="shared" si="177"/>
        <v>0.58481494226933106</v>
      </c>
      <c r="V216" s="477">
        <f t="shared" si="177"/>
        <v>0.60274703041355349</v>
      </c>
      <c r="W216" s="477">
        <f t="shared" si="177"/>
        <v>0.62067911855777591</v>
      </c>
      <c r="X216" s="477">
        <f t="shared" si="177"/>
        <v>0.63861120670199834</v>
      </c>
      <c r="Y216" s="477">
        <f t="shared" si="177"/>
        <v>0.65654329484622076</v>
      </c>
      <c r="Z216" s="477">
        <f t="shared" si="177"/>
        <v>0.67447538299044318</v>
      </c>
      <c r="AA216" s="477">
        <f t="shared" si="177"/>
        <v>0.69240747113466561</v>
      </c>
      <c r="AB216" s="477">
        <f t="shared" si="177"/>
        <v>0.71033955927888803</v>
      </c>
      <c r="AC216" s="477">
        <f t="shared" si="177"/>
        <v>0.72827164742311046</v>
      </c>
      <c r="AD216" s="477">
        <f t="shared" si="177"/>
        <v>0.74620373556733288</v>
      </c>
      <c r="AE216" s="477">
        <f t="shared" si="177"/>
        <v>0.76413582371155531</v>
      </c>
      <c r="AF216" s="477">
        <f t="shared" si="177"/>
        <v>0.78206791185577773</v>
      </c>
      <c r="AG216" s="477">
        <f>'Overall recycling rates'!E94</f>
        <v>0.8</v>
      </c>
      <c r="AI216" s="126"/>
      <c r="AJ216" s="198" t="s">
        <v>1088</v>
      </c>
      <c r="AL216" s="102"/>
      <c r="AM216" s="194"/>
      <c r="AN216" s="194"/>
      <c r="AO216" s="194"/>
      <c r="BC216" s="1"/>
      <c r="BD216" s="194"/>
      <c r="BE216" s="194"/>
      <c r="BF216" s="194"/>
      <c r="BG216" s="194"/>
      <c r="BH216" s="194"/>
      <c r="BI216" s="194"/>
      <c r="BJ216" s="194"/>
      <c r="BK216" s="194"/>
    </row>
    <row r="217" spans="1:63" outlineLevel="1">
      <c r="A217" t="s">
        <v>1089</v>
      </c>
      <c r="B217" s="51" t="s">
        <v>126</v>
      </c>
      <c r="C217" s="104">
        <f>C214*C216</f>
        <v>4.19259769077324E-3</v>
      </c>
      <c r="D217" s="104">
        <f t="shared" ref="D217:AG217" si="178">D214*D216</f>
        <v>6.5220208924764269E-3</v>
      </c>
      <c r="E217" s="104">
        <f t="shared" si="178"/>
        <v>9.1130902589561715E-3</v>
      </c>
      <c r="F217" s="104">
        <f t="shared" si="178"/>
        <v>1.1965805790212471E-2</v>
      </c>
      <c r="G217" s="104">
        <f t="shared" si="178"/>
        <v>1.5080167486245327E-2</v>
      </c>
      <c r="H217" s="104">
        <f t="shared" si="178"/>
        <v>1.8456175347054741E-2</v>
      </c>
      <c r="I217" s="104">
        <f t="shared" si="178"/>
        <v>2.2093829372640712E-2</v>
      </c>
      <c r="J217" s="104">
        <f t="shared" si="178"/>
        <v>2.5993129563003238E-2</v>
      </c>
      <c r="K217" s="104">
        <f t="shared" si="178"/>
        <v>3.0154075918142325E-2</v>
      </c>
      <c r="L217" s="104">
        <f t="shared" si="178"/>
        <v>3.4576668438057963E-2</v>
      </c>
      <c r="M217" s="104">
        <f t="shared" si="178"/>
        <v>3.9260907122750155E-2</v>
      </c>
      <c r="N217" s="104">
        <f t="shared" si="178"/>
        <v>4.7918381576834992E-2</v>
      </c>
      <c r="O217" s="104">
        <f t="shared" si="178"/>
        <v>5.7127325639756567E-2</v>
      </c>
      <c r="P217" s="104">
        <f t="shared" si="178"/>
        <v>6.6887739311514899E-2</v>
      </c>
      <c r="Q217" s="104">
        <f t="shared" si="178"/>
        <v>7.7199622592109954E-2</v>
      </c>
      <c r="R217" s="104">
        <f t="shared" si="178"/>
        <v>8.8062975481541753E-2</v>
      </c>
      <c r="S217" s="104">
        <f t="shared" si="178"/>
        <v>9.9477797979810295E-2</v>
      </c>
      <c r="T217" s="104">
        <f t="shared" si="178"/>
        <v>0.11144409008691558</v>
      </c>
      <c r="U217" s="104">
        <f t="shared" si="178"/>
        <v>0.1239618518028576</v>
      </c>
      <c r="V217" s="104">
        <f t="shared" si="178"/>
        <v>0.13703108312763637</v>
      </c>
      <c r="W217" s="104">
        <f t="shared" si="178"/>
        <v>0.15065178406125188</v>
      </c>
      <c r="X217" s="104">
        <f t="shared" si="178"/>
        <v>0.17143440904076324</v>
      </c>
      <c r="Y217" s="104">
        <f t="shared" si="178"/>
        <v>0.19313974437902207</v>
      </c>
      <c r="Z217" s="104">
        <f t="shared" si="178"/>
        <v>0.21576779007602828</v>
      </c>
      <c r="AA217" s="104">
        <f t="shared" si="178"/>
        <v>0.239318546131782</v>
      </c>
      <c r="AB217" s="104">
        <f t="shared" si="178"/>
        <v>0.26379201254628309</v>
      </c>
      <c r="AC217" s="104">
        <f t="shared" si="178"/>
        <v>0.28918818931953161</v>
      </c>
      <c r="AD217" s="104">
        <f t="shared" si="178"/>
        <v>0.31550707645152753</v>
      </c>
      <c r="AE217" s="104">
        <f t="shared" si="178"/>
        <v>0.34274867394227099</v>
      </c>
      <c r="AF217" s="104">
        <f t="shared" si="178"/>
        <v>0.37091298179176185</v>
      </c>
      <c r="AG217" s="104">
        <f t="shared" si="178"/>
        <v>0.4</v>
      </c>
      <c r="AJ217" s="198" t="s">
        <v>462</v>
      </c>
    </row>
    <row r="218" spans="1:63" outlineLevel="1">
      <c r="C218" s="104"/>
      <c r="D218" s="104"/>
      <c r="E218" s="104"/>
      <c r="F218" s="104"/>
      <c r="G218" s="104"/>
      <c r="H218" s="104"/>
      <c r="I218" s="104"/>
      <c r="J218" s="104"/>
      <c r="K218" s="104"/>
      <c r="L218" s="104"/>
      <c r="M218" s="104"/>
      <c r="N218" s="104"/>
      <c r="O218" s="104"/>
      <c r="P218" s="104"/>
      <c r="Q218" s="104"/>
      <c r="R218" s="104"/>
      <c r="S218" s="104"/>
      <c r="T218" s="104"/>
      <c r="U218" s="104"/>
      <c r="V218" s="104"/>
      <c r="W218" s="104"/>
      <c r="X218" s="104"/>
      <c r="Y218" s="104"/>
      <c r="Z218" s="104"/>
      <c r="AA218" s="104"/>
      <c r="AB218" s="104"/>
      <c r="AC218" s="104"/>
      <c r="AD218" s="104"/>
      <c r="AE218" s="104"/>
      <c r="AF218" s="104"/>
      <c r="AG218" s="104"/>
      <c r="AI218" s="127"/>
      <c r="AJ218" s="198"/>
      <c r="BC218" s="1"/>
      <c r="BD218" s="38"/>
      <c r="BF218" s="6"/>
      <c r="BG218" s="6"/>
      <c r="BH218" s="6"/>
      <c r="BI218" s="6"/>
      <c r="BJ218" s="6"/>
    </row>
    <row r="219" spans="1:63" s="1" customFormat="1" outlineLevel="1">
      <c r="A219" s="1" t="s">
        <v>261</v>
      </c>
      <c r="B219" s="61"/>
      <c r="C219" s="279">
        <f>C217*C41</f>
        <v>18.852963772942033</v>
      </c>
      <c r="D219" s="279">
        <f t="shared" ref="D219:AG219" si="179">D217*D41</f>
        <v>29.327742054246983</v>
      </c>
      <c r="E219" s="279">
        <f t="shared" si="179"/>
        <v>40.979071493016292</v>
      </c>
      <c r="F219" s="279">
        <f t="shared" si="179"/>
        <v>53.806952089249954</v>
      </c>
      <c r="G219" s="279">
        <f t="shared" si="179"/>
        <v>67.811383842947976</v>
      </c>
      <c r="H219" s="279">
        <f t="shared" si="179"/>
        <v>82.99236675411035</v>
      </c>
      <c r="I219" s="279">
        <f t="shared" si="179"/>
        <v>99.349900822737084</v>
      </c>
      <c r="J219" s="279">
        <f t="shared" si="179"/>
        <v>116.88398604882818</v>
      </c>
      <c r="K219" s="279">
        <f t="shared" si="179"/>
        <v>135.59462243238363</v>
      </c>
      <c r="L219" s="279">
        <f t="shared" si="179"/>
        <v>155.48180997340344</v>
      </c>
      <c r="M219" s="279">
        <f t="shared" si="179"/>
        <v>176.54554867188756</v>
      </c>
      <c r="N219" s="279">
        <f t="shared" si="179"/>
        <v>215.47584064987367</v>
      </c>
      <c r="O219" s="279">
        <f t="shared" si="179"/>
        <v>256.88594045205389</v>
      </c>
      <c r="P219" s="279">
        <f t="shared" si="179"/>
        <v>300.77584807842823</v>
      </c>
      <c r="Q219" s="279">
        <f t="shared" si="179"/>
        <v>347.1455635289966</v>
      </c>
      <c r="R219" s="279">
        <f t="shared" si="179"/>
        <v>395.99508680375908</v>
      </c>
      <c r="S219" s="279">
        <f t="shared" si="179"/>
        <v>447.32441790271571</v>
      </c>
      <c r="T219" s="279">
        <f t="shared" si="179"/>
        <v>501.13355682586644</v>
      </c>
      <c r="U219" s="279">
        <f t="shared" si="179"/>
        <v>557.4225035732112</v>
      </c>
      <c r="V219" s="279">
        <f t="shared" si="179"/>
        <v>616.19125814475012</v>
      </c>
      <c r="W219" s="279">
        <f t="shared" si="179"/>
        <v>677.43982054048308</v>
      </c>
      <c r="X219" s="279">
        <f t="shared" si="179"/>
        <v>770.89359424923725</v>
      </c>
      <c r="Y219" s="279">
        <f t="shared" si="179"/>
        <v>868.49654377914601</v>
      </c>
      <c r="Z219" s="279">
        <f t="shared" si="179"/>
        <v>970.24866913020878</v>
      </c>
      <c r="AA219" s="279">
        <f t="shared" si="179"/>
        <v>1076.149970302426</v>
      </c>
      <c r="AB219" s="279">
        <f t="shared" si="179"/>
        <v>1186.2004472957976</v>
      </c>
      <c r="AC219" s="279">
        <f t="shared" si="179"/>
        <v>1300.4001001103234</v>
      </c>
      <c r="AD219" s="279">
        <f t="shared" si="179"/>
        <v>1418.7489287460032</v>
      </c>
      <c r="AE219" s="279">
        <f t="shared" si="179"/>
        <v>1541.2469332028377</v>
      </c>
      <c r="AF219" s="279">
        <f t="shared" si="179"/>
        <v>1667.8941134808267</v>
      </c>
      <c r="AG219" s="279">
        <f t="shared" si="179"/>
        <v>1798.6904695799692</v>
      </c>
      <c r="AH219" s="230"/>
      <c r="AI219" s="398"/>
      <c r="AJ219" s="399"/>
      <c r="AL219" s="207"/>
      <c r="AM219" s="118"/>
      <c r="AN219" s="118"/>
      <c r="AO219" s="118"/>
      <c r="BD219" s="118"/>
      <c r="BE219" s="118"/>
      <c r="BF219" s="118"/>
      <c r="BG219" s="118"/>
      <c r="BH219" s="118"/>
      <c r="BI219" s="118"/>
      <c r="BJ219" s="118"/>
      <c r="BK219" s="118"/>
    </row>
    <row r="220" spans="1:63" outlineLevel="1">
      <c r="A220" s="4" t="s">
        <v>35</v>
      </c>
      <c r="C220" s="216">
        <f>C$219*'Methanol recycling rates'!E69</f>
        <v>0</v>
      </c>
      <c r="D220" s="216">
        <f>D$219*'Methanol recycling rates'!F69</f>
        <v>7.4806875331784434E-5</v>
      </c>
      <c r="E220" s="216">
        <f>E$219*'Methanol recycling rates'!G69</f>
        <v>2.0905232231790106E-4</v>
      </c>
      <c r="F220" s="216">
        <f>F$219*'Methanol recycling rates'!H69</f>
        <v>4.1173950072377993E-4</v>
      </c>
      <c r="G220" s="216">
        <f>G$219*'Methanol recycling rates'!I69</f>
        <v>6.9187157031485116E-4</v>
      </c>
      <c r="H220" s="216">
        <f>H$219*'Methanol recycling rates'!J69</f>
        <v>1.0584516908565449E-3</v>
      </c>
      <c r="I220" s="216">
        <f>I$219*'Methanol recycling rates'!K69</f>
        <v>1.5204830221142911E-3</v>
      </c>
      <c r="J220" s="216">
        <f>J$219*'Methanol recycling rates'!L69</f>
        <v>2.0869687238535199E-3</v>
      </c>
      <c r="K220" s="216">
        <f>K$219*'Methanol recycling rates'!M69</f>
        <v>2.7669119558396617E-3</v>
      </c>
      <c r="L220" s="216">
        <f>L$219*'Methanol recycling rates'!N69</f>
        <v>3.5693158778381463E-3</v>
      </c>
      <c r="M220" s="216">
        <f>M$219*'Methanol recycling rates'!O69</f>
        <v>4.5031836496144031E-3</v>
      </c>
      <c r="N220" s="216">
        <f>N$219*'Methanol recycling rates'!P69</f>
        <v>6.0458052824389052E-3</v>
      </c>
      <c r="O220" s="216">
        <f>O$219*'Methanol recycling rates'!Q69</f>
        <v>7.862931071750413E-3</v>
      </c>
      <c r="P220" s="216">
        <f>P$219*'Methanol recycling rates'!R69</f>
        <v>9.9735369081314518E-3</v>
      </c>
      <c r="Q220" s="216">
        <f>Q$219*'Methanol recycling rates'!S69</f>
        <v>1.239659868216454E-2</v>
      </c>
      <c r="R220" s="216">
        <f>R$219*'Methanol recycling rates'!T69</f>
        <v>1.5151092284432201E-2</v>
      </c>
      <c r="S220" s="216">
        <f>S$219*'Methanol recycling rates'!U69</f>
        <v>1.8255993605516958E-2</v>
      </c>
      <c r="T220" s="216">
        <f>T$219*'Methanol recycling rates'!V69</f>
        <v>2.1730278536001332E-2</v>
      </c>
      <c r="U220" s="216">
        <f>U$219*'Methanol recycling rates'!W69</f>
        <v>2.559292296646784E-2</v>
      </c>
      <c r="V220" s="216">
        <f>V$219*'Methanol recycling rates'!X69</f>
        <v>2.9862902787499014E-2</v>
      </c>
      <c r="W220" s="216">
        <f>W$219*'Methanol recycling rates'!Y69</f>
        <v>3.4559193889677361E-2</v>
      </c>
      <c r="X220" s="216">
        <f>X$219*'Methanol recycling rates'!Z69</f>
        <v>4.1293017332890126E-2</v>
      </c>
      <c r="Y220" s="216">
        <f>Y$219*'Methanol recycling rates'!AA69</f>
        <v>4.8736424244348042E-2</v>
      </c>
      <c r="Z220" s="216">
        <f>Z$219*'Methanol recycling rates'!AB69</f>
        <v>5.6921164788568554E-2</v>
      </c>
      <c r="AA220" s="216">
        <f>AA$219*'Methanol recycling rates'!AC69</f>
        <v>6.5878989130069163E-2</v>
      </c>
      <c r="AB220" s="216">
        <f>AB$219*'Methanol recycling rates'!AD69</f>
        <v>7.5641647433367321E-2</v>
      </c>
      <c r="AC220" s="216">
        <f>AC$219*'Methanol recycling rates'!AE69</f>
        <v>8.6240889862980494E-2</v>
      </c>
      <c r="AD220" s="216">
        <f>AD$219*'Methanol recycling rates'!AF69</f>
        <v>9.7708466583426135E-2</v>
      </c>
      <c r="AE220" s="216">
        <f>AE$219*'Methanol recycling rates'!AG69</f>
        <v>0.11007612775922175</v>
      </c>
      <c r="AF220" s="216">
        <f>AF$219*'Methanol recycling rates'!AH69</f>
        <v>0.12337562355488481</v>
      </c>
      <c r="AG220" s="216">
        <f>AG$219*'Methanol recycling rates'!AI69</f>
        <v>0.13763870413493279</v>
      </c>
      <c r="AH220" s="230"/>
      <c r="AI220" s="126"/>
      <c r="AJ220" s="198"/>
      <c r="AL220" s="102"/>
      <c r="AM220" s="2"/>
      <c r="AN220" s="2"/>
      <c r="AO220" s="2"/>
      <c r="BC220" s="1"/>
      <c r="BD220" s="2"/>
      <c r="BE220" s="2"/>
      <c r="BF220" s="2"/>
      <c r="BG220" s="2"/>
      <c r="BH220" s="2"/>
      <c r="BI220" s="2"/>
      <c r="BJ220" s="2"/>
      <c r="BK220" s="2"/>
    </row>
    <row r="221" spans="1:63" outlineLevel="1">
      <c r="A221" s="4" t="s">
        <v>160</v>
      </c>
      <c r="C221" s="216">
        <f>C$219*'Methanol recycling rates'!E70</f>
        <v>11.976781189353876</v>
      </c>
      <c r="D221" s="216">
        <f>D$219*'Methanol recycling rates'!F70</f>
        <v>18.588860094896695</v>
      </c>
      <c r="E221" s="216">
        <f>E$219*'Methanol recycling rates'!G70</f>
        <v>25.914787274381684</v>
      </c>
      <c r="F221" s="216">
        <f>F$219*'Methanol recycling rates'!H70</f>
        <v>33.949475902823998</v>
      </c>
      <c r="G221" s="216">
        <f>G$219*'Methanol recycling rates'!I70</f>
        <v>42.687839155238812</v>
      </c>
      <c r="H221" s="216">
        <f>H$219*'Methanol recycling rates'!J70</f>
        <v>52.124790206641286</v>
      </c>
      <c r="I221" s="216">
        <f>I$219*'Methanol recycling rates'!K70</f>
        <v>62.255242232046584</v>
      </c>
      <c r="J221" s="216">
        <f>J$219*'Methanol recycling rates'!L70</f>
        <v>73.074108406469875</v>
      </c>
      <c r="K221" s="216">
        <f>K$219*'Methanol recycling rates'!M70</f>
        <v>84.576301904926311</v>
      </c>
      <c r="L221" s="216">
        <f>L$219*'Methanol recycling rates'!N70</f>
        <v>96.756735902431089</v>
      </c>
      <c r="M221" s="216">
        <f>M$219*'Methanol recycling rates'!O70</f>
        <v>109.6103235739993</v>
      </c>
      <c r="N221" s="216">
        <f>N$219*'Methanol recycling rates'!P70</f>
        <v>133.47010374237718</v>
      </c>
      <c r="O221" s="216">
        <f>O$219*'Methanol recycling rates'!Q70</f>
        <v>158.75014311432287</v>
      </c>
      <c r="P221" s="216">
        <f>P$219*'Methanol recycling rates'!R70</f>
        <v>185.43972022794529</v>
      </c>
      <c r="Q221" s="216">
        <f>Q$219*'Methanol recycling rates'!S70</f>
        <v>213.52811362135327</v>
      </c>
      <c r="R221" s="216">
        <f>R$219*'Methanol recycling rates'!T70</f>
        <v>243.00460183265574</v>
      </c>
      <c r="S221" s="216">
        <f>S$219*'Methanol recycling rates'!U70</f>
        <v>273.85846339996158</v>
      </c>
      <c r="T221" s="216">
        <f>T$219*'Methanol recycling rates'!V70</f>
        <v>306.07897686137966</v>
      </c>
      <c r="U221" s="216">
        <f>U$219*'Methanol recycling rates'!W70</f>
        <v>339.65542075501889</v>
      </c>
      <c r="V221" s="216">
        <f>V$219*'Methanol recycling rates'!X70</f>
        <v>374.57707361898815</v>
      </c>
      <c r="W221" s="216">
        <f>W$219*'Methanol recycling rates'!Y70</f>
        <v>410.83321399139624</v>
      </c>
      <c r="X221" s="216">
        <f>X$219*'Methanol recycling rates'!Z70</f>
        <v>466.39724479675687</v>
      </c>
      <c r="Y221" s="216">
        <f>Y$219*'Methanol recycling rates'!AA70</f>
        <v>524.19621769743185</v>
      </c>
      <c r="Z221" s="216">
        <f>Z$219*'Methanol recycling rates'!AB70</f>
        <v>584.21219371040286</v>
      </c>
      <c r="AA221" s="216">
        <f>AA$219*'Methanol recycling rates'!AC70</f>
        <v>646.42723385265231</v>
      </c>
      <c r="AB221" s="216">
        <f>AB$219*'Methanol recycling rates'!AD70</f>
        <v>710.8233991411621</v>
      </c>
      <c r="AC221" s="216">
        <f>AC$219*'Methanol recycling rates'!AE70</f>
        <v>777.38275059291402</v>
      </c>
      <c r="AD221" s="216">
        <f>AD$219*'Methanol recycling rates'!AF70</f>
        <v>846.08734922489032</v>
      </c>
      <c r="AE221" s="216">
        <f>AE$219*'Methanol recycling rates'!AG70</f>
        <v>916.91925605407323</v>
      </c>
      <c r="AF221" s="216">
        <f>AF$219*'Methanol recycling rates'!AH70</f>
        <v>989.86053209744466</v>
      </c>
      <c r="AG221" s="216">
        <f>AG$219*'Methanol recycling rates'!AI70</f>
        <v>1064.8932383719875</v>
      </c>
      <c r="AH221" s="230"/>
      <c r="AI221" s="126"/>
      <c r="AJ221" s="198"/>
      <c r="AL221" s="102"/>
      <c r="AM221" s="2"/>
      <c r="AN221" s="2"/>
      <c r="AO221" s="2"/>
      <c r="BC221" s="1"/>
      <c r="BD221" s="2"/>
      <c r="BE221" s="2"/>
      <c r="BF221" s="2"/>
      <c r="BG221" s="2"/>
      <c r="BH221" s="2"/>
      <c r="BI221" s="2"/>
      <c r="BJ221" s="2"/>
      <c r="BK221" s="2"/>
    </row>
    <row r="222" spans="1:63" outlineLevel="1">
      <c r="A222" s="4" t="s">
        <v>1159</v>
      </c>
      <c r="C222" s="216">
        <f>C$219*'Methanol recycling rates'!E71</f>
        <v>6.8761825835881591</v>
      </c>
      <c r="D222" s="216">
        <f>D$219*'Methanol recycling rates'!F71</f>
        <v>10.738807152474957</v>
      </c>
      <c r="E222" s="216">
        <f>E$219*'Methanol recycling rates'!G71</f>
        <v>15.064075166312291</v>
      </c>
      <c r="F222" s="216">
        <f>F$219*'Methanol recycling rates'!H71</f>
        <v>19.857064446925232</v>
      </c>
      <c r="G222" s="216">
        <f>G$219*'Methanol recycling rates'!I71</f>
        <v>25.122852816138845</v>
      </c>
      <c r="H222" s="216">
        <f>H$219*'Methanol recycling rates'!J71</f>
        <v>30.866518095778208</v>
      </c>
      <c r="I222" s="216">
        <f>I$219*'Methanol recycling rates'!K71</f>
        <v>37.093138107668381</v>
      </c>
      <c r="J222" s="216">
        <f>J$219*'Methanol recycling rates'!L71</f>
        <v>43.807790673634443</v>
      </c>
      <c r="K222" s="216">
        <f>K$219*'Methanol recycling rates'!M71</f>
        <v>51.01555361550146</v>
      </c>
      <c r="L222" s="216">
        <f>L$219*'Methanol recycling rates'!N71</f>
        <v>58.7215047550945</v>
      </c>
      <c r="M222" s="216">
        <f>M$219*'Methanol recycling rates'!O71</f>
        <v>66.930721914238617</v>
      </c>
      <c r="N222" s="216">
        <f>N$219*'Methanol recycling rates'!P71</f>
        <v>81.999691102214015</v>
      </c>
      <c r="O222" s="216">
        <f>O$219*'Methanol recycling rates'!Q71</f>
        <v>98.127934406659193</v>
      </c>
      <c r="P222" s="216">
        <f>P$219*'Methanol recycling rates'!R71</f>
        <v>115.32615431357472</v>
      </c>
      <c r="Q222" s="216">
        <f>Q$219*'Methanol recycling rates'!S71</f>
        <v>133.60505330896106</v>
      </c>
      <c r="R222" s="216">
        <f>R$219*'Methanol recycling rates'!T71</f>
        <v>152.97533387881879</v>
      </c>
      <c r="S222" s="216">
        <f>S$219*'Methanol recycling rates'!U71</f>
        <v>173.44769850914844</v>
      </c>
      <c r="T222" s="216">
        <f>T$219*'Methanol recycling rates'!V71</f>
        <v>195.03284968595057</v>
      </c>
      <c r="U222" s="216">
        <f>U$219*'Methanol recycling rates'!W71</f>
        <v>217.74148989522561</v>
      </c>
      <c r="V222" s="216">
        <f>V$219*'Methanol recycling rates'!X71</f>
        <v>241.58432162297422</v>
      </c>
      <c r="W222" s="216">
        <f>W$219*'Methanol recycling rates'!Y71</f>
        <v>266.57204735519684</v>
      </c>
      <c r="X222" s="216">
        <f>X$219*'Methanol recycling rates'!Z71</f>
        <v>304.45505643514707</v>
      </c>
      <c r="Y222" s="216">
        <f>Y$219*'Methanol recycling rates'!AA71</f>
        <v>344.25158965746931</v>
      </c>
      <c r="Z222" s="216">
        <f>Z$219*'Methanol recycling rates'!AB71</f>
        <v>385.97955425501675</v>
      </c>
      <c r="AA222" s="216">
        <f>AA$219*'Methanol recycling rates'!AC71</f>
        <v>429.65685746064298</v>
      </c>
      <c r="AB222" s="216">
        <f>AB$219*'Methanol recycling rates'!AD71</f>
        <v>475.30140650720142</v>
      </c>
      <c r="AC222" s="216">
        <f>AC$219*'Methanol recycling rates'!AE71</f>
        <v>522.93110862754543</v>
      </c>
      <c r="AD222" s="216">
        <f>AD$219*'Methanol recycling rates'!AF71</f>
        <v>572.56387105452848</v>
      </c>
      <c r="AE222" s="216">
        <f>AE$219*'Methanol recycling rates'!AG71</f>
        <v>624.21760102100416</v>
      </c>
      <c r="AF222" s="216">
        <f>AF$219*'Methanol recycling rates'!AH71</f>
        <v>677.910205759826</v>
      </c>
      <c r="AG222" s="216">
        <f>AG$219*'Methanol recycling rates'!AI71</f>
        <v>733.65959250384685</v>
      </c>
      <c r="AH222" s="230"/>
      <c r="AI222" s="126"/>
      <c r="AJ222" s="198"/>
      <c r="AL222" s="102"/>
      <c r="AM222" s="2"/>
      <c r="AN222" s="2"/>
      <c r="AO222" s="2"/>
      <c r="BC222" s="1"/>
      <c r="BD222" s="2"/>
      <c r="BE222" s="2"/>
      <c r="BF222" s="2"/>
      <c r="BG222" s="2"/>
      <c r="BH222" s="2"/>
      <c r="BI222" s="2"/>
      <c r="BJ222" s="2"/>
      <c r="BK222" s="2"/>
    </row>
    <row r="223" spans="1:63" s="1" customFormat="1" outlineLevel="1">
      <c r="A223" s="1" t="s">
        <v>1160</v>
      </c>
      <c r="B223" s="61"/>
      <c r="C223" s="279">
        <f>C219-$C219</f>
        <v>0</v>
      </c>
      <c r="D223" s="279">
        <f t="shared" ref="D223:AG223" si="180">D219-$C219</f>
        <v>10.47477828130495</v>
      </c>
      <c r="E223" s="279">
        <f t="shared" si="180"/>
        <v>22.126107720074259</v>
      </c>
      <c r="F223" s="279">
        <f t="shared" si="180"/>
        <v>34.953988316307921</v>
      </c>
      <c r="G223" s="279">
        <f t="shared" si="180"/>
        <v>48.958420070005943</v>
      </c>
      <c r="H223" s="279">
        <f t="shared" si="180"/>
        <v>64.139402981168317</v>
      </c>
      <c r="I223" s="279">
        <f t="shared" si="180"/>
        <v>80.496937049795051</v>
      </c>
      <c r="J223" s="279">
        <f t="shared" si="180"/>
        <v>98.031022275886144</v>
      </c>
      <c r="K223" s="279">
        <f t="shared" si="180"/>
        <v>116.7416586594416</v>
      </c>
      <c r="L223" s="279">
        <f t="shared" si="180"/>
        <v>136.6288462004614</v>
      </c>
      <c r="M223" s="279">
        <f t="shared" si="180"/>
        <v>157.69258489894554</v>
      </c>
      <c r="N223" s="279">
        <f t="shared" si="180"/>
        <v>196.62287687693163</v>
      </c>
      <c r="O223" s="279">
        <f t="shared" si="180"/>
        <v>238.03297667911187</v>
      </c>
      <c r="P223" s="279">
        <f t="shared" si="180"/>
        <v>281.92288430548621</v>
      </c>
      <c r="Q223" s="279">
        <f t="shared" si="180"/>
        <v>328.29259975605459</v>
      </c>
      <c r="R223" s="279">
        <f t="shared" si="180"/>
        <v>377.14212303081706</v>
      </c>
      <c r="S223" s="279">
        <f t="shared" si="180"/>
        <v>428.47145412977369</v>
      </c>
      <c r="T223" s="279">
        <f t="shared" si="180"/>
        <v>482.28059305292442</v>
      </c>
      <c r="U223" s="279">
        <f t="shared" si="180"/>
        <v>538.56953980026913</v>
      </c>
      <c r="V223" s="279">
        <f t="shared" si="180"/>
        <v>597.33829437180805</v>
      </c>
      <c r="W223" s="279">
        <f t="shared" si="180"/>
        <v>658.58685676754101</v>
      </c>
      <c r="X223" s="279">
        <f t="shared" si="180"/>
        <v>752.04063047629518</v>
      </c>
      <c r="Y223" s="279">
        <f t="shared" si="180"/>
        <v>849.64358000620393</v>
      </c>
      <c r="Z223" s="279">
        <f t="shared" si="180"/>
        <v>951.39570535726671</v>
      </c>
      <c r="AA223" s="279">
        <f t="shared" si="180"/>
        <v>1057.297006529484</v>
      </c>
      <c r="AB223" s="279">
        <f t="shared" si="180"/>
        <v>1167.3474835228556</v>
      </c>
      <c r="AC223" s="279">
        <f t="shared" si="180"/>
        <v>1281.5471363373813</v>
      </c>
      <c r="AD223" s="279">
        <f t="shared" si="180"/>
        <v>1399.8959649730612</v>
      </c>
      <c r="AE223" s="279">
        <f t="shared" si="180"/>
        <v>1522.3939694298956</v>
      </c>
      <c r="AF223" s="279">
        <f t="shared" si="180"/>
        <v>1649.0411497078846</v>
      </c>
      <c r="AG223" s="279">
        <f t="shared" si="180"/>
        <v>1779.8375058070271</v>
      </c>
      <c r="AH223" s="230"/>
      <c r="AI223" s="398"/>
      <c r="AJ223" s="399"/>
      <c r="AL223" s="207"/>
      <c r="AM223" s="118"/>
      <c r="AN223" s="118"/>
      <c r="AO223" s="118"/>
      <c r="BD223" s="118"/>
      <c r="BE223" s="118"/>
      <c r="BF223" s="118"/>
      <c r="BG223" s="118"/>
      <c r="BH223" s="118"/>
      <c r="BI223" s="118"/>
      <c r="BJ223" s="118"/>
      <c r="BK223" s="118"/>
    </row>
    <row r="224" spans="1:63" outlineLevel="1">
      <c r="A224" s="4" t="s">
        <v>35</v>
      </c>
      <c r="C224" s="216">
        <f>C220-$C220</f>
        <v>0</v>
      </c>
      <c r="D224" s="216">
        <f t="shared" ref="D224:AF224" si="181">D220-$C220</f>
        <v>7.4806875331784434E-5</v>
      </c>
      <c r="E224" s="216">
        <f t="shared" si="181"/>
        <v>2.0905232231790106E-4</v>
      </c>
      <c r="F224" s="216">
        <f t="shared" si="181"/>
        <v>4.1173950072377993E-4</v>
      </c>
      <c r="G224" s="216">
        <f t="shared" si="181"/>
        <v>6.9187157031485116E-4</v>
      </c>
      <c r="H224" s="216">
        <f t="shared" si="181"/>
        <v>1.0584516908565449E-3</v>
      </c>
      <c r="I224" s="216">
        <f t="shared" si="181"/>
        <v>1.5204830221142911E-3</v>
      </c>
      <c r="J224" s="216">
        <f t="shared" si="181"/>
        <v>2.0869687238535199E-3</v>
      </c>
      <c r="K224" s="216">
        <f t="shared" si="181"/>
        <v>2.7669119558396617E-3</v>
      </c>
      <c r="L224" s="216">
        <f t="shared" si="181"/>
        <v>3.5693158778381463E-3</v>
      </c>
      <c r="M224" s="216">
        <f t="shared" si="181"/>
        <v>4.5031836496144031E-3</v>
      </c>
      <c r="N224" s="216">
        <f t="shared" si="181"/>
        <v>6.0458052824389052E-3</v>
      </c>
      <c r="O224" s="216">
        <f t="shared" si="181"/>
        <v>7.862931071750413E-3</v>
      </c>
      <c r="P224" s="216">
        <f t="shared" si="181"/>
        <v>9.9735369081314518E-3</v>
      </c>
      <c r="Q224" s="216">
        <f t="shared" si="181"/>
        <v>1.239659868216454E-2</v>
      </c>
      <c r="R224" s="216">
        <f t="shared" si="181"/>
        <v>1.5151092284432201E-2</v>
      </c>
      <c r="S224" s="216">
        <f t="shared" si="181"/>
        <v>1.8255993605516958E-2</v>
      </c>
      <c r="T224" s="216">
        <f t="shared" si="181"/>
        <v>2.1730278536001332E-2</v>
      </c>
      <c r="U224" s="216">
        <f t="shared" si="181"/>
        <v>2.559292296646784E-2</v>
      </c>
      <c r="V224" s="216">
        <f t="shared" si="181"/>
        <v>2.9862902787499014E-2</v>
      </c>
      <c r="W224" s="216">
        <f t="shared" si="181"/>
        <v>3.4559193889677361E-2</v>
      </c>
      <c r="X224" s="216">
        <f t="shared" si="181"/>
        <v>4.1293017332890126E-2</v>
      </c>
      <c r="Y224" s="216">
        <f t="shared" si="181"/>
        <v>4.8736424244348042E-2</v>
      </c>
      <c r="Z224" s="216">
        <f t="shared" si="181"/>
        <v>5.6921164788568554E-2</v>
      </c>
      <c r="AA224" s="216">
        <f t="shared" si="181"/>
        <v>6.5878989130069163E-2</v>
      </c>
      <c r="AB224" s="216">
        <f t="shared" si="181"/>
        <v>7.5641647433367321E-2</v>
      </c>
      <c r="AC224" s="216">
        <f t="shared" si="181"/>
        <v>8.6240889862980494E-2</v>
      </c>
      <c r="AD224" s="216">
        <f t="shared" si="181"/>
        <v>9.7708466583426135E-2</v>
      </c>
      <c r="AE224" s="216">
        <f t="shared" si="181"/>
        <v>0.11007612775922175</v>
      </c>
      <c r="AF224" s="216">
        <f t="shared" si="181"/>
        <v>0.12337562355488481</v>
      </c>
      <c r="AG224" s="216">
        <f>AG220-$C220</f>
        <v>0.13763870413493279</v>
      </c>
      <c r="AH224" s="230"/>
      <c r="AI224" s="126"/>
      <c r="AJ224" s="198"/>
      <c r="AL224" s="102"/>
      <c r="AM224" s="2"/>
      <c r="AN224" s="2"/>
      <c r="AO224" s="2"/>
      <c r="BC224" s="1"/>
      <c r="BD224" s="2"/>
      <c r="BE224" s="2"/>
      <c r="BF224" s="2"/>
      <c r="BG224" s="2"/>
      <c r="BH224" s="2"/>
      <c r="BI224" s="2"/>
      <c r="BJ224" s="2"/>
      <c r="BK224" s="2"/>
    </row>
    <row r="225" spans="1:63" outlineLevel="1">
      <c r="A225" s="4" t="s">
        <v>160</v>
      </c>
      <c r="C225" s="216">
        <f t="shared" ref="C225:AG225" si="182">C221-$C221</f>
        <v>0</v>
      </c>
      <c r="D225" s="216">
        <f t="shared" si="182"/>
        <v>6.6120789055428197</v>
      </c>
      <c r="E225" s="216">
        <f t="shared" si="182"/>
        <v>13.938006085027808</v>
      </c>
      <c r="F225" s="216">
        <f t="shared" si="182"/>
        <v>21.972694713470123</v>
      </c>
      <c r="G225" s="216">
        <f t="shared" si="182"/>
        <v>30.711057965884937</v>
      </c>
      <c r="H225" s="216">
        <f t="shared" si="182"/>
        <v>40.148009017287407</v>
      </c>
      <c r="I225" s="216">
        <f t="shared" si="182"/>
        <v>50.278461042692712</v>
      </c>
      <c r="J225" s="216">
        <f t="shared" si="182"/>
        <v>61.097327217116003</v>
      </c>
      <c r="K225" s="216">
        <f t="shared" si="182"/>
        <v>72.599520715572439</v>
      </c>
      <c r="L225" s="216">
        <f t="shared" si="182"/>
        <v>84.779954713077217</v>
      </c>
      <c r="M225" s="216">
        <f t="shared" si="182"/>
        <v>97.633542384645423</v>
      </c>
      <c r="N225" s="216">
        <f t="shared" si="182"/>
        <v>121.4933225530233</v>
      </c>
      <c r="O225" s="216">
        <f t="shared" si="182"/>
        <v>146.77336192496898</v>
      </c>
      <c r="P225" s="216">
        <f t="shared" si="182"/>
        <v>173.4629390385914</v>
      </c>
      <c r="Q225" s="216">
        <f t="shared" si="182"/>
        <v>201.55133243199938</v>
      </c>
      <c r="R225" s="216">
        <f t="shared" si="182"/>
        <v>231.02782064330185</v>
      </c>
      <c r="S225" s="216">
        <f t="shared" si="182"/>
        <v>261.88168221060772</v>
      </c>
      <c r="T225" s="216">
        <f t="shared" si="182"/>
        <v>294.1021956720258</v>
      </c>
      <c r="U225" s="216">
        <f t="shared" si="182"/>
        <v>327.67863956566504</v>
      </c>
      <c r="V225" s="216">
        <f t="shared" si="182"/>
        <v>362.60029242963429</v>
      </c>
      <c r="W225" s="216">
        <f t="shared" si="182"/>
        <v>398.85643280204238</v>
      </c>
      <c r="X225" s="216">
        <f t="shared" si="182"/>
        <v>454.42046360740301</v>
      </c>
      <c r="Y225" s="216">
        <f t="shared" si="182"/>
        <v>512.21943650807793</v>
      </c>
      <c r="Z225" s="216">
        <f t="shared" si="182"/>
        <v>572.23541252104894</v>
      </c>
      <c r="AA225" s="216">
        <f t="shared" si="182"/>
        <v>634.45045266329839</v>
      </c>
      <c r="AB225" s="216">
        <f t="shared" si="182"/>
        <v>698.84661795180818</v>
      </c>
      <c r="AC225" s="216">
        <f t="shared" si="182"/>
        <v>765.40596940356011</v>
      </c>
      <c r="AD225" s="216">
        <f t="shared" si="182"/>
        <v>834.1105680355364</v>
      </c>
      <c r="AE225" s="216">
        <f t="shared" si="182"/>
        <v>904.94247486471932</v>
      </c>
      <c r="AF225" s="216">
        <f t="shared" si="182"/>
        <v>977.88375090809075</v>
      </c>
      <c r="AG225" s="216">
        <f t="shared" si="182"/>
        <v>1052.9164571826336</v>
      </c>
      <c r="AH225" s="230"/>
      <c r="AI225" s="126"/>
      <c r="AJ225" s="198"/>
      <c r="AL225" s="102"/>
      <c r="AM225" s="2"/>
      <c r="AN225" s="2"/>
      <c r="AO225" s="2"/>
      <c r="BC225" s="1"/>
      <c r="BD225" s="2"/>
      <c r="BE225" s="2"/>
      <c r="BF225" s="2"/>
      <c r="BG225" s="2"/>
      <c r="BH225" s="2"/>
      <c r="BI225" s="2"/>
      <c r="BJ225" s="2"/>
      <c r="BK225" s="2"/>
    </row>
    <row r="226" spans="1:63" outlineLevel="1">
      <c r="A226" s="4" t="s">
        <v>1159</v>
      </c>
      <c r="C226" s="216">
        <f t="shared" ref="C226:AG226" si="183">C222-$C222</f>
        <v>0</v>
      </c>
      <c r="D226" s="216">
        <f t="shared" si="183"/>
        <v>3.8626245688867975</v>
      </c>
      <c r="E226" s="216">
        <f t="shared" si="183"/>
        <v>8.1878925827241318</v>
      </c>
      <c r="F226" s="216">
        <f t="shared" si="183"/>
        <v>12.980881863337073</v>
      </c>
      <c r="G226" s="216">
        <f t="shared" si="183"/>
        <v>18.246670232550684</v>
      </c>
      <c r="H226" s="216">
        <f t="shared" si="183"/>
        <v>23.99033551219005</v>
      </c>
      <c r="I226" s="216">
        <f t="shared" si="183"/>
        <v>30.21695552408022</v>
      </c>
      <c r="J226" s="216">
        <f t="shared" si="183"/>
        <v>36.931608090046282</v>
      </c>
      <c r="K226" s="216">
        <f t="shared" si="183"/>
        <v>44.139371031913299</v>
      </c>
      <c r="L226" s="216">
        <f t="shared" si="183"/>
        <v>51.845322171506339</v>
      </c>
      <c r="M226" s="216">
        <f t="shared" si="183"/>
        <v>60.054539330650456</v>
      </c>
      <c r="N226" s="216">
        <f t="shared" si="183"/>
        <v>75.123508518625854</v>
      </c>
      <c r="O226" s="216">
        <f t="shared" si="183"/>
        <v>91.251751823071032</v>
      </c>
      <c r="P226" s="216">
        <f t="shared" si="183"/>
        <v>108.44997172998656</v>
      </c>
      <c r="Q226" s="216">
        <f t="shared" si="183"/>
        <v>126.7288707253729</v>
      </c>
      <c r="R226" s="216">
        <f t="shared" si="183"/>
        <v>146.09915129523063</v>
      </c>
      <c r="S226" s="216">
        <f t="shared" si="183"/>
        <v>166.57151592556028</v>
      </c>
      <c r="T226" s="216">
        <f t="shared" si="183"/>
        <v>188.15666710236241</v>
      </c>
      <c r="U226" s="216">
        <f t="shared" si="183"/>
        <v>210.86530731163745</v>
      </c>
      <c r="V226" s="216">
        <f t="shared" si="183"/>
        <v>234.70813903938605</v>
      </c>
      <c r="W226" s="216">
        <f t="shared" si="183"/>
        <v>259.69586477160868</v>
      </c>
      <c r="X226" s="216">
        <f t="shared" si="183"/>
        <v>297.57887385155891</v>
      </c>
      <c r="Y226" s="216">
        <f t="shared" si="183"/>
        <v>337.37540707388115</v>
      </c>
      <c r="Z226" s="216">
        <f t="shared" si="183"/>
        <v>379.10337167142859</v>
      </c>
      <c r="AA226" s="216">
        <f t="shared" si="183"/>
        <v>422.78067487705482</v>
      </c>
      <c r="AB226" s="216">
        <f t="shared" si="183"/>
        <v>468.42522392361326</v>
      </c>
      <c r="AC226" s="216">
        <f t="shared" si="183"/>
        <v>516.05492604395727</v>
      </c>
      <c r="AD226" s="216">
        <f t="shared" si="183"/>
        <v>565.68768847094032</v>
      </c>
      <c r="AE226" s="216">
        <f t="shared" si="183"/>
        <v>617.341418437416</v>
      </c>
      <c r="AF226" s="216">
        <f t="shared" si="183"/>
        <v>671.03402317623784</v>
      </c>
      <c r="AG226" s="216">
        <f t="shared" si="183"/>
        <v>726.78340992025869</v>
      </c>
      <c r="AH226" s="230"/>
      <c r="AI226" s="126"/>
      <c r="AJ226" s="198"/>
      <c r="AL226" s="102"/>
      <c r="AM226" s="2"/>
      <c r="AN226" s="2"/>
      <c r="AO226" s="2"/>
      <c r="BC226" s="1"/>
      <c r="BD226" s="2"/>
      <c r="BE226" s="2"/>
      <c r="BF226" s="2"/>
      <c r="BG226" s="2"/>
      <c r="BH226" s="2"/>
      <c r="BI226" s="2"/>
      <c r="BJ226" s="2"/>
      <c r="BK226" s="2"/>
    </row>
    <row r="227" spans="1:63" outlineLevel="1">
      <c r="AJ227" s="198"/>
    </row>
    <row r="228" spans="1:63" s="187" customFormat="1" ht="15.5" thickBot="1">
      <c r="A228" s="187" t="s">
        <v>463</v>
      </c>
      <c r="B228" s="202"/>
      <c r="C228" s="210">
        <f>C229</f>
        <v>0.05</v>
      </c>
      <c r="D228" s="210">
        <f t="shared" ref="D228:AG228" si="184">D229</f>
        <v>5.2260994000770548E-2</v>
      </c>
      <c r="E228" s="210">
        <f t="shared" si="184"/>
        <v>5.4521988001541094E-2</v>
      </c>
      <c r="F228" s="210">
        <f t="shared" si="184"/>
        <v>5.6782982002311633E-2</v>
      </c>
      <c r="G228" s="210">
        <f t="shared" si="184"/>
        <v>5.9043976003082178E-2</v>
      </c>
      <c r="H228" s="210">
        <f t="shared" si="184"/>
        <v>6.1304970003852724E-2</v>
      </c>
      <c r="I228" s="210">
        <f t="shared" si="184"/>
        <v>6.3565964004623277E-2</v>
      </c>
      <c r="J228" s="210">
        <f t="shared" si="184"/>
        <v>6.5826958005393815E-2</v>
      </c>
      <c r="K228" s="210">
        <f t="shared" si="184"/>
        <v>6.8087952006164354E-2</v>
      </c>
      <c r="L228" s="210">
        <f t="shared" si="184"/>
        <v>7.0348946006934907E-2</v>
      </c>
      <c r="M228" s="210">
        <f t="shared" si="184"/>
        <v>7.2609940007705445E-2</v>
      </c>
      <c r="N228" s="210">
        <f t="shared" si="184"/>
        <v>7.7375419670867973E-2</v>
      </c>
      <c r="O228" s="210">
        <f t="shared" si="184"/>
        <v>8.2140899334030501E-2</v>
      </c>
      <c r="P228" s="210">
        <f t="shared" si="184"/>
        <v>8.6906378997193029E-2</v>
      </c>
      <c r="Q228" s="210">
        <f t="shared" si="184"/>
        <v>9.1671858660355557E-2</v>
      </c>
      <c r="R228" s="210">
        <f t="shared" si="184"/>
        <v>9.6437338323518085E-2</v>
      </c>
      <c r="S228" s="210">
        <f t="shared" si="184"/>
        <v>0.10120281798668061</v>
      </c>
      <c r="T228" s="210">
        <f t="shared" si="184"/>
        <v>0.10596829764984314</v>
      </c>
      <c r="U228" s="210">
        <f t="shared" si="184"/>
        <v>0.11073377731300567</v>
      </c>
      <c r="V228" s="210">
        <f t="shared" si="184"/>
        <v>0.1154992569761682</v>
      </c>
      <c r="W228" s="210">
        <f t="shared" si="184"/>
        <v>0.12026473663933072</v>
      </c>
      <c r="X228" s="210">
        <f t="shared" si="184"/>
        <v>0.12823826297539764</v>
      </c>
      <c r="Y228" s="210">
        <f t="shared" si="184"/>
        <v>0.13621178931146458</v>
      </c>
      <c r="Z228" s="210">
        <f t="shared" si="184"/>
        <v>0.14418531564753151</v>
      </c>
      <c r="AA228" s="210">
        <f t="shared" si="184"/>
        <v>0.15215884198359844</v>
      </c>
      <c r="AB228" s="210">
        <f t="shared" si="184"/>
        <v>0.16013236831966537</v>
      </c>
      <c r="AC228" s="210">
        <f t="shared" si="184"/>
        <v>0.16810589465573231</v>
      </c>
      <c r="AD228" s="210">
        <f t="shared" si="184"/>
        <v>0.17607942099179924</v>
      </c>
      <c r="AE228" s="210">
        <f t="shared" si="184"/>
        <v>0.18405294732786615</v>
      </c>
      <c r="AF228" s="210">
        <f t="shared" si="184"/>
        <v>0.19202647366393311</v>
      </c>
      <c r="AG228" s="210">
        <f t="shared" si="184"/>
        <v>0.2</v>
      </c>
      <c r="AJ228" s="217" t="s">
        <v>472</v>
      </c>
      <c r="AL228" s="204"/>
      <c r="AM228" s="211"/>
      <c r="AN228" s="211"/>
      <c r="AO228" s="211"/>
    </row>
    <row r="229" spans="1:63" ht="15.5" outlineLevel="2" thickTop="1">
      <c r="A229" t="s">
        <v>464</v>
      </c>
      <c r="B229" s="51" t="s">
        <v>126</v>
      </c>
      <c r="C229" s="107">
        <v>0.05</v>
      </c>
      <c r="D229" s="104">
        <f>$C229+($M229-$C229)/10*(D$1-$C$1)</f>
        <v>5.2260994000770548E-2</v>
      </c>
      <c r="E229" s="104">
        <f t="shared" ref="E229:L229" si="185">$C229+($M229-$C229)/10*(E$1-$C$1)</f>
        <v>5.4521988001541094E-2</v>
      </c>
      <c r="F229" s="104">
        <f t="shared" si="185"/>
        <v>5.6782982002311633E-2</v>
      </c>
      <c r="G229" s="104">
        <f t="shared" si="185"/>
        <v>5.9043976003082178E-2</v>
      </c>
      <c r="H229" s="104">
        <f t="shared" si="185"/>
        <v>6.1304970003852724E-2</v>
      </c>
      <c r="I229" s="104">
        <f t="shared" si="185"/>
        <v>6.3565964004623277E-2</v>
      </c>
      <c r="J229" s="104">
        <f t="shared" si="185"/>
        <v>6.5826958005393815E-2</v>
      </c>
      <c r="K229" s="104">
        <f t="shared" si="185"/>
        <v>6.8087952006164354E-2</v>
      </c>
      <c r="L229" s="104">
        <f t="shared" si="185"/>
        <v>7.0348946006934907E-2</v>
      </c>
      <c r="M229" s="115">
        <f>(M$49-$C$49)/($AG$49-$C$49)*($AG229-$C229)+$C229</f>
        <v>7.2609940007705445E-2</v>
      </c>
      <c r="N229" s="115">
        <f>$M229+($W229-$M229)/10*(N$1-$M$1)</f>
        <v>7.7375419670867973E-2</v>
      </c>
      <c r="O229" s="115">
        <f t="shared" ref="O229:U229" si="186">$M229+($W229-$M229)/10*(O$1-$M$1)</f>
        <v>8.2140899334030501E-2</v>
      </c>
      <c r="P229" s="115">
        <f t="shared" si="186"/>
        <v>8.6906378997193029E-2</v>
      </c>
      <c r="Q229" s="115">
        <f t="shared" si="186"/>
        <v>9.1671858660355557E-2</v>
      </c>
      <c r="R229" s="115">
        <f t="shared" si="186"/>
        <v>9.6437338323518085E-2</v>
      </c>
      <c r="S229" s="115">
        <f t="shared" si="186"/>
        <v>0.10120281798668061</v>
      </c>
      <c r="T229" s="115">
        <f t="shared" si="186"/>
        <v>0.10596829764984314</v>
      </c>
      <c r="U229" s="115">
        <f t="shared" si="186"/>
        <v>0.11073377731300567</v>
      </c>
      <c r="V229" s="115">
        <f>$M229+($W229-$M229)/10*(V$1-$M$1)</f>
        <v>0.1154992569761682</v>
      </c>
      <c r="W229" s="115">
        <f>(W$49-$C$49)/($AG$49-$C$49)*($AG229-$C229)+$C229</f>
        <v>0.12026473663933072</v>
      </c>
      <c r="X229" s="22">
        <f t="shared" ref="X229:AF229" si="187">$W229+($AG229-$W229)/10*(X$1-$W$1)</f>
        <v>0.12823826297539764</v>
      </c>
      <c r="Y229" s="22">
        <f t="shared" si="187"/>
        <v>0.13621178931146458</v>
      </c>
      <c r="Z229" s="22">
        <f t="shared" si="187"/>
        <v>0.14418531564753151</v>
      </c>
      <c r="AA229" s="22">
        <f t="shared" si="187"/>
        <v>0.15215884198359844</v>
      </c>
      <c r="AB229" s="22">
        <f t="shared" si="187"/>
        <v>0.16013236831966537</v>
      </c>
      <c r="AC229" s="22">
        <f t="shared" si="187"/>
        <v>0.16810589465573231</v>
      </c>
      <c r="AD229" s="22">
        <f t="shared" si="187"/>
        <v>0.17607942099179924</v>
      </c>
      <c r="AE229" s="22">
        <f t="shared" si="187"/>
        <v>0.18405294732786615</v>
      </c>
      <c r="AF229" s="22">
        <f t="shared" si="187"/>
        <v>0.19202647366393311</v>
      </c>
      <c r="AG229" s="201">
        <v>0.2</v>
      </c>
      <c r="AJ229" s="198" t="s">
        <v>465</v>
      </c>
    </row>
    <row r="230" spans="1:63" outlineLevel="2">
      <c r="C230" s="107"/>
      <c r="D230" s="104"/>
      <c r="E230" s="104"/>
      <c r="F230" s="104"/>
      <c r="G230" s="104"/>
      <c r="H230" s="104"/>
      <c r="I230" s="104"/>
      <c r="J230" s="104"/>
      <c r="K230" s="104"/>
      <c r="L230" s="104"/>
      <c r="M230" s="115"/>
      <c r="N230" s="115"/>
      <c r="O230" s="115"/>
      <c r="P230" s="115"/>
      <c r="Q230" s="115"/>
      <c r="R230" s="115"/>
      <c r="S230" s="115"/>
      <c r="T230" s="115"/>
      <c r="U230" s="115"/>
      <c r="V230" s="115"/>
      <c r="W230" s="115"/>
      <c r="X230" s="22"/>
      <c r="Y230" s="22"/>
      <c r="Z230" s="22"/>
      <c r="AA230" s="22"/>
      <c r="AB230" s="22"/>
      <c r="AC230" s="22"/>
      <c r="AD230" s="22"/>
      <c r="AE230" s="22"/>
      <c r="AF230" s="22"/>
      <c r="AG230" s="100"/>
      <c r="AJ230" s="198"/>
    </row>
    <row r="231" spans="1:63" outlineLevel="1">
      <c r="A231" t="s">
        <v>1080</v>
      </c>
      <c r="C231" s="477">
        <f>'Overall recycling rates'!E88</f>
        <v>1.0000000000000002</v>
      </c>
      <c r="D231" s="477">
        <f>C231-($C231-$AG231)/($AG$1-$C$1)</f>
        <v>1.0000000000000002</v>
      </c>
      <c r="E231" s="477">
        <f t="shared" ref="E231:AF231" si="188">D231-($C231-$AG231)/($AG$1-$C$1)</f>
        <v>1.0000000000000002</v>
      </c>
      <c r="F231" s="477">
        <f t="shared" si="188"/>
        <v>1.0000000000000002</v>
      </c>
      <c r="G231" s="477">
        <f t="shared" si="188"/>
        <v>1.0000000000000002</v>
      </c>
      <c r="H231" s="477">
        <f t="shared" si="188"/>
        <v>1.0000000000000002</v>
      </c>
      <c r="I231" s="477">
        <f t="shared" si="188"/>
        <v>1.0000000000000002</v>
      </c>
      <c r="J231" s="477">
        <f t="shared" si="188"/>
        <v>1.0000000000000002</v>
      </c>
      <c r="K231" s="477">
        <f t="shared" si="188"/>
        <v>1.0000000000000002</v>
      </c>
      <c r="L231" s="477">
        <f t="shared" si="188"/>
        <v>1.0000000000000002</v>
      </c>
      <c r="M231" s="477">
        <f t="shared" si="188"/>
        <v>1.0000000000000002</v>
      </c>
      <c r="N231" s="477">
        <f t="shared" si="188"/>
        <v>1.0000000000000002</v>
      </c>
      <c r="O231" s="477">
        <f t="shared" si="188"/>
        <v>1.0000000000000002</v>
      </c>
      <c r="P231" s="477">
        <f t="shared" si="188"/>
        <v>1.0000000000000002</v>
      </c>
      <c r="Q231" s="477">
        <f t="shared" si="188"/>
        <v>1.0000000000000002</v>
      </c>
      <c r="R231" s="477">
        <f t="shared" si="188"/>
        <v>1.0000000000000002</v>
      </c>
      <c r="S231" s="477">
        <f t="shared" si="188"/>
        <v>1.0000000000000002</v>
      </c>
      <c r="T231" s="477">
        <f t="shared" si="188"/>
        <v>1.0000000000000002</v>
      </c>
      <c r="U231" s="477">
        <f t="shared" si="188"/>
        <v>1.0000000000000002</v>
      </c>
      <c r="V231" s="477">
        <f t="shared" si="188"/>
        <v>1.0000000000000002</v>
      </c>
      <c r="W231" s="477">
        <f t="shared" si="188"/>
        <v>1.0000000000000002</v>
      </c>
      <c r="X231" s="477">
        <f t="shared" si="188"/>
        <v>1.0000000000000002</v>
      </c>
      <c r="Y231" s="477">
        <f t="shared" si="188"/>
        <v>1.0000000000000002</v>
      </c>
      <c r="Z231" s="477">
        <f t="shared" si="188"/>
        <v>1.0000000000000002</v>
      </c>
      <c r="AA231" s="477">
        <f t="shared" si="188"/>
        <v>1.0000000000000002</v>
      </c>
      <c r="AB231" s="477">
        <f t="shared" si="188"/>
        <v>1.0000000000000002</v>
      </c>
      <c r="AC231" s="477">
        <f t="shared" si="188"/>
        <v>1.0000000000000002</v>
      </c>
      <c r="AD231" s="477">
        <f t="shared" si="188"/>
        <v>1.0000000000000002</v>
      </c>
      <c r="AE231" s="477">
        <f t="shared" si="188"/>
        <v>1.0000000000000002</v>
      </c>
      <c r="AF231" s="477">
        <f t="shared" si="188"/>
        <v>1.0000000000000002</v>
      </c>
      <c r="AG231" s="477">
        <f>'Overall recycling rates'!E97</f>
        <v>1</v>
      </c>
      <c r="AI231" s="126"/>
      <c r="AJ231" s="198" t="s">
        <v>1088</v>
      </c>
      <c r="AL231" s="102"/>
      <c r="AM231" s="194"/>
      <c r="AN231" s="194"/>
      <c r="AO231" s="194"/>
      <c r="BC231" s="1"/>
      <c r="BD231" s="194"/>
      <c r="BE231" s="194"/>
      <c r="BF231" s="194"/>
      <c r="BG231" s="194"/>
      <c r="BH231" s="194"/>
      <c r="BI231" s="194"/>
      <c r="BJ231" s="194"/>
      <c r="BK231" s="194"/>
    </row>
    <row r="232" spans="1:63" outlineLevel="1">
      <c r="A232" t="s">
        <v>1089</v>
      </c>
      <c r="B232" s="51" t="s">
        <v>126</v>
      </c>
      <c r="C232" s="104">
        <f>C229*C231</f>
        <v>5.0000000000000017E-2</v>
      </c>
      <c r="D232" s="104">
        <f t="shared" ref="D232:AG232" si="189">D229*D231</f>
        <v>5.2260994000770562E-2</v>
      </c>
      <c r="E232" s="104">
        <f t="shared" si="189"/>
        <v>5.4521988001541108E-2</v>
      </c>
      <c r="F232" s="104">
        <f t="shared" si="189"/>
        <v>5.6782982002311647E-2</v>
      </c>
      <c r="G232" s="104">
        <f t="shared" si="189"/>
        <v>5.9043976003082192E-2</v>
      </c>
      <c r="H232" s="104">
        <f t="shared" si="189"/>
        <v>6.1304970003852738E-2</v>
      </c>
      <c r="I232" s="104">
        <f t="shared" si="189"/>
        <v>6.356596400462329E-2</v>
      </c>
      <c r="J232" s="104">
        <f t="shared" si="189"/>
        <v>6.5826958005393829E-2</v>
      </c>
      <c r="K232" s="104">
        <f t="shared" si="189"/>
        <v>6.8087952006164368E-2</v>
      </c>
      <c r="L232" s="104">
        <f t="shared" si="189"/>
        <v>7.034894600693492E-2</v>
      </c>
      <c r="M232" s="104">
        <f t="shared" si="189"/>
        <v>7.2609940007705459E-2</v>
      </c>
      <c r="N232" s="104">
        <f t="shared" si="189"/>
        <v>7.7375419670867987E-2</v>
      </c>
      <c r="O232" s="104">
        <f t="shared" si="189"/>
        <v>8.2140899334030515E-2</v>
      </c>
      <c r="P232" s="104">
        <f t="shared" si="189"/>
        <v>8.6906378997193043E-2</v>
      </c>
      <c r="Q232" s="104">
        <f t="shared" si="189"/>
        <v>9.1671858660355571E-2</v>
      </c>
      <c r="R232" s="104">
        <f t="shared" si="189"/>
        <v>9.6437338323518113E-2</v>
      </c>
      <c r="S232" s="104">
        <f t="shared" si="189"/>
        <v>0.10120281798668064</v>
      </c>
      <c r="T232" s="104">
        <f t="shared" si="189"/>
        <v>0.10596829764984317</v>
      </c>
      <c r="U232" s="104">
        <f t="shared" si="189"/>
        <v>0.1107337773130057</v>
      </c>
      <c r="V232" s="104">
        <f t="shared" si="189"/>
        <v>0.11549925697616822</v>
      </c>
      <c r="W232" s="104">
        <f t="shared" si="189"/>
        <v>0.12026473663933075</v>
      </c>
      <c r="X232" s="104">
        <f t="shared" si="189"/>
        <v>0.12823826297539767</v>
      </c>
      <c r="Y232" s="104">
        <f t="shared" si="189"/>
        <v>0.1362117893114646</v>
      </c>
      <c r="Z232" s="104">
        <f t="shared" si="189"/>
        <v>0.14418531564753154</v>
      </c>
      <c r="AA232" s="104">
        <f t="shared" si="189"/>
        <v>0.15215884198359847</v>
      </c>
      <c r="AB232" s="104">
        <f t="shared" si="189"/>
        <v>0.1601323683196654</v>
      </c>
      <c r="AC232" s="104">
        <f t="shared" si="189"/>
        <v>0.16810589465573234</v>
      </c>
      <c r="AD232" s="104">
        <f t="shared" si="189"/>
        <v>0.17607942099179927</v>
      </c>
      <c r="AE232" s="104">
        <f t="shared" si="189"/>
        <v>0.18405294732786617</v>
      </c>
      <c r="AF232" s="104">
        <f t="shared" si="189"/>
        <v>0.19202647366393316</v>
      </c>
      <c r="AG232" s="104">
        <f t="shared" si="189"/>
        <v>0.2</v>
      </c>
      <c r="AJ232" s="198" t="s">
        <v>462</v>
      </c>
    </row>
    <row r="233" spans="1:63" outlineLevel="1">
      <c r="C233" s="104"/>
      <c r="D233" s="104"/>
      <c r="E233" s="104"/>
      <c r="F233" s="104"/>
      <c r="G233" s="104"/>
      <c r="H233" s="104"/>
      <c r="I233" s="104"/>
      <c r="J233" s="104"/>
      <c r="K233" s="104"/>
      <c r="L233" s="104"/>
      <c r="M233" s="104"/>
      <c r="N233" s="104"/>
      <c r="O233" s="104"/>
      <c r="P233" s="104"/>
      <c r="Q233" s="104"/>
      <c r="R233" s="104"/>
      <c r="S233" s="104"/>
      <c r="T233" s="104"/>
      <c r="U233" s="104"/>
      <c r="V233" s="104"/>
      <c r="W233" s="104"/>
      <c r="X233" s="104"/>
      <c r="Y233" s="104"/>
      <c r="Z233" s="104"/>
      <c r="AA233" s="104"/>
      <c r="AB233" s="104"/>
      <c r="AC233" s="104"/>
      <c r="AD233" s="104"/>
      <c r="AE233" s="104"/>
      <c r="AF233" s="104"/>
      <c r="AG233" s="104"/>
      <c r="AJ233" s="198"/>
    </row>
    <row r="234" spans="1:63" s="1" customFormat="1" outlineLevel="1">
      <c r="A234" s="1" t="s">
        <v>261</v>
      </c>
      <c r="B234" s="61"/>
      <c r="C234" s="279">
        <f>C232*C43</f>
        <v>4763.7994959144389</v>
      </c>
      <c r="D234" s="279">
        <f t="shared" ref="D234:AG234" si="190">D232*D43</f>
        <v>4979.2179375371643</v>
      </c>
      <c r="E234" s="279">
        <f t="shared" si="190"/>
        <v>5194.6363791598906</v>
      </c>
      <c r="F234" s="279">
        <f t="shared" si="190"/>
        <v>5410.0548207826159</v>
      </c>
      <c r="G234" s="279">
        <f t="shared" si="190"/>
        <v>5625.4732624053413</v>
      </c>
      <c r="H234" s="279">
        <f t="shared" si="190"/>
        <v>5840.8917040280676</v>
      </c>
      <c r="I234" s="279">
        <f t="shared" si="190"/>
        <v>6016.3384986894998</v>
      </c>
      <c r="J234" s="279">
        <f t="shared" si="190"/>
        <v>6188.9417699215082</v>
      </c>
      <c r="K234" s="279">
        <f t="shared" si="190"/>
        <v>6358.7015177240992</v>
      </c>
      <c r="L234" s="279">
        <f t="shared" si="190"/>
        <v>6525.6177420972708</v>
      </c>
      <c r="M234" s="279">
        <f t="shared" si="190"/>
        <v>6689.6904430410186</v>
      </c>
      <c r="N234" s="279">
        <f t="shared" si="190"/>
        <v>7080.0877241873741</v>
      </c>
      <c r="O234" s="279">
        <f t="shared" si="190"/>
        <v>7464.491732874797</v>
      </c>
      <c r="P234" s="279">
        <f t="shared" si="190"/>
        <v>7842.9024691032882</v>
      </c>
      <c r="Q234" s="279">
        <f t="shared" si="190"/>
        <v>8215.3199328728479</v>
      </c>
      <c r="R234" s="279">
        <f t="shared" si="190"/>
        <v>8581.7441241834767</v>
      </c>
      <c r="S234" s="279">
        <f t="shared" si="190"/>
        <v>8942.1750430351749</v>
      </c>
      <c r="T234" s="279">
        <f t="shared" si="190"/>
        <v>9296.6126894279405</v>
      </c>
      <c r="U234" s="279">
        <f t="shared" si="190"/>
        <v>9645.0570633617754</v>
      </c>
      <c r="V234" s="279">
        <f t="shared" si="190"/>
        <v>9987.5081648366759</v>
      </c>
      <c r="W234" s="279">
        <f t="shared" si="190"/>
        <v>10323.965993852649</v>
      </c>
      <c r="X234" s="279">
        <f t="shared" si="190"/>
        <v>10927.803751622421</v>
      </c>
      <c r="Y234" s="279">
        <f t="shared" si="190"/>
        <v>11521.613659276722</v>
      </c>
      <c r="Z234" s="279">
        <f t="shared" si="190"/>
        <v>12105.395716815554</v>
      </c>
      <c r="AA234" s="279">
        <f t="shared" si="190"/>
        <v>12679.149924238916</v>
      </c>
      <c r="AB234" s="279">
        <f t="shared" si="190"/>
        <v>13242.876281546811</v>
      </c>
      <c r="AC234" s="279">
        <f t="shared" si="190"/>
        <v>13793.371497634347</v>
      </c>
      <c r="AD234" s="279">
        <f t="shared" si="190"/>
        <v>14333.534989360494</v>
      </c>
      <c r="AE234" s="279">
        <f t="shared" si="190"/>
        <v>14863.366756725243</v>
      </c>
      <c r="AF234" s="279">
        <f t="shared" si="190"/>
        <v>15382.866799728605</v>
      </c>
      <c r="AG234" s="279">
        <f t="shared" si="190"/>
        <v>15892.035118370562</v>
      </c>
      <c r="AH234" s="230"/>
      <c r="AI234" s="398"/>
      <c r="AJ234" s="399"/>
      <c r="AL234" s="207"/>
      <c r="AM234" s="118"/>
      <c r="AN234" s="118"/>
      <c r="AO234" s="118"/>
      <c r="BD234" s="118"/>
      <c r="BE234" s="118"/>
      <c r="BF234" s="118"/>
      <c r="BG234" s="118"/>
      <c r="BH234" s="118"/>
      <c r="BI234" s="118"/>
      <c r="BJ234" s="118"/>
      <c r="BK234" s="118"/>
    </row>
    <row r="235" spans="1:63" outlineLevel="1">
      <c r="A235" s="4" t="s">
        <v>35</v>
      </c>
      <c r="C235" s="216">
        <f>C$234*'Methanol recycling rates'!E72</f>
        <v>0</v>
      </c>
      <c r="D235" s="216">
        <f>D$234*'Methanol recycling rates'!F72</f>
        <v>0</v>
      </c>
      <c r="E235" s="216">
        <f>E$234*'Methanol recycling rates'!G72</f>
        <v>0</v>
      </c>
      <c r="F235" s="216">
        <f>F$234*'Methanol recycling rates'!H72</f>
        <v>0</v>
      </c>
      <c r="G235" s="216">
        <f>G$234*'Methanol recycling rates'!I72</f>
        <v>0</v>
      </c>
      <c r="H235" s="216">
        <f>H$234*'Methanol recycling rates'!J72</f>
        <v>0</v>
      </c>
      <c r="I235" s="216">
        <f>I$234*'Methanol recycling rates'!K72</f>
        <v>0</v>
      </c>
      <c r="J235" s="216">
        <f>J$234*'Methanol recycling rates'!L72</f>
        <v>0</v>
      </c>
      <c r="K235" s="216">
        <f>K$234*'Methanol recycling rates'!M72</f>
        <v>0</v>
      </c>
      <c r="L235" s="216">
        <f>L$234*'Methanol recycling rates'!N72</f>
        <v>0</v>
      </c>
      <c r="M235" s="216">
        <f>M$234*'Methanol recycling rates'!O72</f>
        <v>0</v>
      </c>
      <c r="N235" s="216">
        <f>N$234*'Methanol recycling rates'!P72</f>
        <v>0</v>
      </c>
      <c r="O235" s="216">
        <f>O$234*'Methanol recycling rates'!Q72</f>
        <v>0</v>
      </c>
      <c r="P235" s="216">
        <f>P$234*'Methanol recycling rates'!R72</f>
        <v>0</v>
      </c>
      <c r="Q235" s="216">
        <f>Q$234*'Methanol recycling rates'!S72</f>
        <v>0</v>
      </c>
      <c r="R235" s="216">
        <f>R$234*'Methanol recycling rates'!T72</f>
        <v>0</v>
      </c>
      <c r="S235" s="216">
        <f>S$234*'Methanol recycling rates'!U72</f>
        <v>0</v>
      </c>
      <c r="T235" s="216">
        <f>T$234*'Methanol recycling rates'!V72</f>
        <v>0</v>
      </c>
      <c r="U235" s="216">
        <f>U$234*'Methanol recycling rates'!W72</f>
        <v>0</v>
      </c>
      <c r="V235" s="216">
        <f>V$234*'Methanol recycling rates'!X72</f>
        <v>0</v>
      </c>
      <c r="W235" s="216">
        <f>W$234*'Methanol recycling rates'!Y72</f>
        <v>0</v>
      </c>
      <c r="X235" s="216">
        <f>X$234*'Methanol recycling rates'!Z72</f>
        <v>0</v>
      </c>
      <c r="Y235" s="216">
        <f>Y$234*'Methanol recycling rates'!AA72</f>
        <v>0</v>
      </c>
      <c r="Z235" s="216">
        <f>Z$234*'Methanol recycling rates'!AB72</f>
        <v>0</v>
      </c>
      <c r="AA235" s="216">
        <f>AA$234*'Methanol recycling rates'!AC72</f>
        <v>0</v>
      </c>
      <c r="AB235" s="216">
        <f>AB$234*'Methanol recycling rates'!AD72</f>
        <v>0</v>
      </c>
      <c r="AC235" s="216">
        <f>AC$234*'Methanol recycling rates'!AE72</f>
        <v>0</v>
      </c>
      <c r="AD235" s="216">
        <f>AD$234*'Methanol recycling rates'!AF72</f>
        <v>0</v>
      </c>
      <c r="AE235" s="216">
        <f>AE$234*'Methanol recycling rates'!AG72</f>
        <v>0</v>
      </c>
      <c r="AF235" s="216">
        <f>AF$234*'Methanol recycling rates'!AH72</f>
        <v>0</v>
      </c>
      <c r="AG235" s="216">
        <f>AG$234*'Methanol recycling rates'!AI72</f>
        <v>0</v>
      </c>
      <c r="AH235" s="230"/>
      <c r="AI235" s="126"/>
      <c r="AJ235" s="198"/>
      <c r="AL235" s="102"/>
      <c r="AM235" s="2"/>
      <c r="AN235" s="2"/>
      <c r="AO235" s="2"/>
      <c r="BC235" s="1"/>
      <c r="BD235" s="2"/>
      <c r="BE235" s="2"/>
      <c r="BF235" s="2"/>
      <c r="BG235" s="2"/>
      <c r="BH235" s="2"/>
      <c r="BI235" s="2"/>
      <c r="BJ235" s="2"/>
      <c r="BK235" s="2"/>
    </row>
    <row r="236" spans="1:63" outlineLevel="1">
      <c r="A236" s="4" t="s">
        <v>160</v>
      </c>
      <c r="C236" s="216">
        <f>C$234*'Methanol recycling rates'!E73</f>
        <v>1470.7207601533876</v>
      </c>
      <c r="D236" s="216">
        <f>D$234*'Methanol recycling rates'!F73</f>
        <v>1537.2265764636975</v>
      </c>
      <c r="E236" s="216">
        <f>E$234*'Methanol recycling rates'!G73</f>
        <v>1603.7323927740076</v>
      </c>
      <c r="F236" s="216">
        <f>F$234*'Methanol recycling rates'!H73</f>
        <v>1670.2382090843175</v>
      </c>
      <c r="G236" s="216">
        <f>G$234*'Methanol recycling rates'!I73</f>
        <v>1736.7440253946277</v>
      </c>
      <c r="H236" s="216">
        <f>H$234*'Methanol recycling rates'!J73</f>
        <v>1803.2498417049378</v>
      </c>
      <c r="I236" s="216">
        <f>I$234*'Methanol recycling rates'!K73</f>
        <v>1857.4152706723478</v>
      </c>
      <c r="J236" s="216">
        <f>J$234*'Methanol recycling rates'!L73</f>
        <v>1910.7028228644604</v>
      </c>
      <c r="K236" s="216">
        <f>K$234*'Methanol recycling rates'!M73</f>
        <v>1963.1124982812778</v>
      </c>
      <c r="L236" s="216">
        <f>L$234*'Methanol recycling rates'!N73</f>
        <v>2014.6442969227992</v>
      </c>
      <c r="M236" s="216">
        <f>M$234*'Methanol recycling rates'!O73</f>
        <v>2065.2982187890234</v>
      </c>
      <c r="N236" s="216">
        <f>N$234*'Methanol recycling rates'!P73</f>
        <v>2185.8249929703893</v>
      </c>
      <c r="O236" s="216">
        <f>O$234*'Methanol recycling rates'!Q73</f>
        <v>2304.5014730253615</v>
      </c>
      <c r="P236" s="216">
        <f>P$234*'Methanol recycling rates'!R73</f>
        <v>2421.32765895394</v>
      </c>
      <c r="Q236" s="216">
        <f>Q$234*'Methanol recycling rates'!S73</f>
        <v>2536.3035507561253</v>
      </c>
      <c r="R236" s="216">
        <f>R$234*'Methanol recycling rates'!T73</f>
        <v>2649.4291484319174</v>
      </c>
      <c r="S236" s="216">
        <f>S$234*'Methanol recycling rates'!U73</f>
        <v>2760.7044519813167</v>
      </c>
      <c r="T236" s="216">
        <f>T$234*'Methanol recycling rates'!V73</f>
        <v>2870.1294614043218</v>
      </c>
      <c r="U236" s="216">
        <f>U$234*'Methanol recycling rates'!W73</f>
        <v>2977.7041767009341</v>
      </c>
      <c r="V236" s="216">
        <f>V$234*'Methanol recycling rates'!X73</f>
        <v>3083.4285978711523</v>
      </c>
      <c r="W236" s="216">
        <f>W$234*'Methanol recycling rates'!Y73</f>
        <v>3187.3027249149782</v>
      </c>
      <c r="X236" s="216">
        <f>X$234*'Methanol recycling rates'!Z73</f>
        <v>3373.7246612030431</v>
      </c>
      <c r="Y236" s="216">
        <f>Y$234*'Methanol recycling rates'!AA73</f>
        <v>3557.0507141825892</v>
      </c>
      <c r="Z236" s="216">
        <f>Z$234*'Methanol recycling rates'!AB73</f>
        <v>3737.2808838536175</v>
      </c>
      <c r="AA236" s="216">
        <f>AA$234*'Methanol recycling rates'!AC73</f>
        <v>3914.4151702161284</v>
      </c>
      <c r="AB236" s="216">
        <f>AB$234*'Methanol recycling rates'!AD73</f>
        <v>4088.4535732701215</v>
      </c>
      <c r="AC236" s="216">
        <f>AC$234*'Methanol recycling rates'!AE73</f>
        <v>4258.4071456988986</v>
      </c>
      <c r="AD236" s="216">
        <f>AD$234*'Methanol recycling rates'!AF73</f>
        <v>4425.1710201734459</v>
      </c>
      <c r="AE236" s="216">
        <f>AE$234*'Methanol recycling rates'!AG73</f>
        <v>4588.7451966937606</v>
      </c>
      <c r="AF236" s="216">
        <f>AF$234*'Methanol recycling rates'!AH73</f>
        <v>4749.1296752598464</v>
      </c>
      <c r="AG236" s="216">
        <f>AG$234*'Methanol recycling rates'!AI73</f>
        <v>4906.3244558716988</v>
      </c>
      <c r="AH236" s="230"/>
      <c r="AI236" s="126"/>
      <c r="AJ236" s="198"/>
      <c r="AL236" s="102"/>
      <c r="AM236" s="2"/>
      <c r="AN236" s="2"/>
      <c r="AO236" s="2"/>
      <c r="BC236" s="1"/>
      <c r="BD236" s="2"/>
      <c r="BE236" s="2"/>
      <c r="BF236" s="2"/>
      <c r="BG236" s="2"/>
      <c r="BH236" s="2"/>
      <c r="BI236" s="2"/>
      <c r="BJ236" s="2"/>
      <c r="BK236" s="2"/>
    </row>
    <row r="237" spans="1:63" outlineLevel="1">
      <c r="A237" s="4" t="s">
        <v>1159</v>
      </c>
      <c r="C237" s="216">
        <f>C$234*'Methanol recycling rates'!E74</f>
        <v>3293.0787357610516</v>
      </c>
      <c r="D237" s="216">
        <f>D$234*'Methanol recycling rates'!F74</f>
        <v>3441.991361073467</v>
      </c>
      <c r="E237" s="216">
        <f>E$234*'Methanol recycling rates'!G74</f>
        <v>3590.9039863858829</v>
      </c>
      <c r="F237" s="216">
        <f>F$234*'Methanol recycling rates'!H74</f>
        <v>3739.8166116982984</v>
      </c>
      <c r="G237" s="216">
        <f>G$234*'Methanol recycling rates'!I74</f>
        <v>3888.7292370107139</v>
      </c>
      <c r="H237" s="216">
        <f>H$234*'Methanol recycling rates'!J74</f>
        <v>4037.6418623231302</v>
      </c>
      <c r="I237" s="216">
        <f>I$234*'Methanol recycling rates'!K74</f>
        <v>4158.9232280171527</v>
      </c>
      <c r="J237" s="216">
        <f>J$234*'Methanol recycling rates'!L74</f>
        <v>4278.2389470570479</v>
      </c>
      <c r="K237" s="216">
        <f>K$234*'Methanol recycling rates'!M74</f>
        <v>4395.5890194428221</v>
      </c>
      <c r="L237" s="216">
        <f>L$234*'Methanol recycling rates'!N74</f>
        <v>4510.9734451744716</v>
      </c>
      <c r="M237" s="216">
        <f>M$234*'Methanol recycling rates'!O74</f>
        <v>4624.3922242519957</v>
      </c>
      <c r="N237" s="216">
        <f>N$234*'Methanol recycling rates'!P74</f>
        <v>4894.2627312169852</v>
      </c>
      <c r="O237" s="216">
        <f>O$234*'Methanol recycling rates'!Q74</f>
        <v>5159.9902598494364</v>
      </c>
      <c r="P237" s="216">
        <f>P$234*'Methanol recycling rates'!R74</f>
        <v>5421.5748101493482</v>
      </c>
      <c r="Q237" s="216">
        <f>Q$234*'Methanol recycling rates'!S74</f>
        <v>5679.0163821167234</v>
      </c>
      <c r="R237" s="216">
        <f>R$234*'Methanol recycling rates'!T74</f>
        <v>5932.3149757515594</v>
      </c>
      <c r="S237" s="216">
        <f>S$234*'Methanol recycling rates'!U74</f>
        <v>6181.4705910538587</v>
      </c>
      <c r="T237" s="216">
        <f>T$234*'Methanol recycling rates'!V74</f>
        <v>6426.4832280236187</v>
      </c>
      <c r="U237" s="216">
        <f>U$234*'Methanol recycling rates'!W74</f>
        <v>6667.3528866608412</v>
      </c>
      <c r="V237" s="216">
        <f>V$234*'Methanol recycling rates'!X74</f>
        <v>6904.0795669655245</v>
      </c>
      <c r="W237" s="216">
        <f>W$234*'Methanol recycling rates'!Y74</f>
        <v>7136.6632689376711</v>
      </c>
      <c r="X237" s="216">
        <f>X$234*'Methanol recycling rates'!Z74</f>
        <v>7554.0790904193791</v>
      </c>
      <c r="Y237" s="216">
        <f>Y$234*'Methanol recycling rates'!AA74</f>
        <v>7964.5629450941333</v>
      </c>
      <c r="Z237" s="216">
        <f>Z$234*'Methanol recycling rates'!AB74</f>
        <v>8368.1148329619373</v>
      </c>
      <c r="AA237" s="216">
        <f>AA$234*'Methanol recycling rates'!AC74</f>
        <v>8764.7347540227893</v>
      </c>
      <c r="AB237" s="216">
        <f>AB$234*'Methanol recycling rates'!AD74</f>
        <v>9154.4227082766902</v>
      </c>
      <c r="AC237" s="216">
        <f>AC$234*'Methanol recycling rates'!AE74</f>
        <v>9534.9643519354504</v>
      </c>
      <c r="AD237" s="216">
        <f>AD$234*'Methanol recycling rates'!AF74</f>
        <v>9908.3639691870503</v>
      </c>
      <c r="AE237" s="216">
        <f>AE$234*'Methanol recycling rates'!AG74</f>
        <v>10274.621560031483</v>
      </c>
      <c r="AF237" s="216">
        <f>AF$234*'Methanol recycling rates'!AH74</f>
        <v>10633.737124468758</v>
      </c>
      <c r="AG237" s="216">
        <f>AG$234*'Methanol recycling rates'!AI74</f>
        <v>10985.710662498863</v>
      </c>
      <c r="AH237" s="230"/>
      <c r="AI237" s="126"/>
      <c r="AJ237" s="198"/>
      <c r="AL237" s="102"/>
      <c r="AM237" s="2"/>
      <c r="AN237" s="2"/>
      <c r="AO237" s="2"/>
      <c r="BC237" s="1"/>
      <c r="BD237" s="2"/>
      <c r="BE237" s="2"/>
      <c r="BF237" s="2"/>
      <c r="BG237" s="2"/>
      <c r="BH237" s="2"/>
      <c r="BI237" s="2"/>
      <c r="BJ237" s="2"/>
      <c r="BK237" s="2"/>
    </row>
    <row r="238" spans="1:63" s="1" customFormat="1" outlineLevel="1">
      <c r="A238" s="1" t="s">
        <v>1160</v>
      </c>
      <c r="B238" s="61"/>
      <c r="C238" s="279">
        <f>C234-$C234</f>
        <v>0</v>
      </c>
      <c r="D238" s="279">
        <f t="shared" ref="D238:AG238" si="191">D234-$C234</f>
        <v>215.41844162272537</v>
      </c>
      <c r="E238" s="279">
        <f t="shared" si="191"/>
        <v>430.83688324545165</v>
      </c>
      <c r="F238" s="279">
        <f t="shared" si="191"/>
        <v>646.25532486817701</v>
      </c>
      <c r="G238" s="279">
        <f t="shared" si="191"/>
        <v>861.67376649090238</v>
      </c>
      <c r="H238" s="279">
        <f t="shared" si="191"/>
        <v>1077.0922081136287</v>
      </c>
      <c r="I238" s="279">
        <f t="shared" si="191"/>
        <v>1252.5390027750609</v>
      </c>
      <c r="J238" s="279">
        <f t="shared" si="191"/>
        <v>1425.1422740070693</v>
      </c>
      <c r="K238" s="279">
        <f t="shared" si="191"/>
        <v>1594.9020218096603</v>
      </c>
      <c r="L238" s="279">
        <f t="shared" si="191"/>
        <v>1761.8182461828319</v>
      </c>
      <c r="M238" s="279">
        <f t="shared" si="191"/>
        <v>1925.8909471265797</v>
      </c>
      <c r="N238" s="279">
        <f t="shared" si="191"/>
        <v>2316.2882282729352</v>
      </c>
      <c r="O238" s="279">
        <f t="shared" si="191"/>
        <v>2700.6922369603581</v>
      </c>
      <c r="P238" s="279">
        <f t="shared" si="191"/>
        <v>3079.1029731888493</v>
      </c>
      <c r="Q238" s="279">
        <f t="shared" si="191"/>
        <v>3451.5204369584089</v>
      </c>
      <c r="R238" s="279">
        <f t="shared" si="191"/>
        <v>3817.9446282690378</v>
      </c>
      <c r="S238" s="279">
        <f t="shared" si="191"/>
        <v>4178.375547120736</v>
      </c>
      <c r="T238" s="279">
        <f t="shared" si="191"/>
        <v>4532.8131935135016</v>
      </c>
      <c r="U238" s="279">
        <f t="shared" si="191"/>
        <v>4881.2575674473364</v>
      </c>
      <c r="V238" s="279">
        <f t="shared" si="191"/>
        <v>5223.7086689222369</v>
      </c>
      <c r="W238" s="279">
        <f t="shared" si="191"/>
        <v>5560.1664979382103</v>
      </c>
      <c r="X238" s="279">
        <f t="shared" si="191"/>
        <v>6164.0042557079823</v>
      </c>
      <c r="Y238" s="279">
        <f t="shared" si="191"/>
        <v>6757.8141633622827</v>
      </c>
      <c r="Z238" s="279">
        <f t="shared" si="191"/>
        <v>7341.596220901115</v>
      </c>
      <c r="AA238" s="279">
        <f t="shared" si="191"/>
        <v>7915.3504283244774</v>
      </c>
      <c r="AB238" s="279">
        <f t="shared" si="191"/>
        <v>8479.0767856323728</v>
      </c>
      <c r="AC238" s="279">
        <f t="shared" si="191"/>
        <v>9029.5720017199092</v>
      </c>
      <c r="AD238" s="279">
        <f t="shared" si="191"/>
        <v>9569.7354934460564</v>
      </c>
      <c r="AE238" s="279">
        <f t="shared" si="191"/>
        <v>10099.567260810803</v>
      </c>
      <c r="AF238" s="279">
        <f t="shared" si="191"/>
        <v>10619.067303814165</v>
      </c>
      <c r="AG238" s="279">
        <f t="shared" si="191"/>
        <v>11128.235622456123</v>
      </c>
      <c r="AH238" s="230"/>
      <c r="AI238" s="398"/>
      <c r="AJ238" s="399"/>
      <c r="AL238" s="207"/>
      <c r="AM238" s="118"/>
      <c r="AN238" s="118"/>
      <c r="AO238" s="118"/>
      <c r="BD238" s="118"/>
      <c r="BE238" s="118"/>
      <c r="BF238" s="118"/>
      <c r="BG238" s="118"/>
      <c r="BH238" s="118"/>
      <c r="BI238" s="118"/>
      <c r="BJ238" s="118"/>
      <c r="BK238" s="118"/>
    </row>
    <row r="239" spans="1:63" outlineLevel="1">
      <c r="A239" s="4" t="s">
        <v>35</v>
      </c>
      <c r="C239" s="216">
        <f>C235-$C235</f>
        <v>0</v>
      </c>
      <c r="D239" s="216">
        <f t="shared" ref="D239:AF239" si="192">D235-$C235</f>
        <v>0</v>
      </c>
      <c r="E239" s="216">
        <f t="shared" si="192"/>
        <v>0</v>
      </c>
      <c r="F239" s="216">
        <f t="shared" si="192"/>
        <v>0</v>
      </c>
      <c r="G239" s="216">
        <f t="shared" si="192"/>
        <v>0</v>
      </c>
      <c r="H239" s="216">
        <f t="shared" si="192"/>
        <v>0</v>
      </c>
      <c r="I239" s="216">
        <f t="shared" si="192"/>
        <v>0</v>
      </c>
      <c r="J239" s="216">
        <f t="shared" si="192"/>
        <v>0</v>
      </c>
      <c r="K239" s="216">
        <f t="shared" si="192"/>
        <v>0</v>
      </c>
      <c r="L239" s="216">
        <f t="shared" si="192"/>
        <v>0</v>
      </c>
      <c r="M239" s="216">
        <f t="shared" si="192"/>
        <v>0</v>
      </c>
      <c r="N239" s="216">
        <f t="shared" si="192"/>
        <v>0</v>
      </c>
      <c r="O239" s="216">
        <f t="shared" si="192"/>
        <v>0</v>
      </c>
      <c r="P239" s="216">
        <f t="shared" si="192"/>
        <v>0</v>
      </c>
      <c r="Q239" s="216">
        <f t="shared" si="192"/>
        <v>0</v>
      </c>
      <c r="R239" s="216">
        <f t="shared" si="192"/>
        <v>0</v>
      </c>
      <c r="S239" s="216">
        <f t="shared" si="192"/>
        <v>0</v>
      </c>
      <c r="T239" s="216">
        <f t="shared" si="192"/>
        <v>0</v>
      </c>
      <c r="U239" s="216">
        <f t="shared" si="192"/>
        <v>0</v>
      </c>
      <c r="V239" s="216">
        <f t="shared" si="192"/>
        <v>0</v>
      </c>
      <c r="W239" s="216">
        <f t="shared" si="192"/>
        <v>0</v>
      </c>
      <c r="X239" s="216">
        <f t="shared" si="192"/>
        <v>0</v>
      </c>
      <c r="Y239" s="216">
        <f t="shared" si="192"/>
        <v>0</v>
      </c>
      <c r="Z239" s="216">
        <f t="shared" si="192"/>
        <v>0</v>
      </c>
      <c r="AA239" s="216">
        <f t="shared" si="192"/>
        <v>0</v>
      </c>
      <c r="AB239" s="216">
        <f t="shared" si="192"/>
        <v>0</v>
      </c>
      <c r="AC239" s="216">
        <f t="shared" si="192"/>
        <v>0</v>
      </c>
      <c r="AD239" s="216">
        <f t="shared" si="192"/>
        <v>0</v>
      </c>
      <c r="AE239" s="216">
        <f t="shared" si="192"/>
        <v>0</v>
      </c>
      <c r="AF239" s="216">
        <f t="shared" si="192"/>
        <v>0</v>
      </c>
      <c r="AG239" s="216">
        <f>AG235-$C235</f>
        <v>0</v>
      </c>
      <c r="AH239" s="230"/>
      <c r="AI239" s="126"/>
      <c r="AJ239" s="198"/>
      <c r="AL239" s="102"/>
      <c r="AM239" s="2"/>
      <c r="AN239" s="2"/>
      <c r="AO239" s="2"/>
      <c r="BC239" s="1"/>
      <c r="BD239" s="2"/>
      <c r="BE239" s="2"/>
      <c r="BF239" s="2"/>
      <c r="BG239" s="2"/>
      <c r="BH239" s="2"/>
      <c r="BI239" s="2"/>
      <c r="BJ239" s="2"/>
      <c r="BK239" s="2"/>
    </row>
    <row r="240" spans="1:63" outlineLevel="1">
      <c r="A240" s="4" t="s">
        <v>160</v>
      </c>
      <c r="C240" s="216">
        <f t="shared" ref="C240:AG240" si="193">C236-$C236</f>
        <v>0</v>
      </c>
      <c r="D240" s="216">
        <f t="shared" si="193"/>
        <v>66.50581631030991</v>
      </c>
      <c r="E240" s="216">
        <f t="shared" si="193"/>
        <v>133.01163262062005</v>
      </c>
      <c r="F240" s="216">
        <f t="shared" si="193"/>
        <v>199.51744893092996</v>
      </c>
      <c r="G240" s="216">
        <f t="shared" si="193"/>
        <v>266.0232652412401</v>
      </c>
      <c r="H240" s="216">
        <f t="shared" si="193"/>
        <v>332.52908155155023</v>
      </c>
      <c r="I240" s="216">
        <f t="shared" si="193"/>
        <v>386.69451051896021</v>
      </c>
      <c r="J240" s="216">
        <f t="shared" si="193"/>
        <v>439.98206271107279</v>
      </c>
      <c r="K240" s="216">
        <f t="shared" si="193"/>
        <v>492.39173812789022</v>
      </c>
      <c r="L240" s="216">
        <f t="shared" si="193"/>
        <v>543.92353676941161</v>
      </c>
      <c r="M240" s="216">
        <f t="shared" si="193"/>
        <v>594.57745863563582</v>
      </c>
      <c r="N240" s="216">
        <f t="shared" si="193"/>
        <v>715.10423281700173</v>
      </c>
      <c r="O240" s="216">
        <f t="shared" si="193"/>
        <v>833.78071287197395</v>
      </c>
      <c r="P240" s="216">
        <f t="shared" si="193"/>
        <v>950.60689880055247</v>
      </c>
      <c r="Q240" s="216">
        <f t="shared" si="193"/>
        <v>1065.5827906027378</v>
      </c>
      <c r="R240" s="216">
        <f t="shared" si="193"/>
        <v>1178.7083882785298</v>
      </c>
      <c r="S240" s="216">
        <f t="shared" si="193"/>
        <v>1289.9836918279291</v>
      </c>
      <c r="T240" s="216">
        <f t="shared" si="193"/>
        <v>1399.4087012509342</v>
      </c>
      <c r="U240" s="216">
        <f t="shared" si="193"/>
        <v>1506.9834165475465</v>
      </c>
      <c r="V240" s="216">
        <f t="shared" si="193"/>
        <v>1612.7078377177647</v>
      </c>
      <c r="W240" s="216">
        <f t="shared" si="193"/>
        <v>1716.5819647615906</v>
      </c>
      <c r="X240" s="216">
        <f t="shared" si="193"/>
        <v>1903.0039010496555</v>
      </c>
      <c r="Y240" s="216">
        <f t="shared" si="193"/>
        <v>2086.3299540292019</v>
      </c>
      <c r="Z240" s="216">
        <f t="shared" si="193"/>
        <v>2266.5601237002302</v>
      </c>
      <c r="AA240" s="216">
        <f t="shared" si="193"/>
        <v>2443.6944100627406</v>
      </c>
      <c r="AB240" s="216">
        <f t="shared" si="193"/>
        <v>2617.7328131167342</v>
      </c>
      <c r="AC240" s="216">
        <f t="shared" si="193"/>
        <v>2787.6863855455113</v>
      </c>
      <c r="AD240" s="216">
        <f t="shared" si="193"/>
        <v>2954.4502600200585</v>
      </c>
      <c r="AE240" s="216">
        <f t="shared" si="193"/>
        <v>3118.0244365403732</v>
      </c>
      <c r="AF240" s="216">
        <f t="shared" si="193"/>
        <v>3278.4089151064591</v>
      </c>
      <c r="AG240" s="216">
        <f t="shared" si="193"/>
        <v>3435.6036957183114</v>
      </c>
      <c r="AH240" s="230"/>
      <c r="AI240" s="126"/>
      <c r="AJ240" s="198"/>
      <c r="AL240" s="102"/>
      <c r="AM240" s="2"/>
      <c r="AN240" s="2"/>
      <c r="AO240" s="2"/>
      <c r="BC240" s="1"/>
      <c r="BD240" s="2"/>
      <c r="BE240" s="2"/>
      <c r="BF240" s="2"/>
      <c r="BG240" s="2"/>
      <c r="BH240" s="2"/>
      <c r="BI240" s="2"/>
      <c r="BJ240" s="2"/>
      <c r="BK240" s="2"/>
    </row>
    <row r="241" spans="1:63" outlineLevel="1">
      <c r="A241" s="4" t="s">
        <v>1159</v>
      </c>
      <c r="C241" s="216">
        <f t="shared" ref="C241:AG241" si="194">C237-$C237</f>
        <v>0</v>
      </c>
      <c r="D241" s="216">
        <f t="shared" si="194"/>
        <v>148.91262531241546</v>
      </c>
      <c r="E241" s="216">
        <f t="shared" si="194"/>
        <v>297.82525062483137</v>
      </c>
      <c r="F241" s="216">
        <f t="shared" si="194"/>
        <v>446.73787593724683</v>
      </c>
      <c r="G241" s="216">
        <f t="shared" si="194"/>
        <v>595.65050124966228</v>
      </c>
      <c r="H241" s="216">
        <f t="shared" si="194"/>
        <v>744.56312656207865</v>
      </c>
      <c r="I241" s="216">
        <f t="shared" si="194"/>
        <v>865.84449225610115</v>
      </c>
      <c r="J241" s="216">
        <f t="shared" si="194"/>
        <v>985.16021129599631</v>
      </c>
      <c r="K241" s="216">
        <f t="shared" si="194"/>
        <v>1102.5102836817705</v>
      </c>
      <c r="L241" s="216">
        <f t="shared" si="194"/>
        <v>1217.8947094134201</v>
      </c>
      <c r="M241" s="216">
        <f t="shared" si="194"/>
        <v>1331.3134884909441</v>
      </c>
      <c r="N241" s="216">
        <f t="shared" si="194"/>
        <v>1601.1839954559337</v>
      </c>
      <c r="O241" s="216">
        <f t="shared" si="194"/>
        <v>1866.9115240883848</v>
      </c>
      <c r="P241" s="216">
        <f t="shared" si="194"/>
        <v>2128.4960743882966</v>
      </c>
      <c r="Q241" s="216">
        <f t="shared" si="194"/>
        <v>2385.9376463556719</v>
      </c>
      <c r="R241" s="216">
        <f t="shared" si="194"/>
        <v>2639.2362399905078</v>
      </c>
      <c r="S241" s="216">
        <f t="shared" si="194"/>
        <v>2888.3918552928071</v>
      </c>
      <c r="T241" s="216">
        <f t="shared" si="194"/>
        <v>3133.4044922625671</v>
      </c>
      <c r="U241" s="216">
        <f t="shared" si="194"/>
        <v>3374.2741508997897</v>
      </c>
      <c r="V241" s="216">
        <f t="shared" si="194"/>
        <v>3611.0008312044729</v>
      </c>
      <c r="W241" s="216">
        <f t="shared" si="194"/>
        <v>3843.5845331766195</v>
      </c>
      <c r="X241" s="216">
        <f t="shared" si="194"/>
        <v>4261.0003546583275</v>
      </c>
      <c r="Y241" s="216">
        <f t="shared" si="194"/>
        <v>4671.4842093330817</v>
      </c>
      <c r="Z241" s="216">
        <f t="shared" si="194"/>
        <v>5075.0360972008857</v>
      </c>
      <c r="AA241" s="216">
        <f t="shared" si="194"/>
        <v>5471.6560182617377</v>
      </c>
      <c r="AB241" s="216">
        <f t="shared" si="194"/>
        <v>5861.3439725156386</v>
      </c>
      <c r="AC241" s="216">
        <f t="shared" si="194"/>
        <v>6241.8856161743988</v>
      </c>
      <c r="AD241" s="216">
        <f t="shared" si="194"/>
        <v>6615.2852334259987</v>
      </c>
      <c r="AE241" s="216">
        <f t="shared" si="194"/>
        <v>6981.5428242704311</v>
      </c>
      <c r="AF241" s="216">
        <f t="shared" si="194"/>
        <v>7340.6583887077068</v>
      </c>
      <c r="AG241" s="216">
        <f t="shared" si="194"/>
        <v>7692.6319267378112</v>
      </c>
      <c r="AH241" s="230"/>
      <c r="AI241" s="126"/>
      <c r="AJ241" s="198"/>
      <c r="AL241" s="102"/>
      <c r="AM241" s="2"/>
      <c r="AN241" s="2"/>
      <c r="AO241" s="2"/>
      <c r="BC241" s="1"/>
      <c r="BD241" s="2"/>
      <c r="BE241" s="2"/>
      <c r="BF241" s="2"/>
      <c r="BG241" s="2"/>
      <c r="BH241" s="2"/>
      <c r="BI241" s="2"/>
      <c r="BJ241" s="2"/>
      <c r="BK241" s="2"/>
    </row>
    <row r="242" spans="1:63" outlineLevel="2">
      <c r="C242" s="107"/>
      <c r="D242" s="104"/>
      <c r="E242" s="104"/>
      <c r="F242" s="104"/>
      <c r="G242" s="104"/>
      <c r="H242" s="104"/>
      <c r="I242" s="104"/>
      <c r="J242" s="104"/>
      <c r="K242" s="104"/>
      <c r="L242" s="104"/>
      <c r="M242" s="115"/>
      <c r="N242" s="115"/>
      <c r="O242" s="115"/>
      <c r="P242" s="115"/>
      <c r="Q242" s="115"/>
      <c r="R242" s="115"/>
      <c r="S242" s="115"/>
      <c r="T242" s="115"/>
      <c r="U242" s="115"/>
      <c r="V242" s="115"/>
      <c r="W242" s="115"/>
      <c r="X242" s="22"/>
      <c r="Y242" s="22"/>
      <c r="Z242" s="22"/>
      <c r="AA242" s="22"/>
      <c r="AB242" s="22"/>
      <c r="AC242" s="22"/>
      <c r="AD242" s="22"/>
      <c r="AE242" s="22"/>
      <c r="AF242" s="22"/>
      <c r="AG242" s="100"/>
      <c r="AJ242" s="198"/>
    </row>
    <row r="243" spans="1:63" s="187" customFormat="1" ht="15.5" thickBot="1">
      <c r="A243" s="213" t="s">
        <v>1090</v>
      </c>
      <c r="B243" s="214"/>
      <c r="C243" s="215">
        <f>(C39*C63+C40*C129+C42*C184+C41*C217+C43*C232)/C44</f>
        <v>4.0138911140873396E-2</v>
      </c>
      <c r="D243" s="215">
        <f t="shared" ref="D243:AG243" si="195">(D39*D63+D40*D129+D42*D184+D41*D217+D43*D232)/D44</f>
        <v>4.2612771303622322E-2</v>
      </c>
      <c r="E243" s="215">
        <f t="shared" si="195"/>
        <v>4.5162351506659523E-2</v>
      </c>
      <c r="F243" s="215">
        <f t="shared" si="195"/>
        <v>4.776674020746819E-2</v>
      </c>
      <c r="G243" s="215">
        <f t="shared" si="195"/>
        <v>5.0425796757875896E-2</v>
      </c>
      <c r="H243" s="215">
        <f t="shared" si="195"/>
        <v>5.3139380418858802E-2</v>
      </c>
      <c r="I243" s="215">
        <f t="shared" si="195"/>
        <v>5.5867711341703666E-2</v>
      </c>
      <c r="J243" s="215">
        <f t="shared" si="195"/>
        <v>5.8655653086747778E-2</v>
      </c>
      <c r="K243" s="215">
        <f t="shared" si="195"/>
        <v>6.1503995788650428E-2</v>
      </c>
      <c r="L243" s="215">
        <f t="shared" si="195"/>
        <v>6.4413546655742254E-2</v>
      </c>
      <c r="M243" s="215">
        <f t="shared" si="195"/>
        <v>6.7385130436076843E-2</v>
      </c>
      <c r="N243" s="215">
        <f t="shared" si="195"/>
        <v>7.3071052193273908E-2</v>
      </c>
      <c r="O243" s="215">
        <f t="shared" si="195"/>
        <v>7.8883623145650589E-2</v>
      </c>
      <c r="P243" s="215">
        <f t="shared" si="195"/>
        <v>8.482769236328179E-2</v>
      </c>
      <c r="Q243" s="215">
        <f t="shared" si="195"/>
        <v>9.0898836738518063E-2</v>
      </c>
      <c r="R243" s="215">
        <f t="shared" si="195"/>
        <v>9.7098177580942482E-2</v>
      </c>
      <c r="S243" s="215">
        <f t="shared" si="195"/>
        <v>0.10342693746325814</v>
      </c>
      <c r="T243" s="215">
        <f t="shared" si="195"/>
        <v>0.10988623079980223</v>
      </c>
      <c r="U243" s="215">
        <f t="shared" si="195"/>
        <v>0.11647725881144533</v>
      </c>
      <c r="V243" s="215">
        <f t="shared" si="195"/>
        <v>0.12320125044620113</v>
      </c>
      <c r="W243" s="215">
        <f t="shared" si="195"/>
        <v>0.13005946329384119</v>
      </c>
      <c r="X243" s="215">
        <f t="shared" si="195"/>
        <v>0.14086938843825311</v>
      </c>
      <c r="Y243" s="215">
        <f t="shared" si="195"/>
        <v>0.15190324527750063</v>
      </c>
      <c r="Z243" s="215">
        <f t="shared" si="195"/>
        <v>0.16312825665183645</v>
      </c>
      <c r="AA243" s="215">
        <f t="shared" si="195"/>
        <v>0.17456612432050944</v>
      </c>
      <c r="AB243" s="215">
        <f t="shared" si="195"/>
        <v>0.18621752259405402</v>
      </c>
      <c r="AC243" s="215">
        <f t="shared" si="195"/>
        <v>0.19808835494775454</v>
      </c>
      <c r="AD243" s="215">
        <f t="shared" si="195"/>
        <v>0.21017556201110146</v>
      </c>
      <c r="AE243" s="215">
        <f t="shared" si="195"/>
        <v>0.22247992181643073</v>
      </c>
      <c r="AF243" s="215">
        <f t="shared" si="195"/>
        <v>0.23500220054672935</v>
      </c>
      <c r="AG243" s="215">
        <f t="shared" si="195"/>
        <v>0.24774315219395643</v>
      </c>
      <c r="AJ243" s="452"/>
      <c r="AL243" s="204"/>
      <c r="AM243" s="211"/>
      <c r="AN243" s="211"/>
      <c r="AO243" s="211"/>
    </row>
    <row r="244" spans="1:63" s="187" customFormat="1" ht="16.25" thickTop="1" thickBot="1">
      <c r="A244" s="213" t="s">
        <v>467</v>
      </c>
      <c r="B244" s="214"/>
      <c r="C244" s="215">
        <f t="shared" ref="C244:AG244" si="196">(C11*C46+C110*C12+C14*C167+C213*C13+C228*C15)/C16</f>
        <v>0.10391498889855581</v>
      </c>
      <c r="D244" s="215">
        <f t="shared" si="196"/>
        <v>0.10913769993404097</v>
      </c>
      <c r="E244" s="215">
        <f t="shared" si="196"/>
        <v>0.11436041096952614</v>
      </c>
      <c r="F244" s="215">
        <f t="shared" si="196"/>
        <v>0.11958312200501135</v>
      </c>
      <c r="G244" s="215">
        <f t="shared" si="196"/>
        <v>0.12480583304049657</v>
      </c>
      <c r="H244" s="215">
        <f t="shared" si="196"/>
        <v>0.13002854407598174</v>
      </c>
      <c r="I244" s="215">
        <f t="shared" si="196"/>
        <v>0.13525125511146691</v>
      </c>
      <c r="J244" s="215">
        <f t="shared" si="196"/>
        <v>0.14047396614695212</v>
      </c>
      <c r="K244" s="215">
        <f t="shared" si="196"/>
        <v>0.14569667718243728</v>
      </c>
      <c r="L244" s="215">
        <f t="shared" si="196"/>
        <v>0.15091938821792247</v>
      </c>
      <c r="M244" s="215">
        <f t="shared" si="196"/>
        <v>0.15614209925340766</v>
      </c>
      <c r="N244" s="215">
        <f t="shared" si="196"/>
        <v>0.16714996712819952</v>
      </c>
      <c r="O244" s="215">
        <f t="shared" si="196"/>
        <v>0.17815783500299134</v>
      </c>
      <c r="P244" s="215">
        <f t="shared" si="196"/>
        <v>0.1891657028777832</v>
      </c>
      <c r="Q244" s="215">
        <f t="shared" si="196"/>
        <v>0.20017357075257503</v>
      </c>
      <c r="R244" s="215">
        <f t="shared" si="196"/>
        <v>0.21118143862736688</v>
      </c>
      <c r="S244" s="215">
        <f t="shared" si="196"/>
        <v>0.22218930650215879</v>
      </c>
      <c r="T244" s="215">
        <f t="shared" si="196"/>
        <v>0.23319717437695062</v>
      </c>
      <c r="U244" s="215">
        <f t="shared" si="196"/>
        <v>0.2442050422517425</v>
      </c>
      <c r="V244" s="215">
        <f t="shared" si="196"/>
        <v>0.25521291012653435</v>
      </c>
      <c r="W244" s="215">
        <f t="shared" si="196"/>
        <v>0.26622077800132615</v>
      </c>
      <c r="X244" s="215">
        <f t="shared" si="196"/>
        <v>0.28463897104956798</v>
      </c>
      <c r="Y244" s="215">
        <f t="shared" si="196"/>
        <v>0.30305716409780986</v>
      </c>
      <c r="Z244" s="215">
        <f t="shared" si="196"/>
        <v>0.32147535714605169</v>
      </c>
      <c r="AA244" s="215">
        <f t="shared" si="196"/>
        <v>0.3398935501942934</v>
      </c>
      <c r="AB244" s="215">
        <f t="shared" si="196"/>
        <v>0.35831174324253534</v>
      </c>
      <c r="AC244" s="215">
        <f t="shared" si="196"/>
        <v>0.37672993629077711</v>
      </c>
      <c r="AD244" s="215">
        <f t="shared" si="196"/>
        <v>0.39514812933901905</v>
      </c>
      <c r="AE244" s="215">
        <f t="shared" si="196"/>
        <v>0.41356632238726082</v>
      </c>
      <c r="AF244" s="215">
        <f t="shared" si="196"/>
        <v>0.43198451543550265</v>
      </c>
      <c r="AG244" s="215">
        <f t="shared" si="196"/>
        <v>0.45040270848374447</v>
      </c>
      <c r="AJ244" s="212"/>
      <c r="AL244" s="204"/>
      <c r="AM244" s="211"/>
      <c r="AN244" s="211"/>
      <c r="AO244" s="211"/>
    </row>
    <row r="245" spans="1:63" ht="15.5" thickTop="1">
      <c r="B245" s="123"/>
      <c r="C245" s="107"/>
      <c r="D245" s="22"/>
      <c r="E245" s="22"/>
      <c r="F245" s="22"/>
      <c r="G245" s="22"/>
      <c r="H245" s="22"/>
      <c r="I245" s="22"/>
      <c r="J245" s="22"/>
      <c r="K245" s="22"/>
      <c r="L245" s="22"/>
      <c r="M245" s="120"/>
      <c r="N245" s="104"/>
      <c r="O245" s="104"/>
      <c r="P245" s="104"/>
      <c r="Q245" s="104"/>
      <c r="R245" s="104"/>
      <c r="S245" s="104"/>
      <c r="T245" s="104"/>
      <c r="U245" s="104"/>
      <c r="V245" s="104"/>
      <c r="W245" s="120"/>
      <c r="X245" s="104"/>
      <c r="Y245" s="104"/>
      <c r="Z245" s="104"/>
      <c r="AA245" s="104"/>
      <c r="AB245" s="104"/>
      <c r="AC245" s="104"/>
      <c r="AD245" s="104"/>
      <c r="AE245" s="104"/>
      <c r="AF245" s="104"/>
      <c r="AG245" s="107"/>
    </row>
    <row r="246" spans="1:63">
      <c r="A246" t="s">
        <v>1091</v>
      </c>
      <c r="B246" s="123"/>
      <c r="C246" s="216">
        <f>(C39*C63+C40*C129+C42*C184+C41*C217+C43*C232)</f>
        <v>4908.1085276264903</v>
      </c>
      <c r="D246" s="216">
        <f t="shared" ref="D246:AG246" si="197">(D39*D63+D40*D129+D42*D184+D41*D217+D43*D232)</f>
        <v>5209.7666037606587</v>
      </c>
      <c r="E246" s="216">
        <f t="shared" si="197"/>
        <v>5520.5829717704173</v>
      </c>
      <c r="F246" s="216">
        <f t="shared" si="197"/>
        <v>5837.9973644482343</v>
      </c>
      <c r="G246" s="216">
        <f t="shared" si="197"/>
        <v>6161.9893505290374</v>
      </c>
      <c r="H246" s="216">
        <f t="shared" si="197"/>
        <v>6492.5384987477555</v>
      </c>
      <c r="I246" s="216">
        <f t="shared" si="197"/>
        <v>6789.6099763436596</v>
      </c>
      <c r="J246" s="216">
        <f t="shared" si="197"/>
        <v>7090.3442983807108</v>
      </c>
      <c r="K246" s="216">
        <f t="shared" si="197"/>
        <v>7394.7203496552575</v>
      </c>
      <c r="L246" s="216">
        <f t="shared" si="197"/>
        <v>7702.7170045623898</v>
      </c>
      <c r="M246" s="216">
        <f t="shared" si="197"/>
        <v>8014.3131270959348</v>
      </c>
      <c r="N246" s="216">
        <f t="shared" si="197"/>
        <v>8641.2175677543619</v>
      </c>
      <c r="O246" s="216">
        <f t="shared" si="197"/>
        <v>9275.3352380386259</v>
      </c>
      <c r="P246" s="216">
        <f t="shared" si="197"/>
        <v>9913.6241016141303</v>
      </c>
      <c r="Q246" s="216">
        <f t="shared" si="197"/>
        <v>10558.153448944089</v>
      </c>
      <c r="R246" s="216">
        <f t="shared" si="197"/>
        <v>11208.77559028723</v>
      </c>
      <c r="S246" s="216">
        <f t="shared" si="197"/>
        <v>11865.373565156147</v>
      </c>
      <c r="T246" s="216">
        <f t="shared" si="197"/>
        <v>12527.772177304407</v>
      </c>
      <c r="U246" s="216">
        <f t="shared" si="197"/>
        <v>13195.822465085359</v>
      </c>
      <c r="V246" s="216">
        <f t="shared" si="197"/>
        <v>13869.374951807033</v>
      </c>
      <c r="W246" s="216">
        <f t="shared" si="197"/>
        <v>14548.279645732156</v>
      </c>
      <c r="X246" s="216">
        <f t="shared" si="197"/>
        <v>15656.516415794893</v>
      </c>
      <c r="Y246" s="216">
        <f t="shared" si="197"/>
        <v>16773.950122760391</v>
      </c>
      <c r="Z246" s="216">
        <f t="shared" si="197"/>
        <v>17880.904928680546</v>
      </c>
      <c r="AA246" s="216">
        <f t="shared" si="197"/>
        <v>18992.446323527802</v>
      </c>
      <c r="AB246" s="216">
        <f t="shared" si="197"/>
        <v>20108.062567252127</v>
      </c>
      <c r="AC246" s="216">
        <f t="shared" si="197"/>
        <v>21224.001755775305</v>
      </c>
      <c r="AD246" s="216">
        <f t="shared" si="197"/>
        <v>22342.66569362034</v>
      </c>
      <c r="AE246" s="216">
        <f t="shared" si="197"/>
        <v>23463.523533046282</v>
      </c>
      <c r="AF246" s="216">
        <f t="shared" si="197"/>
        <v>24586.038125935469</v>
      </c>
      <c r="AG246" s="216">
        <f t="shared" si="197"/>
        <v>25709.666023793507</v>
      </c>
      <c r="AI246" s="22">
        <f>(AG246/C246)^(1/30)-1</f>
        <v>5.6751182790094834E-2</v>
      </c>
      <c r="AJ246" s="490">
        <f>AG246-C246</f>
        <v>20801.557496167017</v>
      </c>
    </row>
    <row r="247" spans="1:63">
      <c r="A247" t="s">
        <v>1092</v>
      </c>
      <c r="B247" s="123"/>
      <c r="C247" s="216">
        <f>C246</f>
        <v>4908.1085276264903</v>
      </c>
      <c r="D247" s="216">
        <f>C247*(1+$AI$247)</f>
        <v>4990.0739400378525</v>
      </c>
      <c r="E247" s="216">
        <f t="shared" ref="E247:AG247" si="198">D247*(1+$AI$247)</f>
        <v>5073.4081748364842</v>
      </c>
      <c r="F247" s="216">
        <f t="shared" si="198"/>
        <v>5158.1340913562535</v>
      </c>
      <c r="G247" s="216">
        <f t="shared" si="198"/>
        <v>5244.2749306819023</v>
      </c>
      <c r="H247" s="216">
        <f t="shared" si="198"/>
        <v>5331.85432202429</v>
      </c>
      <c r="I247" s="216">
        <f t="shared" si="198"/>
        <v>5420.8962892020954</v>
      </c>
      <c r="J247" s="216">
        <f t="shared" si="198"/>
        <v>5511.42525723177</v>
      </c>
      <c r="K247" s="216">
        <f t="shared" si="198"/>
        <v>5603.4660590275398</v>
      </c>
      <c r="L247" s="216">
        <f t="shared" si="198"/>
        <v>5697.0439422132995</v>
      </c>
      <c r="M247" s="216">
        <f>L247*(1+$AI$247)</f>
        <v>5792.1845760482611</v>
      </c>
      <c r="N247" s="216">
        <f t="shared" si="198"/>
        <v>5888.9140584682664</v>
      </c>
      <c r="O247" s="216">
        <f t="shared" si="198"/>
        <v>5987.2589232446862</v>
      </c>
      <c r="P247" s="216">
        <f t="shared" si="198"/>
        <v>6087.246147262872</v>
      </c>
      <c r="Q247" s="216">
        <f t="shared" si="198"/>
        <v>6188.9031579221619</v>
      </c>
      <c r="R247" s="216">
        <f t="shared" si="198"/>
        <v>6292.2578406594612</v>
      </c>
      <c r="S247" s="216">
        <f t="shared" si="198"/>
        <v>6397.3385465984738</v>
      </c>
      <c r="T247" s="216">
        <f t="shared" si="198"/>
        <v>6504.1741003266679</v>
      </c>
      <c r="U247" s="216">
        <f t="shared" si="198"/>
        <v>6612.7938078021225</v>
      </c>
      <c r="V247" s="216">
        <f t="shared" si="198"/>
        <v>6723.2274643924175</v>
      </c>
      <c r="W247" s="216">
        <f t="shared" si="198"/>
        <v>6835.5053630477705</v>
      </c>
      <c r="X247" s="216">
        <f t="shared" si="198"/>
        <v>6949.6583026106682</v>
      </c>
      <c r="Y247" s="216">
        <f t="shared" si="198"/>
        <v>7065.7175962642659</v>
      </c>
      <c r="Z247" s="216">
        <f t="shared" si="198"/>
        <v>7183.7150801218786</v>
      </c>
      <c r="AA247" s="216">
        <f t="shared" si="198"/>
        <v>7303.6831219599135</v>
      </c>
      <c r="AB247" s="216">
        <f t="shared" si="198"/>
        <v>7425.6546300966438</v>
      </c>
      <c r="AC247" s="216">
        <f t="shared" si="198"/>
        <v>7549.6630624192576</v>
      </c>
      <c r="AD247" s="216">
        <f t="shared" si="198"/>
        <v>7675.7424355616586</v>
      </c>
      <c r="AE247" s="216">
        <f t="shared" si="198"/>
        <v>7803.9273342355382</v>
      </c>
      <c r="AF247" s="216">
        <f t="shared" si="198"/>
        <v>7934.2529207172711</v>
      </c>
      <c r="AG247" s="216">
        <f t="shared" si="198"/>
        <v>8066.7549444932492</v>
      </c>
      <c r="AI247" s="201">
        <v>1.67E-2</v>
      </c>
      <c r="AJ247" s="3" t="s">
        <v>676</v>
      </c>
    </row>
    <row r="248" spans="1:63">
      <c r="B248" s="48"/>
    </row>
    <row r="249" spans="1:63" s="55" customFormat="1">
      <c r="A249" s="55" t="s">
        <v>703</v>
      </c>
      <c r="B249" s="282"/>
      <c r="C249" s="283"/>
      <c r="D249" s="283"/>
      <c r="E249" s="283"/>
      <c r="F249" s="283"/>
      <c r="G249" s="283"/>
      <c r="H249" s="283"/>
      <c r="I249" s="283"/>
      <c r="J249" s="283"/>
      <c r="K249" s="283"/>
      <c r="L249" s="283"/>
      <c r="M249" s="283"/>
      <c r="N249" s="283"/>
      <c r="O249" s="283"/>
      <c r="P249" s="283"/>
      <c r="Q249" s="283"/>
      <c r="R249" s="283"/>
      <c r="S249" s="283"/>
      <c r="T249" s="283"/>
      <c r="U249" s="283"/>
      <c r="V249" s="283"/>
      <c r="W249" s="283"/>
      <c r="X249" s="283"/>
      <c r="Y249" s="283"/>
      <c r="Z249" s="283"/>
      <c r="AA249" s="283"/>
      <c r="AB249" s="283"/>
      <c r="AC249" s="283"/>
      <c r="AD249" s="283"/>
      <c r="AE249" s="283"/>
      <c r="AF249" s="283"/>
      <c r="AG249" s="283"/>
      <c r="AI249" s="284"/>
      <c r="AJ249" s="285"/>
    </row>
    <row r="250" spans="1:63" s="178" customFormat="1" outlineLevel="1">
      <c r="A250" s="321" t="s">
        <v>706</v>
      </c>
      <c r="B250" s="297" t="s">
        <v>126</v>
      </c>
      <c r="C250" s="678">
        <v>0.84</v>
      </c>
      <c r="D250" s="298">
        <f>-($C250-$AG250)/30+C250</f>
        <v>0.83566666666666667</v>
      </c>
      <c r="E250" s="298">
        <f t="shared" ref="E250:AF256" si="199">-($C250-$AG250)/30+D250</f>
        <v>0.83133333333333337</v>
      </c>
      <c r="F250" s="298">
        <f t="shared" si="199"/>
        <v>0.82700000000000007</v>
      </c>
      <c r="G250" s="298">
        <f t="shared" si="199"/>
        <v>0.82266666666666677</v>
      </c>
      <c r="H250" s="298">
        <f t="shared" si="199"/>
        <v>0.81833333333333347</v>
      </c>
      <c r="I250" s="298">
        <f t="shared" si="199"/>
        <v>0.81400000000000017</v>
      </c>
      <c r="J250" s="298">
        <f t="shared" si="199"/>
        <v>0.80966666666666687</v>
      </c>
      <c r="K250" s="298">
        <f t="shared" si="199"/>
        <v>0.80533333333333357</v>
      </c>
      <c r="L250" s="298">
        <f t="shared" si="199"/>
        <v>0.80100000000000027</v>
      </c>
      <c r="M250" s="298">
        <f t="shared" si="199"/>
        <v>0.79666666666666697</v>
      </c>
      <c r="N250" s="298">
        <f t="shared" si="199"/>
        <v>0.79233333333333367</v>
      </c>
      <c r="O250" s="298">
        <f t="shared" si="199"/>
        <v>0.78800000000000037</v>
      </c>
      <c r="P250" s="298">
        <f t="shared" si="199"/>
        <v>0.78366666666666707</v>
      </c>
      <c r="Q250" s="298">
        <f t="shared" si="199"/>
        <v>0.77933333333333377</v>
      </c>
      <c r="R250" s="298">
        <f t="shared" si="199"/>
        <v>0.77500000000000047</v>
      </c>
      <c r="S250" s="298">
        <f t="shared" si="199"/>
        <v>0.77066666666666717</v>
      </c>
      <c r="T250" s="298">
        <f t="shared" si="199"/>
        <v>0.76633333333333387</v>
      </c>
      <c r="U250" s="298">
        <f t="shared" si="199"/>
        <v>0.76200000000000057</v>
      </c>
      <c r="V250" s="298">
        <f t="shared" si="199"/>
        <v>0.75766666666666727</v>
      </c>
      <c r="W250" s="298">
        <f t="shared" si="199"/>
        <v>0.75333333333333397</v>
      </c>
      <c r="X250" s="298">
        <f t="shared" si="199"/>
        <v>0.74900000000000067</v>
      </c>
      <c r="Y250" s="298">
        <f t="shared" si="199"/>
        <v>0.74466666666666737</v>
      </c>
      <c r="Z250" s="298">
        <f t="shared" si="199"/>
        <v>0.74033333333333406</v>
      </c>
      <c r="AA250" s="298">
        <f t="shared" si="199"/>
        <v>0.73600000000000076</v>
      </c>
      <c r="AB250" s="298">
        <f t="shared" si="199"/>
        <v>0.73166666666666746</v>
      </c>
      <c r="AC250" s="298">
        <f t="shared" si="199"/>
        <v>0.72733333333333416</v>
      </c>
      <c r="AD250" s="298">
        <f t="shared" si="199"/>
        <v>0.72300000000000086</v>
      </c>
      <c r="AE250" s="298">
        <f t="shared" si="199"/>
        <v>0.71866666666666756</v>
      </c>
      <c r="AF250" s="298">
        <f t="shared" si="199"/>
        <v>0.71433333333333426</v>
      </c>
      <c r="AG250" s="678">
        <v>0.71</v>
      </c>
      <c r="AI250" s="299"/>
      <c r="AJ250" t="s">
        <v>1614</v>
      </c>
    </row>
    <row r="251" spans="1:63" outlineLevel="1">
      <c r="A251" s="3" t="s">
        <v>698</v>
      </c>
      <c r="B251" s="281" t="s">
        <v>126</v>
      </c>
      <c r="C251" s="275">
        <v>0.16</v>
      </c>
      <c r="D251" s="296">
        <f t="shared" ref="D251:S256" si="200">-($C251-$AG251)/30+C251</f>
        <v>0.16206666666666666</v>
      </c>
      <c r="E251" s="296">
        <f t="shared" si="200"/>
        <v>0.16413333333333333</v>
      </c>
      <c r="F251" s="296">
        <f t="shared" si="200"/>
        <v>0.16619999999999999</v>
      </c>
      <c r="G251" s="296">
        <f t="shared" si="200"/>
        <v>0.16826666666666665</v>
      </c>
      <c r="H251" s="296">
        <f t="shared" si="200"/>
        <v>0.17033333333333331</v>
      </c>
      <c r="I251" s="296">
        <f t="shared" si="200"/>
        <v>0.17239999999999997</v>
      </c>
      <c r="J251" s="296">
        <f t="shared" si="200"/>
        <v>0.17446666666666663</v>
      </c>
      <c r="K251" s="296">
        <f t="shared" si="200"/>
        <v>0.17653333333333329</v>
      </c>
      <c r="L251" s="296">
        <f t="shared" si="200"/>
        <v>0.17859999999999995</v>
      </c>
      <c r="M251" s="296">
        <f t="shared" si="200"/>
        <v>0.18066666666666661</v>
      </c>
      <c r="N251" s="296">
        <f t="shared" si="200"/>
        <v>0.18273333333333328</v>
      </c>
      <c r="O251" s="296">
        <f t="shared" si="200"/>
        <v>0.18479999999999994</v>
      </c>
      <c r="P251" s="296">
        <f t="shared" si="200"/>
        <v>0.1868666666666666</v>
      </c>
      <c r="Q251" s="296">
        <f t="shared" si="200"/>
        <v>0.18893333333333326</v>
      </c>
      <c r="R251" s="296">
        <f t="shared" si="200"/>
        <v>0.19099999999999992</v>
      </c>
      <c r="S251" s="296">
        <f t="shared" si="200"/>
        <v>0.19306666666666658</v>
      </c>
      <c r="T251" s="296">
        <f t="shared" si="199"/>
        <v>0.19513333333333324</v>
      </c>
      <c r="U251" s="296">
        <f t="shared" si="199"/>
        <v>0.1971999999999999</v>
      </c>
      <c r="V251" s="296">
        <f t="shared" si="199"/>
        <v>0.19926666666666656</v>
      </c>
      <c r="W251" s="296">
        <f t="shared" si="199"/>
        <v>0.20133333333333323</v>
      </c>
      <c r="X251" s="296">
        <f t="shared" si="199"/>
        <v>0.20339999999999989</v>
      </c>
      <c r="Y251" s="296">
        <f t="shared" si="199"/>
        <v>0.20546666666666655</v>
      </c>
      <c r="Z251" s="296">
        <f t="shared" si="199"/>
        <v>0.20753333333333321</v>
      </c>
      <c r="AA251" s="296">
        <f t="shared" si="199"/>
        <v>0.20959999999999987</v>
      </c>
      <c r="AB251" s="296">
        <f t="shared" si="199"/>
        <v>0.21166666666666653</v>
      </c>
      <c r="AC251" s="296">
        <f t="shared" si="199"/>
        <v>0.21373333333333319</v>
      </c>
      <c r="AD251" s="296">
        <f t="shared" si="199"/>
        <v>0.21579999999999985</v>
      </c>
      <c r="AE251" s="296">
        <f t="shared" si="199"/>
        <v>0.21786666666666651</v>
      </c>
      <c r="AF251" s="296">
        <f t="shared" si="199"/>
        <v>0.21993333333333318</v>
      </c>
      <c r="AG251" s="275">
        <v>0.222</v>
      </c>
      <c r="AI251" s="201"/>
      <c r="AJ251" t="s">
        <v>1614</v>
      </c>
    </row>
    <row r="252" spans="1:63" outlineLevel="1">
      <c r="A252" s="3" t="s">
        <v>697</v>
      </c>
      <c r="B252" s="281" t="s">
        <v>126</v>
      </c>
      <c r="C252" s="275">
        <v>0.37</v>
      </c>
      <c r="D252" s="296">
        <f t="shared" si="200"/>
        <v>0.36270000000000002</v>
      </c>
      <c r="E252" s="296">
        <f t="shared" si="200"/>
        <v>0.35540000000000005</v>
      </c>
      <c r="F252" s="296">
        <f t="shared" si="200"/>
        <v>0.34810000000000008</v>
      </c>
      <c r="G252" s="296">
        <f t="shared" si="200"/>
        <v>0.3408000000000001</v>
      </c>
      <c r="H252" s="296">
        <f t="shared" si="200"/>
        <v>0.33350000000000013</v>
      </c>
      <c r="I252" s="296">
        <f t="shared" si="200"/>
        <v>0.32620000000000016</v>
      </c>
      <c r="J252" s="296">
        <f t="shared" si="200"/>
        <v>0.31890000000000018</v>
      </c>
      <c r="K252" s="296">
        <f t="shared" si="200"/>
        <v>0.31160000000000021</v>
      </c>
      <c r="L252" s="296">
        <f t="shared" si="200"/>
        <v>0.30430000000000024</v>
      </c>
      <c r="M252" s="296">
        <f t="shared" si="200"/>
        <v>0.29700000000000026</v>
      </c>
      <c r="N252" s="296">
        <f t="shared" si="200"/>
        <v>0.28970000000000029</v>
      </c>
      <c r="O252" s="296">
        <f t="shared" si="200"/>
        <v>0.28240000000000032</v>
      </c>
      <c r="P252" s="296">
        <f t="shared" si="200"/>
        <v>0.27510000000000034</v>
      </c>
      <c r="Q252" s="296">
        <f t="shared" si="200"/>
        <v>0.26780000000000037</v>
      </c>
      <c r="R252" s="296">
        <f t="shared" si="200"/>
        <v>0.2605000000000004</v>
      </c>
      <c r="S252" s="296">
        <f t="shared" si="200"/>
        <v>0.25320000000000042</v>
      </c>
      <c r="T252" s="296">
        <f t="shared" si="199"/>
        <v>0.24590000000000042</v>
      </c>
      <c r="U252" s="296">
        <f t="shared" si="199"/>
        <v>0.23860000000000042</v>
      </c>
      <c r="V252" s="296">
        <f t="shared" si="199"/>
        <v>0.23130000000000042</v>
      </c>
      <c r="W252" s="296">
        <f t="shared" si="199"/>
        <v>0.22400000000000042</v>
      </c>
      <c r="X252" s="296">
        <f t="shared" si="199"/>
        <v>0.21670000000000042</v>
      </c>
      <c r="Y252" s="296">
        <f t="shared" si="199"/>
        <v>0.20940000000000042</v>
      </c>
      <c r="Z252" s="296">
        <f t="shared" si="199"/>
        <v>0.20210000000000042</v>
      </c>
      <c r="AA252" s="296">
        <f t="shared" si="199"/>
        <v>0.19480000000000042</v>
      </c>
      <c r="AB252" s="296">
        <f t="shared" si="199"/>
        <v>0.18750000000000042</v>
      </c>
      <c r="AC252" s="296">
        <f t="shared" si="199"/>
        <v>0.18020000000000042</v>
      </c>
      <c r="AD252" s="296">
        <f t="shared" si="199"/>
        <v>0.17290000000000041</v>
      </c>
      <c r="AE252" s="296">
        <f t="shared" si="199"/>
        <v>0.16560000000000041</v>
      </c>
      <c r="AF252" s="296">
        <f t="shared" si="199"/>
        <v>0.15830000000000041</v>
      </c>
      <c r="AG252" s="275">
        <v>0.151</v>
      </c>
      <c r="AI252" s="201"/>
      <c r="AJ252" t="s">
        <v>1614</v>
      </c>
    </row>
    <row r="253" spans="1:63" outlineLevel="1">
      <c r="A253" s="3" t="s">
        <v>699</v>
      </c>
      <c r="B253" s="281" t="s">
        <v>126</v>
      </c>
      <c r="C253" s="275">
        <v>0.08</v>
      </c>
      <c r="D253" s="296">
        <f t="shared" si="200"/>
        <v>8.0100000000000005E-2</v>
      </c>
      <c r="E253" s="296">
        <f t="shared" si="200"/>
        <v>8.0200000000000007E-2</v>
      </c>
      <c r="F253" s="296">
        <f t="shared" si="200"/>
        <v>8.030000000000001E-2</v>
      </c>
      <c r="G253" s="296">
        <f t="shared" si="200"/>
        <v>8.0400000000000013E-2</v>
      </c>
      <c r="H253" s="296">
        <f t="shared" si="200"/>
        <v>8.0500000000000016E-2</v>
      </c>
      <c r="I253" s="296">
        <f t="shared" si="200"/>
        <v>8.0600000000000019E-2</v>
      </c>
      <c r="J253" s="296">
        <f t="shared" si="200"/>
        <v>8.0700000000000022E-2</v>
      </c>
      <c r="K253" s="296">
        <f t="shared" si="200"/>
        <v>8.0800000000000025E-2</v>
      </c>
      <c r="L253" s="296">
        <f t="shared" si="200"/>
        <v>8.0900000000000027E-2</v>
      </c>
      <c r="M253" s="296">
        <f t="shared" si="200"/>
        <v>8.100000000000003E-2</v>
      </c>
      <c r="N253" s="296">
        <f t="shared" si="200"/>
        <v>8.1100000000000033E-2</v>
      </c>
      <c r="O253" s="296">
        <f t="shared" si="200"/>
        <v>8.1200000000000036E-2</v>
      </c>
      <c r="P253" s="296">
        <f t="shared" si="200"/>
        <v>8.1300000000000039E-2</v>
      </c>
      <c r="Q253" s="296">
        <f t="shared" si="200"/>
        <v>8.1400000000000042E-2</v>
      </c>
      <c r="R253" s="296">
        <f t="shared" si="200"/>
        <v>8.1500000000000045E-2</v>
      </c>
      <c r="S253" s="296">
        <f t="shared" si="200"/>
        <v>8.1600000000000047E-2</v>
      </c>
      <c r="T253" s="296">
        <f t="shared" si="199"/>
        <v>8.170000000000005E-2</v>
      </c>
      <c r="U253" s="296">
        <f t="shared" si="199"/>
        <v>8.1800000000000053E-2</v>
      </c>
      <c r="V253" s="296">
        <f t="shared" si="199"/>
        <v>8.1900000000000056E-2</v>
      </c>
      <c r="W253" s="296">
        <f t="shared" si="199"/>
        <v>8.2000000000000059E-2</v>
      </c>
      <c r="X253" s="296">
        <f t="shared" si="199"/>
        <v>8.2100000000000062E-2</v>
      </c>
      <c r="Y253" s="296">
        <f t="shared" si="199"/>
        <v>8.2200000000000065E-2</v>
      </c>
      <c r="Z253" s="296">
        <f t="shared" si="199"/>
        <v>8.2300000000000068E-2</v>
      </c>
      <c r="AA253" s="296">
        <f t="shared" si="199"/>
        <v>8.240000000000007E-2</v>
      </c>
      <c r="AB253" s="296">
        <f t="shared" si="199"/>
        <v>8.2500000000000073E-2</v>
      </c>
      <c r="AC253" s="296">
        <f t="shared" si="199"/>
        <v>8.2600000000000076E-2</v>
      </c>
      <c r="AD253" s="296">
        <f t="shared" si="199"/>
        <v>8.2700000000000079E-2</v>
      </c>
      <c r="AE253" s="296">
        <f t="shared" si="199"/>
        <v>8.2800000000000082E-2</v>
      </c>
      <c r="AF253" s="296">
        <f t="shared" si="199"/>
        <v>8.2900000000000085E-2</v>
      </c>
      <c r="AG253" s="275">
        <v>8.3000000000000004E-2</v>
      </c>
      <c r="AI253" s="201"/>
      <c r="AJ253" t="s">
        <v>1614</v>
      </c>
    </row>
    <row r="254" spans="1:63" outlineLevel="1">
      <c r="A254" s="3" t="s">
        <v>700</v>
      </c>
      <c r="B254" s="281" t="s">
        <v>126</v>
      </c>
      <c r="C254" s="275">
        <v>0.27</v>
      </c>
      <c r="D254" s="296">
        <f t="shared" si="200"/>
        <v>0.27313333333333334</v>
      </c>
      <c r="E254" s="296">
        <f t="shared" si="200"/>
        <v>0.27626666666666666</v>
      </c>
      <c r="F254" s="296">
        <f t="shared" si="200"/>
        <v>0.27939999999999998</v>
      </c>
      <c r="G254" s="296">
        <f t="shared" si="200"/>
        <v>0.2825333333333333</v>
      </c>
      <c r="H254" s="296">
        <f t="shared" si="200"/>
        <v>0.28566666666666662</v>
      </c>
      <c r="I254" s="296">
        <f t="shared" si="200"/>
        <v>0.28879999999999995</v>
      </c>
      <c r="J254" s="296">
        <f t="shared" si="200"/>
        <v>0.29193333333333327</v>
      </c>
      <c r="K254" s="296">
        <f t="shared" si="200"/>
        <v>0.29506666666666659</v>
      </c>
      <c r="L254" s="296">
        <f t="shared" si="200"/>
        <v>0.29819999999999991</v>
      </c>
      <c r="M254" s="296">
        <f t="shared" si="200"/>
        <v>0.30133333333333323</v>
      </c>
      <c r="N254" s="296">
        <f t="shared" si="200"/>
        <v>0.30446666666666655</v>
      </c>
      <c r="O254" s="296">
        <f t="shared" si="200"/>
        <v>0.30759999999999987</v>
      </c>
      <c r="P254" s="296">
        <f t="shared" si="200"/>
        <v>0.31073333333333319</v>
      </c>
      <c r="Q254" s="296">
        <f t="shared" si="200"/>
        <v>0.31386666666666652</v>
      </c>
      <c r="R254" s="296">
        <f t="shared" si="200"/>
        <v>0.31699999999999984</v>
      </c>
      <c r="S254" s="296">
        <f t="shared" si="200"/>
        <v>0.32013333333333316</v>
      </c>
      <c r="T254" s="296">
        <f t="shared" si="199"/>
        <v>0.32326666666666648</v>
      </c>
      <c r="U254" s="296">
        <f t="shared" si="199"/>
        <v>0.3263999999999998</v>
      </c>
      <c r="V254" s="296">
        <f t="shared" si="199"/>
        <v>0.32953333333333312</v>
      </c>
      <c r="W254" s="296">
        <f t="shared" si="199"/>
        <v>0.33266666666666644</v>
      </c>
      <c r="X254" s="296">
        <f t="shared" si="199"/>
        <v>0.33579999999999977</v>
      </c>
      <c r="Y254" s="296">
        <f t="shared" si="199"/>
        <v>0.33893333333333309</v>
      </c>
      <c r="Z254" s="296">
        <f t="shared" si="199"/>
        <v>0.34206666666666641</v>
      </c>
      <c r="AA254" s="296">
        <f t="shared" si="199"/>
        <v>0.34519999999999973</v>
      </c>
      <c r="AB254" s="296">
        <f t="shared" si="199"/>
        <v>0.34833333333333305</v>
      </c>
      <c r="AC254" s="296">
        <f t="shared" si="199"/>
        <v>0.35146666666666637</v>
      </c>
      <c r="AD254" s="296">
        <f t="shared" si="199"/>
        <v>0.35459999999999969</v>
      </c>
      <c r="AE254" s="296">
        <f t="shared" si="199"/>
        <v>0.35773333333333301</v>
      </c>
      <c r="AF254" s="296">
        <f t="shared" si="199"/>
        <v>0.36086666666666634</v>
      </c>
      <c r="AG254" s="275">
        <v>0.36399999999999999</v>
      </c>
      <c r="AI254" s="201"/>
      <c r="AJ254" t="s">
        <v>1614</v>
      </c>
    </row>
    <row r="255" spans="1:63" outlineLevel="1">
      <c r="A255" s="3" t="s">
        <v>701</v>
      </c>
      <c r="B255" s="281" t="s">
        <v>126</v>
      </c>
      <c r="C255" s="275">
        <v>7.0000000000000007E-2</v>
      </c>
      <c r="D255" s="296">
        <f t="shared" si="200"/>
        <v>7.1266666666666673E-2</v>
      </c>
      <c r="E255" s="296">
        <f t="shared" si="200"/>
        <v>7.2533333333333339E-2</v>
      </c>
      <c r="F255" s="296">
        <f t="shared" si="200"/>
        <v>7.3800000000000004E-2</v>
      </c>
      <c r="G255" s="296">
        <f t="shared" si="200"/>
        <v>7.506666666666667E-2</v>
      </c>
      <c r="H255" s="296">
        <f t="shared" si="200"/>
        <v>7.6333333333333336E-2</v>
      </c>
      <c r="I255" s="296">
        <f t="shared" si="200"/>
        <v>7.7600000000000002E-2</v>
      </c>
      <c r="J255" s="296">
        <f t="shared" si="200"/>
        <v>7.8866666666666668E-2</v>
      </c>
      <c r="K255" s="296">
        <f t="shared" si="200"/>
        <v>8.0133333333333334E-2</v>
      </c>
      <c r="L255" s="296">
        <f t="shared" si="200"/>
        <v>8.14E-2</v>
      </c>
      <c r="M255" s="296">
        <f t="shared" si="200"/>
        <v>8.2666666666666666E-2</v>
      </c>
      <c r="N255" s="296">
        <f t="shared" si="200"/>
        <v>8.3933333333333332E-2</v>
      </c>
      <c r="O255" s="296">
        <f t="shared" si="200"/>
        <v>8.5199999999999998E-2</v>
      </c>
      <c r="P255" s="296">
        <f t="shared" si="200"/>
        <v>8.6466666666666664E-2</v>
      </c>
      <c r="Q255" s="296">
        <f t="shared" si="200"/>
        <v>8.773333333333333E-2</v>
      </c>
      <c r="R255" s="296">
        <f t="shared" si="200"/>
        <v>8.8999999999999996E-2</v>
      </c>
      <c r="S255" s="296">
        <f t="shared" si="200"/>
        <v>9.0266666666666662E-2</v>
      </c>
      <c r="T255" s="296">
        <f t="shared" si="199"/>
        <v>9.1533333333333328E-2</v>
      </c>
      <c r="U255" s="296">
        <f t="shared" si="199"/>
        <v>9.2799999999999994E-2</v>
      </c>
      <c r="V255" s="296">
        <f t="shared" si="199"/>
        <v>9.406666666666666E-2</v>
      </c>
      <c r="W255" s="296">
        <f t="shared" si="199"/>
        <v>9.5333333333333325E-2</v>
      </c>
      <c r="X255" s="296">
        <f t="shared" si="199"/>
        <v>9.6599999999999991E-2</v>
      </c>
      <c r="Y255" s="296">
        <f t="shared" si="199"/>
        <v>9.7866666666666657E-2</v>
      </c>
      <c r="Z255" s="296">
        <f t="shared" si="199"/>
        <v>9.9133333333333323E-2</v>
      </c>
      <c r="AA255" s="296">
        <f t="shared" si="199"/>
        <v>0.10039999999999999</v>
      </c>
      <c r="AB255" s="296">
        <f t="shared" si="199"/>
        <v>0.10166666666666666</v>
      </c>
      <c r="AC255" s="296">
        <f t="shared" si="199"/>
        <v>0.10293333333333332</v>
      </c>
      <c r="AD255" s="296">
        <f t="shared" si="199"/>
        <v>0.10419999999999999</v>
      </c>
      <c r="AE255" s="296">
        <f t="shared" si="199"/>
        <v>0.10546666666666665</v>
      </c>
      <c r="AF255" s="296">
        <f t="shared" si="199"/>
        <v>0.10673333333333332</v>
      </c>
      <c r="AG255" s="275">
        <v>0.108</v>
      </c>
      <c r="AI255" s="201"/>
      <c r="AJ255" t="s">
        <v>1614</v>
      </c>
    </row>
    <row r="256" spans="1:63" outlineLevel="1">
      <c r="A256" s="3" t="s">
        <v>702</v>
      </c>
      <c r="B256" s="281" t="s">
        <v>126</v>
      </c>
      <c r="C256" s="275">
        <v>0.05</v>
      </c>
      <c r="D256" s="296">
        <f t="shared" si="200"/>
        <v>5.0733333333333339E-2</v>
      </c>
      <c r="E256" s="296">
        <f t="shared" si="200"/>
        <v>5.1466666666666674E-2</v>
      </c>
      <c r="F256" s="296">
        <f t="shared" si="200"/>
        <v>5.220000000000001E-2</v>
      </c>
      <c r="G256" s="296">
        <f t="shared" si="200"/>
        <v>5.2933333333333346E-2</v>
      </c>
      <c r="H256" s="296">
        <f t="shared" si="200"/>
        <v>5.3666666666666682E-2</v>
      </c>
      <c r="I256" s="296">
        <f t="shared" si="200"/>
        <v>5.4400000000000018E-2</v>
      </c>
      <c r="J256" s="296">
        <f t="shared" si="200"/>
        <v>5.5133333333333354E-2</v>
      </c>
      <c r="K256" s="296">
        <f t="shared" si="200"/>
        <v>5.5866666666666689E-2</v>
      </c>
      <c r="L256" s="296">
        <f t="shared" si="200"/>
        <v>5.6600000000000025E-2</v>
      </c>
      <c r="M256" s="296">
        <f t="shared" si="200"/>
        <v>5.7333333333333361E-2</v>
      </c>
      <c r="N256" s="296">
        <f t="shared" si="200"/>
        <v>5.8066666666666697E-2</v>
      </c>
      <c r="O256" s="296">
        <f t="shared" si="200"/>
        <v>5.8800000000000033E-2</v>
      </c>
      <c r="P256" s="296">
        <f t="shared" si="200"/>
        <v>5.9533333333333369E-2</v>
      </c>
      <c r="Q256" s="296">
        <f t="shared" si="200"/>
        <v>6.0266666666666704E-2</v>
      </c>
      <c r="R256" s="296">
        <f t="shared" si="200"/>
        <v>6.100000000000004E-2</v>
      </c>
      <c r="S256" s="296">
        <f t="shared" si="200"/>
        <v>6.1733333333333376E-2</v>
      </c>
      <c r="T256" s="296">
        <f t="shared" si="199"/>
        <v>6.2466666666666712E-2</v>
      </c>
      <c r="U256" s="296">
        <f t="shared" si="199"/>
        <v>6.3200000000000048E-2</v>
      </c>
      <c r="V256" s="296">
        <f t="shared" si="199"/>
        <v>6.3933333333333384E-2</v>
      </c>
      <c r="W256" s="296">
        <f t="shared" si="199"/>
        <v>6.4666666666666719E-2</v>
      </c>
      <c r="X256" s="296">
        <f t="shared" si="199"/>
        <v>6.5400000000000055E-2</v>
      </c>
      <c r="Y256" s="296">
        <f t="shared" si="199"/>
        <v>6.6133333333333391E-2</v>
      </c>
      <c r="Z256" s="296">
        <f t="shared" si="199"/>
        <v>6.6866666666666727E-2</v>
      </c>
      <c r="AA256" s="296">
        <f t="shared" si="199"/>
        <v>6.7600000000000063E-2</v>
      </c>
      <c r="AB256" s="296">
        <f t="shared" si="199"/>
        <v>6.8333333333333399E-2</v>
      </c>
      <c r="AC256" s="296">
        <f t="shared" si="199"/>
        <v>6.9066666666666734E-2</v>
      </c>
      <c r="AD256" s="296">
        <f t="shared" si="199"/>
        <v>6.980000000000007E-2</v>
      </c>
      <c r="AE256" s="296">
        <f t="shared" si="199"/>
        <v>7.0533333333333406E-2</v>
      </c>
      <c r="AF256" s="296">
        <f t="shared" si="199"/>
        <v>7.1266666666666742E-2</v>
      </c>
      <c r="AG256" s="275">
        <v>7.1999999999999995E-2</v>
      </c>
      <c r="AI256" s="201"/>
      <c r="AJ256" t="s">
        <v>1614</v>
      </c>
    </row>
    <row r="257" spans="1:36" s="55" customFormat="1" outlineLevel="1">
      <c r="A257" s="285" t="s">
        <v>704</v>
      </c>
      <c r="B257" s="282"/>
      <c r="C257" s="283"/>
      <c r="D257" s="283"/>
      <c r="E257" s="283"/>
      <c r="F257" s="283"/>
      <c r="G257" s="283"/>
      <c r="H257" s="283"/>
      <c r="I257" s="283"/>
      <c r="J257" s="283"/>
      <c r="K257" s="283"/>
      <c r="L257" s="283"/>
      <c r="M257" s="283"/>
      <c r="N257" s="283"/>
      <c r="O257" s="283"/>
      <c r="P257" s="283"/>
      <c r="Q257" s="283"/>
      <c r="R257" s="283"/>
      <c r="S257" s="283"/>
      <c r="T257" s="283"/>
      <c r="U257" s="283"/>
      <c r="V257" s="283"/>
      <c r="W257" s="283"/>
      <c r="X257" s="283"/>
      <c r="Y257" s="283"/>
      <c r="Z257" s="283"/>
      <c r="AA257" s="283"/>
      <c r="AB257" s="283"/>
      <c r="AC257" s="283"/>
      <c r="AD257" s="283"/>
      <c r="AE257" s="283"/>
      <c r="AF257" s="283"/>
      <c r="AG257" s="283"/>
      <c r="AI257" s="284"/>
      <c r="AJ257" s="285"/>
    </row>
    <row r="258" spans="1:36" s="55" customFormat="1" outlineLevel="1">
      <c r="A258" s="286" t="s">
        <v>732</v>
      </c>
      <c r="B258" s="287" t="s">
        <v>126</v>
      </c>
      <c r="C258" s="314">
        <v>0.84</v>
      </c>
      <c r="D258" s="315">
        <f>-($C258-$AG258)/30+C258</f>
        <v>0.84399999999999997</v>
      </c>
      <c r="E258" s="315">
        <f t="shared" ref="E258:AF259" si="201">-($C258-$AG258)/30+D258</f>
        <v>0.84799999999999998</v>
      </c>
      <c r="F258" s="315">
        <f t="shared" si="201"/>
        <v>0.85199999999999998</v>
      </c>
      <c r="G258" s="315">
        <f t="shared" si="201"/>
        <v>0.85599999999999998</v>
      </c>
      <c r="H258" s="315">
        <f t="shared" si="201"/>
        <v>0.86</v>
      </c>
      <c r="I258" s="315">
        <f t="shared" si="201"/>
        <v>0.86399999999999999</v>
      </c>
      <c r="J258" s="315">
        <f t="shared" si="201"/>
        <v>0.86799999999999999</v>
      </c>
      <c r="K258" s="315">
        <f t="shared" si="201"/>
        <v>0.872</v>
      </c>
      <c r="L258" s="315">
        <f t="shared" si="201"/>
        <v>0.876</v>
      </c>
      <c r="M258" s="315">
        <f t="shared" si="201"/>
        <v>0.88</v>
      </c>
      <c r="N258" s="315">
        <f t="shared" si="201"/>
        <v>0.88400000000000001</v>
      </c>
      <c r="O258" s="315">
        <f t="shared" si="201"/>
        <v>0.88800000000000001</v>
      </c>
      <c r="P258" s="315">
        <f t="shared" si="201"/>
        <v>0.89200000000000002</v>
      </c>
      <c r="Q258" s="315">
        <f t="shared" si="201"/>
        <v>0.89600000000000002</v>
      </c>
      <c r="R258" s="315">
        <f t="shared" si="201"/>
        <v>0.9</v>
      </c>
      <c r="S258" s="315">
        <f t="shared" si="201"/>
        <v>0.90400000000000003</v>
      </c>
      <c r="T258" s="315">
        <f t="shared" si="201"/>
        <v>0.90800000000000003</v>
      </c>
      <c r="U258" s="315">
        <f t="shared" si="201"/>
        <v>0.91200000000000003</v>
      </c>
      <c r="V258" s="315">
        <f t="shared" si="201"/>
        <v>0.91600000000000004</v>
      </c>
      <c r="W258" s="315">
        <f t="shared" si="201"/>
        <v>0.92</v>
      </c>
      <c r="X258" s="315">
        <f t="shared" si="201"/>
        <v>0.92400000000000004</v>
      </c>
      <c r="Y258" s="315">
        <f t="shared" si="201"/>
        <v>0.92800000000000005</v>
      </c>
      <c r="Z258" s="315">
        <f t="shared" si="201"/>
        <v>0.93200000000000005</v>
      </c>
      <c r="AA258" s="315">
        <f t="shared" si="201"/>
        <v>0.93600000000000005</v>
      </c>
      <c r="AB258" s="315">
        <f t="shared" si="201"/>
        <v>0.94000000000000006</v>
      </c>
      <c r="AC258" s="315">
        <f t="shared" si="201"/>
        <v>0.94400000000000006</v>
      </c>
      <c r="AD258" s="315">
        <f t="shared" si="201"/>
        <v>0.94800000000000006</v>
      </c>
      <c r="AE258" s="315">
        <f t="shared" si="201"/>
        <v>0.95200000000000007</v>
      </c>
      <c r="AF258" s="315">
        <f t="shared" si="201"/>
        <v>0.95600000000000007</v>
      </c>
      <c r="AG258" s="314">
        <v>0.96</v>
      </c>
      <c r="AI258" s="284"/>
      <c r="AJ258" s="316" t="s">
        <v>1614</v>
      </c>
    </row>
    <row r="259" spans="1:36" s="55" customFormat="1" outlineLevel="1">
      <c r="A259" s="286" t="s">
        <v>743</v>
      </c>
      <c r="B259" s="287" t="s">
        <v>126</v>
      </c>
      <c r="C259" s="314">
        <v>0.22</v>
      </c>
      <c r="D259" s="315">
        <f>-($C259-$AG259)/30+C259</f>
        <v>0.22666666666666666</v>
      </c>
      <c r="E259" s="315">
        <f t="shared" si="201"/>
        <v>0.23333333333333331</v>
      </c>
      <c r="F259" s="315">
        <f t="shared" si="201"/>
        <v>0.23999999999999996</v>
      </c>
      <c r="G259" s="315">
        <f t="shared" si="201"/>
        <v>0.24666666666666662</v>
      </c>
      <c r="H259" s="315">
        <f t="shared" si="201"/>
        <v>0.2533333333333333</v>
      </c>
      <c r="I259" s="315">
        <f t="shared" si="201"/>
        <v>0.25999999999999995</v>
      </c>
      <c r="J259" s="315">
        <f t="shared" si="201"/>
        <v>0.26666666666666661</v>
      </c>
      <c r="K259" s="315">
        <f t="shared" si="201"/>
        <v>0.27333333333333326</v>
      </c>
      <c r="L259" s="315">
        <f t="shared" si="201"/>
        <v>0.27999999999999992</v>
      </c>
      <c r="M259" s="315">
        <f t="shared" si="201"/>
        <v>0.28666666666666657</v>
      </c>
      <c r="N259" s="315">
        <f t="shared" si="201"/>
        <v>0.29333333333333322</v>
      </c>
      <c r="O259" s="315">
        <f t="shared" si="201"/>
        <v>0.29999999999999988</v>
      </c>
      <c r="P259" s="315">
        <f t="shared" si="201"/>
        <v>0.30666666666666653</v>
      </c>
      <c r="Q259" s="315">
        <f t="shared" si="201"/>
        <v>0.31333333333333319</v>
      </c>
      <c r="R259" s="315">
        <f t="shared" si="201"/>
        <v>0.31999999999999984</v>
      </c>
      <c r="S259" s="315">
        <f t="shared" si="201"/>
        <v>0.32666666666666649</v>
      </c>
      <c r="T259" s="315">
        <f t="shared" si="201"/>
        <v>0.33333333333333315</v>
      </c>
      <c r="U259" s="315">
        <f t="shared" si="201"/>
        <v>0.3399999999999998</v>
      </c>
      <c r="V259" s="315">
        <f t="shared" si="201"/>
        <v>0.34666666666666646</v>
      </c>
      <c r="W259" s="315">
        <f t="shared" si="201"/>
        <v>0.35333333333333311</v>
      </c>
      <c r="X259" s="315">
        <f t="shared" si="201"/>
        <v>0.35999999999999976</v>
      </c>
      <c r="Y259" s="315">
        <f t="shared" si="201"/>
        <v>0.36666666666666642</v>
      </c>
      <c r="Z259" s="315">
        <f t="shared" si="201"/>
        <v>0.37333333333333307</v>
      </c>
      <c r="AA259" s="315">
        <f t="shared" si="201"/>
        <v>0.37999999999999973</v>
      </c>
      <c r="AB259" s="315">
        <f t="shared" si="201"/>
        <v>0.38666666666666638</v>
      </c>
      <c r="AC259" s="315">
        <f t="shared" si="201"/>
        <v>0.39333333333333304</v>
      </c>
      <c r="AD259" s="315">
        <f t="shared" si="201"/>
        <v>0.39999999999999969</v>
      </c>
      <c r="AE259" s="315">
        <f t="shared" si="201"/>
        <v>0.40666666666666634</v>
      </c>
      <c r="AF259" s="315">
        <f t="shared" si="201"/>
        <v>0.413333333333333</v>
      </c>
      <c r="AG259" s="314">
        <v>0.42</v>
      </c>
      <c r="AI259" s="284"/>
      <c r="AJ259" s="316" t="s">
        <v>1614</v>
      </c>
    </row>
    <row r="260" spans="1:36" s="59" customFormat="1" outlineLevel="1">
      <c r="A260" s="290" t="s">
        <v>744</v>
      </c>
      <c r="B260" s="291" t="s">
        <v>126</v>
      </c>
      <c r="C260" s="317">
        <f>1-C259</f>
        <v>0.78</v>
      </c>
      <c r="D260" s="317">
        <f t="shared" ref="D260:AG260" si="202">1-D259</f>
        <v>0.77333333333333332</v>
      </c>
      <c r="E260" s="317">
        <f t="shared" si="202"/>
        <v>0.76666666666666672</v>
      </c>
      <c r="F260" s="317">
        <f t="shared" si="202"/>
        <v>0.76</v>
      </c>
      <c r="G260" s="317">
        <f t="shared" si="202"/>
        <v>0.75333333333333341</v>
      </c>
      <c r="H260" s="317">
        <f t="shared" si="202"/>
        <v>0.7466666666666667</v>
      </c>
      <c r="I260" s="317">
        <f t="shared" si="202"/>
        <v>0.74</v>
      </c>
      <c r="J260" s="317">
        <f t="shared" si="202"/>
        <v>0.73333333333333339</v>
      </c>
      <c r="K260" s="317">
        <f t="shared" si="202"/>
        <v>0.72666666666666679</v>
      </c>
      <c r="L260" s="317">
        <f t="shared" si="202"/>
        <v>0.72000000000000008</v>
      </c>
      <c r="M260" s="317">
        <f t="shared" si="202"/>
        <v>0.71333333333333337</v>
      </c>
      <c r="N260" s="317">
        <f t="shared" si="202"/>
        <v>0.70666666666666678</v>
      </c>
      <c r="O260" s="317">
        <f t="shared" si="202"/>
        <v>0.70000000000000018</v>
      </c>
      <c r="P260" s="317">
        <f t="shared" si="202"/>
        <v>0.69333333333333347</v>
      </c>
      <c r="Q260" s="317">
        <f t="shared" si="202"/>
        <v>0.68666666666666676</v>
      </c>
      <c r="R260" s="317">
        <f t="shared" si="202"/>
        <v>0.68000000000000016</v>
      </c>
      <c r="S260" s="317">
        <f t="shared" si="202"/>
        <v>0.67333333333333356</v>
      </c>
      <c r="T260" s="317">
        <f t="shared" si="202"/>
        <v>0.66666666666666685</v>
      </c>
      <c r="U260" s="317">
        <f t="shared" si="202"/>
        <v>0.66000000000000014</v>
      </c>
      <c r="V260" s="317">
        <f t="shared" si="202"/>
        <v>0.65333333333333354</v>
      </c>
      <c r="W260" s="317">
        <f t="shared" si="202"/>
        <v>0.64666666666666694</v>
      </c>
      <c r="X260" s="317">
        <f t="shared" si="202"/>
        <v>0.64000000000000024</v>
      </c>
      <c r="Y260" s="317">
        <f t="shared" si="202"/>
        <v>0.63333333333333353</v>
      </c>
      <c r="Z260" s="317">
        <f t="shared" si="202"/>
        <v>0.62666666666666693</v>
      </c>
      <c r="AA260" s="317">
        <f t="shared" si="202"/>
        <v>0.62000000000000033</v>
      </c>
      <c r="AB260" s="317">
        <f t="shared" si="202"/>
        <v>0.61333333333333362</v>
      </c>
      <c r="AC260" s="317">
        <f t="shared" si="202"/>
        <v>0.60666666666666691</v>
      </c>
      <c r="AD260" s="317">
        <f t="shared" si="202"/>
        <v>0.60000000000000031</v>
      </c>
      <c r="AE260" s="317">
        <f t="shared" si="202"/>
        <v>0.59333333333333371</v>
      </c>
      <c r="AF260" s="317">
        <f t="shared" si="202"/>
        <v>0.586666666666667</v>
      </c>
      <c r="AG260" s="317">
        <f t="shared" si="202"/>
        <v>0.58000000000000007</v>
      </c>
      <c r="AI260" s="319"/>
      <c r="AJ260" s="318" t="s">
        <v>1614</v>
      </c>
    </row>
    <row r="261" spans="1:36" s="1" customFormat="1" outlineLevel="1">
      <c r="A261" t="s">
        <v>725</v>
      </c>
      <c r="B261" s="281" t="s">
        <v>126</v>
      </c>
      <c r="C261" s="275">
        <v>0.85</v>
      </c>
      <c r="D261" s="296">
        <f t="shared" ref="D261:S276" si="203">-($C261-$AG261)/30+C261</f>
        <v>0.84833333333333327</v>
      </c>
      <c r="E261" s="296">
        <f t="shared" si="203"/>
        <v>0.84666666666666657</v>
      </c>
      <c r="F261" s="296">
        <f t="shared" si="203"/>
        <v>0.84499999999999986</v>
      </c>
      <c r="G261" s="296">
        <f t="shared" si="203"/>
        <v>0.84333333333333316</v>
      </c>
      <c r="H261" s="296">
        <f t="shared" si="203"/>
        <v>0.84166666666666645</v>
      </c>
      <c r="I261" s="296">
        <f t="shared" si="203"/>
        <v>0.83999999999999975</v>
      </c>
      <c r="J261" s="296">
        <f t="shared" si="203"/>
        <v>0.83833333333333304</v>
      </c>
      <c r="K261" s="296">
        <f t="shared" si="203"/>
        <v>0.83666666666666634</v>
      </c>
      <c r="L261" s="296">
        <f t="shared" si="203"/>
        <v>0.83499999999999963</v>
      </c>
      <c r="M261" s="296">
        <f t="shared" si="203"/>
        <v>0.83333333333333293</v>
      </c>
      <c r="N261" s="296">
        <f t="shared" si="203"/>
        <v>0.83166666666666622</v>
      </c>
      <c r="O261" s="296">
        <f t="shared" si="203"/>
        <v>0.82999999999999952</v>
      </c>
      <c r="P261" s="296">
        <f t="shared" si="203"/>
        <v>0.82833333333333281</v>
      </c>
      <c r="Q261" s="296">
        <f t="shared" si="203"/>
        <v>0.82666666666666611</v>
      </c>
      <c r="R261" s="296">
        <f t="shared" si="203"/>
        <v>0.8249999999999994</v>
      </c>
      <c r="S261" s="296">
        <f t="shared" si="203"/>
        <v>0.8233333333333327</v>
      </c>
      <c r="T261" s="296">
        <f t="shared" ref="T261:AF275" si="204">-($C261-$AG261)/30+S261</f>
        <v>0.82166666666666599</v>
      </c>
      <c r="U261" s="296">
        <f t="shared" si="204"/>
        <v>0.81999999999999929</v>
      </c>
      <c r="V261" s="296">
        <f t="shared" si="204"/>
        <v>0.81833333333333258</v>
      </c>
      <c r="W261" s="296">
        <f t="shared" si="204"/>
        <v>0.81666666666666587</v>
      </c>
      <c r="X261" s="296">
        <f t="shared" si="204"/>
        <v>0.81499999999999917</v>
      </c>
      <c r="Y261" s="296">
        <f t="shared" si="204"/>
        <v>0.81333333333333246</v>
      </c>
      <c r="Z261" s="296">
        <f t="shared" si="204"/>
        <v>0.81166666666666576</v>
      </c>
      <c r="AA261" s="296">
        <f t="shared" si="204"/>
        <v>0.80999999999999905</v>
      </c>
      <c r="AB261" s="296">
        <f t="shared" si="204"/>
        <v>0.80833333333333235</v>
      </c>
      <c r="AC261" s="296">
        <f t="shared" si="204"/>
        <v>0.80666666666666564</v>
      </c>
      <c r="AD261" s="296">
        <f t="shared" si="204"/>
        <v>0.80499999999999894</v>
      </c>
      <c r="AE261" s="296">
        <f t="shared" si="204"/>
        <v>0.80333333333333223</v>
      </c>
      <c r="AF261" s="296">
        <f t="shared" si="204"/>
        <v>0.80166666666666553</v>
      </c>
      <c r="AG261" s="275">
        <v>0.8</v>
      </c>
      <c r="AI261" s="295"/>
      <c r="AJ261" s="198" t="s">
        <v>1614</v>
      </c>
    </row>
    <row r="262" spans="1:36" s="1" customFormat="1" outlineLevel="1">
      <c r="A262" t="s">
        <v>731</v>
      </c>
      <c r="B262" s="281" t="s">
        <v>126</v>
      </c>
      <c r="C262" s="275">
        <v>0.15</v>
      </c>
      <c r="D262" s="296">
        <f t="shared" si="203"/>
        <v>0.15166666666666667</v>
      </c>
      <c r="E262" s="296">
        <f t="shared" si="203"/>
        <v>0.15333333333333335</v>
      </c>
      <c r="F262" s="296">
        <f t="shared" si="203"/>
        <v>0.15500000000000003</v>
      </c>
      <c r="G262" s="296">
        <f t="shared" si="203"/>
        <v>0.1566666666666667</v>
      </c>
      <c r="H262" s="296">
        <f t="shared" si="203"/>
        <v>0.15833333333333338</v>
      </c>
      <c r="I262" s="296">
        <f t="shared" si="203"/>
        <v>0.16000000000000006</v>
      </c>
      <c r="J262" s="296">
        <f t="shared" si="203"/>
        <v>0.16166666666666674</v>
      </c>
      <c r="K262" s="296">
        <f t="shared" si="203"/>
        <v>0.16333333333333341</v>
      </c>
      <c r="L262" s="296">
        <f t="shared" si="203"/>
        <v>0.16500000000000009</v>
      </c>
      <c r="M262" s="296">
        <f t="shared" si="203"/>
        <v>0.16666666666666677</v>
      </c>
      <c r="N262" s="296">
        <f t="shared" si="203"/>
        <v>0.16833333333333345</v>
      </c>
      <c r="O262" s="296">
        <f t="shared" si="203"/>
        <v>0.17000000000000012</v>
      </c>
      <c r="P262" s="296">
        <f t="shared" si="203"/>
        <v>0.1716666666666668</v>
      </c>
      <c r="Q262" s="296">
        <f t="shared" si="203"/>
        <v>0.17333333333333348</v>
      </c>
      <c r="R262" s="296">
        <f t="shared" si="203"/>
        <v>0.17500000000000016</v>
      </c>
      <c r="S262" s="296">
        <f t="shared" si="203"/>
        <v>0.17666666666666683</v>
      </c>
      <c r="T262" s="296">
        <f t="shared" si="204"/>
        <v>0.17833333333333351</v>
      </c>
      <c r="U262" s="296">
        <f t="shared" si="204"/>
        <v>0.18000000000000019</v>
      </c>
      <c r="V262" s="296">
        <f t="shared" si="204"/>
        <v>0.18166666666666687</v>
      </c>
      <c r="W262" s="296">
        <f t="shared" si="204"/>
        <v>0.18333333333333354</v>
      </c>
      <c r="X262" s="296">
        <f t="shared" si="204"/>
        <v>0.18500000000000022</v>
      </c>
      <c r="Y262" s="296">
        <f t="shared" si="204"/>
        <v>0.1866666666666669</v>
      </c>
      <c r="Z262" s="296">
        <f t="shared" si="204"/>
        <v>0.18833333333333357</v>
      </c>
      <c r="AA262" s="296">
        <f t="shared" si="204"/>
        <v>0.19000000000000025</v>
      </c>
      <c r="AB262" s="296">
        <f t="shared" si="204"/>
        <v>0.19166666666666693</v>
      </c>
      <c r="AC262" s="296">
        <f t="shared" si="204"/>
        <v>0.19333333333333361</v>
      </c>
      <c r="AD262" s="296">
        <f t="shared" si="204"/>
        <v>0.19500000000000028</v>
      </c>
      <c r="AE262" s="296">
        <f t="shared" si="204"/>
        <v>0.19666666666666696</v>
      </c>
      <c r="AF262" s="296">
        <f t="shared" si="204"/>
        <v>0.19833333333333364</v>
      </c>
      <c r="AG262" s="275">
        <v>0.2</v>
      </c>
      <c r="AI262" s="410" t="s">
        <v>858</v>
      </c>
      <c r="AJ262" s="198" t="s">
        <v>1614</v>
      </c>
    </row>
    <row r="263" spans="1:36" s="1" customFormat="1" outlineLevel="1">
      <c r="A263" t="s">
        <v>726</v>
      </c>
      <c r="B263" s="281" t="s">
        <v>126</v>
      </c>
      <c r="C263" s="275">
        <v>0.15</v>
      </c>
      <c r="D263" s="296">
        <f t="shared" si="203"/>
        <v>0.15633333333333332</v>
      </c>
      <c r="E263" s="296">
        <f t="shared" si="203"/>
        <v>0.16266666666666665</v>
      </c>
      <c r="F263" s="296">
        <f t="shared" si="203"/>
        <v>0.16899999999999998</v>
      </c>
      <c r="G263" s="296">
        <f t="shared" si="203"/>
        <v>0.17533333333333331</v>
      </c>
      <c r="H263" s="296">
        <f t="shared" si="203"/>
        <v>0.18166666666666664</v>
      </c>
      <c r="I263" s="296">
        <f t="shared" si="203"/>
        <v>0.18799999999999997</v>
      </c>
      <c r="J263" s="296">
        <f t="shared" si="203"/>
        <v>0.1943333333333333</v>
      </c>
      <c r="K263" s="296">
        <f t="shared" si="203"/>
        <v>0.20066666666666663</v>
      </c>
      <c r="L263" s="296">
        <f t="shared" si="203"/>
        <v>0.20699999999999996</v>
      </c>
      <c r="M263" s="296">
        <f t="shared" si="203"/>
        <v>0.21333333333333329</v>
      </c>
      <c r="N263" s="296">
        <f t="shared" si="203"/>
        <v>0.21966666666666662</v>
      </c>
      <c r="O263" s="296">
        <f t="shared" si="203"/>
        <v>0.22599999999999995</v>
      </c>
      <c r="P263" s="296">
        <f t="shared" si="203"/>
        <v>0.23233333333333328</v>
      </c>
      <c r="Q263" s="296">
        <f t="shared" si="203"/>
        <v>0.23866666666666661</v>
      </c>
      <c r="R263" s="296">
        <f t="shared" si="203"/>
        <v>0.24499999999999994</v>
      </c>
      <c r="S263" s="296">
        <f t="shared" si="203"/>
        <v>0.2513333333333333</v>
      </c>
      <c r="T263" s="296">
        <f t="shared" si="204"/>
        <v>0.25766666666666665</v>
      </c>
      <c r="U263" s="296">
        <f t="shared" si="204"/>
        <v>0.26400000000000001</v>
      </c>
      <c r="V263" s="296">
        <f t="shared" si="204"/>
        <v>0.27033333333333337</v>
      </c>
      <c r="W263" s="296">
        <f t="shared" si="204"/>
        <v>0.27666666666666673</v>
      </c>
      <c r="X263" s="296">
        <f t="shared" si="204"/>
        <v>0.28300000000000008</v>
      </c>
      <c r="Y263" s="296">
        <f t="shared" si="204"/>
        <v>0.28933333333333344</v>
      </c>
      <c r="Z263" s="296">
        <f t="shared" si="204"/>
        <v>0.2956666666666668</v>
      </c>
      <c r="AA263" s="296">
        <f t="shared" si="204"/>
        <v>0.30200000000000016</v>
      </c>
      <c r="AB263" s="296">
        <f t="shared" si="204"/>
        <v>0.30833333333333351</v>
      </c>
      <c r="AC263" s="296">
        <f t="shared" si="204"/>
        <v>0.31466666666666687</v>
      </c>
      <c r="AD263" s="296">
        <f t="shared" si="204"/>
        <v>0.32100000000000023</v>
      </c>
      <c r="AE263" s="296">
        <f t="shared" si="204"/>
        <v>0.32733333333333359</v>
      </c>
      <c r="AF263" s="296">
        <f t="shared" si="204"/>
        <v>0.33366666666666694</v>
      </c>
      <c r="AG263" s="275">
        <v>0.34</v>
      </c>
      <c r="AI263" s="295"/>
      <c r="AJ263" s="198" t="s">
        <v>1614</v>
      </c>
    </row>
    <row r="264" spans="1:36" s="1" customFormat="1" outlineLevel="1">
      <c r="A264" t="s">
        <v>727</v>
      </c>
      <c r="B264" s="281" t="s">
        <v>126</v>
      </c>
      <c r="C264" s="275">
        <v>0.85</v>
      </c>
      <c r="D264" s="296">
        <f t="shared" si="203"/>
        <v>0.84366666666666668</v>
      </c>
      <c r="E264" s="296">
        <f t="shared" si="203"/>
        <v>0.83733333333333337</v>
      </c>
      <c r="F264" s="296">
        <f t="shared" si="203"/>
        <v>0.83100000000000007</v>
      </c>
      <c r="G264" s="296">
        <f t="shared" si="203"/>
        <v>0.82466666666666677</v>
      </c>
      <c r="H264" s="296">
        <f t="shared" si="203"/>
        <v>0.81833333333333347</v>
      </c>
      <c r="I264" s="296">
        <f t="shared" si="203"/>
        <v>0.81200000000000017</v>
      </c>
      <c r="J264" s="296">
        <f t="shared" si="203"/>
        <v>0.80566666666666686</v>
      </c>
      <c r="K264" s="296">
        <f t="shared" si="203"/>
        <v>0.79933333333333356</v>
      </c>
      <c r="L264" s="296">
        <f t="shared" si="203"/>
        <v>0.79300000000000026</v>
      </c>
      <c r="M264" s="296">
        <f t="shared" si="203"/>
        <v>0.78666666666666696</v>
      </c>
      <c r="N264" s="296">
        <f t="shared" si="203"/>
        <v>0.78033333333333366</v>
      </c>
      <c r="O264" s="296">
        <f t="shared" si="203"/>
        <v>0.77400000000000035</v>
      </c>
      <c r="P264" s="296">
        <f t="shared" si="203"/>
        <v>0.76766666666666705</v>
      </c>
      <c r="Q264" s="296">
        <f t="shared" si="203"/>
        <v>0.76133333333333375</v>
      </c>
      <c r="R264" s="296">
        <f t="shared" si="203"/>
        <v>0.75500000000000045</v>
      </c>
      <c r="S264" s="296">
        <f t="shared" si="203"/>
        <v>0.74866666666666715</v>
      </c>
      <c r="T264" s="296">
        <f t="shared" si="204"/>
        <v>0.74233333333333384</v>
      </c>
      <c r="U264" s="296">
        <f t="shared" si="204"/>
        <v>0.73600000000000054</v>
      </c>
      <c r="V264" s="296">
        <f t="shared" si="204"/>
        <v>0.72966666666666724</v>
      </c>
      <c r="W264" s="296">
        <f t="shared" si="204"/>
        <v>0.72333333333333394</v>
      </c>
      <c r="X264" s="296">
        <f t="shared" si="204"/>
        <v>0.71700000000000064</v>
      </c>
      <c r="Y264" s="296">
        <f t="shared" si="204"/>
        <v>0.71066666666666733</v>
      </c>
      <c r="Z264" s="296">
        <f t="shared" si="204"/>
        <v>0.70433333333333403</v>
      </c>
      <c r="AA264" s="296">
        <f t="shared" si="204"/>
        <v>0.69800000000000073</v>
      </c>
      <c r="AB264" s="296">
        <f t="shared" si="204"/>
        <v>0.69166666666666743</v>
      </c>
      <c r="AC264" s="296">
        <f t="shared" si="204"/>
        <v>0.68533333333333413</v>
      </c>
      <c r="AD264" s="296">
        <f t="shared" si="204"/>
        <v>0.67900000000000083</v>
      </c>
      <c r="AE264" s="296">
        <f t="shared" si="204"/>
        <v>0.67266666666666752</v>
      </c>
      <c r="AF264" s="296">
        <f t="shared" si="204"/>
        <v>0.66633333333333422</v>
      </c>
      <c r="AG264" s="275">
        <v>0.66</v>
      </c>
      <c r="AI264" s="295"/>
      <c r="AJ264" s="198" t="s">
        <v>1614</v>
      </c>
    </row>
    <row r="265" spans="1:36" s="1" customFormat="1" outlineLevel="1">
      <c r="A265" t="s">
        <v>730</v>
      </c>
      <c r="B265" s="281" t="s">
        <v>126</v>
      </c>
      <c r="C265" s="275">
        <v>0</v>
      </c>
      <c r="D265" s="296">
        <f t="shared" si="203"/>
        <v>0</v>
      </c>
      <c r="E265" s="296">
        <f t="shared" si="203"/>
        <v>0</v>
      </c>
      <c r="F265" s="296">
        <f t="shared" si="203"/>
        <v>0</v>
      </c>
      <c r="G265" s="296">
        <f t="shared" si="203"/>
        <v>0</v>
      </c>
      <c r="H265" s="296">
        <f t="shared" si="203"/>
        <v>0</v>
      </c>
      <c r="I265" s="296">
        <f t="shared" si="203"/>
        <v>0</v>
      </c>
      <c r="J265" s="296">
        <f t="shared" si="203"/>
        <v>0</v>
      </c>
      <c r="K265" s="296">
        <f t="shared" si="203"/>
        <v>0</v>
      </c>
      <c r="L265" s="296">
        <f t="shared" si="203"/>
        <v>0</v>
      </c>
      <c r="M265" s="296">
        <f t="shared" si="203"/>
        <v>0</v>
      </c>
      <c r="N265" s="296">
        <f t="shared" si="203"/>
        <v>0</v>
      </c>
      <c r="O265" s="296">
        <f t="shared" si="203"/>
        <v>0</v>
      </c>
      <c r="P265" s="296">
        <f t="shared" si="203"/>
        <v>0</v>
      </c>
      <c r="Q265" s="296">
        <f t="shared" si="203"/>
        <v>0</v>
      </c>
      <c r="R265" s="296">
        <f t="shared" si="203"/>
        <v>0</v>
      </c>
      <c r="S265" s="296">
        <f t="shared" si="203"/>
        <v>0</v>
      </c>
      <c r="T265" s="296">
        <f t="shared" si="204"/>
        <v>0</v>
      </c>
      <c r="U265" s="296">
        <f t="shared" si="204"/>
        <v>0</v>
      </c>
      <c r="V265" s="296">
        <f t="shared" si="204"/>
        <v>0</v>
      </c>
      <c r="W265" s="296">
        <f t="shared" si="204"/>
        <v>0</v>
      </c>
      <c r="X265" s="296">
        <f t="shared" si="204"/>
        <v>0</v>
      </c>
      <c r="Y265" s="296">
        <f t="shared" si="204"/>
        <v>0</v>
      </c>
      <c r="Z265" s="296">
        <f t="shared" si="204"/>
        <v>0</v>
      </c>
      <c r="AA265" s="296">
        <f t="shared" si="204"/>
        <v>0</v>
      </c>
      <c r="AB265" s="296">
        <f t="shared" si="204"/>
        <v>0</v>
      </c>
      <c r="AC265" s="296">
        <f t="shared" si="204"/>
        <v>0</v>
      </c>
      <c r="AD265" s="296">
        <f t="shared" si="204"/>
        <v>0</v>
      </c>
      <c r="AE265" s="296">
        <f t="shared" si="204"/>
        <v>0</v>
      </c>
      <c r="AF265" s="296">
        <f t="shared" si="204"/>
        <v>0</v>
      </c>
      <c r="AG265" s="275">
        <v>0</v>
      </c>
      <c r="AI265" s="295"/>
      <c r="AJ265" s="198" t="s">
        <v>1615</v>
      </c>
    </row>
    <row r="266" spans="1:36" s="1" customFormat="1" outlineLevel="1">
      <c r="A266" t="s">
        <v>741</v>
      </c>
      <c r="B266" s="281" t="s">
        <v>126</v>
      </c>
      <c r="C266" s="275">
        <v>1</v>
      </c>
      <c r="D266" s="296">
        <f t="shared" si="203"/>
        <v>1</v>
      </c>
      <c r="E266" s="296">
        <f t="shared" si="203"/>
        <v>1</v>
      </c>
      <c r="F266" s="296">
        <f t="shared" si="203"/>
        <v>1</v>
      </c>
      <c r="G266" s="296">
        <f t="shared" si="203"/>
        <v>1</v>
      </c>
      <c r="H266" s="296">
        <f t="shared" si="203"/>
        <v>1</v>
      </c>
      <c r="I266" s="296">
        <f t="shared" si="203"/>
        <v>1</v>
      </c>
      <c r="J266" s="296">
        <f t="shared" si="203"/>
        <v>1</v>
      </c>
      <c r="K266" s="296">
        <f t="shared" si="203"/>
        <v>1</v>
      </c>
      <c r="L266" s="296">
        <f t="shared" si="203"/>
        <v>1</v>
      </c>
      <c r="M266" s="296">
        <f t="shared" si="203"/>
        <v>1</v>
      </c>
      <c r="N266" s="296">
        <f t="shared" si="203"/>
        <v>1</v>
      </c>
      <c r="O266" s="296">
        <f t="shared" si="203"/>
        <v>1</v>
      </c>
      <c r="P266" s="296">
        <f t="shared" si="203"/>
        <v>1</v>
      </c>
      <c r="Q266" s="296">
        <f t="shared" si="203"/>
        <v>1</v>
      </c>
      <c r="R266" s="296">
        <f t="shared" si="203"/>
        <v>1</v>
      </c>
      <c r="S266" s="296">
        <f t="shared" si="203"/>
        <v>1</v>
      </c>
      <c r="T266" s="296">
        <f t="shared" si="204"/>
        <v>1</v>
      </c>
      <c r="U266" s="296">
        <f t="shared" si="204"/>
        <v>1</v>
      </c>
      <c r="V266" s="296">
        <f t="shared" si="204"/>
        <v>1</v>
      </c>
      <c r="W266" s="296">
        <f t="shared" si="204"/>
        <v>1</v>
      </c>
      <c r="X266" s="296">
        <f t="shared" si="204"/>
        <v>1</v>
      </c>
      <c r="Y266" s="296">
        <f t="shared" si="204"/>
        <v>1</v>
      </c>
      <c r="Z266" s="296">
        <f t="shared" si="204"/>
        <v>1</v>
      </c>
      <c r="AA266" s="296">
        <f t="shared" si="204"/>
        <v>1</v>
      </c>
      <c r="AB266" s="296">
        <f t="shared" si="204"/>
        <v>1</v>
      </c>
      <c r="AC266" s="296">
        <f t="shared" si="204"/>
        <v>1</v>
      </c>
      <c r="AD266" s="296">
        <f t="shared" si="204"/>
        <v>1</v>
      </c>
      <c r="AE266" s="296">
        <f t="shared" si="204"/>
        <v>1</v>
      </c>
      <c r="AF266" s="296">
        <f t="shared" si="204"/>
        <v>1</v>
      </c>
      <c r="AG266" s="275">
        <v>1</v>
      </c>
      <c r="AI266" s="295"/>
      <c r="AJ266" s="198" t="s">
        <v>1616</v>
      </c>
    </row>
    <row r="267" spans="1:36" s="1" customFormat="1" outlineLevel="1">
      <c r="A267" t="s">
        <v>728</v>
      </c>
      <c r="B267" s="281" t="s">
        <v>126</v>
      </c>
      <c r="C267" s="275">
        <v>0.8</v>
      </c>
      <c r="D267" s="296">
        <f t="shared" si="203"/>
        <v>0.80333333333333334</v>
      </c>
      <c r="E267" s="296">
        <f t="shared" si="203"/>
        <v>0.80666666666666664</v>
      </c>
      <c r="F267" s="296">
        <f t="shared" si="203"/>
        <v>0.80999999999999994</v>
      </c>
      <c r="G267" s="296">
        <f t="shared" si="203"/>
        <v>0.81333333333333324</v>
      </c>
      <c r="H267" s="296">
        <f t="shared" si="203"/>
        <v>0.81666666666666654</v>
      </c>
      <c r="I267" s="296">
        <f t="shared" si="203"/>
        <v>0.81999999999999984</v>
      </c>
      <c r="J267" s="296">
        <f t="shared" si="203"/>
        <v>0.82333333333333314</v>
      </c>
      <c r="K267" s="296">
        <f t="shared" si="203"/>
        <v>0.82666666666666644</v>
      </c>
      <c r="L267" s="296">
        <f t="shared" si="203"/>
        <v>0.82999999999999974</v>
      </c>
      <c r="M267" s="296">
        <f t="shared" si="203"/>
        <v>0.83333333333333304</v>
      </c>
      <c r="N267" s="296">
        <f t="shared" si="203"/>
        <v>0.83666666666666634</v>
      </c>
      <c r="O267" s="296">
        <f t="shared" si="203"/>
        <v>0.83999999999999964</v>
      </c>
      <c r="P267" s="296">
        <f t="shared" si="203"/>
        <v>0.84333333333333294</v>
      </c>
      <c r="Q267" s="296">
        <f t="shared" si="203"/>
        <v>0.84666666666666623</v>
      </c>
      <c r="R267" s="296">
        <f t="shared" si="203"/>
        <v>0.84999999999999953</v>
      </c>
      <c r="S267" s="296">
        <f t="shared" si="203"/>
        <v>0.85333333333333283</v>
      </c>
      <c r="T267" s="296">
        <f t="shared" si="204"/>
        <v>0.85666666666666613</v>
      </c>
      <c r="U267" s="296">
        <f t="shared" si="204"/>
        <v>0.85999999999999943</v>
      </c>
      <c r="V267" s="296">
        <f t="shared" si="204"/>
        <v>0.86333333333333273</v>
      </c>
      <c r="W267" s="296">
        <f t="shared" si="204"/>
        <v>0.86666666666666603</v>
      </c>
      <c r="X267" s="296">
        <f t="shared" si="204"/>
        <v>0.86999999999999933</v>
      </c>
      <c r="Y267" s="296">
        <f t="shared" si="204"/>
        <v>0.87333333333333263</v>
      </c>
      <c r="Z267" s="296">
        <f t="shared" si="204"/>
        <v>0.87666666666666593</v>
      </c>
      <c r="AA267" s="296">
        <f t="shared" si="204"/>
        <v>0.87999999999999923</v>
      </c>
      <c r="AB267" s="296">
        <f t="shared" si="204"/>
        <v>0.88333333333333253</v>
      </c>
      <c r="AC267" s="296">
        <f t="shared" si="204"/>
        <v>0.88666666666666583</v>
      </c>
      <c r="AD267" s="296">
        <f t="shared" si="204"/>
        <v>0.88999999999999913</v>
      </c>
      <c r="AE267" s="296">
        <f t="shared" si="204"/>
        <v>0.89333333333333242</v>
      </c>
      <c r="AF267" s="296">
        <f t="shared" si="204"/>
        <v>0.89666666666666572</v>
      </c>
      <c r="AG267" s="275">
        <v>0.9</v>
      </c>
      <c r="AI267" s="295"/>
      <c r="AJ267" s="198" t="s">
        <v>1617</v>
      </c>
    </row>
    <row r="268" spans="1:36" s="1" customFormat="1" outlineLevel="1">
      <c r="A268" t="s">
        <v>729</v>
      </c>
      <c r="B268" s="281" t="s">
        <v>126</v>
      </c>
      <c r="C268" s="275">
        <v>0.2</v>
      </c>
      <c r="D268" s="296">
        <f t="shared" si="203"/>
        <v>0.19666666666666668</v>
      </c>
      <c r="E268" s="296">
        <f t="shared" si="203"/>
        <v>0.19333333333333336</v>
      </c>
      <c r="F268" s="296">
        <f t="shared" si="203"/>
        <v>0.19000000000000003</v>
      </c>
      <c r="G268" s="296">
        <f t="shared" si="203"/>
        <v>0.1866666666666667</v>
      </c>
      <c r="H268" s="296">
        <f t="shared" si="203"/>
        <v>0.18333333333333338</v>
      </c>
      <c r="I268" s="296">
        <f t="shared" si="203"/>
        <v>0.18000000000000005</v>
      </c>
      <c r="J268" s="296">
        <f t="shared" si="203"/>
        <v>0.17666666666666672</v>
      </c>
      <c r="K268" s="296">
        <f t="shared" si="203"/>
        <v>0.17333333333333339</v>
      </c>
      <c r="L268" s="296">
        <f t="shared" si="203"/>
        <v>0.17000000000000007</v>
      </c>
      <c r="M268" s="296">
        <f t="shared" si="203"/>
        <v>0.16666666666666674</v>
      </c>
      <c r="N268" s="296">
        <f t="shared" si="203"/>
        <v>0.16333333333333341</v>
      </c>
      <c r="O268" s="296">
        <f t="shared" si="203"/>
        <v>0.16000000000000009</v>
      </c>
      <c r="P268" s="296">
        <f t="shared" si="203"/>
        <v>0.15666666666666676</v>
      </c>
      <c r="Q268" s="296">
        <f t="shared" si="203"/>
        <v>0.15333333333333343</v>
      </c>
      <c r="R268" s="296">
        <f t="shared" si="203"/>
        <v>0.15000000000000011</v>
      </c>
      <c r="S268" s="296">
        <f t="shared" si="203"/>
        <v>0.14666666666666678</v>
      </c>
      <c r="T268" s="296">
        <f t="shared" si="204"/>
        <v>0.14333333333333345</v>
      </c>
      <c r="U268" s="296">
        <f t="shared" si="204"/>
        <v>0.14000000000000012</v>
      </c>
      <c r="V268" s="296">
        <f t="shared" si="204"/>
        <v>0.1366666666666668</v>
      </c>
      <c r="W268" s="296">
        <f t="shared" si="204"/>
        <v>0.13333333333333347</v>
      </c>
      <c r="X268" s="296">
        <f t="shared" si="204"/>
        <v>0.13000000000000014</v>
      </c>
      <c r="Y268" s="296">
        <f t="shared" si="204"/>
        <v>0.12666666666666682</v>
      </c>
      <c r="Z268" s="296">
        <f t="shared" si="204"/>
        <v>0.12333333333333349</v>
      </c>
      <c r="AA268" s="296">
        <f t="shared" si="204"/>
        <v>0.12000000000000016</v>
      </c>
      <c r="AB268" s="296">
        <f t="shared" si="204"/>
        <v>0.11666666666666684</v>
      </c>
      <c r="AC268" s="296">
        <f t="shared" si="204"/>
        <v>0.11333333333333351</v>
      </c>
      <c r="AD268" s="296">
        <f t="shared" si="204"/>
        <v>0.11000000000000018</v>
      </c>
      <c r="AE268" s="296">
        <f t="shared" si="204"/>
        <v>0.10666666666666685</v>
      </c>
      <c r="AF268" s="296">
        <f t="shared" si="204"/>
        <v>0.10333333333333353</v>
      </c>
      <c r="AG268" s="275">
        <v>0.1</v>
      </c>
      <c r="AI268" s="295"/>
      <c r="AJ268" s="198" t="s">
        <v>1618</v>
      </c>
    </row>
    <row r="269" spans="1:36" s="1" customFormat="1" outlineLevel="1">
      <c r="A269" t="s">
        <v>739</v>
      </c>
      <c r="B269" s="281" t="s">
        <v>126</v>
      </c>
      <c r="C269" s="275">
        <v>0.95</v>
      </c>
      <c r="D269" s="296">
        <f t="shared" si="203"/>
        <v>0.94866666666666666</v>
      </c>
      <c r="E269" s="296">
        <f t="shared" si="203"/>
        <v>0.94733333333333336</v>
      </c>
      <c r="F269" s="296">
        <f t="shared" si="203"/>
        <v>0.94600000000000006</v>
      </c>
      <c r="G269" s="296">
        <f t="shared" si="203"/>
        <v>0.94466666666666677</v>
      </c>
      <c r="H269" s="296">
        <f t="shared" si="203"/>
        <v>0.94333333333333347</v>
      </c>
      <c r="I269" s="296">
        <f t="shared" si="203"/>
        <v>0.94200000000000017</v>
      </c>
      <c r="J269" s="296">
        <f t="shared" si="203"/>
        <v>0.94066666666666687</v>
      </c>
      <c r="K269" s="296">
        <f t="shared" si="203"/>
        <v>0.93933333333333358</v>
      </c>
      <c r="L269" s="296">
        <f t="shared" si="203"/>
        <v>0.93800000000000028</v>
      </c>
      <c r="M269" s="296">
        <f t="shared" si="203"/>
        <v>0.93666666666666698</v>
      </c>
      <c r="N269" s="296">
        <f t="shared" si="203"/>
        <v>0.93533333333333368</v>
      </c>
      <c r="O269" s="296">
        <f t="shared" si="203"/>
        <v>0.93400000000000039</v>
      </c>
      <c r="P269" s="296">
        <f t="shared" si="203"/>
        <v>0.93266666666666709</v>
      </c>
      <c r="Q269" s="296">
        <f t="shared" si="203"/>
        <v>0.93133333333333379</v>
      </c>
      <c r="R269" s="296">
        <f t="shared" si="203"/>
        <v>0.93000000000000049</v>
      </c>
      <c r="S269" s="296">
        <f t="shared" si="203"/>
        <v>0.9286666666666672</v>
      </c>
      <c r="T269" s="296">
        <f t="shared" si="204"/>
        <v>0.9273333333333339</v>
      </c>
      <c r="U269" s="296">
        <f t="shared" si="204"/>
        <v>0.9260000000000006</v>
      </c>
      <c r="V269" s="296">
        <f t="shared" si="204"/>
        <v>0.9246666666666673</v>
      </c>
      <c r="W269" s="296">
        <f t="shared" si="204"/>
        <v>0.92333333333333401</v>
      </c>
      <c r="X269" s="296">
        <f t="shared" si="204"/>
        <v>0.92200000000000071</v>
      </c>
      <c r="Y269" s="296">
        <f t="shared" si="204"/>
        <v>0.92066666666666741</v>
      </c>
      <c r="Z269" s="296">
        <f t="shared" si="204"/>
        <v>0.91933333333333411</v>
      </c>
      <c r="AA269" s="296">
        <f t="shared" si="204"/>
        <v>0.91800000000000082</v>
      </c>
      <c r="AB269" s="296">
        <f t="shared" si="204"/>
        <v>0.91666666666666752</v>
      </c>
      <c r="AC269" s="296">
        <f t="shared" si="204"/>
        <v>0.91533333333333422</v>
      </c>
      <c r="AD269" s="296">
        <f t="shared" si="204"/>
        <v>0.91400000000000092</v>
      </c>
      <c r="AE269" s="296">
        <f t="shared" si="204"/>
        <v>0.91266666666666763</v>
      </c>
      <c r="AF269" s="296">
        <f t="shared" si="204"/>
        <v>0.91133333333333433</v>
      </c>
      <c r="AG269" s="275">
        <v>0.91</v>
      </c>
      <c r="AI269" s="295"/>
      <c r="AJ269" s="198" t="s">
        <v>1619</v>
      </c>
    </row>
    <row r="270" spans="1:36" s="1" customFormat="1" outlineLevel="1">
      <c r="A270" t="s">
        <v>740</v>
      </c>
      <c r="B270" s="281" t="s">
        <v>126</v>
      </c>
      <c r="C270" s="275">
        <v>0.05</v>
      </c>
      <c r="D270" s="296">
        <f t="shared" si="203"/>
        <v>5.1333333333333335E-2</v>
      </c>
      <c r="E270" s="296">
        <f t="shared" si="203"/>
        <v>5.2666666666666667E-2</v>
      </c>
      <c r="F270" s="296">
        <f t="shared" si="203"/>
        <v>5.3999999999999999E-2</v>
      </c>
      <c r="G270" s="296">
        <f t="shared" si="203"/>
        <v>5.5333333333333332E-2</v>
      </c>
      <c r="H270" s="296">
        <f t="shared" si="203"/>
        <v>5.6666666666666664E-2</v>
      </c>
      <c r="I270" s="296">
        <f t="shared" si="203"/>
        <v>5.7999999999999996E-2</v>
      </c>
      <c r="J270" s="296">
        <f t="shared" si="203"/>
        <v>5.9333333333333328E-2</v>
      </c>
      <c r="K270" s="296">
        <f t="shared" si="203"/>
        <v>6.066666666666666E-2</v>
      </c>
      <c r="L270" s="296">
        <f t="shared" si="203"/>
        <v>6.1999999999999993E-2</v>
      </c>
      <c r="M270" s="296">
        <f t="shared" si="203"/>
        <v>6.3333333333333325E-2</v>
      </c>
      <c r="N270" s="296">
        <f t="shared" si="203"/>
        <v>6.4666666666666664E-2</v>
      </c>
      <c r="O270" s="296">
        <f t="shared" si="203"/>
        <v>6.6000000000000003E-2</v>
      </c>
      <c r="P270" s="296">
        <f t="shared" si="203"/>
        <v>6.7333333333333342E-2</v>
      </c>
      <c r="Q270" s="296">
        <f t="shared" si="203"/>
        <v>6.8666666666666681E-2</v>
      </c>
      <c r="R270" s="296">
        <f t="shared" si="203"/>
        <v>7.0000000000000021E-2</v>
      </c>
      <c r="S270" s="296">
        <f t="shared" si="203"/>
        <v>7.133333333333336E-2</v>
      </c>
      <c r="T270" s="296">
        <f t="shared" si="204"/>
        <v>7.2666666666666699E-2</v>
      </c>
      <c r="U270" s="296">
        <f t="shared" si="204"/>
        <v>7.4000000000000038E-2</v>
      </c>
      <c r="V270" s="296">
        <f t="shared" si="204"/>
        <v>7.5333333333333377E-2</v>
      </c>
      <c r="W270" s="296">
        <f t="shared" si="204"/>
        <v>7.6666666666666716E-2</v>
      </c>
      <c r="X270" s="296">
        <f t="shared" si="204"/>
        <v>7.8000000000000055E-2</v>
      </c>
      <c r="Y270" s="296">
        <f t="shared" si="204"/>
        <v>7.9333333333333395E-2</v>
      </c>
      <c r="Z270" s="296">
        <f t="shared" si="204"/>
        <v>8.0666666666666734E-2</v>
      </c>
      <c r="AA270" s="296">
        <f t="shared" si="204"/>
        <v>8.2000000000000073E-2</v>
      </c>
      <c r="AB270" s="296">
        <f t="shared" si="204"/>
        <v>8.3333333333333412E-2</v>
      </c>
      <c r="AC270" s="296">
        <f t="shared" si="204"/>
        <v>8.4666666666666751E-2</v>
      </c>
      <c r="AD270" s="296">
        <f t="shared" si="204"/>
        <v>8.600000000000009E-2</v>
      </c>
      <c r="AE270" s="296">
        <f t="shared" si="204"/>
        <v>8.7333333333333429E-2</v>
      </c>
      <c r="AF270" s="296">
        <f t="shared" si="204"/>
        <v>8.8666666666666769E-2</v>
      </c>
      <c r="AG270" s="275">
        <v>0.09</v>
      </c>
      <c r="AI270" s="295"/>
      <c r="AJ270" s="198" t="s">
        <v>1620</v>
      </c>
    </row>
    <row r="271" spans="1:36" s="1" customFormat="1" outlineLevel="1">
      <c r="A271" t="s">
        <v>742</v>
      </c>
      <c r="B271" s="281"/>
      <c r="C271" s="275">
        <v>0.27</v>
      </c>
      <c r="D271" s="296">
        <f t="shared" si="203"/>
        <v>0.26600000000000001</v>
      </c>
      <c r="E271" s="296">
        <f t="shared" si="203"/>
        <v>0.26200000000000001</v>
      </c>
      <c r="F271" s="296">
        <f t="shared" si="203"/>
        <v>0.25800000000000001</v>
      </c>
      <c r="G271" s="296">
        <f t="shared" si="203"/>
        <v>0.254</v>
      </c>
      <c r="H271" s="296">
        <f t="shared" si="203"/>
        <v>0.25</v>
      </c>
      <c r="I271" s="296">
        <f t="shared" si="203"/>
        <v>0.246</v>
      </c>
      <c r="J271" s="296">
        <f t="shared" si="203"/>
        <v>0.24199999999999999</v>
      </c>
      <c r="K271" s="296">
        <f t="shared" si="203"/>
        <v>0.23799999999999999</v>
      </c>
      <c r="L271" s="296">
        <f t="shared" si="203"/>
        <v>0.23399999999999999</v>
      </c>
      <c r="M271" s="296">
        <f t="shared" si="203"/>
        <v>0.22999999999999998</v>
      </c>
      <c r="N271" s="296">
        <f t="shared" si="203"/>
        <v>0.22599999999999998</v>
      </c>
      <c r="O271" s="296">
        <f t="shared" si="203"/>
        <v>0.22199999999999998</v>
      </c>
      <c r="P271" s="296">
        <f t="shared" si="203"/>
        <v>0.21799999999999997</v>
      </c>
      <c r="Q271" s="296">
        <f t="shared" si="203"/>
        <v>0.21399999999999997</v>
      </c>
      <c r="R271" s="296">
        <f t="shared" si="203"/>
        <v>0.20999999999999996</v>
      </c>
      <c r="S271" s="296">
        <f t="shared" si="203"/>
        <v>0.20599999999999996</v>
      </c>
      <c r="T271" s="296">
        <f t="shared" si="204"/>
        <v>0.20199999999999996</v>
      </c>
      <c r="U271" s="296">
        <f t="shared" si="204"/>
        <v>0.19799999999999995</v>
      </c>
      <c r="V271" s="296">
        <f t="shared" si="204"/>
        <v>0.19399999999999995</v>
      </c>
      <c r="W271" s="296">
        <f t="shared" si="204"/>
        <v>0.18999999999999995</v>
      </c>
      <c r="X271" s="296">
        <f t="shared" si="204"/>
        <v>0.18599999999999994</v>
      </c>
      <c r="Y271" s="296">
        <f t="shared" si="204"/>
        <v>0.18199999999999994</v>
      </c>
      <c r="Z271" s="296">
        <f t="shared" si="204"/>
        <v>0.17799999999999994</v>
      </c>
      <c r="AA271" s="296">
        <f t="shared" si="204"/>
        <v>0.17399999999999993</v>
      </c>
      <c r="AB271" s="296">
        <f t="shared" si="204"/>
        <v>0.16999999999999993</v>
      </c>
      <c r="AC271" s="296">
        <f t="shared" si="204"/>
        <v>0.16599999999999993</v>
      </c>
      <c r="AD271" s="296">
        <f t="shared" si="204"/>
        <v>0.16199999999999992</v>
      </c>
      <c r="AE271" s="296">
        <f t="shared" si="204"/>
        <v>0.15799999999999992</v>
      </c>
      <c r="AF271" s="296">
        <f t="shared" si="204"/>
        <v>0.15399999999999991</v>
      </c>
      <c r="AG271" s="275">
        <v>0.15</v>
      </c>
      <c r="AI271" s="295"/>
      <c r="AJ271" s="198"/>
    </row>
    <row r="272" spans="1:36" s="62" customFormat="1" outlineLevel="1">
      <c r="A272" s="322" t="s">
        <v>733</v>
      </c>
      <c r="B272" s="287" t="s">
        <v>126</v>
      </c>
      <c r="C272" s="314">
        <v>0.16</v>
      </c>
      <c r="D272" s="315">
        <f t="shared" si="203"/>
        <v>0.16533333333333333</v>
      </c>
      <c r="E272" s="315">
        <f t="shared" si="203"/>
        <v>0.17066666666666666</v>
      </c>
      <c r="F272" s="315">
        <f t="shared" si="203"/>
        <v>0.17599999999999999</v>
      </c>
      <c r="G272" s="315">
        <f t="shared" si="203"/>
        <v>0.18133333333333332</v>
      </c>
      <c r="H272" s="315">
        <f t="shared" si="203"/>
        <v>0.18666666666666665</v>
      </c>
      <c r="I272" s="315">
        <f t="shared" si="203"/>
        <v>0.19199999999999998</v>
      </c>
      <c r="J272" s="315">
        <f t="shared" si="203"/>
        <v>0.19733333333333331</v>
      </c>
      <c r="K272" s="315">
        <f t="shared" si="203"/>
        <v>0.20266666666666663</v>
      </c>
      <c r="L272" s="315">
        <f t="shared" si="203"/>
        <v>0.20799999999999996</v>
      </c>
      <c r="M272" s="315">
        <f t="shared" si="203"/>
        <v>0.21333333333333329</v>
      </c>
      <c r="N272" s="315">
        <f t="shared" si="203"/>
        <v>0.21866666666666662</v>
      </c>
      <c r="O272" s="315">
        <f t="shared" si="203"/>
        <v>0.22399999999999995</v>
      </c>
      <c r="P272" s="315">
        <f t="shared" si="203"/>
        <v>0.22933333333333328</v>
      </c>
      <c r="Q272" s="315">
        <f t="shared" si="203"/>
        <v>0.23466666666666661</v>
      </c>
      <c r="R272" s="315">
        <f t="shared" si="203"/>
        <v>0.23999999999999994</v>
      </c>
      <c r="S272" s="315">
        <f t="shared" si="203"/>
        <v>0.24533333333333326</v>
      </c>
      <c r="T272" s="315">
        <f t="shared" si="204"/>
        <v>0.25066666666666659</v>
      </c>
      <c r="U272" s="315">
        <f t="shared" si="204"/>
        <v>0.25599999999999995</v>
      </c>
      <c r="V272" s="315">
        <f t="shared" si="204"/>
        <v>0.26133333333333331</v>
      </c>
      <c r="W272" s="315">
        <f t="shared" si="204"/>
        <v>0.26666666666666666</v>
      </c>
      <c r="X272" s="315">
        <f t="shared" si="204"/>
        <v>0.27200000000000002</v>
      </c>
      <c r="Y272" s="315">
        <f t="shared" si="204"/>
        <v>0.27733333333333338</v>
      </c>
      <c r="Z272" s="315">
        <f t="shared" si="204"/>
        <v>0.28266666666666673</v>
      </c>
      <c r="AA272" s="315">
        <f t="shared" si="204"/>
        <v>0.28800000000000009</v>
      </c>
      <c r="AB272" s="315">
        <f t="shared" si="204"/>
        <v>0.29333333333333345</v>
      </c>
      <c r="AC272" s="315">
        <f t="shared" si="204"/>
        <v>0.2986666666666668</v>
      </c>
      <c r="AD272" s="315">
        <f t="shared" si="204"/>
        <v>0.30400000000000016</v>
      </c>
      <c r="AE272" s="315">
        <f t="shared" si="204"/>
        <v>0.30933333333333352</v>
      </c>
      <c r="AF272" s="315">
        <f t="shared" si="204"/>
        <v>0.31466666666666687</v>
      </c>
      <c r="AG272" s="314">
        <v>0.32</v>
      </c>
      <c r="AI272" s="314"/>
      <c r="AJ272" s="316" t="s">
        <v>1620</v>
      </c>
    </row>
    <row r="273" spans="1:36" outlineLevel="1">
      <c r="A273" s="323" t="s">
        <v>734</v>
      </c>
      <c r="B273" s="281" t="s">
        <v>126</v>
      </c>
      <c r="C273" s="275">
        <v>0.37</v>
      </c>
      <c r="D273" s="296">
        <f t="shared" si="203"/>
        <v>0.37166666666666665</v>
      </c>
      <c r="E273" s="296">
        <f t="shared" si="203"/>
        <v>0.37333333333333329</v>
      </c>
      <c r="F273" s="296">
        <f t="shared" si="203"/>
        <v>0.37499999999999994</v>
      </c>
      <c r="G273" s="296">
        <f t="shared" si="203"/>
        <v>0.37666666666666659</v>
      </c>
      <c r="H273" s="296">
        <f t="shared" si="203"/>
        <v>0.37833333333333324</v>
      </c>
      <c r="I273" s="296">
        <f t="shared" si="203"/>
        <v>0.37999999999999989</v>
      </c>
      <c r="J273" s="296">
        <f t="shared" si="203"/>
        <v>0.38166666666666654</v>
      </c>
      <c r="K273" s="296">
        <f t="shared" si="203"/>
        <v>0.38333333333333319</v>
      </c>
      <c r="L273" s="296">
        <f t="shared" si="203"/>
        <v>0.38499999999999984</v>
      </c>
      <c r="M273" s="296">
        <f t="shared" si="203"/>
        <v>0.38666666666666649</v>
      </c>
      <c r="N273" s="296">
        <f t="shared" si="203"/>
        <v>0.38833333333333314</v>
      </c>
      <c r="O273" s="296">
        <f t="shared" si="203"/>
        <v>0.38999999999999979</v>
      </c>
      <c r="P273" s="296">
        <f t="shared" si="203"/>
        <v>0.39166666666666644</v>
      </c>
      <c r="Q273" s="296">
        <f t="shared" si="203"/>
        <v>0.39333333333333309</v>
      </c>
      <c r="R273" s="296">
        <f t="shared" si="203"/>
        <v>0.39499999999999974</v>
      </c>
      <c r="S273" s="296">
        <f t="shared" si="203"/>
        <v>0.39666666666666639</v>
      </c>
      <c r="T273" s="296">
        <f t="shared" si="204"/>
        <v>0.39833333333333304</v>
      </c>
      <c r="U273" s="296">
        <f t="shared" si="204"/>
        <v>0.39999999999999969</v>
      </c>
      <c r="V273" s="296">
        <f t="shared" si="204"/>
        <v>0.40166666666666634</v>
      </c>
      <c r="W273" s="296">
        <f t="shared" si="204"/>
        <v>0.40333333333333299</v>
      </c>
      <c r="X273" s="296">
        <f t="shared" si="204"/>
        <v>0.40499999999999964</v>
      </c>
      <c r="Y273" s="296">
        <f t="shared" si="204"/>
        <v>0.40666666666666629</v>
      </c>
      <c r="Z273" s="296">
        <f t="shared" si="204"/>
        <v>0.40833333333333294</v>
      </c>
      <c r="AA273" s="296">
        <f t="shared" si="204"/>
        <v>0.40999999999999959</v>
      </c>
      <c r="AB273" s="296">
        <f t="shared" si="204"/>
        <v>0.41166666666666624</v>
      </c>
      <c r="AC273" s="296">
        <f t="shared" si="204"/>
        <v>0.41333333333333289</v>
      </c>
      <c r="AD273" s="296">
        <f t="shared" si="204"/>
        <v>0.41499999999999954</v>
      </c>
      <c r="AE273" s="296">
        <f t="shared" si="204"/>
        <v>0.41666666666666619</v>
      </c>
      <c r="AF273" s="296">
        <f t="shared" si="204"/>
        <v>0.41833333333333284</v>
      </c>
      <c r="AG273" s="275">
        <v>0.42</v>
      </c>
      <c r="AI273" s="275"/>
      <c r="AJ273" s="198" t="s">
        <v>1621</v>
      </c>
    </row>
    <row r="274" spans="1:36" outlineLevel="1">
      <c r="A274" s="323" t="s">
        <v>735</v>
      </c>
      <c r="B274" s="281" t="s">
        <v>126</v>
      </c>
      <c r="C274" s="275">
        <v>0.08</v>
      </c>
      <c r="D274" s="296">
        <f t="shared" si="203"/>
        <v>7.7666666666666662E-2</v>
      </c>
      <c r="E274" s="296">
        <f t="shared" si="203"/>
        <v>7.5333333333333322E-2</v>
      </c>
      <c r="F274" s="296">
        <f t="shared" si="203"/>
        <v>7.2999999999999982E-2</v>
      </c>
      <c r="G274" s="296">
        <f t="shared" si="203"/>
        <v>7.0666666666666642E-2</v>
      </c>
      <c r="H274" s="296">
        <f t="shared" si="203"/>
        <v>6.8333333333333302E-2</v>
      </c>
      <c r="I274" s="296">
        <f t="shared" si="203"/>
        <v>6.5999999999999961E-2</v>
      </c>
      <c r="J274" s="296">
        <f t="shared" si="203"/>
        <v>6.3666666666666621E-2</v>
      </c>
      <c r="K274" s="296">
        <f t="shared" si="203"/>
        <v>6.1333333333333288E-2</v>
      </c>
      <c r="L274" s="296">
        <f t="shared" si="203"/>
        <v>5.8999999999999955E-2</v>
      </c>
      <c r="M274" s="296">
        <f t="shared" si="203"/>
        <v>5.6666666666666622E-2</v>
      </c>
      <c r="N274" s="296">
        <f t="shared" si="203"/>
        <v>5.4333333333333289E-2</v>
      </c>
      <c r="O274" s="296">
        <f t="shared" si="203"/>
        <v>5.1999999999999956E-2</v>
      </c>
      <c r="P274" s="296">
        <f t="shared" si="203"/>
        <v>4.9666666666666623E-2</v>
      </c>
      <c r="Q274" s="296">
        <f t="shared" si="203"/>
        <v>4.733333333333329E-2</v>
      </c>
      <c r="R274" s="296">
        <f t="shared" si="203"/>
        <v>4.4999999999999957E-2</v>
      </c>
      <c r="S274" s="296">
        <f t="shared" si="203"/>
        <v>4.2666666666666624E-2</v>
      </c>
      <c r="T274" s="296">
        <f t="shared" si="204"/>
        <v>4.0333333333333291E-2</v>
      </c>
      <c r="U274" s="296">
        <f t="shared" si="204"/>
        <v>3.7999999999999957E-2</v>
      </c>
      <c r="V274" s="296">
        <f t="shared" si="204"/>
        <v>3.5666666666666624E-2</v>
      </c>
      <c r="W274" s="296">
        <f t="shared" si="204"/>
        <v>3.3333333333333291E-2</v>
      </c>
      <c r="X274" s="296">
        <f t="shared" si="204"/>
        <v>3.0999999999999958E-2</v>
      </c>
      <c r="Y274" s="296">
        <f t="shared" si="204"/>
        <v>2.8666666666666625E-2</v>
      </c>
      <c r="Z274" s="296">
        <f t="shared" si="204"/>
        <v>2.6333333333333292E-2</v>
      </c>
      <c r="AA274" s="296">
        <f t="shared" si="204"/>
        <v>2.3999999999999959E-2</v>
      </c>
      <c r="AB274" s="296">
        <f t="shared" si="204"/>
        <v>2.1666666666666626E-2</v>
      </c>
      <c r="AC274" s="296">
        <f t="shared" si="204"/>
        <v>1.9333333333333293E-2</v>
      </c>
      <c r="AD274" s="296">
        <f t="shared" si="204"/>
        <v>1.699999999999996E-2</v>
      </c>
      <c r="AE274" s="296">
        <f t="shared" si="204"/>
        <v>1.4666666666666626E-2</v>
      </c>
      <c r="AF274" s="296">
        <f t="shared" si="204"/>
        <v>1.2333333333333293E-2</v>
      </c>
      <c r="AG274" s="275">
        <v>0.01</v>
      </c>
      <c r="AI274" s="275"/>
      <c r="AJ274" s="198" t="s">
        <v>1622</v>
      </c>
    </row>
    <row r="275" spans="1:36" outlineLevel="1">
      <c r="A275" s="323" t="s">
        <v>736</v>
      </c>
      <c r="B275" s="281" t="s">
        <v>126</v>
      </c>
      <c r="C275" s="275">
        <v>0.27</v>
      </c>
      <c r="D275" s="296">
        <f t="shared" si="203"/>
        <v>0.26633333333333337</v>
      </c>
      <c r="E275" s="296">
        <f t="shared" si="203"/>
        <v>0.26266666666666671</v>
      </c>
      <c r="F275" s="296">
        <f t="shared" si="203"/>
        <v>0.25900000000000006</v>
      </c>
      <c r="G275" s="296">
        <f t="shared" si="203"/>
        <v>0.25533333333333341</v>
      </c>
      <c r="H275" s="296">
        <f t="shared" si="203"/>
        <v>0.25166666666666676</v>
      </c>
      <c r="I275" s="296">
        <f t="shared" si="203"/>
        <v>0.24800000000000008</v>
      </c>
      <c r="J275" s="296">
        <f t="shared" si="203"/>
        <v>0.2443333333333334</v>
      </c>
      <c r="K275" s="296">
        <f t="shared" si="203"/>
        <v>0.24066666666666672</v>
      </c>
      <c r="L275" s="296">
        <f t="shared" si="203"/>
        <v>0.23700000000000004</v>
      </c>
      <c r="M275" s="296">
        <f t="shared" si="203"/>
        <v>0.23333333333333336</v>
      </c>
      <c r="N275" s="296">
        <f t="shared" si="203"/>
        <v>0.22966666666666669</v>
      </c>
      <c r="O275" s="296">
        <f t="shared" si="203"/>
        <v>0.22600000000000001</v>
      </c>
      <c r="P275" s="296">
        <f t="shared" si="203"/>
        <v>0.22233333333333333</v>
      </c>
      <c r="Q275" s="296">
        <f t="shared" si="203"/>
        <v>0.21866666666666665</v>
      </c>
      <c r="R275" s="296">
        <f t="shared" si="203"/>
        <v>0.21499999999999997</v>
      </c>
      <c r="S275" s="296">
        <f t="shared" si="203"/>
        <v>0.21133333333333329</v>
      </c>
      <c r="T275" s="296">
        <f t="shared" si="204"/>
        <v>0.20766666666666661</v>
      </c>
      <c r="U275" s="296">
        <f t="shared" si="204"/>
        <v>0.20399999999999993</v>
      </c>
      <c r="V275" s="296">
        <f t="shared" si="204"/>
        <v>0.20033333333333325</v>
      </c>
      <c r="W275" s="296">
        <f t="shared" si="204"/>
        <v>0.19666666666666657</v>
      </c>
      <c r="X275" s="296">
        <f t="shared" si="204"/>
        <v>0.19299999999999989</v>
      </c>
      <c r="Y275" s="296">
        <f t="shared" si="204"/>
        <v>0.18933333333333321</v>
      </c>
      <c r="Z275" s="296">
        <f t="shared" si="204"/>
        <v>0.18566666666666654</v>
      </c>
      <c r="AA275" s="296">
        <f t="shared" si="204"/>
        <v>0.18199999999999986</v>
      </c>
      <c r="AB275" s="296">
        <f t="shared" si="204"/>
        <v>0.17833333333333318</v>
      </c>
      <c r="AC275" s="296">
        <f t="shared" si="204"/>
        <v>0.1746666666666665</v>
      </c>
      <c r="AD275" s="296">
        <f t="shared" si="204"/>
        <v>0.17099999999999982</v>
      </c>
      <c r="AE275" s="296">
        <f t="shared" si="204"/>
        <v>0.16733333333333314</v>
      </c>
      <c r="AF275" s="296">
        <f t="shared" si="204"/>
        <v>0.16366666666666646</v>
      </c>
      <c r="AG275" s="275">
        <v>0.16</v>
      </c>
      <c r="AI275" s="275"/>
      <c r="AJ275" s="198" t="s">
        <v>1623</v>
      </c>
    </row>
    <row r="276" spans="1:36" outlineLevel="1">
      <c r="A276" s="323" t="s">
        <v>737</v>
      </c>
      <c r="B276" s="281" t="s">
        <v>126</v>
      </c>
      <c r="C276" s="275">
        <v>7.0000000000000007E-2</v>
      </c>
      <c r="D276" s="296">
        <f t="shared" si="203"/>
        <v>6.9666666666666668E-2</v>
      </c>
      <c r="E276" s="296">
        <f t="shared" si="203"/>
        <v>6.933333333333333E-2</v>
      </c>
      <c r="F276" s="296">
        <f t="shared" si="203"/>
        <v>6.8999999999999992E-2</v>
      </c>
      <c r="G276" s="296">
        <f t="shared" si="203"/>
        <v>6.8666666666666654E-2</v>
      </c>
      <c r="H276" s="296">
        <f t="shared" si="203"/>
        <v>6.8333333333333315E-2</v>
      </c>
      <c r="I276" s="296">
        <f t="shared" si="203"/>
        <v>6.7999999999999977E-2</v>
      </c>
      <c r="J276" s="296">
        <f t="shared" si="203"/>
        <v>6.7666666666666639E-2</v>
      </c>
      <c r="K276" s="296">
        <f t="shared" si="203"/>
        <v>6.7333333333333301E-2</v>
      </c>
      <c r="L276" s="296">
        <f t="shared" si="203"/>
        <v>6.6999999999999962E-2</v>
      </c>
      <c r="M276" s="296">
        <f t="shared" si="203"/>
        <v>6.6666666666666624E-2</v>
      </c>
      <c r="N276" s="296">
        <f t="shared" si="203"/>
        <v>6.6333333333333286E-2</v>
      </c>
      <c r="O276" s="296">
        <f t="shared" si="203"/>
        <v>6.5999999999999948E-2</v>
      </c>
      <c r="P276" s="296">
        <f t="shared" si="203"/>
        <v>6.5666666666666609E-2</v>
      </c>
      <c r="Q276" s="296">
        <f t="shared" si="203"/>
        <v>6.5333333333333271E-2</v>
      </c>
      <c r="R276" s="296">
        <f t="shared" si="203"/>
        <v>6.4999999999999933E-2</v>
      </c>
      <c r="S276" s="296">
        <f t="shared" ref="S276:AF276" si="205">-($C276-$AG276)/30+R276</f>
        <v>6.4666666666666595E-2</v>
      </c>
      <c r="T276" s="296">
        <f t="shared" si="205"/>
        <v>6.4333333333333256E-2</v>
      </c>
      <c r="U276" s="296">
        <f t="shared" si="205"/>
        <v>6.3999999999999918E-2</v>
      </c>
      <c r="V276" s="296">
        <f t="shared" si="205"/>
        <v>6.366666666666658E-2</v>
      </c>
      <c r="W276" s="296">
        <f t="shared" si="205"/>
        <v>6.3333333333333242E-2</v>
      </c>
      <c r="X276" s="296">
        <f t="shared" si="205"/>
        <v>6.2999999999999903E-2</v>
      </c>
      <c r="Y276" s="296">
        <f t="shared" si="205"/>
        <v>6.2666666666666565E-2</v>
      </c>
      <c r="Z276" s="296">
        <f t="shared" si="205"/>
        <v>6.2333333333333234E-2</v>
      </c>
      <c r="AA276" s="296">
        <f t="shared" si="205"/>
        <v>6.1999999999999902E-2</v>
      </c>
      <c r="AB276" s="296">
        <f t="shared" si="205"/>
        <v>6.1666666666666571E-2</v>
      </c>
      <c r="AC276" s="296">
        <f t="shared" si="205"/>
        <v>6.133333333333324E-2</v>
      </c>
      <c r="AD276" s="296">
        <f t="shared" si="205"/>
        <v>6.0999999999999908E-2</v>
      </c>
      <c r="AE276" s="296">
        <f t="shared" si="205"/>
        <v>6.0666666666666577E-2</v>
      </c>
      <c r="AF276" s="296">
        <f t="shared" si="205"/>
        <v>6.0333333333333246E-2</v>
      </c>
      <c r="AG276" s="275">
        <v>0.06</v>
      </c>
      <c r="AI276" s="275"/>
      <c r="AJ276" s="198" t="s">
        <v>1624</v>
      </c>
    </row>
    <row r="277" spans="1:36" s="63" customFormat="1" outlineLevel="1">
      <c r="A277" s="324" t="s">
        <v>738</v>
      </c>
      <c r="B277" s="291" t="s">
        <v>126</v>
      </c>
      <c r="C277" s="293">
        <v>0.05</v>
      </c>
      <c r="D277" s="317">
        <f t="shared" ref="D277:AF277" si="206">-($C277-$AG277)/30+C277</f>
        <v>4.9333333333333333E-2</v>
      </c>
      <c r="E277" s="317">
        <f t="shared" si="206"/>
        <v>4.8666666666666664E-2</v>
      </c>
      <c r="F277" s="317">
        <f t="shared" si="206"/>
        <v>4.7999999999999994E-2</v>
      </c>
      <c r="G277" s="317">
        <f t="shared" si="206"/>
        <v>4.7333333333333324E-2</v>
      </c>
      <c r="H277" s="317">
        <f t="shared" si="206"/>
        <v>4.6666666666666655E-2</v>
      </c>
      <c r="I277" s="317">
        <f t="shared" si="206"/>
        <v>4.5999999999999985E-2</v>
      </c>
      <c r="J277" s="317">
        <f t="shared" si="206"/>
        <v>4.5333333333333316E-2</v>
      </c>
      <c r="K277" s="317">
        <f t="shared" si="206"/>
        <v>4.4666666666666646E-2</v>
      </c>
      <c r="L277" s="317">
        <f t="shared" si="206"/>
        <v>4.3999999999999977E-2</v>
      </c>
      <c r="M277" s="317">
        <f t="shared" si="206"/>
        <v>4.3333333333333307E-2</v>
      </c>
      <c r="N277" s="317">
        <f t="shared" si="206"/>
        <v>4.2666666666666637E-2</v>
      </c>
      <c r="O277" s="317">
        <f t="shared" si="206"/>
        <v>4.1999999999999968E-2</v>
      </c>
      <c r="P277" s="317">
        <f t="shared" si="206"/>
        <v>4.1333333333333298E-2</v>
      </c>
      <c r="Q277" s="317">
        <f t="shared" si="206"/>
        <v>4.0666666666666629E-2</v>
      </c>
      <c r="R277" s="317">
        <f t="shared" si="206"/>
        <v>3.9999999999999959E-2</v>
      </c>
      <c r="S277" s="317">
        <f t="shared" si="206"/>
        <v>3.933333333333329E-2</v>
      </c>
      <c r="T277" s="317">
        <f t="shared" si="206"/>
        <v>3.866666666666662E-2</v>
      </c>
      <c r="U277" s="317">
        <f t="shared" si="206"/>
        <v>3.799999999999995E-2</v>
      </c>
      <c r="V277" s="317">
        <f t="shared" si="206"/>
        <v>3.7333333333333281E-2</v>
      </c>
      <c r="W277" s="317">
        <f t="shared" si="206"/>
        <v>3.6666666666666611E-2</v>
      </c>
      <c r="X277" s="317">
        <f t="shared" si="206"/>
        <v>3.5999999999999942E-2</v>
      </c>
      <c r="Y277" s="317">
        <f t="shared" si="206"/>
        <v>3.5333333333333272E-2</v>
      </c>
      <c r="Z277" s="317">
        <f t="shared" si="206"/>
        <v>3.4666666666666603E-2</v>
      </c>
      <c r="AA277" s="317">
        <f t="shared" si="206"/>
        <v>3.3999999999999933E-2</v>
      </c>
      <c r="AB277" s="317">
        <f t="shared" si="206"/>
        <v>3.3333333333333263E-2</v>
      </c>
      <c r="AC277" s="317">
        <f t="shared" si="206"/>
        <v>3.2666666666666594E-2</v>
      </c>
      <c r="AD277" s="317">
        <f t="shared" si="206"/>
        <v>3.1999999999999924E-2</v>
      </c>
      <c r="AE277" s="317">
        <f t="shared" si="206"/>
        <v>3.1333333333333255E-2</v>
      </c>
      <c r="AF277" s="317">
        <f t="shared" si="206"/>
        <v>3.0666666666666589E-2</v>
      </c>
      <c r="AG277" s="293">
        <v>0.03</v>
      </c>
      <c r="AI277" s="293"/>
      <c r="AJ277" s="318" t="s">
        <v>1625</v>
      </c>
    </row>
    <row r="278" spans="1:36" s="55" customFormat="1" outlineLevel="1">
      <c r="A278" s="55" t="s">
        <v>703</v>
      </c>
      <c r="B278" s="282"/>
      <c r="C278" s="283">
        <f>C29</f>
        <v>122278.0685405432</v>
      </c>
      <c r="D278" s="283">
        <f t="shared" ref="D278:AG278" si="207">D29</f>
        <v>122278.0685405432</v>
      </c>
      <c r="E278" s="283">
        <f t="shared" si="207"/>
        <v>122278.0685405432</v>
      </c>
      <c r="F278" s="283">
        <f t="shared" si="207"/>
        <v>122278.0685405432</v>
      </c>
      <c r="G278" s="283">
        <f t="shared" si="207"/>
        <v>122278.0685405432</v>
      </c>
      <c r="H278" s="283">
        <f t="shared" si="207"/>
        <v>122278.0685405432</v>
      </c>
      <c r="I278" s="283">
        <f t="shared" si="207"/>
        <v>122278.0685405432</v>
      </c>
      <c r="J278" s="283">
        <f t="shared" si="207"/>
        <v>122278.0685405432</v>
      </c>
      <c r="K278" s="283">
        <f t="shared" si="207"/>
        <v>122278.0685405432</v>
      </c>
      <c r="L278" s="283">
        <f t="shared" si="207"/>
        <v>122278.0685405432</v>
      </c>
      <c r="M278" s="283">
        <f t="shared" si="207"/>
        <v>122278.0685405432</v>
      </c>
      <c r="N278" s="283">
        <f t="shared" si="207"/>
        <v>122278.0685405432</v>
      </c>
      <c r="O278" s="283">
        <f t="shared" si="207"/>
        <v>122278.0685405432</v>
      </c>
      <c r="P278" s="283">
        <f t="shared" si="207"/>
        <v>122278.0685405432</v>
      </c>
      <c r="Q278" s="283">
        <f t="shared" si="207"/>
        <v>122278.0685405432</v>
      </c>
      <c r="R278" s="283">
        <f t="shared" si="207"/>
        <v>122278.0685405432</v>
      </c>
      <c r="S278" s="283">
        <f t="shared" si="207"/>
        <v>122278.0685405432</v>
      </c>
      <c r="T278" s="283">
        <f t="shared" si="207"/>
        <v>122278.0685405432</v>
      </c>
      <c r="U278" s="283">
        <f t="shared" si="207"/>
        <v>122278.0685405432</v>
      </c>
      <c r="V278" s="283">
        <f t="shared" si="207"/>
        <v>122278.0685405432</v>
      </c>
      <c r="W278" s="283">
        <f t="shared" si="207"/>
        <v>122278.0685405432</v>
      </c>
      <c r="X278" s="283">
        <f t="shared" si="207"/>
        <v>122278.0685405432</v>
      </c>
      <c r="Y278" s="283">
        <f t="shared" si="207"/>
        <v>122278.0685405432</v>
      </c>
      <c r="Z278" s="283">
        <f t="shared" si="207"/>
        <v>122278.0685405432</v>
      </c>
      <c r="AA278" s="283">
        <f t="shared" si="207"/>
        <v>122278.0685405432</v>
      </c>
      <c r="AB278" s="283">
        <f t="shared" si="207"/>
        <v>122278.0685405432</v>
      </c>
      <c r="AC278" s="283">
        <f t="shared" si="207"/>
        <v>122278.0685405432</v>
      </c>
      <c r="AD278" s="283">
        <f t="shared" si="207"/>
        <v>122278.0685405432</v>
      </c>
      <c r="AE278" s="283">
        <f t="shared" si="207"/>
        <v>122278.0685405432</v>
      </c>
      <c r="AF278" s="283">
        <f t="shared" si="207"/>
        <v>122278.0685405432</v>
      </c>
      <c r="AG278" s="283">
        <f t="shared" si="207"/>
        <v>122278.0685405432</v>
      </c>
      <c r="AI278" s="284"/>
      <c r="AJ278" s="285"/>
    </row>
    <row r="279" spans="1:36" s="55" customFormat="1" outlineLevel="1">
      <c r="A279" s="286" t="s">
        <v>173</v>
      </c>
      <c r="B279" s="287" t="s">
        <v>127</v>
      </c>
      <c r="C279" s="288">
        <v>0</v>
      </c>
      <c r="D279" s="288">
        <v>0</v>
      </c>
      <c r="E279" s="288">
        <v>0</v>
      </c>
      <c r="F279" s="288">
        <v>0</v>
      </c>
      <c r="G279" s="288">
        <v>0</v>
      </c>
      <c r="H279" s="288">
        <v>0</v>
      </c>
      <c r="I279" s="288">
        <v>0</v>
      </c>
      <c r="J279" s="288">
        <v>0</v>
      </c>
      <c r="K279" s="288">
        <v>0</v>
      </c>
      <c r="L279" s="288">
        <v>0</v>
      </c>
      <c r="M279" s="288">
        <v>0</v>
      </c>
      <c r="N279" s="288">
        <v>0</v>
      </c>
      <c r="O279" s="288">
        <v>0</v>
      </c>
      <c r="P279" s="288">
        <v>0</v>
      </c>
      <c r="Q279" s="288">
        <v>0</v>
      </c>
      <c r="R279" s="288">
        <v>0</v>
      </c>
      <c r="S279" s="288">
        <v>0</v>
      </c>
      <c r="T279" s="288">
        <v>0</v>
      </c>
      <c r="U279" s="288">
        <v>0</v>
      </c>
      <c r="V279" s="288">
        <v>0</v>
      </c>
      <c r="W279" s="288">
        <v>0</v>
      </c>
      <c r="X279" s="288">
        <v>0</v>
      </c>
      <c r="Y279" s="288">
        <v>0</v>
      </c>
      <c r="Z279" s="288">
        <v>0</v>
      </c>
      <c r="AA279" s="288">
        <v>0</v>
      </c>
      <c r="AB279" s="288">
        <v>0</v>
      </c>
      <c r="AC279" s="288">
        <v>0</v>
      </c>
      <c r="AD279" s="288">
        <v>0</v>
      </c>
      <c r="AE279" s="288">
        <v>0</v>
      </c>
      <c r="AF279" s="288">
        <v>0</v>
      </c>
      <c r="AG279" s="288">
        <v>0</v>
      </c>
      <c r="AI279" s="284"/>
      <c r="AJ279" s="285"/>
    </row>
    <row r="280" spans="1:36" outlineLevel="1">
      <c r="A280" s="289" t="s">
        <v>696</v>
      </c>
      <c r="B280" s="281" t="s">
        <v>127</v>
      </c>
      <c r="C280" s="234">
        <f t="shared" ref="C280:AG280" si="208">C247</f>
        <v>4908.1085276264903</v>
      </c>
      <c r="D280" s="234">
        <f t="shared" si="208"/>
        <v>4990.0739400378525</v>
      </c>
      <c r="E280" s="234">
        <f t="shared" si="208"/>
        <v>5073.4081748364842</v>
      </c>
      <c r="F280" s="234">
        <f t="shared" si="208"/>
        <v>5158.1340913562535</v>
      </c>
      <c r="G280" s="234">
        <f t="shared" si="208"/>
        <v>5244.2749306819023</v>
      </c>
      <c r="H280" s="234">
        <f t="shared" si="208"/>
        <v>5331.85432202429</v>
      </c>
      <c r="I280" s="234">
        <f t="shared" si="208"/>
        <v>5420.8962892020954</v>
      </c>
      <c r="J280" s="234">
        <f t="shared" si="208"/>
        <v>5511.42525723177</v>
      </c>
      <c r="K280" s="234">
        <f t="shared" si="208"/>
        <v>5603.4660590275398</v>
      </c>
      <c r="L280" s="234">
        <f t="shared" si="208"/>
        <v>5697.0439422132995</v>
      </c>
      <c r="M280" s="234">
        <f t="shared" si="208"/>
        <v>5792.1845760482611</v>
      </c>
      <c r="N280" s="234">
        <f t="shared" si="208"/>
        <v>5888.9140584682664</v>
      </c>
      <c r="O280" s="234">
        <f t="shared" si="208"/>
        <v>5987.2589232446862</v>
      </c>
      <c r="P280" s="234">
        <f t="shared" si="208"/>
        <v>6087.246147262872</v>
      </c>
      <c r="Q280" s="234">
        <f t="shared" si="208"/>
        <v>6188.9031579221619</v>
      </c>
      <c r="R280" s="234">
        <f t="shared" si="208"/>
        <v>6292.2578406594612</v>
      </c>
      <c r="S280" s="234">
        <f t="shared" si="208"/>
        <v>6397.3385465984738</v>
      </c>
      <c r="T280" s="234">
        <f t="shared" si="208"/>
        <v>6504.1741003266679</v>
      </c>
      <c r="U280" s="234">
        <f t="shared" si="208"/>
        <v>6612.7938078021225</v>
      </c>
      <c r="V280" s="234">
        <f t="shared" si="208"/>
        <v>6723.2274643924175</v>
      </c>
      <c r="W280" s="234">
        <f t="shared" si="208"/>
        <v>6835.5053630477705</v>
      </c>
      <c r="X280" s="234">
        <f t="shared" si="208"/>
        <v>6949.6583026106682</v>
      </c>
      <c r="Y280" s="234">
        <f t="shared" si="208"/>
        <v>7065.7175962642659</v>
      </c>
      <c r="Z280" s="234">
        <f t="shared" si="208"/>
        <v>7183.7150801218786</v>
      </c>
      <c r="AA280" s="234">
        <f t="shared" si="208"/>
        <v>7303.6831219599135</v>
      </c>
      <c r="AB280" s="234">
        <f t="shared" si="208"/>
        <v>7425.6546300966438</v>
      </c>
      <c r="AC280" s="234">
        <f t="shared" si="208"/>
        <v>7549.6630624192576</v>
      </c>
      <c r="AD280" s="234">
        <f t="shared" si="208"/>
        <v>7675.7424355616586</v>
      </c>
      <c r="AE280" s="234">
        <f t="shared" si="208"/>
        <v>7803.9273342355382</v>
      </c>
      <c r="AF280" s="234">
        <f t="shared" si="208"/>
        <v>7934.2529207172711</v>
      </c>
      <c r="AG280" s="234">
        <f t="shared" si="208"/>
        <v>8066.7549444932492</v>
      </c>
      <c r="AI280" s="275"/>
    </row>
    <row r="281" spans="1:36" s="63" customFormat="1" outlineLevel="1">
      <c r="A281" s="290" t="s">
        <v>705</v>
      </c>
      <c r="B281" s="291" t="s">
        <v>127</v>
      </c>
      <c r="C281" s="292">
        <f>C278-C279-C280</f>
        <v>117369.96001291671</v>
      </c>
      <c r="D281" s="292">
        <f t="shared" ref="D281:AG281" si="209">D278-D279-D280</f>
        <v>117287.99460050535</v>
      </c>
      <c r="E281" s="292">
        <f t="shared" si="209"/>
        <v>117204.66036570672</v>
      </c>
      <c r="F281" s="292">
        <f t="shared" si="209"/>
        <v>117119.93444918694</v>
      </c>
      <c r="G281" s="292">
        <f t="shared" si="209"/>
        <v>117033.7936098613</v>
      </c>
      <c r="H281" s="292">
        <f t="shared" si="209"/>
        <v>116946.21421851892</v>
      </c>
      <c r="I281" s="292">
        <f t="shared" si="209"/>
        <v>116857.17225134111</v>
      </c>
      <c r="J281" s="292">
        <f t="shared" si="209"/>
        <v>116766.64328331144</v>
      </c>
      <c r="K281" s="292">
        <f t="shared" si="209"/>
        <v>116674.60248151566</v>
      </c>
      <c r="L281" s="292">
        <f t="shared" si="209"/>
        <v>116581.0245983299</v>
      </c>
      <c r="M281" s="292">
        <f t="shared" si="209"/>
        <v>116485.88396449495</v>
      </c>
      <c r="N281" s="292">
        <f t="shared" si="209"/>
        <v>116389.15448207494</v>
      </c>
      <c r="O281" s="292">
        <f t="shared" si="209"/>
        <v>116290.80961729851</v>
      </c>
      <c r="P281" s="292">
        <f t="shared" si="209"/>
        <v>116190.82239328032</v>
      </c>
      <c r="Q281" s="292">
        <f t="shared" si="209"/>
        <v>116089.16538262104</v>
      </c>
      <c r="R281" s="292">
        <f t="shared" si="209"/>
        <v>115985.81069988375</v>
      </c>
      <c r="S281" s="292">
        <f t="shared" si="209"/>
        <v>115880.72999394473</v>
      </c>
      <c r="T281" s="292">
        <f t="shared" si="209"/>
        <v>115773.89444021654</v>
      </c>
      <c r="U281" s="292">
        <f t="shared" si="209"/>
        <v>115665.27473274108</v>
      </c>
      <c r="V281" s="292">
        <f t="shared" si="209"/>
        <v>115554.84107615078</v>
      </c>
      <c r="W281" s="292">
        <f t="shared" si="209"/>
        <v>115442.56317749544</v>
      </c>
      <c r="X281" s="292">
        <f t="shared" si="209"/>
        <v>115328.41023793253</v>
      </c>
      <c r="Y281" s="292">
        <f t="shared" si="209"/>
        <v>115212.35094427894</v>
      </c>
      <c r="Z281" s="292">
        <f t="shared" si="209"/>
        <v>115094.35346042132</v>
      </c>
      <c r="AA281" s="292">
        <f t="shared" si="209"/>
        <v>114974.38541858329</v>
      </c>
      <c r="AB281" s="292">
        <f t="shared" si="209"/>
        <v>114852.41391044656</v>
      </c>
      <c r="AC281" s="292">
        <f t="shared" si="209"/>
        <v>114728.40547812394</v>
      </c>
      <c r="AD281" s="292">
        <f t="shared" si="209"/>
        <v>114602.32610498155</v>
      </c>
      <c r="AE281" s="292">
        <f t="shared" si="209"/>
        <v>114474.14120630766</v>
      </c>
      <c r="AF281" s="292">
        <f t="shared" si="209"/>
        <v>114343.81561982592</v>
      </c>
      <c r="AG281" s="292">
        <f t="shared" si="209"/>
        <v>114211.31359604995</v>
      </c>
      <c r="AI281" s="293"/>
      <c r="AJ281" s="294"/>
    </row>
    <row r="282" spans="1:36" outlineLevel="1">
      <c r="A282" s="106" t="s">
        <v>698</v>
      </c>
      <c r="B282" s="281" t="s">
        <v>127</v>
      </c>
      <c r="C282" s="216">
        <f>C251*C$281</f>
        <v>18779.193602066673</v>
      </c>
      <c r="D282" s="216">
        <f t="shared" ref="D282:AG282" si="210">D251*D$281</f>
        <v>19008.474324921899</v>
      </c>
      <c r="E282" s="216">
        <f t="shared" si="210"/>
        <v>19237.191588024663</v>
      </c>
      <c r="F282" s="216">
        <f t="shared" si="210"/>
        <v>19465.333105454869</v>
      </c>
      <c r="G282" s="216">
        <f t="shared" si="210"/>
        <v>19692.886338085991</v>
      </c>
      <c r="H282" s="216">
        <f t="shared" si="210"/>
        <v>19919.838488554386</v>
      </c>
      <c r="I282" s="216">
        <f t="shared" si="210"/>
        <v>20146.176496131204</v>
      </c>
      <c r="J282" s="216">
        <f t="shared" si="210"/>
        <v>20371.887031495065</v>
      </c>
      <c r="K282" s="216">
        <f t="shared" si="210"/>
        <v>20596.956491403558</v>
      </c>
      <c r="L282" s="216">
        <f t="shared" si="210"/>
        <v>20821.370993261713</v>
      </c>
      <c r="M282" s="216">
        <f t="shared" si="210"/>
        <v>21045.116369585416</v>
      </c>
      <c r="N282" s="216">
        <f t="shared" si="210"/>
        <v>21268.178162357821</v>
      </c>
      <c r="O282" s="216">
        <f t="shared" si="210"/>
        <v>21490.541617276758</v>
      </c>
      <c r="P282" s="216">
        <f t="shared" si="210"/>
        <v>21712.191677890976</v>
      </c>
      <c r="Q282" s="216">
        <f t="shared" si="210"/>
        <v>21933.112979623194</v>
      </c>
      <c r="R282" s="216">
        <f t="shared" si="210"/>
        <v>22153.289843677787</v>
      </c>
      <c r="S282" s="216">
        <f t="shared" si="210"/>
        <v>22372.706270830917</v>
      </c>
      <c r="T282" s="216">
        <f t="shared" si="210"/>
        <v>22591.345935100908</v>
      </c>
      <c r="U282" s="216">
        <f t="shared" si="210"/>
        <v>22809.192177296529</v>
      </c>
      <c r="V282" s="216">
        <f t="shared" si="210"/>
        <v>23026.227998440969</v>
      </c>
      <c r="W282" s="216">
        <f t="shared" si="210"/>
        <v>23242.436053069068</v>
      </c>
      <c r="X282" s="216">
        <f t="shared" si="210"/>
        <v>23457.798642395464</v>
      </c>
      <c r="Y282" s="216">
        <f t="shared" si="210"/>
        <v>23672.297707351165</v>
      </c>
      <c r="Z282" s="216">
        <f t="shared" si="210"/>
        <v>23885.914821486091</v>
      </c>
      <c r="AA282" s="216">
        <f t="shared" si="210"/>
        <v>24098.631183735044</v>
      </c>
      <c r="AB282" s="216">
        <f t="shared" si="210"/>
        <v>24310.427611044506</v>
      </c>
      <c r="AC282" s="216">
        <f t="shared" si="210"/>
        <v>24521.284530857673</v>
      </c>
      <c r="AD282" s="216">
        <f t="shared" si="210"/>
        <v>24731.181973455001</v>
      </c>
      <c r="AE282" s="216">
        <f t="shared" si="210"/>
        <v>24940.099564147546</v>
      </c>
      <c r="AF282" s="216">
        <f t="shared" si="210"/>
        <v>25148.016515320363</v>
      </c>
      <c r="AG282" s="216">
        <f t="shared" si="210"/>
        <v>25354.911618323091</v>
      </c>
      <c r="AI282" s="201"/>
    </row>
    <row r="283" spans="1:36" outlineLevel="1">
      <c r="A283" s="106" t="s">
        <v>697</v>
      </c>
      <c r="B283" s="281" t="s">
        <v>127</v>
      </c>
      <c r="C283" s="216">
        <f t="shared" ref="C283:AG283" si="211">C252*C$281</f>
        <v>43426.885204779181</v>
      </c>
      <c r="D283" s="216">
        <f t="shared" si="211"/>
        <v>42540.355641603295</v>
      </c>
      <c r="E283" s="216">
        <f t="shared" si="211"/>
        <v>41654.536293972174</v>
      </c>
      <c r="F283" s="216">
        <f t="shared" si="211"/>
        <v>40769.449181761986</v>
      </c>
      <c r="G283" s="216">
        <f t="shared" si="211"/>
        <v>39885.116862240742</v>
      </c>
      <c r="H283" s="216">
        <f t="shared" si="211"/>
        <v>39001.562441876071</v>
      </c>
      <c r="I283" s="216">
        <f t="shared" si="211"/>
        <v>38118.809588387485</v>
      </c>
      <c r="J283" s="216">
        <f t="shared" si="211"/>
        <v>37236.882543048036</v>
      </c>
      <c r="K283" s="216">
        <f t="shared" si="211"/>
        <v>36355.806133240301</v>
      </c>
      <c r="L283" s="216">
        <f t="shared" si="211"/>
        <v>35475.605785271815</v>
      </c>
      <c r="M283" s="216">
        <f t="shared" si="211"/>
        <v>34596.307537455032</v>
      </c>
      <c r="N283" s="216">
        <f t="shared" si="211"/>
        <v>33717.938053457146</v>
      </c>
      <c r="O283" s="216">
        <f t="shared" si="211"/>
        <v>32840.52463592514</v>
      </c>
      <c r="P283" s="216">
        <f t="shared" si="211"/>
        <v>31964.095240391456</v>
      </c>
      <c r="Q283" s="216">
        <f t="shared" si="211"/>
        <v>31088.678489465958</v>
      </c>
      <c r="R283" s="216">
        <f t="shared" si="211"/>
        <v>30214.303687319763</v>
      </c>
      <c r="S283" s="216">
        <f t="shared" si="211"/>
        <v>29341.000834466853</v>
      </c>
      <c r="T283" s="216">
        <f t="shared" si="211"/>
        <v>28468.800642849295</v>
      </c>
      <c r="U283" s="216">
        <f t="shared" si="211"/>
        <v>27597.734551232068</v>
      </c>
      <c r="V283" s="216">
        <f t="shared" si="211"/>
        <v>26727.834740913724</v>
      </c>
      <c r="W283" s="216">
        <f t="shared" si="211"/>
        <v>25859.134151759026</v>
      </c>
      <c r="X283" s="216">
        <f t="shared" si="211"/>
        <v>24991.666498560029</v>
      </c>
      <c r="Y283" s="216">
        <f t="shared" si="211"/>
        <v>24125.466287732059</v>
      </c>
      <c r="Z283" s="216">
        <f t="shared" si="211"/>
        <v>23260.568834351197</v>
      </c>
      <c r="AA283" s="216">
        <f t="shared" si="211"/>
        <v>22397.010279540074</v>
      </c>
      <c r="AB283" s="216">
        <f t="shared" si="211"/>
        <v>21534.827608208776</v>
      </c>
      <c r="AC283" s="216">
        <f t="shared" si="211"/>
        <v>20674.05866715798</v>
      </c>
      <c r="AD283" s="216">
        <f t="shared" si="211"/>
        <v>19814.742183551356</v>
      </c>
      <c r="AE283" s="216">
        <f t="shared" si="211"/>
        <v>18956.917783764595</v>
      </c>
      <c r="AF283" s="216">
        <f t="shared" si="211"/>
        <v>18100.62601261849</v>
      </c>
      <c r="AG283" s="216">
        <f t="shared" si="211"/>
        <v>17245.908353003542</v>
      </c>
      <c r="AI283" s="201"/>
    </row>
    <row r="284" spans="1:36" outlineLevel="1">
      <c r="A284" s="106" t="s">
        <v>699</v>
      </c>
      <c r="B284" s="281" t="s">
        <v>127</v>
      </c>
      <c r="C284" s="216">
        <f t="shared" ref="C284:AG284" si="212">C253*C$281</f>
        <v>9389.5968010333363</v>
      </c>
      <c r="D284" s="216">
        <f t="shared" si="212"/>
        <v>9394.7683675004791</v>
      </c>
      <c r="E284" s="216">
        <f t="shared" si="212"/>
        <v>9399.8137613296803</v>
      </c>
      <c r="F284" s="216">
        <f t="shared" si="212"/>
        <v>9404.730736269712</v>
      </c>
      <c r="G284" s="216">
        <f t="shared" si="212"/>
        <v>9409.5170062328507</v>
      </c>
      <c r="H284" s="216">
        <f t="shared" si="212"/>
        <v>9414.170244590774</v>
      </c>
      <c r="I284" s="216">
        <f t="shared" si="212"/>
        <v>9418.6880834580952</v>
      </c>
      <c r="J284" s="216">
        <f t="shared" si="212"/>
        <v>9423.0681129632358</v>
      </c>
      <c r="K284" s="216">
        <f t="shared" si="212"/>
        <v>9427.3078805064688</v>
      </c>
      <c r="L284" s="216">
        <f t="shared" si="212"/>
        <v>9431.4048900048911</v>
      </c>
      <c r="M284" s="216">
        <f t="shared" si="212"/>
        <v>9435.3566011240946</v>
      </c>
      <c r="N284" s="216">
        <f t="shared" si="212"/>
        <v>9439.1604284962814</v>
      </c>
      <c r="O284" s="216">
        <f t="shared" si="212"/>
        <v>9442.8137409246428</v>
      </c>
      <c r="P284" s="216">
        <f t="shared" si="212"/>
        <v>9446.3138605736949</v>
      </c>
      <c r="Q284" s="216">
        <f t="shared" si="212"/>
        <v>9449.6580621453577</v>
      </c>
      <c r="R284" s="216">
        <f t="shared" si="212"/>
        <v>9452.8435720405305</v>
      </c>
      <c r="S284" s="216">
        <f t="shared" si="212"/>
        <v>9455.8675675058948</v>
      </c>
      <c r="T284" s="216">
        <f t="shared" si="212"/>
        <v>9458.7271757656963</v>
      </c>
      <c r="U284" s="216">
        <f t="shared" si="212"/>
        <v>9461.4194731382267</v>
      </c>
      <c r="V284" s="216">
        <f t="shared" si="212"/>
        <v>9463.9414841367561</v>
      </c>
      <c r="W284" s="216">
        <f t="shared" si="212"/>
        <v>9466.2901805546335</v>
      </c>
      <c r="X284" s="216">
        <f t="shared" si="212"/>
        <v>9468.4624805342683</v>
      </c>
      <c r="Y284" s="216">
        <f t="shared" si="212"/>
        <v>9470.4552476197368</v>
      </c>
      <c r="Z284" s="216">
        <f t="shared" si="212"/>
        <v>9472.2652897926819</v>
      </c>
      <c r="AA284" s="216">
        <f t="shared" si="212"/>
        <v>9473.8893584912712</v>
      </c>
      <c r="AB284" s="216">
        <f t="shared" si="212"/>
        <v>9475.3241476118492</v>
      </c>
      <c r="AC284" s="216">
        <f t="shared" si="212"/>
        <v>9476.5662924930457</v>
      </c>
      <c r="AD284" s="216">
        <f t="shared" si="212"/>
        <v>9477.6123688819825</v>
      </c>
      <c r="AE284" s="216">
        <f t="shared" si="212"/>
        <v>9478.4588918822828</v>
      </c>
      <c r="AF284" s="216">
        <f t="shared" si="212"/>
        <v>9479.1023148835793</v>
      </c>
      <c r="AG284" s="216">
        <f t="shared" si="212"/>
        <v>9479.539028472147</v>
      </c>
      <c r="AI284" s="201"/>
    </row>
    <row r="285" spans="1:36" outlineLevel="1">
      <c r="A285" s="106" t="s">
        <v>700</v>
      </c>
      <c r="B285" s="281" t="s">
        <v>127</v>
      </c>
      <c r="C285" s="216">
        <f t="shared" ref="C285:AG285" si="213">C254*C$281</f>
        <v>31689.889203487513</v>
      </c>
      <c r="D285" s="216">
        <f t="shared" si="213"/>
        <v>32035.26092521803</v>
      </c>
      <c r="E285" s="216">
        <f t="shared" si="213"/>
        <v>32379.740837032576</v>
      </c>
      <c r="F285" s="216">
        <f t="shared" si="213"/>
        <v>32723.309685102828</v>
      </c>
      <c r="G285" s="216">
        <f t="shared" si="213"/>
        <v>33065.947821239475</v>
      </c>
      <c r="H285" s="216">
        <f t="shared" si="213"/>
        <v>33407.635195090232</v>
      </c>
      <c r="I285" s="216">
        <f t="shared" si="213"/>
        <v>33748.351346187308</v>
      </c>
      <c r="J285" s="216">
        <f t="shared" si="213"/>
        <v>34088.075395841377</v>
      </c>
      <c r="K285" s="216">
        <f t="shared" si="213"/>
        <v>34426.786038879211</v>
      </c>
      <c r="L285" s="216">
        <f t="shared" si="213"/>
        <v>34764.461535221963</v>
      </c>
      <c r="M285" s="216">
        <f t="shared" si="213"/>
        <v>35101.079701301132</v>
      </c>
      <c r="N285" s="216">
        <f t="shared" si="213"/>
        <v>35436.617901309073</v>
      </c>
      <c r="O285" s="216">
        <f t="shared" si="213"/>
        <v>35771.05303828101</v>
      </c>
      <c r="P285" s="216">
        <f t="shared" si="213"/>
        <v>36104.361545005289</v>
      </c>
      <c r="Q285" s="216">
        <f t="shared" si="213"/>
        <v>36436.519374758638</v>
      </c>
      <c r="R285" s="216">
        <f t="shared" si="213"/>
        <v>36767.50199186313</v>
      </c>
      <c r="S285" s="216">
        <f t="shared" si="213"/>
        <v>37097.284362061488</v>
      </c>
      <c r="T285" s="216">
        <f t="shared" si="213"/>
        <v>37425.840942707313</v>
      </c>
      <c r="U285" s="216">
        <f t="shared" si="213"/>
        <v>37753.145672766666</v>
      </c>
      <c r="V285" s="216">
        <f t="shared" si="213"/>
        <v>38079.17196262753</v>
      </c>
      <c r="W285" s="216">
        <f t="shared" si="213"/>
        <v>38403.892683713457</v>
      </c>
      <c r="X285" s="216">
        <f t="shared" si="213"/>
        <v>38727.280157897716</v>
      </c>
      <c r="Y285" s="216">
        <f t="shared" si="213"/>
        <v>39049.306146714247</v>
      </c>
      <c r="Z285" s="216">
        <f t="shared" si="213"/>
        <v>39369.941840361425</v>
      </c>
      <c r="AA285" s="216">
        <f t="shared" si="213"/>
        <v>39689.15784649492</v>
      </c>
      <c r="AB285" s="216">
        <f t="shared" si="213"/>
        <v>40006.924178805515</v>
      </c>
      <c r="AC285" s="216">
        <f t="shared" si="213"/>
        <v>40323.21024537793</v>
      </c>
      <c r="AD285" s="216">
        <f t="shared" si="213"/>
        <v>40637.984836826421</v>
      </c>
      <c r="AE285" s="216">
        <f t="shared" si="213"/>
        <v>40951.216114203089</v>
      </c>
      <c r="AF285" s="216">
        <f t="shared" si="213"/>
        <v>41262.871596674478</v>
      </c>
      <c r="AG285" s="216">
        <f t="shared" si="213"/>
        <v>41572.918148962177</v>
      </c>
      <c r="AI285" s="201"/>
    </row>
    <row r="286" spans="1:36" outlineLevel="1">
      <c r="A286" s="106" t="s">
        <v>701</v>
      </c>
      <c r="B286" s="281" t="s">
        <v>127</v>
      </c>
      <c r="C286" s="216">
        <f t="shared" ref="C286:AG286" si="214">C255*C$281</f>
        <v>8215.8972009041699</v>
      </c>
      <c r="D286" s="216">
        <f t="shared" si="214"/>
        <v>8358.7244151960149</v>
      </c>
      <c r="E286" s="216">
        <f t="shared" si="214"/>
        <v>8501.2446985259285</v>
      </c>
      <c r="F286" s="216">
        <f t="shared" si="214"/>
        <v>8643.4511623499966</v>
      </c>
      <c r="G286" s="216">
        <f t="shared" si="214"/>
        <v>8785.3367736469227</v>
      </c>
      <c r="H286" s="216">
        <f t="shared" si="214"/>
        <v>8926.8943520136108</v>
      </c>
      <c r="I286" s="216">
        <f t="shared" si="214"/>
        <v>9068.1165667040696</v>
      </c>
      <c r="J286" s="216">
        <f t="shared" si="214"/>
        <v>9208.9959336104948</v>
      </c>
      <c r="K286" s="216">
        <f t="shared" si="214"/>
        <v>9349.5248121854547</v>
      </c>
      <c r="L286" s="216">
        <f t="shared" si="214"/>
        <v>9489.6954023040544</v>
      </c>
      <c r="M286" s="216">
        <f t="shared" si="214"/>
        <v>9629.4997410649157</v>
      </c>
      <c r="N286" s="216">
        <f t="shared" si="214"/>
        <v>9768.9296995288223</v>
      </c>
      <c r="O286" s="216">
        <f t="shared" si="214"/>
        <v>9907.9769793938322</v>
      </c>
      <c r="P286" s="216">
        <f t="shared" si="214"/>
        <v>10046.633109605638</v>
      </c>
      <c r="Q286" s="216">
        <f t="shared" si="214"/>
        <v>10184.889442901953</v>
      </c>
      <c r="R286" s="216">
        <f t="shared" si="214"/>
        <v>10322.737152289654</v>
      </c>
      <c r="S286" s="216">
        <f t="shared" si="214"/>
        <v>10460.16722745341</v>
      </c>
      <c r="T286" s="216">
        <f t="shared" si="214"/>
        <v>10597.170471094487</v>
      </c>
      <c r="U286" s="216">
        <f t="shared" si="214"/>
        <v>10733.737495198371</v>
      </c>
      <c r="V286" s="216">
        <f t="shared" si="214"/>
        <v>10869.858717229916</v>
      </c>
      <c r="W286" s="216">
        <f t="shared" si="214"/>
        <v>11005.524356254564</v>
      </c>
      <c r="X286" s="216">
        <f t="shared" si="214"/>
        <v>11140.724428984282</v>
      </c>
      <c r="Y286" s="216">
        <f t="shared" si="214"/>
        <v>11275.448745746764</v>
      </c>
      <c r="Z286" s="216">
        <f t="shared" si="214"/>
        <v>11409.686906376432</v>
      </c>
      <c r="AA286" s="216">
        <f t="shared" si="214"/>
        <v>11543.428296025761</v>
      </c>
      <c r="AB286" s="216">
        <f t="shared" si="214"/>
        <v>11676.662080895399</v>
      </c>
      <c r="AC286" s="216">
        <f t="shared" si="214"/>
        <v>11809.377203881557</v>
      </c>
      <c r="AD286" s="216">
        <f t="shared" si="214"/>
        <v>11941.562380139076</v>
      </c>
      <c r="AE286" s="216">
        <f t="shared" si="214"/>
        <v>12073.206092558579</v>
      </c>
      <c r="AF286" s="216">
        <f t="shared" si="214"/>
        <v>12204.296587156085</v>
      </c>
      <c r="AG286" s="216">
        <f t="shared" si="214"/>
        <v>12334.821868373394</v>
      </c>
      <c r="AI286" s="201"/>
    </row>
    <row r="287" spans="1:36" outlineLevel="1">
      <c r="A287" s="106" t="s">
        <v>702</v>
      </c>
      <c r="B287" s="281" t="s">
        <v>127</v>
      </c>
      <c r="C287" s="216">
        <f t="shared" ref="C287:AG287" si="215">C256*C$281</f>
        <v>5868.4980006458354</v>
      </c>
      <c r="D287" s="216">
        <f t="shared" si="215"/>
        <v>5950.4109260656387</v>
      </c>
      <c r="E287" s="216">
        <f t="shared" si="215"/>
        <v>6032.1331868217067</v>
      </c>
      <c r="F287" s="216">
        <f t="shared" si="215"/>
        <v>6113.6605782475599</v>
      </c>
      <c r="G287" s="216">
        <f t="shared" si="215"/>
        <v>6194.9888084153263</v>
      </c>
      <c r="H287" s="216">
        <f t="shared" si="215"/>
        <v>6276.1134963938503</v>
      </c>
      <c r="I287" s="216">
        <f t="shared" si="215"/>
        <v>6357.0301704729582</v>
      </c>
      <c r="J287" s="216">
        <f t="shared" si="215"/>
        <v>6437.7342663532399</v>
      </c>
      <c r="K287" s="216">
        <f t="shared" si="215"/>
        <v>6518.2211253006772</v>
      </c>
      <c r="L287" s="216">
        <f t="shared" si="215"/>
        <v>6598.485992265475</v>
      </c>
      <c r="M287" s="216">
        <f t="shared" si="215"/>
        <v>6678.5240139643802</v>
      </c>
      <c r="N287" s="216">
        <f t="shared" si="215"/>
        <v>6758.3302369258217</v>
      </c>
      <c r="O287" s="216">
        <f t="shared" si="215"/>
        <v>6837.8996054971558</v>
      </c>
      <c r="P287" s="216">
        <f t="shared" si="215"/>
        <v>6917.2269598132925</v>
      </c>
      <c r="Q287" s="216">
        <f t="shared" si="215"/>
        <v>6996.307033725966</v>
      </c>
      <c r="R287" s="216">
        <f t="shared" si="215"/>
        <v>7075.1344526929133</v>
      </c>
      <c r="S287" s="216">
        <f t="shared" si="215"/>
        <v>7153.7037316261931</v>
      </c>
      <c r="T287" s="216">
        <f t="shared" si="215"/>
        <v>7232.0092726988651</v>
      </c>
      <c r="U287" s="216">
        <f t="shared" si="215"/>
        <v>7310.0453631092414</v>
      </c>
      <c r="V287" s="216">
        <f t="shared" si="215"/>
        <v>7387.8061728019129</v>
      </c>
      <c r="W287" s="216">
        <f t="shared" si="215"/>
        <v>7465.2857521447113</v>
      </c>
      <c r="X287" s="216">
        <f t="shared" si="215"/>
        <v>7542.4780295607943</v>
      </c>
      <c r="Y287" s="216">
        <f t="shared" si="215"/>
        <v>7619.3768091149868</v>
      </c>
      <c r="Z287" s="216">
        <f t="shared" si="215"/>
        <v>7695.9757680535122</v>
      </c>
      <c r="AA287" s="216">
        <f t="shared" si="215"/>
        <v>7772.2684542962379</v>
      </c>
      <c r="AB287" s="216">
        <f t="shared" si="215"/>
        <v>7848.2482838805226</v>
      </c>
      <c r="AC287" s="216">
        <f t="shared" si="215"/>
        <v>7923.9085383557676</v>
      </c>
      <c r="AD287" s="216">
        <f t="shared" si="215"/>
        <v>7999.2423621277203</v>
      </c>
      <c r="AE287" s="216">
        <f t="shared" si="215"/>
        <v>8074.2427597515752</v>
      </c>
      <c r="AF287" s="216">
        <f t="shared" si="215"/>
        <v>8148.9025931729366</v>
      </c>
      <c r="AG287" s="216">
        <f t="shared" si="215"/>
        <v>8223.2145789155966</v>
      </c>
      <c r="AI287" s="201"/>
    </row>
    <row r="288" spans="1:36" s="55" customFormat="1">
      <c r="A288" s="55" t="s">
        <v>704</v>
      </c>
      <c r="B288" s="282"/>
      <c r="C288" s="283">
        <f>C44</f>
        <v>122278.0685405432</v>
      </c>
      <c r="D288" s="283">
        <f t="shared" ref="D288:AG288" si="216">D44</f>
        <v>122258.33815501691</v>
      </c>
      <c r="E288" s="283">
        <f t="shared" si="216"/>
        <v>122238.60776949063</v>
      </c>
      <c r="F288" s="283">
        <f t="shared" si="216"/>
        <v>122218.87738396434</v>
      </c>
      <c r="G288" s="283">
        <f t="shared" si="216"/>
        <v>122199.14699843805</v>
      </c>
      <c r="H288" s="283">
        <f t="shared" si="216"/>
        <v>122179.41661291177</v>
      </c>
      <c r="I288" s="283">
        <f t="shared" si="216"/>
        <v>121530.12560003344</v>
      </c>
      <c r="J288" s="283">
        <f t="shared" si="216"/>
        <v>120880.83458715508</v>
      </c>
      <c r="K288" s="283">
        <f t="shared" si="216"/>
        <v>120231.54357427674</v>
      </c>
      <c r="L288" s="283">
        <f t="shared" si="216"/>
        <v>119582.2525613984</v>
      </c>
      <c r="M288" s="283">
        <f t="shared" si="216"/>
        <v>118932.96154852003</v>
      </c>
      <c r="N288" s="283">
        <f t="shared" si="216"/>
        <v>118257.74103947794</v>
      </c>
      <c r="O288" s="283">
        <f t="shared" si="216"/>
        <v>117582.52053043585</v>
      </c>
      <c r="P288" s="283">
        <f t="shared" si="216"/>
        <v>116867.78014847079</v>
      </c>
      <c r="Q288" s="283">
        <f t="shared" si="216"/>
        <v>116152.78949406081</v>
      </c>
      <c r="R288" s="283">
        <f t="shared" si="216"/>
        <v>115437.5485672059</v>
      </c>
      <c r="S288" s="283">
        <f t="shared" si="216"/>
        <v>114722.27502986114</v>
      </c>
      <c r="T288" s="283">
        <f t="shared" si="216"/>
        <v>114006.75122007147</v>
      </c>
      <c r="U288" s="283">
        <f t="shared" si="216"/>
        <v>113290.97713783686</v>
      </c>
      <c r="V288" s="283">
        <f t="shared" si="216"/>
        <v>112574.95278315732</v>
      </c>
      <c r="W288" s="283">
        <f t="shared" si="216"/>
        <v>111858.6781560329</v>
      </c>
      <c r="X288" s="283">
        <f t="shared" si="216"/>
        <v>111142.07699323952</v>
      </c>
      <c r="Y288" s="283">
        <f t="shared" si="216"/>
        <v>110425.22555800121</v>
      </c>
      <c r="Z288" s="283">
        <f t="shared" si="216"/>
        <v>109612.55453642004</v>
      </c>
      <c r="AA288" s="283">
        <f t="shared" si="216"/>
        <v>108798.00647150195</v>
      </c>
      <c r="AB288" s="283">
        <f t="shared" si="216"/>
        <v>107981.58136324698</v>
      </c>
      <c r="AC288" s="283">
        <f t="shared" si="216"/>
        <v>107144.11637863872</v>
      </c>
      <c r="AD288" s="283">
        <f t="shared" si="216"/>
        <v>106304.77435069355</v>
      </c>
      <c r="AE288" s="283">
        <f t="shared" si="216"/>
        <v>105463.55527941146</v>
      </c>
      <c r="AF288" s="283">
        <f t="shared" si="216"/>
        <v>104620.45916479247</v>
      </c>
      <c r="AG288" s="283">
        <f t="shared" si="216"/>
        <v>103775.48600683657</v>
      </c>
      <c r="AI288" s="284"/>
      <c r="AJ288" s="285"/>
    </row>
    <row r="289" spans="1:36" s="55" customFormat="1">
      <c r="A289" s="286" t="s">
        <v>173</v>
      </c>
      <c r="B289" s="287" t="s">
        <v>127</v>
      </c>
      <c r="C289" s="288">
        <f>C288-C278</f>
        <v>0</v>
      </c>
      <c r="D289" s="288">
        <f t="shared" ref="D289:AG289" si="217">D288-D278</f>
        <v>-19.730385526287137</v>
      </c>
      <c r="E289" s="288">
        <f t="shared" si="217"/>
        <v>-39.460771052574273</v>
      </c>
      <c r="F289" s="288">
        <f t="shared" si="217"/>
        <v>-59.19115657886141</v>
      </c>
      <c r="G289" s="288">
        <f t="shared" si="217"/>
        <v>-78.921542105148546</v>
      </c>
      <c r="H289" s="288">
        <f t="shared" si="217"/>
        <v>-98.651927631435683</v>
      </c>
      <c r="I289" s="288">
        <f t="shared" si="217"/>
        <v>-747.94294050976168</v>
      </c>
      <c r="J289" s="288">
        <f t="shared" si="217"/>
        <v>-1397.2339533881168</v>
      </c>
      <c r="K289" s="288">
        <f t="shared" si="217"/>
        <v>-2046.5249662664573</v>
      </c>
      <c r="L289" s="288">
        <f t="shared" si="217"/>
        <v>-2695.8159791447979</v>
      </c>
      <c r="M289" s="288">
        <f t="shared" si="217"/>
        <v>-3345.1069920231675</v>
      </c>
      <c r="N289" s="288">
        <f t="shared" si="217"/>
        <v>-4020.3275010652578</v>
      </c>
      <c r="O289" s="288">
        <f t="shared" si="217"/>
        <v>-4695.5480101073481</v>
      </c>
      <c r="P289" s="288">
        <f t="shared" si="217"/>
        <v>-5410.2883920724125</v>
      </c>
      <c r="Q289" s="288">
        <f t="shared" si="217"/>
        <v>-6125.279046482392</v>
      </c>
      <c r="R289" s="288">
        <f t="shared" si="217"/>
        <v>-6840.5199733373011</v>
      </c>
      <c r="S289" s="288">
        <f t="shared" si="217"/>
        <v>-7555.793510682066</v>
      </c>
      <c r="T289" s="288">
        <f t="shared" si="217"/>
        <v>-8271.3173204717314</v>
      </c>
      <c r="U289" s="288">
        <f t="shared" si="217"/>
        <v>-8987.0914027063409</v>
      </c>
      <c r="V289" s="288">
        <f t="shared" si="217"/>
        <v>-9703.11575738588</v>
      </c>
      <c r="W289" s="288">
        <f t="shared" si="217"/>
        <v>-10419.390384510305</v>
      </c>
      <c r="X289" s="288">
        <f t="shared" si="217"/>
        <v>-11135.991547303682</v>
      </c>
      <c r="Y289" s="288">
        <f t="shared" si="217"/>
        <v>-11852.842982541988</v>
      </c>
      <c r="Z289" s="288">
        <f t="shared" si="217"/>
        <v>-12665.514004123164</v>
      </c>
      <c r="AA289" s="288">
        <f t="shared" si="217"/>
        <v>-13480.062069041247</v>
      </c>
      <c r="AB289" s="288">
        <f t="shared" si="217"/>
        <v>-14296.487177296221</v>
      </c>
      <c r="AC289" s="288">
        <f t="shared" si="217"/>
        <v>-15133.952161904483</v>
      </c>
      <c r="AD289" s="288">
        <f t="shared" si="217"/>
        <v>-15973.29418984965</v>
      </c>
      <c r="AE289" s="288">
        <f t="shared" si="217"/>
        <v>-16814.513261131739</v>
      </c>
      <c r="AF289" s="288">
        <f t="shared" si="217"/>
        <v>-17657.609375750733</v>
      </c>
      <c r="AG289" s="288">
        <f t="shared" si="217"/>
        <v>-18502.582533706634</v>
      </c>
      <c r="AI289" s="284"/>
      <c r="AJ289" s="285"/>
    </row>
    <row r="290" spans="1:36">
      <c r="A290" s="289" t="s">
        <v>696</v>
      </c>
      <c r="B290" s="281" t="s">
        <v>127</v>
      </c>
      <c r="C290" s="234">
        <f>C246</f>
        <v>4908.1085276264903</v>
      </c>
      <c r="D290" s="234">
        <f t="shared" ref="D290:AG290" si="218">D246</f>
        <v>5209.7666037606587</v>
      </c>
      <c r="E290" s="234">
        <f t="shared" si="218"/>
        <v>5520.5829717704173</v>
      </c>
      <c r="F290" s="234">
        <f t="shared" si="218"/>
        <v>5837.9973644482343</v>
      </c>
      <c r="G290" s="234">
        <f t="shared" si="218"/>
        <v>6161.9893505290374</v>
      </c>
      <c r="H290" s="234">
        <f t="shared" si="218"/>
        <v>6492.5384987477555</v>
      </c>
      <c r="I290" s="234">
        <f t="shared" si="218"/>
        <v>6789.6099763436596</v>
      </c>
      <c r="J290" s="234">
        <f t="shared" si="218"/>
        <v>7090.3442983807108</v>
      </c>
      <c r="K290" s="234">
        <f t="shared" si="218"/>
        <v>7394.7203496552575</v>
      </c>
      <c r="L290" s="234">
        <f t="shared" si="218"/>
        <v>7702.7170045623898</v>
      </c>
      <c r="M290" s="234">
        <f t="shared" si="218"/>
        <v>8014.3131270959348</v>
      </c>
      <c r="N290" s="234">
        <f t="shared" si="218"/>
        <v>8641.2175677543619</v>
      </c>
      <c r="O290" s="234">
        <f t="shared" si="218"/>
        <v>9275.3352380386259</v>
      </c>
      <c r="P290" s="234">
        <f t="shared" si="218"/>
        <v>9913.6241016141303</v>
      </c>
      <c r="Q290" s="234">
        <f t="shared" si="218"/>
        <v>10558.153448944089</v>
      </c>
      <c r="R290" s="234">
        <f t="shared" si="218"/>
        <v>11208.77559028723</v>
      </c>
      <c r="S290" s="234">
        <f t="shared" si="218"/>
        <v>11865.373565156147</v>
      </c>
      <c r="T290" s="234">
        <f t="shared" si="218"/>
        <v>12527.772177304407</v>
      </c>
      <c r="U290" s="234">
        <f t="shared" si="218"/>
        <v>13195.822465085359</v>
      </c>
      <c r="V290" s="234">
        <f t="shared" si="218"/>
        <v>13869.374951807033</v>
      </c>
      <c r="W290" s="234">
        <f t="shared" si="218"/>
        <v>14548.279645732156</v>
      </c>
      <c r="X290" s="234">
        <f t="shared" si="218"/>
        <v>15656.516415794893</v>
      </c>
      <c r="Y290" s="234">
        <f t="shared" si="218"/>
        <v>16773.950122760391</v>
      </c>
      <c r="Z290" s="234">
        <f t="shared" si="218"/>
        <v>17880.904928680546</v>
      </c>
      <c r="AA290" s="234">
        <f t="shared" si="218"/>
        <v>18992.446323527802</v>
      </c>
      <c r="AB290" s="234">
        <f t="shared" si="218"/>
        <v>20108.062567252127</v>
      </c>
      <c r="AC290" s="234">
        <f t="shared" si="218"/>
        <v>21224.001755775305</v>
      </c>
      <c r="AD290" s="234">
        <f t="shared" si="218"/>
        <v>22342.66569362034</v>
      </c>
      <c r="AE290" s="234">
        <f t="shared" si="218"/>
        <v>23463.523533046282</v>
      </c>
      <c r="AF290" s="234">
        <f t="shared" si="218"/>
        <v>24586.038125935469</v>
      </c>
      <c r="AG290" s="234">
        <f t="shared" si="218"/>
        <v>25709.666023793507</v>
      </c>
      <c r="AI290" s="275"/>
    </row>
    <row r="291" spans="1:36" s="63" customFormat="1">
      <c r="A291" s="290" t="s">
        <v>705</v>
      </c>
      <c r="B291" s="291" t="s">
        <v>127</v>
      </c>
      <c r="C291" s="292">
        <f>C288-C290</f>
        <v>117369.96001291671</v>
      </c>
      <c r="D291" s="292">
        <f t="shared" ref="D291:AG291" si="219">D288-D290</f>
        <v>117048.57155125626</v>
      </c>
      <c r="E291" s="292">
        <f t="shared" si="219"/>
        <v>116718.02479772021</v>
      </c>
      <c r="F291" s="292">
        <f t="shared" si="219"/>
        <v>116380.8800195161</v>
      </c>
      <c r="G291" s="292">
        <f t="shared" si="219"/>
        <v>116037.15764790901</v>
      </c>
      <c r="H291" s="292">
        <f t="shared" si="219"/>
        <v>115686.87811416401</v>
      </c>
      <c r="I291" s="292">
        <f t="shared" si="219"/>
        <v>114740.51562368977</v>
      </c>
      <c r="J291" s="292">
        <f t="shared" si="219"/>
        <v>113790.49028877437</v>
      </c>
      <c r="K291" s="292">
        <f t="shared" si="219"/>
        <v>112836.82322462149</v>
      </c>
      <c r="L291" s="292">
        <f t="shared" si="219"/>
        <v>111879.53555683601</v>
      </c>
      <c r="M291" s="292">
        <f t="shared" si="219"/>
        <v>110918.64842142409</v>
      </c>
      <c r="N291" s="292">
        <f t="shared" si="219"/>
        <v>109616.52347172359</v>
      </c>
      <c r="O291" s="292">
        <f t="shared" si="219"/>
        <v>108307.18529239723</v>
      </c>
      <c r="P291" s="292">
        <f t="shared" si="219"/>
        <v>106954.15604685666</v>
      </c>
      <c r="Q291" s="292">
        <f t="shared" si="219"/>
        <v>105594.63604511673</v>
      </c>
      <c r="R291" s="292">
        <f t="shared" si="219"/>
        <v>104228.77297691867</v>
      </c>
      <c r="S291" s="292">
        <f t="shared" si="219"/>
        <v>102856.90146470499</v>
      </c>
      <c r="T291" s="292">
        <f t="shared" si="219"/>
        <v>101478.97904276707</v>
      </c>
      <c r="U291" s="292">
        <f t="shared" si="219"/>
        <v>100095.15467275149</v>
      </c>
      <c r="V291" s="292">
        <f t="shared" si="219"/>
        <v>98705.577831350296</v>
      </c>
      <c r="W291" s="292">
        <f t="shared" si="219"/>
        <v>97310.398510300744</v>
      </c>
      <c r="X291" s="292">
        <f t="shared" si="219"/>
        <v>95485.56057744463</v>
      </c>
      <c r="Y291" s="292">
        <f t="shared" si="219"/>
        <v>93651.275435240823</v>
      </c>
      <c r="Z291" s="292">
        <f t="shared" si="219"/>
        <v>91731.649607739499</v>
      </c>
      <c r="AA291" s="292">
        <f t="shared" si="219"/>
        <v>89805.560147974145</v>
      </c>
      <c r="AB291" s="292">
        <f t="shared" si="219"/>
        <v>87873.518795994853</v>
      </c>
      <c r="AC291" s="292">
        <f t="shared" si="219"/>
        <v>85920.114622863417</v>
      </c>
      <c r="AD291" s="292">
        <f t="shared" si="219"/>
        <v>83962.108657073215</v>
      </c>
      <c r="AE291" s="292">
        <f t="shared" si="219"/>
        <v>82000.031746365188</v>
      </c>
      <c r="AF291" s="292">
        <f t="shared" si="219"/>
        <v>80034.421038856992</v>
      </c>
      <c r="AG291" s="292">
        <f t="shared" si="219"/>
        <v>78065.819983043068</v>
      </c>
      <c r="AI291" s="293"/>
      <c r="AJ291" s="294"/>
    </row>
    <row r="292" spans="1:36" s="55" customFormat="1" outlineLevel="1">
      <c r="A292" s="286" t="s">
        <v>732</v>
      </c>
      <c r="B292" s="287" t="s">
        <v>126</v>
      </c>
      <c r="C292" s="288">
        <f>C288*C258</f>
        <v>102713.57757405628</v>
      </c>
      <c r="D292" s="288">
        <f t="shared" ref="D292:AG292" si="220">D288*D258</f>
        <v>103186.03740283428</v>
      </c>
      <c r="E292" s="288">
        <f t="shared" si="220"/>
        <v>103658.33938852805</v>
      </c>
      <c r="F292" s="288">
        <f t="shared" si="220"/>
        <v>104130.48353113761</v>
      </c>
      <c r="G292" s="288">
        <f t="shared" si="220"/>
        <v>104602.46983066297</v>
      </c>
      <c r="H292" s="288">
        <f t="shared" si="220"/>
        <v>105074.29828710412</v>
      </c>
      <c r="I292" s="288">
        <f t="shared" si="220"/>
        <v>105002.0285184289</v>
      </c>
      <c r="J292" s="288">
        <f t="shared" si="220"/>
        <v>104924.56442165062</v>
      </c>
      <c r="K292" s="288">
        <f t="shared" si="220"/>
        <v>104841.90599676932</v>
      </c>
      <c r="L292" s="288">
        <f t="shared" si="220"/>
        <v>104754.05324378501</v>
      </c>
      <c r="M292" s="288">
        <f t="shared" si="220"/>
        <v>104661.00616269762</v>
      </c>
      <c r="N292" s="288">
        <f t="shared" si="220"/>
        <v>104539.8430788985</v>
      </c>
      <c r="O292" s="288">
        <f t="shared" si="220"/>
        <v>104413.27823102704</v>
      </c>
      <c r="P292" s="288">
        <f t="shared" si="220"/>
        <v>104246.05989243595</v>
      </c>
      <c r="Q292" s="288">
        <f t="shared" si="220"/>
        <v>104072.89938667849</v>
      </c>
      <c r="R292" s="288">
        <f t="shared" si="220"/>
        <v>103893.79371048532</v>
      </c>
      <c r="S292" s="288">
        <f t="shared" si="220"/>
        <v>103708.93662699447</v>
      </c>
      <c r="T292" s="288">
        <f t="shared" si="220"/>
        <v>103518.13010782489</v>
      </c>
      <c r="U292" s="288">
        <f t="shared" si="220"/>
        <v>103321.37114970722</v>
      </c>
      <c r="V292" s="288">
        <f t="shared" si="220"/>
        <v>103118.65674937211</v>
      </c>
      <c r="W292" s="288">
        <f t="shared" si="220"/>
        <v>102909.98390355027</v>
      </c>
      <c r="X292" s="288">
        <f t="shared" si="220"/>
        <v>102695.27914175332</v>
      </c>
      <c r="Y292" s="288">
        <f t="shared" si="220"/>
        <v>102474.60931782513</v>
      </c>
      <c r="Z292" s="288">
        <f t="shared" si="220"/>
        <v>102158.90082794348</v>
      </c>
      <c r="AA292" s="288">
        <f t="shared" si="220"/>
        <v>101834.93405732584</v>
      </c>
      <c r="AB292" s="288">
        <f t="shared" si="220"/>
        <v>101502.68648145217</v>
      </c>
      <c r="AC292" s="288">
        <f t="shared" si="220"/>
        <v>101144.04586143496</v>
      </c>
      <c r="AD292" s="288">
        <f t="shared" si="220"/>
        <v>100776.92608445749</v>
      </c>
      <c r="AE292" s="288">
        <f t="shared" si="220"/>
        <v>100401.30462599972</v>
      </c>
      <c r="AF292" s="288">
        <f t="shared" si="220"/>
        <v>100017.1589615416</v>
      </c>
      <c r="AG292" s="288">
        <f t="shared" si="220"/>
        <v>99624.466566563104</v>
      </c>
      <c r="AI292" s="284"/>
      <c r="AJ292" s="316" t="s">
        <v>1624</v>
      </c>
    </row>
    <row r="293" spans="1:36" s="55" customFormat="1" outlineLevel="1">
      <c r="A293" s="286" t="s">
        <v>743</v>
      </c>
      <c r="B293" s="287" t="s">
        <v>126</v>
      </c>
      <c r="C293" s="288">
        <f>C292*C259</f>
        <v>22596.987066292382</v>
      </c>
      <c r="D293" s="288">
        <f t="shared" ref="D293:AG293" si="221">D292*D259</f>
        <v>23388.835144642435</v>
      </c>
      <c r="E293" s="288">
        <f t="shared" si="221"/>
        <v>24186.945857323211</v>
      </c>
      <c r="F293" s="288">
        <f t="shared" si="221"/>
        <v>24991.316047473021</v>
      </c>
      <c r="G293" s="288">
        <f t="shared" si="221"/>
        <v>25801.942558230196</v>
      </c>
      <c r="H293" s="288">
        <f t="shared" si="221"/>
        <v>26618.82223273304</v>
      </c>
      <c r="I293" s="288">
        <f t="shared" si="221"/>
        <v>27300.527414791508</v>
      </c>
      <c r="J293" s="288">
        <f t="shared" si="221"/>
        <v>27979.883845773493</v>
      </c>
      <c r="K293" s="288">
        <f t="shared" si="221"/>
        <v>28656.787639116937</v>
      </c>
      <c r="L293" s="288">
        <f t="shared" si="221"/>
        <v>29331.134908259792</v>
      </c>
      <c r="M293" s="288">
        <f t="shared" si="221"/>
        <v>30002.821766639976</v>
      </c>
      <c r="N293" s="288">
        <f t="shared" si="221"/>
        <v>30665.020636476882</v>
      </c>
      <c r="O293" s="288">
        <f t="shared" si="221"/>
        <v>31323.983469308099</v>
      </c>
      <c r="P293" s="288">
        <f t="shared" si="221"/>
        <v>31968.79170034701</v>
      </c>
      <c r="Q293" s="288">
        <f t="shared" si="221"/>
        <v>32609.508474492577</v>
      </c>
      <c r="R293" s="288">
        <f t="shared" si="221"/>
        <v>33246.013987355283</v>
      </c>
      <c r="S293" s="288">
        <f t="shared" si="221"/>
        <v>33878.252631484844</v>
      </c>
      <c r="T293" s="288">
        <f t="shared" si="221"/>
        <v>34506.043369274943</v>
      </c>
      <c r="U293" s="288">
        <f t="shared" si="221"/>
        <v>35129.266190900438</v>
      </c>
      <c r="V293" s="288">
        <f t="shared" si="221"/>
        <v>35747.801006448979</v>
      </c>
      <c r="W293" s="288">
        <f t="shared" si="221"/>
        <v>36361.527645921073</v>
      </c>
      <c r="X293" s="288">
        <f t="shared" si="221"/>
        <v>36970.300491031172</v>
      </c>
      <c r="Y293" s="288">
        <f t="shared" si="221"/>
        <v>37574.023416535856</v>
      </c>
      <c r="Z293" s="288">
        <f t="shared" si="221"/>
        <v>38139.322975765535</v>
      </c>
      <c r="AA293" s="288">
        <f t="shared" si="221"/>
        <v>38697.274941783791</v>
      </c>
      <c r="AB293" s="288">
        <f t="shared" si="221"/>
        <v>39247.705439494806</v>
      </c>
      <c r="AC293" s="288">
        <f t="shared" si="221"/>
        <v>39783.324705497718</v>
      </c>
      <c r="AD293" s="288">
        <f t="shared" si="221"/>
        <v>40310.770433782964</v>
      </c>
      <c r="AE293" s="288">
        <f t="shared" si="221"/>
        <v>40829.863881239857</v>
      </c>
      <c r="AF293" s="288">
        <f t="shared" si="221"/>
        <v>41340.425704103829</v>
      </c>
      <c r="AG293" s="288">
        <f t="shared" si="221"/>
        <v>41842.275957956503</v>
      </c>
      <c r="AI293" s="284"/>
      <c r="AJ293" s="316" t="s">
        <v>1625</v>
      </c>
    </row>
    <row r="294" spans="1:36" s="59" customFormat="1" outlineLevel="1">
      <c r="A294" s="290" t="s">
        <v>744</v>
      </c>
      <c r="B294" s="291" t="s">
        <v>126</v>
      </c>
      <c r="C294" s="292">
        <f>C292*C260</f>
        <v>80116.590507763904</v>
      </c>
      <c r="D294" s="292">
        <f t="shared" ref="D294:AG294" si="222">D292*D260</f>
        <v>79797.202258191843</v>
      </c>
      <c r="E294" s="292">
        <f t="shared" si="222"/>
        <v>79471.393531204842</v>
      </c>
      <c r="F294" s="292">
        <f t="shared" si="222"/>
        <v>79139.167483664583</v>
      </c>
      <c r="G294" s="292">
        <f t="shared" si="222"/>
        <v>78800.527272432781</v>
      </c>
      <c r="H294" s="292">
        <f t="shared" si="222"/>
        <v>78455.476054371073</v>
      </c>
      <c r="I294" s="292">
        <f t="shared" si="222"/>
        <v>77701.501103637376</v>
      </c>
      <c r="J294" s="292">
        <f t="shared" si="222"/>
        <v>76944.680575877122</v>
      </c>
      <c r="K294" s="292">
        <f t="shared" si="222"/>
        <v>76185.118357652391</v>
      </c>
      <c r="L294" s="292">
        <f t="shared" si="222"/>
        <v>75422.918335525217</v>
      </c>
      <c r="M294" s="292">
        <f t="shared" si="222"/>
        <v>74658.184396057637</v>
      </c>
      <c r="N294" s="292">
        <f t="shared" si="222"/>
        <v>73874.822442421617</v>
      </c>
      <c r="O294" s="292">
        <f t="shared" si="222"/>
        <v>73089.294761718949</v>
      </c>
      <c r="P294" s="292">
        <f t="shared" si="222"/>
        <v>72277.268192088944</v>
      </c>
      <c r="Q294" s="292">
        <f t="shared" si="222"/>
        <v>71463.390912185903</v>
      </c>
      <c r="R294" s="292">
        <f t="shared" si="222"/>
        <v>70647.779723130036</v>
      </c>
      <c r="S294" s="292">
        <f t="shared" si="222"/>
        <v>69830.683995509637</v>
      </c>
      <c r="T294" s="292">
        <f t="shared" si="222"/>
        <v>69012.086738549944</v>
      </c>
      <c r="U294" s="292">
        <f t="shared" si="222"/>
        <v>68192.104958806784</v>
      </c>
      <c r="V294" s="292">
        <f t="shared" si="222"/>
        <v>67370.85574292313</v>
      </c>
      <c r="W294" s="292">
        <f t="shared" si="222"/>
        <v>66548.456257629194</v>
      </c>
      <c r="X294" s="292">
        <f t="shared" si="222"/>
        <v>65724.978650722143</v>
      </c>
      <c r="Y294" s="292">
        <f t="shared" si="222"/>
        <v>64900.585901289269</v>
      </c>
      <c r="Z294" s="292">
        <f t="shared" si="222"/>
        <v>64019.577852177943</v>
      </c>
      <c r="AA294" s="292">
        <f t="shared" si="222"/>
        <v>63137.659115542054</v>
      </c>
      <c r="AB294" s="292">
        <f t="shared" si="222"/>
        <v>62254.981041957362</v>
      </c>
      <c r="AC294" s="292">
        <f t="shared" si="222"/>
        <v>61360.721155937237</v>
      </c>
      <c r="AD294" s="292">
        <f t="shared" si="222"/>
        <v>60466.155650674526</v>
      </c>
      <c r="AE294" s="292">
        <f t="shared" si="222"/>
        <v>59571.440744759871</v>
      </c>
      <c r="AF294" s="292">
        <f t="shared" si="222"/>
        <v>58676.733257437772</v>
      </c>
      <c r="AG294" s="292">
        <f t="shared" si="222"/>
        <v>57782.190608606608</v>
      </c>
      <c r="AI294" s="319"/>
      <c r="AJ294" s="318" t="s">
        <v>1626</v>
      </c>
    </row>
    <row r="295" spans="1:36" s="1" customFormat="1" outlineLevel="1">
      <c r="A295" t="s">
        <v>725</v>
      </c>
      <c r="B295" s="281" t="s">
        <v>127</v>
      </c>
      <c r="C295" s="234">
        <f>C261*C292</f>
        <v>87306.540937947837</v>
      </c>
      <c r="D295" s="234">
        <f t="shared" ref="D295:AG295" si="223">D261*D292</f>
        <v>87536.155063404411</v>
      </c>
      <c r="E295" s="234">
        <f t="shared" si="223"/>
        <v>87764.060682287076</v>
      </c>
      <c r="F295" s="234">
        <f t="shared" si="223"/>
        <v>87990.258583811272</v>
      </c>
      <c r="G295" s="234">
        <f t="shared" si="223"/>
        <v>88214.749557192423</v>
      </c>
      <c r="H295" s="234">
        <f t="shared" si="223"/>
        <v>88437.534391645939</v>
      </c>
      <c r="I295" s="234">
        <f t="shared" si="223"/>
        <v>88201.703955480247</v>
      </c>
      <c r="J295" s="234">
        <f t="shared" si="223"/>
        <v>87961.759840150407</v>
      </c>
      <c r="K295" s="234">
        <f t="shared" si="223"/>
        <v>87717.728017296962</v>
      </c>
      <c r="L295" s="234">
        <f t="shared" si="223"/>
        <v>87469.634458560438</v>
      </c>
      <c r="M295" s="234">
        <f t="shared" si="223"/>
        <v>87217.505135581305</v>
      </c>
      <c r="N295" s="234">
        <f t="shared" si="223"/>
        <v>86942.302827283871</v>
      </c>
      <c r="O295" s="234">
        <f t="shared" si="223"/>
        <v>86663.020931752399</v>
      </c>
      <c r="P295" s="234">
        <f t="shared" si="223"/>
        <v>86350.486277567732</v>
      </c>
      <c r="Q295" s="234">
        <f t="shared" si="223"/>
        <v>86033.59682632082</v>
      </c>
      <c r="R295" s="234">
        <f t="shared" si="223"/>
        <v>85712.379811150327</v>
      </c>
      <c r="S295" s="234">
        <f t="shared" si="223"/>
        <v>85387.024489558724</v>
      </c>
      <c r="T295" s="234">
        <f t="shared" si="223"/>
        <v>85057.396905262722</v>
      </c>
      <c r="U295" s="234">
        <f t="shared" si="223"/>
        <v>84723.524342759847</v>
      </c>
      <c r="V295" s="234">
        <f t="shared" si="223"/>
        <v>84385.434106569432</v>
      </c>
      <c r="W295" s="234">
        <f t="shared" si="223"/>
        <v>84043.153521232642</v>
      </c>
      <c r="X295" s="234">
        <f t="shared" si="223"/>
        <v>83696.652500528871</v>
      </c>
      <c r="Y295" s="234">
        <f t="shared" si="223"/>
        <v>83346.015578497681</v>
      </c>
      <c r="Z295" s="234">
        <f t="shared" si="223"/>
        <v>82918.97450534736</v>
      </c>
      <c r="AA295" s="234">
        <f t="shared" si="223"/>
        <v>82486.296586433833</v>
      </c>
      <c r="AB295" s="234">
        <f t="shared" si="223"/>
        <v>82048.004905840397</v>
      </c>
      <c r="AC295" s="234">
        <f t="shared" si="223"/>
        <v>81589.530328224093</v>
      </c>
      <c r="AD295" s="234">
        <f t="shared" si="223"/>
        <v>81125.425497988166</v>
      </c>
      <c r="AE295" s="234">
        <f t="shared" si="223"/>
        <v>80655.714716219663</v>
      </c>
      <c r="AF295" s="234">
        <f t="shared" si="223"/>
        <v>80180.422434169071</v>
      </c>
      <c r="AG295" s="234">
        <f t="shared" si="223"/>
        <v>79699.573253250492</v>
      </c>
      <c r="AI295" s="295"/>
      <c r="AJ295" s="198" t="s">
        <v>1627</v>
      </c>
    </row>
    <row r="296" spans="1:36" s="1" customFormat="1" outlineLevel="1">
      <c r="A296" t="s">
        <v>731</v>
      </c>
      <c r="B296" s="281" t="s">
        <v>127</v>
      </c>
      <c r="C296" s="234">
        <f>C262*C292</f>
        <v>15407.036636108442</v>
      </c>
      <c r="D296" s="234">
        <f t="shared" ref="D296:AG296" si="224">D262*D292</f>
        <v>15649.882339429865</v>
      </c>
      <c r="E296" s="234">
        <f t="shared" si="224"/>
        <v>15894.27870624097</v>
      </c>
      <c r="F296" s="234">
        <f t="shared" si="224"/>
        <v>16140.224947326333</v>
      </c>
      <c r="G296" s="234">
        <f t="shared" si="224"/>
        <v>16387.720273470535</v>
      </c>
      <c r="H296" s="234">
        <f t="shared" si="224"/>
        <v>16636.763895458156</v>
      </c>
      <c r="I296" s="234">
        <f t="shared" si="224"/>
        <v>16800.32456294863</v>
      </c>
      <c r="J296" s="234">
        <f t="shared" si="224"/>
        <v>16962.80458150019</v>
      </c>
      <c r="K296" s="234">
        <f t="shared" si="224"/>
        <v>17124.17797947233</v>
      </c>
      <c r="L296" s="234">
        <f t="shared" si="224"/>
        <v>17284.418785224534</v>
      </c>
      <c r="M296" s="234">
        <f t="shared" si="224"/>
        <v>17443.501027116283</v>
      </c>
      <c r="N296" s="234">
        <f t="shared" si="224"/>
        <v>17597.540251614591</v>
      </c>
      <c r="O296" s="234">
        <f t="shared" si="224"/>
        <v>17750.25729927461</v>
      </c>
      <c r="P296" s="234">
        <f t="shared" si="224"/>
        <v>17895.573614868186</v>
      </c>
      <c r="Q296" s="234">
        <f t="shared" si="224"/>
        <v>18039.302560357621</v>
      </c>
      <c r="R296" s="234">
        <f t="shared" si="224"/>
        <v>18181.413899334948</v>
      </c>
      <c r="S296" s="234">
        <f t="shared" si="224"/>
        <v>18321.912137435709</v>
      </c>
      <c r="T296" s="234">
        <f t="shared" si="224"/>
        <v>18460.733202562125</v>
      </c>
      <c r="U296" s="234">
        <f t="shared" si="224"/>
        <v>18597.84680694732</v>
      </c>
      <c r="V296" s="234">
        <f t="shared" si="224"/>
        <v>18733.222642802619</v>
      </c>
      <c r="W296" s="234">
        <f t="shared" si="224"/>
        <v>18866.83038231757</v>
      </c>
      <c r="X296" s="234">
        <f t="shared" si="224"/>
        <v>18998.626641224386</v>
      </c>
      <c r="Y296" s="234">
        <f t="shared" si="224"/>
        <v>19128.593739327382</v>
      </c>
      <c r="Z296" s="234">
        <f t="shared" si="224"/>
        <v>19239.926322596046</v>
      </c>
      <c r="AA296" s="234">
        <f t="shared" si="224"/>
        <v>19348.637470891936</v>
      </c>
      <c r="AB296" s="234">
        <f t="shared" si="224"/>
        <v>19454.681575611692</v>
      </c>
      <c r="AC296" s="234">
        <f t="shared" si="224"/>
        <v>19554.515533210786</v>
      </c>
      <c r="AD296" s="234">
        <f t="shared" si="224"/>
        <v>19651.500586469239</v>
      </c>
      <c r="AE296" s="234">
        <f t="shared" si="224"/>
        <v>19745.589909779974</v>
      </c>
      <c r="AF296" s="234">
        <f t="shared" si="224"/>
        <v>19836.73652737245</v>
      </c>
      <c r="AG296" s="234">
        <f t="shared" si="224"/>
        <v>19924.893313312623</v>
      </c>
      <c r="AI296" s="295"/>
      <c r="AJ296" s="198" t="s">
        <v>1628</v>
      </c>
    </row>
    <row r="297" spans="1:36" s="1" customFormat="1" outlineLevel="1">
      <c r="A297" t="s">
        <v>726</v>
      </c>
      <c r="B297" s="281" t="s">
        <v>127</v>
      </c>
      <c r="C297" s="234">
        <f>C295*C263</f>
        <v>13095.981140692174</v>
      </c>
      <c r="D297" s="234">
        <f t="shared" ref="D297:AG297" si="225">D295*D263</f>
        <v>13684.818908245556</v>
      </c>
      <c r="E297" s="234">
        <f t="shared" si="225"/>
        <v>14276.287204318696</v>
      </c>
      <c r="F297" s="234">
        <f t="shared" si="225"/>
        <v>14870.353700664104</v>
      </c>
      <c r="G297" s="234">
        <f t="shared" si="225"/>
        <v>15466.986089027736</v>
      </c>
      <c r="H297" s="234">
        <f t="shared" si="225"/>
        <v>16066.15208114901</v>
      </c>
      <c r="I297" s="234">
        <f t="shared" si="225"/>
        <v>16581.920343630285</v>
      </c>
      <c r="J297" s="234">
        <f t="shared" si="225"/>
        <v>17093.901995602559</v>
      </c>
      <c r="K297" s="234">
        <f t="shared" si="225"/>
        <v>17602.024088804254</v>
      </c>
      <c r="L297" s="234">
        <f t="shared" si="225"/>
        <v>18106.214332922009</v>
      </c>
      <c r="M297" s="234">
        <f t="shared" si="225"/>
        <v>18606.401095590674</v>
      </c>
      <c r="N297" s="234">
        <f t="shared" si="225"/>
        <v>19098.325854393352</v>
      </c>
      <c r="O297" s="234">
        <f t="shared" si="225"/>
        <v>19585.842730576038</v>
      </c>
      <c r="P297" s="234">
        <f t="shared" si="225"/>
        <v>20062.096311821566</v>
      </c>
      <c r="Q297" s="234">
        <f t="shared" si="225"/>
        <v>20533.351775881896</v>
      </c>
      <c r="R297" s="234">
        <f t="shared" si="225"/>
        <v>20999.533053731826</v>
      </c>
      <c r="S297" s="234">
        <f t="shared" si="225"/>
        <v>21460.605488375757</v>
      </c>
      <c r="T297" s="234">
        <f t="shared" si="225"/>
        <v>21916.455935922695</v>
      </c>
      <c r="U297" s="234">
        <f t="shared" si="225"/>
        <v>22367.010426488599</v>
      </c>
      <c r="V297" s="234">
        <f t="shared" si="225"/>
        <v>22812.195686809271</v>
      </c>
      <c r="W297" s="234">
        <f t="shared" si="225"/>
        <v>23251.939140874369</v>
      </c>
      <c r="X297" s="234">
        <f t="shared" si="225"/>
        <v>23686.152657649676</v>
      </c>
      <c r="Y297" s="234">
        <f t="shared" si="225"/>
        <v>24114.780507378673</v>
      </c>
      <c r="Z297" s="234">
        <f t="shared" si="225"/>
        <v>24516.37679541438</v>
      </c>
      <c r="AA297" s="234">
        <f t="shared" si="225"/>
        <v>24910.861569103032</v>
      </c>
      <c r="AB297" s="234">
        <f t="shared" si="225"/>
        <v>25298.13484596747</v>
      </c>
      <c r="AC297" s="234">
        <f t="shared" si="225"/>
        <v>25673.505543281197</v>
      </c>
      <c r="AD297" s="234">
        <f t="shared" si="225"/>
        <v>26041.261584854219</v>
      </c>
      <c r="AE297" s="234">
        <f t="shared" si="225"/>
        <v>26401.303950442591</v>
      </c>
      <c r="AF297" s="234">
        <f t="shared" si="225"/>
        <v>26753.534285534435</v>
      </c>
      <c r="AG297" s="234">
        <f t="shared" si="225"/>
        <v>27097.854906105171</v>
      </c>
      <c r="AI297" s="295"/>
      <c r="AJ297" s="198" t="s">
        <v>1629</v>
      </c>
    </row>
    <row r="298" spans="1:36" s="1" customFormat="1" outlineLevel="1">
      <c r="A298" t="s">
        <v>727</v>
      </c>
      <c r="B298" s="281" t="s">
        <v>127</v>
      </c>
      <c r="C298" s="234">
        <f>C295*C264</f>
        <v>74210.559797255657</v>
      </c>
      <c r="D298" s="234">
        <f t="shared" ref="D298:AG298" si="226">D295*D264</f>
        <v>73851.33615515886</v>
      </c>
      <c r="E298" s="234">
        <f t="shared" si="226"/>
        <v>73487.773477968381</v>
      </c>
      <c r="F298" s="234">
        <f t="shared" si="226"/>
        <v>73119.904883147174</v>
      </c>
      <c r="G298" s="234">
        <f t="shared" si="226"/>
        <v>72747.763468164689</v>
      </c>
      <c r="H298" s="234">
        <f t="shared" si="226"/>
        <v>72371.382310496934</v>
      </c>
      <c r="I298" s="234">
        <f t="shared" si="226"/>
        <v>71619.783611849969</v>
      </c>
      <c r="J298" s="234">
        <f t="shared" si="226"/>
        <v>70867.857844547863</v>
      </c>
      <c r="K298" s="234">
        <f t="shared" si="226"/>
        <v>70115.70392849273</v>
      </c>
      <c r="L298" s="234">
        <f t="shared" si="226"/>
        <v>69363.420125638455</v>
      </c>
      <c r="M298" s="234">
        <f t="shared" si="226"/>
        <v>68611.104039990649</v>
      </c>
      <c r="N298" s="234">
        <f t="shared" si="226"/>
        <v>67843.976972890538</v>
      </c>
      <c r="O298" s="234">
        <f t="shared" si="226"/>
        <v>67077.178201176386</v>
      </c>
      <c r="P298" s="234">
        <f t="shared" si="226"/>
        <v>66288.389965746203</v>
      </c>
      <c r="Q298" s="234">
        <f t="shared" si="226"/>
        <v>65500.245050438956</v>
      </c>
      <c r="R298" s="234">
        <f t="shared" si="226"/>
        <v>64712.846757418534</v>
      </c>
      <c r="S298" s="234">
        <f t="shared" si="226"/>
        <v>63926.419001183007</v>
      </c>
      <c r="T298" s="234">
        <f t="shared" si="226"/>
        <v>63140.940969340074</v>
      </c>
      <c r="U298" s="234">
        <f t="shared" si="226"/>
        <v>62356.513916271295</v>
      </c>
      <c r="V298" s="234">
        <f t="shared" si="226"/>
        <v>61573.238419760208</v>
      </c>
      <c r="W298" s="234">
        <f t="shared" si="226"/>
        <v>60791.214380358331</v>
      </c>
      <c r="X298" s="234">
        <f t="shared" si="226"/>
        <v>60010.499842879253</v>
      </c>
      <c r="Y298" s="234">
        <f t="shared" si="226"/>
        <v>59231.235071119074</v>
      </c>
      <c r="Z298" s="234">
        <f t="shared" si="226"/>
        <v>58402.597709933048</v>
      </c>
      <c r="AA298" s="234">
        <f t="shared" si="226"/>
        <v>57575.435017330878</v>
      </c>
      <c r="AB298" s="234">
        <f t="shared" si="226"/>
        <v>56749.870059873007</v>
      </c>
      <c r="AC298" s="234">
        <f t="shared" si="226"/>
        <v>55916.02478494298</v>
      </c>
      <c r="AD298" s="234">
        <f t="shared" si="226"/>
        <v>55084.163913134034</v>
      </c>
      <c r="AE298" s="234">
        <f t="shared" si="226"/>
        <v>54254.41076577716</v>
      </c>
      <c r="AF298" s="234">
        <f t="shared" si="226"/>
        <v>53426.888148634731</v>
      </c>
      <c r="AG298" s="234">
        <f t="shared" si="226"/>
        <v>52601.718347145325</v>
      </c>
      <c r="AI298" s="295"/>
      <c r="AJ298" s="198" t="s">
        <v>1630</v>
      </c>
    </row>
    <row r="299" spans="1:36" s="1" customFormat="1" outlineLevel="1">
      <c r="A299" t="s">
        <v>730</v>
      </c>
      <c r="B299" s="281" t="s">
        <v>127</v>
      </c>
      <c r="C299" s="234">
        <f>C265*C298</f>
        <v>0</v>
      </c>
      <c r="D299" s="234">
        <f t="shared" ref="D299:AG299" si="227">D265*D298</f>
        <v>0</v>
      </c>
      <c r="E299" s="234">
        <f t="shared" si="227"/>
        <v>0</v>
      </c>
      <c r="F299" s="234">
        <f t="shared" si="227"/>
        <v>0</v>
      </c>
      <c r="G299" s="234">
        <f t="shared" si="227"/>
        <v>0</v>
      </c>
      <c r="H299" s="234">
        <f t="shared" si="227"/>
        <v>0</v>
      </c>
      <c r="I299" s="234">
        <f t="shared" si="227"/>
        <v>0</v>
      </c>
      <c r="J299" s="234">
        <f t="shared" si="227"/>
        <v>0</v>
      </c>
      <c r="K299" s="234">
        <f t="shared" si="227"/>
        <v>0</v>
      </c>
      <c r="L299" s="234">
        <f t="shared" si="227"/>
        <v>0</v>
      </c>
      <c r="M299" s="234">
        <f t="shared" si="227"/>
        <v>0</v>
      </c>
      <c r="N299" s="234">
        <f t="shared" si="227"/>
        <v>0</v>
      </c>
      <c r="O299" s="234">
        <f t="shared" si="227"/>
        <v>0</v>
      </c>
      <c r="P299" s="234">
        <f t="shared" si="227"/>
        <v>0</v>
      </c>
      <c r="Q299" s="234">
        <f t="shared" si="227"/>
        <v>0</v>
      </c>
      <c r="R299" s="234">
        <f t="shared" si="227"/>
        <v>0</v>
      </c>
      <c r="S299" s="234">
        <f t="shared" si="227"/>
        <v>0</v>
      </c>
      <c r="T299" s="234">
        <f t="shared" si="227"/>
        <v>0</v>
      </c>
      <c r="U299" s="234">
        <f t="shared" si="227"/>
        <v>0</v>
      </c>
      <c r="V299" s="234">
        <f t="shared" si="227"/>
        <v>0</v>
      </c>
      <c r="W299" s="234">
        <f t="shared" si="227"/>
        <v>0</v>
      </c>
      <c r="X299" s="234">
        <f t="shared" si="227"/>
        <v>0</v>
      </c>
      <c r="Y299" s="234">
        <f t="shared" si="227"/>
        <v>0</v>
      </c>
      <c r="Z299" s="234">
        <f t="shared" si="227"/>
        <v>0</v>
      </c>
      <c r="AA299" s="234">
        <f t="shared" si="227"/>
        <v>0</v>
      </c>
      <c r="AB299" s="234">
        <f t="shared" si="227"/>
        <v>0</v>
      </c>
      <c r="AC299" s="234">
        <f t="shared" si="227"/>
        <v>0</v>
      </c>
      <c r="AD299" s="234">
        <f t="shared" si="227"/>
        <v>0</v>
      </c>
      <c r="AE299" s="234">
        <f t="shared" si="227"/>
        <v>0</v>
      </c>
      <c r="AF299" s="234">
        <f t="shared" si="227"/>
        <v>0</v>
      </c>
      <c r="AG299" s="234">
        <f t="shared" si="227"/>
        <v>0</v>
      </c>
      <c r="AI299" s="295"/>
      <c r="AJ299" s="198" t="s">
        <v>1631</v>
      </c>
    </row>
    <row r="300" spans="1:36" s="1" customFormat="1" outlineLevel="1">
      <c r="A300" t="s">
        <v>758</v>
      </c>
      <c r="B300" s="281" t="s">
        <v>127</v>
      </c>
      <c r="C300" s="234">
        <f>C266*C298</f>
        <v>74210.559797255657</v>
      </c>
      <c r="D300" s="234">
        <f t="shared" ref="D300:AG300" si="228">D266*D298</f>
        <v>73851.33615515886</v>
      </c>
      <c r="E300" s="234">
        <f t="shared" si="228"/>
        <v>73487.773477968381</v>
      </c>
      <c r="F300" s="234">
        <f t="shared" si="228"/>
        <v>73119.904883147174</v>
      </c>
      <c r="G300" s="234">
        <f t="shared" si="228"/>
        <v>72747.763468164689</v>
      </c>
      <c r="H300" s="234">
        <f t="shared" si="228"/>
        <v>72371.382310496934</v>
      </c>
      <c r="I300" s="234">
        <f t="shared" si="228"/>
        <v>71619.783611849969</v>
      </c>
      <c r="J300" s="234">
        <f t="shared" si="228"/>
        <v>70867.857844547863</v>
      </c>
      <c r="K300" s="234">
        <f t="shared" si="228"/>
        <v>70115.70392849273</v>
      </c>
      <c r="L300" s="234">
        <f t="shared" si="228"/>
        <v>69363.420125638455</v>
      </c>
      <c r="M300" s="234">
        <f t="shared" si="228"/>
        <v>68611.104039990649</v>
      </c>
      <c r="N300" s="234">
        <f t="shared" si="228"/>
        <v>67843.976972890538</v>
      </c>
      <c r="O300" s="234">
        <f t="shared" si="228"/>
        <v>67077.178201176386</v>
      </c>
      <c r="P300" s="234">
        <f t="shared" si="228"/>
        <v>66288.389965746203</v>
      </c>
      <c r="Q300" s="234">
        <f t="shared" si="228"/>
        <v>65500.245050438956</v>
      </c>
      <c r="R300" s="234">
        <f t="shared" si="228"/>
        <v>64712.846757418534</v>
      </c>
      <c r="S300" s="234">
        <f t="shared" si="228"/>
        <v>63926.419001183007</v>
      </c>
      <c r="T300" s="234">
        <f t="shared" si="228"/>
        <v>63140.940969340074</v>
      </c>
      <c r="U300" s="234">
        <f t="shared" si="228"/>
        <v>62356.513916271295</v>
      </c>
      <c r="V300" s="234">
        <f t="shared" si="228"/>
        <v>61573.238419760208</v>
      </c>
      <c r="W300" s="234">
        <f t="shared" si="228"/>
        <v>60791.214380358331</v>
      </c>
      <c r="X300" s="234">
        <f t="shared" si="228"/>
        <v>60010.499842879253</v>
      </c>
      <c r="Y300" s="234">
        <f t="shared" si="228"/>
        <v>59231.235071119074</v>
      </c>
      <c r="Z300" s="234">
        <f t="shared" si="228"/>
        <v>58402.597709933048</v>
      </c>
      <c r="AA300" s="234">
        <f t="shared" si="228"/>
        <v>57575.435017330878</v>
      </c>
      <c r="AB300" s="234">
        <f t="shared" si="228"/>
        <v>56749.870059873007</v>
      </c>
      <c r="AC300" s="234">
        <f t="shared" si="228"/>
        <v>55916.02478494298</v>
      </c>
      <c r="AD300" s="234">
        <f t="shared" si="228"/>
        <v>55084.163913134034</v>
      </c>
      <c r="AE300" s="234">
        <f t="shared" si="228"/>
        <v>54254.41076577716</v>
      </c>
      <c r="AF300" s="234">
        <f t="shared" si="228"/>
        <v>53426.888148634731</v>
      </c>
      <c r="AG300" s="234">
        <f t="shared" si="228"/>
        <v>52601.718347145325</v>
      </c>
      <c r="AI300" s="295"/>
      <c r="AJ300" s="198" t="s">
        <v>1632</v>
      </c>
    </row>
    <row r="301" spans="1:36" s="1" customFormat="1" outlineLevel="1">
      <c r="A301" t="s">
        <v>728</v>
      </c>
      <c r="B301" s="281" t="s">
        <v>127</v>
      </c>
      <c r="C301" s="234">
        <f>C267*(C299+C297)</f>
        <v>10476.78491255374</v>
      </c>
      <c r="D301" s="234">
        <f t="shared" ref="D301:AG301" si="229">D267*(D299+D297)</f>
        <v>10993.47118962393</v>
      </c>
      <c r="E301" s="234">
        <f t="shared" si="229"/>
        <v>11516.205011483748</v>
      </c>
      <c r="F301" s="234">
        <f t="shared" si="229"/>
        <v>12044.986497537922</v>
      </c>
      <c r="G301" s="234">
        <f t="shared" si="229"/>
        <v>12579.815352409223</v>
      </c>
      <c r="H301" s="234">
        <f t="shared" si="229"/>
        <v>13120.690866271689</v>
      </c>
      <c r="I301" s="234">
        <f t="shared" si="229"/>
        <v>13597.174681776831</v>
      </c>
      <c r="J301" s="234">
        <f t="shared" si="229"/>
        <v>14073.979309712769</v>
      </c>
      <c r="K301" s="234">
        <f t="shared" si="229"/>
        <v>14551.006580078179</v>
      </c>
      <c r="L301" s="234">
        <f t="shared" si="229"/>
        <v>15028.157896325263</v>
      </c>
      <c r="M301" s="234">
        <f t="shared" si="229"/>
        <v>15505.334246325556</v>
      </c>
      <c r="N301" s="234">
        <f t="shared" si="229"/>
        <v>15978.932631509098</v>
      </c>
      <c r="O301" s="234">
        <f t="shared" si="229"/>
        <v>16452.107893683864</v>
      </c>
      <c r="P301" s="234">
        <f t="shared" si="229"/>
        <v>16919.034556302846</v>
      </c>
      <c r="Q301" s="234">
        <f t="shared" si="229"/>
        <v>17384.904503579997</v>
      </c>
      <c r="R301" s="234">
        <f t="shared" si="229"/>
        <v>17849.603095672042</v>
      </c>
      <c r="S301" s="234">
        <f t="shared" si="229"/>
        <v>18313.0500167473</v>
      </c>
      <c r="T301" s="234">
        <f t="shared" si="229"/>
        <v>18775.097251773765</v>
      </c>
      <c r="U301" s="234">
        <f t="shared" si="229"/>
        <v>19235.628966780183</v>
      </c>
      <c r="V301" s="234">
        <f t="shared" si="229"/>
        <v>19694.528942945322</v>
      </c>
      <c r="W301" s="234">
        <f t="shared" si="229"/>
        <v>20151.680588757772</v>
      </c>
      <c r="X301" s="234">
        <f t="shared" si="229"/>
        <v>20606.952812155203</v>
      </c>
      <c r="Y301" s="234">
        <f t="shared" si="229"/>
        <v>21060.24164311069</v>
      </c>
      <c r="Z301" s="234">
        <f t="shared" si="229"/>
        <v>21492.690323979921</v>
      </c>
      <c r="AA301" s="234">
        <f t="shared" si="229"/>
        <v>21921.558180810647</v>
      </c>
      <c r="AB301" s="234">
        <f t="shared" si="229"/>
        <v>22346.685780604577</v>
      </c>
      <c r="AC301" s="234">
        <f t="shared" si="229"/>
        <v>22763.841581709305</v>
      </c>
      <c r="AD301" s="234">
        <f t="shared" si="229"/>
        <v>23176.722810520234</v>
      </c>
      <c r="AE301" s="234">
        <f t="shared" si="229"/>
        <v>23585.164862395355</v>
      </c>
      <c r="AF301" s="234">
        <f t="shared" si="229"/>
        <v>23989.002409362518</v>
      </c>
      <c r="AG301" s="234">
        <f t="shared" si="229"/>
        <v>24388.069415494654</v>
      </c>
      <c r="AH301" s="234"/>
      <c r="AI301" s="295"/>
      <c r="AJ301" s="198" t="s">
        <v>1633</v>
      </c>
    </row>
    <row r="302" spans="1:36" s="1" customFormat="1" outlineLevel="1">
      <c r="A302" t="s">
        <v>729</v>
      </c>
      <c r="B302" s="281" t="s">
        <v>127</v>
      </c>
      <c r="C302" s="234">
        <f>C268*(C299+C297)</f>
        <v>2619.1962281384349</v>
      </c>
      <c r="D302" s="234">
        <f t="shared" ref="D302:AG302" si="230">D268*(D299+D297)</f>
        <v>2691.347718621626</v>
      </c>
      <c r="E302" s="234">
        <f t="shared" si="230"/>
        <v>2760.0821928349483</v>
      </c>
      <c r="F302" s="234">
        <f t="shared" si="230"/>
        <v>2825.3672031261804</v>
      </c>
      <c r="G302" s="234">
        <f t="shared" si="230"/>
        <v>2887.1707366185115</v>
      </c>
      <c r="H302" s="234">
        <f t="shared" si="230"/>
        <v>2945.461214877319</v>
      </c>
      <c r="I302" s="234">
        <f t="shared" si="230"/>
        <v>2984.745661853452</v>
      </c>
      <c r="J302" s="234">
        <f t="shared" si="230"/>
        <v>3019.9226858897864</v>
      </c>
      <c r="K302" s="234">
        <f t="shared" si="230"/>
        <v>3051.0175087260718</v>
      </c>
      <c r="L302" s="234">
        <f t="shared" si="230"/>
        <v>3078.0564365967425</v>
      </c>
      <c r="M302" s="234">
        <f t="shared" si="230"/>
        <v>3101.0668492651139</v>
      </c>
      <c r="N302" s="234">
        <f t="shared" si="230"/>
        <v>3119.3932228842491</v>
      </c>
      <c r="O302" s="234">
        <f t="shared" si="230"/>
        <v>3133.7348368921676</v>
      </c>
      <c r="P302" s="234">
        <f t="shared" si="230"/>
        <v>3143.0617555187137</v>
      </c>
      <c r="Q302" s="234">
        <f t="shared" si="230"/>
        <v>3148.447272301893</v>
      </c>
      <c r="R302" s="234">
        <f t="shared" si="230"/>
        <v>3149.9299580597763</v>
      </c>
      <c r="S302" s="234">
        <f t="shared" si="230"/>
        <v>3147.5554716284469</v>
      </c>
      <c r="T302" s="234">
        <f t="shared" si="230"/>
        <v>3141.3586841489223</v>
      </c>
      <c r="U302" s="234">
        <f t="shared" si="230"/>
        <v>3131.3814597084065</v>
      </c>
      <c r="V302" s="234">
        <f t="shared" si="230"/>
        <v>3117.6667438639365</v>
      </c>
      <c r="W302" s="234">
        <f t="shared" si="230"/>
        <v>3100.2585521165856</v>
      </c>
      <c r="X302" s="234">
        <f t="shared" si="230"/>
        <v>3079.1998454944614</v>
      </c>
      <c r="Y302" s="234">
        <f t="shared" si="230"/>
        <v>3054.5388642679691</v>
      </c>
      <c r="Z302" s="234">
        <f t="shared" si="230"/>
        <v>3023.6864714344442</v>
      </c>
      <c r="AA302" s="234">
        <f t="shared" si="230"/>
        <v>2989.3033882923678</v>
      </c>
      <c r="AB302" s="234">
        <f t="shared" si="230"/>
        <v>2951.4490653628759</v>
      </c>
      <c r="AC302" s="234">
        <f t="shared" si="230"/>
        <v>2909.6639615718736</v>
      </c>
      <c r="AD302" s="234">
        <f t="shared" si="230"/>
        <v>2864.5387743339688</v>
      </c>
      <c r="AE302" s="234">
        <f t="shared" si="230"/>
        <v>2816.1390880472145</v>
      </c>
      <c r="AF302" s="234">
        <f t="shared" si="230"/>
        <v>2764.5318761718968</v>
      </c>
      <c r="AG302" s="234">
        <f t="shared" si="230"/>
        <v>2709.7854906105172</v>
      </c>
      <c r="AI302" s="295"/>
      <c r="AJ302" s="198" t="s">
        <v>1634</v>
      </c>
    </row>
    <row r="303" spans="1:36" s="1" customFormat="1" outlineLevel="1">
      <c r="A303" t="s">
        <v>739</v>
      </c>
      <c r="B303" s="281" t="s">
        <v>127</v>
      </c>
      <c r="C303" s="234">
        <f>C296*C269</f>
        <v>14636.684804303019</v>
      </c>
      <c r="D303" s="234">
        <f t="shared" ref="D303:AG303" si="231">D296*D269</f>
        <v>14846.521712672466</v>
      </c>
      <c r="E303" s="234">
        <f t="shared" si="231"/>
        <v>15057.180027712278</v>
      </c>
      <c r="F303" s="234">
        <f t="shared" si="231"/>
        <v>15268.652800170712</v>
      </c>
      <c r="G303" s="234">
        <f t="shared" si="231"/>
        <v>15480.933085005167</v>
      </c>
      <c r="H303" s="234">
        <f t="shared" si="231"/>
        <v>15694.013941382196</v>
      </c>
      <c r="I303" s="234">
        <f t="shared" si="231"/>
        <v>15825.905738297612</v>
      </c>
      <c r="J303" s="234">
        <f t="shared" si="231"/>
        <v>15956.344842997849</v>
      </c>
      <c r="K303" s="234">
        <f t="shared" si="231"/>
        <v>16085.311182051013</v>
      </c>
      <c r="L303" s="234">
        <f t="shared" si="231"/>
        <v>16212.784820540617</v>
      </c>
      <c r="M303" s="234">
        <f t="shared" si="231"/>
        <v>16338.74596206559</v>
      </c>
      <c r="N303" s="234">
        <f t="shared" si="231"/>
        <v>16459.565982010186</v>
      </c>
      <c r="O303" s="234">
        <f t="shared" si="231"/>
        <v>16578.740317522494</v>
      </c>
      <c r="P303" s="234">
        <f t="shared" si="231"/>
        <v>16690.604991467069</v>
      </c>
      <c r="Q303" s="234">
        <f t="shared" si="231"/>
        <v>16800.603784546405</v>
      </c>
      <c r="R303" s="234">
        <f t="shared" si="231"/>
        <v>16908.714926381512</v>
      </c>
      <c r="S303" s="234">
        <f t="shared" si="231"/>
        <v>17014.949071631971</v>
      </c>
      <c r="T303" s="234">
        <f t="shared" si="231"/>
        <v>17119.253256509288</v>
      </c>
      <c r="U303" s="234">
        <f t="shared" si="231"/>
        <v>17221.606143233228</v>
      </c>
      <c r="V303" s="234">
        <f t="shared" si="231"/>
        <v>17321.986537044835</v>
      </c>
      <c r="W303" s="234">
        <f t="shared" si="231"/>
        <v>17420.373386339903</v>
      </c>
      <c r="X303" s="234">
        <f t="shared" si="231"/>
        <v>17516.733763208897</v>
      </c>
      <c r="Y303" s="234">
        <f t="shared" si="231"/>
        <v>17611.058636007423</v>
      </c>
      <c r="Z303" s="234">
        <f t="shared" si="231"/>
        <v>17687.905599239981</v>
      </c>
      <c r="AA303" s="234">
        <f t="shared" si="231"/>
        <v>17762.049198278812</v>
      </c>
      <c r="AB303" s="234">
        <f t="shared" si="231"/>
        <v>17833.458110977401</v>
      </c>
      <c r="AC303" s="234">
        <f t="shared" si="231"/>
        <v>17898.899884732291</v>
      </c>
      <c r="AD303" s="234">
        <f t="shared" si="231"/>
        <v>17961.471536032903</v>
      </c>
      <c r="AE303" s="234">
        <f t="shared" si="231"/>
        <v>18021.141724325877</v>
      </c>
      <c r="AF303" s="234">
        <f t="shared" si="231"/>
        <v>18077.879221945444</v>
      </c>
      <c r="AG303" s="234">
        <f t="shared" si="231"/>
        <v>18131.652915114486</v>
      </c>
      <c r="AI303" s="295"/>
      <c r="AJ303" s="198" t="s">
        <v>1635</v>
      </c>
    </row>
    <row r="304" spans="1:36" s="1" customFormat="1" outlineLevel="1">
      <c r="A304" t="s">
        <v>759</v>
      </c>
      <c r="B304" s="281" t="s">
        <v>127</v>
      </c>
      <c r="C304" s="234">
        <f>C296*C270</f>
        <v>770.35183180542208</v>
      </c>
      <c r="D304" s="234">
        <f t="shared" ref="D304:AG304" si="232">D296*D270</f>
        <v>803.36062675739981</v>
      </c>
      <c r="E304" s="234">
        <f t="shared" si="232"/>
        <v>837.09867852869104</v>
      </c>
      <c r="F304" s="234">
        <f t="shared" si="232"/>
        <v>871.57214715562191</v>
      </c>
      <c r="G304" s="234">
        <f t="shared" si="232"/>
        <v>906.78718846536958</v>
      </c>
      <c r="H304" s="234">
        <f t="shared" si="232"/>
        <v>942.74995407596214</v>
      </c>
      <c r="I304" s="234">
        <f t="shared" si="232"/>
        <v>974.41882465102049</v>
      </c>
      <c r="J304" s="234">
        <f t="shared" si="232"/>
        <v>1006.4597385023445</v>
      </c>
      <c r="K304" s="234">
        <f t="shared" si="232"/>
        <v>1038.8667974213213</v>
      </c>
      <c r="L304" s="234">
        <f t="shared" si="232"/>
        <v>1071.633964683921</v>
      </c>
      <c r="M304" s="234">
        <f t="shared" si="232"/>
        <v>1104.7550650506978</v>
      </c>
      <c r="N304" s="234">
        <f t="shared" si="232"/>
        <v>1137.9742696044102</v>
      </c>
      <c r="O304" s="234">
        <f t="shared" si="232"/>
        <v>1171.5169817521244</v>
      </c>
      <c r="P304" s="234">
        <f t="shared" si="232"/>
        <v>1204.9686234011247</v>
      </c>
      <c r="Q304" s="234">
        <f t="shared" si="232"/>
        <v>1238.6987758112236</v>
      </c>
      <c r="R304" s="234">
        <f t="shared" si="232"/>
        <v>1272.6989729534466</v>
      </c>
      <c r="S304" s="234">
        <f t="shared" si="232"/>
        <v>1306.9630658037477</v>
      </c>
      <c r="T304" s="234">
        <f t="shared" si="232"/>
        <v>1341.4799460528484</v>
      </c>
      <c r="U304" s="234">
        <f t="shared" si="232"/>
        <v>1376.2406637141023</v>
      </c>
      <c r="V304" s="234">
        <f t="shared" si="232"/>
        <v>1411.2361057577982</v>
      </c>
      <c r="W304" s="234">
        <f t="shared" si="232"/>
        <v>1446.4569959776813</v>
      </c>
      <c r="X304" s="234">
        <f t="shared" si="232"/>
        <v>1481.8928780155031</v>
      </c>
      <c r="Y304" s="234">
        <f t="shared" si="232"/>
        <v>1517.5351033199734</v>
      </c>
      <c r="Z304" s="234">
        <f t="shared" si="232"/>
        <v>1552.0207233560823</v>
      </c>
      <c r="AA304" s="234">
        <f t="shared" si="232"/>
        <v>1586.5882726131401</v>
      </c>
      <c r="AB304" s="234">
        <f t="shared" si="232"/>
        <v>1621.2234646343093</v>
      </c>
      <c r="AC304" s="234">
        <f t="shared" si="232"/>
        <v>1655.6156484785149</v>
      </c>
      <c r="AD304" s="234">
        <f t="shared" si="232"/>
        <v>1690.0290504363563</v>
      </c>
      <c r="AE304" s="234">
        <f t="shared" si="232"/>
        <v>1724.4481854541195</v>
      </c>
      <c r="AF304" s="234">
        <f t="shared" si="232"/>
        <v>1758.8573054270259</v>
      </c>
      <c r="AG304" s="234">
        <f t="shared" si="232"/>
        <v>1793.2403981981361</v>
      </c>
      <c r="AI304" s="295"/>
      <c r="AJ304" s="198" t="s">
        <v>1636</v>
      </c>
    </row>
    <row r="305" spans="1:36" s="1" customFormat="1" outlineLevel="1">
      <c r="A305" t="s">
        <v>742</v>
      </c>
      <c r="B305" s="281" t="s">
        <v>127</v>
      </c>
      <c r="C305" s="234">
        <f t="shared" ref="C305:AG305" si="233">C301*C271</f>
        <v>2828.7319263895097</v>
      </c>
      <c r="D305" s="234">
        <f t="shared" si="233"/>
        <v>2924.2633364399653</v>
      </c>
      <c r="E305" s="234">
        <f t="shared" si="233"/>
        <v>3017.2457130087419</v>
      </c>
      <c r="F305" s="234">
        <f t="shared" si="233"/>
        <v>3107.6065163647841</v>
      </c>
      <c r="G305" s="234">
        <f t="shared" si="233"/>
        <v>3195.2730995119427</v>
      </c>
      <c r="H305" s="234">
        <f t="shared" si="233"/>
        <v>3280.1727165679222</v>
      </c>
      <c r="I305" s="234">
        <f t="shared" si="233"/>
        <v>3344.9049717171001</v>
      </c>
      <c r="J305" s="234">
        <f t="shared" si="233"/>
        <v>3405.90299295049</v>
      </c>
      <c r="K305" s="234">
        <f t="shared" si="233"/>
        <v>3463.1395660586068</v>
      </c>
      <c r="L305" s="234">
        <f t="shared" si="233"/>
        <v>3516.5889477401115</v>
      </c>
      <c r="M305" s="234">
        <f t="shared" si="233"/>
        <v>3566.2268766548777</v>
      </c>
      <c r="N305" s="234">
        <f t="shared" si="233"/>
        <v>3611.238774721056</v>
      </c>
      <c r="O305" s="234">
        <f t="shared" si="233"/>
        <v>3652.3679523978176</v>
      </c>
      <c r="P305" s="234">
        <f t="shared" si="233"/>
        <v>3688.3495332740199</v>
      </c>
      <c r="Q305" s="234">
        <f t="shared" si="233"/>
        <v>3720.369563766119</v>
      </c>
      <c r="R305" s="234">
        <f t="shared" si="233"/>
        <v>3748.4166500911283</v>
      </c>
      <c r="S305" s="234">
        <f t="shared" si="233"/>
        <v>3772.488303449943</v>
      </c>
      <c r="T305" s="234">
        <f t="shared" si="233"/>
        <v>3792.5696448582999</v>
      </c>
      <c r="U305" s="234">
        <f t="shared" si="233"/>
        <v>3808.6545354224754</v>
      </c>
      <c r="V305" s="234">
        <f t="shared" si="233"/>
        <v>3820.7386149313916</v>
      </c>
      <c r="W305" s="234">
        <f t="shared" si="233"/>
        <v>3828.8193118639756</v>
      </c>
      <c r="X305" s="234">
        <f t="shared" si="233"/>
        <v>3832.8932230608666</v>
      </c>
      <c r="Y305" s="234">
        <f t="shared" si="233"/>
        <v>3832.9639790461442</v>
      </c>
      <c r="Z305" s="234">
        <f t="shared" si="233"/>
        <v>3825.6988776684248</v>
      </c>
      <c r="AA305" s="234">
        <f t="shared" si="233"/>
        <v>3814.351123461051</v>
      </c>
      <c r="AB305" s="234">
        <f t="shared" si="233"/>
        <v>3798.9365827027764</v>
      </c>
      <c r="AC305" s="234">
        <f t="shared" si="233"/>
        <v>3778.7977025637429</v>
      </c>
      <c r="AD305" s="234">
        <f t="shared" si="233"/>
        <v>3754.6290953042762</v>
      </c>
      <c r="AE305" s="234">
        <f t="shared" si="233"/>
        <v>3726.4560482584643</v>
      </c>
      <c r="AF305" s="234">
        <f t="shared" si="233"/>
        <v>3694.3063710418255</v>
      </c>
      <c r="AG305" s="234">
        <f t="shared" si="233"/>
        <v>3658.2104123241979</v>
      </c>
      <c r="AI305" s="295"/>
      <c r="AJ305" s="198"/>
    </row>
    <row r="306" spans="1:36" s="62" customFormat="1">
      <c r="A306" s="322" t="s">
        <v>733</v>
      </c>
      <c r="B306" s="287" t="s">
        <v>127</v>
      </c>
      <c r="C306" s="288">
        <f>C272*C$291</f>
        <v>18779.193602066673</v>
      </c>
      <c r="D306" s="288">
        <f t="shared" ref="D306:AG311" si="234">D272*D$291</f>
        <v>19352.03049647437</v>
      </c>
      <c r="E306" s="288">
        <f t="shared" si="234"/>
        <v>19919.876232144248</v>
      </c>
      <c r="F306" s="288">
        <f t="shared" si="234"/>
        <v>20483.034883434833</v>
      </c>
      <c r="G306" s="288">
        <f t="shared" si="234"/>
        <v>21041.404586820834</v>
      </c>
      <c r="H306" s="288">
        <f t="shared" si="234"/>
        <v>21594.883914643946</v>
      </c>
      <c r="I306" s="288">
        <f t="shared" si="234"/>
        <v>22030.178999748434</v>
      </c>
      <c r="J306" s="288">
        <f t="shared" si="234"/>
        <v>22454.65675031814</v>
      </c>
      <c r="K306" s="288">
        <f t="shared" si="234"/>
        <v>22868.262840189953</v>
      </c>
      <c r="L306" s="288">
        <f t="shared" si="234"/>
        <v>23270.943395821887</v>
      </c>
      <c r="M306" s="288">
        <f t="shared" si="234"/>
        <v>23662.644996570467</v>
      </c>
      <c r="N306" s="288">
        <f t="shared" si="234"/>
        <v>23969.47979915022</v>
      </c>
      <c r="O306" s="288">
        <f t="shared" si="234"/>
        <v>24260.809505496974</v>
      </c>
      <c r="P306" s="288">
        <f t="shared" si="234"/>
        <v>24528.153120079121</v>
      </c>
      <c r="Q306" s="288">
        <f t="shared" si="234"/>
        <v>24779.541258587386</v>
      </c>
      <c r="R306" s="288">
        <f t="shared" si="234"/>
        <v>25014.905514460475</v>
      </c>
      <c r="S306" s="288">
        <f t="shared" si="234"/>
        <v>25234.226492674283</v>
      </c>
      <c r="T306" s="288">
        <f t="shared" si="234"/>
        <v>25437.397413386938</v>
      </c>
      <c r="U306" s="288">
        <f t="shared" si="234"/>
        <v>25624.359596224378</v>
      </c>
      <c r="V306" s="288">
        <f t="shared" si="234"/>
        <v>25795.05767325954</v>
      </c>
      <c r="W306" s="288">
        <f t="shared" si="234"/>
        <v>25949.439602746865</v>
      </c>
      <c r="X306" s="288">
        <f t="shared" si="234"/>
        <v>25972.072477064943</v>
      </c>
      <c r="Y306" s="288">
        <f t="shared" si="234"/>
        <v>25972.620387373459</v>
      </c>
      <c r="Z306" s="288">
        <f t="shared" si="234"/>
        <v>25929.479622454372</v>
      </c>
      <c r="AA306" s="288">
        <f t="shared" si="234"/>
        <v>25864.001322616561</v>
      </c>
      <c r="AB306" s="288">
        <f t="shared" si="234"/>
        <v>25776.232180158499</v>
      </c>
      <c r="AC306" s="288">
        <f t="shared" si="234"/>
        <v>25661.474234028552</v>
      </c>
      <c r="AD306" s="288">
        <f t="shared" si="234"/>
        <v>25524.481031750271</v>
      </c>
      <c r="AE306" s="288">
        <f t="shared" si="234"/>
        <v>25365.343153542311</v>
      </c>
      <c r="AF306" s="288">
        <f t="shared" si="234"/>
        <v>25184.164486893682</v>
      </c>
      <c r="AG306" s="288">
        <f t="shared" si="234"/>
        <v>24981.062394573783</v>
      </c>
      <c r="AI306" s="314"/>
      <c r="AJ306" s="325"/>
    </row>
    <row r="307" spans="1:36">
      <c r="A307" s="323" t="s">
        <v>734</v>
      </c>
      <c r="B307" s="281" t="s">
        <v>127</v>
      </c>
      <c r="C307" s="234">
        <f t="shared" ref="C307:R311" si="235">C273*C$291</f>
        <v>43426.885204779181</v>
      </c>
      <c r="D307" s="234">
        <f t="shared" si="235"/>
        <v>43503.052426550239</v>
      </c>
      <c r="E307" s="234">
        <f t="shared" si="235"/>
        <v>43574.729257815539</v>
      </c>
      <c r="F307" s="234">
        <f t="shared" si="235"/>
        <v>43642.830007318531</v>
      </c>
      <c r="G307" s="234">
        <f t="shared" si="235"/>
        <v>43707.329380712385</v>
      </c>
      <c r="H307" s="234">
        <f t="shared" si="235"/>
        <v>43768.202219858707</v>
      </c>
      <c r="I307" s="234">
        <f t="shared" si="235"/>
        <v>43601.395937002104</v>
      </c>
      <c r="J307" s="234">
        <f t="shared" si="235"/>
        <v>43430.037126882205</v>
      </c>
      <c r="K307" s="234">
        <f t="shared" si="235"/>
        <v>43254.115569438225</v>
      </c>
      <c r="L307" s="234">
        <f t="shared" si="235"/>
        <v>43073.621189381847</v>
      </c>
      <c r="M307" s="234">
        <f t="shared" si="235"/>
        <v>42888.544056283965</v>
      </c>
      <c r="N307" s="234">
        <f t="shared" si="235"/>
        <v>42567.74994818597</v>
      </c>
      <c r="O307" s="234">
        <f t="shared" si="235"/>
        <v>42239.802264034901</v>
      </c>
      <c r="P307" s="234">
        <f t="shared" si="235"/>
        <v>41890.377785018834</v>
      </c>
      <c r="Q307" s="234">
        <f t="shared" si="235"/>
        <v>41533.890177745889</v>
      </c>
      <c r="R307" s="234">
        <f t="shared" si="235"/>
        <v>41170.365325882849</v>
      </c>
      <c r="S307" s="234">
        <f t="shared" si="234"/>
        <v>40799.904247666287</v>
      </c>
      <c r="T307" s="234">
        <f t="shared" si="234"/>
        <v>40422.459985368849</v>
      </c>
      <c r="U307" s="234">
        <f t="shared" si="234"/>
        <v>40038.061869100566</v>
      </c>
      <c r="V307" s="234">
        <f t="shared" si="234"/>
        <v>39646.740428925666</v>
      </c>
      <c r="W307" s="234">
        <f t="shared" si="234"/>
        <v>39248.527399154598</v>
      </c>
      <c r="X307" s="234">
        <f t="shared" si="234"/>
        <v>38671.652033865044</v>
      </c>
      <c r="Y307" s="234">
        <f t="shared" si="234"/>
        <v>38084.852010331233</v>
      </c>
      <c r="Z307" s="234">
        <f t="shared" si="234"/>
        <v>37457.09025649359</v>
      </c>
      <c r="AA307" s="234">
        <f t="shared" si="234"/>
        <v>36820.279660669359</v>
      </c>
      <c r="AB307" s="234">
        <f t="shared" si="234"/>
        <v>36174.598571017843</v>
      </c>
      <c r="AC307" s="234">
        <f t="shared" si="234"/>
        <v>35513.647377450172</v>
      </c>
      <c r="AD307" s="234">
        <f t="shared" si="234"/>
        <v>34844.275092685348</v>
      </c>
      <c r="AE307" s="234">
        <f t="shared" si="234"/>
        <v>34166.67989431879</v>
      </c>
      <c r="AF307" s="234">
        <f t="shared" si="234"/>
        <v>33481.066134588466</v>
      </c>
      <c r="AG307" s="234">
        <f t="shared" si="234"/>
        <v>32787.644392878086</v>
      </c>
      <c r="AI307" s="275"/>
    </row>
    <row r="308" spans="1:36">
      <c r="A308" s="323" t="s">
        <v>735</v>
      </c>
      <c r="B308" s="281" t="s">
        <v>127</v>
      </c>
      <c r="C308" s="234">
        <f t="shared" si="235"/>
        <v>9389.5968010333363</v>
      </c>
      <c r="D308" s="234">
        <f t="shared" si="234"/>
        <v>9090.7723904809027</v>
      </c>
      <c r="E308" s="234">
        <f t="shared" si="234"/>
        <v>8792.7578680949209</v>
      </c>
      <c r="F308" s="234">
        <f t="shared" si="234"/>
        <v>8495.8042414246738</v>
      </c>
      <c r="G308" s="234">
        <f t="shared" si="234"/>
        <v>8199.9591404522344</v>
      </c>
      <c r="H308" s="234">
        <f t="shared" si="234"/>
        <v>7905.2700044678704</v>
      </c>
      <c r="I308" s="234">
        <f t="shared" si="234"/>
        <v>7572.8740311635211</v>
      </c>
      <c r="J308" s="234">
        <f t="shared" si="234"/>
        <v>7244.6612150519632</v>
      </c>
      <c r="K308" s="234">
        <f t="shared" si="234"/>
        <v>6920.6584911101127</v>
      </c>
      <c r="L308" s="234">
        <f t="shared" si="234"/>
        <v>6600.8925978533198</v>
      </c>
      <c r="M308" s="234">
        <f t="shared" si="234"/>
        <v>6285.3900772140269</v>
      </c>
      <c r="N308" s="234">
        <f t="shared" si="234"/>
        <v>5955.8311086303102</v>
      </c>
      <c r="O308" s="234">
        <f t="shared" si="234"/>
        <v>5631.9736352046511</v>
      </c>
      <c r="P308" s="234">
        <f t="shared" si="234"/>
        <v>5312.0564169938762</v>
      </c>
      <c r="Q308" s="234">
        <f t="shared" si="234"/>
        <v>4998.1461061355203</v>
      </c>
      <c r="R308" s="234">
        <f t="shared" si="234"/>
        <v>4690.2947839613353</v>
      </c>
      <c r="S308" s="234">
        <f t="shared" si="234"/>
        <v>4388.561129160742</v>
      </c>
      <c r="T308" s="234">
        <f t="shared" si="234"/>
        <v>4092.9854880582675</v>
      </c>
      <c r="U308" s="234">
        <f t="shared" si="234"/>
        <v>3803.6158775645526</v>
      </c>
      <c r="V308" s="234">
        <f t="shared" si="234"/>
        <v>3520.4989426514899</v>
      </c>
      <c r="W308" s="234">
        <f t="shared" si="234"/>
        <v>3243.679950343354</v>
      </c>
      <c r="X308" s="234">
        <f t="shared" si="234"/>
        <v>2960.0523779007794</v>
      </c>
      <c r="Y308" s="234">
        <f t="shared" si="234"/>
        <v>2684.6698958102329</v>
      </c>
      <c r="Z308" s="234">
        <f t="shared" si="234"/>
        <v>2415.6001063371364</v>
      </c>
      <c r="AA308" s="234">
        <f t="shared" si="234"/>
        <v>2155.3334435513757</v>
      </c>
      <c r="AB308" s="234">
        <f t="shared" si="234"/>
        <v>1903.926240579885</v>
      </c>
      <c r="AC308" s="234">
        <f t="shared" si="234"/>
        <v>1661.1222160420225</v>
      </c>
      <c r="AD308" s="234">
        <f t="shared" si="234"/>
        <v>1427.3558471702413</v>
      </c>
      <c r="AE308" s="234">
        <f t="shared" si="234"/>
        <v>1202.6671322800194</v>
      </c>
      <c r="AF308" s="234">
        <f t="shared" si="234"/>
        <v>987.09119281256642</v>
      </c>
      <c r="AG308" s="234">
        <f t="shared" si="234"/>
        <v>780.6581998304307</v>
      </c>
      <c r="AI308" s="275"/>
    </row>
    <row r="309" spans="1:36">
      <c r="A309" s="323" t="s">
        <v>736</v>
      </c>
      <c r="B309" s="281" t="s">
        <v>127</v>
      </c>
      <c r="C309" s="234">
        <f t="shared" si="235"/>
        <v>31689.889203487513</v>
      </c>
      <c r="D309" s="234">
        <f t="shared" si="234"/>
        <v>31173.936223151253</v>
      </c>
      <c r="E309" s="234">
        <f t="shared" si="234"/>
        <v>30657.934513534514</v>
      </c>
      <c r="F309" s="234">
        <f t="shared" si="234"/>
        <v>30142.647925054676</v>
      </c>
      <c r="G309" s="234">
        <f t="shared" si="234"/>
        <v>29628.154252766111</v>
      </c>
      <c r="H309" s="234">
        <f t="shared" si="234"/>
        <v>29114.530992064618</v>
      </c>
      <c r="I309" s="234">
        <f t="shared" si="234"/>
        <v>28455.647874675073</v>
      </c>
      <c r="J309" s="234">
        <f t="shared" si="234"/>
        <v>27802.809793890545</v>
      </c>
      <c r="K309" s="234">
        <f t="shared" si="234"/>
        <v>27156.06212272558</v>
      </c>
      <c r="L309" s="234">
        <f t="shared" si="234"/>
        <v>26515.449926970141</v>
      </c>
      <c r="M309" s="234">
        <f t="shared" si="234"/>
        <v>25881.017964998959</v>
      </c>
      <c r="N309" s="234">
        <f t="shared" si="234"/>
        <v>25175.261557339185</v>
      </c>
      <c r="O309" s="234">
        <f t="shared" si="234"/>
        <v>24477.423876081775</v>
      </c>
      <c r="P309" s="234">
        <f t="shared" si="234"/>
        <v>23779.47402775113</v>
      </c>
      <c r="Q309" s="234">
        <f t="shared" si="234"/>
        <v>23090.027081865523</v>
      </c>
      <c r="R309" s="234">
        <f t="shared" si="234"/>
        <v>22409.186190037512</v>
      </c>
      <c r="S309" s="234">
        <f t="shared" si="234"/>
        <v>21737.091842874317</v>
      </c>
      <c r="T309" s="234">
        <f t="shared" si="234"/>
        <v>21073.801314547956</v>
      </c>
      <c r="U309" s="234">
        <f t="shared" si="234"/>
        <v>20419.411553241298</v>
      </c>
      <c r="V309" s="234">
        <f t="shared" si="234"/>
        <v>19774.017425547168</v>
      </c>
      <c r="W309" s="234">
        <f t="shared" si="234"/>
        <v>19137.711707025803</v>
      </c>
      <c r="X309" s="234">
        <f t="shared" si="234"/>
        <v>18428.713191446805</v>
      </c>
      <c r="Y309" s="234">
        <f t="shared" si="234"/>
        <v>17731.308149072251</v>
      </c>
      <c r="Z309" s="234">
        <f t="shared" si="234"/>
        <v>17031.509610503621</v>
      </c>
      <c r="AA309" s="234">
        <f t="shared" si="234"/>
        <v>16344.611946931282</v>
      </c>
      <c r="AB309" s="234">
        <f t="shared" si="234"/>
        <v>15670.777518619068</v>
      </c>
      <c r="AC309" s="234">
        <f t="shared" si="234"/>
        <v>15007.380020793462</v>
      </c>
      <c r="AD309" s="234">
        <f t="shared" si="234"/>
        <v>14357.520580359505</v>
      </c>
      <c r="AE309" s="234">
        <f t="shared" si="234"/>
        <v>13721.338645558426</v>
      </c>
      <c r="AF309" s="234">
        <f t="shared" si="234"/>
        <v>13098.966910026245</v>
      </c>
      <c r="AG309" s="234">
        <f t="shared" si="234"/>
        <v>12490.531197286891</v>
      </c>
      <c r="AI309" s="275"/>
    </row>
    <row r="310" spans="1:36">
      <c r="A310" s="323" t="s">
        <v>737</v>
      </c>
      <c r="B310" s="281" t="s">
        <v>127</v>
      </c>
      <c r="C310" s="234">
        <f t="shared" si="235"/>
        <v>8215.8972009041699</v>
      </c>
      <c r="D310" s="234">
        <f t="shared" si="234"/>
        <v>8154.3838180708526</v>
      </c>
      <c r="E310" s="234">
        <f t="shared" si="234"/>
        <v>8092.4497193086008</v>
      </c>
      <c r="F310" s="234">
        <f t="shared" si="234"/>
        <v>8030.2807213466103</v>
      </c>
      <c r="G310" s="234">
        <f t="shared" si="234"/>
        <v>7967.8848251564177</v>
      </c>
      <c r="H310" s="234">
        <f t="shared" si="234"/>
        <v>7905.2700044678713</v>
      </c>
      <c r="I310" s="234">
        <f t="shared" si="234"/>
        <v>7802.3550624109021</v>
      </c>
      <c r="J310" s="234">
        <f t="shared" si="234"/>
        <v>7699.8231762070627</v>
      </c>
      <c r="K310" s="234">
        <f t="shared" si="234"/>
        <v>7597.6794304578434</v>
      </c>
      <c r="L310" s="234">
        <f t="shared" si="234"/>
        <v>7495.9288823080087</v>
      </c>
      <c r="M310" s="234">
        <f t="shared" si="234"/>
        <v>7394.5765614282682</v>
      </c>
      <c r="N310" s="234">
        <f t="shared" si="234"/>
        <v>7271.2293902909923</v>
      </c>
      <c r="O310" s="234">
        <f t="shared" si="234"/>
        <v>7148.274229298212</v>
      </c>
      <c r="P310" s="234">
        <f t="shared" si="234"/>
        <v>7023.322913743581</v>
      </c>
      <c r="Q310" s="234">
        <f t="shared" si="234"/>
        <v>6898.8495549476193</v>
      </c>
      <c r="R310" s="234">
        <f t="shared" si="234"/>
        <v>6774.8702434997067</v>
      </c>
      <c r="S310" s="234">
        <f t="shared" si="234"/>
        <v>6651.4129613842488</v>
      </c>
      <c r="T310" s="234">
        <f t="shared" si="234"/>
        <v>6528.4809850846732</v>
      </c>
      <c r="U310" s="234">
        <f t="shared" si="234"/>
        <v>6406.0898990560872</v>
      </c>
      <c r="V310" s="234">
        <f t="shared" si="234"/>
        <v>6284.2551219292936</v>
      </c>
      <c r="W310" s="234">
        <f t="shared" si="234"/>
        <v>6162.9919056523713</v>
      </c>
      <c r="X310" s="234">
        <f t="shared" si="234"/>
        <v>6015.5903163790026</v>
      </c>
      <c r="Y310" s="234">
        <f t="shared" si="234"/>
        <v>5868.8132606084155</v>
      </c>
      <c r="Z310" s="234">
        <f t="shared" si="234"/>
        <v>5717.9394922157526</v>
      </c>
      <c r="AA310" s="234">
        <f t="shared" si="234"/>
        <v>5567.9447291743882</v>
      </c>
      <c r="AB310" s="234">
        <f t="shared" si="234"/>
        <v>5418.8669924196738</v>
      </c>
      <c r="AC310" s="234">
        <f t="shared" si="234"/>
        <v>5269.7670302022816</v>
      </c>
      <c r="AD310" s="234">
        <f t="shared" si="234"/>
        <v>5121.6886280814588</v>
      </c>
      <c r="AE310" s="234">
        <f t="shared" si="234"/>
        <v>4974.6685926128139</v>
      </c>
      <c r="AF310" s="234">
        <f t="shared" si="234"/>
        <v>4828.7434026776982</v>
      </c>
      <c r="AG310" s="234">
        <f t="shared" si="234"/>
        <v>4683.9491989825838</v>
      </c>
      <c r="AI310" s="275"/>
    </row>
    <row r="311" spans="1:36" s="63" customFormat="1">
      <c r="A311" s="324" t="s">
        <v>738</v>
      </c>
      <c r="B311" s="291" t="s">
        <v>127</v>
      </c>
      <c r="C311" s="292">
        <f t="shared" si="235"/>
        <v>5868.4980006458354</v>
      </c>
      <c r="D311" s="292">
        <f t="shared" si="234"/>
        <v>5774.3961965286426</v>
      </c>
      <c r="E311" s="292">
        <f t="shared" si="234"/>
        <v>5680.2772068223831</v>
      </c>
      <c r="F311" s="292">
        <f t="shared" si="234"/>
        <v>5586.2822409367718</v>
      </c>
      <c r="G311" s="292">
        <f t="shared" si="234"/>
        <v>5492.4254620010261</v>
      </c>
      <c r="H311" s="292">
        <f t="shared" si="234"/>
        <v>5398.7209786609856</v>
      </c>
      <c r="I311" s="292">
        <f t="shared" si="234"/>
        <v>5278.0637186897284</v>
      </c>
      <c r="J311" s="292">
        <f t="shared" si="234"/>
        <v>5158.5022264244362</v>
      </c>
      <c r="K311" s="292">
        <f t="shared" si="234"/>
        <v>5040.0447706997575</v>
      </c>
      <c r="L311" s="292">
        <f t="shared" si="234"/>
        <v>4922.6995645007819</v>
      </c>
      <c r="M311" s="292">
        <f t="shared" si="234"/>
        <v>4806.4747649283745</v>
      </c>
      <c r="N311" s="292">
        <f t="shared" si="234"/>
        <v>4676.9716681268701</v>
      </c>
      <c r="O311" s="292">
        <f t="shared" si="234"/>
        <v>4548.90178228068</v>
      </c>
      <c r="P311" s="292">
        <f t="shared" si="234"/>
        <v>4420.7717832700719</v>
      </c>
      <c r="Q311" s="292">
        <f t="shared" si="234"/>
        <v>4294.1818658347429</v>
      </c>
      <c r="R311" s="292">
        <f t="shared" si="234"/>
        <v>4169.1509190767429</v>
      </c>
      <c r="S311" s="292">
        <f t="shared" si="234"/>
        <v>4045.7047909450584</v>
      </c>
      <c r="T311" s="292">
        <f t="shared" si="234"/>
        <v>3923.8538563203219</v>
      </c>
      <c r="U311" s="292">
        <f t="shared" si="234"/>
        <v>3803.6158775645517</v>
      </c>
      <c r="V311" s="292">
        <f t="shared" si="234"/>
        <v>3685.0082390370726</v>
      </c>
      <c r="W311" s="292">
        <f t="shared" si="234"/>
        <v>3568.0479453776884</v>
      </c>
      <c r="X311" s="292">
        <f t="shared" si="234"/>
        <v>3437.4801807880012</v>
      </c>
      <c r="Y311" s="292">
        <f t="shared" si="234"/>
        <v>3309.01173204517</v>
      </c>
      <c r="Z311" s="292">
        <f t="shared" si="234"/>
        <v>3180.0305197349635</v>
      </c>
      <c r="AA311" s="292">
        <f t="shared" si="234"/>
        <v>3053.3890450311151</v>
      </c>
      <c r="AB311" s="292">
        <f t="shared" si="234"/>
        <v>2929.1172931998221</v>
      </c>
      <c r="AC311" s="292">
        <f t="shared" si="234"/>
        <v>2806.7237443468653</v>
      </c>
      <c r="AD311" s="292">
        <f t="shared" si="234"/>
        <v>2686.7874770263365</v>
      </c>
      <c r="AE311" s="292">
        <f t="shared" si="234"/>
        <v>2569.3343280527693</v>
      </c>
      <c r="AF311" s="292">
        <f t="shared" si="234"/>
        <v>2454.3889118582747</v>
      </c>
      <c r="AG311" s="292">
        <f t="shared" si="234"/>
        <v>2341.9745994912919</v>
      </c>
      <c r="AI311" s="293"/>
      <c r="AJ311" s="294"/>
    </row>
    <row r="312" spans="1:36" s="169" customFormat="1">
      <c r="B312" s="165"/>
      <c r="C312" s="104"/>
      <c r="D312" s="104"/>
      <c r="E312" s="104"/>
      <c r="F312" s="104"/>
      <c r="G312" s="104"/>
      <c r="H312" s="104"/>
      <c r="I312" s="104"/>
      <c r="J312" s="104"/>
      <c r="K312" s="104"/>
      <c r="L312" s="104"/>
      <c r="M312" s="104"/>
      <c r="N312" s="104"/>
      <c r="O312" s="104"/>
      <c r="P312" s="104"/>
      <c r="Q312" s="104"/>
      <c r="R312" s="104"/>
      <c r="S312" s="104"/>
      <c r="T312" s="104"/>
      <c r="U312" s="104"/>
      <c r="V312" s="104"/>
      <c r="W312" s="104"/>
      <c r="X312" s="104"/>
      <c r="Y312" s="104"/>
      <c r="Z312" s="104"/>
      <c r="AA312" s="104"/>
      <c r="AB312" s="104"/>
      <c r="AC312" s="104"/>
      <c r="AD312" s="104"/>
      <c r="AE312" s="104"/>
      <c r="AF312" s="104"/>
      <c r="AG312" s="104"/>
      <c r="AJ312" s="300"/>
    </row>
    <row r="313" spans="1:36" s="169" customFormat="1">
      <c r="A313" s="169" t="s">
        <v>1173</v>
      </c>
      <c r="B313" s="327" t="s">
        <v>127</v>
      </c>
      <c r="C313" s="216">
        <f>C246</f>
        <v>4908.1085276264903</v>
      </c>
      <c r="D313" s="216">
        <f t="shared" ref="D313:AG313" si="236">D246</f>
        <v>5209.7666037606587</v>
      </c>
      <c r="E313" s="216">
        <f t="shared" si="236"/>
        <v>5520.5829717704173</v>
      </c>
      <c r="F313" s="216">
        <f t="shared" si="236"/>
        <v>5837.9973644482343</v>
      </c>
      <c r="G313" s="216">
        <f t="shared" si="236"/>
        <v>6161.9893505290374</v>
      </c>
      <c r="H313" s="216">
        <f t="shared" si="236"/>
        <v>6492.5384987477555</v>
      </c>
      <c r="I313" s="216">
        <f t="shared" si="236"/>
        <v>6789.6099763436596</v>
      </c>
      <c r="J313" s="216">
        <f t="shared" si="236"/>
        <v>7090.3442983807108</v>
      </c>
      <c r="K313" s="216">
        <f t="shared" si="236"/>
        <v>7394.7203496552575</v>
      </c>
      <c r="L313" s="216">
        <f t="shared" si="236"/>
        <v>7702.7170045623898</v>
      </c>
      <c r="M313" s="216">
        <f t="shared" si="236"/>
        <v>8014.3131270959348</v>
      </c>
      <c r="N313" s="216">
        <f t="shared" si="236"/>
        <v>8641.2175677543619</v>
      </c>
      <c r="O313" s="216">
        <f t="shared" si="236"/>
        <v>9275.3352380386259</v>
      </c>
      <c r="P313" s="216">
        <f t="shared" si="236"/>
        <v>9913.6241016141303</v>
      </c>
      <c r="Q313" s="216">
        <f t="shared" si="236"/>
        <v>10558.153448944089</v>
      </c>
      <c r="R313" s="216">
        <f t="shared" si="236"/>
        <v>11208.77559028723</v>
      </c>
      <c r="S313" s="216">
        <f t="shared" si="236"/>
        <v>11865.373565156147</v>
      </c>
      <c r="T313" s="216">
        <f t="shared" si="236"/>
        <v>12527.772177304407</v>
      </c>
      <c r="U313" s="216">
        <f t="shared" si="236"/>
        <v>13195.822465085359</v>
      </c>
      <c r="V313" s="216">
        <f t="shared" si="236"/>
        <v>13869.374951807033</v>
      </c>
      <c r="W313" s="216">
        <f t="shared" si="236"/>
        <v>14548.279645732156</v>
      </c>
      <c r="X313" s="216">
        <f t="shared" si="236"/>
        <v>15656.516415794893</v>
      </c>
      <c r="Y313" s="216">
        <f t="shared" si="236"/>
        <v>16773.950122760391</v>
      </c>
      <c r="Z313" s="216">
        <f t="shared" si="236"/>
        <v>17880.904928680546</v>
      </c>
      <c r="AA313" s="216">
        <f t="shared" si="236"/>
        <v>18992.446323527802</v>
      </c>
      <c r="AB313" s="216">
        <f t="shared" si="236"/>
        <v>20108.062567252127</v>
      </c>
      <c r="AC313" s="216">
        <f t="shared" si="236"/>
        <v>21224.001755775305</v>
      </c>
      <c r="AD313" s="216">
        <f t="shared" si="236"/>
        <v>22342.66569362034</v>
      </c>
      <c r="AE313" s="216">
        <f t="shared" si="236"/>
        <v>23463.523533046282</v>
      </c>
      <c r="AF313" s="216">
        <f t="shared" si="236"/>
        <v>24586.038125935469</v>
      </c>
      <c r="AG313" s="216">
        <f t="shared" si="236"/>
        <v>25709.666023793507</v>
      </c>
      <c r="AI313" s="698"/>
      <c r="AJ313" s="300"/>
    </row>
    <row r="314" spans="1:36" s="169" customFormat="1">
      <c r="A314" s="169" t="s">
        <v>1174</v>
      </c>
      <c r="B314" s="326" t="s">
        <v>127</v>
      </c>
      <c r="C314" s="234">
        <f>C313/(1-C271)</f>
        <v>6723.4363392143705</v>
      </c>
      <c r="D314" s="234">
        <f t="shared" ref="D314:AG314" si="237">D313/(1-D271)</f>
        <v>7097.7746645240586</v>
      </c>
      <c r="E314" s="234">
        <f t="shared" si="237"/>
        <v>7480.4647313962296</v>
      </c>
      <c r="F314" s="234">
        <f t="shared" si="237"/>
        <v>7867.9209763453291</v>
      </c>
      <c r="G314" s="234">
        <f t="shared" si="237"/>
        <v>8260.0393438727042</v>
      </c>
      <c r="H314" s="234">
        <f t="shared" si="237"/>
        <v>8656.7179983303413</v>
      </c>
      <c r="I314" s="234">
        <f t="shared" si="237"/>
        <v>9004.7877670340313</v>
      </c>
      <c r="J314" s="234">
        <f t="shared" si="237"/>
        <v>9354.0162247766639</v>
      </c>
      <c r="K314" s="234">
        <f t="shared" si="237"/>
        <v>9704.3574142457437</v>
      </c>
      <c r="L314" s="234">
        <f t="shared" si="237"/>
        <v>10055.766324493981</v>
      </c>
      <c r="M314" s="234">
        <f t="shared" si="237"/>
        <v>10408.198866358356</v>
      </c>
      <c r="N314" s="234">
        <f t="shared" si="237"/>
        <v>11164.363782628374</v>
      </c>
      <c r="O314" s="234">
        <f t="shared" si="237"/>
        <v>11922.024727556074</v>
      </c>
      <c r="P314" s="234">
        <f t="shared" si="237"/>
        <v>12677.268672140832</v>
      </c>
      <c r="Q314" s="234">
        <f t="shared" si="237"/>
        <v>13432.765202218943</v>
      </c>
      <c r="R314" s="234">
        <f t="shared" si="237"/>
        <v>14188.323532009152</v>
      </c>
      <c r="S314" s="234">
        <f t="shared" si="237"/>
        <v>14943.795422111016</v>
      </c>
      <c r="T314" s="234">
        <f t="shared" si="237"/>
        <v>15698.96262820101</v>
      </c>
      <c r="U314" s="234">
        <f t="shared" si="237"/>
        <v>16453.643971428126</v>
      </c>
      <c r="V314" s="234">
        <f t="shared" si="237"/>
        <v>17207.661230529815</v>
      </c>
      <c r="W314" s="234">
        <f t="shared" si="237"/>
        <v>17960.83906880513</v>
      </c>
      <c r="X314" s="234">
        <f t="shared" si="237"/>
        <v>19234.049650853674</v>
      </c>
      <c r="Y314" s="234">
        <f t="shared" si="237"/>
        <v>20506.0514948171</v>
      </c>
      <c r="Z314" s="234">
        <f t="shared" si="237"/>
        <v>21752.925703990928</v>
      </c>
      <c r="AA314" s="234">
        <f t="shared" si="237"/>
        <v>22993.276420735834</v>
      </c>
      <c r="AB314" s="234">
        <f t="shared" si="237"/>
        <v>24226.581406327863</v>
      </c>
      <c r="AC314" s="234">
        <f t="shared" si="237"/>
        <v>25448.443352248567</v>
      </c>
      <c r="AD314" s="234">
        <f t="shared" si="237"/>
        <v>26661.892235823791</v>
      </c>
      <c r="AE314" s="234">
        <f t="shared" si="237"/>
        <v>27866.417497679668</v>
      </c>
      <c r="AF314" s="234">
        <f t="shared" si="237"/>
        <v>29061.51078715776</v>
      </c>
      <c r="AG314" s="234">
        <f t="shared" si="237"/>
        <v>30246.665910345302</v>
      </c>
      <c r="AI314" s="698"/>
      <c r="AJ314" s="300"/>
    </row>
    <row r="315" spans="1:36" s="169" customFormat="1">
      <c r="A315" s="169" t="s">
        <v>1175</v>
      </c>
      <c r="B315" s="326" t="s">
        <v>127</v>
      </c>
      <c r="C315" s="234">
        <f>C303</f>
        <v>14636.684804303019</v>
      </c>
      <c r="D315" s="234">
        <f t="shared" ref="D315:AG315" si="238">D303</f>
        <v>14846.521712672466</v>
      </c>
      <c r="E315" s="234">
        <f t="shared" si="238"/>
        <v>15057.180027712278</v>
      </c>
      <c r="F315" s="234">
        <f t="shared" si="238"/>
        <v>15268.652800170712</v>
      </c>
      <c r="G315" s="234">
        <f t="shared" si="238"/>
        <v>15480.933085005167</v>
      </c>
      <c r="H315" s="234">
        <f t="shared" si="238"/>
        <v>15694.013941382196</v>
      </c>
      <c r="I315" s="234">
        <f t="shared" si="238"/>
        <v>15825.905738297612</v>
      </c>
      <c r="J315" s="234">
        <f t="shared" si="238"/>
        <v>15956.344842997849</v>
      </c>
      <c r="K315" s="234">
        <f t="shared" si="238"/>
        <v>16085.311182051013</v>
      </c>
      <c r="L315" s="234">
        <f t="shared" si="238"/>
        <v>16212.784820540617</v>
      </c>
      <c r="M315" s="234">
        <f t="shared" si="238"/>
        <v>16338.74596206559</v>
      </c>
      <c r="N315" s="234">
        <f t="shared" si="238"/>
        <v>16459.565982010186</v>
      </c>
      <c r="O315" s="234">
        <f t="shared" si="238"/>
        <v>16578.740317522494</v>
      </c>
      <c r="P315" s="234">
        <f t="shared" si="238"/>
        <v>16690.604991467069</v>
      </c>
      <c r="Q315" s="234">
        <f t="shared" si="238"/>
        <v>16800.603784546405</v>
      </c>
      <c r="R315" s="234">
        <f t="shared" si="238"/>
        <v>16908.714926381512</v>
      </c>
      <c r="S315" s="234">
        <f t="shared" si="238"/>
        <v>17014.949071631971</v>
      </c>
      <c r="T315" s="234">
        <f t="shared" si="238"/>
        <v>17119.253256509288</v>
      </c>
      <c r="U315" s="234">
        <f t="shared" si="238"/>
        <v>17221.606143233228</v>
      </c>
      <c r="V315" s="234">
        <f t="shared" si="238"/>
        <v>17321.986537044835</v>
      </c>
      <c r="W315" s="234">
        <f t="shared" si="238"/>
        <v>17420.373386339903</v>
      </c>
      <c r="X315" s="234">
        <f t="shared" si="238"/>
        <v>17516.733763208897</v>
      </c>
      <c r="Y315" s="234">
        <f t="shared" si="238"/>
        <v>17611.058636007423</v>
      </c>
      <c r="Z315" s="234">
        <f t="shared" si="238"/>
        <v>17687.905599239981</v>
      </c>
      <c r="AA315" s="234">
        <f t="shared" si="238"/>
        <v>17762.049198278812</v>
      </c>
      <c r="AB315" s="234">
        <f t="shared" si="238"/>
        <v>17833.458110977401</v>
      </c>
      <c r="AC315" s="234">
        <f t="shared" si="238"/>
        <v>17898.899884732291</v>
      </c>
      <c r="AD315" s="234">
        <f t="shared" si="238"/>
        <v>17961.471536032903</v>
      </c>
      <c r="AE315" s="234">
        <f t="shared" si="238"/>
        <v>18021.141724325877</v>
      </c>
      <c r="AF315" s="234">
        <f t="shared" si="238"/>
        <v>18077.879221945444</v>
      </c>
      <c r="AG315" s="234">
        <f t="shared" si="238"/>
        <v>18131.652915114486</v>
      </c>
      <c r="AI315" s="698"/>
      <c r="AJ315" s="300"/>
    </row>
    <row r="316" spans="1:36" s="169" customFormat="1">
      <c r="A316" s="169" t="s">
        <v>1176</v>
      </c>
      <c r="B316" s="326" t="s">
        <v>127</v>
      </c>
      <c r="C316" s="234">
        <f>C314-C315</f>
        <v>-7913.2484650886481</v>
      </c>
      <c r="D316" s="234">
        <f t="shared" ref="D316:AG316" si="239">D314-D315</f>
        <v>-7748.747048148407</v>
      </c>
      <c r="E316" s="234">
        <f t="shared" si="239"/>
        <v>-7576.7152963160488</v>
      </c>
      <c r="F316" s="234">
        <f t="shared" si="239"/>
        <v>-7400.7318238253829</v>
      </c>
      <c r="G316" s="234">
        <f t="shared" si="239"/>
        <v>-7220.8937411324623</v>
      </c>
      <c r="H316" s="234">
        <f t="shared" si="239"/>
        <v>-7037.2959430518549</v>
      </c>
      <c r="I316" s="234">
        <f t="shared" si="239"/>
        <v>-6821.1179712635803</v>
      </c>
      <c r="J316" s="234">
        <f t="shared" si="239"/>
        <v>-6602.328618221185</v>
      </c>
      <c r="K316" s="234">
        <f t="shared" si="239"/>
        <v>-6380.9537678052693</v>
      </c>
      <c r="L316" s="234">
        <f t="shared" si="239"/>
        <v>-6157.0184960466358</v>
      </c>
      <c r="M316" s="234">
        <f t="shared" si="239"/>
        <v>-5930.5470957072339</v>
      </c>
      <c r="N316" s="234">
        <f t="shared" si="239"/>
        <v>-5295.2021993818125</v>
      </c>
      <c r="O316" s="234">
        <f t="shared" si="239"/>
        <v>-4656.7155899664194</v>
      </c>
      <c r="P316" s="234">
        <f t="shared" si="239"/>
        <v>-4013.3363193262376</v>
      </c>
      <c r="Q316" s="234">
        <f t="shared" si="239"/>
        <v>-3367.8385823274621</v>
      </c>
      <c r="R316" s="234">
        <f t="shared" si="239"/>
        <v>-2720.3913943723601</v>
      </c>
      <c r="S316" s="234">
        <f t="shared" si="239"/>
        <v>-2071.1536495209548</v>
      </c>
      <c r="T316" s="234">
        <f t="shared" si="239"/>
        <v>-1420.2906283082775</v>
      </c>
      <c r="U316" s="234">
        <f t="shared" si="239"/>
        <v>-767.96217180510212</v>
      </c>
      <c r="V316" s="234">
        <f t="shared" si="239"/>
        <v>-114.3253065150202</v>
      </c>
      <c r="W316" s="234">
        <f t="shared" si="239"/>
        <v>540.46568246522656</v>
      </c>
      <c r="X316" s="234">
        <f t="shared" si="239"/>
        <v>1717.3158876447778</v>
      </c>
      <c r="Y316" s="234">
        <f t="shared" si="239"/>
        <v>2894.9928588096773</v>
      </c>
      <c r="Z316" s="234">
        <f t="shared" si="239"/>
        <v>4065.0201047509472</v>
      </c>
      <c r="AA316" s="234">
        <f t="shared" si="239"/>
        <v>5231.2272224570224</v>
      </c>
      <c r="AB316" s="234">
        <f t="shared" si="239"/>
        <v>6393.1232953504623</v>
      </c>
      <c r="AC316" s="234">
        <f t="shared" si="239"/>
        <v>7549.543467516276</v>
      </c>
      <c r="AD316" s="234">
        <f t="shared" si="239"/>
        <v>8700.4206997908877</v>
      </c>
      <c r="AE316" s="234">
        <f t="shared" si="239"/>
        <v>9845.275773353791</v>
      </c>
      <c r="AF316" s="234">
        <f t="shared" si="239"/>
        <v>10983.631565212316</v>
      </c>
      <c r="AG316" s="234">
        <f t="shared" si="239"/>
        <v>12115.012995230816</v>
      </c>
      <c r="AI316" s="698"/>
      <c r="AJ316" s="300"/>
    </row>
    <row r="317" spans="1:36" s="169" customFormat="1">
      <c r="A317" s="169" t="s">
        <v>1177</v>
      </c>
      <c r="B317" s="326" t="s">
        <v>127</v>
      </c>
      <c r="C317" s="234">
        <f>(C316)/(1-C268)</f>
        <v>-9891.560581360809</v>
      </c>
      <c r="D317" s="234">
        <f t="shared" ref="D317:AG317" si="240">(D314-D303)/(1-D268)</f>
        <v>-9645.743213462747</v>
      </c>
      <c r="E317" s="234">
        <f t="shared" si="240"/>
        <v>-9392.6222681603922</v>
      </c>
      <c r="F317" s="234">
        <f t="shared" si="240"/>
        <v>-9136.7059553399795</v>
      </c>
      <c r="G317" s="234">
        <f t="shared" si="240"/>
        <v>-8878.1480423759785</v>
      </c>
      <c r="H317" s="234">
        <f t="shared" si="240"/>
        <v>-8617.0970731247198</v>
      </c>
      <c r="I317" s="234">
        <f t="shared" si="240"/>
        <v>-8318.4365503214394</v>
      </c>
      <c r="J317" s="234">
        <f t="shared" si="240"/>
        <v>-8019.0226132241123</v>
      </c>
      <c r="K317" s="234">
        <f t="shared" si="240"/>
        <v>-7718.8956868612131</v>
      </c>
      <c r="L317" s="234">
        <f t="shared" si="240"/>
        <v>-7418.0945735501637</v>
      </c>
      <c r="M317" s="234">
        <f t="shared" si="240"/>
        <v>-7116.6565148486816</v>
      </c>
      <c r="N317" s="234">
        <f t="shared" si="240"/>
        <v>-6328.926931532048</v>
      </c>
      <c r="O317" s="234">
        <f t="shared" si="240"/>
        <v>-5543.7090356743101</v>
      </c>
      <c r="P317" s="234">
        <f t="shared" si="240"/>
        <v>-4758.8968213354601</v>
      </c>
      <c r="Q317" s="234">
        <f t="shared" si="240"/>
        <v>-3977.762105111176</v>
      </c>
      <c r="R317" s="234">
        <f t="shared" si="240"/>
        <v>-3200.4604639674831</v>
      </c>
      <c r="S317" s="234">
        <f t="shared" si="240"/>
        <v>-2427.1331830323688</v>
      </c>
      <c r="T317" s="234">
        <f t="shared" si="240"/>
        <v>-1657.9268034726977</v>
      </c>
      <c r="U317" s="234">
        <f t="shared" si="240"/>
        <v>-892.97926954081652</v>
      </c>
      <c r="V317" s="234">
        <f t="shared" si="240"/>
        <v>-132.42313495948289</v>
      </c>
      <c r="W317" s="234">
        <f t="shared" si="240"/>
        <v>623.61424899833844</v>
      </c>
      <c r="X317" s="234">
        <f t="shared" si="240"/>
        <v>1973.926307637676</v>
      </c>
      <c r="Y317" s="234">
        <f t="shared" si="240"/>
        <v>3314.8773192477224</v>
      </c>
      <c r="Z317" s="234">
        <f t="shared" si="240"/>
        <v>4636.905062453553</v>
      </c>
      <c r="AA317" s="234">
        <f t="shared" si="240"/>
        <v>5944.5763891557081</v>
      </c>
      <c r="AB317" s="234">
        <f t="shared" si="240"/>
        <v>7237.498070208072</v>
      </c>
      <c r="AC317" s="234">
        <f t="shared" si="240"/>
        <v>8514.5227077251257</v>
      </c>
      <c r="AD317" s="234">
        <f t="shared" si="240"/>
        <v>9775.7535952706621</v>
      </c>
      <c r="AE317" s="234">
        <f t="shared" si="240"/>
        <v>11020.831089575142</v>
      </c>
      <c r="AF317" s="234">
        <f t="shared" si="240"/>
        <v>12249.403232578794</v>
      </c>
      <c r="AG317" s="234">
        <f t="shared" si="240"/>
        <v>13461.125550256462</v>
      </c>
      <c r="AI317" s="698"/>
      <c r="AJ317" s="300"/>
    </row>
    <row r="318" spans="1:36" s="169" customFormat="1">
      <c r="A318" s="169" t="s">
        <v>1178</v>
      </c>
      <c r="B318" s="326" t="s">
        <v>127</v>
      </c>
      <c r="C318" s="234">
        <f>IF(C297&gt;C317,C317,C297)</f>
        <v>-9891.560581360809</v>
      </c>
      <c r="D318" s="234">
        <f t="shared" ref="D318:AG318" si="241">IF(D297&gt;D317,D317,D297)</f>
        <v>-9645.743213462747</v>
      </c>
      <c r="E318" s="234">
        <f t="shared" si="241"/>
        <v>-9392.6222681603922</v>
      </c>
      <c r="F318" s="234">
        <f t="shared" si="241"/>
        <v>-9136.7059553399795</v>
      </c>
      <c r="G318" s="234">
        <f t="shared" si="241"/>
        <v>-8878.1480423759785</v>
      </c>
      <c r="H318" s="234">
        <f t="shared" si="241"/>
        <v>-8617.0970731247198</v>
      </c>
      <c r="I318" s="234">
        <f t="shared" si="241"/>
        <v>-8318.4365503214394</v>
      </c>
      <c r="J318" s="234">
        <f t="shared" si="241"/>
        <v>-8019.0226132241123</v>
      </c>
      <c r="K318" s="234">
        <f t="shared" si="241"/>
        <v>-7718.8956868612131</v>
      </c>
      <c r="L318" s="234">
        <f t="shared" si="241"/>
        <v>-7418.0945735501637</v>
      </c>
      <c r="M318" s="234">
        <f t="shared" si="241"/>
        <v>-7116.6565148486816</v>
      </c>
      <c r="N318" s="234">
        <f t="shared" si="241"/>
        <v>-6328.926931532048</v>
      </c>
      <c r="O318" s="234">
        <f t="shared" si="241"/>
        <v>-5543.7090356743101</v>
      </c>
      <c r="P318" s="234">
        <f t="shared" si="241"/>
        <v>-4758.8968213354601</v>
      </c>
      <c r="Q318" s="234">
        <f t="shared" si="241"/>
        <v>-3977.762105111176</v>
      </c>
      <c r="R318" s="234">
        <f t="shared" si="241"/>
        <v>-3200.4604639674831</v>
      </c>
      <c r="S318" s="234">
        <f t="shared" si="241"/>
        <v>-2427.1331830323688</v>
      </c>
      <c r="T318" s="234">
        <f t="shared" si="241"/>
        <v>-1657.9268034726977</v>
      </c>
      <c r="U318" s="234">
        <f t="shared" si="241"/>
        <v>-892.97926954081652</v>
      </c>
      <c r="V318" s="234">
        <f t="shared" si="241"/>
        <v>-132.42313495948289</v>
      </c>
      <c r="W318" s="234">
        <f t="shared" si="241"/>
        <v>623.61424899833844</v>
      </c>
      <c r="X318" s="234">
        <f t="shared" si="241"/>
        <v>1973.926307637676</v>
      </c>
      <c r="Y318" s="234">
        <f t="shared" si="241"/>
        <v>3314.8773192477224</v>
      </c>
      <c r="Z318" s="234">
        <f t="shared" si="241"/>
        <v>4636.905062453553</v>
      </c>
      <c r="AA318" s="234">
        <f t="shared" si="241"/>
        <v>5944.5763891557081</v>
      </c>
      <c r="AB318" s="234">
        <f t="shared" si="241"/>
        <v>7237.498070208072</v>
      </c>
      <c r="AC318" s="234">
        <f t="shared" si="241"/>
        <v>8514.5227077251257</v>
      </c>
      <c r="AD318" s="234">
        <f t="shared" si="241"/>
        <v>9775.7535952706621</v>
      </c>
      <c r="AE318" s="234">
        <f t="shared" si="241"/>
        <v>11020.831089575142</v>
      </c>
      <c r="AF318" s="234">
        <f t="shared" si="241"/>
        <v>12249.403232578794</v>
      </c>
      <c r="AG318" s="234">
        <f t="shared" si="241"/>
        <v>13461.125550256462</v>
      </c>
      <c r="AI318" s="698"/>
      <c r="AJ318" s="300"/>
    </row>
    <row r="319" spans="1:36" s="169" customFormat="1">
      <c r="A319" s="169" t="s">
        <v>1179</v>
      </c>
      <c r="B319" s="326" t="s">
        <v>127</v>
      </c>
      <c r="C319" s="234">
        <f>IF(C317-C318&lt;0,0,C317-C318)</f>
        <v>0</v>
      </c>
      <c r="D319" s="234">
        <f t="shared" ref="D319:AG319" si="242">IF(D317-D318&lt;0,0,D317-D318)</f>
        <v>0</v>
      </c>
      <c r="E319" s="234">
        <f t="shared" si="242"/>
        <v>0</v>
      </c>
      <c r="F319" s="234">
        <f t="shared" si="242"/>
        <v>0</v>
      </c>
      <c r="G319" s="234">
        <f t="shared" si="242"/>
        <v>0</v>
      </c>
      <c r="H319" s="234">
        <f t="shared" si="242"/>
        <v>0</v>
      </c>
      <c r="I319" s="234">
        <f t="shared" si="242"/>
        <v>0</v>
      </c>
      <c r="J319" s="234">
        <f t="shared" si="242"/>
        <v>0</v>
      </c>
      <c r="K319" s="234">
        <f t="shared" si="242"/>
        <v>0</v>
      </c>
      <c r="L319" s="234">
        <f t="shared" si="242"/>
        <v>0</v>
      </c>
      <c r="M319" s="234">
        <f t="shared" si="242"/>
        <v>0</v>
      </c>
      <c r="N319" s="234">
        <f t="shared" si="242"/>
        <v>0</v>
      </c>
      <c r="O319" s="234">
        <f t="shared" si="242"/>
        <v>0</v>
      </c>
      <c r="P319" s="234">
        <f t="shared" si="242"/>
        <v>0</v>
      </c>
      <c r="Q319" s="234">
        <f t="shared" si="242"/>
        <v>0</v>
      </c>
      <c r="R319" s="234">
        <f t="shared" si="242"/>
        <v>0</v>
      </c>
      <c r="S319" s="234">
        <f t="shared" si="242"/>
        <v>0</v>
      </c>
      <c r="T319" s="234">
        <f t="shared" si="242"/>
        <v>0</v>
      </c>
      <c r="U319" s="234">
        <f t="shared" si="242"/>
        <v>0</v>
      </c>
      <c r="V319" s="234">
        <f t="shared" si="242"/>
        <v>0</v>
      </c>
      <c r="W319" s="234">
        <f t="shared" si="242"/>
        <v>0</v>
      </c>
      <c r="X319" s="234">
        <f t="shared" si="242"/>
        <v>0</v>
      </c>
      <c r="Y319" s="234">
        <f t="shared" si="242"/>
        <v>0</v>
      </c>
      <c r="Z319" s="234">
        <f t="shared" si="242"/>
        <v>0</v>
      </c>
      <c r="AA319" s="234">
        <f t="shared" si="242"/>
        <v>0</v>
      </c>
      <c r="AB319" s="234">
        <f t="shared" si="242"/>
        <v>0</v>
      </c>
      <c r="AC319" s="234">
        <f t="shared" si="242"/>
        <v>0</v>
      </c>
      <c r="AD319" s="234">
        <f t="shared" si="242"/>
        <v>0</v>
      </c>
      <c r="AE319" s="234">
        <f t="shared" si="242"/>
        <v>0</v>
      </c>
      <c r="AF319" s="234">
        <f t="shared" si="242"/>
        <v>0</v>
      </c>
      <c r="AG319" s="234">
        <f t="shared" si="242"/>
        <v>0</v>
      </c>
      <c r="AI319" s="698"/>
      <c r="AJ319" s="300"/>
    </row>
    <row r="320" spans="1:36" s="169" customFormat="1">
      <c r="A320" s="169" t="s">
        <v>1180</v>
      </c>
      <c r="B320" s="326" t="s">
        <v>127</v>
      </c>
      <c r="C320" s="234">
        <f>C314*C271+C268*C317+C304+IF(C297&gt;C317,C297-C317,0)</f>
        <v>23594.909249174125</v>
      </c>
      <c r="D320" s="234">
        <f t="shared" ref="D320:AG320" si="243">D314*D271+D268*D317+D304+IF(D297&gt;D317,D297-D317,0)</f>
        <v>24124.934643914763</v>
      </c>
      <c r="E320" s="234">
        <f t="shared" si="243"/>
        <v>24649.98293878925</v>
      </c>
      <c r="F320" s="234">
        <f t="shared" si="243"/>
        <v>25172.581283542204</v>
      </c>
      <c r="G320" s="234">
        <f t="shared" si="243"/>
        <v>25692.717011969231</v>
      </c>
      <c r="H320" s="234">
        <f t="shared" si="243"/>
        <v>26210.377477859412</v>
      </c>
      <c r="I320" s="234">
        <f t="shared" si="243"/>
        <v>26592.634930235257</v>
      </c>
      <c r="J320" s="234">
        <f t="shared" si="243"/>
        <v>26966.362278722041</v>
      </c>
      <c r="K320" s="234">
        <f t="shared" si="243"/>
        <v>27331.481718621333</v>
      </c>
      <c r="L320" s="234">
        <f t="shared" si="243"/>
        <v>27687.916113584157</v>
      </c>
      <c r="M320" s="234">
        <f t="shared" si="243"/>
        <v>28035.588995611026</v>
      </c>
      <c r="N320" s="234">
        <f t="shared" si="243"/>
        <v>28054.64853825359</v>
      </c>
      <c r="O320" s="234">
        <f t="shared" si="243"/>
        <v>28060.764791812031</v>
      </c>
      <c r="P320" s="234">
        <f t="shared" si="243"/>
        <v>28044.045825075627</v>
      </c>
      <c r="Q320" s="234">
        <f t="shared" si="243"/>
        <v>28014.500887295435</v>
      </c>
      <c r="R320" s="234">
        <f t="shared" si="243"/>
        <v>27972.171362779554</v>
      </c>
      <c r="S320" s="234">
        <f t="shared" si="243"/>
        <v>27917.14406065533</v>
      </c>
      <c r="T320" s="234">
        <f t="shared" si="243"/>
        <v>27849.416961180425</v>
      </c>
      <c r="U320" s="234">
        <f t="shared" si="243"/>
        <v>27769.034768350575</v>
      </c>
      <c r="V320" s="234">
        <f t="shared" si="243"/>
        <v>27676.043377804872</v>
      </c>
      <c r="W320" s="234">
        <f t="shared" si="243"/>
        <v>27570.489877459797</v>
      </c>
      <c r="X320" s="234">
        <f t="shared" si="243"/>
        <v>27028.262883079184</v>
      </c>
      <c r="Y320" s="234">
        <f t="shared" si="243"/>
        <v>26469.424123945679</v>
      </c>
      <c r="Z320" s="234">
        <f t="shared" si="243"/>
        <v>25875.398189329899</v>
      </c>
      <c r="AA320" s="234">
        <f t="shared" si="243"/>
        <v>25267.052716467184</v>
      </c>
      <c r="AB320" s="234">
        <f t="shared" si="243"/>
        <v>24644.753854327053</v>
      </c>
      <c r="AC320" s="234">
        <f t="shared" si="243"/>
        <v>24004.019320716696</v>
      </c>
      <c r="AD320" s="234">
        <f t="shared" si="243"/>
        <v>23350.09647770314</v>
      </c>
      <c r="AE320" s="234">
        <f t="shared" si="243"/>
        <v>22683.370327176304</v>
      </c>
      <c r="AF320" s="234">
        <f t="shared" si="243"/>
        <v>22004.232686971438</v>
      </c>
      <c r="AG320" s="234">
        <f t="shared" si="243"/>
        <v>21313.082195624287</v>
      </c>
      <c r="AI320" s="698"/>
      <c r="AJ320" s="300"/>
    </row>
    <row r="321" spans="1:37" s="169" customFormat="1">
      <c r="A321" s="169" t="s">
        <v>1181</v>
      </c>
      <c r="B321" s="326" t="s">
        <v>127</v>
      </c>
      <c r="C321" s="234">
        <f>C300-C319</f>
        <v>74210.559797255657</v>
      </c>
      <c r="D321" s="234">
        <f t="shared" ref="D321:AF321" si="244">D300-D319</f>
        <v>73851.33615515886</v>
      </c>
      <c r="E321" s="234">
        <f t="shared" si="244"/>
        <v>73487.773477968381</v>
      </c>
      <c r="F321" s="234">
        <f t="shared" si="244"/>
        <v>73119.904883147174</v>
      </c>
      <c r="G321" s="234">
        <f t="shared" si="244"/>
        <v>72747.763468164689</v>
      </c>
      <c r="H321" s="234">
        <f t="shared" si="244"/>
        <v>72371.382310496934</v>
      </c>
      <c r="I321" s="234">
        <f t="shared" si="244"/>
        <v>71619.783611849969</v>
      </c>
      <c r="J321" s="234">
        <f t="shared" si="244"/>
        <v>70867.857844547863</v>
      </c>
      <c r="K321" s="234">
        <f t="shared" si="244"/>
        <v>70115.70392849273</v>
      </c>
      <c r="L321" s="234">
        <f t="shared" si="244"/>
        <v>69363.420125638455</v>
      </c>
      <c r="M321" s="234">
        <f t="shared" si="244"/>
        <v>68611.104039990649</v>
      </c>
      <c r="N321" s="234">
        <f t="shared" si="244"/>
        <v>67843.976972890538</v>
      </c>
      <c r="O321" s="234">
        <f t="shared" si="244"/>
        <v>67077.178201176386</v>
      </c>
      <c r="P321" s="234">
        <f t="shared" si="244"/>
        <v>66288.389965746203</v>
      </c>
      <c r="Q321" s="234">
        <f t="shared" si="244"/>
        <v>65500.245050438956</v>
      </c>
      <c r="R321" s="234">
        <f t="shared" si="244"/>
        <v>64712.846757418534</v>
      </c>
      <c r="S321" s="234">
        <f t="shared" si="244"/>
        <v>63926.419001183007</v>
      </c>
      <c r="T321" s="234">
        <f t="shared" si="244"/>
        <v>63140.940969340074</v>
      </c>
      <c r="U321" s="234">
        <f t="shared" si="244"/>
        <v>62356.513916271295</v>
      </c>
      <c r="V321" s="234">
        <f t="shared" si="244"/>
        <v>61573.238419760208</v>
      </c>
      <c r="W321" s="234">
        <f t="shared" si="244"/>
        <v>60791.214380358331</v>
      </c>
      <c r="X321" s="234">
        <f t="shared" si="244"/>
        <v>60010.499842879253</v>
      </c>
      <c r="Y321" s="234">
        <f t="shared" si="244"/>
        <v>59231.235071119074</v>
      </c>
      <c r="Z321" s="234">
        <f t="shared" si="244"/>
        <v>58402.597709933048</v>
      </c>
      <c r="AA321" s="234">
        <f t="shared" si="244"/>
        <v>57575.435017330878</v>
      </c>
      <c r="AB321" s="234">
        <f t="shared" si="244"/>
        <v>56749.870059873007</v>
      </c>
      <c r="AC321" s="234">
        <f t="shared" si="244"/>
        <v>55916.02478494298</v>
      </c>
      <c r="AD321" s="234">
        <f t="shared" si="244"/>
        <v>55084.163913134034</v>
      </c>
      <c r="AE321" s="234">
        <f t="shared" si="244"/>
        <v>54254.41076577716</v>
      </c>
      <c r="AF321" s="234">
        <f t="shared" si="244"/>
        <v>53426.888148634731</v>
      </c>
      <c r="AG321" s="234">
        <f>AG300-AG319</f>
        <v>52601.718347145325</v>
      </c>
      <c r="AI321" s="698"/>
      <c r="AJ321" s="300"/>
    </row>
    <row r="322" spans="1:37" s="169" customFormat="1">
      <c r="B322" s="327"/>
      <c r="C322" s="304"/>
      <c r="D322" s="304"/>
      <c r="E322" s="304"/>
      <c r="F322" s="304"/>
      <c r="G322" s="304"/>
      <c r="H322" s="304"/>
      <c r="I322" s="304"/>
      <c r="J322" s="304"/>
      <c r="K322" s="304"/>
      <c r="L322" s="304"/>
      <c r="M322" s="304"/>
      <c r="N322" s="304"/>
      <c r="O322" s="304"/>
      <c r="P322" s="304"/>
      <c r="Q322" s="304"/>
      <c r="R322" s="304"/>
      <c r="S322" s="304"/>
      <c r="T322" s="304"/>
      <c r="U322" s="304"/>
      <c r="V322" s="304"/>
      <c r="W322" s="304"/>
      <c r="X322" s="304"/>
      <c r="Y322" s="304"/>
      <c r="Z322" s="304"/>
      <c r="AA322" s="304"/>
      <c r="AB322" s="304"/>
      <c r="AC322" s="304"/>
      <c r="AD322" s="304"/>
      <c r="AE322" s="304"/>
      <c r="AF322" s="304"/>
      <c r="AG322" s="304"/>
      <c r="AJ322" s="300"/>
    </row>
    <row r="323" spans="1:37" s="169" customFormat="1">
      <c r="A323" s="169" t="s">
        <v>753</v>
      </c>
      <c r="B323" s="327" t="s">
        <v>126</v>
      </c>
      <c r="C323" s="275">
        <v>0.8</v>
      </c>
      <c r="D323" s="296">
        <f>C323</f>
        <v>0.8</v>
      </c>
      <c r="E323" s="296">
        <f t="shared" ref="E323:AG323" si="245">D323</f>
        <v>0.8</v>
      </c>
      <c r="F323" s="296">
        <f t="shared" si="245"/>
        <v>0.8</v>
      </c>
      <c r="G323" s="296">
        <f t="shared" si="245"/>
        <v>0.8</v>
      </c>
      <c r="H323" s="296">
        <f t="shared" si="245"/>
        <v>0.8</v>
      </c>
      <c r="I323" s="296">
        <f t="shared" si="245"/>
        <v>0.8</v>
      </c>
      <c r="J323" s="296">
        <f t="shared" si="245"/>
        <v>0.8</v>
      </c>
      <c r="K323" s="296">
        <f t="shared" si="245"/>
        <v>0.8</v>
      </c>
      <c r="L323" s="296">
        <f t="shared" si="245"/>
        <v>0.8</v>
      </c>
      <c r="M323" s="296">
        <f>L323</f>
        <v>0.8</v>
      </c>
      <c r="N323" s="296">
        <f t="shared" si="245"/>
        <v>0.8</v>
      </c>
      <c r="O323" s="296">
        <f t="shared" si="245"/>
        <v>0.8</v>
      </c>
      <c r="P323" s="296">
        <f t="shared" si="245"/>
        <v>0.8</v>
      </c>
      <c r="Q323" s="296">
        <f t="shared" si="245"/>
        <v>0.8</v>
      </c>
      <c r="R323" s="296">
        <f t="shared" si="245"/>
        <v>0.8</v>
      </c>
      <c r="S323" s="296">
        <f t="shared" si="245"/>
        <v>0.8</v>
      </c>
      <c r="T323" s="296">
        <f t="shared" si="245"/>
        <v>0.8</v>
      </c>
      <c r="U323" s="296">
        <f t="shared" si="245"/>
        <v>0.8</v>
      </c>
      <c r="V323" s="296">
        <f t="shared" si="245"/>
        <v>0.8</v>
      </c>
      <c r="W323" s="296">
        <f t="shared" si="245"/>
        <v>0.8</v>
      </c>
      <c r="X323" s="296">
        <f t="shared" si="245"/>
        <v>0.8</v>
      </c>
      <c r="Y323" s="296">
        <f t="shared" si="245"/>
        <v>0.8</v>
      </c>
      <c r="Z323" s="296">
        <f t="shared" si="245"/>
        <v>0.8</v>
      </c>
      <c r="AA323" s="296">
        <f t="shared" si="245"/>
        <v>0.8</v>
      </c>
      <c r="AB323" s="296">
        <f t="shared" si="245"/>
        <v>0.8</v>
      </c>
      <c r="AC323" s="296">
        <f t="shared" si="245"/>
        <v>0.8</v>
      </c>
      <c r="AD323" s="296">
        <f t="shared" si="245"/>
        <v>0.8</v>
      </c>
      <c r="AE323" s="296">
        <f t="shared" si="245"/>
        <v>0.8</v>
      </c>
      <c r="AF323" s="296">
        <f t="shared" si="245"/>
        <v>0.8</v>
      </c>
      <c r="AG323" s="296">
        <f t="shared" si="245"/>
        <v>0.8</v>
      </c>
      <c r="AJ323" s="300" t="s">
        <v>754</v>
      </c>
    </row>
    <row r="324" spans="1:37" s="169" customFormat="1">
      <c r="B324" s="327"/>
      <c r="C324" s="304"/>
      <c r="D324" s="304"/>
      <c r="E324" s="304"/>
      <c r="F324" s="304"/>
      <c r="G324" s="304"/>
      <c r="H324" s="304"/>
      <c r="I324" s="304"/>
      <c r="J324" s="304"/>
      <c r="K324" s="304"/>
      <c r="L324" s="304"/>
      <c r="M324" s="304"/>
      <c r="N324" s="304"/>
      <c r="O324" s="304"/>
      <c r="P324" s="304"/>
      <c r="Q324" s="304"/>
      <c r="R324" s="304"/>
      <c r="S324" s="304"/>
      <c r="T324" s="304"/>
      <c r="U324" s="304"/>
      <c r="V324" s="304"/>
      <c r="W324" s="304"/>
      <c r="X324" s="304"/>
      <c r="Y324" s="304"/>
      <c r="Z324" s="304"/>
      <c r="AA324" s="304"/>
      <c r="AB324" s="304"/>
      <c r="AC324" s="304"/>
      <c r="AD324" s="304"/>
      <c r="AE324" s="304"/>
      <c r="AF324" s="304"/>
      <c r="AG324" s="304"/>
      <c r="AJ324" s="300"/>
    </row>
    <row r="325" spans="1:37" s="169" customFormat="1">
      <c r="A325" s="169" t="s">
        <v>710</v>
      </c>
      <c r="B325" s="327" t="s">
        <v>127</v>
      </c>
      <c r="C325" s="304">
        <f>C259*C320*C323</f>
        <v>4152.7040278546465</v>
      </c>
      <c r="D325" s="304">
        <f t="shared" ref="D325:AG325" si="246">D259*D320*D323</f>
        <v>4374.6548154298771</v>
      </c>
      <c r="E325" s="304">
        <f t="shared" si="246"/>
        <v>4601.330148573993</v>
      </c>
      <c r="F325" s="304">
        <f t="shared" si="246"/>
        <v>4833.1356064401025</v>
      </c>
      <c r="G325" s="304">
        <f t="shared" si="246"/>
        <v>5070.0294903619279</v>
      </c>
      <c r="H325" s="304">
        <f t="shared" si="246"/>
        <v>5311.9698355128403</v>
      </c>
      <c r="I325" s="304">
        <f t="shared" si="246"/>
        <v>5531.2680654889327</v>
      </c>
      <c r="J325" s="304">
        <f t="shared" si="246"/>
        <v>5752.823952794035</v>
      </c>
      <c r="K325" s="304">
        <f t="shared" si="246"/>
        <v>5976.4840024718633</v>
      </c>
      <c r="L325" s="304">
        <f t="shared" si="246"/>
        <v>6202.0932094428499</v>
      </c>
      <c r="M325" s="304">
        <f t="shared" si="246"/>
        <v>6429.4950763267934</v>
      </c>
      <c r="N325" s="304">
        <f t="shared" si="246"/>
        <v>6583.4908569768413</v>
      </c>
      <c r="O325" s="304">
        <f t="shared" si="246"/>
        <v>6734.5835500348858</v>
      </c>
      <c r="P325" s="304">
        <f t="shared" si="246"/>
        <v>6880.1392424185515</v>
      </c>
      <c r="Q325" s="304">
        <f t="shared" si="246"/>
        <v>7022.3015557487197</v>
      </c>
      <c r="R325" s="304">
        <f t="shared" si="246"/>
        <v>7160.8758688715625</v>
      </c>
      <c r="S325" s="304">
        <f t="shared" si="246"/>
        <v>7295.6803145179219</v>
      </c>
      <c r="T325" s="304">
        <f t="shared" si="246"/>
        <v>7426.5111896481094</v>
      </c>
      <c r="U325" s="304">
        <f t="shared" si="246"/>
        <v>7553.1774569913532</v>
      </c>
      <c r="V325" s="304">
        <f t="shared" si="246"/>
        <v>7675.4893634445471</v>
      </c>
      <c r="W325" s="304">
        <f t="shared" si="246"/>
        <v>7793.2584720286313</v>
      </c>
      <c r="X325" s="304">
        <f t="shared" si="246"/>
        <v>7784.1397103268</v>
      </c>
      <c r="Y325" s="304">
        <f t="shared" si="246"/>
        <v>7764.3644096907274</v>
      </c>
      <c r="Z325" s="304">
        <f t="shared" si="246"/>
        <v>7728.1189258798586</v>
      </c>
      <c r="AA325" s="304">
        <f t="shared" si="246"/>
        <v>7681.1840258060183</v>
      </c>
      <c r="AB325" s="304">
        <f t="shared" si="246"/>
        <v>7623.4438589384954</v>
      </c>
      <c r="AC325" s="304">
        <f t="shared" si="246"/>
        <v>7553.2647462521818</v>
      </c>
      <c r="AD325" s="304">
        <f t="shared" si="246"/>
        <v>7472.0308728649998</v>
      </c>
      <c r="AE325" s="304">
        <f t="shared" si="246"/>
        <v>7379.6564797746851</v>
      </c>
      <c r="AF325" s="304">
        <f t="shared" si="246"/>
        <v>7276.0662751585496</v>
      </c>
      <c r="AG325" s="304">
        <f t="shared" si="246"/>
        <v>7161.1956177297607</v>
      </c>
      <c r="AJ325" s="300"/>
    </row>
    <row r="326" spans="1:37" s="169" customFormat="1">
      <c r="A326" s="169" t="s">
        <v>715</v>
      </c>
      <c r="B326" s="327" t="s">
        <v>127</v>
      </c>
      <c r="C326" s="304">
        <f>C320*C323-C325</f>
        <v>14723.223371484653</v>
      </c>
      <c r="D326" s="304">
        <f t="shared" ref="D326:AG326" si="247">D320*D323-D325</f>
        <v>14925.292899701933</v>
      </c>
      <c r="E326" s="304">
        <f t="shared" si="247"/>
        <v>15118.656202457409</v>
      </c>
      <c r="F326" s="304">
        <f t="shared" si="247"/>
        <v>15304.929420393661</v>
      </c>
      <c r="G326" s="304">
        <f t="shared" si="247"/>
        <v>15484.144119213459</v>
      </c>
      <c r="H326" s="304">
        <f t="shared" si="247"/>
        <v>15656.332146774692</v>
      </c>
      <c r="I326" s="304">
        <f t="shared" si="247"/>
        <v>15742.839878699273</v>
      </c>
      <c r="J326" s="304">
        <f t="shared" si="247"/>
        <v>15820.265870183601</v>
      </c>
      <c r="K326" s="304">
        <f t="shared" si="247"/>
        <v>15888.701372425205</v>
      </c>
      <c r="L326" s="304">
        <f t="shared" si="247"/>
        <v>15948.239681424478</v>
      </c>
      <c r="M326" s="304">
        <f t="shared" si="247"/>
        <v>15998.976120162029</v>
      </c>
      <c r="N326" s="304">
        <f t="shared" si="247"/>
        <v>15860.227973626032</v>
      </c>
      <c r="O326" s="304">
        <f t="shared" si="247"/>
        <v>15714.028283414742</v>
      </c>
      <c r="P326" s="304">
        <f t="shared" si="247"/>
        <v>15555.097417641951</v>
      </c>
      <c r="Q326" s="304">
        <f t="shared" si="247"/>
        <v>15389.299154087628</v>
      </c>
      <c r="R326" s="304">
        <f t="shared" si="247"/>
        <v>15216.861221352081</v>
      </c>
      <c r="S326" s="304">
        <f t="shared" si="247"/>
        <v>15038.034934006344</v>
      </c>
      <c r="T326" s="304">
        <f t="shared" si="247"/>
        <v>14853.022379296232</v>
      </c>
      <c r="U326" s="304">
        <f t="shared" si="247"/>
        <v>14662.050357689106</v>
      </c>
      <c r="V326" s="304">
        <f t="shared" si="247"/>
        <v>14465.34533879935</v>
      </c>
      <c r="W326" s="304">
        <f t="shared" si="247"/>
        <v>14263.133429939207</v>
      </c>
      <c r="X326" s="304">
        <f t="shared" si="247"/>
        <v>13838.470596136551</v>
      </c>
      <c r="Y326" s="304">
        <f t="shared" si="247"/>
        <v>13411.174889465819</v>
      </c>
      <c r="Z326" s="304">
        <f t="shared" si="247"/>
        <v>12972.19962558406</v>
      </c>
      <c r="AA326" s="304">
        <f t="shared" si="247"/>
        <v>12532.458147367732</v>
      </c>
      <c r="AB326" s="304">
        <f t="shared" si="247"/>
        <v>12092.359224523148</v>
      </c>
      <c r="AC326" s="304">
        <f t="shared" si="247"/>
        <v>11649.950710321176</v>
      </c>
      <c r="AD326" s="304">
        <f t="shared" si="247"/>
        <v>11208.046309297513</v>
      </c>
      <c r="AE326" s="304">
        <f t="shared" si="247"/>
        <v>10767.039781966358</v>
      </c>
      <c r="AF326" s="304">
        <f t="shared" si="247"/>
        <v>10327.319874418603</v>
      </c>
      <c r="AG326" s="304">
        <f t="shared" si="247"/>
        <v>9889.2701387696688</v>
      </c>
      <c r="AJ326" s="300"/>
    </row>
    <row r="327" spans="1:37" s="169" customFormat="1">
      <c r="B327" s="165"/>
      <c r="C327" s="304"/>
      <c r="D327" s="304"/>
      <c r="E327" s="304"/>
      <c r="F327" s="304"/>
      <c r="G327" s="304"/>
      <c r="H327" s="304"/>
      <c r="I327" s="304"/>
      <c r="J327" s="304"/>
      <c r="K327" s="304"/>
      <c r="L327" s="304"/>
      <c r="M327" s="304"/>
      <c r="N327" s="304"/>
      <c r="O327" s="304"/>
      <c r="P327" s="304"/>
      <c r="Q327" s="304"/>
      <c r="R327" s="304"/>
      <c r="S327" s="304"/>
      <c r="T327" s="304"/>
      <c r="U327" s="304"/>
      <c r="V327" s="304"/>
      <c r="W327" s="304"/>
      <c r="X327" s="304"/>
      <c r="Y327" s="304"/>
      <c r="Z327" s="304"/>
      <c r="AA327" s="304"/>
      <c r="AB327" s="304"/>
      <c r="AC327" s="304"/>
      <c r="AD327" s="304"/>
      <c r="AE327" s="304"/>
      <c r="AF327" s="304"/>
      <c r="AG327" s="304"/>
      <c r="AJ327" s="300"/>
    </row>
    <row r="328" spans="1:37" s="169" customFormat="1">
      <c r="B328" s="197" t="s">
        <v>709</v>
      </c>
      <c r="C328" s="308">
        <v>0</v>
      </c>
      <c r="D328" s="308">
        <f>C328+1</f>
        <v>1</v>
      </c>
      <c r="E328" s="308">
        <f t="shared" ref="E328:AG328" si="248">D328+1</f>
        <v>2</v>
      </c>
      <c r="F328" s="308">
        <f t="shared" si="248"/>
        <v>3</v>
      </c>
      <c r="G328" s="308">
        <f t="shared" si="248"/>
        <v>4</v>
      </c>
      <c r="H328" s="308">
        <f t="shared" si="248"/>
        <v>5</v>
      </c>
      <c r="I328" s="308">
        <f t="shared" si="248"/>
        <v>6</v>
      </c>
      <c r="J328" s="308">
        <f t="shared" si="248"/>
        <v>7</v>
      </c>
      <c r="K328" s="308">
        <f t="shared" si="248"/>
        <v>8</v>
      </c>
      <c r="L328" s="308">
        <f t="shared" si="248"/>
        <v>9</v>
      </c>
      <c r="M328" s="308">
        <f t="shared" si="248"/>
        <v>10</v>
      </c>
      <c r="N328" s="308">
        <f t="shared" si="248"/>
        <v>11</v>
      </c>
      <c r="O328" s="308">
        <f t="shared" si="248"/>
        <v>12</v>
      </c>
      <c r="P328" s="308">
        <f t="shared" si="248"/>
        <v>13</v>
      </c>
      <c r="Q328" s="308">
        <f t="shared" si="248"/>
        <v>14</v>
      </c>
      <c r="R328" s="308">
        <f t="shared" si="248"/>
        <v>15</v>
      </c>
      <c r="S328" s="308">
        <f t="shared" si="248"/>
        <v>16</v>
      </c>
      <c r="T328" s="308">
        <f t="shared" si="248"/>
        <v>17</v>
      </c>
      <c r="U328" s="308">
        <f t="shared" si="248"/>
        <v>18</v>
      </c>
      <c r="V328" s="308">
        <f t="shared" si="248"/>
        <v>19</v>
      </c>
      <c r="W328" s="308">
        <f t="shared" si="248"/>
        <v>20</v>
      </c>
      <c r="X328" s="308">
        <f t="shared" si="248"/>
        <v>21</v>
      </c>
      <c r="Y328" s="308">
        <f t="shared" si="248"/>
        <v>22</v>
      </c>
      <c r="Z328" s="308">
        <f t="shared" si="248"/>
        <v>23</v>
      </c>
      <c r="AA328" s="308">
        <f t="shared" si="248"/>
        <v>24</v>
      </c>
      <c r="AB328" s="308">
        <f t="shared" si="248"/>
        <v>25</v>
      </c>
      <c r="AC328" s="308">
        <f t="shared" si="248"/>
        <v>26</v>
      </c>
      <c r="AD328" s="308">
        <f t="shared" si="248"/>
        <v>27</v>
      </c>
      <c r="AE328" s="308">
        <f t="shared" si="248"/>
        <v>28</v>
      </c>
      <c r="AF328" s="308">
        <f t="shared" si="248"/>
        <v>29</v>
      </c>
      <c r="AG328" s="308">
        <f t="shared" si="248"/>
        <v>30</v>
      </c>
      <c r="AJ328" s="300" t="s">
        <v>717</v>
      </c>
      <c r="AK328" s="169">
        <f>'Propylene Recycling HC'!AK196</f>
        <v>1.9</v>
      </c>
    </row>
    <row r="329" spans="1:37" s="169" customFormat="1">
      <c r="A329" s="169" t="s">
        <v>761</v>
      </c>
      <c r="B329" s="165"/>
      <c r="C329" s="310">
        <f>$AK$330/((1+EXP(-$AK$329*(C328-$AK$331)))^$AK$328)</f>
        <v>4.6088632748610021E-5</v>
      </c>
      <c r="D329" s="310">
        <f t="shared" ref="D329:AG329" si="249">$AK$330/((1+EXP(-$AK$329*(D328-$AK$331)))^$AK$328)</f>
        <v>8.924759460408035E-5</v>
      </c>
      <c r="E329" s="310">
        <f t="shared" si="249"/>
        <v>1.7252431976790472E-4</v>
      </c>
      <c r="F329" s="310">
        <f t="shared" si="249"/>
        <v>3.3269643715580369E-4</v>
      </c>
      <c r="G329" s="310">
        <f t="shared" si="249"/>
        <v>6.393827369910735E-4</v>
      </c>
      <c r="H329" s="310">
        <f t="shared" si="249"/>
        <v>1.2229053771654547E-3</v>
      </c>
      <c r="I329" s="310">
        <f t="shared" si="249"/>
        <v>2.3234018804222717E-3</v>
      </c>
      <c r="J329" s="310">
        <f t="shared" si="249"/>
        <v>4.3736281679830789E-3</v>
      </c>
      <c r="K329" s="310">
        <f t="shared" si="249"/>
        <v>8.1294184230466908E-3</v>
      </c>
      <c r="L329" s="310">
        <f t="shared" si="249"/>
        <v>1.4853985082038716E-2</v>
      </c>
      <c r="M329" s="310">
        <f t="shared" si="249"/>
        <v>2.6531412096832362E-2</v>
      </c>
      <c r="N329" s="310">
        <f t="shared" si="249"/>
        <v>4.6014759335105015E-2</v>
      </c>
      <c r="O329" s="310">
        <f t="shared" si="249"/>
        <v>7.6910635328419796E-2</v>
      </c>
      <c r="P329" s="310">
        <f t="shared" si="249"/>
        <v>0.12294065829885638</v>
      </c>
      <c r="Q329" s="310">
        <f t="shared" si="249"/>
        <v>0.18666754187878853</v>
      </c>
      <c r="R329" s="310">
        <f t="shared" si="249"/>
        <v>0.26794336563407328</v>
      </c>
      <c r="S329" s="310">
        <f t="shared" si="249"/>
        <v>0.36297326582455031</v>
      </c>
      <c r="T329" s="310">
        <f t="shared" si="249"/>
        <v>0.46484396312424381</v>
      </c>
      <c r="U329" s="310">
        <f t="shared" si="249"/>
        <v>0.56546260593861253</v>
      </c>
      <c r="V329" s="310">
        <f t="shared" si="249"/>
        <v>0.6578403022607352</v>
      </c>
      <c r="W329" s="310">
        <f t="shared" si="249"/>
        <v>0.73754668886795227</v>
      </c>
      <c r="X329" s="310">
        <f t="shared" si="249"/>
        <v>0.80293052021410605</v>
      </c>
      <c r="Y329" s="310">
        <f t="shared" si="249"/>
        <v>0.85447682949112158</v>
      </c>
      <c r="Z329" s="310">
        <f t="shared" si="249"/>
        <v>0.89389910336617451</v>
      </c>
      <c r="AA329" s="310">
        <f t="shared" si="249"/>
        <v>0.92337223319290385</v>
      </c>
      <c r="AB329" s="310">
        <f t="shared" si="249"/>
        <v>0.94504210708611314</v>
      </c>
      <c r="AC329" s="310">
        <f t="shared" si="249"/>
        <v>0.96078240575184182</v>
      </c>
      <c r="AD329" s="310">
        <f t="shared" si="249"/>
        <v>0.97211605463477313</v>
      </c>
      <c r="AE329" s="310">
        <f t="shared" si="249"/>
        <v>0.98022577885232642</v>
      </c>
      <c r="AF329" s="310">
        <f t="shared" si="249"/>
        <v>0.98600279580400285</v>
      </c>
      <c r="AG329" s="310">
        <f t="shared" si="249"/>
        <v>0.9901050637460882</v>
      </c>
      <c r="AI329" s="165" t="s">
        <v>716</v>
      </c>
      <c r="AJ329" s="300" t="s">
        <v>718</v>
      </c>
      <c r="AK329" s="169">
        <f>'Propylene Recycling HC'!AK197</f>
        <v>0.35</v>
      </c>
    </row>
    <row r="330" spans="1:37" s="169" customFormat="1">
      <c r="B330" s="165"/>
      <c r="C330" s="306">
        <v>0</v>
      </c>
      <c r="D330" s="306">
        <v>0</v>
      </c>
      <c r="E330" s="306">
        <v>0</v>
      </c>
      <c r="F330" s="306">
        <v>0</v>
      </c>
      <c r="G330" s="306">
        <v>0</v>
      </c>
      <c r="H330" s="306">
        <v>0</v>
      </c>
      <c r="I330" s="306">
        <v>0</v>
      </c>
      <c r="J330" s="306">
        <v>0</v>
      </c>
      <c r="K330" s="306">
        <v>0</v>
      </c>
      <c r="L330" s="306">
        <v>0</v>
      </c>
      <c r="M330" s="306">
        <f>C329</f>
        <v>4.6088632748610021E-5</v>
      </c>
      <c r="N330" s="306">
        <v>0</v>
      </c>
      <c r="O330" s="306">
        <v>0</v>
      </c>
      <c r="P330" s="306">
        <v>0</v>
      </c>
      <c r="Q330" s="306">
        <v>0</v>
      </c>
      <c r="R330" s="306">
        <f t="shared" ref="R330:AG330" si="250">C329</f>
        <v>4.6088632748610021E-5</v>
      </c>
      <c r="S330" s="306">
        <f t="shared" si="250"/>
        <v>8.924759460408035E-5</v>
      </c>
      <c r="T330" s="306">
        <f t="shared" si="250"/>
        <v>1.7252431976790472E-4</v>
      </c>
      <c r="U330" s="306">
        <f t="shared" si="250"/>
        <v>3.3269643715580369E-4</v>
      </c>
      <c r="V330" s="306">
        <f t="shared" si="250"/>
        <v>6.393827369910735E-4</v>
      </c>
      <c r="W330" s="306">
        <f t="shared" si="250"/>
        <v>1.2229053771654547E-3</v>
      </c>
      <c r="X330" s="306">
        <f t="shared" si="250"/>
        <v>2.3234018804222717E-3</v>
      </c>
      <c r="Y330" s="306">
        <f t="shared" si="250"/>
        <v>4.3736281679830789E-3</v>
      </c>
      <c r="Z330" s="306">
        <f t="shared" si="250"/>
        <v>8.1294184230466908E-3</v>
      </c>
      <c r="AA330" s="306">
        <f t="shared" si="250"/>
        <v>1.4853985082038716E-2</v>
      </c>
      <c r="AB330" s="306">
        <f t="shared" si="250"/>
        <v>2.6531412096832362E-2</v>
      </c>
      <c r="AC330" s="306">
        <f t="shared" si="250"/>
        <v>4.6014759335105015E-2</v>
      </c>
      <c r="AD330" s="306">
        <f t="shared" si="250"/>
        <v>7.6910635328419796E-2</v>
      </c>
      <c r="AE330" s="306">
        <f t="shared" si="250"/>
        <v>0.12294065829885638</v>
      </c>
      <c r="AF330" s="306">
        <f t="shared" si="250"/>
        <v>0.18666754187878853</v>
      </c>
      <c r="AG330" s="306">
        <f t="shared" si="250"/>
        <v>0.26794336563407328</v>
      </c>
      <c r="AI330" s="165" t="s">
        <v>762</v>
      </c>
      <c r="AJ330" s="300" t="s">
        <v>719</v>
      </c>
      <c r="AK330" s="169">
        <f>'Propylene Recycling HC'!AK198</f>
        <v>1</v>
      </c>
    </row>
    <row r="331" spans="1:37" s="169" customFormat="1">
      <c r="B331" s="165"/>
      <c r="C331" s="304"/>
      <c r="D331" s="304"/>
      <c r="E331" s="304"/>
      <c r="F331" s="304"/>
      <c r="G331" s="304"/>
      <c r="H331" s="304"/>
      <c r="I331" s="304"/>
      <c r="J331" s="304"/>
      <c r="K331" s="304"/>
      <c r="L331" s="304"/>
      <c r="M331" s="304"/>
      <c r="N331" s="304"/>
      <c r="O331" s="304"/>
      <c r="P331" s="304"/>
      <c r="Q331" s="304"/>
      <c r="R331" s="304"/>
      <c r="S331" s="304"/>
      <c r="T331" s="304"/>
      <c r="U331" s="304"/>
      <c r="V331" s="304"/>
      <c r="W331" s="304"/>
      <c r="X331" s="304"/>
      <c r="Y331" s="304"/>
      <c r="Z331" s="304"/>
      <c r="AA331" s="304"/>
      <c r="AB331" s="304"/>
      <c r="AC331" s="304"/>
      <c r="AD331" s="304"/>
      <c r="AE331" s="304"/>
      <c r="AF331" s="304"/>
      <c r="AG331" s="304"/>
      <c r="AJ331" s="300" t="s">
        <v>720</v>
      </c>
      <c r="AK331" s="169">
        <f>'Propylene Recycling HC'!AK199</f>
        <v>15</v>
      </c>
    </row>
    <row r="332" spans="1:37" s="169" customFormat="1">
      <c r="A332" s="169" t="s">
        <v>842</v>
      </c>
      <c r="B332" s="165" t="s">
        <v>126</v>
      </c>
      <c r="C332" s="305">
        <f>('Overall recycling rates'!G12+'Overall recycling rates'!G15)*'Overall recycling rates'!G57/(SUMPRODUCT('Overall recycling rates'!C57:I57,'Overall recycling rates'!C12:I12)+SUMPRODUCT('Overall recycling rates'!C15:I15,'Overall recycling rates'!C57:I57))</f>
        <v>9.3753800180177274E-2</v>
      </c>
      <c r="D332" s="305">
        <f>C332</f>
        <v>9.3753800180177274E-2</v>
      </c>
      <c r="E332" s="305">
        <f t="shared" ref="E332:AG332" si="251">D332</f>
        <v>9.3753800180177274E-2</v>
      </c>
      <c r="F332" s="305">
        <f t="shared" si="251"/>
        <v>9.3753800180177274E-2</v>
      </c>
      <c r="G332" s="305">
        <f t="shared" si="251"/>
        <v>9.3753800180177274E-2</v>
      </c>
      <c r="H332" s="305">
        <f t="shared" si="251"/>
        <v>9.3753800180177274E-2</v>
      </c>
      <c r="I332" s="305">
        <f t="shared" si="251"/>
        <v>9.3753800180177274E-2</v>
      </c>
      <c r="J332" s="305">
        <f t="shared" si="251"/>
        <v>9.3753800180177274E-2</v>
      </c>
      <c r="K332" s="305">
        <f t="shared" si="251"/>
        <v>9.3753800180177274E-2</v>
      </c>
      <c r="L332" s="305">
        <f t="shared" si="251"/>
        <v>9.3753800180177274E-2</v>
      </c>
      <c r="M332" s="305">
        <f t="shared" si="251"/>
        <v>9.3753800180177274E-2</v>
      </c>
      <c r="N332" s="305">
        <f t="shared" si="251"/>
        <v>9.3753800180177274E-2</v>
      </c>
      <c r="O332" s="305">
        <f t="shared" si="251"/>
        <v>9.3753800180177274E-2</v>
      </c>
      <c r="P332" s="305">
        <f t="shared" si="251"/>
        <v>9.3753800180177274E-2</v>
      </c>
      <c r="Q332" s="305">
        <f t="shared" si="251"/>
        <v>9.3753800180177274E-2</v>
      </c>
      <c r="R332" s="305">
        <f t="shared" si="251"/>
        <v>9.3753800180177274E-2</v>
      </c>
      <c r="S332" s="305">
        <f t="shared" si="251"/>
        <v>9.3753800180177274E-2</v>
      </c>
      <c r="T332" s="305">
        <f t="shared" si="251"/>
        <v>9.3753800180177274E-2</v>
      </c>
      <c r="U332" s="305">
        <f t="shared" si="251"/>
        <v>9.3753800180177274E-2</v>
      </c>
      <c r="V332" s="305">
        <f t="shared" si="251"/>
        <v>9.3753800180177274E-2</v>
      </c>
      <c r="W332" s="305">
        <f t="shared" si="251"/>
        <v>9.3753800180177274E-2</v>
      </c>
      <c r="X332" s="305">
        <f t="shared" si="251"/>
        <v>9.3753800180177274E-2</v>
      </c>
      <c r="Y332" s="305">
        <f t="shared" si="251"/>
        <v>9.3753800180177274E-2</v>
      </c>
      <c r="Z332" s="305">
        <f t="shared" si="251"/>
        <v>9.3753800180177274E-2</v>
      </c>
      <c r="AA332" s="305">
        <f t="shared" si="251"/>
        <v>9.3753800180177274E-2</v>
      </c>
      <c r="AB332" s="305">
        <f t="shared" si="251"/>
        <v>9.3753800180177274E-2</v>
      </c>
      <c r="AC332" s="305">
        <f t="shared" si="251"/>
        <v>9.3753800180177274E-2</v>
      </c>
      <c r="AD332" s="305">
        <f t="shared" si="251"/>
        <v>9.3753800180177274E-2</v>
      </c>
      <c r="AE332" s="305">
        <f t="shared" si="251"/>
        <v>9.3753800180177274E-2</v>
      </c>
      <c r="AF332" s="305">
        <f t="shared" si="251"/>
        <v>9.3753800180177274E-2</v>
      </c>
      <c r="AG332" s="305">
        <f t="shared" si="251"/>
        <v>9.3753800180177274E-2</v>
      </c>
      <c r="AI332" s="165" t="s">
        <v>846</v>
      </c>
      <c r="AJ332" s="300"/>
    </row>
    <row r="333" spans="1:37" s="279" customFormat="1" ht="15.5" thickBot="1">
      <c r="A333" s="311" t="s">
        <v>707</v>
      </c>
      <c r="B333" s="312" t="s">
        <v>127</v>
      </c>
      <c r="C333" s="313">
        <f>C332*(C325*C329+C326*C330)</f>
        <v>1.7943769593310288E-2</v>
      </c>
      <c r="D333" s="313">
        <f t="shared" ref="D333:AG333" si="252">D332*(D325*D329+D326*D330)</f>
        <v>3.6604054272690902E-2</v>
      </c>
      <c r="E333" s="313">
        <f t="shared" si="252"/>
        <v>7.4425643669265795E-2</v>
      </c>
      <c r="F333" s="313">
        <f t="shared" si="252"/>
        <v>0.15075301649119444</v>
      </c>
      <c r="G333" s="313">
        <f t="shared" si="252"/>
        <v>0.303920693894766</v>
      </c>
      <c r="H333" s="313">
        <f t="shared" si="252"/>
        <v>0.60902810565804533</v>
      </c>
      <c r="I333" s="313">
        <f t="shared" si="252"/>
        <v>1.2048637085229814</v>
      </c>
      <c r="J333" s="313">
        <f t="shared" si="252"/>
        <v>2.3589124482474548</v>
      </c>
      <c r="K333" s="313">
        <f t="shared" si="252"/>
        <v>4.5550601787995051</v>
      </c>
      <c r="L333" s="313">
        <f t="shared" si="252"/>
        <v>8.637143845621301</v>
      </c>
      <c r="M333" s="313">
        <f>M332*(M325*M329+M326*M330)</f>
        <v>16.061990523557601</v>
      </c>
      <c r="N333" s="313">
        <f t="shared" si="252"/>
        <v>28.401565033833776</v>
      </c>
      <c r="O333" s="313">
        <f t="shared" si="252"/>
        <v>48.560821424144308</v>
      </c>
      <c r="P333" s="313">
        <f t="shared" si="252"/>
        <v>79.301543845279909</v>
      </c>
      <c r="Q333" s="313">
        <f t="shared" si="252"/>
        <v>122.8958348255334</v>
      </c>
      <c r="R333" s="313">
        <f t="shared" si="252"/>
        <v>179.95202899841289</v>
      </c>
      <c r="S333" s="313">
        <f t="shared" si="252"/>
        <v>248.39872649307335</v>
      </c>
      <c r="T333" s="313">
        <f t="shared" si="252"/>
        <v>323.89419746101242</v>
      </c>
      <c r="U333" s="313">
        <f t="shared" si="252"/>
        <v>400.88350736872951</v>
      </c>
      <c r="V333" s="313">
        <f t="shared" si="252"/>
        <v>474.25314209371942</v>
      </c>
      <c r="W333" s="313">
        <f t="shared" si="252"/>
        <v>540.52201344437628</v>
      </c>
      <c r="X333" s="313">
        <f t="shared" si="252"/>
        <v>588.98721837047913</v>
      </c>
      <c r="Y333" s="313">
        <f t="shared" si="252"/>
        <v>627.50590158728482</v>
      </c>
      <c r="Z333" s="313">
        <f t="shared" si="252"/>
        <v>657.55306086089979</v>
      </c>
      <c r="AA333" s="313">
        <f t="shared" si="252"/>
        <v>682.41037872980769</v>
      </c>
      <c r="AB333" s="313">
        <f t="shared" si="252"/>
        <v>705.5257362733937</v>
      </c>
      <c r="AC333" s="313">
        <f t="shared" si="252"/>
        <v>730.63401077182959</v>
      </c>
      <c r="AD333" s="313">
        <f t="shared" si="252"/>
        <v>761.8151729967625</v>
      </c>
      <c r="AE333" s="313">
        <f t="shared" si="252"/>
        <v>802.29218973247794</v>
      </c>
      <c r="AF333" s="313">
        <f t="shared" si="252"/>
        <v>853.34681781477423</v>
      </c>
      <c r="AG333" s="313">
        <f t="shared" si="252"/>
        <v>913.17142365856444</v>
      </c>
      <c r="AJ333" s="303"/>
    </row>
    <row r="334" spans="1:37" s="216" customFormat="1">
      <c r="A334" s="302" t="s">
        <v>713</v>
      </c>
      <c r="B334" s="301" t="s">
        <v>126</v>
      </c>
      <c r="C334" s="307">
        <v>0.5</v>
      </c>
      <c r="D334" s="307">
        <v>0.5</v>
      </c>
      <c r="E334" s="307">
        <v>0.5</v>
      </c>
      <c r="F334" s="307">
        <v>0.5</v>
      </c>
      <c r="G334" s="307">
        <v>0.5</v>
      </c>
      <c r="H334" s="307">
        <v>0.5</v>
      </c>
      <c r="I334" s="307">
        <v>0.5</v>
      </c>
      <c r="J334" s="307">
        <v>0.5</v>
      </c>
      <c r="K334" s="307">
        <v>0.5</v>
      </c>
      <c r="L334" s="307">
        <v>0.5</v>
      </c>
      <c r="M334" s="307">
        <v>0.5</v>
      </c>
      <c r="N334" s="307">
        <v>0.5</v>
      </c>
      <c r="O334" s="307">
        <v>0.5</v>
      </c>
      <c r="P334" s="307">
        <v>0.5</v>
      </c>
      <c r="Q334" s="307">
        <v>0.5</v>
      </c>
      <c r="R334" s="307">
        <v>0.5</v>
      </c>
      <c r="S334" s="307">
        <v>0.5</v>
      </c>
      <c r="T334" s="307">
        <v>0.5</v>
      </c>
      <c r="U334" s="307">
        <v>0.5</v>
      </c>
      <c r="V334" s="307">
        <v>0.5</v>
      </c>
      <c r="W334" s="307">
        <v>0.5</v>
      </c>
      <c r="X334" s="307">
        <v>0.5</v>
      </c>
      <c r="Y334" s="307">
        <v>0.5</v>
      </c>
      <c r="Z334" s="307">
        <v>0.5</v>
      </c>
      <c r="AA334" s="307">
        <v>0.5</v>
      </c>
      <c r="AB334" s="307">
        <v>0.5</v>
      </c>
      <c r="AC334" s="307">
        <v>0.5</v>
      </c>
      <c r="AD334" s="307">
        <v>0.5</v>
      </c>
      <c r="AE334" s="307">
        <v>0.5</v>
      </c>
      <c r="AF334" s="307">
        <v>0.5</v>
      </c>
      <c r="AG334" s="307">
        <v>0.5</v>
      </c>
      <c r="AJ334" s="216" t="s">
        <v>757</v>
      </c>
    </row>
    <row r="335" spans="1:37" s="216" customFormat="1" ht="15.5" thickBot="1">
      <c r="A335" s="280" t="s">
        <v>708</v>
      </c>
      <c r="B335" s="312" t="s">
        <v>127</v>
      </c>
      <c r="C335" s="313">
        <f>C334*(C325*C329+C326*C330)</f>
        <v>9.56962254267332E-2</v>
      </c>
      <c r="D335" s="313">
        <f t="shared" ref="D335:AG335" si="253">D334*(D325*D329+D326*D330)</f>
        <v>0.1952137097501368</v>
      </c>
      <c r="E335" s="313">
        <f t="shared" si="253"/>
        <v>0.39692067695514005</v>
      </c>
      <c r="F335" s="313">
        <f t="shared" si="253"/>
        <v>0.80398349827673832</v>
      </c>
      <c r="G335" s="313">
        <f t="shared" si="253"/>
        <v>1.6208446660865334</v>
      </c>
      <c r="H335" s="313">
        <f t="shared" si="253"/>
        <v>3.2480182375946742</v>
      </c>
      <c r="I335" s="313">
        <f t="shared" si="253"/>
        <v>6.4256793122383238</v>
      </c>
      <c r="J335" s="313">
        <f t="shared" si="253"/>
        <v>12.580356442693875</v>
      </c>
      <c r="K335" s="313">
        <f t="shared" si="253"/>
        <v>24.292669577369296</v>
      </c>
      <c r="L335" s="313">
        <f t="shared" si="253"/>
        <v>46.062900005238859</v>
      </c>
      <c r="M335" s="313">
        <f t="shared" si="253"/>
        <v>85.660477189668356</v>
      </c>
      <c r="N335" s="313">
        <f t="shared" si="253"/>
        <v>151.46887368432681</v>
      </c>
      <c r="O335" s="313">
        <f t="shared" si="253"/>
        <v>258.98054975275397</v>
      </c>
      <c r="P335" s="313">
        <f t="shared" si="253"/>
        <v>422.92442382536586</v>
      </c>
      <c r="Q335" s="313">
        <f t="shared" si="253"/>
        <v>655.41788487160295</v>
      </c>
      <c r="R335" s="313">
        <f t="shared" si="253"/>
        <v>959.7052527608414</v>
      </c>
      <c r="S335" s="313">
        <f t="shared" si="253"/>
        <v>1324.7395093089424</v>
      </c>
      <c r="T335" s="313">
        <f t="shared" si="253"/>
        <v>1727.3657005825276</v>
      </c>
      <c r="U335" s="313">
        <f t="shared" si="253"/>
        <v>2137.958709931258</v>
      </c>
      <c r="V335" s="313">
        <f t="shared" si="253"/>
        <v>2529.2475674708307</v>
      </c>
      <c r="W335" s="313">
        <f t="shared" si="253"/>
        <v>2882.6672220517676</v>
      </c>
      <c r="X335" s="313">
        <f t="shared" si="253"/>
        <v>3141.137837818605</v>
      </c>
      <c r="Y335" s="313">
        <f t="shared" si="253"/>
        <v>3346.5624880342762</v>
      </c>
      <c r="Z335" s="313">
        <f t="shared" si="253"/>
        <v>3506.8075085874157</v>
      </c>
      <c r="AA335" s="313">
        <f t="shared" si="253"/>
        <v>3639.3744969182185</v>
      </c>
      <c r="AB335" s="313">
        <f t="shared" si="253"/>
        <v>3762.6514067563403</v>
      </c>
      <c r="AC335" s="313">
        <f t="shared" si="253"/>
        <v>3896.5567761930056</v>
      </c>
      <c r="AD335" s="313">
        <f t="shared" si="253"/>
        <v>4062.8495673385833</v>
      </c>
      <c r="AE335" s="313">
        <f t="shared" si="253"/>
        <v>4278.7182396373391</v>
      </c>
      <c r="AF335" s="313">
        <f t="shared" si="253"/>
        <v>4550.9985524576132</v>
      </c>
      <c r="AG335" s="313">
        <f t="shared" si="253"/>
        <v>4870.0501841185087</v>
      </c>
      <c r="AJ335" s="302"/>
    </row>
    <row r="336" spans="1:37" s="216" customFormat="1">
      <c r="A336" s="303"/>
      <c r="B336" s="301"/>
      <c r="AJ336" s="302"/>
    </row>
    <row r="337" spans="1:36" s="216" customFormat="1">
      <c r="A337" s="303" t="s">
        <v>711</v>
      </c>
      <c r="B337" s="301" t="s">
        <v>127</v>
      </c>
      <c r="C337" s="216">
        <f>SUM(C306:C307)-SUM(C333,C335)</f>
        <v>62205.96516685083</v>
      </c>
      <c r="D337" s="216">
        <f t="shared" ref="D337:AG337" si="254">SUM(D306:D307)-SUM(D333,D335)</f>
        <v>62854.851105260583</v>
      </c>
      <c r="E337" s="216">
        <f t="shared" si="254"/>
        <v>63494.134143639167</v>
      </c>
      <c r="F337" s="216">
        <f t="shared" si="254"/>
        <v>64124.910154238598</v>
      </c>
      <c r="G337" s="216">
        <f t="shared" si="254"/>
        <v>64746.809202173237</v>
      </c>
      <c r="H337" s="216">
        <f t="shared" si="254"/>
        <v>65359.229088159394</v>
      </c>
      <c r="I337" s="216">
        <f t="shared" si="254"/>
        <v>65623.944393729776</v>
      </c>
      <c r="J337" s="216">
        <f t="shared" si="254"/>
        <v>65869.754608309406</v>
      </c>
      <c r="K337" s="216">
        <f t="shared" si="254"/>
        <v>66093.530679872012</v>
      </c>
      <c r="L337" s="216">
        <f t="shared" si="254"/>
        <v>66289.864541352887</v>
      </c>
      <c r="M337" s="216">
        <f t="shared" si="254"/>
        <v>66449.466585141199</v>
      </c>
      <c r="N337" s="216">
        <f t="shared" si="254"/>
        <v>66357.359308618019</v>
      </c>
      <c r="O337" s="216">
        <f t="shared" si="254"/>
        <v>66193.07039835499</v>
      </c>
      <c r="P337" s="216">
        <f t="shared" si="254"/>
        <v>65916.304937427311</v>
      </c>
      <c r="Q337" s="216">
        <f t="shared" si="254"/>
        <v>65535.117716636145</v>
      </c>
      <c r="R337" s="216">
        <f t="shared" si="254"/>
        <v>65045.613558584068</v>
      </c>
      <c r="S337" s="216">
        <f t="shared" si="254"/>
        <v>64460.992504538553</v>
      </c>
      <c r="T337" s="216">
        <f t="shared" si="254"/>
        <v>63808.597500712247</v>
      </c>
      <c r="U337" s="216">
        <f t="shared" si="254"/>
        <v>63123.579248024951</v>
      </c>
      <c r="V337" s="216">
        <f t="shared" si="254"/>
        <v>62438.297392620654</v>
      </c>
      <c r="W337" s="216">
        <f t="shared" si="254"/>
        <v>61774.777766405314</v>
      </c>
      <c r="X337" s="216">
        <f t="shared" si="254"/>
        <v>60913.599454740899</v>
      </c>
      <c r="Y337" s="216">
        <f t="shared" si="254"/>
        <v>60083.404008083133</v>
      </c>
      <c r="Z337" s="216">
        <f t="shared" si="254"/>
        <v>59222.209309499653</v>
      </c>
      <c r="AA337" s="216">
        <f t="shared" si="254"/>
        <v>58362.496107637897</v>
      </c>
      <c r="AB337" s="216">
        <f t="shared" si="254"/>
        <v>57482.653608146604</v>
      </c>
      <c r="AC337" s="216">
        <f t="shared" si="254"/>
        <v>56547.930824513889</v>
      </c>
      <c r="AD337" s="216">
        <f t="shared" si="254"/>
        <v>55544.091384100277</v>
      </c>
      <c r="AE337" s="216">
        <f t="shared" si="254"/>
        <v>54451.012618491288</v>
      </c>
      <c r="AF337" s="216">
        <f t="shared" si="254"/>
        <v>53260.885251209758</v>
      </c>
      <c r="AG337" s="216">
        <f t="shared" si="254"/>
        <v>51985.485179674797</v>
      </c>
      <c r="AJ337" s="302"/>
    </row>
    <row r="338" spans="1:36" s="216" customFormat="1">
      <c r="A338" s="303"/>
      <c r="B338" s="301"/>
      <c r="AJ338" s="302"/>
    </row>
    <row r="339" spans="1:36" s="216" customFormat="1">
      <c r="A339" s="302" t="s">
        <v>722</v>
      </c>
      <c r="B339" s="301" t="s">
        <v>127</v>
      </c>
      <c r="C339" s="304">
        <f>C259*C258*C179</f>
        <v>1.1411399999999999E-2</v>
      </c>
      <c r="D339" s="304">
        <f t="shared" ref="D339:AG339" si="255">D259*D258*D179</f>
        <v>1.2211913118445541E-2</v>
      </c>
      <c r="E339" s="304">
        <f t="shared" si="255"/>
        <v>1.3033868575004636E-2</v>
      </c>
      <c r="F339" s="304">
        <f t="shared" si="255"/>
        <v>1.387667776234245E-2</v>
      </c>
      <c r="G339" s="304">
        <f t="shared" si="255"/>
        <v>1.4739737200808048E-2</v>
      </c>
      <c r="H339" s="304">
        <f t="shared" si="255"/>
        <v>1.5622428538434407E-2</v>
      </c>
      <c r="I339" s="304">
        <f t="shared" si="255"/>
        <v>1.652411855093841E-2</v>
      </c>
      <c r="J339" s="304">
        <f t="shared" si="255"/>
        <v>1.7444159141720841E-2</v>
      </c>
      <c r="K339" s="304">
        <f t="shared" si="255"/>
        <v>1.8381887341866382E-2</v>
      </c>
      <c r="L339" s="304">
        <f t="shared" si="255"/>
        <v>1.9336625310143647E-2</v>
      </c>
      <c r="M339" s="304">
        <f t="shared" si="255"/>
        <v>2.0307680333005135E-2</v>
      </c>
      <c r="N339" s="304">
        <f t="shared" si="255"/>
        <v>2.1981838457272966E-2</v>
      </c>
      <c r="O339" s="304">
        <f t="shared" si="255"/>
        <v>2.3694781802410692E-2</v>
      </c>
      <c r="P339" s="304">
        <f t="shared" si="255"/>
        <v>2.5445093487479479E-2</v>
      </c>
      <c r="Q339" s="304">
        <f t="shared" si="255"/>
        <v>2.7231325285274256E-2</v>
      </c>
      <c r="R339" s="304">
        <f t="shared" si="255"/>
        <v>2.905199762232372E-2</v>
      </c>
      <c r="S339" s="304">
        <f t="shared" si="255"/>
        <v>3.0905599578890351E-2</v>
      </c>
      <c r="T339" s="304">
        <f t="shared" si="255"/>
        <v>3.2790588888970414E-2</v>
      </c>
      <c r="U339" s="304">
        <f t="shared" si="255"/>
        <v>3.4705391940293893E-2</v>
      </c>
      <c r="V339" s="304">
        <f t="shared" si="255"/>
        <v>3.6648403774324587E-2</v>
      </c>
      <c r="W339" s="304">
        <f t="shared" si="255"/>
        <v>3.8617988086260047E-2</v>
      </c>
      <c r="X339" s="304">
        <f t="shared" si="255"/>
        <v>4.1632470531806902E-2</v>
      </c>
      <c r="Y339" s="304">
        <f t="shared" si="255"/>
        <v>4.4694492720111348E-2</v>
      </c>
      <c r="Z339" s="304">
        <f t="shared" si="255"/>
        <v>4.7801295593939176E-2</v>
      </c>
      <c r="AA339" s="304">
        <f t="shared" si="255"/>
        <v>5.0950067647971789E-2</v>
      </c>
      <c r="AB339" s="304">
        <f t="shared" si="255"/>
        <v>5.4137944928806254E-2</v>
      </c>
      <c r="AC339" s="304">
        <f t="shared" si="255"/>
        <v>5.7362011034955314E-2</v>
      </c>
      <c r="AD339" s="304">
        <f t="shared" si="255"/>
        <v>6.0619297116847333E-2</v>
      </c>
      <c r="AE339" s="304">
        <f t="shared" si="255"/>
        <v>6.3906781876826357E-2</v>
      </c>
      <c r="AF339" s="304">
        <f t="shared" si="255"/>
        <v>6.7221391569152106E-2</v>
      </c>
      <c r="AG339" s="304">
        <f t="shared" si="255"/>
        <v>7.0559999999999984E-2</v>
      </c>
      <c r="AJ339" s="302"/>
    </row>
    <row r="340" spans="1:36" s="216" customFormat="1">
      <c r="A340" s="216" t="s">
        <v>721</v>
      </c>
      <c r="B340" s="301" t="s">
        <v>127</v>
      </c>
      <c r="C340" s="304">
        <f>C260*C258*C179</f>
        <v>4.0458599999999997E-2</v>
      </c>
      <c r="D340" s="304">
        <f t="shared" ref="D340:AG340" si="256">D260*D258*D179</f>
        <v>4.1664174168814197E-2</v>
      </c>
      <c r="E340" s="304">
        <f t="shared" si="256"/>
        <v>4.282556817501524E-2</v>
      </c>
      <c r="F340" s="304">
        <f t="shared" si="256"/>
        <v>4.3942812914084431E-2</v>
      </c>
      <c r="G340" s="304">
        <f t="shared" si="256"/>
        <v>4.501595415381919E-2</v>
      </c>
      <c r="H340" s="304">
        <f t="shared" si="256"/>
        <v>4.6045052534332997E-2</v>
      </c>
      <c r="I340" s="304">
        <f t="shared" si="256"/>
        <v>4.7030183568055488E-2</v>
      </c>
      <c r="J340" s="304">
        <f t="shared" si="256"/>
        <v>4.7971437639732321E-2</v>
      </c>
      <c r="K340" s="304">
        <f t="shared" si="256"/>
        <v>4.886892000642528E-2</v>
      </c>
      <c r="L340" s="304">
        <f t="shared" si="256"/>
        <v>4.9722750797512254E-2</v>
      </c>
      <c r="M340" s="304">
        <f t="shared" si="256"/>
        <v>5.0533065014687212E-2</v>
      </c>
      <c r="N340" s="304">
        <f t="shared" si="256"/>
        <v>5.2956247192521268E-2</v>
      </c>
      <c r="O340" s="304">
        <f t="shared" si="256"/>
        <v>5.5287824205624975E-2</v>
      </c>
      <c r="P340" s="304">
        <f t="shared" si="256"/>
        <v>5.7528037449953634E-2</v>
      </c>
      <c r="Q340" s="304">
        <f t="shared" si="256"/>
        <v>5.9677159667728727E-2</v>
      </c>
      <c r="R340" s="304">
        <f t="shared" si="256"/>
        <v>6.1735494947437956E-2</v>
      </c>
      <c r="S340" s="304">
        <f t="shared" si="256"/>
        <v>6.3703378723835274E-2</v>
      </c>
      <c r="T340" s="304">
        <f t="shared" si="256"/>
        <v>6.5581177777940883E-2</v>
      </c>
      <c r="U340" s="304">
        <f t="shared" si="256"/>
        <v>6.7369290237041135E-2</v>
      </c>
      <c r="V340" s="304">
        <f t="shared" si="256"/>
        <v>6.9068145574688711E-2</v>
      </c>
      <c r="W340" s="304">
        <f t="shared" si="256"/>
        <v>7.0678204610702441E-2</v>
      </c>
      <c r="X340" s="304">
        <f t="shared" si="256"/>
        <v>7.4013280945434551E-2</v>
      </c>
      <c r="Y340" s="304">
        <f t="shared" si="256"/>
        <v>7.7199578334737867E-2</v>
      </c>
      <c r="Z340" s="304">
        <f t="shared" si="256"/>
        <v>8.023788903268371E-2</v>
      </c>
      <c r="AA340" s="304">
        <f t="shared" si="256"/>
        <v>8.3129057741427773E-2</v>
      </c>
      <c r="AB340" s="304">
        <f t="shared" si="256"/>
        <v>8.5873981611210029E-2</v>
      </c>
      <c r="AC340" s="304">
        <f t="shared" si="256"/>
        <v>8.8473610240354911E-2</v>
      </c>
      <c r="AD340" s="304">
        <f t="shared" si="256"/>
        <v>9.0928945675271114E-2</v>
      </c>
      <c r="AE340" s="304">
        <f t="shared" si="256"/>
        <v>9.3241042410451724E-2</v>
      </c>
      <c r="AF340" s="304">
        <f t="shared" si="256"/>
        <v>9.5411007388474092E-2</v>
      </c>
      <c r="AG340" s="304">
        <f t="shared" si="256"/>
        <v>9.7440000000000013E-2</v>
      </c>
      <c r="AJ340" s="302"/>
    </row>
    <row r="341" spans="1:36" s="216" customFormat="1">
      <c r="B341" s="301"/>
      <c r="C341" s="296"/>
      <c r="D341" s="296"/>
      <c r="E341" s="296"/>
      <c r="F341" s="296"/>
      <c r="G341" s="296"/>
      <c r="H341" s="296"/>
      <c r="I341" s="296"/>
      <c r="J341" s="296"/>
      <c r="K341" s="296"/>
      <c r="L341" s="296"/>
      <c r="M341" s="296"/>
      <c r="N341" s="296"/>
      <c r="O341" s="296"/>
      <c r="P341" s="296"/>
      <c r="Q341" s="296"/>
      <c r="R341" s="296"/>
      <c r="S341" s="296"/>
      <c r="T341" s="296"/>
      <c r="U341" s="296"/>
      <c r="V341" s="296"/>
      <c r="W341" s="296"/>
      <c r="X341" s="296"/>
      <c r="Y341" s="296"/>
      <c r="Z341" s="296"/>
      <c r="AA341" s="296"/>
      <c r="AB341" s="296"/>
      <c r="AC341" s="296"/>
      <c r="AD341" s="296"/>
      <c r="AE341" s="296"/>
      <c r="AF341" s="296"/>
      <c r="AG341" s="296"/>
      <c r="AJ341" s="302"/>
    </row>
    <row r="342" spans="1:36" s="216" customFormat="1">
      <c r="A342" s="328" t="s">
        <v>723</v>
      </c>
      <c r="B342" s="329" t="s">
        <v>127</v>
      </c>
      <c r="C342" s="283">
        <f>C320-C333-C335</f>
        <v>23594.795609179106</v>
      </c>
      <c r="D342" s="330">
        <f t="shared" ref="D342:AG342" si="257">D320-D333-D335</f>
        <v>24124.70282615074</v>
      </c>
      <c r="E342" s="330">
        <f t="shared" si="257"/>
        <v>24649.511592468625</v>
      </c>
      <c r="F342" s="330">
        <f t="shared" si="257"/>
        <v>25171.626547027434</v>
      </c>
      <c r="G342" s="330">
        <f t="shared" si="257"/>
        <v>25690.79224660925</v>
      </c>
      <c r="H342" s="330">
        <f t="shared" si="257"/>
        <v>26206.520431516161</v>
      </c>
      <c r="I342" s="330">
        <f t="shared" si="257"/>
        <v>26585.004387214496</v>
      </c>
      <c r="J342" s="330">
        <f t="shared" si="257"/>
        <v>26951.423009831102</v>
      </c>
      <c r="K342" s="330">
        <f t="shared" si="257"/>
        <v>27302.633988865167</v>
      </c>
      <c r="L342" s="330">
        <f t="shared" si="257"/>
        <v>27633.216069733295</v>
      </c>
      <c r="M342" s="330">
        <f t="shared" si="257"/>
        <v>27933.866527897801</v>
      </c>
      <c r="N342" s="330">
        <f t="shared" si="257"/>
        <v>27874.77809953543</v>
      </c>
      <c r="O342" s="330">
        <f t="shared" si="257"/>
        <v>27753.223420635135</v>
      </c>
      <c r="P342" s="330">
        <f t="shared" si="257"/>
        <v>27541.819857404982</v>
      </c>
      <c r="Q342" s="330">
        <f t="shared" si="257"/>
        <v>27236.187167598298</v>
      </c>
      <c r="R342" s="330">
        <f t="shared" si="257"/>
        <v>26832.514081020297</v>
      </c>
      <c r="S342" s="330">
        <f t="shared" si="257"/>
        <v>26344.005824853313</v>
      </c>
      <c r="T342" s="330">
        <f t="shared" si="257"/>
        <v>25798.157063136885</v>
      </c>
      <c r="U342" s="330">
        <f t="shared" si="257"/>
        <v>25230.192551050586</v>
      </c>
      <c r="V342" s="330">
        <f t="shared" si="257"/>
        <v>24672.542668240323</v>
      </c>
      <c r="W342" s="330">
        <f t="shared" si="257"/>
        <v>24147.300641963651</v>
      </c>
      <c r="X342" s="330">
        <f t="shared" si="257"/>
        <v>23298.137826890099</v>
      </c>
      <c r="Y342" s="330">
        <f t="shared" si="257"/>
        <v>22495.355734324115</v>
      </c>
      <c r="Z342" s="330">
        <f t="shared" si="257"/>
        <v>21711.037619881583</v>
      </c>
      <c r="AA342" s="330">
        <f t="shared" si="257"/>
        <v>20945.267840819157</v>
      </c>
      <c r="AB342" s="330">
        <f t="shared" si="257"/>
        <v>20176.576711297319</v>
      </c>
      <c r="AC342" s="330">
        <f t="shared" si="257"/>
        <v>19376.828533751861</v>
      </c>
      <c r="AD342" s="330">
        <f t="shared" si="257"/>
        <v>18525.431737367795</v>
      </c>
      <c r="AE342" s="330">
        <f t="shared" si="257"/>
        <v>17602.359897806487</v>
      </c>
      <c r="AF342" s="330">
        <f t="shared" si="257"/>
        <v>16599.887316699052</v>
      </c>
      <c r="AG342" s="331">
        <f t="shared" si="257"/>
        <v>15529.860587847214</v>
      </c>
      <c r="AI342" s="216" t="s">
        <v>755</v>
      </c>
      <c r="AJ342" s="302"/>
    </row>
    <row r="343" spans="1:36" s="216" customFormat="1">
      <c r="A343" s="332" t="s">
        <v>724</v>
      </c>
      <c r="B343" s="333" t="s">
        <v>127</v>
      </c>
      <c r="C343" s="334">
        <f>C321+C342</f>
        <v>97805.35540643477</v>
      </c>
      <c r="D343" s="334">
        <f t="shared" ref="D343:AG343" si="258">D321+D342</f>
        <v>97976.038981309597</v>
      </c>
      <c r="E343" s="334">
        <f t="shared" si="258"/>
        <v>98137.285070437007</v>
      </c>
      <c r="F343" s="334">
        <f t="shared" si="258"/>
        <v>98291.531430174611</v>
      </c>
      <c r="G343" s="334">
        <f t="shared" si="258"/>
        <v>98438.555714773946</v>
      </c>
      <c r="H343" s="334">
        <f t="shared" si="258"/>
        <v>98577.902742013102</v>
      </c>
      <c r="I343" s="334">
        <f t="shared" si="258"/>
        <v>98204.787999064458</v>
      </c>
      <c r="J343" s="334">
        <f t="shared" si="258"/>
        <v>97819.280854378972</v>
      </c>
      <c r="K343" s="334">
        <f t="shared" si="258"/>
        <v>97418.337917357901</v>
      </c>
      <c r="L343" s="334">
        <f t="shared" si="258"/>
        <v>96996.636195371742</v>
      </c>
      <c r="M343" s="334">
        <f t="shared" si="258"/>
        <v>96544.970567888449</v>
      </c>
      <c r="N343" s="334">
        <f t="shared" si="258"/>
        <v>95718.755072425964</v>
      </c>
      <c r="O343" s="334">
        <f t="shared" si="258"/>
        <v>94830.401621811528</v>
      </c>
      <c r="P343" s="334">
        <f t="shared" si="258"/>
        <v>93830.209823151177</v>
      </c>
      <c r="Q343" s="334">
        <f t="shared" si="258"/>
        <v>92736.432218037255</v>
      </c>
      <c r="R343" s="334">
        <f t="shared" si="258"/>
        <v>91545.360838438835</v>
      </c>
      <c r="S343" s="334">
        <f t="shared" si="258"/>
        <v>90270.424826036324</v>
      </c>
      <c r="T343" s="334">
        <f t="shared" si="258"/>
        <v>88939.098032476963</v>
      </c>
      <c r="U343" s="334">
        <f t="shared" si="258"/>
        <v>87586.706467321885</v>
      </c>
      <c r="V343" s="334">
        <f t="shared" si="258"/>
        <v>86245.781088000527</v>
      </c>
      <c r="W343" s="334">
        <f t="shared" si="258"/>
        <v>84938.515022321983</v>
      </c>
      <c r="X343" s="334">
        <f t="shared" si="258"/>
        <v>83308.637669769349</v>
      </c>
      <c r="Y343" s="334">
        <f t="shared" si="258"/>
        <v>81726.590805443193</v>
      </c>
      <c r="Z343" s="334">
        <f t="shared" si="258"/>
        <v>80113.635329814628</v>
      </c>
      <c r="AA343" s="334">
        <f t="shared" si="258"/>
        <v>78520.702858150034</v>
      </c>
      <c r="AB343" s="334">
        <f t="shared" si="258"/>
        <v>76926.446771170333</v>
      </c>
      <c r="AC343" s="334">
        <f t="shared" si="258"/>
        <v>75292.853318694833</v>
      </c>
      <c r="AD343" s="334">
        <f t="shared" si="258"/>
        <v>73609.595650501826</v>
      </c>
      <c r="AE343" s="334">
        <f t="shared" si="258"/>
        <v>71856.770663583651</v>
      </c>
      <c r="AF343" s="334">
        <f t="shared" si="258"/>
        <v>70026.775465333776</v>
      </c>
      <c r="AG343" s="335">
        <f t="shared" si="258"/>
        <v>68131.578934992533</v>
      </c>
      <c r="AI343" s="216" t="s">
        <v>756</v>
      </c>
      <c r="AJ343" s="302"/>
    </row>
    <row r="344" spans="1:36" s="216" customFormat="1">
      <c r="A344" s="408"/>
      <c r="B344" s="409"/>
      <c r="C344" s="408"/>
      <c r="D344" s="408"/>
      <c r="E344" s="408"/>
      <c r="F344" s="408"/>
      <c r="G344" s="408"/>
      <c r="H344" s="408"/>
      <c r="I344" s="408"/>
      <c r="J344" s="408"/>
      <c r="K344" s="408"/>
      <c r="L344" s="408"/>
      <c r="M344" s="408"/>
      <c r="N344" s="408"/>
      <c r="O344" s="408"/>
      <c r="P344" s="408"/>
      <c r="Q344" s="408"/>
      <c r="R344" s="408"/>
      <c r="S344" s="408"/>
      <c r="T344" s="408"/>
      <c r="U344" s="408"/>
      <c r="V344" s="408"/>
      <c r="W344" s="408"/>
      <c r="X344" s="408"/>
      <c r="Y344" s="408"/>
      <c r="Z344" s="408"/>
      <c r="AA344" s="408"/>
      <c r="AB344" s="408"/>
      <c r="AC344" s="408"/>
      <c r="AD344" s="408"/>
      <c r="AE344" s="408"/>
      <c r="AF344" s="408"/>
      <c r="AG344" s="408"/>
      <c r="AJ344" s="302"/>
    </row>
    <row r="345" spans="1:36">
      <c r="B345" s="123"/>
      <c r="C345" s="216"/>
      <c r="D345" s="216"/>
      <c r="E345" s="216"/>
      <c r="F345" s="216"/>
      <c r="G345" s="216"/>
      <c r="H345" s="216"/>
      <c r="I345" s="216"/>
      <c r="J345" s="216"/>
      <c r="K345" s="216"/>
      <c r="L345" s="216"/>
      <c r="M345" s="216"/>
      <c r="N345" s="216"/>
      <c r="O345" s="216"/>
      <c r="P345" s="216"/>
      <c r="Q345" s="216"/>
      <c r="R345" s="216"/>
      <c r="S345" s="216"/>
      <c r="T345" s="216"/>
      <c r="U345" s="216"/>
      <c r="V345" s="216"/>
      <c r="W345" s="216"/>
      <c r="X345" s="216"/>
      <c r="Y345" s="216"/>
      <c r="Z345" s="216"/>
      <c r="AA345" s="216"/>
      <c r="AB345" s="216"/>
      <c r="AC345" s="216"/>
      <c r="AD345" s="216"/>
      <c r="AE345" s="216"/>
      <c r="AF345" s="216"/>
      <c r="AG345" s="216"/>
      <c r="AI345" s="22"/>
    </row>
    <row r="346" spans="1:36">
      <c r="B346" s="123"/>
      <c r="C346" s="216"/>
      <c r="D346" s="216"/>
      <c r="E346" s="216"/>
      <c r="F346" s="216"/>
      <c r="G346" s="216"/>
      <c r="H346" s="216"/>
      <c r="I346" s="216"/>
      <c r="J346" s="216"/>
      <c r="K346" s="216"/>
      <c r="L346" s="216"/>
      <c r="M346" s="216"/>
      <c r="N346" s="216"/>
      <c r="O346" s="216"/>
      <c r="P346" s="216"/>
      <c r="Q346" s="216"/>
      <c r="R346" s="216"/>
      <c r="S346" s="216"/>
      <c r="T346" s="216"/>
      <c r="U346" s="216"/>
      <c r="V346" s="216"/>
      <c r="W346" s="216"/>
      <c r="X346" s="216"/>
      <c r="Y346" s="216"/>
      <c r="Z346" s="216"/>
      <c r="AA346" s="216"/>
      <c r="AB346" s="216"/>
      <c r="AC346" s="216"/>
      <c r="AD346" s="216"/>
      <c r="AE346" s="216"/>
      <c r="AF346" s="216"/>
      <c r="AG346" s="216"/>
      <c r="AI346" s="201"/>
    </row>
  </sheetData>
  <mergeCells count="5">
    <mergeCell ref="AI313:AI321"/>
    <mergeCell ref="BD113:BE113"/>
    <mergeCell ref="BD118:BE118"/>
    <mergeCell ref="BD123:BE123"/>
    <mergeCell ref="BD131:BE131"/>
  </mergeCells>
  <hyperlinks>
    <hyperlink ref="AJ117" r:id="rId1" xr:uid="{A12556A6-42D7-4AF9-A95B-465E9C1F1206}"/>
    <hyperlink ref="AJ118" r:id="rId2" xr:uid="{29E1D7A7-C920-41F1-8EF3-26DCC7794D26}"/>
  </hyperlinks>
  <pageMargins left="0.7" right="0.7" top="0.75" bottom="0.75" header="0.3" footer="0.3"/>
  <drawing r:id="rId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BB49F-A45B-45CD-9041-5E3417A79274}">
  <sheetPr>
    <tabColor theme="4"/>
  </sheetPr>
  <dimension ref="A1:BL374"/>
  <sheetViews>
    <sheetView zoomScale="70" zoomScaleNormal="70" workbookViewId="0">
      <pane xSplit="2" ySplit="3" topLeftCell="C91" activePane="bottomRight" state="frozen"/>
      <selection pane="topRight" activeCell="C1" sqref="C1"/>
      <selection pane="bottomLeft" activeCell="A4" sqref="A4"/>
      <selection pane="bottomRight" activeCell="AG255" sqref="AG255"/>
    </sheetView>
  </sheetViews>
  <sheetFormatPr defaultRowHeight="14.75" outlineLevelRow="2" outlineLevelCol="1"/>
  <cols>
    <col min="1" max="1" width="84.26953125" customWidth="1"/>
    <col min="2" max="2" width="15.36328125" style="51" bestFit="1" customWidth="1"/>
    <col min="3" max="3" width="12.1328125" style="101" customWidth="1"/>
    <col min="4" max="12" width="8.81640625" style="101" hidden="1" customWidth="1" outlineLevel="1"/>
    <col min="13" max="13" width="10.36328125" style="101" customWidth="1" collapsed="1"/>
    <col min="14" max="22" width="8.81640625" style="101" hidden="1" customWidth="1" outlineLevel="1"/>
    <col min="23" max="23" width="10.36328125" style="101" bestFit="1" customWidth="1" collapsed="1"/>
    <col min="24" max="32" width="8.81640625" style="101" hidden="1" customWidth="1" outlineLevel="1"/>
    <col min="33" max="33" width="10.36328125" style="101" bestFit="1" customWidth="1" collapsed="1"/>
    <col min="35" max="35" width="52.81640625" bestFit="1" customWidth="1"/>
    <col min="36" max="36" width="30.36328125" style="3" customWidth="1"/>
    <col min="37" max="37" width="13.26953125" customWidth="1"/>
    <col min="38" max="38" width="20.36328125" bestFit="1" customWidth="1"/>
    <col min="41" max="41" width="17.81640625" customWidth="1"/>
    <col min="42" max="42" width="18.08984375" customWidth="1"/>
    <col min="44" max="44" width="10.36328125" customWidth="1"/>
    <col min="47" max="47" width="20.08984375" bestFit="1" customWidth="1"/>
    <col min="55" max="55" width="49" bestFit="1" customWidth="1"/>
    <col min="56" max="56" width="8.81640625" customWidth="1"/>
  </cols>
  <sheetData>
    <row r="1" spans="1:47">
      <c r="C1" s="113">
        <v>2020</v>
      </c>
      <c r="D1" s="113">
        <f>C1+1</f>
        <v>2021</v>
      </c>
      <c r="E1" s="113">
        <f t="shared" ref="E1:L1" si="0">D1+1</f>
        <v>2022</v>
      </c>
      <c r="F1" s="113">
        <f t="shared" si="0"/>
        <v>2023</v>
      </c>
      <c r="G1" s="113">
        <f t="shared" si="0"/>
        <v>2024</v>
      </c>
      <c r="H1" s="113">
        <f t="shared" si="0"/>
        <v>2025</v>
      </c>
      <c r="I1" s="113">
        <f t="shared" si="0"/>
        <v>2026</v>
      </c>
      <c r="J1" s="113">
        <f t="shared" si="0"/>
        <v>2027</v>
      </c>
      <c r="K1" s="113">
        <f t="shared" si="0"/>
        <v>2028</v>
      </c>
      <c r="L1" s="113">
        <f t="shared" si="0"/>
        <v>2029</v>
      </c>
      <c r="M1" s="113">
        <v>2030</v>
      </c>
      <c r="N1" s="113">
        <f>M1+1</f>
        <v>2031</v>
      </c>
      <c r="O1" s="113">
        <f t="shared" ref="O1:V1" si="1">N1+1</f>
        <v>2032</v>
      </c>
      <c r="P1" s="113">
        <f t="shared" si="1"/>
        <v>2033</v>
      </c>
      <c r="Q1" s="113">
        <f t="shared" si="1"/>
        <v>2034</v>
      </c>
      <c r="R1" s="113">
        <f t="shared" si="1"/>
        <v>2035</v>
      </c>
      <c r="S1" s="113">
        <f t="shared" si="1"/>
        <v>2036</v>
      </c>
      <c r="T1" s="113">
        <f t="shared" si="1"/>
        <v>2037</v>
      </c>
      <c r="U1" s="113">
        <f t="shared" si="1"/>
        <v>2038</v>
      </c>
      <c r="V1" s="113">
        <f t="shared" si="1"/>
        <v>2039</v>
      </c>
      <c r="W1" s="113">
        <v>2040</v>
      </c>
      <c r="X1" s="113">
        <f>W1+1</f>
        <v>2041</v>
      </c>
      <c r="Y1" s="113">
        <f t="shared" ref="Y1:AF1" si="2">X1+1</f>
        <v>2042</v>
      </c>
      <c r="Z1" s="113">
        <f t="shared" si="2"/>
        <v>2043</v>
      </c>
      <c r="AA1" s="113">
        <f t="shared" si="2"/>
        <v>2044</v>
      </c>
      <c r="AB1" s="113">
        <f t="shared" si="2"/>
        <v>2045</v>
      </c>
      <c r="AC1" s="113">
        <f t="shared" si="2"/>
        <v>2046</v>
      </c>
      <c r="AD1" s="113">
        <f t="shared" si="2"/>
        <v>2047</v>
      </c>
      <c r="AE1" s="113">
        <f t="shared" si="2"/>
        <v>2048</v>
      </c>
      <c r="AF1" s="113">
        <f t="shared" si="2"/>
        <v>2049</v>
      </c>
      <c r="AG1" s="113">
        <v>2050</v>
      </c>
      <c r="AI1" s="1" t="s">
        <v>67</v>
      </c>
      <c r="AJ1" s="151" t="s">
        <v>60</v>
      </c>
      <c r="AO1" s="1"/>
    </row>
    <row r="2" spans="1:47" ht="15.5" thickBot="1">
      <c r="A2" s="187" t="str">
        <f>'Ethylene Recycling HC'!A2</f>
        <v>Plastic waste generation</v>
      </c>
      <c r="B2" s="187" t="str">
        <f>'Ethylene Recycling HC'!B2</f>
        <v>mT</v>
      </c>
      <c r="C2" s="203">
        <f>'Ethylene Recycling HC'!C2</f>
        <v>5301378.929236711</v>
      </c>
      <c r="D2" s="203">
        <f>'Ethylene Recycling HC'!D2</f>
        <v>5301378.929236711</v>
      </c>
      <c r="E2" s="203">
        <f>'Ethylene Recycling HC'!E2</f>
        <v>5301378.929236711</v>
      </c>
      <c r="F2" s="203">
        <f>'Ethylene Recycling HC'!F2</f>
        <v>5301378.929236711</v>
      </c>
      <c r="G2" s="203">
        <f>'Ethylene Recycling HC'!G2</f>
        <v>5301378.929236711</v>
      </c>
      <c r="H2" s="203">
        <f>'Ethylene Recycling HC'!H2</f>
        <v>5301378.929236711</v>
      </c>
      <c r="I2" s="203">
        <f>'Ethylene Recycling HC'!I2</f>
        <v>5301378.929236711</v>
      </c>
      <c r="J2" s="203">
        <f>'Ethylene Recycling HC'!J2</f>
        <v>5301378.929236711</v>
      </c>
      <c r="K2" s="203">
        <f>'Ethylene Recycling HC'!K2</f>
        <v>5301378.929236711</v>
      </c>
      <c r="L2" s="203">
        <f>'Ethylene Recycling HC'!L2</f>
        <v>5301378.929236711</v>
      </c>
      <c r="M2" s="203">
        <f>'Ethylene Recycling HC'!M2</f>
        <v>5301378.929236711</v>
      </c>
      <c r="N2" s="203">
        <f>'Ethylene Recycling HC'!N2</f>
        <v>5301378.929236711</v>
      </c>
      <c r="O2" s="203">
        <f>'Ethylene Recycling HC'!O2</f>
        <v>5301378.929236711</v>
      </c>
      <c r="P2" s="203">
        <f>'Ethylene Recycling HC'!P2</f>
        <v>5301378.929236711</v>
      </c>
      <c r="Q2" s="203">
        <f>'Ethylene Recycling HC'!Q2</f>
        <v>5301378.929236711</v>
      </c>
      <c r="R2" s="203">
        <f>'Ethylene Recycling HC'!R2</f>
        <v>5301378.929236711</v>
      </c>
      <c r="S2" s="203">
        <f>'Ethylene Recycling HC'!S2</f>
        <v>5301378.929236711</v>
      </c>
      <c r="T2" s="203">
        <f>'Ethylene Recycling HC'!T2</f>
        <v>5301378.929236711</v>
      </c>
      <c r="U2" s="203">
        <f>'Ethylene Recycling HC'!U2</f>
        <v>5301378.929236711</v>
      </c>
      <c r="V2" s="203">
        <f>'Ethylene Recycling HC'!V2</f>
        <v>5301378.929236711</v>
      </c>
      <c r="W2" s="203">
        <f>'Ethylene Recycling HC'!W2</f>
        <v>5301378.929236711</v>
      </c>
      <c r="X2" s="203">
        <f>'Ethylene Recycling HC'!X2</f>
        <v>5301378.929236711</v>
      </c>
      <c r="Y2" s="203">
        <f>'Ethylene Recycling HC'!Y2</f>
        <v>5301378.929236711</v>
      </c>
      <c r="Z2" s="203">
        <f>'Ethylene Recycling HC'!Z2</f>
        <v>5301378.929236711</v>
      </c>
      <c r="AA2" s="203">
        <f>'Ethylene Recycling HC'!AA2</f>
        <v>5301378.929236711</v>
      </c>
      <c r="AB2" s="203">
        <f>'Ethylene Recycling HC'!AB2</f>
        <v>5301378.929236711</v>
      </c>
      <c r="AC2" s="203">
        <f>'Ethylene Recycling HC'!AC2</f>
        <v>5301378.929236711</v>
      </c>
      <c r="AD2" s="203">
        <f>'Ethylene Recycling HC'!AD2</f>
        <v>5301378.929236711</v>
      </c>
      <c r="AE2" s="203">
        <f>'Ethylene Recycling HC'!AE2</f>
        <v>5301378.929236711</v>
      </c>
      <c r="AF2" s="203">
        <f>'Ethylene Recycling HC'!AF2</f>
        <v>5301378.929236711</v>
      </c>
      <c r="AG2" s="203">
        <f>'Ethylene Recycling HC'!AG2</f>
        <v>5301378.929236711</v>
      </c>
      <c r="AH2" s="80"/>
      <c r="AI2" s="349">
        <f>(AG2/C2)^(1/30)-1</f>
        <v>0</v>
      </c>
      <c r="AJ2" s="199" t="s">
        <v>397</v>
      </c>
      <c r="AR2" s="1"/>
      <c r="AU2" s="22"/>
    </row>
    <row r="3" spans="1:47" ht="15.5" outlineLevel="1" thickTop="1">
      <c r="C3" s="105"/>
      <c r="D3" s="105"/>
      <c r="E3" s="105"/>
      <c r="F3" s="105"/>
      <c r="G3" s="105"/>
      <c r="H3" s="105"/>
      <c r="I3" s="105"/>
      <c r="J3" s="105"/>
      <c r="K3" s="105"/>
      <c r="L3" s="105"/>
      <c r="N3" s="105"/>
      <c r="O3" s="105"/>
      <c r="P3" s="105"/>
      <c r="Q3" s="105"/>
      <c r="R3" s="105"/>
      <c r="S3" s="105"/>
      <c r="T3" s="105"/>
      <c r="U3" s="105"/>
      <c r="V3" s="105"/>
      <c r="X3" s="105"/>
      <c r="Y3" s="105"/>
      <c r="Z3" s="105"/>
      <c r="AA3" s="105"/>
      <c r="AB3" s="105"/>
      <c r="AC3" s="105"/>
      <c r="AD3" s="105"/>
      <c r="AE3" s="105"/>
      <c r="AF3" s="105"/>
      <c r="AI3" s="52"/>
      <c r="AJ3" s="200"/>
    </row>
    <row r="4" spans="1:47" outlineLevel="1">
      <c r="A4" t="s">
        <v>401</v>
      </c>
      <c r="B4" s="51" t="s">
        <v>126</v>
      </c>
      <c r="C4" s="104">
        <f>'Waste gen. - Industry shares'!C18+'Waste gen. - Industry shares'!C22</f>
        <v>0.52761781690498222</v>
      </c>
      <c r="D4" s="22">
        <f>C4</f>
        <v>0.52761781690498222</v>
      </c>
      <c r="E4" s="22">
        <f t="shared" ref="E4:T8" si="3">D4</f>
        <v>0.52761781690498222</v>
      </c>
      <c r="F4" s="22">
        <f t="shared" si="3"/>
        <v>0.52761781690498222</v>
      </c>
      <c r="G4" s="22">
        <f t="shared" si="3"/>
        <v>0.52761781690498222</v>
      </c>
      <c r="H4" s="22">
        <f t="shared" si="3"/>
        <v>0.52761781690498222</v>
      </c>
      <c r="I4" s="22">
        <f t="shared" si="3"/>
        <v>0.52761781690498222</v>
      </c>
      <c r="J4" s="22">
        <f t="shared" si="3"/>
        <v>0.52761781690498222</v>
      </c>
      <c r="K4" s="22">
        <f t="shared" si="3"/>
        <v>0.52761781690498222</v>
      </c>
      <c r="L4" s="22">
        <f t="shared" si="3"/>
        <v>0.52761781690498222</v>
      </c>
      <c r="M4" s="22">
        <f t="shared" si="3"/>
        <v>0.52761781690498222</v>
      </c>
      <c r="N4" s="22">
        <f t="shared" si="3"/>
        <v>0.52761781690498222</v>
      </c>
      <c r="O4" s="22">
        <f t="shared" si="3"/>
        <v>0.52761781690498222</v>
      </c>
      <c r="P4" s="22">
        <f t="shared" si="3"/>
        <v>0.52761781690498222</v>
      </c>
      <c r="Q4" s="22">
        <f t="shared" si="3"/>
        <v>0.52761781690498222</v>
      </c>
      <c r="R4" s="22">
        <f t="shared" si="3"/>
        <v>0.52761781690498222</v>
      </c>
      <c r="S4" s="22">
        <f t="shared" si="3"/>
        <v>0.52761781690498222</v>
      </c>
      <c r="T4" s="22">
        <f t="shared" si="3"/>
        <v>0.52761781690498222</v>
      </c>
      <c r="U4" s="22">
        <f t="shared" ref="T4:AG8" si="4">T4</f>
        <v>0.52761781690498222</v>
      </c>
      <c r="V4" s="22">
        <f t="shared" si="4"/>
        <v>0.52761781690498222</v>
      </c>
      <c r="W4" s="22">
        <f t="shared" si="4"/>
        <v>0.52761781690498222</v>
      </c>
      <c r="X4" s="22">
        <f t="shared" si="4"/>
        <v>0.52761781690498222</v>
      </c>
      <c r="Y4" s="22">
        <f t="shared" si="4"/>
        <v>0.52761781690498222</v>
      </c>
      <c r="Z4" s="22">
        <f t="shared" si="4"/>
        <v>0.52761781690498222</v>
      </c>
      <c r="AA4" s="22">
        <f t="shared" si="4"/>
        <v>0.52761781690498222</v>
      </c>
      <c r="AB4" s="22">
        <f t="shared" si="4"/>
        <v>0.52761781690498222</v>
      </c>
      <c r="AC4" s="22">
        <f t="shared" si="4"/>
        <v>0.52761781690498222</v>
      </c>
      <c r="AD4" s="22">
        <f t="shared" si="4"/>
        <v>0.52761781690498222</v>
      </c>
      <c r="AE4" s="22">
        <f t="shared" si="4"/>
        <v>0.52761781690498222</v>
      </c>
      <c r="AF4" s="22">
        <f t="shared" si="4"/>
        <v>0.52761781690498222</v>
      </c>
      <c r="AG4" s="22">
        <f t="shared" si="4"/>
        <v>0.52761781690498222</v>
      </c>
      <c r="AI4" s="51" t="s">
        <v>268</v>
      </c>
      <c r="AJ4" s="198"/>
    </row>
    <row r="5" spans="1:47" outlineLevel="1">
      <c r="A5" t="s">
        <v>286</v>
      </c>
      <c r="B5" s="51" t="s">
        <v>126</v>
      </c>
      <c r="C5" s="104">
        <f>'Waste gen. - Industry shares'!C20</f>
        <v>4.980376521164729E-2</v>
      </c>
      <c r="D5" s="22">
        <f>C5</f>
        <v>4.980376521164729E-2</v>
      </c>
      <c r="E5" s="22">
        <f t="shared" si="3"/>
        <v>4.980376521164729E-2</v>
      </c>
      <c r="F5" s="22">
        <f t="shared" si="3"/>
        <v>4.980376521164729E-2</v>
      </c>
      <c r="G5" s="22">
        <f t="shared" si="3"/>
        <v>4.980376521164729E-2</v>
      </c>
      <c r="H5" s="22">
        <f t="shared" si="3"/>
        <v>4.980376521164729E-2</v>
      </c>
      <c r="I5" s="22">
        <f t="shared" si="3"/>
        <v>4.980376521164729E-2</v>
      </c>
      <c r="J5" s="22">
        <f t="shared" si="3"/>
        <v>4.980376521164729E-2</v>
      </c>
      <c r="K5" s="22">
        <f t="shared" si="3"/>
        <v>4.980376521164729E-2</v>
      </c>
      <c r="L5" s="22">
        <f t="shared" si="3"/>
        <v>4.980376521164729E-2</v>
      </c>
      <c r="M5" s="22">
        <f t="shared" si="3"/>
        <v>4.980376521164729E-2</v>
      </c>
      <c r="N5" s="22">
        <f t="shared" si="3"/>
        <v>4.980376521164729E-2</v>
      </c>
      <c r="O5" s="22">
        <f t="shared" si="3"/>
        <v>4.980376521164729E-2</v>
      </c>
      <c r="P5" s="22">
        <f t="shared" si="3"/>
        <v>4.980376521164729E-2</v>
      </c>
      <c r="Q5" s="22">
        <f t="shared" si="3"/>
        <v>4.980376521164729E-2</v>
      </c>
      <c r="R5" s="22">
        <f t="shared" si="3"/>
        <v>4.980376521164729E-2</v>
      </c>
      <c r="S5" s="22">
        <f t="shared" si="3"/>
        <v>4.980376521164729E-2</v>
      </c>
      <c r="T5" s="22">
        <f t="shared" si="4"/>
        <v>4.980376521164729E-2</v>
      </c>
      <c r="U5" s="22">
        <f t="shared" si="4"/>
        <v>4.980376521164729E-2</v>
      </c>
      <c r="V5" s="22">
        <f t="shared" si="4"/>
        <v>4.980376521164729E-2</v>
      </c>
      <c r="W5" s="22">
        <f t="shared" si="4"/>
        <v>4.980376521164729E-2</v>
      </c>
      <c r="X5" s="22">
        <f t="shared" si="4"/>
        <v>4.980376521164729E-2</v>
      </c>
      <c r="Y5" s="22">
        <f t="shared" si="4"/>
        <v>4.980376521164729E-2</v>
      </c>
      <c r="Z5" s="22">
        <f t="shared" si="4"/>
        <v>4.980376521164729E-2</v>
      </c>
      <c r="AA5" s="22">
        <f t="shared" si="4"/>
        <v>4.980376521164729E-2</v>
      </c>
      <c r="AB5" s="22">
        <f t="shared" si="4"/>
        <v>4.980376521164729E-2</v>
      </c>
      <c r="AC5" s="22">
        <f t="shared" si="4"/>
        <v>4.980376521164729E-2</v>
      </c>
      <c r="AD5" s="22">
        <f t="shared" si="4"/>
        <v>4.980376521164729E-2</v>
      </c>
      <c r="AE5" s="22">
        <f t="shared" si="4"/>
        <v>4.980376521164729E-2</v>
      </c>
      <c r="AF5" s="22">
        <f t="shared" si="4"/>
        <v>4.980376521164729E-2</v>
      </c>
      <c r="AG5" s="22">
        <f>AF5</f>
        <v>4.980376521164729E-2</v>
      </c>
      <c r="AI5" s="51" t="s">
        <v>268</v>
      </c>
      <c r="AJ5" s="198"/>
    </row>
    <row r="6" spans="1:47" outlineLevel="1">
      <c r="A6" t="s">
        <v>287</v>
      </c>
      <c r="B6" s="51" t="s">
        <v>126</v>
      </c>
      <c r="C6" s="104">
        <f>'Waste gen. - Industry shares'!C19</f>
        <v>3.9181884245312638E-2</v>
      </c>
      <c r="D6" s="22">
        <f t="shared" ref="D6:D7" si="5">C6</f>
        <v>3.9181884245312638E-2</v>
      </c>
      <c r="E6" s="22">
        <f t="shared" si="3"/>
        <v>3.9181884245312638E-2</v>
      </c>
      <c r="F6" s="22">
        <f t="shared" si="3"/>
        <v>3.9181884245312638E-2</v>
      </c>
      <c r="G6" s="22">
        <f t="shared" si="3"/>
        <v>3.9181884245312638E-2</v>
      </c>
      <c r="H6" s="22">
        <f t="shared" si="3"/>
        <v>3.9181884245312638E-2</v>
      </c>
      <c r="I6" s="22">
        <f t="shared" si="3"/>
        <v>3.9181884245312638E-2</v>
      </c>
      <c r="J6" s="22">
        <f t="shared" si="3"/>
        <v>3.9181884245312638E-2</v>
      </c>
      <c r="K6" s="22">
        <f t="shared" si="3"/>
        <v>3.9181884245312638E-2</v>
      </c>
      <c r="L6" s="22">
        <f t="shared" si="3"/>
        <v>3.9181884245312638E-2</v>
      </c>
      <c r="M6" s="22">
        <f t="shared" si="3"/>
        <v>3.9181884245312638E-2</v>
      </c>
      <c r="N6" s="22">
        <f t="shared" si="3"/>
        <v>3.9181884245312638E-2</v>
      </c>
      <c r="O6" s="22">
        <f t="shared" si="3"/>
        <v>3.9181884245312638E-2</v>
      </c>
      <c r="P6" s="22">
        <f t="shared" si="3"/>
        <v>3.9181884245312638E-2</v>
      </c>
      <c r="Q6" s="22">
        <f t="shared" si="3"/>
        <v>3.9181884245312638E-2</v>
      </c>
      <c r="R6" s="22">
        <f t="shared" si="3"/>
        <v>3.9181884245312638E-2</v>
      </c>
      <c r="S6" s="22">
        <f t="shared" si="3"/>
        <v>3.9181884245312638E-2</v>
      </c>
      <c r="T6" s="22">
        <f t="shared" si="3"/>
        <v>3.9181884245312638E-2</v>
      </c>
      <c r="U6" s="22">
        <f t="shared" si="4"/>
        <v>3.9181884245312638E-2</v>
      </c>
      <c r="V6" s="22">
        <f t="shared" si="4"/>
        <v>3.9181884245312638E-2</v>
      </c>
      <c r="W6" s="22">
        <f t="shared" si="4"/>
        <v>3.9181884245312638E-2</v>
      </c>
      <c r="X6" s="22">
        <f t="shared" si="4"/>
        <v>3.9181884245312638E-2</v>
      </c>
      <c r="Y6" s="22">
        <f t="shared" si="4"/>
        <v>3.9181884245312638E-2</v>
      </c>
      <c r="Z6" s="22">
        <f t="shared" si="4"/>
        <v>3.9181884245312638E-2</v>
      </c>
      <c r="AA6" s="22">
        <f t="shared" si="4"/>
        <v>3.9181884245312638E-2</v>
      </c>
      <c r="AB6" s="22">
        <f t="shared" si="4"/>
        <v>3.9181884245312638E-2</v>
      </c>
      <c r="AC6" s="22">
        <f t="shared" si="4"/>
        <v>3.9181884245312638E-2</v>
      </c>
      <c r="AD6" s="22">
        <f t="shared" si="4"/>
        <v>3.9181884245312638E-2</v>
      </c>
      <c r="AE6" s="22">
        <f t="shared" si="4"/>
        <v>3.9181884245312638E-2</v>
      </c>
      <c r="AF6" s="22">
        <f t="shared" si="4"/>
        <v>3.9181884245312638E-2</v>
      </c>
      <c r="AG6" s="22">
        <f t="shared" si="4"/>
        <v>3.9181884245312638E-2</v>
      </c>
      <c r="AI6" s="51" t="s">
        <v>268</v>
      </c>
      <c r="AJ6" s="198"/>
      <c r="AR6" s="22"/>
    </row>
    <row r="7" spans="1:47" outlineLevel="1">
      <c r="A7" t="s">
        <v>410</v>
      </c>
      <c r="B7" s="51" t="s">
        <v>126</v>
      </c>
      <c r="C7" s="104">
        <f>'Waste gen. - Industry shares'!C23</f>
        <v>0.1</v>
      </c>
      <c r="D7" s="22">
        <f t="shared" si="5"/>
        <v>0.1</v>
      </c>
      <c r="E7" s="22">
        <f t="shared" si="3"/>
        <v>0.1</v>
      </c>
      <c r="F7" s="22">
        <f t="shared" si="3"/>
        <v>0.1</v>
      </c>
      <c r="G7" s="22">
        <f t="shared" si="3"/>
        <v>0.1</v>
      </c>
      <c r="H7" s="22">
        <f t="shared" si="3"/>
        <v>0.1</v>
      </c>
      <c r="I7" s="22">
        <f t="shared" si="3"/>
        <v>0.1</v>
      </c>
      <c r="J7" s="22">
        <f t="shared" si="3"/>
        <v>0.1</v>
      </c>
      <c r="K7" s="22">
        <f t="shared" si="3"/>
        <v>0.1</v>
      </c>
      <c r="L7" s="22">
        <f t="shared" si="3"/>
        <v>0.1</v>
      </c>
      <c r="M7" s="22">
        <f>L7</f>
        <v>0.1</v>
      </c>
      <c r="N7" s="22">
        <f t="shared" si="3"/>
        <v>0.1</v>
      </c>
      <c r="O7" s="22">
        <f t="shared" si="3"/>
        <v>0.1</v>
      </c>
      <c r="P7" s="22">
        <f t="shared" si="3"/>
        <v>0.1</v>
      </c>
      <c r="Q7" s="22">
        <f t="shared" si="3"/>
        <v>0.1</v>
      </c>
      <c r="R7" s="22">
        <f t="shared" si="3"/>
        <v>0.1</v>
      </c>
      <c r="S7" s="22">
        <f t="shared" si="3"/>
        <v>0.1</v>
      </c>
      <c r="T7" s="22">
        <f t="shared" si="3"/>
        <v>0.1</v>
      </c>
      <c r="U7" s="22">
        <f t="shared" si="4"/>
        <v>0.1</v>
      </c>
      <c r="V7" s="22">
        <f t="shared" si="4"/>
        <v>0.1</v>
      </c>
      <c r="W7" s="22">
        <f t="shared" si="4"/>
        <v>0.1</v>
      </c>
      <c r="X7" s="22">
        <f t="shared" si="4"/>
        <v>0.1</v>
      </c>
      <c r="Y7" s="22">
        <f t="shared" si="4"/>
        <v>0.1</v>
      </c>
      <c r="Z7" s="22">
        <f t="shared" si="4"/>
        <v>0.1</v>
      </c>
      <c r="AA7" s="22">
        <f t="shared" si="4"/>
        <v>0.1</v>
      </c>
      <c r="AB7" s="22">
        <f t="shared" si="4"/>
        <v>0.1</v>
      </c>
      <c r="AC7" s="22">
        <f t="shared" si="4"/>
        <v>0.1</v>
      </c>
      <c r="AD7" s="22">
        <f t="shared" si="4"/>
        <v>0.1</v>
      </c>
      <c r="AE7" s="22">
        <f t="shared" si="4"/>
        <v>0.1</v>
      </c>
      <c r="AF7" s="22">
        <f t="shared" si="4"/>
        <v>0.1</v>
      </c>
      <c r="AG7" s="22">
        <f t="shared" si="4"/>
        <v>0.1</v>
      </c>
      <c r="AI7" s="51" t="s">
        <v>268</v>
      </c>
      <c r="AJ7" s="198"/>
    </row>
    <row r="8" spans="1:47" outlineLevel="1">
      <c r="A8" t="s">
        <v>402</v>
      </c>
      <c r="B8" s="51" t="s">
        <v>126</v>
      </c>
      <c r="C8" s="104">
        <f>'Waste gen. - Industry shares'!C24+'Waste gen. - Industry shares'!C21</f>
        <v>0.28429743453895867</v>
      </c>
      <c r="D8" s="119">
        <f>C8</f>
        <v>0.28429743453895867</v>
      </c>
      <c r="E8" s="119">
        <f t="shared" si="3"/>
        <v>0.28429743453895867</v>
      </c>
      <c r="F8" s="119">
        <f t="shared" si="3"/>
        <v>0.28429743453895867</v>
      </c>
      <c r="G8" s="119">
        <f t="shared" si="3"/>
        <v>0.28429743453895867</v>
      </c>
      <c r="H8" s="119">
        <f t="shared" si="3"/>
        <v>0.28429743453895867</v>
      </c>
      <c r="I8" s="119">
        <f t="shared" si="3"/>
        <v>0.28429743453895867</v>
      </c>
      <c r="J8" s="119">
        <f t="shared" si="3"/>
        <v>0.28429743453895867</v>
      </c>
      <c r="K8" s="119">
        <f t="shared" si="3"/>
        <v>0.28429743453895867</v>
      </c>
      <c r="L8" s="119">
        <f t="shared" si="3"/>
        <v>0.28429743453895867</v>
      </c>
      <c r="M8" s="121">
        <f t="shared" si="3"/>
        <v>0.28429743453895867</v>
      </c>
      <c r="N8" s="121">
        <f t="shared" si="3"/>
        <v>0.28429743453895867</v>
      </c>
      <c r="O8" s="121">
        <f t="shared" si="3"/>
        <v>0.28429743453895867</v>
      </c>
      <c r="P8" s="121">
        <f t="shared" si="3"/>
        <v>0.28429743453895867</v>
      </c>
      <c r="Q8" s="121">
        <f t="shared" si="3"/>
        <v>0.28429743453895867</v>
      </c>
      <c r="R8" s="121">
        <f t="shared" si="3"/>
        <v>0.28429743453895867</v>
      </c>
      <c r="S8" s="121">
        <f t="shared" si="3"/>
        <v>0.28429743453895867</v>
      </c>
      <c r="T8" s="121">
        <f t="shared" si="3"/>
        <v>0.28429743453895867</v>
      </c>
      <c r="U8" s="121">
        <f t="shared" si="4"/>
        <v>0.28429743453895867</v>
      </c>
      <c r="V8" s="121">
        <f t="shared" si="4"/>
        <v>0.28429743453895867</v>
      </c>
      <c r="W8" s="121">
        <f t="shared" si="4"/>
        <v>0.28429743453895867</v>
      </c>
      <c r="X8" s="121">
        <f t="shared" si="4"/>
        <v>0.28429743453895867</v>
      </c>
      <c r="Y8" s="121">
        <f t="shared" si="4"/>
        <v>0.28429743453895867</v>
      </c>
      <c r="Z8" s="121">
        <f t="shared" si="4"/>
        <v>0.28429743453895867</v>
      </c>
      <c r="AA8" s="121">
        <f t="shared" si="4"/>
        <v>0.28429743453895867</v>
      </c>
      <c r="AB8" s="121">
        <f t="shared" si="4"/>
        <v>0.28429743453895867</v>
      </c>
      <c r="AC8" s="121">
        <f t="shared" si="4"/>
        <v>0.28429743453895867</v>
      </c>
      <c r="AD8" s="121">
        <f t="shared" si="4"/>
        <v>0.28429743453895867</v>
      </c>
      <c r="AE8" s="121">
        <f t="shared" si="4"/>
        <v>0.28429743453895867</v>
      </c>
      <c r="AF8" s="121">
        <f t="shared" si="4"/>
        <v>0.28429743453895867</v>
      </c>
      <c r="AG8" s="121">
        <f t="shared" si="4"/>
        <v>0.28429743453895867</v>
      </c>
      <c r="AI8" s="51" t="s">
        <v>268</v>
      </c>
      <c r="AJ8" s="198"/>
    </row>
    <row r="9" spans="1:47" ht="15.5" outlineLevel="1" thickBot="1">
      <c r="A9" s="182" t="s">
        <v>433</v>
      </c>
      <c r="B9" s="183"/>
      <c r="C9" s="184">
        <f>SUM(C4:C8)</f>
        <v>1.0009009009009009</v>
      </c>
      <c r="D9" s="184">
        <f t="shared" ref="D9:AG9" si="6">SUM(D4:D8)</f>
        <v>1.0009009009009009</v>
      </c>
      <c r="E9" s="184">
        <f t="shared" si="6"/>
        <v>1.0009009009009009</v>
      </c>
      <c r="F9" s="184">
        <f t="shared" si="6"/>
        <v>1.0009009009009009</v>
      </c>
      <c r="G9" s="184">
        <f t="shared" si="6"/>
        <v>1.0009009009009009</v>
      </c>
      <c r="H9" s="184">
        <f t="shared" si="6"/>
        <v>1.0009009009009009</v>
      </c>
      <c r="I9" s="184">
        <f t="shared" si="6"/>
        <v>1.0009009009009009</v>
      </c>
      <c r="J9" s="184">
        <f t="shared" si="6"/>
        <v>1.0009009009009009</v>
      </c>
      <c r="K9" s="184">
        <f t="shared" si="6"/>
        <v>1.0009009009009009</v>
      </c>
      <c r="L9" s="184">
        <f t="shared" si="6"/>
        <v>1.0009009009009009</v>
      </c>
      <c r="M9" s="184">
        <f t="shared" si="6"/>
        <v>1.0009009009009009</v>
      </c>
      <c r="N9" s="184">
        <f t="shared" si="6"/>
        <v>1.0009009009009009</v>
      </c>
      <c r="O9" s="184">
        <f t="shared" si="6"/>
        <v>1.0009009009009009</v>
      </c>
      <c r="P9" s="184">
        <f t="shared" si="6"/>
        <v>1.0009009009009009</v>
      </c>
      <c r="Q9" s="184">
        <f t="shared" si="6"/>
        <v>1.0009009009009009</v>
      </c>
      <c r="R9" s="184">
        <f t="shared" si="6"/>
        <v>1.0009009009009009</v>
      </c>
      <c r="S9" s="184">
        <f t="shared" si="6"/>
        <v>1.0009009009009009</v>
      </c>
      <c r="T9" s="184">
        <f t="shared" si="6"/>
        <v>1.0009009009009009</v>
      </c>
      <c r="U9" s="184">
        <f t="shared" si="6"/>
        <v>1.0009009009009009</v>
      </c>
      <c r="V9" s="184">
        <f t="shared" si="6"/>
        <v>1.0009009009009009</v>
      </c>
      <c r="W9" s="184">
        <f t="shared" si="6"/>
        <v>1.0009009009009009</v>
      </c>
      <c r="X9" s="184">
        <f t="shared" si="6"/>
        <v>1.0009009009009009</v>
      </c>
      <c r="Y9" s="184">
        <f t="shared" si="6"/>
        <v>1.0009009009009009</v>
      </c>
      <c r="Z9" s="184">
        <f t="shared" si="6"/>
        <v>1.0009009009009009</v>
      </c>
      <c r="AA9" s="184">
        <f t="shared" si="6"/>
        <v>1.0009009009009009</v>
      </c>
      <c r="AB9" s="184">
        <f t="shared" si="6"/>
        <v>1.0009009009009009</v>
      </c>
      <c r="AC9" s="184">
        <f t="shared" si="6"/>
        <v>1.0009009009009009</v>
      </c>
      <c r="AD9" s="184">
        <f t="shared" si="6"/>
        <v>1.0009009009009009</v>
      </c>
      <c r="AE9" s="184">
        <f t="shared" si="6"/>
        <v>1.0009009009009009</v>
      </c>
      <c r="AF9" s="184">
        <f t="shared" si="6"/>
        <v>1.0009009009009009</v>
      </c>
      <c r="AG9" s="184">
        <f t="shared" si="6"/>
        <v>1.0009009009009009</v>
      </c>
      <c r="AM9" s="24"/>
      <c r="AN9" s="2"/>
      <c r="AO9" s="24"/>
      <c r="AR9" s="2"/>
    </row>
    <row r="10" spans="1:47" ht="15.5" outlineLevel="1" thickTop="1">
      <c r="AM10" s="24"/>
      <c r="AN10" s="2"/>
      <c r="AO10" s="24"/>
      <c r="AR10" s="2"/>
    </row>
    <row r="11" spans="1:47" outlineLevel="1">
      <c r="A11" t="s">
        <v>413</v>
      </c>
      <c r="B11" s="51" t="s">
        <v>296</v>
      </c>
      <c r="C11" s="101">
        <f t="shared" ref="C11:AG15" si="7">C$2*C4</f>
        <v>2797101.9772299458</v>
      </c>
      <c r="D11" s="101">
        <f t="shared" si="7"/>
        <v>2797101.9772299458</v>
      </c>
      <c r="E11" s="101">
        <f t="shared" si="7"/>
        <v>2797101.9772299458</v>
      </c>
      <c r="F11" s="101">
        <f t="shared" si="7"/>
        <v>2797101.9772299458</v>
      </c>
      <c r="G11" s="101">
        <f t="shared" si="7"/>
        <v>2797101.9772299458</v>
      </c>
      <c r="H11" s="101">
        <f t="shared" si="7"/>
        <v>2797101.9772299458</v>
      </c>
      <c r="I11" s="101">
        <f t="shared" si="7"/>
        <v>2797101.9772299458</v>
      </c>
      <c r="J11" s="101">
        <f t="shared" si="7"/>
        <v>2797101.9772299458</v>
      </c>
      <c r="K11" s="101">
        <f t="shared" si="7"/>
        <v>2797101.9772299458</v>
      </c>
      <c r="L11" s="101">
        <f t="shared" si="7"/>
        <v>2797101.9772299458</v>
      </c>
      <c r="M11" s="101">
        <f t="shared" si="7"/>
        <v>2797101.9772299458</v>
      </c>
      <c r="N11" s="101">
        <f t="shared" si="7"/>
        <v>2797101.9772299458</v>
      </c>
      <c r="O11" s="101">
        <f t="shared" si="7"/>
        <v>2797101.9772299458</v>
      </c>
      <c r="P11" s="101">
        <f t="shared" si="7"/>
        <v>2797101.9772299458</v>
      </c>
      <c r="Q11" s="101">
        <f t="shared" si="7"/>
        <v>2797101.9772299458</v>
      </c>
      <c r="R11" s="101">
        <f t="shared" si="7"/>
        <v>2797101.9772299458</v>
      </c>
      <c r="S11" s="101">
        <f t="shared" si="7"/>
        <v>2797101.9772299458</v>
      </c>
      <c r="T11" s="101">
        <f t="shared" si="7"/>
        <v>2797101.9772299458</v>
      </c>
      <c r="U11" s="101">
        <f t="shared" si="7"/>
        <v>2797101.9772299458</v>
      </c>
      <c r="V11" s="101">
        <f t="shared" si="7"/>
        <v>2797101.9772299458</v>
      </c>
      <c r="W11" s="101">
        <f t="shared" si="7"/>
        <v>2797101.9772299458</v>
      </c>
      <c r="X11" s="101">
        <f t="shared" si="7"/>
        <v>2797101.9772299458</v>
      </c>
      <c r="Y11" s="101">
        <f t="shared" si="7"/>
        <v>2797101.9772299458</v>
      </c>
      <c r="Z11" s="101">
        <f t="shared" si="7"/>
        <v>2797101.9772299458</v>
      </c>
      <c r="AA11" s="101">
        <f t="shared" si="7"/>
        <v>2797101.9772299458</v>
      </c>
      <c r="AB11" s="101">
        <f t="shared" si="7"/>
        <v>2797101.9772299458</v>
      </c>
      <c r="AC11" s="101">
        <f t="shared" si="7"/>
        <v>2797101.9772299458</v>
      </c>
      <c r="AD11" s="101">
        <f t="shared" si="7"/>
        <v>2797101.9772299458</v>
      </c>
      <c r="AE11" s="101">
        <f t="shared" si="7"/>
        <v>2797101.9772299458</v>
      </c>
      <c r="AF11" s="101">
        <f t="shared" si="7"/>
        <v>2797101.9772299458</v>
      </c>
      <c r="AG11" s="101">
        <f t="shared" si="7"/>
        <v>2797101.9772299458</v>
      </c>
      <c r="AM11" s="24"/>
      <c r="AN11" s="2"/>
      <c r="AO11" s="24"/>
      <c r="AR11" s="2"/>
    </row>
    <row r="12" spans="1:47" outlineLevel="1">
      <c r="A12" t="s">
        <v>269</v>
      </c>
      <c r="B12" s="51" t="s">
        <v>296</v>
      </c>
      <c r="C12" s="101">
        <f t="shared" si="7"/>
        <v>264028.63148967928</v>
      </c>
      <c r="D12" s="101">
        <f t="shared" si="7"/>
        <v>264028.63148967928</v>
      </c>
      <c r="E12" s="101">
        <f t="shared" si="7"/>
        <v>264028.63148967928</v>
      </c>
      <c r="F12" s="101">
        <f t="shared" si="7"/>
        <v>264028.63148967928</v>
      </c>
      <c r="G12" s="101">
        <f t="shared" si="7"/>
        <v>264028.63148967928</v>
      </c>
      <c r="H12" s="101">
        <f t="shared" si="7"/>
        <v>264028.63148967928</v>
      </c>
      <c r="I12" s="101">
        <f t="shared" si="7"/>
        <v>264028.63148967928</v>
      </c>
      <c r="J12" s="101">
        <f t="shared" si="7"/>
        <v>264028.63148967928</v>
      </c>
      <c r="K12" s="101">
        <f t="shared" si="7"/>
        <v>264028.63148967928</v>
      </c>
      <c r="L12" s="101">
        <f t="shared" si="7"/>
        <v>264028.63148967928</v>
      </c>
      <c r="M12" s="101">
        <f t="shared" si="7"/>
        <v>264028.63148967928</v>
      </c>
      <c r="N12" s="101">
        <f t="shared" si="7"/>
        <v>264028.63148967928</v>
      </c>
      <c r="O12" s="101">
        <f t="shared" si="7"/>
        <v>264028.63148967928</v>
      </c>
      <c r="P12" s="101">
        <f t="shared" si="7"/>
        <v>264028.63148967928</v>
      </c>
      <c r="Q12" s="101">
        <f t="shared" si="7"/>
        <v>264028.63148967928</v>
      </c>
      <c r="R12" s="101">
        <f t="shared" si="7"/>
        <v>264028.63148967928</v>
      </c>
      <c r="S12" s="101">
        <f t="shared" si="7"/>
        <v>264028.63148967928</v>
      </c>
      <c r="T12" s="101">
        <f t="shared" si="7"/>
        <v>264028.63148967928</v>
      </c>
      <c r="U12" s="101">
        <f t="shared" si="7"/>
        <v>264028.63148967928</v>
      </c>
      <c r="V12" s="101">
        <f t="shared" si="7"/>
        <v>264028.63148967928</v>
      </c>
      <c r="W12" s="101">
        <f t="shared" si="7"/>
        <v>264028.63148967928</v>
      </c>
      <c r="X12" s="101">
        <f t="shared" si="7"/>
        <v>264028.63148967928</v>
      </c>
      <c r="Y12" s="101">
        <f t="shared" si="7"/>
        <v>264028.63148967928</v>
      </c>
      <c r="Z12" s="101">
        <f t="shared" si="7"/>
        <v>264028.63148967928</v>
      </c>
      <c r="AA12" s="101">
        <f t="shared" si="7"/>
        <v>264028.63148967928</v>
      </c>
      <c r="AB12" s="101">
        <f t="shared" si="7"/>
        <v>264028.63148967928</v>
      </c>
      <c r="AC12" s="101">
        <f t="shared" si="7"/>
        <v>264028.63148967928</v>
      </c>
      <c r="AD12" s="101">
        <f t="shared" si="7"/>
        <v>264028.63148967928</v>
      </c>
      <c r="AE12" s="101">
        <f t="shared" si="7"/>
        <v>264028.63148967928</v>
      </c>
      <c r="AF12" s="101">
        <f t="shared" si="7"/>
        <v>264028.63148967928</v>
      </c>
      <c r="AG12" s="101">
        <f t="shared" si="7"/>
        <v>264028.63148967928</v>
      </c>
      <c r="AM12" s="24"/>
      <c r="AN12" s="2"/>
      <c r="AO12" s="24"/>
      <c r="AR12" s="2"/>
    </row>
    <row r="13" spans="1:47" outlineLevel="1">
      <c r="A13" t="s">
        <v>270</v>
      </c>
      <c r="B13" s="51" t="s">
        <v>296</v>
      </c>
      <c r="C13" s="101">
        <f t="shared" si="7"/>
        <v>207718.01554589227</v>
      </c>
      <c r="D13" s="101">
        <f t="shared" si="7"/>
        <v>207718.01554589227</v>
      </c>
      <c r="E13" s="101">
        <f t="shared" si="7"/>
        <v>207718.01554589227</v>
      </c>
      <c r="F13" s="101">
        <f t="shared" si="7"/>
        <v>207718.01554589227</v>
      </c>
      <c r="G13" s="101">
        <f t="shared" si="7"/>
        <v>207718.01554589227</v>
      </c>
      <c r="H13" s="101">
        <f t="shared" si="7"/>
        <v>207718.01554589227</v>
      </c>
      <c r="I13" s="101">
        <f t="shared" si="7"/>
        <v>207718.01554589227</v>
      </c>
      <c r="J13" s="101">
        <f t="shared" si="7"/>
        <v>207718.01554589227</v>
      </c>
      <c r="K13" s="101">
        <f t="shared" si="7"/>
        <v>207718.01554589227</v>
      </c>
      <c r="L13" s="101">
        <f t="shared" si="7"/>
        <v>207718.01554589227</v>
      </c>
      <c r="M13" s="101">
        <f t="shared" si="7"/>
        <v>207718.01554589227</v>
      </c>
      <c r="N13" s="101">
        <f t="shared" si="7"/>
        <v>207718.01554589227</v>
      </c>
      <c r="O13" s="101">
        <f t="shared" si="7"/>
        <v>207718.01554589227</v>
      </c>
      <c r="P13" s="101">
        <f t="shared" si="7"/>
        <v>207718.01554589227</v>
      </c>
      <c r="Q13" s="101">
        <f t="shared" si="7"/>
        <v>207718.01554589227</v>
      </c>
      <c r="R13" s="101">
        <f t="shared" si="7"/>
        <v>207718.01554589227</v>
      </c>
      <c r="S13" s="101">
        <f t="shared" si="7"/>
        <v>207718.01554589227</v>
      </c>
      <c r="T13" s="101">
        <f t="shared" si="7"/>
        <v>207718.01554589227</v>
      </c>
      <c r="U13" s="101">
        <f t="shared" si="7"/>
        <v>207718.01554589227</v>
      </c>
      <c r="V13" s="101">
        <f t="shared" si="7"/>
        <v>207718.01554589227</v>
      </c>
      <c r="W13" s="101">
        <f t="shared" si="7"/>
        <v>207718.01554589227</v>
      </c>
      <c r="X13" s="101">
        <f t="shared" si="7"/>
        <v>207718.01554589227</v>
      </c>
      <c r="Y13" s="101">
        <f t="shared" si="7"/>
        <v>207718.01554589227</v>
      </c>
      <c r="Z13" s="101">
        <f t="shared" si="7"/>
        <v>207718.01554589227</v>
      </c>
      <c r="AA13" s="101">
        <f t="shared" si="7"/>
        <v>207718.01554589227</v>
      </c>
      <c r="AB13" s="101">
        <f t="shared" si="7"/>
        <v>207718.01554589227</v>
      </c>
      <c r="AC13" s="101">
        <f t="shared" si="7"/>
        <v>207718.01554589227</v>
      </c>
      <c r="AD13" s="101">
        <f t="shared" si="7"/>
        <v>207718.01554589227</v>
      </c>
      <c r="AE13" s="101">
        <f t="shared" si="7"/>
        <v>207718.01554589227</v>
      </c>
      <c r="AF13" s="101">
        <f t="shared" si="7"/>
        <v>207718.01554589227</v>
      </c>
      <c r="AG13" s="101">
        <f t="shared" si="7"/>
        <v>207718.01554589227</v>
      </c>
      <c r="AM13" s="24"/>
      <c r="AN13" s="2"/>
      <c r="AO13" s="24"/>
      <c r="AR13" s="2"/>
    </row>
    <row r="14" spans="1:47" outlineLevel="1">
      <c r="A14" t="s">
        <v>411</v>
      </c>
      <c r="B14" s="51" t="s">
        <v>296</v>
      </c>
      <c r="C14" s="101">
        <f t="shared" si="7"/>
        <v>530137.89292367117</v>
      </c>
      <c r="D14" s="101">
        <f t="shared" si="7"/>
        <v>530137.89292367117</v>
      </c>
      <c r="E14" s="101">
        <f t="shared" si="7"/>
        <v>530137.89292367117</v>
      </c>
      <c r="F14" s="101">
        <f t="shared" si="7"/>
        <v>530137.89292367117</v>
      </c>
      <c r="G14" s="101">
        <f t="shared" si="7"/>
        <v>530137.89292367117</v>
      </c>
      <c r="H14" s="101">
        <f t="shared" si="7"/>
        <v>530137.89292367117</v>
      </c>
      <c r="I14" s="101">
        <f t="shared" si="7"/>
        <v>530137.89292367117</v>
      </c>
      <c r="J14" s="101">
        <f t="shared" si="7"/>
        <v>530137.89292367117</v>
      </c>
      <c r="K14" s="101">
        <f t="shared" si="7"/>
        <v>530137.89292367117</v>
      </c>
      <c r="L14" s="101">
        <f t="shared" si="7"/>
        <v>530137.89292367117</v>
      </c>
      <c r="M14" s="101">
        <f t="shared" si="7"/>
        <v>530137.89292367117</v>
      </c>
      <c r="N14" s="101">
        <f t="shared" si="7"/>
        <v>530137.89292367117</v>
      </c>
      <c r="O14" s="101">
        <f t="shared" si="7"/>
        <v>530137.89292367117</v>
      </c>
      <c r="P14" s="101">
        <f t="shared" si="7"/>
        <v>530137.89292367117</v>
      </c>
      <c r="Q14" s="101">
        <f t="shared" si="7"/>
        <v>530137.89292367117</v>
      </c>
      <c r="R14" s="101">
        <f t="shared" si="7"/>
        <v>530137.89292367117</v>
      </c>
      <c r="S14" s="101">
        <f t="shared" si="7"/>
        <v>530137.89292367117</v>
      </c>
      <c r="T14" s="101">
        <f t="shared" si="7"/>
        <v>530137.89292367117</v>
      </c>
      <c r="U14" s="101">
        <f t="shared" si="7"/>
        <v>530137.89292367117</v>
      </c>
      <c r="V14" s="101">
        <f t="shared" si="7"/>
        <v>530137.89292367117</v>
      </c>
      <c r="W14" s="101">
        <f t="shared" si="7"/>
        <v>530137.89292367117</v>
      </c>
      <c r="X14" s="101">
        <f t="shared" si="7"/>
        <v>530137.89292367117</v>
      </c>
      <c r="Y14" s="101">
        <f t="shared" si="7"/>
        <v>530137.89292367117</v>
      </c>
      <c r="Z14" s="101">
        <f t="shared" si="7"/>
        <v>530137.89292367117</v>
      </c>
      <c r="AA14" s="101">
        <f t="shared" si="7"/>
        <v>530137.89292367117</v>
      </c>
      <c r="AB14" s="101">
        <f t="shared" si="7"/>
        <v>530137.89292367117</v>
      </c>
      <c r="AC14" s="101">
        <f t="shared" si="7"/>
        <v>530137.89292367117</v>
      </c>
      <c r="AD14" s="101">
        <f t="shared" si="7"/>
        <v>530137.89292367117</v>
      </c>
      <c r="AE14" s="101">
        <f t="shared" si="7"/>
        <v>530137.89292367117</v>
      </c>
      <c r="AF14" s="101">
        <f t="shared" si="7"/>
        <v>530137.89292367117</v>
      </c>
      <c r="AG14" s="101">
        <f t="shared" si="7"/>
        <v>530137.89292367117</v>
      </c>
      <c r="AM14" s="24"/>
      <c r="AN14" s="2"/>
      <c r="AO14" s="24"/>
      <c r="AR14" s="2"/>
    </row>
    <row r="15" spans="1:47" outlineLevel="1">
      <c r="A15" t="s">
        <v>271</v>
      </c>
      <c r="B15" s="51" t="s">
        <v>296</v>
      </c>
      <c r="C15" s="122">
        <f t="shared" si="7"/>
        <v>1507168.4291008885</v>
      </c>
      <c r="D15" s="122">
        <f t="shared" si="7"/>
        <v>1507168.4291008885</v>
      </c>
      <c r="E15" s="122">
        <f t="shared" si="7"/>
        <v>1507168.4291008885</v>
      </c>
      <c r="F15" s="122">
        <f t="shared" si="7"/>
        <v>1507168.4291008885</v>
      </c>
      <c r="G15" s="122">
        <f t="shared" si="7"/>
        <v>1507168.4291008885</v>
      </c>
      <c r="H15" s="122">
        <f t="shared" si="7"/>
        <v>1507168.4291008885</v>
      </c>
      <c r="I15" s="122">
        <f t="shared" si="7"/>
        <v>1507168.4291008885</v>
      </c>
      <c r="J15" s="122">
        <f t="shared" si="7"/>
        <v>1507168.4291008885</v>
      </c>
      <c r="K15" s="122">
        <f t="shared" si="7"/>
        <v>1507168.4291008885</v>
      </c>
      <c r="L15" s="122">
        <f t="shared" si="7"/>
        <v>1507168.4291008885</v>
      </c>
      <c r="M15" s="122">
        <f t="shared" si="7"/>
        <v>1507168.4291008885</v>
      </c>
      <c r="N15" s="122">
        <f t="shared" si="7"/>
        <v>1507168.4291008885</v>
      </c>
      <c r="O15" s="122">
        <f t="shared" si="7"/>
        <v>1507168.4291008885</v>
      </c>
      <c r="P15" s="122">
        <f t="shared" si="7"/>
        <v>1507168.4291008885</v>
      </c>
      <c r="Q15" s="122">
        <f t="shared" si="7"/>
        <v>1507168.4291008885</v>
      </c>
      <c r="R15" s="122">
        <f t="shared" si="7"/>
        <v>1507168.4291008885</v>
      </c>
      <c r="S15" s="122">
        <f t="shared" si="7"/>
        <v>1507168.4291008885</v>
      </c>
      <c r="T15" s="122">
        <f t="shared" si="7"/>
        <v>1507168.4291008885</v>
      </c>
      <c r="U15" s="122">
        <f t="shared" si="7"/>
        <v>1507168.4291008885</v>
      </c>
      <c r="V15" s="122">
        <f t="shared" si="7"/>
        <v>1507168.4291008885</v>
      </c>
      <c r="W15" s="122">
        <f t="shared" si="7"/>
        <v>1507168.4291008885</v>
      </c>
      <c r="X15" s="122">
        <f t="shared" si="7"/>
        <v>1507168.4291008885</v>
      </c>
      <c r="Y15" s="122">
        <f t="shared" si="7"/>
        <v>1507168.4291008885</v>
      </c>
      <c r="Z15" s="122">
        <f t="shared" si="7"/>
        <v>1507168.4291008885</v>
      </c>
      <c r="AA15" s="122">
        <f t="shared" si="7"/>
        <v>1507168.4291008885</v>
      </c>
      <c r="AB15" s="122">
        <f t="shared" si="7"/>
        <v>1507168.4291008885</v>
      </c>
      <c r="AC15" s="122">
        <f t="shared" si="7"/>
        <v>1507168.4291008885</v>
      </c>
      <c r="AD15" s="122">
        <f t="shared" si="7"/>
        <v>1507168.4291008885</v>
      </c>
      <c r="AE15" s="122">
        <f t="shared" si="7"/>
        <v>1507168.4291008885</v>
      </c>
      <c r="AF15" s="122">
        <f t="shared" si="7"/>
        <v>1507168.4291008885</v>
      </c>
      <c r="AG15" s="122">
        <f t="shared" si="7"/>
        <v>1507168.4291008885</v>
      </c>
    </row>
    <row r="16" spans="1:47" ht="15.5" outlineLevel="1" thickBot="1">
      <c r="A16" s="187" t="s">
        <v>432</v>
      </c>
      <c r="B16" s="185"/>
      <c r="C16" s="186">
        <f t="shared" ref="C16:AG16" si="8">SUM(C11:C15)</f>
        <v>5306154.9462900767</v>
      </c>
      <c r="D16" s="186">
        <f t="shared" si="8"/>
        <v>5306154.9462900767</v>
      </c>
      <c r="E16" s="186">
        <f t="shared" si="8"/>
        <v>5306154.9462900767</v>
      </c>
      <c r="F16" s="186">
        <f t="shared" si="8"/>
        <v>5306154.9462900767</v>
      </c>
      <c r="G16" s="186">
        <f t="shared" si="8"/>
        <v>5306154.9462900767</v>
      </c>
      <c r="H16" s="186">
        <f t="shared" si="8"/>
        <v>5306154.9462900767</v>
      </c>
      <c r="I16" s="186">
        <f t="shared" si="8"/>
        <v>5306154.9462900767</v>
      </c>
      <c r="J16" s="186">
        <f t="shared" si="8"/>
        <v>5306154.9462900767</v>
      </c>
      <c r="K16" s="186">
        <f t="shared" si="8"/>
        <v>5306154.9462900767</v>
      </c>
      <c r="L16" s="186">
        <f t="shared" si="8"/>
        <v>5306154.9462900767</v>
      </c>
      <c r="M16" s="186">
        <f t="shared" si="8"/>
        <v>5306154.9462900767</v>
      </c>
      <c r="N16" s="186">
        <f t="shared" si="8"/>
        <v>5306154.9462900767</v>
      </c>
      <c r="O16" s="186">
        <f t="shared" si="8"/>
        <v>5306154.9462900767</v>
      </c>
      <c r="P16" s="186">
        <f t="shared" si="8"/>
        <v>5306154.9462900767</v>
      </c>
      <c r="Q16" s="186">
        <f t="shared" si="8"/>
        <v>5306154.9462900767</v>
      </c>
      <c r="R16" s="186">
        <f t="shared" si="8"/>
        <v>5306154.9462900767</v>
      </c>
      <c r="S16" s="186">
        <f t="shared" si="8"/>
        <v>5306154.9462900767</v>
      </c>
      <c r="T16" s="186">
        <f t="shared" si="8"/>
        <v>5306154.9462900767</v>
      </c>
      <c r="U16" s="186">
        <f t="shared" si="8"/>
        <v>5306154.9462900767</v>
      </c>
      <c r="V16" s="186">
        <f t="shared" si="8"/>
        <v>5306154.9462900767</v>
      </c>
      <c r="W16" s="186">
        <f t="shared" si="8"/>
        <v>5306154.9462900767</v>
      </c>
      <c r="X16" s="186">
        <f t="shared" si="8"/>
        <v>5306154.9462900767</v>
      </c>
      <c r="Y16" s="186">
        <f t="shared" si="8"/>
        <v>5306154.9462900767</v>
      </c>
      <c r="Z16" s="186">
        <f t="shared" si="8"/>
        <v>5306154.9462900767</v>
      </c>
      <c r="AA16" s="186">
        <f t="shared" si="8"/>
        <v>5306154.9462900767</v>
      </c>
      <c r="AB16" s="186">
        <f t="shared" si="8"/>
        <v>5306154.9462900767</v>
      </c>
      <c r="AC16" s="186">
        <f t="shared" si="8"/>
        <v>5306154.9462900767</v>
      </c>
      <c r="AD16" s="186">
        <f t="shared" si="8"/>
        <v>5306154.9462900767</v>
      </c>
      <c r="AE16" s="186">
        <f t="shared" si="8"/>
        <v>5306154.9462900767</v>
      </c>
      <c r="AF16" s="186">
        <f t="shared" si="8"/>
        <v>5306154.9462900767</v>
      </c>
      <c r="AG16" s="186">
        <f t="shared" si="8"/>
        <v>5306154.9462900767</v>
      </c>
    </row>
    <row r="17" spans="1:64" ht="15.5" outlineLevel="1" thickTop="1">
      <c r="AL17" s="108"/>
      <c r="AM17" s="109"/>
      <c r="AN17" s="109"/>
      <c r="AO17" s="109"/>
      <c r="AP17" s="109"/>
      <c r="AQ17" s="109"/>
    </row>
    <row r="18" spans="1:64" outlineLevel="1">
      <c r="A18" t="s">
        <v>1347</v>
      </c>
      <c r="B18" s="51" t="s">
        <v>126</v>
      </c>
      <c r="C18" s="148">
        <f>SUM('Overall recycling rates'!F76:H76)</f>
        <v>0.16468955599576085</v>
      </c>
      <c r="D18" s="148">
        <f>C18</f>
        <v>0.16468955599576085</v>
      </c>
      <c r="E18" s="148">
        <f t="shared" ref="E18:AF19" si="9">D18</f>
        <v>0.16468955599576085</v>
      </c>
      <c r="F18" s="148">
        <f t="shared" si="9"/>
        <v>0.16468955599576085</v>
      </c>
      <c r="G18" s="148">
        <f t="shared" si="9"/>
        <v>0.16468955599576085</v>
      </c>
      <c r="H18" s="148">
        <f t="shared" si="9"/>
        <v>0.16468955599576085</v>
      </c>
      <c r="I18" s="148">
        <f t="shared" si="9"/>
        <v>0.16468955599576085</v>
      </c>
      <c r="J18" s="148">
        <f t="shared" si="9"/>
        <v>0.16468955599576085</v>
      </c>
      <c r="K18" s="148">
        <f t="shared" si="9"/>
        <v>0.16468955599576085</v>
      </c>
      <c r="L18" s="148">
        <f t="shared" si="9"/>
        <v>0.16468955599576085</v>
      </c>
      <c r="M18" s="148">
        <f t="shared" si="9"/>
        <v>0.16468955599576085</v>
      </c>
      <c r="N18" s="148">
        <f t="shared" si="9"/>
        <v>0.16468955599576085</v>
      </c>
      <c r="O18" s="148">
        <f t="shared" si="9"/>
        <v>0.16468955599576085</v>
      </c>
      <c r="P18" s="148">
        <f t="shared" si="9"/>
        <v>0.16468955599576085</v>
      </c>
      <c r="Q18" s="148">
        <f t="shared" si="9"/>
        <v>0.16468955599576085</v>
      </c>
      <c r="R18" s="148">
        <f t="shared" si="9"/>
        <v>0.16468955599576085</v>
      </c>
      <c r="S18" s="148">
        <f t="shared" si="9"/>
        <v>0.16468955599576085</v>
      </c>
      <c r="T18" s="148">
        <f t="shared" si="9"/>
        <v>0.16468955599576085</v>
      </c>
      <c r="U18" s="148">
        <f t="shared" si="9"/>
        <v>0.16468955599576085</v>
      </c>
      <c r="V18" s="148">
        <f t="shared" si="9"/>
        <v>0.16468955599576085</v>
      </c>
      <c r="W18" s="148">
        <f t="shared" si="9"/>
        <v>0.16468955599576085</v>
      </c>
      <c r="X18" s="148">
        <f t="shared" si="9"/>
        <v>0.16468955599576085</v>
      </c>
      <c r="Y18" s="148">
        <f t="shared" si="9"/>
        <v>0.16468955599576085</v>
      </c>
      <c r="Z18" s="148">
        <f t="shared" si="9"/>
        <v>0.16468955599576085</v>
      </c>
      <c r="AA18" s="148">
        <f t="shared" si="9"/>
        <v>0.16468955599576085</v>
      </c>
      <c r="AB18" s="148">
        <f t="shared" si="9"/>
        <v>0.16468955599576085</v>
      </c>
      <c r="AC18" s="148">
        <f t="shared" si="9"/>
        <v>0.16468955599576085</v>
      </c>
      <c r="AD18" s="148">
        <f t="shared" si="9"/>
        <v>0.16468955599576085</v>
      </c>
      <c r="AE18" s="148">
        <f t="shared" si="9"/>
        <v>0.16468955599576085</v>
      </c>
      <c r="AF18" s="148">
        <f t="shared" si="9"/>
        <v>0.16468955599576085</v>
      </c>
      <c r="AG18" s="148">
        <f>AF18</f>
        <v>0.16468955599576085</v>
      </c>
      <c r="AI18" s="51" t="s">
        <v>268</v>
      </c>
      <c r="AJ18" s="198"/>
      <c r="AM18" s="109"/>
      <c r="AN18" s="109"/>
      <c r="AO18" s="109"/>
      <c r="AP18" s="109"/>
      <c r="AQ18" s="109"/>
    </row>
    <row r="19" spans="1:64" outlineLevel="1">
      <c r="A19" t="s">
        <v>1348</v>
      </c>
      <c r="B19" s="51" t="s">
        <v>126</v>
      </c>
      <c r="C19" s="148">
        <f>SUM('Overall recycling rates'!F77:H77)</f>
        <v>0.16170162550195019</v>
      </c>
      <c r="D19" s="148">
        <f t="shared" ref="D19:S22" si="10">C19</f>
        <v>0.16170162550195019</v>
      </c>
      <c r="E19" s="148">
        <f t="shared" si="10"/>
        <v>0.16170162550195019</v>
      </c>
      <c r="F19" s="148">
        <f t="shared" si="10"/>
        <v>0.16170162550195019</v>
      </c>
      <c r="G19" s="148">
        <f t="shared" si="10"/>
        <v>0.16170162550195019</v>
      </c>
      <c r="H19" s="148">
        <f t="shared" si="10"/>
        <v>0.16170162550195019</v>
      </c>
      <c r="I19" s="148">
        <f t="shared" si="10"/>
        <v>0.16170162550195019</v>
      </c>
      <c r="J19" s="148">
        <f t="shared" si="10"/>
        <v>0.16170162550195019</v>
      </c>
      <c r="K19" s="148">
        <f t="shared" si="10"/>
        <v>0.16170162550195019</v>
      </c>
      <c r="L19" s="148">
        <f t="shared" si="10"/>
        <v>0.16170162550195019</v>
      </c>
      <c r="M19" s="148">
        <f t="shared" si="10"/>
        <v>0.16170162550195019</v>
      </c>
      <c r="N19" s="148">
        <f t="shared" si="10"/>
        <v>0.16170162550195019</v>
      </c>
      <c r="O19" s="148">
        <f t="shared" si="10"/>
        <v>0.16170162550195019</v>
      </c>
      <c r="P19" s="148">
        <f t="shared" si="10"/>
        <v>0.16170162550195019</v>
      </c>
      <c r="Q19" s="148">
        <f t="shared" si="10"/>
        <v>0.16170162550195019</v>
      </c>
      <c r="R19" s="148">
        <f t="shared" si="10"/>
        <v>0.16170162550195019</v>
      </c>
      <c r="S19" s="148">
        <f t="shared" si="10"/>
        <v>0.16170162550195019</v>
      </c>
      <c r="T19" s="148">
        <f t="shared" si="9"/>
        <v>0.16170162550195019</v>
      </c>
      <c r="U19" s="148">
        <f t="shared" si="9"/>
        <v>0.16170162550195019</v>
      </c>
      <c r="V19" s="148">
        <f t="shared" si="9"/>
        <v>0.16170162550195019</v>
      </c>
      <c r="W19" s="148">
        <f t="shared" si="9"/>
        <v>0.16170162550195019</v>
      </c>
      <c r="X19" s="148">
        <f t="shared" si="9"/>
        <v>0.16170162550195019</v>
      </c>
      <c r="Y19" s="148">
        <f t="shared" si="9"/>
        <v>0.16170162550195019</v>
      </c>
      <c r="Z19" s="148">
        <f t="shared" si="9"/>
        <v>0.16170162550195019</v>
      </c>
      <c r="AA19" s="148">
        <f t="shared" si="9"/>
        <v>0.16170162550195019</v>
      </c>
      <c r="AB19" s="148">
        <f t="shared" si="9"/>
        <v>0.16170162550195019</v>
      </c>
      <c r="AC19" s="148">
        <f t="shared" si="9"/>
        <v>0.16170162550195019</v>
      </c>
      <c r="AD19" s="148">
        <f t="shared" si="9"/>
        <v>0.16170162550195019</v>
      </c>
      <c r="AE19" s="148">
        <f t="shared" si="9"/>
        <v>0.16170162550195019</v>
      </c>
      <c r="AF19" s="148">
        <f t="shared" si="9"/>
        <v>0.16170162550195019</v>
      </c>
      <c r="AG19" s="148">
        <f t="shared" ref="T19:AG22" si="11">AF19</f>
        <v>0.16170162550195019</v>
      </c>
      <c r="AI19" s="51" t="s">
        <v>268</v>
      </c>
      <c r="AJ19" s="198"/>
      <c r="AM19" s="114"/>
      <c r="AN19" s="109"/>
      <c r="AO19" s="110"/>
      <c r="AP19" s="111"/>
      <c r="AQ19" s="110"/>
    </row>
    <row r="20" spans="1:64" outlineLevel="1">
      <c r="A20" t="s">
        <v>1349</v>
      </c>
      <c r="B20" s="51" t="s">
        <v>126</v>
      </c>
      <c r="C20" s="148">
        <f>SUM('Overall recycling rates'!F78:H78)</f>
        <v>0.1116123684265191</v>
      </c>
      <c r="D20" s="148">
        <f t="shared" si="10"/>
        <v>0.1116123684265191</v>
      </c>
      <c r="E20" s="148">
        <f t="shared" si="10"/>
        <v>0.1116123684265191</v>
      </c>
      <c r="F20" s="148">
        <f t="shared" si="10"/>
        <v>0.1116123684265191</v>
      </c>
      <c r="G20" s="148">
        <f t="shared" si="10"/>
        <v>0.1116123684265191</v>
      </c>
      <c r="H20" s="148">
        <f t="shared" si="10"/>
        <v>0.1116123684265191</v>
      </c>
      <c r="I20" s="148">
        <f t="shared" si="10"/>
        <v>0.1116123684265191</v>
      </c>
      <c r="J20" s="148">
        <f t="shared" si="10"/>
        <v>0.1116123684265191</v>
      </c>
      <c r="K20" s="148">
        <f t="shared" si="10"/>
        <v>0.1116123684265191</v>
      </c>
      <c r="L20" s="148">
        <f t="shared" si="10"/>
        <v>0.1116123684265191</v>
      </c>
      <c r="M20" s="148">
        <f t="shared" si="10"/>
        <v>0.1116123684265191</v>
      </c>
      <c r="N20" s="148">
        <f t="shared" si="10"/>
        <v>0.1116123684265191</v>
      </c>
      <c r="O20" s="148">
        <f t="shared" si="10"/>
        <v>0.1116123684265191</v>
      </c>
      <c r="P20" s="148">
        <f t="shared" si="10"/>
        <v>0.1116123684265191</v>
      </c>
      <c r="Q20" s="148">
        <f t="shared" si="10"/>
        <v>0.1116123684265191</v>
      </c>
      <c r="R20" s="148">
        <f t="shared" si="10"/>
        <v>0.1116123684265191</v>
      </c>
      <c r="S20" s="148">
        <f t="shared" si="10"/>
        <v>0.1116123684265191</v>
      </c>
      <c r="T20" s="148">
        <f t="shared" si="11"/>
        <v>0.1116123684265191</v>
      </c>
      <c r="U20" s="148">
        <f t="shared" si="11"/>
        <v>0.1116123684265191</v>
      </c>
      <c r="V20" s="148">
        <f t="shared" si="11"/>
        <v>0.1116123684265191</v>
      </c>
      <c r="W20" s="148">
        <f t="shared" si="11"/>
        <v>0.1116123684265191</v>
      </c>
      <c r="X20" s="148">
        <f t="shared" si="11"/>
        <v>0.1116123684265191</v>
      </c>
      <c r="Y20" s="148">
        <f t="shared" si="11"/>
        <v>0.1116123684265191</v>
      </c>
      <c r="Z20" s="148">
        <f t="shared" si="11"/>
        <v>0.1116123684265191</v>
      </c>
      <c r="AA20" s="148">
        <f t="shared" si="11"/>
        <v>0.1116123684265191</v>
      </c>
      <c r="AB20" s="148">
        <f t="shared" si="11"/>
        <v>0.1116123684265191</v>
      </c>
      <c r="AC20" s="148">
        <f t="shared" si="11"/>
        <v>0.1116123684265191</v>
      </c>
      <c r="AD20" s="148">
        <f t="shared" si="11"/>
        <v>0.1116123684265191</v>
      </c>
      <c r="AE20" s="148">
        <f t="shared" si="11"/>
        <v>0.1116123684265191</v>
      </c>
      <c r="AF20" s="148">
        <f t="shared" si="11"/>
        <v>0.1116123684265191</v>
      </c>
      <c r="AG20" s="148">
        <f t="shared" si="11"/>
        <v>0.1116123684265191</v>
      </c>
      <c r="AI20" s="51" t="s">
        <v>268</v>
      </c>
      <c r="AJ20" s="198"/>
      <c r="AM20" s="114"/>
      <c r="AN20" s="109"/>
      <c r="AO20" s="110"/>
      <c r="AP20" s="111"/>
      <c r="AQ20" s="110"/>
    </row>
    <row r="21" spans="1:64" outlineLevel="1">
      <c r="A21" t="s">
        <v>1350</v>
      </c>
      <c r="B21" s="51" t="s">
        <v>126</v>
      </c>
      <c r="C21" s="148">
        <f>SUM('Overall recycling rates'!F79:H79)</f>
        <v>0.55201786147602583</v>
      </c>
      <c r="D21" s="148">
        <f t="shared" si="10"/>
        <v>0.55201786147602583</v>
      </c>
      <c r="E21" s="148">
        <f t="shared" si="10"/>
        <v>0.55201786147602583</v>
      </c>
      <c r="F21" s="148">
        <f t="shared" si="10"/>
        <v>0.55201786147602583</v>
      </c>
      <c r="G21" s="148">
        <f t="shared" si="10"/>
        <v>0.55201786147602583</v>
      </c>
      <c r="H21" s="148">
        <f t="shared" si="10"/>
        <v>0.55201786147602583</v>
      </c>
      <c r="I21" s="148">
        <f t="shared" si="10"/>
        <v>0.55201786147602583</v>
      </c>
      <c r="J21" s="148">
        <f t="shared" si="10"/>
        <v>0.55201786147602583</v>
      </c>
      <c r="K21" s="148">
        <f t="shared" si="10"/>
        <v>0.55201786147602583</v>
      </c>
      <c r="L21" s="148">
        <f t="shared" si="10"/>
        <v>0.55201786147602583</v>
      </c>
      <c r="M21" s="148">
        <f t="shared" si="10"/>
        <v>0.55201786147602583</v>
      </c>
      <c r="N21" s="148">
        <f t="shared" si="10"/>
        <v>0.55201786147602583</v>
      </c>
      <c r="O21" s="148">
        <f t="shared" si="10"/>
        <v>0.55201786147602583</v>
      </c>
      <c r="P21" s="148">
        <f t="shared" si="10"/>
        <v>0.55201786147602583</v>
      </c>
      <c r="Q21" s="148">
        <f t="shared" si="10"/>
        <v>0.55201786147602583</v>
      </c>
      <c r="R21" s="148">
        <f t="shared" si="10"/>
        <v>0.55201786147602583</v>
      </c>
      <c r="S21" s="148">
        <f t="shared" si="10"/>
        <v>0.55201786147602583</v>
      </c>
      <c r="T21" s="148">
        <f t="shared" si="11"/>
        <v>0.55201786147602583</v>
      </c>
      <c r="U21" s="148">
        <f t="shared" si="11"/>
        <v>0.55201786147602583</v>
      </c>
      <c r="V21" s="148">
        <f t="shared" si="11"/>
        <v>0.55201786147602583</v>
      </c>
      <c r="W21" s="148">
        <f t="shared" si="11"/>
        <v>0.55201786147602583</v>
      </c>
      <c r="X21" s="148">
        <f t="shared" si="11"/>
        <v>0.55201786147602583</v>
      </c>
      <c r="Y21" s="148">
        <f t="shared" si="11"/>
        <v>0.55201786147602583</v>
      </c>
      <c r="Z21" s="148">
        <f t="shared" si="11"/>
        <v>0.55201786147602583</v>
      </c>
      <c r="AA21" s="148">
        <f t="shared" si="11"/>
        <v>0.55201786147602583</v>
      </c>
      <c r="AB21" s="148">
        <f t="shared" si="11"/>
        <v>0.55201786147602583</v>
      </c>
      <c r="AC21" s="148">
        <f t="shared" si="11"/>
        <v>0.55201786147602583</v>
      </c>
      <c r="AD21" s="148">
        <f t="shared" si="11"/>
        <v>0.55201786147602583</v>
      </c>
      <c r="AE21" s="148">
        <f t="shared" si="11"/>
        <v>0.55201786147602583</v>
      </c>
      <c r="AF21" s="148">
        <f t="shared" si="11"/>
        <v>0.55201786147602583</v>
      </c>
      <c r="AG21" s="148">
        <f t="shared" si="11"/>
        <v>0.55201786147602583</v>
      </c>
      <c r="AI21" s="51" t="s">
        <v>268</v>
      </c>
      <c r="AJ21" s="198"/>
      <c r="AM21" s="114"/>
      <c r="AN21" s="109"/>
      <c r="AO21" s="450"/>
      <c r="AP21" s="451"/>
      <c r="AQ21" s="450"/>
    </row>
    <row r="22" spans="1:64" outlineLevel="1">
      <c r="A22" t="s">
        <v>1351</v>
      </c>
      <c r="B22" s="51" t="s">
        <v>126</v>
      </c>
      <c r="C22" s="148">
        <f>SUM('Overall recycling rates'!F80:H80)</f>
        <v>0.1838001265812737</v>
      </c>
      <c r="D22" s="148">
        <f>C22</f>
        <v>0.1838001265812737</v>
      </c>
      <c r="E22" s="148">
        <f t="shared" si="10"/>
        <v>0.1838001265812737</v>
      </c>
      <c r="F22" s="148">
        <f t="shared" si="10"/>
        <v>0.1838001265812737</v>
      </c>
      <c r="G22" s="148">
        <f t="shared" si="10"/>
        <v>0.1838001265812737</v>
      </c>
      <c r="H22" s="148">
        <f t="shared" si="10"/>
        <v>0.1838001265812737</v>
      </c>
      <c r="I22" s="148">
        <f t="shared" si="10"/>
        <v>0.1838001265812737</v>
      </c>
      <c r="J22" s="148">
        <f t="shared" si="10"/>
        <v>0.1838001265812737</v>
      </c>
      <c r="K22" s="148">
        <f t="shared" si="10"/>
        <v>0.1838001265812737</v>
      </c>
      <c r="L22" s="148">
        <f t="shared" si="10"/>
        <v>0.1838001265812737</v>
      </c>
      <c r="M22" s="148">
        <f t="shared" si="10"/>
        <v>0.1838001265812737</v>
      </c>
      <c r="N22" s="148">
        <f t="shared" si="10"/>
        <v>0.1838001265812737</v>
      </c>
      <c r="O22" s="148">
        <f t="shared" si="10"/>
        <v>0.1838001265812737</v>
      </c>
      <c r="P22" s="148">
        <f t="shared" si="10"/>
        <v>0.1838001265812737</v>
      </c>
      <c r="Q22" s="148">
        <f t="shared" si="10"/>
        <v>0.1838001265812737</v>
      </c>
      <c r="R22" s="148">
        <f t="shared" si="10"/>
        <v>0.1838001265812737</v>
      </c>
      <c r="S22" s="148">
        <f t="shared" si="10"/>
        <v>0.1838001265812737</v>
      </c>
      <c r="T22" s="148">
        <f t="shared" si="11"/>
        <v>0.1838001265812737</v>
      </c>
      <c r="U22" s="148">
        <f t="shared" si="11"/>
        <v>0.1838001265812737</v>
      </c>
      <c r="V22" s="148">
        <f t="shared" si="11"/>
        <v>0.1838001265812737</v>
      </c>
      <c r="W22" s="148">
        <f t="shared" si="11"/>
        <v>0.1838001265812737</v>
      </c>
      <c r="X22" s="148">
        <f t="shared" si="11"/>
        <v>0.1838001265812737</v>
      </c>
      <c r="Y22" s="148">
        <f t="shared" si="11"/>
        <v>0.1838001265812737</v>
      </c>
      <c r="Z22" s="148">
        <f t="shared" si="11"/>
        <v>0.1838001265812737</v>
      </c>
      <c r="AA22" s="148">
        <f t="shared" si="11"/>
        <v>0.1838001265812737</v>
      </c>
      <c r="AB22" s="148">
        <f t="shared" si="11"/>
        <v>0.1838001265812737</v>
      </c>
      <c r="AC22" s="148">
        <f t="shared" si="11"/>
        <v>0.1838001265812737</v>
      </c>
      <c r="AD22" s="148">
        <f t="shared" si="11"/>
        <v>0.1838001265812737</v>
      </c>
      <c r="AE22" s="148">
        <f t="shared" si="11"/>
        <v>0.1838001265812737</v>
      </c>
      <c r="AF22" s="148">
        <f t="shared" si="11"/>
        <v>0.1838001265812737</v>
      </c>
      <c r="AG22" s="148">
        <f t="shared" si="11"/>
        <v>0.1838001265812737</v>
      </c>
      <c r="AI22" s="51" t="s">
        <v>268</v>
      </c>
      <c r="AJ22" s="198"/>
      <c r="AM22" s="114"/>
      <c r="AN22" s="109"/>
      <c r="AO22" s="110"/>
      <c r="AP22" s="111"/>
      <c r="AQ22" s="110"/>
    </row>
    <row r="23" spans="1:64" outlineLevel="1">
      <c r="AI23" s="51"/>
      <c r="AM23" s="114"/>
      <c r="AN23" s="109"/>
      <c r="AO23" s="110"/>
      <c r="AP23" s="111"/>
      <c r="AQ23" s="110"/>
      <c r="BD23" s="22"/>
      <c r="BE23" s="22"/>
      <c r="BF23" s="22"/>
      <c r="BG23" s="22"/>
      <c r="BH23" s="22"/>
      <c r="BI23" s="22"/>
      <c r="BJ23" s="22"/>
      <c r="BK23" s="22"/>
      <c r="BL23" s="22"/>
    </row>
    <row r="24" spans="1:64" outlineLevel="1">
      <c r="A24" t="s">
        <v>1352</v>
      </c>
      <c r="B24" s="51" t="s">
        <v>1399</v>
      </c>
      <c r="C24" s="191">
        <f>C11*C18</f>
        <v>460653.48270486458</v>
      </c>
      <c r="D24" s="191">
        <f t="shared" ref="D24:AG24" si="12">D11*D18</f>
        <v>460653.48270486458</v>
      </c>
      <c r="E24" s="191">
        <f t="shared" si="12"/>
        <v>460653.48270486458</v>
      </c>
      <c r="F24" s="191">
        <f t="shared" si="12"/>
        <v>460653.48270486458</v>
      </c>
      <c r="G24" s="191">
        <f t="shared" si="12"/>
        <v>460653.48270486458</v>
      </c>
      <c r="H24" s="191">
        <f t="shared" si="12"/>
        <v>460653.48270486458</v>
      </c>
      <c r="I24" s="191">
        <f t="shared" si="12"/>
        <v>460653.48270486458</v>
      </c>
      <c r="J24" s="191">
        <f t="shared" si="12"/>
        <v>460653.48270486458</v>
      </c>
      <c r="K24" s="191">
        <f t="shared" si="12"/>
        <v>460653.48270486458</v>
      </c>
      <c r="L24" s="191">
        <f t="shared" si="12"/>
        <v>460653.48270486458</v>
      </c>
      <c r="M24" s="191">
        <f>M11*M18</f>
        <v>460653.48270486458</v>
      </c>
      <c r="N24" s="191">
        <f t="shared" si="12"/>
        <v>460653.48270486458</v>
      </c>
      <c r="O24" s="191">
        <f t="shared" si="12"/>
        <v>460653.48270486458</v>
      </c>
      <c r="P24" s="191">
        <f t="shared" si="12"/>
        <v>460653.48270486458</v>
      </c>
      <c r="Q24" s="191">
        <f t="shared" si="12"/>
        <v>460653.48270486458</v>
      </c>
      <c r="R24" s="191">
        <f t="shared" si="12"/>
        <v>460653.48270486458</v>
      </c>
      <c r="S24" s="191">
        <f t="shared" si="12"/>
        <v>460653.48270486458</v>
      </c>
      <c r="T24" s="191">
        <f t="shared" si="12"/>
        <v>460653.48270486458</v>
      </c>
      <c r="U24" s="191">
        <f t="shared" si="12"/>
        <v>460653.48270486458</v>
      </c>
      <c r="V24" s="191">
        <f t="shared" si="12"/>
        <v>460653.48270486458</v>
      </c>
      <c r="W24" s="191">
        <f t="shared" si="12"/>
        <v>460653.48270486458</v>
      </c>
      <c r="X24" s="191">
        <f t="shared" si="12"/>
        <v>460653.48270486458</v>
      </c>
      <c r="Y24" s="191">
        <f t="shared" si="12"/>
        <v>460653.48270486458</v>
      </c>
      <c r="Z24" s="191">
        <f t="shared" si="12"/>
        <v>460653.48270486458</v>
      </c>
      <c r="AA24" s="191">
        <f t="shared" si="12"/>
        <v>460653.48270486458</v>
      </c>
      <c r="AB24" s="191">
        <f t="shared" si="12"/>
        <v>460653.48270486458</v>
      </c>
      <c r="AC24" s="191">
        <f t="shared" si="12"/>
        <v>460653.48270486458</v>
      </c>
      <c r="AD24" s="191">
        <f t="shared" si="12"/>
        <v>460653.48270486458</v>
      </c>
      <c r="AE24" s="191">
        <f t="shared" si="12"/>
        <v>460653.48270486458</v>
      </c>
      <c r="AF24" s="191">
        <f t="shared" si="12"/>
        <v>460653.48270486458</v>
      </c>
      <c r="AG24" s="191">
        <f t="shared" si="12"/>
        <v>460653.48270486458</v>
      </c>
      <c r="AI24" s="230"/>
      <c r="AM24" s="114"/>
      <c r="AN24" s="109"/>
      <c r="AO24" s="109"/>
      <c r="AP24" s="109"/>
      <c r="AQ24" s="109"/>
      <c r="BD24" s="192"/>
      <c r="BE24" s="192"/>
      <c r="BF24" s="192"/>
      <c r="BG24" s="192"/>
      <c r="BH24" s="192"/>
      <c r="BI24" s="192"/>
      <c r="BJ24" s="192"/>
      <c r="BK24" s="192"/>
      <c r="BL24" s="192"/>
    </row>
    <row r="25" spans="1:64" outlineLevel="1">
      <c r="A25" t="s">
        <v>1353</v>
      </c>
      <c r="B25" s="51" t="s">
        <v>1399</v>
      </c>
      <c r="C25" s="191">
        <f t="shared" ref="C25:AG28" si="13">C12*C19</f>
        <v>42693.858890936535</v>
      </c>
      <c r="D25" s="191">
        <f t="shared" si="13"/>
        <v>42693.858890936535</v>
      </c>
      <c r="E25" s="191">
        <f t="shared" si="13"/>
        <v>42693.858890936535</v>
      </c>
      <c r="F25" s="191">
        <f t="shared" si="13"/>
        <v>42693.858890936535</v>
      </c>
      <c r="G25" s="191">
        <f t="shared" si="13"/>
        <v>42693.858890936535</v>
      </c>
      <c r="H25" s="191">
        <f t="shared" si="13"/>
        <v>42693.858890936535</v>
      </c>
      <c r="I25" s="191">
        <f t="shared" si="13"/>
        <v>42693.858890936535</v>
      </c>
      <c r="J25" s="191">
        <f t="shared" si="13"/>
        <v>42693.858890936535</v>
      </c>
      <c r="K25" s="191">
        <f t="shared" si="13"/>
        <v>42693.858890936535</v>
      </c>
      <c r="L25" s="191">
        <f t="shared" si="13"/>
        <v>42693.858890936535</v>
      </c>
      <c r="M25" s="191">
        <f t="shared" si="13"/>
        <v>42693.858890936535</v>
      </c>
      <c r="N25" s="191">
        <f t="shared" si="13"/>
        <v>42693.858890936535</v>
      </c>
      <c r="O25" s="191">
        <f t="shared" si="13"/>
        <v>42693.858890936535</v>
      </c>
      <c r="P25" s="191">
        <f t="shared" si="13"/>
        <v>42693.858890936535</v>
      </c>
      <c r="Q25" s="191">
        <f t="shared" si="13"/>
        <v>42693.858890936535</v>
      </c>
      <c r="R25" s="191">
        <f t="shared" si="13"/>
        <v>42693.858890936535</v>
      </c>
      <c r="S25" s="191">
        <f t="shared" si="13"/>
        <v>42693.858890936535</v>
      </c>
      <c r="T25" s="191">
        <f t="shared" si="13"/>
        <v>42693.858890936535</v>
      </c>
      <c r="U25" s="191">
        <f t="shared" si="13"/>
        <v>42693.858890936535</v>
      </c>
      <c r="V25" s="191">
        <f t="shared" si="13"/>
        <v>42693.858890936535</v>
      </c>
      <c r="W25" s="191">
        <f t="shared" si="13"/>
        <v>42693.858890936535</v>
      </c>
      <c r="X25" s="191">
        <f t="shared" si="13"/>
        <v>42693.858890936535</v>
      </c>
      <c r="Y25" s="191">
        <f t="shared" si="13"/>
        <v>42693.858890936535</v>
      </c>
      <c r="Z25" s="191">
        <f t="shared" si="13"/>
        <v>42693.858890936535</v>
      </c>
      <c r="AA25" s="191">
        <f t="shared" si="13"/>
        <v>42693.858890936535</v>
      </c>
      <c r="AB25" s="191">
        <f t="shared" si="13"/>
        <v>42693.858890936535</v>
      </c>
      <c r="AC25" s="191">
        <f t="shared" si="13"/>
        <v>42693.858890936535</v>
      </c>
      <c r="AD25" s="191">
        <f t="shared" si="13"/>
        <v>42693.858890936535</v>
      </c>
      <c r="AE25" s="191">
        <f t="shared" si="13"/>
        <v>42693.858890936535</v>
      </c>
      <c r="AF25" s="191">
        <f t="shared" si="13"/>
        <v>42693.858890936535</v>
      </c>
      <c r="AG25" s="191">
        <f t="shared" si="13"/>
        <v>42693.858890936535</v>
      </c>
      <c r="AM25" s="193"/>
      <c r="BD25" s="192"/>
      <c r="BE25" s="192"/>
      <c r="BF25" s="192"/>
      <c r="BG25" s="192"/>
      <c r="BH25" s="192"/>
      <c r="BI25" s="192"/>
      <c r="BJ25" s="192"/>
      <c r="BK25" s="192"/>
      <c r="BL25" s="192"/>
    </row>
    <row r="26" spans="1:64" outlineLevel="1">
      <c r="A26" t="s">
        <v>1354</v>
      </c>
      <c r="B26" s="51" t="s">
        <v>1399</v>
      </c>
      <c r="C26" s="191">
        <f t="shared" si="13"/>
        <v>23183.899679933551</v>
      </c>
      <c r="D26" s="191">
        <f t="shared" si="13"/>
        <v>23183.899679933551</v>
      </c>
      <c r="E26" s="191">
        <f t="shared" si="13"/>
        <v>23183.899679933551</v>
      </c>
      <c r="F26" s="191">
        <f t="shared" si="13"/>
        <v>23183.899679933551</v>
      </c>
      <c r="G26" s="191">
        <f t="shared" si="13"/>
        <v>23183.899679933551</v>
      </c>
      <c r="H26" s="191">
        <f t="shared" si="13"/>
        <v>23183.899679933551</v>
      </c>
      <c r="I26" s="191">
        <f t="shared" si="13"/>
        <v>23183.899679933551</v>
      </c>
      <c r="J26" s="191">
        <f t="shared" si="13"/>
        <v>23183.899679933551</v>
      </c>
      <c r="K26" s="191">
        <f t="shared" si="13"/>
        <v>23183.899679933551</v>
      </c>
      <c r="L26" s="191">
        <f t="shared" si="13"/>
        <v>23183.899679933551</v>
      </c>
      <c r="M26" s="191">
        <f t="shared" si="13"/>
        <v>23183.899679933551</v>
      </c>
      <c r="N26" s="191">
        <f t="shared" si="13"/>
        <v>23183.899679933551</v>
      </c>
      <c r="O26" s="191">
        <f t="shared" si="13"/>
        <v>23183.899679933551</v>
      </c>
      <c r="P26" s="191">
        <f t="shared" si="13"/>
        <v>23183.899679933551</v>
      </c>
      <c r="Q26" s="191">
        <f t="shared" si="13"/>
        <v>23183.899679933551</v>
      </c>
      <c r="R26" s="191">
        <f t="shared" si="13"/>
        <v>23183.899679933551</v>
      </c>
      <c r="S26" s="191">
        <f t="shared" si="13"/>
        <v>23183.899679933551</v>
      </c>
      <c r="T26" s="191">
        <f t="shared" si="13"/>
        <v>23183.899679933551</v>
      </c>
      <c r="U26" s="191">
        <f t="shared" si="13"/>
        <v>23183.899679933551</v>
      </c>
      <c r="V26" s="191">
        <f t="shared" si="13"/>
        <v>23183.899679933551</v>
      </c>
      <c r="W26" s="191">
        <f t="shared" si="13"/>
        <v>23183.899679933551</v>
      </c>
      <c r="X26" s="191">
        <f t="shared" si="13"/>
        <v>23183.899679933551</v>
      </c>
      <c r="Y26" s="191">
        <f t="shared" si="13"/>
        <v>23183.899679933551</v>
      </c>
      <c r="Z26" s="191">
        <f t="shared" si="13"/>
        <v>23183.899679933551</v>
      </c>
      <c r="AA26" s="191">
        <f t="shared" si="13"/>
        <v>23183.899679933551</v>
      </c>
      <c r="AB26" s="191">
        <f t="shared" si="13"/>
        <v>23183.899679933551</v>
      </c>
      <c r="AC26" s="191">
        <f t="shared" si="13"/>
        <v>23183.899679933551</v>
      </c>
      <c r="AD26" s="191">
        <f t="shared" si="13"/>
        <v>23183.899679933551</v>
      </c>
      <c r="AE26" s="191">
        <f t="shared" si="13"/>
        <v>23183.899679933551</v>
      </c>
      <c r="AF26" s="191">
        <f t="shared" si="13"/>
        <v>23183.899679933551</v>
      </c>
      <c r="AG26" s="191">
        <f t="shared" si="13"/>
        <v>23183.899679933551</v>
      </c>
      <c r="BD26" s="192"/>
      <c r="BE26" s="192"/>
      <c r="BF26" s="192"/>
      <c r="BG26" s="192"/>
      <c r="BH26" s="192"/>
      <c r="BI26" s="192"/>
      <c r="BJ26" s="192"/>
      <c r="BK26" s="192"/>
      <c r="BL26" s="192"/>
    </row>
    <row r="27" spans="1:64" outlineLevel="1">
      <c r="A27" t="s">
        <v>1355</v>
      </c>
      <c r="B27" s="51" t="s">
        <v>1399</v>
      </c>
      <c r="C27" s="191">
        <f t="shared" si="13"/>
        <v>292645.58593913133</v>
      </c>
      <c r="D27" s="191">
        <f t="shared" si="13"/>
        <v>292645.58593913133</v>
      </c>
      <c r="E27" s="191">
        <f t="shared" si="13"/>
        <v>292645.58593913133</v>
      </c>
      <c r="F27" s="191">
        <f t="shared" si="13"/>
        <v>292645.58593913133</v>
      </c>
      <c r="G27" s="191">
        <f t="shared" si="13"/>
        <v>292645.58593913133</v>
      </c>
      <c r="H27" s="191">
        <f t="shared" si="13"/>
        <v>292645.58593913133</v>
      </c>
      <c r="I27" s="191">
        <f t="shared" si="13"/>
        <v>292645.58593913133</v>
      </c>
      <c r="J27" s="191">
        <f t="shared" si="13"/>
        <v>292645.58593913133</v>
      </c>
      <c r="K27" s="191">
        <f t="shared" si="13"/>
        <v>292645.58593913133</v>
      </c>
      <c r="L27" s="191">
        <f t="shared" si="13"/>
        <v>292645.58593913133</v>
      </c>
      <c r="M27" s="191">
        <f t="shared" si="13"/>
        <v>292645.58593913133</v>
      </c>
      <c r="N27" s="191">
        <f t="shared" si="13"/>
        <v>292645.58593913133</v>
      </c>
      <c r="O27" s="191">
        <f t="shared" si="13"/>
        <v>292645.58593913133</v>
      </c>
      <c r="P27" s="191">
        <f t="shared" si="13"/>
        <v>292645.58593913133</v>
      </c>
      <c r="Q27" s="191">
        <f t="shared" si="13"/>
        <v>292645.58593913133</v>
      </c>
      <c r="R27" s="191">
        <f t="shared" si="13"/>
        <v>292645.58593913133</v>
      </c>
      <c r="S27" s="191">
        <f t="shared" si="13"/>
        <v>292645.58593913133</v>
      </c>
      <c r="T27" s="191">
        <f t="shared" si="13"/>
        <v>292645.58593913133</v>
      </c>
      <c r="U27" s="191">
        <f t="shared" si="13"/>
        <v>292645.58593913133</v>
      </c>
      <c r="V27" s="191">
        <f t="shared" si="13"/>
        <v>292645.58593913133</v>
      </c>
      <c r="W27" s="191">
        <f t="shared" si="13"/>
        <v>292645.58593913133</v>
      </c>
      <c r="X27" s="191">
        <f t="shared" si="13"/>
        <v>292645.58593913133</v>
      </c>
      <c r="Y27" s="191">
        <f t="shared" si="13"/>
        <v>292645.58593913133</v>
      </c>
      <c r="Z27" s="191">
        <f t="shared" si="13"/>
        <v>292645.58593913133</v>
      </c>
      <c r="AA27" s="191">
        <f t="shared" si="13"/>
        <v>292645.58593913133</v>
      </c>
      <c r="AB27" s="191">
        <f t="shared" si="13"/>
        <v>292645.58593913133</v>
      </c>
      <c r="AC27" s="191">
        <f t="shared" si="13"/>
        <v>292645.58593913133</v>
      </c>
      <c r="AD27" s="191">
        <f t="shared" si="13"/>
        <v>292645.58593913133</v>
      </c>
      <c r="AE27" s="191">
        <f t="shared" si="13"/>
        <v>292645.58593913133</v>
      </c>
      <c r="AF27" s="191">
        <f t="shared" si="13"/>
        <v>292645.58593913133</v>
      </c>
      <c r="AG27" s="191">
        <f t="shared" si="13"/>
        <v>292645.58593913133</v>
      </c>
      <c r="BD27" s="192"/>
      <c r="BE27" s="192"/>
      <c r="BF27" s="192"/>
      <c r="BG27" s="192"/>
      <c r="BH27" s="192"/>
      <c r="BI27" s="192"/>
      <c r="BJ27" s="192"/>
      <c r="BK27" s="192"/>
      <c r="BL27" s="192"/>
    </row>
    <row r="28" spans="1:64" outlineLevel="1">
      <c r="A28" s="169" t="s">
        <v>1356</v>
      </c>
      <c r="B28" s="165" t="s">
        <v>1399</v>
      </c>
      <c r="C28" s="191">
        <f t="shared" si="13"/>
        <v>277017.74804804276</v>
      </c>
      <c r="D28" s="191">
        <f t="shared" si="13"/>
        <v>277017.74804804276</v>
      </c>
      <c r="E28" s="191">
        <f t="shared" si="13"/>
        <v>277017.74804804276</v>
      </c>
      <c r="F28" s="191">
        <f t="shared" si="13"/>
        <v>277017.74804804276</v>
      </c>
      <c r="G28" s="191">
        <f t="shared" si="13"/>
        <v>277017.74804804276</v>
      </c>
      <c r="H28" s="191">
        <f t="shared" si="13"/>
        <v>277017.74804804276</v>
      </c>
      <c r="I28" s="191">
        <f t="shared" si="13"/>
        <v>277017.74804804276</v>
      </c>
      <c r="J28" s="191">
        <f t="shared" si="13"/>
        <v>277017.74804804276</v>
      </c>
      <c r="K28" s="191">
        <f t="shared" si="13"/>
        <v>277017.74804804276</v>
      </c>
      <c r="L28" s="191">
        <f t="shared" si="13"/>
        <v>277017.74804804276</v>
      </c>
      <c r="M28" s="191">
        <f t="shared" si="13"/>
        <v>277017.74804804276</v>
      </c>
      <c r="N28" s="191">
        <f t="shared" si="13"/>
        <v>277017.74804804276</v>
      </c>
      <c r="O28" s="191">
        <f t="shared" si="13"/>
        <v>277017.74804804276</v>
      </c>
      <c r="P28" s="191">
        <f t="shared" si="13"/>
        <v>277017.74804804276</v>
      </c>
      <c r="Q28" s="191">
        <f t="shared" si="13"/>
        <v>277017.74804804276</v>
      </c>
      <c r="R28" s="191">
        <f t="shared" si="13"/>
        <v>277017.74804804276</v>
      </c>
      <c r="S28" s="191">
        <f t="shared" si="13"/>
        <v>277017.74804804276</v>
      </c>
      <c r="T28" s="191">
        <f t="shared" si="13"/>
        <v>277017.74804804276</v>
      </c>
      <c r="U28" s="191">
        <f t="shared" si="13"/>
        <v>277017.74804804276</v>
      </c>
      <c r="V28" s="191">
        <f t="shared" si="13"/>
        <v>277017.74804804276</v>
      </c>
      <c r="W28" s="191">
        <f t="shared" si="13"/>
        <v>277017.74804804276</v>
      </c>
      <c r="X28" s="191">
        <f t="shared" si="13"/>
        <v>277017.74804804276</v>
      </c>
      <c r="Y28" s="191">
        <f t="shared" si="13"/>
        <v>277017.74804804276</v>
      </c>
      <c r="Z28" s="191">
        <f t="shared" si="13"/>
        <v>277017.74804804276</v>
      </c>
      <c r="AA28" s="191">
        <f t="shared" si="13"/>
        <v>277017.74804804276</v>
      </c>
      <c r="AB28" s="191">
        <f t="shared" si="13"/>
        <v>277017.74804804276</v>
      </c>
      <c r="AC28" s="191">
        <f t="shared" si="13"/>
        <v>277017.74804804276</v>
      </c>
      <c r="AD28" s="191">
        <f t="shared" si="13"/>
        <v>277017.74804804276</v>
      </c>
      <c r="AE28" s="191">
        <f t="shared" si="13"/>
        <v>277017.74804804276</v>
      </c>
      <c r="AF28" s="191">
        <f t="shared" si="13"/>
        <v>277017.74804804276</v>
      </c>
      <c r="AG28" s="191">
        <f t="shared" si="13"/>
        <v>277017.74804804276</v>
      </c>
      <c r="AL28" s="102"/>
      <c r="AM28" s="194"/>
      <c r="AN28" s="194"/>
      <c r="AO28" s="194"/>
    </row>
    <row r="29" spans="1:64" s="1" customFormat="1" ht="15.5" thickBot="1">
      <c r="A29" s="187" t="s">
        <v>1357</v>
      </c>
      <c r="B29" s="206" t="s">
        <v>1399</v>
      </c>
      <c r="C29" s="203">
        <f>SUM(C24:C28)</f>
        <v>1096194.5752629088</v>
      </c>
      <c r="D29" s="203">
        <f t="shared" ref="D29:AG29" si="14">SUM(D24:D28)</f>
        <v>1096194.5752629088</v>
      </c>
      <c r="E29" s="203">
        <f t="shared" si="14"/>
        <v>1096194.5752629088</v>
      </c>
      <c r="F29" s="203">
        <f t="shared" si="14"/>
        <v>1096194.5752629088</v>
      </c>
      <c r="G29" s="203">
        <f t="shared" si="14"/>
        <v>1096194.5752629088</v>
      </c>
      <c r="H29" s="203">
        <f t="shared" si="14"/>
        <v>1096194.5752629088</v>
      </c>
      <c r="I29" s="203">
        <f t="shared" si="14"/>
        <v>1096194.5752629088</v>
      </c>
      <c r="J29" s="203">
        <f t="shared" si="14"/>
        <v>1096194.5752629088</v>
      </c>
      <c r="K29" s="203">
        <f t="shared" si="14"/>
        <v>1096194.5752629088</v>
      </c>
      <c r="L29" s="203">
        <f t="shared" si="14"/>
        <v>1096194.5752629088</v>
      </c>
      <c r="M29" s="203">
        <f t="shared" si="14"/>
        <v>1096194.5752629088</v>
      </c>
      <c r="N29" s="203">
        <f t="shared" si="14"/>
        <v>1096194.5752629088</v>
      </c>
      <c r="O29" s="203">
        <f t="shared" si="14"/>
        <v>1096194.5752629088</v>
      </c>
      <c r="P29" s="203">
        <f t="shared" si="14"/>
        <v>1096194.5752629088</v>
      </c>
      <c r="Q29" s="203">
        <f t="shared" si="14"/>
        <v>1096194.5752629088</v>
      </c>
      <c r="R29" s="203">
        <f t="shared" si="14"/>
        <v>1096194.5752629088</v>
      </c>
      <c r="S29" s="203">
        <f t="shared" si="14"/>
        <v>1096194.5752629088</v>
      </c>
      <c r="T29" s="203">
        <f t="shared" si="14"/>
        <v>1096194.5752629088</v>
      </c>
      <c r="U29" s="203">
        <f t="shared" si="14"/>
        <v>1096194.5752629088</v>
      </c>
      <c r="V29" s="203">
        <f t="shared" si="14"/>
        <v>1096194.5752629088</v>
      </c>
      <c r="W29" s="203">
        <f t="shared" si="14"/>
        <v>1096194.5752629088</v>
      </c>
      <c r="X29" s="203">
        <f t="shared" si="14"/>
        <v>1096194.5752629088</v>
      </c>
      <c r="Y29" s="203">
        <f t="shared" si="14"/>
        <v>1096194.5752629088</v>
      </c>
      <c r="Z29" s="203">
        <f t="shared" si="14"/>
        <v>1096194.5752629088</v>
      </c>
      <c r="AA29" s="203">
        <f t="shared" si="14"/>
        <v>1096194.5752629088</v>
      </c>
      <c r="AB29" s="203">
        <f t="shared" si="14"/>
        <v>1096194.5752629088</v>
      </c>
      <c r="AC29" s="203">
        <f t="shared" si="14"/>
        <v>1096194.5752629088</v>
      </c>
      <c r="AD29" s="203">
        <f t="shared" si="14"/>
        <v>1096194.5752629088</v>
      </c>
      <c r="AE29" s="203">
        <f t="shared" si="14"/>
        <v>1096194.5752629088</v>
      </c>
      <c r="AF29" s="203">
        <f t="shared" si="14"/>
        <v>1096194.5752629088</v>
      </c>
      <c r="AG29" s="203">
        <f t="shared" si="14"/>
        <v>1096194.5752629088</v>
      </c>
      <c r="AJ29" s="151"/>
      <c r="AL29" s="207"/>
      <c r="AM29" s="118"/>
      <c r="AN29" s="118"/>
      <c r="AO29" s="118"/>
    </row>
    <row r="30" spans="1:64" ht="15.5" outlineLevel="1" thickTop="1">
      <c r="AL30" s="102"/>
      <c r="AM30" s="2"/>
      <c r="AN30" s="2"/>
      <c r="AO30" s="2"/>
    </row>
    <row r="31" spans="1:64" outlineLevel="1">
      <c r="A31" t="s">
        <v>1358</v>
      </c>
      <c r="B31" s="165" t="s">
        <v>1399</v>
      </c>
      <c r="C31" s="101">
        <f>C29</f>
        <v>1096194.5752629088</v>
      </c>
      <c r="D31" s="101">
        <f t="shared" ref="D31:AG31" si="15">D29</f>
        <v>1096194.5752629088</v>
      </c>
      <c r="E31" s="101">
        <f t="shared" si="15"/>
        <v>1096194.5752629088</v>
      </c>
      <c r="F31" s="101">
        <f t="shared" si="15"/>
        <v>1096194.5752629088</v>
      </c>
      <c r="G31" s="101">
        <f t="shared" si="15"/>
        <v>1096194.5752629088</v>
      </c>
      <c r="H31" s="101">
        <f t="shared" si="15"/>
        <v>1096194.5752629088</v>
      </c>
      <c r="I31" s="101">
        <f t="shared" si="15"/>
        <v>1096194.5752629088</v>
      </c>
      <c r="J31" s="101">
        <f t="shared" si="15"/>
        <v>1096194.5752629088</v>
      </c>
      <c r="K31" s="101">
        <f t="shared" si="15"/>
        <v>1096194.5752629088</v>
      </c>
      <c r="L31" s="101">
        <f t="shared" si="15"/>
        <v>1096194.5752629088</v>
      </c>
      <c r="M31" s="101">
        <f t="shared" si="15"/>
        <v>1096194.5752629088</v>
      </c>
      <c r="N31" s="101">
        <f t="shared" si="15"/>
        <v>1096194.5752629088</v>
      </c>
      <c r="O31" s="101">
        <f t="shared" si="15"/>
        <v>1096194.5752629088</v>
      </c>
      <c r="P31" s="101">
        <f t="shared" si="15"/>
        <v>1096194.5752629088</v>
      </c>
      <c r="Q31" s="101">
        <f t="shared" si="15"/>
        <v>1096194.5752629088</v>
      </c>
      <c r="R31" s="101">
        <f t="shared" si="15"/>
        <v>1096194.5752629088</v>
      </c>
      <c r="S31" s="101">
        <f t="shared" si="15"/>
        <v>1096194.5752629088</v>
      </c>
      <c r="T31" s="101">
        <f t="shared" si="15"/>
        <v>1096194.5752629088</v>
      </c>
      <c r="U31" s="101">
        <f t="shared" si="15"/>
        <v>1096194.5752629088</v>
      </c>
      <c r="V31" s="101">
        <f t="shared" si="15"/>
        <v>1096194.5752629088</v>
      </c>
      <c r="W31" s="101">
        <f t="shared" si="15"/>
        <v>1096194.5752629088</v>
      </c>
      <c r="X31" s="101">
        <f t="shared" si="15"/>
        <v>1096194.5752629088</v>
      </c>
      <c r="Y31" s="101">
        <f t="shared" si="15"/>
        <v>1096194.5752629088</v>
      </c>
      <c r="Z31" s="101">
        <f t="shared" si="15"/>
        <v>1096194.5752629088</v>
      </c>
      <c r="AA31" s="101">
        <f t="shared" si="15"/>
        <v>1096194.5752629088</v>
      </c>
      <c r="AB31" s="101">
        <f t="shared" si="15"/>
        <v>1096194.5752629088</v>
      </c>
      <c r="AC31" s="101">
        <f t="shared" si="15"/>
        <v>1096194.5752629088</v>
      </c>
      <c r="AD31" s="101">
        <f t="shared" si="15"/>
        <v>1096194.5752629088</v>
      </c>
      <c r="AE31" s="101">
        <f t="shared" si="15"/>
        <v>1096194.5752629088</v>
      </c>
      <c r="AF31" s="101">
        <f t="shared" si="15"/>
        <v>1096194.5752629088</v>
      </c>
      <c r="AG31" s="101">
        <f t="shared" si="15"/>
        <v>1096194.5752629088</v>
      </c>
      <c r="AL31" s="102"/>
      <c r="AM31" s="2"/>
      <c r="AN31" s="2"/>
      <c r="AO31" s="2"/>
    </row>
    <row r="32" spans="1:64" outlineLevel="1">
      <c r="AL32" s="102"/>
      <c r="AM32" s="2"/>
      <c r="AN32" s="2"/>
      <c r="AO32" s="2"/>
    </row>
    <row r="33" spans="1:64" outlineLevel="1">
      <c r="A33" t="s">
        <v>1359</v>
      </c>
      <c r="B33" s="51" t="s">
        <v>126</v>
      </c>
      <c r="C33" s="192">
        <f>'Yearly BTX'!D34/'Yearly BTX'!D27</f>
        <v>1</v>
      </c>
      <c r="D33" s="192">
        <f>'Yearly BTX'!E34/'Yearly BTX'!E27</f>
        <v>0.99068662253937534</v>
      </c>
      <c r="E33" s="192">
        <f>'Yearly BTX'!F34/'Yearly BTX'!F27</f>
        <v>0.97635914414589975</v>
      </c>
      <c r="F33" s="192">
        <f>'Yearly BTX'!G34/'Yearly BTX'!G27</f>
        <v>0.96453871621884968</v>
      </c>
      <c r="G33" s="192">
        <f>'Yearly BTX'!H34/'Yearly BTX'!H27</f>
        <v>0.95271828829179972</v>
      </c>
      <c r="H33" s="192">
        <f>'Yearly BTX'!I34/'Yearly BTX'!I27</f>
        <v>0.94089786036474954</v>
      </c>
      <c r="I33" s="192">
        <f>'Yearly BTX'!J34/'Yearly BTX'!J27</f>
        <v>0.92907743243769936</v>
      </c>
      <c r="J33" s="192">
        <f>'Yearly BTX'!K34/'Yearly BTX'!K27</f>
        <v>0.91725700451064929</v>
      </c>
      <c r="K33" s="192">
        <f>'Yearly BTX'!L34/'Yearly BTX'!L27</f>
        <v>0.90543657658359922</v>
      </c>
      <c r="L33" s="192">
        <f>'Yearly BTX'!M34/'Yearly BTX'!M27</f>
        <v>0.89361614865654915</v>
      </c>
      <c r="M33" s="192">
        <f>'Yearly BTX'!N34/'Yearly BTX'!N27</f>
        <v>0.88179572072949908</v>
      </c>
      <c r="N33" s="192">
        <f>'Yearly BTX'!O34/'Yearly BTX'!O27</f>
        <v>0.85574546889880154</v>
      </c>
      <c r="O33" s="192">
        <f>'Yearly BTX'!P34/'Yearly BTX'!P27</f>
        <v>0.82969521706810412</v>
      </c>
      <c r="P33" s="192">
        <f>'Yearly BTX'!Q34/'Yearly BTX'!Q27</f>
        <v>0.80364496523740647</v>
      </c>
      <c r="Q33" s="192">
        <f>'Yearly BTX'!R34/'Yearly BTX'!R27</f>
        <v>0.77759471340670916</v>
      </c>
      <c r="R33" s="192">
        <f>'Yearly BTX'!S34/'Yearly BTX'!S27</f>
        <v>0.75154446157601162</v>
      </c>
      <c r="S33" s="192">
        <f>'Yearly BTX'!T34/'Yearly BTX'!T27</f>
        <v>0.7254942097453142</v>
      </c>
      <c r="T33" s="192">
        <f>'Yearly BTX'!U34/'Yearly BTX'!U27</f>
        <v>0.69944395791461655</v>
      </c>
      <c r="U33" s="192">
        <f>'Yearly BTX'!V34/'Yearly BTX'!V27</f>
        <v>0.67339370608391913</v>
      </c>
      <c r="V33" s="192">
        <f>'Yearly BTX'!W34/'Yearly BTX'!W27</f>
        <v>0.64734345425322148</v>
      </c>
      <c r="W33" s="192">
        <f>'Yearly BTX'!X34/'Yearly BTX'!X27</f>
        <v>0.62129320242252417</v>
      </c>
      <c r="X33" s="192">
        <f>'Yearly BTX'!Y34/'Yearly BTX'!Y27</f>
        <v>0.59481788015775161</v>
      </c>
      <c r="Y33" s="192">
        <f>'Yearly BTX'!Z34/'Yearly BTX'!Z27</f>
        <v>0.56834255789297927</v>
      </c>
      <c r="Z33" s="192">
        <f>'Yearly BTX'!AA34/'Yearly BTX'!AA27</f>
        <v>0.54186723562820671</v>
      </c>
      <c r="AA33" s="192">
        <f>'Yearly BTX'!AB34/'Yearly BTX'!AB27</f>
        <v>0.51539191336343437</v>
      </c>
      <c r="AB33" s="192">
        <f>'Yearly BTX'!AC34/'Yearly BTX'!AC27</f>
        <v>0.4889165910986617</v>
      </c>
      <c r="AC33" s="192">
        <f>'Yearly BTX'!AD34/'Yearly BTX'!AD27</f>
        <v>0.46244126883388925</v>
      </c>
      <c r="AD33" s="192">
        <f>'Yearly BTX'!AE34/'Yearly BTX'!AE27</f>
        <v>0.43596594656911686</v>
      </c>
      <c r="AE33" s="192">
        <f>'Yearly BTX'!AF34/'Yearly BTX'!AF27</f>
        <v>0.40949062430434446</v>
      </c>
      <c r="AF33" s="192">
        <f>'Yearly BTX'!AG34/'Yearly BTX'!AG27</f>
        <v>0.3830153020395719</v>
      </c>
      <c r="AG33" s="192">
        <f>'Yearly BTX'!AH34/'Yearly BTX'!AH27</f>
        <v>0.35653997977479945</v>
      </c>
      <c r="AL33" s="102"/>
      <c r="AM33" s="194"/>
      <c r="AN33" s="194"/>
      <c r="AO33" s="194"/>
      <c r="BC33" s="1"/>
      <c r="BD33" s="550"/>
      <c r="BE33" s="550"/>
      <c r="BF33" s="550"/>
      <c r="BG33" s="550"/>
      <c r="BH33" s="550"/>
      <c r="BI33" s="550"/>
      <c r="BJ33" s="550"/>
      <c r="BK33" s="550"/>
    </row>
    <row r="34" spans="1:64" outlineLevel="1">
      <c r="A34" t="s">
        <v>1360</v>
      </c>
      <c r="B34" s="51" t="s">
        <v>126</v>
      </c>
      <c r="C34" s="192">
        <f>'Yearly BTX'!D23/'Yearly BTX'!D16</f>
        <v>1</v>
      </c>
      <c r="D34" s="192">
        <f>'Yearly BTX'!E23/'Yearly BTX'!E16</f>
        <v>0.99658920000000006</v>
      </c>
      <c r="E34" s="192">
        <f>'Yearly BTX'!F23/'Yearly BTX'!F16</f>
        <v>0.99315679999999995</v>
      </c>
      <c r="F34" s="192">
        <f>'Yearly BTX'!G23/'Yearly BTX'!G16</f>
        <v>0.98970279999999999</v>
      </c>
      <c r="G34" s="192">
        <f>'Yearly BTX'!H23/'Yearly BTX'!H16</f>
        <v>0.98622719999999997</v>
      </c>
      <c r="H34" s="192">
        <f>'Yearly BTX'!I23/'Yearly BTX'!I16</f>
        <v>0.9827300000000001</v>
      </c>
      <c r="I34" s="192">
        <f>'Yearly BTX'!J23/'Yearly BTX'!J16</f>
        <v>0.97921120000000006</v>
      </c>
      <c r="J34" s="192">
        <f>'Yearly BTX'!K23/'Yearly BTX'!K16</f>
        <v>0.97567079999999995</v>
      </c>
      <c r="K34" s="192">
        <f>'Yearly BTX'!L23/'Yearly BTX'!L16</f>
        <v>0.97210880000000011</v>
      </c>
      <c r="L34" s="192">
        <f>'Yearly BTX'!M23/'Yearly BTX'!M16</f>
        <v>0.9685252000000002</v>
      </c>
      <c r="M34" s="192">
        <f>'Yearly BTX'!N23/'Yearly BTX'!N16</f>
        <v>0.96492</v>
      </c>
      <c r="N34" s="192">
        <f>'Yearly BTX'!O23/'Yearly BTX'!O16</f>
        <v>0.95304500000000014</v>
      </c>
      <c r="O34" s="192">
        <f>'Yearly BTX'!P23/'Yearly BTX'!P16</f>
        <v>0.94100799999999996</v>
      </c>
      <c r="P34" s="192">
        <f>'Yearly BTX'!Q23/'Yearly BTX'!Q16</f>
        <v>0.928809</v>
      </c>
      <c r="Q34" s="192">
        <f>'Yearly BTX'!R23/'Yearly BTX'!R16</f>
        <v>0.91644799999999982</v>
      </c>
      <c r="R34" s="192">
        <f>'Yearly BTX'!S23/'Yearly BTX'!S16</f>
        <v>0.90392499999999998</v>
      </c>
      <c r="S34" s="192">
        <f>'Yearly BTX'!T23/'Yearly BTX'!T16</f>
        <v>0.89124000000000003</v>
      </c>
      <c r="T34" s="192">
        <f>'Yearly BTX'!U23/'Yearly BTX'!U16</f>
        <v>0.87839299999999998</v>
      </c>
      <c r="U34" s="192">
        <f>'Yearly BTX'!V23/'Yearly BTX'!V16</f>
        <v>0.86538399999999993</v>
      </c>
      <c r="V34" s="192">
        <f>'Yearly BTX'!W23/'Yearly BTX'!W16</f>
        <v>0.852213</v>
      </c>
      <c r="W34" s="192">
        <f>'Yearly BTX'!X23/'Yearly BTX'!X16</f>
        <v>0.83887999999999996</v>
      </c>
      <c r="X34" s="192">
        <f>'Yearly BTX'!Y23/'Yearly BTX'!Y16</f>
        <v>0.80646680000000004</v>
      </c>
      <c r="Y34" s="192">
        <f>'Yearly BTX'!Z23/'Yearly BTX'!Z16</f>
        <v>0.77385920000000008</v>
      </c>
      <c r="Z34" s="192">
        <f>'Yearly BTX'!AA23/'Yearly BTX'!AA16</f>
        <v>0.74105720000000008</v>
      </c>
      <c r="AA34" s="192">
        <f>'Yearly BTX'!AB23/'Yearly BTX'!AB16</f>
        <v>0.70806080000000005</v>
      </c>
      <c r="AB34" s="192">
        <f>'Yearly BTX'!AC23/'Yearly BTX'!AC16</f>
        <v>0.67486999999999997</v>
      </c>
      <c r="AC34" s="192">
        <f>'Yearly BTX'!AD23/'Yearly BTX'!AD16</f>
        <v>0.64148479999999986</v>
      </c>
      <c r="AD34" s="192">
        <f>'Yearly BTX'!AE23/'Yearly BTX'!AE16</f>
        <v>0.60790519999999992</v>
      </c>
      <c r="AE34" s="192">
        <f>'Yearly BTX'!AF23/'Yearly BTX'!AF16</f>
        <v>0.57413119999999995</v>
      </c>
      <c r="AF34" s="192">
        <f>'Yearly BTX'!AG23/'Yearly BTX'!AG16</f>
        <v>0.54016279999999994</v>
      </c>
      <c r="AG34" s="192">
        <f>'Yearly BTX'!AH23/'Yearly BTX'!AH16</f>
        <v>0.50600000000000001</v>
      </c>
      <c r="AL34" s="102"/>
      <c r="AM34" s="194"/>
      <c r="AN34" s="194"/>
      <c r="AO34" s="194"/>
      <c r="BL34" s="1"/>
    </row>
    <row r="35" spans="1:64" outlineLevel="1">
      <c r="A35" t="s">
        <v>1361</v>
      </c>
      <c r="B35" s="51" t="s">
        <v>126</v>
      </c>
      <c r="C35" s="192">
        <f>'Yearly BTX'!D41/'Yearly BTX'!D38</f>
        <v>1</v>
      </c>
      <c r="D35" s="192">
        <f>'Yearly BTX'!E41/'Yearly BTX'!E38</f>
        <v>0.97593875518672213</v>
      </c>
      <c r="E35" s="192">
        <f>'Yearly BTX'!F41/'Yearly BTX'!F38</f>
        <v>0.95187751037344392</v>
      </c>
      <c r="F35" s="192">
        <f>'Yearly BTX'!G41/'Yearly BTX'!G38</f>
        <v>0.92781626556016594</v>
      </c>
      <c r="G35" s="192">
        <f>'Yearly BTX'!H41/'Yearly BTX'!H38</f>
        <v>0.90375502074688796</v>
      </c>
      <c r="H35" s="192">
        <f>'Yearly BTX'!I41/'Yearly BTX'!I38</f>
        <v>0.87969377593360998</v>
      </c>
      <c r="I35" s="192">
        <f>'Yearly BTX'!J41/'Yearly BTX'!J38</f>
        <v>0.85563253112033189</v>
      </c>
      <c r="J35" s="192">
        <f>'Yearly BTX'!K41/'Yearly BTX'!K38</f>
        <v>0.8315712863070539</v>
      </c>
      <c r="K35" s="192">
        <f>'Yearly BTX'!L41/'Yearly BTX'!L38</f>
        <v>0.80751004149377581</v>
      </c>
      <c r="L35" s="192">
        <f>'Yearly BTX'!M41/'Yearly BTX'!M38</f>
        <v>0.78344879668049783</v>
      </c>
      <c r="M35" s="192">
        <f>'Yearly BTX'!N41/'Yearly BTX'!N38</f>
        <v>0.75938755186721996</v>
      </c>
      <c r="N35" s="192">
        <f>'Yearly BTX'!O41/'Yearly BTX'!O38</f>
        <v>0.73532630705394186</v>
      </c>
      <c r="O35" s="192">
        <f>'Yearly BTX'!P41/'Yearly BTX'!P38</f>
        <v>0.71126506224066399</v>
      </c>
      <c r="P35" s="192">
        <f>'Yearly BTX'!Q41/'Yearly BTX'!Q38</f>
        <v>0.68720381742738579</v>
      </c>
      <c r="Q35" s="192">
        <f>'Yearly BTX'!R41/'Yearly BTX'!R38</f>
        <v>0.66314257261410792</v>
      </c>
      <c r="R35" s="192">
        <f>'Yearly BTX'!S41/'Yearly BTX'!S38</f>
        <v>0.63908132780082982</v>
      </c>
      <c r="S35" s="192">
        <f>'Yearly BTX'!T41/'Yearly BTX'!T38</f>
        <v>0.61502008298755184</v>
      </c>
      <c r="T35" s="192">
        <f>'Yearly BTX'!U41/'Yearly BTX'!U38</f>
        <v>0.59095883817427375</v>
      </c>
      <c r="U35" s="192">
        <f>'Yearly BTX'!V41/'Yearly BTX'!V38</f>
        <v>0.56689759336099588</v>
      </c>
      <c r="V35" s="192">
        <f>'Yearly BTX'!W41/'Yearly BTX'!W38</f>
        <v>0.5428363485477179</v>
      </c>
      <c r="W35" s="192">
        <f>'Yearly BTX'!X41/'Yearly BTX'!X38</f>
        <v>0.51877510373443969</v>
      </c>
      <c r="X35" s="192">
        <f>'Yearly BTX'!Y41/'Yearly BTX'!Y38</f>
        <v>0.49398473029045642</v>
      </c>
      <c r="Y35" s="192">
        <f>'Yearly BTX'!Z41/'Yearly BTX'!Z38</f>
        <v>0.46919435684647298</v>
      </c>
      <c r="Z35" s="192">
        <f>'Yearly BTX'!AA41/'Yearly BTX'!AA38</f>
        <v>0.44440398340248949</v>
      </c>
      <c r="AA35" s="192">
        <f>'Yearly BTX'!AB41/'Yearly BTX'!AB38</f>
        <v>0.41961360995850611</v>
      </c>
      <c r="AB35" s="192">
        <f>'Yearly BTX'!AC41/'Yearly BTX'!AC38</f>
        <v>0.39482323651452267</v>
      </c>
      <c r="AC35" s="192">
        <f>'Yearly BTX'!AD41/'Yearly BTX'!AD38</f>
        <v>0.37003286307053923</v>
      </c>
      <c r="AD35" s="192">
        <f>'Yearly BTX'!AE41/'Yearly BTX'!AE38</f>
        <v>0.34524248962655596</v>
      </c>
      <c r="AE35" s="192">
        <f>'Yearly BTX'!AF41/'Yearly BTX'!AF38</f>
        <v>0.32045211618257258</v>
      </c>
      <c r="AF35" s="192">
        <f>'Yearly BTX'!AG41/'Yearly BTX'!AG38</f>
        <v>0.29566174273858919</v>
      </c>
      <c r="AG35" s="192">
        <f>'Yearly BTX'!AH41/'Yearly BTX'!AH38</f>
        <v>0.2708713692946057</v>
      </c>
      <c r="AL35" s="102"/>
      <c r="AM35" s="194"/>
      <c r="AN35" s="194"/>
      <c r="AO35" s="194"/>
      <c r="BD35" s="38"/>
      <c r="BE35" s="38"/>
      <c r="BF35" s="38"/>
      <c r="BG35" s="38"/>
      <c r="BH35" s="38"/>
      <c r="BI35" s="38"/>
      <c r="BJ35" s="38"/>
      <c r="BK35" s="38"/>
      <c r="BL35" s="112"/>
    </row>
    <row r="36" spans="1:64" outlineLevel="1">
      <c r="A36" t="s">
        <v>1362</v>
      </c>
      <c r="B36" s="51" t="s">
        <v>126</v>
      </c>
      <c r="C36" s="192">
        <f>'Yearly BTX'!D50/'Yearly BTX'!D45</f>
        <v>1</v>
      </c>
      <c r="D36" s="192">
        <f>'Yearly BTX'!E50/'Yearly BTX'!E45</f>
        <v>0.96910000000000007</v>
      </c>
      <c r="E36" s="192">
        <f>'Yearly BTX'!F50/'Yearly BTX'!F45</f>
        <v>0.93820000000000003</v>
      </c>
      <c r="F36" s="192">
        <f>'Yearly BTX'!G50/'Yearly BTX'!G45</f>
        <v>0.90730000000000011</v>
      </c>
      <c r="G36" s="192">
        <f>'Yearly BTX'!H50/'Yearly BTX'!H45</f>
        <v>0.87639999999999996</v>
      </c>
      <c r="H36" s="192">
        <f>'Yearly BTX'!I50/'Yearly BTX'!I45</f>
        <v>0.84549999999999992</v>
      </c>
      <c r="I36" s="192">
        <f>'Yearly BTX'!J50/'Yearly BTX'!J45</f>
        <v>0.81459999999999999</v>
      </c>
      <c r="J36" s="192">
        <f>'Yearly BTX'!K50/'Yearly BTX'!K45</f>
        <v>0.78370000000000006</v>
      </c>
      <c r="K36" s="192">
        <f>'Yearly BTX'!L50/'Yearly BTX'!L45</f>
        <v>0.75280000000000002</v>
      </c>
      <c r="L36" s="192">
        <f>'Yearly BTX'!M50/'Yearly BTX'!M45</f>
        <v>0.72189999999999999</v>
      </c>
      <c r="M36" s="192">
        <f>'Yearly BTX'!N50/'Yearly BTX'!N45</f>
        <v>0.69099999999999995</v>
      </c>
      <c r="N36" s="192">
        <f>'Yearly BTX'!O50/'Yearly BTX'!O45</f>
        <v>0.66920000000000002</v>
      </c>
      <c r="O36" s="192">
        <f>'Yearly BTX'!P50/'Yearly BTX'!P45</f>
        <v>0.64739999999999998</v>
      </c>
      <c r="P36" s="192">
        <f>'Yearly BTX'!Q50/'Yearly BTX'!Q45</f>
        <v>0.62559999999999993</v>
      </c>
      <c r="Q36" s="192">
        <f>'Yearly BTX'!R50/'Yearly BTX'!R45</f>
        <v>0.6038</v>
      </c>
      <c r="R36" s="192">
        <f>'Yearly BTX'!S50/'Yearly BTX'!S45</f>
        <v>0.58199999999999985</v>
      </c>
      <c r="S36" s="192">
        <f>'Yearly BTX'!T50/'Yearly BTX'!T45</f>
        <v>0.56020000000000003</v>
      </c>
      <c r="T36" s="192">
        <f>'Yearly BTX'!U50/'Yearly BTX'!U45</f>
        <v>0.53839999999999999</v>
      </c>
      <c r="U36" s="192">
        <f>'Yearly BTX'!V50/'Yearly BTX'!V45</f>
        <v>0.51659999999999995</v>
      </c>
      <c r="V36" s="192">
        <f>'Yearly BTX'!W50/'Yearly BTX'!W45</f>
        <v>0.49479999999999996</v>
      </c>
      <c r="W36" s="192">
        <f>'Yearly BTX'!X50/'Yearly BTX'!X45</f>
        <v>0.47299999999999998</v>
      </c>
      <c r="X36" s="192">
        <f>'Yearly BTX'!Y50/'Yearly BTX'!Y45</f>
        <v>0.44669999999999993</v>
      </c>
      <c r="Y36" s="192">
        <f>'Yearly BTX'!Z50/'Yearly BTX'!Z45</f>
        <v>0.42039999999999994</v>
      </c>
      <c r="Z36" s="192">
        <f>'Yearly BTX'!AA50/'Yearly BTX'!AA45</f>
        <v>0.39409999999999995</v>
      </c>
      <c r="AA36" s="192">
        <f>'Yearly BTX'!AB50/'Yearly BTX'!AB45</f>
        <v>0.3677999999999999</v>
      </c>
      <c r="AB36" s="192">
        <f>'Yearly BTX'!AC50/'Yearly BTX'!AC45</f>
        <v>0.34149999999999991</v>
      </c>
      <c r="AC36" s="192">
        <f>'Yearly BTX'!AD50/'Yearly BTX'!AD45</f>
        <v>0.31519999999999992</v>
      </c>
      <c r="AD36" s="192">
        <f>'Yearly BTX'!AE50/'Yearly BTX'!AE45</f>
        <v>0.28889999999999999</v>
      </c>
      <c r="AE36" s="192">
        <f>'Yearly BTX'!AF50/'Yearly BTX'!AF45</f>
        <v>0.2626</v>
      </c>
      <c r="AF36" s="192">
        <f>'Yearly BTX'!AG50/'Yearly BTX'!AG45</f>
        <v>0.23629999999999998</v>
      </c>
      <c r="AG36" s="192">
        <f>'Yearly BTX'!AH50/'Yearly BTX'!AH45</f>
        <v>0.21</v>
      </c>
      <c r="AL36" s="102"/>
      <c r="AM36" s="194"/>
      <c r="AN36" s="194"/>
      <c r="AO36" s="194"/>
      <c r="BD36" s="38"/>
      <c r="BE36" s="38"/>
      <c r="BF36" s="38"/>
      <c r="BG36" s="38"/>
      <c r="BH36" s="38"/>
      <c r="BI36" s="38"/>
      <c r="BJ36" s="38"/>
      <c r="BK36" s="38"/>
      <c r="BL36" s="112"/>
    </row>
    <row r="37" spans="1:64" outlineLevel="1">
      <c r="A37" t="s">
        <v>1363</v>
      </c>
      <c r="B37" s="165" t="s">
        <v>126</v>
      </c>
      <c r="C37" s="148">
        <f>'Yearly BTX'!D57/'Yearly BTX'!D54</f>
        <v>1</v>
      </c>
      <c r="D37" s="148">
        <f>'Yearly BTX'!E57/'Yearly BTX'!E54</f>
        <v>0.99339999999999995</v>
      </c>
      <c r="E37" s="148">
        <f>'Yearly BTX'!F57/'Yearly BTX'!F54</f>
        <v>0.98680000000000001</v>
      </c>
      <c r="F37" s="148">
        <f>'Yearly BTX'!G57/'Yearly BTX'!G54</f>
        <v>0.98019999999999996</v>
      </c>
      <c r="G37" s="148">
        <f>'Yearly BTX'!H57/'Yearly BTX'!H54</f>
        <v>0.97360000000000013</v>
      </c>
      <c r="H37" s="148">
        <f>'Yearly BTX'!I57/'Yearly BTX'!I54</f>
        <v>0.96700000000000008</v>
      </c>
      <c r="I37" s="148">
        <f>'Yearly BTX'!J57/'Yearly BTX'!J54</f>
        <v>0.96040000000000003</v>
      </c>
      <c r="J37" s="148">
        <f>'Yearly BTX'!K57/'Yearly BTX'!K54</f>
        <v>0.95380000000000009</v>
      </c>
      <c r="K37" s="148">
        <f>'Yearly BTX'!L57/'Yearly BTX'!L54</f>
        <v>0.94719999999999993</v>
      </c>
      <c r="L37" s="148">
        <f>'Yearly BTX'!M57/'Yearly BTX'!M54</f>
        <v>0.94059999999999999</v>
      </c>
      <c r="M37" s="148">
        <f>'Yearly BTX'!N57/'Yearly BTX'!N54</f>
        <v>0.93399999999999994</v>
      </c>
      <c r="N37" s="148">
        <f>'Yearly BTX'!O57/'Yearly BTX'!O54</f>
        <v>0.92739999999999989</v>
      </c>
      <c r="O37" s="148">
        <f>'Yearly BTX'!P57/'Yearly BTX'!P54</f>
        <v>0.92080000000000006</v>
      </c>
      <c r="P37" s="148">
        <f>'Yearly BTX'!Q57/'Yearly BTX'!Q54</f>
        <v>0.91420000000000001</v>
      </c>
      <c r="Q37" s="148">
        <f>'Yearly BTX'!R57/'Yearly BTX'!R54</f>
        <v>0.90760000000000007</v>
      </c>
      <c r="R37" s="148">
        <f>'Yearly BTX'!S57/'Yearly BTX'!S54</f>
        <v>0.90100000000000002</v>
      </c>
      <c r="S37" s="148">
        <f>'Yearly BTX'!T57/'Yearly BTX'!T54</f>
        <v>0.89439999999999997</v>
      </c>
      <c r="T37" s="148">
        <f>'Yearly BTX'!U57/'Yearly BTX'!U54</f>
        <v>0.88780000000000003</v>
      </c>
      <c r="U37" s="148">
        <f>'Yearly BTX'!V57/'Yearly BTX'!V54</f>
        <v>0.88119999999999998</v>
      </c>
      <c r="V37" s="148">
        <f>'Yearly BTX'!W57/'Yearly BTX'!W54</f>
        <v>0.87459999999999982</v>
      </c>
      <c r="W37" s="148">
        <f>'Yearly BTX'!X57/'Yearly BTX'!X54</f>
        <v>0.8680000000000001</v>
      </c>
      <c r="X37" s="148">
        <f>'Yearly BTX'!Y57/'Yearly BTX'!Y54</f>
        <v>0.86120000000000008</v>
      </c>
      <c r="Y37" s="148">
        <f>'Yearly BTX'!Z57/'Yearly BTX'!Z54</f>
        <v>0.85440000000000005</v>
      </c>
      <c r="Z37" s="148">
        <f>'Yearly BTX'!AA57/'Yearly BTX'!AA54</f>
        <v>0.84760000000000013</v>
      </c>
      <c r="AA37" s="148">
        <f>'Yearly BTX'!AB57/'Yearly BTX'!AB54</f>
        <v>0.8408000000000001</v>
      </c>
      <c r="AB37" s="148">
        <f>'Yearly BTX'!AC57/'Yearly BTX'!AC54</f>
        <v>0.83400000000000007</v>
      </c>
      <c r="AC37" s="148">
        <f>'Yearly BTX'!AD57/'Yearly BTX'!AD54</f>
        <v>0.82719999999999994</v>
      </c>
      <c r="AD37" s="148">
        <f>'Yearly BTX'!AE57/'Yearly BTX'!AE54</f>
        <v>0.82040000000000013</v>
      </c>
      <c r="AE37" s="148">
        <f>'Yearly BTX'!AF57/'Yearly BTX'!AF54</f>
        <v>0.8136000000000001</v>
      </c>
      <c r="AF37" s="148">
        <f>'Yearly BTX'!AG57/'Yearly BTX'!AG54</f>
        <v>0.80679999999999996</v>
      </c>
      <c r="AG37" s="148">
        <f>'Yearly BTX'!AH57/'Yearly BTX'!AH54</f>
        <v>0.80000000000000016</v>
      </c>
      <c r="AI37" s="124"/>
      <c r="AL37" s="102"/>
      <c r="AM37" s="194"/>
      <c r="AN37" s="194"/>
      <c r="AO37" s="194"/>
      <c r="BD37" s="38"/>
      <c r="BE37" s="38"/>
      <c r="BF37" s="38"/>
      <c r="BG37" s="38"/>
      <c r="BH37" s="38"/>
      <c r="BI37" s="38"/>
      <c r="BJ37" s="38"/>
      <c r="BK37" s="38"/>
      <c r="BL37" s="112"/>
    </row>
    <row r="38" spans="1:64" outlineLevel="1">
      <c r="AI38" t="s">
        <v>421</v>
      </c>
      <c r="BD38" s="38"/>
      <c r="BE38" s="38"/>
      <c r="BF38" s="38"/>
      <c r="BG38" s="38"/>
      <c r="BH38" s="38"/>
      <c r="BI38" s="38"/>
      <c r="BJ38" s="38"/>
      <c r="BK38" s="38"/>
      <c r="BL38" s="112"/>
    </row>
    <row r="39" spans="1:64" outlineLevel="1">
      <c r="A39" t="s">
        <v>1364</v>
      </c>
      <c r="B39" s="51" t="s">
        <v>1399</v>
      </c>
      <c r="C39" s="101">
        <f>C24*C33</f>
        <v>460653.48270486458</v>
      </c>
      <c r="D39" s="101">
        <f t="shared" ref="D39:AF39" si="16">D24*D33</f>
        <v>456363.24294188287</v>
      </c>
      <c r="E39" s="101">
        <f t="shared" si="16"/>
        <v>449763.24012154964</v>
      </c>
      <c r="F39" s="101">
        <f t="shared" si="16"/>
        <v>444318.11882989213</v>
      </c>
      <c r="G39" s="101">
        <f t="shared" si="16"/>
        <v>438872.99753823475</v>
      </c>
      <c r="H39" s="101">
        <f t="shared" si="16"/>
        <v>433427.87624657725</v>
      </c>
      <c r="I39" s="101">
        <f t="shared" si="16"/>
        <v>427982.75495491974</v>
      </c>
      <c r="J39" s="101">
        <f t="shared" si="16"/>
        <v>422537.6336632623</v>
      </c>
      <c r="K39" s="101">
        <f t="shared" si="16"/>
        <v>417092.5123716048</v>
      </c>
      <c r="L39" s="101">
        <f t="shared" si="16"/>
        <v>411647.39107994735</v>
      </c>
      <c r="M39" s="101">
        <f t="shared" si="16"/>
        <v>406202.26978828991</v>
      </c>
      <c r="N39" s="101">
        <f t="shared" si="16"/>
        <v>394202.13055714034</v>
      </c>
      <c r="O39" s="101">
        <f t="shared" si="16"/>
        <v>382201.99132599076</v>
      </c>
      <c r="P39" s="101">
        <f t="shared" si="16"/>
        <v>370201.85209484113</v>
      </c>
      <c r="Q39" s="101">
        <f t="shared" si="16"/>
        <v>358201.71286369162</v>
      </c>
      <c r="R39" s="101">
        <f t="shared" si="16"/>
        <v>346201.57363254204</v>
      </c>
      <c r="S39" s="101">
        <f t="shared" si="16"/>
        <v>334201.43440139247</v>
      </c>
      <c r="T39" s="101">
        <f t="shared" si="16"/>
        <v>322201.29517024284</v>
      </c>
      <c r="U39" s="101">
        <f t="shared" si="16"/>
        <v>310201.15593909333</v>
      </c>
      <c r="V39" s="101">
        <f t="shared" si="16"/>
        <v>298201.01670794364</v>
      </c>
      <c r="W39" s="101">
        <f t="shared" si="16"/>
        <v>286200.87747679418</v>
      </c>
      <c r="X39" s="101">
        <f t="shared" si="16"/>
        <v>274004.92806979304</v>
      </c>
      <c r="Y39" s="101">
        <f t="shared" si="16"/>
        <v>261808.97866279201</v>
      </c>
      <c r="Z39" s="101">
        <f t="shared" si="16"/>
        <v>249613.0292557909</v>
      </c>
      <c r="AA39" s="101">
        <f t="shared" si="16"/>
        <v>237417.07984878987</v>
      </c>
      <c r="AB39" s="101">
        <f t="shared" si="16"/>
        <v>225221.1304417887</v>
      </c>
      <c r="AC39" s="101">
        <f t="shared" si="16"/>
        <v>213025.18103478765</v>
      </c>
      <c r="AD39" s="101">
        <f t="shared" si="16"/>
        <v>200829.23162778659</v>
      </c>
      <c r="AE39" s="101">
        <f t="shared" si="16"/>
        <v>188633.28222078554</v>
      </c>
      <c r="AF39" s="101">
        <f t="shared" si="16"/>
        <v>176437.33281378442</v>
      </c>
      <c r="AG39" s="101">
        <f>AG24*AG33</f>
        <v>164241.38340678334</v>
      </c>
      <c r="AI39" s="197" t="s">
        <v>281</v>
      </c>
      <c r="AJ39" s="198" t="s">
        <v>422</v>
      </c>
      <c r="BD39" s="38"/>
      <c r="BE39" s="38"/>
      <c r="BF39" s="38"/>
      <c r="BG39" s="38"/>
      <c r="BH39" s="38"/>
      <c r="BI39" s="38"/>
      <c r="BJ39" s="38"/>
      <c r="BK39" s="38"/>
      <c r="BL39" s="112"/>
    </row>
    <row r="40" spans="1:64" outlineLevel="1">
      <c r="A40" t="s">
        <v>1365</v>
      </c>
      <c r="B40" s="51" t="s">
        <v>1399</v>
      </c>
      <c r="C40" s="101">
        <f t="shared" ref="C40:O40" si="17">C25*$C$34</f>
        <v>42693.858890936535</v>
      </c>
      <c r="D40" s="101">
        <f t="shared" si="17"/>
        <v>42693.858890936535</v>
      </c>
      <c r="E40" s="101">
        <f t="shared" si="17"/>
        <v>42693.858890936535</v>
      </c>
      <c r="F40" s="101">
        <f t="shared" si="17"/>
        <v>42693.858890936535</v>
      </c>
      <c r="G40" s="101">
        <f t="shared" si="17"/>
        <v>42693.858890936535</v>
      </c>
      <c r="H40" s="101">
        <f t="shared" si="17"/>
        <v>42693.858890936535</v>
      </c>
      <c r="I40" s="101">
        <f t="shared" si="17"/>
        <v>42693.858890936535</v>
      </c>
      <c r="J40" s="101">
        <f t="shared" si="17"/>
        <v>42693.858890936535</v>
      </c>
      <c r="K40" s="101">
        <f t="shared" si="17"/>
        <v>42693.858890936535</v>
      </c>
      <c r="L40" s="101">
        <f t="shared" si="17"/>
        <v>42693.858890936535</v>
      </c>
      <c r="M40" s="101">
        <f t="shared" si="17"/>
        <v>42693.858890936535</v>
      </c>
      <c r="N40" s="101">
        <f t="shared" si="17"/>
        <v>42693.858890936535</v>
      </c>
      <c r="O40" s="101">
        <f t="shared" si="17"/>
        <v>42693.858890936535</v>
      </c>
      <c r="P40" s="101">
        <f t="shared" ref="P40:AG40" si="18">D34*P25</f>
        <v>42548.238677031331</v>
      </c>
      <c r="Q40" s="101">
        <f t="shared" si="18"/>
        <v>42401.696275774077</v>
      </c>
      <c r="R40" s="101">
        <f t="shared" si="18"/>
        <v>42254.231687164785</v>
      </c>
      <c r="S40" s="101">
        <f t="shared" si="18"/>
        <v>42105.844911203443</v>
      </c>
      <c r="T40" s="101">
        <f t="shared" si="18"/>
        <v>41956.535947890065</v>
      </c>
      <c r="U40" s="101">
        <f t="shared" si="18"/>
        <v>41806.304797224635</v>
      </c>
      <c r="V40" s="101">
        <f t="shared" si="18"/>
        <v>41655.151459207162</v>
      </c>
      <c r="W40" s="101">
        <f t="shared" si="18"/>
        <v>41503.075933837652</v>
      </c>
      <c r="X40" s="101">
        <f t="shared" si="18"/>
        <v>41350.078221116091</v>
      </c>
      <c r="Y40" s="101">
        <f t="shared" si="18"/>
        <v>41196.15832104248</v>
      </c>
      <c r="Z40" s="101">
        <f t="shared" si="18"/>
        <v>40689.168746712618</v>
      </c>
      <c r="AA40" s="101">
        <f t="shared" si="18"/>
        <v>40175.262767242406</v>
      </c>
      <c r="AB40" s="101">
        <f t="shared" si="18"/>
        <v>39654.440382631874</v>
      </c>
      <c r="AC40" s="101">
        <f t="shared" si="18"/>
        <v>39126.701592881</v>
      </c>
      <c r="AD40" s="101">
        <f t="shared" si="18"/>
        <v>38592.046397989805</v>
      </c>
      <c r="AE40" s="101">
        <f t="shared" si="18"/>
        <v>38050.474797958283</v>
      </c>
      <c r="AF40" s="101">
        <f t="shared" si="18"/>
        <v>37501.986792786418</v>
      </c>
      <c r="AG40" s="101">
        <f t="shared" si="18"/>
        <v>36946.582382474218</v>
      </c>
      <c r="AI40" s="197" t="s">
        <v>282</v>
      </c>
      <c r="AJ40" s="198" t="s">
        <v>422</v>
      </c>
      <c r="BD40" s="38"/>
      <c r="BE40" s="38"/>
      <c r="BF40" s="38"/>
      <c r="BG40" s="38"/>
      <c r="BH40" s="38"/>
      <c r="BI40" s="38"/>
      <c r="BJ40" s="38"/>
      <c r="BK40" s="38"/>
      <c r="BL40" s="112"/>
    </row>
    <row r="41" spans="1:64" outlineLevel="1">
      <c r="A41" t="s">
        <v>1366</v>
      </c>
      <c r="B41" s="51" t="s">
        <v>1399</v>
      </c>
      <c r="C41" s="101">
        <f t="shared" ref="C41:AG41" si="19">C26</f>
        <v>23183.899679933551</v>
      </c>
      <c r="D41" s="101">
        <f t="shared" si="19"/>
        <v>23183.899679933551</v>
      </c>
      <c r="E41" s="101">
        <f t="shared" si="19"/>
        <v>23183.899679933551</v>
      </c>
      <c r="F41" s="101">
        <f t="shared" si="19"/>
        <v>23183.899679933551</v>
      </c>
      <c r="G41" s="101">
        <f t="shared" si="19"/>
        <v>23183.899679933551</v>
      </c>
      <c r="H41" s="101">
        <f t="shared" si="19"/>
        <v>23183.899679933551</v>
      </c>
      <c r="I41" s="101">
        <f t="shared" si="19"/>
        <v>23183.899679933551</v>
      </c>
      <c r="J41" s="101">
        <f t="shared" si="19"/>
        <v>23183.899679933551</v>
      </c>
      <c r="K41" s="101">
        <f t="shared" si="19"/>
        <v>23183.899679933551</v>
      </c>
      <c r="L41" s="101">
        <f t="shared" si="19"/>
        <v>23183.899679933551</v>
      </c>
      <c r="M41" s="101">
        <f t="shared" si="19"/>
        <v>23183.899679933551</v>
      </c>
      <c r="N41" s="101">
        <f t="shared" si="19"/>
        <v>23183.899679933551</v>
      </c>
      <c r="O41" s="101">
        <f t="shared" si="19"/>
        <v>23183.899679933551</v>
      </c>
      <c r="P41" s="101">
        <f t="shared" si="19"/>
        <v>23183.899679933551</v>
      </c>
      <c r="Q41" s="101">
        <f t="shared" si="19"/>
        <v>23183.899679933551</v>
      </c>
      <c r="R41" s="101">
        <f t="shared" si="19"/>
        <v>23183.899679933551</v>
      </c>
      <c r="S41" s="101">
        <f t="shared" si="19"/>
        <v>23183.899679933551</v>
      </c>
      <c r="T41" s="101">
        <f t="shared" si="19"/>
        <v>23183.899679933551</v>
      </c>
      <c r="U41" s="101">
        <f t="shared" si="19"/>
        <v>23183.899679933551</v>
      </c>
      <c r="V41" s="101">
        <f t="shared" si="19"/>
        <v>23183.899679933551</v>
      </c>
      <c r="W41" s="101">
        <f t="shared" si="19"/>
        <v>23183.899679933551</v>
      </c>
      <c r="X41" s="101">
        <f t="shared" si="19"/>
        <v>23183.899679933551</v>
      </c>
      <c r="Y41" s="101">
        <f t="shared" si="19"/>
        <v>23183.899679933551</v>
      </c>
      <c r="Z41" s="101">
        <f t="shared" si="19"/>
        <v>23183.899679933551</v>
      </c>
      <c r="AA41" s="101">
        <f t="shared" si="19"/>
        <v>23183.899679933551</v>
      </c>
      <c r="AB41" s="101">
        <f t="shared" si="19"/>
        <v>23183.899679933551</v>
      </c>
      <c r="AC41" s="101">
        <f t="shared" si="19"/>
        <v>23183.899679933551</v>
      </c>
      <c r="AD41" s="101">
        <f t="shared" si="19"/>
        <v>23183.899679933551</v>
      </c>
      <c r="AE41" s="101">
        <f t="shared" si="19"/>
        <v>23183.899679933551</v>
      </c>
      <c r="AF41" s="101">
        <f t="shared" si="19"/>
        <v>23183.899679933551</v>
      </c>
      <c r="AG41" s="101">
        <f t="shared" si="19"/>
        <v>23183.899679933551</v>
      </c>
      <c r="AI41" s="197" t="s">
        <v>283</v>
      </c>
      <c r="AJ41" s="198" t="s">
        <v>422</v>
      </c>
      <c r="BD41" s="38"/>
      <c r="BE41" s="38"/>
      <c r="BF41" s="38"/>
      <c r="BG41" s="38"/>
      <c r="BH41" s="38"/>
      <c r="BI41" s="38"/>
      <c r="BJ41" s="38"/>
      <c r="BK41" s="38"/>
      <c r="BL41" s="112"/>
    </row>
    <row r="42" spans="1:64" outlineLevel="1">
      <c r="A42" t="s">
        <v>1367</v>
      </c>
      <c r="B42" s="51" t="s">
        <v>1399</v>
      </c>
      <c r="C42" s="246">
        <f t="shared" ref="C42:H42" si="20">C27*$C$36</f>
        <v>292645.58593913133</v>
      </c>
      <c r="D42" s="246">
        <f t="shared" si="20"/>
        <v>292645.58593913133</v>
      </c>
      <c r="E42" s="246">
        <f t="shared" si="20"/>
        <v>292645.58593913133</v>
      </c>
      <c r="F42" s="246">
        <f t="shared" si="20"/>
        <v>292645.58593913133</v>
      </c>
      <c r="G42" s="246">
        <f t="shared" si="20"/>
        <v>292645.58593913133</v>
      </c>
      <c r="H42" s="246">
        <f t="shared" si="20"/>
        <v>292645.58593913133</v>
      </c>
      <c r="I42" s="246">
        <f t="shared" ref="I42:AG43" si="21">I27*D36</f>
        <v>283602.8373336122</v>
      </c>
      <c r="J42" s="246">
        <f t="shared" si="21"/>
        <v>274560.08872809302</v>
      </c>
      <c r="K42" s="246">
        <f t="shared" si="21"/>
        <v>265517.34012257389</v>
      </c>
      <c r="L42" s="246">
        <f t="shared" si="21"/>
        <v>256474.59151705468</v>
      </c>
      <c r="M42" s="246">
        <f t="shared" si="21"/>
        <v>247431.84291153552</v>
      </c>
      <c r="N42" s="246">
        <f t="shared" si="21"/>
        <v>238389.09430601637</v>
      </c>
      <c r="O42" s="246">
        <f t="shared" si="21"/>
        <v>229346.34570049724</v>
      </c>
      <c r="P42" s="246">
        <f t="shared" si="21"/>
        <v>220303.59709497806</v>
      </c>
      <c r="Q42" s="246">
        <f t="shared" si="21"/>
        <v>211260.84848945891</v>
      </c>
      <c r="R42" s="246">
        <f t="shared" si="21"/>
        <v>202218.09988393972</v>
      </c>
      <c r="S42" s="246">
        <f t="shared" si="21"/>
        <v>195838.42611046668</v>
      </c>
      <c r="T42" s="246">
        <f t="shared" si="21"/>
        <v>189458.75233699361</v>
      </c>
      <c r="U42" s="246">
        <f t="shared" si="21"/>
        <v>183079.07856352054</v>
      </c>
      <c r="V42" s="246">
        <f t="shared" si="21"/>
        <v>176699.4047900475</v>
      </c>
      <c r="W42" s="246">
        <f t="shared" si="21"/>
        <v>170319.7310165744</v>
      </c>
      <c r="X42" s="246">
        <f t="shared" si="21"/>
        <v>163940.05724310139</v>
      </c>
      <c r="Y42" s="246">
        <f t="shared" si="21"/>
        <v>157560.38346962832</v>
      </c>
      <c r="Z42" s="246">
        <f t="shared" si="21"/>
        <v>151180.70969615522</v>
      </c>
      <c r="AA42" s="246">
        <f t="shared" si="21"/>
        <v>144801.03592268217</v>
      </c>
      <c r="AB42" s="246">
        <f t="shared" si="21"/>
        <v>138421.3621492091</v>
      </c>
      <c r="AC42" s="246">
        <f t="shared" si="21"/>
        <v>130724.78323900995</v>
      </c>
      <c r="AD42" s="246">
        <f t="shared" si="21"/>
        <v>123028.2043288108</v>
      </c>
      <c r="AE42" s="246">
        <f t="shared" si="21"/>
        <v>115331.62541861164</v>
      </c>
      <c r="AF42" s="246">
        <f t="shared" si="21"/>
        <v>107635.04650841247</v>
      </c>
      <c r="AG42" s="246">
        <f t="shared" si="21"/>
        <v>99938.467598213319</v>
      </c>
      <c r="AI42" s="197" t="s">
        <v>284</v>
      </c>
      <c r="AJ42" s="198" t="s">
        <v>422</v>
      </c>
      <c r="AL42" s="5"/>
      <c r="AM42" s="103"/>
      <c r="AN42" s="103"/>
      <c r="AO42" s="103"/>
      <c r="BC42" s="1"/>
      <c r="BD42" s="112"/>
      <c r="BE42" s="112"/>
      <c r="BF42" s="112"/>
      <c r="BG42" s="112"/>
      <c r="BH42" s="112"/>
      <c r="BI42" s="112"/>
      <c r="BJ42" s="112"/>
      <c r="BK42" s="112"/>
      <c r="BL42" s="112"/>
    </row>
    <row r="43" spans="1:64" outlineLevel="1">
      <c r="A43" s="169" t="s">
        <v>1368</v>
      </c>
      <c r="B43" s="165" t="s">
        <v>1399</v>
      </c>
      <c r="C43" s="101">
        <f t="shared" ref="C43:H43" si="22">C28*$C$37</f>
        <v>277017.74804804276</v>
      </c>
      <c r="D43" s="101">
        <f t="shared" si="22"/>
        <v>277017.74804804276</v>
      </c>
      <c r="E43" s="101">
        <f t="shared" si="22"/>
        <v>277017.74804804276</v>
      </c>
      <c r="F43" s="101">
        <f t="shared" si="22"/>
        <v>277017.74804804276</v>
      </c>
      <c r="G43" s="101">
        <f t="shared" si="22"/>
        <v>277017.74804804276</v>
      </c>
      <c r="H43" s="101">
        <f t="shared" si="22"/>
        <v>277017.74804804276</v>
      </c>
      <c r="I43" s="101">
        <f t="shared" si="21"/>
        <v>275189.43091092567</v>
      </c>
      <c r="J43" s="101">
        <f t="shared" si="21"/>
        <v>273361.11377380858</v>
      </c>
      <c r="K43" s="101">
        <f t="shared" si="21"/>
        <v>271532.79663669149</v>
      </c>
      <c r="L43" s="101">
        <f t="shared" si="21"/>
        <v>269704.47949957446</v>
      </c>
      <c r="M43" s="101">
        <f t="shared" si="21"/>
        <v>267876.16236245737</v>
      </c>
      <c r="N43" s="101">
        <f t="shared" si="21"/>
        <v>266047.84522534028</v>
      </c>
      <c r="O43" s="101">
        <f t="shared" si="21"/>
        <v>264219.52808822319</v>
      </c>
      <c r="P43" s="101">
        <f t="shared" si="21"/>
        <v>262391.2109511061</v>
      </c>
      <c r="Q43" s="101">
        <f t="shared" si="21"/>
        <v>260562.89381398901</v>
      </c>
      <c r="R43" s="101">
        <f t="shared" si="21"/>
        <v>258734.57667687192</v>
      </c>
      <c r="S43" s="101">
        <f t="shared" si="21"/>
        <v>256906.25953975483</v>
      </c>
      <c r="T43" s="101">
        <f t="shared" si="21"/>
        <v>255077.9424026378</v>
      </c>
      <c r="U43" s="101">
        <f t="shared" si="21"/>
        <v>253249.62526552071</v>
      </c>
      <c r="V43" s="101">
        <f t="shared" si="21"/>
        <v>251421.30812840365</v>
      </c>
      <c r="W43" s="101">
        <f t="shared" si="21"/>
        <v>249592.99099128653</v>
      </c>
      <c r="X43" s="101">
        <f t="shared" si="21"/>
        <v>247764.67385416944</v>
      </c>
      <c r="Y43" s="101">
        <f t="shared" si="21"/>
        <v>245936.35671705237</v>
      </c>
      <c r="Z43" s="101">
        <f t="shared" si="21"/>
        <v>244108.03957993528</v>
      </c>
      <c r="AA43" s="101">
        <f t="shared" si="21"/>
        <v>242279.72244281814</v>
      </c>
      <c r="AB43" s="101">
        <f t="shared" si="21"/>
        <v>240451.40530570113</v>
      </c>
      <c r="AC43" s="101">
        <f t="shared" si="21"/>
        <v>238567.68461897445</v>
      </c>
      <c r="AD43" s="101">
        <f t="shared" si="21"/>
        <v>236683.96393224775</v>
      </c>
      <c r="AE43" s="101">
        <f t="shared" si="21"/>
        <v>234800.24324552109</v>
      </c>
      <c r="AF43" s="101">
        <f t="shared" si="21"/>
        <v>232916.52255879439</v>
      </c>
      <c r="AG43" s="101">
        <f t="shared" si="21"/>
        <v>231032.80187206768</v>
      </c>
      <c r="AI43" s="197" t="s">
        <v>284</v>
      </c>
      <c r="AJ43" s="198" t="s">
        <v>422</v>
      </c>
      <c r="AL43" s="102"/>
      <c r="AM43" s="2"/>
      <c r="AN43" s="2"/>
      <c r="AO43" s="2"/>
    </row>
    <row r="44" spans="1:64" s="1" customFormat="1" ht="15.5" thickBot="1">
      <c r="A44" s="187" t="s">
        <v>1369</v>
      </c>
      <c r="B44" s="202" t="s">
        <v>1399</v>
      </c>
      <c r="C44" s="203">
        <f>SUM(C39:C43)</f>
        <v>1096194.5752629088</v>
      </c>
      <c r="D44" s="203">
        <f t="shared" ref="D44:AF44" si="23">SUM(D39:D43)</f>
        <v>1091904.3354999269</v>
      </c>
      <c r="E44" s="203">
        <f t="shared" si="23"/>
        <v>1085304.3326795939</v>
      </c>
      <c r="F44" s="203">
        <f t="shared" si="23"/>
        <v>1079859.2113879365</v>
      </c>
      <c r="G44" s="203">
        <f t="shared" si="23"/>
        <v>1074414.090096279</v>
      </c>
      <c r="H44" s="203">
        <f t="shared" si="23"/>
        <v>1068968.9688046216</v>
      </c>
      <c r="I44" s="203">
        <f t="shared" si="23"/>
        <v>1052652.7817703276</v>
      </c>
      <c r="J44" s="203">
        <f t="shared" si="23"/>
        <v>1036336.5947360341</v>
      </c>
      <c r="K44" s="203">
        <f t="shared" si="23"/>
        <v>1020020.4077017403</v>
      </c>
      <c r="L44" s="203">
        <f t="shared" si="23"/>
        <v>1003704.2206674465</v>
      </c>
      <c r="M44" s="203">
        <f t="shared" si="23"/>
        <v>987388.03363315284</v>
      </c>
      <c r="N44" s="203">
        <f t="shared" si="23"/>
        <v>964516.82865936705</v>
      </c>
      <c r="O44" s="203">
        <f t="shared" si="23"/>
        <v>941645.62368558126</v>
      </c>
      <c r="P44" s="203">
        <f t="shared" si="23"/>
        <v>918628.79849789012</v>
      </c>
      <c r="Q44" s="203">
        <f t="shared" si="23"/>
        <v>895611.05112284713</v>
      </c>
      <c r="R44" s="203">
        <f t="shared" si="23"/>
        <v>872592.38156045205</v>
      </c>
      <c r="S44" s="203">
        <f t="shared" si="23"/>
        <v>852235.86464275094</v>
      </c>
      <c r="T44" s="203">
        <f t="shared" si="23"/>
        <v>831878.42553769785</v>
      </c>
      <c r="U44" s="203">
        <f t="shared" si="23"/>
        <v>811520.06424529268</v>
      </c>
      <c r="V44" s="203">
        <f t="shared" si="23"/>
        <v>791160.78076553543</v>
      </c>
      <c r="W44" s="203">
        <f t="shared" si="23"/>
        <v>770800.57509842631</v>
      </c>
      <c r="X44" s="203">
        <f t="shared" si="23"/>
        <v>750243.63706811354</v>
      </c>
      <c r="Y44" s="203">
        <f t="shared" si="23"/>
        <v>729685.7768504488</v>
      </c>
      <c r="Z44" s="203">
        <f t="shared" si="23"/>
        <v>708774.84695852757</v>
      </c>
      <c r="AA44" s="203">
        <f t="shared" si="23"/>
        <v>687857.00066146615</v>
      </c>
      <c r="AB44" s="203">
        <f t="shared" si="23"/>
        <v>666932.23795926431</v>
      </c>
      <c r="AC44" s="203">
        <f t="shared" si="23"/>
        <v>644628.25016558659</v>
      </c>
      <c r="AD44" s="203">
        <f t="shared" si="23"/>
        <v>622317.34596676845</v>
      </c>
      <c r="AE44" s="203">
        <f t="shared" si="23"/>
        <v>599999.52536281012</v>
      </c>
      <c r="AF44" s="203">
        <f t="shared" si="23"/>
        <v>577674.78835371125</v>
      </c>
      <c r="AG44" s="203">
        <f>SUM(AG39:AG43)</f>
        <v>555343.13493947219</v>
      </c>
      <c r="AJ44" s="151"/>
      <c r="AL44" s="207"/>
      <c r="AM44" s="118"/>
      <c r="AN44" s="118"/>
      <c r="AO44" s="118"/>
    </row>
    <row r="45" spans="1:64" ht="15.5" thickTop="1">
      <c r="B45" s="165"/>
      <c r="C45" s="196"/>
      <c r="D45" s="196"/>
      <c r="E45" s="196"/>
      <c r="F45" s="196"/>
      <c r="G45" s="196"/>
      <c r="H45" s="196"/>
      <c r="I45" s="196"/>
      <c r="J45" s="196"/>
      <c r="K45" s="196"/>
      <c r="L45" s="196"/>
      <c r="M45" s="196"/>
      <c r="N45" s="196"/>
      <c r="O45" s="196"/>
      <c r="P45" s="196"/>
      <c r="Q45" s="196"/>
      <c r="R45" s="196"/>
      <c r="S45" s="196"/>
      <c r="T45" s="196"/>
      <c r="U45" s="196"/>
      <c r="V45" s="196"/>
      <c r="W45" s="196"/>
      <c r="X45" s="196"/>
      <c r="Y45" s="196"/>
      <c r="Z45" s="196"/>
      <c r="AA45" s="196"/>
      <c r="AB45" s="196"/>
      <c r="AC45" s="196"/>
      <c r="AD45" s="196"/>
      <c r="AE45" s="196"/>
      <c r="AF45" s="196"/>
      <c r="AG45" s="196"/>
      <c r="AL45" s="102"/>
      <c r="AM45" s="2"/>
      <c r="AN45" s="2"/>
      <c r="AO45" s="2"/>
    </row>
    <row r="46" spans="1:64" s="187" customFormat="1" ht="15.5" thickBot="1">
      <c r="A46" s="187" t="s">
        <v>431</v>
      </c>
      <c r="B46" s="202" t="s">
        <v>126</v>
      </c>
      <c r="C46" s="208">
        <f>C49</f>
        <v>0.14200000000000002</v>
      </c>
      <c r="D46" s="208">
        <f t="shared" ref="D46:AG46" si="24">D49</f>
        <v>0.14849999999999999</v>
      </c>
      <c r="E46" s="208">
        <f t="shared" si="24"/>
        <v>0.155</v>
      </c>
      <c r="F46" s="208">
        <f t="shared" si="24"/>
        <v>0.16149999999999998</v>
      </c>
      <c r="G46" s="208">
        <f t="shared" si="24"/>
        <v>0.16800000000000001</v>
      </c>
      <c r="H46" s="208">
        <f t="shared" si="24"/>
        <v>0.17449999999999999</v>
      </c>
      <c r="I46" s="208">
        <f t="shared" si="24"/>
        <v>0.18099999999999999</v>
      </c>
      <c r="J46" s="208">
        <f t="shared" si="24"/>
        <v>0.1875</v>
      </c>
      <c r="K46" s="208">
        <f t="shared" si="24"/>
        <v>0.19400000000000001</v>
      </c>
      <c r="L46" s="208">
        <f t="shared" si="24"/>
        <v>0.20050000000000001</v>
      </c>
      <c r="M46" s="208">
        <f t="shared" si="24"/>
        <v>0.20700000000000002</v>
      </c>
      <c r="N46" s="208">
        <f t="shared" si="24"/>
        <v>0.22070000000000001</v>
      </c>
      <c r="O46" s="208">
        <f t="shared" si="24"/>
        <v>0.2344</v>
      </c>
      <c r="P46" s="208">
        <f t="shared" si="24"/>
        <v>0.24809999999999999</v>
      </c>
      <c r="Q46" s="208">
        <f t="shared" si="24"/>
        <v>0.26179999999999998</v>
      </c>
      <c r="R46" s="208">
        <f t="shared" si="24"/>
        <v>0.27549999999999997</v>
      </c>
      <c r="S46" s="208">
        <f t="shared" si="24"/>
        <v>0.28920000000000001</v>
      </c>
      <c r="T46" s="208">
        <f t="shared" si="24"/>
        <v>0.3029</v>
      </c>
      <c r="U46" s="208">
        <f t="shared" si="24"/>
        <v>0.31659999999999999</v>
      </c>
      <c r="V46" s="208">
        <f t="shared" si="24"/>
        <v>0.33030000000000004</v>
      </c>
      <c r="W46" s="208">
        <f t="shared" si="24"/>
        <v>0.34399999999999997</v>
      </c>
      <c r="X46" s="208">
        <f t="shared" si="24"/>
        <v>0.36692262658227848</v>
      </c>
      <c r="Y46" s="208">
        <f t="shared" si="24"/>
        <v>0.38984525316455698</v>
      </c>
      <c r="Z46" s="208">
        <f t="shared" si="24"/>
        <v>0.41276787974683543</v>
      </c>
      <c r="AA46" s="208">
        <f t="shared" si="24"/>
        <v>0.43569050632911388</v>
      </c>
      <c r="AB46" s="208">
        <f t="shared" si="24"/>
        <v>0.45861313291139238</v>
      </c>
      <c r="AC46" s="208">
        <f t="shared" si="24"/>
        <v>0.48153575949367089</v>
      </c>
      <c r="AD46" s="208">
        <f t="shared" si="24"/>
        <v>0.50445838607594939</v>
      </c>
      <c r="AE46" s="208">
        <f t="shared" si="24"/>
        <v>0.5273810126582279</v>
      </c>
      <c r="AF46" s="208">
        <f t="shared" si="24"/>
        <v>0.55030363924050629</v>
      </c>
      <c r="AG46" s="208">
        <f t="shared" si="24"/>
        <v>0.5732262658227848</v>
      </c>
      <c r="AJ46" s="217" t="s">
        <v>473</v>
      </c>
      <c r="AL46" s="204"/>
      <c r="AM46" s="205"/>
      <c r="AN46" s="205"/>
      <c r="AO46" s="205"/>
    </row>
    <row r="47" spans="1:64" ht="15.5" outlineLevel="1" thickTop="1">
      <c r="A47" t="s">
        <v>423</v>
      </c>
      <c r="B47" s="51" t="s">
        <v>126</v>
      </c>
      <c r="C47" s="107">
        <v>4.7E-2</v>
      </c>
      <c r="D47" s="104">
        <f>$C47+($M47-$C47)/10*(D$1-$C$1)</f>
        <v>5.0200000000000002E-2</v>
      </c>
      <c r="E47" s="104">
        <f t="shared" ref="E47:L48" si="25">$C47+($M47-$C47)/10*(E$1-$C$1)</f>
        <v>5.3400000000000003E-2</v>
      </c>
      <c r="F47" s="104">
        <f t="shared" si="25"/>
        <v>5.6599999999999998E-2</v>
      </c>
      <c r="G47" s="104">
        <f t="shared" si="25"/>
        <v>5.9799999999999999E-2</v>
      </c>
      <c r="H47" s="104">
        <f t="shared" si="25"/>
        <v>6.3E-2</v>
      </c>
      <c r="I47" s="104">
        <f t="shared" si="25"/>
        <v>6.6200000000000009E-2</v>
      </c>
      <c r="J47" s="104">
        <f t="shared" si="25"/>
        <v>6.9400000000000003E-2</v>
      </c>
      <c r="K47" s="104">
        <f t="shared" si="25"/>
        <v>7.2599999999999998E-2</v>
      </c>
      <c r="L47" s="104">
        <f t="shared" si="25"/>
        <v>7.5800000000000006E-2</v>
      </c>
      <c r="M47" s="107">
        <v>7.9000000000000001E-2</v>
      </c>
      <c r="N47" s="104">
        <f>$M47+($W47-$M47)/10*(N$1-$M$1)</f>
        <v>8.5100000000000009E-2</v>
      </c>
      <c r="O47" s="104">
        <f t="shared" ref="O47:U48" si="26">$M47+($W47-$M47)/10*(O$1-$M$1)</f>
        <v>9.1200000000000003E-2</v>
      </c>
      <c r="P47" s="104">
        <f t="shared" si="26"/>
        <v>9.7299999999999998E-2</v>
      </c>
      <c r="Q47" s="104">
        <f t="shared" si="26"/>
        <v>0.10340000000000001</v>
      </c>
      <c r="R47" s="104">
        <f t="shared" si="26"/>
        <v>0.10950000000000001</v>
      </c>
      <c r="S47" s="104">
        <f t="shared" si="26"/>
        <v>0.11560000000000001</v>
      </c>
      <c r="T47" s="104">
        <f t="shared" si="26"/>
        <v>0.1217</v>
      </c>
      <c r="U47" s="104">
        <f t="shared" si="26"/>
        <v>0.12780000000000002</v>
      </c>
      <c r="V47" s="104">
        <f>$M47+($W47-$M47)/10*(V$1-$M$1)</f>
        <v>0.13390000000000002</v>
      </c>
      <c r="W47" s="107">
        <v>0.14000000000000001</v>
      </c>
      <c r="X47" s="104">
        <f>$W47+($AG47-$W47)/10*(X$1-$W$1)</f>
        <v>0.15081012658227849</v>
      </c>
      <c r="Y47" s="104">
        <f t="shared" ref="Y47:AF48" si="27">$W47+($AG47-$W47)/10*(Y$1-$W$1)</f>
        <v>0.16162025316455697</v>
      </c>
      <c r="Z47" s="104">
        <f t="shared" si="27"/>
        <v>0.17243037974683545</v>
      </c>
      <c r="AA47" s="104">
        <f t="shared" si="27"/>
        <v>0.18324050632911396</v>
      </c>
      <c r="AB47" s="104">
        <f t="shared" si="27"/>
        <v>0.19405063291139243</v>
      </c>
      <c r="AC47" s="104">
        <f t="shared" si="27"/>
        <v>0.20486075949367091</v>
      </c>
      <c r="AD47" s="104">
        <f t="shared" si="27"/>
        <v>0.21567088607594942</v>
      </c>
      <c r="AE47" s="104">
        <f t="shared" si="27"/>
        <v>0.2264810126582279</v>
      </c>
      <c r="AF47" s="104">
        <f t="shared" si="27"/>
        <v>0.23729113924050638</v>
      </c>
      <c r="AG47" s="104">
        <f>(W47/M47)*W47</f>
        <v>0.24810126582278486</v>
      </c>
      <c r="AI47" s="126"/>
      <c r="AJ47" s="198" t="s">
        <v>484</v>
      </c>
      <c r="AL47" s="102"/>
      <c r="AM47" s="2"/>
      <c r="AN47" s="2"/>
      <c r="AO47" s="2"/>
      <c r="AV47" s="38"/>
    </row>
    <row r="48" spans="1:64" outlineLevel="1">
      <c r="A48" t="s">
        <v>425</v>
      </c>
      <c r="B48" s="51" t="s">
        <v>126</v>
      </c>
      <c r="C48" s="107">
        <v>9.5000000000000001E-2</v>
      </c>
      <c r="D48" s="104">
        <f>$C48+($M48-$C48)/10*(D$1-$C$1)</f>
        <v>9.8299999999999998E-2</v>
      </c>
      <c r="E48" s="104">
        <f t="shared" si="25"/>
        <v>0.1016</v>
      </c>
      <c r="F48" s="104">
        <f t="shared" si="25"/>
        <v>0.10489999999999999</v>
      </c>
      <c r="G48" s="104">
        <f t="shared" si="25"/>
        <v>0.1082</v>
      </c>
      <c r="H48" s="104">
        <f t="shared" si="25"/>
        <v>0.1115</v>
      </c>
      <c r="I48" s="104">
        <f t="shared" si="25"/>
        <v>0.1148</v>
      </c>
      <c r="J48" s="104">
        <f t="shared" si="25"/>
        <v>0.1181</v>
      </c>
      <c r="K48" s="104">
        <f t="shared" si="25"/>
        <v>0.12140000000000001</v>
      </c>
      <c r="L48" s="104">
        <f t="shared" si="25"/>
        <v>0.12470000000000001</v>
      </c>
      <c r="M48" s="107">
        <v>0.128</v>
      </c>
      <c r="N48" s="104">
        <f>$M48+($W48-$M48)/10*(N$1-$M$1)</f>
        <v>0.1356</v>
      </c>
      <c r="O48" s="104">
        <f t="shared" si="26"/>
        <v>0.14319999999999999</v>
      </c>
      <c r="P48" s="104">
        <f t="shared" si="26"/>
        <v>0.15079999999999999</v>
      </c>
      <c r="Q48" s="104">
        <f t="shared" si="26"/>
        <v>0.15839999999999999</v>
      </c>
      <c r="R48" s="104">
        <f t="shared" si="26"/>
        <v>0.16599999999999998</v>
      </c>
      <c r="S48" s="104">
        <f t="shared" si="26"/>
        <v>0.17359999999999998</v>
      </c>
      <c r="T48" s="104">
        <f t="shared" si="26"/>
        <v>0.1812</v>
      </c>
      <c r="U48" s="104">
        <f t="shared" si="26"/>
        <v>0.1888</v>
      </c>
      <c r="V48" s="104">
        <f>$M48+($W48-$M48)/10*(V$1-$M$1)</f>
        <v>0.19639999999999999</v>
      </c>
      <c r="W48" s="107">
        <v>0.20399999999999999</v>
      </c>
      <c r="X48" s="104">
        <f>$W48+($AG48-$W48)/10*(X$1-$W$1)</f>
        <v>0.21611249999999999</v>
      </c>
      <c r="Y48" s="104">
        <f t="shared" si="27"/>
        <v>0.22822499999999998</v>
      </c>
      <c r="Z48" s="104">
        <f t="shared" si="27"/>
        <v>0.24033749999999998</v>
      </c>
      <c r="AA48" s="104">
        <f t="shared" si="27"/>
        <v>0.25244999999999995</v>
      </c>
      <c r="AB48" s="104">
        <f t="shared" si="27"/>
        <v>0.26456249999999998</v>
      </c>
      <c r="AC48" s="104">
        <f t="shared" si="27"/>
        <v>0.27667499999999995</v>
      </c>
      <c r="AD48" s="104">
        <f t="shared" si="27"/>
        <v>0.28878749999999997</v>
      </c>
      <c r="AE48" s="104">
        <f t="shared" si="27"/>
        <v>0.30089999999999995</v>
      </c>
      <c r="AF48" s="104">
        <f t="shared" si="27"/>
        <v>0.31301249999999992</v>
      </c>
      <c r="AG48" s="104">
        <f>(W48/M48)*W48</f>
        <v>0.32512499999999994</v>
      </c>
      <c r="AI48" s="126"/>
      <c r="AJ48" s="198" t="s">
        <v>484</v>
      </c>
      <c r="AL48" s="102"/>
      <c r="AM48" s="2"/>
      <c r="AN48" s="2"/>
      <c r="AO48" s="2"/>
      <c r="AV48" s="38"/>
    </row>
    <row r="49" spans="1:63" outlineLevel="1">
      <c r="A49" t="s">
        <v>424</v>
      </c>
      <c r="B49" s="165" t="s">
        <v>126</v>
      </c>
      <c r="C49" s="104">
        <f>C47+C48</f>
        <v>0.14200000000000002</v>
      </c>
      <c r="D49" s="104">
        <f t="shared" ref="D49:AF49" si="28">D47+D48</f>
        <v>0.14849999999999999</v>
      </c>
      <c r="E49" s="104">
        <f t="shared" si="28"/>
        <v>0.155</v>
      </c>
      <c r="F49" s="104">
        <f t="shared" si="28"/>
        <v>0.16149999999999998</v>
      </c>
      <c r="G49" s="104">
        <f t="shared" si="28"/>
        <v>0.16800000000000001</v>
      </c>
      <c r="H49" s="104">
        <f t="shared" si="28"/>
        <v>0.17449999999999999</v>
      </c>
      <c r="I49" s="104">
        <f t="shared" si="28"/>
        <v>0.18099999999999999</v>
      </c>
      <c r="J49" s="104">
        <f t="shared" si="28"/>
        <v>0.1875</v>
      </c>
      <c r="K49" s="104">
        <f t="shared" si="28"/>
        <v>0.19400000000000001</v>
      </c>
      <c r="L49" s="104">
        <f t="shared" si="28"/>
        <v>0.20050000000000001</v>
      </c>
      <c r="M49" s="104">
        <f t="shared" si="28"/>
        <v>0.20700000000000002</v>
      </c>
      <c r="N49" s="104">
        <f t="shared" si="28"/>
        <v>0.22070000000000001</v>
      </c>
      <c r="O49" s="104">
        <f t="shared" si="28"/>
        <v>0.2344</v>
      </c>
      <c r="P49" s="104">
        <f t="shared" si="28"/>
        <v>0.24809999999999999</v>
      </c>
      <c r="Q49" s="104">
        <f t="shared" si="28"/>
        <v>0.26179999999999998</v>
      </c>
      <c r="R49" s="104">
        <f t="shared" si="28"/>
        <v>0.27549999999999997</v>
      </c>
      <c r="S49" s="104">
        <f t="shared" si="28"/>
        <v>0.28920000000000001</v>
      </c>
      <c r="T49" s="104">
        <f t="shared" si="28"/>
        <v>0.3029</v>
      </c>
      <c r="U49" s="104">
        <f t="shared" si="28"/>
        <v>0.31659999999999999</v>
      </c>
      <c r="V49" s="104">
        <f t="shared" si="28"/>
        <v>0.33030000000000004</v>
      </c>
      <c r="W49" s="104">
        <f t="shared" si="28"/>
        <v>0.34399999999999997</v>
      </c>
      <c r="X49" s="104">
        <f t="shared" si="28"/>
        <v>0.36692262658227848</v>
      </c>
      <c r="Y49" s="104">
        <f t="shared" si="28"/>
        <v>0.38984525316455698</v>
      </c>
      <c r="Z49" s="104">
        <f t="shared" si="28"/>
        <v>0.41276787974683543</v>
      </c>
      <c r="AA49" s="104">
        <f t="shared" si="28"/>
        <v>0.43569050632911388</v>
      </c>
      <c r="AB49" s="104">
        <f t="shared" si="28"/>
        <v>0.45861313291139238</v>
      </c>
      <c r="AC49" s="104">
        <f t="shared" si="28"/>
        <v>0.48153575949367089</v>
      </c>
      <c r="AD49" s="104">
        <f t="shared" si="28"/>
        <v>0.50445838607594939</v>
      </c>
      <c r="AE49" s="104">
        <f t="shared" si="28"/>
        <v>0.5273810126582279</v>
      </c>
      <c r="AF49" s="104">
        <f t="shared" si="28"/>
        <v>0.55030363924050629</v>
      </c>
      <c r="AG49" s="104">
        <f>AG47+AG48</f>
        <v>0.5732262658227848</v>
      </c>
      <c r="AI49" s="126"/>
      <c r="AJ49" s="198"/>
      <c r="AL49" s="102"/>
      <c r="AM49" s="2"/>
      <c r="AN49" s="2"/>
      <c r="AO49" s="2"/>
    </row>
    <row r="50" spans="1:63" outlineLevel="1">
      <c r="C50" s="107"/>
      <c r="D50" s="104"/>
      <c r="E50" s="104"/>
      <c r="F50" s="104"/>
      <c r="G50" s="104"/>
      <c r="H50" s="104"/>
      <c r="I50" s="104"/>
      <c r="J50" s="104"/>
      <c r="K50" s="104"/>
      <c r="L50" s="104"/>
      <c r="M50" s="107"/>
      <c r="N50" s="104"/>
      <c r="O50" s="104"/>
      <c r="P50" s="104"/>
      <c r="Q50" s="104"/>
      <c r="R50" s="104"/>
      <c r="S50" s="104"/>
      <c r="T50" s="104"/>
      <c r="U50" s="104"/>
      <c r="V50" s="104"/>
      <c r="W50" s="107"/>
      <c r="X50" s="104"/>
      <c r="Y50" s="104"/>
      <c r="Z50" s="104"/>
      <c r="AA50" s="104"/>
      <c r="AB50" s="104"/>
      <c r="AC50" s="104"/>
      <c r="AD50" s="104"/>
      <c r="AE50" s="104"/>
      <c r="AF50" s="104"/>
      <c r="AG50" s="107"/>
      <c r="AI50" s="126"/>
      <c r="AJ50" s="198"/>
      <c r="AL50" s="102"/>
      <c r="AM50" s="2"/>
      <c r="AN50" s="2"/>
      <c r="AO50" s="2"/>
      <c r="AV50" s="38"/>
    </row>
    <row r="51" spans="1:63" outlineLevel="1">
      <c r="A51" t="s">
        <v>438</v>
      </c>
      <c r="B51" s="51" t="s">
        <v>126</v>
      </c>
      <c r="C51" s="104">
        <f>'Ethylene Recycling HC'!C54</f>
        <v>0.11499935012302656</v>
      </c>
      <c r="D51" s="104">
        <f>'Ethylene Recycling HC'!D54</f>
        <v>0.11283270511892568</v>
      </c>
      <c r="E51" s="104">
        <f>'Ethylene Recycling HC'!E54</f>
        <v>0.1106660601148248</v>
      </c>
      <c r="F51" s="104">
        <f>'Ethylene Recycling HC'!F54</f>
        <v>0.10849941511072392</v>
      </c>
      <c r="G51" s="104">
        <f>'Ethylene Recycling HC'!G54</f>
        <v>0.10633277010662304</v>
      </c>
      <c r="H51" s="104">
        <f>'Ethylene Recycling HC'!H54</f>
        <v>0.10416612510252216</v>
      </c>
      <c r="I51" s="104">
        <f>'Ethylene Recycling HC'!I54</f>
        <v>0.10199948009842127</v>
      </c>
      <c r="J51" s="104">
        <f>'Ethylene Recycling HC'!J54</f>
        <v>9.9832835094320393E-2</v>
      </c>
      <c r="K51" s="104">
        <f>'Ethylene Recycling HC'!K54</f>
        <v>9.7666190090219512E-2</v>
      </c>
      <c r="L51" s="104">
        <f>'Ethylene Recycling HC'!L54</f>
        <v>9.5499545086118631E-2</v>
      </c>
      <c r="M51" s="104">
        <f>'Ethylene Recycling HC'!M54</f>
        <v>9.333290008201775E-2</v>
      </c>
      <c r="N51" s="104">
        <f>'Ethylene Recycling HC'!N54</f>
        <v>9.1166255077916869E-2</v>
      </c>
      <c r="O51" s="104">
        <f>'Ethylene Recycling HC'!O54</f>
        <v>8.8999610073815988E-2</v>
      </c>
      <c r="P51" s="104">
        <f>'Ethylene Recycling HC'!P54</f>
        <v>8.6832965069715107E-2</v>
      </c>
      <c r="Q51" s="104">
        <f>'Ethylene Recycling HC'!Q54</f>
        <v>8.4666320065614226E-2</v>
      </c>
      <c r="R51" s="104">
        <f>'Ethylene Recycling HC'!R54</f>
        <v>8.2499675061513345E-2</v>
      </c>
      <c r="S51" s="104">
        <f>'Ethylene Recycling HC'!S54</f>
        <v>8.0333030057412463E-2</v>
      </c>
      <c r="T51" s="104">
        <f>'Ethylene Recycling HC'!T54</f>
        <v>7.8166385053311582E-2</v>
      </c>
      <c r="U51" s="104">
        <f>'Ethylene Recycling HC'!U54</f>
        <v>7.5999740049210701E-2</v>
      </c>
      <c r="V51" s="104">
        <f>'Ethylene Recycling HC'!V54</f>
        <v>7.383309504510982E-2</v>
      </c>
      <c r="W51" s="104">
        <f>'Ethylene Recycling HC'!W54</f>
        <v>7.1666450041008939E-2</v>
      </c>
      <c r="X51" s="104">
        <f>'Ethylene Recycling HC'!X54</f>
        <v>6.9499805036908058E-2</v>
      </c>
      <c r="Y51" s="104">
        <f>'Ethylene Recycling HC'!Y54</f>
        <v>6.7333160032807177E-2</v>
      </c>
      <c r="Z51" s="104">
        <f>'Ethylene Recycling HC'!Z54</f>
        <v>6.5166515028706296E-2</v>
      </c>
      <c r="AA51" s="104">
        <f>'Ethylene Recycling HC'!AA54</f>
        <v>6.2999870024605414E-2</v>
      </c>
      <c r="AB51" s="104">
        <f>'Ethylene Recycling HC'!AB54</f>
        <v>6.0833225020504526E-2</v>
      </c>
      <c r="AC51" s="104">
        <f>'Ethylene Recycling HC'!AC54</f>
        <v>5.8666580016403638E-2</v>
      </c>
      <c r="AD51" s="104">
        <f>'Ethylene Recycling HC'!AD54</f>
        <v>5.649993501230275E-2</v>
      </c>
      <c r="AE51" s="104">
        <f>'Ethylene Recycling HC'!AE54</f>
        <v>5.4333290008201862E-2</v>
      </c>
      <c r="AF51" s="104">
        <f>'Ethylene Recycling HC'!AF54</f>
        <v>5.2166645004100974E-2</v>
      </c>
      <c r="AG51" s="104">
        <f>'Ethylene Recycling HC'!AG54</f>
        <v>0.05</v>
      </c>
      <c r="AI51" s="126"/>
      <c r="AJ51" s="198" t="s">
        <v>832</v>
      </c>
      <c r="AL51" s="102"/>
      <c r="AM51" s="2"/>
      <c r="AN51" s="2"/>
      <c r="AO51" s="2"/>
      <c r="AV51" s="38"/>
    </row>
    <row r="52" spans="1:63" outlineLevel="1">
      <c r="A52" t="s">
        <v>439</v>
      </c>
      <c r="C52" s="104">
        <f>'Ethylene Recycling HC'!C55</f>
        <v>0.13791632052401978</v>
      </c>
      <c r="D52" s="104">
        <f>'Ethylene Recycling HC'!D55</f>
        <v>0.13791632052401978</v>
      </c>
      <c r="E52" s="104">
        <f>'Ethylene Recycling HC'!E55</f>
        <v>0.13791632052401978</v>
      </c>
      <c r="F52" s="104">
        <f>'Ethylene Recycling HC'!F55</f>
        <v>0.13791632052401978</v>
      </c>
      <c r="G52" s="104">
        <f>'Ethylene Recycling HC'!G55</f>
        <v>0.13791632052401978</v>
      </c>
      <c r="H52" s="104">
        <f>'Ethylene Recycling HC'!H55</f>
        <v>0.13791632052401978</v>
      </c>
      <c r="I52" s="104">
        <f>'Ethylene Recycling HC'!I55</f>
        <v>0.13791632052401978</v>
      </c>
      <c r="J52" s="104">
        <f>'Ethylene Recycling HC'!J55</f>
        <v>0.13791632052401978</v>
      </c>
      <c r="K52" s="104">
        <f>'Ethylene Recycling HC'!K55</f>
        <v>0.13791632052401978</v>
      </c>
      <c r="L52" s="104">
        <f>'Ethylene Recycling HC'!L55</f>
        <v>0.13791632052401978</v>
      </c>
      <c r="M52" s="104">
        <f>'Ethylene Recycling HC'!M55</f>
        <v>0.13791632052401978</v>
      </c>
      <c r="N52" s="104">
        <f>'Ethylene Recycling HC'!N55</f>
        <v>0.13791632052401978</v>
      </c>
      <c r="O52" s="104">
        <f>'Ethylene Recycling HC'!O55</f>
        <v>0.13791632052401978</v>
      </c>
      <c r="P52" s="104">
        <f>'Ethylene Recycling HC'!P55</f>
        <v>0.13791632052401978</v>
      </c>
      <c r="Q52" s="104">
        <f>'Ethylene Recycling HC'!Q55</f>
        <v>0.13791632052401978</v>
      </c>
      <c r="R52" s="104">
        <f>'Ethylene Recycling HC'!R55</f>
        <v>0.13791632052401978</v>
      </c>
      <c r="S52" s="104">
        <f>'Ethylene Recycling HC'!S55</f>
        <v>0.13791632052401978</v>
      </c>
      <c r="T52" s="104">
        <f>'Ethylene Recycling HC'!T55</f>
        <v>0.13791632052401978</v>
      </c>
      <c r="U52" s="104">
        <f>'Ethylene Recycling HC'!U55</f>
        <v>0.13791632052401978</v>
      </c>
      <c r="V52" s="104">
        <f>'Ethylene Recycling HC'!V55</f>
        <v>0.13791632052401978</v>
      </c>
      <c r="W52" s="104">
        <f>'Ethylene Recycling HC'!W55</f>
        <v>0.13791632052401978</v>
      </c>
      <c r="X52" s="104">
        <f>'Ethylene Recycling HC'!X55</f>
        <v>0.13791632052401978</v>
      </c>
      <c r="Y52" s="104">
        <f>'Ethylene Recycling HC'!Y55</f>
        <v>0.13791632052401978</v>
      </c>
      <c r="Z52" s="104">
        <f>'Ethylene Recycling HC'!Z55</f>
        <v>0.13791632052401978</v>
      </c>
      <c r="AA52" s="104">
        <f>'Ethylene Recycling HC'!AA55</f>
        <v>0.13791632052401978</v>
      </c>
      <c r="AB52" s="104">
        <f>'Ethylene Recycling HC'!AB55</f>
        <v>0.13791632052401978</v>
      </c>
      <c r="AC52" s="104">
        <f>'Ethylene Recycling HC'!AC55</f>
        <v>0.13791632052401978</v>
      </c>
      <c r="AD52" s="104">
        <f>'Ethylene Recycling HC'!AD55</f>
        <v>0.13791632052401978</v>
      </c>
      <c r="AE52" s="104">
        <f>'Ethylene Recycling HC'!AE55</f>
        <v>0.13791632052401978</v>
      </c>
      <c r="AF52" s="104">
        <f>'Ethylene Recycling HC'!AF55</f>
        <v>0.13791632052401978</v>
      </c>
      <c r="AG52" s="104">
        <f>'Ethylene Recycling HC'!AG55</f>
        <v>0.13791632052401978</v>
      </c>
      <c r="AI52" s="126"/>
      <c r="AJ52" s="198" t="s">
        <v>832</v>
      </c>
      <c r="AL52" s="102"/>
      <c r="AM52" s="2"/>
      <c r="AN52" s="2"/>
      <c r="AO52" s="2"/>
      <c r="AV52" s="38"/>
    </row>
    <row r="53" spans="1:63" outlineLevel="1">
      <c r="A53" t="s">
        <v>831</v>
      </c>
      <c r="B53" s="51" t="s">
        <v>126</v>
      </c>
      <c r="C53" s="104">
        <f>'Ethylene Recycling HC'!C56</f>
        <v>0.10855071452136934</v>
      </c>
      <c r="D53" s="104">
        <f>'Ethylene Recycling HC'!D56</f>
        <v>0.10855071452136934</v>
      </c>
      <c r="E53" s="104">
        <f>'Ethylene Recycling HC'!E56</f>
        <v>0.10855071452136934</v>
      </c>
      <c r="F53" s="104">
        <f>'Ethylene Recycling HC'!F56</f>
        <v>0.10855071452136934</v>
      </c>
      <c r="G53" s="104">
        <f>'Ethylene Recycling HC'!G56</f>
        <v>0.10855071452136934</v>
      </c>
      <c r="H53" s="104">
        <f>'Ethylene Recycling HC'!H56</f>
        <v>0.10855071452136934</v>
      </c>
      <c r="I53" s="104">
        <f>'Ethylene Recycling HC'!I56</f>
        <v>0.10855071452136934</v>
      </c>
      <c r="J53" s="104">
        <f>'Ethylene Recycling HC'!J56</f>
        <v>0.10855071452136934</v>
      </c>
      <c r="K53" s="104">
        <f>'Ethylene Recycling HC'!K56</f>
        <v>0.10855071452136934</v>
      </c>
      <c r="L53" s="104">
        <f>'Ethylene Recycling HC'!L56</f>
        <v>0.10855071452136934</v>
      </c>
      <c r="M53" s="104">
        <f>'Ethylene Recycling HC'!M56</f>
        <v>0.10855071452136934</v>
      </c>
      <c r="N53" s="104">
        <f>'Ethylene Recycling HC'!N56</f>
        <v>0.10855071452136934</v>
      </c>
      <c r="O53" s="104">
        <f>'Ethylene Recycling HC'!O56</f>
        <v>0.10855071452136934</v>
      </c>
      <c r="P53" s="104">
        <f>'Ethylene Recycling HC'!P56</f>
        <v>0.10855071452136934</v>
      </c>
      <c r="Q53" s="104">
        <f>'Ethylene Recycling HC'!Q56</f>
        <v>0.10855071452136934</v>
      </c>
      <c r="R53" s="104">
        <f>'Ethylene Recycling HC'!R56</f>
        <v>0.10855071452136934</v>
      </c>
      <c r="S53" s="104">
        <f>'Ethylene Recycling HC'!S56</f>
        <v>0.10855071452136934</v>
      </c>
      <c r="T53" s="104">
        <f>'Ethylene Recycling HC'!T56</f>
        <v>0.10855071452136934</v>
      </c>
      <c r="U53" s="104">
        <f>'Ethylene Recycling HC'!U56</f>
        <v>0.10855071452136934</v>
      </c>
      <c r="V53" s="104">
        <f>'Ethylene Recycling HC'!V56</f>
        <v>0.10855071452136934</v>
      </c>
      <c r="W53" s="104">
        <f>'Ethylene Recycling HC'!W56</f>
        <v>0.10855071452136934</v>
      </c>
      <c r="X53" s="104">
        <f>'Ethylene Recycling HC'!X56</f>
        <v>0.10855071452136934</v>
      </c>
      <c r="Y53" s="104">
        <f>'Ethylene Recycling HC'!Y56</f>
        <v>0.10855071452136934</v>
      </c>
      <c r="Z53" s="104">
        <f>'Ethylene Recycling HC'!Z56</f>
        <v>0.10855071452136934</v>
      </c>
      <c r="AA53" s="104">
        <f>'Ethylene Recycling HC'!AA56</f>
        <v>0.10855071452136934</v>
      </c>
      <c r="AB53" s="104">
        <f>'Ethylene Recycling HC'!AB56</f>
        <v>0.10855071452136934</v>
      </c>
      <c r="AC53" s="104">
        <f>'Ethylene Recycling HC'!AC56</f>
        <v>0.10855071452136934</v>
      </c>
      <c r="AD53" s="104">
        <f>'Ethylene Recycling HC'!AD56</f>
        <v>0.10855071452136934</v>
      </c>
      <c r="AE53" s="104">
        <f>'Ethylene Recycling HC'!AE56</f>
        <v>0.10855071452136934</v>
      </c>
      <c r="AF53" s="104">
        <f>'Ethylene Recycling HC'!AF56</f>
        <v>0.10855071452136934</v>
      </c>
      <c r="AG53" s="104">
        <f>'Ethylene Recycling HC'!AG56</f>
        <v>0.10855071452136934</v>
      </c>
      <c r="AI53" s="126"/>
      <c r="AJ53" s="198" t="s">
        <v>832</v>
      </c>
      <c r="AL53" s="102"/>
      <c r="AM53" s="2"/>
      <c r="AN53" s="2"/>
      <c r="AO53" s="2"/>
      <c r="AV53" s="38"/>
    </row>
    <row r="54" spans="1:63" outlineLevel="1">
      <c r="A54" t="s">
        <v>440</v>
      </c>
      <c r="B54" s="51" t="s">
        <v>126</v>
      </c>
      <c r="C54" s="104">
        <f>'Ethylene Recycling HC'!C57</f>
        <v>0.63853361483158433</v>
      </c>
      <c r="D54" s="104">
        <f>'Ethylene Recycling HC'!D57</f>
        <v>0.64070025983568524</v>
      </c>
      <c r="E54" s="104">
        <f>'Ethylene Recycling HC'!E57</f>
        <v>0.64286690483978604</v>
      </c>
      <c r="F54" s="104">
        <f>'Ethylene Recycling HC'!F57</f>
        <v>0.64503354984388694</v>
      </c>
      <c r="G54" s="104">
        <f>'Ethylene Recycling HC'!G57</f>
        <v>0.64720019484798785</v>
      </c>
      <c r="H54" s="104">
        <f>'Ethylene Recycling HC'!H57</f>
        <v>0.64936683985208865</v>
      </c>
      <c r="I54" s="104">
        <f>'Ethylene Recycling HC'!I57</f>
        <v>0.65153348485618956</v>
      </c>
      <c r="J54" s="104">
        <f>'Ethylene Recycling HC'!J57</f>
        <v>0.65370012986029047</v>
      </c>
      <c r="K54" s="104">
        <f>'Ethylene Recycling HC'!K57</f>
        <v>0.65586677486439138</v>
      </c>
      <c r="L54" s="104">
        <f>'Ethylene Recycling HC'!L57</f>
        <v>0.65803341986849229</v>
      </c>
      <c r="M54" s="104">
        <f>'Ethylene Recycling HC'!M57</f>
        <v>0.66020006487259308</v>
      </c>
      <c r="N54" s="104">
        <f>'Ethylene Recycling HC'!N57</f>
        <v>0.66236670987669399</v>
      </c>
      <c r="O54" s="104">
        <f>'Ethylene Recycling HC'!O57</f>
        <v>0.6645333548807949</v>
      </c>
      <c r="P54" s="104">
        <f>'Ethylene Recycling HC'!P57</f>
        <v>0.6666999998848957</v>
      </c>
      <c r="Q54" s="104">
        <f>'Ethylene Recycling HC'!Q57</f>
        <v>0.66886664488899661</v>
      </c>
      <c r="R54" s="104">
        <f>'Ethylene Recycling HC'!R57</f>
        <v>0.67103328989309752</v>
      </c>
      <c r="S54" s="104">
        <f>'Ethylene Recycling HC'!S57</f>
        <v>0.67319993489719843</v>
      </c>
      <c r="T54" s="104">
        <f>'Ethylene Recycling HC'!T57</f>
        <v>0.67536657990129934</v>
      </c>
      <c r="U54" s="104">
        <f>'Ethylene Recycling HC'!U57</f>
        <v>0.67753322490540013</v>
      </c>
      <c r="V54" s="104">
        <f>'Ethylene Recycling HC'!V57</f>
        <v>0.67969986990950104</v>
      </c>
      <c r="W54" s="104">
        <f>'Ethylene Recycling HC'!W57</f>
        <v>0.68186651491360195</v>
      </c>
      <c r="X54" s="104">
        <f>'Ethylene Recycling HC'!X57</f>
        <v>0.68403315991770275</v>
      </c>
      <c r="Y54" s="104">
        <f>'Ethylene Recycling HC'!Y57</f>
        <v>0.68619980492180366</v>
      </c>
      <c r="Z54" s="104">
        <f>'Ethylene Recycling HC'!Z57</f>
        <v>0.68836644992590457</v>
      </c>
      <c r="AA54" s="104">
        <f>'Ethylene Recycling HC'!AA57</f>
        <v>0.69053309493000548</v>
      </c>
      <c r="AB54" s="104">
        <f>'Ethylene Recycling HC'!AB57</f>
        <v>0.69269973993410638</v>
      </c>
      <c r="AC54" s="104">
        <f>'Ethylene Recycling HC'!AC57</f>
        <v>0.69486638493820718</v>
      </c>
      <c r="AD54" s="104">
        <f>'Ethylene Recycling HC'!AD57</f>
        <v>0.69703302994230809</v>
      </c>
      <c r="AE54" s="104">
        <f>'Ethylene Recycling HC'!AE57</f>
        <v>0.699199674946409</v>
      </c>
      <c r="AF54" s="104">
        <f>'Ethylene Recycling HC'!AF57</f>
        <v>0.70136631995050991</v>
      </c>
      <c r="AG54" s="104">
        <f>'Ethylene Recycling HC'!AG57</f>
        <v>0.70353296495461082</v>
      </c>
      <c r="AI54" s="126"/>
      <c r="AJ54" s="198" t="s">
        <v>832</v>
      </c>
      <c r="AL54" s="102"/>
      <c r="AM54" s="2"/>
      <c r="AN54" s="2"/>
      <c r="AO54" s="2"/>
      <c r="AV54" s="38"/>
    </row>
    <row r="55" spans="1:63" outlineLevel="1">
      <c r="A55" t="s">
        <v>438</v>
      </c>
      <c r="B55" s="51" t="s">
        <v>126</v>
      </c>
      <c r="C55" s="104">
        <f>'Ethylene Recycling HC'!C58</f>
        <v>1.0924938261687523E-2</v>
      </c>
      <c r="D55" s="104">
        <f>'Ethylene Recycling HC'!D58</f>
        <v>1.1091454913190394E-2</v>
      </c>
      <c r="E55" s="104">
        <f>'Ethylene Recycling HC'!E58</f>
        <v>1.1243671707666198E-2</v>
      </c>
      <c r="F55" s="104">
        <f>'Ethylene Recycling HC'!F58</f>
        <v>1.1381588645114939E-2</v>
      </c>
      <c r="G55" s="104">
        <f>'Ethylene Recycling HC'!G58</f>
        <v>1.1505205725536613E-2</v>
      </c>
      <c r="H55" s="104">
        <f>'Ethylene Recycling HC'!H58</f>
        <v>1.161452294893122E-2</v>
      </c>
      <c r="I55" s="104">
        <f>'Ethylene Recycling HC'!I58</f>
        <v>1.1709540315298762E-2</v>
      </c>
      <c r="J55" s="104">
        <f>'Ethylene Recycling HC'!J58</f>
        <v>1.1790257824639237E-2</v>
      </c>
      <c r="K55" s="104">
        <f>'Ethylene Recycling HC'!K58</f>
        <v>1.185667547695265E-2</v>
      </c>
      <c r="L55" s="104">
        <f>'Ethylene Recycling HC'!L58</f>
        <v>1.1908793272238994E-2</v>
      </c>
      <c r="M55" s="104">
        <f>'Ethylene Recycling HC'!M58</f>
        <v>1.1946611210498273E-2</v>
      </c>
      <c r="N55" s="104">
        <f>'Ethylene Recycling HC'!N58</f>
        <v>1.2362144188565528E-2</v>
      </c>
      <c r="O55" s="104">
        <f>'Ethylene Recycling HC'!O58</f>
        <v>1.2744744162570449E-2</v>
      </c>
      <c r="P55" s="104">
        <f>'Ethylene Recycling HC'!P58</f>
        <v>1.3094411132513037E-2</v>
      </c>
      <c r="Q55" s="104">
        <f>'Ethylene Recycling HC'!Q58</f>
        <v>1.3411145098393293E-2</v>
      </c>
      <c r="R55" s="104">
        <f>'Ethylene Recycling HC'!R58</f>
        <v>1.3694946060211214E-2</v>
      </c>
      <c r="S55" s="104">
        <f>'Ethylene Recycling HC'!S58</f>
        <v>1.3945814017966802E-2</v>
      </c>
      <c r="T55" s="104">
        <f>'Ethylene Recycling HC'!T58</f>
        <v>1.4163748971660058E-2</v>
      </c>
      <c r="U55" s="104">
        <f>'Ethylene Recycling HC'!U58</f>
        <v>1.434875092129098E-2</v>
      </c>
      <c r="V55" s="104">
        <f>'Ethylene Recycling HC'!V58</f>
        <v>1.4500819866859568E-2</v>
      </c>
      <c r="W55" s="104">
        <f>'Ethylene Recycling HC'!W58</f>
        <v>1.4619955808365823E-2</v>
      </c>
      <c r="X55" s="104">
        <f>'Ethylene Recycling HC'!X58</f>
        <v>1.5019776616038791E-2</v>
      </c>
      <c r="Y55" s="104">
        <f>'Ethylene Recycling HC'!Y58</f>
        <v>1.5367110448487417E-2</v>
      </c>
      <c r="Z55" s="104">
        <f>'Ethylene Recycling HC'!Z58</f>
        <v>1.56619573057117E-2</v>
      </c>
      <c r="AA55" s="104">
        <f>'Ethylene Recycling HC'!AA58</f>
        <v>1.5904317187711636E-2</v>
      </c>
      <c r="AB55" s="104">
        <f>'Ethylene Recycling HC'!AB58</f>
        <v>1.6094190094487228E-2</v>
      </c>
      <c r="AC55" s="104">
        <f>'Ethylene Recycling HC'!AC58</f>
        <v>1.6231576026038474E-2</v>
      </c>
      <c r="AD55" s="104">
        <f>'Ethylene Recycling HC'!AD58</f>
        <v>1.6316474982365377E-2</v>
      </c>
      <c r="AE55" s="104">
        <f>'Ethylene Recycling HC'!AE58</f>
        <v>1.6348886963467937E-2</v>
      </c>
      <c r="AF55" s="104">
        <f>'Ethylene Recycling HC'!AF58</f>
        <v>1.6328811969346151E-2</v>
      </c>
      <c r="AG55" s="104">
        <f>'Ethylene Recycling HC'!AG58</f>
        <v>1.6256249999999996E-2</v>
      </c>
      <c r="AH55" s="252"/>
      <c r="AI55" s="126"/>
      <c r="AJ55" s="198"/>
      <c r="AL55" s="102"/>
      <c r="AM55" s="2"/>
      <c r="AN55" s="2"/>
      <c r="AO55" s="2"/>
    </row>
    <row r="56" spans="1:63" outlineLevel="1">
      <c r="A56" t="s">
        <v>439</v>
      </c>
      <c r="B56" s="51" t="s">
        <v>126</v>
      </c>
      <c r="C56" s="104">
        <f>'Ethylene Recycling HC'!C59</f>
        <v>1.3102050449781879E-2</v>
      </c>
      <c r="D56" s="104">
        <f>'Ethylene Recycling HC'!D59</f>
        <v>1.3557174307511145E-2</v>
      </c>
      <c r="E56" s="104">
        <f>'Ethylene Recycling HC'!E59</f>
        <v>1.4012298165240409E-2</v>
      </c>
      <c r="F56" s="104">
        <f>'Ethylene Recycling HC'!F59</f>
        <v>1.4467422022969674E-2</v>
      </c>
      <c r="G56" s="104">
        <f>'Ethylene Recycling HC'!G59</f>
        <v>1.4922545880698941E-2</v>
      </c>
      <c r="H56" s="104">
        <f>'Ethylene Recycling HC'!H59</f>
        <v>1.5377669738428206E-2</v>
      </c>
      <c r="I56" s="104">
        <f>'Ethylene Recycling HC'!I59</f>
        <v>1.5832793596157472E-2</v>
      </c>
      <c r="J56" s="104">
        <f>'Ethylene Recycling HC'!J59</f>
        <v>1.6287917453886736E-2</v>
      </c>
      <c r="K56" s="104">
        <f>'Ethylene Recycling HC'!K59</f>
        <v>1.6743041311616004E-2</v>
      </c>
      <c r="L56" s="104">
        <f>'Ethylene Recycling HC'!L59</f>
        <v>1.7198165169345268E-2</v>
      </c>
      <c r="M56" s="104">
        <f>'Ethylene Recycling HC'!M59</f>
        <v>1.7653289027074533E-2</v>
      </c>
      <c r="N56" s="104">
        <f>'Ethylene Recycling HC'!N59</f>
        <v>1.8701453063057084E-2</v>
      </c>
      <c r="O56" s="104">
        <f>'Ethylene Recycling HC'!O59</f>
        <v>1.9749617099039631E-2</v>
      </c>
      <c r="P56" s="104">
        <f>'Ethylene Recycling HC'!P59</f>
        <v>2.0797781135022182E-2</v>
      </c>
      <c r="Q56" s="104">
        <f>'Ethylene Recycling HC'!Q59</f>
        <v>2.184594517100473E-2</v>
      </c>
      <c r="R56" s="104">
        <f>'Ethylene Recycling HC'!R59</f>
        <v>2.2894109206987281E-2</v>
      </c>
      <c r="S56" s="104">
        <f>'Ethylene Recycling HC'!S59</f>
        <v>2.3942273242969832E-2</v>
      </c>
      <c r="T56" s="104">
        <f>'Ethylene Recycling HC'!T59</f>
        <v>2.4990437278952383E-2</v>
      </c>
      <c r="U56" s="104">
        <f>'Ethylene Recycling HC'!U59</f>
        <v>2.6038601314934934E-2</v>
      </c>
      <c r="V56" s="104">
        <f>'Ethylene Recycling HC'!V59</f>
        <v>2.7086765350917485E-2</v>
      </c>
      <c r="W56" s="104">
        <f>'Ethylene Recycling HC'!W59</f>
        <v>2.8134929386900032E-2</v>
      </c>
      <c r="X56" s="104">
        <f>'Ethylene Recycling HC'!X59</f>
        <v>2.9805440819247221E-2</v>
      </c>
      <c r="Y56" s="104">
        <f>'Ethylene Recycling HC'!Y59</f>
        <v>3.1475952251594413E-2</v>
      </c>
      <c r="Z56" s="104">
        <f>'Ethylene Recycling HC'!Z59</f>
        <v>3.3146463683941599E-2</v>
      </c>
      <c r="AA56" s="104">
        <f>'Ethylene Recycling HC'!AA59</f>
        <v>3.4816975116288784E-2</v>
      </c>
      <c r="AB56" s="104">
        <f>'Ethylene Recycling HC'!AB59</f>
        <v>3.6487486548635983E-2</v>
      </c>
      <c r="AC56" s="104">
        <f>'Ethylene Recycling HC'!AC59</f>
        <v>3.8157997980983169E-2</v>
      </c>
      <c r="AD56" s="104">
        <f>'Ethylene Recycling HC'!AD59</f>
        <v>3.9828509413330361E-2</v>
      </c>
      <c r="AE56" s="104">
        <f>'Ethylene Recycling HC'!AE59</f>
        <v>4.1499020845677546E-2</v>
      </c>
      <c r="AF56" s="104">
        <f>'Ethylene Recycling HC'!AF59</f>
        <v>4.3169532278024732E-2</v>
      </c>
      <c r="AG56" s="104">
        <f>'Ethylene Recycling HC'!AG59</f>
        <v>4.4840043710371924E-2</v>
      </c>
      <c r="AH56" s="252"/>
      <c r="AJ56" s="198"/>
      <c r="AL56" s="102"/>
      <c r="AM56" s="2"/>
      <c r="AN56" s="2"/>
      <c r="AO56" s="2"/>
      <c r="BC56" s="1"/>
      <c r="BD56" s="2"/>
      <c r="BE56" s="2"/>
      <c r="BF56" s="2"/>
      <c r="BG56" s="2"/>
      <c r="BH56" s="2"/>
      <c r="BI56" s="2"/>
      <c r="BJ56" s="2"/>
      <c r="BK56" s="2"/>
    </row>
    <row r="57" spans="1:63" outlineLevel="1">
      <c r="A57" t="s">
        <v>831</v>
      </c>
      <c r="C57" s="104">
        <f>'Ethylene Recycling HC'!C60</f>
        <v>1.0312317879530087E-2</v>
      </c>
      <c r="D57" s="104">
        <f>'Ethylene Recycling HC'!D60</f>
        <v>1.0670535237450606E-2</v>
      </c>
      <c r="E57" s="104">
        <f>'Ethylene Recycling HC'!E60</f>
        <v>1.1028752595371125E-2</v>
      </c>
      <c r="F57" s="104">
        <f>'Ethylene Recycling HC'!F60</f>
        <v>1.1386969953291644E-2</v>
      </c>
      <c r="G57" s="104">
        <f>'Ethylene Recycling HC'!G60</f>
        <v>1.1745187311212163E-2</v>
      </c>
      <c r="H57" s="104">
        <f>'Ethylene Recycling HC'!H60</f>
        <v>1.2103404669132681E-2</v>
      </c>
      <c r="I57" s="104">
        <f>'Ethylene Recycling HC'!I60</f>
        <v>1.24616220270532E-2</v>
      </c>
      <c r="J57" s="104">
        <f>'Ethylene Recycling HC'!J60</f>
        <v>1.2819839384973719E-2</v>
      </c>
      <c r="K57" s="104">
        <f>'Ethylene Recycling HC'!K60</f>
        <v>1.317805674289424E-2</v>
      </c>
      <c r="L57" s="104">
        <f>'Ethylene Recycling HC'!L60</f>
        <v>1.3536274100814759E-2</v>
      </c>
      <c r="M57" s="104">
        <f>'Ethylene Recycling HC'!M60</f>
        <v>1.3894491458735276E-2</v>
      </c>
      <c r="N57" s="104">
        <f>'Ethylene Recycling HC'!N60</f>
        <v>1.4719476889097683E-2</v>
      </c>
      <c r="O57" s="104">
        <f>'Ethylene Recycling HC'!O60</f>
        <v>1.5544462319460089E-2</v>
      </c>
      <c r="P57" s="104">
        <f>'Ethylene Recycling HC'!P60</f>
        <v>1.6369447749822495E-2</v>
      </c>
      <c r="Q57" s="104">
        <f>'Ethylene Recycling HC'!Q60</f>
        <v>1.7194433180184904E-2</v>
      </c>
      <c r="R57" s="104">
        <f>'Ethylene Recycling HC'!R60</f>
        <v>1.8019418610547309E-2</v>
      </c>
      <c r="S57" s="104">
        <f>'Ethylene Recycling HC'!S60</f>
        <v>1.8844404040909715E-2</v>
      </c>
      <c r="T57" s="104">
        <f>'Ethylene Recycling HC'!T60</f>
        <v>1.9669389471272124E-2</v>
      </c>
      <c r="U57" s="104">
        <f>'Ethylene Recycling HC'!U60</f>
        <v>2.049437490163453E-2</v>
      </c>
      <c r="V57" s="104">
        <f>'Ethylene Recycling HC'!V60</f>
        <v>2.1319360331996939E-2</v>
      </c>
      <c r="W57" s="104">
        <f>'Ethylene Recycling HC'!W60</f>
        <v>2.2144345762359345E-2</v>
      </c>
      <c r="X57" s="104">
        <f>'Ethylene Recycling HC'!X60</f>
        <v>2.3459166291999432E-2</v>
      </c>
      <c r="Y57" s="104">
        <f>'Ethylene Recycling HC'!Y60</f>
        <v>2.4773986821639518E-2</v>
      </c>
      <c r="Z57" s="104">
        <f>'Ethylene Recycling HC'!Z60</f>
        <v>2.6088807351279601E-2</v>
      </c>
      <c r="AA57" s="104">
        <f>'Ethylene Recycling HC'!AA60</f>
        <v>2.7403627880919684E-2</v>
      </c>
      <c r="AB57" s="104">
        <f>'Ethylene Recycling HC'!AB60</f>
        <v>2.8718448410559774E-2</v>
      </c>
      <c r="AC57" s="104">
        <f>'Ethylene Recycling HC'!AC60</f>
        <v>3.0033268940199857E-2</v>
      </c>
      <c r="AD57" s="104">
        <f>'Ethylene Recycling HC'!AD60</f>
        <v>3.1348089469839947E-2</v>
      </c>
      <c r="AE57" s="104">
        <f>'Ethylene Recycling HC'!AE60</f>
        <v>3.266290999948003E-2</v>
      </c>
      <c r="AF57" s="104">
        <f>'Ethylene Recycling HC'!AF60</f>
        <v>3.3977730529120113E-2</v>
      </c>
      <c r="AG57" s="104">
        <f>'Ethylene Recycling HC'!AG60</f>
        <v>3.5292551058760203E-2</v>
      </c>
      <c r="AH57" s="252"/>
      <c r="AJ57" s="198"/>
      <c r="AL57" s="102"/>
      <c r="AM57" s="2"/>
      <c r="AN57" s="2"/>
      <c r="AO57" s="2"/>
      <c r="BC57" s="1"/>
      <c r="BD57" s="2"/>
      <c r="BE57" s="2"/>
      <c r="BF57" s="2"/>
      <c r="BG57" s="2"/>
      <c r="BH57" s="2"/>
      <c r="BI57" s="2"/>
      <c r="BJ57" s="2"/>
      <c r="BK57" s="2"/>
    </row>
    <row r="58" spans="1:63" outlineLevel="1">
      <c r="A58" t="s">
        <v>440</v>
      </c>
      <c r="B58" s="51" t="s">
        <v>126</v>
      </c>
      <c r="C58" s="104">
        <f>'Ethylene Recycling HC'!C61</f>
        <v>6.0660693409000509E-2</v>
      </c>
      <c r="D58" s="104">
        <f>'Ethylene Recycling HC'!D61</f>
        <v>6.2980835541847857E-2</v>
      </c>
      <c r="E58" s="104">
        <f>'Ethylene Recycling HC'!E61</f>
        <v>6.5315277531722254E-2</v>
      </c>
      <c r="F58" s="104">
        <f>'Ethylene Recycling HC'!F61</f>
        <v>6.7664019378623735E-2</v>
      </c>
      <c r="G58" s="104">
        <f>'Ethylene Recycling HC'!G61</f>
        <v>7.0027061082552286E-2</v>
      </c>
      <c r="H58" s="104">
        <f>'Ethylene Recycling HC'!H61</f>
        <v>7.2404402643507892E-2</v>
      </c>
      <c r="I58" s="104">
        <f>'Ethylene Recycling HC'!I61</f>
        <v>7.4796044061490555E-2</v>
      </c>
      <c r="J58" s="104">
        <f>'Ethylene Recycling HC'!J61</f>
        <v>7.7201985336500301E-2</v>
      </c>
      <c r="K58" s="104">
        <f>'Ethylene Recycling HC'!K61</f>
        <v>7.9622226468537116E-2</v>
      </c>
      <c r="L58" s="104">
        <f>'Ethylene Recycling HC'!L61</f>
        <v>8.2056767457600988E-2</v>
      </c>
      <c r="M58" s="104">
        <f>'Ethylene Recycling HC'!M61</f>
        <v>8.4505608303691915E-2</v>
      </c>
      <c r="N58" s="104">
        <f>'Ethylene Recycling HC'!N61</f>
        <v>8.9816925859279709E-2</v>
      </c>
      <c r="O58" s="104">
        <f>'Ethylene Recycling HC'!O61</f>
        <v>9.5161176418929821E-2</v>
      </c>
      <c r="P58" s="104">
        <f>'Ethylene Recycling HC'!P61</f>
        <v>0.10053835998264227</v>
      </c>
      <c r="Q58" s="104">
        <f>'Ethylene Recycling HC'!Q61</f>
        <v>0.10594847655041706</v>
      </c>
      <c r="R58" s="104">
        <f>'Ethylene Recycling HC'!R61</f>
        <v>0.11139152612225417</v>
      </c>
      <c r="S58" s="104">
        <f>'Ethylene Recycling HC'!S61</f>
        <v>0.11686750869815363</v>
      </c>
      <c r="T58" s="104">
        <f>'Ethylene Recycling HC'!T61</f>
        <v>0.12237642427811544</v>
      </c>
      <c r="U58" s="104">
        <f>'Ethylene Recycling HC'!U61</f>
        <v>0.12791827286213955</v>
      </c>
      <c r="V58" s="104">
        <f>'Ethylene Recycling HC'!V61</f>
        <v>0.133493054450226</v>
      </c>
      <c r="W58" s="104">
        <f>'Ethylene Recycling HC'!W61</f>
        <v>0.13910076904237478</v>
      </c>
      <c r="X58" s="104">
        <f>'Ethylene Recycling HC'!X61</f>
        <v>0.14782811627271453</v>
      </c>
      <c r="Y58" s="104">
        <f>'Ethylene Recycling HC'!Y61</f>
        <v>0.15660795047827863</v>
      </c>
      <c r="Z58" s="104">
        <f>'Ethylene Recycling HC'!Z61</f>
        <v>0.16544027165906708</v>
      </c>
      <c r="AA58" s="104">
        <f>'Ethylene Recycling HC'!AA61</f>
        <v>0.17432507981507986</v>
      </c>
      <c r="AB58" s="104">
        <f>'Ethylene Recycling HC'!AB61</f>
        <v>0.183262374946317</v>
      </c>
      <c r="AC58" s="104">
        <f>'Ethylene Recycling HC'!AC61</f>
        <v>0.19225215705277843</v>
      </c>
      <c r="AD58" s="104">
        <f>'Ethylene Recycling HC'!AD61</f>
        <v>0.20129442613446427</v>
      </c>
      <c r="AE58" s="104">
        <f>'Ethylene Recycling HC'!AE61</f>
        <v>0.21038918219137442</v>
      </c>
      <c r="AF58" s="104">
        <f>'Ethylene Recycling HC'!AF61</f>
        <v>0.21953642522350891</v>
      </c>
      <c r="AG58" s="104">
        <f>'Ethylene Recycling HC'!AG61</f>
        <v>0.22873615523086779</v>
      </c>
      <c r="AH58" s="252"/>
      <c r="AI58" s="126"/>
      <c r="AJ58" s="198"/>
      <c r="AL58" s="102"/>
      <c r="AM58" s="2"/>
      <c r="AN58" s="2"/>
      <c r="AO58" s="2"/>
      <c r="BC58" s="1"/>
      <c r="BD58" s="2"/>
      <c r="BE58" s="2"/>
      <c r="BF58" s="2"/>
      <c r="BG58" s="2"/>
      <c r="BH58" s="2"/>
      <c r="BI58" s="2"/>
      <c r="BJ58" s="2"/>
      <c r="BK58" s="2"/>
    </row>
    <row r="59" spans="1:63" outlineLevel="1">
      <c r="C59" s="104"/>
      <c r="D59" s="104"/>
      <c r="E59" s="104"/>
      <c r="F59" s="104"/>
      <c r="G59" s="104"/>
      <c r="H59" s="104"/>
      <c r="I59" s="104"/>
      <c r="J59" s="104"/>
      <c r="K59" s="104"/>
      <c r="L59" s="104"/>
      <c r="M59" s="104"/>
      <c r="N59" s="104"/>
      <c r="O59" s="104"/>
      <c r="P59" s="104"/>
      <c r="Q59" s="104"/>
      <c r="R59" s="104"/>
      <c r="S59" s="104"/>
      <c r="T59" s="104"/>
      <c r="U59" s="104"/>
      <c r="V59" s="104"/>
      <c r="W59" s="104"/>
      <c r="X59" s="104"/>
      <c r="Y59" s="104"/>
      <c r="Z59" s="104"/>
      <c r="AA59" s="104"/>
      <c r="AB59" s="104"/>
      <c r="AC59" s="104"/>
      <c r="AD59" s="104"/>
      <c r="AE59" s="104"/>
      <c r="AF59" s="104"/>
      <c r="AG59" s="104"/>
      <c r="AI59" s="126"/>
      <c r="AJ59" s="198"/>
      <c r="AL59" s="102"/>
      <c r="AM59" s="2"/>
      <c r="AN59" s="2"/>
      <c r="AO59" s="2"/>
      <c r="BC59" s="1"/>
      <c r="BD59" s="2"/>
      <c r="BE59" s="2"/>
      <c r="BF59" s="2"/>
      <c r="BG59" s="2"/>
      <c r="BH59" s="2"/>
      <c r="BI59" s="2"/>
      <c r="BJ59" s="2"/>
      <c r="BK59" s="2"/>
    </row>
    <row r="60" spans="1:63" outlineLevel="1">
      <c r="A60" t="s">
        <v>1370</v>
      </c>
      <c r="C60" s="357">
        <f>('Overall recycling rates'!F84*'Yearly BTX'!D5+'Overall recycling rates'!G84*'Yearly BTX'!D6+'Overall recycling rates'!H84*'Yearly BTX'!D7)/'Yearly BTX'!D4</f>
        <v>1.3486413897778087</v>
      </c>
      <c r="D60" s="357">
        <f>C60-($C60-$AG60)/($AG$1-$C$1)</f>
        <v>1.3403533434518817</v>
      </c>
      <c r="E60" s="357">
        <f t="shared" ref="E60:AF60" si="29">D60-($C60-$AG60)/($AG$1-$C$1)</f>
        <v>1.3320652971259548</v>
      </c>
      <c r="F60" s="357">
        <f t="shared" si="29"/>
        <v>1.3237772508000278</v>
      </c>
      <c r="G60" s="357">
        <f t="shared" si="29"/>
        <v>1.3154892044741009</v>
      </c>
      <c r="H60" s="357">
        <f t="shared" si="29"/>
        <v>1.3072011581481739</v>
      </c>
      <c r="I60" s="357">
        <f t="shared" si="29"/>
        <v>1.298913111822247</v>
      </c>
      <c r="J60" s="357">
        <f t="shared" si="29"/>
        <v>1.2906250654963201</v>
      </c>
      <c r="K60" s="357">
        <f t="shared" si="29"/>
        <v>1.2823370191703931</v>
      </c>
      <c r="L60" s="357">
        <f t="shared" si="29"/>
        <v>1.2740489728444662</v>
      </c>
      <c r="M60" s="357">
        <f t="shared" si="29"/>
        <v>1.2657609265185392</v>
      </c>
      <c r="N60" s="357">
        <f t="shared" si="29"/>
        <v>1.2574728801926123</v>
      </c>
      <c r="O60" s="357">
        <f t="shared" si="29"/>
        <v>1.2491848338666853</v>
      </c>
      <c r="P60" s="357">
        <f t="shared" si="29"/>
        <v>1.2408967875407584</v>
      </c>
      <c r="Q60" s="357">
        <f t="shared" si="29"/>
        <v>1.2326087412148314</v>
      </c>
      <c r="R60" s="357">
        <f t="shared" si="29"/>
        <v>1.2243206948889045</v>
      </c>
      <c r="S60" s="357">
        <f t="shared" si="29"/>
        <v>1.2160326485629775</v>
      </c>
      <c r="T60" s="357">
        <f t="shared" si="29"/>
        <v>1.2077446022370506</v>
      </c>
      <c r="U60" s="357">
        <f t="shared" si="29"/>
        <v>1.1994565559111237</v>
      </c>
      <c r="V60" s="357">
        <f t="shared" si="29"/>
        <v>1.1911685095851967</v>
      </c>
      <c r="W60" s="357">
        <f t="shared" si="29"/>
        <v>1.1828804632592698</v>
      </c>
      <c r="X60" s="357">
        <f t="shared" si="29"/>
        <v>1.1745924169333428</v>
      </c>
      <c r="Y60" s="357">
        <f t="shared" si="29"/>
        <v>1.1663043706074159</v>
      </c>
      <c r="Z60" s="357">
        <f t="shared" si="29"/>
        <v>1.1580163242814889</v>
      </c>
      <c r="AA60" s="357">
        <f t="shared" si="29"/>
        <v>1.149728277955562</v>
      </c>
      <c r="AB60" s="357">
        <f t="shared" si="29"/>
        <v>1.141440231629635</v>
      </c>
      <c r="AC60" s="357">
        <f t="shared" si="29"/>
        <v>1.1331521853037081</v>
      </c>
      <c r="AD60" s="357">
        <f t="shared" si="29"/>
        <v>1.1248641389777811</v>
      </c>
      <c r="AE60" s="357">
        <f t="shared" si="29"/>
        <v>1.1165760926518542</v>
      </c>
      <c r="AF60" s="357">
        <f t="shared" si="29"/>
        <v>1.1082880463259273</v>
      </c>
      <c r="AG60" s="357">
        <f>'Overall recycling rates'!G93</f>
        <v>1.1000000000000001</v>
      </c>
      <c r="AI60" s="126"/>
      <c r="AJ60" s="198"/>
      <c r="AL60" s="102"/>
      <c r="AM60" s="2"/>
      <c r="AN60" s="2"/>
      <c r="AO60" s="2"/>
      <c r="BC60" s="1"/>
      <c r="BD60" s="2"/>
      <c r="BE60" s="2"/>
      <c r="BF60" s="2"/>
      <c r="BG60" s="2"/>
      <c r="BH60" s="2"/>
      <c r="BI60" s="2"/>
      <c r="BJ60" s="2"/>
      <c r="BK60" s="2"/>
    </row>
    <row r="61" spans="1:63" outlineLevel="1">
      <c r="A61" t="s">
        <v>1371</v>
      </c>
      <c r="B61" s="51" t="s">
        <v>126</v>
      </c>
      <c r="C61" s="104">
        <f>C47*C$60</f>
        <v>6.3386145319557011E-2</v>
      </c>
      <c r="D61" s="104">
        <f t="shared" ref="D61:AG62" si="30">D47*D$60</f>
        <v>6.7285737841284471E-2</v>
      </c>
      <c r="E61" s="104">
        <f t="shared" si="30"/>
        <v>7.1132286866525993E-2</v>
      </c>
      <c r="F61" s="104">
        <f t="shared" si="30"/>
        <v>7.4925792395281576E-2</v>
      </c>
      <c r="G61" s="104">
        <f t="shared" si="30"/>
        <v>7.8666254427551235E-2</v>
      </c>
      <c r="H61" s="104">
        <f t="shared" si="30"/>
        <v>8.2353672963334956E-2</v>
      </c>
      <c r="I61" s="104">
        <f t="shared" si="30"/>
        <v>8.5988048002632766E-2</v>
      </c>
      <c r="J61" s="104">
        <f t="shared" si="30"/>
        <v>8.9569379545444611E-2</v>
      </c>
      <c r="K61" s="104">
        <f t="shared" si="30"/>
        <v>9.309766759177053E-2</v>
      </c>
      <c r="L61" s="104">
        <f t="shared" si="30"/>
        <v>9.657291214161054E-2</v>
      </c>
      <c r="M61" s="104">
        <f t="shared" si="30"/>
        <v>9.9995113194964597E-2</v>
      </c>
      <c r="N61" s="104">
        <f t="shared" si="30"/>
        <v>0.10701094210439131</v>
      </c>
      <c r="O61" s="104">
        <f t="shared" si="30"/>
        <v>0.11392565684864171</v>
      </c>
      <c r="P61" s="104">
        <f t="shared" si="30"/>
        <v>0.12073925742771578</v>
      </c>
      <c r="Q61" s="104">
        <f t="shared" si="30"/>
        <v>0.12745174384161359</v>
      </c>
      <c r="R61" s="104">
        <f t="shared" si="30"/>
        <v>0.13406311609033505</v>
      </c>
      <c r="S61" s="104">
        <f t="shared" si="30"/>
        <v>0.14057337417388022</v>
      </c>
      <c r="T61" s="104">
        <f t="shared" si="30"/>
        <v>0.14698251809224905</v>
      </c>
      <c r="U61" s="104">
        <f t="shared" si="30"/>
        <v>0.15329054784544163</v>
      </c>
      <c r="V61" s="104">
        <f t="shared" si="30"/>
        <v>0.15949746343345786</v>
      </c>
      <c r="W61" s="104">
        <f t="shared" si="30"/>
        <v>0.16560326485629778</v>
      </c>
      <c r="X61" s="104">
        <f t="shared" si="30"/>
        <v>0.17714043108030186</v>
      </c>
      <c r="Y61" s="104">
        <f t="shared" si="30"/>
        <v>0.18849840764449982</v>
      </c>
      <c r="Z61" s="104">
        <f t="shared" si="30"/>
        <v>0.19967719454889168</v>
      </c>
      <c r="AA61" s="104">
        <f t="shared" si="30"/>
        <v>0.21067679179347745</v>
      </c>
      <c r="AB61" s="104">
        <f t="shared" si="30"/>
        <v>0.22149719937825707</v>
      </c>
      <c r="AC61" s="104">
        <f t="shared" si="30"/>
        <v>0.23213841730323057</v>
      </c>
      <c r="AD61" s="104">
        <f t="shared" si="30"/>
        <v>0.24260044556839797</v>
      </c>
      <c r="AE61" s="104">
        <f t="shared" si="30"/>
        <v>0.25288328417375922</v>
      </c>
      <c r="AF61" s="104">
        <f t="shared" si="30"/>
        <v>0.26298693311931437</v>
      </c>
      <c r="AG61" s="104">
        <f t="shared" si="30"/>
        <v>0.27291139240506335</v>
      </c>
      <c r="AI61" s="126"/>
      <c r="AJ61" s="198"/>
      <c r="AL61" s="102"/>
      <c r="AM61" s="2"/>
      <c r="AN61" s="2"/>
      <c r="AO61" s="2"/>
      <c r="AV61" s="38"/>
    </row>
    <row r="62" spans="1:63" outlineLevel="1">
      <c r="A62" t="s">
        <v>1372</v>
      </c>
      <c r="B62" s="51" t="s">
        <v>126</v>
      </c>
      <c r="C62" s="104">
        <f>C48*C$60</f>
        <v>0.12812093202889183</v>
      </c>
      <c r="D62" s="104">
        <f t="shared" si="30"/>
        <v>0.13175673366131999</v>
      </c>
      <c r="E62" s="104">
        <f t="shared" si="30"/>
        <v>0.135337834187997</v>
      </c>
      <c r="F62" s="104">
        <f t="shared" si="30"/>
        <v>0.13886423360892292</v>
      </c>
      <c r="G62" s="104">
        <f t="shared" si="30"/>
        <v>0.14233593192409771</v>
      </c>
      <c r="H62" s="104">
        <f t="shared" si="30"/>
        <v>0.14575292913352139</v>
      </c>
      <c r="I62" s="104">
        <f t="shared" si="30"/>
        <v>0.14911522523719395</v>
      </c>
      <c r="J62" s="104">
        <f t="shared" si="30"/>
        <v>0.15242282023511539</v>
      </c>
      <c r="K62" s="104">
        <f t="shared" si="30"/>
        <v>0.15567571412728573</v>
      </c>
      <c r="L62" s="104">
        <f t="shared" si="30"/>
        <v>0.15887390691370493</v>
      </c>
      <c r="M62" s="104">
        <f t="shared" si="30"/>
        <v>0.16201739859437303</v>
      </c>
      <c r="N62" s="104">
        <f t="shared" si="30"/>
        <v>0.17051332255411822</v>
      </c>
      <c r="O62" s="104">
        <f t="shared" si="30"/>
        <v>0.17888326820970935</v>
      </c>
      <c r="P62" s="104">
        <f t="shared" si="30"/>
        <v>0.18712723556114635</v>
      </c>
      <c r="Q62" s="104">
        <f t="shared" si="30"/>
        <v>0.19524522460842927</v>
      </c>
      <c r="R62" s="104">
        <f t="shared" si="30"/>
        <v>0.20323723535155813</v>
      </c>
      <c r="S62" s="104">
        <f t="shared" si="30"/>
        <v>0.21110326779053287</v>
      </c>
      <c r="T62" s="104">
        <f t="shared" si="30"/>
        <v>0.21884332192535358</v>
      </c>
      <c r="U62" s="104">
        <f t="shared" si="30"/>
        <v>0.22645739775602014</v>
      </c>
      <c r="V62" s="104">
        <f t="shared" si="30"/>
        <v>0.23394549528253261</v>
      </c>
      <c r="W62" s="104">
        <f t="shared" si="30"/>
        <v>0.24130761450489102</v>
      </c>
      <c r="X62" s="104">
        <f t="shared" si="30"/>
        <v>0.25384410370450705</v>
      </c>
      <c r="Y62" s="104">
        <f t="shared" si="30"/>
        <v>0.26617981498187748</v>
      </c>
      <c r="Z62" s="104">
        <f t="shared" si="30"/>
        <v>0.27831474833700232</v>
      </c>
      <c r="AA62" s="104">
        <f t="shared" si="30"/>
        <v>0.29024890376988155</v>
      </c>
      <c r="AB62" s="104">
        <f t="shared" si="30"/>
        <v>0.3019822812805153</v>
      </c>
      <c r="AC62" s="104">
        <f t="shared" si="30"/>
        <v>0.31351488086890339</v>
      </c>
      <c r="AD62" s="104">
        <f t="shared" si="30"/>
        <v>0.32484670253504594</v>
      </c>
      <c r="AE62" s="104">
        <f t="shared" si="30"/>
        <v>0.33597774627894289</v>
      </c>
      <c r="AF62" s="104">
        <f t="shared" si="30"/>
        <v>0.34690801210059419</v>
      </c>
      <c r="AG62" s="104">
        <f t="shared" si="30"/>
        <v>0.35763749999999994</v>
      </c>
      <c r="AH62" s="230"/>
      <c r="AI62" s="126"/>
      <c r="AJ62" s="198"/>
      <c r="AL62" s="102"/>
      <c r="AM62" s="2"/>
      <c r="AN62" s="2"/>
      <c r="AO62" s="2"/>
      <c r="AV62" s="38"/>
    </row>
    <row r="63" spans="1:63" outlineLevel="1">
      <c r="A63" t="s">
        <v>1373</v>
      </c>
      <c r="B63" s="165" t="s">
        <v>126</v>
      </c>
      <c r="C63" s="104">
        <f>SUM(C61:C62)</f>
        <v>0.19150707734844885</v>
      </c>
      <c r="D63" s="104">
        <f t="shared" ref="D63:AG63" si="31">SUM(D61:D62)</f>
        <v>0.19904247150260446</v>
      </c>
      <c r="E63" s="104">
        <f t="shared" si="31"/>
        <v>0.206470121054523</v>
      </c>
      <c r="F63" s="104">
        <f t="shared" si="31"/>
        <v>0.21379002600420449</v>
      </c>
      <c r="G63" s="104">
        <f t="shared" si="31"/>
        <v>0.22100218635164895</v>
      </c>
      <c r="H63" s="104">
        <f t="shared" si="31"/>
        <v>0.22810660209685635</v>
      </c>
      <c r="I63" s="104">
        <f t="shared" si="31"/>
        <v>0.23510327323982672</v>
      </c>
      <c r="J63" s="104">
        <f t="shared" si="31"/>
        <v>0.24199219978056</v>
      </c>
      <c r="K63" s="104">
        <f t="shared" si="31"/>
        <v>0.24877338171905627</v>
      </c>
      <c r="L63" s="104">
        <f t="shared" si="31"/>
        <v>0.25544681905531547</v>
      </c>
      <c r="M63" s="104">
        <f t="shared" si="31"/>
        <v>0.2620125117893376</v>
      </c>
      <c r="N63" s="104">
        <f t="shared" si="31"/>
        <v>0.27752426465850955</v>
      </c>
      <c r="O63" s="104">
        <f t="shared" si="31"/>
        <v>0.29280892505835104</v>
      </c>
      <c r="P63" s="104">
        <f t="shared" si="31"/>
        <v>0.30786649298886215</v>
      </c>
      <c r="Q63" s="104">
        <f t="shared" si="31"/>
        <v>0.32269696845004286</v>
      </c>
      <c r="R63" s="104">
        <f t="shared" si="31"/>
        <v>0.33730035144189319</v>
      </c>
      <c r="S63" s="104">
        <f t="shared" si="31"/>
        <v>0.35167664196441306</v>
      </c>
      <c r="T63" s="104">
        <f t="shared" si="31"/>
        <v>0.36582584001760265</v>
      </c>
      <c r="U63" s="104">
        <f t="shared" si="31"/>
        <v>0.37974794560146174</v>
      </c>
      <c r="V63" s="104">
        <f t="shared" si="31"/>
        <v>0.39344295871599044</v>
      </c>
      <c r="W63" s="104">
        <f t="shared" si="31"/>
        <v>0.4069108793611888</v>
      </c>
      <c r="X63" s="104">
        <f t="shared" si="31"/>
        <v>0.43098453478480891</v>
      </c>
      <c r="Y63" s="104">
        <f t="shared" si="31"/>
        <v>0.4546782226263773</v>
      </c>
      <c r="Z63" s="104">
        <f t="shared" si="31"/>
        <v>0.47799194288589397</v>
      </c>
      <c r="AA63" s="104">
        <f t="shared" si="31"/>
        <v>0.50092569556335897</v>
      </c>
      <c r="AB63" s="104">
        <f t="shared" si="31"/>
        <v>0.52347948065877237</v>
      </c>
      <c r="AC63" s="104">
        <f t="shared" si="31"/>
        <v>0.54565329817213393</v>
      </c>
      <c r="AD63" s="104">
        <f t="shared" si="31"/>
        <v>0.56744714810344388</v>
      </c>
      <c r="AE63" s="104">
        <f t="shared" si="31"/>
        <v>0.58886103045270211</v>
      </c>
      <c r="AF63" s="104">
        <f t="shared" si="31"/>
        <v>0.6098949452199085</v>
      </c>
      <c r="AG63" s="104">
        <f t="shared" si="31"/>
        <v>0.63054889240506329</v>
      </c>
      <c r="AI63" s="126"/>
      <c r="AJ63" s="198"/>
      <c r="AL63" s="102"/>
      <c r="AM63" s="2"/>
      <c r="AN63" s="2"/>
      <c r="AO63" s="2"/>
    </row>
    <row r="64" spans="1:63" outlineLevel="1">
      <c r="A64" t="s">
        <v>1374</v>
      </c>
      <c r="B64" s="51" t="s">
        <v>126</v>
      </c>
      <c r="C64" s="104">
        <f>C$60*C55</f>
        <v>1.4733823920479018E-2</v>
      </c>
      <c r="D64" s="104">
        <f t="shared" ref="D64:AG67" si="32">D$60*D55</f>
        <v>1.4866468676640545E-2</v>
      </c>
      <c r="E64" s="104">
        <f t="shared" si="32"/>
        <v>1.4977304894059067E-2</v>
      </c>
      <c r="F64" s="104">
        <f t="shared" si="32"/>
        <v>1.5066688126367068E-2</v>
      </c>
      <c r="G64" s="104">
        <f t="shared" si="32"/>
        <v>1.5134973927197029E-2</v>
      </c>
      <c r="H64" s="104">
        <f t="shared" si="32"/>
        <v>1.5182517850181435E-2</v>
      </c>
      <c r="I64" s="104">
        <f t="shared" si="32"/>
        <v>1.520967544895277E-2</v>
      </c>
      <c r="J64" s="104">
        <f t="shared" si="32"/>
        <v>1.5216802277143516E-2</v>
      </c>
      <c r="K64" s="104">
        <f t="shared" si="32"/>
        <v>1.5204253888386161E-2</v>
      </c>
      <c r="L64" s="104">
        <f t="shared" si="32"/>
        <v>1.517238583631318E-2</v>
      </c>
      <c r="M64" s="104">
        <f t="shared" si="32"/>
        <v>1.5121553674557061E-2</v>
      </c>
      <c r="N64" s="104">
        <f t="shared" si="32"/>
        <v>1.5545061058151859E-2</v>
      </c>
      <c r="O64" s="104">
        <f t="shared" si="32"/>
        <v>1.5920541119393974E-2</v>
      </c>
      <c r="P64" s="104">
        <f t="shared" si="32"/>
        <v>1.6248812709073371E-2</v>
      </c>
      <c r="Q64" s="104">
        <f t="shared" si="32"/>
        <v>1.6530694677980014E-2</v>
      </c>
      <c r="R64" s="104">
        <f t="shared" si="32"/>
        <v>1.676700587690386E-2</v>
      </c>
      <c r="S64" s="104">
        <f t="shared" si="32"/>
        <v>1.695856515663487E-2</v>
      </c>
      <c r="T64" s="104">
        <f t="shared" si="32"/>
        <v>1.7106191367963011E-2</v>
      </c>
      <c r="U64" s="104">
        <f t="shared" si="32"/>
        <v>1.721070336167824E-2</v>
      </c>
      <c r="V64" s="104">
        <f t="shared" si="32"/>
        <v>1.7272919988570522E-2</v>
      </c>
      <c r="W64" s="104">
        <f t="shared" si="32"/>
        <v>1.7293660099429817E-2</v>
      </c>
      <c r="X64" s="104">
        <f t="shared" si="32"/>
        <v>1.7642115717231909E-2</v>
      </c>
      <c r="Y64" s="104">
        <f t="shared" si="32"/>
        <v>1.792272807967776E-2</v>
      </c>
      <c r="Z64" s="104">
        <f t="shared" si="32"/>
        <v>1.8136802230213873E-2</v>
      </c>
      <c r="AA64" s="104">
        <f t="shared" si="32"/>
        <v>1.8285643212286744E-2</v>
      </c>
      <c r="AB64" s="104">
        <f t="shared" si="32"/>
        <v>1.8370556069342878E-2</v>
      </c>
      <c r="AC64" s="104">
        <f t="shared" si="32"/>
        <v>1.8392845844828774E-2</v>
      </c>
      <c r="AD64" s="104">
        <f t="shared" si="32"/>
        <v>1.8353817582190936E-2</v>
      </c>
      <c r="AE64" s="104">
        <f t="shared" si="32"/>
        <v>1.8254776324875866E-2</v>
      </c>
      <c r="AF64" s="104">
        <f t="shared" si="32"/>
        <v>1.8097027116330062E-2</v>
      </c>
      <c r="AG64" s="104">
        <f t="shared" si="32"/>
        <v>1.7881874999999998E-2</v>
      </c>
      <c r="AI64" s="126"/>
      <c r="AJ64" s="198"/>
      <c r="AL64" s="102"/>
      <c r="AM64" s="2"/>
      <c r="AN64" s="2"/>
      <c r="AO64" s="2"/>
    </row>
    <row r="65" spans="1:63" outlineLevel="1">
      <c r="A65" t="s">
        <v>1375</v>
      </c>
      <c r="B65" s="51" t="s">
        <v>126</v>
      </c>
      <c r="C65" s="104">
        <f t="shared" ref="C65:R67" si="33">C$60*C56</f>
        <v>1.7669967527532797E-2</v>
      </c>
      <c r="D65" s="104">
        <f t="shared" si="33"/>
        <v>1.8171403910832513E-2</v>
      </c>
      <c r="E65" s="104">
        <f t="shared" si="33"/>
        <v>1.8665296118898438E-2</v>
      </c>
      <c r="F65" s="104">
        <f t="shared" si="33"/>
        <v>1.9151644151730571E-2</v>
      </c>
      <c r="G65" s="104">
        <f t="shared" si="33"/>
        <v>1.9630448009328921E-2</v>
      </c>
      <c r="H65" s="104">
        <f t="shared" si="33"/>
        <v>2.0101707691693477E-2</v>
      </c>
      <c r="I65" s="104">
        <f t="shared" si="33"/>
        <v>2.0565423198824248E-2</v>
      </c>
      <c r="J65" s="104">
        <f t="shared" si="33"/>
        <v>2.1021594530721225E-2</v>
      </c>
      <c r="K65" s="104">
        <f t="shared" si="33"/>
        <v>2.1470221687384414E-2</v>
      </c>
      <c r="L65" s="104">
        <f t="shared" si="33"/>
        <v>2.1911304668813813E-2</v>
      </c>
      <c r="M65" s="104">
        <f t="shared" si="33"/>
        <v>2.2344843475009424E-2</v>
      </c>
      <c r="N65" s="104">
        <f t="shared" si="33"/>
        <v>2.3516570046989344E-2</v>
      </c>
      <c r="O65" s="104">
        <f t="shared" si="33"/>
        <v>2.467092215479447E-2</v>
      </c>
      <c r="P65" s="104">
        <f t="shared" si="33"/>
        <v>2.5807899798424815E-2</v>
      </c>
      <c r="Q65" s="104">
        <f t="shared" si="33"/>
        <v>2.6927502977880366E-2</v>
      </c>
      <c r="R65" s="104">
        <f t="shared" si="33"/>
        <v>2.8029731693161135E-2</v>
      </c>
      <c r="S65" s="104">
        <f t="shared" si="32"/>
        <v>2.9114585944267114E-2</v>
      </c>
      <c r="T65" s="104">
        <f t="shared" si="32"/>
        <v>3.0182065731198308E-2</v>
      </c>
      <c r="U65" s="104">
        <f t="shared" si="32"/>
        <v>3.1232171053954712E-2</v>
      </c>
      <c r="V65" s="104">
        <f t="shared" si="32"/>
        <v>3.226490191253633E-2</v>
      </c>
      <c r="W65" s="104">
        <f t="shared" si="32"/>
        <v>3.3280258306943152E-2</v>
      </c>
      <c r="X65" s="104">
        <f t="shared" si="32"/>
        <v>3.5009244769643309E-2</v>
      </c>
      <c r="Y65" s="104">
        <f t="shared" si="32"/>
        <v>3.67105406800649E-2</v>
      </c>
      <c r="Z65" s="104">
        <f t="shared" si="32"/>
        <v>3.838414603820791E-2</v>
      </c>
      <c r="AA65" s="104">
        <f t="shared" si="32"/>
        <v>4.0030060844072353E-2</v>
      </c>
      <c r="AB65" s="104">
        <f t="shared" si="32"/>
        <v>4.164828509765825E-2</v>
      </c>
      <c r="AC65" s="104">
        <f t="shared" si="32"/>
        <v>4.3238818798965559E-2</v>
      </c>
      <c r="AD65" s="104">
        <f t="shared" si="32"/>
        <v>4.4801661947994308E-2</v>
      </c>
      <c r="AE65" s="104">
        <f t="shared" si="32"/>
        <v>4.6336814544744483E-2</v>
      </c>
      <c r="AF65" s="104">
        <f t="shared" si="32"/>
        <v>4.7844276589216084E-2</v>
      </c>
      <c r="AG65" s="104">
        <f t="shared" si="32"/>
        <v>4.9324048081409118E-2</v>
      </c>
      <c r="AI65" s="126"/>
      <c r="AJ65" s="198"/>
      <c r="AL65" s="102"/>
      <c r="AM65" s="2"/>
      <c r="AN65" s="2"/>
      <c r="AO65" s="2"/>
      <c r="BC65" s="1"/>
      <c r="BD65" s="2"/>
      <c r="BE65" s="2"/>
      <c r="BF65" s="2"/>
      <c r="BG65" s="2"/>
      <c r="BH65" s="2"/>
      <c r="BI65" s="2"/>
      <c r="BJ65" s="2"/>
      <c r="BK65" s="2"/>
    </row>
    <row r="66" spans="1:63" outlineLevel="1">
      <c r="A66" t="s">
        <v>1376</v>
      </c>
      <c r="C66" s="104">
        <f t="shared" si="33"/>
        <v>1.3907618716880002E-2</v>
      </c>
      <c r="D66" s="104">
        <f t="shared" si="32"/>
        <v>1.4302287581938038E-2</v>
      </c>
      <c r="E66" s="104">
        <f t="shared" si="32"/>
        <v>1.4691018602881682E-2</v>
      </c>
      <c r="F66" s="104">
        <f t="shared" si="32"/>
        <v>1.5073811779710934E-2</v>
      </c>
      <c r="G66" s="104">
        <f t="shared" si="32"/>
        <v>1.5450667112425792E-2</v>
      </c>
      <c r="H66" s="104">
        <f t="shared" si="32"/>
        <v>1.5821584601026256E-2</v>
      </c>
      <c r="I66" s="104">
        <f t="shared" si="32"/>
        <v>1.618656424551233E-2</v>
      </c>
      <c r="J66" s="104">
        <f t="shared" si="32"/>
        <v>1.6545606045884009E-2</v>
      </c>
      <c r="K66" s="104">
        <f t="shared" si="32"/>
        <v>1.6898710002141298E-2</v>
      </c>
      <c r="L66" s="104">
        <f t="shared" si="32"/>
        <v>1.7245876114284193E-2</v>
      </c>
      <c r="M66" s="104">
        <f t="shared" si="32"/>
        <v>1.7587104382312691E-2</v>
      </c>
      <c r="N66" s="104">
        <f t="shared" si="32"/>
        <v>1.8509342998662255E-2</v>
      </c>
      <c r="O66" s="104">
        <f t="shared" si="32"/>
        <v>1.94179065800817E-2</v>
      </c>
      <c r="P66" s="104">
        <f t="shared" si="32"/>
        <v>2.031279512657103E-2</v>
      </c>
      <c r="Q66" s="104">
        <f t="shared" si="32"/>
        <v>2.1194008638130247E-2</v>
      </c>
      <c r="R66" s="104">
        <f t="shared" si="32"/>
        <v>2.2061547114759338E-2</v>
      </c>
      <c r="S66" s="104">
        <f t="shared" si="32"/>
        <v>2.2915410556458318E-2</v>
      </c>
      <c r="T66" s="104">
        <f t="shared" si="32"/>
        <v>2.3755598963227181E-2</v>
      </c>
      <c r="U66" s="104">
        <f t="shared" si="32"/>
        <v>2.4582112335065926E-2</v>
      </c>
      <c r="V66" s="104">
        <f t="shared" si="32"/>
        <v>2.5394950671974559E-2</v>
      </c>
      <c r="W66" s="104">
        <f t="shared" si="32"/>
        <v>2.6194113973953069E-2</v>
      </c>
      <c r="X66" s="104">
        <f t="shared" si="32"/>
        <v>2.7554958834160818E-2</v>
      </c>
      <c r="Y66" s="104">
        <f t="shared" si="32"/>
        <v>2.8894009107448694E-2</v>
      </c>
      <c r="Z66" s="104">
        <f t="shared" si="32"/>
        <v>3.0211264793816691E-2</v>
      </c>
      <c r="AA66" s="104">
        <f t="shared" si="32"/>
        <v>3.1506725893264816E-2</v>
      </c>
      <c r="AB66" s="104">
        <f t="shared" si="32"/>
        <v>3.2780392405793071E-2</v>
      </c>
      <c r="AC66" s="104">
        <f t="shared" si="32"/>
        <v>3.4032264331401448E-2</v>
      </c>
      <c r="AD66" s="104">
        <f t="shared" si="32"/>
        <v>3.5262341670089958E-2</v>
      </c>
      <c r="AE66" s="104">
        <f t="shared" si="32"/>
        <v>3.647062442185859E-2</v>
      </c>
      <c r="AF66" s="104">
        <f t="shared" si="32"/>
        <v>3.7657112586707342E-2</v>
      </c>
      <c r="AG66" s="104">
        <f t="shared" si="32"/>
        <v>3.8821806164636229E-2</v>
      </c>
      <c r="AI66" s="126"/>
      <c r="AJ66" s="198"/>
      <c r="AL66" s="102"/>
      <c r="AM66" s="2"/>
      <c r="AN66" s="2"/>
      <c r="AO66" s="2"/>
      <c r="BC66" s="1"/>
      <c r="BD66" s="2"/>
      <c r="BE66" s="2"/>
      <c r="BF66" s="2"/>
      <c r="BG66" s="2"/>
      <c r="BH66" s="2"/>
      <c r="BI66" s="2"/>
      <c r="BJ66" s="2"/>
      <c r="BK66" s="2"/>
    </row>
    <row r="67" spans="1:63" outlineLevel="1">
      <c r="A67" t="s">
        <v>1377</v>
      </c>
      <c r="B67" s="51" t="s">
        <v>126</v>
      </c>
      <c r="C67" s="104">
        <f t="shared" si="33"/>
        <v>8.1809521864000007E-2</v>
      </c>
      <c r="D67" s="104">
        <f t="shared" si="32"/>
        <v>8.4416573491908883E-2</v>
      </c>
      <c r="E67" s="104">
        <f t="shared" si="32"/>
        <v>8.7004214572157804E-2</v>
      </c>
      <c r="F67" s="104">
        <f t="shared" si="32"/>
        <v>8.9572089551114342E-2</v>
      </c>
      <c r="G67" s="104">
        <f t="shared" si="32"/>
        <v>9.2119842875145977E-2</v>
      </c>
      <c r="H67" s="104">
        <f t="shared" si="32"/>
        <v>9.4647118990620227E-2</v>
      </c>
      <c r="I67" s="104">
        <f t="shared" si="32"/>
        <v>9.7153562343904598E-2</v>
      </c>
      <c r="J67" s="104">
        <f t="shared" si="32"/>
        <v>9.9638817381366637E-2</v>
      </c>
      <c r="K67" s="104">
        <f t="shared" si="32"/>
        <v>0.10210252854937386</v>
      </c>
      <c r="L67" s="104">
        <f t="shared" si="32"/>
        <v>0.10454434029429376</v>
      </c>
      <c r="M67" s="104">
        <f t="shared" si="32"/>
        <v>0.10696389706249385</v>
      </c>
      <c r="N67" s="104">
        <f t="shared" si="32"/>
        <v>0.11294234845031477</v>
      </c>
      <c r="O67" s="104">
        <f t="shared" si="32"/>
        <v>0.11887389835543918</v>
      </c>
      <c r="P67" s="104">
        <f t="shared" si="32"/>
        <v>0.12475772792707712</v>
      </c>
      <c r="Q67" s="104">
        <f t="shared" si="32"/>
        <v>0.13059301831443865</v>
      </c>
      <c r="R67" s="104">
        <f t="shared" si="32"/>
        <v>0.13637895066673378</v>
      </c>
      <c r="S67" s="104">
        <f t="shared" si="32"/>
        <v>0.14211470613317256</v>
      </c>
      <c r="T67" s="104">
        <f t="shared" si="32"/>
        <v>0.14779946586296508</v>
      </c>
      <c r="U67" s="104">
        <f t="shared" si="32"/>
        <v>0.15343241100532126</v>
      </c>
      <c r="V67" s="104">
        <f t="shared" si="32"/>
        <v>0.15901272270945122</v>
      </c>
      <c r="W67" s="104">
        <f t="shared" si="32"/>
        <v>0.16453958212456499</v>
      </c>
      <c r="X67" s="104">
        <f t="shared" si="32"/>
        <v>0.17363778438347099</v>
      </c>
      <c r="Y67" s="104">
        <f t="shared" si="32"/>
        <v>0.18265253711468613</v>
      </c>
      <c r="Z67" s="104">
        <f t="shared" si="32"/>
        <v>0.19158253527476385</v>
      </c>
      <c r="AA67" s="104">
        <f t="shared" si="32"/>
        <v>0.20042647382025766</v>
      </c>
      <c r="AB67" s="104">
        <f t="shared" si="32"/>
        <v>0.20918304770772111</v>
      </c>
      <c r="AC67" s="104">
        <f t="shared" si="32"/>
        <v>0.21785095189370757</v>
      </c>
      <c r="AD67" s="104">
        <f t="shared" si="32"/>
        <v>0.22642888133477071</v>
      </c>
      <c r="AE67" s="104">
        <f t="shared" si="32"/>
        <v>0.23491553098746393</v>
      </c>
      <c r="AF67" s="104">
        <f t="shared" si="32"/>
        <v>0.24330959580834072</v>
      </c>
      <c r="AG67" s="104">
        <f t="shared" si="32"/>
        <v>0.25160977075395458</v>
      </c>
      <c r="AH67" s="230"/>
      <c r="AI67" s="126"/>
      <c r="AJ67" s="198"/>
      <c r="AL67" s="102"/>
      <c r="AM67" s="2"/>
      <c r="AN67" s="2"/>
      <c r="AO67" s="2"/>
      <c r="BC67" s="1"/>
      <c r="BD67" s="2"/>
      <c r="BE67" s="2"/>
      <c r="BF67" s="2"/>
      <c r="BG67" s="2"/>
      <c r="BH67" s="2"/>
      <c r="BI67" s="2"/>
      <c r="BJ67" s="2"/>
      <c r="BK67" s="2"/>
    </row>
    <row r="68" spans="1:63" outlineLevel="1">
      <c r="C68" s="104"/>
      <c r="D68" s="104"/>
      <c r="E68" s="104"/>
      <c r="F68" s="104"/>
      <c r="G68" s="104"/>
      <c r="H68" s="104"/>
      <c r="I68" s="104"/>
      <c r="J68" s="104"/>
      <c r="K68" s="104"/>
      <c r="L68" s="104"/>
      <c r="M68" s="104"/>
      <c r="N68" s="104"/>
      <c r="O68" s="104"/>
      <c r="P68" s="104"/>
      <c r="Q68" s="104"/>
      <c r="R68" s="104"/>
      <c r="S68" s="104"/>
      <c r="T68" s="104"/>
      <c r="U68" s="104"/>
      <c r="V68" s="104"/>
      <c r="W68" s="104"/>
      <c r="X68" s="104"/>
      <c r="Y68" s="104"/>
      <c r="Z68" s="104"/>
      <c r="AA68" s="104"/>
      <c r="AB68" s="104"/>
      <c r="AC68" s="104"/>
      <c r="AD68" s="104"/>
      <c r="AE68" s="104"/>
      <c r="AF68" s="104"/>
      <c r="AG68" s="104"/>
      <c r="AI68" s="127"/>
      <c r="AJ68" s="198"/>
      <c r="BC68" s="1"/>
      <c r="BD68" s="38"/>
      <c r="BF68" s="6"/>
      <c r="BG68" s="6"/>
      <c r="BH68" s="6"/>
      <c r="BI68" s="6"/>
      <c r="BJ68" s="6"/>
    </row>
    <row r="69" spans="1:63" s="1" customFormat="1" outlineLevel="1">
      <c r="A69" s="1" t="s">
        <v>261</v>
      </c>
      <c r="B69" s="61"/>
      <c r="C69" s="279">
        <f>C39*C61</f>
        <v>29199.048596690587</v>
      </c>
      <c r="D69" s="279">
        <f t="shared" ref="D69:AG69" si="34">D39*D61</f>
        <v>30706.737524985947</v>
      </c>
      <c r="E69" s="279">
        <f t="shared" si="34"/>
        <v>31992.687818344282</v>
      </c>
      <c r="F69" s="279">
        <f t="shared" si="34"/>
        <v>33290.887128910545</v>
      </c>
      <c r="G69" s="279">
        <f t="shared" si="34"/>
        <v>34524.494885724838</v>
      </c>
      <c r="H69" s="279">
        <f t="shared" si="34"/>
        <v>35694.377573603437</v>
      </c>
      <c r="I69" s="279">
        <f t="shared" si="34"/>
        <v>36801.401677362657</v>
      </c>
      <c r="J69" s="279">
        <f t="shared" si="34"/>
        <v>37846.433681818773</v>
      </c>
      <c r="K69" s="279">
        <f t="shared" si="34"/>
        <v>38830.340071788101</v>
      </c>
      <c r="L69" s="279">
        <f t="shared" si="34"/>
        <v>39753.987332086952</v>
      </c>
      <c r="M69" s="279">
        <f t="shared" si="34"/>
        <v>40618.241947531598</v>
      </c>
      <c r="N69" s="279">
        <f t="shared" si="34"/>
        <v>42183.941370477849</v>
      </c>
      <c r="O69" s="279">
        <f t="shared" si="34"/>
        <v>43542.61291067236</v>
      </c>
      <c r="P69" s="279">
        <f t="shared" si="34"/>
        <v>44697.896720296187</v>
      </c>
      <c r="Q69" s="279">
        <f t="shared" si="34"/>
        <v>45653.432951530449</v>
      </c>
      <c r="R69" s="279">
        <f t="shared" si="34"/>
        <v>46412.861756556165</v>
      </c>
      <c r="S69" s="279">
        <f t="shared" si="34"/>
        <v>46979.823287554427</v>
      </c>
      <c r="T69" s="279">
        <f t="shared" si="34"/>
        <v>47357.957696706297</v>
      </c>
      <c r="U69" s="279">
        <f t="shared" si="34"/>
        <v>47550.905136192887</v>
      </c>
      <c r="V69" s="279">
        <f t="shared" si="34"/>
        <v>47562.305758195194</v>
      </c>
      <c r="W69" s="279">
        <f t="shared" si="34"/>
        <v>47395.799714894376</v>
      </c>
      <c r="X69" s="279">
        <f t="shared" si="34"/>
        <v>48537.351076410247</v>
      </c>
      <c r="Y69" s="279">
        <f t="shared" si="34"/>
        <v>49350.575584969127</v>
      </c>
      <c r="Z69" s="279">
        <f t="shared" si="34"/>
        <v>49842.029404646753</v>
      </c>
      <c r="AA69" s="279">
        <f t="shared" si="34"/>
        <v>50018.268699518914</v>
      </c>
      <c r="AB69" s="279">
        <f t="shared" si="34"/>
        <v>49885.849633661317</v>
      </c>
      <c r="AC69" s="279">
        <f t="shared" si="34"/>
        <v>49451.328371149772</v>
      </c>
      <c r="AD69" s="279">
        <f t="shared" si="34"/>
        <v>48721.261076060029</v>
      </c>
      <c r="AE69" s="279">
        <f t="shared" si="34"/>
        <v>47702.203912467827</v>
      </c>
      <c r="AF69" s="279">
        <f t="shared" si="34"/>
        <v>46400.713044448938</v>
      </c>
      <c r="AG69" s="279">
        <f t="shared" si="34"/>
        <v>44823.344636079106</v>
      </c>
      <c r="AH69" s="230"/>
      <c r="AI69" s="398"/>
      <c r="AJ69" s="399"/>
      <c r="AL69" s="207"/>
      <c r="AM69" s="118"/>
      <c r="AN69" s="118"/>
      <c r="AO69" s="118"/>
      <c r="BD69" s="118"/>
      <c r="BE69" s="118"/>
      <c r="BF69" s="118"/>
      <c r="BG69" s="118"/>
      <c r="BH69" s="118"/>
      <c r="BI69" s="118"/>
      <c r="BJ69" s="118"/>
      <c r="BK69" s="118"/>
    </row>
    <row r="70" spans="1:63" outlineLevel="1">
      <c r="A70" s="4" t="s">
        <v>35</v>
      </c>
      <c r="C70" s="216">
        <f>C$69*'BTX recycling rates'!E38</f>
        <v>29096.990239664017</v>
      </c>
      <c r="D70" s="216">
        <f>D$69*'BTX recycling rates'!F38</f>
        <v>30191.183133136732</v>
      </c>
      <c r="E70" s="216">
        <f>E$69*'BTX recycling rates'!G38</f>
        <v>31030.220667467471</v>
      </c>
      <c r="F70" s="216">
        <f>F$69*'BTX recycling rates'!H38</f>
        <v>31846.78411805104</v>
      </c>
      <c r="G70" s="216">
        <f>G$69*'BTX recycling rates'!I38</f>
        <v>32567.89914686804</v>
      </c>
      <c r="H70" s="216">
        <f>H$69*'BTX recycling rates'!J38</f>
        <v>33196.947722469435</v>
      </c>
      <c r="I70" s="216">
        <f>I$69*'BTX recycling rates'!K38</f>
        <v>33737.265735979694</v>
      </c>
      <c r="J70" s="216">
        <f>J$69*'BTX recycling rates'!L38</f>
        <v>34192.143001096723</v>
      </c>
      <c r="K70" s="216">
        <f>K$69*'BTX recycling rates'!M38</f>
        <v>34564.823254091949</v>
      </c>
      <c r="L70" s="216">
        <f>L$69*'BTX recycling rates'!N38</f>
        <v>34858.504153810252</v>
      </c>
      <c r="M70" s="216">
        <f>M$69*'BTX recycling rates'!O38</f>
        <v>35076.337281669963</v>
      </c>
      <c r="N70" s="216">
        <f>N$69*'BTX recycling rates'!P38</f>
        <v>35867.60624971419</v>
      </c>
      <c r="O70" s="216">
        <f>O$69*'BTX recycling rates'!Q38</f>
        <v>36443.968650128299</v>
      </c>
      <c r="P70" s="216">
        <f>P$69*'BTX recycling rates'!R38</f>
        <v>36816.679703050373</v>
      </c>
      <c r="Q70" s="216">
        <f>Q$69*'BTX recycling rates'!S38</f>
        <v>36996.801054719115</v>
      </c>
      <c r="R70" s="216">
        <f>R$69*'BTX recycling rates'!T38</f>
        <v>36995.200777473772</v>
      </c>
      <c r="S70" s="216">
        <f>S$69*'BTX recycling rates'!U38</f>
        <v>36822.55336975422</v>
      </c>
      <c r="T70" s="216">
        <f>T$69*'BTX recycling rates'!V38</f>
        <v>36489.339756100911</v>
      </c>
      <c r="U70" s="216">
        <f>U$69*'BTX recycling rates'!W38</f>
        <v>36005.847287154938</v>
      </c>
      <c r="V70" s="216">
        <f>V$69*'BTX recycling rates'!X38</f>
        <v>35382.169739657889</v>
      </c>
      <c r="W70" s="216">
        <f>W$69*'BTX recycling rates'!Y38</f>
        <v>34628.207316452092</v>
      </c>
      <c r="X70" s="216">
        <f>X$69*'BTX recycling rates'!Z38</f>
        <v>34816.972108396374</v>
      </c>
      <c r="Y70" s="216">
        <f>Y$69*'BTX recycling rates'!AA38</f>
        <v>34744.232919602902</v>
      </c>
      <c r="Z70" s="216">
        <f>Z$69*'BTX recycling rates'!AB38</f>
        <v>34427.613000361496</v>
      </c>
      <c r="AA70" s="216">
        <f>AA$69*'BTX recycling rates'!AC38</f>
        <v>33884.386961074975</v>
      </c>
      <c r="AB70" s="216">
        <f>AB$69*'BTX recycling rates'!AD38</f>
        <v>33131.480772259041</v>
      </c>
      <c r="AC70" s="216">
        <f>AC$69*'BTX recycling rates'!AE38</f>
        <v>32185.471764542388</v>
      </c>
      <c r="AD70" s="216">
        <f>AD$69*'BTX recycling rates'!AF38</f>
        <v>31062.588628666632</v>
      </c>
      <c r="AE70" s="216">
        <f>AE$69*'BTX recycling rates'!AG38</f>
        <v>29778.711415486308</v>
      </c>
      <c r="AF70" s="216">
        <f>AF$69*'BTX recycling rates'!AH38</f>
        <v>28349.371535968927</v>
      </c>
      <c r="AG70" s="216">
        <f>AG$69*'BTX recycling rates'!AI38</f>
        <v>26789.751761194955</v>
      </c>
      <c r="AH70" s="230"/>
      <c r="AI70" s="126"/>
      <c r="AJ70" s="198"/>
      <c r="AL70" s="102"/>
      <c r="AM70" s="2"/>
      <c r="AN70" s="2"/>
      <c r="AO70" s="2"/>
      <c r="BC70" s="1"/>
      <c r="BD70" s="2"/>
      <c r="BE70" s="2"/>
      <c r="BF70" s="2"/>
      <c r="BG70" s="2"/>
      <c r="BH70" s="2"/>
      <c r="BI70" s="2"/>
      <c r="BJ70" s="2"/>
      <c r="BK70" s="2"/>
    </row>
    <row r="71" spans="1:63" outlineLevel="1">
      <c r="A71" s="4" t="s">
        <v>74</v>
      </c>
      <c r="C71" s="216">
        <f>C$69*'BTX recycling rates'!E39</f>
        <v>102.05835702657066</v>
      </c>
      <c r="D71" s="216">
        <f>D$69*'BTX recycling rates'!F39</f>
        <v>434.74704820859853</v>
      </c>
      <c r="E71" s="216">
        <f>E$69*'BTX recycling rates'!G39</f>
        <v>794.08429246208209</v>
      </c>
      <c r="F71" s="216">
        <f>F$69*'BTX recycling rates'!H39</f>
        <v>1181.2797636026498</v>
      </c>
      <c r="G71" s="216">
        <f>G$69*'BTX recycling rates'!I39</f>
        <v>1593.1793752682565</v>
      </c>
      <c r="H71" s="216">
        <f>H$69*'BTX recycling rates'!J39</f>
        <v>2027.7661767887271</v>
      </c>
      <c r="I71" s="216">
        <f>I$69*'BTX recycling rates'!K39</f>
        <v>2483.0601740118514</v>
      </c>
      <c r="J71" s="216">
        <f>J$69*'BTX recycling rates'!L39</f>
        <v>2957.1183293033791</v>
      </c>
      <c r="K71" s="216">
        <f>K$69*'BTX recycling rates'!M39</f>
        <v>3448.034561547026</v>
      </c>
      <c r="L71" s="216">
        <f>L$69*'BTX recycling rates'!N39</f>
        <v>3953.9397461444701</v>
      </c>
      <c r="M71" s="216">
        <f>M$69*'BTX recycling rates'!O39</f>
        <v>4473.001715015349</v>
      </c>
      <c r="N71" s="216">
        <f>N$69*'BTX recycling rates'!P39</f>
        <v>5095.2189184862782</v>
      </c>
      <c r="O71" s="216">
        <f>O$69*'BTX recycling rates'!Q39</f>
        <v>5723.6120032278468</v>
      </c>
      <c r="P71" s="216">
        <f>P$69*'BTX recycling rates'!R39</f>
        <v>6352.0758030233246</v>
      </c>
      <c r="Q71" s="216">
        <f>Q$69*'BTX recycling rates'!S39</f>
        <v>6974.6604080978104</v>
      </c>
      <c r="R71" s="216">
        <f>R$69*'BTX recycling rates'!T39</f>
        <v>7585.5711651182046</v>
      </c>
      <c r="S71" s="216">
        <f>S$69*'BTX recycling rates'!U39</f>
        <v>8179.1686771932355</v>
      </c>
      <c r="T71" s="216">
        <f>T$69*'BTX recycling rates'!V39</f>
        <v>8749.9688038734421</v>
      </c>
      <c r="U71" s="216">
        <f>U$69*'BTX recycling rates'!W39</f>
        <v>9292.6426611511906</v>
      </c>
      <c r="V71" s="216">
        <f>V$69*'BTX recycling rates'!X39</f>
        <v>9802.0166214606434</v>
      </c>
      <c r="W71" s="216">
        <f>W$69*'BTX recycling rates'!Y39</f>
        <v>10273.072313677811</v>
      </c>
      <c r="X71" s="216">
        <f>X$69*'BTX recycling rates'!Z39</f>
        <v>11038.04703686836</v>
      </c>
      <c r="Y71" s="216">
        <f>Y$69*'BTX recycling rates'!AA39</f>
        <v>11749.199141992429</v>
      </c>
      <c r="Z71" s="216">
        <f>Z$69*'BTX recycling rates'!AB39</f>
        <v>12397.656780274163</v>
      </c>
      <c r="AA71" s="216">
        <f>AA$69*'BTX recycling rates'!AC39</f>
        <v>12974.8277304521</v>
      </c>
      <c r="AB71" s="216">
        <f>AB$69*'BTX recycling rates'!AD39</f>
        <v>13472.399398779136</v>
      </c>
      <c r="AC71" s="216">
        <f>AC$69*'BTX recycling rates'!AE39</f>
        <v>13882.338819022589</v>
      </c>
      <c r="AD71" s="216">
        <f>AD$69*'BTX recycling rates'!AF39</f>
        <v>14196.892652464136</v>
      </c>
      <c r="AE71" s="216">
        <f>AE$69*'BTX recycling rates'!AG39</f>
        <v>14408.587187899835</v>
      </c>
      <c r="AF71" s="216">
        <f>AF$69*'BTX recycling rates'!AH39</f>
        <v>14510.228341640139</v>
      </c>
      <c r="AG71" s="216">
        <f>AG$69*'BTX recycling rates'!AI39</f>
        <v>14494.901657509874</v>
      </c>
      <c r="AH71" s="230"/>
      <c r="AI71" s="126"/>
      <c r="AJ71" s="198"/>
      <c r="AL71" s="102"/>
      <c r="AM71" s="2"/>
      <c r="AN71" s="2"/>
      <c r="AO71" s="2"/>
      <c r="BC71" s="1"/>
      <c r="BD71" s="2"/>
      <c r="BE71" s="2"/>
      <c r="BF71" s="2"/>
      <c r="BG71" s="2"/>
      <c r="BH71" s="2"/>
      <c r="BI71" s="2"/>
      <c r="BJ71" s="2"/>
      <c r="BK71" s="2"/>
    </row>
    <row r="72" spans="1:63" outlineLevel="1">
      <c r="A72" s="4" t="s">
        <v>160</v>
      </c>
      <c r="C72" s="216">
        <f>C$69*'BTX recycling rates'!E40</f>
        <v>0</v>
      </c>
      <c r="D72" s="216">
        <f>D$69*'BTX recycling rates'!F40</f>
        <v>74.224673519014956</v>
      </c>
      <c r="E72" s="216">
        <f>E$69*'BTX recycling rates'!G40</f>
        <v>154.66617424792398</v>
      </c>
      <c r="F72" s="216">
        <f>F$69*'BTX recycling rates'!H40</f>
        <v>241.41332757585678</v>
      </c>
      <c r="G72" s="216">
        <f>G$69*'BTX recycling rates'!I40</f>
        <v>333.81199930037184</v>
      </c>
      <c r="H72" s="216">
        <f>H$69*'BTX recycling rates'!J40</f>
        <v>431.40426750144906</v>
      </c>
      <c r="I72" s="216">
        <f>I$69*'BTX recycling rates'!K40</f>
        <v>533.74058816669219</v>
      </c>
      <c r="J72" s="216">
        <f>J$69*'BTX recycling rates'!L40</f>
        <v>640.37979519132739</v>
      </c>
      <c r="K72" s="216">
        <f>K$69*'BTX recycling rates'!M40</f>
        <v>750.88910037820494</v>
      </c>
      <c r="L72" s="216">
        <f>L$69*'BTX recycling rates'!N40</f>
        <v>864.84409343779816</v>
      </c>
      <c r="M72" s="216">
        <f>M$69*'BTX recycling rates'!O40</f>
        <v>981.82874198820332</v>
      </c>
      <c r="N72" s="216">
        <f>N$69*'BTX recycling rates'!P40</f>
        <v>1121.6425062295709</v>
      </c>
      <c r="O72" s="216">
        <f>O$69*'BTX recycling rates'!Q40</f>
        <v>1263.0203615071855</v>
      </c>
      <c r="P72" s="216">
        <f>P$69*'BTX recycling rates'!R40</f>
        <v>1404.5754046180771</v>
      </c>
      <c r="Q72" s="216">
        <f>Q$69*'BTX recycling rates'!S40</f>
        <v>1544.9559284274997</v>
      </c>
      <c r="R72" s="216">
        <f>R$69*'BTX recycling rates'!T40</f>
        <v>1682.8454218689255</v>
      </c>
      <c r="S72" s="216">
        <f>S$69*'BTX recycling rates'!U40</f>
        <v>1816.9625699440508</v>
      </c>
      <c r="T72" s="216">
        <f>T$69*'BTX recycling rates'!V40</f>
        <v>1946.061253722793</v>
      </c>
      <c r="U72" s="216">
        <f>U$69*'BTX recycling rates'!W40</f>
        <v>2068.9305503432934</v>
      </c>
      <c r="V72" s="216">
        <f>V$69*'BTX recycling rates'!X40</f>
        <v>2184.3947330119099</v>
      </c>
      <c r="W72" s="216">
        <f>W$69*'BTX recycling rates'!Y40</f>
        <v>2291.3132710032291</v>
      </c>
      <c r="X72" s="216">
        <f>X$69*'BTX recycling rates'!Z40</f>
        <v>2463.8257228743546</v>
      </c>
      <c r="Y72" s="216">
        <f>Y$69*'BTX recycling rates'!AA40</f>
        <v>2624.3969380127946</v>
      </c>
      <c r="Z72" s="216">
        <f>Z$69*'BTX recycling rates'!AB40</f>
        <v>2771.0105058448435</v>
      </c>
      <c r="AA72" s="216">
        <f>AA$69*'BTX recycling rates'!AC40</f>
        <v>2901.7134063328517</v>
      </c>
      <c r="AB72" s="216">
        <f>AB$69*'BTX recycling rates'!AD40</f>
        <v>3014.6160099752233</v>
      </c>
      <c r="AC72" s="216">
        <f>AC$69*'BTX recycling rates'!AE40</f>
        <v>3107.8920778064235</v>
      </c>
      <c r="AD72" s="216">
        <f>AD$69*'BTX recycling rates'!AF40</f>
        <v>3179.7787613969704</v>
      </c>
      <c r="AE72" s="216">
        <f>AE$69*'BTX recycling rates'!AG40</f>
        <v>3228.5766028534367</v>
      </c>
      <c r="AF72" s="216">
        <f>AF$69*'BTX recycling rates'!AH40</f>
        <v>3252.649534818454</v>
      </c>
      <c r="AG72" s="216">
        <f>AG$69*'BTX recycling rates'!AI40</f>
        <v>3250.4248804707076</v>
      </c>
      <c r="AH72" s="230"/>
      <c r="AI72" s="126"/>
      <c r="AJ72" s="198"/>
      <c r="AL72" s="102"/>
      <c r="AM72" s="2"/>
      <c r="AN72" s="2"/>
      <c r="AO72" s="2"/>
      <c r="BC72" s="1"/>
      <c r="BD72" s="2"/>
      <c r="BE72" s="2"/>
      <c r="BF72" s="2"/>
      <c r="BG72" s="2"/>
      <c r="BH72" s="2"/>
      <c r="BI72" s="2"/>
      <c r="BJ72" s="2"/>
      <c r="BK72" s="2"/>
    </row>
    <row r="73" spans="1:63" outlineLevel="1">
      <c r="A73" s="4" t="s">
        <v>1159</v>
      </c>
      <c r="C73" s="216">
        <f>C$69*'BTX recycling rates'!E41</f>
        <v>0</v>
      </c>
      <c r="D73" s="216">
        <f>D$69*'BTX recycling rates'!F41</f>
        <v>6.5826701216031802</v>
      </c>
      <c r="E73" s="216">
        <f>E$69*'BTX recycling rates'!G41</f>
        <v>13.716684166804161</v>
      </c>
      <c r="F73" s="216">
        <f>F$69*'BTX recycling rates'!H41</f>
        <v>21.409919680997788</v>
      </c>
      <c r="G73" s="216">
        <f>G$69*'BTX recycling rates'!I41</f>
        <v>29.604364288166977</v>
      </c>
      <c r="H73" s="216">
        <f>H$69*'BTX recycling rates'!J41</f>
        <v>38.259406843822539</v>
      </c>
      <c r="I73" s="216">
        <f>I$69*'BTX recycling rates'!K41</f>
        <v>47.335179204415304</v>
      </c>
      <c r="J73" s="216">
        <f>J$69*'BTX recycling rates'!L41</f>
        <v>56.792556227335993</v>
      </c>
      <c r="K73" s="216">
        <f>K$69*'BTX recycling rates'!M41</f>
        <v>66.593155770915374</v>
      </c>
      <c r="L73" s="216">
        <f>L$69*'BTX recycling rates'!N41</f>
        <v>76.699338694424142</v>
      </c>
      <c r="M73" s="216">
        <f>M$69*'BTX recycling rates'!O41</f>
        <v>87.074208858072922</v>
      </c>
      <c r="N73" s="216">
        <f>N$69*'BTX recycling rates'!P41</f>
        <v>99.473696047797588</v>
      </c>
      <c r="O73" s="216">
        <f>O$69*'BTX recycling rates'!Q41</f>
        <v>112.01189580901148</v>
      </c>
      <c r="P73" s="216">
        <f>P$69*'BTX recycling rates'!R41</f>
        <v>124.56580960439658</v>
      </c>
      <c r="Q73" s="216">
        <f>Q$69*'BTX recycling rates'!S41</f>
        <v>137.01556028600189</v>
      </c>
      <c r="R73" s="216">
        <f>R$69*'BTX recycling rates'!T41</f>
        <v>149.24439209524306</v>
      </c>
      <c r="S73" s="216">
        <f>S$69*'BTX recycling rates'!U41</f>
        <v>161.13867066290274</v>
      </c>
      <c r="T73" s="216">
        <f>T$69*'BTX recycling rates'!V41</f>
        <v>172.58788300913039</v>
      </c>
      <c r="U73" s="216">
        <f>U$69*'BTX recycling rates'!W41</f>
        <v>183.48463754344255</v>
      </c>
      <c r="V73" s="216">
        <f>V$69*'BTX recycling rates'!X41</f>
        <v>193.72466406472213</v>
      </c>
      <c r="W73" s="216">
        <f>W$69*'BTX recycling rates'!Y41</f>
        <v>203.20681376121962</v>
      </c>
      <c r="X73" s="216">
        <f>X$69*'BTX recycling rates'!Z41</f>
        <v>218.50620827112803</v>
      </c>
      <c r="Y73" s="216">
        <f>Y$69*'BTX recycling rates'!AA41</f>
        <v>232.74658536097195</v>
      </c>
      <c r="Z73" s="216">
        <f>Z$69*'BTX recycling rates'!AB41</f>
        <v>245.74911816621795</v>
      </c>
      <c r="AA73" s="216">
        <f>AA$69*'BTX recycling rates'!AC41</f>
        <v>257.34060165895266</v>
      </c>
      <c r="AB73" s="216">
        <f>AB$69*'BTX recycling rates'!AD41</f>
        <v>267.35345264788225</v>
      </c>
      <c r="AC73" s="216">
        <f>AC$69*'BTX recycling rates'!AE41</f>
        <v>275.62570977833332</v>
      </c>
      <c r="AD73" s="216">
        <f>AD$69*'BTX recycling rates'!AF41</f>
        <v>282.00103353225199</v>
      </c>
      <c r="AE73" s="216">
        <f>AE$69*'BTX recycling rates'!AG41</f>
        <v>286.32870622820428</v>
      </c>
      <c r="AF73" s="216">
        <f>AF$69*'BTX recycling rates'!AH41</f>
        <v>288.46363202137616</v>
      </c>
      <c r="AG73" s="216">
        <f>AG$69*'BTX recycling rates'!AI41</f>
        <v>288.26633690357357</v>
      </c>
      <c r="AH73" s="230"/>
      <c r="AI73" s="126"/>
      <c r="AJ73" s="198"/>
      <c r="AL73" s="102"/>
      <c r="AM73" s="2"/>
      <c r="AN73" s="2"/>
      <c r="AO73" s="2"/>
      <c r="BC73" s="1"/>
      <c r="BD73" s="2"/>
      <c r="BE73" s="2"/>
      <c r="BF73" s="2"/>
      <c r="BG73" s="2"/>
      <c r="BH73" s="2"/>
      <c r="BI73" s="2"/>
      <c r="BJ73" s="2"/>
      <c r="BK73" s="2"/>
    </row>
    <row r="74" spans="1:63" s="1" customFormat="1" outlineLevel="1">
      <c r="A74" s="1" t="s">
        <v>1160</v>
      </c>
      <c r="B74" s="61"/>
      <c r="C74" s="279">
        <f t="shared" ref="C74:AG74" si="35">C69-$C69</f>
        <v>0</v>
      </c>
      <c r="D74" s="279">
        <f t="shared" si="35"/>
        <v>1507.6889282953598</v>
      </c>
      <c r="E74" s="279">
        <f t="shared" si="35"/>
        <v>2793.6392216536951</v>
      </c>
      <c r="F74" s="279">
        <f t="shared" si="35"/>
        <v>4091.8385322199574</v>
      </c>
      <c r="G74" s="279">
        <f t="shared" si="35"/>
        <v>5325.4462890342511</v>
      </c>
      <c r="H74" s="279">
        <f t="shared" si="35"/>
        <v>6495.3289769128496</v>
      </c>
      <c r="I74" s="279">
        <f t="shared" si="35"/>
        <v>7602.3530806720701</v>
      </c>
      <c r="J74" s="279">
        <f t="shared" si="35"/>
        <v>8647.3850851281859</v>
      </c>
      <c r="K74" s="279">
        <f t="shared" si="35"/>
        <v>9631.2914750975142</v>
      </c>
      <c r="L74" s="279">
        <f t="shared" si="35"/>
        <v>10554.938735396365</v>
      </c>
      <c r="M74" s="279">
        <f t="shared" si="35"/>
        <v>11419.193350841011</v>
      </c>
      <c r="N74" s="279">
        <f t="shared" si="35"/>
        <v>12984.892773787262</v>
      </c>
      <c r="O74" s="279">
        <f t="shared" si="35"/>
        <v>14343.564313981773</v>
      </c>
      <c r="P74" s="279">
        <f t="shared" si="35"/>
        <v>15498.8481236056</v>
      </c>
      <c r="Q74" s="279">
        <f t="shared" si="35"/>
        <v>16454.384354839862</v>
      </c>
      <c r="R74" s="279">
        <f t="shared" si="35"/>
        <v>17213.813159865578</v>
      </c>
      <c r="S74" s="279">
        <f t="shared" si="35"/>
        <v>17780.77469086384</v>
      </c>
      <c r="T74" s="279">
        <f t="shared" si="35"/>
        <v>18158.90910001571</v>
      </c>
      <c r="U74" s="279">
        <f t="shared" si="35"/>
        <v>18351.8565395023</v>
      </c>
      <c r="V74" s="279">
        <f t="shared" si="35"/>
        <v>18363.257161504607</v>
      </c>
      <c r="W74" s="279">
        <f t="shared" si="35"/>
        <v>18196.751118203789</v>
      </c>
      <c r="X74" s="279">
        <f t="shared" si="35"/>
        <v>19338.302479719659</v>
      </c>
      <c r="Y74" s="279">
        <f t="shared" si="35"/>
        <v>20151.52698827854</v>
      </c>
      <c r="Z74" s="279">
        <f t="shared" si="35"/>
        <v>20642.980807956166</v>
      </c>
      <c r="AA74" s="279">
        <f t="shared" si="35"/>
        <v>20819.220102828327</v>
      </c>
      <c r="AB74" s="279">
        <f t="shared" si="35"/>
        <v>20686.80103697073</v>
      </c>
      <c r="AC74" s="279">
        <f t="shared" si="35"/>
        <v>20252.279774459184</v>
      </c>
      <c r="AD74" s="279">
        <f t="shared" si="35"/>
        <v>19522.212479369442</v>
      </c>
      <c r="AE74" s="279">
        <f t="shared" si="35"/>
        <v>18503.15531577724</v>
      </c>
      <c r="AF74" s="279">
        <f t="shared" si="35"/>
        <v>17201.66444775835</v>
      </c>
      <c r="AG74" s="279">
        <f t="shared" si="35"/>
        <v>15624.296039388519</v>
      </c>
      <c r="AH74" s="230"/>
      <c r="AI74" s="398"/>
      <c r="AJ74" s="399"/>
      <c r="AL74" s="207"/>
      <c r="AM74" s="118"/>
      <c r="AN74" s="118"/>
      <c r="AO74" s="118"/>
      <c r="BD74" s="118"/>
      <c r="BE74" s="118"/>
      <c r="BF74" s="118"/>
      <c r="BG74" s="118"/>
      <c r="BH74" s="118"/>
      <c r="BI74" s="118"/>
      <c r="BJ74" s="118"/>
      <c r="BK74" s="118"/>
    </row>
    <row r="75" spans="1:63" outlineLevel="1">
      <c r="A75" s="4" t="s">
        <v>35</v>
      </c>
      <c r="C75" s="216">
        <f t="shared" ref="C75:AG75" si="36">C70-$C70</f>
        <v>0</v>
      </c>
      <c r="D75" s="216">
        <f t="shared" si="36"/>
        <v>1094.1928934727148</v>
      </c>
      <c r="E75" s="216">
        <f t="shared" si="36"/>
        <v>1933.2304278034535</v>
      </c>
      <c r="F75" s="216">
        <f t="shared" si="36"/>
        <v>2749.7938783870231</v>
      </c>
      <c r="G75" s="216">
        <f t="shared" si="36"/>
        <v>3470.9089072040224</v>
      </c>
      <c r="H75" s="216">
        <f t="shared" si="36"/>
        <v>4099.9574828054174</v>
      </c>
      <c r="I75" s="216">
        <f t="shared" si="36"/>
        <v>4640.2754963156767</v>
      </c>
      <c r="J75" s="216">
        <f t="shared" si="36"/>
        <v>5095.152761432706</v>
      </c>
      <c r="K75" s="216">
        <f t="shared" si="36"/>
        <v>5467.8330144279316</v>
      </c>
      <c r="L75" s="216">
        <f t="shared" si="36"/>
        <v>5761.513914146235</v>
      </c>
      <c r="M75" s="216">
        <f t="shared" si="36"/>
        <v>5979.3470420059457</v>
      </c>
      <c r="N75" s="216">
        <f t="shared" si="36"/>
        <v>6770.6160100501729</v>
      </c>
      <c r="O75" s="216">
        <f t="shared" si="36"/>
        <v>7346.9784104642822</v>
      </c>
      <c r="P75" s="216">
        <f t="shared" si="36"/>
        <v>7719.6894633863558</v>
      </c>
      <c r="Q75" s="216">
        <f t="shared" si="36"/>
        <v>7899.8108150550979</v>
      </c>
      <c r="R75" s="216">
        <f t="shared" si="36"/>
        <v>7898.2105378097549</v>
      </c>
      <c r="S75" s="216">
        <f t="shared" si="36"/>
        <v>7725.5631300902023</v>
      </c>
      <c r="T75" s="216">
        <f t="shared" si="36"/>
        <v>7392.3495164368942</v>
      </c>
      <c r="U75" s="216">
        <f t="shared" si="36"/>
        <v>6908.8570474909211</v>
      </c>
      <c r="V75" s="216">
        <f t="shared" si="36"/>
        <v>6285.179499993872</v>
      </c>
      <c r="W75" s="216">
        <f t="shared" si="36"/>
        <v>5531.2170767880743</v>
      </c>
      <c r="X75" s="216">
        <f t="shared" si="36"/>
        <v>5719.9818687323568</v>
      </c>
      <c r="Y75" s="216">
        <f t="shared" si="36"/>
        <v>5647.242679938885</v>
      </c>
      <c r="Z75" s="216">
        <f t="shared" si="36"/>
        <v>5330.622760697479</v>
      </c>
      <c r="AA75" s="216">
        <f t="shared" si="36"/>
        <v>4787.396721410958</v>
      </c>
      <c r="AB75" s="216">
        <f t="shared" si="36"/>
        <v>4034.490532595024</v>
      </c>
      <c r="AC75" s="216">
        <f t="shared" si="36"/>
        <v>3088.4815248783707</v>
      </c>
      <c r="AD75" s="216">
        <f t="shared" si="36"/>
        <v>1965.5983890026146</v>
      </c>
      <c r="AE75" s="216">
        <f t="shared" si="36"/>
        <v>681.72117582229112</v>
      </c>
      <c r="AF75" s="216">
        <f t="shared" si="36"/>
        <v>-747.61870369509052</v>
      </c>
      <c r="AG75" s="216">
        <f t="shared" si="36"/>
        <v>-2307.2384784690621</v>
      </c>
      <c r="AH75" s="230"/>
      <c r="AI75" s="126"/>
      <c r="AJ75" s="198"/>
      <c r="AL75" s="102"/>
      <c r="AM75" s="2"/>
      <c r="AN75" s="2"/>
      <c r="AO75" s="2"/>
      <c r="BC75" s="1"/>
      <c r="BD75" s="2"/>
      <c r="BE75" s="2"/>
      <c r="BF75" s="2"/>
      <c r="BG75" s="2"/>
      <c r="BH75" s="2"/>
      <c r="BI75" s="2"/>
      <c r="BJ75" s="2"/>
      <c r="BK75" s="2"/>
    </row>
    <row r="76" spans="1:63" outlineLevel="1">
      <c r="A76" s="4" t="s">
        <v>74</v>
      </c>
      <c r="C76" s="216">
        <f t="shared" ref="C76:AG76" si="37">C71-$C71</f>
        <v>0</v>
      </c>
      <c r="D76" s="216">
        <f t="shared" si="37"/>
        <v>332.68869118202787</v>
      </c>
      <c r="E76" s="216">
        <f t="shared" si="37"/>
        <v>692.02593543551143</v>
      </c>
      <c r="F76" s="216">
        <f t="shared" si="37"/>
        <v>1079.2214065760791</v>
      </c>
      <c r="G76" s="216">
        <f t="shared" si="37"/>
        <v>1491.1210182416858</v>
      </c>
      <c r="H76" s="216">
        <f t="shared" si="37"/>
        <v>1925.7078197621563</v>
      </c>
      <c r="I76" s="216">
        <f t="shared" si="37"/>
        <v>2381.0018169852806</v>
      </c>
      <c r="J76" s="216">
        <f t="shared" si="37"/>
        <v>2855.0599722768084</v>
      </c>
      <c r="K76" s="216">
        <f t="shared" si="37"/>
        <v>3345.9762045204552</v>
      </c>
      <c r="L76" s="216">
        <f t="shared" si="37"/>
        <v>3851.8813891178993</v>
      </c>
      <c r="M76" s="216">
        <f t="shared" si="37"/>
        <v>4370.9433579887782</v>
      </c>
      <c r="N76" s="216">
        <f t="shared" si="37"/>
        <v>4993.1605614597074</v>
      </c>
      <c r="O76" s="216">
        <f t="shared" si="37"/>
        <v>5621.553646201276</v>
      </c>
      <c r="P76" s="216">
        <f t="shared" si="37"/>
        <v>6250.0174459967538</v>
      </c>
      <c r="Q76" s="216">
        <f t="shared" si="37"/>
        <v>6872.6020510712397</v>
      </c>
      <c r="R76" s="216">
        <f t="shared" si="37"/>
        <v>7483.5128080916338</v>
      </c>
      <c r="S76" s="216">
        <f t="shared" si="37"/>
        <v>8077.1103201666647</v>
      </c>
      <c r="T76" s="216">
        <f t="shared" si="37"/>
        <v>8647.9104468468722</v>
      </c>
      <c r="U76" s="216">
        <f t="shared" si="37"/>
        <v>9190.5843041246208</v>
      </c>
      <c r="V76" s="216">
        <f t="shared" si="37"/>
        <v>9699.9582644340735</v>
      </c>
      <c r="W76" s="216">
        <f t="shared" si="37"/>
        <v>10171.013956651241</v>
      </c>
      <c r="X76" s="216">
        <f t="shared" si="37"/>
        <v>10935.98867984179</v>
      </c>
      <c r="Y76" s="216">
        <f t="shared" si="37"/>
        <v>11647.140784965859</v>
      </c>
      <c r="Z76" s="216">
        <f t="shared" si="37"/>
        <v>12295.598423247593</v>
      </c>
      <c r="AA76" s="216">
        <f t="shared" si="37"/>
        <v>12872.76937342553</v>
      </c>
      <c r="AB76" s="216">
        <f t="shared" si="37"/>
        <v>13370.341041752567</v>
      </c>
      <c r="AC76" s="216">
        <f t="shared" si="37"/>
        <v>13780.280461996019</v>
      </c>
      <c r="AD76" s="216">
        <f t="shared" si="37"/>
        <v>14094.834295437566</v>
      </c>
      <c r="AE76" s="216">
        <f t="shared" si="37"/>
        <v>14306.528830873265</v>
      </c>
      <c r="AF76" s="216">
        <f t="shared" si="37"/>
        <v>14408.169984613569</v>
      </c>
      <c r="AG76" s="216">
        <f t="shared" si="37"/>
        <v>14392.843300483304</v>
      </c>
      <c r="AH76" s="230"/>
      <c r="AI76" s="126"/>
      <c r="AJ76" s="198"/>
      <c r="AL76" s="102"/>
      <c r="AM76" s="2"/>
      <c r="AN76" s="2"/>
      <c r="AO76" s="2"/>
      <c r="BC76" s="1"/>
      <c r="BD76" s="2"/>
      <c r="BE76" s="2"/>
      <c r="BF76" s="2"/>
      <c r="BG76" s="2"/>
      <c r="BH76" s="2"/>
      <c r="BI76" s="2"/>
      <c r="BJ76" s="2"/>
      <c r="BK76" s="2"/>
    </row>
    <row r="77" spans="1:63" outlineLevel="1">
      <c r="A77" s="4" t="s">
        <v>160</v>
      </c>
      <c r="C77" s="216">
        <f t="shared" ref="C77:AG77" si="38">C72-$C72</f>
        <v>0</v>
      </c>
      <c r="D77" s="216">
        <f t="shared" si="38"/>
        <v>74.224673519014956</v>
      </c>
      <c r="E77" s="216">
        <f t="shared" si="38"/>
        <v>154.66617424792398</v>
      </c>
      <c r="F77" s="216">
        <f t="shared" si="38"/>
        <v>241.41332757585678</v>
      </c>
      <c r="G77" s="216">
        <f t="shared" si="38"/>
        <v>333.81199930037184</v>
      </c>
      <c r="H77" s="216">
        <f t="shared" si="38"/>
        <v>431.40426750144906</v>
      </c>
      <c r="I77" s="216">
        <f t="shared" si="38"/>
        <v>533.74058816669219</v>
      </c>
      <c r="J77" s="216">
        <f t="shared" si="38"/>
        <v>640.37979519132739</v>
      </c>
      <c r="K77" s="216">
        <f t="shared" si="38"/>
        <v>750.88910037820494</v>
      </c>
      <c r="L77" s="216">
        <f t="shared" si="38"/>
        <v>864.84409343779816</v>
      </c>
      <c r="M77" s="216">
        <f t="shared" si="38"/>
        <v>981.82874198820332</v>
      </c>
      <c r="N77" s="216">
        <f t="shared" si="38"/>
        <v>1121.6425062295709</v>
      </c>
      <c r="O77" s="216">
        <f t="shared" si="38"/>
        <v>1263.0203615071855</v>
      </c>
      <c r="P77" s="216">
        <f t="shared" si="38"/>
        <v>1404.5754046180771</v>
      </c>
      <c r="Q77" s="216">
        <f t="shared" si="38"/>
        <v>1544.9559284274997</v>
      </c>
      <c r="R77" s="216">
        <f t="shared" si="38"/>
        <v>1682.8454218689255</v>
      </c>
      <c r="S77" s="216">
        <f t="shared" si="38"/>
        <v>1816.9625699440508</v>
      </c>
      <c r="T77" s="216">
        <f t="shared" si="38"/>
        <v>1946.061253722793</v>
      </c>
      <c r="U77" s="216">
        <f t="shared" si="38"/>
        <v>2068.9305503432934</v>
      </c>
      <c r="V77" s="216">
        <f t="shared" si="38"/>
        <v>2184.3947330119099</v>
      </c>
      <c r="W77" s="216">
        <f t="shared" si="38"/>
        <v>2291.3132710032291</v>
      </c>
      <c r="X77" s="216">
        <f t="shared" si="38"/>
        <v>2463.8257228743546</v>
      </c>
      <c r="Y77" s="216">
        <f t="shared" si="38"/>
        <v>2624.3969380127946</v>
      </c>
      <c r="Z77" s="216">
        <f t="shared" si="38"/>
        <v>2771.0105058448435</v>
      </c>
      <c r="AA77" s="216">
        <f t="shared" si="38"/>
        <v>2901.7134063328517</v>
      </c>
      <c r="AB77" s="216">
        <f t="shared" si="38"/>
        <v>3014.6160099752233</v>
      </c>
      <c r="AC77" s="216">
        <f t="shared" si="38"/>
        <v>3107.8920778064235</v>
      </c>
      <c r="AD77" s="216">
        <f t="shared" si="38"/>
        <v>3179.7787613969704</v>
      </c>
      <c r="AE77" s="216">
        <f t="shared" si="38"/>
        <v>3228.5766028534367</v>
      </c>
      <c r="AF77" s="216">
        <f t="shared" si="38"/>
        <v>3252.649534818454</v>
      </c>
      <c r="AG77" s="216">
        <f t="shared" si="38"/>
        <v>3250.4248804707076</v>
      </c>
      <c r="AH77" s="230"/>
      <c r="AI77" s="126"/>
      <c r="AJ77" s="198"/>
      <c r="AL77" s="102"/>
      <c r="AM77" s="2"/>
      <c r="AN77" s="2"/>
      <c r="AO77" s="2"/>
      <c r="BC77" s="1"/>
      <c r="BD77" s="2"/>
      <c r="BE77" s="2"/>
      <c r="BF77" s="2"/>
      <c r="BG77" s="2"/>
      <c r="BH77" s="2"/>
      <c r="BI77" s="2"/>
      <c r="BJ77" s="2"/>
      <c r="BK77" s="2"/>
    </row>
    <row r="78" spans="1:63" outlineLevel="1">
      <c r="A78" s="4" t="s">
        <v>1159</v>
      </c>
      <c r="C78" s="216">
        <f t="shared" ref="C78:AG78" si="39">C73-$C73</f>
        <v>0</v>
      </c>
      <c r="D78" s="216">
        <f t="shared" si="39"/>
        <v>6.5826701216031802</v>
      </c>
      <c r="E78" s="216">
        <f t="shared" si="39"/>
        <v>13.716684166804161</v>
      </c>
      <c r="F78" s="216">
        <f t="shared" si="39"/>
        <v>21.409919680997788</v>
      </c>
      <c r="G78" s="216">
        <f t="shared" si="39"/>
        <v>29.604364288166977</v>
      </c>
      <c r="H78" s="216">
        <f t="shared" si="39"/>
        <v>38.259406843822539</v>
      </c>
      <c r="I78" s="216">
        <f t="shared" si="39"/>
        <v>47.335179204415304</v>
      </c>
      <c r="J78" s="216">
        <f t="shared" si="39"/>
        <v>56.792556227335993</v>
      </c>
      <c r="K78" s="216">
        <f t="shared" si="39"/>
        <v>66.593155770915374</v>
      </c>
      <c r="L78" s="216">
        <f t="shared" si="39"/>
        <v>76.699338694424142</v>
      </c>
      <c r="M78" s="216">
        <f t="shared" si="39"/>
        <v>87.074208858072922</v>
      </c>
      <c r="N78" s="216">
        <f t="shared" si="39"/>
        <v>99.473696047797588</v>
      </c>
      <c r="O78" s="216">
        <f t="shared" si="39"/>
        <v>112.01189580901148</v>
      </c>
      <c r="P78" s="216">
        <f t="shared" si="39"/>
        <v>124.56580960439658</v>
      </c>
      <c r="Q78" s="216">
        <f t="shared" si="39"/>
        <v>137.01556028600189</v>
      </c>
      <c r="R78" s="216">
        <f t="shared" si="39"/>
        <v>149.24439209524306</v>
      </c>
      <c r="S78" s="216">
        <f t="shared" si="39"/>
        <v>161.13867066290274</v>
      </c>
      <c r="T78" s="216">
        <f t="shared" si="39"/>
        <v>172.58788300913039</v>
      </c>
      <c r="U78" s="216">
        <f t="shared" si="39"/>
        <v>183.48463754344255</v>
      </c>
      <c r="V78" s="216">
        <f t="shared" si="39"/>
        <v>193.72466406472213</v>
      </c>
      <c r="W78" s="216">
        <f t="shared" si="39"/>
        <v>203.20681376121962</v>
      </c>
      <c r="X78" s="216">
        <f t="shared" si="39"/>
        <v>218.50620827112803</v>
      </c>
      <c r="Y78" s="216">
        <f t="shared" si="39"/>
        <v>232.74658536097195</v>
      </c>
      <c r="Z78" s="216">
        <f t="shared" si="39"/>
        <v>245.74911816621795</v>
      </c>
      <c r="AA78" s="216">
        <f t="shared" si="39"/>
        <v>257.34060165895266</v>
      </c>
      <c r="AB78" s="216">
        <f t="shared" si="39"/>
        <v>267.35345264788225</v>
      </c>
      <c r="AC78" s="216">
        <f t="shared" si="39"/>
        <v>275.62570977833332</v>
      </c>
      <c r="AD78" s="216">
        <f t="shared" si="39"/>
        <v>282.00103353225199</v>
      </c>
      <c r="AE78" s="216">
        <f t="shared" si="39"/>
        <v>286.32870622820428</v>
      </c>
      <c r="AF78" s="216">
        <f t="shared" si="39"/>
        <v>288.46363202137616</v>
      </c>
      <c r="AG78" s="216">
        <f t="shared" si="39"/>
        <v>288.26633690357357</v>
      </c>
      <c r="AH78" s="230"/>
      <c r="AI78" s="126"/>
      <c r="AJ78" s="198"/>
      <c r="AL78" s="102"/>
      <c r="AM78" s="2"/>
      <c r="AN78" s="2"/>
      <c r="AO78" s="2"/>
      <c r="BC78" s="1"/>
      <c r="BD78" s="2"/>
      <c r="BE78" s="2"/>
      <c r="BF78" s="2"/>
      <c r="BG78" s="2"/>
      <c r="BH78" s="2"/>
      <c r="BI78" s="2"/>
      <c r="BJ78" s="2"/>
      <c r="BK78" s="2"/>
    </row>
    <row r="79" spans="1:63" s="1" customFormat="1" outlineLevel="1">
      <c r="A79" s="1" t="s">
        <v>1161</v>
      </c>
      <c r="B79" s="61"/>
      <c r="C79" s="279">
        <f>C39*C64</f>
        <v>6787.1873025289015</v>
      </c>
      <c r="D79" s="279">
        <f t="shared" ref="D79:AG79" si="40">D39*D64</f>
        <v>6784.5098563656011</v>
      </c>
      <c r="E79" s="279">
        <f t="shared" si="40"/>
        <v>6736.2411774403481</v>
      </c>
      <c r="F79" s="279">
        <f t="shared" si="40"/>
        <v>6694.4025253040872</v>
      </c>
      <c r="G79" s="279">
        <f t="shared" si="40"/>
        <v>6642.3313750919888</v>
      </c>
      <c r="H79" s="279">
        <f t="shared" si="40"/>
        <v>6580.5264678798894</v>
      </c>
      <c r="I79" s="279">
        <f t="shared" si="40"/>
        <v>6509.478800613012</v>
      </c>
      <c r="J79" s="279">
        <f t="shared" si="40"/>
        <v>6429.6716261059628</v>
      </c>
      <c r="K79" s="279">
        <f t="shared" si="40"/>
        <v>6341.5804530427249</v>
      </c>
      <c r="L79" s="279">
        <f t="shared" si="40"/>
        <v>6245.6730459766659</v>
      </c>
      <c r="M79" s="279">
        <f t="shared" si="40"/>
        <v>6142.4094253305338</v>
      </c>
      <c r="N79" s="279">
        <f t="shared" si="40"/>
        <v>6127.8961887642972</v>
      </c>
      <c r="O79" s="279">
        <f t="shared" si="40"/>
        <v>6084.8625188196947</v>
      </c>
      <c r="P79" s="279">
        <f t="shared" si="40"/>
        <v>6015.3405592411546</v>
      </c>
      <c r="Q79" s="279">
        <f t="shared" si="40"/>
        <v>5921.3231484791522</v>
      </c>
      <c r="R79" s="279">
        <f t="shared" si="40"/>
        <v>5804.7638196901971</v>
      </c>
      <c r="S79" s="279">
        <f t="shared" si="40"/>
        <v>5667.5768007368488</v>
      </c>
      <c r="T79" s="279">
        <f t="shared" si="40"/>
        <v>5511.6370141877105</v>
      </c>
      <c r="U79" s="279">
        <f t="shared" si="40"/>
        <v>5338.7800773174295</v>
      </c>
      <c r="V79" s="279">
        <f t="shared" si="40"/>
        <v>5150.802302106692</v>
      </c>
      <c r="W79" s="279">
        <f t="shared" si="40"/>
        <v>4949.4606952422373</v>
      </c>
      <c r="X79" s="279">
        <f t="shared" si="40"/>
        <v>4834.026648099094</v>
      </c>
      <c r="Y79" s="279">
        <f t="shared" si="40"/>
        <v>4692.331133391378</v>
      </c>
      <c r="Z79" s="279">
        <f t="shared" si="40"/>
        <v>4527.1821456968692</v>
      </c>
      <c r="AA79" s="279">
        <f t="shared" si="40"/>
        <v>4341.3240146179642</v>
      </c>
      <c r="AB79" s="279">
        <f t="shared" si="40"/>
        <v>4137.4374047816655</v>
      </c>
      <c r="AC79" s="279">
        <f t="shared" si="40"/>
        <v>3918.1393158395913</v>
      </c>
      <c r="AD79" s="279">
        <f t="shared" si="40"/>
        <v>3685.9830824679657</v>
      </c>
      <c r="AE79" s="279">
        <f t="shared" si="40"/>
        <v>3443.4583743676235</v>
      </c>
      <c r="AF79" s="279">
        <f t="shared" si="40"/>
        <v>3192.9911962640085</v>
      </c>
      <c r="AG79" s="279">
        <f t="shared" si="40"/>
        <v>2936.9438879071736</v>
      </c>
      <c r="AH79" s="230"/>
      <c r="AI79" s="398"/>
      <c r="AJ79" s="399"/>
      <c r="AL79" s="207"/>
      <c r="AM79" s="118"/>
      <c r="AN79" s="118"/>
      <c r="AO79" s="118"/>
      <c r="BD79" s="118"/>
      <c r="BE79" s="118"/>
      <c r="BF79" s="118"/>
      <c r="BG79" s="118"/>
      <c r="BH79" s="118"/>
      <c r="BI79" s="118"/>
      <c r="BJ79" s="118"/>
      <c r="BK79" s="118"/>
    </row>
    <row r="80" spans="1:63" outlineLevel="1">
      <c r="A80" s="4" t="s">
        <v>35</v>
      </c>
      <c r="C80" s="216">
        <f>C$79*'BTX recycling rates'!E42</f>
        <v>6763.4642972181664</v>
      </c>
      <c r="D80" s="216">
        <f>D$79*'BTX recycling rates'!F42</f>
        <v>6670.6005278298862</v>
      </c>
      <c r="E80" s="216">
        <f>E$79*'BTX recycling rates'!G42</f>
        <v>6533.5882809258974</v>
      </c>
      <c r="F80" s="216">
        <f>F$79*'BTX recycling rates'!H42</f>
        <v>6404.0105388946376</v>
      </c>
      <c r="G80" s="216">
        <f>G$79*'BTX recycling rates'!I42</f>
        <v>6265.8926376796853</v>
      </c>
      <c r="H80" s="216">
        <f>H$79*'BTX recycling rates'!J42</f>
        <v>6120.1065263030359</v>
      </c>
      <c r="I80" s="216">
        <f>I$79*'BTX recycling rates'!K42</f>
        <v>5967.4905326797834</v>
      </c>
      <c r="J80" s="216">
        <f>J$79*'BTX recycling rates'!L42</f>
        <v>5808.8498783842133</v>
      </c>
      <c r="K80" s="216">
        <f>K$79*'BTX recycling rates'!M42</f>
        <v>5644.9571934159048</v>
      </c>
      <c r="L80" s="216">
        <f>L$79*'BTX recycling rates'!N42</f>
        <v>5476.5530309658379</v>
      </c>
      <c r="M80" s="216">
        <f>M$79*'BTX recycling rates'!O42</f>
        <v>5304.3463821824917</v>
      </c>
      <c r="N80" s="216">
        <f>N$79*'BTX recycling rates'!P42</f>
        <v>5210.3468878691056</v>
      </c>
      <c r="O80" s="216">
        <f>O$79*'BTX recycling rates'!Q42</f>
        <v>5092.8624639761301</v>
      </c>
      <c r="P80" s="216">
        <f>P$79*'BTX recycling rates'!R42</f>
        <v>4954.7044251365833</v>
      </c>
      <c r="Q80" s="216">
        <f>Q$79*'BTX recycling rates'!S42</f>
        <v>4798.5441694509482</v>
      </c>
      <c r="R80" s="216">
        <f>R$79*'BTX recycling rates'!T42</f>
        <v>4626.915791179792</v>
      </c>
      <c r="S80" s="216">
        <f>S$79*'BTX recycling rates'!U42</f>
        <v>4442.2186934364099</v>
      </c>
      <c r="T80" s="216">
        <f>T$79*'BTX recycling rates'!V42</f>
        <v>4246.7202008794475</v>
      </c>
      <c r="U80" s="216">
        <f>U$79*'BTX recycling rates'!W42</f>
        <v>4042.5581724055287</v>
      </c>
      <c r="V80" s="216">
        <f>V$79*'BTX recycling rates'!X42</f>
        <v>3831.7436138418861</v>
      </c>
      <c r="W80" s="216">
        <f>W$79*'BTX recycling rates'!Y42</f>
        <v>3616.1632906389973</v>
      </c>
      <c r="X80" s="216">
        <f>X$79*'BTX recycling rates'!Z42</f>
        <v>3467.5598739031693</v>
      </c>
      <c r="Y80" s="216">
        <f>Y$79*'BTX recycling rates'!AA42</f>
        <v>3303.5368666319941</v>
      </c>
      <c r="Z80" s="216">
        <f>Z$79*'BTX recycling rates'!AB42</f>
        <v>3127.0812355739918</v>
      </c>
      <c r="AA80" s="216">
        <f>AA$79*'BTX recycling rates'!AC42</f>
        <v>2940.9874963572556</v>
      </c>
      <c r="AB80" s="216">
        <f>AB$79*'BTX recycling rates'!AD42</f>
        <v>2747.8619454133227</v>
      </c>
      <c r="AC80" s="216">
        <f>AC$79*'BTX recycling rates'!AE42</f>
        <v>2550.1268919010545</v>
      </c>
      <c r="AD80" s="216">
        <f>AD$79*'BTX recycling rates'!AF42</f>
        <v>2350.0248896305056</v>
      </c>
      <c r="AE80" s="216">
        <f>AE$79*'BTX recycling rates'!AG42</f>
        <v>2149.6229689868051</v>
      </c>
      <c r="AF80" s="216">
        <f>AF$79*'BTX recycling rates'!AH42</f>
        <v>1950.8168688540306</v>
      </c>
      <c r="AG80" s="220">
        <f>AG$79*'BTX recycling rates'!AI42</f>
        <v>1755.3352685390871</v>
      </c>
      <c r="AH80" s="230"/>
      <c r="AI80" s="126"/>
      <c r="AJ80" s="198"/>
      <c r="AL80" s="102"/>
      <c r="AM80" s="2"/>
      <c r="AN80" s="2"/>
      <c r="AO80" s="2"/>
      <c r="BC80" s="1"/>
      <c r="BD80" s="2"/>
      <c r="BE80" s="2"/>
      <c r="BF80" s="2"/>
      <c r="BG80" s="2"/>
      <c r="BH80" s="2"/>
      <c r="BI80" s="2"/>
      <c r="BJ80" s="2"/>
      <c r="BK80" s="2"/>
    </row>
    <row r="81" spans="1:63" outlineLevel="1">
      <c r="A81" s="4" t="s">
        <v>74</v>
      </c>
      <c r="C81" s="216">
        <f>C$79*'BTX recycling rates'!E43</f>
        <v>23.723005310735051</v>
      </c>
      <c r="D81" s="216">
        <f>D$79*'BTX recycling rates'!F43</f>
        <v>96.055324379447825</v>
      </c>
      <c r="E81" s="216">
        <f>E$79*'BTX recycling rates'!G43</f>
        <v>167.19893431943899</v>
      </c>
      <c r="F81" s="216">
        <f>F$79*'BTX recycling rates'!H43</f>
        <v>237.54134883611272</v>
      </c>
      <c r="G81" s="216">
        <f>G$79*'BTX recycling rates'!I43</f>
        <v>306.51933896560519</v>
      </c>
      <c r="H81" s="216">
        <f>H$79*'BTX recycling rates'!J43</f>
        <v>373.83391738697134</v>
      </c>
      <c r="I81" s="216">
        <f>I$79*'BTX recycling rates'!K43</f>
        <v>439.20684611638256</v>
      </c>
      <c r="J81" s="216">
        <f>J$79*'BTX recycling rates'!L43</f>
        <v>502.38022363765532</v>
      </c>
      <c r="K81" s="216">
        <f>K$79*'BTX recycling rates'!M43</f>
        <v>563.11607203277981</v>
      </c>
      <c r="L81" s="216">
        <f>L$79*'BTX recycling rates'!N43</f>
        <v>621.19592411244878</v>
      </c>
      <c r="M81" s="216">
        <f>M$79*'BTX recycling rates'!O43</f>
        <v>676.42041054658694</v>
      </c>
      <c r="N81" s="216">
        <f>N$79*'BTX recycling rates'!P43</f>
        <v>740.16252576538523</v>
      </c>
      <c r="O81" s="216">
        <f>O$79*'BTX recycling rates'!Q43</f>
        <v>799.84616959381844</v>
      </c>
      <c r="P81" s="216">
        <f>P$79*'BTX recycling rates'!R43</f>
        <v>854.84781202132899</v>
      </c>
      <c r="Q81" s="216">
        <f>Q$79*'BTX recycling rates'!S43</f>
        <v>904.62459134447488</v>
      </c>
      <c r="R81" s="216">
        <f>R$79*'BTX recycling rates'!T43</f>
        <v>948.71221865011285</v>
      </c>
      <c r="S81" s="216">
        <f>S$79*'BTX recycling rates'!U43</f>
        <v>986.72288229858475</v>
      </c>
      <c r="T81" s="216">
        <f>T$79*'BTX recycling rates'!V43</f>
        <v>1018.3431524069026</v>
      </c>
      <c r="U81" s="216">
        <f>U$79*'BTX recycling rates'!W43</f>
        <v>1043.3318853319324</v>
      </c>
      <c r="V81" s="216">
        <f>V$79*'BTX recycling rates'!X43</f>
        <v>1061.5181281535788</v>
      </c>
      <c r="W81" s="216">
        <f>W$79*'BTX recycling rates'!Y43</f>
        <v>1072.7990231579718</v>
      </c>
      <c r="X81" s="216">
        <f>X$79*'BTX recycling rates'!Z43</f>
        <v>1099.3227346748563</v>
      </c>
      <c r="Y81" s="216">
        <f>Y$79*'BTX recycling rates'!AA43</f>
        <v>1117.1325212096983</v>
      </c>
      <c r="Z81" s="216">
        <f>Z$79*'BTX recycling rates'!AB43</f>
        <v>1126.0867804652889</v>
      </c>
      <c r="AA81" s="216">
        <f>AA$79*'BTX recycling rates'!AC43</f>
        <v>1126.1471593534898</v>
      </c>
      <c r="AB81" s="216">
        <f>AB$79*'BTX recycling rates'!AD43</f>
        <v>1117.3751597698458</v>
      </c>
      <c r="AC81" s="216">
        <f>AC$79*'BTX recycling rates'!AE43</f>
        <v>1099.9287443682051</v>
      </c>
      <c r="AD81" s="216">
        <f>AD$79*'BTX recycling rates'!AF43</f>
        <v>1074.058942335331</v>
      </c>
      <c r="AE81" s="216">
        <f>AE$79*'BTX recycling rates'!AG43</f>
        <v>1040.1064551655204</v>
      </c>
      <c r="AF81" s="216">
        <f>AF$79*'BTX recycling rates'!AH43</f>
        <v>998.49826243521898</v>
      </c>
      <c r="AG81" s="220">
        <f>AG$79*'BTX recycling rates'!AI43</f>
        <v>949.74422757763728</v>
      </c>
      <c r="AH81" s="230"/>
      <c r="AI81" s="126"/>
      <c r="AJ81" s="198"/>
      <c r="AL81" s="102"/>
      <c r="AM81" s="2"/>
      <c r="AN81" s="2"/>
      <c r="AO81" s="2"/>
      <c r="BC81" s="1"/>
      <c r="BD81" s="2"/>
      <c r="BE81" s="2"/>
      <c r="BF81" s="2"/>
      <c r="BG81" s="2"/>
      <c r="BH81" s="2"/>
      <c r="BI81" s="2"/>
      <c r="BJ81" s="2"/>
      <c r="BK81" s="2"/>
    </row>
    <row r="82" spans="1:63" outlineLevel="1">
      <c r="A82" s="4" t="s">
        <v>160</v>
      </c>
      <c r="C82" s="216">
        <f>C$79*'BTX recycling rates'!E44</f>
        <v>0</v>
      </c>
      <c r="D82" s="216">
        <f>D$79*'BTX recycling rates'!F44</f>
        <v>16.399594019570344</v>
      </c>
      <c r="E82" s="216">
        <f>E$79*'BTX recycling rates'!G44</f>
        <v>32.565836845025338</v>
      </c>
      <c r="F82" s="216">
        <f>F$79*'BTX recycling rates'!H44</f>
        <v>48.545356676974997</v>
      </c>
      <c r="G82" s="216">
        <f>G$79*'BTX recycling rates'!I44</f>
        <v>64.223674341195021</v>
      </c>
      <c r="H82" s="216">
        <f>H$79*'BTX recycling rates'!J44</f>
        <v>79.532615320038786</v>
      </c>
      <c r="I82" s="216">
        <f>I$79*'BTX recycling rates'!K44</f>
        <v>94.408715030953971</v>
      </c>
      <c r="J82" s="216">
        <f>J$79*'BTX recycling rates'!L44</f>
        <v>108.79312523048156</v>
      </c>
      <c r="K82" s="216">
        <f>K$79*'BTX recycling rates'!M44</f>
        <v>122.63152041825482</v>
      </c>
      <c r="L82" s="216">
        <f>L$79*'BTX recycling rates'!N44</f>
        <v>135.87400424099846</v>
      </c>
      <c r="M82" s="216">
        <f>M$79*'BTX recycling rates'!O44</f>
        <v>148.47501589652765</v>
      </c>
      <c r="N82" s="216">
        <f>N$79*'BTX recycling rates'!P44</f>
        <v>162.93662032942379</v>
      </c>
      <c r="O82" s="216">
        <f>O$79*'BTX recycling rates'!Q44</f>
        <v>176.50078267024472</v>
      </c>
      <c r="P82" s="216">
        <f>P$79*'BTX recycling rates'!R44</f>
        <v>189.02454074701905</v>
      </c>
      <c r="Q82" s="216">
        <f>Q$79*'BTX recycling rates'!S44</f>
        <v>200.38325074239961</v>
      </c>
      <c r="R82" s="216">
        <f>R$79*'BTX recycling rates'!T44</f>
        <v>210.4701121476559</v>
      </c>
      <c r="S82" s="216">
        <f>S$79*'BTX recycling rates'!U44</f>
        <v>219.19569271666722</v>
      </c>
      <c r="T82" s="216">
        <f>T$79*'BTX recycling rates'!V44</f>
        <v>226.48745341991534</v>
      </c>
      <c r="U82" s="216">
        <f>U$79*'BTX recycling rates'!W44</f>
        <v>232.28927339847712</v>
      </c>
      <c r="V82" s="216">
        <f>V$79*'BTX recycling rates'!X44</f>
        <v>236.56097491801719</v>
      </c>
      <c r="W82" s="216">
        <f>W$79*'BTX recycling rates'!Y44</f>
        <v>239.2778483227811</v>
      </c>
      <c r="X82" s="216">
        <f>X$79*'BTX recycling rates'!Z44</f>
        <v>245.38214254619979</v>
      </c>
      <c r="Y82" s="216">
        <f>Y$79*'BTX recycling rates'!AA44</f>
        <v>249.53183043249288</v>
      </c>
      <c r="Z82" s="216">
        <f>Z$79*'BTX recycling rates'!AB44</f>
        <v>251.69258630607987</v>
      </c>
      <c r="AA82" s="216">
        <f>AA$79*'BTX recycling rates'!AC44</f>
        <v>251.8535411557111</v>
      </c>
      <c r="AB82" s="216">
        <f>AB$79*'BTX recycling rates'!AD44</f>
        <v>250.02651317597136</v>
      </c>
      <c r="AC82" s="216">
        <f>AC$79*'BTX recycling rates'!AE44</f>
        <v>246.24523830878479</v>
      </c>
      <c r="AD82" s="216">
        <f>AD$79*'BTX recycling rates'!AF44</f>
        <v>240.56460078491858</v>
      </c>
      <c r="AE82" s="216">
        <f>AE$79*'BTX recycling rates'!AG44</f>
        <v>233.05986366548757</v>
      </c>
      <c r="AF82" s="216">
        <f>AF$79*'BTX recycling rates'!AH44</f>
        <v>223.82589938345825</v>
      </c>
      <c r="AG82" s="220">
        <f>AG$79*'BTX recycling rates'!AI44</f>
        <v>212.97642028515318</v>
      </c>
      <c r="AH82" s="230"/>
      <c r="AI82" s="126"/>
      <c r="AJ82" s="198"/>
      <c r="AL82" s="102"/>
      <c r="AM82" s="2"/>
      <c r="AN82" s="2"/>
      <c r="AO82" s="2"/>
      <c r="BC82" s="1"/>
      <c r="BD82" s="2"/>
      <c r="BE82" s="2"/>
      <c r="BF82" s="2"/>
      <c r="BG82" s="2"/>
      <c r="BH82" s="2"/>
      <c r="BI82" s="2"/>
      <c r="BJ82" s="2"/>
      <c r="BK82" s="2"/>
    </row>
    <row r="83" spans="1:63" outlineLevel="1">
      <c r="A83" s="4" t="s">
        <v>1159</v>
      </c>
      <c r="C83" s="216">
        <f>C$79*'BTX recycling rates'!E45</f>
        <v>0</v>
      </c>
      <c r="D83" s="216">
        <f>D$79*'BTX recycling rates'!F45</f>
        <v>1.4544101366965576</v>
      </c>
      <c r="E83" s="216">
        <f>E$79*'BTX recycling rates'!G45</f>
        <v>2.8881253499866819</v>
      </c>
      <c r="F83" s="216">
        <f>F$79*'BTX recycling rates'!H45</f>
        <v>4.3052808963616132</v>
      </c>
      <c r="G83" s="216">
        <f>G$79*'BTX recycling rates'!I45</f>
        <v>5.6957241055031833</v>
      </c>
      <c r="H83" s="216">
        <f>H$79*'BTX recycling rates'!J45</f>
        <v>7.0534088698424302</v>
      </c>
      <c r="I83" s="216">
        <f>I$79*'BTX recycling rates'!K45</f>
        <v>8.3727067858911237</v>
      </c>
      <c r="J83" s="216">
        <f>J$79*'BTX recycling rates'!L45</f>
        <v>9.6483988536111251</v>
      </c>
      <c r="K83" s="216">
        <f>K$79*'BTX recycling rates'!M45</f>
        <v>10.875667175783748</v>
      </c>
      <c r="L83" s="216">
        <f>L$79*'BTX recycling rates'!N45</f>
        <v>12.050086657379131</v>
      </c>
      <c r="M83" s="216">
        <f>M$79*'BTX recycling rates'!O45</f>
        <v>13.167616704925594</v>
      </c>
      <c r="N83" s="216">
        <f>N$79*'BTX recycling rates'!P45</f>
        <v>14.450154800380901</v>
      </c>
      <c r="O83" s="216">
        <f>O$79*'BTX recycling rates'!Q45</f>
        <v>15.653102579499432</v>
      </c>
      <c r="P83" s="216">
        <f>P$79*'BTX recycling rates'!R45</f>
        <v>16.763781336221069</v>
      </c>
      <c r="Q83" s="216">
        <f>Q$79*'BTX recycling rates'!S45</f>
        <v>17.771136941327125</v>
      </c>
      <c r="R83" s="216">
        <f>R$79*'BTX recycling rates'!T45</f>
        <v>18.665697712633484</v>
      </c>
      <c r="S83" s="216">
        <f>S$79*'BTX recycling rates'!U45</f>
        <v>19.439532285183777</v>
      </c>
      <c r="T83" s="216">
        <f>T$79*'BTX recycling rates'!V45</f>
        <v>20.086207481442539</v>
      </c>
      <c r="U83" s="216">
        <f>U$79*'BTX recycling rates'!W45</f>
        <v>20.600746181488354</v>
      </c>
      <c r="V83" s="216">
        <f>V$79*'BTX recycling rates'!X45</f>
        <v>20.979585193207008</v>
      </c>
      <c r="W83" s="216">
        <f>W$79*'BTX recycling rates'!Y45</f>
        <v>21.220533122484674</v>
      </c>
      <c r="X83" s="216">
        <f>X$79*'BTX recycling rates'!Z45</f>
        <v>21.761896974865639</v>
      </c>
      <c r="Y83" s="216">
        <f>Y$79*'BTX recycling rates'!AA45</f>
        <v>22.129915117189729</v>
      </c>
      <c r="Z83" s="216">
        <f>Z$79*'BTX recycling rates'!AB45</f>
        <v>22.321543351505856</v>
      </c>
      <c r="AA83" s="216">
        <f>AA$79*'BTX recycling rates'!AC45</f>
        <v>22.335817751504706</v>
      </c>
      <c r="AB83" s="216">
        <f>AB$79*'BTX recycling rates'!AD45</f>
        <v>22.173786422522372</v>
      </c>
      <c r="AC83" s="216">
        <f>AC$79*'BTX recycling rates'!AE45</f>
        <v>21.838441261544041</v>
      </c>
      <c r="AD83" s="216">
        <f>AD$79*'BTX recycling rates'!AF45</f>
        <v>21.334649717207615</v>
      </c>
      <c r="AE83" s="216">
        <f>AE$79*'BTX recycling rates'!AG45</f>
        <v>20.669086549807368</v>
      </c>
      <c r="AF83" s="216">
        <f>AF$79*'BTX recycling rates'!AH45</f>
        <v>19.850165591297614</v>
      </c>
      <c r="AG83" s="220">
        <f>AG$79*'BTX recycling rates'!AI45</f>
        <v>18.88797150529636</v>
      </c>
      <c r="AH83" s="230"/>
      <c r="AI83" s="126"/>
      <c r="AJ83" s="198"/>
      <c r="AL83" s="102"/>
      <c r="AM83" s="2"/>
      <c r="AN83" s="2"/>
      <c r="AO83" s="2"/>
      <c r="BC83" s="1"/>
      <c r="BD83" s="2"/>
      <c r="BE83" s="2"/>
      <c r="BF83" s="2"/>
      <c r="BG83" s="2"/>
      <c r="BH83" s="2"/>
      <c r="BI83" s="2"/>
      <c r="BJ83" s="2"/>
      <c r="BK83" s="2"/>
    </row>
    <row r="84" spans="1:63" s="1" customFormat="1" outlineLevel="1">
      <c r="A84" s="1" t="s">
        <v>1164</v>
      </c>
      <c r="B84" s="61"/>
      <c r="C84" s="279">
        <f>C79-$C79</f>
        <v>0</v>
      </c>
      <c r="D84" s="279">
        <f t="shared" ref="D84:AG84" si="41">D79-$C79</f>
        <v>-2.6774461633003739</v>
      </c>
      <c r="E84" s="279">
        <f t="shared" si="41"/>
        <v>-50.946125088553345</v>
      </c>
      <c r="F84" s="279">
        <f t="shared" si="41"/>
        <v>-92.784777224814206</v>
      </c>
      <c r="G84" s="279">
        <f t="shared" si="41"/>
        <v>-144.85592743691268</v>
      </c>
      <c r="H84" s="279">
        <f t="shared" si="41"/>
        <v>-206.66083464901203</v>
      </c>
      <c r="I84" s="279">
        <f t="shared" si="41"/>
        <v>-277.70850191588943</v>
      </c>
      <c r="J84" s="279">
        <f t="shared" si="41"/>
        <v>-357.51567642293867</v>
      </c>
      <c r="K84" s="279">
        <f t="shared" si="41"/>
        <v>-445.60684948617654</v>
      </c>
      <c r="L84" s="279">
        <f t="shared" si="41"/>
        <v>-541.51425655223557</v>
      </c>
      <c r="M84" s="279">
        <f t="shared" si="41"/>
        <v>-644.77787719836761</v>
      </c>
      <c r="N84" s="279">
        <f t="shared" si="41"/>
        <v>-659.29111376460423</v>
      </c>
      <c r="O84" s="279">
        <f t="shared" si="41"/>
        <v>-702.32478370920671</v>
      </c>
      <c r="P84" s="279">
        <f t="shared" si="41"/>
        <v>-771.8467432877469</v>
      </c>
      <c r="Q84" s="279">
        <f t="shared" si="41"/>
        <v>-865.86415404974923</v>
      </c>
      <c r="R84" s="279">
        <f t="shared" si="41"/>
        <v>-982.42348283870433</v>
      </c>
      <c r="S84" s="279">
        <f t="shared" si="41"/>
        <v>-1119.6105017920527</v>
      </c>
      <c r="T84" s="279">
        <f t="shared" si="41"/>
        <v>-1275.5502883411909</v>
      </c>
      <c r="U84" s="279">
        <f t="shared" si="41"/>
        <v>-1448.407225211472</v>
      </c>
      <c r="V84" s="279">
        <f t="shared" si="41"/>
        <v>-1636.3850004222095</v>
      </c>
      <c r="W84" s="279">
        <f t="shared" si="41"/>
        <v>-1837.7266072866641</v>
      </c>
      <c r="X84" s="279">
        <f t="shared" si="41"/>
        <v>-1953.1606544298074</v>
      </c>
      <c r="Y84" s="279">
        <f t="shared" si="41"/>
        <v>-2094.8561691375235</v>
      </c>
      <c r="Z84" s="279">
        <f t="shared" si="41"/>
        <v>-2260.0051568320323</v>
      </c>
      <c r="AA84" s="279">
        <f t="shared" si="41"/>
        <v>-2445.8632879109373</v>
      </c>
      <c r="AB84" s="279">
        <f t="shared" si="41"/>
        <v>-2649.749897747236</v>
      </c>
      <c r="AC84" s="279">
        <f t="shared" si="41"/>
        <v>-2869.0479866893102</v>
      </c>
      <c r="AD84" s="279">
        <f t="shared" si="41"/>
        <v>-3101.2042200609358</v>
      </c>
      <c r="AE84" s="279">
        <f t="shared" si="41"/>
        <v>-3343.728928161278</v>
      </c>
      <c r="AF84" s="279">
        <f t="shared" si="41"/>
        <v>-3594.1961062648929</v>
      </c>
      <c r="AG84" s="279">
        <f t="shared" si="41"/>
        <v>-3850.2434146217279</v>
      </c>
      <c r="AH84" s="230"/>
      <c r="AI84" s="398"/>
      <c r="AJ84" s="399"/>
      <c r="AL84" s="207"/>
      <c r="AM84" s="118"/>
      <c r="AN84" s="118"/>
      <c r="AO84" s="118"/>
      <c r="BD84" s="118"/>
      <c r="BE84" s="118"/>
      <c r="BF84" s="118"/>
      <c r="BG84" s="118"/>
      <c r="BH84" s="118"/>
      <c r="BI84" s="118"/>
      <c r="BJ84" s="118"/>
      <c r="BK84" s="118"/>
    </row>
    <row r="85" spans="1:63" outlineLevel="1">
      <c r="A85" s="4" t="s">
        <v>35</v>
      </c>
      <c r="C85" s="216">
        <f>C80-$C80</f>
        <v>0</v>
      </c>
      <c r="D85" s="216">
        <f t="shared" ref="D85:AG85" si="42">D80-$C80</f>
        <v>-92.863769388280161</v>
      </c>
      <c r="E85" s="216">
        <f t="shared" si="42"/>
        <v>-229.87601629226901</v>
      </c>
      <c r="F85" s="216">
        <f t="shared" si="42"/>
        <v>-359.45375832352875</v>
      </c>
      <c r="G85" s="216">
        <f t="shared" si="42"/>
        <v>-497.57165953848107</v>
      </c>
      <c r="H85" s="216">
        <f t="shared" si="42"/>
        <v>-643.35777091513046</v>
      </c>
      <c r="I85" s="216">
        <f t="shared" si="42"/>
        <v>-795.97376453838297</v>
      </c>
      <c r="J85" s="216">
        <f t="shared" si="42"/>
        <v>-954.6144188339531</v>
      </c>
      <c r="K85" s="216">
        <f t="shared" si="42"/>
        <v>-1118.5071038022616</v>
      </c>
      <c r="L85" s="216">
        <f t="shared" si="42"/>
        <v>-1286.9112662523285</v>
      </c>
      <c r="M85" s="216">
        <f t="shared" si="42"/>
        <v>-1459.1179150356747</v>
      </c>
      <c r="N85" s="216">
        <f t="shared" si="42"/>
        <v>-1553.1174093490608</v>
      </c>
      <c r="O85" s="216">
        <f t="shared" si="42"/>
        <v>-1670.6018332420363</v>
      </c>
      <c r="P85" s="216">
        <f t="shared" si="42"/>
        <v>-1808.7598720815831</v>
      </c>
      <c r="Q85" s="216">
        <f t="shared" si="42"/>
        <v>-1964.9201277672182</v>
      </c>
      <c r="R85" s="216">
        <f t="shared" si="42"/>
        <v>-2136.5485060383744</v>
      </c>
      <c r="S85" s="216">
        <f t="shared" si="42"/>
        <v>-2321.2456037817565</v>
      </c>
      <c r="T85" s="216">
        <f t="shared" si="42"/>
        <v>-2516.7440963387189</v>
      </c>
      <c r="U85" s="216">
        <f t="shared" si="42"/>
        <v>-2720.9061248126377</v>
      </c>
      <c r="V85" s="216">
        <f t="shared" si="42"/>
        <v>-2931.7206833762802</v>
      </c>
      <c r="W85" s="216">
        <f t="shared" si="42"/>
        <v>-3147.3010065791691</v>
      </c>
      <c r="X85" s="216">
        <f t="shared" si="42"/>
        <v>-3295.9044233149971</v>
      </c>
      <c r="Y85" s="216">
        <f t="shared" si="42"/>
        <v>-3459.9274305861722</v>
      </c>
      <c r="Z85" s="216">
        <f t="shared" si="42"/>
        <v>-3636.3830616441746</v>
      </c>
      <c r="AA85" s="216">
        <f t="shared" si="42"/>
        <v>-3822.4768008609108</v>
      </c>
      <c r="AB85" s="216">
        <f t="shared" si="42"/>
        <v>-4015.6023518048437</v>
      </c>
      <c r="AC85" s="216">
        <f t="shared" si="42"/>
        <v>-4213.3374053171119</v>
      </c>
      <c r="AD85" s="216">
        <f t="shared" si="42"/>
        <v>-4413.4394075876608</v>
      </c>
      <c r="AE85" s="216">
        <f t="shared" si="42"/>
        <v>-4613.8413282313613</v>
      </c>
      <c r="AF85" s="216">
        <f t="shared" si="42"/>
        <v>-4812.6474283641355</v>
      </c>
      <c r="AG85" s="216">
        <f t="shared" si="42"/>
        <v>-5008.1290286790791</v>
      </c>
      <c r="AH85" s="230"/>
      <c r="AI85" s="126"/>
      <c r="AJ85" s="198"/>
      <c r="AL85" s="102"/>
      <c r="AM85" s="2"/>
      <c r="AN85" s="2"/>
      <c r="AO85" s="2"/>
      <c r="BC85" s="1"/>
      <c r="BD85" s="2"/>
      <c r="BE85" s="2"/>
      <c r="BF85" s="2"/>
      <c r="BG85" s="2"/>
      <c r="BH85" s="2"/>
      <c r="BI85" s="2"/>
      <c r="BJ85" s="2"/>
      <c r="BK85" s="2"/>
    </row>
    <row r="86" spans="1:63" outlineLevel="1">
      <c r="A86" s="4" t="s">
        <v>74</v>
      </c>
      <c r="C86" s="216">
        <f t="shared" ref="C86:AG86" si="43">C81-$C81</f>
        <v>0</v>
      </c>
      <c r="D86" s="216">
        <f t="shared" si="43"/>
        <v>72.332319068712778</v>
      </c>
      <c r="E86" s="216">
        <f t="shared" si="43"/>
        <v>143.47592900870393</v>
      </c>
      <c r="F86" s="216">
        <f t="shared" si="43"/>
        <v>213.81834352537766</v>
      </c>
      <c r="G86" s="216">
        <f t="shared" si="43"/>
        <v>282.79633365487012</v>
      </c>
      <c r="H86" s="216">
        <f t="shared" si="43"/>
        <v>350.11091207623627</v>
      </c>
      <c r="I86" s="216">
        <f t="shared" si="43"/>
        <v>415.4838408056475</v>
      </c>
      <c r="J86" s="216">
        <f t="shared" si="43"/>
        <v>478.65721832692026</v>
      </c>
      <c r="K86" s="216">
        <f t="shared" si="43"/>
        <v>539.39306672204475</v>
      </c>
      <c r="L86" s="216">
        <f t="shared" si="43"/>
        <v>597.47291880171372</v>
      </c>
      <c r="M86" s="216">
        <f t="shared" si="43"/>
        <v>652.69740523585187</v>
      </c>
      <c r="N86" s="216">
        <f t="shared" si="43"/>
        <v>716.43952045465016</v>
      </c>
      <c r="O86" s="216">
        <f t="shared" si="43"/>
        <v>776.12316428308338</v>
      </c>
      <c r="P86" s="216">
        <f t="shared" si="43"/>
        <v>831.12480671059393</v>
      </c>
      <c r="Q86" s="216">
        <f t="shared" si="43"/>
        <v>880.90158603373982</v>
      </c>
      <c r="R86" s="216">
        <f t="shared" si="43"/>
        <v>924.98921333937778</v>
      </c>
      <c r="S86" s="216">
        <f t="shared" si="43"/>
        <v>962.99987698784969</v>
      </c>
      <c r="T86" s="216">
        <f t="shared" si="43"/>
        <v>994.62014709616756</v>
      </c>
      <c r="U86" s="216">
        <f t="shared" si="43"/>
        <v>1019.6088800211974</v>
      </c>
      <c r="V86" s="216">
        <f t="shared" si="43"/>
        <v>1037.7951228428437</v>
      </c>
      <c r="W86" s="216">
        <f t="shared" si="43"/>
        <v>1049.0760178472367</v>
      </c>
      <c r="X86" s="216">
        <f t="shared" si="43"/>
        <v>1075.5997293641212</v>
      </c>
      <c r="Y86" s="216">
        <f t="shared" si="43"/>
        <v>1093.4095158989633</v>
      </c>
      <c r="Z86" s="216">
        <f t="shared" si="43"/>
        <v>1102.3637751545539</v>
      </c>
      <c r="AA86" s="216">
        <f t="shared" si="43"/>
        <v>1102.4241540427547</v>
      </c>
      <c r="AB86" s="216">
        <f t="shared" si="43"/>
        <v>1093.6521544591108</v>
      </c>
      <c r="AC86" s="216">
        <f t="shared" si="43"/>
        <v>1076.2057390574701</v>
      </c>
      <c r="AD86" s="216">
        <f t="shared" si="43"/>
        <v>1050.335937024596</v>
      </c>
      <c r="AE86" s="216">
        <f t="shared" si="43"/>
        <v>1016.3834498547853</v>
      </c>
      <c r="AF86" s="216">
        <f t="shared" si="43"/>
        <v>974.77525712448391</v>
      </c>
      <c r="AG86" s="216">
        <f t="shared" si="43"/>
        <v>926.02122226690221</v>
      </c>
      <c r="AH86" s="230"/>
      <c r="AI86" s="126"/>
      <c r="AJ86" s="198"/>
      <c r="AL86" s="102"/>
      <c r="AM86" s="2"/>
      <c r="AN86" s="2"/>
      <c r="AO86" s="2"/>
      <c r="BC86" s="1"/>
      <c r="BD86" s="2"/>
      <c r="BE86" s="2"/>
      <c r="BF86" s="2"/>
      <c r="BG86" s="2"/>
      <c r="BH86" s="2"/>
      <c r="BI86" s="2"/>
      <c r="BJ86" s="2"/>
      <c r="BK86" s="2"/>
    </row>
    <row r="87" spans="1:63" outlineLevel="1">
      <c r="A87" s="4" t="s">
        <v>160</v>
      </c>
      <c r="C87" s="216">
        <f t="shared" ref="C87:AG87" si="44">C82-$C82</f>
        <v>0</v>
      </c>
      <c r="D87" s="216">
        <f t="shared" si="44"/>
        <v>16.399594019570344</v>
      </c>
      <c r="E87" s="216">
        <f t="shared" si="44"/>
        <v>32.565836845025338</v>
      </c>
      <c r="F87" s="216">
        <f t="shared" si="44"/>
        <v>48.545356676974997</v>
      </c>
      <c r="G87" s="216">
        <f t="shared" si="44"/>
        <v>64.223674341195021</v>
      </c>
      <c r="H87" s="216">
        <f t="shared" si="44"/>
        <v>79.532615320038786</v>
      </c>
      <c r="I87" s="216">
        <f t="shared" si="44"/>
        <v>94.408715030953971</v>
      </c>
      <c r="J87" s="216">
        <f t="shared" si="44"/>
        <v>108.79312523048156</v>
      </c>
      <c r="K87" s="216">
        <f t="shared" si="44"/>
        <v>122.63152041825482</v>
      </c>
      <c r="L87" s="216">
        <f t="shared" si="44"/>
        <v>135.87400424099846</v>
      </c>
      <c r="M87" s="216">
        <f t="shared" si="44"/>
        <v>148.47501589652765</v>
      </c>
      <c r="N87" s="216">
        <f t="shared" si="44"/>
        <v>162.93662032942379</v>
      </c>
      <c r="O87" s="216">
        <f t="shared" si="44"/>
        <v>176.50078267024472</v>
      </c>
      <c r="P87" s="216">
        <f t="shared" si="44"/>
        <v>189.02454074701905</v>
      </c>
      <c r="Q87" s="216">
        <f t="shared" si="44"/>
        <v>200.38325074239961</v>
      </c>
      <c r="R87" s="216">
        <f t="shared" si="44"/>
        <v>210.4701121476559</v>
      </c>
      <c r="S87" s="216">
        <f t="shared" si="44"/>
        <v>219.19569271666722</v>
      </c>
      <c r="T87" s="216">
        <f t="shared" si="44"/>
        <v>226.48745341991534</v>
      </c>
      <c r="U87" s="216">
        <f t="shared" si="44"/>
        <v>232.28927339847712</v>
      </c>
      <c r="V87" s="216">
        <f t="shared" si="44"/>
        <v>236.56097491801719</v>
      </c>
      <c r="W87" s="216">
        <f t="shared" si="44"/>
        <v>239.2778483227811</v>
      </c>
      <c r="X87" s="216">
        <f t="shared" si="44"/>
        <v>245.38214254619979</v>
      </c>
      <c r="Y87" s="216">
        <f t="shared" si="44"/>
        <v>249.53183043249288</v>
      </c>
      <c r="Z87" s="216">
        <f t="shared" si="44"/>
        <v>251.69258630607987</v>
      </c>
      <c r="AA87" s="216">
        <f t="shared" si="44"/>
        <v>251.8535411557111</v>
      </c>
      <c r="AB87" s="216">
        <f t="shared" si="44"/>
        <v>250.02651317597136</v>
      </c>
      <c r="AC87" s="216">
        <f t="shared" si="44"/>
        <v>246.24523830878479</v>
      </c>
      <c r="AD87" s="216">
        <f t="shared" si="44"/>
        <v>240.56460078491858</v>
      </c>
      <c r="AE87" s="216">
        <f t="shared" si="44"/>
        <v>233.05986366548757</v>
      </c>
      <c r="AF87" s="216">
        <f t="shared" si="44"/>
        <v>223.82589938345825</v>
      </c>
      <c r="AG87" s="216">
        <f t="shared" si="44"/>
        <v>212.97642028515318</v>
      </c>
      <c r="AH87" s="230"/>
      <c r="AI87" s="126"/>
      <c r="AJ87" s="198"/>
      <c r="AL87" s="102"/>
      <c r="AM87" s="2"/>
      <c r="AN87" s="2"/>
      <c r="AO87" s="2"/>
      <c r="BC87" s="1"/>
      <c r="BD87" s="2"/>
      <c r="BE87" s="2"/>
      <c r="BF87" s="2"/>
      <c r="BG87" s="2"/>
      <c r="BH87" s="2"/>
      <c r="BI87" s="2"/>
      <c r="BJ87" s="2"/>
      <c r="BK87" s="2"/>
    </row>
    <row r="88" spans="1:63" outlineLevel="1">
      <c r="A88" s="4" t="s">
        <v>1159</v>
      </c>
      <c r="C88" s="216">
        <f t="shared" ref="C88:AG88" si="45">C83-$C83</f>
        <v>0</v>
      </c>
      <c r="D88" s="216">
        <f t="shared" si="45"/>
        <v>1.4544101366965576</v>
      </c>
      <c r="E88" s="216">
        <f t="shared" si="45"/>
        <v>2.8881253499866819</v>
      </c>
      <c r="F88" s="216">
        <f t="shared" si="45"/>
        <v>4.3052808963616132</v>
      </c>
      <c r="G88" s="216">
        <f t="shared" si="45"/>
        <v>5.6957241055031833</v>
      </c>
      <c r="H88" s="216">
        <f t="shared" si="45"/>
        <v>7.0534088698424302</v>
      </c>
      <c r="I88" s="216">
        <f t="shared" si="45"/>
        <v>8.3727067858911237</v>
      </c>
      <c r="J88" s="216">
        <f t="shared" si="45"/>
        <v>9.6483988536111251</v>
      </c>
      <c r="K88" s="216">
        <f t="shared" si="45"/>
        <v>10.875667175783748</v>
      </c>
      <c r="L88" s="216">
        <f t="shared" si="45"/>
        <v>12.050086657379131</v>
      </c>
      <c r="M88" s="216">
        <f t="shared" si="45"/>
        <v>13.167616704925594</v>
      </c>
      <c r="N88" s="216">
        <f t="shared" si="45"/>
        <v>14.450154800380901</v>
      </c>
      <c r="O88" s="216">
        <f t="shared" si="45"/>
        <v>15.653102579499432</v>
      </c>
      <c r="P88" s="216">
        <f t="shared" si="45"/>
        <v>16.763781336221069</v>
      </c>
      <c r="Q88" s="216">
        <f t="shared" si="45"/>
        <v>17.771136941327125</v>
      </c>
      <c r="R88" s="216">
        <f t="shared" si="45"/>
        <v>18.665697712633484</v>
      </c>
      <c r="S88" s="216">
        <f t="shared" si="45"/>
        <v>19.439532285183777</v>
      </c>
      <c r="T88" s="216">
        <f t="shared" si="45"/>
        <v>20.086207481442539</v>
      </c>
      <c r="U88" s="216">
        <f t="shared" si="45"/>
        <v>20.600746181488354</v>
      </c>
      <c r="V88" s="216">
        <f t="shared" si="45"/>
        <v>20.979585193207008</v>
      </c>
      <c r="W88" s="216">
        <f t="shared" si="45"/>
        <v>21.220533122484674</v>
      </c>
      <c r="X88" s="216">
        <f t="shared" si="45"/>
        <v>21.761896974865639</v>
      </c>
      <c r="Y88" s="216">
        <f t="shared" si="45"/>
        <v>22.129915117189729</v>
      </c>
      <c r="Z88" s="216">
        <f t="shared" si="45"/>
        <v>22.321543351505856</v>
      </c>
      <c r="AA88" s="216">
        <f t="shared" si="45"/>
        <v>22.335817751504706</v>
      </c>
      <c r="AB88" s="216">
        <f t="shared" si="45"/>
        <v>22.173786422522372</v>
      </c>
      <c r="AC88" s="216">
        <f t="shared" si="45"/>
        <v>21.838441261544041</v>
      </c>
      <c r="AD88" s="216">
        <f t="shared" si="45"/>
        <v>21.334649717207615</v>
      </c>
      <c r="AE88" s="216">
        <f t="shared" si="45"/>
        <v>20.669086549807368</v>
      </c>
      <c r="AF88" s="216">
        <f t="shared" si="45"/>
        <v>19.850165591297614</v>
      </c>
      <c r="AG88" s="216">
        <f t="shared" si="45"/>
        <v>18.88797150529636</v>
      </c>
      <c r="AH88" s="230"/>
      <c r="AI88" s="126"/>
      <c r="AJ88" s="198"/>
      <c r="AL88" s="102"/>
      <c r="AM88" s="2"/>
      <c r="AN88" s="2"/>
      <c r="AO88" s="2"/>
      <c r="BC88" s="1"/>
      <c r="BD88" s="2"/>
      <c r="BE88" s="2"/>
      <c r="BF88" s="2"/>
      <c r="BG88" s="2"/>
      <c r="BH88" s="2"/>
      <c r="BI88" s="2"/>
      <c r="BJ88" s="2"/>
      <c r="BK88" s="2"/>
    </row>
    <row r="89" spans="1:63" s="1" customFormat="1" outlineLevel="1">
      <c r="A89" s="1" t="s">
        <v>1169</v>
      </c>
      <c r="B89" s="61"/>
      <c r="C89" s="279">
        <f>C47*C66</f>
        <v>6.5365807969336009E-4</v>
      </c>
      <c r="D89" s="279">
        <f t="shared" ref="D89:AG89" si="46">D47*D66</f>
        <v>7.1797483661328952E-4</v>
      </c>
      <c r="E89" s="279">
        <f t="shared" si="46"/>
        <v>7.8450039339388186E-4</v>
      </c>
      <c r="F89" s="279">
        <f t="shared" si="46"/>
        <v>8.5317774673163886E-4</v>
      </c>
      <c r="G89" s="279">
        <f t="shared" si="46"/>
        <v>9.2394989332306231E-4</v>
      </c>
      <c r="H89" s="279">
        <f t="shared" si="46"/>
        <v>9.9675982986465405E-4</v>
      </c>
      <c r="I89" s="279">
        <f t="shared" si="46"/>
        <v>1.0715505530529163E-3</v>
      </c>
      <c r="J89" s="279">
        <f t="shared" si="46"/>
        <v>1.1482650595843504E-3</v>
      </c>
      <c r="K89" s="279">
        <f t="shared" si="46"/>
        <v>1.2268463461554582E-3</v>
      </c>
      <c r="L89" s="279">
        <f t="shared" si="46"/>
        <v>1.3072374094627421E-3</v>
      </c>
      <c r="M89" s="279">
        <f t="shared" si="46"/>
        <v>1.3893812462027026E-3</v>
      </c>
      <c r="N89" s="279">
        <f t="shared" si="46"/>
        <v>1.575145089186158E-3</v>
      </c>
      <c r="O89" s="279">
        <f t="shared" si="46"/>
        <v>1.770913080103451E-3</v>
      </c>
      <c r="P89" s="279">
        <f t="shared" si="46"/>
        <v>1.9764349658153613E-3</v>
      </c>
      <c r="Q89" s="279">
        <f t="shared" si="46"/>
        <v>2.1914604931826676E-3</v>
      </c>
      <c r="R89" s="279">
        <f t="shared" si="46"/>
        <v>2.4157394090661478E-3</v>
      </c>
      <c r="S89" s="279">
        <f t="shared" si="46"/>
        <v>2.6490214603265816E-3</v>
      </c>
      <c r="T89" s="279">
        <f t="shared" si="46"/>
        <v>2.8910563938247479E-3</v>
      </c>
      <c r="U89" s="279">
        <f t="shared" si="46"/>
        <v>3.1415939564214258E-3</v>
      </c>
      <c r="V89" s="279">
        <f t="shared" si="46"/>
        <v>3.4003838949773937E-3</v>
      </c>
      <c r="W89" s="279">
        <f t="shared" si="46"/>
        <v>3.66717595635343E-3</v>
      </c>
      <c r="X89" s="279">
        <f t="shared" si="46"/>
        <v>4.1555668297492661E-3</v>
      </c>
      <c r="Y89" s="279">
        <f t="shared" si="46"/>
        <v>4.669857066884873E-3</v>
      </c>
      <c r="Z89" s="279">
        <f t="shared" si="46"/>
        <v>5.2093398610300124E-3</v>
      </c>
      <c r="AA89" s="279">
        <f t="shared" si="46"/>
        <v>5.77330840545445E-3</v>
      </c>
      <c r="AB89" s="279">
        <f t="shared" si="46"/>
        <v>6.361055893427948E-3</v>
      </c>
      <c r="AC89" s="279">
        <f t="shared" si="46"/>
        <v>6.9718755182202668E-3</v>
      </c>
      <c r="AD89" s="279">
        <f t="shared" si="46"/>
        <v>7.6050604731011757E-3</v>
      </c>
      <c r="AE89" s="279">
        <f t="shared" si="46"/>
        <v>8.2599039513404308E-3</v>
      </c>
      <c r="AF89" s="279">
        <f t="shared" si="46"/>
        <v>8.9356991462077977E-3</v>
      </c>
      <c r="AG89" s="279">
        <f t="shared" si="46"/>
        <v>9.6317392509730412E-3</v>
      </c>
      <c r="AH89" s="230"/>
      <c r="AI89" s="398"/>
      <c r="AJ89" s="399"/>
      <c r="AL89" s="207"/>
      <c r="AM89" s="118"/>
      <c r="AN89" s="118"/>
      <c r="AO89" s="118"/>
      <c r="BD89" s="118"/>
      <c r="BE89" s="118"/>
      <c r="BF89" s="118"/>
      <c r="BG89" s="118"/>
      <c r="BH89" s="118"/>
      <c r="BI89" s="118"/>
      <c r="BJ89" s="118"/>
      <c r="BK89" s="118"/>
    </row>
    <row r="90" spans="1:63" outlineLevel="1">
      <c r="A90" s="4" t="s">
        <v>35</v>
      </c>
      <c r="C90" s="216">
        <f>C$89*'BTX recycling rates'!E46</f>
        <v>6.5137337272937331E-4</v>
      </c>
      <c r="D90" s="216">
        <f>D$89*'BTX recycling rates'!F46</f>
        <v>6.916164814735798E-4</v>
      </c>
      <c r="E90" s="216">
        <f>E$89*'BTX recycling rates'!G46</f>
        <v>7.2964113424467609E-4</v>
      </c>
      <c r="F90" s="216">
        <f>F$89*'BTX recycling rates'!H46</f>
        <v>7.6517609943450057E-4</v>
      </c>
      <c r="G90" s="216">
        <f>G$89*'BTX recycling rates'!I46</f>
        <v>7.9795771930981881E-4</v>
      </c>
      <c r="H90" s="216">
        <f>H$89*'BTX recycling rates'!J46</f>
        <v>8.2772991001232377E-4</v>
      </c>
      <c r="I90" s="216">
        <f>I$89*'BTX recycling rates'!K46</f>
        <v>8.5424416155863625E-4</v>
      </c>
      <c r="J90" s="216">
        <f>J$89*'BTX recycling rates'!L46</f>
        <v>8.7725953784030346E-4</v>
      </c>
      <c r="K90" s="216">
        <f>K$89*'BTX recycling rates'!M46</f>
        <v>8.9654267662380046E-4</v>
      </c>
      <c r="L90" s="216">
        <f>L$89*'BTX recycling rates'!N46</f>
        <v>9.1186778955053001E-4</v>
      </c>
      <c r="M90" s="216">
        <f>M$89*'BTX recycling rates'!O46</f>
        <v>9.2301666213682088E-4</v>
      </c>
      <c r="N90" s="216">
        <f>N$89*'BTX recycling rates'!P46</f>
        <v>9.941050436995853E-4</v>
      </c>
      <c r="O90" s="216">
        <f>O$89*'BTX recycling rates'!Q46</f>
        <v>1.0588339637799767E-3</v>
      </c>
      <c r="P90" s="216">
        <f>P$89*'BTX recycling rates'!R46</f>
        <v>1.1160651898489476E-3</v>
      </c>
      <c r="Q90" s="216">
        <f>Q$89*'BTX recycling rates'!S46</f>
        <v>1.1646937398359376E-3</v>
      </c>
      <c r="R90" s="216">
        <f>R$89*'BTX recycling rates'!T46</f>
        <v>1.2036478821288738E-3</v>
      </c>
      <c r="S90" s="216">
        <f>S$89*'BTX recycling rates'!U46</f>
        <v>1.231889135574172E-3</v>
      </c>
      <c r="T90" s="216">
        <f>T$89*'BTX recycling rates'!V46</f>
        <v>1.2484122694767352E-3</v>
      </c>
      <c r="U90" s="216">
        <f>U$89*'BTX recycling rates'!W46</f>
        <v>1.252245303599955E-3</v>
      </c>
      <c r="V90" s="216">
        <f>V$89*'BTX recycling rates'!X46</f>
        <v>1.2424495081657095E-3</v>
      </c>
      <c r="W90" s="216">
        <f>W$89*'BTX recycling rates'!Y46</f>
        <v>1.2181194038543657E-3</v>
      </c>
      <c r="X90" s="216">
        <f>X$89*'BTX recycling rates'!Z46</f>
        <v>1.2423126091086767E-3</v>
      </c>
      <c r="Y90" s="216">
        <f>Y$89*'BTX recycling rates'!AA46</f>
        <v>1.2409425834162319E-3</v>
      </c>
      <c r="Z90" s="216">
        <f>Z$89*'BTX recycling rates'!AB46</f>
        <v>1.2112640977859758E-3</v>
      </c>
      <c r="AA90" s="216">
        <f>AA$89*'BTX recycling rates'!AC46</f>
        <v>1.150625834727488E-3</v>
      </c>
      <c r="AB90" s="216">
        <f>AB$89*'BTX recycling rates'!AD46</f>
        <v>1.0564703882509807E-3</v>
      </c>
      <c r="AC90" s="216">
        <f>AC$89*'BTX recycling rates'!AE46</f>
        <v>9.2633426386730096E-4</v>
      </c>
      <c r="AD90" s="216">
        <f>AD$89*'BTX recycling rates'!AF46</f>
        <v>7.5784787858793046E-4</v>
      </c>
      <c r="AE90" s="216">
        <f>AE$89*'BTX recycling rates'!AG46</f>
        <v>5.4873556092498393E-4</v>
      </c>
      <c r="AF90" s="216">
        <f>AF$89*'BTX recycling rates'!AH46</f>
        <v>2.9681555089121109E-4</v>
      </c>
      <c r="AG90" s="216">
        <f>AG$89*'BTX recycling rates'!AI46</f>
        <v>0</v>
      </c>
      <c r="AH90" s="230"/>
      <c r="AI90" s="126"/>
      <c r="AJ90" s="198"/>
      <c r="AL90" s="102"/>
      <c r="AM90" s="2"/>
      <c r="AN90" s="2"/>
      <c r="AO90" s="2"/>
      <c r="BC90" s="1"/>
      <c r="BD90" s="2"/>
      <c r="BE90" s="2"/>
      <c r="BF90" s="2"/>
      <c r="BG90" s="2"/>
      <c r="BH90" s="2"/>
      <c r="BI90" s="2"/>
      <c r="BJ90" s="2"/>
      <c r="BK90" s="2"/>
    </row>
    <row r="91" spans="1:63" outlineLevel="1">
      <c r="A91" s="4" t="s">
        <v>74</v>
      </c>
      <c r="C91" s="216">
        <f>C$89*'BTX recycling rates'!E47</f>
        <v>2.2847069639867844E-6</v>
      </c>
      <c r="D91" s="216">
        <f>D$89*'BTX recycling rates'!F47</f>
        <v>2.4258605859334489E-6</v>
      </c>
      <c r="E91" s="216">
        <f>E$89*'BTX recycling rates'!G47</f>
        <v>2.5592329229469813E-6</v>
      </c>
      <c r="F91" s="216">
        <f>F$89*'BTX recycling rates'!H47</f>
        <v>2.6838726239744146E-6</v>
      </c>
      <c r="G91" s="216">
        <f>G$89*'BTX recycling rates'!I47</f>
        <v>2.7988549035018653E-6</v>
      </c>
      <c r="H91" s="216">
        <f>H$89*'BTX recycling rates'!J47</f>
        <v>2.9032815415545331E-6</v>
      </c>
      <c r="I91" s="216">
        <f>I$89*'BTX recycling rates'!K47</f>
        <v>2.9962808836967022E-6</v>
      </c>
      <c r="J91" s="216">
        <f>J$89*'BTX recycling rates'!L47</f>
        <v>3.0770078410317361E-6</v>
      </c>
      <c r="K91" s="216">
        <f>K$89*'BTX recycling rates'!M47</f>
        <v>3.144643890202084E-6</v>
      </c>
      <c r="L91" s="216">
        <f>L$89*'BTX recycling rates'!N47</f>
        <v>3.198397073389279E-6</v>
      </c>
      <c r="M91" s="216">
        <f>M$89*'BTX recycling rates'!O47</f>
        <v>3.2375019983139322E-6</v>
      </c>
      <c r="N91" s="216">
        <f>N$89*'BTX recycling rates'!P47</f>
        <v>3.4868461183144847E-6</v>
      </c>
      <c r="O91" s="216">
        <f>O$89*'BTX recycling rates'!Q47</f>
        <v>3.7138842820934901E-6</v>
      </c>
      <c r="P91" s="216">
        <f>P$89*'BTX recycling rates'!R47</f>
        <v>3.9146241130899366E-6</v>
      </c>
      <c r="Q91" s="216">
        <f>Q$89*'BTX recycling rates'!S47</f>
        <v>4.0851898614844688E-6</v>
      </c>
      <c r="R91" s="216">
        <f>R$89*'BTX recycling rates'!T47</f>
        <v>4.2218224041993826E-6</v>
      </c>
      <c r="S91" s="216">
        <f>S$89*'BTX recycling rates'!U47</f>
        <v>4.3208792448986351E-6</v>
      </c>
      <c r="T91" s="216">
        <f>T$89*'BTX recycling rates'!V47</f>
        <v>4.3788345139878391E-6</v>
      </c>
      <c r="U91" s="216">
        <f>U$89*'BTX recycling rates'!W47</f>
        <v>4.39227896861426E-6</v>
      </c>
      <c r="V91" s="216">
        <f>V$89*'BTX recycling rates'!X47</f>
        <v>4.3579199926668224E-6</v>
      </c>
      <c r="W91" s="216">
        <f>W$89*'BTX recycling rates'!Y47</f>
        <v>4.2725815967761042E-6</v>
      </c>
      <c r="X91" s="216">
        <f>X$89*'BTX recycling rates'!Z47</f>
        <v>4.3574398161013378E-6</v>
      </c>
      <c r="Y91" s="216">
        <f>Y$89*'BTX recycling rates'!AA47</f>
        <v>4.3526344197320432E-6</v>
      </c>
      <c r="Z91" s="216">
        <f>Z$89*'BTX recycling rates'!AB47</f>
        <v>4.2485364543578913E-6</v>
      </c>
      <c r="AA91" s="216">
        <f>AA$89*'BTX recycling rates'!AC47</f>
        <v>4.0358463633993389E-6</v>
      </c>
      <c r="AB91" s="216">
        <f>AB$89*'BTX recycling rates'!AD47</f>
        <v>3.7055939870076255E-6</v>
      </c>
      <c r="AC91" s="216">
        <f>AC$89*'BTX recycling rates'!AE47</f>
        <v>3.2491385620647759E-6</v>
      </c>
      <c r="AD91" s="216">
        <f>AD$89*'BTX recycling rates'!AF47</f>
        <v>2.6581687221836025E-6</v>
      </c>
      <c r="AE91" s="216">
        <f>AE$89*'BTX recycling rates'!AG47</f>
        <v>1.9247024977076969E-6</v>
      </c>
      <c r="AF91" s="216">
        <f>AF$89*'BTX recycling rates'!AH47</f>
        <v>1.04108731571144E-6</v>
      </c>
      <c r="AG91" s="216">
        <f>AG$89*'BTX recycling rates'!AI47</f>
        <v>0</v>
      </c>
      <c r="AH91" s="230"/>
      <c r="AI91" s="126"/>
      <c r="AJ91" s="198"/>
      <c r="AL91" s="102"/>
      <c r="AM91" s="2"/>
      <c r="AN91" s="2"/>
      <c r="AO91" s="2"/>
      <c r="BC91" s="1"/>
      <c r="BD91" s="2"/>
      <c r="BE91" s="2"/>
      <c r="BF91" s="2"/>
      <c r="BG91" s="2"/>
      <c r="BH91" s="2"/>
      <c r="BI91" s="2"/>
      <c r="BJ91" s="2"/>
      <c r="BK91" s="2"/>
    </row>
    <row r="92" spans="1:63" outlineLevel="1">
      <c r="A92" s="4" t="s">
        <v>160</v>
      </c>
      <c r="C92" s="216">
        <f>C$89*'BTX recycling rates'!E48</f>
        <v>0</v>
      </c>
      <c r="D92" s="216">
        <f>D$89*'BTX recycling rates'!F48</f>
        <v>1.1966247276888158E-5</v>
      </c>
      <c r="E92" s="216">
        <f>E$89*'BTX recycling rates'!G48</f>
        <v>2.6150013113129396E-5</v>
      </c>
      <c r="F92" s="216">
        <f>F$89*'BTX recycling rates'!H48</f>
        <v>4.2658887336581949E-5</v>
      </c>
      <c r="G92" s="216">
        <f>G$89*'BTX recycling rates'!I48</f>
        <v>6.1596659554870813E-5</v>
      </c>
      <c r="H92" s="216">
        <f>H$89*'BTX recycling rates'!J48</f>
        <v>8.3063319155387828E-5</v>
      </c>
      <c r="I92" s="216">
        <f>I$89*'BTX recycling rates'!K48</f>
        <v>1.0715505530529162E-4</v>
      </c>
      <c r="J92" s="216">
        <f>J$89*'BTX recycling rates'!L48</f>
        <v>1.3396425695150752E-4</v>
      </c>
      <c r="K92" s="216">
        <f>K$89*'BTX recycling rates'!M48</f>
        <v>1.6357951282072776E-4</v>
      </c>
      <c r="L92" s="216">
        <f>L$89*'BTX recycling rates'!N48</f>
        <v>1.9608561141941131E-4</v>
      </c>
      <c r="M92" s="216">
        <f>M$89*'BTX recycling rates'!O48</f>
        <v>2.3156354103378375E-4</v>
      </c>
      <c r="N92" s="216">
        <f>N$89*'BTX recycling rates'!P48</f>
        <v>2.8877659968412893E-4</v>
      </c>
      <c r="O92" s="216">
        <f>O$89*'BTX recycling rates'!Q48</f>
        <v>3.5418261602069017E-4</v>
      </c>
      <c r="P92" s="216">
        <f>P$89*'BTX recycling rates'!R48</f>
        <v>4.2822757592666155E-4</v>
      </c>
      <c r="Q92" s="216">
        <f>Q$89*'BTX recycling rates'!S48</f>
        <v>5.1134078174262234E-4</v>
      </c>
      <c r="R92" s="216">
        <f>R$89*'BTX recycling rates'!T48</f>
        <v>6.0393485226653684E-4</v>
      </c>
      <c r="S92" s="216">
        <f>S$89*'BTX recycling rates'!U48</f>
        <v>7.0640572275375508E-4</v>
      </c>
      <c r="T92" s="216">
        <f>T$89*'BTX recycling rates'!V48</f>
        <v>8.1913264491701191E-4</v>
      </c>
      <c r="U92" s="216">
        <f>U$89*'BTX recycling rates'!W48</f>
        <v>9.4247818692642774E-4</v>
      </c>
      <c r="V92" s="216">
        <f>V$89*'BTX recycling rates'!X48</f>
        <v>1.076788233409508E-3</v>
      </c>
      <c r="W92" s="216">
        <f>W$89*'BTX recycling rates'!Y48</f>
        <v>1.2223919854511432E-3</v>
      </c>
      <c r="X92" s="216">
        <f>X$89*'BTX recycling rates'!Z48</f>
        <v>1.454448390412243E-3</v>
      </c>
      <c r="Y92" s="216">
        <f>Y$89*'BTX recycling rates'!AA48</f>
        <v>1.7122809245244534E-3</v>
      </c>
      <c r="Z92" s="216">
        <f>Z$89*'BTX recycling rates'!AB48</f>
        <v>1.9969136133948379E-3</v>
      </c>
      <c r="AA92" s="216">
        <f>AA$89*'BTX recycling rates'!AC48</f>
        <v>2.3093233621817796E-3</v>
      </c>
      <c r="AB92" s="216">
        <f>AB$89*'BTX recycling rates'!AD48</f>
        <v>2.6504399555949782E-3</v>
      </c>
      <c r="AC92" s="216">
        <f>AC$89*'BTX recycling rates'!AE48</f>
        <v>3.0211460578954486E-3</v>
      </c>
      <c r="AD92" s="216">
        <f>AD$89*'BTX recycling rates'!AF48</f>
        <v>3.4222772128955289E-3</v>
      </c>
      <c r="AE92" s="216">
        <f>AE$89*'BTX recycling rates'!AG48</f>
        <v>3.8546218439588671E-3</v>
      </c>
      <c r="AF92" s="216">
        <f>AF$89*'BTX recycling rates'!AH48</f>
        <v>4.3189212540004351E-3</v>
      </c>
      <c r="AG92" s="216">
        <f>AG$89*'BTX recycling rates'!AI48</f>
        <v>4.8158696254865206E-3</v>
      </c>
      <c r="AH92" s="230"/>
      <c r="AI92" s="126"/>
      <c r="AJ92" s="198"/>
      <c r="AL92" s="102"/>
      <c r="AM92" s="2"/>
      <c r="AN92" s="2"/>
      <c r="AO92" s="2"/>
      <c r="BC92" s="1"/>
      <c r="BD92" s="2"/>
      <c r="BE92" s="2"/>
      <c r="BF92" s="2"/>
      <c r="BG92" s="2"/>
      <c r="BH92" s="2"/>
      <c r="BI92" s="2"/>
      <c r="BJ92" s="2"/>
      <c r="BK92" s="2"/>
    </row>
    <row r="93" spans="1:63" outlineLevel="1">
      <c r="A93" s="4" t="s">
        <v>1159</v>
      </c>
      <c r="C93" s="216">
        <f>C$89*'BTX recycling rates'!E49</f>
        <v>0</v>
      </c>
      <c r="D93" s="216">
        <f>D$89*'BTX recycling rates'!F49</f>
        <v>1.1966247276888158E-5</v>
      </c>
      <c r="E93" s="216">
        <f>E$89*'BTX recycling rates'!G49</f>
        <v>2.6150013113129396E-5</v>
      </c>
      <c r="F93" s="216">
        <f>F$89*'BTX recycling rates'!H49</f>
        <v>4.2658887336581949E-5</v>
      </c>
      <c r="G93" s="216">
        <f>G$89*'BTX recycling rates'!I49</f>
        <v>6.1596659554870813E-5</v>
      </c>
      <c r="H93" s="216">
        <f>H$89*'BTX recycling rates'!J49</f>
        <v>8.3063319155387828E-5</v>
      </c>
      <c r="I93" s="216">
        <f>I$89*'BTX recycling rates'!K49</f>
        <v>1.0715505530529162E-4</v>
      </c>
      <c r="J93" s="216">
        <f>J$89*'BTX recycling rates'!L49</f>
        <v>1.3396425695150752E-4</v>
      </c>
      <c r="K93" s="216">
        <f>K$89*'BTX recycling rates'!M49</f>
        <v>1.6357951282072776E-4</v>
      </c>
      <c r="L93" s="216">
        <f>L$89*'BTX recycling rates'!N49</f>
        <v>1.9608561141941131E-4</v>
      </c>
      <c r="M93" s="216">
        <f>M$89*'BTX recycling rates'!O49</f>
        <v>2.3156354103378375E-4</v>
      </c>
      <c r="N93" s="216">
        <f>N$89*'BTX recycling rates'!P49</f>
        <v>2.8877659968412893E-4</v>
      </c>
      <c r="O93" s="216">
        <f>O$89*'BTX recycling rates'!Q49</f>
        <v>3.5418261602069017E-4</v>
      </c>
      <c r="P93" s="216">
        <f>P$89*'BTX recycling rates'!R49</f>
        <v>4.2822757592666155E-4</v>
      </c>
      <c r="Q93" s="216">
        <f>Q$89*'BTX recycling rates'!S49</f>
        <v>5.1134078174262234E-4</v>
      </c>
      <c r="R93" s="216">
        <f>R$89*'BTX recycling rates'!T49</f>
        <v>6.0393485226653684E-4</v>
      </c>
      <c r="S93" s="216">
        <f>S$89*'BTX recycling rates'!U49</f>
        <v>7.0640572275375508E-4</v>
      </c>
      <c r="T93" s="216">
        <f>T$89*'BTX recycling rates'!V49</f>
        <v>8.1913264491701191E-4</v>
      </c>
      <c r="U93" s="216">
        <f>U$89*'BTX recycling rates'!W49</f>
        <v>9.4247818692642774E-4</v>
      </c>
      <c r="V93" s="216">
        <f>V$89*'BTX recycling rates'!X49</f>
        <v>1.076788233409508E-3</v>
      </c>
      <c r="W93" s="216">
        <f>W$89*'BTX recycling rates'!Y49</f>
        <v>1.2223919854511432E-3</v>
      </c>
      <c r="X93" s="216">
        <f>X$89*'BTX recycling rates'!Z49</f>
        <v>1.454448390412243E-3</v>
      </c>
      <c r="Y93" s="216">
        <f>Y$89*'BTX recycling rates'!AA49</f>
        <v>1.7122809245244534E-3</v>
      </c>
      <c r="Z93" s="216">
        <f>Z$89*'BTX recycling rates'!AB49</f>
        <v>1.9969136133948379E-3</v>
      </c>
      <c r="AA93" s="216">
        <f>AA$89*'BTX recycling rates'!AC49</f>
        <v>2.3093233621817796E-3</v>
      </c>
      <c r="AB93" s="216">
        <f>AB$89*'BTX recycling rates'!AD49</f>
        <v>2.6504399555949782E-3</v>
      </c>
      <c r="AC93" s="216">
        <f>AC$89*'BTX recycling rates'!AE49</f>
        <v>3.0211460578954486E-3</v>
      </c>
      <c r="AD93" s="216">
        <f>AD$89*'BTX recycling rates'!AF49</f>
        <v>3.4222772128955289E-3</v>
      </c>
      <c r="AE93" s="216">
        <f>AE$89*'BTX recycling rates'!AG49</f>
        <v>3.8546218439588671E-3</v>
      </c>
      <c r="AF93" s="216">
        <f>AF$89*'BTX recycling rates'!AH49</f>
        <v>4.3189212540004351E-3</v>
      </c>
      <c r="AG93" s="216">
        <f>AG$89*'BTX recycling rates'!AI49</f>
        <v>4.8158696254865206E-3</v>
      </c>
      <c r="AH93" s="230"/>
      <c r="AI93" s="126"/>
      <c r="AJ93" s="198"/>
      <c r="AL93" s="102"/>
      <c r="AM93" s="2"/>
      <c r="AN93" s="2"/>
      <c r="AO93" s="2"/>
      <c r="BC93" s="1"/>
      <c r="BD93" s="2"/>
      <c r="BE93" s="2"/>
      <c r="BF93" s="2"/>
      <c r="BG93" s="2"/>
      <c r="BH93" s="2"/>
      <c r="BI93" s="2"/>
      <c r="BJ93" s="2"/>
      <c r="BK93" s="2"/>
    </row>
    <row r="94" spans="1:63" s="1" customFormat="1" outlineLevel="1">
      <c r="A94" s="1" t="s">
        <v>1170</v>
      </c>
      <c r="B94" s="61"/>
      <c r="C94" s="279">
        <f>C89-$C89</f>
        <v>0</v>
      </c>
      <c r="D94" s="279">
        <f t="shared" ref="D94:AG94" si="47">D89-$C89</f>
        <v>6.431675691992943E-5</v>
      </c>
      <c r="E94" s="279">
        <f t="shared" si="47"/>
        <v>1.3084231370052177E-4</v>
      </c>
      <c r="F94" s="279">
        <f t="shared" si="47"/>
        <v>1.9951966703827878E-4</v>
      </c>
      <c r="G94" s="279">
        <f t="shared" si="47"/>
        <v>2.7029181362970222E-4</v>
      </c>
      <c r="H94" s="279">
        <f t="shared" si="47"/>
        <v>3.4310175017129396E-4</v>
      </c>
      <c r="I94" s="279">
        <f t="shared" si="47"/>
        <v>4.178924733595562E-4</v>
      </c>
      <c r="J94" s="279">
        <f t="shared" si="47"/>
        <v>4.9460697989099026E-4</v>
      </c>
      <c r="K94" s="279">
        <f t="shared" si="47"/>
        <v>5.7318826646209813E-4</v>
      </c>
      <c r="L94" s="279">
        <f t="shared" si="47"/>
        <v>6.5357932976938199E-4</v>
      </c>
      <c r="M94" s="279">
        <f t="shared" si="47"/>
        <v>7.3572316650934253E-4</v>
      </c>
      <c r="N94" s="279">
        <f t="shared" si="47"/>
        <v>9.2148700949279795E-4</v>
      </c>
      <c r="O94" s="279">
        <f t="shared" si="47"/>
        <v>1.117255000410091E-3</v>
      </c>
      <c r="P94" s="279">
        <f t="shared" si="47"/>
        <v>1.3227768861220012E-3</v>
      </c>
      <c r="Q94" s="279">
        <f t="shared" si="47"/>
        <v>1.5378024134893075E-3</v>
      </c>
      <c r="R94" s="279">
        <f t="shared" si="47"/>
        <v>1.7620813293727877E-3</v>
      </c>
      <c r="S94" s="279">
        <f t="shared" si="47"/>
        <v>1.9953633806332216E-3</v>
      </c>
      <c r="T94" s="279">
        <f t="shared" si="47"/>
        <v>2.2373983141313878E-3</v>
      </c>
      <c r="U94" s="279">
        <f t="shared" si="47"/>
        <v>2.4879358767280657E-3</v>
      </c>
      <c r="V94" s="279">
        <f t="shared" si="47"/>
        <v>2.7467258152840336E-3</v>
      </c>
      <c r="W94" s="279">
        <f t="shared" si="47"/>
        <v>3.0135178766600699E-3</v>
      </c>
      <c r="X94" s="279">
        <f t="shared" si="47"/>
        <v>3.501908750055906E-3</v>
      </c>
      <c r="Y94" s="279">
        <f t="shared" si="47"/>
        <v>4.0161989871915129E-3</v>
      </c>
      <c r="Z94" s="279">
        <f t="shared" si="47"/>
        <v>4.5556817813366523E-3</v>
      </c>
      <c r="AA94" s="279">
        <f t="shared" si="47"/>
        <v>5.1196503257610899E-3</v>
      </c>
      <c r="AB94" s="279">
        <f t="shared" si="47"/>
        <v>5.7073978137345879E-3</v>
      </c>
      <c r="AC94" s="279">
        <f t="shared" si="47"/>
        <v>6.3182174385269067E-3</v>
      </c>
      <c r="AD94" s="279">
        <f t="shared" si="47"/>
        <v>6.9514023934078156E-3</v>
      </c>
      <c r="AE94" s="279">
        <f t="shared" si="47"/>
        <v>7.6062458716470707E-3</v>
      </c>
      <c r="AF94" s="279">
        <f t="shared" si="47"/>
        <v>8.2820410665144367E-3</v>
      </c>
      <c r="AG94" s="279">
        <f t="shared" si="47"/>
        <v>8.9780811712796803E-3</v>
      </c>
      <c r="AH94" s="230"/>
      <c r="AI94" s="398"/>
      <c r="AJ94" s="399"/>
      <c r="AL94" s="207"/>
      <c r="AM94" s="118"/>
      <c r="AN94" s="118"/>
      <c r="AO94" s="118"/>
      <c r="BD94" s="118"/>
      <c r="BE94" s="118"/>
      <c r="BF94" s="118"/>
      <c r="BG94" s="118"/>
      <c r="BH94" s="118"/>
      <c r="BI94" s="118"/>
      <c r="BJ94" s="118"/>
      <c r="BK94" s="118"/>
    </row>
    <row r="95" spans="1:63" outlineLevel="1">
      <c r="A95" s="4" t="s">
        <v>35</v>
      </c>
      <c r="C95" s="216">
        <f>C90-$C90</f>
        <v>0</v>
      </c>
      <c r="D95" s="216">
        <f t="shared" ref="D95:AG95" si="48">D90-$C90</f>
        <v>4.0243108744206484E-5</v>
      </c>
      <c r="E95" s="216">
        <f t="shared" si="48"/>
        <v>7.8267761515302776E-5</v>
      </c>
      <c r="F95" s="216">
        <f t="shared" si="48"/>
        <v>1.1380272670512726E-4</v>
      </c>
      <c r="G95" s="216">
        <f t="shared" si="48"/>
        <v>1.465843465804455E-4</v>
      </c>
      <c r="H95" s="216">
        <f t="shared" si="48"/>
        <v>1.7635653728295046E-4</v>
      </c>
      <c r="I95" s="216">
        <f t="shared" si="48"/>
        <v>2.0287078882926294E-4</v>
      </c>
      <c r="J95" s="216">
        <f t="shared" si="48"/>
        <v>2.2588616511093015E-4</v>
      </c>
      <c r="K95" s="216">
        <f t="shared" si="48"/>
        <v>2.4516930389442714E-4</v>
      </c>
      <c r="L95" s="216">
        <f t="shared" si="48"/>
        <v>2.604944168211567E-4</v>
      </c>
      <c r="M95" s="216">
        <f t="shared" si="48"/>
        <v>2.7164328940744757E-4</v>
      </c>
      <c r="N95" s="216">
        <f t="shared" si="48"/>
        <v>3.4273167097021199E-4</v>
      </c>
      <c r="O95" s="216">
        <f t="shared" si="48"/>
        <v>4.0746059105060343E-4</v>
      </c>
      <c r="P95" s="216">
        <f t="shared" si="48"/>
        <v>4.646918171195743E-4</v>
      </c>
      <c r="Q95" s="216">
        <f t="shared" si="48"/>
        <v>5.1332036710656428E-4</v>
      </c>
      <c r="R95" s="216">
        <f t="shared" si="48"/>
        <v>5.522745093995005E-4</v>
      </c>
      <c r="S95" s="216">
        <f t="shared" si="48"/>
        <v>5.805157628447987E-4</v>
      </c>
      <c r="T95" s="216">
        <f t="shared" si="48"/>
        <v>5.9703889674736184E-4</v>
      </c>
      <c r="U95" s="216">
        <f t="shared" si="48"/>
        <v>6.0087193087058168E-4</v>
      </c>
      <c r="V95" s="216">
        <f t="shared" si="48"/>
        <v>5.9107613543633614E-4</v>
      </c>
      <c r="W95" s="216">
        <f t="shared" si="48"/>
        <v>5.6674603112499237E-4</v>
      </c>
      <c r="X95" s="216">
        <f t="shared" si="48"/>
        <v>5.9093923637930335E-4</v>
      </c>
      <c r="Y95" s="216">
        <f t="shared" si="48"/>
        <v>5.8956921068685855E-4</v>
      </c>
      <c r="Z95" s="216">
        <f t="shared" si="48"/>
        <v>5.5989072505660249E-4</v>
      </c>
      <c r="AA95" s="216">
        <f t="shared" si="48"/>
        <v>4.9925246199811473E-4</v>
      </c>
      <c r="AB95" s="216">
        <f t="shared" si="48"/>
        <v>4.0509701552160742E-4</v>
      </c>
      <c r="AC95" s="216">
        <f t="shared" si="48"/>
        <v>2.7496089113792765E-4</v>
      </c>
      <c r="AD95" s="216">
        <f t="shared" si="48"/>
        <v>1.0647450585855715E-4</v>
      </c>
      <c r="AE95" s="216">
        <f t="shared" si="48"/>
        <v>-1.0263781180438938E-4</v>
      </c>
      <c r="AF95" s="216">
        <f t="shared" si="48"/>
        <v>-3.5455782183816222E-4</v>
      </c>
      <c r="AG95" s="216">
        <f t="shared" si="48"/>
        <v>-6.5137337272937331E-4</v>
      </c>
      <c r="AH95" s="230"/>
      <c r="AI95" s="126"/>
      <c r="AJ95" s="198"/>
      <c r="AL95" s="102"/>
      <c r="AM95" s="2"/>
      <c r="AN95" s="2"/>
      <c r="AO95" s="2"/>
      <c r="BC95" s="1"/>
      <c r="BD95" s="2"/>
      <c r="BE95" s="2"/>
      <c r="BF95" s="2"/>
      <c r="BG95" s="2"/>
      <c r="BH95" s="2"/>
      <c r="BI95" s="2"/>
      <c r="BJ95" s="2"/>
      <c r="BK95" s="2"/>
    </row>
    <row r="96" spans="1:63" outlineLevel="1">
      <c r="A96" s="4" t="s">
        <v>74</v>
      </c>
      <c r="C96" s="216"/>
      <c r="D96" s="216"/>
      <c r="E96" s="216"/>
      <c r="F96" s="216"/>
      <c r="G96" s="216"/>
      <c r="H96" s="216"/>
      <c r="I96" s="216"/>
      <c r="J96" s="216"/>
      <c r="K96" s="216"/>
      <c r="L96" s="216"/>
      <c r="M96" s="216"/>
      <c r="N96" s="216"/>
      <c r="O96" s="216"/>
      <c r="P96" s="216"/>
      <c r="Q96" s="216"/>
      <c r="R96" s="216"/>
      <c r="S96" s="216"/>
      <c r="T96" s="216"/>
      <c r="U96" s="216"/>
      <c r="V96" s="216"/>
      <c r="W96" s="216"/>
      <c r="X96" s="216"/>
      <c r="Y96" s="216"/>
      <c r="Z96" s="216"/>
      <c r="AA96" s="216"/>
      <c r="AB96" s="216"/>
      <c r="AC96" s="216"/>
      <c r="AD96" s="216"/>
      <c r="AE96" s="216"/>
      <c r="AF96" s="216"/>
      <c r="AG96" s="216"/>
      <c r="AH96" s="230"/>
      <c r="AI96" s="126"/>
      <c r="AJ96" s="198"/>
      <c r="AL96" s="102"/>
      <c r="AM96" s="2"/>
      <c r="AN96" s="2"/>
      <c r="AO96" s="2"/>
      <c r="BC96" s="1"/>
      <c r="BD96" s="2"/>
      <c r="BE96" s="2"/>
      <c r="BF96" s="2"/>
      <c r="BG96" s="2"/>
      <c r="BH96" s="2"/>
      <c r="BI96" s="2"/>
      <c r="BJ96" s="2"/>
      <c r="BK96" s="2"/>
    </row>
    <row r="97" spans="1:63" outlineLevel="1">
      <c r="A97" s="4" t="s">
        <v>160</v>
      </c>
      <c r="C97" s="216">
        <f t="shared" ref="C97:AG97" si="49">C92-$C92</f>
        <v>0</v>
      </c>
      <c r="D97" s="216">
        <f t="shared" si="49"/>
        <v>1.1966247276888158E-5</v>
      </c>
      <c r="E97" s="216">
        <f t="shared" si="49"/>
        <v>2.6150013113129396E-5</v>
      </c>
      <c r="F97" s="216">
        <f t="shared" si="49"/>
        <v>4.2658887336581949E-5</v>
      </c>
      <c r="G97" s="216">
        <f t="shared" si="49"/>
        <v>6.1596659554870813E-5</v>
      </c>
      <c r="H97" s="216">
        <f t="shared" si="49"/>
        <v>8.3063319155387828E-5</v>
      </c>
      <c r="I97" s="216">
        <f t="shared" si="49"/>
        <v>1.0715505530529162E-4</v>
      </c>
      <c r="J97" s="216">
        <f t="shared" si="49"/>
        <v>1.3396425695150752E-4</v>
      </c>
      <c r="K97" s="216">
        <f t="shared" si="49"/>
        <v>1.6357951282072776E-4</v>
      </c>
      <c r="L97" s="216">
        <f t="shared" si="49"/>
        <v>1.9608561141941131E-4</v>
      </c>
      <c r="M97" s="216">
        <f t="shared" si="49"/>
        <v>2.3156354103378375E-4</v>
      </c>
      <c r="N97" s="216">
        <f t="shared" si="49"/>
        <v>2.8877659968412893E-4</v>
      </c>
      <c r="O97" s="216">
        <f t="shared" si="49"/>
        <v>3.5418261602069017E-4</v>
      </c>
      <c r="P97" s="216">
        <f t="shared" si="49"/>
        <v>4.2822757592666155E-4</v>
      </c>
      <c r="Q97" s="216">
        <f t="shared" si="49"/>
        <v>5.1134078174262234E-4</v>
      </c>
      <c r="R97" s="216">
        <f t="shared" si="49"/>
        <v>6.0393485226653684E-4</v>
      </c>
      <c r="S97" s="216">
        <f t="shared" si="49"/>
        <v>7.0640572275375508E-4</v>
      </c>
      <c r="T97" s="216">
        <f t="shared" si="49"/>
        <v>8.1913264491701191E-4</v>
      </c>
      <c r="U97" s="216">
        <f t="shared" si="49"/>
        <v>9.4247818692642774E-4</v>
      </c>
      <c r="V97" s="216">
        <f t="shared" si="49"/>
        <v>1.076788233409508E-3</v>
      </c>
      <c r="W97" s="216">
        <f t="shared" si="49"/>
        <v>1.2223919854511432E-3</v>
      </c>
      <c r="X97" s="216">
        <f t="shared" si="49"/>
        <v>1.454448390412243E-3</v>
      </c>
      <c r="Y97" s="216">
        <f t="shared" si="49"/>
        <v>1.7122809245244534E-3</v>
      </c>
      <c r="Z97" s="216">
        <f t="shared" si="49"/>
        <v>1.9969136133948379E-3</v>
      </c>
      <c r="AA97" s="216">
        <f t="shared" si="49"/>
        <v>2.3093233621817796E-3</v>
      </c>
      <c r="AB97" s="216">
        <f t="shared" si="49"/>
        <v>2.6504399555949782E-3</v>
      </c>
      <c r="AC97" s="216">
        <f t="shared" si="49"/>
        <v>3.0211460578954486E-3</v>
      </c>
      <c r="AD97" s="216">
        <f t="shared" si="49"/>
        <v>3.4222772128955289E-3</v>
      </c>
      <c r="AE97" s="216">
        <f t="shared" si="49"/>
        <v>3.8546218439588671E-3</v>
      </c>
      <c r="AF97" s="216">
        <f t="shared" si="49"/>
        <v>4.3189212540004351E-3</v>
      </c>
      <c r="AG97" s="216">
        <f t="shared" si="49"/>
        <v>4.8158696254865206E-3</v>
      </c>
      <c r="AH97" s="230"/>
      <c r="AI97" s="126"/>
      <c r="AJ97" s="198"/>
      <c r="AL97" s="102"/>
      <c r="AM97" s="2"/>
      <c r="AN97" s="2"/>
      <c r="AO97" s="2"/>
      <c r="BC97" s="1"/>
      <c r="BD97" s="2"/>
      <c r="BE97" s="2"/>
      <c r="BF97" s="2"/>
      <c r="BG97" s="2"/>
      <c r="BH97" s="2"/>
      <c r="BI97" s="2"/>
      <c r="BJ97" s="2"/>
      <c r="BK97" s="2"/>
    </row>
    <row r="98" spans="1:63" outlineLevel="1">
      <c r="A98" s="4" t="s">
        <v>1159</v>
      </c>
      <c r="C98" s="216">
        <f t="shared" ref="C98:AG98" si="50">C93-$C93</f>
        <v>0</v>
      </c>
      <c r="D98" s="216">
        <f t="shared" si="50"/>
        <v>1.1966247276888158E-5</v>
      </c>
      <c r="E98" s="216">
        <f t="shared" si="50"/>
        <v>2.6150013113129396E-5</v>
      </c>
      <c r="F98" s="216">
        <f t="shared" si="50"/>
        <v>4.2658887336581949E-5</v>
      </c>
      <c r="G98" s="216">
        <f t="shared" si="50"/>
        <v>6.1596659554870813E-5</v>
      </c>
      <c r="H98" s="216">
        <f t="shared" si="50"/>
        <v>8.3063319155387828E-5</v>
      </c>
      <c r="I98" s="216">
        <f t="shared" si="50"/>
        <v>1.0715505530529162E-4</v>
      </c>
      <c r="J98" s="216">
        <f t="shared" si="50"/>
        <v>1.3396425695150752E-4</v>
      </c>
      <c r="K98" s="216">
        <f t="shared" si="50"/>
        <v>1.6357951282072776E-4</v>
      </c>
      <c r="L98" s="216">
        <f t="shared" si="50"/>
        <v>1.9608561141941131E-4</v>
      </c>
      <c r="M98" s="216">
        <f t="shared" si="50"/>
        <v>2.3156354103378375E-4</v>
      </c>
      <c r="N98" s="216">
        <f t="shared" si="50"/>
        <v>2.8877659968412893E-4</v>
      </c>
      <c r="O98" s="216">
        <f t="shared" si="50"/>
        <v>3.5418261602069017E-4</v>
      </c>
      <c r="P98" s="216">
        <f t="shared" si="50"/>
        <v>4.2822757592666155E-4</v>
      </c>
      <c r="Q98" s="216">
        <f t="shared" si="50"/>
        <v>5.1134078174262234E-4</v>
      </c>
      <c r="R98" s="216">
        <f t="shared" si="50"/>
        <v>6.0393485226653684E-4</v>
      </c>
      <c r="S98" s="216">
        <f t="shared" si="50"/>
        <v>7.0640572275375508E-4</v>
      </c>
      <c r="T98" s="216">
        <f t="shared" si="50"/>
        <v>8.1913264491701191E-4</v>
      </c>
      <c r="U98" s="216">
        <f t="shared" si="50"/>
        <v>9.4247818692642774E-4</v>
      </c>
      <c r="V98" s="216">
        <f t="shared" si="50"/>
        <v>1.076788233409508E-3</v>
      </c>
      <c r="W98" s="216">
        <f t="shared" si="50"/>
        <v>1.2223919854511432E-3</v>
      </c>
      <c r="X98" s="216">
        <f t="shared" si="50"/>
        <v>1.454448390412243E-3</v>
      </c>
      <c r="Y98" s="216">
        <f t="shared" si="50"/>
        <v>1.7122809245244534E-3</v>
      </c>
      <c r="Z98" s="216">
        <f t="shared" si="50"/>
        <v>1.9969136133948379E-3</v>
      </c>
      <c r="AA98" s="216">
        <f t="shared" si="50"/>
        <v>2.3093233621817796E-3</v>
      </c>
      <c r="AB98" s="216">
        <f t="shared" si="50"/>
        <v>2.6504399555949782E-3</v>
      </c>
      <c r="AC98" s="216">
        <f t="shared" si="50"/>
        <v>3.0211460578954486E-3</v>
      </c>
      <c r="AD98" s="216">
        <f t="shared" si="50"/>
        <v>3.4222772128955289E-3</v>
      </c>
      <c r="AE98" s="216">
        <f t="shared" si="50"/>
        <v>3.8546218439588671E-3</v>
      </c>
      <c r="AF98" s="216">
        <f t="shared" si="50"/>
        <v>4.3189212540004351E-3</v>
      </c>
      <c r="AG98" s="216">
        <f t="shared" si="50"/>
        <v>4.8158696254865206E-3</v>
      </c>
      <c r="AH98" s="230"/>
      <c r="AI98" s="126"/>
      <c r="AJ98" s="198"/>
      <c r="AL98" s="102"/>
      <c r="AM98" s="2"/>
      <c r="AN98" s="2"/>
      <c r="AO98" s="2"/>
      <c r="BC98" s="1"/>
      <c r="BD98" s="2"/>
      <c r="BE98" s="2"/>
      <c r="BF98" s="2"/>
      <c r="BG98" s="2"/>
      <c r="BH98" s="2"/>
      <c r="BI98" s="2"/>
      <c r="BJ98" s="2"/>
      <c r="BK98" s="2"/>
    </row>
    <row r="99" spans="1:63" s="1" customFormat="1" outlineLevel="1">
      <c r="A99" s="1" t="s">
        <v>1162</v>
      </c>
      <c r="B99" s="61"/>
      <c r="C99" s="279">
        <f>C39*C65</f>
        <v>8139.7320808398481</v>
      </c>
      <c r="D99" s="279">
        <f t="shared" ref="D99:AG99" si="51">D39*D65</f>
        <v>8292.7608175543392</v>
      </c>
      <c r="E99" s="279">
        <f t="shared" si="51"/>
        <v>8394.9640602639465</v>
      </c>
      <c r="F99" s="279">
        <f t="shared" si="51"/>
        <v>8509.4225019964324</v>
      </c>
      <c r="G99" s="279">
        <f t="shared" si="51"/>
        <v>8615.2735608726562</v>
      </c>
      <c r="H99" s="279">
        <f t="shared" si="51"/>
        <v>8712.6404737401899</v>
      </c>
      <c r="I99" s="279">
        <f t="shared" si="51"/>
        <v>8801.6464774466203</v>
      </c>
      <c r="J99" s="279">
        <f t="shared" si="51"/>
        <v>8882.4148088395232</v>
      </c>
      <c r="K99" s="279">
        <f t="shared" si="51"/>
        <v>8955.0687047664815</v>
      </c>
      <c r="L99" s="279">
        <f t="shared" si="51"/>
        <v>9019.7314020750764</v>
      </c>
      <c r="M99" s="279">
        <f t="shared" si="51"/>
        <v>9076.5261376128874</v>
      </c>
      <c r="N99" s="279">
        <f t="shared" si="51"/>
        <v>9270.2820159194289</v>
      </c>
      <c r="O99" s="279">
        <f t="shared" si="51"/>
        <v>9429.2755754109494</v>
      </c>
      <c r="P99" s="279">
        <f t="shared" si="51"/>
        <v>9554.1323040549432</v>
      </c>
      <c r="Q99" s="279">
        <f t="shared" si="51"/>
        <v>9645.4776898189029</v>
      </c>
      <c r="R99" s="279">
        <f t="shared" si="51"/>
        <v>9703.9372206703229</v>
      </c>
      <c r="S99" s="279">
        <f t="shared" si="51"/>
        <v>9730.13638457669</v>
      </c>
      <c r="T99" s="279">
        <f t="shared" si="51"/>
        <v>9724.700669505497</v>
      </c>
      <c r="U99" s="279">
        <f t="shared" si="51"/>
        <v>9688.2555634242417</v>
      </c>
      <c r="V99" s="279">
        <f t="shared" si="51"/>
        <v>9621.4265543004094</v>
      </c>
      <c r="W99" s="279">
        <f t="shared" si="51"/>
        <v>9524.8391301014981</v>
      </c>
      <c r="X99" s="279">
        <f t="shared" si="51"/>
        <v>9592.7055948838934</v>
      </c>
      <c r="Y99" s="279">
        <f t="shared" si="51"/>
        <v>9611.1491616066687</v>
      </c>
      <c r="Z99" s="279">
        <f t="shared" si="51"/>
        <v>9581.1829679937418</v>
      </c>
      <c r="AA99" s="279">
        <f t="shared" si="51"/>
        <v>9503.8201517690432</v>
      </c>
      <c r="AB99" s="279">
        <f t="shared" si="51"/>
        <v>9380.073850656494</v>
      </c>
      <c r="AC99" s="279">
        <f t="shared" si="51"/>
        <v>9210.9572023800174</v>
      </c>
      <c r="AD99" s="279">
        <f t="shared" si="51"/>
        <v>8997.4833446635421</v>
      </c>
      <c r="AE99" s="279">
        <f t="shared" si="51"/>
        <v>8740.6654152309857</v>
      </c>
      <c r="AF99" s="279">
        <f t="shared" si="51"/>
        <v>8441.5165518062731</v>
      </c>
      <c r="AG99" s="279">
        <f t="shared" si="51"/>
        <v>8101.0498921133312</v>
      </c>
      <c r="AH99" s="230"/>
      <c r="AI99" s="398"/>
      <c r="AJ99" s="399"/>
      <c r="AL99" s="207"/>
      <c r="AM99" s="118"/>
      <c r="AN99" s="118"/>
      <c r="AO99" s="118"/>
      <c r="BD99" s="118"/>
      <c r="BE99" s="118"/>
      <c r="BF99" s="118"/>
      <c r="BG99" s="118"/>
      <c r="BH99" s="118"/>
      <c r="BI99" s="118"/>
      <c r="BJ99" s="118"/>
      <c r="BK99" s="118"/>
    </row>
    <row r="100" spans="1:63" outlineLevel="1">
      <c r="A100" s="4" t="s">
        <v>35</v>
      </c>
      <c r="C100" s="216">
        <f>C$99*'BTX recycling rates'!E54</f>
        <v>8111.2815756784876</v>
      </c>
      <c r="D100" s="216">
        <f>D$99*'BTX recycling rates'!F54</f>
        <v>8153.5285315921337</v>
      </c>
      <c r="E100" s="216">
        <f>E$99*'BTX recycling rates'!G54</f>
        <v>8142.4101896209631</v>
      </c>
      <c r="F100" s="216">
        <f>F$99*'BTX recycling rates'!H54</f>
        <v>8140.2979842800787</v>
      </c>
      <c r="G100" s="216">
        <f>G$99*'BTX recycling rates'!I54</f>
        <v>8127.0228972761579</v>
      </c>
      <c r="H100" s="216">
        <f>H$99*'BTX recycling rates'!J54</f>
        <v>8103.0428317460537</v>
      </c>
      <c r="I100" s="216">
        <f>I$99*'BTX recycling rates'!K54</f>
        <v>8068.8091374090955</v>
      </c>
      <c r="J100" s="216">
        <f>J$99*'BTX recycling rates'!L54</f>
        <v>8024.7666105670687</v>
      </c>
      <c r="K100" s="216">
        <f>K$99*'BTX recycling rates'!M54</f>
        <v>7971.353494104229</v>
      </c>
      <c r="L100" s="216">
        <f>L$99*'BTX recycling rates'!N54</f>
        <v>7909.0014774872916</v>
      </c>
      <c r="M100" s="216">
        <f>M$99*'BTX recycling rates'!O54</f>
        <v>7838.1356967654392</v>
      </c>
      <c r="N100" s="216">
        <f>N$99*'BTX recycling rates'!P54</f>
        <v>7882.2133344681879</v>
      </c>
      <c r="O100" s="216">
        <f>O$99*'BTX recycling rates'!Q54</f>
        <v>7892.0441492262953</v>
      </c>
      <c r="P100" s="216">
        <f>P$99*'BTX recycling rates'!R54</f>
        <v>7869.5297696017997</v>
      </c>
      <c r="Q100" s="216">
        <f>Q$99*'BTX recycling rates'!S54</f>
        <v>7816.5385623207312</v>
      </c>
      <c r="R100" s="216">
        <f>R$99*'BTX recycling rates'!T54</f>
        <v>7734.9056322731076</v>
      </c>
      <c r="S100" s="216">
        <f>S$99*'BTX recycling rates'!U54</f>
        <v>7626.4328225129329</v>
      </c>
      <c r="T100" s="216">
        <f>T$99*'BTX recycling rates'!V54</f>
        <v>7492.8887142582034</v>
      </c>
      <c r="U100" s="216">
        <f>U$99*'BTX recycling rates'!W54</f>
        <v>7336.0086268909126</v>
      </c>
      <c r="V100" s="216">
        <f>V$99*'BTX recycling rates'!X54</f>
        <v>7157.4946179570316</v>
      </c>
      <c r="W100" s="216">
        <f>W$99*'BTX recycling rates'!Y54</f>
        <v>6959.0154831665313</v>
      </c>
      <c r="X100" s="216">
        <f>X$99*'BTX recycling rates'!Z54</f>
        <v>6881.0710871993415</v>
      </c>
      <c r="Y100" s="216">
        <f>Y$99*'BTX recycling rates'!AA54</f>
        <v>6766.5270594658487</v>
      </c>
      <c r="Z100" s="216">
        <f>Z$99*'BTX recycling rates'!AB54</f>
        <v>6618.0543458567727</v>
      </c>
      <c r="AA100" s="216">
        <f>AA$99*'BTX recycling rates'!AC54</f>
        <v>6438.270016213135</v>
      </c>
      <c r="AB100" s="216">
        <f>AB$99*'BTX recycling rates'!AD54</f>
        <v>6229.7372643262406</v>
      </c>
      <c r="AC100" s="216">
        <f>AC$99*'BTX recycling rates'!AE54</f>
        <v>5994.9654079376869</v>
      </c>
      <c r="AD100" s="216">
        <f>AD$99*'BTX recycling rates'!AF54</f>
        <v>5736.4098887393666</v>
      </c>
      <c r="AE100" s="216">
        <f>AE$99*'BTX recycling rates'!AG54</f>
        <v>5456.4722723734567</v>
      </c>
      <c r="AF100" s="216">
        <f>AF$99*'BTX recycling rates'!AH54</f>
        <v>5157.5002484324305</v>
      </c>
      <c r="AG100" s="216">
        <f>AG$99*'BTX recycling rates'!AI54</f>
        <v>4841.7876304590609</v>
      </c>
      <c r="AH100" s="230"/>
      <c r="AI100" s="126"/>
      <c r="AJ100" s="198"/>
      <c r="AL100" s="102"/>
      <c r="AM100" s="2"/>
      <c r="AN100" s="2"/>
      <c r="AO100" s="2"/>
      <c r="BC100" s="1"/>
      <c r="BD100" s="2"/>
      <c r="BE100" s="2"/>
      <c r="BF100" s="2"/>
      <c r="BG100" s="2"/>
      <c r="BH100" s="2"/>
      <c r="BI100" s="2"/>
      <c r="BJ100" s="2"/>
      <c r="BK100" s="2"/>
    </row>
    <row r="101" spans="1:63" outlineLevel="1">
      <c r="A101" s="4" t="s">
        <v>74</v>
      </c>
      <c r="C101" s="216">
        <f>C$99*'BTX recycling rates'!E55</f>
        <v>28.450505161361271</v>
      </c>
      <c r="D101" s="216">
        <f>D$99*'BTX recycling rates'!F55</f>
        <v>117.40919347091476</v>
      </c>
      <c r="E101" s="216">
        <f>E$99*'BTX recycling rates'!G55</f>
        <v>208.36977292720337</v>
      </c>
      <c r="F101" s="216">
        <f>F$99*'BTX recycling rates'!H55</f>
        <v>301.94475030447683</v>
      </c>
      <c r="G101" s="216">
        <f>G$99*'BTX recycling rates'!I55</f>
        <v>397.56341678300726</v>
      </c>
      <c r="H101" s="216">
        <f>H$99*'BTX recycling rates'!J55</f>
        <v>494.95743767321062</v>
      </c>
      <c r="I101" s="216">
        <f>I$99*'BTX recycling rates'!K55</f>
        <v>593.86373447082326</v>
      </c>
      <c r="J101" s="216">
        <f>J$99*'BTX recycling rates'!L55</f>
        <v>694.02448485690059</v>
      </c>
      <c r="K101" s="216">
        <f>K$99*'BTX recycling rates'!M55</f>
        <v>795.18712269781861</v>
      </c>
      <c r="L101" s="216">
        <f>L$99*'BTX recycling rates'!N55</f>
        <v>897.10433804527293</v>
      </c>
      <c r="M101" s="216">
        <f>M$99*'BTX recycling rates'!O55</f>
        <v>999.53407713627882</v>
      </c>
      <c r="N101" s="216">
        <f>N$99*'BTX recycling rates'!P55</f>
        <v>1119.7179488845077</v>
      </c>
      <c r="O101" s="216">
        <f>O$99*'BTX recycling rates'!Q55</f>
        <v>1239.4643145528196</v>
      </c>
      <c r="P101" s="216">
        <f>P$99*'BTX recycling rates'!R55</f>
        <v>1357.7500750703946</v>
      </c>
      <c r="Q101" s="216">
        <f>Q$99*'BTX recycling rates'!S55</f>
        <v>1473.5788091071781</v>
      </c>
      <c r="R101" s="216">
        <f>R$99*'BTX recycling rates'!T55</f>
        <v>1585.9807730738808</v>
      </c>
      <c r="S101" s="216">
        <f>S$99*'BTX recycling rates'!U55</f>
        <v>1694.0129011219772</v>
      </c>
      <c r="T101" s="216">
        <f>T$99*'BTX recycling rates'!V55</f>
        <v>1796.7588051437078</v>
      </c>
      <c r="U101" s="216">
        <f>U$99*'BTX recycling rates'!W55</f>
        <v>1893.3287747720799</v>
      </c>
      <c r="V101" s="216">
        <f>V$99*'BTX recycling rates'!X55</f>
        <v>1982.8597773808622</v>
      </c>
      <c r="W101" s="216">
        <f>W$99*'BTX recycling rates'!Y55</f>
        <v>2064.5154580845924</v>
      </c>
      <c r="X101" s="216">
        <f>X$99*'BTX recycling rates'!Z55</f>
        <v>2181.5103877520828</v>
      </c>
      <c r="Y101" s="216">
        <f>Y$99*'BTX recycling rates'!AA55</f>
        <v>2288.1861892104002</v>
      </c>
      <c r="Z101" s="216">
        <f>Z$99*'BTX recycling rates'!AB55</f>
        <v>2383.2139141413199</v>
      </c>
      <c r="AA101" s="216">
        <f>AA$99*'BTX recycling rates'!AC55</f>
        <v>2465.3078256502804</v>
      </c>
      <c r="AB101" s="216">
        <f>AB$99*'BTX recycling rates'!AD55</f>
        <v>2533.2253982663801</v>
      </c>
      <c r="AC101" s="216">
        <f>AC$99*'BTX recycling rates'!AE55</f>
        <v>2585.7673179423791</v>
      </c>
      <c r="AD101" s="216">
        <f>AD$99*'BTX recycling rates'!AF55</f>
        <v>2621.7774820546988</v>
      </c>
      <c r="AE101" s="216">
        <f>AE$99*'BTX recycling rates'!AG55</f>
        <v>2640.1429994034202</v>
      </c>
      <c r="AF101" s="216">
        <f>AF$99*'BTX recycling rates'!AH55</f>
        <v>2639.7941902122857</v>
      </c>
      <c r="AG101" s="216">
        <f>AG$99*'BTX recycling rates'!AI55</f>
        <v>2619.7045861287002</v>
      </c>
      <c r="AH101" s="230"/>
      <c r="AI101" s="126"/>
      <c r="AJ101" s="198"/>
      <c r="AL101" s="102"/>
      <c r="AM101" s="2"/>
      <c r="AN101" s="2"/>
      <c r="AO101" s="2"/>
      <c r="BC101" s="1"/>
      <c r="BD101" s="2"/>
      <c r="BE101" s="2"/>
      <c r="BF101" s="2"/>
      <c r="BG101" s="2"/>
      <c r="BH101" s="2"/>
      <c r="BI101" s="2"/>
      <c r="BJ101" s="2"/>
      <c r="BK101" s="2"/>
    </row>
    <row r="102" spans="1:63" outlineLevel="1">
      <c r="A102" s="4" t="s">
        <v>160</v>
      </c>
      <c r="C102" s="216">
        <f>C$99*'BTX recycling rates'!E56</f>
        <v>0</v>
      </c>
      <c r="D102" s="216">
        <f>D$99*'BTX recycling rates'!F56</f>
        <v>20.045355315047654</v>
      </c>
      <c r="E102" s="216">
        <f>E$99*'BTX recycling rates'!G56</f>
        <v>40.584804300354655</v>
      </c>
      <c r="F102" s="216">
        <f>F$99*'BTX recycling rates'!H56</f>
        <v>61.707217173309942</v>
      </c>
      <c r="G102" s="216">
        <f>G$99*'BTX recycling rates'!I56</f>
        <v>83.299747075044166</v>
      </c>
      <c r="H102" s="216">
        <f>H$99*'BTX recycling rates'!J56</f>
        <v>105.30146586326698</v>
      </c>
      <c r="I102" s="216">
        <f>I$99*'BTX recycling rates'!K56</f>
        <v>127.65263695369977</v>
      </c>
      <c r="J102" s="216">
        <f>J$99*'BTX recycling rates'!L56</f>
        <v>150.29471532007545</v>
      </c>
      <c r="K102" s="216">
        <f>K$99*'BTX recycling rates'!M56</f>
        <v>173.17034749413858</v>
      </c>
      <c r="L102" s="216">
        <f>L$99*'BTX recycling rates'!N56</f>
        <v>196.22337156564544</v>
      </c>
      <c r="M102" s="216">
        <f>M$99*'BTX recycling rates'!O56</f>
        <v>219.39881718236381</v>
      </c>
      <c r="N102" s="216">
        <f>N$99*'BTX recycling rates'!P56</f>
        <v>246.49053682470074</v>
      </c>
      <c r="O102" s="216">
        <f>O$99*'BTX recycling rates'!Q56</f>
        <v>273.51061982519218</v>
      </c>
      <c r="P102" s="216">
        <f>P$99*'BTX recycling rates'!R56</f>
        <v>300.2266377480164</v>
      </c>
      <c r="Q102" s="216">
        <f>Q$99*'BTX recycling rates'!S56</f>
        <v>326.41220990373171</v>
      </c>
      <c r="R102" s="216">
        <f>R$99*'BTX recycling rates'!T56</f>
        <v>351.84700334927635</v>
      </c>
      <c r="S102" s="216">
        <f>S$99*'BTX recycling rates'!U56</f>
        <v>376.31673288796844</v>
      </c>
      <c r="T102" s="216">
        <f>T$99*'BTX recycling rates'!V56</f>
        <v>399.61316106950619</v>
      </c>
      <c r="U102" s="216">
        <f>U$99*'BTX recycling rates'!W56</f>
        <v>421.53409818996812</v>
      </c>
      <c r="V102" s="216">
        <f>V$99*'BTX recycling rates'!X56</f>
        <v>441.88340229181222</v>
      </c>
      <c r="W102" s="216">
        <f>W$99*'BTX recycling rates'!Y56</f>
        <v>460.47097916387702</v>
      </c>
      <c r="X102" s="216">
        <f>X$99*'BTX recycling rates'!Z56</f>
        <v>486.93952744616212</v>
      </c>
      <c r="Y102" s="216">
        <f>Y$99*'BTX recycling rates'!AA56</f>
        <v>511.10792795266161</v>
      </c>
      <c r="Z102" s="216">
        <f>Z$99*'BTX recycling rates'!AB56</f>
        <v>532.67411018093753</v>
      </c>
      <c r="AA102" s="216">
        <f>AA$99*'BTX recycling rates'!AC56</f>
        <v>551.34579950044917</v>
      </c>
      <c r="AB102" s="216">
        <f>AB$99*'BTX recycling rates'!AD56</f>
        <v>566.84051715255168</v>
      </c>
      <c r="AC102" s="216">
        <f>AC$99*'BTX recycling rates'!AE56</f>
        <v>578.88558025049645</v>
      </c>
      <c r="AD102" s="216">
        <f>AD$99*'BTX recycling rates'!AF56</f>
        <v>587.21810177943223</v>
      </c>
      <c r="AE102" s="216">
        <f>AE$99*'BTX recycling rates'!AG56</f>
        <v>591.58499059640303</v>
      </c>
      <c r="AF102" s="216">
        <f>AF$99*'BTX recycling rates'!AH56</f>
        <v>591.74295143034999</v>
      </c>
      <c r="AG102" s="216">
        <f>AG$99*'BTX recycling rates'!AI56</f>
        <v>587.45848488211072</v>
      </c>
      <c r="AH102" s="230"/>
      <c r="AI102" s="126"/>
      <c r="AJ102" s="198"/>
      <c r="AL102" s="102"/>
      <c r="AM102" s="2"/>
      <c r="AN102" s="2"/>
      <c r="AO102" s="2"/>
      <c r="BC102" s="1"/>
      <c r="BD102" s="2"/>
      <c r="BE102" s="2"/>
      <c r="BF102" s="2"/>
      <c r="BG102" s="2"/>
      <c r="BH102" s="2"/>
      <c r="BI102" s="2"/>
      <c r="BJ102" s="2"/>
      <c r="BK102" s="2"/>
    </row>
    <row r="103" spans="1:63" outlineLevel="1">
      <c r="A103" s="4" t="s">
        <v>1159</v>
      </c>
      <c r="C103" s="216">
        <f>C$99*'BTX recycling rates'!E57</f>
        <v>0</v>
      </c>
      <c r="D103" s="216">
        <f>D$99*'BTX recycling rates'!F57</f>
        <v>1.7777371762434242</v>
      </c>
      <c r="E103" s="216">
        <f>E$99*'BTX recycling rates'!G57</f>
        <v>3.5992934154249454</v>
      </c>
      <c r="F103" s="216">
        <f>F$99*'BTX recycling rates'!H57</f>
        <v>5.4725502385667717</v>
      </c>
      <c r="G103" s="216">
        <f>G$99*'BTX recycling rates'!I57</f>
        <v>7.3874997384464374</v>
      </c>
      <c r="H103" s="216">
        <f>H$99*'BTX recycling rates'!J57</f>
        <v>9.33873845765814</v>
      </c>
      <c r="I103" s="216">
        <f>I$99*'BTX recycling rates'!K57</f>
        <v>11.320968613000495</v>
      </c>
      <c r="J103" s="216">
        <f>J$99*'BTX recycling rates'!L57</f>
        <v>13.328998095476511</v>
      </c>
      <c r="K103" s="216">
        <f>K$99*'BTX recycling rates'!M57</f>
        <v>15.357740470293605</v>
      </c>
      <c r="L103" s="216">
        <f>L$99*'BTX recycling rates'!N57</f>
        <v>17.402214976863601</v>
      </c>
      <c r="M103" s="216">
        <f>M$99*'BTX recycling rates'!O57</f>
        <v>19.45754652880272</v>
      </c>
      <c r="N103" s="216">
        <f>N$99*'BTX recycling rates'!P57</f>
        <v>21.860195742029301</v>
      </c>
      <c r="O103" s="216">
        <f>O$99*'BTX recycling rates'!Q57</f>
        <v>24.256491806639239</v>
      </c>
      <c r="P103" s="216">
        <f>P$99*'BTX recycling rates'!R57</f>
        <v>26.625821634728513</v>
      </c>
      <c r="Q103" s="216">
        <f>Q$99*'BTX recycling rates'!S57</f>
        <v>28.948108487258121</v>
      </c>
      <c r="R103" s="216">
        <f>R$99*'BTX recycling rates'!T57</f>
        <v>31.203811974054098</v>
      </c>
      <c r="S103" s="216">
        <f>S$99*'BTX recycling rates'!U57</f>
        <v>33.373928053807475</v>
      </c>
      <c r="T103" s="216">
        <f>T$99*'BTX recycling rates'!V57</f>
        <v>35.439989034074316</v>
      </c>
      <c r="U103" s="216">
        <f>U$99*'BTX recycling rates'!W57</f>
        <v>37.384063571275753</v>
      </c>
      <c r="V103" s="216">
        <f>V$99*'BTX recycling rates'!X57</f>
        <v>39.188756670697877</v>
      </c>
      <c r="W103" s="216">
        <f>W$99*'BTX recycling rates'!Y57</f>
        <v>40.837209686491846</v>
      </c>
      <c r="X103" s="216">
        <f>X$99*'BTX recycling rates'!Z57</f>
        <v>43.18459248630132</v>
      </c>
      <c r="Y103" s="216">
        <f>Y$99*'BTX recycling rates'!AA57</f>
        <v>45.327984977752514</v>
      </c>
      <c r="Z103" s="216">
        <f>Z$99*'BTX recycling rates'!AB57</f>
        <v>47.240597814705623</v>
      </c>
      <c r="AA103" s="216">
        <f>AA$99*'BTX recycling rates'!AC57</f>
        <v>48.89651040517218</v>
      </c>
      <c r="AB103" s="216">
        <f>AB$99*'BTX recycling rates'!AD57</f>
        <v>50.270670911314951</v>
      </c>
      <c r="AC103" s="216">
        <f>AC$99*'BTX recycling rates'!AE57</f>
        <v>51.338896249448027</v>
      </c>
      <c r="AD103" s="216">
        <f>AD$99*'BTX recycling rates'!AF57</f>
        <v>52.077872090036792</v>
      </c>
      <c r="AE103" s="216">
        <f>AE$99*'BTX recycling rates'!AG57</f>
        <v>52.465152857697873</v>
      </c>
      <c r="AF103" s="216">
        <f>AF$99*'BTX recycling rates'!AH57</f>
        <v>52.479161731199213</v>
      </c>
      <c r="AG103" s="216">
        <f>AG$99*'BTX recycling rates'!AI57</f>
        <v>52.099190643460098</v>
      </c>
      <c r="AH103" s="230"/>
      <c r="AI103" s="126"/>
      <c r="AJ103" s="198"/>
      <c r="AL103" s="102"/>
      <c r="AM103" s="2"/>
      <c r="AN103" s="2"/>
      <c r="AO103" s="2"/>
      <c r="BC103" s="1"/>
      <c r="BD103" s="2"/>
      <c r="BE103" s="2"/>
      <c r="BF103" s="2"/>
      <c r="BG103" s="2"/>
      <c r="BH103" s="2"/>
      <c r="BI103" s="2"/>
      <c r="BJ103" s="2"/>
      <c r="BK103" s="2"/>
    </row>
    <row r="104" spans="1:63" s="1" customFormat="1" outlineLevel="1">
      <c r="A104" s="1" t="s">
        <v>1165</v>
      </c>
      <c r="B104" s="61"/>
      <c r="C104" s="279">
        <f>C99-$C99</f>
        <v>0</v>
      </c>
      <c r="D104" s="279">
        <f t="shared" ref="D104:AG104" si="52">D99-$C99</f>
        <v>153.02873671449106</v>
      </c>
      <c r="E104" s="279">
        <f t="shared" si="52"/>
        <v>255.23197942409843</v>
      </c>
      <c r="F104" s="279">
        <f t="shared" si="52"/>
        <v>369.69042115658431</v>
      </c>
      <c r="G104" s="279">
        <f t="shared" si="52"/>
        <v>475.54148003280807</v>
      </c>
      <c r="H104" s="279">
        <f t="shared" si="52"/>
        <v>572.90839290034182</v>
      </c>
      <c r="I104" s="279">
        <f t="shared" si="52"/>
        <v>661.91439660677224</v>
      </c>
      <c r="J104" s="279">
        <f t="shared" si="52"/>
        <v>742.68272799967508</v>
      </c>
      <c r="K104" s="279">
        <f t="shared" si="52"/>
        <v>815.33662392663337</v>
      </c>
      <c r="L104" s="279">
        <f t="shared" si="52"/>
        <v>879.99932123522831</v>
      </c>
      <c r="M104" s="279">
        <f t="shared" si="52"/>
        <v>936.7940567730393</v>
      </c>
      <c r="N104" s="279">
        <f t="shared" si="52"/>
        <v>1130.5499350795808</v>
      </c>
      <c r="O104" s="279">
        <f t="shared" si="52"/>
        <v>1289.5434945711013</v>
      </c>
      <c r="P104" s="279">
        <f t="shared" si="52"/>
        <v>1414.4002232150951</v>
      </c>
      <c r="Q104" s="279">
        <f t="shared" si="52"/>
        <v>1505.7456089790549</v>
      </c>
      <c r="R104" s="279">
        <f t="shared" si="52"/>
        <v>1564.2051398304748</v>
      </c>
      <c r="S104" s="279">
        <f t="shared" si="52"/>
        <v>1590.4043037368419</v>
      </c>
      <c r="T104" s="279">
        <f t="shared" si="52"/>
        <v>1584.9685886656489</v>
      </c>
      <c r="U104" s="279">
        <f t="shared" si="52"/>
        <v>1548.5234825843936</v>
      </c>
      <c r="V104" s="279">
        <f t="shared" si="52"/>
        <v>1481.6944734605613</v>
      </c>
      <c r="W104" s="279">
        <f t="shared" si="52"/>
        <v>1385.10704926165</v>
      </c>
      <c r="X104" s="279">
        <f t="shared" si="52"/>
        <v>1452.9735140440453</v>
      </c>
      <c r="Y104" s="279">
        <f t="shared" si="52"/>
        <v>1471.4170807668206</v>
      </c>
      <c r="Z104" s="279">
        <f t="shared" si="52"/>
        <v>1441.4508871538937</v>
      </c>
      <c r="AA104" s="279">
        <f t="shared" si="52"/>
        <v>1364.0880709291951</v>
      </c>
      <c r="AB104" s="279">
        <f t="shared" si="52"/>
        <v>1240.3417698166459</v>
      </c>
      <c r="AC104" s="279">
        <f t="shared" si="52"/>
        <v>1071.2251215401693</v>
      </c>
      <c r="AD104" s="279">
        <f t="shared" si="52"/>
        <v>857.75126382369399</v>
      </c>
      <c r="AE104" s="279">
        <f t="shared" si="52"/>
        <v>600.93333439113758</v>
      </c>
      <c r="AF104" s="279">
        <f t="shared" si="52"/>
        <v>301.78447096642503</v>
      </c>
      <c r="AG104" s="279">
        <f t="shared" si="52"/>
        <v>-38.68218872651687</v>
      </c>
      <c r="AH104" s="230"/>
      <c r="AI104" s="398"/>
      <c r="AJ104" s="399"/>
      <c r="AL104" s="207"/>
      <c r="AM104" s="118"/>
      <c r="AN104" s="118"/>
      <c r="AO104" s="118"/>
      <c r="BD104" s="118"/>
      <c r="BE104" s="118"/>
      <c r="BF104" s="118"/>
      <c r="BG104" s="118"/>
      <c r="BH104" s="118"/>
      <c r="BI104" s="118"/>
      <c r="BJ104" s="118"/>
      <c r="BK104" s="118"/>
    </row>
    <row r="105" spans="1:63" outlineLevel="1">
      <c r="A105" s="4" t="s">
        <v>35</v>
      </c>
      <c r="C105" s="216">
        <f>C100-$C100</f>
        <v>0</v>
      </c>
      <c r="D105" s="216">
        <f t="shared" ref="D105:AG105" si="53">D100-$C100</f>
        <v>42.246955913646161</v>
      </c>
      <c r="E105" s="216">
        <f t="shared" si="53"/>
        <v>31.128613942475567</v>
      </c>
      <c r="F105" s="216">
        <f t="shared" si="53"/>
        <v>29.016408601591138</v>
      </c>
      <c r="G105" s="216">
        <f t="shared" si="53"/>
        <v>15.741321597670321</v>
      </c>
      <c r="H105" s="216">
        <f t="shared" si="53"/>
        <v>-8.2387439324338629</v>
      </c>
      <c r="I105" s="216">
        <f t="shared" si="53"/>
        <v>-42.472438269392114</v>
      </c>
      <c r="J105" s="216">
        <f t="shared" si="53"/>
        <v>-86.51496511141886</v>
      </c>
      <c r="K105" s="216">
        <f t="shared" si="53"/>
        <v>-139.92808157425861</v>
      </c>
      <c r="L105" s="216">
        <f t="shared" si="53"/>
        <v>-202.28009819119598</v>
      </c>
      <c r="M105" s="216">
        <f t="shared" si="53"/>
        <v>-273.14587891304836</v>
      </c>
      <c r="N105" s="216">
        <f t="shared" si="53"/>
        <v>-229.06824121029968</v>
      </c>
      <c r="O105" s="216">
        <f t="shared" si="53"/>
        <v>-219.23742645219227</v>
      </c>
      <c r="P105" s="216">
        <f t="shared" si="53"/>
        <v>-241.7518060766879</v>
      </c>
      <c r="Q105" s="216">
        <f t="shared" si="53"/>
        <v>-294.74301335775635</v>
      </c>
      <c r="R105" s="216">
        <f t="shared" si="53"/>
        <v>-376.37594340537999</v>
      </c>
      <c r="S105" s="216">
        <f t="shared" si="53"/>
        <v>-484.84875316555463</v>
      </c>
      <c r="T105" s="216">
        <f t="shared" si="53"/>
        <v>-618.39286142028413</v>
      </c>
      <c r="U105" s="216">
        <f t="shared" si="53"/>
        <v>-775.27294878757493</v>
      </c>
      <c r="V105" s="216">
        <f t="shared" si="53"/>
        <v>-953.78695772145602</v>
      </c>
      <c r="W105" s="216">
        <f t="shared" si="53"/>
        <v>-1152.2660925119562</v>
      </c>
      <c r="X105" s="216">
        <f t="shared" si="53"/>
        <v>-1230.2104884791461</v>
      </c>
      <c r="Y105" s="216">
        <f t="shared" si="53"/>
        <v>-1344.7545162126389</v>
      </c>
      <c r="Z105" s="216">
        <f t="shared" si="53"/>
        <v>-1493.2272298217149</v>
      </c>
      <c r="AA105" s="216">
        <f t="shared" si="53"/>
        <v>-1673.0115594653525</v>
      </c>
      <c r="AB105" s="216">
        <f t="shared" si="53"/>
        <v>-1881.544311352247</v>
      </c>
      <c r="AC105" s="216">
        <f t="shared" si="53"/>
        <v>-2116.3161677408007</v>
      </c>
      <c r="AD105" s="216">
        <f t="shared" si="53"/>
        <v>-2374.871686939121</v>
      </c>
      <c r="AE105" s="216">
        <f t="shared" si="53"/>
        <v>-2654.8093033050309</v>
      </c>
      <c r="AF105" s="216">
        <f t="shared" si="53"/>
        <v>-2953.7813272460571</v>
      </c>
      <c r="AG105" s="216">
        <f t="shared" si="53"/>
        <v>-3269.4939452194267</v>
      </c>
      <c r="AH105" s="230"/>
      <c r="AI105" s="126"/>
      <c r="AJ105" s="198"/>
      <c r="AL105" s="102"/>
      <c r="AM105" s="2"/>
      <c r="AN105" s="2"/>
      <c r="AO105" s="2"/>
      <c r="BC105" s="1"/>
      <c r="BD105" s="2"/>
      <c r="BE105" s="2"/>
      <c r="BF105" s="2"/>
      <c r="BG105" s="2"/>
      <c r="BH105" s="2"/>
      <c r="BI105" s="2"/>
      <c r="BJ105" s="2"/>
      <c r="BK105" s="2"/>
    </row>
    <row r="106" spans="1:63" outlineLevel="1">
      <c r="A106" s="4" t="s">
        <v>74</v>
      </c>
      <c r="C106" s="216">
        <f t="shared" ref="C106:AG106" si="54">C101-$C101</f>
        <v>0</v>
      </c>
      <c r="D106" s="216">
        <f t="shared" si="54"/>
        <v>88.95868830955348</v>
      </c>
      <c r="E106" s="216">
        <f t="shared" si="54"/>
        <v>179.91926776584211</v>
      </c>
      <c r="F106" s="216">
        <f t="shared" si="54"/>
        <v>273.49424514311556</v>
      </c>
      <c r="G106" s="216">
        <f t="shared" si="54"/>
        <v>369.11291162164599</v>
      </c>
      <c r="H106" s="216">
        <f t="shared" si="54"/>
        <v>466.50693251184936</v>
      </c>
      <c r="I106" s="216">
        <f t="shared" si="54"/>
        <v>565.41322930946194</v>
      </c>
      <c r="J106" s="216">
        <f t="shared" si="54"/>
        <v>665.57397969553926</v>
      </c>
      <c r="K106" s="216">
        <f t="shared" si="54"/>
        <v>766.73661753645729</v>
      </c>
      <c r="L106" s="216">
        <f t="shared" si="54"/>
        <v>868.6538328839116</v>
      </c>
      <c r="M106" s="216">
        <f t="shared" si="54"/>
        <v>971.0835719749175</v>
      </c>
      <c r="N106" s="216">
        <f t="shared" si="54"/>
        <v>1091.2674437231465</v>
      </c>
      <c r="O106" s="216">
        <f t="shared" si="54"/>
        <v>1211.0138093914584</v>
      </c>
      <c r="P106" s="216">
        <f t="shared" si="54"/>
        <v>1329.2995699090334</v>
      </c>
      <c r="Q106" s="216">
        <f t="shared" si="54"/>
        <v>1445.1283039458169</v>
      </c>
      <c r="R106" s="216">
        <f t="shared" si="54"/>
        <v>1557.5302679125195</v>
      </c>
      <c r="S106" s="216">
        <f t="shared" si="54"/>
        <v>1665.562395960616</v>
      </c>
      <c r="T106" s="216">
        <f t="shared" si="54"/>
        <v>1768.3082999823466</v>
      </c>
      <c r="U106" s="216">
        <f t="shared" si="54"/>
        <v>1864.8782696107187</v>
      </c>
      <c r="V106" s="216">
        <f t="shared" si="54"/>
        <v>1954.409272219501</v>
      </c>
      <c r="W106" s="216">
        <f t="shared" si="54"/>
        <v>2036.0649529232312</v>
      </c>
      <c r="X106" s="216">
        <f t="shared" si="54"/>
        <v>2153.0598825907214</v>
      </c>
      <c r="Y106" s="216">
        <f t="shared" si="54"/>
        <v>2259.7356840490388</v>
      </c>
      <c r="Z106" s="216">
        <f t="shared" si="54"/>
        <v>2354.7634089799585</v>
      </c>
      <c r="AA106" s="216">
        <f t="shared" si="54"/>
        <v>2436.857320488919</v>
      </c>
      <c r="AB106" s="216">
        <f t="shared" si="54"/>
        <v>2504.7748931050187</v>
      </c>
      <c r="AC106" s="216">
        <f t="shared" si="54"/>
        <v>2557.3168127810177</v>
      </c>
      <c r="AD106" s="216">
        <f t="shared" si="54"/>
        <v>2593.3269768933374</v>
      </c>
      <c r="AE106" s="216">
        <f t="shared" si="54"/>
        <v>2611.6924942420587</v>
      </c>
      <c r="AF106" s="216">
        <f t="shared" si="54"/>
        <v>2611.3436850509243</v>
      </c>
      <c r="AG106" s="216">
        <f t="shared" si="54"/>
        <v>2591.2540809673387</v>
      </c>
      <c r="AH106" s="230"/>
      <c r="AI106" s="126"/>
      <c r="AJ106" s="198"/>
      <c r="AL106" s="102"/>
      <c r="AM106" s="2"/>
      <c r="AN106" s="2"/>
      <c r="AO106" s="2"/>
      <c r="BC106" s="1"/>
      <c r="BD106" s="2"/>
      <c r="BE106" s="2"/>
      <c r="BF106" s="2"/>
      <c r="BG106" s="2"/>
      <c r="BH106" s="2"/>
      <c r="BI106" s="2"/>
      <c r="BJ106" s="2"/>
      <c r="BK106" s="2"/>
    </row>
    <row r="107" spans="1:63" outlineLevel="1">
      <c r="A107" s="4" t="s">
        <v>160</v>
      </c>
      <c r="C107" s="216">
        <f t="shared" ref="C107:AG107" si="55">C102-$C102</f>
        <v>0</v>
      </c>
      <c r="D107" s="216">
        <f t="shared" si="55"/>
        <v>20.045355315047654</v>
      </c>
      <c r="E107" s="216">
        <f t="shared" si="55"/>
        <v>40.584804300354655</v>
      </c>
      <c r="F107" s="216">
        <f t="shared" si="55"/>
        <v>61.707217173309942</v>
      </c>
      <c r="G107" s="216">
        <f t="shared" si="55"/>
        <v>83.299747075044166</v>
      </c>
      <c r="H107" s="216">
        <f t="shared" si="55"/>
        <v>105.30146586326698</v>
      </c>
      <c r="I107" s="216">
        <f t="shared" si="55"/>
        <v>127.65263695369977</v>
      </c>
      <c r="J107" s="216">
        <f t="shared" si="55"/>
        <v>150.29471532007545</v>
      </c>
      <c r="K107" s="216">
        <f t="shared" si="55"/>
        <v>173.17034749413858</v>
      </c>
      <c r="L107" s="216">
        <f t="shared" si="55"/>
        <v>196.22337156564544</v>
      </c>
      <c r="M107" s="216">
        <f t="shared" si="55"/>
        <v>219.39881718236381</v>
      </c>
      <c r="N107" s="216">
        <f t="shared" si="55"/>
        <v>246.49053682470074</v>
      </c>
      <c r="O107" s="216">
        <f t="shared" si="55"/>
        <v>273.51061982519218</v>
      </c>
      <c r="P107" s="216">
        <f t="shared" si="55"/>
        <v>300.2266377480164</v>
      </c>
      <c r="Q107" s="216">
        <f t="shared" si="55"/>
        <v>326.41220990373171</v>
      </c>
      <c r="R107" s="216">
        <f t="shared" si="55"/>
        <v>351.84700334927635</v>
      </c>
      <c r="S107" s="216">
        <f t="shared" si="55"/>
        <v>376.31673288796844</v>
      </c>
      <c r="T107" s="216">
        <f t="shared" si="55"/>
        <v>399.61316106950619</v>
      </c>
      <c r="U107" s="216">
        <f t="shared" si="55"/>
        <v>421.53409818996812</v>
      </c>
      <c r="V107" s="216">
        <f t="shared" si="55"/>
        <v>441.88340229181222</v>
      </c>
      <c r="W107" s="216">
        <f t="shared" si="55"/>
        <v>460.47097916387702</v>
      </c>
      <c r="X107" s="216">
        <f t="shared" si="55"/>
        <v>486.93952744616212</v>
      </c>
      <c r="Y107" s="216">
        <f t="shared" si="55"/>
        <v>511.10792795266161</v>
      </c>
      <c r="Z107" s="216">
        <f t="shared" si="55"/>
        <v>532.67411018093753</v>
      </c>
      <c r="AA107" s="216">
        <f t="shared" si="55"/>
        <v>551.34579950044917</v>
      </c>
      <c r="AB107" s="216">
        <f t="shared" si="55"/>
        <v>566.84051715255168</v>
      </c>
      <c r="AC107" s="216">
        <f t="shared" si="55"/>
        <v>578.88558025049645</v>
      </c>
      <c r="AD107" s="216">
        <f t="shared" si="55"/>
        <v>587.21810177943223</v>
      </c>
      <c r="AE107" s="216">
        <f t="shared" si="55"/>
        <v>591.58499059640303</v>
      </c>
      <c r="AF107" s="216">
        <f t="shared" si="55"/>
        <v>591.74295143034999</v>
      </c>
      <c r="AG107" s="216">
        <f t="shared" si="55"/>
        <v>587.45848488211072</v>
      </c>
      <c r="AH107" s="230"/>
      <c r="AI107" s="126"/>
      <c r="AJ107" s="198"/>
      <c r="AL107" s="102"/>
      <c r="AM107" s="2"/>
      <c r="AN107" s="2"/>
      <c r="AO107" s="2"/>
      <c r="BC107" s="1"/>
      <c r="BD107" s="2"/>
      <c r="BE107" s="2"/>
      <c r="BF107" s="2"/>
      <c r="BG107" s="2"/>
      <c r="BH107" s="2"/>
      <c r="BI107" s="2"/>
      <c r="BJ107" s="2"/>
      <c r="BK107" s="2"/>
    </row>
    <row r="108" spans="1:63" outlineLevel="1">
      <c r="A108" s="4" t="s">
        <v>1159</v>
      </c>
      <c r="C108" s="216">
        <f t="shared" ref="C108:AG108" si="56">C103-$C103</f>
        <v>0</v>
      </c>
      <c r="D108" s="216">
        <f t="shared" si="56"/>
        <v>1.7777371762434242</v>
      </c>
      <c r="E108" s="216">
        <f t="shared" si="56"/>
        <v>3.5992934154249454</v>
      </c>
      <c r="F108" s="216">
        <f t="shared" si="56"/>
        <v>5.4725502385667717</v>
      </c>
      <c r="G108" s="216">
        <f t="shared" si="56"/>
        <v>7.3874997384464374</v>
      </c>
      <c r="H108" s="216">
        <f t="shared" si="56"/>
        <v>9.33873845765814</v>
      </c>
      <c r="I108" s="216">
        <f t="shared" si="56"/>
        <v>11.320968613000495</v>
      </c>
      <c r="J108" s="216">
        <f t="shared" si="56"/>
        <v>13.328998095476511</v>
      </c>
      <c r="K108" s="216">
        <f t="shared" si="56"/>
        <v>15.357740470293605</v>
      </c>
      <c r="L108" s="216">
        <f t="shared" si="56"/>
        <v>17.402214976863601</v>
      </c>
      <c r="M108" s="216">
        <f t="shared" si="56"/>
        <v>19.45754652880272</v>
      </c>
      <c r="N108" s="216">
        <f t="shared" si="56"/>
        <v>21.860195742029301</v>
      </c>
      <c r="O108" s="216">
        <f t="shared" si="56"/>
        <v>24.256491806639239</v>
      </c>
      <c r="P108" s="216">
        <f t="shared" si="56"/>
        <v>26.625821634728513</v>
      </c>
      <c r="Q108" s="216">
        <f t="shared" si="56"/>
        <v>28.948108487258121</v>
      </c>
      <c r="R108" s="216">
        <f t="shared" si="56"/>
        <v>31.203811974054098</v>
      </c>
      <c r="S108" s="216">
        <f t="shared" si="56"/>
        <v>33.373928053807475</v>
      </c>
      <c r="T108" s="216">
        <f t="shared" si="56"/>
        <v>35.439989034074316</v>
      </c>
      <c r="U108" s="216">
        <f t="shared" si="56"/>
        <v>37.384063571275753</v>
      </c>
      <c r="V108" s="216">
        <f t="shared" si="56"/>
        <v>39.188756670697877</v>
      </c>
      <c r="W108" s="216">
        <f t="shared" si="56"/>
        <v>40.837209686491846</v>
      </c>
      <c r="X108" s="216">
        <f t="shared" si="56"/>
        <v>43.18459248630132</v>
      </c>
      <c r="Y108" s="216">
        <f t="shared" si="56"/>
        <v>45.327984977752514</v>
      </c>
      <c r="Z108" s="216">
        <f t="shared" si="56"/>
        <v>47.240597814705623</v>
      </c>
      <c r="AA108" s="216">
        <f t="shared" si="56"/>
        <v>48.89651040517218</v>
      </c>
      <c r="AB108" s="216">
        <f t="shared" si="56"/>
        <v>50.270670911314951</v>
      </c>
      <c r="AC108" s="216">
        <f t="shared" si="56"/>
        <v>51.338896249448027</v>
      </c>
      <c r="AD108" s="216">
        <f t="shared" si="56"/>
        <v>52.077872090036792</v>
      </c>
      <c r="AE108" s="216">
        <f t="shared" si="56"/>
        <v>52.465152857697873</v>
      </c>
      <c r="AF108" s="216">
        <f t="shared" si="56"/>
        <v>52.479161731199213</v>
      </c>
      <c r="AG108" s="216">
        <f t="shared" si="56"/>
        <v>52.099190643460098</v>
      </c>
      <c r="AH108" s="230"/>
      <c r="AI108" s="126"/>
      <c r="AJ108" s="198"/>
      <c r="AL108" s="102"/>
      <c r="AM108" s="2"/>
      <c r="AN108" s="2"/>
      <c r="AO108" s="2"/>
      <c r="BC108" s="1"/>
      <c r="BD108" s="2"/>
      <c r="BE108" s="2"/>
      <c r="BF108" s="2"/>
      <c r="BG108" s="2"/>
      <c r="BH108" s="2"/>
      <c r="BI108" s="2"/>
      <c r="BJ108" s="2"/>
      <c r="BK108" s="2"/>
    </row>
    <row r="109" spans="1:63" s="1" customFormat="1" outlineLevel="1">
      <c r="A109" s="1" t="s">
        <v>1163</v>
      </c>
      <c r="B109" s="61"/>
      <c r="C109" s="279">
        <f>C39*C67</f>
        <v>37685.841165071368</v>
      </c>
      <c r="D109" s="279">
        <f t="shared" ref="D109:AG109" si="57">D39*D67</f>
        <v>38524.621236809326</v>
      </c>
      <c r="E109" s="279">
        <f t="shared" si="57"/>
        <v>39131.297450204242</v>
      </c>
      <c r="F109" s="279">
        <f t="shared" si="57"/>
        <v>39798.502329013761</v>
      </c>
      <c r="G109" s="279">
        <f t="shared" si="57"/>
        <v>40428.91157536651</v>
      </c>
      <c r="H109" s="279">
        <f t="shared" si="57"/>
        <v>41022.699776961614</v>
      </c>
      <c r="I109" s="279">
        <f t="shared" si="57"/>
        <v>41580.049265628841</v>
      </c>
      <c r="J109" s="279">
        <f t="shared" si="57"/>
        <v>42101.150117328587</v>
      </c>
      <c r="K109" s="279">
        <f t="shared" si="57"/>
        <v>42586.200152151847</v>
      </c>
      <c r="L109" s="279">
        <f t="shared" si="57"/>
        <v>43035.404934320242</v>
      </c>
      <c r="M109" s="279">
        <f t="shared" si="57"/>
        <v>43448.977772185994</v>
      </c>
      <c r="N109" s="279">
        <f t="shared" si="57"/>
        <v>44522.114389241018</v>
      </c>
      <c r="O109" s="279">
        <f t="shared" si="57"/>
        <v>45433.840668132274</v>
      </c>
      <c r="P109" s="279">
        <f t="shared" si="57"/>
        <v>46185.541941748234</v>
      </c>
      <c r="Q109" s="279">
        <f t="shared" si="57"/>
        <v>46778.642848271375</v>
      </c>
      <c r="R109" s="279">
        <f t="shared" si="57"/>
        <v>47214.607331178056</v>
      </c>
      <c r="S109" s="279">
        <f t="shared" si="57"/>
        <v>47494.938639238637</v>
      </c>
      <c r="T109" s="279">
        <f t="shared" si="57"/>
        <v>47621.179326517442</v>
      </c>
      <c r="U109" s="279">
        <f t="shared" si="57"/>
        <v>47594.911252372716</v>
      </c>
      <c r="V109" s="279">
        <f t="shared" si="57"/>
        <v>47417.755581456673</v>
      </c>
      <c r="W109" s="279">
        <f t="shared" si="57"/>
        <v>47091.372783715538</v>
      </c>
      <c r="X109" s="279">
        <f t="shared" si="57"/>
        <v>47577.608620191204</v>
      </c>
      <c r="Y109" s="279">
        <f t="shared" si="57"/>
        <v>47820.074192163687</v>
      </c>
      <c r="Z109" s="279">
        <f t="shared" si="57"/>
        <v>47821.496982438221</v>
      </c>
      <c r="AA109" s="279">
        <f t="shared" si="57"/>
        <v>47584.668138795503</v>
      </c>
      <c r="AB109" s="279">
        <f t="shared" si="57"/>
        <v>47112.442473991563</v>
      </c>
      <c r="AC109" s="279">
        <f t="shared" si="57"/>
        <v>46407.738465757866</v>
      </c>
      <c r="AD109" s="279">
        <f t="shared" si="57"/>
        <v>45473.538256801272</v>
      </c>
      <c r="AE109" s="279">
        <f t="shared" si="57"/>
        <v>44312.88765480397</v>
      </c>
      <c r="AF109" s="279">
        <f t="shared" si="57"/>
        <v>42928.896132423579</v>
      </c>
      <c r="AG109" s="279">
        <f t="shared" si="57"/>
        <v>41324.736827293113</v>
      </c>
      <c r="AH109" s="230"/>
      <c r="AI109" s="398"/>
      <c r="AJ109" s="399"/>
      <c r="AL109" s="207"/>
      <c r="AM109" s="118"/>
      <c r="AN109" s="118"/>
      <c r="AO109" s="118"/>
      <c r="BD109" s="118"/>
      <c r="BE109" s="118"/>
      <c r="BF109" s="118"/>
      <c r="BG109" s="118"/>
      <c r="BH109" s="118"/>
      <c r="BI109" s="118"/>
      <c r="BJ109" s="118"/>
      <c r="BK109" s="118"/>
    </row>
    <row r="110" spans="1:63" outlineLevel="1">
      <c r="A110" s="4" t="s">
        <v>35</v>
      </c>
      <c r="C110" s="216">
        <f>C$109*'BTX recycling rates'!E50</f>
        <v>37554.119235168924</v>
      </c>
      <c r="D110" s="216">
        <f>D$109*'BTX recycling rates'!F50</f>
        <v>37110.301964879807</v>
      </c>
      <c r="E110" s="216">
        <f>E$109*'BTX recycling rates'!G50</f>
        <v>36394.888385604085</v>
      </c>
      <c r="F110" s="216">
        <f>F$109*'BTX recycling rates'!H50</f>
        <v>35693.456483257731</v>
      </c>
      <c r="G110" s="216">
        <f>G$109*'BTX recycling rates'!I50</f>
        <v>34915.921640328364</v>
      </c>
      <c r="H110" s="216">
        <f>H$109*'BTX recycling rates'!J50</f>
        <v>34066.095540244351</v>
      </c>
      <c r="I110" s="216">
        <f>I$109*'BTX recycling rates'!K50</f>
        <v>33147.772843088474</v>
      </c>
      <c r="J110" s="216">
        <f>J$109*'BTX recycling rates'!L50</f>
        <v>32164.729899420759</v>
      </c>
      <c r="K110" s="216">
        <f>K$109*'BTX recycling rates'!M50</f>
        <v>31120.723464101302</v>
      </c>
      <c r="L110" s="216">
        <f>L$109*'BTX recycling rates'!N50</f>
        <v>30019.489410113179</v>
      </c>
      <c r="M110" s="216">
        <f>M$109*'BTX recycling rates'!O50</f>
        <v>28864.741442385268</v>
      </c>
      <c r="N110" s="216">
        <f>N$109*'BTX recycling rates'!P50</f>
        <v>28098.781994350975</v>
      </c>
      <c r="O110" s="216">
        <f>O$109*'BTX recycling rates'!Q50</f>
        <v>27165.022464894861</v>
      </c>
      <c r="P110" s="216">
        <f>P$109*'BTX recycling rates'!R50</f>
        <v>26080.329748785276</v>
      </c>
      <c r="Q110" s="216">
        <f>Q$109*'BTX recycling rates'!S50</f>
        <v>24861.40756490537</v>
      </c>
      <c r="R110" s="216">
        <f>R$109*'BTX recycling rates'!T50</f>
        <v>23524.789928267775</v>
      </c>
      <c r="S110" s="216">
        <f>S$109*'BTX recycling rates'!U50</f>
        <v>22086.834622029401</v>
      </c>
      <c r="T110" s="216">
        <f>T$109*'BTX recycling rates'!V50</f>
        <v>20563.716669506124</v>
      </c>
      <c r="U110" s="216">
        <f>U$109*'BTX recycling rates'!W50</f>
        <v>18971.421806187525</v>
      </c>
      <c r="V110" s="216">
        <f>V$109*'BTX recycling rates'!X50</f>
        <v>17325.739951751635</v>
      </c>
      <c r="W110" s="216">
        <f>W$109*'BTX recycling rates'!Y50</f>
        <v>15642.258682079673</v>
      </c>
      <c r="X110" s="216">
        <f>X$109*'BTX recycling rates'!Z50</f>
        <v>14223.393708161706</v>
      </c>
      <c r="Y110" s="216">
        <f>Y$109*'BTX recycling rates'!AA50</f>
        <v>12707.448120412131</v>
      </c>
      <c r="Z110" s="216">
        <f>Z$109*'BTX recycling rates'!AB50</f>
        <v>11119.347929385189</v>
      </c>
      <c r="AA110" s="216">
        <f>AA$109*'BTX recycling rates'!AC50</f>
        <v>9483.6694408536841</v>
      </c>
      <c r="AB110" s="216">
        <f>AB$109*'BTX recycling rates'!AD50</f>
        <v>7824.6286820673486</v>
      </c>
      <c r="AC110" s="216">
        <f>AC$109*'BTX recycling rates'!AE50</f>
        <v>6166.070828011284</v>
      </c>
      <c r="AD110" s="216">
        <f>AD$109*'BTX recycling rates'!AF50</f>
        <v>4531.4596276643533</v>
      </c>
      <c r="AE110" s="216">
        <f>AE$109*'BTX recycling rates'!AG50</f>
        <v>2943.8668302575848</v>
      </c>
      <c r="AF110" s="216">
        <f>AF$109*'BTX recycling rates'!AH50</f>
        <v>1425.9616115325928</v>
      </c>
      <c r="AG110" s="216">
        <f>AG$109*'BTX recycling rates'!AI50</f>
        <v>0</v>
      </c>
      <c r="AH110" s="230"/>
      <c r="AI110" s="126"/>
      <c r="AJ110" s="198"/>
      <c r="AL110" s="102"/>
      <c r="AM110" s="2"/>
      <c r="AN110" s="2"/>
      <c r="AO110" s="2"/>
      <c r="BC110" s="1"/>
      <c r="BD110" s="2"/>
      <c r="BE110" s="2"/>
      <c r="BF110" s="2"/>
      <c r="BG110" s="2"/>
      <c r="BH110" s="2"/>
      <c r="BI110" s="2"/>
      <c r="BJ110" s="2"/>
      <c r="BK110" s="2"/>
    </row>
    <row r="111" spans="1:63" outlineLevel="1">
      <c r="A111" s="4" t="s">
        <v>74</v>
      </c>
      <c r="C111" s="216">
        <f>C$109*'BTX recycling rates'!E51</f>
        <v>131.72192990244926</v>
      </c>
      <c r="D111" s="216">
        <f>D$109*'BTX recycling rates'!F51</f>
        <v>130.16523070254442</v>
      </c>
      <c r="E111" s="216">
        <f>E$109*'BTX recycling rates'!G51</f>
        <v>127.65590125321022</v>
      </c>
      <c r="F111" s="216">
        <f>F$109*'BTX recycling rates'!H51</f>
        <v>125.19561285465601</v>
      </c>
      <c r="G111" s="216">
        <f>G$109*'BTX recycling rates'!I51</f>
        <v>122.46839165594551</v>
      </c>
      <c r="H111" s="216">
        <f>H$109*'BTX recycling rates'!J51</f>
        <v>119.48760722365596</v>
      </c>
      <c r="I111" s="216">
        <f>I$109*'BTX recycling rates'!K51</f>
        <v>116.26656941459149</v>
      </c>
      <c r="J111" s="216">
        <f>J$109*'BTX recycling rates'!L51</f>
        <v>112.81852386448756</v>
      </c>
      <c r="K111" s="216">
        <f>K$109*'BTX recycling rates'!M51</f>
        <v>109.15664747671512</v>
      </c>
      <c r="L111" s="216">
        <f>L$109*'BTX recycling rates'!N51</f>
        <v>105.29404391098511</v>
      </c>
      <c r="M111" s="216">
        <f>M$109*'BTX recycling rates'!O51</f>
        <v>101.24373907205266</v>
      </c>
      <c r="N111" s="216">
        <f>N$109*'BTX recycling rates'!P51</f>
        <v>98.557118834994711</v>
      </c>
      <c r="O111" s="216">
        <f>O$109*'BTX recycling rates'!Q51</f>
        <v>95.281935984491923</v>
      </c>
      <c r="P111" s="216">
        <f>P$109*'BTX recycling rates'!R51</f>
        <v>91.477351538712114</v>
      </c>
      <c r="Q111" s="216">
        <f>Q$109*'BTX recycling rates'!S51</f>
        <v>87.201954172683415</v>
      </c>
      <c r="R111" s="216">
        <f>R$109*'BTX recycling rates'!T51</f>
        <v>82.513737321236803</v>
      </c>
      <c r="S111" s="216">
        <f>S$109*'BTX recycling rates'!U51</f>
        <v>77.47007628194909</v>
      </c>
      <c r="T111" s="216">
        <f>T$109*'BTX recycling rates'!V51</f>
        <v>72.127705318085617</v>
      </c>
      <c r="U111" s="216">
        <f>U$109*'BTX recycling rates'!W51</f>
        <v>66.542694761542919</v>
      </c>
      <c r="V111" s="216">
        <f>V$109*'BTX recycling rates'!X51</f>
        <v>60.770428115791503</v>
      </c>
      <c r="W111" s="216">
        <f>W$109*'BTX recycling rates'!Y51</f>
        <v>54.865579158818782</v>
      </c>
      <c r="X111" s="216">
        <f>X$109*'BTX recycling rates'!Z51</f>
        <v>49.888877895633847</v>
      </c>
      <c r="Y111" s="216">
        <f>Y$109*'BTX recycling rates'!AA51</f>
        <v>44.571664164830224</v>
      </c>
      <c r="Z111" s="216">
        <f>Z$109*'BTX recycling rates'!AB51</f>
        <v>39.001366517039408</v>
      </c>
      <c r="AA111" s="216">
        <f>AA$109*'BTX recycling rates'!AC51</f>
        <v>33.264186905394553</v>
      </c>
      <c r="AB111" s="216">
        <f>AB$109*'BTX recycling rates'!AD51</f>
        <v>27.445063597890435</v>
      </c>
      <c r="AC111" s="216">
        <f>AC$109*'BTX recycling rates'!AE51</f>
        <v>21.627634089743776</v>
      </c>
      <c r="AD111" s="216">
        <f>AD$109*'BTX recycling rates'!AF51</f>
        <v>15.894198015753306</v>
      </c>
      <c r="AE111" s="216">
        <f>AE$109*'BTX recycling rates'!AG51</f>
        <v>10.325680062659918</v>
      </c>
      <c r="AF111" s="216">
        <f>AF$109*'BTX recycling rates'!AH51</f>
        <v>5.0015928815068866</v>
      </c>
      <c r="AG111" s="216">
        <f>AG$109*'BTX recycling rates'!AI51</f>
        <v>0</v>
      </c>
      <c r="AH111" s="230"/>
      <c r="AI111" s="126"/>
      <c r="AJ111" s="198"/>
      <c r="AL111" s="102"/>
      <c r="AM111" s="2"/>
      <c r="AN111" s="2"/>
      <c r="AO111" s="2"/>
      <c r="BC111" s="1"/>
      <c r="BD111" s="2"/>
      <c r="BE111" s="2"/>
      <c r="BF111" s="2"/>
      <c r="BG111" s="2"/>
      <c r="BH111" s="2"/>
      <c r="BI111" s="2"/>
      <c r="BJ111" s="2"/>
      <c r="BK111" s="2"/>
    </row>
    <row r="112" spans="1:63" outlineLevel="1">
      <c r="A112" s="4" t="s">
        <v>160</v>
      </c>
      <c r="C112" s="216">
        <f>C$109*'BTX recycling rates'!E52</f>
        <v>0</v>
      </c>
      <c r="D112" s="216">
        <f>D$109*'BTX recycling rates'!F52</f>
        <v>642.0770206134888</v>
      </c>
      <c r="E112" s="216">
        <f>E$109*'BTX recycling rates'!G52</f>
        <v>1304.3765816734747</v>
      </c>
      <c r="F112" s="216">
        <f>F$109*'BTX recycling rates'!H52</f>
        <v>1989.9251164506882</v>
      </c>
      <c r="G112" s="216">
        <f>G$109*'BTX recycling rates'!I52</f>
        <v>2695.2607716911007</v>
      </c>
      <c r="H112" s="216">
        <f>H$109*'BTX recycling rates'!J52</f>
        <v>3418.558314746801</v>
      </c>
      <c r="I112" s="216">
        <f>I$109*'BTX recycling rates'!K52</f>
        <v>4158.0049265628841</v>
      </c>
      <c r="J112" s="216">
        <f>J$109*'BTX recycling rates'!L52</f>
        <v>4911.8008470216682</v>
      </c>
      <c r="K112" s="216">
        <f>K$109*'BTX recycling rates'!M52</f>
        <v>5678.1600202869131</v>
      </c>
      <c r="L112" s="216">
        <f>L$109*'BTX recycling rates'!N52</f>
        <v>6455.3107401480365</v>
      </c>
      <c r="M112" s="216">
        <f>M$109*'BTX recycling rates'!O52</f>
        <v>7241.4962953643317</v>
      </c>
      <c r="N112" s="216">
        <f>N$109*'BTX recycling rates'!P52</f>
        <v>8162.3876380275196</v>
      </c>
      <c r="O112" s="216">
        <f>O$109*'BTX recycling rates'!Q52</f>
        <v>9086.7681336264541</v>
      </c>
      <c r="P112" s="216">
        <f>P$109*'BTX recycling rates'!R52</f>
        <v>10006.867420712117</v>
      </c>
      <c r="Q112" s="216">
        <f>Q$109*'BTX recycling rates'!S52</f>
        <v>10915.016664596653</v>
      </c>
      <c r="R112" s="216">
        <f>R$109*'BTX recycling rates'!T52</f>
        <v>11803.651832794512</v>
      </c>
      <c r="S112" s="216">
        <f>S$109*'BTX recycling rates'!U52</f>
        <v>12665.316970463637</v>
      </c>
      <c r="T112" s="216">
        <f>T$109*'BTX recycling rates'!V52</f>
        <v>13492.667475846609</v>
      </c>
      <c r="U112" s="216">
        <f>U$109*'BTX recycling rates'!W52</f>
        <v>14278.473375711814</v>
      </c>
      <c r="V112" s="216">
        <f>V$109*'BTX recycling rates'!X52</f>
        <v>15015.622600794612</v>
      </c>
      <c r="W112" s="216">
        <f>W$109*'BTX recycling rates'!Y52</f>
        <v>15697.124261238512</v>
      </c>
      <c r="X112" s="216">
        <f>X$109*'BTX recycling rates'!Z52</f>
        <v>16652.16301706692</v>
      </c>
      <c r="Y112" s="216">
        <f>Y$109*'BTX recycling rates'!AA52</f>
        <v>17534.02720379335</v>
      </c>
      <c r="Z112" s="216">
        <f>Z$109*'BTX recycling rates'!AB52</f>
        <v>18331.573843267983</v>
      </c>
      <c r="AA112" s="216">
        <f>AA$109*'BTX recycling rates'!AC52</f>
        <v>19033.867255518198</v>
      </c>
      <c r="AB112" s="216">
        <f>AB$109*'BTX recycling rates'!AD52</f>
        <v>19630.184364163149</v>
      </c>
      <c r="AC112" s="216">
        <f>AC$109*'BTX recycling rates'!AE52</f>
        <v>20110.020001828405</v>
      </c>
      <c r="AD112" s="216">
        <f>AD$109*'BTX recycling rates'!AF52</f>
        <v>20463.092215560569</v>
      </c>
      <c r="AE112" s="216">
        <f>AE$109*'BTX recycling rates'!AG52</f>
        <v>20679.347572241852</v>
      </c>
      <c r="AF112" s="216">
        <f>AF$109*'BTX recycling rates'!AH52</f>
        <v>20748.966464004727</v>
      </c>
      <c r="AG112" s="216">
        <f>AG$109*'BTX recycling rates'!AI52</f>
        <v>20662.368413646556</v>
      </c>
      <c r="AH112" s="230"/>
      <c r="AI112" s="126"/>
      <c r="AJ112" s="198"/>
      <c r="AL112" s="102"/>
      <c r="AM112" s="2"/>
      <c r="AN112" s="2"/>
      <c r="AO112" s="2"/>
      <c r="BC112" s="1"/>
      <c r="BD112" s="2"/>
      <c r="BE112" s="2"/>
      <c r="BF112" s="2"/>
      <c r="BG112" s="2"/>
      <c r="BH112" s="2"/>
      <c r="BI112" s="2"/>
      <c r="BJ112" s="2"/>
      <c r="BK112" s="2"/>
    </row>
    <row r="113" spans="1:63" outlineLevel="1">
      <c r="A113" s="4" t="s">
        <v>1159</v>
      </c>
      <c r="C113" s="216">
        <f>C$109*'BTX recycling rates'!E53</f>
        <v>0</v>
      </c>
      <c r="D113" s="216">
        <f>D$109*'BTX recycling rates'!F53</f>
        <v>642.0770206134888</v>
      </c>
      <c r="E113" s="216">
        <f>E$109*'BTX recycling rates'!G53</f>
        <v>1304.3765816734747</v>
      </c>
      <c r="F113" s="216">
        <f>F$109*'BTX recycling rates'!H53</f>
        <v>1989.9251164506882</v>
      </c>
      <c r="G113" s="216">
        <f>G$109*'BTX recycling rates'!I53</f>
        <v>2695.2607716911007</v>
      </c>
      <c r="H113" s="216">
        <f>H$109*'BTX recycling rates'!J53</f>
        <v>3418.558314746801</v>
      </c>
      <c r="I113" s="216">
        <f>I$109*'BTX recycling rates'!K53</f>
        <v>4158.0049265628841</v>
      </c>
      <c r="J113" s="216">
        <f>J$109*'BTX recycling rates'!L53</f>
        <v>4911.8008470216682</v>
      </c>
      <c r="K113" s="216">
        <f>K$109*'BTX recycling rates'!M53</f>
        <v>5678.1600202869131</v>
      </c>
      <c r="L113" s="216">
        <f>L$109*'BTX recycling rates'!N53</f>
        <v>6455.3107401480365</v>
      </c>
      <c r="M113" s="216">
        <f>M$109*'BTX recycling rates'!O53</f>
        <v>7241.4962953643317</v>
      </c>
      <c r="N113" s="216">
        <f>N$109*'BTX recycling rates'!P53</f>
        <v>8162.3876380275196</v>
      </c>
      <c r="O113" s="216">
        <f>O$109*'BTX recycling rates'!Q53</f>
        <v>9086.7681336264541</v>
      </c>
      <c r="P113" s="216">
        <f>P$109*'BTX recycling rates'!R53</f>
        <v>10006.867420712117</v>
      </c>
      <c r="Q113" s="216">
        <f>Q$109*'BTX recycling rates'!S53</f>
        <v>10915.016664596653</v>
      </c>
      <c r="R113" s="216">
        <f>R$109*'BTX recycling rates'!T53</f>
        <v>11803.651832794512</v>
      </c>
      <c r="S113" s="216">
        <f>S$109*'BTX recycling rates'!U53</f>
        <v>12665.316970463637</v>
      </c>
      <c r="T113" s="216">
        <f>T$109*'BTX recycling rates'!V53</f>
        <v>13492.667475846609</v>
      </c>
      <c r="U113" s="216">
        <f>U$109*'BTX recycling rates'!W53</f>
        <v>14278.473375711814</v>
      </c>
      <c r="V113" s="216">
        <f>V$109*'BTX recycling rates'!X53</f>
        <v>15015.622600794612</v>
      </c>
      <c r="W113" s="216">
        <f>W$109*'BTX recycling rates'!Y53</f>
        <v>15697.124261238512</v>
      </c>
      <c r="X113" s="216">
        <f>X$109*'BTX recycling rates'!Z53</f>
        <v>16652.16301706692</v>
      </c>
      <c r="Y113" s="216">
        <f>Y$109*'BTX recycling rates'!AA53</f>
        <v>17534.02720379335</v>
      </c>
      <c r="Z113" s="216">
        <f>Z$109*'BTX recycling rates'!AB53</f>
        <v>18331.573843267983</v>
      </c>
      <c r="AA113" s="216">
        <f>AA$109*'BTX recycling rates'!AC53</f>
        <v>19033.867255518198</v>
      </c>
      <c r="AB113" s="216">
        <f>AB$109*'BTX recycling rates'!AD53</f>
        <v>19630.184364163149</v>
      </c>
      <c r="AC113" s="216">
        <f>AC$109*'BTX recycling rates'!AE53</f>
        <v>20110.020001828405</v>
      </c>
      <c r="AD113" s="216">
        <f>AD$109*'BTX recycling rates'!AF53</f>
        <v>20463.092215560569</v>
      </c>
      <c r="AE113" s="216">
        <f>AE$109*'BTX recycling rates'!AG53</f>
        <v>20679.347572241852</v>
      </c>
      <c r="AF113" s="216">
        <f>AF$109*'BTX recycling rates'!AH53</f>
        <v>20748.966464004727</v>
      </c>
      <c r="AG113" s="216">
        <f>AG$109*'BTX recycling rates'!AI53</f>
        <v>20662.368413646556</v>
      </c>
      <c r="AH113" s="230"/>
      <c r="AI113" s="126"/>
      <c r="AJ113" s="198"/>
      <c r="AL113" s="102"/>
      <c r="AM113" s="2"/>
      <c r="AN113" s="2"/>
      <c r="AO113" s="2"/>
      <c r="BC113" s="1"/>
      <c r="BD113" s="2"/>
      <c r="BE113" s="2"/>
      <c r="BF113" s="2"/>
      <c r="BG113" s="2"/>
      <c r="BH113" s="2"/>
      <c r="BI113" s="2"/>
      <c r="BJ113" s="2"/>
      <c r="BK113" s="2"/>
    </row>
    <row r="114" spans="1:63" s="1" customFormat="1" outlineLevel="1">
      <c r="A114" s="1" t="s">
        <v>1166</v>
      </c>
      <c r="B114" s="61"/>
      <c r="C114" s="279">
        <f>C109-$C109</f>
        <v>0</v>
      </c>
      <c r="D114" s="279">
        <f t="shared" ref="D114:AG114" si="58">D109-$C109</f>
        <v>838.78007173795777</v>
      </c>
      <c r="E114" s="279">
        <f t="shared" si="58"/>
        <v>1445.4562851328737</v>
      </c>
      <c r="F114" s="279">
        <f t="shared" si="58"/>
        <v>2112.6611639423936</v>
      </c>
      <c r="G114" s="279">
        <f t="shared" si="58"/>
        <v>2743.0704102951422</v>
      </c>
      <c r="H114" s="279">
        <f t="shared" si="58"/>
        <v>3336.8586118902458</v>
      </c>
      <c r="I114" s="279">
        <f t="shared" si="58"/>
        <v>3894.2081005574728</v>
      </c>
      <c r="J114" s="279">
        <f t="shared" si="58"/>
        <v>4415.3089522572191</v>
      </c>
      <c r="K114" s="279">
        <f t="shared" si="58"/>
        <v>4900.358987080479</v>
      </c>
      <c r="L114" s="279">
        <f t="shared" si="58"/>
        <v>5349.5637692488745</v>
      </c>
      <c r="M114" s="279">
        <f t="shared" si="58"/>
        <v>5763.1366071146258</v>
      </c>
      <c r="N114" s="279">
        <f t="shared" si="58"/>
        <v>6836.2732241696503</v>
      </c>
      <c r="O114" s="279">
        <f t="shared" si="58"/>
        <v>7747.9995030609061</v>
      </c>
      <c r="P114" s="279">
        <f t="shared" si="58"/>
        <v>8499.7007766768656</v>
      </c>
      <c r="Q114" s="279">
        <f t="shared" si="58"/>
        <v>9092.8016832000067</v>
      </c>
      <c r="R114" s="279">
        <f t="shared" si="58"/>
        <v>9528.7661661066886</v>
      </c>
      <c r="S114" s="279">
        <f t="shared" si="58"/>
        <v>9809.097474167269</v>
      </c>
      <c r="T114" s="279">
        <f t="shared" si="58"/>
        <v>9935.3381614460741</v>
      </c>
      <c r="U114" s="279">
        <f t="shared" si="58"/>
        <v>9909.0700873013484</v>
      </c>
      <c r="V114" s="279">
        <f t="shared" si="58"/>
        <v>9731.9144163853052</v>
      </c>
      <c r="W114" s="279">
        <f t="shared" si="58"/>
        <v>9405.5316186441705</v>
      </c>
      <c r="X114" s="279">
        <f t="shared" si="58"/>
        <v>9891.7674551198361</v>
      </c>
      <c r="Y114" s="279">
        <f t="shared" si="58"/>
        <v>10134.233027092319</v>
      </c>
      <c r="Z114" s="279">
        <f t="shared" si="58"/>
        <v>10135.655817366853</v>
      </c>
      <c r="AA114" s="279">
        <f t="shared" si="58"/>
        <v>9898.8269737241353</v>
      </c>
      <c r="AB114" s="279">
        <f t="shared" si="58"/>
        <v>9426.6013089201952</v>
      </c>
      <c r="AC114" s="279">
        <f t="shared" si="58"/>
        <v>8721.8973006864981</v>
      </c>
      <c r="AD114" s="279">
        <f t="shared" si="58"/>
        <v>7787.6970917299041</v>
      </c>
      <c r="AE114" s="279">
        <f t="shared" si="58"/>
        <v>6627.0464897326019</v>
      </c>
      <c r="AF114" s="279">
        <f t="shared" si="58"/>
        <v>5243.054967352211</v>
      </c>
      <c r="AG114" s="279">
        <f t="shared" si="58"/>
        <v>3638.8956622217447</v>
      </c>
      <c r="AH114" s="230"/>
      <c r="AI114" s="398"/>
      <c r="AJ114" s="399"/>
      <c r="AL114" s="207"/>
      <c r="AM114" s="118"/>
      <c r="AN114" s="118"/>
      <c r="AO114" s="118"/>
      <c r="BD114" s="118"/>
      <c r="BE114" s="118"/>
      <c r="BF114" s="118"/>
      <c r="BG114" s="118"/>
      <c r="BH114" s="118"/>
      <c r="BI114" s="118"/>
      <c r="BJ114" s="118"/>
      <c r="BK114" s="118"/>
    </row>
    <row r="115" spans="1:63" outlineLevel="1">
      <c r="A115" s="4" t="s">
        <v>35</v>
      </c>
      <c r="C115" s="216">
        <f>C110-$C110</f>
        <v>0</v>
      </c>
      <c r="D115" s="216">
        <f t="shared" ref="D115:AG115" si="59">D110-$C110</f>
        <v>-443.817270289117</v>
      </c>
      <c r="E115" s="216">
        <f t="shared" si="59"/>
        <v>-1159.2308495648394</v>
      </c>
      <c r="F115" s="216">
        <f t="shared" si="59"/>
        <v>-1860.6627519111935</v>
      </c>
      <c r="G115" s="216">
        <f t="shared" si="59"/>
        <v>-2638.1975948405598</v>
      </c>
      <c r="H115" s="216">
        <f t="shared" si="59"/>
        <v>-3488.0236949245736</v>
      </c>
      <c r="I115" s="216">
        <f t="shared" si="59"/>
        <v>-4406.3463920804497</v>
      </c>
      <c r="J115" s="216">
        <f t="shared" si="59"/>
        <v>-5389.3893357481647</v>
      </c>
      <c r="K115" s="216">
        <f t="shared" si="59"/>
        <v>-6433.3957710676223</v>
      </c>
      <c r="L115" s="216">
        <f t="shared" si="59"/>
        <v>-7534.6298250557447</v>
      </c>
      <c r="M115" s="216">
        <f t="shared" si="59"/>
        <v>-8689.3777927836563</v>
      </c>
      <c r="N115" s="216">
        <f t="shared" si="59"/>
        <v>-9455.3372408179494</v>
      </c>
      <c r="O115" s="216">
        <f t="shared" si="59"/>
        <v>-10389.096770274064</v>
      </c>
      <c r="P115" s="216">
        <f t="shared" si="59"/>
        <v>-11473.789486383648</v>
      </c>
      <c r="Q115" s="216">
        <f t="shared" si="59"/>
        <v>-12692.711670263554</v>
      </c>
      <c r="R115" s="216">
        <f t="shared" si="59"/>
        <v>-14029.329306901149</v>
      </c>
      <c r="S115" s="216">
        <f t="shared" si="59"/>
        <v>-15467.284613139524</v>
      </c>
      <c r="T115" s="216">
        <f t="shared" si="59"/>
        <v>-16990.4025656628</v>
      </c>
      <c r="U115" s="216">
        <f t="shared" si="59"/>
        <v>-18582.697428981399</v>
      </c>
      <c r="V115" s="216">
        <f t="shared" si="59"/>
        <v>-20228.379283417289</v>
      </c>
      <c r="W115" s="216">
        <f t="shared" si="59"/>
        <v>-21911.860553089253</v>
      </c>
      <c r="X115" s="216">
        <f t="shared" si="59"/>
        <v>-23330.72552700722</v>
      </c>
      <c r="Y115" s="216">
        <f t="shared" si="59"/>
        <v>-24846.671114756791</v>
      </c>
      <c r="Z115" s="216">
        <f t="shared" si="59"/>
        <v>-26434.771305783735</v>
      </c>
      <c r="AA115" s="216">
        <f t="shared" si="59"/>
        <v>-28070.449794315238</v>
      </c>
      <c r="AB115" s="216">
        <f t="shared" si="59"/>
        <v>-29729.490553101576</v>
      </c>
      <c r="AC115" s="216">
        <f t="shared" si="59"/>
        <v>-31388.048407157639</v>
      </c>
      <c r="AD115" s="216">
        <f t="shared" si="59"/>
        <v>-33022.659607504567</v>
      </c>
      <c r="AE115" s="216">
        <f t="shared" si="59"/>
        <v>-34610.252404911342</v>
      </c>
      <c r="AF115" s="216">
        <f t="shared" si="59"/>
        <v>-36128.157623636333</v>
      </c>
      <c r="AG115" s="216">
        <f t="shared" si="59"/>
        <v>-37554.119235168924</v>
      </c>
      <c r="AH115" s="230"/>
      <c r="AI115" s="126"/>
      <c r="AJ115" s="198"/>
      <c r="AL115" s="102"/>
      <c r="AM115" s="2"/>
      <c r="AN115" s="2"/>
      <c r="AO115" s="2"/>
      <c r="BC115" s="1"/>
      <c r="BD115" s="2"/>
      <c r="BE115" s="2"/>
      <c r="BF115" s="2"/>
      <c r="BG115" s="2"/>
      <c r="BH115" s="2"/>
      <c r="BI115" s="2"/>
      <c r="BJ115" s="2"/>
      <c r="BK115" s="2"/>
    </row>
    <row r="116" spans="1:63" outlineLevel="1">
      <c r="A116" s="4" t="s">
        <v>74</v>
      </c>
      <c r="C116" s="216">
        <f t="shared" ref="C116:AG116" si="60">C111-$C111</f>
        <v>0</v>
      </c>
      <c r="D116" s="216">
        <f t="shared" si="60"/>
        <v>-1.5566991999048412</v>
      </c>
      <c r="E116" s="216">
        <f t="shared" si="60"/>
        <v>-4.0660286492390441</v>
      </c>
      <c r="F116" s="216">
        <f t="shared" si="60"/>
        <v>-6.5263170477932562</v>
      </c>
      <c r="G116" s="216">
        <f t="shared" si="60"/>
        <v>-9.2535382465037515</v>
      </c>
      <c r="H116" s="216">
        <f t="shared" si="60"/>
        <v>-12.234322678793305</v>
      </c>
      <c r="I116" s="216">
        <f t="shared" si="60"/>
        <v>-15.455360487857774</v>
      </c>
      <c r="J116" s="216">
        <f t="shared" si="60"/>
        <v>-18.903406037961702</v>
      </c>
      <c r="K116" s="216">
        <f t="shared" si="60"/>
        <v>-22.565282425734139</v>
      </c>
      <c r="L116" s="216">
        <f t="shared" si="60"/>
        <v>-26.427885991464152</v>
      </c>
      <c r="M116" s="216">
        <f t="shared" si="60"/>
        <v>-30.478190830396599</v>
      </c>
      <c r="N116" s="216">
        <f t="shared" si="60"/>
        <v>-33.164811067454551</v>
      </c>
      <c r="O116" s="216">
        <f t="shared" si="60"/>
        <v>-36.439993917957338</v>
      </c>
      <c r="P116" s="216">
        <f t="shared" si="60"/>
        <v>-40.244578363737148</v>
      </c>
      <c r="Q116" s="216">
        <f t="shared" si="60"/>
        <v>-44.519975729765846</v>
      </c>
      <c r="R116" s="216">
        <f t="shared" si="60"/>
        <v>-49.208192581212458</v>
      </c>
      <c r="S116" s="216">
        <f t="shared" si="60"/>
        <v>-54.251853620500171</v>
      </c>
      <c r="T116" s="216">
        <f t="shared" si="60"/>
        <v>-59.594224584363644</v>
      </c>
      <c r="U116" s="216">
        <f t="shared" si="60"/>
        <v>-65.179235140906343</v>
      </c>
      <c r="V116" s="216">
        <f t="shared" si="60"/>
        <v>-70.951501786657758</v>
      </c>
      <c r="W116" s="216">
        <f t="shared" si="60"/>
        <v>-76.856350743630486</v>
      </c>
      <c r="X116" s="216">
        <f t="shared" si="60"/>
        <v>-81.833052006815421</v>
      </c>
      <c r="Y116" s="216">
        <f t="shared" si="60"/>
        <v>-87.150265737619037</v>
      </c>
      <c r="Z116" s="216">
        <f t="shared" si="60"/>
        <v>-92.720563385409861</v>
      </c>
      <c r="AA116" s="216">
        <f t="shared" si="60"/>
        <v>-98.457742997054709</v>
      </c>
      <c r="AB116" s="216">
        <f t="shared" si="60"/>
        <v>-104.27686630455882</v>
      </c>
      <c r="AC116" s="216">
        <f t="shared" si="60"/>
        <v>-110.09429581270548</v>
      </c>
      <c r="AD116" s="216">
        <f t="shared" si="60"/>
        <v>-115.82773188669596</v>
      </c>
      <c r="AE116" s="216">
        <f t="shared" si="60"/>
        <v>-121.39624983978935</v>
      </c>
      <c r="AF116" s="216">
        <f t="shared" si="60"/>
        <v>-126.72033702094238</v>
      </c>
      <c r="AG116" s="216">
        <f t="shared" si="60"/>
        <v>-131.72192990244926</v>
      </c>
      <c r="AH116" s="230"/>
      <c r="AI116" s="126"/>
      <c r="AJ116" s="198"/>
      <c r="AL116" s="102"/>
      <c r="AM116" s="2"/>
      <c r="AN116" s="2"/>
      <c r="AO116" s="2"/>
      <c r="BC116" s="1"/>
      <c r="BD116" s="2"/>
      <c r="BE116" s="2"/>
      <c r="BF116" s="2"/>
      <c r="BG116" s="2"/>
      <c r="BH116" s="2"/>
      <c r="BI116" s="2"/>
      <c r="BJ116" s="2"/>
      <c r="BK116" s="2"/>
    </row>
    <row r="117" spans="1:63" outlineLevel="1">
      <c r="A117" s="4" t="s">
        <v>160</v>
      </c>
      <c r="C117" s="216">
        <f t="shared" ref="C117:AG117" si="61">C112-$C112</f>
        <v>0</v>
      </c>
      <c r="D117" s="216">
        <f t="shared" si="61"/>
        <v>642.0770206134888</v>
      </c>
      <c r="E117" s="216">
        <f t="shared" si="61"/>
        <v>1304.3765816734747</v>
      </c>
      <c r="F117" s="216">
        <f t="shared" si="61"/>
        <v>1989.9251164506882</v>
      </c>
      <c r="G117" s="216">
        <f t="shared" si="61"/>
        <v>2695.2607716911007</v>
      </c>
      <c r="H117" s="216">
        <f t="shared" si="61"/>
        <v>3418.558314746801</v>
      </c>
      <c r="I117" s="216">
        <f t="shared" si="61"/>
        <v>4158.0049265628841</v>
      </c>
      <c r="J117" s="216">
        <f t="shared" si="61"/>
        <v>4911.8008470216682</v>
      </c>
      <c r="K117" s="216">
        <f t="shared" si="61"/>
        <v>5678.1600202869131</v>
      </c>
      <c r="L117" s="216">
        <f t="shared" si="61"/>
        <v>6455.3107401480365</v>
      </c>
      <c r="M117" s="216">
        <f t="shared" si="61"/>
        <v>7241.4962953643317</v>
      </c>
      <c r="N117" s="216">
        <f t="shared" si="61"/>
        <v>8162.3876380275196</v>
      </c>
      <c r="O117" s="216">
        <f t="shared" si="61"/>
        <v>9086.7681336264541</v>
      </c>
      <c r="P117" s="216">
        <f t="shared" si="61"/>
        <v>10006.867420712117</v>
      </c>
      <c r="Q117" s="216">
        <f t="shared" si="61"/>
        <v>10915.016664596653</v>
      </c>
      <c r="R117" s="216">
        <f t="shared" si="61"/>
        <v>11803.651832794512</v>
      </c>
      <c r="S117" s="216">
        <f t="shared" si="61"/>
        <v>12665.316970463637</v>
      </c>
      <c r="T117" s="216">
        <f t="shared" si="61"/>
        <v>13492.667475846609</v>
      </c>
      <c r="U117" s="216">
        <f t="shared" si="61"/>
        <v>14278.473375711814</v>
      </c>
      <c r="V117" s="216">
        <f t="shared" si="61"/>
        <v>15015.622600794612</v>
      </c>
      <c r="W117" s="216">
        <f t="shared" si="61"/>
        <v>15697.124261238512</v>
      </c>
      <c r="X117" s="216">
        <f t="shared" si="61"/>
        <v>16652.16301706692</v>
      </c>
      <c r="Y117" s="216">
        <f t="shared" si="61"/>
        <v>17534.02720379335</v>
      </c>
      <c r="Z117" s="216">
        <f t="shared" si="61"/>
        <v>18331.573843267983</v>
      </c>
      <c r="AA117" s="216">
        <f t="shared" si="61"/>
        <v>19033.867255518198</v>
      </c>
      <c r="AB117" s="216">
        <f t="shared" si="61"/>
        <v>19630.184364163149</v>
      </c>
      <c r="AC117" s="216">
        <f t="shared" si="61"/>
        <v>20110.020001828405</v>
      </c>
      <c r="AD117" s="216">
        <f t="shared" si="61"/>
        <v>20463.092215560569</v>
      </c>
      <c r="AE117" s="216">
        <f t="shared" si="61"/>
        <v>20679.347572241852</v>
      </c>
      <c r="AF117" s="216">
        <f t="shared" si="61"/>
        <v>20748.966464004727</v>
      </c>
      <c r="AG117" s="216">
        <f t="shared" si="61"/>
        <v>20662.368413646556</v>
      </c>
      <c r="AH117" s="230"/>
      <c r="AI117" s="126"/>
      <c r="AJ117" s="198"/>
      <c r="AL117" s="102"/>
      <c r="AM117" s="2"/>
      <c r="AN117" s="2"/>
      <c r="AO117" s="2"/>
      <c r="BC117" s="1"/>
      <c r="BD117" s="2"/>
      <c r="BE117" s="2"/>
      <c r="BF117" s="2"/>
      <c r="BG117" s="2"/>
      <c r="BH117" s="2"/>
      <c r="BI117" s="2"/>
      <c r="BJ117" s="2"/>
      <c r="BK117" s="2"/>
    </row>
    <row r="118" spans="1:63" outlineLevel="1">
      <c r="A118" s="4" t="s">
        <v>1159</v>
      </c>
      <c r="C118" s="216">
        <f t="shared" ref="C118:AG118" si="62">C113-$C113</f>
        <v>0</v>
      </c>
      <c r="D118" s="216">
        <f t="shared" si="62"/>
        <v>642.0770206134888</v>
      </c>
      <c r="E118" s="216">
        <f t="shared" si="62"/>
        <v>1304.3765816734747</v>
      </c>
      <c r="F118" s="216">
        <f t="shared" si="62"/>
        <v>1989.9251164506882</v>
      </c>
      <c r="G118" s="216">
        <f t="shared" si="62"/>
        <v>2695.2607716911007</v>
      </c>
      <c r="H118" s="216">
        <f t="shared" si="62"/>
        <v>3418.558314746801</v>
      </c>
      <c r="I118" s="216">
        <f t="shared" si="62"/>
        <v>4158.0049265628841</v>
      </c>
      <c r="J118" s="216">
        <f t="shared" si="62"/>
        <v>4911.8008470216682</v>
      </c>
      <c r="K118" s="216">
        <f t="shared" si="62"/>
        <v>5678.1600202869131</v>
      </c>
      <c r="L118" s="216">
        <f t="shared" si="62"/>
        <v>6455.3107401480365</v>
      </c>
      <c r="M118" s="216">
        <f t="shared" si="62"/>
        <v>7241.4962953643317</v>
      </c>
      <c r="N118" s="216">
        <f t="shared" si="62"/>
        <v>8162.3876380275196</v>
      </c>
      <c r="O118" s="216">
        <f t="shared" si="62"/>
        <v>9086.7681336264541</v>
      </c>
      <c r="P118" s="216">
        <f t="shared" si="62"/>
        <v>10006.867420712117</v>
      </c>
      <c r="Q118" s="216">
        <f t="shared" si="62"/>
        <v>10915.016664596653</v>
      </c>
      <c r="R118" s="216">
        <f t="shared" si="62"/>
        <v>11803.651832794512</v>
      </c>
      <c r="S118" s="216">
        <f t="shared" si="62"/>
        <v>12665.316970463637</v>
      </c>
      <c r="T118" s="216">
        <f t="shared" si="62"/>
        <v>13492.667475846609</v>
      </c>
      <c r="U118" s="216">
        <f t="shared" si="62"/>
        <v>14278.473375711814</v>
      </c>
      <c r="V118" s="216">
        <f t="shared" si="62"/>
        <v>15015.622600794612</v>
      </c>
      <c r="W118" s="216">
        <f t="shared" si="62"/>
        <v>15697.124261238512</v>
      </c>
      <c r="X118" s="216">
        <f t="shared" si="62"/>
        <v>16652.16301706692</v>
      </c>
      <c r="Y118" s="216">
        <f t="shared" si="62"/>
        <v>17534.02720379335</v>
      </c>
      <c r="Z118" s="216">
        <f t="shared" si="62"/>
        <v>18331.573843267983</v>
      </c>
      <c r="AA118" s="216">
        <f t="shared" si="62"/>
        <v>19033.867255518198</v>
      </c>
      <c r="AB118" s="216">
        <f t="shared" si="62"/>
        <v>19630.184364163149</v>
      </c>
      <c r="AC118" s="216">
        <f t="shared" si="62"/>
        <v>20110.020001828405</v>
      </c>
      <c r="AD118" s="216">
        <f t="shared" si="62"/>
        <v>20463.092215560569</v>
      </c>
      <c r="AE118" s="216">
        <f t="shared" si="62"/>
        <v>20679.347572241852</v>
      </c>
      <c r="AF118" s="216">
        <f t="shared" si="62"/>
        <v>20748.966464004727</v>
      </c>
      <c r="AG118" s="216">
        <f t="shared" si="62"/>
        <v>20662.368413646556</v>
      </c>
      <c r="AH118" s="230"/>
      <c r="AI118" s="126"/>
      <c r="AJ118" s="198"/>
      <c r="AL118" s="102"/>
      <c r="AM118" s="2"/>
      <c r="AN118" s="2"/>
      <c r="AO118" s="2"/>
      <c r="BC118" s="1"/>
      <c r="BD118" s="2"/>
      <c r="BE118" s="2"/>
      <c r="BF118" s="2"/>
      <c r="BG118" s="2"/>
      <c r="BH118" s="2"/>
      <c r="BI118" s="2"/>
      <c r="BJ118" s="2"/>
      <c r="BK118" s="2"/>
    </row>
    <row r="119" spans="1:63" outlineLevel="1"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I119" s="127"/>
      <c r="AJ119" s="198"/>
      <c r="AL119" s="102"/>
      <c r="AM119" s="125"/>
      <c r="AN119" s="2"/>
      <c r="AO119" s="2"/>
    </row>
    <row r="120" spans="1:63" s="187" customFormat="1" ht="15.5" thickBot="1">
      <c r="A120" s="187" t="s">
        <v>436</v>
      </c>
      <c r="B120" s="202"/>
      <c r="C120" s="208">
        <f>C121</f>
        <v>2.5000000000000001E-2</v>
      </c>
      <c r="D120" s="208">
        <f t="shared" ref="D120:AG120" si="63">D121</f>
        <v>3.1255416735465176E-2</v>
      </c>
      <c r="E120" s="208">
        <f t="shared" si="63"/>
        <v>3.7510833470930344E-2</v>
      </c>
      <c r="F120" s="208">
        <f t="shared" si="63"/>
        <v>4.3766250206395518E-2</v>
      </c>
      <c r="G120" s="208">
        <f t="shared" si="63"/>
        <v>5.0021666941860693E-2</v>
      </c>
      <c r="H120" s="208">
        <f t="shared" si="63"/>
        <v>5.6277083677325861E-2</v>
      </c>
      <c r="I120" s="208">
        <f t="shared" si="63"/>
        <v>6.2532500412791042E-2</v>
      </c>
      <c r="J120" s="208">
        <f t="shared" si="63"/>
        <v>6.8787917148256203E-2</v>
      </c>
      <c r="K120" s="208">
        <f t="shared" si="63"/>
        <v>7.5043333883721378E-2</v>
      </c>
      <c r="L120" s="208">
        <f t="shared" si="63"/>
        <v>8.1298750619186552E-2</v>
      </c>
      <c r="M120" s="208">
        <f t="shared" si="63"/>
        <v>8.7554167354651713E-2</v>
      </c>
      <c r="N120" s="208">
        <f t="shared" si="63"/>
        <v>0.10073866108940137</v>
      </c>
      <c r="O120" s="208">
        <f t="shared" si="63"/>
        <v>0.11392315482415102</v>
      </c>
      <c r="P120" s="208">
        <f t="shared" si="63"/>
        <v>0.12710764855890069</v>
      </c>
      <c r="Q120" s="208">
        <f t="shared" si="63"/>
        <v>0.14029214229365033</v>
      </c>
      <c r="R120" s="208">
        <f t="shared" si="63"/>
        <v>0.1534766360284</v>
      </c>
      <c r="S120" s="208">
        <f t="shared" si="63"/>
        <v>0.16666112976314967</v>
      </c>
      <c r="T120" s="208">
        <f t="shared" si="63"/>
        <v>0.17984562349789934</v>
      </c>
      <c r="U120" s="208">
        <f t="shared" si="63"/>
        <v>0.19303011723264898</v>
      </c>
      <c r="V120" s="208">
        <f t="shared" si="63"/>
        <v>0.20621461096739863</v>
      </c>
      <c r="W120" s="208">
        <f t="shared" si="63"/>
        <v>0.2193991047021483</v>
      </c>
      <c r="X120" s="208">
        <f t="shared" si="63"/>
        <v>0.24145919423193346</v>
      </c>
      <c r="Y120" s="208">
        <f t="shared" si="63"/>
        <v>0.26351928376171863</v>
      </c>
      <c r="Z120" s="208">
        <f t="shared" si="63"/>
        <v>0.28557937329150385</v>
      </c>
      <c r="AA120" s="208">
        <f t="shared" si="63"/>
        <v>0.30763946282128896</v>
      </c>
      <c r="AB120" s="208">
        <f t="shared" si="63"/>
        <v>0.32969955235107418</v>
      </c>
      <c r="AC120" s="208">
        <f t="shared" si="63"/>
        <v>0.35175964188085934</v>
      </c>
      <c r="AD120" s="208">
        <f t="shared" si="63"/>
        <v>0.37381973141064451</v>
      </c>
      <c r="AE120" s="208">
        <f t="shared" si="63"/>
        <v>0.39587982094042967</v>
      </c>
      <c r="AF120" s="208">
        <f t="shared" si="63"/>
        <v>0.41793991047021484</v>
      </c>
      <c r="AG120" s="208">
        <f t="shared" si="63"/>
        <v>0.44</v>
      </c>
      <c r="AJ120" s="217" t="s">
        <v>472</v>
      </c>
      <c r="AL120" s="204"/>
      <c r="AM120" s="205"/>
      <c r="AN120" s="205"/>
      <c r="AO120" s="205"/>
    </row>
    <row r="121" spans="1:63" ht="15.5" outlineLevel="1" thickTop="1">
      <c r="A121" t="s">
        <v>428</v>
      </c>
      <c r="B121" s="51" t="s">
        <v>126</v>
      </c>
      <c r="C121" s="201">
        <v>2.5000000000000001E-2</v>
      </c>
      <c r="D121" s="104">
        <f>$C121+($M121-$C121)/10*(D$1-$C$1)</f>
        <v>3.1255416735465176E-2</v>
      </c>
      <c r="E121" s="104">
        <f t="shared" ref="E121:L121" si="64">$C121+($M121-$C121)/10*(E$1-$C$1)</f>
        <v>3.7510833470930344E-2</v>
      </c>
      <c r="F121" s="104">
        <f t="shared" si="64"/>
        <v>4.3766250206395518E-2</v>
      </c>
      <c r="G121" s="104">
        <f t="shared" si="64"/>
        <v>5.0021666941860693E-2</v>
      </c>
      <c r="H121" s="104">
        <f t="shared" si="64"/>
        <v>5.6277083677325861E-2</v>
      </c>
      <c r="I121" s="104">
        <f t="shared" si="64"/>
        <v>6.2532500412791042E-2</v>
      </c>
      <c r="J121" s="104">
        <f t="shared" si="64"/>
        <v>6.8787917148256203E-2</v>
      </c>
      <c r="K121" s="104">
        <f t="shared" si="64"/>
        <v>7.5043333883721378E-2</v>
      </c>
      <c r="L121" s="104">
        <f t="shared" si="64"/>
        <v>8.1298750619186552E-2</v>
      </c>
      <c r="M121" s="115">
        <f>(M$49-$C$49)/($AG$49-$C$49)*($AG121-$C121)+$C121</f>
        <v>8.7554167354651713E-2</v>
      </c>
      <c r="N121" s="115">
        <f>$M121+($W121-$M121)/10*(N$1-$M$1)</f>
        <v>0.10073866108940137</v>
      </c>
      <c r="O121" s="115">
        <f t="shared" ref="O121:U121" si="65">$M121+($W121-$M121)/10*(O$1-$M$1)</f>
        <v>0.11392315482415102</v>
      </c>
      <c r="P121" s="115">
        <f t="shared" si="65"/>
        <v>0.12710764855890069</v>
      </c>
      <c r="Q121" s="115">
        <f t="shared" si="65"/>
        <v>0.14029214229365033</v>
      </c>
      <c r="R121" s="115">
        <f t="shared" si="65"/>
        <v>0.1534766360284</v>
      </c>
      <c r="S121" s="115">
        <f t="shared" si="65"/>
        <v>0.16666112976314967</v>
      </c>
      <c r="T121" s="115">
        <f t="shared" si="65"/>
        <v>0.17984562349789934</v>
      </c>
      <c r="U121" s="115">
        <f t="shared" si="65"/>
        <v>0.19303011723264898</v>
      </c>
      <c r="V121" s="115">
        <f>$M121+($W121-$M121)/10*(V$1-$M$1)</f>
        <v>0.20621461096739863</v>
      </c>
      <c r="W121" s="115">
        <f>(W$49-$C$49)/($AG$49-$C$49)*($AG121-$C121)+$C121</f>
        <v>0.2193991047021483</v>
      </c>
      <c r="X121" s="104">
        <f>$W121+($AG121-$W121)/10*(X$1-$W$1)</f>
        <v>0.24145919423193346</v>
      </c>
      <c r="Y121" s="104">
        <f t="shared" ref="Y121:AF121" si="66">$W121+($AG121-$W121)/10*(Y$1-$W$1)</f>
        <v>0.26351928376171863</v>
      </c>
      <c r="Z121" s="104">
        <f t="shared" si="66"/>
        <v>0.28557937329150385</v>
      </c>
      <c r="AA121" s="104">
        <f t="shared" si="66"/>
        <v>0.30763946282128896</v>
      </c>
      <c r="AB121" s="104">
        <f t="shared" si="66"/>
        <v>0.32969955235107418</v>
      </c>
      <c r="AC121" s="104">
        <f t="shared" si="66"/>
        <v>0.35175964188085934</v>
      </c>
      <c r="AD121" s="104">
        <f t="shared" si="66"/>
        <v>0.37381973141064451</v>
      </c>
      <c r="AE121" s="104">
        <f t="shared" si="66"/>
        <v>0.39587982094042967</v>
      </c>
      <c r="AF121" s="104">
        <f t="shared" si="66"/>
        <v>0.41793991047021484</v>
      </c>
      <c r="AG121" s="201">
        <v>0.44</v>
      </c>
      <c r="AJ121" s="198" t="s">
        <v>427</v>
      </c>
    </row>
    <row r="122" spans="1:63" outlineLevel="1">
      <c r="A122" t="s">
        <v>429</v>
      </c>
      <c r="B122" s="51" t="s">
        <v>126</v>
      </c>
      <c r="C122" s="201">
        <v>0.08</v>
      </c>
      <c r="D122" s="104">
        <f t="shared" ref="D122:AF122" si="67">C122-($C$122-$AG$122)/($AG$1-$C$1)</f>
        <v>0.10400000000000001</v>
      </c>
      <c r="E122" s="104">
        <f t="shared" si="67"/>
        <v>0.128</v>
      </c>
      <c r="F122" s="104">
        <f t="shared" si="67"/>
        <v>0.152</v>
      </c>
      <c r="G122" s="104">
        <f t="shared" si="67"/>
        <v>0.17599999999999999</v>
      </c>
      <c r="H122" s="104">
        <f t="shared" si="67"/>
        <v>0.19999999999999998</v>
      </c>
      <c r="I122" s="104">
        <f t="shared" si="67"/>
        <v>0.22399999999999998</v>
      </c>
      <c r="J122" s="104">
        <f t="shared" si="67"/>
        <v>0.24799999999999997</v>
      </c>
      <c r="K122" s="104">
        <f t="shared" si="67"/>
        <v>0.27199999999999996</v>
      </c>
      <c r="L122" s="104">
        <f t="shared" si="67"/>
        <v>0.29599999999999999</v>
      </c>
      <c r="M122" s="104">
        <f t="shared" si="67"/>
        <v>0.32</v>
      </c>
      <c r="N122" s="104">
        <f t="shared" si="67"/>
        <v>0.34400000000000003</v>
      </c>
      <c r="O122" s="104">
        <f t="shared" si="67"/>
        <v>0.36800000000000005</v>
      </c>
      <c r="P122" s="104">
        <f t="shared" si="67"/>
        <v>0.39200000000000007</v>
      </c>
      <c r="Q122" s="104">
        <f t="shared" si="67"/>
        <v>0.41600000000000009</v>
      </c>
      <c r="R122" s="104">
        <f t="shared" si="67"/>
        <v>0.44000000000000011</v>
      </c>
      <c r="S122" s="104">
        <f t="shared" si="67"/>
        <v>0.46400000000000013</v>
      </c>
      <c r="T122" s="104">
        <f t="shared" si="67"/>
        <v>0.48800000000000016</v>
      </c>
      <c r="U122" s="104">
        <f t="shared" si="67"/>
        <v>0.51200000000000012</v>
      </c>
      <c r="V122" s="104">
        <f t="shared" si="67"/>
        <v>0.53600000000000014</v>
      </c>
      <c r="W122" s="104">
        <f t="shared" si="67"/>
        <v>0.56000000000000016</v>
      </c>
      <c r="X122" s="104">
        <f t="shared" si="67"/>
        <v>0.58400000000000019</v>
      </c>
      <c r="Y122" s="104">
        <f t="shared" si="67"/>
        <v>0.60800000000000021</v>
      </c>
      <c r="Z122" s="104">
        <f t="shared" si="67"/>
        <v>0.63200000000000023</v>
      </c>
      <c r="AA122" s="104">
        <f t="shared" si="67"/>
        <v>0.65600000000000025</v>
      </c>
      <c r="AB122" s="104">
        <f t="shared" si="67"/>
        <v>0.68000000000000027</v>
      </c>
      <c r="AC122" s="104">
        <f t="shared" si="67"/>
        <v>0.70400000000000029</v>
      </c>
      <c r="AD122" s="104">
        <f t="shared" si="67"/>
        <v>0.72800000000000031</v>
      </c>
      <c r="AE122" s="104">
        <f t="shared" si="67"/>
        <v>0.75200000000000033</v>
      </c>
      <c r="AF122" s="104">
        <f t="shared" si="67"/>
        <v>0.77600000000000036</v>
      </c>
      <c r="AG122" s="201">
        <v>0.8</v>
      </c>
      <c r="AI122" s="127"/>
      <c r="AJ122" s="198" t="s">
        <v>459</v>
      </c>
      <c r="AL122" s="51" t="s">
        <v>294</v>
      </c>
    </row>
    <row r="123" spans="1:63" outlineLevel="1">
      <c r="A123" t="s">
        <v>430</v>
      </c>
      <c r="B123" s="165" t="s">
        <v>126</v>
      </c>
      <c r="C123" s="104">
        <f>1-C122</f>
        <v>0.92</v>
      </c>
      <c r="D123" s="104">
        <f t="shared" ref="D123:AG123" si="68">1-D122</f>
        <v>0.89600000000000002</v>
      </c>
      <c r="E123" s="104">
        <f t="shared" si="68"/>
        <v>0.872</v>
      </c>
      <c r="F123" s="104">
        <f t="shared" si="68"/>
        <v>0.84799999999999998</v>
      </c>
      <c r="G123" s="104">
        <f t="shared" si="68"/>
        <v>0.82400000000000007</v>
      </c>
      <c r="H123" s="104">
        <f t="shared" si="68"/>
        <v>0.8</v>
      </c>
      <c r="I123" s="104">
        <f t="shared" si="68"/>
        <v>0.77600000000000002</v>
      </c>
      <c r="J123" s="104">
        <f t="shared" si="68"/>
        <v>0.752</v>
      </c>
      <c r="K123" s="104">
        <f t="shared" si="68"/>
        <v>0.72799999999999998</v>
      </c>
      <c r="L123" s="104">
        <f t="shared" si="68"/>
        <v>0.70399999999999996</v>
      </c>
      <c r="M123" s="104">
        <f t="shared" si="68"/>
        <v>0.67999999999999994</v>
      </c>
      <c r="N123" s="104">
        <f t="shared" si="68"/>
        <v>0.65599999999999992</v>
      </c>
      <c r="O123" s="104">
        <f t="shared" si="68"/>
        <v>0.6319999999999999</v>
      </c>
      <c r="P123" s="104">
        <f t="shared" si="68"/>
        <v>0.60799999999999987</v>
      </c>
      <c r="Q123" s="104">
        <f t="shared" si="68"/>
        <v>0.58399999999999985</v>
      </c>
      <c r="R123" s="104">
        <f t="shared" si="68"/>
        <v>0.55999999999999983</v>
      </c>
      <c r="S123" s="104">
        <f t="shared" si="68"/>
        <v>0.53599999999999981</v>
      </c>
      <c r="T123" s="104">
        <f t="shared" si="68"/>
        <v>0.51199999999999979</v>
      </c>
      <c r="U123" s="104">
        <f t="shared" si="68"/>
        <v>0.48799999999999988</v>
      </c>
      <c r="V123" s="104">
        <f t="shared" si="68"/>
        <v>0.46399999999999986</v>
      </c>
      <c r="W123" s="104">
        <f t="shared" si="68"/>
        <v>0.43999999999999984</v>
      </c>
      <c r="X123" s="104">
        <f t="shared" si="68"/>
        <v>0.41599999999999981</v>
      </c>
      <c r="Y123" s="104">
        <f t="shared" si="68"/>
        <v>0.39199999999999979</v>
      </c>
      <c r="Z123" s="104">
        <f t="shared" si="68"/>
        <v>0.36799999999999977</v>
      </c>
      <c r="AA123" s="104">
        <f t="shared" si="68"/>
        <v>0.34399999999999975</v>
      </c>
      <c r="AB123" s="104">
        <f t="shared" si="68"/>
        <v>0.31999999999999973</v>
      </c>
      <c r="AC123" s="104">
        <f t="shared" si="68"/>
        <v>0.29599999999999971</v>
      </c>
      <c r="AD123" s="104">
        <f t="shared" si="68"/>
        <v>0.27199999999999969</v>
      </c>
      <c r="AE123" s="104">
        <f t="shared" si="68"/>
        <v>0.24799999999999967</v>
      </c>
      <c r="AF123" s="104">
        <f t="shared" si="68"/>
        <v>0.22399999999999964</v>
      </c>
      <c r="AG123" s="104">
        <f t="shared" si="68"/>
        <v>0.19999999999999996</v>
      </c>
      <c r="AI123" s="127"/>
      <c r="AJ123" s="198"/>
      <c r="BD123" s="687"/>
      <c r="BE123" s="687"/>
    </row>
    <row r="124" spans="1:63" outlineLevel="1">
      <c r="A124" t="s">
        <v>493</v>
      </c>
      <c r="B124" s="51" t="s">
        <v>126</v>
      </c>
      <c r="C124" s="104">
        <f>C121*C122</f>
        <v>2E-3</v>
      </c>
      <c r="D124" s="104">
        <f t="shared" ref="D124:AG124" si="69">D121*D122</f>
        <v>3.2505633404883785E-3</v>
      </c>
      <c r="E124" s="104">
        <f t="shared" si="69"/>
        <v>4.8013866842790843E-3</v>
      </c>
      <c r="F124" s="104">
        <f t="shared" si="69"/>
        <v>6.652470031372119E-3</v>
      </c>
      <c r="G124" s="104">
        <f t="shared" si="69"/>
        <v>8.8038133817674811E-3</v>
      </c>
      <c r="H124" s="104">
        <f t="shared" si="69"/>
        <v>1.125541673546517E-2</v>
      </c>
      <c r="I124" s="104">
        <f t="shared" si="69"/>
        <v>1.4007280092465192E-2</v>
      </c>
      <c r="J124" s="104">
        <f t="shared" si="69"/>
        <v>1.7059403452767536E-2</v>
      </c>
      <c r="K124" s="104">
        <f t="shared" si="69"/>
        <v>2.0411786816372211E-2</v>
      </c>
      <c r="L124" s="104">
        <f t="shared" si="69"/>
        <v>2.4064430183279219E-2</v>
      </c>
      <c r="M124" s="104">
        <f t="shared" si="69"/>
        <v>2.8017333553488549E-2</v>
      </c>
      <c r="N124" s="104">
        <f t="shared" si="69"/>
        <v>3.4654099414754072E-2</v>
      </c>
      <c r="O124" s="104">
        <f t="shared" si="69"/>
        <v>4.1923720975287584E-2</v>
      </c>
      <c r="P124" s="104">
        <f t="shared" si="69"/>
        <v>4.9826198235089082E-2</v>
      </c>
      <c r="Q124" s="104">
        <f t="shared" si="69"/>
        <v>5.8361531194158552E-2</v>
      </c>
      <c r="R124" s="104">
        <f t="shared" si="69"/>
        <v>6.752971985249602E-2</v>
      </c>
      <c r="S124" s="104">
        <f t="shared" si="69"/>
        <v>7.7330764210101474E-2</v>
      </c>
      <c r="T124" s="104">
        <f t="shared" si="69"/>
        <v>8.7764664266974907E-2</v>
      </c>
      <c r="U124" s="104">
        <f t="shared" si="69"/>
        <v>9.8831420023116304E-2</v>
      </c>
      <c r="V124" s="104">
        <f t="shared" si="69"/>
        <v>0.11053103147852569</v>
      </c>
      <c r="W124" s="104">
        <f t="shared" si="69"/>
        <v>0.12286349863320307</v>
      </c>
      <c r="X124" s="104">
        <f t="shared" si="69"/>
        <v>0.14101216943144917</v>
      </c>
      <c r="Y124" s="104">
        <f t="shared" si="69"/>
        <v>0.16021972452712499</v>
      </c>
      <c r="Z124" s="104">
        <f t="shared" si="69"/>
        <v>0.18048616392023051</v>
      </c>
      <c r="AA124" s="104">
        <f t="shared" si="69"/>
        <v>0.20181148761076564</v>
      </c>
      <c r="AB124" s="104">
        <f t="shared" si="69"/>
        <v>0.22419569559873054</v>
      </c>
      <c r="AC124" s="104">
        <f t="shared" si="69"/>
        <v>0.24763878788412508</v>
      </c>
      <c r="AD124" s="104">
        <f t="shared" si="69"/>
        <v>0.27214076446694929</v>
      </c>
      <c r="AE124" s="104">
        <f t="shared" si="69"/>
        <v>0.29770162534720324</v>
      </c>
      <c r="AF124" s="104">
        <f t="shared" si="69"/>
        <v>0.32432137052488685</v>
      </c>
      <c r="AG124" s="104">
        <f t="shared" si="69"/>
        <v>0.35200000000000004</v>
      </c>
      <c r="AI124" s="127"/>
      <c r="AJ124" s="198"/>
      <c r="BD124" s="190"/>
      <c r="BE124" s="190"/>
    </row>
    <row r="125" spans="1:63" outlineLevel="1">
      <c r="A125" t="s">
        <v>494</v>
      </c>
      <c r="B125" s="51" t="s">
        <v>126</v>
      </c>
      <c r="C125" s="104">
        <f>C121*C123</f>
        <v>2.3000000000000003E-2</v>
      </c>
      <c r="D125" s="104">
        <f t="shared" ref="D125:AG125" si="70">D121*D123</f>
        <v>2.8004853394976797E-2</v>
      </c>
      <c r="E125" s="104">
        <f t="shared" si="70"/>
        <v>3.2709446786651261E-2</v>
      </c>
      <c r="F125" s="104">
        <f t="shared" si="70"/>
        <v>3.7113780175023398E-2</v>
      </c>
      <c r="G125" s="104">
        <f t="shared" si="70"/>
        <v>4.1217853560093214E-2</v>
      </c>
      <c r="H125" s="104">
        <f t="shared" si="70"/>
        <v>4.5021666941860689E-2</v>
      </c>
      <c r="I125" s="104">
        <f t="shared" si="70"/>
        <v>4.852522032032585E-2</v>
      </c>
      <c r="J125" s="104">
        <f t="shared" si="70"/>
        <v>5.1728513695488663E-2</v>
      </c>
      <c r="K125" s="104">
        <f t="shared" si="70"/>
        <v>5.4631547067349163E-2</v>
      </c>
      <c r="L125" s="104">
        <f t="shared" si="70"/>
        <v>5.7234320435907329E-2</v>
      </c>
      <c r="M125" s="104">
        <f t="shared" si="70"/>
        <v>5.9536833801163161E-2</v>
      </c>
      <c r="N125" s="104">
        <f t="shared" si="70"/>
        <v>6.6084561674647282E-2</v>
      </c>
      <c r="O125" s="104">
        <f t="shared" si="70"/>
        <v>7.1999433848863439E-2</v>
      </c>
      <c r="P125" s="104">
        <f t="shared" si="70"/>
        <v>7.7281450323811604E-2</v>
      </c>
      <c r="Q125" s="104">
        <f t="shared" si="70"/>
        <v>8.1930611099491776E-2</v>
      </c>
      <c r="R125" s="104">
        <f t="shared" si="70"/>
        <v>8.594691617590397E-2</v>
      </c>
      <c r="S125" s="104">
        <f t="shared" si="70"/>
        <v>8.9330365553048199E-2</v>
      </c>
      <c r="T125" s="104">
        <f t="shared" si="70"/>
        <v>9.2080959230924422E-2</v>
      </c>
      <c r="U125" s="104">
        <f t="shared" si="70"/>
        <v>9.4198697209532681E-2</v>
      </c>
      <c r="V125" s="104">
        <f t="shared" si="70"/>
        <v>9.5683579488872933E-2</v>
      </c>
      <c r="W125" s="104">
        <f t="shared" si="70"/>
        <v>9.6535606068945221E-2</v>
      </c>
      <c r="X125" s="104">
        <f t="shared" si="70"/>
        <v>0.10044702480048427</v>
      </c>
      <c r="Y125" s="104">
        <f t="shared" si="70"/>
        <v>0.10329955923459365</v>
      </c>
      <c r="Z125" s="104">
        <f t="shared" si="70"/>
        <v>0.10509320937127335</v>
      </c>
      <c r="AA125" s="104">
        <f t="shared" si="70"/>
        <v>0.10582797521052333</v>
      </c>
      <c r="AB125" s="104">
        <f t="shared" si="70"/>
        <v>0.10550385675234365</v>
      </c>
      <c r="AC125" s="104">
        <f t="shared" si="70"/>
        <v>0.10412085399673426</v>
      </c>
      <c r="AD125" s="104">
        <f t="shared" si="70"/>
        <v>0.10167896694369519</v>
      </c>
      <c r="AE125" s="104">
        <f t="shared" si="70"/>
        <v>9.8178195593226422E-2</v>
      </c>
      <c r="AF125" s="104">
        <f t="shared" si="70"/>
        <v>9.3618539945327969E-2</v>
      </c>
      <c r="AG125" s="104">
        <f t="shared" si="70"/>
        <v>8.7999999999999981E-2</v>
      </c>
      <c r="AI125" s="127"/>
      <c r="AJ125" s="198"/>
      <c r="BD125" s="190"/>
      <c r="BE125" s="190"/>
    </row>
    <row r="126" spans="1:63" outlineLevel="1">
      <c r="B126" s="165"/>
      <c r="C126" s="104"/>
      <c r="D126" s="104"/>
      <c r="E126" s="104"/>
      <c r="F126" s="104"/>
      <c r="G126" s="104"/>
      <c r="H126" s="104"/>
      <c r="I126" s="104"/>
      <c r="J126" s="104"/>
      <c r="K126" s="104"/>
      <c r="L126" s="104"/>
      <c r="M126" s="104"/>
      <c r="N126" s="104"/>
      <c r="O126" s="104"/>
      <c r="P126" s="104"/>
      <c r="Q126" s="104"/>
      <c r="R126" s="104"/>
      <c r="S126" s="104"/>
      <c r="T126" s="104"/>
      <c r="U126" s="104"/>
      <c r="V126" s="104"/>
      <c r="W126" s="104"/>
      <c r="X126" s="104"/>
      <c r="Y126" s="104"/>
      <c r="Z126" s="104"/>
      <c r="AA126" s="104"/>
      <c r="AB126" s="104"/>
      <c r="AC126" s="104"/>
      <c r="AD126" s="104"/>
      <c r="AE126" s="104"/>
      <c r="AF126" s="104"/>
      <c r="AG126" s="104"/>
      <c r="AI126" s="127"/>
      <c r="AJ126" s="198"/>
      <c r="BD126" s="190"/>
      <c r="BE126" s="190"/>
    </row>
    <row r="127" spans="1:63" outlineLevel="1">
      <c r="A127" t="s">
        <v>437</v>
      </c>
      <c r="B127" s="51" t="s">
        <v>126</v>
      </c>
      <c r="C127" s="201">
        <v>0.52</v>
      </c>
      <c r="D127" s="104">
        <f>C127</f>
        <v>0.52</v>
      </c>
      <c r="E127" s="104">
        <f t="shared" ref="E127:T127" si="71">D127</f>
        <v>0.52</v>
      </c>
      <c r="F127" s="104">
        <f t="shared" si="71"/>
        <v>0.52</v>
      </c>
      <c r="G127" s="104">
        <f t="shared" si="71"/>
        <v>0.52</v>
      </c>
      <c r="H127" s="104">
        <f t="shared" si="71"/>
        <v>0.52</v>
      </c>
      <c r="I127" s="104">
        <f t="shared" si="71"/>
        <v>0.52</v>
      </c>
      <c r="J127" s="104">
        <f t="shared" si="71"/>
        <v>0.52</v>
      </c>
      <c r="K127" s="104">
        <f t="shared" si="71"/>
        <v>0.52</v>
      </c>
      <c r="L127" s="104">
        <f t="shared" si="71"/>
        <v>0.52</v>
      </c>
      <c r="M127" s="104">
        <f t="shared" si="71"/>
        <v>0.52</v>
      </c>
      <c r="N127" s="104">
        <f t="shared" si="71"/>
        <v>0.52</v>
      </c>
      <c r="O127" s="104">
        <f t="shared" si="71"/>
        <v>0.52</v>
      </c>
      <c r="P127" s="104">
        <f t="shared" si="71"/>
        <v>0.52</v>
      </c>
      <c r="Q127" s="104">
        <f t="shared" si="71"/>
        <v>0.52</v>
      </c>
      <c r="R127" s="104">
        <f t="shared" si="71"/>
        <v>0.52</v>
      </c>
      <c r="S127" s="104">
        <f t="shared" si="71"/>
        <v>0.52</v>
      </c>
      <c r="T127" s="104">
        <f t="shared" si="71"/>
        <v>0.52</v>
      </c>
      <c r="U127" s="104">
        <f t="shared" ref="T127:AG129" si="72">T127</f>
        <v>0.52</v>
      </c>
      <c r="V127" s="104">
        <f t="shared" si="72"/>
        <v>0.52</v>
      </c>
      <c r="W127" s="104">
        <f t="shared" si="72"/>
        <v>0.52</v>
      </c>
      <c r="X127" s="104">
        <f t="shared" si="72"/>
        <v>0.52</v>
      </c>
      <c r="Y127" s="104">
        <f t="shared" si="72"/>
        <v>0.52</v>
      </c>
      <c r="Z127" s="104">
        <f t="shared" si="72"/>
        <v>0.52</v>
      </c>
      <c r="AA127" s="104">
        <f t="shared" si="72"/>
        <v>0.52</v>
      </c>
      <c r="AB127" s="104">
        <f t="shared" si="72"/>
        <v>0.52</v>
      </c>
      <c r="AC127" s="104">
        <f t="shared" si="72"/>
        <v>0.52</v>
      </c>
      <c r="AD127" s="104">
        <f t="shared" si="72"/>
        <v>0.52</v>
      </c>
      <c r="AE127" s="104">
        <f t="shared" si="72"/>
        <v>0.52</v>
      </c>
      <c r="AF127" s="104">
        <f t="shared" si="72"/>
        <v>0.52</v>
      </c>
      <c r="AG127" s="104">
        <f t="shared" si="72"/>
        <v>0.52</v>
      </c>
      <c r="AI127" s="126" t="s">
        <v>446</v>
      </c>
      <c r="AJ127" s="218" t="s">
        <v>458</v>
      </c>
      <c r="BD127" s="190"/>
      <c r="BE127" s="190"/>
    </row>
    <row r="128" spans="1:63" outlineLevel="1">
      <c r="A128" t="s">
        <v>444</v>
      </c>
      <c r="B128" s="51" t="s">
        <v>126</v>
      </c>
      <c r="C128" s="201">
        <v>0.12</v>
      </c>
      <c r="D128" s="104">
        <f t="shared" ref="D128:S129" si="73">C128</f>
        <v>0.12</v>
      </c>
      <c r="E128" s="104">
        <f t="shared" si="73"/>
        <v>0.12</v>
      </c>
      <c r="F128" s="104">
        <f t="shared" si="73"/>
        <v>0.12</v>
      </c>
      <c r="G128" s="104">
        <f t="shared" si="73"/>
        <v>0.12</v>
      </c>
      <c r="H128" s="104">
        <f t="shared" si="73"/>
        <v>0.12</v>
      </c>
      <c r="I128" s="104">
        <f t="shared" si="73"/>
        <v>0.12</v>
      </c>
      <c r="J128" s="104">
        <f t="shared" si="73"/>
        <v>0.12</v>
      </c>
      <c r="K128" s="104">
        <f t="shared" si="73"/>
        <v>0.12</v>
      </c>
      <c r="L128" s="104">
        <f t="shared" si="73"/>
        <v>0.12</v>
      </c>
      <c r="M128" s="104">
        <f t="shared" si="73"/>
        <v>0.12</v>
      </c>
      <c r="N128" s="104">
        <f t="shared" si="73"/>
        <v>0.12</v>
      </c>
      <c r="O128" s="104">
        <f t="shared" si="73"/>
        <v>0.12</v>
      </c>
      <c r="P128" s="104">
        <f t="shared" si="73"/>
        <v>0.12</v>
      </c>
      <c r="Q128" s="104">
        <f t="shared" si="73"/>
        <v>0.12</v>
      </c>
      <c r="R128" s="104">
        <f t="shared" si="73"/>
        <v>0.12</v>
      </c>
      <c r="S128" s="104">
        <f t="shared" si="73"/>
        <v>0.12</v>
      </c>
      <c r="T128" s="104">
        <f t="shared" si="72"/>
        <v>0.12</v>
      </c>
      <c r="U128" s="104">
        <f t="shared" si="72"/>
        <v>0.12</v>
      </c>
      <c r="V128" s="104">
        <f t="shared" si="72"/>
        <v>0.12</v>
      </c>
      <c r="W128" s="104">
        <f t="shared" si="72"/>
        <v>0.12</v>
      </c>
      <c r="X128" s="104">
        <f t="shared" si="72"/>
        <v>0.12</v>
      </c>
      <c r="Y128" s="104">
        <f t="shared" si="72"/>
        <v>0.12</v>
      </c>
      <c r="Z128" s="104">
        <f t="shared" si="72"/>
        <v>0.12</v>
      </c>
      <c r="AA128" s="104">
        <f t="shared" si="72"/>
        <v>0.12</v>
      </c>
      <c r="AB128" s="104">
        <f t="shared" si="72"/>
        <v>0.12</v>
      </c>
      <c r="AC128" s="104">
        <f t="shared" si="72"/>
        <v>0.12</v>
      </c>
      <c r="AD128" s="104">
        <f t="shared" si="72"/>
        <v>0.12</v>
      </c>
      <c r="AE128" s="104">
        <f t="shared" si="72"/>
        <v>0.12</v>
      </c>
      <c r="AF128" s="104">
        <f t="shared" si="72"/>
        <v>0.12</v>
      </c>
      <c r="AG128" s="104">
        <f t="shared" si="72"/>
        <v>0.12</v>
      </c>
      <c r="AI128" s="126" t="s">
        <v>446</v>
      </c>
      <c r="AJ128" s="218" t="s">
        <v>458</v>
      </c>
      <c r="AL128" s="1"/>
      <c r="BC128" s="1"/>
      <c r="BD128" s="697"/>
      <c r="BE128" s="687"/>
      <c r="BF128" s="6"/>
      <c r="BG128" s="6"/>
      <c r="BH128" s="6"/>
      <c r="BI128" s="6"/>
      <c r="BJ128" s="6"/>
    </row>
    <row r="129" spans="1:63" outlineLevel="1">
      <c r="A129" t="s">
        <v>445</v>
      </c>
      <c r="B129" s="51" t="s">
        <v>126</v>
      </c>
      <c r="C129" s="115">
        <f>1-C127-C128</f>
        <v>0.36</v>
      </c>
      <c r="D129" s="104">
        <f t="shared" si="73"/>
        <v>0.36</v>
      </c>
      <c r="E129" s="104">
        <f t="shared" si="73"/>
        <v>0.36</v>
      </c>
      <c r="F129" s="104">
        <f t="shared" si="73"/>
        <v>0.36</v>
      </c>
      <c r="G129" s="104">
        <f t="shared" si="73"/>
        <v>0.36</v>
      </c>
      <c r="H129" s="104">
        <f t="shared" si="73"/>
        <v>0.36</v>
      </c>
      <c r="I129" s="104">
        <f t="shared" si="73"/>
        <v>0.36</v>
      </c>
      <c r="J129" s="104">
        <f t="shared" si="73"/>
        <v>0.36</v>
      </c>
      <c r="K129" s="104">
        <f t="shared" si="73"/>
        <v>0.36</v>
      </c>
      <c r="L129" s="104">
        <f t="shared" si="73"/>
        <v>0.36</v>
      </c>
      <c r="M129" s="104">
        <f t="shared" si="73"/>
        <v>0.36</v>
      </c>
      <c r="N129" s="104">
        <f t="shared" si="73"/>
        <v>0.36</v>
      </c>
      <c r="O129" s="104">
        <f t="shared" si="73"/>
        <v>0.36</v>
      </c>
      <c r="P129" s="104">
        <f t="shared" si="73"/>
        <v>0.36</v>
      </c>
      <c r="Q129" s="104">
        <f t="shared" si="73"/>
        <v>0.36</v>
      </c>
      <c r="R129" s="104">
        <f t="shared" si="73"/>
        <v>0.36</v>
      </c>
      <c r="S129" s="104">
        <f t="shared" si="73"/>
        <v>0.36</v>
      </c>
      <c r="T129" s="104">
        <f t="shared" si="72"/>
        <v>0.36</v>
      </c>
      <c r="U129" s="104">
        <f t="shared" si="72"/>
        <v>0.36</v>
      </c>
      <c r="V129" s="104">
        <f t="shared" si="72"/>
        <v>0.36</v>
      </c>
      <c r="W129" s="104">
        <f t="shared" si="72"/>
        <v>0.36</v>
      </c>
      <c r="X129" s="104">
        <f t="shared" si="72"/>
        <v>0.36</v>
      </c>
      <c r="Y129" s="104">
        <f t="shared" si="72"/>
        <v>0.36</v>
      </c>
      <c r="Z129" s="104">
        <f t="shared" si="72"/>
        <v>0.36</v>
      </c>
      <c r="AA129" s="104">
        <f t="shared" si="72"/>
        <v>0.36</v>
      </c>
      <c r="AB129" s="104">
        <f t="shared" si="72"/>
        <v>0.36</v>
      </c>
      <c r="AC129" s="104">
        <f t="shared" si="72"/>
        <v>0.36</v>
      </c>
      <c r="AD129" s="104">
        <f t="shared" si="72"/>
        <v>0.36</v>
      </c>
      <c r="AE129" s="104">
        <f t="shared" si="72"/>
        <v>0.36</v>
      </c>
      <c r="AF129" s="104">
        <f t="shared" si="72"/>
        <v>0.36</v>
      </c>
      <c r="AG129" s="104">
        <f t="shared" si="72"/>
        <v>0.36</v>
      </c>
      <c r="AI129" s="126"/>
      <c r="AJ129" s="209"/>
      <c r="BC129" s="1"/>
      <c r="BD129" s="38"/>
      <c r="BF129" s="6"/>
      <c r="BG129" s="6"/>
      <c r="BH129" s="6"/>
      <c r="BI129" s="6"/>
      <c r="BJ129" s="6"/>
    </row>
    <row r="130" spans="1:63" outlineLevel="1">
      <c r="A130" t="s">
        <v>433</v>
      </c>
      <c r="B130" s="51" t="s">
        <v>126</v>
      </c>
      <c r="C130" s="104">
        <f>SUM(C127:C129)</f>
        <v>1</v>
      </c>
      <c r="D130" s="104">
        <f t="shared" ref="D130:AG130" si="74">SUM(D127:D129)</f>
        <v>1</v>
      </c>
      <c r="E130" s="104">
        <f t="shared" si="74"/>
        <v>1</v>
      </c>
      <c r="F130" s="104">
        <f t="shared" si="74"/>
        <v>1</v>
      </c>
      <c r="G130" s="104">
        <f t="shared" si="74"/>
        <v>1</v>
      </c>
      <c r="H130" s="104">
        <f t="shared" si="74"/>
        <v>1</v>
      </c>
      <c r="I130" s="104">
        <f t="shared" si="74"/>
        <v>1</v>
      </c>
      <c r="J130" s="104">
        <f t="shared" si="74"/>
        <v>1</v>
      </c>
      <c r="K130" s="104">
        <f t="shared" si="74"/>
        <v>1</v>
      </c>
      <c r="L130" s="104">
        <f t="shared" si="74"/>
        <v>1</v>
      </c>
      <c r="M130" s="104">
        <f t="shared" si="74"/>
        <v>1</v>
      </c>
      <c r="N130" s="104">
        <f t="shared" si="74"/>
        <v>1</v>
      </c>
      <c r="O130" s="104">
        <f t="shared" si="74"/>
        <v>1</v>
      </c>
      <c r="P130" s="104">
        <f t="shared" si="74"/>
        <v>1</v>
      </c>
      <c r="Q130" s="104">
        <f t="shared" si="74"/>
        <v>1</v>
      </c>
      <c r="R130" s="104">
        <f t="shared" si="74"/>
        <v>1</v>
      </c>
      <c r="S130" s="104">
        <f t="shared" si="74"/>
        <v>1</v>
      </c>
      <c r="T130" s="104">
        <f t="shared" si="74"/>
        <v>1</v>
      </c>
      <c r="U130" s="104">
        <f t="shared" si="74"/>
        <v>1</v>
      </c>
      <c r="V130" s="104">
        <f t="shared" si="74"/>
        <v>1</v>
      </c>
      <c r="W130" s="104">
        <f t="shared" si="74"/>
        <v>1</v>
      </c>
      <c r="X130" s="104">
        <f t="shared" si="74"/>
        <v>1</v>
      </c>
      <c r="Y130" s="104">
        <f t="shared" si="74"/>
        <v>1</v>
      </c>
      <c r="Z130" s="104">
        <f t="shared" si="74"/>
        <v>1</v>
      </c>
      <c r="AA130" s="104">
        <f t="shared" si="74"/>
        <v>1</v>
      </c>
      <c r="AB130" s="104">
        <f t="shared" si="74"/>
        <v>1</v>
      </c>
      <c r="AC130" s="104">
        <f t="shared" si="74"/>
        <v>1</v>
      </c>
      <c r="AD130" s="104">
        <f t="shared" si="74"/>
        <v>1</v>
      </c>
      <c r="AE130" s="104">
        <f t="shared" si="74"/>
        <v>1</v>
      </c>
      <c r="AF130" s="104">
        <f t="shared" si="74"/>
        <v>1</v>
      </c>
      <c r="AG130" s="104">
        <f t="shared" si="74"/>
        <v>1</v>
      </c>
      <c r="AI130" s="126"/>
      <c r="AJ130" s="198"/>
      <c r="BC130" s="1"/>
      <c r="BD130" s="38"/>
      <c r="BF130" s="6"/>
      <c r="BG130" s="6"/>
      <c r="BH130" s="6"/>
      <c r="BI130" s="6"/>
      <c r="BJ130" s="6"/>
    </row>
    <row r="131" spans="1:63" outlineLevel="1">
      <c r="C131" s="201"/>
      <c r="D131" s="104"/>
      <c r="E131" s="104"/>
      <c r="F131" s="104"/>
      <c r="G131" s="104"/>
      <c r="H131" s="104"/>
      <c r="I131" s="104"/>
      <c r="J131" s="104"/>
      <c r="K131" s="104"/>
      <c r="L131" s="104"/>
      <c r="M131" s="104"/>
      <c r="N131" s="104"/>
      <c r="O131" s="104"/>
      <c r="P131" s="104"/>
      <c r="Q131" s="104"/>
      <c r="R131" s="104"/>
      <c r="S131" s="104"/>
      <c r="T131" s="104"/>
      <c r="U131" s="104"/>
      <c r="V131" s="104"/>
      <c r="W131" s="104"/>
      <c r="X131" s="104"/>
      <c r="Y131" s="104"/>
      <c r="Z131" s="104"/>
      <c r="AA131" s="104"/>
      <c r="AB131" s="104"/>
      <c r="AC131" s="104"/>
      <c r="AD131" s="104"/>
      <c r="AE131" s="104"/>
      <c r="AF131" s="104"/>
      <c r="AG131" s="104"/>
      <c r="AI131" s="126"/>
      <c r="AJ131" s="198"/>
      <c r="BC131" s="1"/>
      <c r="BD131" s="38"/>
      <c r="BF131" s="6"/>
      <c r="BG131" s="6"/>
      <c r="BH131" s="6"/>
      <c r="BI131" s="6"/>
      <c r="BJ131" s="6"/>
    </row>
    <row r="132" spans="1:63" outlineLevel="1">
      <c r="A132" t="s">
        <v>441</v>
      </c>
      <c r="B132" s="51" t="s">
        <v>126</v>
      </c>
      <c r="C132" s="104">
        <f>C127*C125</f>
        <v>1.1960000000000002E-2</v>
      </c>
      <c r="D132" s="104">
        <f t="shared" ref="D132:AG132" si="75">D127*D125</f>
        <v>1.4562523765387934E-2</v>
      </c>
      <c r="E132" s="104">
        <f t="shared" si="75"/>
        <v>1.7008912329058656E-2</v>
      </c>
      <c r="F132" s="104">
        <f t="shared" si="75"/>
        <v>1.9299165691012168E-2</v>
      </c>
      <c r="G132" s="104">
        <f t="shared" si="75"/>
        <v>2.1433283851248472E-2</v>
      </c>
      <c r="H132" s="104">
        <f t="shared" si="75"/>
        <v>2.3411266809767559E-2</v>
      </c>
      <c r="I132" s="104">
        <f t="shared" si="75"/>
        <v>2.5233114566569442E-2</v>
      </c>
      <c r="J132" s="104">
        <f t="shared" si="75"/>
        <v>2.6898827121654107E-2</v>
      </c>
      <c r="K132" s="104">
        <f t="shared" si="75"/>
        <v>2.8408404475021565E-2</v>
      </c>
      <c r="L132" s="104">
        <f t="shared" si="75"/>
        <v>2.9761846626671813E-2</v>
      </c>
      <c r="M132" s="104">
        <f t="shared" si="75"/>
        <v>3.0959153576604843E-2</v>
      </c>
      <c r="N132" s="104">
        <f t="shared" si="75"/>
        <v>3.4363972070816588E-2</v>
      </c>
      <c r="O132" s="104">
        <f t="shared" si="75"/>
        <v>3.7439705601408989E-2</v>
      </c>
      <c r="P132" s="104">
        <f t="shared" si="75"/>
        <v>4.0186354168382038E-2</v>
      </c>
      <c r="Q132" s="104">
        <f t="shared" si="75"/>
        <v>4.2603917771735722E-2</v>
      </c>
      <c r="R132" s="104">
        <f t="shared" si="75"/>
        <v>4.4692396411470069E-2</v>
      </c>
      <c r="S132" s="104">
        <f t="shared" si="75"/>
        <v>4.6451790087585064E-2</v>
      </c>
      <c r="T132" s="104">
        <f t="shared" si="75"/>
        <v>4.7882098800080701E-2</v>
      </c>
      <c r="U132" s="104">
        <f t="shared" si="75"/>
        <v>4.8983322548956994E-2</v>
      </c>
      <c r="V132" s="104">
        <f t="shared" si="75"/>
        <v>4.9755461334213928E-2</v>
      </c>
      <c r="W132" s="104">
        <f t="shared" si="75"/>
        <v>5.0198515155851518E-2</v>
      </c>
      <c r="X132" s="104">
        <f t="shared" si="75"/>
        <v>5.2232452896251821E-2</v>
      </c>
      <c r="Y132" s="104">
        <f t="shared" si="75"/>
        <v>5.3715770801988701E-2</v>
      </c>
      <c r="Z132" s="104">
        <f t="shared" si="75"/>
        <v>5.4648468873062142E-2</v>
      </c>
      <c r="AA132" s="104">
        <f t="shared" si="75"/>
        <v>5.5030547109472132E-2</v>
      </c>
      <c r="AB132" s="104">
        <f t="shared" si="75"/>
        <v>5.4862005511218705E-2</v>
      </c>
      <c r="AC132" s="104">
        <f t="shared" si="75"/>
        <v>5.4142844078301819E-2</v>
      </c>
      <c r="AD132" s="104">
        <f t="shared" si="75"/>
        <v>5.2873062810721502E-2</v>
      </c>
      <c r="AE132" s="104">
        <f t="shared" si="75"/>
        <v>5.1052661708477741E-2</v>
      </c>
      <c r="AF132" s="104">
        <f t="shared" si="75"/>
        <v>4.8681640771570549E-2</v>
      </c>
      <c r="AG132" s="104">
        <f t="shared" si="75"/>
        <v>4.5759999999999995E-2</v>
      </c>
      <c r="AI132" s="126"/>
      <c r="AJ132" s="198"/>
      <c r="BD132" s="190"/>
      <c r="BE132" s="190"/>
    </row>
    <row r="133" spans="1:63" outlineLevel="1">
      <c r="A133" t="s">
        <v>442</v>
      </c>
      <c r="B133" s="51" t="s">
        <v>126</v>
      </c>
      <c r="C133" s="104">
        <f>C125*C128</f>
        <v>2.7600000000000003E-3</v>
      </c>
      <c r="D133" s="104">
        <f t="shared" ref="D133:AG133" si="76">D125*D128</f>
        <v>3.3605824073972158E-3</v>
      </c>
      <c r="E133" s="104">
        <f t="shared" si="76"/>
        <v>3.9251336143981512E-3</v>
      </c>
      <c r="F133" s="104">
        <f t="shared" si="76"/>
        <v>4.4536536210028075E-3</v>
      </c>
      <c r="G133" s="104">
        <f t="shared" si="76"/>
        <v>4.9461424272111854E-3</v>
      </c>
      <c r="H133" s="104">
        <f t="shared" si="76"/>
        <v>5.4026000330232825E-3</v>
      </c>
      <c r="I133" s="104">
        <f t="shared" si="76"/>
        <v>5.8230264384391021E-3</v>
      </c>
      <c r="J133" s="104">
        <f t="shared" si="76"/>
        <v>6.2074216434586391E-3</v>
      </c>
      <c r="K133" s="104">
        <f t="shared" si="76"/>
        <v>6.5557856480818995E-3</v>
      </c>
      <c r="L133" s="104">
        <f t="shared" si="76"/>
        <v>6.868118452308879E-3</v>
      </c>
      <c r="M133" s="104">
        <f t="shared" si="76"/>
        <v>7.1444200561395794E-3</v>
      </c>
      <c r="N133" s="104">
        <f t="shared" si="76"/>
        <v>7.9301474009576736E-3</v>
      </c>
      <c r="O133" s="104">
        <f t="shared" si="76"/>
        <v>8.6399320618636127E-3</v>
      </c>
      <c r="P133" s="104">
        <f t="shared" si="76"/>
        <v>9.2737740388573915E-3</v>
      </c>
      <c r="Q133" s="104">
        <f t="shared" si="76"/>
        <v>9.8316733319390136E-3</v>
      </c>
      <c r="R133" s="104">
        <f t="shared" si="76"/>
        <v>1.0313629941108475E-2</v>
      </c>
      <c r="S133" s="104">
        <f t="shared" si="76"/>
        <v>1.0719643866365784E-2</v>
      </c>
      <c r="T133" s="104">
        <f t="shared" si="76"/>
        <v>1.104971510771093E-2</v>
      </c>
      <c r="U133" s="104">
        <f t="shared" si="76"/>
        <v>1.1303843665143922E-2</v>
      </c>
      <c r="V133" s="104">
        <f t="shared" si="76"/>
        <v>1.1482029538664751E-2</v>
      </c>
      <c r="W133" s="104">
        <f t="shared" si="76"/>
        <v>1.1584272728273426E-2</v>
      </c>
      <c r="X133" s="104">
        <f t="shared" si="76"/>
        <v>1.2053642976058113E-2</v>
      </c>
      <c r="Y133" s="104">
        <f t="shared" si="76"/>
        <v>1.2395947108151237E-2</v>
      </c>
      <c r="Z133" s="104">
        <f t="shared" si="76"/>
        <v>1.2611185124552803E-2</v>
      </c>
      <c r="AA133" s="104">
        <f t="shared" si="76"/>
        <v>1.2699357025262798E-2</v>
      </c>
      <c r="AB133" s="104">
        <f t="shared" si="76"/>
        <v>1.2660462810281237E-2</v>
      </c>
      <c r="AC133" s="104">
        <f t="shared" si="76"/>
        <v>1.2494502479608111E-2</v>
      </c>
      <c r="AD133" s="104">
        <f t="shared" si="76"/>
        <v>1.2201476033243421E-2</v>
      </c>
      <c r="AE133" s="104">
        <f t="shared" si="76"/>
        <v>1.178138347118717E-2</v>
      </c>
      <c r="AF133" s="104">
        <f t="shared" si="76"/>
        <v>1.1234224793439355E-2</v>
      </c>
      <c r="AG133" s="104">
        <f t="shared" si="76"/>
        <v>1.0559999999999996E-2</v>
      </c>
      <c r="AI133" s="126"/>
      <c r="AJ133" s="198"/>
      <c r="AL133" s="1"/>
      <c r="BC133" s="1"/>
      <c r="BD133" s="697"/>
      <c r="BE133" s="687"/>
      <c r="BF133" s="6"/>
      <c r="BG133" s="6"/>
      <c r="BH133" s="6"/>
      <c r="BI133" s="6"/>
      <c r="BJ133" s="6"/>
    </row>
    <row r="134" spans="1:63" outlineLevel="1">
      <c r="A134" t="s">
        <v>443</v>
      </c>
      <c r="B134" s="51" t="s">
        <v>126</v>
      </c>
      <c r="C134" s="104">
        <f>C125*C129</f>
        <v>8.2800000000000009E-3</v>
      </c>
      <c r="D134" s="104">
        <f t="shared" ref="D134:AG134" si="77">D125*D129</f>
        <v>1.0081747222191647E-2</v>
      </c>
      <c r="E134" s="104">
        <f t="shared" si="77"/>
        <v>1.1775400843194454E-2</v>
      </c>
      <c r="F134" s="104">
        <f t="shared" si="77"/>
        <v>1.3360960863008423E-2</v>
      </c>
      <c r="G134" s="104">
        <f t="shared" si="77"/>
        <v>1.4838427281633556E-2</v>
      </c>
      <c r="H134" s="104">
        <f t="shared" si="77"/>
        <v>1.6207800099069847E-2</v>
      </c>
      <c r="I134" s="104">
        <f t="shared" si="77"/>
        <v>1.7469079315317305E-2</v>
      </c>
      <c r="J134" s="104">
        <f t="shared" si="77"/>
        <v>1.8622264930375918E-2</v>
      </c>
      <c r="K134" s="104">
        <f t="shared" si="77"/>
        <v>1.9667356944245699E-2</v>
      </c>
      <c r="L134" s="104">
        <f t="shared" si="77"/>
        <v>2.0604355356926639E-2</v>
      </c>
      <c r="M134" s="104">
        <f t="shared" si="77"/>
        <v>2.1433260168418736E-2</v>
      </c>
      <c r="N134" s="104">
        <f t="shared" si="77"/>
        <v>2.3790442202873022E-2</v>
      </c>
      <c r="O134" s="104">
        <f t="shared" si="77"/>
        <v>2.5919796185590836E-2</v>
      </c>
      <c r="P134" s="104">
        <f t="shared" si="77"/>
        <v>2.7821322116572178E-2</v>
      </c>
      <c r="Q134" s="104">
        <f t="shared" si="77"/>
        <v>2.9495019995817037E-2</v>
      </c>
      <c r="R134" s="104">
        <f t="shared" si="77"/>
        <v>3.0940889823325428E-2</v>
      </c>
      <c r="S134" s="104">
        <f t="shared" si="77"/>
        <v>3.215893159909735E-2</v>
      </c>
      <c r="T134" s="104">
        <f t="shared" si="77"/>
        <v>3.3149145323132789E-2</v>
      </c>
      <c r="U134" s="104">
        <f t="shared" si="77"/>
        <v>3.3911530995431767E-2</v>
      </c>
      <c r="V134" s="104">
        <f t="shared" si="77"/>
        <v>3.4446088615994255E-2</v>
      </c>
      <c r="W134" s="104">
        <f t="shared" si="77"/>
        <v>3.4752818184820275E-2</v>
      </c>
      <c r="X134" s="104">
        <f t="shared" si="77"/>
        <v>3.6160928928174338E-2</v>
      </c>
      <c r="Y134" s="104">
        <f t="shared" si="77"/>
        <v>3.7187841324453713E-2</v>
      </c>
      <c r="Z134" s="104">
        <f t="shared" si="77"/>
        <v>3.7833555373658408E-2</v>
      </c>
      <c r="AA134" s="104">
        <f t="shared" si="77"/>
        <v>3.8098071075788394E-2</v>
      </c>
      <c r="AB134" s="104">
        <f t="shared" si="77"/>
        <v>3.7981388430843713E-2</v>
      </c>
      <c r="AC134" s="104">
        <f t="shared" si="77"/>
        <v>3.748350743882433E-2</v>
      </c>
      <c r="AD134" s="104">
        <f t="shared" si="77"/>
        <v>3.6604428099730267E-2</v>
      </c>
      <c r="AE134" s="104">
        <f t="shared" si="77"/>
        <v>3.5344150413561509E-2</v>
      </c>
      <c r="AF134" s="104">
        <f t="shared" si="77"/>
        <v>3.3702674380318071E-2</v>
      </c>
      <c r="AG134" s="104">
        <f t="shared" si="77"/>
        <v>3.1679999999999993E-2</v>
      </c>
      <c r="AI134" s="127"/>
      <c r="AJ134" s="198"/>
      <c r="BC134" s="1"/>
      <c r="BD134" s="38"/>
      <c r="BF134" s="6"/>
      <c r="BG134" s="6"/>
      <c r="BH134" s="6"/>
      <c r="BI134" s="6"/>
      <c r="BJ134" s="6"/>
    </row>
    <row r="135" spans="1:63" outlineLevel="1">
      <c r="C135" s="104"/>
      <c r="D135" s="104"/>
      <c r="E135" s="104"/>
      <c r="F135" s="104"/>
      <c r="G135" s="104"/>
      <c r="H135" s="104"/>
      <c r="I135" s="104"/>
      <c r="J135" s="104"/>
      <c r="K135" s="104"/>
      <c r="L135" s="104"/>
      <c r="M135" s="104"/>
      <c r="N135" s="104"/>
      <c r="O135" s="104"/>
      <c r="P135" s="104"/>
      <c r="Q135" s="104"/>
      <c r="R135" s="104"/>
      <c r="S135" s="104"/>
      <c r="T135" s="104"/>
      <c r="U135" s="104"/>
      <c r="V135" s="104"/>
      <c r="W135" s="104"/>
      <c r="X135" s="104"/>
      <c r="Y135" s="104"/>
      <c r="Z135" s="104"/>
      <c r="AA135" s="104"/>
      <c r="AB135" s="104"/>
      <c r="AC135" s="104"/>
      <c r="AD135" s="104"/>
      <c r="AE135" s="104"/>
      <c r="AF135" s="104"/>
      <c r="AG135" s="104"/>
      <c r="AI135" s="127"/>
      <c r="AJ135" s="198"/>
      <c r="BC135" s="1"/>
      <c r="BD135" s="38"/>
      <c r="BF135" s="6"/>
      <c r="BG135" s="6"/>
      <c r="BH135" s="6"/>
      <c r="BI135" s="6"/>
      <c r="BJ135" s="6"/>
    </row>
    <row r="136" spans="1:63" outlineLevel="1">
      <c r="A136" t="s">
        <v>1370</v>
      </c>
      <c r="C136" s="216">
        <f>('Overall recycling rates'!F86*'Yearly BTX'!D5+'Overall recycling rates'!G86*'Yearly BTX'!D6+'Overall recycling rates'!H86*'Yearly BTX'!D7)/'Yearly BTX'!D4</f>
        <v>0.60376320911032988</v>
      </c>
      <c r="D136" s="216">
        <f>C136-($C136-$AG136)/($AG$1-$C$1)</f>
        <v>0.61363776880665222</v>
      </c>
      <c r="E136" s="216">
        <f t="shared" ref="E136:AF136" si="78">D136-($C136-$AG136)/($AG$1-$C$1)</f>
        <v>0.62351232850297456</v>
      </c>
      <c r="F136" s="216">
        <f t="shared" si="78"/>
        <v>0.63338688819929689</v>
      </c>
      <c r="G136" s="216">
        <f t="shared" si="78"/>
        <v>0.64326144789561923</v>
      </c>
      <c r="H136" s="216">
        <f t="shared" si="78"/>
        <v>0.65313600759194157</v>
      </c>
      <c r="I136" s="216">
        <f t="shared" si="78"/>
        <v>0.66301056728826391</v>
      </c>
      <c r="J136" s="216">
        <f t="shared" si="78"/>
        <v>0.67288512698458625</v>
      </c>
      <c r="K136" s="216">
        <f t="shared" si="78"/>
        <v>0.68275968668090858</v>
      </c>
      <c r="L136" s="216">
        <f t="shared" si="78"/>
        <v>0.69263424637723092</v>
      </c>
      <c r="M136" s="216">
        <f t="shared" si="78"/>
        <v>0.70250880607355326</v>
      </c>
      <c r="N136" s="216">
        <f t="shared" si="78"/>
        <v>0.7123833657698756</v>
      </c>
      <c r="O136" s="216">
        <f t="shared" si="78"/>
        <v>0.72225792546619794</v>
      </c>
      <c r="P136" s="216">
        <f t="shared" si="78"/>
        <v>0.73213248516252027</v>
      </c>
      <c r="Q136" s="216">
        <f t="shared" si="78"/>
        <v>0.74200704485884261</v>
      </c>
      <c r="R136" s="216">
        <f t="shared" si="78"/>
        <v>0.75188160455516495</v>
      </c>
      <c r="S136" s="216">
        <f t="shared" si="78"/>
        <v>0.76175616425148729</v>
      </c>
      <c r="T136" s="216">
        <f t="shared" si="78"/>
        <v>0.77163072394780963</v>
      </c>
      <c r="U136" s="216">
        <f t="shared" si="78"/>
        <v>0.78150528364413197</v>
      </c>
      <c r="V136" s="216">
        <f t="shared" si="78"/>
        <v>0.7913798433404543</v>
      </c>
      <c r="W136" s="216">
        <f t="shared" si="78"/>
        <v>0.80125440303677664</v>
      </c>
      <c r="X136" s="216">
        <f t="shared" si="78"/>
        <v>0.81112896273309898</v>
      </c>
      <c r="Y136" s="216">
        <f t="shared" si="78"/>
        <v>0.82100352242942132</v>
      </c>
      <c r="Z136" s="216">
        <f t="shared" si="78"/>
        <v>0.83087808212574366</v>
      </c>
      <c r="AA136" s="216">
        <f t="shared" si="78"/>
        <v>0.84075264182206599</v>
      </c>
      <c r="AB136" s="216">
        <f t="shared" si="78"/>
        <v>0.85062720151838833</v>
      </c>
      <c r="AC136" s="216">
        <f t="shared" si="78"/>
        <v>0.86050176121471067</v>
      </c>
      <c r="AD136" s="216">
        <f t="shared" si="78"/>
        <v>0.87037632091103301</v>
      </c>
      <c r="AE136" s="216">
        <f t="shared" si="78"/>
        <v>0.88025088060735535</v>
      </c>
      <c r="AF136" s="216">
        <f t="shared" si="78"/>
        <v>0.89012544030367768</v>
      </c>
      <c r="AG136" s="216">
        <f>'Overall recycling rates'!F95</f>
        <v>0.9</v>
      </c>
      <c r="AI136" s="126"/>
      <c r="AJ136" s="198" t="s">
        <v>1081</v>
      </c>
      <c r="AL136" s="102"/>
      <c r="AM136" s="194"/>
      <c r="AN136" s="194"/>
      <c r="AO136" s="194"/>
      <c r="BC136" s="1"/>
      <c r="BD136" s="194"/>
      <c r="BE136" s="194"/>
      <c r="BF136" s="194"/>
      <c r="BG136" s="194"/>
      <c r="BH136" s="194"/>
      <c r="BI136" s="194"/>
      <c r="BJ136" s="194"/>
      <c r="BK136" s="194"/>
    </row>
    <row r="137" spans="1:63" outlineLevel="1">
      <c r="A137" t="s">
        <v>1378</v>
      </c>
      <c r="B137" s="51" t="s">
        <v>126</v>
      </c>
      <c r="C137" s="104">
        <f>C124*C$136</f>
        <v>1.2075264182206597E-3</v>
      </c>
      <c r="D137" s="104">
        <f t="shared" ref="D137:AG138" si="79">D124*D$136</f>
        <v>1.9946684356219866E-3</v>
      </c>
      <c r="E137" s="104">
        <f t="shared" si="79"/>
        <v>2.9937237915580281E-3</v>
      </c>
      <c r="F137" s="104">
        <f t="shared" si="79"/>
        <v>4.2135872920098655E-3</v>
      </c>
      <c r="G137" s="104">
        <f t="shared" si="79"/>
        <v>5.6631537429585781E-3</v>
      </c>
      <c r="H137" s="104">
        <f t="shared" si="79"/>
        <v>7.3513179503852458E-3</v>
      </c>
      <c r="I137" s="104">
        <f t="shared" si="79"/>
        <v>9.2869747202709522E-3</v>
      </c>
      <c r="J137" s="104">
        <f t="shared" si="79"/>
        <v>1.1479018858596772E-2</v>
      </c>
      <c r="K137" s="104">
        <f t="shared" si="79"/>
        <v>1.3936345171343791E-2</v>
      </c>
      <c r="L137" s="104">
        <f t="shared" si="79"/>
        <v>1.6667848464493092E-2</v>
      </c>
      <c r="M137" s="104">
        <f t="shared" si="79"/>
        <v>1.9682423544025742E-2</v>
      </c>
      <c r="N137" s="104">
        <f t="shared" si="79"/>
        <v>2.4687003978806382E-2</v>
      </c>
      <c r="O137" s="104">
        <f t="shared" si="79"/>
        <v>3.027973973943494E-2</v>
      </c>
      <c r="P137" s="104">
        <f t="shared" si="79"/>
        <v>3.647937834005615E-2</v>
      </c>
      <c r="Q137" s="104">
        <f t="shared" si="79"/>
        <v>4.3304667294814747E-2</v>
      </c>
      <c r="R137" s="104">
        <f t="shared" si="79"/>
        <v>5.0774354117855483E-2</v>
      </c>
      <c r="S137" s="104">
        <f t="shared" si="79"/>
        <v>5.8907186323323091E-2</v>
      </c>
      <c r="T137" s="104">
        <f t="shared" si="79"/>
        <v>6.7721911425362311E-2</v>
      </c>
      <c r="U137" s="104">
        <f t="shared" si="79"/>
        <v>7.7237276938117855E-2</v>
      </c>
      <c r="V137" s="104">
        <f t="shared" si="79"/>
        <v>8.7472030375734491E-2</v>
      </c>
      <c r="W137" s="104">
        <f t="shared" si="79"/>
        <v>9.8444919252356947E-2</v>
      </c>
      <c r="X137" s="104">
        <f t="shared" si="79"/>
        <v>0.11437905472367538</v>
      </c>
      <c r="Y137" s="104">
        <f t="shared" si="79"/>
        <v>0.13154095819944117</v>
      </c>
      <c r="Z137" s="104">
        <f t="shared" si="79"/>
        <v>0.1499619977282737</v>
      </c>
      <c r="AA137" s="104">
        <f t="shared" si="79"/>
        <v>0.16967354135879237</v>
      </c>
      <c r="AB137" s="104">
        <f t="shared" si="79"/>
        <v>0.19070695713961661</v>
      </c>
      <c r="AC137" s="104">
        <f t="shared" si="79"/>
        <v>0.21309361311936578</v>
      </c>
      <c r="AD137" s="104">
        <f t="shared" si="79"/>
        <v>0.23686487734665931</v>
      </c>
      <c r="AE137" s="104">
        <f t="shared" si="79"/>
        <v>0.26205211787011662</v>
      </c>
      <c r="AF137" s="104">
        <f t="shared" si="79"/>
        <v>0.28868670273835711</v>
      </c>
      <c r="AG137" s="104">
        <f t="shared" si="79"/>
        <v>0.31680000000000003</v>
      </c>
      <c r="AI137" s="126"/>
      <c r="AJ137"/>
      <c r="AL137" s="102"/>
      <c r="AM137" s="2"/>
      <c r="AN137" s="2"/>
      <c r="AO137" s="2"/>
      <c r="AV137" s="38"/>
    </row>
    <row r="138" spans="1:63" outlineLevel="1">
      <c r="A138" t="s">
        <v>1379</v>
      </c>
      <c r="B138" s="51" t="s">
        <v>126</v>
      </c>
      <c r="C138" s="104">
        <f>C125*C$136</f>
        <v>1.3886553809537589E-2</v>
      </c>
      <c r="D138" s="104">
        <f t="shared" si="79"/>
        <v>1.7184835753050961E-2</v>
      </c>
      <c r="E138" s="104">
        <f t="shared" si="79"/>
        <v>2.0394743329989067E-2</v>
      </c>
      <c r="F138" s="104">
        <f t="shared" si="79"/>
        <v>2.3507381734370825E-2</v>
      </c>
      <c r="G138" s="104">
        <f t="shared" si="79"/>
        <v>2.6513856160215163E-2</v>
      </c>
      <c r="H138" s="104">
        <f t="shared" si="79"/>
        <v>2.9405271801540987E-2</v>
      </c>
      <c r="I138" s="104">
        <f t="shared" si="79"/>
        <v>3.2172733852367234E-2</v>
      </c>
      <c r="J138" s="104">
        <f t="shared" si="79"/>
        <v>3.4807347506712799E-2</v>
      </c>
      <c r="K138" s="104">
        <f t="shared" si="79"/>
        <v>3.7300217958596622E-2</v>
      </c>
      <c r="L138" s="104">
        <f t="shared" si="79"/>
        <v>3.9642450402037621E-2</v>
      </c>
      <c r="M138" s="104">
        <f t="shared" si="79"/>
        <v>4.1825150031054699E-2</v>
      </c>
      <c r="N138" s="104">
        <f t="shared" si="79"/>
        <v>4.707754247121216E-2</v>
      </c>
      <c r="O138" s="104">
        <f t="shared" si="79"/>
        <v>5.2002161726420859E-2</v>
      </c>
      <c r="P138" s="104">
        <f t="shared" si="79"/>
        <v>5.6580260282536043E-2</v>
      </c>
      <c r="Q138" s="104">
        <f t="shared" si="79"/>
        <v>6.0793090625412986E-2</v>
      </c>
      <c r="R138" s="104">
        <f t="shared" si="79"/>
        <v>6.4621905240906941E-2</v>
      </c>
      <c r="S138" s="104">
        <f t="shared" si="79"/>
        <v>6.8047956614873187E-2</v>
      </c>
      <c r="T138" s="104">
        <f t="shared" si="79"/>
        <v>7.105249723316695E-2</v>
      </c>
      <c r="U138" s="104">
        <f t="shared" si="79"/>
        <v>7.3616779581643546E-2</v>
      </c>
      <c r="V138" s="104">
        <f t="shared" si="79"/>
        <v>7.5722056146158165E-2</v>
      </c>
      <c r="W138" s="104">
        <f t="shared" si="79"/>
        <v>7.7349579412566136E-2</v>
      </c>
      <c r="X138" s="104">
        <f t="shared" si="79"/>
        <v>8.147549103604268E-2</v>
      </c>
      <c r="Y138" s="104">
        <f t="shared" si="79"/>
        <v>8.4809301997008049E-2</v>
      </c>
      <c r="Z138" s="104">
        <f t="shared" si="79"/>
        <v>8.731964424684284E-2</v>
      </c>
      <c r="AA138" s="104">
        <f t="shared" si="79"/>
        <v>8.8975149736927592E-2</v>
      </c>
      <c r="AB138" s="104">
        <f t="shared" si="79"/>
        <v>8.9744450418642999E-2</v>
      </c>
      <c r="AC138" s="104">
        <f t="shared" si="79"/>
        <v>8.9596178243369587E-2</v>
      </c>
      <c r="AD138" s="104">
        <f t="shared" si="79"/>
        <v>8.8498965162487953E-2</v>
      </c>
      <c r="AE138" s="104">
        <f t="shared" si="79"/>
        <v>8.6421443127378733E-2</v>
      </c>
      <c r="AF138" s="104">
        <f t="shared" si="79"/>
        <v>8.3332244089422497E-2</v>
      </c>
      <c r="AG138" s="104">
        <f t="shared" si="79"/>
        <v>7.9199999999999979E-2</v>
      </c>
      <c r="AH138" s="230"/>
      <c r="AI138" s="126"/>
      <c r="AJ138" s="198"/>
      <c r="AL138" s="102"/>
      <c r="AM138" s="2"/>
      <c r="AN138" s="2"/>
      <c r="AO138" s="2"/>
      <c r="AV138" s="38"/>
    </row>
    <row r="139" spans="1:63" outlineLevel="1">
      <c r="A139" t="s">
        <v>1380</v>
      </c>
      <c r="B139" s="165" t="s">
        <v>126</v>
      </c>
      <c r="C139" s="104">
        <f>SUM(C137:C138)</f>
        <v>1.5094080227758249E-2</v>
      </c>
      <c r="D139" s="104">
        <f t="shared" ref="D139:AG139" si="80">SUM(D137:D138)</f>
        <v>1.9179504188672949E-2</v>
      </c>
      <c r="E139" s="104">
        <f t="shared" si="80"/>
        <v>2.3388467121547095E-2</v>
      </c>
      <c r="F139" s="104">
        <f t="shared" si="80"/>
        <v>2.7720969026380691E-2</v>
      </c>
      <c r="G139" s="104">
        <f t="shared" si="80"/>
        <v>3.2177009903173744E-2</v>
      </c>
      <c r="H139" s="104">
        <f t="shared" si="80"/>
        <v>3.6756589751926236E-2</v>
      </c>
      <c r="I139" s="104">
        <f t="shared" si="80"/>
        <v>4.1459708572638185E-2</v>
      </c>
      <c r="J139" s="104">
        <f t="shared" si="80"/>
        <v>4.628636636530957E-2</v>
      </c>
      <c r="K139" s="104">
        <f t="shared" si="80"/>
        <v>5.1236563129940411E-2</v>
      </c>
      <c r="L139" s="104">
        <f t="shared" si="80"/>
        <v>5.6310298866530717E-2</v>
      </c>
      <c r="M139" s="104">
        <f t="shared" si="80"/>
        <v>6.1507573575080438E-2</v>
      </c>
      <c r="N139" s="104">
        <f t="shared" si="80"/>
        <v>7.1764546450018535E-2</v>
      </c>
      <c r="O139" s="104">
        <f t="shared" si="80"/>
        <v>8.2281901465855803E-2</v>
      </c>
      <c r="P139" s="104">
        <f t="shared" si="80"/>
        <v>9.30596386225922E-2</v>
      </c>
      <c r="Q139" s="104">
        <f t="shared" si="80"/>
        <v>0.10409775792022774</v>
      </c>
      <c r="R139" s="104">
        <f t="shared" si="80"/>
        <v>0.11539625935876242</v>
      </c>
      <c r="S139" s="104">
        <f t="shared" si="80"/>
        <v>0.12695514293819626</v>
      </c>
      <c r="T139" s="104">
        <f t="shared" si="80"/>
        <v>0.13877440865852925</v>
      </c>
      <c r="U139" s="104">
        <f t="shared" si="80"/>
        <v>0.15085405651976141</v>
      </c>
      <c r="V139" s="104">
        <f t="shared" si="80"/>
        <v>0.16319408652189266</v>
      </c>
      <c r="W139" s="104">
        <f t="shared" si="80"/>
        <v>0.17579449866492308</v>
      </c>
      <c r="X139" s="104">
        <f t="shared" si="80"/>
        <v>0.19585454575971806</v>
      </c>
      <c r="Y139" s="104">
        <f t="shared" si="80"/>
        <v>0.21635026019644921</v>
      </c>
      <c r="Z139" s="104">
        <f t="shared" si="80"/>
        <v>0.23728164197511653</v>
      </c>
      <c r="AA139" s="104">
        <f t="shared" si="80"/>
        <v>0.25864869109571997</v>
      </c>
      <c r="AB139" s="104">
        <f t="shared" si="80"/>
        <v>0.28045140755825959</v>
      </c>
      <c r="AC139" s="104">
        <f t="shared" si="80"/>
        <v>0.30268979136273538</v>
      </c>
      <c r="AD139" s="104">
        <f t="shared" si="80"/>
        <v>0.32536384250914729</v>
      </c>
      <c r="AE139" s="104">
        <f t="shared" si="80"/>
        <v>0.34847356099749538</v>
      </c>
      <c r="AF139" s="104">
        <f t="shared" si="80"/>
        <v>0.37201894682777958</v>
      </c>
      <c r="AG139" s="104">
        <f t="shared" si="80"/>
        <v>0.39600000000000002</v>
      </c>
      <c r="AI139" s="126"/>
      <c r="AJ139" s="198"/>
      <c r="AL139" s="102"/>
      <c r="AM139" s="2"/>
      <c r="AN139" s="2"/>
      <c r="AO139" s="2"/>
    </row>
    <row r="140" spans="1:63" outlineLevel="1">
      <c r="A140" t="s">
        <v>1381</v>
      </c>
      <c r="B140" s="51" t="s">
        <v>126</v>
      </c>
      <c r="C140" s="104">
        <f>C127*C138</f>
        <v>7.2210079809595469E-3</v>
      </c>
      <c r="D140" s="104">
        <f t="shared" ref="D140:AG140" si="81">D127*D138</f>
        <v>8.9361145915865005E-3</v>
      </c>
      <c r="E140" s="104">
        <f t="shared" si="81"/>
        <v>1.0605266531594316E-2</v>
      </c>
      <c r="F140" s="104">
        <f t="shared" si="81"/>
        <v>1.2223838501872829E-2</v>
      </c>
      <c r="G140" s="104">
        <f t="shared" si="81"/>
        <v>1.3787205203311885E-2</v>
      </c>
      <c r="H140" s="104">
        <f t="shared" si="81"/>
        <v>1.5290741336801314E-2</v>
      </c>
      <c r="I140" s="104">
        <f t="shared" si="81"/>
        <v>1.6729821603230964E-2</v>
      </c>
      <c r="J140" s="104">
        <f t="shared" si="81"/>
        <v>1.8099820703490657E-2</v>
      </c>
      <c r="K140" s="104">
        <f t="shared" si="81"/>
        <v>1.9396113338470244E-2</v>
      </c>
      <c r="L140" s="104">
        <f t="shared" si="81"/>
        <v>2.0614074209059564E-2</v>
      </c>
      <c r="M140" s="104">
        <f t="shared" si="81"/>
        <v>2.1749078016148445E-2</v>
      </c>
      <c r="N140" s="104">
        <f t="shared" si="81"/>
        <v>2.4480322085030325E-2</v>
      </c>
      <c r="O140" s="104">
        <f t="shared" si="81"/>
        <v>2.7041124097738848E-2</v>
      </c>
      <c r="P140" s="104">
        <f t="shared" si="81"/>
        <v>2.9421735346918745E-2</v>
      </c>
      <c r="Q140" s="104">
        <f t="shared" si="81"/>
        <v>3.1612407125214757E-2</v>
      </c>
      <c r="R140" s="104">
        <f t="shared" si="81"/>
        <v>3.360339072527161E-2</v>
      </c>
      <c r="S140" s="104">
        <f t="shared" si="81"/>
        <v>3.538493743973406E-2</v>
      </c>
      <c r="T140" s="104">
        <f t="shared" si="81"/>
        <v>3.6947298561246816E-2</v>
      </c>
      <c r="U140" s="104">
        <f t="shared" si="81"/>
        <v>3.8280725382454646E-2</v>
      </c>
      <c r="V140" s="104">
        <f t="shared" si="81"/>
        <v>3.9375469196002245E-2</v>
      </c>
      <c r="W140" s="104">
        <f t="shared" si="81"/>
        <v>4.0221781294534395E-2</v>
      </c>
      <c r="X140" s="104">
        <f t="shared" si="81"/>
        <v>4.2367255338742194E-2</v>
      </c>
      <c r="Y140" s="104">
        <f t="shared" si="81"/>
        <v>4.4100837038444189E-2</v>
      </c>
      <c r="Z140" s="104">
        <f t="shared" si="81"/>
        <v>4.5406215008358279E-2</v>
      </c>
      <c r="AA140" s="104">
        <f t="shared" si="81"/>
        <v>4.6267077863202347E-2</v>
      </c>
      <c r="AB140" s="104">
        <f t="shared" si="81"/>
        <v>4.6667114217694358E-2</v>
      </c>
      <c r="AC140" s="104">
        <f t="shared" si="81"/>
        <v>4.659001268655219E-2</v>
      </c>
      <c r="AD140" s="104">
        <f t="shared" si="81"/>
        <v>4.601946188449374E-2</v>
      </c>
      <c r="AE140" s="104">
        <f t="shared" si="81"/>
        <v>4.4939150426236946E-2</v>
      </c>
      <c r="AF140" s="104">
        <f t="shared" si="81"/>
        <v>4.3332766926499698E-2</v>
      </c>
      <c r="AG140" s="104">
        <f t="shared" si="81"/>
        <v>4.1183999999999991E-2</v>
      </c>
      <c r="AI140" s="126"/>
      <c r="AJ140" s="198"/>
      <c r="BD140" s="190"/>
      <c r="BE140" s="190"/>
    </row>
    <row r="141" spans="1:63" outlineLevel="1">
      <c r="A141" t="s">
        <v>1382</v>
      </c>
      <c r="B141" s="51" t="s">
        <v>126</v>
      </c>
      <c r="C141" s="104">
        <f>C128*C138</f>
        <v>1.6663864571445106E-3</v>
      </c>
      <c r="D141" s="104">
        <f t="shared" ref="D141:AG141" si="82">D128*D138</f>
        <v>2.0621802903661151E-3</v>
      </c>
      <c r="E141" s="104">
        <f t="shared" si="82"/>
        <v>2.4473691995986879E-3</v>
      </c>
      <c r="F141" s="104">
        <f t="shared" si="82"/>
        <v>2.8208858081244991E-3</v>
      </c>
      <c r="G141" s="104">
        <f t="shared" si="82"/>
        <v>3.1816627392258195E-3</v>
      </c>
      <c r="H141" s="104">
        <f t="shared" si="82"/>
        <v>3.5286326161849181E-3</v>
      </c>
      <c r="I141" s="104">
        <f t="shared" si="82"/>
        <v>3.860728062284068E-3</v>
      </c>
      <c r="J141" s="104">
        <f t="shared" si="82"/>
        <v>4.1768817008055355E-3</v>
      </c>
      <c r="K141" s="104">
        <f t="shared" si="82"/>
        <v>4.4760261550315945E-3</v>
      </c>
      <c r="L141" s="104">
        <f t="shared" si="82"/>
        <v>4.7570940482445142E-3</v>
      </c>
      <c r="M141" s="104">
        <f t="shared" si="82"/>
        <v>5.0190180037265634E-3</v>
      </c>
      <c r="N141" s="104">
        <f t="shared" si="82"/>
        <v>5.6493050965454586E-3</v>
      </c>
      <c r="O141" s="104">
        <f t="shared" si="82"/>
        <v>6.2402594071705028E-3</v>
      </c>
      <c r="P141" s="104">
        <f t="shared" si="82"/>
        <v>6.7896312339043247E-3</v>
      </c>
      <c r="Q141" s="104">
        <f t="shared" si="82"/>
        <v>7.2951708750495581E-3</v>
      </c>
      <c r="R141" s="104">
        <f t="shared" si="82"/>
        <v>7.7546286289088325E-3</v>
      </c>
      <c r="S141" s="104">
        <f t="shared" si="82"/>
        <v>8.1657547937847817E-3</v>
      </c>
      <c r="T141" s="104">
        <f t="shared" si="82"/>
        <v>8.5262996679800335E-3</v>
      </c>
      <c r="U141" s="104">
        <f t="shared" si="82"/>
        <v>8.834013549797225E-3</v>
      </c>
      <c r="V141" s="104">
        <f t="shared" si="82"/>
        <v>9.0866467375389798E-3</v>
      </c>
      <c r="W141" s="104">
        <f t="shared" si="82"/>
        <v>9.2819495295079352E-3</v>
      </c>
      <c r="X141" s="104">
        <f t="shared" si="82"/>
        <v>9.7770589243251216E-3</v>
      </c>
      <c r="Y141" s="104">
        <f t="shared" si="82"/>
        <v>1.0177116239640965E-2</v>
      </c>
      <c r="Z141" s="104">
        <f t="shared" si="82"/>
        <v>1.047835730962114E-2</v>
      </c>
      <c r="AA141" s="104">
        <f t="shared" si="82"/>
        <v>1.0677017968431311E-2</v>
      </c>
      <c r="AB141" s="104">
        <f t="shared" si="82"/>
        <v>1.076933405023716E-2</v>
      </c>
      <c r="AC141" s="104">
        <f t="shared" si="82"/>
        <v>1.0751541389204349E-2</v>
      </c>
      <c r="AD141" s="104">
        <f t="shared" si="82"/>
        <v>1.0619875819498553E-2</v>
      </c>
      <c r="AE141" s="104">
        <f t="shared" si="82"/>
        <v>1.0370573175285447E-2</v>
      </c>
      <c r="AF141" s="104">
        <f t="shared" si="82"/>
        <v>9.9998692907306997E-3</v>
      </c>
      <c r="AG141" s="104">
        <f t="shared" si="82"/>
        <v>9.5039999999999968E-3</v>
      </c>
      <c r="AI141" s="126"/>
      <c r="AJ141" s="198"/>
      <c r="AL141" s="1"/>
      <c r="BC141" s="1"/>
      <c r="BD141" s="697"/>
      <c r="BE141" s="687"/>
      <c r="BF141" s="6"/>
      <c r="BG141" s="6"/>
      <c r="BH141" s="6"/>
      <c r="BI141" s="6"/>
      <c r="BJ141" s="6"/>
    </row>
    <row r="142" spans="1:63" outlineLevel="1">
      <c r="A142" t="s">
        <v>1383</v>
      </c>
      <c r="B142" s="51" t="s">
        <v>126</v>
      </c>
      <c r="C142" s="104">
        <f>C129*C138</f>
        <v>4.9991593714335319E-3</v>
      </c>
      <c r="D142" s="104">
        <f t="shared" ref="D142:AG142" si="83">D129*D138</f>
        <v>6.1865408710983453E-3</v>
      </c>
      <c r="E142" s="104">
        <f t="shared" si="83"/>
        <v>7.3421075987960636E-3</v>
      </c>
      <c r="F142" s="104">
        <f t="shared" si="83"/>
        <v>8.4626574243734966E-3</v>
      </c>
      <c r="G142" s="104">
        <f t="shared" si="83"/>
        <v>9.5449882176774584E-3</v>
      </c>
      <c r="H142" s="104">
        <f t="shared" si="83"/>
        <v>1.0585897848554755E-2</v>
      </c>
      <c r="I142" s="104">
        <f t="shared" si="83"/>
        <v>1.1582184186852204E-2</v>
      </c>
      <c r="J142" s="104">
        <f t="shared" si="83"/>
        <v>1.2530645102416606E-2</v>
      </c>
      <c r="K142" s="104">
        <f t="shared" si="83"/>
        <v>1.3428078465094783E-2</v>
      </c>
      <c r="L142" s="104">
        <f t="shared" si="83"/>
        <v>1.4271282144733543E-2</v>
      </c>
      <c r="M142" s="104">
        <f t="shared" si="83"/>
        <v>1.5057054011179691E-2</v>
      </c>
      <c r="N142" s="104">
        <f t="shared" si="83"/>
        <v>1.6947915289636378E-2</v>
      </c>
      <c r="O142" s="104">
        <f t="shared" si="83"/>
        <v>1.8720778221511507E-2</v>
      </c>
      <c r="P142" s="104">
        <f t="shared" si="83"/>
        <v>2.0368893701712975E-2</v>
      </c>
      <c r="Q142" s="104">
        <f t="shared" si="83"/>
        <v>2.1885512625148675E-2</v>
      </c>
      <c r="R142" s="104">
        <f t="shared" si="83"/>
        <v>2.3263885886726499E-2</v>
      </c>
      <c r="S142" s="104">
        <f t="shared" si="83"/>
        <v>2.4497264381354345E-2</v>
      </c>
      <c r="T142" s="104">
        <f t="shared" si="83"/>
        <v>2.55788990039401E-2</v>
      </c>
      <c r="U142" s="104">
        <f t="shared" si="83"/>
        <v>2.6502040649391677E-2</v>
      </c>
      <c r="V142" s="104">
        <f t="shared" si="83"/>
        <v>2.7259940212616938E-2</v>
      </c>
      <c r="W142" s="104">
        <f t="shared" si="83"/>
        <v>2.7845848588523809E-2</v>
      </c>
      <c r="X142" s="104">
        <f t="shared" si="83"/>
        <v>2.9331176772975365E-2</v>
      </c>
      <c r="Y142" s="104">
        <f t="shared" si="83"/>
        <v>3.0531348718922897E-2</v>
      </c>
      <c r="Z142" s="104">
        <f t="shared" si="83"/>
        <v>3.1435071928863419E-2</v>
      </c>
      <c r="AA142" s="104">
        <f t="shared" si="83"/>
        <v>3.2031053905293934E-2</v>
      </c>
      <c r="AB142" s="104">
        <f t="shared" si="83"/>
        <v>3.230800215071148E-2</v>
      </c>
      <c r="AC142" s="104">
        <f t="shared" si="83"/>
        <v>3.2254624167613051E-2</v>
      </c>
      <c r="AD142" s="104">
        <f t="shared" si="83"/>
        <v>3.185962745849566E-2</v>
      </c>
      <c r="AE142" s="104">
        <f t="shared" si="83"/>
        <v>3.1111719525856344E-2</v>
      </c>
      <c r="AF142" s="104">
        <f t="shared" si="83"/>
        <v>2.9999607872192097E-2</v>
      </c>
      <c r="AG142" s="104">
        <f t="shared" si="83"/>
        <v>2.8511999999999992E-2</v>
      </c>
      <c r="AI142" s="127"/>
      <c r="AJ142" s="198"/>
      <c r="BC142" s="1"/>
      <c r="BD142" s="38"/>
      <c r="BF142" s="6"/>
      <c r="BG142" s="6"/>
      <c r="BH142" s="6"/>
      <c r="BI142" s="6"/>
      <c r="BJ142" s="6"/>
    </row>
    <row r="143" spans="1:63" outlineLevel="1">
      <c r="C143" s="104"/>
      <c r="D143" s="104"/>
      <c r="E143" s="104"/>
      <c r="F143" s="104"/>
      <c r="G143" s="104"/>
      <c r="H143" s="104"/>
      <c r="I143" s="104"/>
      <c r="J143" s="104"/>
      <c r="K143" s="104"/>
      <c r="L143" s="104"/>
      <c r="M143" s="104"/>
      <c r="N143" s="104"/>
      <c r="O143" s="104"/>
      <c r="P143" s="104"/>
      <c r="Q143" s="104"/>
      <c r="R143" s="104"/>
      <c r="S143" s="104"/>
      <c r="T143" s="104"/>
      <c r="U143" s="104"/>
      <c r="V143" s="104"/>
      <c r="W143" s="104"/>
      <c r="X143" s="104"/>
      <c r="Y143" s="104"/>
      <c r="Z143" s="104"/>
      <c r="AA143" s="104"/>
      <c r="AB143" s="104"/>
      <c r="AC143" s="104"/>
      <c r="AD143" s="104"/>
      <c r="AE143" s="104"/>
      <c r="AF143" s="104"/>
      <c r="AG143" s="104"/>
      <c r="AI143" s="127"/>
      <c r="AJ143" s="198"/>
      <c r="BC143" s="1"/>
      <c r="BD143" s="38"/>
      <c r="BF143" s="6"/>
      <c r="BG143" s="6"/>
      <c r="BH143" s="6"/>
      <c r="BI143" s="6"/>
      <c r="BJ143" s="6"/>
    </row>
    <row r="144" spans="1:63" s="1" customFormat="1" outlineLevel="1">
      <c r="A144" s="1" t="s">
        <v>261</v>
      </c>
      <c r="B144" s="61"/>
      <c r="C144" s="279">
        <f>C40*C137</f>
        <v>51.553962506590864</v>
      </c>
      <c r="D144" s="279">
        <f t="shared" ref="D144:AG144" si="84">D40*D137</f>
        <v>85.160092724650227</v>
      </c>
      <c r="E144" s="279">
        <f t="shared" si="84"/>
        <v>127.81362111521796</v>
      </c>
      <c r="F144" s="279">
        <f t="shared" si="84"/>
        <v>179.8943012697126</v>
      </c>
      <c r="G144" s="279">
        <f t="shared" si="84"/>
        <v>241.78188677955262</v>
      </c>
      <c r="H144" s="279">
        <f t="shared" si="84"/>
        <v>313.8561312361565</v>
      </c>
      <c r="I144" s="279">
        <f t="shared" si="84"/>
        <v>396.49678823094285</v>
      </c>
      <c r="J144" s="279">
        <f t="shared" si="84"/>
        <v>490.08361135532999</v>
      </c>
      <c r="K144" s="279">
        <f t="shared" si="84"/>
        <v>594.9963542007365</v>
      </c>
      <c r="L144" s="279">
        <f t="shared" si="84"/>
        <v>711.61477035858127</v>
      </c>
      <c r="M144" s="279">
        <f t="shared" si="84"/>
        <v>840.31861342028208</v>
      </c>
      <c r="N144" s="279">
        <f t="shared" si="84"/>
        <v>1053.9834643111485</v>
      </c>
      <c r="O144" s="279">
        <f t="shared" si="84"/>
        <v>1292.7589356897188</v>
      </c>
      <c r="P144" s="279">
        <f t="shared" si="84"/>
        <v>1552.1332964024361</v>
      </c>
      <c r="Q144" s="279">
        <f t="shared" si="84"/>
        <v>1836.1913499581819</v>
      </c>
      <c r="R144" s="279">
        <f t="shared" si="84"/>
        <v>2145.4313226620147</v>
      </c>
      <c r="S144" s="279">
        <f t="shared" si="84"/>
        <v>2480.3368514852068</v>
      </c>
      <c r="T144" s="279">
        <f t="shared" si="84"/>
        <v>2841.3768111780405</v>
      </c>
      <c r="U144" s="279">
        <f t="shared" si="84"/>
        <v>3229.0051413826041</v>
      </c>
      <c r="V144" s="279">
        <f t="shared" si="84"/>
        <v>3643.66067374559</v>
      </c>
      <c r="W144" s="279">
        <f t="shared" si="84"/>
        <v>4085.7669590310866</v>
      </c>
      <c r="X144" s="279">
        <f t="shared" si="84"/>
        <v>4729.5828596812944</v>
      </c>
      <c r="Y144" s="279">
        <f t="shared" si="84"/>
        <v>5418.9821396858097</v>
      </c>
      <c r="Z144" s="279">
        <f t="shared" si="84"/>
        <v>6101.829031159863</v>
      </c>
      <c r="AA144" s="279">
        <f t="shared" si="84"/>
        <v>6816.6791087380552</v>
      </c>
      <c r="AB144" s="279">
        <f t="shared" si="84"/>
        <v>7562.3776624460588</v>
      </c>
      <c r="AC144" s="279">
        <f t="shared" si="84"/>
        <v>8337.6502118702574</v>
      </c>
      <c r="AD144" s="279">
        <f t="shared" si="84"/>
        <v>9141.1003366164405</v>
      </c>
      <c r="AE144" s="279">
        <f t="shared" si="84"/>
        <v>9971.2075067684655</v>
      </c>
      <c r="AF144" s="279">
        <f t="shared" si="84"/>
        <v>10826.324913346927</v>
      </c>
      <c r="AG144" s="279">
        <f t="shared" si="84"/>
        <v>11704.677298767834</v>
      </c>
      <c r="AH144" s="230"/>
      <c r="AI144" s="398"/>
      <c r="AJ144" s="399"/>
      <c r="AL144" s="207"/>
      <c r="AM144" s="118"/>
      <c r="AN144" s="118"/>
      <c r="AO144" s="118"/>
      <c r="BD144" s="118"/>
      <c r="BE144" s="118"/>
      <c r="BF144" s="118"/>
      <c r="BG144" s="118"/>
      <c r="BH144" s="118"/>
      <c r="BI144" s="118"/>
      <c r="BJ144" s="118"/>
      <c r="BK144" s="118"/>
    </row>
    <row r="145" spans="1:63" outlineLevel="1">
      <c r="A145" s="4" t="s">
        <v>35</v>
      </c>
      <c r="C145" s="216">
        <f>C$144*'BTX recycling rates'!E58</f>
        <v>0</v>
      </c>
      <c r="D145" s="216">
        <f>D$144*'BTX recycling rates'!F58</f>
        <v>0</v>
      </c>
      <c r="E145" s="216">
        <f>E$144*'BTX recycling rates'!G58</f>
        <v>0</v>
      </c>
      <c r="F145" s="216">
        <f>F$144*'BTX recycling rates'!H58</f>
        <v>0</v>
      </c>
      <c r="G145" s="216">
        <f>G$144*'BTX recycling rates'!I58</f>
        <v>0</v>
      </c>
      <c r="H145" s="216">
        <f>H$144*'BTX recycling rates'!J58</f>
        <v>0</v>
      </c>
      <c r="I145" s="216">
        <f>I$144*'BTX recycling rates'!K58</f>
        <v>0</v>
      </c>
      <c r="J145" s="216">
        <f>J$144*'BTX recycling rates'!L58</f>
        <v>0</v>
      </c>
      <c r="K145" s="216">
        <f>K$144*'BTX recycling rates'!M58</f>
        <v>0</v>
      </c>
      <c r="L145" s="216">
        <f>L$144*'BTX recycling rates'!N58</f>
        <v>0</v>
      </c>
      <c r="M145" s="216">
        <f>M$144*'BTX recycling rates'!O58</f>
        <v>0</v>
      </c>
      <c r="N145" s="216">
        <f>N$144*'BTX recycling rates'!P58</f>
        <v>0</v>
      </c>
      <c r="O145" s="216">
        <f>O$144*'BTX recycling rates'!Q58</f>
        <v>0</v>
      </c>
      <c r="P145" s="216">
        <f>P$144*'BTX recycling rates'!R58</f>
        <v>0</v>
      </c>
      <c r="Q145" s="216">
        <f>Q$144*'BTX recycling rates'!S58</f>
        <v>0</v>
      </c>
      <c r="R145" s="216">
        <f>R$144*'BTX recycling rates'!T58</f>
        <v>0</v>
      </c>
      <c r="S145" s="216">
        <f>S$144*'BTX recycling rates'!U58</f>
        <v>0</v>
      </c>
      <c r="T145" s="216">
        <f>T$144*'BTX recycling rates'!V58</f>
        <v>0</v>
      </c>
      <c r="U145" s="216">
        <f>U$144*'BTX recycling rates'!W58</f>
        <v>0</v>
      </c>
      <c r="V145" s="216">
        <f>V$144*'BTX recycling rates'!X58</f>
        <v>0</v>
      </c>
      <c r="W145" s="216">
        <f>W$144*'BTX recycling rates'!Y58</f>
        <v>0</v>
      </c>
      <c r="X145" s="216">
        <f>X$144*'BTX recycling rates'!Z58</f>
        <v>0</v>
      </c>
      <c r="Y145" s="216">
        <f>Y$144*'BTX recycling rates'!AA58</f>
        <v>0</v>
      </c>
      <c r="Z145" s="216">
        <f>Z$144*'BTX recycling rates'!AB58</f>
        <v>0</v>
      </c>
      <c r="AA145" s="216">
        <f>AA$144*'BTX recycling rates'!AC58</f>
        <v>0</v>
      </c>
      <c r="AB145" s="216">
        <f>AB$144*'BTX recycling rates'!AD58</f>
        <v>0</v>
      </c>
      <c r="AC145" s="216">
        <f>AC$144*'BTX recycling rates'!AE58</f>
        <v>0</v>
      </c>
      <c r="AD145" s="216">
        <f>AD$144*'BTX recycling rates'!AF58</f>
        <v>0</v>
      </c>
      <c r="AE145" s="216">
        <f>AE$144*'BTX recycling rates'!AG58</f>
        <v>0</v>
      </c>
      <c r="AF145" s="216">
        <f>AF$144*'BTX recycling rates'!AH58</f>
        <v>0</v>
      </c>
      <c r="AG145" s="216">
        <f>AG$144*'BTX recycling rates'!AI58</f>
        <v>0</v>
      </c>
      <c r="AH145" s="230"/>
      <c r="AI145" s="126"/>
      <c r="AJ145" s="198"/>
      <c r="AL145" s="102"/>
      <c r="AM145" s="2"/>
      <c r="AN145" s="2"/>
      <c r="AO145" s="2"/>
      <c r="BC145" s="1"/>
      <c r="BD145" s="2"/>
      <c r="BE145" s="2"/>
      <c r="BF145" s="2"/>
      <c r="BG145" s="2"/>
      <c r="BH145" s="2"/>
      <c r="BI145" s="2"/>
      <c r="BJ145" s="2"/>
      <c r="BK145" s="2"/>
    </row>
    <row r="146" spans="1:63" outlineLevel="1">
      <c r="A146" s="4" t="s">
        <v>74</v>
      </c>
      <c r="C146" s="216">
        <f>C$144*'BTX recycling rates'!E59</f>
        <v>30.696252484840361</v>
      </c>
      <c r="D146" s="216">
        <f>D$144*'BTX recycling rates'!F59</f>
        <v>49.015809094951351</v>
      </c>
      <c r="E146" s="216">
        <f>E$144*'BTX recycling rates'!G59</f>
        <v>71.02924898616692</v>
      </c>
      <c r="F146" s="216">
        <f>F$144*'BTX recycling rates'!H59</f>
        <v>96.401373657510106</v>
      </c>
      <c r="G146" s="216">
        <f>G$144*'BTX recycling rates'!I59</f>
        <v>124.76683623128058</v>
      </c>
      <c r="H146" s="216">
        <f>H$144*'BTX recycling rates'!J59</f>
        <v>155.73014145305473</v>
      </c>
      <c r="I146" s="216">
        <f>I$144*'BTX recycling rates'!K59</f>
        <v>188.86564569168573</v>
      </c>
      <c r="J146" s="216">
        <f>J$144*'BTX recycling rates'!L59</f>
        <v>223.71755693930328</v>
      </c>
      <c r="K146" s="216">
        <f>K$144*'BTX recycling rates'!M59</f>
        <v>259.7999348113139</v>
      </c>
      <c r="L146" s="216">
        <f>L$144*'BTX recycling rates'!N59</f>
        <v>296.59669054640096</v>
      </c>
      <c r="M146" s="216">
        <f>M$144*'BTX recycling rates'!O59</f>
        <v>333.56158700652406</v>
      </c>
      <c r="N146" s="216">
        <f>N$144*'BTX recycling rates'!P59</f>
        <v>397.45635982420396</v>
      </c>
      <c r="O146" s="216">
        <f>O$144*'BTX recycling rates'!Q59</f>
        <v>461.84059687235737</v>
      </c>
      <c r="P146" s="216">
        <f>P$144*'BTX recycling rates'!R59</f>
        <v>523.69688321364617</v>
      </c>
      <c r="Q146" s="216">
        <f>Q$144*'BTX recycling rates'!S59</f>
        <v>583.09587907068953</v>
      </c>
      <c r="R146" s="216">
        <f>R$144*'BTX recycling rates'!T59</f>
        <v>638.7161952963246</v>
      </c>
      <c r="S146" s="216">
        <f>S$144*'BTX recycling rates'!U59</f>
        <v>689.19283506917157</v>
      </c>
      <c r="T146" s="216">
        <f>T$144*'BTX recycling rates'!V59</f>
        <v>733.11859708257782</v>
      </c>
      <c r="U146" s="216">
        <f>U$144*'BTX recycling rates'!W59</f>
        <v>769.04549932165776</v>
      </c>
      <c r="V146" s="216">
        <f>V$144*'BTX recycling rates'!X59</f>
        <v>795.48622342842577</v>
      </c>
      <c r="W146" s="216">
        <f>W$144*'BTX recycling rates'!Y59</f>
        <v>810.91557965502386</v>
      </c>
      <c r="X146" s="216">
        <f>X$144*'BTX recycling rates'!Z59</f>
        <v>844.82625127131405</v>
      </c>
      <c r="Y146" s="216">
        <f>Y$144*'BTX recycling rates'!AA59</f>
        <v>860.41853820965389</v>
      </c>
      <c r="Z146" s="216">
        <f>Z$144*'BTX recycling rates'!AB59</f>
        <v>847.73502570312439</v>
      </c>
      <c r="AA146" s="216">
        <f>AA$144*'BTX recycling rates'!AC59</f>
        <v>811.75720684208727</v>
      </c>
      <c r="AB146" s="216">
        <f>AB$144*'BTX recycling rates'!AD59</f>
        <v>750.46495886869093</v>
      </c>
      <c r="AC146" s="216">
        <f>AC$144*'BTX recycling rates'!AE59</f>
        <v>661.92032216374355</v>
      </c>
      <c r="AD146" s="216">
        <f>AD$144*'BTX recycling rates'!AF59</f>
        <v>544.27925668403009</v>
      </c>
      <c r="AE146" s="216">
        <f>AE$144*'BTX recycling rates'!AG59</f>
        <v>395.80365675721913</v>
      </c>
      <c r="AF146" s="216">
        <f>AF$144*'BTX recycling rates'!AH59</f>
        <v>214.87362423436386</v>
      </c>
      <c r="AG146" s="216">
        <f>AG$144*'BTX recycling rates'!AI59</f>
        <v>0</v>
      </c>
      <c r="AH146" s="230"/>
      <c r="AI146" s="126"/>
      <c r="AJ146" s="198"/>
      <c r="AL146" s="102"/>
      <c r="AM146" s="2"/>
      <c r="AN146" s="2"/>
      <c r="AO146" s="2"/>
      <c r="BC146" s="1"/>
      <c r="BD146" s="2"/>
      <c r="BE146" s="2"/>
      <c r="BF146" s="2"/>
      <c r="BG146" s="2"/>
      <c r="BH146" s="2"/>
      <c r="BI146" s="2"/>
      <c r="BJ146" s="2"/>
      <c r="BK146" s="2"/>
    </row>
    <row r="147" spans="1:63" outlineLevel="1">
      <c r="A147" s="4" t="s">
        <v>160</v>
      </c>
      <c r="C147" s="216">
        <f>C$144*'BTX recycling rates'!E60</f>
        <v>0</v>
      </c>
      <c r="D147" s="216">
        <f>D$144*'BTX recycling rates'!F60</f>
        <v>1.4369059803530211</v>
      </c>
      <c r="E147" s="216">
        <f>E$144*'BTX recycling rates'!G60</f>
        <v>4.3131976651282153</v>
      </c>
      <c r="F147" s="216">
        <f>F$144*'BTX recycling rates'!H60</f>
        <v>9.1060679617269571</v>
      </c>
      <c r="G147" s="216">
        <f>G$144*'BTX recycling rates'!I60</f>
        <v>16.318340102230234</v>
      </c>
      <c r="H147" s="216">
        <f>H$144*'BTX recycling rates'!J60</f>
        <v>26.478467643398645</v>
      </c>
      <c r="I147" s="216">
        <f>I$144*'BTX recycling rates'!K60</f>
        <v>40.140534466672435</v>
      </c>
      <c r="J147" s="216">
        <f>J$144*'BTX recycling rates'!L60</f>
        <v>57.884254778171417</v>
      </c>
      <c r="K147" s="216">
        <f>K$144*'BTX recycling rates'!M60</f>
        <v>80.314973108695071</v>
      </c>
      <c r="L147" s="216">
        <f>L$144*'BTX recycling rates'!N60</f>
        <v>108.06366431372251</v>
      </c>
      <c r="M147" s="216">
        <f>M$144*'BTX recycling rates'!O60</f>
        <v>141.78693357341234</v>
      </c>
      <c r="N147" s="216">
        <f>N$144*'BTX recycling rates'!P60</f>
        <v>195.62245695933336</v>
      </c>
      <c r="O147" s="216">
        <f>O$144*'BTX recycling rates'!Q60</f>
        <v>261.75261013679119</v>
      </c>
      <c r="P147" s="216">
        <f>P$144*'BTX recycling rates'!R60</f>
        <v>340.45882383570756</v>
      </c>
      <c r="Q147" s="216">
        <f>Q$144*'BTX recycling rates'!S60</f>
        <v>433.74871332064174</v>
      </c>
      <c r="R147" s="216">
        <f>R$144*'BTX recycling rates'!T60</f>
        <v>542.99784077338245</v>
      </c>
      <c r="S147" s="216">
        <f>S$144*'BTX recycling rates'!U60</f>
        <v>669.61145600677764</v>
      </c>
      <c r="T147" s="216">
        <f>T$144*'BTX recycling rates'!V60</f>
        <v>815.02321604468614</v>
      </c>
      <c r="U147" s="216">
        <f>U$144*'BTX recycling rates'!W60</f>
        <v>980.69388719917845</v>
      </c>
      <c r="V147" s="216">
        <f>V$144*'BTX recycling rates'!X60</f>
        <v>1168.1100296449868</v>
      </c>
      <c r="W147" s="216">
        <f>W$144*'BTX recycling rates'!Y60</f>
        <v>1378.7826644912004</v>
      </c>
      <c r="X147" s="216">
        <f>X$144*'BTX recycling rates'!Z60</f>
        <v>1675.8469752976812</v>
      </c>
      <c r="Y147" s="216">
        <f>Y$144*'BTX recycling rates'!AA60</f>
        <v>2011.5583142984437</v>
      </c>
      <c r="Z147" s="216">
        <f>Z$144*'BTX recycling rates'!AB60</f>
        <v>2367.991273203842</v>
      </c>
      <c r="AA147" s="216">
        <f>AA$144*'BTX recycling rates'!AC60</f>
        <v>2760.4273309086248</v>
      </c>
      <c r="AB147" s="216">
        <f>AB$144*'BTX recycling rates'!AD60</f>
        <v>3189.9993709469859</v>
      </c>
      <c r="AC147" s="216">
        <f>AC$144*'BTX recycling rates'!AE60</f>
        <v>3657.7098001393433</v>
      </c>
      <c r="AD147" s="216">
        <f>AD$144*'BTX recycling rates'!AF60</f>
        <v>4164.4194557811716</v>
      </c>
      <c r="AE147" s="216">
        <f>AE$144*'BTX recycling rates'!AG60</f>
        <v>4710.8362931918264</v>
      </c>
      <c r="AF147" s="216">
        <f>AF$144*'BTX recycling rates'!AH60</f>
        <v>5297.503853623396</v>
      </c>
      <c r="AG147" s="216">
        <f>AG$144*'BTX recycling rates'!AI60</f>
        <v>5924.7895125295572</v>
      </c>
      <c r="AH147" s="230"/>
      <c r="AI147" s="126"/>
      <c r="AJ147" s="198"/>
      <c r="AL147" s="102"/>
      <c r="AM147" s="2"/>
      <c r="AN147" s="2"/>
      <c r="AO147" s="2"/>
      <c r="BC147" s="1"/>
      <c r="BD147" s="2"/>
      <c r="BE147" s="2"/>
      <c r="BF147" s="2"/>
      <c r="BG147" s="2"/>
      <c r="BH147" s="2"/>
      <c r="BI147" s="2"/>
      <c r="BJ147" s="2"/>
      <c r="BK147" s="2"/>
    </row>
    <row r="148" spans="1:63" outlineLevel="1">
      <c r="A148" s="4" t="s">
        <v>1159</v>
      </c>
      <c r="C148" s="216">
        <f>C$144*'BTX recycling rates'!E61</f>
        <v>20.857710021750503</v>
      </c>
      <c r="D148" s="216">
        <f>D$144*'BTX recycling rates'!F61</f>
        <v>34.707377649345851</v>
      </c>
      <c r="E148" s="216">
        <f>E$144*'BTX recycling rates'!G61</f>
        <v>52.471174463922814</v>
      </c>
      <c r="F148" s="216">
        <f>F$144*'BTX recycling rates'!H61</f>
        <v>74.386859650475529</v>
      </c>
      <c r="G148" s="216">
        <f>G$144*'BTX recycling rates'!I61</f>
        <v>100.69671044604179</v>
      </c>
      <c r="H148" s="216">
        <f>H$144*'BTX recycling rates'!J61</f>
        <v>131.64752213970309</v>
      </c>
      <c r="I148" s="216">
        <f>I$144*'BTX recycling rates'!K61</f>
        <v>167.49060807258462</v>
      </c>
      <c r="J148" s="216">
        <f>J$144*'BTX recycling rates'!L61</f>
        <v>208.48179963785523</v>
      </c>
      <c r="K148" s="216">
        <f>K$144*'BTX recycling rates'!M61</f>
        <v>254.88144628072743</v>
      </c>
      <c r="L148" s="216">
        <f>L$144*'BTX recycling rates'!N61</f>
        <v>306.95441549845765</v>
      </c>
      <c r="M148" s="216">
        <f>M$144*'BTX recycling rates'!O61</f>
        <v>364.97009284034544</v>
      </c>
      <c r="N148" s="216">
        <f>N$144*'BTX recycling rates'!P61</f>
        <v>460.9046475276109</v>
      </c>
      <c r="O148" s="216">
        <f>O$144*'BTX recycling rates'!Q61</f>
        <v>569.16572868056983</v>
      </c>
      <c r="P148" s="216">
        <f>P$144*'BTX recycling rates'!R61</f>
        <v>687.97758935308195</v>
      </c>
      <c r="Q148" s="216">
        <f>Q$144*'BTX recycling rates'!S61</f>
        <v>819.34675756684999</v>
      </c>
      <c r="R148" s="216">
        <f>R$144*'BTX recycling rates'!T61</f>
        <v>963.71728659230678</v>
      </c>
      <c r="S148" s="216">
        <f>S$144*'BTX recycling rates'!U61</f>
        <v>1121.5325604092568</v>
      </c>
      <c r="T148" s="216">
        <f>T$144*'BTX recycling rates'!V61</f>
        <v>1293.2349980507754</v>
      </c>
      <c r="U148" s="216">
        <f>U$144*'BTX recycling rates'!W61</f>
        <v>1479.2657548617667</v>
      </c>
      <c r="V148" s="216">
        <f>V$144*'BTX recycling rates'!X61</f>
        <v>1680.0644206721761</v>
      </c>
      <c r="W148" s="216">
        <f>W$144*'BTX recycling rates'!Y61</f>
        <v>1896.0687148848606</v>
      </c>
      <c r="X148" s="216">
        <f>X$144*'BTX recycling rates'!Z61</f>
        <v>2208.9096331122973</v>
      </c>
      <c r="Y148" s="216">
        <f>Y$144*'BTX recycling rates'!AA61</f>
        <v>2547.0052871777098</v>
      </c>
      <c r="Z148" s="216">
        <f>Z$144*'BTX recycling rates'!AB61</f>
        <v>2886.1027322528944</v>
      </c>
      <c r="AA148" s="216">
        <f>AA$144*'BTX recycling rates'!AC61</f>
        <v>3244.4945709873405</v>
      </c>
      <c r="AB148" s="216">
        <f>AB$144*'BTX recycling rates'!AD61</f>
        <v>3621.9133326303795</v>
      </c>
      <c r="AC148" s="216">
        <f>AC$144*'BTX recycling rates'!AE61</f>
        <v>4018.0200895671674</v>
      </c>
      <c r="AD148" s="216">
        <f>AD$144*'BTX recycling rates'!AF61</f>
        <v>4432.4016241512354</v>
      </c>
      <c r="AE148" s="216">
        <f>AE$144*'BTX recycling rates'!AG61</f>
        <v>4864.5675568194165</v>
      </c>
      <c r="AF148" s="216">
        <f>AF$144*'BTX recycling rates'!AH61</f>
        <v>5313.9474354891645</v>
      </c>
      <c r="AG148" s="216">
        <f>AG$144*'BTX recycling rates'!AI61</f>
        <v>5779.8877862382751</v>
      </c>
      <c r="AH148" s="230"/>
      <c r="AI148" s="126"/>
      <c r="AJ148" s="198"/>
      <c r="AL148" s="102"/>
      <c r="AM148" s="2"/>
      <c r="AN148" s="2"/>
      <c r="AO148" s="2"/>
      <c r="BC148" s="1"/>
      <c r="BD148" s="2"/>
      <c r="BE148" s="2"/>
      <c r="BF148" s="2"/>
      <c r="BG148" s="2"/>
      <c r="BH148" s="2"/>
      <c r="BI148" s="2"/>
      <c r="BJ148" s="2"/>
      <c r="BK148" s="2"/>
    </row>
    <row r="149" spans="1:63" s="1" customFormat="1" outlineLevel="1">
      <c r="A149" s="1" t="s">
        <v>1160</v>
      </c>
      <c r="B149" s="61"/>
      <c r="C149" s="279">
        <f t="shared" ref="C149:AG149" si="85">C144-$C144</f>
        <v>0</v>
      </c>
      <c r="D149" s="279">
        <f t="shared" si="85"/>
        <v>33.606130218059363</v>
      </c>
      <c r="E149" s="279">
        <f t="shared" si="85"/>
        <v>76.259658608627092</v>
      </c>
      <c r="F149" s="279">
        <f t="shared" si="85"/>
        <v>128.34033876312174</v>
      </c>
      <c r="G149" s="279">
        <f t="shared" si="85"/>
        <v>190.22792427296176</v>
      </c>
      <c r="H149" s="279">
        <f t="shared" si="85"/>
        <v>262.30216872956566</v>
      </c>
      <c r="I149" s="279">
        <f t="shared" si="85"/>
        <v>344.94282572435202</v>
      </c>
      <c r="J149" s="279">
        <f t="shared" si="85"/>
        <v>438.52964884873916</v>
      </c>
      <c r="K149" s="279">
        <f t="shared" si="85"/>
        <v>543.44239169414561</v>
      </c>
      <c r="L149" s="279">
        <f t="shared" si="85"/>
        <v>660.06080785199038</v>
      </c>
      <c r="M149" s="279">
        <f t="shared" si="85"/>
        <v>788.76465091369118</v>
      </c>
      <c r="N149" s="279">
        <f t="shared" si="85"/>
        <v>1002.4295018045576</v>
      </c>
      <c r="O149" s="279">
        <f t="shared" si="85"/>
        <v>1241.204973183128</v>
      </c>
      <c r="P149" s="279">
        <f t="shared" si="85"/>
        <v>1500.5793338958454</v>
      </c>
      <c r="Q149" s="279">
        <f t="shared" si="85"/>
        <v>1784.6373874515912</v>
      </c>
      <c r="R149" s="279">
        <f t="shared" si="85"/>
        <v>2093.877360155424</v>
      </c>
      <c r="S149" s="279">
        <f t="shared" si="85"/>
        <v>2428.782888978616</v>
      </c>
      <c r="T149" s="279">
        <f t="shared" si="85"/>
        <v>2789.8228486714497</v>
      </c>
      <c r="U149" s="279">
        <f t="shared" si="85"/>
        <v>3177.4511788760133</v>
      </c>
      <c r="V149" s="279">
        <f t="shared" si="85"/>
        <v>3592.1067112389992</v>
      </c>
      <c r="W149" s="279">
        <f t="shared" si="85"/>
        <v>4034.2129965244958</v>
      </c>
      <c r="X149" s="279">
        <f t="shared" si="85"/>
        <v>4678.0288971747032</v>
      </c>
      <c r="Y149" s="279">
        <f t="shared" si="85"/>
        <v>5367.4281771792184</v>
      </c>
      <c r="Z149" s="279">
        <f t="shared" si="85"/>
        <v>6050.2750686532718</v>
      </c>
      <c r="AA149" s="279">
        <f t="shared" si="85"/>
        <v>6765.125146231464</v>
      </c>
      <c r="AB149" s="279">
        <f t="shared" si="85"/>
        <v>7510.8236999394676</v>
      </c>
      <c r="AC149" s="279">
        <f t="shared" si="85"/>
        <v>8286.0962493636671</v>
      </c>
      <c r="AD149" s="279">
        <f t="shared" si="85"/>
        <v>9089.5463741098501</v>
      </c>
      <c r="AE149" s="279">
        <f t="shared" si="85"/>
        <v>9919.6535442618751</v>
      </c>
      <c r="AF149" s="279">
        <f t="shared" si="85"/>
        <v>10774.770950840337</v>
      </c>
      <c r="AG149" s="279">
        <f t="shared" si="85"/>
        <v>11653.123336261244</v>
      </c>
      <c r="AH149" s="230"/>
      <c r="AI149" s="398"/>
      <c r="AJ149" s="399"/>
      <c r="AL149" s="207"/>
      <c r="AM149" s="118"/>
      <c r="AN149" s="118"/>
      <c r="AO149" s="118"/>
      <c r="BD149" s="118"/>
      <c r="BE149" s="118"/>
      <c r="BF149" s="118"/>
      <c r="BG149" s="118"/>
      <c r="BH149" s="118"/>
      <c r="BI149" s="118"/>
      <c r="BJ149" s="118"/>
      <c r="BK149" s="118"/>
    </row>
    <row r="150" spans="1:63" outlineLevel="1">
      <c r="A150" s="4" t="s">
        <v>35</v>
      </c>
      <c r="C150" s="216">
        <f t="shared" ref="C150:AG150" si="86">C145-$C145</f>
        <v>0</v>
      </c>
      <c r="D150" s="216">
        <f t="shared" si="86"/>
        <v>0</v>
      </c>
      <c r="E150" s="216">
        <f t="shared" si="86"/>
        <v>0</v>
      </c>
      <c r="F150" s="216">
        <f t="shared" si="86"/>
        <v>0</v>
      </c>
      <c r="G150" s="216">
        <f t="shared" si="86"/>
        <v>0</v>
      </c>
      <c r="H150" s="216">
        <f t="shared" si="86"/>
        <v>0</v>
      </c>
      <c r="I150" s="216">
        <f t="shared" si="86"/>
        <v>0</v>
      </c>
      <c r="J150" s="216">
        <f t="shared" si="86"/>
        <v>0</v>
      </c>
      <c r="K150" s="216">
        <f t="shared" si="86"/>
        <v>0</v>
      </c>
      <c r="L150" s="216">
        <f t="shared" si="86"/>
        <v>0</v>
      </c>
      <c r="M150" s="216">
        <f t="shared" si="86"/>
        <v>0</v>
      </c>
      <c r="N150" s="216">
        <f t="shared" si="86"/>
        <v>0</v>
      </c>
      <c r="O150" s="216">
        <f t="shared" si="86"/>
        <v>0</v>
      </c>
      <c r="P150" s="216">
        <f t="shared" si="86"/>
        <v>0</v>
      </c>
      <c r="Q150" s="216">
        <f t="shared" si="86"/>
        <v>0</v>
      </c>
      <c r="R150" s="216">
        <f t="shared" si="86"/>
        <v>0</v>
      </c>
      <c r="S150" s="216">
        <f t="shared" si="86"/>
        <v>0</v>
      </c>
      <c r="T150" s="216">
        <f t="shared" si="86"/>
        <v>0</v>
      </c>
      <c r="U150" s="216">
        <f t="shared" si="86"/>
        <v>0</v>
      </c>
      <c r="V150" s="216">
        <f t="shared" si="86"/>
        <v>0</v>
      </c>
      <c r="W150" s="216">
        <f t="shared" si="86"/>
        <v>0</v>
      </c>
      <c r="X150" s="216">
        <f t="shared" si="86"/>
        <v>0</v>
      </c>
      <c r="Y150" s="216">
        <f t="shared" si="86"/>
        <v>0</v>
      </c>
      <c r="Z150" s="216">
        <f t="shared" si="86"/>
        <v>0</v>
      </c>
      <c r="AA150" s="216">
        <f t="shared" si="86"/>
        <v>0</v>
      </c>
      <c r="AB150" s="216">
        <f t="shared" si="86"/>
        <v>0</v>
      </c>
      <c r="AC150" s="216">
        <f t="shared" si="86"/>
        <v>0</v>
      </c>
      <c r="AD150" s="216">
        <f t="shared" si="86"/>
        <v>0</v>
      </c>
      <c r="AE150" s="216">
        <f t="shared" si="86"/>
        <v>0</v>
      </c>
      <c r="AF150" s="216">
        <f t="shared" si="86"/>
        <v>0</v>
      </c>
      <c r="AG150" s="216">
        <f t="shared" si="86"/>
        <v>0</v>
      </c>
      <c r="AH150" s="230"/>
      <c r="AI150" s="126"/>
      <c r="AJ150" s="198"/>
      <c r="AL150" s="102"/>
      <c r="AM150" s="2"/>
      <c r="AN150" s="2"/>
      <c r="AO150" s="2"/>
      <c r="BC150" s="1"/>
      <c r="BD150" s="2"/>
      <c r="BE150" s="2"/>
      <c r="BF150" s="2"/>
      <c r="BG150" s="2"/>
      <c r="BH150" s="2"/>
      <c r="BI150" s="2"/>
      <c r="BJ150" s="2"/>
      <c r="BK150" s="2"/>
    </row>
    <row r="151" spans="1:63" outlineLevel="1">
      <c r="A151" s="4" t="s">
        <v>74</v>
      </c>
      <c r="C151" s="216">
        <f t="shared" ref="C151:AG151" si="87">C146-$C146</f>
        <v>0</v>
      </c>
      <c r="D151" s="216">
        <f t="shared" si="87"/>
        <v>18.31955661011099</v>
      </c>
      <c r="E151" s="216">
        <f t="shared" si="87"/>
        <v>40.332996501326562</v>
      </c>
      <c r="F151" s="216">
        <f t="shared" si="87"/>
        <v>65.705121172669749</v>
      </c>
      <c r="G151" s="216">
        <f t="shared" si="87"/>
        <v>94.070583746440221</v>
      </c>
      <c r="H151" s="216">
        <f t="shared" si="87"/>
        <v>125.03388896821437</v>
      </c>
      <c r="I151" s="216">
        <f t="shared" si="87"/>
        <v>158.16939320684537</v>
      </c>
      <c r="J151" s="216">
        <f t="shared" si="87"/>
        <v>193.02130445446292</v>
      </c>
      <c r="K151" s="216">
        <f t="shared" si="87"/>
        <v>229.10368232647355</v>
      </c>
      <c r="L151" s="216">
        <f t="shared" si="87"/>
        <v>265.90043806156058</v>
      </c>
      <c r="M151" s="216">
        <f t="shared" si="87"/>
        <v>302.86533452168368</v>
      </c>
      <c r="N151" s="216">
        <f t="shared" si="87"/>
        <v>366.76010733936357</v>
      </c>
      <c r="O151" s="216">
        <f t="shared" si="87"/>
        <v>431.14434438751698</v>
      </c>
      <c r="P151" s="216">
        <f t="shared" si="87"/>
        <v>493.00063072880579</v>
      </c>
      <c r="Q151" s="216">
        <f t="shared" si="87"/>
        <v>552.39962658584921</v>
      </c>
      <c r="R151" s="216">
        <f t="shared" si="87"/>
        <v>608.01994281148427</v>
      </c>
      <c r="S151" s="216">
        <f t="shared" si="87"/>
        <v>658.49658258433124</v>
      </c>
      <c r="T151" s="216">
        <f t="shared" si="87"/>
        <v>702.42234459773749</v>
      </c>
      <c r="U151" s="216">
        <f t="shared" si="87"/>
        <v>738.34924683681743</v>
      </c>
      <c r="V151" s="216">
        <f t="shared" si="87"/>
        <v>764.78997094358544</v>
      </c>
      <c r="W151" s="216">
        <f t="shared" si="87"/>
        <v>780.21932717018353</v>
      </c>
      <c r="X151" s="216">
        <f t="shared" si="87"/>
        <v>814.12999878647372</v>
      </c>
      <c r="Y151" s="216">
        <f t="shared" si="87"/>
        <v>829.72228572481356</v>
      </c>
      <c r="Z151" s="216">
        <f t="shared" si="87"/>
        <v>817.03877321828406</v>
      </c>
      <c r="AA151" s="216">
        <f t="shared" si="87"/>
        <v>781.06095435724694</v>
      </c>
      <c r="AB151" s="216">
        <f t="shared" si="87"/>
        <v>719.7687063838506</v>
      </c>
      <c r="AC151" s="216">
        <f t="shared" si="87"/>
        <v>631.22406967890322</v>
      </c>
      <c r="AD151" s="216">
        <f t="shared" si="87"/>
        <v>513.58300419918976</v>
      </c>
      <c r="AE151" s="216">
        <f t="shared" si="87"/>
        <v>365.10740427237874</v>
      </c>
      <c r="AF151" s="216">
        <f t="shared" si="87"/>
        <v>184.1773717495235</v>
      </c>
      <c r="AG151" s="216">
        <f t="shared" si="87"/>
        <v>-30.696252484840361</v>
      </c>
      <c r="AH151" s="230"/>
      <c r="AI151" s="126"/>
      <c r="AJ151" s="198"/>
      <c r="AL151" s="102"/>
      <c r="AM151" s="2"/>
      <c r="AN151" s="2"/>
      <c r="AO151" s="2"/>
      <c r="BC151" s="1"/>
      <c r="BD151" s="2"/>
      <c r="BE151" s="2"/>
      <c r="BF151" s="2"/>
      <c r="BG151" s="2"/>
      <c r="BH151" s="2"/>
      <c r="BI151" s="2"/>
      <c r="BJ151" s="2"/>
      <c r="BK151" s="2"/>
    </row>
    <row r="152" spans="1:63" outlineLevel="1">
      <c r="A152" s="4" t="s">
        <v>160</v>
      </c>
      <c r="C152" s="216">
        <f t="shared" ref="C152:AG152" si="88">C147-$C147</f>
        <v>0</v>
      </c>
      <c r="D152" s="216">
        <f t="shared" si="88"/>
        <v>1.4369059803530211</v>
      </c>
      <c r="E152" s="216">
        <f t="shared" si="88"/>
        <v>4.3131976651282153</v>
      </c>
      <c r="F152" s="216">
        <f t="shared" si="88"/>
        <v>9.1060679617269571</v>
      </c>
      <c r="G152" s="216">
        <f t="shared" si="88"/>
        <v>16.318340102230234</v>
      </c>
      <c r="H152" s="216">
        <f t="shared" si="88"/>
        <v>26.478467643398645</v>
      </c>
      <c r="I152" s="216">
        <f t="shared" si="88"/>
        <v>40.140534466672435</v>
      </c>
      <c r="J152" s="216">
        <f t="shared" si="88"/>
        <v>57.884254778171417</v>
      </c>
      <c r="K152" s="216">
        <f t="shared" si="88"/>
        <v>80.314973108695071</v>
      </c>
      <c r="L152" s="216">
        <f t="shared" si="88"/>
        <v>108.06366431372251</v>
      </c>
      <c r="M152" s="216">
        <f t="shared" si="88"/>
        <v>141.78693357341234</v>
      </c>
      <c r="N152" s="216">
        <f t="shared" si="88"/>
        <v>195.62245695933336</v>
      </c>
      <c r="O152" s="216">
        <f t="shared" si="88"/>
        <v>261.75261013679119</v>
      </c>
      <c r="P152" s="216">
        <f t="shared" si="88"/>
        <v>340.45882383570756</v>
      </c>
      <c r="Q152" s="216">
        <f t="shared" si="88"/>
        <v>433.74871332064174</v>
      </c>
      <c r="R152" s="216">
        <f t="shared" si="88"/>
        <v>542.99784077338245</v>
      </c>
      <c r="S152" s="216">
        <f t="shared" si="88"/>
        <v>669.61145600677764</v>
      </c>
      <c r="T152" s="216">
        <f t="shared" si="88"/>
        <v>815.02321604468614</v>
      </c>
      <c r="U152" s="216">
        <f t="shared" si="88"/>
        <v>980.69388719917845</v>
      </c>
      <c r="V152" s="216">
        <f t="shared" si="88"/>
        <v>1168.1100296449868</v>
      </c>
      <c r="W152" s="216">
        <f t="shared" si="88"/>
        <v>1378.7826644912004</v>
      </c>
      <c r="X152" s="216">
        <f t="shared" si="88"/>
        <v>1675.8469752976812</v>
      </c>
      <c r="Y152" s="216">
        <f t="shared" si="88"/>
        <v>2011.5583142984437</v>
      </c>
      <c r="Z152" s="216">
        <f t="shared" si="88"/>
        <v>2367.991273203842</v>
      </c>
      <c r="AA152" s="216">
        <f t="shared" si="88"/>
        <v>2760.4273309086248</v>
      </c>
      <c r="AB152" s="216">
        <f t="shared" si="88"/>
        <v>3189.9993709469859</v>
      </c>
      <c r="AC152" s="216">
        <f t="shared" si="88"/>
        <v>3657.7098001393433</v>
      </c>
      <c r="AD152" s="216">
        <f t="shared" si="88"/>
        <v>4164.4194557811716</v>
      </c>
      <c r="AE152" s="216">
        <f t="shared" si="88"/>
        <v>4710.8362931918264</v>
      </c>
      <c r="AF152" s="216">
        <f t="shared" si="88"/>
        <v>5297.503853623396</v>
      </c>
      <c r="AG152" s="216">
        <f t="shared" si="88"/>
        <v>5924.7895125295572</v>
      </c>
      <c r="AH152" s="230"/>
      <c r="AI152" s="126"/>
      <c r="AJ152" s="198"/>
      <c r="AL152" s="102"/>
      <c r="AM152" s="2"/>
      <c r="AN152" s="2"/>
      <c r="AO152" s="2"/>
      <c r="BC152" s="1"/>
      <c r="BD152" s="2"/>
      <c r="BE152" s="2"/>
      <c r="BF152" s="2"/>
      <c r="BG152" s="2"/>
      <c r="BH152" s="2"/>
      <c r="BI152" s="2"/>
      <c r="BJ152" s="2"/>
      <c r="BK152" s="2"/>
    </row>
    <row r="153" spans="1:63" outlineLevel="1">
      <c r="A153" s="4" t="s">
        <v>1159</v>
      </c>
      <c r="C153" s="216">
        <f t="shared" ref="C153:AG153" si="89">C148-$C148</f>
        <v>0</v>
      </c>
      <c r="D153" s="216">
        <f t="shared" si="89"/>
        <v>13.849667627595348</v>
      </c>
      <c r="E153" s="216">
        <f t="shared" si="89"/>
        <v>31.613464442172312</v>
      </c>
      <c r="F153" s="216">
        <f t="shared" si="89"/>
        <v>53.529149628725023</v>
      </c>
      <c r="G153" s="216">
        <f t="shared" si="89"/>
        <v>79.839000424291285</v>
      </c>
      <c r="H153" s="216">
        <f t="shared" si="89"/>
        <v>110.78981211795258</v>
      </c>
      <c r="I153" s="216">
        <f t="shared" si="89"/>
        <v>146.63289805083411</v>
      </c>
      <c r="J153" s="216">
        <f t="shared" si="89"/>
        <v>187.62408961610473</v>
      </c>
      <c r="K153" s="216">
        <f t="shared" si="89"/>
        <v>234.02373625897692</v>
      </c>
      <c r="L153" s="216">
        <f t="shared" si="89"/>
        <v>286.09670547670714</v>
      </c>
      <c r="M153" s="216">
        <f t="shared" si="89"/>
        <v>344.11238281859494</v>
      </c>
      <c r="N153" s="216">
        <f t="shared" si="89"/>
        <v>440.0469375058604</v>
      </c>
      <c r="O153" s="216">
        <f t="shared" si="89"/>
        <v>548.30801865881938</v>
      </c>
      <c r="P153" s="216">
        <f t="shared" si="89"/>
        <v>667.1198793313315</v>
      </c>
      <c r="Q153" s="216">
        <f t="shared" si="89"/>
        <v>798.48904754509954</v>
      </c>
      <c r="R153" s="216">
        <f t="shared" si="89"/>
        <v>942.85957657055633</v>
      </c>
      <c r="S153" s="216">
        <f t="shared" si="89"/>
        <v>1100.6748503875062</v>
      </c>
      <c r="T153" s="216">
        <f t="shared" si="89"/>
        <v>1272.3772880290248</v>
      </c>
      <c r="U153" s="216">
        <f t="shared" si="89"/>
        <v>1458.4080448400161</v>
      </c>
      <c r="V153" s="216">
        <f t="shared" si="89"/>
        <v>1659.2067106504255</v>
      </c>
      <c r="W153" s="216">
        <f t="shared" si="89"/>
        <v>1875.21100486311</v>
      </c>
      <c r="X153" s="216">
        <f t="shared" si="89"/>
        <v>2188.051923090547</v>
      </c>
      <c r="Y153" s="216">
        <f t="shared" si="89"/>
        <v>2526.1475771559594</v>
      </c>
      <c r="Z153" s="216">
        <f t="shared" si="89"/>
        <v>2865.245022231144</v>
      </c>
      <c r="AA153" s="216">
        <f t="shared" si="89"/>
        <v>3223.6368609655901</v>
      </c>
      <c r="AB153" s="216">
        <f t="shared" si="89"/>
        <v>3601.0556226086292</v>
      </c>
      <c r="AC153" s="216">
        <f t="shared" si="89"/>
        <v>3997.162379545417</v>
      </c>
      <c r="AD153" s="216">
        <f t="shared" si="89"/>
        <v>4411.5439141294846</v>
      </c>
      <c r="AE153" s="216">
        <f t="shared" si="89"/>
        <v>4843.7098467976657</v>
      </c>
      <c r="AF153" s="216">
        <f t="shared" si="89"/>
        <v>5293.0897254674137</v>
      </c>
      <c r="AG153" s="216">
        <f t="shared" si="89"/>
        <v>5759.0300762165243</v>
      </c>
      <c r="AH153" s="230"/>
      <c r="AI153" s="126"/>
      <c r="AJ153" s="198"/>
      <c r="AL153" s="102"/>
      <c r="AM153" s="2"/>
      <c r="AN153" s="2"/>
      <c r="AO153" s="2"/>
      <c r="BC153" s="1"/>
      <c r="BD153" s="2"/>
      <c r="BE153" s="2"/>
      <c r="BF153" s="2"/>
      <c r="BG153" s="2"/>
      <c r="BH153" s="2"/>
      <c r="BI153" s="2"/>
      <c r="BJ153" s="2"/>
      <c r="BK153" s="2"/>
    </row>
    <row r="154" spans="1:63" s="1" customFormat="1" outlineLevel="1">
      <c r="A154" s="1" t="s">
        <v>1163</v>
      </c>
      <c r="B154" s="61"/>
      <c r="C154" s="279">
        <f>C40*C140</f>
        <v>308.29269578941341</v>
      </c>
      <c r="D154" s="279">
        <f t="shared" ref="D154:AG154" si="90">D40*D140</f>
        <v>381.51721540643302</v>
      </c>
      <c r="E154" s="279">
        <f t="shared" si="90"/>
        <v>452.77975280065965</v>
      </c>
      <c r="F154" s="279">
        <f t="shared" si="90"/>
        <v>521.88283610455562</v>
      </c>
      <c r="G154" s="279">
        <f t="shared" si="90"/>
        <v>588.62899345058361</v>
      </c>
      <c r="H154" s="279">
        <f t="shared" si="90"/>
        <v>652.82075297120559</v>
      </c>
      <c r="I154" s="279">
        <f t="shared" si="90"/>
        <v>714.26064279888442</v>
      </c>
      <c r="J154" s="279">
        <f t="shared" si="90"/>
        <v>772.75119106608179</v>
      </c>
      <c r="K154" s="279">
        <f t="shared" si="90"/>
        <v>828.09492590526054</v>
      </c>
      <c r="L154" s="279">
        <f t="shared" si="90"/>
        <v>880.09437544888317</v>
      </c>
      <c r="M154" s="279">
        <f t="shared" si="90"/>
        <v>928.55206782941161</v>
      </c>
      <c r="N154" s="279">
        <f t="shared" si="90"/>
        <v>1045.1594167029621</v>
      </c>
      <c r="O154" s="279">
        <f t="shared" si="90"/>
        <v>1154.4899364811658</v>
      </c>
      <c r="P154" s="279">
        <f t="shared" si="90"/>
        <v>1251.843017833148</v>
      </c>
      <c r="Q154" s="279">
        <f t="shared" si="90"/>
        <v>1340.4196854694724</v>
      </c>
      <c r="R154" s="279">
        <f t="shared" si="90"/>
        <v>1419.8854571799509</v>
      </c>
      <c r="S154" s="279">
        <f t="shared" si="90"/>
        <v>1489.9126880300785</v>
      </c>
      <c r="T154" s="279">
        <f t="shared" si="90"/>
        <v>1550.180660262379</v>
      </c>
      <c r="U154" s="279">
        <f t="shared" si="90"/>
        <v>1600.3756731977526</v>
      </c>
      <c r="V154" s="279">
        <f t="shared" si="90"/>
        <v>1640.1911331368196</v>
      </c>
      <c r="W154" s="279">
        <f t="shared" si="90"/>
        <v>1669.327643261272</v>
      </c>
      <c r="X154" s="279">
        <f t="shared" si="90"/>
        <v>1751.889322270988</v>
      </c>
      <c r="Y154" s="279">
        <f t="shared" si="90"/>
        <v>1816.785064726241</v>
      </c>
      <c r="Z154" s="279">
        <f t="shared" si="90"/>
        <v>1847.5411446246051</v>
      </c>
      <c r="AA154" s="279">
        <f t="shared" si="90"/>
        <v>1858.7920106266185</v>
      </c>
      <c r="AB154" s="279">
        <f t="shared" si="90"/>
        <v>1850.5582985750332</v>
      </c>
      <c r="AC154" s="279">
        <f t="shared" si="90"/>
        <v>1822.9135235952676</v>
      </c>
      <c r="AD154" s="279">
        <f t="shared" si="90"/>
        <v>1775.9852082569057</v>
      </c>
      <c r="AE154" s="279">
        <f t="shared" si="90"/>
        <v>1709.9560107351851</v>
      </c>
      <c r="AF154" s="279">
        <f t="shared" si="90"/>
        <v>1625.0648529724838</v>
      </c>
      <c r="AG154" s="279">
        <f t="shared" si="90"/>
        <v>1521.6080488398179</v>
      </c>
      <c r="AH154" s="230"/>
      <c r="AI154" s="398"/>
      <c r="AJ154" s="399"/>
      <c r="AL154" s="207"/>
      <c r="AM154" s="118"/>
      <c r="AN154" s="118"/>
      <c r="AO154" s="118"/>
      <c r="BD154" s="118"/>
      <c r="BE154" s="118"/>
      <c r="BF154" s="118"/>
      <c r="BG154" s="118"/>
      <c r="BH154" s="118"/>
      <c r="BI154" s="118"/>
      <c r="BJ154" s="118"/>
      <c r="BK154" s="118"/>
    </row>
    <row r="155" spans="1:63" outlineLevel="1">
      <c r="A155" s="4" t="s">
        <v>35</v>
      </c>
      <c r="C155" s="216">
        <f>C$154*'BTX recycling rates'!E62</f>
        <v>0</v>
      </c>
      <c r="D155" s="216">
        <f>D$154*'BTX recycling rates'!F62</f>
        <v>0</v>
      </c>
      <c r="E155" s="216">
        <f>E$154*'BTX recycling rates'!G62</f>
        <v>0</v>
      </c>
      <c r="F155" s="216">
        <f>F$154*'BTX recycling rates'!H62</f>
        <v>0</v>
      </c>
      <c r="G155" s="216">
        <f>G$154*'BTX recycling rates'!I62</f>
        <v>0</v>
      </c>
      <c r="H155" s="216">
        <f>H$154*'BTX recycling rates'!J62</f>
        <v>0</v>
      </c>
      <c r="I155" s="216">
        <f>I$154*'BTX recycling rates'!K62</f>
        <v>0</v>
      </c>
      <c r="J155" s="216">
        <f>J$154*'BTX recycling rates'!L62</f>
        <v>0</v>
      </c>
      <c r="K155" s="216">
        <f>K$154*'BTX recycling rates'!M62</f>
        <v>0</v>
      </c>
      <c r="L155" s="216">
        <f>L$154*'BTX recycling rates'!N62</f>
        <v>0</v>
      </c>
      <c r="M155" s="216">
        <f>M$154*'BTX recycling rates'!O62</f>
        <v>0</v>
      </c>
      <c r="N155" s="216">
        <f>N$154*'BTX recycling rates'!P62</f>
        <v>0</v>
      </c>
      <c r="O155" s="216">
        <f>O$154*'BTX recycling rates'!Q62</f>
        <v>0</v>
      </c>
      <c r="P155" s="216">
        <f>P$154*'BTX recycling rates'!R62</f>
        <v>0</v>
      </c>
      <c r="Q155" s="216">
        <f>Q$154*'BTX recycling rates'!S62</f>
        <v>0</v>
      </c>
      <c r="R155" s="216">
        <f>R$154*'BTX recycling rates'!T62</f>
        <v>0</v>
      </c>
      <c r="S155" s="216">
        <f>S$154*'BTX recycling rates'!U62</f>
        <v>0</v>
      </c>
      <c r="T155" s="216">
        <f>T$154*'BTX recycling rates'!V62</f>
        <v>0</v>
      </c>
      <c r="U155" s="216">
        <f>U$154*'BTX recycling rates'!W62</f>
        <v>0</v>
      </c>
      <c r="V155" s="216">
        <f>V$154*'BTX recycling rates'!X62</f>
        <v>0</v>
      </c>
      <c r="W155" s="216">
        <f>W$154*'BTX recycling rates'!Y62</f>
        <v>0</v>
      </c>
      <c r="X155" s="216">
        <f>X$154*'BTX recycling rates'!Z62</f>
        <v>0</v>
      </c>
      <c r="Y155" s="216">
        <f>Y$154*'BTX recycling rates'!AA62</f>
        <v>0</v>
      </c>
      <c r="Z155" s="216">
        <f>Z$154*'BTX recycling rates'!AB62</f>
        <v>0</v>
      </c>
      <c r="AA155" s="216">
        <f>AA$154*'BTX recycling rates'!AC62</f>
        <v>0</v>
      </c>
      <c r="AB155" s="216">
        <f>AB$154*'BTX recycling rates'!AD62</f>
        <v>0</v>
      </c>
      <c r="AC155" s="216">
        <f>AC$154*'BTX recycling rates'!AE62</f>
        <v>0</v>
      </c>
      <c r="AD155" s="216">
        <f>AD$154*'BTX recycling rates'!AF62</f>
        <v>0</v>
      </c>
      <c r="AE155" s="216">
        <f>AE$154*'BTX recycling rates'!AG62</f>
        <v>0</v>
      </c>
      <c r="AF155" s="216">
        <f>AF$154*'BTX recycling rates'!AH62</f>
        <v>0</v>
      </c>
      <c r="AG155" s="216">
        <f>AG$154*'BTX recycling rates'!AI62</f>
        <v>0</v>
      </c>
      <c r="AH155" s="230"/>
      <c r="AI155" s="126"/>
      <c r="AJ155" s="198"/>
      <c r="AL155" s="102"/>
      <c r="AM155" s="2"/>
      <c r="AN155" s="2"/>
      <c r="AO155" s="2"/>
      <c r="BC155" s="1"/>
      <c r="BD155" s="2"/>
      <c r="BE155" s="2"/>
      <c r="BF155" s="2"/>
      <c r="BG155" s="2"/>
      <c r="BH155" s="2"/>
      <c r="BI155" s="2"/>
      <c r="BJ155" s="2"/>
      <c r="BK155" s="2"/>
    </row>
    <row r="156" spans="1:63" outlineLevel="1">
      <c r="A156" s="4" t="s">
        <v>74</v>
      </c>
      <c r="C156" s="216">
        <f>C$154*'BTX recycling rates'!E63</f>
        <v>183.5635898593454</v>
      </c>
      <c r="D156" s="216">
        <f>D$154*'BTX recycling rates'!F63</f>
        <v>219.59082474538206</v>
      </c>
      <c r="E156" s="216">
        <f>E$154*'BTX recycling rates'!G63</f>
        <v>251.62111453349635</v>
      </c>
      <c r="F156" s="216">
        <f>F$154*'BTX recycling rates'!H63</f>
        <v>279.66545873694503</v>
      </c>
      <c r="G156" s="216">
        <f>G$154*'BTX recycling rates'!I63</f>
        <v>303.75053402488129</v>
      </c>
      <c r="H156" s="216">
        <f>H$154*'BTX recycling rates'!J63</f>
        <v>323.91869422235391</v>
      </c>
      <c r="I156" s="216">
        <f>I$154*'BTX recycling rates'!K63</f>
        <v>340.22797031030825</v>
      </c>
      <c r="J156" s="216">
        <f>J$154*'BTX recycling rates'!L63</f>
        <v>352.75207042558537</v>
      </c>
      <c r="K156" s="216">
        <f>K$154*'BTX recycling rates'!M63</f>
        <v>361.58037986092285</v>
      </c>
      <c r="L156" s="216">
        <f>L$154*'BTX recycling rates'!N63</f>
        <v>366.81796106495426</v>
      </c>
      <c r="M156" s="216">
        <f>M$154*'BTX recycling rates'!O63</f>
        <v>368.58555364220911</v>
      </c>
      <c r="N156" s="216">
        <f>N$154*'BTX recycling rates'!P63</f>
        <v>394.12881820707105</v>
      </c>
      <c r="O156" s="216">
        <f>O$154*'BTX recycling rates'!Q63</f>
        <v>412.44373303296595</v>
      </c>
      <c r="P156" s="216">
        <f>P$154*'BTX recycling rates'!R63</f>
        <v>422.37756784904667</v>
      </c>
      <c r="Q156" s="216">
        <f>Q$154*'BTX recycling rates'!S63</f>
        <v>425.65999172160321</v>
      </c>
      <c r="R156" s="216">
        <f>R$154*'BTX recycling rates'!T63</f>
        <v>422.71399106884007</v>
      </c>
      <c r="S156" s="216">
        <f>S$154*'BTX recycling rates'!U63</f>
        <v>413.99100644499862</v>
      </c>
      <c r="T156" s="216">
        <f>T$154*'BTX recycling rates'!V63</f>
        <v>399.97027722800283</v>
      </c>
      <c r="U156" s="216">
        <f>U$154*'BTX recycling rates'!W63</f>
        <v>381.15817560129648</v>
      </c>
      <c r="V156" s="216">
        <f>V$154*'BTX recycling rates'!X63</f>
        <v>358.08752982987022</v>
      </c>
      <c r="W156" s="216">
        <f>W$154*'BTX recycling rates'!Y63</f>
        <v>331.3169368304811</v>
      </c>
      <c r="X156" s="216">
        <f>X$154*'BTX recycling rates'!Z63</f>
        <v>312.93290184077148</v>
      </c>
      <c r="Y156" s="216">
        <f>Y$154*'BTX recycling rates'!AA63</f>
        <v>288.46663623134162</v>
      </c>
      <c r="Z156" s="216">
        <f>Z$154*'BTX recycling rates'!AB63</f>
        <v>256.68128879517366</v>
      </c>
      <c r="AA156" s="216">
        <f>AA$154*'BTX recycling rates'!AC63</f>
        <v>221.3523310364518</v>
      </c>
      <c r="AB156" s="216">
        <f>AB$154*'BTX recycling rates'!AD63</f>
        <v>183.64318993492648</v>
      </c>
      <c r="AC156" s="216">
        <f>AC$154*'BTX recycling rates'!AE63</f>
        <v>144.71985225489104</v>
      </c>
      <c r="AD156" s="216">
        <f>AD$154*'BTX recycling rates'!AF63</f>
        <v>105.74568415575426</v>
      </c>
      <c r="AE156" s="216">
        <f>AE$154*'BTX recycling rates'!AG63</f>
        <v>67.876116456663425</v>
      </c>
      <c r="AF156" s="216">
        <f>AF$154*'BTX recycling rates'!AH63</f>
        <v>32.253195555178671</v>
      </c>
      <c r="AG156" s="216">
        <f>AG$154*'BTX recycling rates'!AI63</f>
        <v>0</v>
      </c>
      <c r="AH156" s="230"/>
      <c r="AI156" s="126"/>
      <c r="AJ156" s="198"/>
      <c r="AL156" s="102"/>
      <c r="AM156" s="2"/>
      <c r="AN156" s="2"/>
      <c r="AO156" s="2"/>
      <c r="BC156" s="1"/>
      <c r="BD156" s="2"/>
      <c r="BE156" s="2"/>
      <c r="BF156" s="2"/>
      <c r="BG156" s="2"/>
      <c r="BH156" s="2"/>
      <c r="BI156" s="2"/>
      <c r="BJ156" s="2"/>
      <c r="BK156" s="2"/>
    </row>
    <row r="157" spans="1:63" outlineLevel="1">
      <c r="A157" s="4" t="s">
        <v>160</v>
      </c>
      <c r="C157" s="216">
        <f>C$154*'BTX recycling rates'!E64</f>
        <v>0</v>
      </c>
      <c r="D157" s="216">
        <f>D$154*'BTX recycling rates'!F64</f>
        <v>6.437338791981535</v>
      </c>
      <c r="E157" s="216">
        <f>E$154*'BTX recycling rates'!G64</f>
        <v>15.279502728716706</v>
      </c>
      <c r="F157" s="216">
        <f>F$154*'BTX recycling rates'!H64</f>
        <v>26.417182423704727</v>
      </c>
      <c r="G157" s="216">
        <f>G$154*'BTX recycling rates'!I64</f>
        <v>39.727740721611426</v>
      </c>
      <c r="H157" s="216">
        <f>H$154*'BTX recycling rates'!J64</f>
        <v>55.075212698269191</v>
      </c>
      <c r="I157" s="216">
        <f>I$154*'BTX recycling rates'!K64</f>
        <v>72.310305660677074</v>
      </c>
      <c r="J157" s="216">
        <f>J$154*'BTX recycling rates'!L64</f>
        <v>91.270399147000632</v>
      </c>
      <c r="K157" s="216">
        <f>K$154*'BTX recycling rates'!M64</f>
        <v>111.7795449265721</v>
      </c>
      <c r="L157" s="216">
        <f>L$154*'BTX recycling rates'!N64</f>
        <v>133.64846699989033</v>
      </c>
      <c r="M157" s="216">
        <f>M$154*'BTX recycling rates'!O64</f>
        <v>156.67456159862061</v>
      </c>
      <c r="N157" s="216">
        <f>N$154*'BTX recycling rates'!P64</f>
        <v>193.98468755223195</v>
      </c>
      <c r="O157" s="216">
        <f>O$154*'BTX recycling rates'!Q64</f>
        <v>233.7564614004213</v>
      </c>
      <c r="P157" s="216">
        <f>P$154*'BTX recycling rates'!R64</f>
        <v>274.59046363239094</v>
      </c>
      <c r="Q157" s="216">
        <f>Q$154*'BTX recycling rates'!S64</f>
        <v>316.63656072406837</v>
      </c>
      <c r="R157" s="216">
        <f>R$154*'BTX recycling rates'!T64</f>
        <v>359.36584371183841</v>
      </c>
      <c r="S157" s="216">
        <f>S$154*'BTX recycling rates'!U64</f>
        <v>402.22867460820896</v>
      </c>
      <c r="T157" s="216">
        <f>T$154*'BTX recycling rates'!V64</f>
        <v>444.65528901585463</v>
      </c>
      <c r="U157" s="216">
        <f>U$154*'BTX recycling rates'!W64</f>
        <v>486.05640784309264</v>
      </c>
      <c r="V157" s="216">
        <f>V$154*'BTX recycling rates'!X64</f>
        <v>525.82385812078769</v>
      </c>
      <c r="W157" s="216">
        <f>W$154*'BTX recycling rates'!Y64</f>
        <v>563.33120292069032</v>
      </c>
      <c r="X157" s="216">
        <f>X$154*'BTX recycling rates'!Z64</f>
        <v>620.75208509656545</v>
      </c>
      <c r="Y157" s="216">
        <f>Y$154*'BTX recycling rates'!AA64</f>
        <v>674.40139274110925</v>
      </c>
      <c r="Z157" s="216">
        <f>Z$154*'BTX recycling rates'!AB64</f>
        <v>716.99178803842847</v>
      </c>
      <c r="AA157" s="216">
        <f>AA$154*'BTX recycling rates'!AC64</f>
        <v>752.72140389166805</v>
      </c>
      <c r="AB157" s="216">
        <f>AB$154*'BTX recycling rates'!AD64</f>
        <v>780.61161077290842</v>
      </c>
      <c r="AC157" s="216">
        <f>AC$154*'BTX recycling rates'!AE64</f>
        <v>799.7083699395555</v>
      </c>
      <c r="AD157" s="216">
        <f>AD$154*'BTX recycling rates'!AF64</f>
        <v>809.08720855176921</v>
      </c>
      <c r="AE157" s="216">
        <f>AE$154*'BTX recycling rates'!AG64</f>
        <v>807.85830900268218</v>
      </c>
      <c r="AF157" s="216">
        <f>AF$154*'BTX recycling rates'!AH64</f>
        <v>795.17171246140697</v>
      </c>
      <c r="AG157" s="216">
        <f>AG$154*'BTX recycling rates'!AI64</f>
        <v>770.22263662884222</v>
      </c>
      <c r="AH157" s="230"/>
      <c r="AI157" s="126"/>
      <c r="AJ157" s="198"/>
      <c r="AL157" s="102"/>
      <c r="AM157" s="2"/>
      <c r="AN157" s="2"/>
      <c r="AO157" s="2"/>
      <c r="BC157" s="1"/>
      <c r="BD157" s="2"/>
      <c r="BE157" s="2"/>
      <c r="BF157" s="2"/>
      <c r="BG157" s="2"/>
      <c r="BH157" s="2"/>
      <c r="BI157" s="2"/>
      <c r="BJ157" s="2"/>
      <c r="BK157" s="2"/>
    </row>
    <row r="158" spans="1:63" outlineLevel="1">
      <c r="A158" s="4" t="s">
        <v>1159</v>
      </c>
      <c r="C158" s="216">
        <f>C$154*'BTX recycling rates'!E65</f>
        <v>124.72910593006803</v>
      </c>
      <c r="D158" s="216">
        <f>D$154*'BTX recycling rates'!F65</f>
        <v>155.48905186906941</v>
      </c>
      <c r="E158" s="216">
        <f>E$154*'BTX recycling rates'!G65</f>
        <v>185.87913553844658</v>
      </c>
      <c r="F158" s="216">
        <f>F$154*'BTX recycling rates'!H65</f>
        <v>215.80019494390581</v>
      </c>
      <c r="G158" s="216">
        <f>G$154*'BTX recycling rates'!I65</f>
        <v>245.15071870409085</v>
      </c>
      <c r="H158" s="216">
        <f>H$154*'BTX recycling rates'!J65</f>
        <v>273.82684605058245</v>
      </c>
      <c r="I158" s="216">
        <f>I$154*'BTX recycling rates'!K65</f>
        <v>301.72236682789901</v>
      </c>
      <c r="J158" s="216">
        <f>J$154*'BTX recycling rates'!L65</f>
        <v>328.72872149349564</v>
      </c>
      <c r="K158" s="216">
        <f>K$154*'BTX recycling rates'!M65</f>
        <v>354.73500111776542</v>
      </c>
      <c r="L158" s="216">
        <f>L$154*'BTX recycling rates'!N65</f>
        <v>379.62794738403841</v>
      </c>
      <c r="M158" s="216">
        <f>M$154*'BTX recycling rates'!O65</f>
        <v>403.29195258858169</v>
      </c>
      <c r="N158" s="216">
        <f>N$154*'BTX recycling rates'!P65</f>
        <v>457.04591094365878</v>
      </c>
      <c r="O158" s="216">
        <f>O$154*'BTX recycling rates'!Q65</f>
        <v>508.28974204777825</v>
      </c>
      <c r="P158" s="216">
        <f>P$154*'BTX recycling rates'!R65</f>
        <v>554.87498635170994</v>
      </c>
      <c r="Q158" s="216">
        <f>Q$154*'BTX recycling rates'!S65</f>
        <v>598.12313302380028</v>
      </c>
      <c r="R158" s="216">
        <f>R$154*'BTX recycling rates'!T65</f>
        <v>637.80562239927178</v>
      </c>
      <c r="S158" s="216">
        <f>S$154*'BTX recycling rates'!U65</f>
        <v>673.69300697687038</v>
      </c>
      <c r="T158" s="216">
        <f>T$154*'BTX recycling rates'!V65</f>
        <v>705.55509401852089</v>
      </c>
      <c r="U158" s="216">
        <f>U$154*'BTX recycling rates'!W65</f>
        <v>733.16108975336283</v>
      </c>
      <c r="V158" s="216">
        <f>V$154*'BTX recycling rates'!X65</f>
        <v>756.27974518616111</v>
      </c>
      <c r="W158" s="216">
        <f>W$154*'BTX recycling rates'!Y65</f>
        <v>774.67950351009995</v>
      </c>
      <c r="X158" s="216">
        <f>X$154*'BTX recycling rates'!Z65</f>
        <v>818.20433533365042</v>
      </c>
      <c r="Y158" s="216">
        <f>Y$154*'BTX recycling rates'!AA65</f>
        <v>853.91703575378938</v>
      </c>
      <c r="Z158" s="216">
        <f>Z$154*'BTX recycling rates'!AB65</f>
        <v>873.8680677910022</v>
      </c>
      <c r="AA158" s="216">
        <f>AA$154*'BTX recycling rates'!AC65</f>
        <v>884.71827569849802</v>
      </c>
      <c r="AB158" s="216">
        <f>AB$154*'BTX recycling rates'!AD65</f>
        <v>886.30349786719762</v>
      </c>
      <c r="AC158" s="216">
        <f>AC$154*'BTX recycling rates'!AE65</f>
        <v>878.4853014008205</v>
      </c>
      <c r="AD158" s="216">
        <f>AD$154*'BTX recycling rates'!AF65</f>
        <v>861.15231554938157</v>
      </c>
      <c r="AE158" s="216">
        <f>AE$154*'BTX recycling rates'!AG65</f>
        <v>834.22158527583906</v>
      </c>
      <c r="AF158" s="216">
        <f>AF$154*'BTX recycling rates'!AH65</f>
        <v>797.63994495589759</v>
      </c>
      <c r="AG158" s="216">
        <f>AG$154*'BTX recycling rates'!AI65</f>
        <v>751.38541221097557</v>
      </c>
      <c r="AH158" s="230"/>
      <c r="AI158" s="126"/>
      <c r="AJ158" s="198"/>
      <c r="AL158" s="102"/>
      <c r="AM158" s="2"/>
      <c r="AN158" s="2"/>
      <c r="AO158" s="2"/>
      <c r="BC158" s="1"/>
      <c r="BD158" s="2"/>
      <c r="BE158" s="2"/>
      <c r="BF158" s="2"/>
      <c r="BG158" s="2"/>
      <c r="BH158" s="2"/>
      <c r="BI158" s="2"/>
      <c r="BJ158" s="2"/>
      <c r="BK158" s="2"/>
    </row>
    <row r="159" spans="1:63" s="1" customFormat="1" outlineLevel="1">
      <c r="A159" s="1" t="s">
        <v>1166</v>
      </c>
      <c r="B159" s="61"/>
      <c r="C159" s="279">
        <f t="shared" ref="C159:AG159" si="91">C154-$C154</f>
        <v>0</v>
      </c>
      <c r="D159" s="279">
        <f t="shared" si="91"/>
        <v>73.22451961701961</v>
      </c>
      <c r="E159" s="279">
        <f t="shared" si="91"/>
        <v>144.48705701124624</v>
      </c>
      <c r="F159" s="279">
        <f t="shared" si="91"/>
        <v>213.59014031514221</v>
      </c>
      <c r="G159" s="279">
        <f t="shared" si="91"/>
        <v>280.33629766117019</v>
      </c>
      <c r="H159" s="279">
        <f t="shared" si="91"/>
        <v>344.52805718179218</v>
      </c>
      <c r="I159" s="279">
        <f t="shared" si="91"/>
        <v>405.967947009471</v>
      </c>
      <c r="J159" s="279">
        <f t="shared" si="91"/>
        <v>464.45849527666837</v>
      </c>
      <c r="K159" s="279">
        <f t="shared" si="91"/>
        <v>519.80223011584712</v>
      </c>
      <c r="L159" s="279">
        <f t="shared" si="91"/>
        <v>571.80167965946976</v>
      </c>
      <c r="M159" s="279">
        <f t="shared" si="91"/>
        <v>620.2593720399982</v>
      </c>
      <c r="N159" s="279">
        <f t="shared" si="91"/>
        <v>736.86672091354865</v>
      </c>
      <c r="O159" s="279">
        <f t="shared" si="91"/>
        <v>846.19724069175243</v>
      </c>
      <c r="P159" s="279">
        <f t="shared" si="91"/>
        <v>943.55032204373458</v>
      </c>
      <c r="Q159" s="279">
        <f t="shared" si="91"/>
        <v>1032.1269896800591</v>
      </c>
      <c r="R159" s="279">
        <f t="shared" si="91"/>
        <v>1111.5927613905374</v>
      </c>
      <c r="S159" s="279">
        <f t="shared" si="91"/>
        <v>1181.6199922406649</v>
      </c>
      <c r="T159" s="279">
        <f t="shared" si="91"/>
        <v>1241.8879644729655</v>
      </c>
      <c r="U159" s="279">
        <f t="shared" si="91"/>
        <v>1292.082977408339</v>
      </c>
      <c r="V159" s="279">
        <f t="shared" si="91"/>
        <v>1331.8984373474063</v>
      </c>
      <c r="W159" s="279">
        <f t="shared" si="91"/>
        <v>1361.0349474718587</v>
      </c>
      <c r="X159" s="279">
        <f t="shared" si="91"/>
        <v>1443.5966264815747</v>
      </c>
      <c r="Y159" s="279">
        <f t="shared" si="91"/>
        <v>1508.4923689368275</v>
      </c>
      <c r="Z159" s="279">
        <f t="shared" si="91"/>
        <v>1539.2484488351915</v>
      </c>
      <c r="AA159" s="279">
        <f t="shared" si="91"/>
        <v>1550.499314837205</v>
      </c>
      <c r="AB159" s="279">
        <f t="shared" si="91"/>
        <v>1542.2656027856196</v>
      </c>
      <c r="AC159" s="279">
        <f t="shared" si="91"/>
        <v>1514.6208278058543</v>
      </c>
      <c r="AD159" s="279">
        <f t="shared" si="91"/>
        <v>1467.6925124674922</v>
      </c>
      <c r="AE159" s="279">
        <f t="shared" si="91"/>
        <v>1401.6633149457716</v>
      </c>
      <c r="AF159" s="279">
        <f t="shared" si="91"/>
        <v>1316.7721571830702</v>
      </c>
      <c r="AG159" s="279">
        <f t="shared" si="91"/>
        <v>1213.3153530504046</v>
      </c>
      <c r="AH159" s="230"/>
      <c r="AI159" s="398"/>
      <c r="AJ159" s="399"/>
      <c r="AL159" s="207"/>
      <c r="AM159" s="118"/>
      <c r="AN159" s="118"/>
      <c r="AO159" s="118"/>
      <c r="BD159" s="118"/>
      <c r="BE159" s="118"/>
      <c r="BF159" s="118"/>
      <c r="BG159" s="118"/>
      <c r="BH159" s="118"/>
      <c r="BI159" s="118"/>
      <c r="BJ159" s="118"/>
      <c r="BK159" s="118"/>
    </row>
    <row r="160" spans="1:63" outlineLevel="1">
      <c r="A160" s="4" t="s">
        <v>35</v>
      </c>
      <c r="C160" s="216">
        <f t="shared" ref="C160:AG160" si="92">C155-$C155</f>
        <v>0</v>
      </c>
      <c r="D160" s="216">
        <f t="shared" si="92"/>
        <v>0</v>
      </c>
      <c r="E160" s="216">
        <f t="shared" si="92"/>
        <v>0</v>
      </c>
      <c r="F160" s="216">
        <f t="shared" si="92"/>
        <v>0</v>
      </c>
      <c r="G160" s="216">
        <f t="shared" si="92"/>
        <v>0</v>
      </c>
      <c r="H160" s="216">
        <f t="shared" si="92"/>
        <v>0</v>
      </c>
      <c r="I160" s="216">
        <f t="shared" si="92"/>
        <v>0</v>
      </c>
      <c r="J160" s="216">
        <f t="shared" si="92"/>
        <v>0</v>
      </c>
      <c r="K160" s="216">
        <f t="shared" si="92"/>
        <v>0</v>
      </c>
      <c r="L160" s="216">
        <f t="shared" si="92"/>
        <v>0</v>
      </c>
      <c r="M160" s="216">
        <f t="shared" si="92"/>
        <v>0</v>
      </c>
      <c r="N160" s="216">
        <f t="shared" si="92"/>
        <v>0</v>
      </c>
      <c r="O160" s="216">
        <f t="shared" si="92"/>
        <v>0</v>
      </c>
      <c r="P160" s="216">
        <f t="shared" si="92"/>
        <v>0</v>
      </c>
      <c r="Q160" s="216">
        <f t="shared" si="92"/>
        <v>0</v>
      </c>
      <c r="R160" s="216">
        <f t="shared" si="92"/>
        <v>0</v>
      </c>
      <c r="S160" s="216">
        <f t="shared" si="92"/>
        <v>0</v>
      </c>
      <c r="T160" s="216">
        <f t="shared" si="92"/>
        <v>0</v>
      </c>
      <c r="U160" s="216">
        <f t="shared" si="92"/>
        <v>0</v>
      </c>
      <c r="V160" s="216">
        <f t="shared" si="92"/>
        <v>0</v>
      </c>
      <c r="W160" s="216">
        <f t="shared" si="92"/>
        <v>0</v>
      </c>
      <c r="X160" s="216">
        <f t="shared" si="92"/>
        <v>0</v>
      </c>
      <c r="Y160" s="216">
        <f t="shared" si="92"/>
        <v>0</v>
      </c>
      <c r="Z160" s="216">
        <f t="shared" si="92"/>
        <v>0</v>
      </c>
      <c r="AA160" s="216">
        <f t="shared" si="92"/>
        <v>0</v>
      </c>
      <c r="AB160" s="216">
        <f t="shared" si="92"/>
        <v>0</v>
      </c>
      <c r="AC160" s="216">
        <f t="shared" si="92"/>
        <v>0</v>
      </c>
      <c r="AD160" s="216">
        <f t="shared" si="92"/>
        <v>0</v>
      </c>
      <c r="AE160" s="216">
        <f t="shared" si="92"/>
        <v>0</v>
      </c>
      <c r="AF160" s="216">
        <f t="shared" si="92"/>
        <v>0</v>
      </c>
      <c r="AG160" s="216">
        <f t="shared" si="92"/>
        <v>0</v>
      </c>
      <c r="AH160" s="230"/>
      <c r="AI160" s="126"/>
      <c r="AJ160" s="198"/>
      <c r="AL160" s="102"/>
      <c r="AM160" s="2"/>
      <c r="AN160" s="2"/>
      <c r="AO160" s="2"/>
      <c r="BC160" s="1"/>
      <c r="BD160" s="2"/>
      <c r="BE160" s="2"/>
      <c r="BF160" s="2"/>
      <c r="BG160" s="2"/>
      <c r="BH160" s="2"/>
      <c r="BI160" s="2"/>
      <c r="BJ160" s="2"/>
      <c r="BK160" s="2"/>
    </row>
    <row r="161" spans="1:63" outlineLevel="1">
      <c r="A161" s="4" t="s">
        <v>74</v>
      </c>
      <c r="C161" s="216">
        <f t="shared" ref="C161:AG161" si="93">C156-$C156</f>
        <v>0</v>
      </c>
      <c r="D161" s="216">
        <f t="shared" si="93"/>
        <v>36.027234886036666</v>
      </c>
      <c r="E161" s="216">
        <f t="shared" si="93"/>
        <v>68.057524674150955</v>
      </c>
      <c r="F161" s="216">
        <f t="shared" si="93"/>
        <v>96.101868877599628</v>
      </c>
      <c r="G161" s="216">
        <f t="shared" si="93"/>
        <v>120.18694416553589</v>
      </c>
      <c r="H161" s="216">
        <f t="shared" si="93"/>
        <v>140.35510436300851</v>
      </c>
      <c r="I161" s="216">
        <f t="shared" si="93"/>
        <v>156.66438045096285</v>
      </c>
      <c r="J161" s="216">
        <f t="shared" si="93"/>
        <v>169.18848056623997</v>
      </c>
      <c r="K161" s="216">
        <f t="shared" si="93"/>
        <v>178.01679000157745</v>
      </c>
      <c r="L161" s="216">
        <f t="shared" si="93"/>
        <v>183.25437120560886</v>
      </c>
      <c r="M161" s="216">
        <f t="shared" si="93"/>
        <v>185.02196378286371</v>
      </c>
      <c r="N161" s="216">
        <f t="shared" si="93"/>
        <v>210.56522834772565</v>
      </c>
      <c r="O161" s="216">
        <f t="shared" si="93"/>
        <v>228.88014317362055</v>
      </c>
      <c r="P161" s="216">
        <f t="shared" si="93"/>
        <v>238.81397798970127</v>
      </c>
      <c r="Q161" s="216">
        <f t="shared" si="93"/>
        <v>242.09640186225781</v>
      </c>
      <c r="R161" s="216">
        <f t="shared" si="93"/>
        <v>239.15040120949467</v>
      </c>
      <c r="S161" s="216">
        <f t="shared" si="93"/>
        <v>230.42741658565322</v>
      </c>
      <c r="T161" s="216">
        <f t="shared" si="93"/>
        <v>216.40668736865743</v>
      </c>
      <c r="U161" s="216">
        <f t="shared" si="93"/>
        <v>197.59458574195108</v>
      </c>
      <c r="V161" s="216">
        <f t="shared" si="93"/>
        <v>174.52393997052482</v>
      </c>
      <c r="W161" s="216">
        <f t="shared" si="93"/>
        <v>147.7533469711357</v>
      </c>
      <c r="X161" s="216">
        <f t="shared" si="93"/>
        <v>129.36931198142608</v>
      </c>
      <c r="Y161" s="216">
        <f t="shared" si="93"/>
        <v>104.90304637199623</v>
      </c>
      <c r="Z161" s="216">
        <f t="shared" si="93"/>
        <v>73.117698935828258</v>
      </c>
      <c r="AA161" s="216">
        <f t="shared" si="93"/>
        <v>37.788741177106402</v>
      </c>
      <c r="AB161" s="216">
        <f t="shared" si="93"/>
        <v>7.9600075581083729E-2</v>
      </c>
      <c r="AC161" s="216">
        <f t="shared" si="93"/>
        <v>-38.843737604454361</v>
      </c>
      <c r="AD161" s="216">
        <f t="shared" si="93"/>
        <v>-77.817905703591137</v>
      </c>
      <c r="AE161" s="216">
        <f t="shared" si="93"/>
        <v>-115.68747340268197</v>
      </c>
      <c r="AF161" s="216">
        <f t="shared" si="93"/>
        <v>-151.31039430416672</v>
      </c>
      <c r="AG161" s="216">
        <f t="shared" si="93"/>
        <v>-183.5635898593454</v>
      </c>
      <c r="AH161" s="230"/>
      <c r="AI161" s="126"/>
      <c r="AJ161" s="198"/>
      <c r="AL161" s="102"/>
      <c r="AM161" s="2"/>
      <c r="AN161" s="2"/>
      <c r="AO161" s="2"/>
      <c r="BC161" s="1"/>
      <c r="BD161" s="2"/>
      <c r="BE161" s="2"/>
      <c r="BF161" s="2"/>
      <c r="BG161" s="2"/>
      <c r="BH161" s="2"/>
      <c r="BI161" s="2"/>
      <c r="BJ161" s="2"/>
      <c r="BK161" s="2"/>
    </row>
    <row r="162" spans="1:63" outlineLevel="1">
      <c r="A162" s="4" t="s">
        <v>160</v>
      </c>
      <c r="C162" s="216">
        <f t="shared" ref="C162:AG162" si="94">C157-$C157</f>
        <v>0</v>
      </c>
      <c r="D162" s="216">
        <f t="shared" si="94"/>
        <v>6.437338791981535</v>
      </c>
      <c r="E162" s="216">
        <f t="shared" si="94"/>
        <v>15.279502728716706</v>
      </c>
      <c r="F162" s="216">
        <f t="shared" si="94"/>
        <v>26.417182423704727</v>
      </c>
      <c r="G162" s="216">
        <f t="shared" si="94"/>
        <v>39.727740721611426</v>
      </c>
      <c r="H162" s="216">
        <f t="shared" si="94"/>
        <v>55.075212698269191</v>
      </c>
      <c r="I162" s="216">
        <f t="shared" si="94"/>
        <v>72.310305660677074</v>
      </c>
      <c r="J162" s="216">
        <f t="shared" si="94"/>
        <v>91.270399147000632</v>
      </c>
      <c r="K162" s="216">
        <f t="shared" si="94"/>
        <v>111.7795449265721</v>
      </c>
      <c r="L162" s="216">
        <f t="shared" si="94"/>
        <v>133.64846699989033</v>
      </c>
      <c r="M162" s="216">
        <f t="shared" si="94"/>
        <v>156.67456159862061</v>
      </c>
      <c r="N162" s="216">
        <f t="shared" si="94"/>
        <v>193.98468755223195</v>
      </c>
      <c r="O162" s="216">
        <f t="shared" si="94"/>
        <v>233.7564614004213</v>
      </c>
      <c r="P162" s="216">
        <f t="shared" si="94"/>
        <v>274.59046363239094</v>
      </c>
      <c r="Q162" s="216">
        <f t="shared" si="94"/>
        <v>316.63656072406837</v>
      </c>
      <c r="R162" s="216">
        <f t="shared" si="94"/>
        <v>359.36584371183841</v>
      </c>
      <c r="S162" s="216">
        <f t="shared" si="94"/>
        <v>402.22867460820896</v>
      </c>
      <c r="T162" s="216">
        <f t="shared" si="94"/>
        <v>444.65528901585463</v>
      </c>
      <c r="U162" s="216">
        <f t="shared" si="94"/>
        <v>486.05640784309264</v>
      </c>
      <c r="V162" s="216">
        <f t="shared" si="94"/>
        <v>525.82385812078769</v>
      </c>
      <c r="W162" s="216">
        <f t="shared" si="94"/>
        <v>563.33120292069032</v>
      </c>
      <c r="X162" s="216">
        <f t="shared" si="94"/>
        <v>620.75208509656545</v>
      </c>
      <c r="Y162" s="216">
        <f t="shared" si="94"/>
        <v>674.40139274110925</v>
      </c>
      <c r="Z162" s="216">
        <f t="shared" si="94"/>
        <v>716.99178803842847</v>
      </c>
      <c r="AA162" s="216">
        <f t="shared" si="94"/>
        <v>752.72140389166805</v>
      </c>
      <c r="AB162" s="216">
        <f t="shared" si="94"/>
        <v>780.61161077290842</v>
      </c>
      <c r="AC162" s="216">
        <f t="shared" si="94"/>
        <v>799.7083699395555</v>
      </c>
      <c r="AD162" s="216">
        <f t="shared" si="94"/>
        <v>809.08720855176921</v>
      </c>
      <c r="AE162" s="216">
        <f t="shared" si="94"/>
        <v>807.85830900268218</v>
      </c>
      <c r="AF162" s="216">
        <f t="shared" si="94"/>
        <v>795.17171246140697</v>
      </c>
      <c r="AG162" s="216">
        <f t="shared" si="94"/>
        <v>770.22263662884222</v>
      </c>
      <c r="AH162" s="230"/>
      <c r="AI162" s="126"/>
      <c r="AJ162" s="198"/>
      <c r="AL162" s="102"/>
      <c r="AM162" s="2"/>
      <c r="AN162" s="2"/>
      <c r="AO162" s="2"/>
      <c r="BC162" s="1"/>
      <c r="BD162" s="2"/>
      <c r="BE162" s="2"/>
      <c r="BF162" s="2"/>
      <c r="BG162" s="2"/>
      <c r="BH162" s="2"/>
      <c r="BI162" s="2"/>
      <c r="BJ162" s="2"/>
      <c r="BK162" s="2"/>
    </row>
    <row r="163" spans="1:63" outlineLevel="1">
      <c r="A163" s="4" t="s">
        <v>1159</v>
      </c>
      <c r="C163" s="216">
        <f t="shared" ref="C163:AG163" si="95">C158-$C158</f>
        <v>0</v>
      </c>
      <c r="D163" s="216">
        <f t="shared" si="95"/>
        <v>30.759945939001383</v>
      </c>
      <c r="E163" s="216">
        <f t="shared" si="95"/>
        <v>61.150029608378546</v>
      </c>
      <c r="F163" s="216">
        <f t="shared" si="95"/>
        <v>91.071089013837778</v>
      </c>
      <c r="G163" s="216">
        <f t="shared" si="95"/>
        <v>120.42161277402282</v>
      </c>
      <c r="H163" s="216">
        <f t="shared" si="95"/>
        <v>149.0977401205144</v>
      </c>
      <c r="I163" s="216">
        <f t="shared" si="95"/>
        <v>176.99326089783096</v>
      </c>
      <c r="J163" s="216">
        <f t="shared" si="95"/>
        <v>203.9996155634276</v>
      </c>
      <c r="K163" s="216">
        <f t="shared" si="95"/>
        <v>230.00589518769738</v>
      </c>
      <c r="L163" s="216">
        <f t="shared" si="95"/>
        <v>254.89884145397036</v>
      </c>
      <c r="M163" s="216">
        <f t="shared" si="95"/>
        <v>278.56284665851365</v>
      </c>
      <c r="N163" s="216">
        <f t="shared" si="95"/>
        <v>332.31680501359074</v>
      </c>
      <c r="O163" s="216">
        <f t="shared" si="95"/>
        <v>383.5606361177102</v>
      </c>
      <c r="P163" s="216">
        <f t="shared" si="95"/>
        <v>430.14588042164189</v>
      </c>
      <c r="Q163" s="216">
        <f t="shared" si="95"/>
        <v>473.39402709373223</v>
      </c>
      <c r="R163" s="216">
        <f t="shared" si="95"/>
        <v>513.07651646920374</v>
      </c>
      <c r="S163" s="216">
        <f t="shared" si="95"/>
        <v>548.96390104680233</v>
      </c>
      <c r="T163" s="216">
        <f t="shared" si="95"/>
        <v>580.82598808845285</v>
      </c>
      <c r="U163" s="216">
        <f t="shared" si="95"/>
        <v>608.43198382329479</v>
      </c>
      <c r="V163" s="216">
        <f t="shared" si="95"/>
        <v>631.55063925609306</v>
      </c>
      <c r="W163" s="216">
        <f t="shared" si="95"/>
        <v>649.9503975800319</v>
      </c>
      <c r="X163" s="216">
        <f t="shared" si="95"/>
        <v>693.47522940358238</v>
      </c>
      <c r="Y163" s="216">
        <f t="shared" si="95"/>
        <v>729.18792982372133</v>
      </c>
      <c r="Z163" s="216">
        <f t="shared" si="95"/>
        <v>749.13896186093416</v>
      </c>
      <c r="AA163" s="216">
        <f t="shared" si="95"/>
        <v>759.98916976842997</v>
      </c>
      <c r="AB163" s="216">
        <f t="shared" si="95"/>
        <v>761.57439193712958</v>
      </c>
      <c r="AC163" s="216">
        <f t="shared" si="95"/>
        <v>753.75619547075246</v>
      </c>
      <c r="AD163" s="216">
        <f t="shared" si="95"/>
        <v>736.42320961931352</v>
      </c>
      <c r="AE163" s="216">
        <f t="shared" si="95"/>
        <v>709.49247934577102</v>
      </c>
      <c r="AF163" s="216">
        <f t="shared" si="95"/>
        <v>672.91083902582955</v>
      </c>
      <c r="AG163" s="216">
        <f t="shared" si="95"/>
        <v>626.65630628090753</v>
      </c>
      <c r="AH163" s="230"/>
      <c r="AI163" s="126"/>
      <c r="AJ163" s="198"/>
      <c r="AL163" s="102"/>
      <c r="AM163" s="2"/>
      <c r="AN163" s="2"/>
      <c r="AO163" s="2"/>
      <c r="BC163" s="1"/>
      <c r="BD163" s="2"/>
      <c r="BE163" s="2"/>
      <c r="BF163" s="2"/>
      <c r="BG163" s="2"/>
      <c r="BH163" s="2"/>
      <c r="BI163" s="2"/>
      <c r="BJ163" s="2"/>
      <c r="BK163" s="2"/>
    </row>
    <row r="164" spans="1:63" s="1" customFormat="1" outlineLevel="1">
      <c r="A164" s="1" t="s">
        <v>1167</v>
      </c>
      <c r="B164" s="61"/>
      <c r="C164" s="279">
        <f>C40*C141</f>
        <v>71.14446825909539</v>
      </c>
      <c r="D164" s="279">
        <f t="shared" ref="D164:AG164" si="96">D40*D141</f>
        <v>88.042434324561455</v>
      </c>
      <c r="E164" s="279">
        <f t="shared" si="96"/>
        <v>104.48763526169067</v>
      </c>
      <c r="F164" s="279">
        <f t="shared" si="96"/>
        <v>120.43450063951285</v>
      </c>
      <c r="G164" s="279">
        <f t="shared" si="96"/>
        <v>135.83746002705774</v>
      </c>
      <c r="H164" s="279">
        <f t="shared" si="96"/>
        <v>150.6509429933551</v>
      </c>
      <c r="I164" s="279">
        <f t="shared" si="96"/>
        <v>164.82937910743485</v>
      </c>
      <c r="J164" s="279">
        <f t="shared" si="96"/>
        <v>178.32719793832652</v>
      </c>
      <c r="K164" s="279">
        <f t="shared" si="96"/>
        <v>191.09882905506012</v>
      </c>
      <c r="L164" s="279">
        <f t="shared" si="96"/>
        <v>203.09870202666534</v>
      </c>
      <c r="M164" s="279">
        <f t="shared" si="96"/>
        <v>214.28124642217188</v>
      </c>
      <c r="N164" s="279">
        <f t="shared" si="96"/>
        <v>241.19063462376042</v>
      </c>
      <c r="O164" s="279">
        <f t="shared" si="96"/>
        <v>266.4207545725767</v>
      </c>
      <c r="P164" s="279">
        <f t="shared" si="96"/>
        <v>288.88685026918796</v>
      </c>
      <c r="Q164" s="279">
        <f t="shared" si="96"/>
        <v>309.32761972372435</v>
      </c>
      <c r="R164" s="279">
        <f t="shared" si="96"/>
        <v>327.66587473383481</v>
      </c>
      <c r="S164" s="279">
        <f t="shared" si="96"/>
        <v>343.82600493001809</v>
      </c>
      <c r="T164" s="279">
        <f t="shared" si="96"/>
        <v>357.7339985220874</v>
      </c>
      <c r="U164" s="279">
        <f t="shared" si="96"/>
        <v>369.31746304563518</v>
      </c>
      <c r="V164" s="279">
        <f t="shared" si="96"/>
        <v>378.50564610849682</v>
      </c>
      <c r="W164" s="279">
        <f t="shared" si="96"/>
        <v>385.22945613721652</v>
      </c>
      <c r="X164" s="279">
        <f t="shared" si="96"/>
        <v>404.28215129330493</v>
      </c>
      <c r="Y164" s="279">
        <f t="shared" si="96"/>
        <v>419.2580918599017</v>
      </c>
      <c r="Z164" s="279">
        <f t="shared" si="96"/>
        <v>426.35564875952423</v>
      </c>
      <c r="AA164" s="279">
        <f t="shared" si="96"/>
        <v>428.9520024522966</v>
      </c>
      <c r="AB164" s="279">
        <f t="shared" si="96"/>
        <v>427.05191505577693</v>
      </c>
      <c r="AC164" s="279">
        <f t="shared" si="96"/>
        <v>420.67235159890782</v>
      </c>
      <c r="AD164" s="279">
        <f t="shared" si="96"/>
        <v>409.84274036697815</v>
      </c>
      <c r="AE164" s="279">
        <f t="shared" si="96"/>
        <v>394.60523324658112</v>
      </c>
      <c r="AF164" s="279">
        <f t="shared" si="96"/>
        <v>375.01496607057317</v>
      </c>
      <c r="AG164" s="279">
        <f t="shared" si="96"/>
        <v>351.14031896303487</v>
      </c>
      <c r="AH164" s="230"/>
      <c r="AI164" s="398"/>
      <c r="AJ164" s="399"/>
      <c r="AL164" s="207"/>
      <c r="AM164" s="118"/>
      <c r="AN164" s="118"/>
      <c r="AO164" s="118"/>
      <c r="BD164" s="118"/>
      <c r="BE164" s="118"/>
      <c r="BF164" s="118"/>
      <c r="BG164" s="118"/>
      <c r="BH164" s="118"/>
      <c r="BI164" s="118"/>
      <c r="BJ164" s="118"/>
      <c r="BK164" s="118"/>
    </row>
    <row r="165" spans="1:63" outlineLevel="1">
      <c r="A165" s="4" t="s">
        <v>35</v>
      </c>
      <c r="C165" s="216">
        <f>C$164*'BTX recycling rates'!E66</f>
        <v>0</v>
      </c>
      <c r="D165" s="216">
        <f>D$164*'BTX recycling rates'!F66</f>
        <v>0</v>
      </c>
      <c r="E165" s="216">
        <f>E$164*'BTX recycling rates'!G66</f>
        <v>0</v>
      </c>
      <c r="F165" s="216">
        <f>F$164*'BTX recycling rates'!H66</f>
        <v>0</v>
      </c>
      <c r="G165" s="216">
        <f>G$164*'BTX recycling rates'!I66</f>
        <v>0</v>
      </c>
      <c r="H165" s="216">
        <f>H$164*'BTX recycling rates'!J66</f>
        <v>0</v>
      </c>
      <c r="I165" s="216">
        <f>I$164*'BTX recycling rates'!K66</f>
        <v>0</v>
      </c>
      <c r="J165" s="216">
        <f>J$164*'BTX recycling rates'!L66</f>
        <v>0</v>
      </c>
      <c r="K165" s="216">
        <f>K$164*'BTX recycling rates'!M66</f>
        <v>0</v>
      </c>
      <c r="L165" s="216">
        <f>L$164*'BTX recycling rates'!N66</f>
        <v>0</v>
      </c>
      <c r="M165" s="216">
        <f>M$164*'BTX recycling rates'!O66</f>
        <v>0</v>
      </c>
      <c r="N165" s="216">
        <f>N$164*'BTX recycling rates'!P66</f>
        <v>0</v>
      </c>
      <c r="O165" s="216">
        <f>O$164*'BTX recycling rates'!Q66</f>
        <v>0</v>
      </c>
      <c r="P165" s="216">
        <f>P$164*'BTX recycling rates'!R66</f>
        <v>0</v>
      </c>
      <c r="Q165" s="216">
        <f>Q$164*'BTX recycling rates'!S66</f>
        <v>0</v>
      </c>
      <c r="R165" s="216">
        <f>R$164*'BTX recycling rates'!T66</f>
        <v>0</v>
      </c>
      <c r="S165" s="216">
        <f>S$164*'BTX recycling rates'!U66</f>
        <v>0</v>
      </c>
      <c r="T165" s="216">
        <f>T$164*'BTX recycling rates'!V66</f>
        <v>0</v>
      </c>
      <c r="U165" s="216">
        <f>U$164*'BTX recycling rates'!W66</f>
        <v>0</v>
      </c>
      <c r="V165" s="216">
        <f>V$164*'BTX recycling rates'!X66</f>
        <v>0</v>
      </c>
      <c r="W165" s="216">
        <f>W$164*'BTX recycling rates'!Y66</f>
        <v>0</v>
      </c>
      <c r="X165" s="216">
        <f>X$164*'BTX recycling rates'!Z66</f>
        <v>0</v>
      </c>
      <c r="Y165" s="216">
        <f>Y$164*'BTX recycling rates'!AA66</f>
        <v>0</v>
      </c>
      <c r="Z165" s="216">
        <f>Z$164*'BTX recycling rates'!AB66</f>
        <v>0</v>
      </c>
      <c r="AA165" s="216">
        <f>AA$164*'BTX recycling rates'!AC66</f>
        <v>0</v>
      </c>
      <c r="AB165" s="216">
        <f>AB$164*'BTX recycling rates'!AD66</f>
        <v>0</v>
      </c>
      <c r="AC165" s="216">
        <f>AC$164*'BTX recycling rates'!AE66</f>
        <v>0</v>
      </c>
      <c r="AD165" s="216">
        <f>AD$164*'BTX recycling rates'!AF66</f>
        <v>0</v>
      </c>
      <c r="AE165" s="216">
        <f>AE$164*'BTX recycling rates'!AG66</f>
        <v>0</v>
      </c>
      <c r="AF165" s="216">
        <f>AF$164*'BTX recycling rates'!AH66</f>
        <v>0</v>
      </c>
      <c r="AG165" s="216">
        <f>AG$164*'BTX recycling rates'!AI66</f>
        <v>0</v>
      </c>
      <c r="AH165" s="230"/>
      <c r="AI165" s="126"/>
      <c r="AJ165" s="198"/>
      <c r="AL165" s="102"/>
      <c r="AM165" s="2"/>
      <c r="AN165" s="2"/>
      <c r="AO165" s="2"/>
      <c r="BC165" s="1"/>
      <c r="BD165" s="2"/>
      <c r="BE165" s="2"/>
      <c r="BF165" s="2"/>
      <c r="BG165" s="2"/>
      <c r="BH165" s="2"/>
      <c r="BI165" s="2"/>
      <c r="BJ165" s="2"/>
      <c r="BK165" s="2"/>
    </row>
    <row r="166" spans="1:63" outlineLevel="1">
      <c r="A166" s="4" t="s">
        <v>74</v>
      </c>
      <c r="C166" s="216">
        <f>C$164*'BTX recycling rates'!E67</f>
        <v>42.360828429079696</v>
      </c>
      <c r="D166" s="216">
        <f>D$164*'BTX recycling rates'!F67</f>
        <v>50.674805710472775</v>
      </c>
      <c r="E166" s="216">
        <f>E$164*'BTX recycling rates'!G67</f>
        <v>58.066411046191455</v>
      </c>
      <c r="F166" s="216">
        <f>F$164*'BTX recycling rates'!H67</f>
        <v>64.538182785448868</v>
      </c>
      <c r="G166" s="216">
        <f>G$164*'BTX recycling rates'!I67</f>
        <v>70.096277082664912</v>
      </c>
      <c r="H166" s="216">
        <f>H$164*'BTX recycling rates'!J67</f>
        <v>74.750467897466265</v>
      </c>
      <c r="I166" s="216">
        <f>I$164*'BTX recycling rates'!K67</f>
        <v>78.514146994686513</v>
      </c>
      <c r="J166" s="216">
        <f>J$164*'BTX recycling rates'!L67</f>
        <v>81.404323944365828</v>
      </c>
      <c r="K166" s="216">
        <f>K$164*'BTX recycling rates'!M67</f>
        <v>83.441626121751426</v>
      </c>
      <c r="L166" s="216">
        <f>L$164*'BTX recycling rates'!N67</f>
        <v>84.650298707297139</v>
      </c>
      <c r="M166" s="216">
        <f>M$164*'BTX recycling rates'!O67</f>
        <v>85.058204686663615</v>
      </c>
      <c r="N166" s="216">
        <f>N$164*'BTX recycling rates'!P67</f>
        <v>90.952804201631764</v>
      </c>
      <c r="O166" s="216">
        <f>O$164*'BTX recycling rates'!Q67</f>
        <v>95.179323007607522</v>
      </c>
      <c r="P166" s="216">
        <f>P$164*'BTX recycling rates'!R67</f>
        <v>97.471746426703064</v>
      </c>
      <c r="Q166" s="216">
        <f>Q$164*'BTX recycling rates'!S67</f>
        <v>98.229228858831505</v>
      </c>
      <c r="R166" s="216">
        <f>R$164*'BTX recycling rates'!T67</f>
        <v>97.549382554347716</v>
      </c>
      <c r="S166" s="216">
        <f>S$164*'BTX recycling rates'!U67</f>
        <v>95.536386102691992</v>
      </c>
      <c r="T166" s="216">
        <f>T$164*'BTX recycling rates'!V67</f>
        <v>92.300833206462173</v>
      </c>
      <c r="U166" s="216">
        <f>U$164*'BTX recycling rates'!W67</f>
        <v>87.959578984914558</v>
      </c>
      <c r="V166" s="216">
        <f>V$164*'BTX recycling rates'!X67</f>
        <v>82.635583806893123</v>
      </c>
      <c r="W166" s="216">
        <f>W$164*'BTX recycling rates'!Y67</f>
        <v>76.457754653187919</v>
      </c>
      <c r="X166" s="216">
        <f>X$164*'BTX recycling rates'!Z67</f>
        <v>72.215285040178031</v>
      </c>
      <c r="Y166" s="216">
        <f>Y$164*'BTX recycling rates'!AA67</f>
        <v>66.569223745694217</v>
      </c>
      <c r="Z166" s="216">
        <f>Z$164*'BTX recycling rates'!AB67</f>
        <v>59.234143568116998</v>
      </c>
      <c r="AA166" s="216">
        <f>AA$164*'BTX recycling rates'!AC67</f>
        <v>51.081307162258113</v>
      </c>
      <c r="AB166" s="216">
        <f>AB$164*'BTX recycling rates'!AD67</f>
        <v>42.379197677290733</v>
      </c>
      <c r="AC166" s="216">
        <f>AC$164*'BTX recycling rates'!AE67</f>
        <v>33.396888981897924</v>
      </c>
      <c r="AD166" s="216">
        <f>AD$164*'BTX recycling rates'!AF67</f>
        <v>24.402850189789437</v>
      </c>
      <c r="AE166" s="216">
        <f>AE$164*'BTX recycling rates'!AG67</f>
        <v>15.663719182306941</v>
      </c>
      <c r="AF166" s="216">
        <f>AF$164*'BTX recycling rates'!AH67</f>
        <v>7.4430451281181549</v>
      </c>
      <c r="AG166" s="216">
        <f>AG$164*'BTX recycling rates'!AI67</f>
        <v>0</v>
      </c>
      <c r="AH166" s="230"/>
      <c r="AI166" s="126"/>
      <c r="AJ166" s="198"/>
      <c r="AL166" s="102"/>
      <c r="AM166" s="2"/>
      <c r="AN166" s="2"/>
      <c r="AO166" s="2"/>
      <c r="BC166" s="1"/>
      <c r="BD166" s="2"/>
      <c r="BE166" s="2"/>
      <c r="BF166" s="2"/>
      <c r="BG166" s="2"/>
      <c r="BH166" s="2"/>
      <c r="BI166" s="2"/>
      <c r="BJ166" s="2"/>
      <c r="BK166" s="2"/>
    </row>
    <row r="167" spans="1:63" outlineLevel="1">
      <c r="A167" s="4" t="s">
        <v>160</v>
      </c>
      <c r="C167" s="216">
        <f>C$164*'BTX recycling rates'!E68</f>
        <v>0</v>
      </c>
      <c r="D167" s="216">
        <f>D$164*'BTX recycling rates'!F68</f>
        <v>1.4855397212265078</v>
      </c>
      <c r="E167" s="216">
        <f>E$164*'BTX recycling rates'!G68</f>
        <v>3.5260390912423163</v>
      </c>
      <c r="F167" s="216">
        <f>F$164*'BTX recycling rates'!H68</f>
        <v>6.0962728670087838</v>
      </c>
      <c r="G167" s="216">
        <f>G$164*'BTX recycling rates'!I68</f>
        <v>9.1679401665257121</v>
      </c>
      <c r="H167" s="216">
        <f>H$164*'BTX recycling rates'!J68</f>
        <v>12.709664468831349</v>
      </c>
      <c r="I167" s="216">
        <f>I$164*'BTX recycling rates'!K68</f>
        <v>16.6869936140024</v>
      </c>
      <c r="J167" s="216">
        <f>J$164*'BTX recycling rates'!L68</f>
        <v>21.062399803153983</v>
      </c>
      <c r="K167" s="216">
        <f>K$164*'BTX recycling rates'!M68</f>
        <v>25.795279598439716</v>
      </c>
      <c r="L167" s="216">
        <f>L$164*'BTX recycling rates'!N68</f>
        <v>30.841953923051612</v>
      </c>
      <c r="M167" s="216">
        <f>M$164*'BTX recycling rates'!O68</f>
        <v>36.15566806122014</v>
      </c>
      <c r="N167" s="216">
        <f>N$164*'BTX recycling rates'!P68</f>
        <v>44.765697127438131</v>
      </c>
      <c r="O167" s="216">
        <f>O$164*'BTX recycling rates'!Q68</f>
        <v>53.943798784712598</v>
      </c>
      <c r="P167" s="216">
        <f>P$164*'BTX recycling rates'!R68</f>
        <v>63.367030069013289</v>
      </c>
      <c r="Q167" s="216">
        <f>Q$164*'BTX recycling rates'!S68</f>
        <v>73.069975551708069</v>
      </c>
      <c r="R167" s="216">
        <f>R$164*'BTX recycling rates'!T68</f>
        <v>82.930579318116557</v>
      </c>
      <c r="S167" s="216">
        <f>S$164*'BTX recycling rates'!U68</f>
        <v>92.822001832663588</v>
      </c>
      <c r="T167" s="216">
        <f>T$164*'BTX recycling rates'!V68</f>
        <v>102.61275900365875</v>
      </c>
      <c r="U167" s="216">
        <f>U$164*'BTX recycling rates'!W68</f>
        <v>112.16686334840598</v>
      </c>
      <c r="V167" s="216">
        <f>V$164*'BTX recycling rates'!X68</f>
        <v>121.3439672586433</v>
      </c>
      <c r="W167" s="216">
        <f>W$164*'BTX recycling rates'!Y68</f>
        <v>129.99950836631311</v>
      </c>
      <c r="X167" s="216">
        <f>X$164*'BTX recycling rates'!Z68</f>
        <v>143.25048117613048</v>
      </c>
      <c r="Y167" s="216">
        <f>Y$164*'BTX recycling rates'!AA68</f>
        <v>155.63109063256366</v>
      </c>
      <c r="Z167" s="216">
        <f>Z$164*'BTX recycling rates'!AB68</f>
        <v>165.45964339348347</v>
      </c>
      <c r="AA167" s="216">
        <f>AA$164*'BTX recycling rates'!AC68</f>
        <v>173.70493935961571</v>
      </c>
      <c r="AB167" s="216">
        <f>AB$164*'BTX recycling rates'!AD68</f>
        <v>180.14114094759427</v>
      </c>
      <c r="AC167" s="216">
        <f>AC$164*'BTX recycling rates'!AE68</f>
        <v>184.5480853706666</v>
      </c>
      <c r="AD167" s="216">
        <f>AD$164*'BTX recycling rates'!AF68</f>
        <v>186.71243274271595</v>
      </c>
      <c r="AE167" s="216">
        <f>AE$164*'BTX recycling rates'!AG68</f>
        <v>186.42884053908045</v>
      </c>
      <c r="AF167" s="216">
        <f>AF$164*'BTX recycling rates'!AH68</f>
        <v>183.50116441417083</v>
      </c>
      <c r="AG167" s="216">
        <f>AG$164*'BTX recycling rates'!AI68</f>
        <v>177.74368537588666</v>
      </c>
      <c r="AH167" s="230"/>
      <c r="AI167" s="126"/>
      <c r="AJ167" s="198"/>
      <c r="AL167" s="102"/>
      <c r="AM167" s="2"/>
      <c r="AN167" s="2"/>
      <c r="AO167" s="2"/>
      <c r="BC167" s="1"/>
      <c r="BD167" s="2"/>
      <c r="BE167" s="2"/>
      <c r="BF167" s="2"/>
      <c r="BG167" s="2"/>
      <c r="BH167" s="2"/>
      <c r="BI167" s="2"/>
      <c r="BJ167" s="2"/>
      <c r="BK167" s="2"/>
    </row>
    <row r="168" spans="1:63" outlineLevel="1">
      <c r="A168" s="4" t="s">
        <v>1159</v>
      </c>
      <c r="C168" s="216">
        <f>C$164*'BTX recycling rates'!E69</f>
        <v>28.783639830015694</v>
      </c>
      <c r="D168" s="216">
        <f>D$164*'BTX recycling rates'!F69</f>
        <v>35.882088892862171</v>
      </c>
      <c r="E168" s="216">
        <f>E$164*'BTX recycling rates'!G69</f>
        <v>42.895185124256898</v>
      </c>
      <c r="F168" s="216">
        <f>F$164*'BTX recycling rates'!H69</f>
        <v>49.800044987055188</v>
      </c>
      <c r="G168" s="216">
        <f>G$164*'BTX recycling rates'!I69</f>
        <v>56.573242777867115</v>
      </c>
      <c r="H168" s="216">
        <f>H$164*'BTX recycling rates'!J69</f>
        <v>63.190810627057473</v>
      </c>
      <c r="I168" s="216">
        <f>I$164*'BTX recycling rates'!K69</f>
        <v>69.628238498745915</v>
      </c>
      <c r="J168" s="216">
        <f>J$164*'BTX recycling rates'!L69</f>
        <v>75.86047419080667</v>
      </c>
      <c r="K168" s="216">
        <f>K$164*'BTX recycling rates'!M69</f>
        <v>81.861923334868948</v>
      </c>
      <c r="L168" s="216">
        <f>L$164*'BTX recycling rates'!N69</f>
        <v>87.606449396316549</v>
      </c>
      <c r="M168" s="216">
        <f>M$164*'BTX recycling rates'!O69</f>
        <v>93.067373674288064</v>
      </c>
      <c r="N168" s="216">
        <f>N$164*'BTX recycling rates'!P69</f>
        <v>105.47213329469047</v>
      </c>
      <c r="O168" s="216">
        <f>O$164*'BTX recycling rates'!Q69</f>
        <v>117.29763278025651</v>
      </c>
      <c r="P168" s="216">
        <f>P$164*'BTX recycling rates'!R69</f>
        <v>128.04807377347151</v>
      </c>
      <c r="Q168" s="216">
        <f>Q$164*'BTX recycling rates'!S69</f>
        <v>138.02841531318467</v>
      </c>
      <c r="R168" s="216">
        <f>R$164*'BTX recycling rates'!T69</f>
        <v>147.18591286137041</v>
      </c>
      <c r="S168" s="216">
        <f>S$164*'BTX recycling rates'!U69</f>
        <v>155.46761699466236</v>
      </c>
      <c r="T168" s="216">
        <f>T$164*'BTX recycling rates'!V69</f>
        <v>162.82040631196634</v>
      </c>
      <c r="U168" s="216">
        <f>U$164*'BTX recycling rates'!W69</f>
        <v>169.1910207123145</v>
      </c>
      <c r="V168" s="216">
        <f>V$164*'BTX recycling rates'!X69</f>
        <v>174.52609504296026</v>
      </c>
      <c r="W168" s="216">
        <f>W$164*'BTX recycling rates'!Y69</f>
        <v>178.77219311771532</v>
      </c>
      <c r="X168" s="216">
        <f>X$164*'BTX recycling rates'!Z69</f>
        <v>188.81638507699626</v>
      </c>
      <c r="Y168" s="216">
        <f>Y$164*'BTX recycling rates'!AA69</f>
        <v>197.05777748164368</v>
      </c>
      <c r="Z168" s="216">
        <f>Z$164*'BTX recycling rates'!AB69</f>
        <v>201.66186179792359</v>
      </c>
      <c r="AA168" s="216">
        <f>AA$164*'BTX recycling rates'!AC69</f>
        <v>204.16575593042262</v>
      </c>
      <c r="AB168" s="216">
        <f>AB$164*'BTX recycling rates'!AD69</f>
        <v>204.53157643089176</v>
      </c>
      <c r="AC168" s="216">
        <f>AC$164*'BTX recycling rates'!AE69</f>
        <v>202.72737724634314</v>
      </c>
      <c r="AD168" s="216">
        <f>AD$164*'BTX recycling rates'!AF69</f>
        <v>198.72745743447263</v>
      </c>
      <c r="AE168" s="216">
        <f>AE$164*'BTX recycling rates'!AG69</f>
        <v>192.51267352519358</v>
      </c>
      <c r="AF168" s="216">
        <f>AF$164*'BTX recycling rates'!AH69</f>
        <v>184.07075652828405</v>
      </c>
      <c r="AG168" s="216">
        <f>AG$164*'BTX recycling rates'!AI69</f>
        <v>173.39663358714819</v>
      </c>
      <c r="AH168" s="230"/>
      <c r="AI168" s="126"/>
      <c r="AJ168" s="198"/>
      <c r="AL168" s="102"/>
      <c r="AM168" s="2"/>
      <c r="AN168" s="2"/>
      <c r="AO168" s="2"/>
      <c r="BC168" s="1"/>
      <c r="BD168" s="2"/>
      <c r="BE168" s="2"/>
      <c r="BF168" s="2"/>
      <c r="BG168" s="2"/>
      <c r="BH168" s="2"/>
      <c r="BI168" s="2"/>
      <c r="BJ168" s="2"/>
      <c r="BK168" s="2"/>
    </row>
    <row r="169" spans="1:63" s="1" customFormat="1" outlineLevel="1">
      <c r="A169" s="1" t="s">
        <v>1168</v>
      </c>
      <c r="B169" s="61"/>
      <c r="C169" s="279">
        <f t="shared" ref="C169:AG169" si="97">C164-$C164</f>
        <v>0</v>
      </c>
      <c r="D169" s="279">
        <f t="shared" si="97"/>
        <v>16.897966065466065</v>
      </c>
      <c r="E169" s="279">
        <f t="shared" si="97"/>
        <v>33.34316700259528</v>
      </c>
      <c r="F169" s="279">
        <f t="shared" si="97"/>
        <v>49.290032380417458</v>
      </c>
      <c r="G169" s="279">
        <f t="shared" si="97"/>
        <v>64.692991767962354</v>
      </c>
      <c r="H169" s="279">
        <f t="shared" si="97"/>
        <v>79.506474734259712</v>
      </c>
      <c r="I169" s="279">
        <f t="shared" si="97"/>
        <v>93.684910848339456</v>
      </c>
      <c r="J169" s="279">
        <f t="shared" si="97"/>
        <v>107.18272967923113</v>
      </c>
      <c r="K169" s="279">
        <f t="shared" si="97"/>
        <v>119.95436079596473</v>
      </c>
      <c r="L169" s="279">
        <f t="shared" si="97"/>
        <v>131.95423376756995</v>
      </c>
      <c r="M169" s="279">
        <f t="shared" si="97"/>
        <v>143.13677816307649</v>
      </c>
      <c r="N169" s="279">
        <f t="shared" si="97"/>
        <v>170.04616636466503</v>
      </c>
      <c r="O169" s="279">
        <f t="shared" si="97"/>
        <v>195.27628631348131</v>
      </c>
      <c r="P169" s="279">
        <f t="shared" si="97"/>
        <v>217.74238201009257</v>
      </c>
      <c r="Q169" s="279">
        <f t="shared" si="97"/>
        <v>238.18315146462896</v>
      </c>
      <c r="R169" s="279">
        <f t="shared" si="97"/>
        <v>256.52140647473942</v>
      </c>
      <c r="S169" s="279">
        <f t="shared" si="97"/>
        <v>272.6815366709227</v>
      </c>
      <c r="T169" s="279">
        <f t="shared" si="97"/>
        <v>286.58953026299201</v>
      </c>
      <c r="U169" s="279">
        <f t="shared" si="97"/>
        <v>298.17299478653979</v>
      </c>
      <c r="V169" s="279">
        <f t="shared" si="97"/>
        <v>307.36117784940143</v>
      </c>
      <c r="W169" s="279">
        <f t="shared" si="97"/>
        <v>314.08498787812113</v>
      </c>
      <c r="X169" s="279">
        <f t="shared" si="97"/>
        <v>333.13768303420954</v>
      </c>
      <c r="Y169" s="279">
        <f t="shared" si="97"/>
        <v>348.11362360080631</v>
      </c>
      <c r="Z169" s="279">
        <f t="shared" si="97"/>
        <v>355.21118050042884</v>
      </c>
      <c r="AA169" s="279">
        <f t="shared" si="97"/>
        <v>357.80753419320121</v>
      </c>
      <c r="AB169" s="279">
        <f t="shared" si="97"/>
        <v>355.90744679668154</v>
      </c>
      <c r="AC169" s="279">
        <f t="shared" si="97"/>
        <v>349.52788333981243</v>
      </c>
      <c r="AD169" s="279">
        <f t="shared" si="97"/>
        <v>338.69827210788276</v>
      </c>
      <c r="AE169" s="279">
        <f t="shared" si="97"/>
        <v>323.46076498748573</v>
      </c>
      <c r="AF169" s="279">
        <f t="shared" si="97"/>
        <v>303.87049781147778</v>
      </c>
      <c r="AG169" s="279">
        <f t="shared" si="97"/>
        <v>279.99585070393948</v>
      </c>
      <c r="AH169" s="230"/>
      <c r="AI169" s="398"/>
      <c r="AJ169" s="399"/>
      <c r="AL169" s="207"/>
      <c r="AM169" s="118"/>
      <c r="AN169" s="118"/>
      <c r="AO169" s="118"/>
      <c r="BD169" s="118"/>
      <c r="BE169" s="118"/>
      <c r="BF169" s="118"/>
      <c r="BG169" s="118"/>
      <c r="BH169" s="118"/>
      <c r="BI169" s="118"/>
      <c r="BJ169" s="118"/>
      <c r="BK169" s="118"/>
    </row>
    <row r="170" spans="1:63" outlineLevel="1">
      <c r="A170" s="4" t="s">
        <v>35</v>
      </c>
      <c r="C170" s="216">
        <f t="shared" ref="C170:R173" si="98">C165-$C165</f>
        <v>0</v>
      </c>
      <c r="D170" s="216">
        <f t="shared" ref="D170:AG170" si="99">D165-$C165</f>
        <v>0</v>
      </c>
      <c r="E170" s="216">
        <f t="shared" si="99"/>
        <v>0</v>
      </c>
      <c r="F170" s="216">
        <f t="shared" si="99"/>
        <v>0</v>
      </c>
      <c r="G170" s="216">
        <f t="shared" si="99"/>
        <v>0</v>
      </c>
      <c r="H170" s="216">
        <f t="shared" si="99"/>
        <v>0</v>
      </c>
      <c r="I170" s="216">
        <f t="shared" si="99"/>
        <v>0</v>
      </c>
      <c r="J170" s="216">
        <f t="shared" si="99"/>
        <v>0</v>
      </c>
      <c r="K170" s="216">
        <f t="shared" si="99"/>
        <v>0</v>
      </c>
      <c r="L170" s="216">
        <f t="shared" si="99"/>
        <v>0</v>
      </c>
      <c r="M170" s="216">
        <f t="shared" si="99"/>
        <v>0</v>
      </c>
      <c r="N170" s="216">
        <f t="shared" si="99"/>
        <v>0</v>
      </c>
      <c r="O170" s="216">
        <f t="shared" si="99"/>
        <v>0</v>
      </c>
      <c r="P170" s="216">
        <f t="shared" si="99"/>
        <v>0</v>
      </c>
      <c r="Q170" s="216">
        <f t="shared" si="99"/>
        <v>0</v>
      </c>
      <c r="R170" s="216">
        <f t="shared" si="99"/>
        <v>0</v>
      </c>
      <c r="S170" s="216">
        <f t="shared" si="99"/>
        <v>0</v>
      </c>
      <c r="T170" s="216">
        <f t="shared" si="99"/>
        <v>0</v>
      </c>
      <c r="U170" s="216">
        <f t="shared" si="99"/>
        <v>0</v>
      </c>
      <c r="V170" s="216">
        <f t="shared" si="99"/>
        <v>0</v>
      </c>
      <c r="W170" s="216">
        <f t="shared" si="99"/>
        <v>0</v>
      </c>
      <c r="X170" s="216">
        <f t="shared" si="99"/>
        <v>0</v>
      </c>
      <c r="Y170" s="216">
        <f t="shared" si="99"/>
        <v>0</v>
      </c>
      <c r="Z170" s="216">
        <f t="shared" si="99"/>
        <v>0</v>
      </c>
      <c r="AA170" s="216">
        <f t="shared" si="99"/>
        <v>0</v>
      </c>
      <c r="AB170" s="216">
        <f t="shared" si="99"/>
        <v>0</v>
      </c>
      <c r="AC170" s="216">
        <f t="shared" si="99"/>
        <v>0</v>
      </c>
      <c r="AD170" s="216">
        <f t="shared" si="99"/>
        <v>0</v>
      </c>
      <c r="AE170" s="216">
        <f t="shared" si="99"/>
        <v>0</v>
      </c>
      <c r="AF170" s="216">
        <f t="shared" si="99"/>
        <v>0</v>
      </c>
      <c r="AG170" s="216">
        <f t="shared" si="99"/>
        <v>0</v>
      </c>
      <c r="AH170" s="230"/>
      <c r="AI170" s="126"/>
      <c r="AJ170" s="198"/>
      <c r="AL170" s="102"/>
      <c r="AM170" s="2"/>
      <c r="AN170" s="2"/>
      <c r="AO170" s="2"/>
      <c r="BC170" s="1"/>
      <c r="BD170" s="2"/>
      <c r="BE170" s="2"/>
      <c r="BF170" s="2"/>
      <c r="BG170" s="2"/>
      <c r="BH170" s="2"/>
      <c r="BI170" s="2"/>
      <c r="BJ170" s="2"/>
      <c r="BK170" s="2"/>
    </row>
    <row r="171" spans="1:63" outlineLevel="1">
      <c r="A171" s="4" t="s">
        <v>74</v>
      </c>
      <c r="C171" s="216">
        <f t="shared" si="98"/>
        <v>0</v>
      </c>
      <c r="D171" s="216">
        <f t="shared" si="98"/>
        <v>8.313977281393079</v>
      </c>
      <c r="E171" s="216">
        <f t="shared" si="98"/>
        <v>15.705582617111759</v>
      </c>
      <c r="F171" s="216">
        <f t="shared" si="98"/>
        <v>22.177354356369172</v>
      </c>
      <c r="G171" s="216">
        <f t="shared" si="98"/>
        <v>27.735448653585216</v>
      </c>
      <c r="H171" s="216">
        <f t="shared" si="98"/>
        <v>32.389639468386569</v>
      </c>
      <c r="I171" s="216">
        <f t="shared" si="98"/>
        <v>36.153318565606817</v>
      </c>
      <c r="J171" s="216">
        <f t="shared" si="98"/>
        <v>39.043495515286132</v>
      </c>
      <c r="K171" s="216">
        <f t="shared" si="98"/>
        <v>41.08079769267173</v>
      </c>
      <c r="L171" s="216">
        <f t="shared" si="98"/>
        <v>42.289470278217443</v>
      </c>
      <c r="M171" s="216">
        <f t="shared" si="98"/>
        <v>42.697376257583919</v>
      </c>
      <c r="N171" s="216">
        <f t="shared" si="98"/>
        <v>48.591975772552068</v>
      </c>
      <c r="O171" s="216">
        <f t="shared" si="98"/>
        <v>52.818494578527826</v>
      </c>
      <c r="P171" s="216">
        <f t="shared" si="98"/>
        <v>55.110917997623368</v>
      </c>
      <c r="Q171" s="216">
        <f t="shared" si="98"/>
        <v>55.868400429751809</v>
      </c>
      <c r="R171" s="216">
        <f t="shared" si="98"/>
        <v>55.18855412526802</v>
      </c>
      <c r="S171" s="216">
        <f t="shared" ref="S171:AG171" si="100">S166-$C166</f>
        <v>53.175557673612296</v>
      </c>
      <c r="T171" s="216">
        <f t="shared" si="100"/>
        <v>49.940004777382477</v>
      </c>
      <c r="U171" s="216">
        <f t="shared" si="100"/>
        <v>45.598750555834862</v>
      </c>
      <c r="V171" s="216">
        <f t="shared" si="100"/>
        <v>40.274755377813428</v>
      </c>
      <c r="W171" s="216">
        <f t="shared" si="100"/>
        <v>34.096926224108223</v>
      </c>
      <c r="X171" s="216">
        <f t="shared" si="100"/>
        <v>29.854456611098335</v>
      </c>
      <c r="Y171" s="216">
        <f t="shared" si="100"/>
        <v>24.208395316614521</v>
      </c>
      <c r="Z171" s="216">
        <f t="shared" si="100"/>
        <v>16.873315139037302</v>
      </c>
      <c r="AA171" s="216">
        <f t="shared" si="100"/>
        <v>8.7204787331784175</v>
      </c>
      <c r="AB171" s="216">
        <f t="shared" si="100"/>
        <v>1.8369248211037359E-2</v>
      </c>
      <c r="AC171" s="216">
        <f t="shared" si="100"/>
        <v>-8.9639394471817724</v>
      </c>
      <c r="AD171" s="216">
        <f t="shared" si="100"/>
        <v>-17.957978239290259</v>
      </c>
      <c r="AE171" s="216">
        <f t="shared" si="100"/>
        <v>-26.697109246772754</v>
      </c>
      <c r="AF171" s="216">
        <f t="shared" si="100"/>
        <v>-34.917783300961538</v>
      </c>
      <c r="AG171" s="216">
        <f t="shared" si="100"/>
        <v>-42.360828429079696</v>
      </c>
      <c r="AH171" s="230"/>
      <c r="AI171" s="126"/>
      <c r="AJ171" s="198"/>
      <c r="AL171" s="102"/>
      <c r="AM171" s="2"/>
      <c r="AN171" s="2"/>
      <c r="AO171" s="2"/>
      <c r="BC171" s="1"/>
      <c r="BD171" s="2"/>
      <c r="BE171" s="2"/>
      <c r="BF171" s="2"/>
      <c r="BG171" s="2"/>
      <c r="BH171" s="2"/>
      <c r="BI171" s="2"/>
      <c r="BJ171" s="2"/>
      <c r="BK171" s="2"/>
    </row>
    <row r="172" spans="1:63" outlineLevel="1">
      <c r="A172" s="4" t="s">
        <v>160</v>
      </c>
      <c r="C172" s="216">
        <f t="shared" si="98"/>
        <v>0</v>
      </c>
      <c r="D172" s="216">
        <f t="shared" si="98"/>
        <v>1.4855397212265078</v>
      </c>
      <c r="E172" s="216">
        <f t="shared" si="98"/>
        <v>3.5260390912423163</v>
      </c>
      <c r="F172" s="216">
        <f t="shared" si="98"/>
        <v>6.0962728670087838</v>
      </c>
      <c r="G172" s="216">
        <f t="shared" si="98"/>
        <v>9.1679401665257121</v>
      </c>
      <c r="H172" s="216">
        <f t="shared" si="98"/>
        <v>12.709664468831349</v>
      </c>
      <c r="I172" s="216">
        <f t="shared" si="98"/>
        <v>16.6869936140024</v>
      </c>
      <c r="J172" s="216">
        <f t="shared" si="98"/>
        <v>21.062399803153983</v>
      </c>
      <c r="K172" s="216">
        <f t="shared" si="98"/>
        <v>25.795279598439716</v>
      </c>
      <c r="L172" s="216">
        <f t="shared" si="98"/>
        <v>30.841953923051612</v>
      </c>
      <c r="M172" s="216">
        <f t="shared" si="98"/>
        <v>36.15566806122014</v>
      </c>
      <c r="N172" s="216">
        <f t="shared" si="98"/>
        <v>44.765697127438131</v>
      </c>
      <c r="O172" s="216">
        <f t="shared" si="98"/>
        <v>53.943798784712598</v>
      </c>
      <c r="P172" s="216">
        <f t="shared" si="98"/>
        <v>63.367030069013289</v>
      </c>
      <c r="Q172" s="216">
        <f t="shared" si="98"/>
        <v>73.069975551708069</v>
      </c>
      <c r="R172" s="216">
        <f t="shared" si="98"/>
        <v>82.930579318116557</v>
      </c>
      <c r="S172" s="216">
        <f t="shared" ref="S172:AG172" si="101">S167-$C167</f>
        <v>92.822001832663588</v>
      </c>
      <c r="T172" s="216">
        <f t="shared" si="101"/>
        <v>102.61275900365875</v>
      </c>
      <c r="U172" s="216">
        <f t="shared" si="101"/>
        <v>112.16686334840598</v>
      </c>
      <c r="V172" s="216">
        <f t="shared" si="101"/>
        <v>121.3439672586433</v>
      </c>
      <c r="W172" s="216">
        <f t="shared" si="101"/>
        <v>129.99950836631311</v>
      </c>
      <c r="X172" s="216">
        <f t="shared" si="101"/>
        <v>143.25048117613048</v>
      </c>
      <c r="Y172" s="216">
        <f t="shared" si="101"/>
        <v>155.63109063256366</v>
      </c>
      <c r="Z172" s="216">
        <f t="shared" si="101"/>
        <v>165.45964339348347</v>
      </c>
      <c r="AA172" s="216">
        <f t="shared" si="101"/>
        <v>173.70493935961571</v>
      </c>
      <c r="AB172" s="216">
        <f t="shared" si="101"/>
        <v>180.14114094759427</v>
      </c>
      <c r="AC172" s="216">
        <f t="shared" si="101"/>
        <v>184.5480853706666</v>
      </c>
      <c r="AD172" s="216">
        <f t="shared" si="101"/>
        <v>186.71243274271595</v>
      </c>
      <c r="AE172" s="216">
        <f t="shared" si="101"/>
        <v>186.42884053908045</v>
      </c>
      <c r="AF172" s="216">
        <f t="shared" si="101"/>
        <v>183.50116441417083</v>
      </c>
      <c r="AG172" s="216">
        <f t="shared" si="101"/>
        <v>177.74368537588666</v>
      </c>
      <c r="AH172" s="230"/>
      <c r="AI172" s="126"/>
      <c r="AJ172" s="198"/>
      <c r="AL172" s="102"/>
      <c r="AM172" s="2"/>
      <c r="AN172" s="2"/>
      <c r="AO172" s="2"/>
      <c r="BC172" s="1"/>
      <c r="BD172" s="2"/>
      <c r="BE172" s="2"/>
      <c r="BF172" s="2"/>
      <c r="BG172" s="2"/>
      <c r="BH172" s="2"/>
      <c r="BI172" s="2"/>
      <c r="BJ172" s="2"/>
      <c r="BK172" s="2"/>
    </row>
    <row r="173" spans="1:63" outlineLevel="1">
      <c r="A173" s="4" t="s">
        <v>1159</v>
      </c>
      <c r="C173" s="216">
        <f t="shared" si="98"/>
        <v>0</v>
      </c>
      <c r="D173" s="216">
        <f t="shared" si="98"/>
        <v>7.0984490628464769</v>
      </c>
      <c r="E173" s="216">
        <f t="shared" si="98"/>
        <v>14.111545294241203</v>
      </c>
      <c r="F173" s="216">
        <f t="shared" si="98"/>
        <v>21.016405157039493</v>
      </c>
      <c r="G173" s="216">
        <f t="shared" si="98"/>
        <v>27.789602947851421</v>
      </c>
      <c r="H173" s="216">
        <f t="shared" si="98"/>
        <v>34.407170797041779</v>
      </c>
      <c r="I173" s="216">
        <f t="shared" si="98"/>
        <v>40.844598668730221</v>
      </c>
      <c r="J173" s="216">
        <f t="shared" si="98"/>
        <v>47.076834360790976</v>
      </c>
      <c r="K173" s="216">
        <f t="shared" si="98"/>
        <v>53.078283504853253</v>
      </c>
      <c r="L173" s="216">
        <f t="shared" si="98"/>
        <v>58.822809566300855</v>
      </c>
      <c r="M173" s="216">
        <f t="shared" si="98"/>
        <v>64.283733844272376</v>
      </c>
      <c r="N173" s="216">
        <f t="shared" si="98"/>
        <v>76.688493464674764</v>
      </c>
      <c r="O173" s="216">
        <f t="shared" si="98"/>
        <v>88.513992950240805</v>
      </c>
      <c r="P173" s="216">
        <f t="shared" si="98"/>
        <v>99.264433943455828</v>
      </c>
      <c r="Q173" s="216">
        <f t="shared" si="98"/>
        <v>109.24477548316898</v>
      </c>
      <c r="R173" s="216">
        <f t="shared" si="98"/>
        <v>118.40227303135472</v>
      </c>
      <c r="S173" s="216">
        <f t="shared" ref="S173:AG173" si="102">S168-$C168</f>
        <v>126.68397716464668</v>
      </c>
      <c r="T173" s="216">
        <f t="shared" si="102"/>
        <v>134.03676648195065</v>
      </c>
      <c r="U173" s="216">
        <f t="shared" si="102"/>
        <v>140.40738088229881</v>
      </c>
      <c r="V173" s="216">
        <f t="shared" si="102"/>
        <v>145.74245521294458</v>
      </c>
      <c r="W173" s="216">
        <f t="shared" si="102"/>
        <v>149.98855328769963</v>
      </c>
      <c r="X173" s="216">
        <f t="shared" si="102"/>
        <v>160.03274524698057</v>
      </c>
      <c r="Y173" s="216">
        <f t="shared" si="102"/>
        <v>168.274137651628</v>
      </c>
      <c r="Z173" s="216">
        <f t="shared" si="102"/>
        <v>172.8782219679079</v>
      </c>
      <c r="AA173" s="216">
        <f t="shared" si="102"/>
        <v>175.38211610040693</v>
      </c>
      <c r="AB173" s="216">
        <f t="shared" si="102"/>
        <v>175.74793660087607</v>
      </c>
      <c r="AC173" s="216">
        <f t="shared" si="102"/>
        <v>173.94373741632745</v>
      </c>
      <c r="AD173" s="216">
        <f t="shared" si="102"/>
        <v>169.94381760445694</v>
      </c>
      <c r="AE173" s="216">
        <f t="shared" si="102"/>
        <v>163.72903369517789</v>
      </c>
      <c r="AF173" s="216">
        <f t="shared" si="102"/>
        <v>155.28711669826836</v>
      </c>
      <c r="AG173" s="216">
        <f t="shared" si="102"/>
        <v>144.6129937571325</v>
      </c>
      <c r="AH173" s="230"/>
      <c r="AI173" s="126"/>
      <c r="AJ173" s="198"/>
      <c r="AL173" s="102"/>
      <c r="AM173" s="2"/>
      <c r="AN173" s="2"/>
      <c r="AO173" s="2"/>
      <c r="BC173" s="1"/>
      <c r="BD173" s="2"/>
      <c r="BE173" s="2"/>
      <c r="BF173" s="2"/>
      <c r="BG173" s="2"/>
      <c r="BH173" s="2"/>
      <c r="BI173" s="2"/>
      <c r="BJ173" s="2"/>
      <c r="BK173" s="2"/>
    </row>
    <row r="174" spans="1:63" s="1" customFormat="1" outlineLevel="1">
      <c r="A174" s="1" t="s">
        <v>1162</v>
      </c>
      <c r="B174" s="61"/>
      <c r="C174" s="279">
        <f>C40*C142</f>
        <v>213.4334047772862</v>
      </c>
      <c r="D174" s="279">
        <f t="shared" ref="D174:AG174" si="103">D40*D142</f>
        <v>264.12730297368432</v>
      </c>
      <c r="E174" s="279">
        <f t="shared" si="103"/>
        <v>313.462905785072</v>
      </c>
      <c r="F174" s="279">
        <f t="shared" si="103"/>
        <v>361.30350191853847</v>
      </c>
      <c r="G174" s="279">
        <f t="shared" si="103"/>
        <v>407.51238008117321</v>
      </c>
      <c r="H174" s="279">
        <f t="shared" si="103"/>
        <v>451.95282898006536</v>
      </c>
      <c r="I174" s="279">
        <f t="shared" si="103"/>
        <v>494.48813732230451</v>
      </c>
      <c r="J174" s="279">
        <f t="shared" si="103"/>
        <v>534.98159381497953</v>
      </c>
      <c r="K174" s="279">
        <f t="shared" si="103"/>
        <v>573.29648716518034</v>
      </c>
      <c r="L174" s="279">
        <f t="shared" si="103"/>
        <v>609.29610607999598</v>
      </c>
      <c r="M174" s="279">
        <f t="shared" si="103"/>
        <v>642.84373926651563</v>
      </c>
      <c r="N174" s="279">
        <f t="shared" si="103"/>
        <v>723.57190387128128</v>
      </c>
      <c r="O174" s="279">
        <f t="shared" si="103"/>
        <v>799.26226371773009</v>
      </c>
      <c r="P174" s="279">
        <f t="shared" si="103"/>
        <v>866.66055080756394</v>
      </c>
      <c r="Q174" s="279">
        <f t="shared" si="103"/>
        <v>927.98285917117312</v>
      </c>
      <c r="R174" s="279">
        <f t="shared" si="103"/>
        <v>982.99762420150444</v>
      </c>
      <c r="S174" s="279">
        <f t="shared" si="103"/>
        <v>1031.4780147900542</v>
      </c>
      <c r="T174" s="279">
        <f t="shared" si="103"/>
        <v>1073.2019955662622</v>
      </c>
      <c r="U174" s="279">
        <f t="shared" si="103"/>
        <v>1107.9523891369056</v>
      </c>
      <c r="V174" s="279">
        <f t="shared" si="103"/>
        <v>1135.5169383254904</v>
      </c>
      <c r="W174" s="279">
        <f t="shared" si="103"/>
        <v>1155.6883684116497</v>
      </c>
      <c r="X174" s="279">
        <f t="shared" si="103"/>
        <v>1212.8464538799149</v>
      </c>
      <c r="Y174" s="279">
        <f t="shared" si="103"/>
        <v>1257.7742755797051</v>
      </c>
      <c r="Z174" s="279">
        <f t="shared" si="103"/>
        <v>1279.0669462785725</v>
      </c>
      <c r="AA174" s="279">
        <f t="shared" si="103"/>
        <v>1286.8560073568899</v>
      </c>
      <c r="AB174" s="279">
        <f t="shared" si="103"/>
        <v>1281.1557451673307</v>
      </c>
      <c r="AC174" s="279">
        <f t="shared" si="103"/>
        <v>1262.0170547967236</v>
      </c>
      <c r="AD174" s="279">
        <f t="shared" si="103"/>
        <v>1229.5282211009346</v>
      </c>
      <c r="AE174" s="279">
        <f t="shared" si="103"/>
        <v>1183.8156997397434</v>
      </c>
      <c r="AF174" s="279">
        <f t="shared" si="103"/>
        <v>1125.0448982117196</v>
      </c>
      <c r="AG174" s="279">
        <f t="shared" si="103"/>
        <v>1053.4209568891047</v>
      </c>
      <c r="AH174" s="230"/>
      <c r="AI174" s="398"/>
      <c r="AJ174" s="399"/>
      <c r="AL174" s="207"/>
      <c r="AM174" s="118"/>
      <c r="AN174" s="118"/>
      <c r="AO174" s="118"/>
      <c r="BD174" s="118"/>
      <c r="BE174" s="118"/>
      <c r="BF174" s="118"/>
      <c r="BG174" s="118"/>
      <c r="BH174" s="118"/>
      <c r="BI174" s="118"/>
      <c r="BJ174" s="118"/>
      <c r="BK174" s="118"/>
    </row>
    <row r="175" spans="1:63" outlineLevel="1">
      <c r="A175" s="4" t="s">
        <v>35</v>
      </c>
      <c r="C175" s="216">
        <f>C$174*'BTX recycling rates'!E70</f>
        <v>0</v>
      </c>
      <c r="D175" s="216">
        <f>D$174*'BTX recycling rates'!F70</f>
        <v>0</v>
      </c>
      <c r="E175" s="216">
        <f>E$174*'BTX recycling rates'!G70</f>
        <v>0</v>
      </c>
      <c r="F175" s="216">
        <f>F$174*'BTX recycling rates'!H70</f>
        <v>0</v>
      </c>
      <c r="G175" s="216">
        <f>G$174*'BTX recycling rates'!I70</f>
        <v>0</v>
      </c>
      <c r="H175" s="216">
        <f>H$174*'BTX recycling rates'!J70</f>
        <v>0</v>
      </c>
      <c r="I175" s="216">
        <f>I$174*'BTX recycling rates'!K70</f>
        <v>0</v>
      </c>
      <c r="J175" s="216">
        <f>J$174*'BTX recycling rates'!L70</f>
        <v>0</v>
      </c>
      <c r="K175" s="216">
        <f>K$174*'BTX recycling rates'!M70</f>
        <v>0</v>
      </c>
      <c r="L175" s="216">
        <f>L$174*'BTX recycling rates'!N70</f>
        <v>0</v>
      </c>
      <c r="M175" s="216">
        <f>M$174*'BTX recycling rates'!O70</f>
        <v>0</v>
      </c>
      <c r="N175" s="216">
        <f>N$174*'BTX recycling rates'!P70</f>
        <v>0</v>
      </c>
      <c r="O175" s="216">
        <f>O$174*'BTX recycling rates'!Q70</f>
        <v>0</v>
      </c>
      <c r="P175" s="216">
        <f>P$174*'BTX recycling rates'!R70</f>
        <v>0</v>
      </c>
      <c r="Q175" s="216">
        <f>Q$174*'BTX recycling rates'!S70</f>
        <v>0</v>
      </c>
      <c r="R175" s="216">
        <f>R$174*'BTX recycling rates'!T70</f>
        <v>0</v>
      </c>
      <c r="S175" s="216">
        <f>S$174*'BTX recycling rates'!U70</f>
        <v>0</v>
      </c>
      <c r="T175" s="216">
        <f>T$174*'BTX recycling rates'!V70</f>
        <v>0</v>
      </c>
      <c r="U175" s="216">
        <f>U$174*'BTX recycling rates'!W70</f>
        <v>0</v>
      </c>
      <c r="V175" s="216">
        <f>V$174*'BTX recycling rates'!X70</f>
        <v>0</v>
      </c>
      <c r="W175" s="216">
        <f>W$174*'BTX recycling rates'!Y70</f>
        <v>0</v>
      </c>
      <c r="X175" s="216">
        <f>X$174*'BTX recycling rates'!Z70</f>
        <v>0</v>
      </c>
      <c r="Y175" s="216">
        <f>Y$174*'BTX recycling rates'!AA70</f>
        <v>0</v>
      </c>
      <c r="Z175" s="216">
        <f>Z$174*'BTX recycling rates'!AB70</f>
        <v>0</v>
      </c>
      <c r="AA175" s="216">
        <f>AA$174*'BTX recycling rates'!AC70</f>
        <v>0</v>
      </c>
      <c r="AB175" s="216">
        <f>AB$174*'BTX recycling rates'!AD70</f>
        <v>0</v>
      </c>
      <c r="AC175" s="216">
        <f>AC$174*'BTX recycling rates'!AE70</f>
        <v>0</v>
      </c>
      <c r="AD175" s="216">
        <f>AD$174*'BTX recycling rates'!AF70</f>
        <v>0</v>
      </c>
      <c r="AE175" s="216">
        <f>AE$174*'BTX recycling rates'!AG70</f>
        <v>0</v>
      </c>
      <c r="AF175" s="216">
        <f>AF$174*'BTX recycling rates'!AH70</f>
        <v>0</v>
      </c>
      <c r="AG175" s="216">
        <f>AG$174*'BTX recycling rates'!AI70</f>
        <v>0</v>
      </c>
      <c r="AH175" s="230"/>
      <c r="AI175" s="126"/>
      <c r="AJ175" s="198"/>
      <c r="AL175" s="102"/>
      <c r="AM175" s="2"/>
      <c r="AN175" s="2"/>
      <c r="AO175" s="2"/>
      <c r="BC175" s="1"/>
      <c r="BD175" s="2"/>
      <c r="BE175" s="2"/>
      <c r="BF175" s="2"/>
      <c r="BG175" s="2"/>
      <c r="BH175" s="2"/>
      <c r="BI175" s="2"/>
      <c r="BJ175" s="2"/>
      <c r="BK175" s="2"/>
    </row>
    <row r="176" spans="1:63" outlineLevel="1">
      <c r="A176" s="4" t="s">
        <v>74</v>
      </c>
      <c r="C176" s="216">
        <f>C$174*'BTX recycling rates'!E71</f>
        <v>127.08248528723911</v>
      </c>
      <c r="D176" s="216">
        <f>D$174*'BTX recycling rates'!F71</f>
        <v>152.02441713141829</v>
      </c>
      <c r="E176" s="216">
        <f>E$174*'BTX recycling rates'!G71</f>
        <v>174.19923313857436</v>
      </c>
      <c r="F176" s="216">
        <f>F$174*'BTX recycling rates'!H71</f>
        <v>193.61454835634655</v>
      </c>
      <c r="G176" s="216">
        <f>G$174*'BTX recycling rates'!I71</f>
        <v>210.28883124799469</v>
      </c>
      <c r="H176" s="216">
        <f>H$174*'BTX recycling rates'!J71</f>
        <v>224.25140369239881</v>
      </c>
      <c r="I176" s="216">
        <f>I$174*'BTX recycling rates'!K71</f>
        <v>235.54244098405951</v>
      </c>
      <c r="J176" s="216">
        <f>J$174*'BTX recycling rates'!L71</f>
        <v>244.21297183309747</v>
      </c>
      <c r="K176" s="216">
        <f>K$174*'BTX recycling rates'!M71</f>
        <v>250.32487836525425</v>
      </c>
      <c r="L176" s="216">
        <f>L$174*'BTX recycling rates'!N71</f>
        <v>253.95089612189139</v>
      </c>
      <c r="M176" s="216">
        <f>M$174*'BTX recycling rates'!O71</f>
        <v>255.17461405999086</v>
      </c>
      <c r="N176" s="216">
        <f>N$174*'BTX recycling rates'!P71</f>
        <v>272.85841260489531</v>
      </c>
      <c r="O176" s="216">
        <f>O$174*'BTX recycling rates'!Q71</f>
        <v>285.53796902282255</v>
      </c>
      <c r="P176" s="216">
        <f>P$174*'BTX recycling rates'!R71</f>
        <v>292.41523928010923</v>
      </c>
      <c r="Q176" s="216">
        <f>Q$174*'BTX recycling rates'!S71</f>
        <v>294.68768657649451</v>
      </c>
      <c r="R176" s="216">
        <f>R$174*'BTX recycling rates'!T71</f>
        <v>292.64814766304312</v>
      </c>
      <c r="S176" s="216">
        <f>S$174*'BTX recycling rates'!U71</f>
        <v>286.60915830807596</v>
      </c>
      <c r="T176" s="216">
        <f>T$174*'BTX recycling rates'!V71</f>
        <v>276.90249961938656</v>
      </c>
      <c r="U176" s="216">
        <f>U$174*'BTX recycling rates'!W71</f>
        <v>263.87873695474372</v>
      </c>
      <c r="V176" s="216">
        <f>V$174*'BTX recycling rates'!X71</f>
        <v>247.90675142067934</v>
      </c>
      <c r="W176" s="216">
        <f>W$174*'BTX recycling rates'!Y71</f>
        <v>229.37326395956379</v>
      </c>
      <c r="X176" s="216">
        <f>X$174*'BTX recycling rates'!Z71</f>
        <v>216.64585512053412</v>
      </c>
      <c r="Y176" s="216">
        <f>Y$174*'BTX recycling rates'!AA71</f>
        <v>199.70767123708265</v>
      </c>
      <c r="Z176" s="216">
        <f>Z$174*'BTX recycling rates'!AB71</f>
        <v>177.70243070435095</v>
      </c>
      <c r="AA176" s="216">
        <f>AA$174*'BTX recycling rates'!AC71</f>
        <v>153.24392148677435</v>
      </c>
      <c r="AB176" s="216">
        <f>AB$174*'BTX recycling rates'!AD71</f>
        <v>127.13759303187219</v>
      </c>
      <c r="AC176" s="216">
        <f>AC$174*'BTX recycling rates'!AE71</f>
        <v>100.19066694569378</v>
      </c>
      <c r="AD176" s="216">
        <f>AD$174*'BTX recycling rates'!AF71</f>
        <v>73.208550569368327</v>
      </c>
      <c r="AE176" s="216">
        <f>AE$174*'BTX recycling rates'!AG71</f>
        <v>46.991157546920824</v>
      </c>
      <c r="AF176" s="216">
        <f>AF$174*'BTX recycling rates'!AH71</f>
        <v>22.329135384354466</v>
      </c>
      <c r="AG176" s="216">
        <f>AG$174*'BTX recycling rates'!AI71</f>
        <v>0</v>
      </c>
      <c r="AH176" s="230"/>
      <c r="AI176" s="126"/>
      <c r="AJ176" s="198"/>
      <c r="AL176" s="102"/>
      <c r="AM176" s="2"/>
      <c r="AN176" s="2"/>
      <c r="AO176" s="2"/>
      <c r="BC176" s="1"/>
      <c r="BD176" s="2"/>
      <c r="BE176" s="2"/>
      <c r="BF176" s="2"/>
      <c r="BG176" s="2"/>
      <c r="BH176" s="2"/>
      <c r="BI176" s="2"/>
      <c r="BJ176" s="2"/>
      <c r="BK176" s="2"/>
    </row>
    <row r="177" spans="1:63" outlineLevel="1">
      <c r="A177" s="4" t="s">
        <v>160</v>
      </c>
      <c r="C177" s="216">
        <f>C$174*'BTX recycling rates'!E72</f>
        <v>0</v>
      </c>
      <c r="D177" s="216">
        <f>D$174*'BTX recycling rates'!F72</f>
        <v>4.4566191636795232</v>
      </c>
      <c r="E177" s="216">
        <f>E$174*'BTX recycling rates'!G72</f>
        <v>10.578117273726948</v>
      </c>
      <c r="F177" s="216">
        <f>F$174*'BTX recycling rates'!H72</f>
        <v>18.288818601026346</v>
      </c>
      <c r="G177" s="216">
        <f>G$174*'BTX recycling rates'!I72</f>
        <v>27.503820499577134</v>
      </c>
      <c r="H177" s="216">
        <f>H$174*'BTX recycling rates'!J72</f>
        <v>38.128993406494047</v>
      </c>
      <c r="I177" s="216">
        <f>I$174*'BTX recycling rates'!K72</f>
        <v>50.060980842007197</v>
      </c>
      <c r="J177" s="216">
        <f>J$174*'BTX recycling rates'!L72</f>
        <v>63.187199409461954</v>
      </c>
      <c r="K177" s="216">
        <f>K$174*'BTX recycling rates'!M72</f>
        <v>77.385838795319145</v>
      </c>
      <c r="L177" s="216">
        <f>L$174*'BTX recycling rates'!N72</f>
        <v>92.52586176915483</v>
      </c>
      <c r="M177" s="216">
        <f>M$174*'BTX recycling rates'!O72</f>
        <v>108.46700418366042</v>
      </c>
      <c r="N177" s="216">
        <f>N$174*'BTX recycling rates'!P72</f>
        <v>134.29709138231439</v>
      </c>
      <c r="O177" s="216">
        <f>O$174*'BTX recycling rates'!Q72</f>
        <v>161.83139635413781</v>
      </c>
      <c r="P177" s="216">
        <f>P$174*'BTX recycling rates'!R72</f>
        <v>190.10109020703987</v>
      </c>
      <c r="Q177" s="216">
        <f>Q$174*'BTX recycling rates'!S72</f>
        <v>219.20992665512424</v>
      </c>
      <c r="R177" s="216">
        <f>R$174*'BTX recycling rates'!T72</f>
        <v>248.79173795434966</v>
      </c>
      <c r="S177" s="216">
        <f>S$174*'BTX recycling rates'!U72</f>
        <v>278.46600549799075</v>
      </c>
      <c r="T177" s="216">
        <f>T$174*'BTX recycling rates'!V72</f>
        <v>307.83827701097624</v>
      </c>
      <c r="U177" s="216">
        <f>U$174*'BTX recycling rates'!W72</f>
        <v>336.50059004521796</v>
      </c>
      <c r="V177" s="216">
        <f>V$174*'BTX recycling rates'!X72</f>
        <v>364.0319017759299</v>
      </c>
      <c r="W177" s="216">
        <f>W$174*'BTX recycling rates'!Y72</f>
        <v>389.99852509893941</v>
      </c>
      <c r="X177" s="216">
        <f>X$174*'BTX recycling rates'!Z72</f>
        <v>429.75144352839146</v>
      </c>
      <c r="Y177" s="216">
        <f>Y$174*'BTX recycling rates'!AA72</f>
        <v>466.89327189769097</v>
      </c>
      <c r="Z177" s="216">
        <f>Z$174*'BTX recycling rates'!AB72</f>
        <v>496.37893018045037</v>
      </c>
      <c r="AA177" s="216">
        <f>AA$174*'BTX recycling rates'!AC72</f>
        <v>521.11481807884718</v>
      </c>
      <c r="AB177" s="216">
        <f>AB$174*'BTX recycling rates'!AD72</f>
        <v>540.42342284278277</v>
      </c>
      <c r="AC177" s="216">
        <f>AC$174*'BTX recycling rates'!AE72</f>
        <v>553.64425611199988</v>
      </c>
      <c r="AD177" s="216">
        <f>AD$174*'BTX recycling rates'!AF72</f>
        <v>560.13729822814787</v>
      </c>
      <c r="AE177" s="216">
        <f>AE$174*'BTX recycling rates'!AG72</f>
        <v>559.28652161724142</v>
      </c>
      <c r="AF177" s="216">
        <f>AF$174*'BTX recycling rates'!AH72</f>
        <v>550.50349324251249</v>
      </c>
      <c r="AG177" s="216">
        <f>AG$174*'BTX recycling rates'!AI72</f>
        <v>533.23105612765994</v>
      </c>
      <c r="AH177" s="230"/>
      <c r="AI177" s="126"/>
      <c r="AJ177" s="198"/>
      <c r="AL177" s="102"/>
      <c r="AM177" s="2"/>
      <c r="AN177" s="2"/>
      <c r="AO177" s="2"/>
      <c r="BC177" s="1"/>
      <c r="BD177" s="2"/>
      <c r="BE177" s="2"/>
      <c r="BF177" s="2"/>
      <c r="BG177" s="2"/>
      <c r="BH177" s="2"/>
      <c r="BI177" s="2"/>
      <c r="BJ177" s="2"/>
      <c r="BK177" s="2"/>
    </row>
    <row r="178" spans="1:63" outlineLevel="1">
      <c r="A178" s="4" t="s">
        <v>1159</v>
      </c>
      <c r="C178" s="216">
        <f>C$174*'BTX recycling rates'!E73</f>
        <v>86.35091949004709</v>
      </c>
      <c r="D178" s="216">
        <f>D$174*'BTX recycling rates'!F73</f>
        <v>107.6462666785865</v>
      </c>
      <c r="E178" s="216">
        <f>E$174*'BTX recycling rates'!G73</f>
        <v>128.68555537277069</v>
      </c>
      <c r="F178" s="216">
        <f>F$174*'BTX recycling rates'!H73</f>
        <v>149.40013496116555</v>
      </c>
      <c r="G178" s="216">
        <f>G$174*'BTX recycling rates'!I73</f>
        <v>169.71972833360132</v>
      </c>
      <c r="H178" s="216">
        <f>H$174*'BTX recycling rates'!J73</f>
        <v>189.57243188117243</v>
      </c>
      <c r="I178" s="216">
        <f>I$174*'BTX recycling rates'!K73</f>
        <v>208.88471549623773</v>
      </c>
      <c r="J178" s="216">
        <f>J$174*'BTX recycling rates'!L73</f>
        <v>227.58142257242</v>
      </c>
      <c r="K178" s="216">
        <f>K$174*'BTX recycling rates'!M73</f>
        <v>245.58577000460681</v>
      </c>
      <c r="L178" s="216">
        <f>L$174*'BTX recycling rates'!N73</f>
        <v>262.81934818894962</v>
      </c>
      <c r="M178" s="216">
        <f>M$174*'BTX recycling rates'!O73</f>
        <v>279.20212102286422</v>
      </c>
      <c r="N178" s="216">
        <f>N$174*'BTX recycling rates'!P73</f>
        <v>316.41639988407138</v>
      </c>
      <c r="O178" s="216">
        <f>O$174*'BTX recycling rates'!Q73</f>
        <v>351.89289834076948</v>
      </c>
      <c r="P178" s="216">
        <f>P$174*'BTX recycling rates'!R73</f>
        <v>384.14422132041454</v>
      </c>
      <c r="Q178" s="216">
        <f>Q$174*'BTX recycling rates'!S73</f>
        <v>414.08524593955406</v>
      </c>
      <c r="R178" s="216">
        <f>R$174*'BTX recycling rates'!T73</f>
        <v>441.55773858411123</v>
      </c>
      <c r="S178" s="216">
        <f>S$174*'BTX recycling rates'!U73</f>
        <v>466.40285098398709</v>
      </c>
      <c r="T178" s="216">
        <f>T$174*'BTX recycling rates'!V73</f>
        <v>488.46121893589901</v>
      </c>
      <c r="U178" s="216">
        <f>U$174*'BTX recycling rates'!W73</f>
        <v>507.57306213694346</v>
      </c>
      <c r="V178" s="216">
        <f>V$174*'BTX recycling rates'!X73</f>
        <v>523.57828512888068</v>
      </c>
      <c r="W178" s="216">
        <f>W$174*'BTX recycling rates'!Y73</f>
        <v>536.31657935314604</v>
      </c>
      <c r="X178" s="216">
        <f>X$174*'BTX recycling rates'!Z73</f>
        <v>566.44915523098882</v>
      </c>
      <c r="Y178" s="216">
        <f>Y$174*'BTX recycling rates'!AA73</f>
        <v>591.17333244493102</v>
      </c>
      <c r="Z178" s="216">
        <f>Z$174*'BTX recycling rates'!AB73</f>
        <v>604.98558539377063</v>
      </c>
      <c r="AA178" s="216">
        <f>AA$174*'BTX recycling rates'!AC73</f>
        <v>612.49726779126797</v>
      </c>
      <c r="AB178" s="216">
        <f>AB$174*'BTX recycling rates'!AD73</f>
        <v>613.5947292926752</v>
      </c>
      <c r="AC178" s="216">
        <f>AC$174*'BTX recycling rates'!AE73</f>
        <v>608.1821317390295</v>
      </c>
      <c r="AD178" s="216">
        <f>AD$174*'BTX recycling rates'!AF73</f>
        <v>596.18237230341799</v>
      </c>
      <c r="AE178" s="216">
        <f>AE$174*'BTX recycling rates'!AG73</f>
        <v>577.53802057558084</v>
      </c>
      <c r="AF178" s="216">
        <f>AF$174*'BTX recycling rates'!AH73</f>
        <v>552.21226958485227</v>
      </c>
      <c r="AG178" s="216">
        <f>AG$174*'BTX recycling rates'!AI73</f>
        <v>520.18990076144462</v>
      </c>
      <c r="AH178" s="230"/>
      <c r="AI178" s="126"/>
      <c r="AJ178" s="198"/>
      <c r="AL178" s="102"/>
      <c r="AM178" s="2"/>
      <c r="AN178" s="2"/>
      <c r="AO178" s="2"/>
      <c r="BC178" s="1"/>
      <c r="BD178" s="2"/>
      <c r="BE178" s="2"/>
      <c r="BF178" s="2"/>
      <c r="BG178" s="2"/>
      <c r="BH178" s="2"/>
      <c r="BI178" s="2"/>
      <c r="BJ178" s="2"/>
      <c r="BK178" s="2"/>
    </row>
    <row r="179" spans="1:63" s="1" customFormat="1" outlineLevel="1">
      <c r="A179" s="1" t="s">
        <v>1165</v>
      </c>
      <c r="B179" s="61"/>
      <c r="C179" s="279">
        <f t="shared" ref="C179:AG179" si="104">C174-$C174</f>
        <v>0</v>
      </c>
      <c r="D179" s="279">
        <f t="shared" si="104"/>
        <v>50.693898196398123</v>
      </c>
      <c r="E179" s="279">
        <f t="shared" si="104"/>
        <v>100.0295010077858</v>
      </c>
      <c r="F179" s="279">
        <f t="shared" si="104"/>
        <v>147.87009714125227</v>
      </c>
      <c r="G179" s="279">
        <f t="shared" si="104"/>
        <v>194.07897530388701</v>
      </c>
      <c r="H179" s="279">
        <f t="shared" si="104"/>
        <v>238.51942420277916</v>
      </c>
      <c r="I179" s="279">
        <f t="shared" si="104"/>
        <v>281.05473254501828</v>
      </c>
      <c r="J179" s="279">
        <f t="shared" si="104"/>
        <v>321.54818903769331</v>
      </c>
      <c r="K179" s="279">
        <f t="shared" si="104"/>
        <v>359.86308238789411</v>
      </c>
      <c r="L179" s="279">
        <f t="shared" si="104"/>
        <v>395.86270130270975</v>
      </c>
      <c r="M179" s="279">
        <f t="shared" si="104"/>
        <v>429.4103344892294</v>
      </c>
      <c r="N179" s="279">
        <f t="shared" si="104"/>
        <v>510.13849909399505</v>
      </c>
      <c r="O179" s="279">
        <f t="shared" si="104"/>
        <v>585.82885894044387</v>
      </c>
      <c r="P179" s="279">
        <f t="shared" si="104"/>
        <v>653.22714603027771</v>
      </c>
      <c r="Q179" s="279">
        <f t="shared" si="104"/>
        <v>714.54945439388689</v>
      </c>
      <c r="R179" s="279">
        <f t="shared" si="104"/>
        <v>769.56421942421821</v>
      </c>
      <c r="S179" s="279">
        <f t="shared" si="104"/>
        <v>818.04461001276798</v>
      </c>
      <c r="T179" s="279">
        <f t="shared" si="104"/>
        <v>859.76859078897598</v>
      </c>
      <c r="U179" s="279">
        <f t="shared" si="104"/>
        <v>894.51898435961937</v>
      </c>
      <c r="V179" s="279">
        <f t="shared" si="104"/>
        <v>922.08353354820417</v>
      </c>
      <c r="W179" s="279">
        <f t="shared" si="104"/>
        <v>942.25496363436343</v>
      </c>
      <c r="X179" s="279">
        <f t="shared" si="104"/>
        <v>999.41304910262863</v>
      </c>
      <c r="Y179" s="279">
        <f t="shared" si="104"/>
        <v>1044.340870802419</v>
      </c>
      <c r="Z179" s="279">
        <f t="shared" si="104"/>
        <v>1065.6335415012863</v>
      </c>
      <c r="AA179" s="279">
        <f t="shared" si="104"/>
        <v>1073.4226025796038</v>
      </c>
      <c r="AB179" s="279">
        <f t="shared" si="104"/>
        <v>1067.7223403900446</v>
      </c>
      <c r="AC179" s="279">
        <f t="shared" si="104"/>
        <v>1048.5836500194375</v>
      </c>
      <c r="AD179" s="279">
        <f t="shared" si="104"/>
        <v>1016.0948163236484</v>
      </c>
      <c r="AE179" s="279">
        <f t="shared" si="104"/>
        <v>970.38229496245719</v>
      </c>
      <c r="AF179" s="279">
        <f t="shared" si="104"/>
        <v>911.61149343443333</v>
      </c>
      <c r="AG179" s="279">
        <f t="shared" si="104"/>
        <v>839.98755211181845</v>
      </c>
      <c r="AH179" s="230"/>
      <c r="AI179" s="398"/>
      <c r="AJ179" s="399"/>
      <c r="AL179" s="207"/>
      <c r="AM179" s="118"/>
      <c r="AN179" s="118"/>
      <c r="AO179" s="118"/>
      <c r="BD179" s="118"/>
      <c r="BE179" s="118"/>
      <c r="BF179" s="118"/>
      <c r="BG179" s="118"/>
      <c r="BH179" s="118"/>
      <c r="BI179" s="118"/>
      <c r="BJ179" s="118"/>
      <c r="BK179" s="118"/>
    </row>
    <row r="180" spans="1:63" outlineLevel="1">
      <c r="A180" s="4" t="s">
        <v>35</v>
      </c>
      <c r="C180" s="216">
        <f t="shared" ref="C180:R183" si="105">C175-$C175</f>
        <v>0</v>
      </c>
      <c r="D180" s="216">
        <f t="shared" ref="D180:AG180" si="106">D175-$C175</f>
        <v>0</v>
      </c>
      <c r="E180" s="216">
        <f t="shared" si="106"/>
        <v>0</v>
      </c>
      <c r="F180" s="216">
        <f t="shared" si="106"/>
        <v>0</v>
      </c>
      <c r="G180" s="216">
        <f t="shared" si="106"/>
        <v>0</v>
      </c>
      <c r="H180" s="216">
        <f t="shared" si="106"/>
        <v>0</v>
      </c>
      <c r="I180" s="216">
        <f t="shared" si="106"/>
        <v>0</v>
      </c>
      <c r="J180" s="216">
        <f t="shared" si="106"/>
        <v>0</v>
      </c>
      <c r="K180" s="216">
        <f t="shared" si="106"/>
        <v>0</v>
      </c>
      <c r="L180" s="216">
        <f t="shared" si="106"/>
        <v>0</v>
      </c>
      <c r="M180" s="216">
        <f t="shared" si="106"/>
        <v>0</v>
      </c>
      <c r="N180" s="216">
        <f t="shared" si="106"/>
        <v>0</v>
      </c>
      <c r="O180" s="216">
        <f t="shared" si="106"/>
        <v>0</v>
      </c>
      <c r="P180" s="216">
        <f t="shared" si="106"/>
        <v>0</v>
      </c>
      <c r="Q180" s="216">
        <f t="shared" si="106"/>
        <v>0</v>
      </c>
      <c r="R180" s="216">
        <f t="shared" si="106"/>
        <v>0</v>
      </c>
      <c r="S180" s="216">
        <f t="shared" si="106"/>
        <v>0</v>
      </c>
      <c r="T180" s="216">
        <f t="shared" si="106"/>
        <v>0</v>
      </c>
      <c r="U180" s="216">
        <f t="shared" si="106"/>
        <v>0</v>
      </c>
      <c r="V180" s="216">
        <f t="shared" si="106"/>
        <v>0</v>
      </c>
      <c r="W180" s="216">
        <f t="shared" si="106"/>
        <v>0</v>
      </c>
      <c r="X180" s="216">
        <f t="shared" si="106"/>
        <v>0</v>
      </c>
      <c r="Y180" s="216">
        <f t="shared" si="106"/>
        <v>0</v>
      </c>
      <c r="Z180" s="216">
        <f t="shared" si="106"/>
        <v>0</v>
      </c>
      <c r="AA180" s="216">
        <f t="shared" si="106"/>
        <v>0</v>
      </c>
      <c r="AB180" s="216">
        <f t="shared" si="106"/>
        <v>0</v>
      </c>
      <c r="AC180" s="216">
        <f t="shared" si="106"/>
        <v>0</v>
      </c>
      <c r="AD180" s="216">
        <f t="shared" si="106"/>
        <v>0</v>
      </c>
      <c r="AE180" s="216">
        <f t="shared" si="106"/>
        <v>0</v>
      </c>
      <c r="AF180" s="216">
        <f t="shared" si="106"/>
        <v>0</v>
      </c>
      <c r="AG180" s="216">
        <f t="shared" si="106"/>
        <v>0</v>
      </c>
      <c r="AH180" s="230"/>
      <c r="AI180" s="126"/>
      <c r="AJ180" s="198"/>
      <c r="AL180" s="102"/>
      <c r="AM180" s="2"/>
      <c r="AN180" s="2"/>
      <c r="AO180" s="2"/>
      <c r="BC180" s="1"/>
      <c r="BD180" s="2"/>
      <c r="BE180" s="2"/>
      <c r="BF180" s="2"/>
      <c r="BG180" s="2"/>
      <c r="BH180" s="2"/>
      <c r="BI180" s="2"/>
      <c r="BJ180" s="2"/>
      <c r="BK180" s="2"/>
    </row>
    <row r="181" spans="1:63" outlineLevel="1">
      <c r="A181" s="4" t="s">
        <v>74</v>
      </c>
      <c r="C181" s="216">
        <f t="shared" si="105"/>
        <v>0</v>
      </c>
      <c r="D181" s="216">
        <f t="shared" si="105"/>
        <v>24.94193184417918</v>
      </c>
      <c r="E181" s="216">
        <f t="shared" si="105"/>
        <v>47.116747851335248</v>
      </c>
      <c r="F181" s="216">
        <f t="shared" si="105"/>
        <v>66.532063069107437</v>
      </c>
      <c r="G181" s="216">
        <f t="shared" si="105"/>
        <v>83.206345960755584</v>
      </c>
      <c r="H181" s="216">
        <f t="shared" si="105"/>
        <v>97.168918405159701</v>
      </c>
      <c r="I181" s="216">
        <f t="shared" si="105"/>
        <v>108.4599556968204</v>
      </c>
      <c r="J181" s="216">
        <f t="shared" si="105"/>
        <v>117.13048654585836</v>
      </c>
      <c r="K181" s="216">
        <f t="shared" si="105"/>
        <v>123.24239307801514</v>
      </c>
      <c r="L181" s="216">
        <f t="shared" si="105"/>
        <v>126.86841083465228</v>
      </c>
      <c r="M181" s="216">
        <f t="shared" si="105"/>
        <v>128.09212877275175</v>
      </c>
      <c r="N181" s="216">
        <f t="shared" si="105"/>
        <v>145.7759273176562</v>
      </c>
      <c r="O181" s="216">
        <f t="shared" si="105"/>
        <v>158.45548373558344</v>
      </c>
      <c r="P181" s="216">
        <f t="shared" si="105"/>
        <v>165.33275399287012</v>
      </c>
      <c r="Q181" s="216">
        <f t="shared" si="105"/>
        <v>167.6052012892554</v>
      </c>
      <c r="R181" s="216">
        <f t="shared" si="105"/>
        <v>165.56566237580401</v>
      </c>
      <c r="S181" s="216">
        <f t="shared" ref="S181:AG181" si="107">S176-$C176</f>
        <v>159.52667302083685</v>
      </c>
      <c r="T181" s="216">
        <f t="shared" si="107"/>
        <v>149.82001433214745</v>
      </c>
      <c r="U181" s="216">
        <f t="shared" si="107"/>
        <v>136.79625166750461</v>
      </c>
      <c r="V181" s="216">
        <f t="shared" si="107"/>
        <v>120.82426613344023</v>
      </c>
      <c r="W181" s="216">
        <f t="shared" si="107"/>
        <v>102.29077867232468</v>
      </c>
      <c r="X181" s="216">
        <f t="shared" si="107"/>
        <v>89.563369833295013</v>
      </c>
      <c r="Y181" s="216">
        <f t="shared" si="107"/>
        <v>72.625185949843541</v>
      </c>
      <c r="Z181" s="216">
        <f t="shared" si="107"/>
        <v>50.619945417111836</v>
      </c>
      <c r="AA181" s="216">
        <f t="shared" si="107"/>
        <v>26.161436199535245</v>
      </c>
      <c r="AB181" s="216">
        <f t="shared" si="107"/>
        <v>5.510774463307655E-2</v>
      </c>
      <c r="AC181" s="216">
        <f t="shared" si="107"/>
        <v>-26.891818341545331</v>
      </c>
      <c r="AD181" s="216">
        <f t="shared" si="107"/>
        <v>-53.873934717870782</v>
      </c>
      <c r="AE181" s="216">
        <f t="shared" si="107"/>
        <v>-80.091327740318292</v>
      </c>
      <c r="AF181" s="216">
        <f t="shared" si="107"/>
        <v>-104.75334990288465</v>
      </c>
      <c r="AG181" s="216">
        <f t="shared" si="107"/>
        <v>-127.08248528723911</v>
      </c>
      <c r="AH181" s="230"/>
      <c r="AI181" s="126"/>
      <c r="AJ181" s="198"/>
      <c r="AL181" s="102"/>
      <c r="AM181" s="2"/>
      <c r="AN181" s="2"/>
      <c r="AO181" s="2"/>
      <c r="BC181" s="1"/>
      <c r="BD181" s="2"/>
      <c r="BE181" s="2"/>
      <c r="BF181" s="2"/>
      <c r="BG181" s="2"/>
      <c r="BH181" s="2"/>
      <c r="BI181" s="2"/>
      <c r="BJ181" s="2"/>
      <c r="BK181" s="2"/>
    </row>
    <row r="182" spans="1:63" outlineLevel="1">
      <c r="A182" s="4" t="s">
        <v>160</v>
      </c>
      <c r="C182" s="216">
        <f t="shared" si="105"/>
        <v>0</v>
      </c>
      <c r="D182" s="216">
        <f t="shared" si="105"/>
        <v>4.4566191636795232</v>
      </c>
      <c r="E182" s="216">
        <f t="shared" si="105"/>
        <v>10.578117273726948</v>
      </c>
      <c r="F182" s="216">
        <f t="shared" si="105"/>
        <v>18.288818601026346</v>
      </c>
      <c r="G182" s="216">
        <f t="shared" si="105"/>
        <v>27.503820499577134</v>
      </c>
      <c r="H182" s="216">
        <f t="shared" si="105"/>
        <v>38.128993406494047</v>
      </c>
      <c r="I182" s="216">
        <f t="shared" si="105"/>
        <v>50.060980842007197</v>
      </c>
      <c r="J182" s="216">
        <f t="shared" si="105"/>
        <v>63.187199409461954</v>
      </c>
      <c r="K182" s="216">
        <f t="shared" si="105"/>
        <v>77.385838795319145</v>
      </c>
      <c r="L182" s="216">
        <f t="shared" si="105"/>
        <v>92.52586176915483</v>
      </c>
      <c r="M182" s="216">
        <f t="shared" si="105"/>
        <v>108.46700418366042</v>
      </c>
      <c r="N182" s="216">
        <f t="shared" si="105"/>
        <v>134.29709138231439</v>
      </c>
      <c r="O182" s="216">
        <f t="shared" si="105"/>
        <v>161.83139635413781</v>
      </c>
      <c r="P182" s="216">
        <f t="shared" si="105"/>
        <v>190.10109020703987</v>
      </c>
      <c r="Q182" s="216">
        <f t="shared" si="105"/>
        <v>219.20992665512424</v>
      </c>
      <c r="R182" s="216">
        <f t="shared" si="105"/>
        <v>248.79173795434966</v>
      </c>
      <c r="S182" s="216">
        <f t="shared" ref="S182:AG182" si="108">S177-$C177</f>
        <v>278.46600549799075</v>
      </c>
      <c r="T182" s="216">
        <f t="shared" si="108"/>
        <v>307.83827701097624</v>
      </c>
      <c r="U182" s="216">
        <f t="shared" si="108"/>
        <v>336.50059004521796</v>
      </c>
      <c r="V182" s="216">
        <f t="shared" si="108"/>
        <v>364.0319017759299</v>
      </c>
      <c r="W182" s="216">
        <f t="shared" si="108"/>
        <v>389.99852509893941</v>
      </c>
      <c r="X182" s="216">
        <f t="shared" si="108"/>
        <v>429.75144352839146</v>
      </c>
      <c r="Y182" s="216">
        <f t="shared" si="108"/>
        <v>466.89327189769097</v>
      </c>
      <c r="Z182" s="216">
        <f t="shared" si="108"/>
        <v>496.37893018045037</v>
      </c>
      <c r="AA182" s="216">
        <f t="shared" si="108"/>
        <v>521.11481807884718</v>
      </c>
      <c r="AB182" s="216">
        <f t="shared" si="108"/>
        <v>540.42342284278277</v>
      </c>
      <c r="AC182" s="216">
        <f t="shared" si="108"/>
        <v>553.64425611199988</v>
      </c>
      <c r="AD182" s="216">
        <f t="shared" si="108"/>
        <v>560.13729822814787</v>
      </c>
      <c r="AE182" s="216">
        <f t="shared" si="108"/>
        <v>559.28652161724142</v>
      </c>
      <c r="AF182" s="216">
        <f t="shared" si="108"/>
        <v>550.50349324251249</v>
      </c>
      <c r="AG182" s="216">
        <f t="shared" si="108"/>
        <v>533.23105612765994</v>
      </c>
      <c r="AH182" s="230"/>
      <c r="AI182" s="126"/>
      <c r="AJ182" s="198"/>
      <c r="AL182" s="102"/>
      <c r="AM182" s="2"/>
      <c r="AN182" s="2"/>
      <c r="AO182" s="2"/>
      <c r="BC182" s="1"/>
      <c r="BD182" s="2"/>
      <c r="BE182" s="2"/>
      <c r="BF182" s="2"/>
      <c r="BG182" s="2"/>
      <c r="BH182" s="2"/>
      <c r="BI182" s="2"/>
      <c r="BJ182" s="2"/>
      <c r="BK182" s="2"/>
    </row>
    <row r="183" spans="1:63" outlineLevel="1">
      <c r="A183" s="4" t="s">
        <v>1159</v>
      </c>
      <c r="C183" s="216">
        <f t="shared" si="105"/>
        <v>0</v>
      </c>
      <c r="D183" s="216">
        <f t="shared" si="105"/>
        <v>21.295347188539409</v>
      </c>
      <c r="E183" s="216">
        <f t="shared" si="105"/>
        <v>42.334635882723603</v>
      </c>
      <c r="F183" s="216">
        <f t="shared" si="105"/>
        <v>63.049215471118458</v>
      </c>
      <c r="G183" s="216">
        <f t="shared" si="105"/>
        <v>83.368808843554234</v>
      </c>
      <c r="H183" s="216">
        <f t="shared" si="105"/>
        <v>103.22151239112534</v>
      </c>
      <c r="I183" s="216">
        <f t="shared" si="105"/>
        <v>122.53379600619064</v>
      </c>
      <c r="J183" s="216">
        <f t="shared" si="105"/>
        <v>141.23050308237291</v>
      </c>
      <c r="K183" s="216">
        <f t="shared" si="105"/>
        <v>159.23485051455972</v>
      </c>
      <c r="L183" s="216">
        <f t="shared" si="105"/>
        <v>176.46842869890253</v>
      </c>
      <c r="M183" s="216">
        <f t="shared" si="105"/>
        <v>192.85120153281713</v>
      </c>
      <c r="N183" s="216">
        <f t="shared" si="105"/>
        <v>230.06548039402429</v>
      </c>
      <c r="O183" s="216">
        <f t="shared" si="105"/>
        <v>265.54197885072239</v>
      </c>
      <c r="P183" s="216">
        <f t="shared" si="105"/>
        <v>297.79330183036745</v>
      </c>
      <c r="Q183" s="216">
        <f t="shared" si="105"/>
        <v>327.73432644950697</v>
      </c>
      <c r="R183" s="216">
        <f t="shared" si="105"/>
        <v>355.20681909406414</v>
      </c>
      <c r="S183" s="216">
        <f t="shared" ref="S183:AG183" si="109">S178-$C178</f>
        <v>380.05193149394</v>
      </c>
      <c r="T183" s="216">
        <f t="shared" si="109"/>
        <v>402.11029944585192</v>
      </c>
      <c r="U183" s="216">
        <f t="shared" si="109"/>
        <v>421.22214264689637</v>
      </c>
      <c r="V183" s="216">
        <f t="shared" si="109"/>
        <v>437.22736563883359</v>
      </c>
      <c r="W183" s="216">
        <f t="shared" si="109"/>
        <v>449.96565986309895</v>
      </c>
      <c r="X183" s="216">
        <f t="shared" si="109"/>
        <v>480.09823574094173</v>
      </c>
      <c r="Y183" s="216">
        <f t="shared" si="109"/>
        <v>504.82241295488393</v>
      </c>
      <c r="Z183" s="216">
        <f t="shared" si="109"/>
        <v>518.63466590372354</v>
      </c>
      <c r="AA183" s="216">
        <f t="shared" si="109"/>
        <v>526.14634830122088</v>
      </c>
      <c r="AB183" s="216">
        <f t="shared" si="109"/>
        <v>527.24380980262811</v>
      </c>
      <c r="AC183" s="216">
        <f t="shared" si="109"/>
        <v>521.83121224898241</v>
      </c>
      <c r="AD183" s="216">
        <f t="shared" si="109"/>
        <v>509.8314528133709</v>
      </c>
      <c r="AE183" s="216">
        <f t="shared" si="109"/>
        <v>491.18710108553375</v>
      </c>
      <c r="AF183" s="216">
        <f t="shared" si="109"/>
        <v>465.86135009480518</v>
      </c>
      <c r="AG183" s="216">
        <f t="shared" si="109"/>
        <v>433.83898127139753</v>
      </c>
      <c r="AH183" s="230"/>
      <c r="AI183" s="126"/>
      <c r="AJ183" s="198"/>
      <c r="AL183" s="102"/>
      <c r="AM183" s="2"/>
      <c r="AN183" s="2"/>
      <c r="AO183" s="2"/>
      <c r="BC183" s="1"/>
      <c r="BD183" s="2"/>
      <c r="BE183" s="2"/>
      <c r="BF183" s="2"/>
      <c r="BG183" s="2"/>
      <c r="BH183" s="2"/>
      <c r="BI183" s="2"/>
      <c r="BJ183" s="2"/>
      <c r="BK183" s="2"/>
    </row>
    <row r="184" spans="1:63" outlineLevel="1">
      <c r="C184" s="104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  <c r="AF184" s="22"/>
      <c r="AG184" s="22"/>
      <c r="AJ184" s="198"/>
      <c r="AM184" s="117"/>
      <c r="AN184" s="117"/>
    </row>
    <row r="185" spans="1:63" s="187" customFormat="1" ht="15.5" thickBot="1">
      <c r="A185" s="187" t="s">
        <v>447</v>
      </c>
      <c r="B185" s="202"/>
      <c r="C185" s="210">
        <f>C186</f>
        <v>0.13</v>
      </c>
      <c r="D185" s="210">
        <f t="shared" ref="D185:AG185" si="110">D186</f>
        <v>0.13557711853523402</v>
      </c>
      <c r="E185" s="210">
        <f t="shared" si="110"/>
        <v>0.14115423707046801</v>
      </c>
      <c r="F185" s="210">
        <f t="shared" si="110"/>
        <v>0.14673135560570202</v>
      </c>
      <c r="G185" s="210">
        <f t="shared" si="110"/>
        <v>0.15230847414093604</v>
      </c>
      <c r="H185" s="210">
        <f t="shared" si="110"/>
        <v>0.15788559267617003</v>
      </c>
      <c r="I185" s="210">
        <f t="shared" si="110"/>
        <v>0.16346271121140404</v>
      </c>
      <c r="J185" s="210">
        <f t="shared" si="110"/>
        <v>0.16903982974663806</v>
      </c>
      <c r="K185" s="210">
        <f t="shared" si="110"/>
        <v>0.17461694828187208</v>
      </c>
      <c r="L185" s="210">
        <f t="shared" si="110"/>
        <v>0.18019406681710606</v>
      </c>
      <c r="M185" s="210">
        <f t="shared" si="110"/>
        <v>0.18577118535234008</v>
      </c>
      <c r="N185" s="210">
        <f t="shared" si="110"/>
        <v>0.19752603518814099</v>
      </c>
      <c r="O185" s="210">
        <f t="shared" si="110"/>
        <v>0.20928088502394188</v>
      </c>
      <c r="P185" s="210">
        <f t="shared" si="110"/>
        <v>0.22103573485974279</v>
      </c>
      <c r="Q185" s="210">
        <f t="shared" si="110"/>
        <v>0.2327905846955437</v>
      </c>
      <c r="R185" s="210">
        <f t="shared" si="110"/>
        <v>0.24454543453134459</v>
      </c>
      <c r="S185" s="210">
        <f t="shared" si="110"/>
        <v>0.25630028436714547</v>
      </c>
      <c r="T185" s="210">
        <f t="shared" si="110"/>
        <v>0.26805513420294641</v>
      </c>
      <c r="U185" s="210">
        <f t="shared" si="110"/>
        <v>0.27980998403874729</v>
      </c>
      <c r="V185" s="210">
        <f t="shared" si="110"/>
        <v>0.29156483387454823</v>
      </c>
      <c r="W185" s="210">
        <f t="shared" si="110"/>
        <v>0.30331968371034912</v>
      </c>
      <c r="X185" s="210">
        <f t="shared" si="110"/>
        <v>0.3229877153393142</v>
      </c>
      <c r="Y185" s="210">
        <f t="shared" si="110"/>
        <v>0.34265574696827927</v>
      </c>
      <c r="Z185" s="210">
        <f t="shared" si="110"/>
        <v>0.36232377859724441</v>
      </c>
      <c r="AA185" s="210">
        <f t="shared" si="110"/>
        <v>0.38199181022620948</v>
      </c>
      <c r="AB185" s="210">
        <f t="shared" si="110"/>
        <v>0.40165984185517456</v>
      </c>
      <c r="AC185" s="210">
        <f t="shared" si="110"/>
        <v>0.42132787348413964</v>
      </c>
      <c r="AD185" s="210">
        <f t="shared" si="110"/>
        <v>0.44099590511310471</v>
      </c>
      <c r="AE185" s="210">
        <f t="shared" si="110"/>
        <v>0.46066393674206985</v>
      </c>
      <c r="AF185" s="210">
        <f t="shared" si="110"/>
        <v>0.48033196837103487</v>
      </c>
      <c r="AG185" s="210">
        <f t="shared" si="110"/>
        <v>0.5</v>
      </c>
      <c r="AJ185" s="217" t="s">
        <v>471</v>
      </c>
      <c r="AL185" s="204"/>
      <c r="AM185" s="211"/>
      <c r="AN185" s="211"/>
      <c r="AO185" s="211"/>
    </row>
    <row r="186" spans="1:63" ht="15.5" outlineLevel="1" thickTop="1">
      <c r="A186" t="s">
        <v>448</v>
      </c>
      <c r="B186" s="51" t="s">
        <v>126</v>
      </c>
      <c r="C186" s="201">
        <v>0.13</v>
      </c>
      <c r="D186" s="104">
        <f>$C186+($M186-$C186)/10*(D$1-$C$1)</f>
        <v>0.13557711853523402</v>
      </c>
      <c r="E186" s="104">
        <f t="shared" ref="E186:L186" si="111">$C186+($M186-$C186)/10*(E$1-$C$1)</f>
        <v>0.14115423707046801</v>
      </c>
      <c r="F186" s="104">
        <f t="shared" si="111"/>
        <v>0.14673135560570202</v>
      </c>
      <c r="G186" s="104">
        <f t="shared" si="111"/>
        <v>0.15230847414093604</v>
      </c>
      <c r="H186" s="104">
        <f t="shared" si="111"/>
        <v>0.15788559267617003</v>
      </c>
      <c r="I186" s="104">
        <f t="shared" si="111"/>
        <v>0.16346271121140404</v>
      </c>
      <c r="J186" s="104">
        <f t="shared" si="111"/>
        <v>0.16903982974663806</v>
      </c>
      <c r="K186" s="104">
        <f t="shared" si="111"/>
        <v>0.17461694828187208</v>
      </c>
      <c r="L186" s="104">
        <f t="shared" si="111"/>
        <v>0.18019406681710606</v>
      </c>
      <c r="M186" s="115">
        <f>(M$49-$C$49)/($AG$49-$C$49)*($AG186-$C186)+$C186</f>
        <v>0.18577118535234008</v>
      </c>
      <c r="N186" s="115">
        <f>$M186+($W186-$M186)/10*(N$1-$M$1)</f>
        <v>0.19752603518814099</v>
      </c>
      <c r="O186" s="115">
        <f t="shared" ref="O186:U186" si="112">$M186+($W186-$M186)/10*(O$1-$M$1)</f>
        <v>0.20928088502394188</v>
      </c>
      <c r="P186" s="115">
        <f t="shared" si="112"/>
        <v>0.22103573485974279</v>
      </c>
      <c r="Q186" s="115">
        <f t="shared" si="112"/>
        <v>0.2327905846955437</v>
      </c>
      <c r="R186" s="115">
        <f t="shared" si="112"/>
        <v>0.24454543453134459</v>
      </c>
      <c r="S186" s="115">
        <f t="shared" si="112"/>
        <v>0.25630028436714547</v>
      </c>
      <c r="T186" s="115">
        <f t="shared" si="112"/>
        <v>0.26805513420294641</v>
      </c>
      <c r="U186" s="115">
        <f t="shared" si="112"/>
        <v>0.27980998403874729</v>
      </c>
      <c r="V186" s="115">
        <f>$M186+($W186-$M186)/10*(V$1-$M$1)</f>
        <v>0.29156483387454823</v>
      </c>
      <c r="W186" s="115">
        <f>(W$49-$C$49)/($AG$49-$C$49)*($AG186-$C186)+$C186</f>
        <v>0.30331968371034912</v>
      </c>
      <c r="X186" s="104">
        <f>$W186+($AG186-$W186)/10*(X$1-$W$1)</f>
        <v>0.3229877153393142</v>
      </c>
      <c r="Y186" s="104">
        <f t="shared" ref="Y186:AF186" si="113">$W186+($AG186-$W186)/10*(Y$1-$W$1)</f>
        <v>0.34265574696827927</v>
      </c>
      <c r="Z186" s="104">
        <f t="shared" si="113"/>
        <v>0.36232377859724441</v>
      </c>
      <c r="AA186" s="104">
        <f t="shared" si="113"/>
        <v>0.38199181022620948</v>
      </c>
      <c r="AB186" s="104">
        <f t="shared" si="113"/>
        <v>0.40165984185517456</v>
      </c>
      <c r="AC186" s="104">
        <f t="shared" si="113"/>
        <v>0.42132787348413964</v>
      </c>
      <c r="AD186" s="104">
        <f t="shared" si="113"/>
        <v>0.44099590511310471</v>
      </c>
      <c r="AE186" s="104">
        <f t="shared" si="113"/>
        <v>0.46066393674206985</v>
      </c>
      <c r="AF186" s="104">
        <f t="shared" si="113"/>
        <v>0.48033196837103487</v>
      </c>
      <c r="AG186" s="201">
        <v>0.5</v>
      </c>
      <c r="AJ186" s="198" t="s">
        <v>453</v>
      </c>
    </row>
    <row r="187" spans="1:63" outlineLevel="1">
      <c r="A187" t="s">
        <v>449</v>
      </c>
      <c r="B187" s="51" t="s">
        <v>126</v>
      </c>
      <c r="C187" s="201">
        <v>0.05</v>
      </c>
      <c r="D187" s="104">
        <f t="shared" ref="D187:AF187" si="114">C187-($C$187-$AG$187)/($AG$1-$C$1)</f>
        <v>5.8333333333333334E-2</v>
      </c>
      <c r="E187" s="104">
        <f t="shared" si="114"/>
        <v>6.6666666666666666E-2</v>
      </c>
      <c r="F187" s="104">
        <f t="shared" si="114"/>
        <v>7.4999999999999997E-2</v>
      </c>
      <c r="G187" s="104">
        <f t="shared" si="114"/>
        <v>8.3333333333333329E-2</v>
      </c>
      <c r="H187" s="104">
        <f t="shared" si="114"/>
        <v>9.166666666666666E-2</v>
      </c>
      <c r="I187" s="104">
        <f t="shared" si="114"/>
        <v>9.9999999999999992E-2</v>
      </c>
      <c r="J187" s="104">
        <f t="shared" si="114"/>
        <v>0.10833333333333332</v>
      </c>
      <c r="K187" s="104">
        <f t="shared" si="114"/>
        <v>0.11666666666666665</v>
      </c>
      <c r="L187" s="104">
        <f t="shared" si="114"/>
        <v>0.12499999999999999</v>
      </c>
      <c r="M187" s="104">
        <f t="shared" si="114"/>
        <v>0.13333333333333333</v>
      </c>
      <c r="N187" s="104">
        <f t="shared" si="114"/>
        <v>0.14166666666666666</v>
      </c>
      <c r="O187" s="104">
        <f t="shared" si="114"/>
        <v>0.15</v>
      </c>
      <c r="P187" s="104">
        <f t="shared" si="114"/>
        <v>0.15833333333333333</v>
      </c>
      <c r="Q187" s="104">
        <f t="shared" si="114"/>
        <v>0.16666666666666666</v>
      </c>
      <c r="R187" s="104">
        <f t="shared" si="114"/>
        <v>0.17499999999999999</v>
      </c>
      <c r="S187" s="104">
        <f t="shared" si="114"/>
        <v>0.18333333333333332</v>
      </c>
      <c r="T187" s="104">
        <f t="shared" si="114"/>
        <v>0.19166666666666665</v>
      </c>
      <c r="U187" s="104">
        <f t="shared" si="114"/>
        <v>0.19999999999999998</v>
      </c>
      <c r="V187" s="104">
        <f t="shared" si="114"/>
        <v>0.20833333333333331</v>
      </c>
      <c r="W187" s="104">
        <f t="shared" si="114"/>
        <v>0.21666666666666665</v>
      </c>
      <c r="X187" s="104">
        <f t="shared" si="114"/>
        <v>0.22499999999999998</v>
      </c>
      <c r="Y187" s="104">
        <f t="shared" si="114"/>
        <v>0.23333333333333331</v>
      </c>
      <c r="Z187" s="104">
        <f t="shared" si="114"/>
        <v>0.24166666666666664</v>
      </c>
      <c r="AA187" s="104">
        <f t="shared" si="114"/>
        <v>0.24999999999999997</v>
      </c>
      <c r="AB187" s="104">
        <f t="shared" si="114"/>
        <v>0.2583333333333333</v>
      </c>
      <c r="AC187" s="104">
        <f t="shared" si="114"/>
        <v>0.26666666666666666</v>
      </c>
      <c r="AD187" s="104">
        <f t="shared" si="114"/>
        <v>0.27500000000000002</v>
      </c>
      <c r="AE187" s="104">
        <f t="shared" si="114"/>
        <v>0.28333333333333338</v>
      </c>
      <c r="AF187" s="104">
        <f t="shared" si="114"/>
        <v>0.29166666666666674</v>
      </c>
      <c r="AG187" s="201">
        <v>0.3</v>
      </c>
      <c r="AI187" s="128"/>
      <c r="AJ187" s="198" t="s">
        <v>645</v>
      </c>
      <c r="AM187" s="117"/>
      <c r="AN187" s="117"/>
    </row>
    <row r="188" spans="1:63" ht="14.5" customHeight="1" outlineLevel="1">
      <c r="A188" t="s">
        <v>450</v>
      </c>
      <c r="B188" s="165" t="s">
        <v>126</v>
      </c>
      <c r="C188" s="104">
        <f>1-C187</f>
        <v>0.95</v>
      </c>
      <c r="D188" s="104">
        <f t="shared" ref="D188:AG188" si="115">1-D187</f>
        <v>0.94166666666666665</v>
      </c>
      <c r="E188" s="104">
        <f t="shared" si="115"/>
        <v>0.93333333333333335</v>
      </c>
      <c r="F188" s="104">
        <f t="shared" si="115"/>
        <v>0.92500000000000004</v>
      </c>
      <c r="G188" s="104">
        <f t="shared" si="115"/>
        <v>0.91666666666666663</v>
      </c>
      <c r="H188" s="104">
        <f t="shared" si="115"/>
        <v>0.90833333333333333</v>
      </c>
      <c r="I188" s="104">
        <f t="shared" si="115"/>
        <v>0.9</v>
      </c>
      <c r="J188" s="104">
        <f t="shared" si="115"/>
        <v>0.89166666666666672</v>
      </c>
      <c r="K188" s="104">
        <f t="shared" si="115"/>
        <v>0.8833333333333333</v>
      </c>
      <c r="L188" s="104">
        <f t="shared" si="115"/>
        <v>0.875</v>
      </c>
      <c r="M188" s="104">
        <f t="shared" si="115"/>
        <v>0.8666666666666667</v>
      </c>
      <c r="N188" s="104">
        <f t="shared" si="115"/>
        <v>0.85833333333333339</v>
      </c>
      <c r="O188" s="104">
        <f t="shared" si="115"/>
        <v>0.85</v>
      </c>
      <c r="P188" s="104">
        <f t="shared" si="115"/>
        <v>0.84166666666666667</v>
      </c>
      <c r="Q188" s="104">
        <f t="shared" si="115"/>
        <v>0.83333333333333337</v>
      </c>
      <c r="R188" s="104">
        <f t="shared" si="115"/>
        <v>0.82499999999999996</v>
      </c>
      <c r="S188" s="104">
        <f t="shared" si="115"/>
        <v>0.81666666666666665</v>
      </c>
      <c r="T188" s="104">
        <f t="shared" si="115"/>
        <v>0.80833333333333335</v>
      </c>
      <c r="U188" s="104">
        <f t="shared" si="115"/>
        <v>0.8</v>
      </c>
      <c r="V188" s="104">
        <f t="shared" si="115"/>
        <v>0.79166666666666674</v>
      </c>
      <c r="W188" s="104">
        <f t="shared" si="115"/>
        <v>0.78333333333333333</v>
      </c>
      <c r="X188" s="104">
        <f t="shared" si="115"/>
        <v>0.77500000000000002</v>
      </c>
      <c r="Y188" s="104">
        <f t="shared" si="115"/>
        <v>0.76666666666666672</v>
      </c>
      <c r="Z188" s="104">
        <f t="shared" si="115"/>
        <v>0.7583333333333333</v>
      </c>
      <c r="AA188" s="104">
        <f t="shared" si="115"/>
        <v>0.75</v>
      </c>
      <c r="AB188" s="104">
        <f t="shared" si="115"/>
        <v>0.7416666666666667</v>
      </c>
      <c r="AC188" s="104">
        <f t="shared" si="115"/>
        <v>0.73333333333333339</v>
      </c>
      <c r="AD188" s="104">
        <f t="shared" si="115"/>
        <v>0.72499999999999998</v>
      </c>
      <c r="AE188" s="104">
        <f t="shared" si="115"/>
        <v>0.71666666666666656</v>
      </c>
      <c r="AF188" s="104">
        <f t="shared" si="115"/>
        <v>0.70833333333333326</v>
      </c>
      <c r="AG188" s="104">
        <f t="shared" si="115"/>
        <v>0.7</v>
      </c>
      <c r="AI188" s="128" t="s">
        <v>285</v>
      </c>
      <c r="AJ188" s="198"/>
    </row>
    <row r="189" spans="1:63" outlineLevel="1">
      <c r="A189" t="s">
        <v>451</v>
      </c>
      <c r="B189" s="51" t="s">
        <v>126</v>
      </c>
      <c r="C189" s="104">
        <f>C186*C187</f>
        <v>6.5000000000000006E-3</v>
      </c>
      <c r="D189" s="104">
        <f t="shared" ref="D189:AG189" si="116">D186*D187</f>
        <v>7.9086652478886511E-3</v>
      </c>
      <c r="E189" s="104">
        <f t="shared" si="116"/>
        <v>9.4102824713645332E-3</v>
      </c>
      <c r="F189" s="104">
        <f t="shared" si="116"/>
        <v>1.1004851670427652E-2</v>
      </c>
      <c r="G189" s="104">
        <f t="shared" si="116"/>
        <v>1.2692372845078003E-2</v>
      </c>
      <c r="H189" s="104">
        <f t="shared" si="116"/>
        <v>1.4472845995315585E-2</v>
      </c>
      <c r="I189" s="104">
        <f t="shared" si="116"/>
        <v>1.6346271121140402E-2</v>
      </c>
      <c r="J189" s="104">
        <f t="shared" si="116"/>
        <v>1.8312648222552456E-2</v>
      </c>
      <c r="K189" s="104">
        <f t="shared" si="116"/>
        <v>2.037197729955174E-2</v>
      </c>
      <c r="L189" s="104">
        <f t="shared" si="116"/>
        <v>2.2524258352138254E-2</v>
      </c>
      <c r="M189" s="104">
        <f t="shared" si="116"/>
        <v>2.4769491380312009E-2</v>
      </c>
      <c r="N189" s="104">
        <f t="shared" si="116"/>
        <v>2.7982854984986639E-2</v>
      </c>
      <c r="O189" s="104">
        <f t="shared" si="116"/>
        <v>3.1392132753591283E-2</v>
      </c>
      <c r="P189" s="104">
        <f t="shared" si="116"/>
        <v>3.4997324686125937E-2</v>
      </c>
      <c r="Q189" s="104">
        <f t="shared" si="116"/>
        <v>3.8798430782590612E-2</v>
      </c>
      <c r="R189" s="104">
        <f t="shared" si="116"/>
        <v>4.2795451042985301E-2</v>
      </c>
      <c r="S189" s="104">
        <f t="shared" si="116"/>
        <v>4.6988385467309997E-2</v>
      </c>
      <c r="T189" s="104">
        <f t="shared" si="116"/>
        <v>5.1377234055564727E-2</v>
      </c>
      <c r="U189" s="104">
        <f t="shared" si="116"/>
        <v>5.5961996807749458E-2</v>
      </c>
      <c r="V189" s="104">
        <f t="shared" si="116"/>
        <v>6.0742673723864209E-2</v>
      </c>
      <c r="W189" s="104">
        <f t="shared" si="116"/>
        <v>6.5719264803908967E-2</v>
      </c>
      <c r="X189" s="104">
        <f t="shared" si="116"/>
        <v>7.2672235951345684E-2</v>
      </c>
      <c r="Y189" s="104">
        <f t="shared" si="116"/>
        <v>7.9953007625931827E-2</v>
      </c>
      <c r="Z189" s="104">
        <f t="shared" si="116"/>
        <v>8.7561579827667393E-2</v>
      </c>
      <c r="AA189" s="104">
        <f t="shared" si="116"/>
        <v>9.5497952556552357E-2</v>
      </c>
      <c r="AB189" s="104">
        <f t="shared" si="116"/>
        <v>0.10376212581258674</v>
      </c>
      <c r="AC189" s="104">
        <f t="shared" si="116"/>
        <v>0.11235409959577057</v>
      </c>
      <c r="AD189" s="104">
        <f t="shared" si="116"/>
        <v>0.12127387390610381</v>
      </c>
      <c r="AE189" s="104">
        <f t="shared" si="116"/>
        <v>0.13052144874358648</v>
      </c>
      <c r="AF189" s="104">
        <f t="shared" si="116"/>
        <v>0.14009682410821853</v>
      </c>
      <c r="AG189" s="104">
        <f t="shared" si="116"/>
        <v>0.15</v>
      </c>
      <c r="AI189" s="127"/>
      <c r="AJ189" s="198"/>
      <c r="BD189" s="190"/>
      <c r="BE189" s="190"/>
    </row>
    <row r="190" spans="1:63" outlineLevel="1">
      <c r="A190" t="s">
        <v>452</v>
      </c>
      <c r="B190" s="51" t="s">
        <v>126</v>
      </c>
      <c r="C190" s="104">
        <f>C186*C188</f>
        <v>0.1235</v>
      </c>
      <c r="D190" s="104">
        <f t="shared" ref="D190:AG190" si="117">D186*D188</f>
        <v>0.12766845328734536</v>
      </c>
      <c r="E190" s="104">
        <f t="shared" si="117"/>
        <v>0.13174395459910349</v>
      </c>
      <c r="F190" s="104">
        <f t="shared" si="117"/>
        <v>0.13572650393527438</v>
      </c>
      <c r="G190" s="104">
        <f t="shared" si="117"/>
        <v>0.13961610129585802</v>
      </c>
      <c r="H190" s="104">
        <f t="shared" si="117"/>
        <v>0.14341274668085444</v>
      </c>
      <c r="I190" s="104">
        <f t="shared" si="117"/>
        <v>0.14711644009026364</v>
      </c>
      <c r="J190" s="104">
        <f t="shared" si="117"/>
        <v>0.15072718152408562</v>
      </c>
      <c r="K190" s="104">
        <f t="shared" si="117"/>
        <v>0.15424497098232032</v>
      </c>
      <c r="L190" s="104">
        <f t="shared" si="117"/>
        <v>0.15766980846496781</v>
      </c>
      <c r="M190" s="104">
        <f t="shared" si="117"/>
        <v>0.16100169397202807</v>
      </c>
      <c r="N190" s="104">
        <f t="shared" si="117"/>
        <v>0.16954318020315437</v>
      </c>
      <c r="O190" s="104">
        <f t="shared" si="117"/>
        <v>0.17788875227035059</v>
      </c>
      <c r="P190" s="104">
        <f t="shared" si="117"/>
        <v>0.18603841017361686</v>
      </c>
      <c r="Q190" s="104">
        <f t="shared" si="117"/>
        <v>0.1939921539129531</v>
      </c>
      <c r="R190" s="104">
        <f t="shared" si="117"/>
        <v>0.20174998348835926</v>
      </c>
      <c r="S190" s="104">
        <f t="shared" si="117"/>
        <v>0.20931189889983545</v>
      </c>
      <c r="T190" s="104">
        <f t="shared" si="117"/>
        <v>0.2166779001473817</v>
      </c>
      <c r="U190" s="104">
        <f t="shared" si="117"/>
        <v>0.22384798723099786</v>
      </c>
      <c r="V190" s="104">
        <f t="shared" si="117"/>
        <v>0.23082216015068405</v>
      </c>
      <c r="W190" s="104">
        <f t="shared" si="117"/>
        <v>0.23760041890644015</v>
      </c>
      <c r="X190" s="104">
        <f t="shared" si="117"/>
        <v>0.2503154793879685</v>
      </c>
      <c r="Y190" s="104">
        <f t="shared" si="117"/>
        <v>0.26270273934234745</v>
      </c>
      <c r="Z190" s="104">
        <f t="shared" si="117"/>
        <v>0.27476219876957697</v>
      </c>
      <c r="AA190" s="104">
        <f t="shared" si="117"/>
        <v>0.28649385766965713</v>
      </c>
      <c r="AB190" s="104">
        <f t="shared" si="117"/>
        <v>0.2978977160425878</v>
      </c>
      <c r="AC190" s="104">
        <f t="shared" si="117"/>
        <v>0.30897377388836911</v>
      </c>
      <c r="AD190" s="104">
        <f t="shared" si="117"/>
        <v>0.31972203120700093</v>
      </c>
      <c r="AE190" s="104">
        <f t="shared" si="117"/>
        <v>0.33014248799848334</v>
      </c>
      <c r="AF190" s="104">
        <f t="shared" si="117"/>
        <v>0.34023514426281631</v>
      </c>
      <c r="AG190" s="104">
        <f t="shared" si="117"/>
        <v>0.35</v>
      </c>
      <c r="AI190" s="127"/>
      <c r="AJ190" s="198"/>
      <c r="BD190" s="190"/>
      <c r="BE190" s="190"/>
    </row>
    <row r="191" spans="1:63" outlineLevel="1">
      <c r="C191" s="104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J191" s="198"/>
    </row>
    <row r="192" spans="1:63" outlineLevel="1">
      <c r="A192" t="s">
        <v>437</v>
      </c>
      <c r="B192" s="51" t="s">
        <v>126</v>
      </c>
      <c r="C192" s="201">
        <v>0.5</v>
      </c>
      <c r="D192" s="104">
        <f>C192</f>
        <v>0.5</v>
      </c>
      <c r="E192" s="104">
        <f t="shared" ref="E192:AG192" si="118">D192</f>
        <v>0.5</v>
      </c>
      <c r="F192" s="104">
        <f t="shared" si="118"/>
        <v>0.5</v>
      </c>
      <c r="G192" s="104">
        <f t="shared" si="118"/>
        <v>0.5</v>
      </c>
      <c r="H192" s="104">
        <f t="shared" si="118"/>
        <v>0.5</v>
      </c>
      <c r="I192" s="104">
        <f t="shared" si="118"/>
        <v>0.5</v>
      </c>
      <c r="J192" s="104">
        <f t="shared" si="118"/>
        <v>0.5</v>
      </c>
      <c r="K192" s="104">
        <f t="shared" si="118"/>
        <v>0.5</v>
      </c>
      <c r="L192" s="104">
        <f t="shared" si="118"/>
        <v>0.5</v>
      </c>
      <c r="M192" s="104">
        <f t="shared" si="118"/>
        <v>0.5</v>
      </c>
      <c r="N192" s="104">
        <f t="shared" si="118"/>
        <v>0.5</v>
      </c>
      <c r="O192" s="104">
        <f t="shared" si="118"/>
        <v>0.5</v>
      </c>
      <c r="P192" s="104">
        <f t="shared" si="118"/>
        <v>0.5</v>
      </c>
      <c r="Q192" s="104">
        <f t="shared" si="118"/>
        <v>0.5</v>
      </c>
      <c r="R192" s="104">
        <f t="shared" si="118"/>
        <v>0.5</v>
      </c>
      <c r="S192" s="104">
        <f t="shared" si="118"/>
        <v>0.5</v>
      </c>
      <c r="T192" s="104">
        <f t="shared" si="118"/>
        <v>0.5</v>
      </c>
      <c r="U192" s="104">
        <f t="shared" si="118"/>
        <v>0.5</v>
      </c>
      <c r="V192" s="104">
        <f t="shared" si="118"/>
        <v>0.5</v>
      </c>
      <c r="W192" s="104">
        <f t="shared" si="118"/>
        <v>0.5</v>
      </c>
      <c r="X192" s="104">
        <f t="shared" si="118"/>
        <v>0.5</v>
      </c>
      <c r="Y192" s="104">
        <f t="shared" si="118"/>
        <v>0.5</v>
      </c>
      <c r="Z192" s="104">
        <f t="shared" si="118"/>
        <v>0.5</v>
      </c>
      <c r="AA192" s="104">
        <f t="shared" si="118"/>
        <v>0.5</v>
      </c>
      <c r="AB192" s="104">
        <f t="shared" si="118"/>
        <v>0.5</v>
      </c>
      <c r="AC192" s="104">
        <f t="shared" si="118"/>
        <v>0.5</v>
      </c>
      <c r="AD192" s="104">
        <f t="shared" si="118"/>
        <v>0.5</v>
      </c>
      <c r="AE192" s="104">
        <f t="shared" si="118"/>
        <v>0.5</v>
      </c>
      <c r="AF192" s="104">
        <f t="shared" si="118"/>
        <v>0.5</v>
      </c>
      <c r="AG192" s="104">
        <f t="shared" si="118"/>
        <v>0.5</v>
      </c>
      <c r="AI192" s="51"/>
      <c r="AJ192" s="198" t="s">
        <v>460</v>
      </c>
    </row>
    <row r="193" spans="1:63" outlineLevel="1">
      <c r="A193" t="s">
        <v>445</v>
      </c>
      <c r="B193" s="51" t="s">
        <v>126</v>
      </c>
      <c r="C193" s="115">
        <f>1-C192</f>
        <v>0.5</v>
      </c>
      <c r="D193" s="104">
        <f t="shared" ref="D193:AG193" si="119">C193</f>
        <v>0.5</v>
      </c>
      <c r="E193" s="104">
        <f t="shared" si="119"/>
        <v>0.5</v>
      </c>
      <c r="F193" s="104">
        <f t="shared" si="119"/>
        <v>0.5</v>
      </c>
      <c r="G193" s="104">
        <f t="shared" si="119"/>
        <v>0.5</v>
      </c>
      <c r="H193" s="104">
        <f t="shared" si="119"/>
        <v>0.5</v>
      </c>
      <c r="I193" s="104">
        <f t="shared" si="119"/>
        <v>0.5</v>
      </c>
      <c r="J193" s="104">
        <f t="shared" si="119"/>
        <v>0.5</v>
      </c>
      <c r="K193" s="104">
        <f t="shared" si="119"/>
        <v>0.5</v>
      </c>
      <c r="L193" s="104">
        <f t="shared" si="119"/>
        <v>0.5</v>
      </c>
      <c r="M193" s="104">
        <f t="shared" si="119"/>
        <v>0.5</v>
      </c>
      <c r="N193" s="104">
        <f t="shared" si="119"/>
        <v>0.5</v>
      </c>
      <c r="O193" s="104">
        <f t="shared" si="119"/>
        <v>0.5</v>
      </c>
      <c r="P193" s="104">
        <f t="shared" si="119"/>
        <v>0.5</v>
      </c>
      <c r="Q193" s="104">
        <f t="shared" si="119"/>
        <v>0.5</v>
      </c>
      <c r="R193" s="104">
        <f t="shared" si="119"/>
        <v>0.5</v>
      </c>
      <c r="S193" s="104">
        <f t="shared" si="119"/>
        <v>0.5</v>
      </c>
      <c r="T193" s="104">
        <f t="shared" si="119"/>
        <v>0.5</v>
      </c>
      <c r="U193" s="104">
        <f t="shared" si="119"/>
        <v>0.5</v>
      </c>
      <c r="V193" s="104">
        <f t="shared" si="119"/>
        <v>0.5</v>
      </c>
      <c r="W193" s="104">
        <f t="shared" si="119"/>
        <v>0.5</v>
      </c>
      <c r="X193" s="104">
        <f t="shared" si="119"/>
        <v>0.5</v>
      </c>
      <c r="Y193" s="104">
        <f t="shared" si="119"/>
        <v>0.5</v>
      </c>
      <c r="Z193" s="104">
        <f t="shared" si="119"/>
        <v>0.5</v>
      </c>
      <c r="AA193" s="104">
        <f t="shared" si="119"/>
        <v>0.5</v>
      </c>
      <c r="AB193" s="104">
        <f t="shared" si="119"/>
        <v>0.5</v>
      </c>
      <c r="AC193" s="104">
        <f t="shared" si="119"/>
        <v>0.5</v>
      </c>
      <c r="AD193" s="104">
        <f t="shared" si="119"/>
        <v>0.5</v>
      </c>
      <c r="AE193" s="104">
        <f t="shared" si="119"/>
        <v>0.5</v>
      </c>
      <c r="AF193" s="104">
        <f t="shared" si="119"/>
        <v>0.5</v>
      </c>
      <c r="AG193" s="104">
        <f t="shared" si="119"/>
        <v>0.5</v>
      </c>
      <c r="AJ193" s="209"/>
    </row>
    <row r="194" spans="1:63" outlineLevel="1">
      <c r="A194" t="s">
        <v>433</v>
      </c>
      <c r="B194" s="51" t="s">
        <v>126</v>
      </c>
      <c r="C194" s="104">
        <f t="shared" ref="C194:AG194" si="120">SUM(C192:C193)</f>
        <v>1</v>
      </c>
      <c r="D194" s="104">
        <f t="shared" si="120"/>
        <v>1</v>
      </c>
      <c r="E194" s="104">
        <f t="shared" si="120"/>
        <v>1</v>
      </c>
      <c r="F194" s="104">
        <f t="shared" si="120"/>
        <v>1</v>
      </c>
      <c r="G194" s="104">
        <f t="shared" si="120"/>
        <v>1</v>
      </c>
      <c r="H194" s="104">
        <f t="shared" si="120"/>
        <v>1</v>
      </c>
      <c r="I194" s="104">
        <f t="shared" si="120"/>
        <v>1</v>
      </c>
      <c r="J194" s="104">
        <f t="shared" si="120"/>
        <v>1</v>
      </c>
      <c r="K194" s="104">
        <f t="shared" si="120"/>
        <v>1</v>
      </c>
      <c r="L194" s="104">
        <f t="shared" si="120"/>
        <v>1</v>
      </c>
      <c r="M194" s="104">
        <f t="shared" si="120"/>
        <v>1</v>
      </c>
      <c r="N194" s="104">
        <f t="shared" si="120"/>
        <v>1</v>
      </c>
      <c r="O194" s="104">
        <f t="shared" si="120"/>
        <v>1</v>
      </c>
      <c r="P194" s="104">
        <f t="shared" si="120"/>
        <v>1</v>
      </c>
      <c r="Q194" s="104">
        <f t="shared" si="120"/>
        <v>1</v>
      </c>
      <c r="R194" s="104">
        <f t="shared" si="120"/>
        <v>1</v>
      </c>
      <c r="S194" s="104">
        <f t="shared" si="120"/>
        <v>1</v>
      </c>
      <c r="T194" s="104">
        <f t="shared" si="120"/>
        <v>1</v>
      </c>
      <c r="U194" s="104">
        <f t="shared" si="120"/>
        <v>1</v>
      </c>
      <c r="V194" s="104">
        <f t="shared" si="120"/>
        <v>1</v>
      </c>
      <c r="W194" s="104">
        <f t="shared" si="120"/>
        <v>1</v>
      </c>
      <c r="X194" s="104">
        <f t="shared" si="120"/>
        <v>1</v>
      </c>
      <c r="Y194" s="104">
        <f t="shared" si="120"/>
        <v>1</v>
      </c>
      <c r="Z194" s="104">
        <f t="shared" si="120"/>
        <v>1</v>
      </c>
      <c r="AA194" s="104">
        <f t="shared" si="120"/>
        <v>1</v>
      </c>
      <c r="AB194" s="104">
        <f t="shared" si="120"/>
        <v>1</v>
      </c>
      <c r="AC194" s="104">
        <f t="shared" si="120"/>
        <v>1</v>
      </c>
      <c r="AD194" s="104">
        <f t="shared" si="120"/>
        <v>1</v>
      </c>
      <c r="AE194" s="104">
        <f t="shared" si="120"/>
        <v>1</v>
      </c>
      <c r="AF194" s="104">
        <f t="shared" si="120"/>
        <v>1</v>
      </c>
      <c r="AG194" s="104">
        <f t="shared" si="120"/>
        <v>1</v>
      </c>
      <c r="AH194" s="124"/>
      <c r="AI194" s="51"/>
      <c r="AJ194" s="209"/>
    </row>
    <row r="195" spans="1:63" outlineLevel="1">
      <c r="C195" s="201"/>
      <c r="D195" s="104"/>
      <c r="E195" s="104"/>
      <c r="F195" s="104"/>
      <c r="G195" s="104"/>
      <c r="H195" s="104"/>
      <c r="I195" s="104"/>
      <c r="J195" s="104"/>
      <c r="K195" s="104"/>
      <c r="L195" s="104"/>
      <c r="M195" s="104"/>
      <c r="N195" s="104"/>
      <c r="O195" s="104"/>
      <c r="P195" s="104"/>
      <c r="Q195" s="104"/>
      <c r="R195" s="104"/>
      <c r="S195" s="104"/>
      <c r="T195" s="104"/>
      <c r="U195" s="104"/>
      <c r="V195" s="104"/>
      <c r="W195" s="104"/>
      <c r="X195" s="104"/>
      <c r="Y195" s="104"/>
      <c r="Z195" s="104"/>
      <c r="AA195" s="104"/>
      <c r="AB195" s="104"/>
      <c r="AC195" s="104"/>
      <c r="AD195" s="104"/>
      <c r="AE195" s="104"/>
      <c r="AF195" s="104"/>
      <c r="AG195" s="104"/>
      <c r="AH195" s="124"/>
      <c r="AI195" s="124"/>
      <c r="AJ195" s="209"/>
    </row>
    <row r="196" spans="1:63" outlineLevel="1">
      <c r="A196" t="s">
        <v>455</v>
      </c>
      <c r="B196" s="51" t="s">
        <v>126</v>
      </c>
      <c r="C196" s="104">
        <f>C192*C190</f>
        <v>6.1749999999999999E-2</v>
      </c>
      <c r="D196" s="104">
        <f t="shared" ref="D196:AG196" si="121">D192*D190</f>
        <v>6.3834226643672679E-2</v>
      </c>
      <c r="E196" s="104">
        <f t="shared" si="121"/>
        <v>6.5871977299551743E-2</v>
      </c>
      <c r="F196" s="104">
        <f t="shared" si="121"/>
        <v>6.7863251967637192E-2</v>
      </c>
      <c r="G196" s="104">
        <f t="shared" si="121"/>
        <v>6.9808050647929012E-2</v>
      </c>
      <c r="H196" s="104">
        <f t="shared" si="121"/>
        <v>7.1706373340427218E-2</v>
      </c>
      <c r="I196" s="104">
        <f t="shared" si="121"/>
        <v>7.3558220045131822E-2</v>
      </c>
      <c r="J196" s="104">
        <f t="shared" si="121"/>
        <v>7.5363590762042812E-2</v>
      </c>
      <c r="K196" s="104">
        <f t="shared" si="121"/>
        <v>7.7122485491160159E-2</v>
      </c>
      <c r="L196" s="104">
        <f t="shared" si="121"/>
        <v>7.8834904232483904E-2</v>
      </c>
      <c r="M196" s="104">
        <f t="shared" si="121"/>
        <v>8.0500846986014035E-2</v>
      </c>
      <c r="N196" s="104">
        <f t="shared" si="121"/>
        <v>8.4771590101577185E-2</v>
      </c>
      <c r="O196" s="104">
        <f t="shared" si="121"/>
        <v>8.8944376135175293E-2</v>
      </c>
      <c r="P196" s="104">
        <f t="shared" si="121"/>
        <v>9.3019205086808429E-2</v>
      </c>
      <c r="Q196" s="104">
        <f t="shared" si="121"/>
        <v>9.6996076956476551E-2</v>
      </c>
      <c r="R196" s="104">
        <f t="shared" si="121"/>
        <v>0.10087499174417963</v>
      </c>
      <c r="S196" s="104">
        <f t="shared" si="121"/>
        <v>0.10465594944991773</v>
      </c>
      <c r="T196" s="104">
        <f t="shared" si="121"/>
        <v>0.10833895007369085</v>
      </c>
      <c r="U196" s="104">
        <f t="shared" si="121"/>
        <v>0.11192399361549893</v>
      </c>
      <c r="V196" s="104">
        <f t="shared" si="121"/>
        <v>0.11541108007534202</v>
      </c>
      <c r="W196" s="104">
        <f t="shared" si="121"/>
        <v>0.11880020945322008</v>
      </c>
      <c r="X196" s="104">
        <f t="shared" si="121"/>
        <v>0.12515773969398425</v>
      </c>
      <c r="Y196" s="104">
        <f t="shared" si="121"/>
        <v>0.13135136967117372</v>
      </c>
      <c r="Z196" s="104">
        <f t="shared" si="121"/>
        <v>0.13738109938478849</v>
      </c>
      <c r="AA196" s="104">
        <f t="shared" si="121"/>
        <v>0.14324692883482856</v>
      </c>
      <c r="AB196" s="104">
        <f t="shared" si="121"/>
        <v>0.1489488580212939</v>
      </c>
      <c r="AC196" s="104">
        <f t="shared" si="121"/>
        <v>0.15448688694418455</v>
      </c>
      <c r="AD196" s="104">
        <f t="shared" si="121"/>
        <v>0.15986101560350047</v>
      </c>
      <c r="AE196" s="104">
        <f t="shared" si="121"/>
        <v>0.16507124399924167</v>
      </c>
      <c r="AF196" s="104">
        <f t="shared" si="121"/>
        <v>0.17011757213140816</v>
      </c>
      <c r="AG196" s="104">
        <f t="shared" si="121"/>
        <v>0.17499999999999999</v>
      </c>
      <c r="AH196" s="124"/>
      <c r="AI196" s="124"/>
      <c r="AJ196" s="198"/>
    </row>
    <row r="197" spans="1:63" outlineLevel="1">
      <c r="A197" t="s">
        <v>531</v>
      </c>
      <c r="B197" s="51" t="s">
        <v>126</v>
      </c>
      <c r="C197" s="104">
        <f>C190*C193</f>
        <v>6.1749999999999999E-2</v>
      </c>
      <c r="D197" s="104">
        <f t="shared" ref="D197:AG197" si="122">D190*D193</f>
        <v>6.3834226643672679E-2</v>
      </c>
      <c r="E197" s="104">
        <f t="shared" si="122"/>
        <v>6.5871977299551743E-2</v>
      </c>
      <c r="F197" s="104">
        <f t="shared" si="122"/>
        <v>6.7863251967637192E-2</v>
      </c>
      <c r="G197" s="104">
        <f t="shared" si="122"/>
        <v>6.9808050647929012E-2</v>
      </c>
      <c r="H197" s="104">
        <f t="shared" si="122"/>
        <v>7.1706373340427218E-2</v>
      </c>
      <c r="I197" s="104">
        <f t="shared" si="122"/>
        <v>7.3558220045131822E-2</v>
      </c>
      <c r="J197" s="104">
        <f t="shared" si="122"/>
        <v>7.5363590762042812E-2</v>
      </c>
      <c r="K197" s="104">
        <f t="shared" si="122"/>
        <v>7.7122485491160159E-2</v>
      </c>
      <c r="L197" s="104">
        <f t="shared" si="122"/>
        <v>7.8834904232483904E-2</v>
      </c>
      <c r="M197" s="104">
        <f t="shared" si="122"/>
        <v>8.0500846986014035E-2</v>
      </c>
      <c r="N197" s="104">
        <f t="shared" si="122"/>
        <v>8.4771590101577185E-2</v>
      </c>
      <c r="O197" s="104">
        <f t="shared" si="122"/>
        <v>8.8944376135175293E-2</v>
      </c>
      <c r="P197" s="104">
        <f t="shared" si="122"/>
        <v>9.3019205086808429E-2</v>
      </c>
      <c r="Q197" s="104">
        <f t="shared" si="122"/>
        <v>9.6996076956476551E-2</v>
      </c>
      <c r="R197" s="104">
        <f t="shared" si="122"/>
        <v>0.10087499174417963</v>
      </c>
      <c r="S197" s="104">
        <f t="shared" si="122"/>
        <v>0.10465594944991773</v>
      </c>
      <c r="T197" s="104">
        <f t="shared" si="122"/>
        <v>0.10833895007369085</v>
      </c>
      <c r="U197" s="104">
        <f t="shared" si="122"/>
        <v>0.11192399361549893</v>
      </c>
      <c r="V197" s="104">
        <f t="shared" si="122"/>
        <v>0.11541108007534202</v>
      </c>
      <c r="W197" s="104">
        <f t="shared" si="122"/>
        <v>0.11880020945322008</v>
      </c>
      <c r="X197" s="104">
        <f t="shared" si="122"/>
        <v>0.12515773969398425</v>
      </c>
      <c r="Y197" s="104">
        <f t="shared" si="122"/>
        <v>0.13135136967117372</v>
      </c>
      <c r="Z197" s="104">
        <f t="shared" si="122"/>
        <v>0.13738109938478849</v>
      </c>
      <c r="AA197" s="104">
        <f t="shared" si="122"/>
        <v>0.14324692883482856</v>
      </c>
      <c r="AB197" s="104">
        <f t="shared" si="122"/>
        <v>0.1489488580212939</v>
      </c>
      <c r="AC197" s="104">
        <f t="shared" si="122"/>
        <v>0.15448688694418455</v>
      </c>
      <c r="AD197" s="104">
        <f t="shared" si="122"/>
        <v>0.15986101560350047</v>
      </c>
      <c r="AE197" s="104">
        <f t="shared" si="122"/>
        <v>0.16507124399924167</v>
      </c>
      <c r="AF197" s="104">
        <f t="shared" si="122"/>
        <v>0.17011757213140816</v>
      </c>
      <c r="AG197" s="104">
        <f t="shared" si="122"/>
        <v>0.17499999999999999</v>
      </c>
      <c r="AJ197" s="198"/>
    </row>
    <row r="198" spans="1:63" outlineLevel="1">
      <c r="C198" s="104"/>
      <c r="D198" s="104"/>
      <c r="E198" s="104"/>
      <c r="F198" s="104"/>
      <c r="G198" s="104"/>
      <c r="H198" s="104"/>
      <c r="I198" s="104"/>
      <c r="J198" s="104"/>
      <c r="K198" s="104"/>
      <c r="L198" s="104"/>
      <c r="M198" s="104"/>
      <c r="N198" s="104"/>
      <c r="O198" s="104"/>
      <c r="P198" s="104"/>
      <c r="Q198" s="104"/>
      <c r="R198" s="104"/>
      <c r="S198" s="104"/>
      <c r="T198" s="104"/>
      <c r="U198" s="104"/>
      <c r="V198" s="104"/>
      <c r="W198" s="104"/>
      <c r="X198" s="104"/>
      <c r="Y198" s="104"/>
      <c r="Z198" s="104"/>
      <c r="AA198" s="104"/>
      <c r="AB198" s="104"/>
      <c r="AC198" s="104"/>
      <c r="AD198" s="104"/>
      <c r="AE198" s="104"/>
      <c r="AF198" s="104"/>
      <c r="AG198" s="104"/>
      <c r="AJ198" s="198"/>
    </row>
    <row r="199" spans="1:63" outlineLevel="1">
      <c r="A199" t="s">
        <v>1370</v>
      </c>
      <c r="C199" s="216">
        <f>('Overall recycling rates'!F87*'Yearly BTX'!D5+'Overall recycling rates'!G87*'Yearly BTX'!D6+'Overall recycling rates'!H87*'Yearly BTX'!D7)/'Yearly BTX'!D4</f>
        <v>1</v>
      </c>
      <c r="D199" s="216">
        <f>C199-($C199-$AG199)/($AG$1-$C$1)</f>
        <v>1</v>
      </c>
      <c r="E199" s="216">
        <f t="shared" ref="E199:AF199" si="123">D199-($C199-$AG199)/($AG$1-$C$1)</f>
        <v>1</v>
      </c>
      <c r="F199" s="216">
        <f t="shared" si="123"/>
        <v>1</v>
      </c>
      <c r="G199" s="216">
        <f t="shared" si="123"/>
        <v>1</v>
      </c>
      <c r="H199" s="216">
        <f t="shared" si="123"/>
        <v>1</v>
      </c>
      <c r="I199" s="216">
        <f t="shared" si="123"/>
        <v>1</v>
      </c>
      <c r="J199" s="216">
        <f t="shared" si="123"/>
        <v>1</v>
      </c>
      <c r="K199" s="216">
        <f t="shared" si="123"/>
        <v>1</v>
      </c>
      <c r="L199" s="216">
        <f t="shared" si="123"/>
        <v>1</v>
      </c>
      <c r="M199" s="216">
        <f t="shared" si="123"/>
        <v>1</v>
      </c>
      <c r="N199" s="216">
        <f t="shared" si="123"/>
        <v>1</v>
      </c>
      <c r="O199" s="216">
        <f t="shared" si="123"/>
        <v>1</v>
      </c>
      <c r="P199" s="216">
        <f t="shared" si="123"/>
        <v>1</v>
      </c>
      <c r="Q199" s="216">
        <f t="shared" si="123"/>
        <v>1</v>
      </c>
      <c r="R199" s="216">
        <f t="shared" si="123"/>
        <v>1</v>
      </c>
      <c r="S199" s="216">
        <f t="shared" si="123"/>
        <v>1</v>
      </c>
      <c r="T199" s="216">
        <f t="shared" si="123"/>
        <v>1</v>
      </c>
      <c r="U199" s="216">
        <f t="shared" si="123"/>
        <v>1</v>
      </c>
      <c r="V199" s="216">
        <f t="shared" si="123"/>
        <v>1</v>
      </c>
      <c r="W199" s="216">
        <f t="shared" si="123"/>
        <v>1</v>
      </c>
      <c r="X199" s="216">
        <f t="shared" si="123"/>
        <v>1</v>
      </c>
      <c r="Y199" s="216">
        <f t="shared" si="123"/>
        <v>1</v>
      </c>
      <c r="Z199" s="216">
        <f t="shared" si="123"/>
        <v>1</v>
      </c>
      <c r="AA199" s="216">
        <f t="shared" si="123"/>
        <v>1</v>
      </c>
      <c r="AB199" s="216">
        <f t="shared" si="123"/>
        <v>1</v>
      </c>
      <c r="AC199" s="216">
        <f t="shared" si="123"/>
        <v>1</v>
      </c>
      <c r="AD199" s="216">
        <f t="shared" si="123"/>
        <v>1</v>
      </c>
      <c r="AE199" s="216">
        <f t="shared" si="123"/>
        <v>1</v>
      </c>
      <c r="AF199" s="216">
        <f t="shared" si="123"/>
        <v>1</v>
      </c>
      <c r="AG199" s="216">
        <f>'Overall recycling rates'!F96</f>
        <v>1</v>
      </c>
      <c r="AI199" s="126"/>
      <c r="AJ199" s="198" t="s">
        <v>1081</v>
      </c>
      <c r="AL199" s="102"/>
      <c r="AM199" s="194"/>
      <c r="AN199" s="194"/>
      <c r="AO199" s="194"/>
      <c r="BC199" s="1"/>
      <c r="BD199" s="194"/>
      <c r="BE199" s="194"/>
      <c r="BF199" s="194"/>
      <c r="BG199" s="194"/>
      <c r="BH199" s="194"/>
      <c r="BI199" s="194"/>
      <c r="BJ199" s="194"/>
      <c r="BK199" s="194"/>
    </row>
    <row r="200" spans="1:63" outlineLevel="1">
      <c r="A200" t="s">
        <v>1378</v>
      </c>
      <c r="B200" s="51" t="s">
        <v>126</v>
      </c>
      <c r="C200" s="104">
        <f>C189*C$199</f>
        <v>6.5000000000000006E-3</v>
      </c>
      <c r="D200" s="104">
        <f>D189*D$136</f>
        <v>4.8530556969531005E-3</v>
      </c>
      <c r="E200" s="104">
        <f t="shared" ref="E200:AG200" si="124">E189*E$136</f>
        <v>5.8674271355912263E-3</v>
      </c>
      <c r="F200" s="104">
        <f t="shared" si="124"/>
        <v>6.9703287546270046E-3</v>
      </c>
      <c r="G200" s="104">
        <f t="shared" si="124"/>
        <v>8.1645141335559158E-3</v>
      </c>
      <c r="H200" s="104">
        <f t="shared" si="124"/>
        <v>9.4527368518734414E-3</v>
      </c>
      <c r="I200" s="104">
        <f t="shared" si="124"/>
        <v>1.0837750489075064E-2</v>
      </c>
      <c r="J200" s="104">
        <f t="shared" si="124"/>
        <v>1.2322308624656267E-2</v>
      </c>
      <c r="K200" s="104">
        <f t="shared" si="124"/>
        <v>1.3909164838112529E-2</v>
      </c>
      <c r="L200" s="104">
        <f t="shared" si="124"/>
        <v>1.560107270893933E-2</v>
      </c>
      <c r="M200" s="104">
        <f t="shared" si="124"/>
        <v>1.740078581663216E-2</v>
      </c>
      <c r="N200" s="104">
        <f t="shared" si="124"/>
        <v>1.9934520418055122E-2</v>
      </c>
      <c r="O200" s="104">
        <f t="shared" si="124"/>
        <v>2.2673216678568323E-2</v>
      </c>
      <c r="P200" s="104">
        <f t="shared" si="124"/>
        <v>2.5622678296493003E-2</v>
      </c>
      <c r="Q200" s="104">
        <f t="shared" si="124"/>
        <v>2.8788708970150411E-2</v>
      </c>
      <c r="R200" s="104">
        <f t="shared" si="124"/>
        <v>3.2177112397861793E-2</v>
      </c>
      <c r="S200" s="104">
        <f t="shared" si="124"/>
        <v>3.5793692277948395E-2</v>
      </c>
      <c r="T200" s="104">
        <f t="shared" si="124"/>
        <v>3.9644252308731469E-2</v>
      </c>
      <c r="U200" s="104">
        <f t="shared" si="124"/>
        <v>4.3734596188532246E-2</v>
      </c>
      <c r="V200" s="104">
        <f t="shared" si="124"/>
        <v>4.8070527615671987E-2</v>
      </c>
      <c r="W200" s="104">
        <f t="shared" si="124"/>
        <v>5.2657850288471926E-2</v>
      </c>
      <c r="X200" s="104">
        <f t="shared" si="124"/>
        <v>5.8946555366710049E-2</v>
      </c>
      <c r="Y200" s="104">
        <f t="shared" si="124"/>
        <v>6.5641700889716409E-2</v>
      </c>
      <c r="Z200" s="104">
        <f t="shared" si="124"/>
        <v>7.2752997515112494E-2</v>
      </c>
      <c r="AA200" s="104">
        <f t="shared" si="124"/>
        <v>8.0290155900519716E-2</v>
      </c>
      <c r="AB200" s="104">
        <f t="shared" si="124"/>
        <v>8.8262886703559584E-2</v>
      </c>
      <c r="AC200" s="104">
        <f t="shared" si="124"/>
        <v>9.6680900581853593E-2</v>
      </c>
      <c r="AD200" s="104">
        <f t="shared" si="124"/>
        <v>0.10555390819302315</v>
      </c>
      <c r="AE200" s="104">
        <f t="shared" si="124"/>
        <v>0.11489162019468979</v>
      </c>
      <c r="AF200" s="104">
        <f t="shared" si="124"/>
        <v>0.1247037472444749</v>
      </c>
      <c r="AG200" s="104">
        <f t="shared" si="124"/>
        <v>0.13500000000000001</v>
      </c>
      <c r="AI200" s="126"/>
      <c r="AJ200"/>
      <c r="AL200" s="102"/>
      <c r="AM200" s="2"/>
      <c r="AN200" s="2"/>
      <c r="AO200" s="2"/>
      <c r="AV200" s="38"/>
    </row>
    <row r="201" spans="1:63" outlineLevel="1">
      <c r="A201" t="s">
        <v>1379</v>
      </c>
      <c r="B201" s="51" t="s">
        <v>126</v>
      </c>
      <c r="C201" s="104">
        <f>C190*C$199</f>
        <v>0.1235</v>
      </c>
      <c r="D201" s="104">
        <f t="shared" ref="D201:AG201" si="125">D187*D$136</f>
        <v>3.5795536513721381E-2</v>
      </c>
      <c r="E201" s="104">
        <f t="shared" si="125"/>
        <v>4.1567488566864971E-2</v>
      </c>
      <c r="F201" s="104">
        <f t="shared" si="125"/>
        <v>4.7504016614947263E-2</v>
      </c>
      <c r="G201" s="104">
        <f t="shared" si="125"/>
        <v>5.3605120657968269E-2</v>
      </c>
      <c r="H201" s="104">
        <f t="shared" si="125"/>
        <v>5.987080069592797E-2</v>
      </c>
      <c r="I201" s="104">
        <f t="shared" si="125"/>
        <v>6.6301056728826385E-2</v>
      </c>
      <c r="J201" s="104">
        <f t="shared" si="125"/>
        <v>7.2895888756663502E-2</v>
      </c>
      <c r="K201" s="104">
        <f t="shared" si="125"/>
        <v>7.9655296779439333E-2</v>
      </c>
      <c r="L201" s="104">
        <f t="shared" si="125"/>
        <v>8.6579280797153851E-2</v>
      </c>
      <c r="M201" s="104">
        <f t="shared" si="125"/>
        <v>9.3667840809807099E-2</v>
      </c>
      <c r="N201" s="104">
        <f t="shared" si="125"/>
        <v>0.10092097681739905</v>
      </c>
      <c r="O201" s="104">
        <f t="shared" si="125"/>
        <v>0.10833868881992968</v>
      </c>
      <c r="P201" s="104">
        <f t="shared" si="125"/>
        <v>0.11592097681739903</v>
      </c>
      <c r="Q201" s="104">
        <f t="shared" si="125"/>
        <v>0.1236678408098071</v>
      </c>
      <c r="R201" s="104">
        <f t="shared" si="125"/>
        <v>0.13157928079715386</v>
      </c>
      <c r="S201" s="104">
        <f t="shared" si="125"/>
        <v>0.13965529677943933</v>
      </c>
      <c r="T201" s="104">
        <f t="shared" si="125"/>
        <v>0.14789588875666351</v>
      </c>
      <c r="U201" s="104">
        <f t="shared" si="125"/>
        <v>0.15630105672882638</v>
      </c>
      <c r="V201" s="104">
        <f t="shared" si="125"/>
        <v>0.16487080069592797</v>
      </c>
      <c r="W201" s="104">
        <f t="shared" si="125"/>
        <v>0.17360512065796826</v>
      </c>
      <c r="X201" s="104">
        <f t="shared" si="125"/>
        <v>0.18250401661494725</v>
      </c>
      <c r="Y201" s="104">
        <f t="shared" si="125"/>
        <v>0.19156748856686495</v>
      </c>
      <c r="Z201" s="104">
        <f t="shared" si="125"/>
        <v>0.20079553651372137</v>
      </c>
      <c r="AA201" s="104">
        <f t="shared" si="125"/>
        <v>0.21018816045551647</v>
      </c>
      <c r="AB201" s="104">
        <f t="shared" si="125"/>
        <v>0.21974536039225029</v>
      </c>
      <c r="AC201" s="104">
        <f t="shared" si="125"/>
        <v>0.22946713632392285</v>
      </c>
      <c r="AD201" s="104">
        <f t="shared" si="125"/>
        <v>0.2393534882505341</v>
      </c>
      <c r="AE201" s="104">
        <f t="shared" si="125"/>
        <v>0.24940441617208406</v>
      </c>
      <c r="AF201" s="104">
        <f t="shared" si="125"/>
        <v>0.25961992008857271</v>
      </c>
      <c r="AG201" s="104">
        <f t="shared" si="125"/>
        <v>0.27</v>
      </c>
      <c r="AH201" s="230"/>
      <c r="AI201" s="126"/>
      <c r="AJ201" s="198"/>
      <c r="AL201" s="102"/>
      <c r="AM201" s="2"/>
      <c r="AN201" s="2"/>
      <c r="AO201" s="2"/>
      <c r="AV201" s="38"/>
    </row>
    <row r="202" spans="1:63" outlineLevel="1">
      <c r="A202" t="s">
        <v>1380</v>
      </c>
      <c r="B202" s="165" t="s">
        <v>126</v>
      </c>
      <c r="C202" s="104">
        <f>SUM(C200:C201)</f>
        <v>0.13</v>
      </c>
      <c r="D202" s="104">
        <f t="shared" ref="D202:AG202" si="126">SUM(D200:D201)</f>
        <v>4.0648592210674482E-2</v>
      </c>
      <c r="E202" s="104">
        <f t="shared" si="126"/>
        <v>4.7434915702456198E-2</v>
      </c>
      <c r="F202" s="104">
        <f t="shared" si="126"/>
        <v>5.4474345369574267E-2</v>
      </c>
      <c r="G202" s="104">
        <f t="shared" si="126"/>
        <v>6.1769634791524183E-2</v>
      </c>
      <c r="H202" s="104">
        <f t="shared" si="126"/>
        <v>6.9323537547801406E-2</v>
      </c>
      <c r="I202" s="104">
        <f t="shared" si="126"/>
        <v>7.7138807217901451E-2</v>
      </c>
      <c r="J202" s="104">
        <f t="shared" si="126"/>
        <v>8.5218197381319763E-2</v>
      </c>
      <c r="K202" s="104">
        <f t="shared" si="126"/>
        <v>9.3564461617551858E-2</v>
      </c>
      <c r="L202" s="104">
        <f t="shared" si="126"/>
        <v>0.10218035350609318</v>
      </c>
      <c r="M202" s="104">
        <f t="shared" si="126"/>
        <v>0.11106862662643927</v>
      </c>
      <c r="N202" s="104">
        <f t="shared" si="126"/>
        <v>0.12085549723545416</v>
      </c>
      <c r="O202" s="104">
        <f t="shared" si="126"/>
        <v>0.131011905498498</v>
      </c>
      <c r="P202" s="104">
        <f t="shared" si="126"/>
        <v>0.14154365511389203</v>
      </c>
      <c r="Q202" s="104">
        <f t="shared" si="126"/>
        <v>0.15245654977995751</v>
      </c>
      <c r="R202" s="104">
        <f t="shared" si="126"/>
        <v>0.16375639319501567</v>
      </c>
      <c r="S202" s="104">
        <f t="shared" si="126"/>
        <v>0.17544898905738773</v>
      </c>
      <c r="T202" s="104">
        <f t="shared" si="126"/>
        <v>0.18754014106539499</v>
      </c>
      <c r="U202" s="104">
        <f t="shared" si="126"/>
        <v>0.20003565291735864</v>
      </c>
      <c r="V202" s="104">
        <f t="shared" si="126"/>
        <v>0.21294132831159995</v>
      </c>
      <c r="W202" s="104">
        <f t="shared" si="126"/>
        <v>0.22626297094644018</v>
      </c>
      <c r="X202" s="104">
        <f t="shared" si="126"/>
        <v>0.24145057198165731</v>
      </c>
      <c r="Y202" s="104">
        <f t="shared" si="126"/>
        <v>0.25720918945658133</v>
      </c>
      <c r="Z202" s="104">
        <f t="shared" si="126"/>
        <v>0.27354853402883383</v>
      </c>
      <c r="AA202" s="104">
        <f t="shared" si="126"/>
        <v>0.29047831635603616</v>
      </c>
      <c r="AB202" s="104">
        <f t="shared" si="126"/>
        <v>0.30800824709580987</v>
      </c>
      <c r="AC202" s="104">
        <f t="shared" si="126"/>
        <v>0.32614803690577643</v>
      </c>
      <c r="AD202" s="104">
        <f t="shared" si="126"/>
        <v>0.34490739644355728</v>
      </c>
      <c r="AE202" s="104">
        <f t="shared" si="126"/>
        <v>0.36429603636677388</v>
      </c>
      <c r="AF202" s="104">
        <f t="shared" si="126"/>
        <v>0.38432366733304762</v>
      </c>
      <c r="AG202" s="104">
        <f t="shared" si="126"/>
        <v>0.40500000000000003</v>
      </c>
      <c r="AI202" s="126"/>
      <c r="AJ202" s="198"/>
      <c r="AL202" s="102"/>
      <c r="AM202" s="2"/>
      <c r="AN202" s="2"/>
      <c r="AO202" s="2"/>
    </row>
    <row r="203" spans="1:63" outlineLevel="1">
      <c r="A203" t="s">
        <v>1384</v>
      </c>
      <c r="B203" s="51" t="s">
        <v>126</v>
      </c>
      <c r="C203" s="104">
        <f>C192*C201</f>
        <v>6.1749999999999999E-2</v>
      </c>
      <c r="D203" s="104">
        <f t="shared" ref="D203:AG203" si="127">D189*D201</f>
        <v>2.8309491565559758E-4</v>
      </c>
      <c r="E203" s="104">
        <f t="shared" si="127"/>
        <v>3.9116180903941506E-4</v>
      </c>
      <c r="F203" s="104">
        <f t="shared" si="127"/>
        <v>5.2277465659702528E-4</v>
      </c>
      <c r="G203" s="104">
        <f t="shared" si="127"/>
        <v>6.8037617779632639E-4</v>
      </c>
      <c r="H203" s="104">
        <f t="shared" si="127"/>
        <v>8.6650087808839862E-4</v>
      </c>
      <c r="I203" s="104">
        <f t="shared" si="127"/>
        <v>1.0837750489075062E-3</v>
      </c>
      <c r="J203" s="104">
        <f t="shared" si="127"/>
        <v>1.3349167676710955E-3</v>
      </c>
      <c r="K203" s="104">
        <f t="shared" si="127"/>
        <v>1.6227358977797949E-3</v>
      </c>
      <c r="L203" s="104">
        <f t="shared" si="127"/>
        <v>1.9501340886174158E-3</v>
      </c>
      <c r="M203" s="104">
        <f t="shared" si="127"/>
        <v>2.3201047755509545E-3</v>
      </c>
      <c r="N203" s="104">
        <f t="shared" si="127"/>
        <v>2.8240570592244761E-3</v>
      </c>
      <c r="O203" s="104">
        <f t="shared" si="127"/>
        <v>3.4009825017852482E-3</v>
      </c>
      <c r="P203" s="104">
        <f t="shared" si="127"/>
        <v>4.0569240636113913E-3</v>
      </c>
      <c r="Q203" s="104">
        <f t="shared" si="127"/>
        <v>4.7981181616917352E-3</v>
      </c>
      <c r="R203" s="104">
        <f t="shared" si="127"/>
        <v>5.6309946696258143E-3</v>
      </c>
      <c r="S203" s="104">
        <f t="shared" si="127"/>
        <v>6.5621769176238713E-3</v>
      </c>
      <c r="T203" s="104">
        <f t="shared" si="127"/>
        <v>7.598481692506865E-3</v>
      </c>
      <c r="U203" s="104">
        <f t="shared" si="127"/>
        <v>8.7469192377064488E-3</v>
      </c>
      <c r="V203" s="104">
        <f t="shared" si="127"/>
        <v>1.0014693253264997E-2</v>
      </c>
      <c r="W203" s="104">
        <f t="shared" si="127"/>
        <v>1.1409200895835584E-2</v>
      </c>
      <c r="X203" s="104">
        <f t="shared" si="127"/>
        <v>1.3262974957509759E-2</v>
      </c>
      <c r="Y203" s="104">
        <f t="shared" si="127"/>
        <v>1.5316396874267162E-2</v>
      </c>
      <c r="Z203" s="104">
        <f t="shared" si="127"/>
        <v>1.7581974399485518E-2</v>
      </c>
      <c r="AA203" s="104">
        <f t="shared" si="127"/>
        <v>2.0072538975129926E-2</v>
      </c>
      <c r="AB203" s="104">
        <f t="shared" si="127"/>
        <v>2.2801245731752892E-2</v>
      </c>
      <c r="AC203" s="104">
        <f t="shared" si="127"/>
        <v>2.5781573488494292E-2</v>
      </c>
      <c r="AD203" s="104">
        <f t="shared" si="127"/>
        <v>2.9027324753081372E-2</v>
      </c>
      <c r="AE203" s="104">
        <f t="shared" si="127"/>
        <v>3.2552625721828779E-2</v>
      </c>
      <c r="AF203" s="104">
        <f t="shared" si="127"/>
        <v>3.637192627963852E-2</v>
      </c>
      <c r="AG203" s="104">
        <f t="shared" si="127"/>
        <v>4.0500000000000001E-2</v>
      </c>
      <c r="AI203" s="126"/>
      <c r="AJ203" s="198"/>
      <c r="BD203" s="190"/>
      <c r="BE203" s="190"/>
    </row>
    <row r="204" spans="1:63" outlineLevel="1">
      <c r="A204" t="s">
        <v>1385</v>
      </c>
      <c r="B204" s="51" t="s">
        <v>126</v>
      </c>
      <c r="C204" s="104">
        <f>C193*C201</f>
        <v>6.1749999999999999E-2</v>
      </c>
      <c r="D204" s="104">
        <f t="shared" ref="D204:AG204" si="128">D191*D201</f>
        <v>0</v>
      </c>
      <c r="E204" s="104">
        <f t="shared" si="128"/>
        <v>0</v>
      </c>
      <c r="F204" s="104">
        <f t="shared" si="128"/>
        <v>0</v>
      </c>
      <c r="G204" s="104">
        <f t="shared" si="128"/>
        <v>0</v>
      </c>
      <c r="H204" s="104">
        <f t="shared" si="128"/>
        <v>0</v>
      </c>
      <c r="I204" s="104">
        <f t="shared" si="128"/>
        <v>0</v>
      </c>
      <c r="J204" s="104">
        <f t="shared" si="128"/>
        <v>0</v>
      </c>
      <c r="K204" s="104">
        <f t="shared" si="128"/>
        <v>0</v>
      </c>
      <c r="L204" s="104">
        <f t="shared" si="128"/>
        <v>0</v>
      </c>
      <c r="M204" s="104">
        <f t="shared" si="128"/>
        <v>0</v>
      </c>
      <c r="N204" s="104">
        <f t="shared" si="128"/>
        <v>0</v>
      </c>
      <c r="O204" s="104">
        <f t="shared" si="128"/>
        <v>0</v>
      </c>
      <c r="P204" s="104">
        <f t="shared" si="128"/>
        <v>0</v>
      </c>
      <c r="Q204" s="104">
        <f t="shared" si="128"/>
        <v>0</v>
      </c>
      <c r="R204" s="104">
        <f t="shared" si="128"/>
        <v>0</v>
      </c>
      <c r="S204" s="104">
        <f t="shared" si="128"/>
        <v>0</v>
      </c>
      <c r="T204" s="104">
        <f t="shared" si="128"/>
        <v>0</v>
      </c>
      <c r="U204" s="104">
        <f t="shared" si="128"/>
        <v>0</v>
      </c>
      <c r="V204" s="104">
        <f t="shared" si="128"/>
        <v>0</v>
      </c>
      <c r="W204" s="104">
        <f t="shared" si="128"/>
        <v>0</v>
      </c>
      <c r="X204" s="104">
        <f t="shared" si="128"/>
        <v>0</v>
      </c>
      <c r="Y204" s="104">
        <f t="shared" si="128"/>
        <v>0</v>
      </c>
      <c r="Z204" s="104">
        <f t="shared" si="128"/>
        <v>0</v>
      </c>
      <c r="AA204" s="104">
        <f t="shared" si="128"/>
        <v>0</v>
      </c>
      <c r="AB204" s="104">
        <f t="shared" si="128"/>
        <v>0</v>
      </c>
      <c r="AC204" s="104">
        <f t="shared" si="128"/>
        <v>0</v>
      </c>
      <c r="AD204" s="104">
        <f t="shared" si="128"/>
        <v>0</v>
      </c>
      <c r="AE204" s="104">
        <f t="shared" si="128"/>
        <v>0</v>
      </c>
      <c r="AF204" s="104">
        <f t="shared" si="128"/>
        <v>0</v>
      </c>
      <c r="AG204" s="104">
        <f t="shared" si="128"/>
        <v>0</v>
      </c>
      <c r="AI204" s="127"/>
      <c r="AJ204" s="198"/>
      <c r="BC204" s="1"/>
      <c r="BD204" s="38"/>
      <c r="BF204" s="6"/>
      <c r="BG204" s="6"/>
      <c r="BH204" s="6"/>
      <c r="BI204" s="6"/>
      <c r="BJ204" s="6"/>
    </row>
    <row r="205" spans="1:63" outlineLevel="1">
      <c r="C205" s="104"/>
      <c r="D205" s="104"/>
      <c r="E205" s="104"/>
      <c r="F205" s="104"/>
      <c r="G205" s="104"/>
      <c r="H205" s="104"/>
      <c r="I205" s="104"/>
      <c r="J205" s="104"/>
      <c r="K205" s="104"/>
      <c r="L205" s="104"/>
      <c r="M205" s="104"/>
      <c r="N205" s="104"/>
      <c r="O205" s="104"/>
      <c r="P205" s="104"/>
      <c r="Q205" s="104"/>
      <c r="R205" s="104"/>
      <c r="S205" s="104"/>
      <c r="T205" s="104"/>
      <c r="U205" s="104"/>
      <c r="V205" s="104"/>
      <c r="W205" s="104"/>
      <c r="X205" s="104"/>
      <c r="Y205" s="104"/>
      <c r="Z205" s="104"/>
      <c r="AA205" s="104"/>
      <c r="AB205" s="104"/>
      <c r="AC205" s="104"/>
      <c r="AD205" s="104"/>
      <c r="AE205" s="104"/>
      <c r="AF205" s="104"/>
      <c r="AG205" s="104"/>
      <c r="AI205" s="127"/>
      <c r="AJ205" s="198"/>
      <c r="BC205" s="1"/>
      <c r="BD205" s="38"/>
      <c r="BF205" s="6"/>
      <c r="BG205" s="6"/>
      <c r="BH205" s="6"/>
      <c r="BI205" s="6"/>
      <c r="BJ205" s="6"/>
    </row>
    <row r="206" spans="1:63" s="1" customFormat="1" outlineLevel="1">
      <c r="A206" s="1" t="s">
        <v>261</v>
      </c>
      <c r="B206" s="61"/>
      <c r="C206" s="279">
        <f>C200*C42</f>
        <v>1902.1963086043538</v>
      </c>
      <c r="D206" s="279">
        <f t="shared" ref="D206:AG206" si="129">D200*D42</f>
        <v>1420.2253280300795</v>
      </c>
      <c r="E206" s="279">
        <f t="shared" si="129"/>
        <v>1717.0766520502534</v>
      </c>
      <c r="F206" s="279">
        <f t="shared" si="129"/>
        <v>2039.8359425861954</v>
      </c>
      <c r="G206" s="279">
        <f t="shared" si="129"/>
        <v>2389.3090225227902</v>
      </c>
      <c r="H206" s="279">
        <f t="shared" si="129"/>
        <v>2766.3017147449227</v>
      </c>
      <c r="I206" s="279">
        <f t="shared" si="129"/>
        <v>3073.6167890154316</v>
      </c>
      <c r="J206" s="279">
        <f t="shared" si="129"/>
        <v>3383.2141493205704</v>
      </c>
      <c r="K206" s="279">
        <f t="shared" si="129"/>
        <v>3693.1244511420696</v>
      </c>
      <c r="L206" s="279">
        <f t="shared" si="129"/>
        <v>4001.2787502530841</v>
      </c>
      <c r="M206" s="279">
        <f t="shared" si="129"/>
        <v>4305.508502718204</v>
      </c>
      <c r="N206" s="279">
        <f t="shared" si="129"/>
        <v>4752.1722678849519</v>
      </c>
      <c r="O206" s="279">
        <f t="shared" si="129"/>
        <v>5200.0193905052101</v>
      </c>
      <c r="P206" s="279">
        <f t="shared" si="129"/>
        <v>5644.768195924833</v>
      </c>
      <c r="Q206" s="279">
        <f t="shared" si="129"/>
        <v>6081.9270839500723</v>
      </c>
      <c r="R206" s="279">
        <f t="shared" si="129"/>
        <v>6506.7945288475712</v>
      </c>
      <c r="S206" s="279">
        <f t="shared" si="129"/>
        <v>7009.7803603957782</v>
      </c>
      <c r="T206" s="279">
        <f t="shared" si="129"/>
        <v>7510.9505797452421</v>
      </c>
      <c r="U206" s="279">
        <f t="shared" si="129"/>
        <v>8006.8895715441413</v>
      </c>
      <c r="V206" s="279">
        <f t="shared" si="129"/>
        <v>8494.0336176327819</v>
      </c>
      <c r="W206" s="279">
        <f t="shared" si="129"/>
        <v>8968.670897043583</v>
      </c>
      <c r="X206" s="279">
        <f t="shared" si="129"/>
        <v>9663.7016611020899</v>
      </c>
      <c r="Y206" s="279">
        <f t="shared" si="129"/>
        <v>10342.531563782359</v>
      </c>
      <c r="Z206" s="279">
        <f t="shared" si="129"/>
        <v>10998.849796857325</v>
      </c>
      <c r="AA206" s="279">
        <f t="shared" si="129"/>
        <v>11626.097748788907</v>
      </c>
      <c r="AB206" s="279">
        <f t="shared" si="129"/>
        <v>12217.469004728035</v>
      </c>
      <c r="AC206" s="279">
        <f t="shared" si="129"/>
        <v>12638.589771915082</v>
      </c>
      <c r="AD206" s="279">
        <f t="shared" si="129"/>
        <v>12986.107784875789</v>
      </c>
      <c r="AE206" s="279">
        <f t="shared" si="129"/>
        <v>13250.637304031359</v>
      </c>
      <c r="AF206" s="279">
        <f t="shared" si="129"/>
        <v>13422.493634432371</v>
      </c>
      <c r="AG206" s="279">
        <f t="shared" si="129"/>
        <v>13491.693125758798</v>
      </c>
      <c r="AH206" s="230"/>
      <c r="AI206" s="398"/>
      <c r="AJ206" s="399"/>
      <c r="AL206" s="207"/>
      <c r="AM206" s="118"/>
      <c r="AN206" s="118"/>
      <c r="AO206" s="118"/>
      <c r="BD206" s="118"/>
      <c r="BE206" s="118"/>
      <c r="BF206" s="118"/>
      <c r="BG206" s="118"/>
      <c r="BH206" s="118"/>
      <c r="BI206" s="118"/>
      <c r="BJ206" s="118"/>
      <c r="BK206" s="118"/>
    </row>
    <row r="207" spans="1:63" outlineLevel="1">
      <c r="A207" s="4" t="s">
        <v>35</v>
      </c>
      <c r="C207" s="623">
        <f>C$206*'BTX recycling rates'!E74</f>
        <v>1902.096502530673</v>
      </c>
      <c r="D207" s="216">
        <f>D$206*'BTX recycling rates'!F74</f>
        <v>1420.1508104247769</v>
      </c>
      <c r="E207" s="216">
        <f>E$206*'BTX recycling rates'!G74</f>
        <v>1716.9865589940978</v>
      </c>
      <c r="F207" s="216">
        <f>F$206*'BTX recycling rates'!H74</f>
        <v>2039.7289147176932</v>
      </c>
      <c r="G207" s="216">
        <f>G$206*'BTX recycling rates'!I74</f>
        <v>2389.1836581998391</v>
      </c>
      <c r="H207" s="216">
        <f>H$206*'BTX recycling rates'!J74</f>
        <v>2766.1565700448114</v>
      </c>
      <c r="I207" s="216">
        <f>I$206*'BTX recycling rates'!K74</f>
        <v>3073.45551984341</v>
      </c>
      <c r="J207" s="216">
        <f>J$206*'BTX recycling rates'!L74</f>
        <v>3383.03663592769</v>
      </c>
      <c r="K207" s="216">
        <f>K$206*'BTX recycling rates'!M74</f>
        <v>3692.9306771086453</v>
      </c>
      <c r="L207" s="216">
        <f>L$206*'BTX recycling rates'!N74</f>
        <v>4001.0688077145783</v>
      </c>
      <c r="M207" s="216">
        <f>M$206*'BTX recycling rates'!O74</f>
        <v>4305.2825975911082</v>
      </c>
      <c r="N207" s="216">
        <f>N$206*'BTX recycling rates'!P74</f>
        <v>4751.9229268188556</v>
      </c>
      <c r="O207" s="216">
        <f>O$206*'BTX recycling rates'!Q74</f>
        <v>5199.7465514106943</v>
      </c>
      <c r="P207" s="216">
        <f>P$206*'BTX recycling rates'!R74</f>
        <v>5644.4720213670726</v>
      </c>
      <c r="Q207" s="216">
        <f>Q$206*'BTX recycling rates'!S74</f>
        <v>6081.6079721633887</v>
      </c>
      <c r="R207" s="216">
        <f>R$206*'BTX recycling rates'!T74</f>
        <v>6506.4531247499845</v>
      </c>
      <c r="S207" s="216">
        <f>S$206*'BTX recycling rates'!U74</f>
        <v>7009.4125652045186</v>
      </c>
      <c r="T207" s="216">
        <f>T$206*'BTX recycling rates'!V74</f>
        <v>7510.5564887234141</v>
      </c>
      <c r="U207" s="216">
        <f>U$206*'BTX recycling rates'!W74</f>
        <v>8006.4694591682965</v>
      </c>
      <c r="V207" s="216">
        <f>V$206*'BTX recycling rates'!X74</f>
        <v>8493.5879453637026</v>
      </c>
      <c r="W207" s="216">
        <f>W$206*'BTX recycling rates'!Y74</f>
        <v>8968.2003210970724</v>
      </c>
      <c r="X207" s="216">
        <f>X$206*'BTX recycling rates'!Z74</f>
        <v>9663.1946176830406</v>
      </c>
      <c r="Y207" s="216">
        <f>Y$206*'BTX recycling rates'!AA74</f>
        <v>10341.988902931515</v>
      </c>
      <c r="Z207" s="216">
        <f>Z$206*'BTX recycling rates'!AB74</f>
        <v>10998.272699736348</v>
      </c>
      <c r="AA207" s="216">
        <f>AA$206*'BTX recycling rates'!AC74</f>
        <v>11625.487740682336</v>
      </c>
      <c r="AB207" s="216">
        <f>AB$206*'BTX recycling rates'!AD74</f>
        <v>12216.827968045247</v>
      </c>
      <c r="AC207" s="216">
        <f>AC$206*'BTX recycling rates'!AE74</f>
        <v>12637.926639505302</v>
      </c>
      <c r="AD207" s="216">
        <f>AD$206*'BTX recycling rates'!AF74</f>
        <v>12985.426418591698</v>
      </c>
      <c r="AE207" s="216">
        <f>AE$206*'BTX recycling rates'!AG74</f>
        <v>13249.942058184703</v>
      </c>
      <c r="AF207" s="216">
        <f>AF$206*'BTX recycling rates'!AH74</f>
        <v>13421.789371479805</v>
      </c>
      <c r="AG207" s="216">
        <f>AG$206*'BTX recycling rates'!AI74</f>
        <v>13490.985231987741</v>
      </c>
      <c r="AH207" s="230"/>
      <c r="AI207" s="126"/>
      <c r="AJ207" s="198"/>
      <c r="AL207" s="102"/>
      <c r="AM207" s="2"/>
      <c r="AN207" s="2"/>
      <c r="AO207" s="2"/>
      <c r="BC207" s="1"/>
      <c r="BD207" s="2"/>
      <c r="BE207" s="2"/>
      <c r="BF207" s="2"/>
      <c r="BG207" s="2"/>
      <c r="BH207" s="2"/>
      <c r="BI207" s="2"/>
      <c r="BJ207" s="2"/>
      <c r="BK207" s="2"/>
    </row>
    <row r="208" spans="1:63" outlineLevel="1">
      <c r="A208" s="4" t="s">
        <v>74</v>
      </c>
      <c r="C208" s="216">
        <f>C$206*'BTX recycling rates'!E75</f>
        <v>0</v>
      </c>
      <c r="D208" s="216">
        <f>D$206*'BTX recycling rates'!F75</f>
        <v>0</v>
      </c>
      <c r="E208" s="216">
        <f>E$206*'BTX recycling rates'!G75</f>
        <v>0</v>
      </c>
      <c r="F208" s="216">
        <f>F$206*'BTX recycling rates'!H75</f>
        <v>0</v>
      </c>
      <c r="G208" s="216">
        <f>G$206*'BTX recycling rates'!I75</f>
        <v>0</v>
      </c>
      <c r="H208" s="216">
        <f>H$206*'BTX recycling rates'!J75</f>
        <v>0</v>
      </c>
      <c r="I208" s="216">
        <f>I$206*'BTX recycling rates'!K75</f>
        <v>0</v>
      </c>
      <c r="J208" s="216">
        <f>J$206*'BTX recycling rates'!L75</f>
        <v>0</v>
      </c>
      <c r="K208" s="216">
        <f>K$206*'BTX recycling rates'!M75</f>
        <v>0</v>
      </c>
      <c r="L208" s="216">
        <f>L$206*'BTX recycling rates'!N75</f>
        <v>0</v>
      </c>
      <c r="M208" s="216">
        <f>M$206*'BTX recycling rates'!O75</f>
        <v>0</v>
      </c>
      <c r="N208" s="216">
        <f>N$206*'BTX recycling rates'!P75</f>
        <v>0</v>
      </c>
      <c r="O208" s="216">
        <f>O$206*'BTX recycling rates'!Q75</f>
        <v>0</v>
      </c>
      <c r="P208" s="216">
        <f>P$206*'BTX recycling rates'!R75</f>
        <v>0</v>
      </c>
      <c r="Q208" s="216">
        <f>Q$206*'BTX recycling rates'!S75</f>
        <v>0</v>
      </c>
      <c r="R208" s="216">
        <f>R$206*'BTX recycling rates'!T75</f>
        <v>0</v>
      </c>
      <c r="S208" s="216">
        <f>S$206*'BTX recycling rates'!U75</f>
        <v>0</v>
      </c>
      <c r="T208" s="216">
        <f>T$206*'BTX recycling rates'!V75</f>
        <v>0</v>
      </c>
      <c r="U208" s="216">
        <f>U$206*'BTX recycling rates'!W75</f>
        <v>0</v>
      </c>
      <c r="V208" s="216">
        <f>V$206*'BTX recycling rates'!X75</f>
        <v>0</v>
      </c>
      <c r="W208" s="216">
        <f>W$206*'BTX recycling rates'!Y75</f>
        <v>0</v>
      </c>
      <c r="X208" s="216">
        <f>X$206*'BTX recycling rates'!Z75</f>
        <v>0</v>
      </c>
      <c r="Y208" s="216">
        <f>Y$206*'BTX recycling rates'!AA75</f>
        <v>0</v>
      </c>
      <c r="Z208" s="216">
        <f>Z$206*'BTX recycling rates'!AB75</f>
        <v>0</v>
      </c>
      <c r="AA208" s="216">
        <f>AA$206*'BTX recycling rates'!AC75</f>
        <v>0</v>
      </c>
      <c r="AB208" s="216">
        <f>AB$206*'BTX recycling rates'!AD75</f>
        <v>0</v>
      </c>
      <c r="AC208" s="216">
        <f>AC$206*'BTX recycling rates'!AE75</f>
        <v>0</v>
      </c>
      <c r="AD208" s="216">
        <f>AD$206*'BTX recycling rates'!AF75</f>
        <v>0</v>
      </c>
      <c r="AE208" s="216">
        <f>AE$206*'BTX recycling rates'!AG75</f>
        <v>0</v>
      </c>
      <c r="AF208" s="216">
        <f>AF$206*'BTX recycling rates'!AH75</f>
        <v>0</v>
      </c>
      <c r="AG208" s="216">
        <f>AG$206*'BTX recycling rates'!AI75</f>
        <v>0</v>
      </c>
      <c r="AH208" s="230"/>
      <c r="AI208" s="126"/>
      <c r="AJ208" s="198"/>
      <c r="AL208" s="102"/>
      <c r="AM208" s="2"/>
      <c r="AN208" s="2"/>
      <c r="AO208" s="2"/>
      <c r="BC208" s="1"/>
      <c r="BD208" s="2"/>
      <c r="BE208" s="2"/>
      <c r="BF208" s="2"/>
      <c r="BG208" s="2"/>
      <c r="BH208" s="2"/>
      <c r="BI208" s="2"/>
      <c r="BJ208" s="2"/>
      <c r="BK208" s="2"/>
    </row>
    <row r="209" spans="1:63" outlineLevel="1">
      <c r="A209" s="4" t="s">
        <v>160</v>
      </c>
      <c r="C209" s="216">
        <f>C$206*'BTX recycling rates'!E76</f>
        <v>0</v>
      </c>
      <c r="D209" s="216">
        <f>D$206*'BTX recycling rates'!F76</f>
        <v>0</v>
      </c>
      <c r="E209" s="216">
        <f>E$206*'BTX recycling rates'!G76</f>
        <v>0</v>
      </c>
      <c r="F209" s="216">
        <f>F$206*'BTX recycling rates'!H76</f>
        <v>0</v>
      </c>
      <c r="G209" s="216">
        <f>G$206*'BTX recycling rates'!I76</f>
        <v>0</v>
      </c>
      <c r="H209" s="216">
        <f>H$206*'BTX recycling rates'!J76</f>
        <v>0</v>
      </c>
      <c r="I209" s="216">
        <f>I$206*'BTX recycling rates'!K76</f>
        <v>0</v>
      </c>
      <c r="J209" s="216">
        <f>J$206*'BTX recycling rates'!L76</f>
        <v>0</v>
      </c>
      <c r="K209" s="216">
        <f>K$206*'BTX recycling rates'!M76</f>
        <v>0</v>
      </c>
      <c r="L209" s="216">
        <f>L$206*'BTX recycling rates'!N76</f>
        <v>0</v>
      </c>
      <c r="M209" s="216">
        <f>M$206*'BTX recycling rates'!O76</f>
        <v>0</v>
      </c>
      <c r="N209" s="216">
        <f>N$206*'BTX recycling rates'!P76</f>
        <v>0</v>
      </c>
      <c r="O209" s="216">
        <f>O$206*'BTX recycling rates'!Q76</f>
        <v>0</v>
      </c>
      <c r="P209" s="216">
        <f>P$206*'BTX recycling rates'!R76</f>
        <v>0</v>
      </c>
      <c r="Q209" s="216">
        <f>Q$206*'BTX recycling rates'!S76</f>
        <v>0</v>
      </c>
      <c r="R209" s="216">
        <f>R$206*'BTX recycling rates'!T76</f>
        <v>0</v>
      </c>
      <c r="S209" s="216">
        <f>S$206*'BTX recycling rates'!U76</f>
        <v>0</v>
      </c>
      <c r="T209" s="216">
        <f>T$206*'BTX recycling rates'!V76</f>
        <v>0</v>
      </c>
      <c r="U209" s="216">
        <f>U$206*'BTX recycling rates'!W76</f>
        <v>0</v>
      </c>
      <c r="V209" s="216">
        <f>V$206*'BTX recycling rates'!X76</f>
        <v>0</v>
      </c>
      <c r="W209" s="216">
        <f>W$206*'BTX recycling rates'!Y76</f>
        <v>0</v>
      </c>
      <c r="X209" s="216">
        <f>X$206*'BTX recycling rates'!Z76</f>
        <v>0</v>
      </c>
      <c r="Y209" s="216">
        <f>Y$206*'BTX recycling rates'!AA76</f>
        <v>0</v>
      </c>
      <c r="Z209" s="216">
        <f>Z$206*'BTX recycling rates'!AB76</f>
        <v>0</v>
      </c>
      <c r="AA209" s="216">
        <f>AA$206*'BTX recycling rates'!AC76</f>
        <v>0</v>
      </c>
      <c r="AB209" s="216">
        <f>AB$206*'BTX recycling rates'!AD76</f>
        <v>0</v>
      </c>
      <c r="AC209" s="216">
        <f>AC$206*'BTX recycling rates'!AE76</f>
        <v>0</v>
      </c>
      <c r="AD209" s="216">
        <f>AD$206*'BTX recycling rates'!AF76</f>
        <v>0</v>
      </c>
      <c r="AE209" s="216">
        <f>AE$206*'BTX recycling rates'!AG76</f>
        <v>0</v>
      </c>
      <c r="AF209" s="216">
        <f>AF$206*'BTX recycling rates'!AH76</f>
        <v>0</v>
      </c>
      <c r="AG209" s="216">
        <f>AG$206*'BTX recycling rates'!AI76</f>
        <v>0</v>
      </c>
      <c r="AH209" s="230"/>
      <c r="AI209" s="126"/>
      <c r="AJ209" s="198"/>
      <c r="AL209" s="102"/>
      <c r="AM209" s="2"/>
      <c r="AN209" s="2"/>
      <c r="AO209" s="2"/>
      <c r="BC209" s="1"/>
      <c r="BD209" s="2"/>
      <c r="BE209" s="2"/>
      <c r="BF209" s="2"/>
      <c r="BG209" s="2"/>
      <c r="BH209" s="2"/>
      <c r="BI209" s="2"/>
      <c r="BJ209" s="2"/>
      <c r="BK209" s="2"/>
    </row>
    <row r="210" spans="1:63" outlineLevel="1">
      <c r="A210" s="4" t="s">
        <v>1159</v>
      </c>
      <c r="C210" s="216">
        <f>C$206*'BTX recycling rates'!E77</f>
        <v>9.9806073680858851E-2</v>
      </c>
      <c r="D210" s="216">
        <f>D$206*'BTX recycling rates'!F77</f>
        <v>7.451760530267891E-2</v>
      </c>
      <c r="E210" s="216">
        <f>E$206*'BTX recycling rates'!G77</f>
        <v>9.0093056155675158E-2</v>
      </c>
      <c r="F210" s="216">
        <f>F$206*'BTX recycling rates'!H77</f>
        <v>0.10702786850217107</v>
      </c>
      <c r="G210" s="216">
        <f>G$206*'BTX recycling rates'!I77</f>
        <v>0.12536432295109157</v>
      </c>
      <c r="H210" s="216">
        <f>H$206*'BTX recycling rates'!J77</f>
        <v>0.1451447001113616</v>
      </c>
      <c r="I210" s="216">
        <f>I$206*'BTX recycling rates'!K77</f>
        <v>0.16126917202161625</v>
      </c>
      <c r="J210" s="216">
        <f>J$206*'BTX recycling rates'!L77</f>
        <v>0.17751339288054815</v>
      </c>
      <c r="K210" s="216">
        <f>K$206*'BTX recycling rates'!M77</f>
        <v>0.19377403342439814</v>
      </c>
      <c r="L210" s="216">
        <f>L$206*'BTX recycling rates'!N77</f>
        <v>0.20994253850614381</v>
      </c>
      <c r="M210" s="216">
        <f>M$206*'BTX recycling rates'!O77</f>
        <v>0.22590512709549992</v>
      </c>
      <c r="N210" s="216">
        <f>N$206*'BTX recycling rates'!P77</f>
        <v>0.24934106609672246</v>
      </c>
      <c r="O210" s="216">
        <f>O$206*'BTX recycling rates'!Q77</f>
        <v>0.27283909451566785</v>
      </c>
      <c r="P210" s="216">
        <f>P$206*'BTX recycling rates'!R77</f>
        <v>0.29617455776012808</v>
      </c>
      <c r="Q210" s="216">
        <f>Q$206*'BTX recycling rates'!S77</f>
        <v>0.31911178668394069</v>
      </c>
      <c r="R210" s="216">
        <f>R$206*'BTX recycling rates'!T77</f>
        <v>0.34140409758698842</v>
      </c>
      <c r="S210" s="216">
        <f>S$206*'BTX recycling rates'!U77</f>
        <v>0.36779519125952376</v>
      </c>
      <c r="T210" s="216">
        <f>T$206*'BTX recycling rates'!V77</f>
        <v>0.39409102182800199</v>
      </c>
      <c r="U210" s="216">
        <f>U$206*'BTX recycling rates'!W77</f>
        <v>0.42011237584535277</v>
      </c>
      <c r="V210" s="216">
        <f>V$206*'BTX recycling rates'!X77</f>
        <v>0.44567226907886826</v>
      </c>
      <c r="W210" s="216">
        <f>W$206*'BTX recycling rates'!Y77</f>
        <v>0.47057594651020213</v>
      </c>
      <c r="X210" s="216">
        <f>X$206*'BTX recycling rates'!Z77</f>
        <v>0.50704341904934436</v>
      </c>
      <c r="Y210" s="216">
        <f>Y$206*'BTX recycling rates'!AA77</f>
        <v>0.54266085084500715</v>
      </c>
      <c r="Z210" s="216">
        <f>Z$206*'BTX recycling rates'!AB77</f>
        <v>0.57709712097762667</v>
      </c>
      <c r="AA210" s="216">
        <f>AA$206*'BTX recycling rates'!AC77</f>
        <v>0.61000810657016169</v>
      </c>
      <c r="AB210" s="216">
        <f>AB$206*'BTX recycling rates'!AD77</f>
        <v>0.64103668278809556</v>
      </c>
      <c r="AC210" s="216">
        <f>AC$206*'BTX recycling rates'!AE77</f>
        <v>0.66313240977920096</v>
      </c>
      <c r="AD210" s="216">
        <f>AD$206*'BTX recycling rates'!AF77</f>
        <v>0.68136628409074873</v>
      </c>
      <c r="AE210" s="216">
        <f>AE$206*'BTX recycling rates'!AG77</f>
        <v>0.69524584665754507</v>
      </c>
      <c r="AF210" s="216">
        <f>AF$206*'BTX recycling rates'!AH77</f>
        <v>0.70426295256661398</v>
      </c>
      <c r="AG210" s="216">
        <f>AG$206*'BTX recycling rates'!AI77</f>
        <v>0.70789377105719919</v>
      </c>
      <c r="AH210" s="230"/>
      <c r="AI210" s="126"/>
      <c r="AJ210" s="198"/>
      <c r="AL210" s="102"/>
      <c r="AM210" s="2"/>
      <c r="AN210" s="2"/>
      <c r="AO210" s="2"/>
      <c r="BC210" s="1"/>
      <c r="BD210" s="2"/>
      <c r="BE210" s="2"/>
      <c r="BF210" s="2"/>
      <c r="BG210" s="2"/>
      <c r="BH210" s="2"/>
      <c r="BI210" s="2"/>
      <c r="BJ210" s="2"/>
      <c r="BK210" s="2"/>
    </row>
    <row r="211" spans="1:63" s="1" customFormat="1" outlineLevel="1">
      <c r="A211" s="1" t="s">
        <v>1160</v>
      </c>
      <c r="B211" s="61"/>
      <c r="C211" s="279">
        <f t="shared" ref="C211:AG211" si="130">C206-$C206</f>
        <v>0</v>
      </c>
      <c r="D211" s="279">
        <f t="shared" si="130"/>
        <v>-481.97098057427434</v>
      </c>
      <c r="E211" s="279">
        <f t="shared" si="130"/>
        <v>-185.1196565541004</v>
      </c>
      <c r="F211" s="279">
        <f t="shared" si="130"/>
        <v>137.6396339818416</v>
      </c>
      <c r="G211" s="279">
        <f t="shared" si="130"/>
        <v>487.11271391843638</v>
      </c>
      <c r="H211" s="279">
        <f t="shared" si="130"/>
        <v>864.1054061405689</v>
      </c>
      <c r="I211" s="279">
        <f t="shared" si="130"/>
        <v>1171.4204804110777</v>
      </c>
      <c r="J211" s="279">
        <f t="shared" si="130"/>
        <v>1481.0178407162166</v>
      </c>
      <c r="K211" s="279">
        <f t="shared" si="130"/>
        <v>1790.9281425377158</v>
      </c>
      <c r="L211" s="279">
        <f t="shared" si="130"/>
        <v>2099.0824416487303</v>
      </c>
      <c r="M211" s="279">
        <f t="shared" si="130"/>
        <v>2403.3121941138502</v>
      </c>
      <c r="N211" s="279">
        <f t="shared" si="130"/>
        <v>2849.9759592805981</v>
      </c>
      <c r="O211" s="279">
        <f t="shared" si="130"/>
        <v>3297.8230819008563</v>
      </c>
      <c r="P211" s="279">
        <f t="shared" si="130"/>
        <v>3742.5718873204792</v>
      </c>
      <c r="Q211" s="279">
        <f t="shared" si="130"/>
        <v>4179.7307753457189</v>
      </c>
      <c r="R211" s="279">
        <f t="shared" si="130"/>
        <v>4604.5982202432169</v>
      </c>
      <c r="S211" s="279">
        <f t="shared" si="130"/>
        <v>5107.5840517914239</v>
      </c>
      <c r="T211" s="279">
        <f t="shared" si="130"/>
        <v>5608.7542711408878</v>
      </c>
      <c r="U211" s="279">
        <f t="shared" si="130"/>
        <v>6104.693262939787</v>
      </c>
      <c r="V211" s="279">
        <f t="shared" si="130"/>
        <v>6591.8373090284276</v>
      </c>
      <c r="W211" s="279">
        <f t="shared" si="130"/>
        <v>7066.4745884392287</v>
      </c>
      <c r="X211" s="279">
        <f t="shared" si="130"/>
        <v>7761.5053524977357</v>
      </c>
      <c r="Y211" s="279">
        <f t="shared" si="130"/>
        <v>8440.3352551780044</v>
      </c>
      <c r="Z211" s="279">
        <f t="shared" si="130"/>
        <v>9096.6534882529704</v>
      </c>
      <c r="AA211" s="279">
        <f t="shared" si="130"/>
        <v>9723.9014401845525</v>
      </c>
      <c r="AB211" s="279">
        <f t="shared" si="130"/>
        <v>10315.27269612368</v>
      </c>
      <c r="AC211" s="279">
        <f t="shared" si="130"/>
        <v>10736.393463310727</v>
      </c>
      <c r="AD211" s="279">
        <f t="shared" si="130"/>
        <v>11083.911476271434</v>
      </c>
      <c r="AE211" s="279">
        <f t="shared" si="130"/>
        <v>11348.440995427005</v>
      </c>
      <c r="AF211" s="279">
        <f t="shared" si="130"/>
        <v>11520.297325828016</v>
      </c>
      <c r="AG211" s="279">
        <f t="shared" si="130"/>
        <v>11589.496817154444</v>
      </c>
      <c r="AH211" s="230"/>
      <c r="AI211" s="398"/>
      <c r="AJ211" s="399"/>
      <c r="AL211" s="207"/>
      <c r="AM211" s="118"/>
      <c r="AN211" s="118"/>
      <c r="AO211" s="118"/>
      <c r="BD211" s="118"/>
      <c r="BE211" s="118"/>
      <c r="BF211" s="118"/>
      <c r="BG211" s="118"/>
      <c r="BH211" s="118"/>
      <c r="BI211" s="118"/>
      <c r="BJ211" s="118"/>
      <c r="BK211" s="118"/>
    </row>
    <row r="212" spans="1:63" outlineLevel="1">
      <c r="A212" s="4" t="s">
        <v>35</v>
      </c>
      <c r="C212" s="216">
        <f t="shared" ref="C212:AG212" si="131">C207-$C207</f>
        <v>0</v>
      </c>
      <c r="D212" s="216">
        <f t="shared" si="131"/>
        <v>-481.94569210589611</v>
      </c>
      <c r="E212" s="216">
        <f t="shared" si="131"/>
        <v>-185.1099435365752</v>
      </c>
      <c r="F212" s="216">
        <f t="shared" si="131"/>
        <v>137.63241218702024</v>
      </c>
      <c r="G212" s="216">
        <f t="shared" si="131"/>
        <v>487.08715566916612</v>
      </c>
      <c r="H212" s="216">
        <f t="shared" si="131"/>
        <v>864.06006751413838</v>
      </c>
      <c r="I212" s="216">
        <f t="shared" si="131"/>
        <v>1171.359017312737</v>
      </c>
      <c r="J212" s="216">
        <f t="shared" si="131"/>
        <v>1480.940133397017</v>
      </c>
      <c r="K212" s="216">
        <f t="shared" si="131"/>
        <v>1790.8341745779724</v>
      </c>
      <c r="L212" s="216">
        <f t="shared" si="131"/>
        <v>2098.9723051839055</v>
      </c>
      <c r="M212" s="216">
        <f t="shared" si="131"/>
        <v>2403.186095060435</v>
      </c>
      <c r="N212" s="216">
        <f t="shared" si="131"/>
        <v>2849.8264242881824</v>
      </c>
      <c r="O212" s="216">
        <f t="shared" si="131"/>
        <v>3297.6500488800211</v>
      </c>
      <c r="P212" s="216">
        <f t="shared" si="131"/>
        <v>3742.3755188363994</v>
      </c>
      <c r="Q212" s="216">
        <f t="shared" si="131"/>
        <v>4179.5114696327155</v>
      </c>
      <c r="R212" s="216">
        <f t="shared" si="131"/>
        <v>4604.3566222193112</v>
      </c>
      <c r="S212" s="216">
        <f t="shared" si="131"/>
        <v>5107.3160626738454</v>
      </c>
      <c r="T212" s="216">
        <f t="shared" si="131"/>
        <v>5608.4599861927409</v>
      </c>
      <c r="U212" s="216">
        <f t="shared" si="131"/>
        <v>6104.3729566376232</v>
      </c>
      <c r="V212" s="216">
        <f t="shared" si="131"/>
        <v>6591.4914428330294</v>
      </c>
      <c r="W212" s="216">
        <f t="shared" si="131"/>
        <v>7066.1038185663992</v>
      </c>
      <c r="X212" s="216">
        <f t="shared" si="131"/>
        <v>7761.0981151523674</v>
      </c>
      <c r="Y212" s="216">
        <f t="shared" si="131"/>
        <v>8439.8924004008422</v>
      </c>
      <c r="Z212" s="216">
        <f t="shared" si="131"/>
        <v>9096.1761972056756</v>
      </c>
      <c r="AA212" s="216">
        <f t="shared" si="131"/>
        <v>9723.3912381516639</v>
      </c>
      <c r="AB212" s="216">
        <f t="shared" si="131"/>
        <v>10314.731465514575</v>
      </c>
      <c r="AC212" s="216">
        <f t="shared" si="131"/>
        <v>10735.83013697463</v>
      </c>
      <c r="AD212" s="216">
        <f t="shared" si="131"/>
        <v>11083.329916061026</v>
      </c>
      <c r="AE212" s="216">
        <f t="shared" si="131"/>
        <v>11347.84555565403</v>
      </c>
      <c r="AF212" s="216">
        <f t="shared" si="131"/>
        <v>11519.692868949132</v>
      </c>
      <c r="AG212" s="216">
        <f t="shared" si="131"/>
        <v>11588.888729457069</v>
      </c>
      <c r="AH212" s="230"/>
      <c r="AI212" s="126"/>
      <c r="AJ212" s="198"/>
      <c r="AL212" s="102"/>
      <c r="AM212" s="2"/>
      <c r="AN212" s="2"/>
      <c r="AO212" s="2"/>
      <c r="BC212" s="1"/>
      <c r="BD212" s="2"/>
      <c r="BE212" s="2"/>
      <c r="BF212" s="2"/>
      <c r="BG212" s="2"/>
      <c r="BH212" s="2"/>
      <c r="BI212" s="2"/>
      <c r="BJ212" s="2"/>
      <c r="BK212" s="2"/>
    </row>
    <row r="213" spans="1:63" outlineLevel="1">
      <c r="A213" s="4" t="s">
        <v>74</v>
      </c>
      <c r="C213" s="216">
        <f t="shared" ref="C213:AG213" si="132">C208-$C208</f>
        <v>0</v>
      </c>
      <c r="D213" s="216">
        <f t="shared" si="132"/>
        <v>0</v>
      </c>
      <c r="E213" s="216">
        <f t="shared" si="132"/>
        <v>0</v>
      </c>
      <c r="F213" s="216">
        <f t="shared" si="132"/>
        <v>0</v>
      </c>
      <c r="G213" s="216">
        <f t="shared" si="132"/>
        <v>0</v>
      </c>
      <c r="H213" s="216">
        <f t="shared" si="132"/>
        <v>0</v>
      </c>
      <c r="I213" s="216">
        <f t="shared" si="132"/>
        <v>0</v>
      </c>
      <c r="J213" s="216">
        <f t="shared" si="132"/>
        <v>0</v>
      </c>
      <c r="K213" s="216">
        <f t="shared" si="132"/>
        <v>0</v>
      </c>
      <c r="L213" s="216">
        <f t="shared" si="132"/>
        <v>0</v>
      </c>
      <c r="M213" s="216">
        <f t="shared" si="132"/>
        <v>0</v>
      </c>
      <c r="N213" s="216">
        <f t="shared" si="132"/>
        <v>0</v>
      </c>
      <c r="O213" s="216">
        <f t="shared" si="132"/>
        <v>0</v>
      </c>
      <c r="P213" s="216">
        <f t="shared" si="132"/>
        <v>0</v>
      </c>
      <c r="Q213" s="216">
        <f t="shared" si="132"/>
        <v>0</v>
      </c>
      <c r="R213" s="216">
        <f t="shared" si="132"/>
        <v>0</v>
      </c>
      <c r="S213" s="216">
        <f t="shared" si="132"/>
        <v>0</v>
      </c>
      <c r="T213" s="216">
        <f t="shared" si="132"/>
        <v>0</v>
      </c>
      <c r="U213" s="216">
        <f t="shared" si="132"/>
        <v>0</v>
      </c>
      <c r="V213" s="216">
        <f t="shared" si="132"/>
        <v>0</v>
      </c>
      <c r="W213" s="216">
        <f t="shared" si="132"/>
        <v>0</v>
      </c>
      <c r="X213" s="216">
        <f t="shared" si="132"/>
        <v>0</v>
      </c>
      <c r="Y213" s="216">
        <f t="shared" si="132"/>
        <v>0</v>
      </c>
      <c r="Z213" s="216">
        <f t="shared" si="132"/>
        <v>0</v>
      </c>
      <c r="AA213" s="216">
        <f t="shared" si="132"/>
        <v>0</v>
      </c>
      <c r="AB213" s="216">
        <f t="shared" si="132"/>
        <v>0</v>
      </c>
      <c r="AC213" s="216">
        <f t="shared" si="132"/>
        <v>0</v>
      </c>
      <c r="AD213" s="216">
        <f t="shared" si="132"/>
        <v>0</v>
      </c>
      <c r="AE213" s="216">
        <f t="shared" si="132"/>
        <v>0</v>
      </c>
      <c r="AF213" s="216">
        <f t="shared" si="132"/>
        <v>0</v>
      </c>
      <c r="AG213" s="216">
        <f t="shared" si="132"/>
        <v>0</v>
      </c>
      <c r="AH213" s="230"/>
      <c r="AI213" s="126"/>
      <c r="AJ213" s="198"/>
      <c r="AL213" s="102"/>
      <c r="AM213" s="2"/>
      <c r="AN213" s="2"/>
      <c r="AO213" s="2"/>
      <c r="BC213" s="1"/>
      <c r="BD213" s="2"/>
      <c r="BE213" s="2"/>
      <c r="BF213" s="2"/>
      <c r="BG213" s="2"/>
      <c r="BH213" s="2"/>
      <c r="BI213" s="2"/>
      <c r="BJ213" s="2"/>
      <c r="BK213" s="2"/>
    </row>
    <row r="214" spans="1:63" outlineLevel="1">
      <c r="A214" s="4" t="s">
        <v>160</v>
      </c>
      <c r="C214" s="216">
        <f t="shared" ref="C214:AG214" si="133">C209-$C209</f>
        <v>0</v>
      </c>
      <c r="D214" s="216">
        <f t="shared" si="133"/>
        <v>0</v>
      </c>
      <c r="E214" s="216">
        <f t="shared" si="133"/>
        <v>0</v>
      </c>
      <c r="F214" s="216">
        <f t="shared" si="133"/>
        <v>0</v>
      </c>
      <c r="G214" s="216">
        <f t="shared" si="133"/>
        <v>0</v>
      </c>
      <c r="H214" s="216">
        <f t="shared" si="133"/>
        <v>0</v>
      </c>
      <c r="I214" s="216">
        <f t="shared" si="133"/>
        <v>0</v>
      </c>
      <c r="J214" s="216">
        <f t="shared" si="133"/>
        <v>0</v>
      </c>
      <c r="K214" s="216">
        <f t="shared" si="133"/>
        <v>0</v>
      </c>
      <c r="L214" s="216">
        <f t="shared" si="133"/>
        <v>0</v>
      </c>
      <c r="M214" s="216">
        <f t="shared" si="133"/>
        <v>0</v>
      </c>
      <c r="N214" s="216">
        <f t="shared" si="133"/>
        <v>0</v>
      </c>
      <c r="O214" s="216">
        <f t="shared" si="133"/>
        <v>0</v>
      </c>
      <c r="P214" s="216">
        <f t="shared" si="133"/>
        <v>0</v>
      </c>
      <c r="Q214" s="216">
        <f t="shared" si="133"/>
        <v>0</v>
      </c>
      <c r="R214" s="216">
        <f t="shared" si="133"/>
        <v>0</v>
      </c>
      <c r="S214" s="216">
        <f t="shared" si="133"/>
        <v>0</v>
      </c>
      <c r="T214" s="216">
        <f t="shared" si="133"/>
        <v>0</v>
      </c>
      <c r="U214" s="216">
        <f t="shared" si="133"/>
        <v>0</v>
      </c>
      <c r="V214" s="216">
        <f t="shared" si="133"/>
        <v>0</v>
      </c>
      <c r="W214" s="216">
        <f t="shared" si="133"/>
        <v>0</v>
      </c>
      <c r="X214" s="216">
        <f t="shared" si="133"/>
        <v>0</v>
      </c>
      <c r="Y214" s="216">
        <f t="shared" si="133"/>
        <v>0</v>
      </c>
      <c r="Z214" s="216">
        <f t="shared" si="133"/>
        <v>0</v>
      </c>
      <c r="AA214" s="216">
        <f t="shared" si="133"/>
        <v>0</v>
      </c>
      <c r="AB214" s="216">
        <f t="shared" si="133"/>
        <v>0</v>
      </c>
      <c r="AC214" s="216">
        <f t="shared" si="133"/>
        <v>0</v>
      </c>
      <c r="AD214" s="216">
        <f t="shared" si="133"/>
        <v>0</v>
      </c>
      <c r="AE214" s="216">
        <f t="shared" si="133"/>
        <v>0</v>
      </c>
      <c r="AF214" s="216">
        <f t="shared" si="133"/>
        <v>0</v>
      </c>
      <c r="AG214" s="216">
        <f t="shared" si="133"/>
        <v>0</v>
      </c>
      <c r="AH214" s="230"/>
      <c r="AI214" s="126"/>
      <c r="AJ214" s="198"/>
      <c r="AL214" s="102"/>
      <c r="AM214" s="2"/>
      <c r="AN214" s="2"/>
      <c r="AO214" s="2"/>
      <c r="BC214" s="1"/>
      <c r="BD214" s="2"/>
      <c r="BE214" s="2"/>
      <c r="BF214" s="2"/>
      <c r="BG214" s="2"/>
      <c r="BH214" s="2"/>
      <c r="BI214" s="2"/>
      <c r="BJ214" s="2"/>
      <c r="BK214" s="2"/>
    </row>
    <row r="215" spans="1:63" outlineLevel="1">
      <c r="A215" s="4" t="s">
        <v>1159</v>
      </c>
      <c r="C215" s="216">
        <f t="shared" ref="C215:AG215" si="134">C210-$C210</f>
        <v>0</v>
      </c>
      <c r="D215" s="216">
        <f t="shared" si="134"/>
        <v>-2.528846837817994E-2</v>
      </c>
      <c r="E215" s="216">
        <f t="shared" si="134"/>
        <v>-9.7130175251836925E-3</v>
      </c>
      <c r="F215" s="216">
        <f t="shared" si="134"/>
        <v>7.2217948213122163E-3</v>
      </c>
      <c r="G215" s="216">
        <f t="shared" si="134"/>
        <v>2.5558249270232716E-2</v>
      </c>
      <c r="H215" s="216">
        <f t="shared" si="134"/>
        <v>4.5338626430502751E-2</v>
      </c>
      <c r="I215" s="216">
        <f t="shared" si="134"/>
        <v>6.1463098340757402E-2</v>
      </c>
      <c r="J215" s="216">
        <f t="shared" si="134"/>
        <v>7.7707319199689304E-2</v>
      </c>
      <c r="K215" s="216">
        <f t="shared" si="134"/>
        <v>9.3967959743539289E-2</v>
      </c>
      <c r="L215" s="216">
        <f t="shared" si="134"/>
        <v>0.11013646482528495</v>
      </c>
      <c r="M215" s="216">
        <f t="shared" si="134"/>
        <v>0.12609905341464106</v>
      </c>
      <c r="N215" s="216">
        <f t="shared" si="134"/>
        <v>0.1495349924158636</v>
      </c>
      <c r="O215" s="216">
        <f t="shared" si="134"/>
        <v>0.17303302083480898</v>
      </c>
      <c r="P215" s="216">
        <f t="shared" si="134"/>
        <v>0.19636848407926921</v>
      </c>
      <c r="Q215" s="216">
        <f t="shared" si="134"/>
        <v>0.21930571300308183</v>
      </c>
      <c r="R215" s="216">
        <f t="shared" si="134"/>
        <v>0.24159802390612956</v>
      </c>
      <c r="S215" s="216">
        <f t="shared" si="134"/>
        <v>0.26798911757866489</v>
      </c>
      <c r="T215" s="216">
        <f t="shared" si="134"/>
        <v>0.29428494814714312</v>
      </c>
      <c r="U215" s="216">
        <f t="shared" si="134"/>
        <v>0.32030630216449391</v>
      </c>
      <c r="V215" s="216">
        <f t="shared" si="134"/>
        <v>0.34586619539800939</v>
      </c>
      <c r="W215" s="216">
        <f t="shared" si="134"/>
        <v>0.37076987282934326</v>
      </c>
      <c r="X215" s="216">
        <f t="shared" si="134"/>
        <v>0.40723734536848549</v>
      </c>
      <c r="Y215" s="216">
        <f t="shared" si="134"/>
        <v>0.44285477716414828</v>
      </c>
      <c r="Z215" s="216">
        <f t="shared" si="134"/>
        <v>0.4772910472967678</v>
      </c>
      <c r="AA215" s="216">
        <f t="shared" si="134"/>
        <v>0.51020203288930288</v>
      </c>
      <c r="AB215" s="216">
        <f t="shared" si="134"/>
        <v>0.54123060910723675</v>
      </c>
      <c r="AC215" s="216">
        <f t="shared" si="134"/>
        <v>0.56332633609834215</v>
      </c>
      <c r="AD215" s="216">
        <f t="shared" si="134"/>
        <v>0.58156021040988992</v>
      </c>
      <c r="AE215" s="216">
        <f t="shared" si="134"/>
        <v>0.59543977297668627</v>
      </c>
      <c r="AF215" s="216">
        <f t="shared" si="134"/>
        <v>0.60445687888575517</v>
      </c>
      <c r="AG215" s="216">
        <f t="shared" si="134"/>
        <v>0.60808769737634039</v>
      </c>
      <c r="AH215" s="230"/>
      <c r="AI215" s="126"/>
      <c r="AJ215" s="198"/>
      <c r="AL215" s="102"/>
      <c r="AM215" s="2"/>
      <c r="AN215" s="2"/>
      <c r="AO215" s="2"/>
      <c r="BC215" s="1"/>
      <c r="BD215" s="2"/>
      <c r="BE215" s="2"/>
      <c r="BF215" s="2"/>
      <c r="BG215" s="2"/>
      <c r="BH215" s="2"/>
      <c r="BI215" s="2"/>
      <c r="BJ215" s="2"/>
      <c r="BK215" s="2"/>
    </row>
    <row r="216" spans="1:63" s="1" customFormat="1" outlineLevel="1">
      <c r="A216" s="1" t="s">
        <v>1163</v>
      </c>
      <c r="B216" s="61"/>
      <c r="C216" s="279">
        <f>C200*C42</f>
        <v>1902.1963086043538</v>
      </c>
      <c r="D216" s="279">
        <f t="shared" ref="D216:AG216" si="135">D200*D42</f>
        <v>1420.2253280300795</v>
      </c>
      <c r="E216" s="279">
        <f t="shared" si="135"/>
        <v>1717.0766520502534</v>
      </c>
      <c r="F216" s="279">
        <f t="shared" si="135"/>
        <v>2039.8359425861954</v>
      </c>
      <c r="G216" s="279">
        <f t="shared" si="135"/>
        <v>2389.3090225227902</v>
      </c>
      <c r="H216" s="279">
        <f t="shared" si="135"/>
        <v>2766.3017147449227</v>
      </c>
      <c r="I216" s="279">
        <f t="shared" si="135"/>
        <v>3073.6167890154316</v>
      </c>
      <c r="J216" s="279">
        <f t="shared" si="135"/>
        <v>3383.2141493205704</v>
      </c>
      <c r="K216" s="279">
        <f t="shared" si="135"/>
        <v>3693.1244511420696</v>
      </c>
      <c r="L216" s="279">
        <f t="shared" si="135"/>
        <v>4001.2787502530841</v>
      </c>
      <c r="M216" s="279">
        <f t="shared" si="135"/>
        <v>4305.508502718204</v>
      </c>
      <c r="N216" s="279">
        <f t="shared" si="135"/>
        <v>4752.1722678849519</v>
      </c>
      <c r="O216" s="279">
        <f t="shared" si="135"/>
        <v>5200.0193905052101</v>
      </c>
      <c r="P216" s="279">
        <f t="shared" si="135"/>
        <v>5644.768195924833</v>
      </c>
      <c r="Q216" s="279">
        <f t="shared" si="135"/>
        <v>6081.9270839500723</v>
      </c>
      <c r="R216" s="279">
        <f t="shared" si="135"/>
        <v>6506.7945288475712</v>
      </c>
      <c r="S216" s="279">
        <f t="shared" si="135"/>
        <v>7009.7803603957782</v>
      </c>
      <c r="T216" s="279">
        <f t="shared" si="135"/>
        <v>7510.9505797452421</v>
      </c>
      <c r="U216" s="279">
        <f t="shared" si="135"/>
        <v>8006.8895715441413</v>
      </c>
      <c r="V216" s="279">
        <f t="shared" si="135"/>
        <v>8494.0336176327819</v>
      </c>
      <c r="W216" s="279">
        <f t="shared" si="135"/>
        <v>8968.670897043583</v>
      </c>
      <c r="X216" s="279">
        <f t="shared" si="135"/>
        <v>9663.7016611020899</v>
      </c>
      <c r="Y216" s="279">
        <f t="shared" si="135"/>
        <v>10342.531563782359</v>
      </c>
      <c r="Z216" s="279">
        <f t="shared" si="135"/>
        <v>10998.849796857325</v>
      </c>
      <c r="AA216" s="279">
        <f t="shared" si="135"/>
        <v>11626.097748788907</v>
      </c>
      <c r="AB216" s="279">
        <f t="shared" si="135"/>
        <v>12217.469004728035</v>
      </c>
      <c r="AC216" s="279">
        <f t="shared" si="135"/>
        <v>12638.589771915082</v>
      </c>
      <c r="AD216" s="279">
        <f t="shared" si="135"/>
        <v>12986.107784875789</v>
      </c>
      <c r="AE216" s="279">
        <f t="shared" si="135"/>
        <v>13250.637304031359</v>
      </c>
      <c r="AF216" s="279">
        <f t="shared" si="135"/>
        <v>13422.493634432371</v>
      </c>
      <c r="AG216" s="279">
        <f t="shared" si="135"/>
        <v>13491.693125758798</v>
      </c>
      <c r="AH216" s="230"/>
      <c r="AI216" s="398"/>
      <c r="AJ216" s="399"/>
      <c r="AL216" s="207"/>
      <c r="AM216" s="118"/>
      <c r="AN216" s="118"/>
      <c r="AO216" s="118"/>
      <c r="BD216" s="118"/>
      <c r="BE216" s="118"/>
      <c r="BF216" s="118"/>
      <c r="BG216" s="118"/>
      <c r="BH216" s="118"/>
      <c r="BI216" s="118"/>
      <c r="BJ216" s="118"/>
      <c r="BK216" s="118"/>
    </row>
    <row r="217" spans="1:63" outlineLevel="1">
      <c r="A217" s="4" t="s">
        <v>35</v>
      </c>
      <c r="C217" s="216">
        <f>C$216*'BTX recycling rates'!E78</f>
        <v>1902.096502530673</v>
      </c>
      <c r="D217" s="216">
        <f>D$216*'BTX recycling rates'!F78</f>
        <v>1420.1508104247769</v>
      </c>
      <c r="E217" s="216">
        <f>E$216*'BTX recycling rates'!G78</f>
        <v>1716.9865589940978</v>
      </c>
      <c r="F217" s="216">
        <f>F$216*'BTX recycling rates'!H78</f>
        <v>2039.7289147176932</v>
      </c>
      <c r="G217" s="216">
        <f>G$216*'BTX recycling rates'!I78</f>
        <v>2389.1836581998391</v>
      </c>
      <c r="H217" s="216">
        <f>H$216*'BTX recycling rates'!J78</f>
        <v>2766.1565700448114</v>
      </c>
      <c r="I217" s="216">
        <f>I$216*'BTX recycling rates'!K78</f>
        <v>3073.45551984341</v>
      </c>
      <c r="J217" s="216">
        <f>J$216*'BTX recycling rates'!L78</f>
        <v>3383.03663592769</v>
      </c>
      <c r="K217" s="216">
        <f>K$216*'BTX recycling rates'!M78</f>
        <v>3692.9306771086453</v>
      </c>
      <c r="L217" s="216">
        <f>L$216*'BTX recycling rates'!N78</f>
        <v>4001.0688077145783</v>
      </c>
      <c r="M217" s="216">
        <f>M$216*'BTX recycling rates'!O78</f>
        <v>4305.2825975911082</v>
      </c>
      <c r="N217" s="216">
        <f>N$216*'BTX recycling rates'!P78</f>
        <v>4751.9229268188556</v>
      </c>
      <c r="O217" s="216">
        <f>O$216*'BTX recycling rates'!Q78</f>
        <v>5199.7465514106943</v>
      </c>
      <c r="P217" s="216">
        <f>P$216*'BTX recycling rates'!R78</f>
        <v>5644.4720213670726</v>
      </c>
      <c r="Q217" s="216">
        <f>Q$216*'BTX recycling rates'!S78</f>
        <v>6081.6079721633887</v>
      </c>
      <c r="R217" s="216">
        <f>R$216*'BTX recycling rates'!T78</f>
        <v>6506.4531247499845</v>
      </c>
      <c r="S217" s="216">
        <f>S$216*'BTX recycling rates'!U78</f>
        <v>7009.4125652045186</v>
      </c>
      <c r="T217" s="216">
        <f>T$216*'BTX recycling rates'!V78</f>
        <v>7510.5564887234141</v>
      </c>
      <c r="U217" s="216">
        <f>U$216*'BTX recycling rates'!W78</f>
        <v>8006.4694591682965</v>
      </c>
      <c r="V217" s="216">
        <f>V$216*'BTX recycling rates'!X78</f>
        <v>8493.5879453637026</v>
      </c>
      <c r="W217" s="216">
        <f>W$216*'BTX recycling rates'!Y78</f>
        <v>8968.2003210970724</v>
      </c>
      <c r="X217" s="216">
        <f>X$216*'BTX recycling rates'!Z78</f>
        <v>9663.1946176830406</v>
      </c>
      <c r="Y217" s="216">
        <f>Y$216*'BTX recycling rates'!AA78</f>
        <v>10341.988902931515</v>
      </c>
      <c r="Z217" s="216">
        <f>Z$216*'BTX recycling rates'!AB78</f>
        <v>10998.272699736348</v>
      </c>
      <c r="AA217" s="216">
        <f>AA$216*'BTX recycling rates'!AC78</f>
        <v>11625.487740682336</v>
      </c>
      <c r="AB217" s="216">
        <f>AB$216*'BTX recycling rates'!AD78</f>
        <v>12216.827968045247</v>
      </c>
      <c r="AC217" s="216">
        <f>AC$216*'BTX recycling rates'!AE78</f>
        <v>12637.926639505302</v>
      </c>
      <c r="AD217" s="216">
        <f>AD$216*'BTX recycling rates'!AF78</f>
        <v>12985.426418591698</v>
      </c>
      <c r="AE217" s="216">
        <f>AE$216*'BTX recycling rates'!AG78</f>
        <v>13249.942058184703</v>
      </c>
      <c r="AF217" s="216">
        <f>AF$216*'BTX recycling rates'!AH78</f>
        <v>13421.789371479805</v>
      </c>
      <c r="AG217" s="216">
        <f>AG$216*'BTX recycling rates'!AI78</f>
        <v>13490.985231987741</v>
      </c>
      <c r="AH217" s="230"/>
      <c r="AI217" s="126"/>
      <c r="AJ217" s="198"/>
      <c r="AL217" s="102"/>
      <c r="AM217" s="2"/>
      <c r="AN217" s="2"/>
      <c r="AO217" s="2"/>
      <c r="BC217" s="1"/>
      <c r="BD217" s="2"/>
      <c r="BE217" s="2"/>
      <c r="BF217" s="2"/>
      <c r="BG217" s="2"/>
      <c r="BH217" s="2"/>
      <c r="BI217" s="2"/>
      <c r="BJ217" s="2"/>
      <c r="BK217" s="2"/>
    </row>
    <row r="218" spans="1:63" outlineLevel="1">
      <c r="A218" s="4" t="s">
        <v>74</v>
      </c>
      <c r="C218" s="216">
        <f>C$216*'BTX recycling rates'!E79</f>
        <v>0</v>
      </c>
      <c r="D218" s="216">
        <f>D$216*'BTX recycling rates'!F79</f>
        <v>0</v>
      </c>
      <c r="E218" s="216">
        <f>E$216*'BTX recycling rates'!G79</f>
        <v>0</v>
      </c>
      <c r="F218" s="216">
        <f>F$216*'BTX recycling rates'!H79</f>
        <v>0</v>
      </c>
      <c r="G218" s="216">
        <f>G$216*'BTX recycling rates'!I79</f>
        <v>0</v>
      </c>
      <c r="H218" s="216">
        <f>H$216*'BTX recycling rates'!J79</f>
        <v>0</v>
      </c>
      <c r="I218" s="216">
        <f>I$216*'BTX recycling rates'!K79</f>
        <v>0</v>
      </c>
      <c r="J218" s="216">
        <f>J$216*'BTX recycling rates'!L79</f>
        <v>0</v>
      </c>
      <c r="K218" s="216">
        <f>K$216*'BTX recycling rates'!M79</f>
        <v>0</v>
      </c>
      <c r="L218" s="216">
        <f>L$216*'BTX recycling rates'!N79</f>
        <v>0</v>
      </c>
      <c r="M218" s="216">
        <f>M$216*'BTX recycling rates'!O79</f>
        <v>0</v>
      </c>
      <c r="N218" s="216">
        <f>N$216*'BTX recycling rates'!P79</f>
        <v>0</v>
      </c>
      <c r="O218" s="216">
        <f>O$216*'BTX recycling rates'!Q79</f>
        <v>0</v>
      </c>
      <c r="P218" s="216">
        <f>P$216*'BTX recycling rates'!R79</f>
        <v>0</v>
      </c>
      <c r="Q218" s="216">
        <f>Q$216*'BTX recycling rates'!S79</f>
        <v>0</v>
      </c>
      <c r="R218" s="216">
        <f>R$216*'BTX recycling rates'!T79</f>
        <v>0</v>
      </c>
      <c r="S218" s="216">
        <f>S$216*'BTX recycling rates'!U79</f>
        <v>0</v>
      </c>
      <c r="T218" s="216">
        <f>T$216*'BTX recycling rates'!V79</f>
        <v>0</v>
      </c>
      <c r="U218" s="216">
        <f>U$216*'BTX recycling rates'!W79</f>
        <v>0</v>
      </c>
      <c r="V218" s="216">
        <f>V$216*'BTX recycling rates'!X79</f>
        <v>0</v>
      </c>
      <c r="W218" s="216">
        <f>W$216*'BTX recycling rates'!Y79</f>
        <v>0</v>
      </c>
      <c r="X218" s="216">
        <f>X$216*'BTX recycling rates'!Z79</f>
        <v>0</v>
      </c>
      <c r="Y218" s="216">
        <f>Y$216*'BTX recycling rates'!AA79</f>
        <v>0</v>
      </c>
      <c r="Z218" s="216">
        <f>Z$216*'BTX recycling rates'!AB79</f>
        <v>0</v>
      </c>
      <c r="AA218" s="216">
        <f>AA$216*'BTX recycling rates'!AC79</f>
        <v>0</v>
      </c>
      <c r="AB218" s="216">
        <f>AB$216*'BTX recycling rates'!AD79</f>
        <v>0</v>
      </c>
      <c r="AC218" s="216">
        <f>AC$216*'BTX recycling rates'!AE79</f>
        <v>0</v>
      </c>
      <c r="AD218" s="216">
        <f>AD$216*'BTX recycling rates'!AF79</f>
        <v>0</v>
      </c>
      <c r="AE218" s="216">
        <f>AE$216*'BTX recycling rates'!AG79</f>
        <v>0</v>
      </c>
      <c r="AF218" s="216">
        <f>AF$216*'BTX recycling rates'!AH79</f>
        <v>0</v>
      </c>
      <c r="AG218" s="216">
        <f>AG$216*'BTX recycling rates'!AI79</f>
        <v>0</v>
      </c>
      <c r="AH218" s="230"/>
      <c r="AI218" s="126"/>
      <c r="AJ218" s="198"/>
      <c r="AL218" s="102"/>
      <c r="AM218" s="2"/>
      <c r="AN218" s="2"/>
      <c r="AO218" s="2"/>
      <c r="BC218" s="1"/>
      <c r="BD218" s="2"/>
      <c r="BE218" s="2"/>
      <c r="BF218" s="2"/>
      <c r="BG218" s="2"/>
      <c r="BH218" s="2"/>
      <c r="BI218" s="2"/>
      <c r="BJ218" s="2"/>
      <c r="BK218" s="2"/>
    </row>
    <row r="219" spans="1:63" outlineLevel="1">
      <c r="A219" s="4" t="s">
        <v>160</v>
      </c>
      <c r="C219" s="216">
        <f>C$216*'BTX recycling rates'!E80</f>
        <v>0</v>
      </c>
      <c r="D219" s="216">
        <f>D$216*'BTX recycling rates'!F80</f>
        <v>0</v>
      </c>
      <c r="E219" s="216">
        <f>E$216*'BTX recycling rates'!G80</f>
        <v>0</v>
      </c>
      <c r="F219" s="216">
        <f>F$216*'BTX recycling rates'!H80</f>
        <v>0</v>
      </c>
      <c r="G219" s="216">
        <f>G$216*'BTX recycling rates'!I80</f>
        <v>0</v>
      </c>
      <c r="H219" s="216">
        <f>H$216*'BTX recycling rates'!J80</f>
        <v>0</v>
      </c>
      <c r="I219" s="216">
        <f>I$216*'BTX recycling rates'!K80</f>
        <v>0</v>
      </c>
      <c r="J219" s="216">
        <f>J$216*'BTX recycling rates'!L80</f>
        <v>0</v>
      </c>
      <c r="K219" s="216">
        <f>K$216*'BTX recycling rates'!M80</f>
        <v>0</v>
      </c>
      <c r="L219" s="216">
        <f>L$216*'BTX recycling rates'!N80</f>
        <v>0</v>
      </c>
      <c r="M219" s="216">
        <f>M$216*'BTX recycling rates'!O80</f>
        <v>0</v>
      </c>
      <c r="N219" s="216">
        <f>N$216*'BTX recycling rates'!P80</f>
        <v>0</v>
      </c>
      <c r="O219" s="216">
        <f>O$216*'BTX recycling rates'!Q80</f>
        <v>0</v>
      </c>
      <c r="P219" s="216">
        <f>P$216*'BTX recycling rates'!R80</f>
        <v>0</v>
      </c>
      <c r="Q219" s="216">
        <f>Q$216*'BTX recycling rates'!S80</f>
        <v>0</v>
      </c>
      <c r="R219" s="216">
        <f>R$216*'BTX recycling rates'!T80</f>
        <v>0</v>
      </c>
      <c r="S219" s="216">
        <f>S$216*'BTX recycling rates'!U80</f>
        <v>0</v>
      </c>
      <c r="T219" s="216">
        <f>T$216*'BTX recycling rates'!V80</f>
        <v>0</v>
      </c>
      <c r="U219" s="216">
        <f>U$216*'BTX recycling rates'!W80</f>
        <v>0</v>
      </c>
      <c r="V219" s="216">
        <f>V$216*'BTX recycling rates'!X80</f>
        <v>0</v>
      </c>
      <c r="W219" s="216">
        <f>W$216*'BTX recycling rates'!Y80</f>
        <v>0</v>
      </c>
      <c r="X219" s="216">
        <f>X$216*'BTX recycling rates'!Z80</f>
        <v>0</v>
      </c>
      <c r="Y219" s="216">
        <f>Y$216*'BTX recycling rates'!AA80</f>
        <v>0</v>
      </c>
      <c r="Z219" s="216">
        <f>Z$216*'BTX recycling rates'!AB80</f>
        <v>0</v>
      </c>
      <c r="AA219" s="216">
        <f>AA$216*'BTX recycling rates'!AC80</f>
        <v>0</v>
      </c>
      <c r="AB219" s="216">
        <f>AB$216*'BTX recycling rates'!AD80</f>
        <v>0</v>
      </c>
      <c r="AC219" s="216">
        <f>AC$216*'BTX recycling rates'!AE80</f>
        <v>0</v>
      </c>
      <c r="AD219" s="216">
        <f>AD$216*'BTX recycling rates'!AF80</f>
        <v>0</v>
      </c>
      <c r="AE219" s="216">
        <f>AE$216*'BTX recycling rates'!AG80</f>
        <v>0</v>
      </c>
      <c r="AF219" s="216">
        <f>AF$216*'BTX recycling rates'!AH80</f>
        <v>0</v>
      </c>
      <c r="AG219" s="216">
        <f>AG$216*'BTX recycling rates'!AI80</f>
        <v>0</v>
      </c>
      <c r="AH219" s="230"/>
      <c r="AI219" s="126"/>
      <c r="AJ219" s="198"/>
      <c r="AL219" s="102"/>
      <c r="AM219" s="2"/>
      <c r="AN219" s="2"/>
      <c r="AO219" s="2"/>
      <c r="BC219" s="1"/>
      <c r="BD219" s="2"/>
      <c r="BE219" s="2"/>
      <c r="BF219" s="2"/>
      <c r="BG219" s="2"/>
      <c r="BH219" s="2"/>
      <c r="BI219" s="2"/>
      <c r="BJ219" s="2"/>
      <c r="BK219" s="2"/>
    </row>
    <row r="220" spans="1:63" outlineLevel="1">
      <c r="A220" s="4" t="s">
        <v>1159</v>
      </c>
      <c r="C220" s="216">
        <f>C$216*'BTX recycling rates'!E81</f>
        <v>9.9806073680858851E-2</v>
      </c>
      <c r="D220" s="216">
        <f>D$216*'BTX recycling rates'!F81</f>
        <v>7.451760530267891E-2</v>
      </c>
      <c r="E220" s="216">
        <f>E$216*'BTX recycling rates'!G81</f>
        <v>9.0093056155675158E-2</v>
      </c>
      <c r="F220" s="216">
        <f>F$216*'BTX recycling rates'!H81</f>
        <v>0.10702786850217107</v>
      </c>
      <c r="G220" s="216">
        <f>G$216*'BTX recycling rates'!I81</f>
        <v>0.12536432295109157</v>
      </c>
      <c r="H220" s="216">
        <f>H$216*'BTX recycling rates'!J81</f>
        <v>0.1451447001113616</v>
      </c>
      <c r="I220" s="216">
        <f>I$216*'BTX recycling rates'!K81</f>
        <v>0.16126917202161625</v>
      </c>
      <c r="J220" s="216">
        <f>J$216*'BTX recycling rates'!L81</f>
        <v>0.17751339288054815</v>
      </c>
      <c r="K220" s="216">
        <f>K$216*'BTX recycling rates'!M81</f>
        <v>0.19377403342439814</v>
      </c>
      <c r="L220" s="216">
        <f>L$216*'BTX recycling rates'!N81</f>
        <v>0.20994253850614381</v>
      </c>
      <c r="M220" s="216">
        <f>M$216*'BTX recycling rates'!O81</f>
        <v>0.22590512709549992</v>
      </c>
      <c r="N220" s="216">
        <f>N$216*'BTX recycling rates'!P81</f>
        <v>0.24934106609672246</v>
      </c>
      <c r="O220" s="216">
        <f>O$216*'BTX recycling rates'!Q81</f>
        <v>0.27283909451566785</v>
      </c>
      <c r="P220" s="216">
        <f>P$216*'BTX recycling rates'!R81</f>
        <v>0.29617455776012808</v>
      </c>
      <c r="Q220" s="216">
        <f>Q$216*'BTX recycling rates'!S81</f>
        <v>0.31911178668394069</v>
      </c>
      <c r="R220" s="216">
        <f>R$216*'BTX recycling rates'!T81</f>
        <v>0.34140409758698842</v>
      </c>
      <c r="S220" s="216">
        <f>S$216*'BTX recycling rates'!U81</f>
        <v>0.36779519125952376</v>
      </c>
      <c r="T220" s="216">
        <f>T$216*'BTX recycling rates'!V81</f>
        <v>0.39409102182800199</v>
      </c>
      <c r="U220" s="216">
        <f>U$216*'BTX recycling rates'!W81</f>
        <v>0.42011237584535277</v>
      </c>
      <c r="V220" s="216">
        <f>V$216*'BTX recycling rates'!X81</f>
        <v>0.44567226907886826</v>
      </c>
      <c r="W220" s="216">
        <f>W$216*'BTX recycling rates'!Y81</f>
        <v>0.47057594651020213</v>
      </c>
      <c r="X220" s="216">
        <f>X$216*'BTX recycling rates'!Z81</f>
        <v>0.50704341904934436</v>
      </c>
      <c r="Y220" s="216">
        <f>Y$216*'BTX recycling rates'!AA81</f>
        <v>0.54266085084500715</v>
      </c>
      <c r="Z220" s="216">
        <f>Z$216*'BTX recycling rates'!AB81</f>
        <v>0.57709712097762667</v>
      </c>
      <c r="AA220" s="216">
        <f>AA$216*'BTX recycling rates'!AC81</f>
        <v>0.61000810657016169</v>
      </c>
      <c r="AB220" s="216">
        <f>AB$216*'BTX recycling rates'!AD81</f>
        <v>0.64103668278809556</v>
      </c>
      <c r="AC220" s="216">
        <f>AC$216*'BTX recycling rates'!AE81</f>
        <v>0.66313240977920096</v>
      </c>
      <c r="AD220" s="216">
        <f>AD$216*'BTX recycling rates'!AF81</f>
        <v>0.68136628409074873</v>
      </c>
      <c r="AE220" s="216">
        <f>AE$216*'BTX recycling rates'!AG81</f>
        <v>0.69524584665754507</v>
      </c>
      <c r="AF220" s="216">
        <f>AF$216*'BTX recycling rates'!AH81</f>
        <v>0.70426295256661398</v>
      </c>
      <c r="AG220" s="216">
        <f>AG$216*'BTX recycling rates'!AI81</f>
        <v>0.70789377105719919</v>
      </c>
      <c r="AH220" s="230"/>
      <c r="AI220" s="126"/>
      <c r="AJ220" s="198"/>
      <c r="AL220" s="102"/>
      <c r="AM220" s="2"/>
      <c r="AN220" s="2"/>
      <c r="AO220" s="2"/>
      <c r="BC220" s="1"/>
      <c r="BD220" s="2"/>
      <c r="BE220" s="2"/>
      <c r="BF220" s="2"/>
      <c r="BG220" s="2"/>
      <c r="BH220" s="2"/>
      <c r="BI220" s="2"/>
      <c r="BJ220" s="2"/>
      <c r="BK220" s="2"/>
    </row>
    <row r="221" spans="1:63" s="1" customFormat="1" outlineLevel="1">
      <c r="A221" s="1" t="s">
        <v>1166</v>
      </c>
      <c r="B221" s="61"/>
      <c r="C221" s="279">
        <f t="shared" ref="C221:AG221" si="136">C216-$C216</f>
        <v>0</v>
      </c>
      <c r="D221" s="279">
        <f t="shared" si="136"/>
        <v>-481.97098057427434</v>
      </c>
      <c r="E221" s="279">
        <f t="shared" si="136"/>
        <v>-185.1196565541004</v>
      </c>
      <c r="F221" s="279">
        <f t="shared" si="136"/>
        <v>137.6396339818416</v>
      </c>
      <c r="G221" s="279">
        <f t="shared" si="136"/>
        <v>487.11271391843638</v>
      </c>
      <c r="H221" s="279">
        <f t="shared" si="136"/>
        <v>864.1054061405689</v>
      </c>
      <c r="I221" s="279">
        <f t="shared" si="136"/>
        <v>1171.4204804110777</v>
      </c>
      <c r="J221" s="279">
        <f t="shared" si="136"/>
        <v>1481.0178407162166</v>
      </c>
      <c r="K221" s="279">
        <f t="shared" si="136"/>
        <v>1790.9281425377158</v>
      </c>
      <c r="L221" s="279">
        <f t="shared" si="136"/>
        <v>2099.0824416487303</v>
      </c>
      <c r="M221" s="279">
        <f t="shared" si="136"/>
        <v>2403.3121941138502</v>
      </c>
      <c r="N221" s="279">
        <f t="shared" si="136"/>
        <v>2849.9759592805981</v>
      </c>
      <c r="O221" s="279">
        <f t="shared" si="136"/>
        <v>3297.8230819008563</v>
      </c>
      <c r="P221" s="279">
        <f t="shared" si="136"/>
        <v>3742.5718873204792</v>
      </c>
      <c r="Q221" s="279">
        <f t="shared" si="136"/>
        <v>4179.7307753457189</v>
      </c>
      <c r="R221" s="279">
        <f t="shared" si="136"/>
        <v>4604.5982202432169</v>
      </c>
      <c r="S221" s="279">
        <f t="shared" si="136"/>
        <v>5107.5840517914239</v>
      </c>
      <c r="T221" s="279">
        <f t="shared" si="136"/>
        <v>5608.7542711408878</v>
      </c>
      <c r="U221" s="279">
        <f t="shared" si="136"/>
        <v>6104.693262939787</v>
      </c>
      <c r="V221" s="279">
        <f t="shared" si="136"/>
        <v>6591.8373090284276</v>
      </c>
      <c r="W221" s="279">
        <f t="shared" si="136"/>
        <v>7066.4745884392287</v>
      </c>
      <c r="X221" s="279">
        <f t="shared" si="136"/>
        <v>7761.5053524977357</v>
      </c>
      <c r="Y221" s="279">
        <f t="shared" si="136"/>
        <v>8440.3352551780044</v>
      </c>
      <c r="Z221" s="279">
        <f t="shared" si="136"/>
        <v>9096.6534882529704</v>
      </c>
      <c r="AA221" s="279">
        <f t="shared" si="136"/>
        <v>9723.9014401845525</v>
      </c>
      <c r="AB221" s="279">
        <f t="shared" si="136"/>
        <v>10315.27269612368</v>
      </c>
      <c r="AC221" s="279">
        <f t="shared" si="136"/>
        <v>10736.393463310727</v>
      </c>
      <c r="AD221" s="279">
        <f t="shared" si="136"/>
        <v>11083.911476271434</v>
      </c>
      <c r="AE221" s="279">
        <f t="shared" si="136"/>
        <v>11348.440995427005</v>
      </c>
      <c r="AF221" s="279">
        <f t="shared" si="136"/>
        <v>11520.297325828016</v>
      </c>
      <c r="AG221" s="279">
        <f t="shared" si="136"/>
        <v>11589.496817154444</v>
      </c>
      <c r="AH221" s="230"/>
      <c r="AI221" s="398"/>
      <c r="AJ221" s="399"/>
      <c r="AL221" s="207"/>
      <c r="AM221" s="118"/>
      <c r="AN221" s="118"/>
      <c r="AO221" s="118"/>
      <c r="BD221" s="118"/>
      <c r="BE221" s="118"/>
      <c r="BF221" s="118"/>
      <c r="BG221" s="118"/>
      <c r="BH221" s="118"/>
      <c r="BI221" s="118"/>
      <c r="BJ221" s="118"/>
      <c r="BK221" s="118"/>
    </row>
    <row r="222" spans="1:63" outlineLevel="1">
      <c r="A222" s="4" t="s">
        <v>35</v>
      </c>
      <c r="C222" s="216">
        <f t="shared" ref="C222:AG222" si="137">C217-$C217</f>
        <v>0</v>
      </c>
      <c r="D222" s="216">
        <f t="shared" si="137"/>
        <v>-481.94569210589611</v>
      </c>
      <c r="E222" s="216">
        <f t="shared" si="137"/>
        <v>-185.1099435365752</v>
      </c>
      <c r="F222" s="216">
        <f t="shared" si="137"/>
        <v>137.63241218702024</v>
      </c>
      <c r="G222" s="216">
        <f t="shared" si="137"/>
        <v>487.08715566916612</v>
      </c>
      <c r="H222" s="216">
        <f t="shared" si="137"/>
        <v>864.06006751413838</v>
      </c>
      <c r="I222" s="216">
        <f t="shared" si="137"/>
        <v>1171.359017312737</v>
      </c>
      <c r="J222" s="216">
        <f t="shared" si="137"/>
        <v>1480.940133397017</v>
      </c>
      <c r="K222" s="216">
        <f t="shared" si="137"/>
        <v>1790.8341745779724</v>
      </c>
      <c r="L222" s="216">
        <f t="shared" si="137"/>
        <v>2098.9723051839055</v>
      </c>
      <c r="M222" s="216">
        <f t="shared" si="137"/>
        <v>2403.186095060435</v>
      </c>
      <c r="N222" s="216">
        <f t="shared" si="137"/>
        <v>2849.8264242881824</v>
      </c>
      <c r="O222" s="216">
        <f t="shared" si="137"/>
        <v>3297.6500488800211</v>
      </c>
      <c r="P222" s="216">
        <f t="shared" si="137"/>
        <v>3742.3755188363994</v>
      </c>
      <c r="Q222" s="216">
        <f t="shared" si="137"/>
        <v>4179.5114696327155</v>
      </c>
      <c r="R222" s="216">
        <f t="shared" si="137"/>
        <v>4604.3566222193112</v>
      </c>
      <c r="S222" s="216">
        <f t="shared" si="137"/>
        <v>5107.3160626738454</v>
      </c>
      <c r="T222" s="216">
        <f t="shared" si="137"/>
        <v>5608.4599861927409</v>
      </c>
      <c r="U222" s="216">
        <f t="shared" si="137"/>
        <v>6104.3729566376232</v>
      </c>
      <c r="V222" s="216">
        <f t="shared" si="137"/>
        <v>6591.4914428330294</v>
      </c>
      <c r="W222" s="216">
        <f t="shared" si="137"/>
        <v>7066.1038185663992</v>
      </c>
      <c r="X222" s="216">
        <f t="shared" si="137"/>
        <v>7761.0981151523674</v>
      </c>
      <c r="Y222" s="216">
        <f t="shared" si="137"/>
        <v>8439.8924004008422</v>
      </c>
      <c r="Z222" s="216">
        <f t="shared" si="137"/>
        <v>9096.1761972056756</v>
      </c>
      <c r="AA222" s="216">
        <f t="shared" si="137"/>
        <v>9723.3912381516639</v>
      </c>
      <c r="AB222" s="216">
        <f t="shared" si="137"/>
        <v>10314.731465514575</v>
      </c>
      <c r="AC222" s="216">
        <f t="shared" si="137"/>
        <v>10735.83013697463</v>
      </c>
      <c r="AD222" s="216">
        <f t="shared" si="137"/>
        <v>11083.329916061026</v>
      </c>
      <c r="AE222" s="216">
        <f t="shared" si="137"/>
        <v>11347.84555565403</v>
      </c>
      <c r="AF222" s="216">
        <f t="shared" si="137"/>
        <v>11519.692868949132</v>
      </c>
      <c r="AG222" s="216">
        <f t="shared" si="137"/>
        <v>11588.888729457069</v>
      </c>
      <c r="AH222" s="230"/>
      <c r="AI222" s="126"/>
      <c r="AJ222" s="198"/>
      <c r="AL222" s="102"/>
      <c r="AM222" s="2"/>
      <c r="AN222" s="2"/>
      <c r="AO222" s="2"/>
      <c r="BC222" s="1"/>
      <c r="BD222" s="2"/>
      <c r="BE222" s="2"/>
      <c r="BF222" s="2"/>
      <c r="BG222" s="2"/>
      <c r="BH222" s="2"/>
      <c r="BI222" s="2"/>
      <c r="BJ222" s="2"/>
      <c r="BK222" s="2"/>
    </row>
    <row r="223" spans="1:63" outlineLevel="1">
      <c r="A223" s="4" t="s">
        <v>74</v>
      </c>
      <c r="C223" s="216">
        <f t="shared" ref="C223:AG223" si="138">C218-$C218</f>
        <v>0</v>
      </c>
      <c r="D223" s="216">
        <f t="shared" si="138"/>
        <v>0</v>
      </c>
      <c r="E223" s="216">
        <f t="shared" si="138"/>
        <v>0</v>
      </c>
      <c r="F223" s="216">
        <f t="shared" si="138"/>
        <v>0</v>
      </c>
      <c r="G223" s="216">
        <f t="shared" si="138"/>
        <v>0</v>
      </c>
      <c r="H223" s="216">
        <f t="shared" si="138"/>
        <v>0</v>
      </c>
      <c r="I223" s="216">
        <f t="shared" si="138"/>
        <v>0</v>
      </c>
      <c r="J223" s="216">
        <f t="shared" si="138"/>
        <v>0</v>
      </c>
      <c r="K223" s="216">
        <f t="shared" si="138"/>
        <v>0</v>
      </c>
      <c r="L223" s="216">
        <f t="shared" si="138"/>
        <v>0</v>
      </c>
      <c r="M223" s="216">
        <f t="shared" si="138"/>
        <v>0</v>
      </c>
      <c r="N223" s="216">
        <f t="shared" si="138"/>
        <v>0</v>
      </c>
      <c r="O223" s="216">
        <f t="shared" si="138"/>
        <v>0</v>
      </c>
      <c r="P223" s="216">
        <f t="shared" si="138"/>
        <v>0</v>
      </c>
      <c r="Q223" s="216">
        <f t="shared" si="138"/>
        <v>0</v>
      </c>
      <c r="R223" s="216">
        <f t="shared" si="138"/>
        <v>0</v>
      </c>
      <c r="S223" s="216">
        <f t="shared" si="138"/>
        <v>0</v>
      </c>
      <c r="T223" s="216">
        <f t="shared" si="138"/>
        <v>0</v>
      </c>
      <c r="U223" s="216">
        <f t="shared" si="138"/>
        <v>0</v>
      </c>
      <c r="V223" s="216">
        <f t="shared" si="138"/>
        <v>0</v>
      </c>
      <c r="W223" s="216">
        <f t="shared" si="138"/>
        <v>0</v>
      </c>
      <c r="X223" s="216">
        <f t="shared" si="138"/>
        <v>0</v>
      </c>
      <c r="Y223" s="216">
        <f t="shared" si="138"/>
        <v>0</v>
      </c>
      <c r="Z223" s="216">
        <f t="shared" si="138"/>
        <v>0</v>
      </c>
      <c r="AA223" s="216">
        <f t="shared" si="138"/>
        <v>0</v>
      </c>
      <c r="AB223" s="216">
        <f t="shared" si="138"/>
        <v>0</v>
      </c>
      <c r="AC223" s="216">
        <f t="shared" si="138"/>
        <v>0</v>
      </c>
      <c r="AD223" s="216">
        <f t="shared" si="138"/>
        <v>0</v>
      </c>
      <c r="AE223" s="216">
        <f t="shared" si="138"/>
        <v>0</v>
      </c>
      <c r="AF223" s="216">
        <f t="shared" si="138"/>
        <v>0</v>
      </c>
      <c r="AG223" s="216">
        <f t="shared" si="138"/>
        <v>0</v>
      </c>
      <c r="AH223" s="230"/>
      <c r="AI223" s="126"/>
      <c r="AJ223" s="198"/>
      <c r="AL223" s="102"/>
      <c r="AM223" s="2"/>
      <c r="AN223" s="2"/>
      <c r="AO223" s="2"/>
      <c r="BC223" s="1"/>
      <c r="BD223" s="2"/>
      <c r="BE223" s="2"/>
      <c r="BF223" s="2"/>
      <c r="BG223" s="2"/>
      <c r="BH223" s="2"/>
      <c r="BI223" s="2"/>
      <c r="BJ223" s="2"/>
      <c r="BK223" s="2"/>
    </row>
    <row r="224" spans="1:63" outlineLevel="1">
      <c r="A224" s="4" t="s">
        <v>160</v>
      </c>
      <c r="C224" s="216">
        <f t="shared" ref="C224:AG224" si="139">C219-$C219</f>
        <v>0</v>
      </c>
      <c r="D224" s="216">
        <f t="shared" si="139"/>
        <v>0</v>
      </c>
      <c r="E224" s="216">
        <f t="shared" si="139"/>
        <v>0</v>
      </c>
      <c r="F224" s="216">
        <f t="shared" si="139"/>
        <v>0</v>
      </c>
      <c r="G224" s="216">
        <f t="shared" si="139"/>
        <v>0</v>
      </c>
      <c r="H224" s="216">
        <f t="shared" si="139"/>
        <v>0</v>
      </c>
      <c r="I224" s="216">
        <f t="shared" si="139"/>
        <v>0</v>
      </c>
      <c r="J224" s="216">
        <f t="shared" si="139"/>
        <v>0</v>
      </c>
      <c r="K224" s="216">
        <f t="shared" si="139"/>
        <v>0</v>
      </c>
      <c r="L224" s="216">
        <f t="shared" si="139"/>
        <v>0</v>
      </c>
      <c r="M224" s="216">
        <f t="shared" si="139"/>
        <v>0</v>
      </c>
      <c r="N224" s="216">
        <f t="shared" si="139"/>
        <v>0</v>
      </c>
      <c r="O224" s="216">
        <f t="shared" si="139"/>
        <v>0</v>
      </c>
      <c r="P224" s="216">
        <f t="shared" si="139"/>
        <v>0</v>
      </c>
      <c r="Q224" s="216">
        <f t="shared" si="139"/>
        <v>0</v>
      </c>
      <c r="R224" s="216">
        <f t="shared" si="139"/>
        <v>0</v>
      </c>
      <c r="S224" s="216">
        <f t="shared" si="139"/>
        <v>0</v>
      </c>
      <c r="T224" s="216">
        <f t="shared" si="139"/>
        <v>0</v>
      </c>
      <c r="U224" s="216">
        <f t="shared" si="139"/>
        <v>0</v>
      </c>
      <c r="V224" s="216">
        <f t="shared" si="139"/>
        <v>0</v>
      </c>
      <c r="W224" s="216">
        <f t="shared" si="139"/>
        <v>0</v>
      </c>
      <c r="X224" s="216">
        <f t="shared" si="139"/>
        <v>0</v>
      </c>
      <c r="Y224" s="216">
        <f t="shared" si="139"/>
        <v>0</v>
      </c>
      <c r="Z224" s="216">
        <f t="shared" si="139"/>
        <v>0</v>
      </c>
      <c r="AA224" s="216">
        <f t="shared" si="139"/>
        <v>0</v>
      </c>
      <c r="AB224" s="216">
        <f t="shared" si="139"/>
        <v>0</v>
      </c>
      <c r="AC224" s="216">
        <f t="shared" si="139"/>
        <v>0</v>
      </c>
      <c r="AD224" s="216">
        <f t="shared" si="139"/>
        <v>0</v>
      </c>
      <c r="AE224" s="216">
        <f t="shared" si="139"/>
        <v>0</v>
      </c>
      <c r="AF224" s="216">
        <f t="shared" si="139"/>
        <v>0</v>
      </c>
      <c r="AG224" s="216">
        <f t="shared" si="139"/>
        <v>0</v>
      </c>
      <c r="AH224" s="230"/>
      <c r="AI224" s="126"/>
      <c r="AJ224" s="198"/>
      <c r="AL224" s="102"/>
      <c r="AM224" s="2"/>
      <c r="AN224" s="2"/>
      <c r="AO224" s="2"/>
      <c r="BC224" s="1"/>
      <c r="BD224" s="2"/>
      <c r="BE224" s="2"/>
      <c r="BF224" s="2"/>
      <c r="BG224" s="2"/>
      <c r="BH224" s="2"/>
      <c r="BI224" s="2"/>
      <c r="BJ224" s="2"/>
      <c r="BK224" s="2"/>
    </row>
    <row r="225" spans="1:63" outlineLevel="1">
      <c r="A225" s="4" t="s">
        <v>1159</v>
      </c>
      <c r="C225" s="216">
        <f t="shared" ref="C225:AG225" si="140">C220-$C220</f>
        <v>0</v>
      </c>
      <c r="D225" s="216">
        <f t="shared" si="140"/>
        <v>-2.528846837817994E-2</v>
      </c>
      <c r="E225" s="216">
        <f t="shared" si="140"/>
        <v>-9.7130175251836925E-3</v>
      </c>
      <c r="F225" s="216">
        <f t="shared" si="140"/>
        <v>7.2217948213122163E-3</v>
      </c>
      <c r="G225" s="216">
        <f t="shared" si="140"/>
        <v>2.5558249270232716E-2</v>
      </c>
      <c r="H225" s="216">
        <f t="shared" si="140"/>
        <v>4.5338626430502751E-2</v>
      </c>
      <c r="I225" s="216">
        <f t="shared" si="140"/>
        <v>6.1463098340757402E-2</v>
      </c>
      <c r="J225" s="216">
        <f t="shared" si="140"/>
        <v>7.7707319199689304E-2</v>
      </c>
      <c r="K225" s="216">
        <f t="shared" si="140"/>
        <v>9.3967959743539289E-2</v>
      </c>
      <c r="L225" s="216">
        <f t="shared" si="140"/>
        <v>0.11013646482528495</v>
      </c>
      <c r="M225" s="216">
        <f t="shared" si="140"/>
        <v>0.12609905341464106</v>
      </c>
      <c r="N225" s="216">
        <f t="shared" si="140"/>
        <v>0.1495349924158636</v>
      </c>
      <c r="O225" s="216">
        <f t="shared" si="140"/>
        <v>0.17303302083480898</v>
      </c>
      <c r="P225" s="216">
        <f t="shared" si="140"/>
        <v>0.19636848407926921</v>
      </c>
      <c r="Q225" s="216">
        <f t="shared" si="140"/>
        <v>0.21930571300308183</v>
      </c>
      <c r="R225" s="216">
        <f t="shared" si="140"/>
        <v>0.24159802390612956</v>
      </c>
      <c r="S225" s="216">
        <f t="shared" si="140"/>
        <v>0.26798911757866489</v>
      </c>
      <c r="T225" s="216">
        <f t="shared" si="140"/>
        <v>0.29428494814714312</v>
      </c>
      <c r="U225" s="216">
        <f t="shared" si="140"/>
        <v>0.32030630216449391</v>
      </c>
      <c r="V225" s="216">
        <f t="shared" si="140"/>
        <v>0.34586619539800939</v>
      </c>
      <c r="W225" s="216">
        <f t="shared" si="140"/>
        <v>0.37076987282934326</v>
      </c>
      <c r="X225" s="216">
        <f t="shared" si="140"/>
        <v>0.40723734536848549</v>
      </c>
      <c r="Y225" s="216">
        <f t="shared" si="140"/>
        <v>0.44285477716414828</v>
      </c>
      <c r="Z225" s="216">
        <f t="shared" si="140"/>
        <v>0.4772910472967678</v>
      </c>
      <c r="AA225" s="216">
        <f t="shared" si="140"/>
        <v>0.51020203288930288</v>
      </c>
      <c r="AB225" s="216">
        <f t="shared" si="140"/>
        <v>0.54123060910723675</v>
      </c>
      <c r="AC225" s="216">
        <f t="shared" si="140"/>
        <v>0.56332633609834215</v>
      </c>
      <c r="AD225" s="216">
        <f t="shared" si="140"/>
        <v>0.58156021040988992</v>
      </c>
      <c r="AE225" s="216">
        <f t="shared" si="140"/>
        <v>0.59543977297668627</v>
      </c>
      <c r="AF225" s="216">
        <f t="shared" si="140"/>
        <v>0.60445687888575517</v>
      </c>
      <c r="AG225" s="216">
        <f t="shared" si="140"/>
        <v>0.60808769737634039</v>
      </c>
      <c r="AH225" s="230"/>
      <c r="AI225" s="126"/>
      <c r="AJ225" s="198"/>
      <c r="AL225" s="102"/>
      <c r="AM225" s="2"/>
      <c r="AN225" s="2"/>
      <c r="AO225" s="2"/>
      <c r="BC225" s="1"/>
      <c r="BD225" s="2"/>
      <c r="BE225" s="2"/>
      <c r="BF225" s="2"/>
      <c r="BG225" s="2"/>
      <c r="BH225" s="2"/>
      <c r="BI225" s="2"/>
      <c r="BJ225" s="2"/>
      <c r="BK225" s="2"/>
    </row>
    <row r="226" spans="1:63" s="1" customFormat="1" outlineLevel="1">
      <c r="A226" s="1" t="s">
        <v>1400</v>
      </c>
      <c r="B226" s="61"/>
      <c r="C226" s="279">
        <f>C200*C42</f>
        <v>1902.1963086043538</v>
      </c>
      <c r="D226" s="279">
        <f t="shared" ref="D226:AG226" si="141">D200*D42</f>
        <v>1420.2253280300795</v>
      </c>
      <c r="E226" s="279">
        <f t="shared" si="141"/>
        <v>1717.0766520502534</v>
      </c>
      <c r="F226" s="279">
        <f t="shared" si="141"/>
        <v>2039.8359425861954</v>
      </c>
      <c r="G226" s="279">
        <f t="shared" si="141"/>
        <v>2389.3090225227902</v>
      </c>
      <c r="H226" s="279">
        <f t="shared" si="141"/>
        <v>2766.3017147449227</v>
      </c>
      <c r="I226" s="279">
        <f t="shared" si="141"/>
        <v>3073.6167890154316</v>
      </c>
      <c r="J226" s="279">
        <f t="shared" si="141"/>
        <v>3383.2141493205704</v>
      </c>
      <c r="K226" s="279">
        <f t="shared" si="141"/>
        <v>3693.1244511420696</v>
      </c>
      <c r="L226" s="279">
        <f t="shared" si="141"/>
        <v>4001.2787502530841</v>
      </c>
      <c r="M226" s="279">
        <f t="shared" si="141"/>
        <v>4305.508502718204</v>
      </c>
      <c r="N226" s="279">
        <f t="shared" si="141"/>
        <v>4752.1722678849519</v>
      </c>
      <c r="O226" s="279">
        <f t="shared" si="141"/>
        <v>5200.0193905052101</v>
      </c>
      <c r="P226" s="279">
        <f t="shared" si="141"/>
        <v>5644.768195924833</v>
      </c>
      <c r="Q226" s="279">
        <f t="shared" si="141"/>
        <v>6081.9270839500723</v>
      </c>
      <c r="R226" s="279">
        <f t="shared" si="141"/>
        <v>6506.7945288475712</v>
      </c>
      <c r="S226" s="279">
        <f t="shared" si="141"/>
        <v>7009.7803603957782</v>
      </c>
      <c r="T226" s="279">
        <f t="shared" si="141"/>
        <v>7510.9505797452421</v>
      </c>
      <c r="U226" s="279">
        <f t="shared" si="141"/>
        <v>8006.8895715441413</v>
      </c>
      <c r="V226" s="279">
        <f t="shared" si="141"/>
        <v>8494.0336176327819</v>
      </c>
      <c r="W226" s="279">
        <f t="shared" si="141"/>
        <v>8968.670897043583</v>
      </c>
      <c r="X226" s="279">
        <f t="shared" si="141"/>
        <v>9663.7016611020899</v>
      </c>
      <c r="Y226" s="279">
        <f t="shared" si="141"/>
        <v>10342.531563782359</v>
      </c>
      <c r="Z226" s="279">
        <f t="shared" si="141"/>
        <v>10998.849796857325</v>
      </c>
      <c r="AA226" s="279">
        <f t="shared" si="141"/>
        <v>11626.097748788907</v>
      </c>
      <c r="AB226" s="279">
        <f t="shared" si="141"/>
        <v>12217.469004728035</v>
      </c>
      <c r="AC226" s="279">
        <f t="shared" si="141"/>
        <v>12638.589771915082</v>
      </c>
      <c r="AD226" s="279">
        <f t="shared" si="141"/>
        <v>12986.107784875789</v>
      </c>
      <c r="AE226" s="279">
        <f t="shared" si="141"/>
        <v>13250.637304031359</v>
      </c>
      <c r="AF226" s="279">
        <f t="shared" si="141"/>
        <v>13422.493634432371</v>
      </c>
      <c r="AG226" s="279">
        <f t="shared" si="141"/>
        <v>13491.693125758798</v>
      </c>
      <c r="AH226" s="230"/>
      <c r="AI226" s="398"/>
      <c r="AJ226" s="399"/>
      <c r="AL226" s="207"/>
      <c r="AM226" s="118"/>
      <c r="AN226" s="118"/>
      <c r="AO226" s="118"/>
      <c r="BD226" s="118"/>
      <c r="BE226" s="118"/>
      <c r="BF226" s="118"/>
      <c r="BG226" s="118"/>
      <c r="BH226" s="118"/>
      <c r="BI226" s="118"/>
      <c r="BJ226" s="118"/>
      <c r="BK226" s="118"/>
    </row>
    <row r="227" spans="1:63" outlineLevel="1">
      <c r="A227" s="4" t="s">
        <v>35</v>
      </c>
      <c r="C227" s="216">
        <f>C$226*'BTX recycling rates'!E82</f>
        <v>1902.096502530673</v>
      </c>
      <c r="D227" s="216">
        <f>D$226*'BTX recycling rates'!F82</f>
        <v>1420.1508104247769</v>
      </c>
      <c r="E227" s="216">
        <f>E$226*'BTX recycling rates'!G82</f>
        <v>1716.9865589940978</v>
      </c>
      <c r="F227" s="216">
        <f>F$226*'BTX recycling rates'!H82</f>
        <v>2039.7289147176932</v>
      </c>
      <c r="G227" s="216">
        <f>G$226*'BTX recycling rates'!I82</f>
        <v>2389.1836581998391</v>
      </c>
      <c r="H227" s="216">
        <f>H$226*'BTX recycling rates'!J82</f>
        <v>2766.1565700448114</v>
      </c>
      <c r="I227" s="216">
        <f>I$226*'BTX recycling rates'!K82</f>
        <v>3073.45551984341</v>
      </c>
      <c r="J227" s="216">
        <f>J$226*'BTX recycling rates'!L82</f>
        <v>3383.03663592769</v>
      </c>
      <c r="K227" s="216">
        <f>K$226*'BTX recycling rates'!M82</f>
        <v>3692.9306771086453</v>
      </c>
      <c r="L227" s="216">
        <f>L$226*'BTX recycling rates'!N82</f>
        <v>4001.0688077145783</v>
      </c>
      <c r="M227" s="216">
        <f>M$226*'BTX recycling rates'!O82</f>
        <v>4305.2825975911082</v>
      </c>
      <c r="N227" s="216">
        <f>N$226*'BTX recycling rates'!P82</f>
        <v>4751.9229268188556</v>
      </c>
      <c r="O227" s="216">
        <f>O$226*'BTX recycling rates'!Q82</f>
        <v>5199.7465514106943</v>
      </c>
      <c r="P227" s="216">
        <f>P$226*'BTX recycling rates'!R82</f>
        <v>5644.4720213670726</v>
      </c>
      <c r="Q227" s="216">
        <f>Q$226*'BTX recycling rates'!S82</f>
        <v>6081.6079721633887</v>
      </c>
      <c r="R227" s="216">
        <f>R$226*'BTX recycling rates'!T82</f>
        <v>6506.4531247499845</v>
      </c>
      <c r="S227" s="216">
        <f>S$226*'BTX recycling rates'!U82</f>
        <v>7009.4125652045186</v>
      </c>
      <c r="T227" s="216">
        <f>T$226*'BTX recycling rates'!V82</f>
        <v>7510.5564887234141</v>
      </c>
      <c r="U227" s="216">
        <f>U$226*'BTX recycling rates'!W82</f>
        <v>8006.4694591682965</v>
      </c>
      <c r="V227" s="216">
        <f>V$226*'BTX recycling rates'!X82</f>
        <v>8493.5879453637026</v>
      </c>
      <c r="W227" s="216">
        <f>W$226*'BTX recycling rates'!Y82</f>
        <v>8968.2003210970724</v>
      </c>
      <c r="X227" s="216">
        <f>X$226*'BTX recycling rates'!Z82</f>
        <v>9663.1946176830406</v>
      </c>
      <c r="Y227" s="216">
        <f>Y$226*'BTX recycling rates'!AA82</f>
        <v>10341.988902931515</v>
      </c>
      <c r="Z227" s="216">
        <f>Z$226*'BTX recycling rates'!AB82</f>
        <v>10998.272699736348</v>
      </c>
      <c r="AA227" s="216">
        <f>AA$226*'BTX recycling rates'!AC82</f>
        <v>11625.487740682336</v>
      </c>
      <c r="AB227" s="216">
        <f>AB$226*'BTX recycling rates'!AD82</f>
        <v>12216.827968045247</v>
      </c>
      <c r="AC227" s="216">
        <f>AC$226*'BTX recycling rates'!AE82</f>
        <v>12637.926639505302</v>
      </c>
      <c r="AD227" s="216">
        <f>AD$226*'BTX recycling rates'!AF82</f>
        <v>12985.426418591698</v>
      </c>
      <c r="AE227" s="216">
        <f>AE$226*'BTX recycling rates'!AG82</f>
        <v>13249.942058184703</v>
      </c>
      <c r="AF227" s="216">
        <f>AF$226*'BTX recycling rates'!AH82</f>
        <v>13421.789371479805</v>
      </c>
      <c r="AG227" s="216">
        <f>AG$226*'BTX recycling rates'!AI82</f>
        <v>13490.985231987741</v>
      </c>
      <c r="AH227" s="230"/>
      <c r="AI227" s="126"/>
      <c r="AJ227" s="198"/>
      <c r="AL227" s="102"/>
      <c r="AM227" s="2"/>
      <c r="AN227" s="2"/>
      <c r="AO227" s="2"/>
      <c r="BC227" s="1"/>
      <c r="BD227" s="2"/>
      <c r="BE227" s="2"/>
      <c r="BF227" s="2"/>
      <c r="BG227" s="2"/>
      <c r="BH227" s="2"/>
      <c r="BI227" s="2"/>
      <c r="BJ227" s="2"/>
      <c r="BK227" s="2"/>
    </row>
    <row r="228" spans="1:63" outlineLevel="1">
      <c r="A228" s="4" t="s">
        <v>74</v>
      </c>
      <c r="C228" s="216">
        <f>C$226*'BTX recycling rates'!E83</f>
        <v>0</v>
      </c>
      <c r="D228" s="216">
        <f>D$226*'BTX recycling rates'!F83</f>
        <v>0</v>
      </c>
      <c r="E228" s="216">
        <f>E$226*'BTX recycling rates'!G83</f>
        <v>0</v>
      </c>
      <c r="F228" s="216">
        <f>F$226*'BTX recycling rates'!H83</f>
        <v>0</v>
      </c>
      <c r="G228" s="216">
        <f>G$226*'BTX recycling rates'!I83</f>
        <v>0</v>
      </c>
      <c r="H228" s="216">
        <f>H$226*'BTX recycling rates'!J83</f>
        <v>0</v>
      </c>
      <c r="I228" s="216">
        <f>I$226*'BTX recycling rates'!K83</f>
        <v>0</v>
      </c>
      <c r="J228" s="216">
        <f>J$226*'BTX recycling rates'!L83</f>
        <v>0</v>
      </c>
      <c r="K228" s="216">
        <f>K$226*'BTX recycling rates'!M83</f>
        <v>0</v>
      </c>
      <c r="L228" s="216">
        <f>L$226*'BTX recycling rates'!N83</f>
        <v>0</v>
      </c>
      <c r="M228" s="216">
        <f>M$226*'BTX recycling rates'!O83</f>
        <v>0</v>
      </c>
      <c r="N228" s="216">
        <f>N$226*'BTX recycling rates'!P83</f>
        <v>0</v>
      </c>
      <c r="O228" s="216">
        <f>O$226*'BTX recycling rates'!Q83</f>
        <v>0</v>
      </c>
      <c r="P228" s="216">
        <f>P$226*'BTX recycling rates'!R83</f>
        <v>0</v>
      </c>
      <c r="Q228" s="216">
        <f>Q$226*'BTX recycling rates'!S83</f>
        <v>0</v>
      </c>
      <c r="R228" s="216">
        <f>R$226*'BTX recycling rates'!T83</f>
        <v>0</v>
      </c>
      <c r="S228" s="216">
        <f>S$226*'BTX recycling rates'!U83</f>
        <v>0</v>
      </c>
      <c r="T228" s="216">
        <f>T$226*'BTX recycling rates'!V83</f>
        <v>0</v>
      </c>
      <c r="U228" s="216">
        <f>U$226*'BTX recycling rates'!W83</f>
        <v>0</v>
      </c>
      <c r="V228" s="216">
        <f>V$226*'BTX recycling rates'!X83</f>
        <v>0</v>
      </c>
      <c r="W228" s="216">
        <f>W$226*'BTX recycling rates'!Y83</f>
        <v>0</v>
      </c>
      <c r="X228" s="216">
        <f>X$226*'BTX recycling rates'!Z83</f>
        <v>0</v>
      </c>
      <c r="Y228" s="216">
        <f>Y$226*'BTX recycling rates'!AA83</f>
        <v>0</v>
      </c>
      <c r="Z228" s="216">
        <f>Z$226*'BTX recycling rates'!AB83</f>
        <v>0</v>
      </c>
      <c r="AA228" s="216">
        <f>AA$226*'BTX recycling rates'!AC83</f>
        <v>0</v>
      </c>
      <c r="AB228" s="216">
        <f>AB$226*'BTX recycling rates'!AD83</f>
        <v>0</v>
      </c>
      <c r="AC228" s="216">
        <f>AC$226*'BTX recycling rates'!AE83</f>
        <v>0</v>
      </c>
      <c r="AD228" s="216">
        <f>AD$226*'BTX recycling rates'!AF83</f>
        <v>0</v>
      </c>
      <c r="AE228" s="216">
        <f>AE$226*'BTX recycling rates'!AG83</f>
        <v>0</v>
      </c>
      <c r="AF228" s="216">
        <f>AF$226*'BTX recycling rates'!AH83</f>
        <v>0</v>
      </c>
      <c r="AG228" s="216">
        <f>AG$226*'BTX recycling rates'!AI83</f>
        <v>0</v>
      </c>
      <c r="AH228" s="230"/>
      <c r="AI228" s="126"/>
      <c r="AJ228" s="198"/>
      <c r="AL228" s="102"/>
      <c r="AM228" s="2"/>
      <c r="AN228" s="2"/>
      <c r="AO228" s="2"/>
      <c r="BC228" s="1"/>
      <c r="BD228" s="2"/>
      <c r="BE228" s="2"/>
      <c r="BF228" s="2"/>
      <c r="BG228" s="2"/>
      <c r="BH228" s="2"/>
      <c r="BI228" s="2"/>
      <c r="BJ228" s="2"/>
      <c r="BK228" s="2"/>
    </row>
    <row r="229" spans="1:63" outlineLevel="1">
      <c r="A229" s="4" t="s">
        <v>160</v>
      </c>
      <c r="C229" s="216">
        <f>C$226*'BTX recycling rates'!E84</f>
        <v>0</v>
      </c>
      <c r="D229" s="216">
        <f>D$226*'BTX recycling rates'!F84</f>
        <v>0</v>
      </c>
      <c r="E229" s="216">
        <f>E$226*'BTX recycling rates'!G84</f>
        <v>0</v>
      </c>
      <c r="F229" s="216">
        <f>F$226*'BTX recycling rates'!H84</f>
        <v>0</v>
      </c>
      <c r="G229" s="216">
        <f>G$226*'BTX recycling rates'!I84</f>
        <v>0</v>
      </c>
      <c r="H229" s="216">
        <f>H$226*'BTX recycling rates'!J84</f>
        <v>0</v>
      </c>
      <c r="I229" s="216">
        <f>I$226*'BTX recycling rates'!K84</f>
        <v>0</v>
      </c>
      <c r="J229" s="216">
        <f>J$226*'BTX recycling rates'!L84</f>
        <v>0</v>
      </c>
      <c r="K229" s="216">
        <f>K$226*'BTX recycling rates'!M84</f>
        <v>0</v>
      </c>
      <c r="L229" s="216">
        <f>L$226*'BTX recycling rates'!N84</f>
        <v>0</v>
      </c>
      <c r="M229" s="216">
        <f>M$226*'BTX recycling rates'!O84</f>
        <v>0</v>
      </c>
      <c r="N229" s="216">
        <f>N$226*'BTX recycling rates'!P84</f>
        <v>0</v>
      </c>
      <c r="O229" s="216">
        <f>O$226*'BTX recycling rates'!Q84</f>
        <v>0</v>
      </c>
      <c r="P229" s="216">
        <f>P$226*'BTX recycling rates'!R84</f>
        <v>0</v>
      </c>
      <c r="Q229" s="216">
        <f>Q$226*'BTX recycling rates'!S84</f>
        <v>0</v>
      </c>
      <c r="R229" s="216">
        <f>R$226*'BTX recycling rates'!T84</f>
        <v>0</v>
      </c>
      <c r="S229" s="216">
        <f>S$226*'BTX recycling rates'!U84</f>
        <v>0</v>
      </c>
      <c r="T229" s="216">
        <f>T$226*'BTX recycling rates'!V84</f>
        <v>0</v>
      </c>
      <c r="U229" s="216">
        <f>U$226*'BTX recycling rates'!W84</f>
        <v>0</v>
      </c>
      <c r="V229" s="216">
        <f>V$226*'BTX recycling rates'!X84</f>
        <v>0</v>
      </c>
      <c r="W229" s="216">
        <f>W$226*'BTX recycling rates'!Y84</f>
        <v>0</v>
      </c>
      <c r="X229" s="216">
        <f>X$226*'BTX recycling rates'!Z84</f>
        <v>0</v>
      </c>
      <c r="Y229" s="216">
        <f>Y$226*'BTX recycling rates'!AA84</f>
        <v>0</v>
      </c>
      <c r="Z229" s="216">
        <f>Z$226*'BTX recycling rates'!AB84</f>
        <v>0</v>
      </c>
      <c r="AA229" s="216">
        <f>AA$226*'BTX recycling rates'!AC84</f>
        <v>0</v>
      </c>
      <c r="AB229" s="216">
        <f>AB$226*'BTX recycling rates'!AD84</f>
        <v>0</v>
      </c>
      <c r="AC229" s="216">
        <f>AC$226*'BTX recycling rates'!AE84</f>
        <v>0</v>
      </c>
      <c r="AD229" s="216">
        <f>AD$226*'BTX recycling rates'!AF84</f>
        <v>0</v>
      </c>
      <c r="AE229" s="216">
        <f>AE$226*'BTX recycling rates'!AG84</f>
        <v>0</v>
      </c>
      <c r="AF229" s="216">
        <f>AF$226*'BTX recycling rates'!AH84</f>
        <v>0</v>
      </c>
      <c r="AG229" s="216">
        <f>AG$226*'BTX recycling rates'!AI84</f>
        <v>0</v>
      </c>
      <c r="AH229" s="230"/>
      <c r="AI229" s="126"/>
      <c r="AJ229" s="198"/>
      <c r="AL229" s="102"/>
      <c r="AM229" s="2"/>
      <c r="AN229" s="2"/>
      <c r="AO229" s="2"/>
      <c r="BC229" s="1"/>
      <c r="BD229" s="2"/>
      <c r="BE229" s="2"/>
      <c r="BF229" s="2"/>
      <c r="BG229" s="2"/>
      <c r="BH229" s="2"/>
      <c r="BI229" s="2"/>
      <c r="BJ229" s="2"/>
      <c r="BK229" s="2"/>
    </row>
    <row r="230" spans="1:63" outlineLevel="1">
      <c r="A230" s="4" t="s">
        <v>1159</v>
      </c>
      <c r="C230" s="216">
        <f>C$226*'BTX recycling rates'!E85</f>
        <v>9.9806073680858851E-2</v>
      </c>
      <c r="D230" s="216">
        <f>D$226*'BTX recycling rates'!F85</f>
        <v>7.451760530267891E-2</v>
      </c>
      <c r="E230" s="216">
        <f>E$226*'BTX recycling rates'!G85</f>
        <v>9.0093056155675158E-2</v>
      </c>
      <c r="F230" s="216">
        <f>F$226*'BTX recycling rates'!H85</f>
        <v>0.10702786850217107</v>
      </c>
      <c r="G230" s="216">
        <f>G$226*'BTX recycling rates'!I85</f>
        <v>0.12536432295109157</v>
      </c>
      <c r="H230" s="216">
        <f>H$226*'BTX recycling rates'!J85</f>
        <v>0.1451447001113616</v>
      </c>
      <c r="I230" s="216">
        <f>I$226*'BTX recycling rates'!K85</f>
        <v>0.16126917202161625</v>
      </c>
      <c r="J230" s="216">
        <f>J$226*'BTX recycling rates'!L85</f>
        <v>0.17751339288054815</v>
      </c>
      <c r="K230" s="216">
        <f>K$226*'BTX recycling rates'!M85</f>
        <v>0.19377403342439814</v>
      </c>
      <c r="L230" s="216">
        <f>L$226*'BTX recycling rates'!N85</f>
        <v>0.20994253850614381</v>
      </c>
      <c r="M230" s="216">
        <f>M$226*'BTX recycling rates'!O85</f>
        <v>0.22590512709549992</v>
      </c>
      <c r="N230" s="216">
        <f>N$226*'BTX recycling rates'!P85</f>
        <v>0.24934106609672246</v>
      </c>
      <c r="O230" s="216">
        <f>O$226*'BTX recycling rates'!Q85</f>
        <v>0.27283909451566785</v>
      </c>
      <c r="P230" s="216">
        <f>P$226*'BTX recycling rates'!R85</f>
        <v>0.29617455776012808</v>
      </c>
      <c r="Q230" s="216">
        <f>Q$226*'BTX recycling rates'!S85</f>
        <v>0.31911178668394069</v>
      </c>
      <c r="R230" s="216">
        <f>R$226*'BTX recycling rates'!T85</f>
        <v>0.34140409758698842</v>
      </c>
      <c r="S230" s="216">
        <f>S$226*'BTX recycling rates'!U85</f>
        <v>0.36779519125952376</v>
      </c>
      <c r="T230" s="216">
        <f>T$226*'BTX recycling rates'!V85</f>
        <v>0.39409102182800199</v>
      </c>
      <c r="U230" s="216">
        <f>U$226*'BTX recycling rates'!W85</f>
        <v>0.42011237584535277</v>
      </c>
      <c r="V230" s="216">
        <f>V$226*'BTX recycling rates'!X85</f>
        <v>0.44567226907886826</v>
      </c>
      <c r="W230" s="216">
        <f>W$226*'BTX recycling rates'!Y85</f>
        <v>0.47057594651020213</v>
      </c>
      <c r="X230" s="216">
        <f>X$226*'BTX recycling rates'!Z85</f>
        <v>0.50704341904934436</v>
      </c>
      <c r="Y230" s="216">
        <f>Y$226*'BTX recycling rates'!AA85</f>
        <v>0.54266085084500715</v>
      </c>
      <c r="Z230" s="216">
        <f>Z$226*'BTX recycling rates'!AB85</f>
        <v>0.57709712097762667</v>
      </c>
      <c r="AA230" s="216">
        <f>AA$226*'BTX recycling rates'!AC85</f>
        <v>0.61000810657016169</v>
      </c>
      <c r="AB230" s="216">
        <f>AB$226*'BTX recycling rates'!AD85</f>
        <v>0.64103668278809556</v>
      </c>
      <c r="AC230" s="216">
        <f>AC$226*'BTX recycling rates'!AE85</f>
        <v>0.66313240977920096</v>
      </c>
      <c r="AD230" s="216">
        <f>AD$226*'BTX recycling rates'!AF85</f>
        <v>0.68136628409074873</v>
      </c>
      <c r="AE230" s="216">
        <f>AE$226*'BTX recycling rates'!AG85</f>
        <v>0.69524584665754507</v>
      </c>
      <c r="AF230" s="216">
        <f>AF$226*'BTX recycling rates'!AH85</f>
        <v>0.70426295256661398</v>
      </c>
      <c r="AG230" s="216">
        <f>AG$226*'BTX recycling rates'!AI85</f>
        <v>0.70789377105719919</v>
      </c>
      <c r="AH230" s="230"/>
      <c r="AI230" s="126"/>
      <c r="AJ230" s="198"/>
      <c r="AL230" s="102"/>
      <c r="AM230" s="2"/>
      <c r="AN230" s="2"/>
      <c r="AO230" s="2"/>
      <c r="BC230" s="1"/>
      <c r="BD230" s="2"/>
      <c r="BE230" s="2"/>
      <c r="BF230" s="2"/>
      <c r="BG230" s="2"/>
      <c r="BH230" s="2"/>
      <c r="BI230" s="2"/>
      <c r="BJ230" s="2"/>
      <c r="BK230" s="2"/>
    </row>
    <row r="231" spans="1:63" s="1" customFormat="1" outlineLevel="1">
      <c r="A231" s="1" t="s">
        <v>1401</v>
      </c>
      <c r="B231" s="61"/>
      <c r="C231" s="279">
        <f t="shared" ref="C231:AG231" si="142">C226-$C226</f>
        <v>0</v>
      </c>
      <c r="D231" s="279">
        <f t="shared" si="142"/>
        <v>-481.97098057427434</v>
      </c>
      <c r="E231" s="279">
        <f t="shared" si="142"/>
        <v>-185.1196565541004</v>
      </c>
      <c r="F231" s="279">
        <f t="shared" si="142"/>
        <v>137.6396339818416</v>
      </c>
      <c r="G231" s="279">
        <f t="shared" si="142"/>
        <v>487.11271391843638</v>
      </c>
      <c r="H231" s="279">
        <f t="shared" si="142"/>
        <v>864.1054061405689</v>
      </c>
      <c r="I231" s="279">
        <f t="shared" si="142"/>
        <v>1171.4204804110777</v>
      </c>
      <c r="J231" s="279">
        <f t="shared" si="142"/>
        <v>1481.0178407162166</v>
      </c>
      <c r="K231" s="279">
        <f t="shared" si="142"/>
        <v>1790.9281425377158</v>
      </c>
      <c r="L231" s="279">
        <f t="shared" si="142"/>
        <v>2099.0824416487303</v>
      </c>
      <c r="M231" s="279">
        <f t="shared" si="142"/>
        <v>2403.3121941138502</v>
      </c>
      <c r="N231" s="279">
        <f t="shared" si="142"/>
        <v>2849.9759592805981</v>
      </c>
      <c r="O231" s="279">
        <f t="shared" si="142"/>
        <v>3297.8230819008563</v>
      </c>
      <c r="P231" s="279">
        <f t="shared" si="142"/>
        <v>3742.5718873204792</v>
      </c>
      <c r="Q231" s="279">
        <f t="shared" si="142"/>
        <v>4179.7307753457189</v>
      </c>
      <c r="R231" s="279">
        <f t="shared" si="142"/>
        <v>4604.5982202432169</v>
      </c>
      <c r="S231" s="279">
        <f t="shared" si="142"/>
        <v>5107.5840517914239</v>
      </c>
      <c r="T231" s="279">
        <f t="shared" si="142"/>
        <v>5608.7542711408878</v>
      </c>
      <c r="U231" s="279">
        <f t="shared" si="142"/>
        <v>6104.693262939787</v>
      </c>
      <c r="V231" s="279">
        <f t="shared" si="142"/>
        <v>6591.8373090284276</v>
      </c>
      <c r="W231" s="279">
        <f t="shared" si="142"/>
        <v>7066.4745884392287</v>
      </c>
      <c r="X231" s="279">
        <f t="shared" si="142"/>
        <v>7761.5053524977357</v>
      </c>
      <c r="Y231" s="279">
        <f t="shared" si="142"/>
        <v>8440.3352551780044</v>
      </c>
      <c r="Z231" s="279">
        <f t="shared" si="142"/>
        <v>9096.6534882529704</v>
      </c>
      <c r="AA231" s="279">
        <f t="shared" si="142"/>
        <v>9723.9014401845525</v>
      </c>
      <c r="AB231" s="279">
        <f t="shared" si="142"/>
        <v>10315.27269612368</v>
      </c>
      <c r="AC231" s="279">
        <f t="shared" si="142"/>
        <v>10736.393463310727</v>
      </c>
      <c r="AD231" s="279">
        <f t="shared" si="142"/>
        <v>11083.911476271434</v>
      </c>
      <c r="AE231" s="279">
        <f t="shared" si="142"/>
        <v>11348.440995427005</v>
      </c>
      <c r="AF231" s="279">
        <f t="shared" si="142"/>
        <v>11520.297325828016</v>
      </c>
      <c r="AG231" s="279">
        <f t="shared" si="142"/>
        <v>11589.496817154444</v>
      </c>
      <c r="AH231" s="230"/>
      <c r="AI231" s="398"/>
      <c r="AJ231" s="399"/>
      <c r="AL231" s="207"/>
      <c r="AM231" s="118"/>
      <c r="AN231" s="118"/>
      <c r="AO231" s="118"/>
      <c r="BD231" s="118"/>
      <c r="BE231" s="118"/>
      <c r="BF231" s="118"/>
      <c r="BG231" s="118"/>
      <c r="BH231" s="118"/>
      <c r="BI231" s="118"/>
      <c r="BJ231" s="118"/>
      <c r="BK231" s="118"/>
    </row>
    <row r="232" spans="1:63" outlineLevel="1">
      <c r="A232" s="4" t="s">
        <v>35</v>
      </c>
      <c r="C232" s="216">
        <f t="shared" ref="C232:AG232" si="143">C227-$C227</f>
        <v>0</v>
      </c>
      <c r="D232" s="216">
        <f t="shared" si="143"/>
        <v>-481.94569210589611</v>
      </c>
      <c r="E232" s="216">
        <f t="shared" si="143"/>
        <v>-185.1099435365752</v>
      </c>
      <c r="F232" s="216">
        <f t="shared" si="143"/>
        <v>137.63241218702024</v>
      </c>
      <c r="G232" s="216">
        <f t="shared" si="143"/>
        <v>487.08715566916612</v>
      </c>
      <c r="H232" s="216">
        <f t="shared" si="143"/>
        <v>864.06006751413838</v>
      </c>
      <c r="I232" s="216">
        <f t="shared" si="143"/>
        <v>1171.359017312737</v>
      </c>
      <c r="J232" s="216">
        <f t="shared" si="143"/>
        <v>1480.940133397017</v>
      </c>
      <c r="K232" s="216">
        <f t="shared" si="143"/>
        <v>1790.8341745779724</v>
      </c>
      <c r="L232" s="216">
        <f t="shared" si="143"/>
        <v>2098.9723051839055</v>
      </c>
      <c r="M232" s="216">
        <f t="shared" si="143"/>
        <v>2403.186095060435</v>
      </c>
      <c r="N232" s="216">
        <f t="shared" si="143"/>
        <v>2849.8264242881824</v>
      </c>
      <c r="O232" s="216">
        <f t="shared" si="143"/>
        <v>3297.6500488800211</v>
      </c>
      <c r="P232" s="216">
        <f t="shared" si="143"/>
        <v>3742.3755188363994</v>
      </c>
      <c r="Q232" s="216">
        <f t="shared" si="143"/>
        <v>4179.5114696327155</v>
      </c>
      <c r="R232" s="216">
        <f t="shared" si="143"/>
        <v>4604.3566222193112</v>
      </c>
      <c r="S232" s="216">
        <f t="shared" si="143"/>
        <v>5107.3160626738454</v>
      </c>
      <c r="T232" s="216">
        <f t="shared" si="143"/>
        <v>5608.4599861927409</v>
      </c>
      <c r="U232" s="216">
        <f t="shared" si="143"/>
        <v>6104.3729566376232</v>
      </c>
      <c r="V232" s="216">
        <f t="shared" si="143"/>
        <v>6591.4914428330294</v>
      </c>
      <c r="W232" s="216">
        <f t="shared" si="143"/>
        <v>7066.1038185663992</v>
      </c>
      <c r="X232" s="216">
        <f t="shared" si="143"/>
        <v>7761.0981151523674</v>
      </c>
      <c r="Y232" s="216">
        <f t="shared" si="143"/>
        <v>8439.8924004008422</v>
      </c>
      <c r="Z232" s="216">
        <f t="shared" si="143"/>
        <v>9096.1761972056756</v>
      </c>
      <c r="AA232" s="216">
        <f t="shared" si="143"/>
        <v>9723.3912381516639</v>
      </c>
      <c r="AB232" s="216">
        <f t="shared" si="143"/>
        <v>10314.731465514575</v>
      </c>
      <c r="AC232" s="216">
        <f t="shared" si="143"/>
        <v>10735.83013697463</v>
      </c>
      <c r="AD232" s="216">
        <f t="shared" si="143"/>
        <v>11083.329916061026</v>
      </c>
      <c r="AE232" s="216">
        <f t="shared" si="143"/>
        <v>11347.84555565403</v>
      </c>
      <c r="AF232" s="216">
        <f t="shared" si="143"/>
        <v>11519.692868949132</v>
      </c>
      <c r="AG232" s="216">
        <f t="shared" si="143"/>
        <v>11588.888729457069</v>
      </c>
      <c r="AH232" s="230"/>
      <c r="AI232" s="126"/>
      <c r="AJ232" s="198"/>
      <c r="AL232" s="102"/>
      <c r="AM232" s="2"/>
      <c r="AN232" s="2"/>
      <c r="AO232" s="2"/>
      <c r="BC232" s="1"/>
      <c r="BD232" s="2"/>
      <c r="BE232" s="2"/>
      <c r="BF232" s="2"/>
      <c r="BG232" s="2"/>
      <c r="BH232" s="2"/>
      <c r="BI232" s="2"/>
      <c r="BJ232" s="2"/>
      <c r="BK232" s="2"/>
    </row>
    <row r="233" spans="1:63" outlineLevel="1">
      <c r="A233" s="4" t="s">
        <v>74</v>
      </c>
      <c r="C233" s="216">
        <f t="shared" ref="C233:AG233" si="144">C228-$C228</f>
        <v>0</v>
      </c>
      <c r="D233" s="216">
        <f t="shared" si="144"/>
        <v>0</v>
      </c>
      <c r="E233" s="216">
        <f t="shared" si="144"/>
        <v>0</v>
      </c>
      <c r="F233" s="216">
        <f t="shared" si="144"/>
        <v>0</v>
      </c>
      <c r="G233" s="216">
        <f t="shared" si="144"/>
        <v>0</v>
      </c>
      <c r="H233" s="216">
        <f t="shared" si="144"/>
        <v>0</v>
      </c>
      <c r="I233" s="216">
        <f t="shared" si="144"/>
        <v>0</v>
      </c>
      <c r="J233" s="216">
        <f t="shared" si="144"/>
        <v>0</v>
      </c>
      <c r="K233" s="216">
        <f t="shared" si="144"/>
        <v>0</v>
      </c>
      <c r="L233" s="216">
        <f t="shared" si="144"/>
        <v>0</v>
      </c>
      <c r="M233" s="216">
        <f t="shared" si="144"/>
        <v>0</v>
      </c>
      <c r="N233" s="216">
        <f t="shared" si="144"/>
        <v>0</v>
      </c>
      <c r="O233" s="216">
        <f t="shared" si="144"/>
        <v>0</v>
      </c>
      <c r="P233" s="216">
        <f t="shared" si="144"/>
        <v>0</v>
      </c>
      <c r="Q233" s="216">
        <f t="shared" si="144"/>
        <v>0</v>
      </c>
      <c r="R233" s="216">
        <f t="shared" si="144"/>
        <v>0</v>
      </c>
      <c r="S233" s="216">
        <f t="shared" si="144"/>
        <v>0</v>
      </c>
      <c r="T233" s="216">
        <f t="shared" si="144"/>
        <v>0</v>
      </c>
      <c r="U233" s="216">
        <f t="shared" si="144"/>
        <v>0</v>
      </c>
      <c r="V233" s="216">
        <f t="shared" si="144"/>
        <v>0</v>
      </c>
      <c r="W233" s="216">
        <f t="shared" si="144"/>
        <v>0</v>
      </c>
      <c r="X233" s="216">
        <f t="shared" si="144"/>
        <v>0</v>
      </c>
      <c r="Y233" s="216">
        <f t="shared" si="144"/>
        <v>0</v>
      </c>
      <c r="Z233" s="216">
        <f t="shared" si="144"/>
        <v>0</v>
      </c>
      <c r="AA233" s="216">
        <f t="shared" si="144"/>
        <v>0</v>
      </c>
      <c r="AB233" s="216">
        <f t="shared" si="144"/>
        <v>0</v>
      </c>
      <c r="AC233" s="216">
        <f t="shared" si="144"/>
        <v>0</v>
      </c>
      <c r="AD233" s="216">
        <f t="shared" si="144"/>
        <v>0</v>
      </c>
      <c r="AE233" s="216">
        <f t="shared" si="144"/>
        <v>0</v>
      </c>
      <c r="AF233" s="216">
        <f t="shared" si="144"/>
        <v>0</v>
      </c>
      <c r="AG233" s="216">
        <f t="shared" si="144"/>
        <v>0</v>
      </c>
      <c r="AH233" s="230"/>
      <c r="AI233" s="126"/>
      <c r="AJ233" s="198"/>
      <c r="AL233" s="102"/>
      <c r="AM233" s="2"/>
      <c r="AN233" s="2"/>
      <c r="AO233" s="2"/>
      <c r="BC233" s="1"/>
      <c r="BD233" s="2"/>
      <c r="BE233" s="2"/>
      <c r="BF233" s="2"/>
      <c r="BG233" s="2"/>
      <c r="BH233" s="2"/>
      <c r="BI233" s="2"/>
      <c r="BJ233" s="2"/>
      <c r="BK233" s="2"/>
    </row>
    <row r="234" spans="1:63" outlineLevel="1">
      <c r="A234" s="4" t="s">
        <v>160</v>
      </c>
      <c r="C234" s="216">
        <f t="shared" ref="C234:AG234" si="145">C229-$C229</f>
        <v>0</v>
      </c>
      <c r="D234" s="216">
        <f t="shared" si="145"/>
        <v>0</v>
      </c>
      <c r="E234" s="216">
        <f t="shared" si="145"/>
        <v>0</v>
      </c>
      <c r="F234" s="216">
        <f t="shared" si="145"/>
        <v>0</v>
      </c>
      <c r="G234" s="216">
        <f t="shared" si="145"/>
        <v>0</v>
      </c>
      <c r="H234" s="216">
        <f t="shared" si="145"/>
        <v>0</v>
      </c>
      <c r="I234" s="216">
        <f t="shared" si="145"/>
        <v>0</v>
      </c>
      <c r="J234" s="216">
        <f t="shared" si="145"/>
        <v>0</v>
      </c>
      <c r="K234" s="216">
        <f t="shared" si="145"/>
        <v>0</v>
      </c>
      <c r="L234" s="216">
        <f t="shared" si="145"/>
        <v>0</v>
      </c>
      <c r="M234" s="216">
        <f t="shared" si="145"/>
        <v>0</v>
      </c>
      <c r="N234" s="216">
        <f t="shared" si="145"/>
        <v>0</v>
      </c>
      <c r="O234" s="216">
        <f t="shared" si="145"/>
        <v>0</v>
      </c>
      <c r="P234" s="216">
        <f t="shared" si="145"/>
        <v>0</v>
      </c>
      <c r="Q234" s="216">
        <f t="shared" si="145"/>
        <v>0</v>
      </c>
      <c r="R234" s="216">
        <f t="shared" si="145"/>
        <v>0</v>
      </c>
      <c r="S234" s="216">
        <f t="shared" si="145"/>
        <v>0</v>
      </c>
      <c r="T234" s="216">
        <f t="shared" si="145"/>
        <v>0</v>
      </c>
      <c r="U234" s="216">
        <f t="shared" si="145"/>
        <v>0</v>
      </c>
      <c r="V234" s="216">
        <f t="shared" si="145"/>
        <v>0</v>
      </c>
      <c r="W234" s="216">
        <f t="shared" si="145"/>
        <v>0</v>
      </c>
      <c r="X234" s="216">
        <f t="shared" si="145"/>
        <v>0</v>
      </c>
      <c r="Y234" s="216">
        <f t="shared" si="145"/>
        <v>0</v>
      </c>
      <c r="Z234" s="216">
        <f t="shared" si="145"/>
        <v>0</v>
      </c>
      <c r="AA234" s="216">
        <f t="shared" si="145"/>
        <v>0</v>
      </c>
      <c r="AB234" s="216">
        <f t="shared" si="145"/>
        <v>0</v>
      </c>
      <c r="AC234" s="216">
        <f t="shared" si="145"/>
        <v>0</v>
      </c>
      <c r="AD234" s="216">
        <f t="shared" si="145"/>
        <v>0</v>
      </c>
      <c r="AE234" s="216">
        <f t="shared" si="145"/>
        <v>0</v>
      </c>
      <c r="AF234" s="216">
        <f t="shared" si="145"/>
        <v>0</v>
      </c>
      <c r="AG234" s="216">
        <f t="shared" si="145"/>
        <v>0</v>
      </c>
      <c r="AH234" s="230"/>
      <c r="AI234" s="126"/>
      <c r="AJ234" s="198"/>
      <c r="AL234" s="102"/>
      <c r="AM234" s="2"/>
      <c r="AN234" s="2"/>
      <c r="AO234" s="2"/>
      <c r="BC234" s="1"/>
      <c r="BD234" s="2"/>
      <c r="BE234" s="2"/>
      <c r="BF234" s="2"/>
      <c r="BG234" s="2"/>
      <c r="BH234" s="2"/>
      <c r="BI234" s="2"/>
      <c r="BJ234" s="2"/>
      <c r="BK234" s="2"/>
    </row>
    <row r="235" spans="1:63" outlineLevel="1">
      <c r="A235" s="4" t="s">
        <v>1159</v>
      </c>
      <c r="C235" s="216">
        <f t="shared" ref="C235:AG235" si="146">C230-$C230</f>
        <v>0</v>
      </c>
      <c r="D235" s="216">
        <f t="shared" si="146"/>
        <v>-2.528846837817994E-2</v>
      </c>
      <c r="E235" s="216">
        <f t="shared" si="146"/>
        <v>-9.7130175251836925E-3</v>
      </c>
      <c r="F235" s="216">
        <f t="shared" si="146"/>
        <v>7.2217948213122163E-3</v>
      </c>
      <c r="G235" s="216">
        <f t="shared" si="146"/>
        <v>2.5558249270232716E-2</v>
      </c>
      <c r="H235" s="216">
        <f t="shared" si="146"/>
        <v>4.5338626430502751E-2</v>
      </c>
      <c r="I235" s="216">
        <f t="shared" si="146"/>
        <v>6.1463098340757402E-2</v>
      </c>
      <c r="J235" s="216">
        <f t="shared" si="146"/>
        <v>7.7707319199689304E-2</v>
      </c>
      <c r="K235" s="216">
        <f t="shared" si="146"/>
        <v>9.3967959743539289E-2</v>
      </c>
      <c r="L235" s="216">
        <f t="shared" si="146"/>
        <v>0.11013646482528495</v>
      </c>
      <c r="M235" s="216">
        <f t="shared" si="146"/>
        <v>0.12609905341464106</v>
      </c>
      <c r="N235" s="216">
        <f t="shared" si="146"/>
        <v>0.1495349924158636</v>
      </c>
      <c r="O235" s="216">
        <f t="shared" si="146"/>
        <v>0.17303302083480898</v>
      </c>
      <c r="P235" s="216">
        <f t="shared" si="146"/>
        <v>0.19636848407926921</v>
      </c>
      <c r="Q235" s="216">
        <f t="shared" si="146"/>
        <v>0.21930571300308183</v>
      </c>
      <c r="R235" s="216">
        <f t="shared" si="146"/>
        <v>0.24159802390612956</v>
      </c>
      <c r="S235" s="216">
        <f t="shared" si="146"/>
        <v>0.26798911757866489</v>
      </c>
      <c r="T235" s="216">
        <f t="shared" si="146"/>
        <v>0.29428494814714312</v>
      </c>
      <c r="U235" s="216">
        <f t="shared" si="146"/>
        <v>0.32030630216449391</v>
      </c>
      <c r="V235" s="216">
        <f t="shared" si="146"/>
        <v>0.34586619539800939</v>
      </c>
      <c r="W235" s="216">
        <f t="shared" si="146"/>
        <v>0.37076987282934326</v>
      </c>
      <c r="X235" s="216">
        <f t="shared" si="146"/>
        <v>0.40723734536848549</v>
      </c>
      <c r="Y235" s="216">
        <f t="shared" si="146"/>
        <v>0.44285477716414828</v>
      </c>
      <c r="Z235" s="216">
        <f t="shared" si="146"/>
        <v>0.4772910472967678</v>
      </c>
      <c r="AA235" s="216">
        <f t="shared" si="146"/>
        <v>0.51020203288930288</v>
      </c>
      <c r="AB235" s="216">
        <f t="shared" si="146"/>
        <v>0.54123060910723675</v>
      </c>
      <c r="AC235" s="216">
        <f t="shared" si="146"/>
        <v>0.56332633609834215</v>
      </c>
      <c r="AD235" s="216">
        <f t="shared" si="146"/>
        <v>0.58156021040988992</v>
      </c>
      <c r="AE235" s="216">
        <f t="shared" si="146"/>
        <v>0.59543977297668627</v>
      </c>
      <c r="AF235" s="216">
        <f t="shared" si="146"/>
        <v>0.60445687888575517</v>
      </c>
      <c r="AG235" s="216">
        <f t="shared" si="146"/>
        <v>0.60808769737634039</v>
      </c>
      <c r="AH235" s="230"/>
      <c r="AI235" s="126"/>
      <c r="AJ235" s="198"/>
      <c r="AL235" s="102"/>
      <c r="AM235" s="2"/>
      <c r="AN235" s="2"/>
      <c r="AO235" s="2"/>
      <c r="BC235" s="1"/>
      <c r="BD235" s="2"/>
      <c r="BE235" s="2"/>
      <c r="BF235" s="2"/>
      <c r="BG235" s="2"/>
      <c r="BH235" s="2"/>
      <c r="BI235" s="2"/>
      <c r="BJ235" s="2"/>
      <c r="BK235" s="2"/>
    </row>
    <row r="236" spans="1:63" outlineLevel="1">
      <c r="C236" s="104"/>
      <c r="D236" s="104"/>
      <c r="E236" s="104"/>
      <c r="F236" s="104"/>
      <c r="G236" s="104"/>
      <c r="H236" s="104"/>
      <c r="I236" s="104"/>
      <c r="J236" s="104"/>
      <c r="K236" s="104"/>
      <c r="L236" s="104"/>
      <c r="M236" s="104"/>
      <c r="N236" s="104"/>
      <c r="O236" s="104"/>
      <c r="P236" s="104"/>
      <c r="Q236" s="104"/>
      <c r="R236" s="104"/>
      <c r="S236" s="104"/>
      <c r="T236" s="104"/>
      <c r="U236" s="104"/>
      <c r="V236" s="104"/>
      <c r="W236" s="104"/>
      <c r="X236" s="104"/>
      <c r="Y236" s="104"/>
      <c r="Z236" s="104"/>
      <c r="AA236" s="104"/>
      <c r="AB236" s="104"/>
      <c r="AC236" s="104"/>
      <c r="AD236" s="104"/>
      <c r="AE236" s="104"/>
      <c r="AF236" s="104"/>
      <c r="AG236" s="104"/>
      <c r="AJ236" s="198"/>
    </row>
    <row r="237" spans="1:63" s="187" customFormat="1" ht="15.5" thickBot="1">
      <c r="A237" s="187" t="s">
        <v>461</v>
      </c>
      <c r="B237" s="202"/>
      <c r="C237" s="210">
        <f>C238</f>
        <v>1.6E-2</v>
      </c>
      <c r="D237" s="210">
        <f t="shared" ref="D237:AG237" si="147">D238</f>
        <v>2.329547397581962E-2</v>
      </c>
      <c r="E237" s="210">
        <f t="shared" si="147"/>
        <v>3.059094795163924E-2</v>
      </c>
      <c r="F237" s="210">
        <f t="shared" si="147"/>
        <v>3.7886421927458863E-2</v>
      </c>
      <c r="G237" s="210">
        <f t="shared" si="147"/>
        <v>4.5181895903278479E-2</v>
      </c>
      <c r="H237" s="210">
        <f t="shared" si="147"/>
        <v>5.2477369879098103E-2</v>
      </c>
      <c r="I237" s="210">
        <f t="shared" si="147"/>
        <v>5.9772843854917726E-2</v>
      </c>
      <c r="J237" s="210">
        <f t="shared" si="147"/>
        <v>6.7068317830737342E-2</v>
      </c>
      <c r="K237" s="210">
        <f t="shared" si="147"/>
        <v>7.4363791806556973E-2</v>
      </c>
      <c r="L237" s="210">
        <f t="shared" si="147"/>
        <v>8.1659265782376589E-2</v>
      </c>
      <c r="M237" s="210">
        <f t="shared" si="147"/>
        <v>8.8954739758196205E-2</v>
      </c>
      <c r="N237" s="210">
        <f t="shared" si="147"/>
        <v>0.10433135413800063</v>
      </c>
      <c r="O237" s="210">
        <f t="shared" si="147"/>
        <v>0.11970796851780505</v>
      </c>
      <c r="P237" s="210">
        <f t="shared" si="147"/>
        <v>0.1350845828976095</v>
      </c>
      <c r="Q237" s="210">
        <f t="shared" si="147"/>
        <v>0.15046119727741392</v>
      </c>
      <c r="R237" s="210">
        <f t="shared" si="147"/>
        <v>0.16583781165721834</v>
      </c>
      <c r="S237" s="210">
        <f t="shared" si="147"/>
        <v>0.18121442603702276</v>
      </c>
      <c r="T237" s="210">
        <f t="shared" si="147"/>
        <v>0.19659104041682718</v>
      </c>
      <c r="U237" s="210">
        <f t="shared" si="147"/>
        <v>0.2119676547966316</v>
      </c>
      <c r="V237" s="210">
        <f t="shared" si="147"/>
        <v>0.22734426917643602</v>
      </c>
      <c r="W237" s="210">
        <f t="shared" si="147"/>
        <v>0.24272088355624044</v>
      </c>
      <c r="X237" s="210">
        <f t="shared" si="147"/>
        <v>0.26844879520061637</v>
      </c>
      <c r="Y237" s="210">
        <f t="shared" si="147"/>
        <v>0.29417670684499236</v>
      </c>
      <c r="Z237" s="210">
        <f t="shared" si="147"/>
        <v>0.3199046184893683</v>
      </c>
      <c r="AA237" s="210">
        <f t="shared" si="147"/>
        <v>0.34563253013374429</v>
      </c>
      <c r="AB237" s="210">
        <f t="shared" si="147"/>
        <v>0.37136044177812022</v>
      </c>
      <c r="AC237" s="210">
        <f t="shared" si="147"/>
        <v>0.39708835342249615</v>
      </c>
      <c r="AD237" s="210">
        <f t="shared" si="147"/>
        <v>0.42281626506687209</v>
      </c>
      <c r="AE237" s="210">
        <f t="shared" si="147"/>
        <v>0.44854417671124808</v>
      </c>
      <c r="AF237" s="210">
        <f t="shared" si="147"/>
        <v>0.47427208835562407</v>
      </c>
      <c r="AG237" s="210">
        <f t="shared" si="147"/>
        <v>0.5</v>
      </c>
      <c r="AJ237" s="217" t="s">
        <v>473</v>
      </c>
      <c r="AL237" s="204"/>
      <c r="AM237" s="211"/>
      <c r="AN237" s="211"/>
      <c r="AO237" s="211"/>
    </row>
    <row r="238" spans="1:63" ht="15.5" outlineLevel="1" thickTop="1">
      <c r="A238" t="s">
        <v>469</v>
      </c>
      <c r="B238" s="51" t="s">
        <v>126</v>
      </c>
      <c r="C238" s="107">
        <v>1.6E-2</v>
      </c>
      <c r="D238" s="104">
        <f>$C238+($M238-$C238)/10*(D$1-$C$1)</f>
        <v>2.329547397581962E-2</v>
      </c>
      <c r="E238" s="104">
        <f t="shared" ref="E238:L238" si="148">$C238+($M238-$C238)/10*(E$1-$C$1)</f>
        <v>3.059094795163924E-2</v>
      </c>
      <c r="F238" s="104">
        <f t="shared" si="148"/>
        <v>3.7886421927458863E-2</v>
      </c>
      <c r="G238" s="104">
        <f t="shared" si="148"/>
        <v>4.5181895903278479E-2</v>
      </c>
      <c r="H238" s="104">
        <f t="shared" si="148"/>
        <v>5.2477369879098103E-2</v>
      </c>
      <c r="I238" s="104">
        <f t="shared" si="148"/>
        <v>5.9772843854917726E-2</v>
      </c>
      <c r="J238" s="104">
        <f t="shared" si="148"/>
        <v>6.7068317830737342E-2</v>
      </c>
      <c r="K238" s="104">
        <f t="shared" si="148"/>
        <v>7.4363791806556973E-2</v>
      </c>
      <c r="L238" s="104">
        <f t="shared" si="148"/>
        <v>8.1659265782376589E-2</v>
      </c>
      <c r="M238" s="115">
        <f>(M$49-$C$49)/($AG$49-$C$49)*($AG238-$C238)+$C238</f>
        <v>8.8954739758196205E-2</v>
      </c>
      <c r="N238" s="115">
        <f>$M238+($W238-$M238)/10*(N$1-$M$1)</f>
        <v>0.10433135413800063</v>
      </c>
      <c r="O238" s="115">
        <f t="shared" ref="O238:U238" si="149">$M238+($W238-$M238)/10*(O$1-$M$1)</f>
        <v>0.11970796851780505</v>
      </c>
      <c r="P238" s="115">
        <f t="shared" si="149"/>
        <v>0.1350845828976095</v>
      </c>
      <c r="Q238" s="115">
        <f t="shared" si="149"/>
        <v>0.15046119727741392</v>
      </c>
      <c r="R238" s="115">
        <f t="shared" si="149"/>
        <v>0.16583781165721834</v>
      </c>
      <c r="S238" s="115">
        <f t="shared" si="149"/>
        <v>0.18121442603702276</v>
      </c>
      <c r="T238" s="115">
        <f t="shared" si="149"/>
        <v>0.19659104041682718</v>
      </c>
      <c r="U238" s="115">
        <f t="shared" si="149"/>
        <v>0.2119676547966316</v>
      </c>
      <c r="V238" s="115">
        <f>$M238+($W238-$M238)/10*(V$1-$M$1)</f>
        <v>0.22734426917643602</v>
      </c>
      <c r="W238" s="115">
        <f>(W$49-$C$49)/($AG$49-$C$49)*($AG238-$C238)+$C238</f>
        <v>0.24272088355624044</v>
      </c>
      <c r="X238" s="22">
        <f t="shared" ref="X238:AF238" si="150">$W238+($AG238-$W238)/10*(X$1-$W$1)</f>
        <v>0.26844879520061637</v>
      </c>
      <c r="Y238" s="22">
        <f t="shared" si="150"/>
        <v>0.29417670684499236</v>
      </c>
      <c r="Z238" s="22">
        <f t="shared" si="150"/>
        <v>0.3199046184893683</v>
      </c>
      <c r="AA238" s="22">
        <f t="shared" si="150"/>
        <v>0.34563253013374429</v>
      </c>
      <c r="AB238" s="22">
        <f t="shared" si="150"/>
        <v>0.37136044177812022</v>
      </c>
      <c r="AC238" s="22">
        <f t="shared" si="150"/>
        <v>0.39708835342249615</v>
      </c>
      <c r="AD238" s="22">
        <f t="shared" si="150"/>
        <v>0.42281626506687209</v>
      </c>
      <c r="AE238" s="22">
        <f t="shared" si="150"/>
        <v>0.44854417671124808</v>
      </c>
      <c r="AF238" s="22">
        <f t="shared" si="150"/>
        <v>0.47427208835562407</v>
      </c>
      <c r="AG238" s="201">
        <v>0.5</v>
      </c>
      <c r="AJ238" s="198" t="s">
        <v>462</v>
      </c>
    </row>
    <row r="239" spans="1:63" outlineLevel="1">
      <c r="C239" s="107"/>
      <c r="D239" s="104"/>
      <c r="E239" s="104"/>
      <c r="F239" s="104"/>
      <c r="G239" s="104"/>
      <c r="H239" s="104"/>
      <c r="I239" s="104"/>
      <c r="J239" s="104"/>
      <c r="K239" s="104"/>
      <c r="L239" s="104"/>
      <c r="M239" s="115"/>
      <c r="N239" s="115"/>
      <c r="O239" s="115"/>
      <c r="P239" s="115"/>
      <c r="Q239" s="115"/>
      <c r="R239" s="115"/>
      <c r="S239" s="115"/>
      <c r="T239" s="115"/>
      <c r="U239" s="115"/>
      <c r="V239" s="115"/>
      <c r="W239" s="115"/>
      <c r="X239" s="22"/>
      <c r="Y239" s="22"/>
      <c r="Z239" s="22"/>
      <c r="AA239" s="22"/>
      <c r="AB239" s="22"/>
      <c r="AC239" s="22"/>
      <c r="AD239" s="22"/>
      <c r="AE239" s="22"/>
      <c r="AF239" s="22"/>
      <c r="AG239" s="100"/>
      <c r="AJ239" s="198"/>
    </row>
    <row r="240" spans="1:63" outlineLevel="1">
      <c r="A240" t="s">
        <v>1370</v>
      </c>
      <c r="C240" s="477">
        <f>('Overall recycling rates'!F85*'Yearly BTX'!D5+'Overall recycling rates'!G85*'Yearly BTX'!D6+'Overall recycling rates'!H85*'Yearly BTX'!D7)/'Yearly BTX'!D4</f>
        <v>0.26816626039580643</v>
      </c>
      <c r="D240" s="477">
        <f>C240-($C240-$AG240)/($AG$1-$C$1)</f>
        <v>0.28589405171594623</v>
      </c>
      <c r="E240" s="477">
        <f t="shared" ref="E240:AF240" si="151">D240-($C240-$AG240)/($AG$1-$C$1)</f>
        <v>0.30362184303608603</v>
      </c>
      <c r="F240" s="477">
        <f t="shared" si="151"/>
        <v>0.32134963435622582</v>
      </c>
      <c r="G240" s="477">
        <f t="shared" si="151"/>
        <v>0.33907742567636562</v>
      </c>
      <c r="H240" s="477">
        <f t="shared" si="151"/>
        <v>0.35680521699650541</v>
      </c>
      <c r="I240" s="477">
        <f t="shared" si="151"/>
        <v>0.37453300831664521</v>
      </c>
      <c r="J240" s="477">
        <f t="shared" si="151"/>
        <v>0.39226079963678501</v>
      </c>
      <c r="K240" s="477">
        <f t="shared" si="151"/>
        <v>0.4099885909569248</v>
      </c>
      <c r="L240" s="477">
        <f t="shared" si="151"/>
        <v>0.4277163822770646</v>
      </c>
      <c r="M240" s="477">
        <f t="shared" si="151"/>
        <v>0.4454441735972044</v>
      </c>
      <c r="N240" s="477">
        <f t="shared" si="151"/>
        <v>0.46317196491734419</v>
      </c>
      <c r="O240" s="477">
        <f t="shared" si="151"/>
        <v>0.48089975623748399</v>
      </c>
      <c r="P240" s="477">
        <f t="shared" si="151"/>
        <v>0.49862754755762378</v>
      </c>
      <c r="Q240" s="477">
        <f t="shared" si="151"/>
        <v>0.51635533887776353</v>
      </c>
      <c r="R240" s="477">
        <f t="shared" si="151"/>
        <v>0.53408313019790332</v>
      </c>
      <c r="S240" s="477">
        <f t="shared" si="151"/>
        <v>0.55181092151804312</v>
      </c>
      <c r="T240" s="477">
        <f t="shared" si="151"/>
        <v>0.56953871283818291</v>
      </c>
      <c r="U240" s="477">
        <f t="shared" si="151"/>
        <v>0.58726650415832271</v>
      </c>
      <c r="V240" s="477">
        <f t="shared" si="151"/>
        <v>0.60499429547846251</v>
      </c>
      <c r="W240" s="477">
        <f t="shared" si="151"/>
        <v>0.6227220867986023</v>
      </c>
      <c r="X240" s="477">
        <f t="shared" si="151"/>
        <v>0.6404498781187421</v>
      </c>
      <c r="Y240" s="477">
        <f t="shared" si="151"/>
        <v>0.6581776694388819</v>
      </c>
      <c r="Z240" s="477">
        <f t="shared" si="151"/>
        <v>0.67590546075902169</v>
      </c>
      <c r="AA240" s="477">
        <f t="shared" si="151"/>
        <v>0.69363325207916149</v>
      </c>
      <c r="AB240" s="477">
        <f t="shared" si="151"/>
        <v>0.71136104339930128</v>
      </c>
      <c r="AC240" s="477">
        <f t="shared" si="151"/>
        <v>0.72908883471944108</v>
      </c>
      <c r="AD240" s="477">
        <f t="shared" si="151"/>
        <v>0.74681662603958088</v>
      </c>
      <c r="AE240" s="477">
        <f t="shared" si="151"/>
        <v>0.76454441735972067</v>
      </c>
      <c r="AF240" s="477">
        <f t="shared" si="151"/>
        <v>0.78227220867986047</v>
      </c>
      <c r="AG240" s="477">
        <f>'Overall recycling rates'!F94</f>
        <v>0.8</v>
      </c>
      <c r="AI240" s="126"/>
      <c r="AJ240" s="198" t="s">
        <v>1088</v>
      </c>
      <c r="AL240" s="102"/>
      <c r="AM240" s="194"/>
      <c r="AN240" s="194"/>
      <c r="AO240" s="194"/>
      <c r="BC240" s="1"/>
      <c r="BD240" s="194"/>
      <c r="BE240" s="194"/>
      <c r="BF240" s="194"/>
      <c r="BG240" s="194"/>
      <c r="BH240" s="194"/>
      <c r="BI240" s="194"/>
      <c r="BJ240" s="194"/>
      <c r="BK240" s="194"/>
    </row>
    <row r="241" spans="1:63" outlineLevel="1">
      <c r="A241" t="s">
        <v>1386</v>
      </c>
      <c r="B241" s="51" t="s">
        <v>126</v>
      </c>
      <c r="C241" s="104">
        <f>C238*C240</f>
        <v>4.2906601663329031E-3</v>
      </c>
      <c r="D241" s="104">
        <f t="shared" ref="D241:AG241" si="152">D238*D240</f>
        <v>6.660037441590454E-3</v>
      </c>
      <c r="E241" s="104">
        <f t="shared" si="152"/>
        <v>9.2880799972976866E-3</v>
      </c>
      <c r="F241" s="104">
        <f t="shared" si="152"/>
        <v>1.2174787833454602E-2</v>
      </c>
      <c r="G241" s="104">
        <f t="shared" si="152"/>
        <v>1.5320160950061197E-2</v>
      </c>
      <c r="H241" s="104">
        <f t="shared" si="152"/>
        <v>1.8724199347117474E-2</v>
      </c>
      <c r="I241" s="104">
        <f t="shared" si="152"/>
        <v>2.2386903024623435E-2</v>
      </c>
      <c r="J241" s="104">
        <f t="shared" si="152"/>
        <v>2.6308271982579075E-2</v>
      </c>
      <c r="K241" s="104">
        <f t="shared" si="152"/>
        <v>3.0488306220984404E-2</v>
      </c>
      <c r="L241" s="104">
        <f t="shared" si="152"/>
        <v>3.4927005739839409E-2</v>
      </c>
      <c r="M241" s="104">
        <f t="shared" si="152"/>
        <v>3.962437053914409E-2</v>
      </c>
      <c r="N241" s="104">
        <f t="shared" si="152"/>
        <v>4.8323358298585035E-2</v>
      </c>
      <c r="O241" s="104">
        <f t="shared" si="152"/>
        <v>5.7567532879896854E-2</v>
      </c>
      <c r="P241" s="104">
        <f t="shared" si="152"/>
        <v>6.7356894283079546E-2</v>
      </c>
      <c r="Q241" s="104">
        <f t="shared" si="152"/>
        <v>7.7691442508133091E-2</v>
      </c>
      <c r="R241" s="104">
        <f t="shared" si="152"/>
        <v>8.8571177555057515E-2</v>
      </c>
      <c r="S241" s="104">
        <f t="shared" si="152"/>
        <v>9.9996099423852791E-2</v>
      </c>
      <c r="T241" s="104">
        <f t="shared" si="152"/>
        <v>0.11196620811451895</v>
      </c>
      <c r="U241" s="104">
        <f t="shared" si="152"/>
        <v>0.12448150362705597</v>
      </c>
      <c r="V241" s="104">
        <f t="shared" si="152"/>
        <v>0.13754198596146386</v>
      </c>
      <c r="W241" s="104">
        <f t="shared" si="152"/>
        <v>0.15114765511774261</v>
      </c>
      <c r="X241" s="104">
        <f t="shared" si="152"/>
        <v>0.1719279981673579</v>
      </c>
      <c r="Y241" s="104">
        <f t="shared" si="152"/>
        <v>0.19362053931444226</v>
      </c>
      <c r="Z241" s="104">
        <f t="shared" si="152"/>
        <v>0.21622527855899554</v>
      </c>
      <c r="AA241" s="104">
        <f t="shared" si="152"/>
        <v>0.23974221590101782</v>
      </c>
      <c r="AB241" s="104">
        <f t="shared" si="152"/>
        <v>0.26417135134050906</v>
      </c>
      <c r="AC241" s="104">
        <f t="shared" si="152"/>
        <v>0.28951268487746928</v>
      </c>
      <c r="AD241" s="104">
        <f t="shared" si="152"/>
        <v>0.31576621651189851</v>
      </c>
      <c r="AE241" s="104">
        <f t="shared" si="152"/>
        <v>0.34293194624379675</v>
      </c>
      <c r="AF241" s="104">
        <f t="shared" si="152"/>
        <v>0.37100987407316399</v>
      </c>
      <c r="AG241" s="104">
        <f t="shared" si="152"/>
        <v>0.4</v>
      </c>
      <c r="AJ241" s="198" t="s">
        <v>462</v>
      </c>
    </row>
    <row r="242" spans="1:63" outlineLevel="1">
      <c r="C242" s="104"/>
      <c r="D242" s="104"/>
      <c r="E242" s="104"/>
      <c r="F242" s="104"/>
      <c r="G242" s="104"/>
      <c r="H242" s="104"/>
      <c r="I242" s="104"/>
      <c r="J242" s="104"/>
      <c r="K242" s="104"/>
      <c r="L242" s="104"/>
      <c r="M242" s="104"/>
      <c r="N242" s="104"/>
      <c r="O242" s="104"/>
      <c r="P242" s="104"/>
      <c r="Q242" s="104"/>
      <c r="R242" s="104"/>
      <c r="S242" s="104"/>
      <c r="T242" s="104"/>
      <c r="U242" s="104"/>
      <c r="V242" s="104"/>
      <c r="W242" s="104"/>
      <c r="X242" s="104"/>
      <c r="Y242" s="104"/>
      <c r="Z242" s="104"/>
      <c r="AA242" s="104"/>
      <c r="AB242" s="104"/>
      <c r="AC242" s="104"/>
      <c r="AD242" s="104"/>
      <c r="AE242" s="104"/>
      <c r="AF242" s="104"/>
      <c r="AG242" s="104"/>
      <c r="AI242" s="127"/>
      <c r="AJ242" s="198"/>
      <c r="BC242" s="1"/>
      <c r="BD242" s="38"/>
      <c r="BF242" s="6"/>
      <c r="BG242" s="6"/>
      <c r="BH242" s="6"/>
      <c r="BI242" s="6"/>
      <c r="BJ242" s="6"/>
    </row>
    <row r="243" spans="1:63" s="1" customFormat="1" outlineLevel="1">
      <c r="A243" s="1" t="s">
        <v>261</v>
      </c>
      <c r="B243" s="61"/>
      <c r="C243" s="279">
        <f>C241*C41</f>
        <v>99.474234856949025</v>
      </c>
      <c r="D243" s="279">
        <f t="shared" ref="D243:AG243" si="153">D241*D41</f>
        <v>154.40563991043439</v>
      </c>
      <c r="E243" s="279">
        <f t="shared" si="153"/>
        <v>215.33391487654706</v>
      </c>
      <c r="F243" s="279">
        <f t="shared" si="153"/>
        <v>282.25905975528701</v>
      </c>
      <c r="G243" s="279">
        <f t="shared" si="153"/>
        <v>355.18107454665426</v>
      </c>
      <c r="H243" s="279">
        <f t="shared" si="153"/>
        <v>434.09995925064879</v>
      </c>
      <c r="I243" s="279">
        <f t="shared" si="153"/>
        <v>519.01571386727073</v>
      </c>
      <c r="J243" s="279">
        <f t="shared" si="153"/>
        <v>609.92833839651985</v>
      </c>
      <c r="K243" s="279">
        <f t="shared" si="153"/>
        <v>706.83783283839637</v>
      </c>
      <c r="L243" s="279">
        <f t="shared" si="153"/>
        <v>809.74419719290017</v>
      </c>
      <c r="M243" s="279">
        <f t="shared" si="153"/>
        <v>918.64743146003104</v>
      </c>
      <c r="N243" s="279">
        <f t="shared" si="153"/>
        <v>1120.3238909918798</v>
      </c>
      <c r="O243" s="279">
        <f t="shared" si="153"/>
        <v>1334.6399071088049</v>
      </c>
      <c r="P243" s="279">
        <f t="shared" si="153"/>
        <v>1561.595479810806</v>
      </c>
      <c r="Q243" s="279">
        <f t="shared" si="153"/>
        <v>1801.1906090978825</v>
      </c>
      <c r="R243" s="279">
        <f t="shared" si="153"/>
        <v>2053.4252949700358</v>
      </c>
      <c r="S243" s="279">
        <f t="shared" si="153"/>
        <v>2318.2995374272641</v>
      </c>
      <c r="T243" s="279">
        <f t="shared" si="153"/>
        <v>2595.8133364695691</v>
      </c>
      <c r="U243" s="279">
        <f t="shared" si="153"/>
        <v>2885.9666920969503</v>
      </c>
      <c r="V243" s="279">
        <f t="shared" si="153"/>
        <v>3188.7596043094068</v>
      </c>
      <c r="W243" s="279">
        <f t="shared" si="153"/>
        <v>3504.1920731069399</v>
      </c>
      <c r="X243" s="279">
        <f t="shared" si="153"/>
        <v>3985.9614616838248</v>
      </c>
      <c r="Y243" s="279">
        <f t="shared" si="153"/>
        <v>4488.8791594406594</v>
      </c>
      <c r="Z243" s="279">
        <f t="shared" si="153"/>
        <v>5012.9451663774398</v>
      </c>
      <c r="AA243" s="279">
        <f t="shared" si="153"/>
        <v>5558.1594824941676</v>
      </c>
      <c r="AB243" s="279">
        <f t="shared" si="153"/>
        <v>6124.5221077908418</v>
      </c>
      <c r="AC243" s="279">
        <f t="shared" si="153"/>
        <v>6712.0330422674633</v>
      </c>
      <c r="AD243" s="279">
        <f t="shared" si="153"/>
        <v>7320.6922859240321</v>
      </c>
      <c r="AE243" s="279">
        <f t="shared" si="153"/>
        <v>7950.4998387605492</v>
      </c>
      <c r="AF243" s="279">
        <f t="shared" si="153"/>
        <v>8601.4557007770145</v>
      </c>
      <c r="AG243" s="279">
        <f t="shared" si="153"/>
        <v>9273.5598719734207</v>
      </c>
      <c r="AH243" s="230"/>
      <c r="AI243" s="398"/>
      <c r="AJ243" s="399"/>
      <c r="AL243" s="207"/>
      <c r="AM243" s="118"/>
      <c r="AN243" s="118"/>
      <c r="AO243" s="118"/>
      <c r="BD243" s="118"/>
      <c r="BE243" s="118"/>
      <c r="BF243" s="118"/>
      <c r="BG243" s="118"/>
      <c r="BH243" s="118"/>
      <c r="BI243" s="118"/>
      <c r="BJ243" s="118"/>
      <c r="BK243" s="118"/>
    </row>
    <row r="244" spans="1:63" outlineLevel="1">
      <c r="A244" s="4" t="s">
        <v>35</v>
      </c>
      <c r="C244" s="216">
        <f>C$243*'BTX recycling rates'!E86</f>
        <v>0</v>
      </c>
      <c r="D244" s="216">
        <f>D$243*'BTX recycling rates'!F86</f>
        <v>3.0761416826530614</v>
      </c>
      <c r="E244" s="216">
        <f>E$243*'BTX recycling rates'!G86</f>
        <v>8.5799667890997711</v>
      </c>
      <c r="F244" s="216">
        <f>F$243*'BTX recycling rates'!H86</f>
        <v>16.869892696730904</v>
      </c>
      <c r="G244" s="216">
        <f>G$243*'BTX recycling rates'!I86</f>
        <v>28.304336782937238</v>
      </c>
      <c r="H244" s="216">
        <f>H$243*'BTX recycling rates'!J86</f>
        <v>43.241716425109544</v>
      </c>
      <c r="I244" s="216">
        <f>I$243*'BTX recycling rates'!K86</f>
        <v>62.040449000638624</v>
      </c>
      <c r="J244" s="216">
        <f>J$243*'BTX recycling rates'!L86</f>
        <v>85.058951886915224</v>
      </c>
      <c r="K244" s="216">
        <f>K$243*'BTX recycling rates'!M86</f>
        <v>112.65564246133013</v>
      </c>
      <c r="L244" s="216">
        <f>L$243*'BTX recycling rates'!N86</f>
        <v>145.18893810127412</v>
      </c>
      <c r="M244" s="216">
        <f>M$243*'BTX recycling rates'!O86</f>
        <v>183.01725618413795</v>
      </c>
      <c r="N244" s="216">
        <f>N$243*'BTX recycling rates'!P86</f>
        <v>245.51580649945049</v>
      </c>
      <c r="O244" s="216">
        <f>O$243*'BTX recycling rates'!Q86</f>
        <v>319.07187732036931</v>
      </c>
      <c r="P244" s="216">
        <f>P$243*'BTX recycling rates'!R86</f>
        <v>404.44090219616419</v>
      </c>
      <c r="Q244" s="216">
        <f>Q$243*'BTX recycling rates'!S86</f>
        <v>502.37831467610471</v>
      </c>
      <c r="R244" s="216">
        <f>R$243*'BTX recycling rates'!T86</f>
        <v>613.63954830946102</v>
      </c>
      <c r="S244" s="216">
        <f>S$243*'BTX recycling rates'!U86</f>
        <v>738.98003664550242</v>
      </c>
      <c r="T244" s="216">
        <f>T$243*'BTX recycling rates'!V86</f>
        <v>879.15521323349913</v>
      </c>
      <c r="U244" s="216">
        <f>U$243*'BTX recycling rates'!W86</f>
        <v>1034.9205116227211</v>
      </c>
      <c r="V244" s="216">
        <f>V$243*'BTX recycling rates'!X86</f>
        <v>1207.0313653624373</v>
      </c>
      <c r="W244" s="216">
        <f>W$243*'BTX recycling rates'!Y86</f>
        <v>1396.2432080019184</v>
      </c>
      <c r="X244" s="216">
        <f>X$243*'BTX recycling rates'!Z86</f>
        <v>1667.6141253763908</v>
      </c>
      <c r="Y244" s="216">
        <f>Y$243*'BTX recycling rates'!AA86</f>
        <v>1967.4502989183093</v>
      </c>
      <c r="Z244" s="216">
        <f>Z$243*'BTX recycling rates'!AB86</f>
        <v>2297.0157082742153</v>
      </c>
      <c r="AA244" s="216">
        <f>AA$243*'BTX recycling rates'!AC86</f>
        <v>2657.5743330906521</v>
      </c>
      <c r="AB244" s="216">
        <f>AB$243*'BTX recycling rates'!AD86</f>
        <v>3050.3901530141625</v>
      </c>
      <c r="AC244" s="216">
        <f>AC$243*'BTX recycling rates'!AE86</f>
        <v>3476.7271476912892</v>
      </c>
      <c r="AD244" s="216">
        <f>AD$243*'BTX recycling rates'!AF86</f>
        <v>3937.8492967685756</v>
      </c>
      <c r="AE244" s="216">
        <f>AE$243*'BTX recycling rates'!AG86</f>
        <v>4435.0205798925645</v>
      </c>
      <c r="AF244" s="216">
        <f>AF$243*'BTX recycling rates'!AH86</f>
        <v>4969.5049767097989</v>
      </c>
      <c r="AG244" s="216">
        <f>AG$243*'BTX recycling rates'!AI86</f>
        <v>5542.5664668668205</v>
      </c>
      <c r="AH244" s="230"/>
      <c r="AI244" s="126"/>
      <c r="AJ244" s="198"/>
      <c r="AL244" s="102"/>
      <c r="AM244" s="2"/>
      <c r="AN244" s="2"/>
      <c r="AO244" s="2"/>
      <c r="BC244" s="1"/>
      <c r="BD244" s="2"/>
      <c r="BE244" s="2"/>
      <c r="BF244" s="2"/>
      <c r="BG244" s="2"/>
      <c r="BH244" s="2"/>
      <c r="BI244" s="2"/>
      <c r="BJ244" s="2"/>
      <c r="BK244" s="2"/>
    </row>
    <row r="245" spans="1:63" outlineLevel="1">
      <c r="A245" s="4" t="s">
        <v>74</v>
      </c>
      <c r="C245" s="216">
        <f>C$243*'BTX recycling rates'!E87</f>
        <v>54.742691417404295</v>
      </c>
      <c r="D245" s="216">
        <f>D$243*'BTX recycling rates'!F87</f>
        <v>83.804522095507082</v>
      </c>
      <c r="E245" s="216">
        <f>E$243*'BTX recycling rates'!G87</f>
        <v>115.24474015353258</v>
      </c>
      <c r="F245" s="216">
        <f>F$243*'BTX recycling rates'!H87</f>
        <v>148.9272514848623</v>
      </c>
      <c r="G245" s="216">
        <f>G$243*'BTX recycling rates'!I87</f>
        <v>184.71596198287779</v>
      </c>
      <c r="H245" s="216">
        <f>H$243*'BTX recycling rates'!J87</f>
        <v>222.47477754096053</v>
      </c>
      <c r="I245" s="216">
        <f>I$243*'BTX recycling rates'!K87</f>
        <v>262.06760405249213</v>
      </c>
      <c r="J245" s="216">
        <f>J$243*'BTX recycling rates'!L87</f>
        <v>303.35834741085392</v>
      </c>
      <c r="K245" s="216">
        <f>K$243*'BTX recycling rates'!M87</f>
        <v>346.21091350942766</v>
      </c>
      <c r="L245" s="216">
        <f>L$243*'BTX recycling rates'!N87</f>
        <v>390.48920824159467</v>
      </c>
      <c r="M245" s="216">
        <f>M$243*'BTX recycling rates'!O87</f>
        <v>436.05713750073642</v>
      </c>
      <c r="N245" s="216">
        <f>N$243*'BTX recycling rates'!P87</f>
        <v>523.31256089638009</v>
      </c>
      <c r="O245" s="216">
        <f>O$243*'BTX recycling rates'!Q87</f>
        <v>613.3251549804661</v>
      </c>
      <c r="P245" s="216">
        <f>P$243*'BTX recycling rates'!R87</f>
        <v>705.80807525135219</v>
      </c>
      <c r="Q245" s="216">
        <f>Q$243*'BTX recycling rates'!S87</f>
        <v>800.47447720739638</v>
      </c>
      <c r="R245" s="216">
        <f>R$243*'BTX recycling rates'!T87</f>
        <v>897.03751634695698</v>
      </c>
      <c r="S245" s="216">
        <f>S$243*'BTX recycling rates'!U87</f>
        <v>995.21034816839119</v>
      </c>
      <c r="T245" s="216">
        <f>T$243*'BTX recycling rates'!V87</f>
        <v>1094.7061281700578</v>
      </c>
      <c r="U245" s="216">
        <f>U$243*'BTX recycling rates'!W87</f>
        <v>1195.2380118503147</v>
      </c>
      <c r="V245" s="216">
        <f>V$243*'BTX recycling rates'!X87</f>
        <v>1296.5191547075192</v>
      </c>
      <c r="W245" s="216">
        <f>W$243*'BTX recycling rates'!Y87</f>
        <v>1398.2627122400302</v>
      </c>
      <c r="X245" s="216">
        <f>X$243*'BTX recycling rates'!Z87</f>
        <v>1560.348359576871</v>
      </c>
      <c r="Y245" s="216">
        <f>Y$243*'BTX recycling rates'!AA87</f>
        <v>1723.2638526219987</v>
      </c>
      <c r="Z245" s="216">
        <f>Z$243*'BTX recycling rates'!AB87</f>
        <v>1886.5292476237091</v>
      </c>
      <c r="AA245" s="216">
        <f>AA$243*'BTX recycling rates'!AC87</f>
        <v>2049.664600830301</v>
      </c>
      <c r="AB245" s="216">
        <f>AB$243*'BTX recycling rates'!AD87</f>
        <v>2212.1899684900714</v>
      </c>
      <c r="AC245" s="216">
        <f>AC$243*'BTX recycling rates'!AE87</f>
        <v>2373.6254068513185</v>
      </c>
      <c r="AD245" s="216">
        <f>AD$243*'BTX recycling rates'!AF87</f>
        <v>2533.4909721623408</v>
      </c>
      <c r="AE245" s="216">
        <f>AE$243*'BTX recycling rates'!AG87</f>
        <v>2691.3067206714359</v>
      </c>
      <c r="AF245" s="216">
        <f>AF$243*'BTX recycling rates'!AH87</f>
        <v>2846.5927086269016</v>
      </c>
      <c r="AG245" s="216">
        <f>AG$243*'BTX recycling rates'!AI87</f>
        <v>2998.8689922770304</v>
      </c>
      <c r="AH245" s="230"/>
      <c r="AI245" s="126"/>
      <c r="AJ245" s="198"/>
      <c r="AL245" s="102"/>
      <c r="AM245" s="2"/>
      <c r="AN245" s="2"/>
      <c r="AO245" s="2"/>
      <c r="BC245" s="1"/>
      <c r="BD245" s="2"/>
      <c r="BE245" s="2"/>
      <c r="BF245" s="2"/>
      <c r="BG245" s="2"/>
      <c r="BH245" s="2"/>
      <c r="BI245" s="2"/>
      <c r="BJ245" s="2"/>
      <c r="BK245" s="2"/>
    </row>
    <row r="246" spans="1:63" outlineLevel="1">
      <c r="A246" s="4" t="s">
        <v>160</v>
      </c>
      <c r="C246" s="216">
        <f>C$243*'BTX recycling rates'!E88</f>
        <v>41.653174585303418</v>
      </c>
      <c r="D246" s="216">
        <f>D$243*'BTX recycling rates'!F88</f>
        <v>62.872854698891118</v>
      </c>
      <c r="E246" s="216">
        <f>E$243*'BTX recycling rates'!G88</f>
        <v>85.197330462342208</v>
      </c>
      <c r="F246" s="216">
        <f>F$243*'BTX recycling rates'!H88</f>
        <v>108.41898006858378</v>
      </c>
      <c r="G246" s="216">
        <f>G$243*'BTX recycling rates'!I88</f>
        <v>132.33018171054292</v>
      </c>
      <c r="H246" s="216">
        <f>H$243*'BTX recycling rates'!J88</f>
        <v>156.72331358114673</v>
      </c>
      <c r="I246" s="216">
        <f>I$243*'BTX recycling rates'!K88</f>
        <v>181.39075387332235</v>
      </c>
      <c r="J246" s="216">
        <f>J$243*'BTX recycling rates'!L88</f>
        <v>206.12488077999677</v>
      </c>
      <c r="K246" s="216">
        <f>K$243*'BTX recycling rates'!M88</f>
        <v>230.71807249409719</v>
      </c>
      <c r="L246" s="216">
        <f>L$243*'BTX recycling rates'!N88</f>
        <v>254.96270720855063</v>
      </c>
      <c r="M246" s="216">
        <f>M$243*'BTX recycling rates'!O88</f>
        <v>278.65116311628412</v>
      </c>
      <c r="N246" s="216">
        <f>N$243*'BTX recycling rates'!P88</f>
        <v>326.89603783077013</v>
      </c>
      <c r="O246" s="216">
        <f>O$243*'BTX recycling rates'!Q88</f>
        <v>374.02818352171602</v>
      </c>
      <c r="P246" s="216">
        <f>P$243*'BTX recycling rates'!R88</f>
        <v>419.60999730344497</v>
      </c>
      <c r="Q246" s="216">
        <f>Q$243*'BTX recycling rates'!S88</f>
        <v>463.20387629028022</v>
      </c>
      <c r="R246" s="216">
        <f>R$243*'BTX recycling rates'!T88</f>
        <v>504.37221759654523</v>
      </c>
      <c r="S246" s="216">
        <f>S$243*'BTX recycling rates'!U88</f>
        <v>542.67741833656282</v>
      </c>
      <c r="T246" s="216">
        <f>T$243*'BTX recycling rates'!V88</f>
        <v>577.68187562465687</v>
      </c>
      <c r="U246" s="216">
        <f>U$243*'BTX recycling rates'!W88</f>
        <v>608.94798657515025</v>
      </c>
      <c r="V246" s="216">
        <f>V$243*'BTX recycling rates'!X88</f>
        <v>636.03814830236615</v>
      </c>
      <c r="W246" s="216">
        <f>W$243*'BTX recycling rates'!Y88</f>
        <v>658.5147579206282</v>
      </c>
      <c r="X246" s="216">
        <f>X$243*'BTX recycling rates'!Z88</f>
        <v>703.04957287930995</v>
      </c>
      <c r="Y246" s="216">
        <f>Y$243*'BTX recycling rates'!AA88</f>
        <v>739.95071114892119</v>
      </c>
      <c r="Z246" s="216">
        <f>Z$243*'BTX recycling rates'!AB88</f>
        <v>768.48598239809678</v>
      </c>
      <c r="AA246" s="216">
        <f>AA$243*'BTX recycling rates'!AC88</f>
        <v>787.92319629547228</v>
      </c>
      <c r="AB246" s="216">
        <f>AB$243*'BTX recycling rates'!AD88</f>
        <v>797.5301625096829</v>
      </c>
      <c r="AC246" s="216">
        <f>AC$243*'BTX recycling rates'!AE88</f>
        <v>796.57469070936418</v>
      </c>
      <c r="AD246" s="216">
        <f>AD$243*'BTX recycling rates'!AF88</f>
        <v>784.32459056315156</v>
      </c>
      <c r="AE246" s="216">
        <f>AE$243*'BTX recycling rates'!AG88</f>
        <v>760.04767173968037</v>
      </c>
      <c r="AF246" s="216">
        <f>AF$243*'BTX recycling rates'!AH88</f>
        <v>723.01174390758604</v>
      </c>
      <c r="AG246" s="216">
        <f>AG$243*'BTX recycling rates'!AI88</f>
        <v>672.48461673550605</v>
      </c>
      <c r="AH246" s="230"/>
      <c r="AI246" s="126"/>
      <c r="AJ246" s="198"/>
      <c r="AL246" s="102"/>
      <c r="AM246" s="2"/>
      <c r="AN246" s="2"/>
      <c r="AO246" s="2"/>
      <c r="BC246" s="1"/>
      <c r="BD246" s="2"/>
      <c r="BE246" s="2"/>
      <c r="BF246" s="2"/>
      <c r="BG246" s="2"/>
      <c r="BH246" s="2"/>
      <c r="BI246" s="2"/>
      <c r="BJ246" s="2"/>
      <c r="BK246" s="2"/>
    </row>
    <row r="247" spans="1:63" outlineLevel="1">
      <c r="A247" s="4" t="s">
        <v>1159</v>
      </c>
      <c r="C247" s="216">
        <f>C$243*'BTX recycling rates'!E89</f>
        <v>3.0783688542413037</v>
      </c>
      <c r="D247" s="216">
        <f>D$243*'BTX recycling rates'!F89</f>
        <v>4.6521214333831233</v>
      </c>
      <c r="E247" s="216">
        <f>E$243*'BTX recycling rates'!G89</f>
        <v>6.3118774715725001</v>
      </c>
      <c r="F247" s="216">
        <f>F$243*'BTX recycling rates'!H89</f>
        <v>8.0429355051100409</v>
      </c>
      <c r="G247" s="216">
        <f>G$243*'BTX recycling rates'!I89</f>
        <v>9.8305940702963586</v>
      </c>
      <c r="H247" s="216">
        <f>H$243*'BTX recycling rates'!J89</f>
        <v>11.660151703432058</v>
      </c>
      <c r="I247" s="216">
        <f>I$243*'BTX recycling rates'!K89</f>
        <v>13.516906940817755</v>
      </c>
      <c r="J247" s="216">
        <f>J$243*'BTX recycling rates'!L89</f>
        <v>15.386158318754049</v>
      </c>
      <c r="K247" s="216">
        <f>K$243*'BTX recycling rates'!M89</f>
        <v>17.253204373541557</v>
      </c>
      <c r="L247" s="216">
        <f>L$243*'BTX recycling rates'!N89</f>
        <v>19.10334364148089</v>
      </c>
      <c r="M247" s="216">
        <f>M$243*'BTX recycling rates'!O89</f>
        <v>20.921874658872643</v>
      </c>
      <c r="N247" s="216">
        <f>N$243*'BTX recycling rates'!P89</f>
        <v>24.599485765279287</v>
      </c>
      <c r="O247" s="216">
        <f>O$243*'BTX recycling rates'!Q89</f>
        <v>28.214691286253647</v>
      </c>
      <c r="P247" s="216">
        <f>P$243*'BTX recycling rates'!R89</f>
        <v>31.736505059844685</v>
      </c>
      <c r="Q247" s="216">
        <f>Q$243*'BTX recycling rates'!S89</f>
        <v>35.133940924101374</v>
      </c>
      <c r="R247" s="216">
        <f>R$243*'BTX recycling rates'!T89</f>
        <v>38.376012717072705</v>
      </c>
      <c r="S247" s="216">
        <f>S$243*'BTX recycling rates'!U89</f>
        <v>41.431734276807632</v>
      </c>
      <c r="T247" s="216">
        <f>T$243*'BTX recycling rates'!V89</f>
        <v>44.270119441355163</v>
      </c>
      <c r="U247" s="216">
        <f>U$243*'BTX recycling rates'!W89</f>
        <v>46.860182048764251</v>
      </c>
      <c r="V247" s="216">
        <f>V$243*'BTX recycling rates'!X89</f>
        <v>49.170935937083883</v>
      </c>
      <c r="W247" s="216">
        <f>W$243*'BTX recycling rates'!Y89</f>
        <v>51.171394944363037</v>
      </c>
      <c r="X247" s="216">
        <f>X$243*'BTX recycling rates'!Z89</f>
        <v>54.949403851252718</v>
      </c>
      <c r="Y247" s="216">
        <f>Y$243*'BTX recycling rates'!AA89</f>
        <v>58.214296751429671</v>
      </c>
      <c r="Z247" s="216">
        <f>Z$243*'BTX recycling rates'!AB89</f>
        <v>60.914228081417832</v>
      </c>
      <c r="AA247" s="216">
        <f>AA$243*'BTX recycling rates'!AC89</f>
        <v>62.997352277741221</v>
      </c>
      <c r="AB247" s="216">
        <f>AB$243*'BTX recycling rates'!AD89</f>
        <v>64.411823776923811</v>
      </c>
      <c r="AC247" s="216">
        <f>AC$243*'BTX recycling rates'!AE89</f>
        <v>65.1057970154896</v>
      </c>
      <c r="AD247" s="216">
        <f>AD$243*'BTX recycling rates'!AF89</f>
        <v>65.027426429962588</v>
      </c>
      <c r="AE247" s="216">
        <f>AE$243*'BTX recycling rates'!AG89</f>
        <v>64.124866456866769</v>
      </c>
      <c r="AF247" s="216">
        <f>AF$243*'BTX recycling rates'!AH89</f>
        <v>62.346271532726128</v>
      </c>
      <c r="AG247" s="216">
        <f>AG$243*'BTX recycling rates'!AI89</f>
        <v>59.639796094064792</v>
      </c>
      <c r="AH247" s="230"/>
      <c r="AI247" s="126"/>
      <c r="AJ247" s="198"/>
      <c r="AL247" s="102"/>
      <c r="AM247" s="2"/>
      <c r="AN247" s="2"/>
      <c r="AO247" s="2"/>
      <c r="BC247" s="1"/>
      <c r="BD247" s="2"/>
      <c r="BE247" s="2"/>
      <c r="BF247" s="2"/>
      <c r="BG247" s="2"/>
      <c r="BH247" s="2"/>
      <c r="BI247" s="2"/>
      <c r="BJ247" s="2"/>
      <c r="BK247" s="2"/>
    </row>
    <row r="248" spans="1:63" s="1" customFormat="1" outlineLevel="1">
      <c r="A248" s="1" t="s">
        <v>1160</v>
      </c>
      <c r="B248" s="61"/>
      <c r="C248" s="279">
        <f t="shared" ref="C248:AG248" si="154">C243-$C243</f>
        <v>0</v>
      </c>
      <c r="D248" s="279">
        <f t="shared" si="154"/>
        <v>54.931405053485364</v>
      </c>
      <c r="E248" s="279">
        <f t="shared" si="154"/>
        <v>115.85968001959803</v>
      </c>
      <c r="F248" s="279">
        <f t="shared" si="154"/>
        <v>182.784824898338</v>
      </c>
      <c r="G248" s="279">
        <f t="shared" si="154"/>
        <v>255.70683968970525</v>
      </c>
      <c r="H248" s="279">
        <f t="shared" si="154"/>
        <v>334.62572439369978</v>
      </c>
      <c r="I248" s="279">
        <f t="shared" si="154"/>
        <v>419.54147901032172</v>
      </c>
      <c r="J248" s="279">
        <f t="shared" si="154"/>
        <v>510.45410353957084</v>
      </c>
      <c r="K248" s="279">
        <f t="shared" si="154"/>
        <v>607.36359798144736</v>
      </c>
      <c r="L248" s="279">
        <f t="shared" si="154"/>
        <v>710.26996233595116</v>
      </c>
      <c r="M248" s="279">
        <f t="shared" si="154"/>
        <v>819.17319660308203</v>
      </c>
      <c r="N248" s="279">
        <f t="shared" si="154"/>
        <v>1020.8496561349308</v>
      </c>
      <c r="O248" s="279">
        <f t="shared" si="154"/>
        <v>1235.1656722518558</v>
      </c>
      <c r="P248" s="279">
        <f t="shared" si="154"/>
        <v>1462.1212449538568</v>
      </c>
      <c r="Q248" s="279">
        <f t="shared" si="154"/>
        <v>1701.7163742409334</v>
      </c>
      <c r="R248" s="279">
        <f t="shared" si="154"/>
        <v>1953.9510601130867</v>
      </c>
      <c r="S248" s="279">
        <f t="shared" si="154"/>
        <v>2218.8253025703152</v>
      </c>
      <c r="T248" s="279">
        <f t="shared" si="154"/>
        <v>2496.3391016126202</v>
      </c>
      <c r="U248" s="279">
        <f t="shared" si="154"/>
        <v>2786.4924572400014</v>
      </c>
      <c r="V248" s="279">
        <f t="shared" si="154"/>
        <v>3089.2853694524579</v>
      </c>
      <c r="W248" s="279">
        <f t="shared" si="154"/>
        <v>3404.717838249991</v>
      </c>
      <c r="X248" s="279">
        <f t="shared" si="154"/>
        <v>3886.4872268268759</v>
      </c>
      <c r="Y248" s="279">
        <f t="shared" si="154"/>
        <v>4389.4049245837105</v>
      </c>
      <c r="Z248" s="279">
        <f t="shared" si="154"/>
        <v>4913.4709315204909</v>
      </c>
      <c r="AA248" s="279">
        <f t="shared" si="154"/>
        <v>5458.6852476372187</v>
      </c>
      <c r="AB248" s="279">
        <f t="shared" si="154"/>
        <v>6025.0478729338929</v>
      </c>
      <c r="AC248" s="279">
        <f t="shared" si="154"/>
        <v>6612.5588074105144</v>
      </c>
      <c r="AD248" s="279">
        <f t="shared" si="154"/>
        <v>7221.2180510670833</v>
      </c>
      <c r="AE248" s="279">
        <f t="shared" si="154"/>
        <v>7851.0256039036003</v>
      </c>
      <c r="AF248" s="279">
        <f t="shared" si="154"/>
        <v>8501.9814659200656</v>
      </c>
      <c r="AG248" s="279">
        <f t="shared" si="154"/>
        <v>9174.0856371164718</v>
      </c>
      <c r="AH248" s="230"/>
      <c r="AI248" s="398"/>
      <c r="AJ248" s="399"/>
      <c r="AL248" s="207"/>
      <c r="AM248" s="118"/>
      <c r="AN248" s="118"/>
      <c r="AO248" s="118"/>
      <c r="BD248" s="118"/>
      <c r="BE248" s="118"/>
      <c r="BF248" s="118"/>
      <c r="BG248" s="118"/>
      <c r="BH248" s="118"/>
      <c r="BI248" s="118"/>
      <c r="BJ248" s="118"/>
      <c r="BK248" s="118"/>
    </row>
    <row r="249" spans="1:63" outlineLevel="1">
      <c r="A249" s="4" t="s">
        <v>35</v>
      </c>
      <c r="C249" s="216">
        <f t="shared" ref="C249:AG249" si="155">C244-$C244</f>
        <v>0</v>
      </c>
      <c r="D249" s="216">
        <f t="shared" si="155"/>
        <v>3.0761416826530614</v>
      </c>
      <c r="E249" s="216">
        <f t="shared" si="155"/>
        <v>8.5799667890997711</v>
      </c>
      <c r="F249" s="216">
        <f t="shared" si="155"/>
        <v>16.869892696730904</v>
      </c>
      <c r="G249" s="216">
        <f t="shared" si="155"/>
        <v>28.304336782937238</v>
      </c>
      <c r="H249" s="216">
        <f t="shared" si="155"/>
        <v>43.241716425109544</v>
      </c>
      <c r="I249" s="216">
        <f t="shared" si="155"/>
        <v>62.040449000638624</v>
      </c>
      <c r="J249" s="216">
        <f t="shared" si="155"/>
        <v>85.058951886915224</v>
      </c>
      <c r="K249" s="216">
        <f t="shared" si="155"/>
        <v>112.65564246133013</v>
      </c>
      <c r="L249" s="216">
        <f t="shared" si="155"/>
        <v>145.18893810127412</v>
      </c>
      <c r="M249" s="216">
        <f t="shared" si="155"/>
        <v>183.01725618413795</v>
      </c>
      <c r="N249" s="216">
        <f t="shared" si="155"/>
        <v>245.51580649945049</v>
      </c>
      <c r="O249" s="216">
        <f t="shared" si="155"/>
        <v>319.07187732036931</v>
      </c>
      <c r="P249" s="216">
        <f t="shared" si="155"/>
        <v>404.44090219616419</v>
      </c>
      <c r="Q249" s="216">
        <f t="shared" si="155"/>
        <v>502.37831467610471</v>
      </c>
      <c r="R249" s="216">
        <f t="shared" si="155"/>
        <v>613.63954830946102</v>
      </c>
      <c r="S249" s="216">
        <f t="shared" si="155"/>
        <v>738.98003664550242</v>
      </c>
      <c r="T249" s="216">
        <f t="shared" si="155"/>
        <v>879.15521323349913</v>
      </c>
      <c r="U249" s="216">
        <f t="shared" si="155"/>
        <v>1034.9205116227211</v>
      </c>
      <c r="V249" s="216">
        <f t="shared" si="155"/>
        <v>1207.0313653624373</v>
      </c>
      <c r="W249" s="216">
        <f t="shared" si="155"/>
        <v>1396.2432080019184</v>
      </c>
      <c r="X249" s="216">
        <f t="shared" si="155"/>
        <v>1667.6141253763908</v>
      </c>
      <c r="Y249" s="216">
        <f t="shared" si="155"/>
        <v>1967.4502989183093</v>
      </c>
      <c r="Z249" s="216">
        <f t="shared" si="155"/>
        <v>2297.0157082742153</v>
      </c>
      <c r="AA249" s="216">
        <f t="shared" si="155"/>
        <v>2657.5743330906521</v>
      </c>
      <c r="AB249" s="216">
        <f t="shared" si="155"/>
        <v>3050.3901530141625</v>
      </c>
      <c r="AC249" s="216">
        <f t="shared" si="155"/>
        <v>3476.7271476912892</v>
      </c>
      <c r="AD249" s="216">
        <f t="shared" si="155"/>
        <v>3937.8492967685756</v>
      </c>
      <c r="AE249" s="216">
        <f t="shared" si="155"/>
        <v>4435.0205798925645</v>
      </c>
      <c r="AF249" s="216">
        <f t="shared" si="155"/>
        <v>4969.5049767097989</v>
      </c>
      <c r="AG249" s="216">
        <f t="shared" si="155"/>
        <v>5542.5664668668205</v>
      </c>
      <c r="AH249" s="230"/>
      <c r="AI249" s="126"/>
      <c r="AJ249" s="198"/>
      <c r="AL249" s="102"/>
      <c r="AM249" s="2"/>
      <c r="AN249" s="2"/>
      <c r="AO249" s="2"/>
      <c r="BC249" s="1"/>
      <c r="BD249" s="2"/>
      <c r="BE249" s="2"/>
      <c r="BF249" s="2"/>
      <c r="BG249" s="2"/>
      <c r="BH249" s="2"/>
      <c r="BI249" s="2"/>
      <c r="BJ249" s="2"/>
      <c r="BK249" s="2"/>
    </row>
    <row r="250" spans="1:63" outlineLevel="1">
      <c r="A250" s="4" t="s">
        <v>74</v>
      </c>
      <c r="C250" s="216">
        <f t="shared" ref="C250:AG250" si="156">C245-$C245</f>
        <v>0</v>
      </c>
      <c r="D250" s="216">
        <f t="shared" si="156"/>
        <v>29.061830678102787</v>
      </c>
      <c r="E250" s="216">
        <f t="shared" si="156"/>
        <v>60.50204873612828</v>
      </c>
      <c r="F250" s="216">
        <f t="shared" si="156"/>
        <v>94.184560067457994</v>
      </c>
      <c r="G250" s="216">
        <f t="shared" si="156"/>
        <v>129.97327056547348</v>
      </c>
      <c r="H250" s="216">
        <f t="shared" si="156"/>
        <v>167.73208612355623</v>
      </c>
      <c r="I250" s="216">
        <f t="shared" si="156"/>
        <v>207.32491263508783</v>
      </c>
      <c r="J250" s="216">
        <f t="shared" si="156"/>
        <v>248.61565599344962</v>
      </c>
      <c r="K250" s="216">
        <f t="shared" si="156"/>
        <v>291.46822209202338</v>
      </c>
      <c r="L250" s="216">
        <f t="shared" si="156"/>
        <v>335.74651682419039</v>
      </c>
      <c r="M250" s="216">
        <f t="shared" si="156"/>
        <v>381.31444608333214</v>
      </c>
      <c r="N250" s="216">
        <f t="shared" si="156"/>
        <v>468.56986947897582</v>
      </c>
      <c r="O250" s="216">
        <f t="shared" si="156"/>
        <v>558.58246356306176</v>
      </c>
      <c r="P250" s="216">
        <f t="shared" si="156"/>
        <v>651.06538383394786</v>
      </c>
      <c r="Q250" s="216">
        <f t="shared" si="156"/>
        <v>745.73178578999205</v>
      </c>
      <c r="R250" s="216">
        <f t="shared" si="156"/>
        <v>842.29482492955265</v>
      </c>
      <c r="S250" s="216">
        <f t="shared" si="156"/>
        <v>940.46765675098686</v>
      </c>
      <c r="T250" s="216">
        <f t="shared" si="156"/>
        <v>1039.9634367526535</v>
      </c>
      <c r="U250" s="216">
        <f t="shared" si="156"/>
        <v>1140.4953204329104</v>
      </c>
      <c r="V250" s="216">
        <f t="shared" si="156"/>
        <v>1241.7764632901149</v>
      </c>
      <c r="W250" s="216">
        <f t="shared" si="156"/>
        <v>1343.5200208226258</v>
      </c>
      <c r="X250" s="216">
        <f t="shared" si="156"/>
        <v>1505.6056681594666</v>
      </c>
      <c r="Y250" s="216">
        <f t="shared" si="156"/>
        <v>1668.5211612045944</v>
      </c>
      <c r="Z250" s="216">
        <f t="shared" si="156"/>
        <v>1831.7865562063048</v>
      </c>
      <c r="AA250" s="216">
        <f t="shared" si="156"/>
        <v>1994.9219094128966</v>
      </c>
      <c r="AB250" s="216">
        <f t="shared" si="156"/>
        <v>2157.447277072667</v>
      </c>
      <c r="AC250" s="216">
        <f t="shared" si="156"/>
        <v>2318.8827154339142</v>
      </c>
      <c r="AD250" s="216">
        <f t="shared" si="156"/>
        <v>2478.7482807449364</v>
      </c>
      <c r="AE250" s="216">
        <f t="shared" si="156"/>
        <v>2636.5640292540315</v>
      </c>
      <c r="AF250" s="216">
        <f t="shared" si="156"/>
        <v>2791.8500172094973</v>
      </c>
      <c r="AG250" s="216">
        <f t="shared" si="156"/>
        <v>2944.1263008596261</v>
      </c>
      <c r="AH250" s="230"/>
      <c r="AI250" s="126"/>
      <c r="AJ250" s="198"/>
      <c r="AL250" s="102"/>
      <c r="AM250" s="2"/>
      <c r="AN250" s="2"/>
      <c r="AO250" s="2"/>
      <c r="BC250" s="1"/>
      <c r="BD250" s="2"/>
      <c r="BE250" s="2"/>
      <c r="BF250" s="2"/>
      <c r="BG250" s="2"/>
      <c r="BH250" s="2"/>
      <c r="BI250" s="2"/>
      <c r="BJ250" s="2"/>
      <c r="BK250" s="2"/>
    </row>
    <row r="251" spans="1:63" outlineLevel="1">
      <c r="A251" s="4" t="s">
        <v>160</v>
      </c>
      <c r="C251" s="216">
        <f t="shared" ref="C251:AG251" si="157">C246-$C246</f>
        <v>0</v>
      </c>
      <c r="D251" s="216">
        <f t="shared" si="157"/>
        <v>21.2196801135877</v>
      </c>
      <c r="E251" s="216">
        <f t="shared" si="157"/>
        <v>43.54415587703879</v>
      </c>
      <c r="F251" s="216">
        <f t="shared" si="157"/>
        <v>66.76580548328036</v>
      </c>
      <c r="G251" s="216">
        <f t="shared" si="157"/>
        <v>90.677007125239498</v>
      </c>
      <c r="H251" s="216">
        <f t="shared" si="157"/>
        <v>115.07013899584331</v>
      </c>
      <c r="I251" s="216">
        <f t="shared" si="157"/>
        <v>139.73757928801894</v>
      </c>
      <c r="J251" s="216">
        <f t="shared" si="157"/>
        <v>164.47170619469335</v>
      </c>
      <c r="K251" s="216">
        <f t="shared" si="157"/>
        <v>189.06489790879377</v>
      </c>
      <c r="L251" s="216">
        <f t="shared" si="157"/>
        <v>213.30953262324721</v>
      </c>
      <c r="M251" s="216">
        <f t="shared" si="157"/>
        <v>236.99798853098071</v>
      </c>
      <c r="N251" s="216">
        <f t="shared" si="157"/>
        <v>285.24286324546671</v>
      </c>
      <c r="O251" s="216">
        <f t="shared" si="157"/>
        <v>332.3750089364126</v>
      </c>
      <c r="P251" s="216">
        <f t="shared" si="157"/>
        <v>377.95682271814155</v>
      </c>
      <c r="Q251" s="216">
        <f t="shared" si="157"/>
        <v>421.5507017049768</v>
      </c>
      <c r="R251" s="216">
        <f t="shared" si="157"/>
        <v>462.71904301124181</v>
      </c>
      <c r="S251" s="216">
        <f t="shared" si="157"/>
        <v>501.02424375125941</v>
      </c>
      <c r="T251" s="216">
        <f t="shared" si="157"/>
        <v>536.02870103935345</v>
      </c>
      <c r="U251" s="216">
        <f t="shared" si="157"/>
        <v>567.29481198984683</v>
      </c>
      <c r="V251" s="216">
        <f t="shared" si="157"/>
        <v>594.38497371706273</v>
      </c>
      <c r="W251" s="216">
        <f t="shared" si="157"/>
        <v>616.86158333532478</v>
      </c>
      <c r="X251" s="216">
        <f t="shared" si="157"/>
        <v>661.39639829400653</v>
      </c>
      <c r="Y251" s="216">
        <f t="shared" si="157"/>
        <v>698.29753656361777</v>
      </c>
      <c r="Z251" s="216">
        <f t="shared" si="157"/>
        <v>726.83280781279336</v>
      </c>
      <c r="AA251" s="216">
        <f t="shared" si="157"/>
        <v>746.27002171016886</v>
      </c>
      <c r="AB251" s="216">
        <f t="shared" si="157"/>
        <v>755.87698792437948</v>
      </c>
      <c r="AC251" s="216">
        <f t="shared" si="157"/>
        <v>754.92151612406076</v>
      </c>
      <c r="AD251" s="216">
        <f t="shared" si="157"/>
        <v>742.67141597784814</v>
      </c>
      <c r="AE251" s="216">
        <f t="shared" si="157"/>
        <v>718.39449715437695</v>
      </c>
      <c r="AF251" s="216">
        <f t="shared" si="157"/>
        <v>681.35856932228262</v>
      </c>
      <c r="AG251" s="216">
        <f t="shared" si="157"/>
        <v>630.83144215020263</v>
      </c>
      <c r="AH251" s="230"/>
      <c r="AI251" s="126"/>
      <c r="AJ251" s="198"/>
      <c r="AL251" s="102"/>
      <c r="AM251" s="2"/>
      <c r="AN251" s="2"/>
      <c r="AO251" s="2"/>
      <c r="BC251" s="1"/>
      <c r="BD251" s="2"/>
      <c r="BE251" s="2"/>
      <c r="BF251" s="2"/>
      <c r="BG251" s="2"/>
      <c r="BH251" s="2"/>
      <c r="BI251" s="2"/>
      <c r="BJ251" s="2"/>
      <c r="BK251" s="2"/>
    </row>
    <row r="252" spans="1:63" outlineLevel="1">
      <c r="A252" s="4" t="s">
        <v>1159</v>
      </c>
      <c r="C252" s="216">
        <f t="shared" ref="C252:AG252" si="158">C247-$C247</f>
        <v>0</v>
      </c>
      <c r="D252" s="216">
        <f t="shared" si="158"/>
        <v>1.5737525791418197</v>
      </c>
      <c r="E252" s="216">
        <f t="shared" si="158"/>
        <v>3.2335086173311964</v>
      </c>
      <c r="F252" s="216">
        <f t="shared" si="158"/>
        <v>4.9645666508687372</v>
      </c>
      <c r="G252" s="216">
        <f t="shared" si="158"/>
        <v>6.7522252160550549</v>
      </c>
      <c r="H252" s="216">
        <f t="shared" si="158"/>
        <v>8.5817828491907555</v>
      </c>
      <c r="I252" s="216">
        <f t="shared" si="158"/>
        <v>10.43853808657645</v>
      </c>
      <c r="J252" s="216">
        <f t="shared" si="158"/>
        <v>12.307789464512744</v>
      </c>
      <c r="K252" s="216">
        <f t="shared" si="158"/>
        <v>14.174835519300252</v>
      </c>
      <c r="L252" s="216">
        <f t="shared" si="158"/>
        <v>16.024974787239586</v>
      </c>
      <c r="M252" s="216">
        <f t="shared" si="158"/>
        <v>17.843505804631338</v>
      </c>
      <c r="N252" s="216">
        <f t="shared" si="158"/>
        <v>21.521116911037982</v>
      </c>
      <c r="O252" s="216">
        <f t="shared" si="158"/>
        <v>25.136322432012342</v>
      </c>
      <c r="P252" s="216">
        <f t="shared" si="158"/>
        <v>28.65813620560338</v>
      </c>
      <c r="Q252" s="216">
        <f t="shared" si="158"/>
        <v>32.055572069860069</v>
      </c>
      <c r="R252" s="216">
        <f t="shared" si="158"/>
        <v>35.2976438628314</v>
      </c>
      <c r="S252" s="216">
        <f t="shared" si="158"/>
        <v>38.353365422566327</v>
      </c>
      <c r="T252" s="216">
        <f t="shared" si="158"/>
        <v>41.191750587113859</v>
      </c>
      <c r="U252" s="216">
        <f t="shared" si="158"/>
        <v>43.781813194522947</v>
      </c>
      <c r="V252" s="216">
        <f t="shared" si="158"/>
        <v>46.092567082842578</v>
      </c>
      <c r="W252" s="216">
        <f t="shared" si="158"/>
        <v>48.093026090121732</v>
      </c>
      <c r="X252" s="216">
        <f t="shared" si="158"/>
        <v>51.871034997011414</v>
      </c>
      <c r="Y252" s="216">
        <f t="shared" si="158"/>
        <v>55.135927897188367</v>
      </c>
      <c r="Z252" s="216">
        <f t="shared" si="158"/>
        <v>57.835859227176527</v>
      </c>
      <c r="AA252" s="216">
        <f t="shared" si="158"/>
        <v>59.918983423499917</v>
      </c>
      <c r="AB252" s="216">
        <f t="shared" si="158"/>
        <v>61.333454922682506</v>
      </c>
      <c r="AC252" s="216">
        <f t="shared" si="158"/>
        <v>62.027428161248295</v>
      </c>
      <c r="AD252" s="216">
        <f t="shared" si="158"/>
        <v>61.949057575721284</v>
      </c>
      <c r="AE252" s="216">
        <f t="shared" si="158"/>
        <v>61.046497602625465</v>
      </c>
      <c r="AF252" s="216">
        <f t="shared" si="158"/>
        <v>59.267902678484823</v>
      </c>
      <c r="AG252" s="216">
        <f t="shared" si="158"/>
        <v>56.561427239823487</v>
      </c>
      <c r="AH252" s="230"/>
      <c r="AI252" s="126"/>
      <c r="AJ252" s="198"/>
      <c r="AL252" s="102"/>
      <c r="AM252" s="2"/>
      <c r="AN252" s="2"/>
      <c r="AO252" s="2"/>
      <c r="BC252" s="1"/>
      <c r="BD252" s="2"/>
      <c r="BE252" s="2"/>
      <c r="BF252" s="2"/>
      <c r="BG252" s="2"/>
      <c r="BH252" s="2"/>
      <c r="BI252" s="2"/>
      <c r="BJ252" s="2"/>
      <c r="BK252" s="2"/>
    </row>
    <row r="253" spans="1:63" outlineLevel="1">
      <c r="AJ253" s="198"/>
    </row>
    <row r="254" spans="1:63" s="187" customFormat="1" ht="15.5" thickBot="1">
      <c r="A254" s="187" t="s">
        <v>463</v>
      </c>
      <c r="B254" s="202"/>
      <c r="C254" s="210">
        <f>C255</f>
        <v>0.05</v>
      </c>
      <c r="D254" s="210">
        <f t="shared" ref="D254:AG254" si="159">D255</f>
        <v>5.2260994000770548E-2</v>
      </c>
      <c r="E254" s="210">
        <f t="shared" si="159"/>
        <v>5.4521988001541094E-2</v>
      </c>
      <c r="F254" s="210">
        <f t="shared" si="159"/>
        <v>5.6782982002311633E-2</v>
      </c>
      <c r="G254" s="210">
        <f t="shared" si="159"/>
        <v>5.9043976003082178E-2</v>
      </c>
      <c r="H254" s="210">
        <f t="shared" si="159"/>
        <v>6.1304970003852724E-2</v>
      </c>
      <c r="I254" s="210">
        <f t="shared" si="159"/>
        <v>6.3565964004623277E-2</v>
      </c>
      <c r="J254" s="210">
        <f t="shared" si="159"/>
        <v>6.5826958005393815E-2</v>
      </c>
      <c r="K254" s="210">
        <f t="shared" si="159"/>
        <v>6.8087952006164354E-2</v>
      </c>
      <c r="L254" s="210">
        <f t="shared" si="159"/>
        <v>7.0348946006934907E-2</v>
      </c>
      <c r="M254" s="210">
        <f t="shared" si="159"/>
        <v>7.2609940007705445E-2</v>
      </c>
      <c r="N254" s="210">
        <f t="shared" si="159"/>
        <v>7.7375419670867973E-2</v>
      </c>
      <c r="O254" s="210">
        <f t="shared" si="159"/>
        <v>8.2140899334030501E-2</v>
      </c>
      <c r="P254" s="210">
        <f t="shared" si="159"/>
        <v>8.6906378997193029E-2</v>
      </c>
      <c r="Q254" s="210">
        <f t="shared" si="159"/>
        <v>9.1671858660355557E-2</v>
      </c>
      <c r="R254" s="210">
        <f t="shared" si="159"/>
        <v>9.6437338323518085E-2</v>
      </c>
      <c r="S254" s="210">
        <f t="shared" si="159"/>
        <v>0.10120281798668061</v>
      </c>
      <c r="T254" s="210">
        <f t="shared" si="159"/>
        <v>0.10596829764984314</v>
      </c>
      <c r="U254" s="210">
        <f t="shared" si="159"/>
        <v>0.11073377731300567</v>
      </c>
      <c r="V254" s="210">
        <f t="shared" si="159"/>
        <v>0.1154992569761682</v>
      </c>
      <c r="W254" s="210">
        <f t="shared" si="159"/>
        <v>0.12026473663933072</v>
      </c>
      <c r="X254" s="210">
        <f t="shared" si="159"/>
        <v>0.12823826297539764</v>
      </c>
      <c r="Y254" s="210">
        <f t="shared" si="159"/>
        <v>0.13621178931146458</v>
      </c>
      <c r="Z254" s="210">
        <f t="shared" si="159"/>
        <v>0.14418531564753151</v>
      </c>
      <c r="AA254" s="210">
        <f t="shared" si="159"/>
        <v>0.15215884198359844</v>
      </c>
      <c r="AB254" s="210">
        <f t="shared" si="159"/>
        <v>0.16013236831966537</v>
      </c>
      <c r="AC254" s="210">
        <f t="shared" si="159"/>
        <v>0.16810589465573231</v>
      </c>
      <c r="AD254" s="210">
        <f t="shared" si="159"/>
        <v>0.17607942099179924</v>
      </c>
      <c r="AE254" s="210">
        <f t="shared" si="159"/>
        <v>0.18405294732786615</v>
      </c>
      <c r="AF254" s="210">
        <f t="shared" si="159"/>
        <v>0.19202647366393311</v>
      </c>
      <c r="AG254" s="210">
        <f t="shared" si="159"/>
        <v>0.2</v>
      </c>
      <c r="AJ254" s="217" t="s">
        <v>472</v>
      </c>
      <c r="AL254" s="204"/>
      <c r="AM254" s="211"/>
      <c r="AN254" s="211"/>
      <c r="AO254" s="211"/>
    </row>
    <row r="255" spans="1:63" ht="15.5" outlineLevel="2" thickTop="1">
      <c r="A255" t="s">
        <v>464</v>
      </c>
      <c r="B255" s="51" t="s">
        <v>126</v>
      </c>
      <c r="C255" s="107">
        <v>0.05</v>
      </c>
      <c r="D255" s="104">
        <f>$C255+($M255-$C255)/10*(D$1-$C$1)</f>
        <v>5.2260994000770548E-2</v>
      </c>
      <c r="E255" s="104">
        <f t="shared" ref="E255:L255" si="160">$C255+($M255-$C255)/10*(E$1-$C$1)</f>
        <v>5.4521988001541094E-2</v>
      </c>
      <c r="F255" s="104">
        <f t="shared" si="160"/>
        <v>5.6782982002311633E-2</v>
      </c>
      <c r="G255" s="104">
        <f t="shared" si="160"/>
        <v>5.9043976003082178E-2</v>
      </c>
      <c r="H255" s="104">
        <f t="shared" si="160"/>
        <v>6.1304970003852724E-2</v>
      </c>
      <c r="I255" s="104">
        <f t="shared" si="160"/>
        <v>6.3565964004623277E-2</v>
      </c>
      <c r="J255" s="104">
        <f t="shared" si="160"/>
        <v>6.5826958005393815E-2</v>
      </c>
      <c r="K255" s="104">
        <f t="shared" si="160"/>
        <v>6.8087952006164354E-2</v>
      </c>
      <c r="L255" s="104">
        <f t="shared" si="160"/>
        <v>7.0348946006934907E-2</v>
      </c>
      <c r="M255" s="115">
        <f>(M$49-$C$49)/($AG$49-$C$49)*($AG255-$C255)+$C255</f>
        <v>7.2609940007705445E-2</v>
      </c>
      <c r="N255" s="115">
        <f>$M255+($W255-$M255)/10*(N$1-$M$1)</f>
        <v>7.7375419670867973E-2</v>
      </c>
      <c r="O255" s="115">
        <f t="shared" ref="O255:U255" si="161">$M255+($W255-$M255)/10*(O$1-$M$1)</f>
        <v>8.2140899334030501E-2</v>
      </c>
      <c r="P255" s="115">
        <f t="shared" si="161"/>
        <v>8.6906378997193029E-2</v>
      </c>
      <c r="Q255" s="115">
        <f t="shared" si="161"/>
        <v>9.1671858660355557E-2</v>
      </c>
      <c r="R255" s="115">
        <f t="shared" si="161"/>
        <v>9.6437338323518085E-2</v>
      </c>
      <c r="S255" s="115">
        <f t="shared" si="161"/>
        <v>0.10120281798668061</v>
      </c>
      <c r="T255" s="115">
        <f t="shared" si="161"/>
        <v>0.10596829764984314</v>
      </c>
      <c r="U255" s="115">
        <f t="shared" si="161"/>
        <v>0.11073377731300567</v>
      </c>
      <c r="V255" s="115">
        <f>$M255+($W255-$M255)/10*(V$1-$M$1)</f>
        <v>0.1154992569761682</v>
      </c>
      <c r="W255" s="115">
        <f>(W$49-$C$49)/($AG$49-$C$49)*($AG255-$C255)+$C255</f>
        <v>0.12026473663933072</v>
      </c>
      <c r="X255" s="22">
        <f t="shared" ref="X255:AF255" si="162">$W255+($AG255-$W255)/10*(X$1-$W$1)</f>
        <v>0.12823826297539764</v>
      </c>
      <c r="Y255" s="22">
        <f t="shared" si="162"/>
        <v>0.13621178931146458</v>
      </c>
      <c r="Z255" s="22">
        <f t="shared" si="162"/>
        <v>0.14418531564753151</v>
      </c>
      <c r="AA255" s="22">
        <f t="shared" si="162"/>
        <v>0.15215884198359844</v>
      </c>
      <c r="AB255" s="22">
        <f t="shared" si="162"/>
        <v>0.16013236831966537</v>
      </c>
      <c r="AC255" s="22">
        <f t="shared" si="162"/>
        <v>0.16810589465573231</v>
      </c>
      <c r="AD255" s="22">
        <f t="shared" si="162"/>
        <v>0.17607942099179924</v>
      </c>
      <c r="AE255" s="22">
        <f t="shared" si="162"/>
        <v>0.18405294732786615</v>
      </c>
      <c r="AF255" s="22">
        <f t="shared" si="162"/>
        <v>0.19202647366393311</v>
      </c>
      <c r="AG255" s="201">
        <v>0.2</v>
      </c>
      <c r="AJ255" s="198" t="s">
        <v>465</v>
      </c>
    </row>
    <row r="256" spans="1:63" outlineLevel="2">
      <c r="C256" s="107"/>
      <c r="D256" s="104"/>
      <c r="E256" s="104"/>
      <c r="F256" s="104"/>
      <c r="G256" s="104"/>
      <c r="H256" s="104"/>
      <c r="I256" s="104"/>
      <c r="J256" s="104"/>
      <c r="K256" s="104"/>
      <c r="L256" s="104"/>
      <c r="M256" s="115"/>
      <c r="N256" s="115"/>
      <c r="O256" s="115"/>
      <c r="P256" s="115"/>
      <c r="Q256" s="115"/>
      <c r="R256" s="115"/>
      <c r="S256" s="115"/>
      <c r="T256" s="115"/>
      <c r="U256" s="115"/>
      <c r="V256" s="115"/>
      <c r="W256" s="115"/>
      <c r="X256" s="22"/>
      <c r="Y256" s="22"/>
      <c r="Z256" s="22"/>
      <c r="AA256" s="22"/>
      <c r="AB256" s="22"/>
      <c r="AC256" s="22"/>
      <c r="AD256" s="22"/>
      <c r="AE256" s="22"/>
      <c r="AF256" s="22"/>
      <c r="AG256" s="100"/>
      <c r="AJ256" s="198"/>
    </row>
    <row r="257" spans="1:63" outlineLevel="1">
      <c r="A257" t="s">
        <v>1370</v>
      </c>
      <c r="C257" s="477">
        <f>('Overall recycling rates'!F88*'Yearly BTX'!D5+'Overall recycling rates'!G88*'Yearly BTX'!D6+'Overall recycling rates'!H88*'Yearly BTX'!D7)/'Yearly BTX'!D4</f>
        <v>1.0000000000000002</v>
      </c>
      <c r="D257" s="477">
        <f>C257-($C257-$AG257)/($AG$1-$C$1)</f>
        <v>1.0000000000000002</v>
      </c>
      <c r="E257" s="477">
        <f t="shared" ref="E257:AF257" si="163">D257-($C257-$AG257)/($AG$1-$C$1)</f>
        <v>1.0000000000000002</v>
      </c>
      <c r="F257" s="477">
        <f t="shared" si="163"/>
        <v>1.0000000000000002</v>
      </c>
      <c r="G257" s="477">
        <f t="shared" si="163"/>
        <v>1.0000000000000002</v>
      </c>
      <c r="H257" s="477">
        <f t="shared" si="163"/>
        <v>1.0000000000000002</v>
      </c>
      <c r="I257" s="477">
        <f t="shared" si="163"/>
        <v>1.0000000000000002</v>
      </c>
      <c r="J257" s="477">
        <f t="shared" si="163"/>
        <v>1.0000000000000002</v>
      </c>
      <c r="K257" s="477">
        <f t="shared" si="163"/>
        <v>1.0000000000000002</v>
      </c>
      <c r="L257" s="477">
        <f t="shared" si="163"/>
        <v>1.0000000000000002</v>
      </c>
      <c r="M257" s="477">
        <f t="shared" si="163"/>
        <v>1.0000000000000002</v>
      </c>
      <c r="N257" s="477">
        <f t="shared" si="163"/>
        <v>1.0000000000000002</v>
      </c>
      <c r="O257" s="477">
        <f t="shared" si="163"/>
        <v>1.0000000000000002</v>
      </c>
      <c r="P257" s="477">
        <f t="shared" si="163"/>
        <v>1.0000000000000002</v>
      </c>
      <c r="Q257" s="477">
        <f t="shared" si="163"/>
        <v>1.0000000000000002</v>
      </c>
      <c r="R257" s="477">
        <f t="shared" si="163"/>
        <v>1.0000000000000002</v>
      </c>
      <c r="S257" s="477">
        <f t="shared" si="163"/>
        <v>1.0000000000000002</v>
      </c>
      <c r="T257" s="477">
        <f t="shared" si="163"/>
        <v>1.0000000000000002</v>
      </c>
      <c r="U257" s="477">
        <f t="shared" si="163"/>
        <v>1.0000000000000002</v>
      </c>
      <c r="V257" s="477">
        <f t="shared" si="163"/>
        <v>1.0000000000000002</v>
      </c>
      <c r="W257" s="477">
        <f t="shared" si="163"/>
        <v>1.0000000000000002</v>
      </c>
      <c r="X257" s="477">
        <f t="shared" si="163"/>
        <v>1.0000000000000002</v>
      </c>
      <c r="Y257" s="477">
        <f t="shared" si="163"/>
        <v>1.0000000000000002</v>
      </c>
      <c r="Z257" s="477">
        <f t="shared" si="163"/>
        <v>1.0000000000000002</v>
      </c>
      <c r="AA257" s="477">
        <f t="shared" si="163"/>
        <v>1.0000000000000002</v>
      </c>
      <c r="AB257" s="477">
        <f t="shared" si="163"/>
        <v>1.0000000000000002</v>
      </c>
      <c r="AC257" s="477">
        <f t="shared" si="163"/>
        <v>1.0000000000000002</v>
      </c>
      <c r="AD257" s="477">
        <f t="shared" si="163"/>
        <v>1.0000000000000002</v>
      </c>
      <c r="AE257" s="477">
        <f t="shared" si="163"/>
        <v>1.0000000000000002</v>
      </c>
      <c r="AF257" s="477">
        <f t="shared" si="163"/>
        <v>1.0000000000000002</v>
      </c>
      <c r="AG257" s="477">
        <f>'Overall recycling rates'!F97</f>
        <v>1</v>
      </c>
      <c r="AI257" s="126"/>
      <c r="AJ257" s="198" t="s">
        <v>1088</v>
      </c>
      <c r="AL257" s="102"/>
      <c r="AM257" s="194"/>
      <c r="AN257" s="194"/>
      <c r="AO257" s="194"/>
      <c r="BC257" s="1"/>
      <c r="BD257" s="194"/>
      <c r="BE257" s="194"/>
      <c r="BF257" s="194"/>
      <c r="BG257" s="194"/>
      <c r="BH257" s="194"/>
      <c r="BI257" s="194"/>
      <c r="BJ257" s="194"/>
      <c r="BK257" s="194"/>
    </row>
    <row r="258" spans="1:63" outlineLevel="1">
      <c r="A258" t="s">
        <v>1386</v>
      </c>
      <c r="B258" s="51" t="s">
        <v>126</v>
      </c>
      <c r="C258" s="104">
        <f>C255*C257</f>
        <v>5.0000000000000017E-2</v>
      </c>
      <c r="D258" s="104">
        <f t="shared" ref="D258:AG258" si="164">D255*D257</f>
        <v>5.2260994000770562E-2</v>
      </c>
      <c r="E258" s="104">
        <f t="shared" si="164"/>
        <v>5.4521988001541108E-2</v>
      </c>
      <c r="F258" s="104">
        <f t="shared" si="164"/>
        <v>5.6782982002311647E-2</v>
      </c>
      <c r="G258" s="104">
        <f t="shared" si="164"/>
        <v>5.9043976003082192E-2</v>
      </c>
      <c r="H258" s="104">
        <f t="shared" si="164"/>
        <v>6.1304970003852738E-2</v>
      </c>
      <c r="I258" s="104">
        <f t="shared" si="164"/>
        <v>6.356596400462329E-2</v>
      </c>
      <c r="J258" s="104">
        <f t="shared" si="164"/>
        <v>6.5826958005393829E-2</v>
      </c>
      <c r="K258" s="104">
        <f t="shared" si="164"/>
        <v>6.8087952006164368E-2</v>
      </c>
      <c r="L258" s="104">
        <f t="shared" si="164"/>
        <v>7.034894600693492E-2</v>
      </c>
      <c r="M258" s="104">
        <f t="shared" si="164"/>
        <v>7.2609940007705459E-2</v>
      </c>
      <c r="N258" s="104">
        <f t="shared" si="164"/>
        <v>7.7375419670867987E-2</v>
      </c>
      <c r="O258" s="104">
        <f t="shared" si="164"/>
        <v>8.2140899334030515E-2</v>
      </c>
      <c r="P258" s="104">
        <f t="shared" si="164"/>
        <v>8.6906378997193043E-2</v>
      </c>
      <c r="Q258" s="104">
        <f t="shared" si="164"/>
        <v>9.1671858660355571E-2</v>
      </c>
      <c r="R258" s="104">
        <f t="shared" si="164"/>
        <v>9.6437338323518113E-2</v>
      </c>
      <c r="S258" s="104">
        <f t="shared" si="164"/>
        <v>0.10120281798668064</v>
      </c>
      <c r="T258" s="104">
        <f t="shared" si="164"/>
        <v>0.10596829764984317</v>
      </c>
      <c r="U258" s="104">
        <f t="shared" si="164"/>
        <v>0.1107337773130057</v>
      </c>
      <c r="V258" s="104">
        <f t="shared" si="164"/>
        <v>0.11549925697616822</v>
      </c>
      <c r="W258" s="104">
        <f t="shared" si="164"/>
        <v>0.12026473663933075</v>
      </c>
      <c r="X258" s="104">
        <f t="shared" si="164"/>
        <v>0.12823826297539767</v>
      </c>
      <c r="Y258" s="104">
        <f t="shared" si="164"/>
        <v>0.1362117893114646</v>
      </c>
      <c r="Z258" s="104">
        <f t="shared" si="164"/>
        <v>0.14418531564753154</v>
      </c>
      <c r="AA258" s="104">
        <f t="shared" si="164"/>
        <v>0.15215884198359847</v>
      </c>
      <c r="AB258" s="104">
        <f t="shared" si="164"/>
        <v>0.1601323683196654</v>
      </c>
      <c r="AC258" s="104">
        <f t="shared" si="164"/>
        <v>0.16810589465573234</v>
      </c>
      <c r="AD258" s="104">
        <f t="shared" si="164"/>
        <v>0.17607942099179927</v>
      </c>
      <c r="AE258" s="104">
        <f t="shared" si="164"/>
        <v>0.18405294732786617</v>
      </c>
      <c r="AF258" s="104">
        <f t="shared" si="164"/>
        <v>0.19202647366393316</v>
      </c>
      <c r="AG258" s="104">
        <f t="shared" si="164"/>
        <v>0.2</v>
      </c>
      <c r="AJ258" s="198" t="s">
        <v>462</v>
      </c>
    </row>
    <row r="259" spans="1:63" outlineLevel="1">
      <c r="C259" s="104"/>
      <c r="D259" s="104"/>
      <c r="E259" s="104"/>
      <c r="F259" s="104"/>
      <c r="G259" s="104"/>
      <c r="H259" s="104"/>
      <c r="I259" s="104"/>
      <c r="J259" s="104"/>
      <c r="K259" s="104"/>
      <c r="L259" s="104"/>
      <c r="M259" s="104"/>
      <c r="N259" s="104"/>
      <c r="O259" s="104"/>
      <c r="P259" s="104"/>
      <c r="Q259" s="104"/>
      <c r="R259" s="104"/>
      <c r="S259" s="104"/>
      <c r="T259" s="104"/>
      <c r="U259" s="104"/>
      <c r="V259" s="104"/>
      <c r="W259" s="104"/>
      <c r="X259" s="104"/>
      <c r="Y259" s="104"/>
      <c r="Z259" s="104"/>
      <c r="AA259" s="104"/>
      <c r="AB259" s="104"/>
      <c r="AC259" s="104"/>
      <c r="AD259" s="104"/>
      <c r="AE259" s="104"/>
      <c r="AF259" s="104"/>
      <c r="AG259" s="104"/>
      <c r="AJ259" s="198"/>
    </row>
    <row r="260" spans="1:63" s="1" customFormat="1" outlineLevel="1">
      <c r="A260" s="1" t="s">
        <v>261</v>
      </c>
      <c r="B260" s="61"/>
      <c r="C260" s="279">
        <f>C258*C43</f>
        <v>13850.887402402142</v>
      </c>
      <c r="D260" s="279">
        <f t="shared" ref="D260:AG260" si="165">D258*D43</f>
        <v>14477.222868845734</v>
      </c>
      <c r="E260" s="279">
        <f t="shared" si="165"/>
        <v>15103.558335289325</v>
      </c>
      <c r="F260" s="279">
        <f t="shared" si="165"/>
        <v>15729.893801732915</v>
      </c>
      <c r="G260" s="279">
        <f t="shared" si="165"/>
        <v>16356.229268176505</v>
      </c>
      <c r="H260" s="279">
        <f t="shared" si="165"/>
        <v>16982.564734620097</v>
      </c>
      <c r="I260" s="279">
        <f t="shared" si="165"/>
        <v>17492.681459736668</v>
      </c>
      <c r="J260" s="279">
        <f t="shared" si="165"/>
        <v>17994.530556696183</v>
      </c>
      <c r="K260" s="279">
        <f t="shared" si="165"/>
        <v>18488.112025498638</v>
      </c>
      <c r="L260" s="279">
        <f t="shared" si="165"/>
        <v>18973.425866144051</v>
      </c>
      <c r="M260" s="279">
        <f t="shared" si="165"/>
        <v>19450.472078632396</v>
      </c>
      <c r="N260" s="279">
        <f t="shared" si="165"/>
        <v>20585.563676840837</v>
      </c>
      <c r="O260" s="279">
        <f t="shared" si="165"/>
        <v>21703.22965877979</v>
      </c>
      <c r="P260" s="279">
        <f t="shared" si="165"/>
        <v>22803.470024449256</v>
      </c>
      <c r="Q260" s="279">
        <f t="shared" si="165"/>
        <v>23886.284773849238</v>
      </c>
      <c r="R260" s="279">
        <f t="shared" si="165"/>
        <v>24951.673906979737</v>
      </c>
      <c r="S260" s="279">
        <f t="shared" si="165"/>
        <v>25999.637423840744</v>
      </c>
      <c r="T260" s="279">
        <f t="shared" si="165"/>
        <v>27030.175324432275</v>
      </c>
      <c r="U260" s="279">
        <f t="shared" si="165"/>
        <v>28043.287608754312</v>
      </c>
      <c r="V260" s="279">
        <f t="shared" si="165"/>
        <v>29038.974276806865</v>
      </c>
      <c r="W260" s="279">
        <f t="shared" si="165"/>
        <v>30017.235328589926</v>
      </c>
      <c r="X260" s="279">
        <f t="shared" si="165"/>
        <v>31772.911401724617</v>
      </c>
      <c r="Y260" s="279">
        <f t="shared" si="165"/>
        <v>33499.431205172339</v>
      </c>
      <c r="Z260" s="279">
        <f t="shared" si="165"/>
        <v>35196.794738933088</v>
      </c>
      <c r="AA260" s="279">
        <f t="shared" si="165"/>
        <v>36865.002003006863</v>
      </c>
      <c r="AB260" s="279">
        <f t="shared" si="165"/>
        <v>38504.052997393679</v>
      </c>
      <c r="AC260" s="279">
        <f t="shared" si="165"/>
        <v>40104.634058819298</v>
      </c>
      <c r="AD260" s="279">
        <f t="shared" si="165"/>
        <v>41675.175327234087</v>
      </c>
      <c r="AE260" s="279">
        <f t="shared" si="165"/>
        <v>43215.67680263806</v>
      </c>
      <c r="AF260" s="279">
        <f t="shared" si="165"/>
        <v>44726.138485031224</v>
      </c>
      <c r="AG260" s="279">
        <f t="shared" si="165"/>
        <v>46206.560374413537</v>
      </c>
      <c r="AH260" s="230"/>
      <c r="AI260" s="398"/>
      <c r="AJ260" s="399"/>
      <c r="AL260" s="207"/>
      <c r="AM260" s="118"/>
      <c r="AN260" s="118"/>
      <c r="AO260" s="118"/>
      <c r="BD260" s="118"/>
      <c r="BE260" s="118"/>
      <c r="BF260" s="118"/>
      <c r="BG260" s="118"/>
      <c r="BH260" s="118"/>
      <c r="BI260" s="118"/>
      <c r="BJ260" s="118"/>
      <c r="BK260" s="118"/>
    </row>
    <row r="261" spans="1:63" outlineLevel="1">
      <c r="A261" s="4" t="s">
        <v>35</v>
      </c>
      <c r="C261" s="216">
        <f>C$260*'BTX recycling rates'!E90</f>
        <v>0</v>
      </c>
      <c r="D261" s="216">
        <f>D$260*'BTX recycling rates'!F90</f>
        <v>0</v>
      </c>
      <c r="E261" s="216">
        <f>E$260*'BTX recycling rates'!G90</f>
        <v>0</v>
      </c>
      <c r="F261" s="216">
        <f>F$260*'BTX recycling rates'!H90</f>
        <v>0</v>
      </c>
      <c r="G261" s="216">
        <f>G$260*'BTX recycling rates'!I90</f>
        <v>0</v>
      </c>
      <c r="H261" s="216">
        <f>H$260*'BTX recycling rates'!J90</f>
        <v>0</v>
      </c>
      <c r="I261" s="216">
        <f>I$260*'BTX recycling rates'!K90</f>
        <v>0</v>
      </c>
      <c r="J261" s="216">
        <f>J$260*'BTX recycling rates'!L90</f>
        <v>0</v>
      </c>
      <c r="K261" s="216">
        <f>K$260*'BTX recycling rates'!M90</f>
        <v>0</v>
      </c>
      <c r="L261" s="216">
        <f>L$260*'BTX recycling rates'!N90</f>
        <v>0</v>
      </c>
      <c r="M261" s="216">
        <f>M$260*'BTX recycling rates'!O90</f>
        <v>0</v>
      </c>
      <c r="N261" s="216">
        <f>N$260*'BTX recycling rates'!P90</f>
        <v>0</v>
      </c>
      <c r="O261" s="216">
        <f>O$260*'BTX recycling rates'!Q90</f>
        <v>0</v>
      </c>
      <c r="P261" s="216">
        <f>P$260*'BTX recycling rates'!R90</f>
        <v>0</v>
      </c>
      <c r="Q261" s="216">
        <f>Q$260*'BTX recycling rates'!S90</f>
        <v>0</v>
      </c>
      <c r="R261" s="216">
        <f>R$260*'BTX recycling rates'!T90</f>
        <v>0</v>
      </c>
      <c r="S261" s="216">
        <f>S$260*'BTX recycling rates'!U90</f>
        <v>0</v>
      </c>
      <c r="T261" s="216">
        <f>T$260*'BTX recycling rates'!V90</f>
        <v>0</v>
      </c>
      <c r="U261" s="216">
        <f>U$260*'BTX recycling rates'!W90</f>
        <v>0</v>
      </c>
      <c r="V261" s="216">
        <f>V$260*'BTX recycling rates'!X90</f>
        <v>0</v>
      </c>
      <c r="W261" s="216">
        <f>W$260*'BTX recycling rates'!Y90</f>
        <v>0</v>
      </c>
      <c r="X261" s="216">
        <f>X$260*'BTX recycling rates'!Z90</f>
        <v>0</v>
      </c>
      <c r="Y261" s="216">
        <f>Y$260*'BTX recycling rates'!AA90</f>
        <v>0</v>
      </c>
      <c r="Z261" s="216">
        <f>Z$260*'BTX recycling rates'!AB90</f>
        <v>0</v>
      </c>
      <c r="AA261" s="216">
        <f>AA$260*'BTX recycling rates'!AC90</f>
        <v>0</v>
      </c>
      <c r="AB261" s="216">
        <f>AB$260*'BTX recycling rates'!AD90</f>
        <v>0</v>
      </c>
      <c r="AC261" s="216">
        <f>AC$260*'BTX recycling rates'!AE90</f>
        <v>0</v>
      </c>
      <c r="AD261" s="216">
        <f>AD$260*'BTX recycling rates'!AF90</f>
        <v>0</v>
      </c>
      <c r="AE261" s="216">
        <f>AE$260*'BTX recycling rates'!AG90</f>
        <v>0</v>
      </c>
      <c r="AF261" s="216">
        <f>AF$260*'BTX recycling rates'!AH90</f>
        <v>0</v>
      </c>
      <c r="AG261" s="216">
        <f>AG$260*'BTX recycling rates'!AI90</f>
        <v>0</v>
      </c>
      <c r="AH261" s="230"/>
      <c r="AI261" s="126"/>
      <c r="AJ261" s="198"/>
      <c r="AL261" s="102"/>
      <c r="AM261" s="2"/>
      <c r="AN261" s="2"/>
      <c r="AO261" s="2"/>
      <c r="BC261" s="1"/>
      <c r="BD261" s="2"/>
      <c r="BE261" s="2"/>
      <c r="BF261" s="2"/>
      <c r="BG261" s="2"/>
      <c r="BH261" s="2"/>
      <c r="BI261" s="2"/>
      <c r="BJ261" s="2"/>
      <c r="BK261" s="2"/>
    </row>
    <row r="262" spans="1:63" outlineLevel="1">
      <c r="A262" s="4" t="s">
        <v>74</v>
      </c>
      <c r="C262" s="216">
        <f>C$260*'BTX recycling rates'!E91</f>
        <v>4038.6814683861944</v>
      </c>
      <c r="D262" s="216">
        <f>D$260*'BTX recycling rates'!F91</f>
        <v>4221.3101598070816</v>
      </c>
      <c r="E262" s="216">
        <f>E$260*'BTX recycling rates'!G91</f>
        <v>4403.9388512279693</v>
      </c>
      <c r="F262" s="216">
        <f>F$260*'BTX recycling rates'!H91</f>
        <v>4586.567542648856</v>
      </c>
      <c r="G262" s="216">
        <f>G$260*'BTX recycling rates'!I91</f>
        <v>4769.1962340697428</v>
      </c>
      <c r="H262" s="216">
        <f>H$260*'BTX recycling rates'!J91</f>
        <v>4951.8249254906304</v>
      </c>
      <c r="I262" s="216">
        <f>I$260*'BTX recycling rates'!K91</f>
        <v>5100.5662230399021</v>
      </c>
      <c r="J262" s="216">
        <f>J$260*'BTX recycling rates'!L91</f>
        <v>5246.8968218624168</v>
      </c>
      <c r="K262" s="216">
        <f>K$260*'BTX recycling rates'!M91</f>
        <v>5390.8167219581755</v>
      </c>
      <c r="L262" s="216">
        <f>L$260*'BTX recycling rates'!N91</f>
        <v>5532.325923327182</v>
      </c>
      <c r="M262" s="216">
        <f>M$260*'BTX recycling rates'!O91</f>
        <v>5671.4244259694287</v>
      </c>
      <c r="N262" s="216">
        <f>N$260*'BTX recycling rates'!P91</f>
        <v>6002.3976892283772</v>
      </c>
      <c r="O262" s="216">
        <f>O$260*'BTX recycling rates'!Q91</f>
        <v>6328.2899413247787</v>
      </c>
      <c r="P262" s="216">
        <f>P$260*'BTX recycling rates'!R91</f>
        <v>6649.1011822586333</v>
      </c>
      <c r="Q262" s="216">
        <f>Q$260*'BTX recycling rates'!S91</f>
        <v>6964.8314120299419</v>
      </c>
      <c r="R262" s="216">
        <f>R$260*'BTX recycling rates'!T91</f>
        <v>7275.4806306387045</v>
      </c>
      <c r="S262" s="216">
        <f>S$260*'BTX recycling rates'!U91</f>
        <v>7581.0488380849183</v>
      </c>
      <c r="T262" s="216">
        <f>T$260*'BTX recycling rates'!V91</f>
        <v>7881.5360343685888</v>
      </c>
      <c r="U262" s="216">
        <f>U$260*'BTX recycling rates'!W91</f>
        <v>8176.9422194897097</v>
      </c>
      <c r="V262" s="216">
        <f>V$260*'BTX recycling rates'!X91</f>
        <v>8467.2673934482846</v>
      </c>
      <c r="W262" s="216">
        <f>W$260*'BTX recycling rates'!Y91</f>
        <v>8752.5115562443134</v>
      </c>
      <c r="X262" s="216">
        <f>X$260*'BTX recycling rates'!Z91</f>
        <v>9264.4366203256504</v>
      </c>
      <c r="Y262" s="216">
        <f>Y$260*'BTX recycling rates'!AA91</f>
        <v>9767.8602156814832</v>
      </c>
      <c r="Z262" s="216">
        <f>Z$260*'BTX recycling rates'!AB91</f>
        <v>10262.782342311808</v>
      </c>
      <c r="AA262" s="216">
        <f>AA$260*'BTX recycling rates'!AC91</f>
        <v>10749.203000216625</v>
      </c>
      <c r="AB262" s="216">
        <f>AB$260*'BTX recycling rates'!AD91</f>
        <v>11227.122189395939</v>
      </c>
      <c r="AC262" s="216">
        <f>AC$260*'BTX recycling rates'!AE91</f>
        <v>11693.824205203855</v>
      </c>
      <c r="AD262" s="216">
        <f>AD$260*'BTX recycling rates'!AF91</f>
        <v>12151.767132021851</v>
      </c>
      <c r="AE262" s="216">
        <f>AE$260*'BTX recycling rates'!AG91</f>
        <v>12600.950969849931</v>
      </c>
      <c r="AF262" s="216">
        <f>AF$260*'BTX recycling rates'!AH91</f>
        <v>13041.375718688099</v>
      </c>
      <c r="AG262" s="216">
        <f>AG$260*'BTX recycling rates'!AI91</f>
        <v>13473.041378536345</v>
      </c>
      <c r="AH262" s="230"/>
      <c r="AI262" s="126"/>
      <c r="AJ262" s="198"/>
      <c r="AL262" s="102"/>
      <c r="AM262" s="2"/>
      <c r="AN262" s="2"/>
      <c r="AO262" s="2"/>
      <c r="BC262" s="1"/>
      <c r="BD262" s="2"/>
      <c r="BE262" s="2"/>
      <c r="BF262" s="2"/>
      <c r="BG262" s="2"/>
      <c r="BH262" s="2"/>
      <c r="BI262" s="2"/>
      <c r="BJ262" s="2"/>
      <c r="BK262" s="2"/>
    </row>
    <row r="263" spans="1:63" outlineLevel="1">
      <c r="A263" s="4" t="s">
        <v>160</v>
      </c>
      <c r="C263" s="216">
        <f>C$260*'BTX recycling rates'!E92</f>
        <v>7616.8201101752456</v>
      </c>
      <c r="D263" s="216">
        <f>D$260*'BTX recycling rates'!F92</f>
        <v>7961.251801656339</v>
      </c>
      <c r="E263" s="216">
        <f>E$260*'BTX recycling rates'!G92</f>
        <v>8305.6834931374324</v>
      </c>
      <c r="F263" s="216">
        <f>F$260*'BTX recycling rates'!H92</f>
        <v>8650.1151846185257</v>
      </c>
      <c r="G263" s="216">
        <f>G$260*'BTX recycling rates'!I92</f>
        <v>8994.5468760996173</v>
      </c>
      <c r="H263" s="216">
        <f>H$260*'BTX recycling rates'!J92</f>
        <v>9338.9785675807125</v>
      </c>
      <c r="I263" s="216">
        <f>I$260*'BTX recycling rates'!K92</f>
        <v>9619.4997513519975</v>
      </c>
      <c r="J263" s="216">
        <f>J$260*'BTX recycling rates'!L92</f>
        <v>9895.4744367957319</v>
      </c>
      <c r="K263" s="216">
        <f>K$260*'BTX recycling rates'!M92</f>
        <v>10166.902623911914</v>
      </c>
      <c r="L263" s="216">
        <f>L$260*'BTX recycling rates'!N92</f>
        <v>10433.784312700553</v>
      </c>
      <c r="M263" s="216">
        <f>M$260*'BTX recycling rates'!O92</f>
        <v>10696.119503161633</v>
      </c>
      <c r="N263" s="216">
        <f>N$260*'BTX recycling rates'!P92</f>
        <v>11320.324166801134</v>
      </c>
      <c r="O263" s="216">
        <f>O$260*'BTX recycling rates'!Q92</f>
        <v>11934.946210888718</v>
      </c>
      <c r="P263" s="216">
        <f>P$260*'BTX recycling rates'!R92</f>
        <v>12539.985635424389</v>
      </c>
      <c r="Q263" s="216">
        <f>Q$260*'BTX recycling rates'!S92</f>
        <v>13135.442440408146</v>
      </c>
      <c r="R263" s="216">
        <f>R$260*'BTX recycling rates'!T92</f>
        <v>13721.316625839991</v>
      </c>
      <c r="S263" s="216">
        <f>S$260*'BTX recycling rates'!U92</f>
        <v>14297.608191719919</v>
      </c>
      <c r="T263" s="216">
        <f>T$260*'BTX recycling rates'!V92</f>
        <v>14864.317138047938</v>
      </c>
      <c r="U263" s="216">
        <f>U$260*'BTX recycling rates'!W92</f>
        <v>15421.443464824039</v>
      </c>
      <c r="V263" s="216">
        <f>V$260*'BTX recycling rates'!X92</f>
        <v>15968.987172048226</v>
      </c>
      <c r="W263" s="216">
        <f>W$260*'BTX recycling rates'!Y92</f>
        <v>16506.948259720495</v>
      </c>
      <c r="X263" s="216">
        <f>X$260*'BTX recycling rates'!Z92</f>
        <v>17472.422054452712</v>
      </c>
      <c r="Y263" s="216">
        <f>Y$260*'BTX recycling rates'!AA92</f>
        <v>18421.862359428098</v>
      </c>
      <c r="Z263" s="216">
        <f>Z$260*'BTX recycling rates'!AB92</f>
        <v>19355.269174646652</v>
      </c>
      <c r="AA263" s="216">
        <f>AA$260*'BTX recycling rates'!AC92</f>
        <v>20272.642500108377</v>
      </c>
      <c r="AB263" s="216">
        <f>AB$260*'BTX recycling rates'!AD92</f>
        <v>21173.982335813278</v>
      </c>
      <c r="AC263" s="216">
        <f>AC$260*'BTX recycling rates'!AE92</f>
        <v>22054.166952325137</v>
      </c>
      <c r="AD263" s="216">
        <f>AD$260*'BTX recycling rates'!AF92</f>
        <v>22917.832215754199</v>
      </c>
      <c r="AE263" s="216">
        <f>AE$260*'BTX recycling rates'!AG92</f>
        <v>23764.978126100468</v>
      </c>
      <c r="AF263" s="216">
        <f>AF$260*'BTX recycling rates'!AH92</f>
        <v>24595.604683363945</v>
      </c>
      <c r="AG263" s="216">
        <f>AG$260*'BTX recycling rates'!AI92</f>
        <v>25409.711887544618</v>
      </c>
      <c r="AH263" s="230"/>
      <c r="AI263" s="126"/>
      <c r="AJ263" s="198"/>
      <c r="AL263" s="102"/>
      <c r="AM263" s="2"/>
      <c r="AN263" s="2"/>
      <c r="AO263" s="2"/>
      <c r="BC263" s="1"/>
      <c r="BD263" s="2"/>
      <c r="BE263" s="2"/>
      <c r="BF263" s="2"/>
      <c r="BG263" s="2"/>
      <c r="BH263" s="2"/>
      <c r="BI263" s="2"/>
      <c r="BJ263" s="2"/>
      <c r="BK263" s="2"/>
    </row>
    <row r="264" spans="1:63" outlineLevel="1">
      <c r="A264" s="4" t="s">
        <v>1159</v>
      </c>
      <c r="C264" s="216">
        <f>C$260*'BTX recycling rates'!E93</f>
        <v>2195.3858238407011</v>
      </c>
      <c r="D264" s="216">
        <f>D$260*'BTX recycling rates'!F93</f>
        <v>2294.660907382312</v>
      </c>
      <c r="E264" s="216">
        <f>E$260*'BTX recycling rates'!G93</f>
        <v>2393.9359909239224</v>
      </c>
      <c r="F264" s="216">
        <f>F$260*'BTX recycling rates'!H93</f>
        <v>2493.2110744655324</v>
      </c>
      <c r="G264" s="216">
        <f>G$260*'BTX recycling rates'!I93</f>
        <v>2592.4861580071429</v>
      </c>
      <c r="H264" s="216">
        <f>H$260*'BTX recycling rates'!J93</f>
        <v>2691.7612415487533</v>
      </c>
      <c r="I264" s="216">
        <f>I$260*'BTX recycling rates'!K93</f>
        <v>2772.6154853447679</v>
      </c>
      <c r="J264" s="216">
        <f>J$260*'BTX recycling rates'!L93</f>
        <v>2852.1592980380324</v>
      </c>
      <c r="K264" s="216">
        <f>K$260*'BTX recycling rates'!M93</f>
        <v>2930.3926796285473</v>
      </c>
      <c r="L264" s="216">
        <f>L$260*'BTX recycling rates'!N93</f>
        <v>3007.3156301163149</v>
      </c>
      <c r="M264" s="216">
        <f>M$260*'BTX recycling rates'!O93</f>
        <v>3082.9281495013315</v>
      </c>
      <c r="N264" s="216">
        <f>N$260*'BTX recycling rates'!P93</f>
        <v>3262.8418208113239</v>
      </c>
      <c r="O264" s="216">
        <f>O$260*'BTX recycling rates'!Q93</f>
        <v>3439.9935065662908</v>
      </c>
      <c r="P264" s="216">
        <f>P$260*'BTX recycling rates'!R93</f>
        <v>3614.3832067662324</v>
      </c>
      <c r="Q264" s="216">
        <f>Q$260*'BTX recycling rates'!S93</f>
        <v>3786.0109214111485</v>
      </c>
      <c r="R264" s="216">
        <f>R$260*'BTX recycling rates'!T93</f>
        <v>3954.8766505010403</v>
      </c>
      <c r="S264" s="216">
        <f>S$260*'BTX recycling rates'!U93</f>
        <v>4120.9803940359052</v>
      </c>
      <c r="T264" s="216">
        <f>T$260*'BTX recycling rates'!V93</f>
        <v>4284.3221520157467</v>
      </c>
      <c r="U264" s="216">
        <f>U$260*'BTX recycling rates'!W93</f>
        <v>4444.9019244405617</v>
      </c>
      <c r="V264" s="216">
        <f>V$260*'BTX recycling rates'!X93</f>
        <v>4602.7197113103512</v>
      </c>
      <c r="W264" s="216">
        <f>W$260*'BTX recycling rates'!Y93</f>
        <v>4757.775512625115</v>
      </c>
      <c r="X264" s="216">
        <f>X$260*'BTX recycling rates'!Z93</f>
        <v>5036.0527269462527</v>
      </c>
      <c r="Y264" s="216">
        <f>Y$260*'BTX recycling rates'!AA93</f>
        <v>5309.7086300627561</v>
      </c>
      <c r="Z264" s="216">
        <f>Z$260*'BTX recycling rates'!AB93</f>
        <v>5578.7432219746252</v>
      </c>
      <c r="AA264" s="216">
        <f>AA$260*'BTX recycling rates'!AC93</f>
        <v>5843.1565026818589</v>
      </c>
      <c r="AB264" s="216">
        <f>AB$260*'BTX recycling rates'!AD93</f>
        <v>6102.9484721844601</v>
      </c>
      <c r="AC264" s="216">
        <f>AC$260*'BTX recycling rates'!AE93</f>
        <v>6356.6429012903018</v>
      </c>
      <c r="AD264" s="216">
        <f>AD$260*'BTX recycling rates'!AF93</f>
        <v>6605.5759794580335</v>
      </c>
      <c r="AE264" s="216">
        <f>AE$260*'BTX recycling rates'!AG93</f>
        <v>6849.7477066876572</v>
      </c>
      <c r="AF264" s="216">
        <f>AF$260*'BTX recycling rates'!AH93</f>
        <v>7089.1580829791747</v>
      </c>
      <c r="AG264" s="216">
        <f>AG$260*'BTX recycling rates'!AI93</f>
        <v>7323.8071083325785</v>
      </c>
      <c r="AH264" s="230"/>
      <c r="AI264" s="126"/>
      <c r="AJ264" s="198"/>
      <c r="AL264" s="102"/>
      <c r="AM264" s="2"/>
      <c r="AN264" s="2"/>
      <c r="AO264" s="2"/>
      <c r="BC264" s="1"/>
      <c r="BD264" s="2"/>
      <c r="BE264" s="2"/>
      <c r="BF264" s="2"/>
      <c r="BG264" s="2"/>
      <c r="BH264" s="2"/>
      <c r="BI264" s="2"/>
      <c r="BJ264" s="2"/>
      <c r="BK264" s="2"/>
    </row>
    <row r="265" spans="1:63" s="1" customFormat="1" outlineLevel="1">
      <c r="A265" s="1" t="s">
        <v>1160</v>
      </c>
      <c r="B265" s="61"/>
      <c r="C265" s="279">
        <f t="shared" ref="C265:AG265" si="166">C260-$C260</f>
        <v>0</v>
      </c>
      <c r="D265" s="279">
        <f t="shared" si="166"/>
        <v>626.33546644359194</v>
      </c>
      <c r="E265" s="279">
        <f t="shared" si="166"/>
        <v>1252.6709328871821</v>
      </c>
      <c r="F265" s="279">
        <f t="shared" si="166"/>
        <v>1879.0063993307722</v>
      </c>
      <c r="G265" s="279">
        <f t="shared" si="166"/>
        <v>2505.3418657743623</v>
      </c>
      <c r="H265" s="279">
        <f t="shared" si="166"/>
        <v>3131.6773322179542</v>
      </c>
      <c r="I265" s="279">
        <f t="shared" si="166"/>
        <v>3641.7940573345259</v>
      </c>
      <c r="J265" s="279">
        <f t="shared" si="166"/>
        <v>4143.6431542940409</v>
      </c>
      <c r="K265" s="279">
        <f t="shared" si="166"/>
        <v>4637.2246230964956</v>
      </c>
      <c r="L265" s="279">
        <f t="shared" si="166"/>
        <v>5122.5384637419083</v>
      </c>
      <c r="M265" s="279">
        <f t="shared" si="166"/>
        <v>5599.5846762302535</v>
      </c>
      <c r="N265" s="279">
        <f t="shared" si="166"/>
        <v>6734.6762744386942</v>
      </c>
      <c r="O265" s="279">
        <f t="shared" si="166"/>
        <v>7852.3422563776476</v>
      </c>
      <c r="P265" s="279">
        <f t="shared" si="166"/>
        <v>8952.5826220471135</v>
      </c>
      <c r="Q265" s="279">
        <f t="shared" si="166"/>
        <v>10035.397371447096</v>
      </c>
      <c r="R265" s="279">
        <f t="shared" si="166"/>
        <v>11100.786504577594</v>
      </c>
      <c r="S265" s="279">
        <f t="shared" si="166"/>
        <v>12148.750021438602</v>
      </c>
      <c r="T265" s="279">
        <f t="shared" si="166"/>
        <v>13179.287922030133</v>
      </c>
      <c r="U265" s="279">
        <f t="shared" si="166"/>
        <v>14192.400206352169</v>
      </c>
      <c r="V265" s="279">
        <f t="shared" si="166"/>
        <v>15188.086874404722</v>
      </c>
      <c r="W265" s="279">
        <f t="shared" si="166"/>
        <v>16166.347926187784</v>
      </c>
      <c r="X265" s="279">
        <f t="shared" si="166"/>
        <v>17922.023999322475</v>
      </c>
      <c r="Y265" s="279">
        <f t="shared" si="166"/>
        <v>19648.543802770197</v>
      </c>
      <c r="Z265" s="279">
        <f t="shared" si="166"/>
        <v>21345.907336530945</v>
      </c>
      <c r="AA265" s="279">
        <f t="shared" si="166"/>
        <v>23014.11460060472</v>
      </c>
      <c r="AB265" s="279">
        <f t="shared" si="166"/>
        <v>24653.165594991537</v>
      </c>
      <c r="AC265" s="279">
        <f t="shared" si="166"/>
        <v>26253.746656417155</v>
      </c>
      <c r="AD265" s="279">
        <f t="shared" si="166"/>
        <v>27824.287924831944</v>
      </c>
      <c r="AE265" s="279">
        <f t="shared" si="166"/>
        <v>29364.789400235917</v>
      </c>
      <c r="AF265" s="279">
        <f t="shared" si="166"/>
        <v>30875.251082629082</v>
      </c>
      <c r="AG265" s="279">
        <f t="shared" si="166"/>
        <v>32355.672972011394</v>
      </c>
      <c r="AH265" s="230"/>
      <c r="AI265" s="398"/>
      <c r="AJ265" s="399"/>
      <c r="AL265" s="207"/>
      <c r="AM265" s="118"/>
      <c r="AN265" s="118"/>
      <c r="AO265" s="118"/>
      <c r="BD265" s="118"/>
      <c r="BE265" s="118"/>
      <c r="BF265" s="118"/>
      <c r="BG265" s="118"/>
      <c r="BH265" s="118"/>
      <c r="BI265" s="118"/>
      <c r="BJ265" s="118"/>
      <c r="BK265" s="118"/>
    </row>
    <row r="266" spans="1:63" outlineLevel="1">
      <c r="A266" s="4" t="s">
        <v>35</v>
      </c>
      <c r="C266" s="216">
        <f t="shared" ref="C266:AG266" si="167">C261-$C261</f>
        <v>0</v>
      </c>
      <c r="D266" s="216">
        <f t="shared" si="167"/>
        <v>0</v>
      </c>
      <c r="E266" s="216">
        <f t="shared" si="167"/>
        <v>0</v>
      </c>
      <c r="F266" s="216">
        <f t="shared" si="167"/>
        <v>0</v>
      </c>
      <c r="G266" s="216">
        <f t="shared" si="167"/>
        <v>0</v>
      </c>
      <c r="H266" s="216">
        <f t="shared" si="167"/>
        <v>0</v>
      </c>
      <c r="I266" s="216">
        <f t="shared" si="167"/>
        <v>0</v>
      </c>
      <c r="J266" s="216">
        <f t="shared" si="167"/>
        <v>0</v>
      </c>
      <c r="K266" s="216">
        <f t="shared" si="167"/>
        <v>0</v>
      </c>
      <c r="L266" s="216">
        <f t="shared" si="167"/>
        <v>0</v>
      </c>
      <c r="M266" s="216">
        <f t="shared" si="167"/>
        <v>0</v>
      </c>
      <c r="N266" s="216">
        <f t="shared" si="167"/>
        <v>0</v>
      </c>
      <c r="O266" s="216">
        <f t="shared" si="167"/>
        <v>0</v>
      </c>
      <c r="P266" s="216">
        <f t="shared" si="167"/>
        <v>0</v>
      </c>
      <c r="Q266" s="216">
        <f t="shared" si="167"/>
        <v>0</v>
      </c>
      <c r="R266" s="216">
        <f t="shared" si="167"/>
        <v>0</v>
      </c>
      <c r="S266" s="216">
        <f t="shared" si="167"/>
        <v>0</v>
      </c>
      <c r="T266" s="216">
        <f t="shared" si="167"/>
        <v>0</v>
      </c>
      <c r="U266" s="216">
        <f t="shared" si="167"/>
        <v>0</v>
      </c>
      <c r="V266" s="216">
        <f t="shared" si="167"/>
        <v>0</v>
      </c>
      <c r="W266" s="216">
        <f t="shared" si="167"/>
        <v>0</v>
      </c>
      <c r="X266" s="216">
        <f t="shared" si="167"/>
        <v>0</v>
      </c>
      <c r="Y266" s="216">
        <f t="shared" si="167"/>
        <v>0</v>
      </c>
      <c r="Z266" s="216">
        <f t="shared" si="167"/>
        <v>0</v>
      </c>
      <c r="AA266" s="216">
        <f t="shared" si="167"/>
        <v>0</v>
      </c>
      <c r="AB266" s="216">
        <f t="shared" si="167"/>
        <v>0</v>
      </c>
      <c r="AC266" s="216">
        <f t="shared" si="167"/>
        <v>0</v>
      </c>
      <c r="AD266" s="216">
        <f t="shared" si="167"/>
        <v>0</v>
      </c>
      <c r="AE266" s="216">
        <f t="shared" si="167"/>
        <v>0</v>
      </c>
      <c r="AF266" s="216">
        <f t="shared" si="167"/>
        <v>0</v>
      </c>
      <c r="AG266" s="216">
        <f t="shared" si="167"/>
        <v>0</v>
      </c>
      <c r="AH266" s="230"/>
      <c r="AI266" s="126"/>
      <c r="AJ266" s="198"/>
      <c r="AL266" s="102"/>
      <c r="AM266" s="2"/>
      <c r="AN266" s="2"/>
      <c r="AO266" s="2"/>
      <c r="BC266" s="1"/>
      <c r="BD266" s="2"/>
      <c r="BE266" s="2"/>
      <c r="BF266" s="2"/>
      <c r="BG266" s="2"/>
      <c r="BH266" s="2"/>
      <c r="BI266" s="2"/>
      <c r="BJ266" s="2"/>
      <c r="BK266" s="2"/>
    </row>
    <row r="267" spans="1:63" outlineLevel="1">
      <c r="A267" s="4" t="s">
        <v>74</v>
      </c>
      <c r="C267" s="216">
        <f t="shared" ref="C267:AG267" si="168">C262-$C262</f>
        <v>0</v>
      </c>
      <c r="D267" s="216">
        <f t="shared" si="168"/>
        <v>182.62869142088721</v>
      </c>
      <c r="E267" s="216">
        <f t="shared" si="168"/>
        <v>365.25738284177487</v>
      </c>
      <c r="F267" s="216">
        <f t="shared" si="168"/>
        <v>547.88607426266162</v>
      </c>
      <c r="G267" s="216">
        <f t="shared" si="168"/>
        <v>730.51476568354838</v>
      </c>
      <c r="H267" s="216">
        <f t="shared" si="168"/>
        <v>913.14345710443604</v>
      </c>
      <c r="I267" s="216">
        <f t="shared" si="168"/>
        <v>1061.8847546537077</v>
      </c>
      <c r="J267" s="216">
        <f t="shared" si="168"/>
        <v>1208.2153534762224</v>
      </c>
      <c r="K267" s="216">
        <f t="shared" si="168"/>
        <v>1352.1352535719811</v>
      </c>
      <c r="L267" s="216">
        <f t="shared" si="168"/>
        <v>1493.6444549409875</v>
      </c>
      <c r="M267" s="216">
        <f t="shared" si="168"/>
        <v>1632.7429575832343</v>
      </c>
      <c r="N267" s="216">
        <f t="shared" si="168"/>
        <v>1963.7162208421828</v>
      </c>
      <c r="O267" s="216">
        <f t="shared" si="168"/>
        <v>2289.6084729385843</v>
      </c>
      <c r="P267" s="216">
        <f t="shared" si="168"/>
        <v>2610.4197138724389</v>
      </c>
      <c r="Q267" s="216">
        <f t="shared" si="168"/>
        <v>2926.1499436437475</v>
      </c>
      <c r="R267" s="216">
        <f t="shared" si="168"/>
        <v>3236.7991622525101</v>
      </c>
      <c r="S267" s="216">
        <f t="shared" si="168"/>
        <v>3542.3673696987239</v>
      </c>
      <c r="T267" s="216">
        <f t="shared" si="168"/>
        <v>3842.8545659823944</v>
      </c>
      <c r="U267" s="216">
        <f t="shared" si="168"/>
        <v>4138.2607511035148</v>
      </c>
      <c r="V267" s="216">
        <f t="shared" si="168"/>
        <v>4428.5859250620906</v>
      </c>
      <c r="W267" s="216">
        <f t="shared" si="168"/>
        <v>4713.8300878581194</v>
      </c>
      <c r="X267" s="216">
        <f t="shared" si="168"/>
        <v>5225.7551519394565</v>
      </c>
      <c r="Y267" s="216">
        <f t="shared" si="168"/>
        <v>5729.1787472952892</v>
      </c>
      <c r="Z267" s="216">
        <f t="shared" si="168"/>
        <v>6224.100873925614</v>
      </c>
      <c r="AA267" s="216">
        <f t="shared" si="168"/>
        <v>6710.5215318304308</v>
      </c>
      <c r="AB267" s="216">
        <f t="shared" si="168"/>
        <v>7188.4407210097452</v>
      </c>
      <c r="AC267" s="216">
        <f t="shared" si="168"/>
        <v>7655.142736817661</v>
      </c>
      <c r="AD267" s="216">
        <f t="shared" si="168"/>
        <v>8113.0856636356566</v>
      </c>
      <c r="AE267" s="216">
        <f t="shared" si="168"/>
        <v>8562.2695014637375</v>
      </c>
      <c r="AF267" s="216">
        <f t="shared" si="168"/>
        <v>9002.6942503019054</v>
      </c>
      <c r="AG267" s="216">
        <f t="shared" si="168"/>
        <v>9434.3599101501513</v>
      </c>
      <c r="AH267" s="230"/>
      <c r="AI267" s="126"/>
      <c r="AJ267" s="198"/>
      <c r="AL267" s="102"/>
      <c r="AM267" s="2"/>
      <c r="AN267" s="2"/>
      <c r="AO267" s="2"/>
      <c r="BC267" s="1"/>
      <c r="BD267" s="2"/>
      <c r="BE267" s="2"/>
      <c r="BF267" s="2"/>
      <c r="BG267" s="2"/>
      <c r="BH267" s="2"/>
      <c r="BI267" s="2"/>
      <c r="BJ267" s="2"/>
      <c r="BK267" s="2"/>
    </row>
    <row r="268" spans="1:63" outlineLevel="1">
      <c r="A268" s="4" t="s">
        <v>160</v>
      </c>
      <c r="C268" s="216">
        <f t="shared" ref="C268:AG268" si="169">C263-$C263</f>
        <v>0</v>
      </c>
      <c r="D268" s="216">
        <f t="shared" si="169"/>
        <v>344.43169148109337</v>
      </c>
      <c r="E268" s="216">
        <f t="shared" si="169"/>
        <v>688.86338296218673</v>
      </c>
      <c r="F268" s="216">
        <f t="shared" si="169"/>
        <v>1033.2950744432801</v>
      </c>
      <c r="G268" s="216">
        <f t="shared" si="169"/>
        <v>1377.7267659243716</v>
      </c>
      <c r="H268" s="216">
        <f t="shared" si="169"/>
        <v>1722.1584574054668</v>
      </c>
      <c r="I268" s="216">
        <f t="shared" si="169"/>
        <v>2002.6796411767518</v>
      </c>
      <c r="J268" s="216">
        <f t="shared" si="169"/>
        <v>2278.6543266204862</v>
      </c>
      <c r="K268" s="216">
        <f t="shared" si="169"/>
        <v>2550.0825137366683</v>
      </c>
      <c r="L268" s="216">
        <f t="shared" si="169"/>
        <v>2816.964202525307</v>
      </c>
      <c r="M268" s="216">
        <f t="shared" si="169"/>
        <v>3079.2993929863878</v>
      </c>
      <c r="N268" s="216">
        <f t="shared" si="169"/>
        <v>3703.5040566258886</v>
      </c>
      <c r="O268" s="216">
        <f t="shared" si="169"/>
        <v>4318.1261007134726</v>
      </c>
      <c r="P268" s="216">
        <f t="shared" si="169"/>
        <v>4923.1655252491437</v>
      </c>
      <c r="Q268" s="216">
        <f t="shared" si="169"/>
        <v>5518.6223302328999</v>
      </c>
      <c r="R268" s="216">
        <f t="shared" si="169"/>
        <v>6104.4965156647449</v>
      </c>
      <c r="S268" s="216">
        <f t="shared" si="169"/>
        <v>6680.7880815446733</v>
      </c>
      <c r="T268" s="216">
        <f t="shared" si="169"/>
        <v>7247.4970278726923</v>
      </c>
      <c r="U268" s="216">
        <f t="shared" si="169"/>
        <v>7804.6233546487929</v>
      </c>
      <c r="V268" s="216">
        <f t="shared" si="169"/>
        <v>8352.1670618729804</v>
      </c>
      <c r="W268" s="216">
        <f t="shared" si="169"/>
        <v>8890.1281495452495</v>
      </c>
      <c r="X268" s="216">
        <f t="shared" si="169"/>
        <v>9855.6019442774668</v>
      </c>
      <c r="Y268" s="216">
        <f t="shared" si="169"/>
        <v>10805.042249252852</v>
      </c>
      <c r="Z268" s="216">
        <f t="shared" si="169"/>
        <v>11738.449064471406</v>
      </c>
      <c r="AA268" s="216">
        <f t="shared" si="169"/>
        <v>12655.822389933131</v>
      </c>
      <c r="AB268" s="216">
        <f t="shared" si="169"/>
        <v>13557.162225638032</v>
      </c>
      <c r="AC268" s="216">
        <f t="shared" si="169"/>
        <v>14437.346842149891</v>
      </c>
      <c r="AD268" s="216">
        <f t="shared" si="169"/>
        <v>15301.012105578953</v>
      </c>
      <c r="AE268" s="216">
        <f t="shared" si="169"/>
        <v>16148.158015925223</v>
      </c>
      <c r="AF268" s="216">
        <f t="shared" si="169"/>
        <v>16978.784573188699</v>
      </c>
      <c r="AG268" s="216">
        <f t="shared" si="169"/>
        <v>17792.891777369372</v>
      </c>
      <c r="AH268" s="230"/>
      <c r="AI268" s="126"/>
      <c r="AJ268" s="198"/>
      <c r="AL268" s="102"/>
      <c r="AM268" s="2"/>
      <c r="AN268" s="2"/>
      <c r="AO268" s="2"/>
      <c r="BC268" s="1"/>
      <c r="BD268" s="2"/>
      <c r="BE268" s="2"/>
      <c r="BF268" s="2"/>
      <c r="BG268" s="2"/>
      <c r="BH268" s="2"/>
      <c r="BI268" s="2"/>
      <c r="BJ268" s="2"/>
      <c r="BK268" s="2"/>
    </row>
    <row r="269" spans="1:63" outlineLevel="1">
      <c r="A269" s="4" t="s">
        <v>1159</v>
      </c>
      <c r="C269" s="216">
        <f t="shared" ref="C269:AG269" si="170">C264-$C264</f>
        <v>0</v>
      </c>
      <c r="D269" s="216">
        <f t="shared" si="170"/>
        <v>99.275083541610911</v>
      </c>
      <c r="E269" s="216">
        <f t="shared" si="170"/>
        <v>198.55016708322137</v>
      </c>
      <c r="F269" s="216">
        <f t="shared" si="170"/>
        <v>297.82525062483137</v>
      </c>
      <c r="G269" s="216">
        <f t="shared" si="170"/>
        <v>397.10033416644183</v>
      </c>
      <c r="H269" s="216">
        <f t="shared" si="170"/>
        <v>496.37541770805228</v>
      </c>
      <c r="I269" s="216">
        <f t="shared" si="170"/>
        <v>577.22966150406683</v>
      </c>
      <c r="J269" s="216">
        <f t="shared" si="170"/>
        <v>656.77347419733132</v>
      </c>
      <c r="K269" s="216">
        <f t="shared" si="170"/>
        <v>735.00685578784623</v>
      </c>
      <c r="L269" s="216">
        <f t="shared" si="170"/>
        <v>811.92980627561383</v>
      </c>
      <c r="M269" s="216">
        <f t="shared" si="170"/>
        <v>887.54232566063047</v>
      </c>
      <c r="N269" s="216">
        <f t="shared" si="170"/>
        <v>1067.4559969706229</v>
      </c>
      <c r="O269" s="216">
        <f t="shared" si="170"/>
        <v>1244.6076827255897</v>
      </c>
      <c r="P269" s="216">
        <f t="shared" si="170"/>
        <v>1418.9973829255314</v>
      </c>
      <c r="Q269" s="216">
        <f t="shared" si="170"/>
        <v>1590.6250975704475</v>
      </c>
      <c r="R269" s="216">
        <f t="shared" si="170"/>
        <v>1759.4908266603393</v>
      </c>
      <c r="S269" s="216">
        <f t="shared" si="170"/>
        <v>1925.5945701952041</v>
      </c>
      <c r="T269" s="216">
        <f t="shared" si="170"/>
        <v>2088.9363281750457</v>
      </c>
      <c r="U269" s="216">
        <f t="shared" si="170"/>
        <v>2249.5161005998607</v>
      </c>
      <c r="V269" s="216">
        <f t="shared" si="170"/>
        <v>2407.3338874696501</v>
      </c>
      <c r="W269" s="216">
        <f t="shared" si="170"/>
        <v>2562.3896887844139</v>
      </c>
      <c r="X269" s="216">
        <f t="shared" si="170"/>
        <v>2840.6669031055517</v>
      </c>
      <c r="Y269" s="216">
        <f t="shared" si="170"/>
        <v>3114.3228062220551</v>
      </c>
      <c r="Z269" s="216">
        <f t="shared" si="170"/>
        <v>3383.3573981339241</v>
      </c>
      <c r="AA269" s="216">
        <f t="shared" si="170"/>
        <v>3647.7706788411579</v>
      </c>
      <c r="AB269" s="216">
        <f t="shared" si="170"/>
        <v>3907.5626483437591</v>
      </c>
      <c r="AC269" s="216">
        <f t="shared" si="170"/>
        <v>4161.2570774496007</v>
      </c>
      <c r="AD269" s="216">
        <f t="shared" si="170"/>
        <v>4410.1901556173325</v>
      </c>
      <c r="AE269" s="216">
        <f t="shared" si="170"/>
        <v>4654.3618828469562</v>
      </c>
      <c r="AF269" s="216">
        <f t="shared" si="170"/>
        <v>4893.7722591384736</v>
      </c>
      <c r="AG269" s="216">
        <f t="shared" si="170"/>
        <v>5128.4212844918775</v>
      </c>
      <c r="AH269" s="230"/>
      <c r="AI269" s="126"/>
      <c r="AJ269" s="198"/>
      <c r="AL269" s="102"/>
      <c r="AM269" s="2"/>
      <c r="AN269" s="2"/>
      <c r="AO269" s="2"/>
      <c r="BC269" s="1"/>
      <c r="BD269" s="2"/>
      <c r="BE269" s="2"/>
      <c r="BF269" s="2"/>
      <c r="BG269" s="2"/>
      <c r="BH269" s="2"/>
      <c r="BI269" s="2"/>
      <c r="BJ269" s="2"/>
      <c r="BK269" s="2"/>
    </row>
    <row r="270" spans="1:63" outlineLevel="2">
      <c r="C270" s="107"/>
      <c r="D270" s="104"/>
      <c r="E270" s="104"/>
      <c r="F270" s="104"/>
      <c r="G270" s="104"/>
      <c r="H270" s="104"/>
      <c r="I270" s="104"/>
      <c r="J270" s="104"/>
      <c r="K270" s="104"/>
      <c r="L270" s="104"/>
      <c r="M270" s="115"/>
      <c r="N270" s="115"/>
      <c r="O270" s="115"/>
      <c r="P270" s="115"/>
      <c r="Q270" s="115"/>
      <c r="R270" s="115"/>
      <c r="S270" s="115"/>
      <c r="T270" s="115"/>
      <c r="U270" s="115"/>
      <c r="V270" s="115"/>
      <c r="W270" s="115"/>
      <c r="X270" s="22"/>
      <c r="Y270" s="22"/>
      <c r="Z270" s="22"/>
      <c r="AA270" s="22"/>
      <c r="AB270" s="22"/>
      <c r="AC270" s="22"/>
      <c r="AD270" s="22"/>
      <c r="AE270" s="22"/>
      <c r="AF270" s="22"/>
      <c r="AG270" s="100"/>
      <c r="AJ270" s="198"/>
    </row>
    <row r="271" spans="1:63" s="187" customFormat="1" ht="15.5" thickBot="1">
      <c r="A271" s="213" t="s">
        <v>1387</v>
      </c>
      <c r="B271" s="214"/>
      <c r="C271" s="215">
        <f>(C39*C63+C40*C139+C42*C202+C41*C241+C43*C258)/C44</f>
        <v>0.12849645278539037</v>
      </c>
      <c r="D271" s="215">
        <f t="shared" ref="D271:AG271" si="171">(D39*D63+D40*D139+D42*D202+D41*D241+D43*D258)/D44</f>
        <v>0.10823455001968249</v>
      </c>
      <c r="E271" s="215">
        <f t="shared" si="171"/>
        <v>0.11338914053238977</v>
      </c>
      <c r="F271" s="215">
        <f t="shared" si="171"/>
        <v>0.11865262207176966</v>
      </c>
      <c r="G271" s="215">
        <f t="shared" si="171"/>
        <v>0.12393142945900214</v>
      </c>
      <c r="H271" s="215">
        <f t="shared" si="171"/>
        <v>0.12922819721721326</v>
      </c>
      <c r="I271" s="215">
        <f t="shared" si="171"/>
        <v>0.13516204560577902</v>
      </c>
      <c r="J271" s="215">
        <f t="shared" si="171"/>
        <v>0.14110177188235065</v>
      </c>
      <c r="K271" s="215">
        <f t="shared" si="171"/>
        <v>0.14704307589657045</v>
      </c>
      <c r="L271" s="215">
        <f t="shared" si="171"/>
        <v>0.15298127865346597</v>
      </c>
      <c r="M271" s="215">
        <f t="shared" si="171"/>
        <v>0.15891129101218182</v>
      </c>
      <c r="N271" s="215">
        <f t="shared" si="171"/>
        <v>0.16897691889049693</v>
      </c>
      <c r="O271" s="215">
        <f t="shared" si="171"/>
        <v>0.17895273255927097</v>
      </c>
      <c r="P271" s="215">
        <f t="shared" si="171"/>
        <v>0.18884658501151097</v>
      </c>
      <c r="Q271" s="215">
        <f t="shared" si="171"/>
        <v>0.19863544958857721</v>
      </c>
      <c r="R271" s="215">
        <f t="shared" si="171"/>
        <v>0.20830974743030187</v>
      </c>
      <c r="S271" s="215">
        <f t="shared" si="171"/>
        <v>0.21772609002782212</v>
      </c>
      <c r="T271" s="215">
        <f t="shared" si="171"/>
        <v>0.22701533893505182</v>
      </c>
      <c r="U271" s="215">
        <f t="shared" si="171"/>
        <v>0.23616976106793469</v>
      </c>
      <c r="V271" s="215">
        <f t="shared" si="171"/>
        <v>0.24518063744045787</v>
      </c>
      <c r="W271" s="215">
        <f t="shared" si="171"/>
        <v>0.25403813286227622</v>
      </c>
      <c r="X271" s="215">
        <f t="shared" si="171"/>
        <v>0.26862311219734386</v>
      </c>
      <c r="Y271" s="215">
        <f t="shared" si="171"/>
        <v>0.28295183501637189</v>
      </c>
      <c r="Z271" s="215">
        <f t="shared" si="171"/>
        <v>0.29703764448469899</v>
      </c>
      <c r="AA271" s="215">
        <f t="shared" si="171"/>
        <v>0.31082669420007469</v>
      </c>
      <c r="AB271" s="215">
        <f t="shared" si="171"/>
        <v>0.32429573490325186</v>
      </c>
      <c r="AC271" s="215">
        <f t="shared" si="171"/>
        <v>0.33745564864827726</v>
      </c>
      <c r="AD271" s="215">
        <f t="shared" si="171"/>
        <v>0.35021623279372194</v>
      </c>
      <c r="AE271" s="215">
        <f t="shared" si="171"/>
        <v>0.36253262686216786</v>
      </c>
      <c r="AF271" s="215">
        <f t="shared" si="171"/>
        <v>0.37435245819120516</v>
      </c>
      <c r="AG271" s="215">
        <f t="shared" si="171"/>
        <v>0.38561432593325584</v>
      </c>
      <c r="AJ271" s="452"/>
      <c r="AL271" s="204"/>
      <c r="AM271" s="211"/>
      <c r="AN271" s="211"/>
      <c r="AO271" s="211"/>
    </row>
    <row r="272" spans="1:63" s="187" customFormat="1" ht="16.25" thickTop="1" thickBot="1">
      <c r="A272" s="213" t="s">
        <v>467</v>
      </c>
      <c r="B272" s="214"/>
      <c r="C272" s="215">
        <f t="shared" ref="C272:AG272" si="172">(C11*C46+C120*C12+C14*C185+C237*C13+C254*C15)/C16</f>
        <v>0.10391498889855581</v>
      </c>
      <c r="D272" s="215">
        <f t="shared" si="172"/>
        <v>0.10913769993404097</v>
      </c>
      <c r="E272" s="215">
        <f t="shared" si="172"/>
        <v>0.11436041096952614</v>
      </c>
      <c r="F272" s="215">
        <f t="shared" si="172"/>
        <v>0.11958312200501135</v>
      </c>
      <c r="G272" s="215">
        <f t="shared" si="172"/>
        <v>0.12480583304049657</v>
      </c>
      <c r="H272" s="215">
        <f t="shared" si="172"/>
        <v>0.13002854407598174</v>
      </c>
      <c r="I272" s="215">
        <f t="shared" si="172"/>
        <v>0.13525125511146691</v>
      </c>
      <c r="J272" s="215">
        <f t="shared" si="172"/>
        <v>0.14047396614695212</v>
      </c>
      <c r="K272" s="215">
        <f t="shared" si="172"/>
        <v>0.14569667718243728</v>
      </c>
      <c r="L272" s="215">
        <f t="shared" si="172"/>
        <v>0.15091938821792247</v>
      </c>
      <c r="M272" s="215">
        <f t="shared" si="172"/>
        <v>0.15614209925340766</v>
      </c>
      <c r="N272" s="215">
        <f t="shared" si="172"/>
        <v>0.16714996712819952</v>
      </c>
      <c r="O272" s="215">
        <f t="shared" si="172"/>
        <v>0.17815783500299134</v>
      </c>
      <c r="P272" s="215">
        <f t="shared" si="172"/>
        <v>0.1891657028777832</v>
      </c>
      <c r="Q272" s="215">
        <f t="shared" si="172"/>
        <v>0.20017357075257503</v>
      </c>
      <c r="R272" s="215">
        <f t="shared" si="172"/>
        <v>0.21118143862736688</v>
      </c>
      <c r="S272" s="215">
        <f t="shared" si="172"/>
        <v>0.22218930650215879</v>
      </c>
      <c r="T272" s="215">
        <f t="shared" si="172"/>
        <v>0.23319717437695062</v>
      </c>
      <c r="U272" s="215">
        <f t="shared" si="172"/>
        <v>0.2442050422517425</v>
      </c>
      <c r="V272" s="215">
        <f t="shared" si="172"/>
        <v>0.25521291012653435</v>
      </c>
      <c r="W272" s="215">
        <f t="shared" si="172"/>
        <v>0.26622077800132615</v>
      </c>
      <c r="X272" s="215">
        <f t="shared" si="172"/>
        <v>0.28463897104956798</v>
      </c>
      <c r="Y272" s="215">
        <f t="shared" si="172"/>
        <v>0.30305716409780986</v>
      </c>
      <c r="Z272" s="215">
        <f t="shared" si="172"/>
        <v>0.32147535714605169</v>
      </c>
      <c r="AA272" s="215">
        <f t="shared" si="172"/>
        <v>0.3398935501942934</v>
      </c>
      <c r="AB272" s="215">
        <f t="shared" si="172"/>
        <v>0.35831174324253534</v>
      </c>
      <c r="AC272" s="215">
        <f t="shared" si="172"/>
        <v>0.37672993629077711</v>
      </c>
      <c r="AD272" s="215">
        <f t="shared" si="172"/>
        <v>0.39514812933901905</v>
      </c>
      <c r="AE272" s="215">
        <f t="shared" si="172"/>
        <v>0.41356632238726082</v>
      </c>
      <c r="AF272" s="215">
        <f t="shared" si="172"/>
        <v>0.43198451543550265</v>
      </c>
      <c r="AG272" s="215">
        <f t="shared" si="172"/>
        <v>0.45040270848374447</v>
      </c>
      <c r="AJ272" s="212"/>
      <c r="AL272" s="204"/>
      <c r="AM272" s="211"/>
      <c r="AN272" s="211"/>
      <c r="AO272" s="211"/>
    </row>
    <row r="273" spans="1:36" ht="15.5" thickTop="1">
      <c r="B273" s="123"/>
      <c r="C273" s="107"/>
      <c r="D273" s="22"/>
      <c r="E273" s="22"/>
      <c r="F273" s="22"/>
      <c r="G273" s="22"/>
      <c r="H273" s="22"/>
      <c r="I273" s="22"/>
      <c r="J273" s="22"/>
      <c r="K273" s="22"/>
      <c r="L273" s="22"/>
      <c r="M273" s="120"/>
      <c r="N273" s="104"/>
      <c r="O273" s="104"/>
      <c r="P273" s="104"/>
      <c r="Q273" s="104"/>
      <c r="R273" s="104"/>
      <c r="S273" s="104"/>
      <c r="T273" s="104"/>
      <c r="U273" s="104"/>
      <c r="V273" s="104"/>
      <c r="W273" s="120"/>
      <c r="X273" s="104"/>
      <c r="Y273" s="104"/>
      <c r="Z273" s="104"/>
      <c r="AA273" s="104"/>
      <c r="AB273" s="104"/>
      <c r="AC273" s="104"/>
      <c r="AD273" s="104"/>
      <c r="AE273" s="104"/>
      <c r="AF273" s="104"/>
      <c r="AG273" s="107"/>
    </row>
    <row r="274" spans="1:36">
      <c r="A274" t="s">
        <v>1388</v>
      </c>
      <c r="B274" s="123"/>
      <c r="C274" s="216">
        <f>C260+C243+C226+C216+C206+C174+C164+C154+C144+C109+C99+C89+C79+C69</f>
        <v>102113.18489319331</v>
      </c>
      <c r="D274" s="216">
        <f t="shared" ref="D274:AG274" si="173">D260+D243+D226+D216+D206+D174+D164+D154+D144+D109+D99+D89+D79+D69</f>
        <v>104019.78169196579</v>
      </c>
      <c r="E274" s="216">
        <f t="shared" si="173"/>
        <v>107723.85741203249</v>
      </c>
      <c r="F274" s="216">
        <f t="shared" si="173"/>
        <v>111608.39116758168</v>
      </c>
      <c r="G274" s="216">
        <f t="shared" si="173"/>
        <v>115464.11045163577</v>
      </c>
      <c r="H274" s="216">
        <f t="shared" si="173"/>
        <v>119295.09578323126</v>
      </c>
      <c r="I274" s="216">
        <f t="shared" si="173"/>
        <v>122695.19978071147</v>
      </c>
      <c r="J274" s="216">
        <f t="shared" si="173"/>
        <v>125989.91631958704</v>
      </c>
      <c r="K274" s="216">
        <f t="shared" si="173"/>
        <v>129175.00041668498</v>
      </c>
      <c r="L274" s="216">
        <f t="shared" si="173"/>
        <v>132245.90828970668</v>
      </c>
      <c r="M274" s="216">
        <f t="shared" si="173"/>
        <v>135197.79735722768</v>
      </c>
      <c r="N274" s="216">
        <f t="shared" si="173"/>
        <v>141130.54533054438</v>
      </c>
      <c r="O274" s="216">
        <f t="shared" si="173"/>
        <v>146641.45307181377</v>
      </c>
      <c r="P274" s="216">
        <f t="shared" si="173"/>
        <v>151711.80730912241</v>
      </c>
      <c r="Q274" s="216">
        <f t="shared" si="173"/>
        <v>156346.05697868025</v>
      </c>
      <c r="R274" s="216">
        <f t="shared" si="173"/>
        <v>160537.63561110396</v>
      </c>
      <c r="S274" s="216">
        <f t="shared" si="173"/>
        <v>164565.30936281875</v>
      </c>
      <c r="T274" s="216">
        <f t="shared" si="173"/>
        <v>168196.81146363969</v>
      </c>
      <c r="U274" s="216">
        <f t="shared" si="173"/>
        <v>171429.42885314784</v>
      </c>
      <c r="V274" s="216">
        <f t="shared" si="173"/>
        <v>174260.0027217739</v>
      </c>
      <c r="W274" s="216">
        <f t="shared" si="173"/>
        <v>176684.92851079843</v>
      </c>
      <c r="X274" s="216">
        <f t="shared" si="173"/>
        <v>183390.27472899144</v>
      </c>
      <c r="Y274" s="216">
        <f t="shared" si="173"/>
        <v>189402.83936979968</v>
      </c>
      <c r="Z274" s="216">
        <f t="shared" si="173"/>
        <v>194632.9787768205</v>
      </c>
      <c r="AA274" s="216">
        <f t="shared" si="173"/>
        <v>199140.82063905144</v>
      </c>
      <c r="AB274" s="216">
        <f t="shared" si="173"/>
        <v>202917.93546475976</v>
      </c>
      <c r="AC274" s="216">
        <f t="shared" si="173"/>
        <v>205563.85988569597</v>
      </c>
      <c r="AD274" s="216">
        <f t="shared" si="173"/>
        <v>207388.92083918001</v>
      </c>
      <c r="AE274" s="216">
        <f t="shared" si="173"/>
        <v>208376.896620757</v>
      </c>
      <c r="AF274" s="216">
        <f t="shared" si="173"/>
        <v>208510.650580349</v>
      </c>
      <c r="AG274" s="216">
        <f t="shared" si="173"/>
        <v>207772.13112225514</v>
      </c>
      <c r="AH274" s="230"/>
      <c r="AI274" s="22">
        <f>(AG274/C274)^(1/30)-1</f>
        <v>2.396123562039465E-2</v>
      </c>
      <c r="AJ274" s="490">
        <f>AG274-C274</f>
        <v>105658.94622906184</v>
      </c>
    </row>
    <row r="275" spans="1:36">
      <c r="A275" t="s">
        <v>1389</v>
      </c>
      <c r="B275" s="123"/>
      <c r="C275" s="216">
        <f>C274</f>
        <v>102113.18489319331</v>
      </c>
      <c r="D275" s="216">
        <f>C275*(1+$AI$275)</f>
        <v>103818.47508090963</v>
      </c>
      <c r="E275" s="216">
        <f t="shared" ref="E275:AG275" si="174">D275*(1+$AI$275)</f>
        <v>105552.24361476081</v>
      </c>
      <c r="F275" s="216">
        <f t="shared" si="174"/>
        <v>107314.96608312731</v>
      </c>
      <c r="G275" s="216">
        <f t="shared" si="174"/>
        <v>109107.12601671553</v>
      </c>
      <c r="H275" s="216">
        <f t="shared" si="174"/>
        <v>110929.21502119467</v>
      </c>
      <c r="I275" s="216">
        <f t="shared" si="174"/>
        <v>112781.73291204861</v>
      </c>
      <c r="J275" s="216">
        <f t="shared" si="174"/>
        <v>114665.18785167982</v>
      </c>
      <c r="K275" s="216">
        <f t="shared" si="174"/>
        <v>116580.09648880287</v>
      </c>
      <c r="L275" s="216">
        <f t="shared" si="174"/>
        <v>118526.98410016586</v>
      </c>
      <c r="M275" s="216">
        <f>L275*(1+$AI$275)</f>
        <v>120506.38473463863</v>
      </c>
      <c r="N275" s="216">
        <f t="shared" si="174"/>
        <v>122518.84135970709</v>
      </c>
      <c r="O275" s="216">
        <f t="shared" si="174"/>
        <v>124564.9060104142</v>
      </c>
      <c r="P275" s="216">
        <f t="shared" si="174"/>
        <v>126645.13994078811</v>
      </c>
      <c r="Q275" s="216">
        <f t="shared" si="174"/>
        <v>128760.11377779927</v>
      </c>
      <c r="R275" s="216">
        <f t="shared" si="174"/>
        <v>130910.40767788851</v>
      </c>
      <c r="S275" s="216">
        <f t="shared" si="174"/>
        <v>133096.61148610924</v>
      </c>
      <c r="T275" s="216">
        <f t="shared" si="174"/>
        <v>135319.32489792726</v>
      </c>
      <c r="U275" s="216">
        <f t="shared" si="174"/>
        <v>137579.15762372263</v>
      </c>
      <c r="V275" s="216">
        <f t="shared" si="174"/>
        <v>139876.72955603877</v>
      </c>
      <c r="W275" s="216">
        <f t="shared" si="174"/>
        <v>142212.6709396246</v>
      </c>
      <c r="X275" s="216">
        <f t="shared" si="174"/>
        <v>144587.62254431631</v>
      </c>
      <c r="Y275" s="216">
        <f t="shared" si="174"/>
        <v>147002.23584080639</v>
      </c>
      <c r="Z275" s="216">
        <f t="shared" si="174"/>
        <v>149457.17317934785</v>
      </c>
      <c r="AA275" s="216">
        <f t="shared" si="174"/>
        <v>151953.10797144295</v>
      </c>
      <c r="AB275" s="216">
        <f t="shared" si="174"/>
        <v>154490.72487456605</v>
      </c>
      <c r="AC275" s="216">
        <f t="shared" si="174"/>
        <v>157070.7199799713</v>
      </c>
      <c r="AD275" s="216">
        <f t="shared" si="174"/>
        <v>159693.80100363682</v>
      </c>
      <c r="AE275" s="216">
        <f t="shared" si="174"/>
        <v>162360.68748039755</v>
      </c>
      <c r="AF275" s="216">
        <f t="shared" si="174"/>
        <v>165072.11096132017</v>
      </c>
      <c r="AG275" s="216">
        <f t="shared" si="174"/>
        <v>167828.81521437422</v>
      </c>
      <c r="AI275" s="201">
        <v>1.67E-2</v>
      </c>
      <c r="AJ275" s="3" t="s">
        <v>676</v>
      </c>
    </row>
    <row r="276" spans="1:36">
      <c r="B276" s="48"/>
    </row>
    <row r="277" spans="1:36" s="55" customFormat="1">
      <c r="A277" s="55" t="s">
        <v>703</v>
      </c>
      <c r="B277" s="282"/>
      <c r="C277" s="283"/>
      <c r="D277" s="283"/>
      <c r="E277" s="283"/>
      <c r="F277" s="283"/>
      <c r="G277" s="283"/>
      <c r="H277" s="283"/>
      <c r="I277" s="283"/>
      <c r="J277" s="283"/>
      <c r="K277" s="283"/>
      <c r="L277" s="283"/>
      <c r="M277" s="283"/>
      <c r="N277" s="283"/>
      <c r="O277" s="283"/>
      <c r="P277" s="283"/>
      <c r="Q277" s="283"/>
      <c r="R277" s="283"/>
      <c r="S277" s="283"/>
      <c r="T277" s="283"/>
      <c r="U277" s="283"/>
      <c r="V277" s="283"/>
      <c r="W277" s="283"/>
      <c r="X277" s="283"/>
      <c r="Y277" s="283"/>
      <c r="Z277" s="283"/>
      <c r="AA277" s="283"/>
      <c r="AB277" s="283"/>
      <c r="AC277" s="283"/>
      <c r="AD277" s="283"/>
      <c r="AE277" s="283"/>
      <c r="AF277" s="283"/>
      <c r="AG277" s="283"/>
      <c r="AI277" s="284"/>
      <c r="AJ277" s="285"/>
    </row>
    <row r="278" spans="1:36" s="178" customFormat="1" outlineLevel="1">
      <c r="A278" s="321" t="s">
        <v>706</v>
      </c>
      <c r="B278" s="297" t="s">
        <v>126</v>
      </c>
      <c r="C278" s="678">
        <v>0.84</v>
      </c>
      <c r="D278" s="298">
        <f>-($C278-$AG278)/30+C278</f>
        <v>0.83566666666666667</v>
      </c>
      <c r="E278" s="298">
        <f t="shared" ref="E278:AF284" si="175">-($C278-$AG278)/30+D278</f>
        <v>0.83133333333333337</v>
      </c>
      <c r="F278" s="298">
        <f t="shared" si="175"/>
        <v>0.82700000000000007</v>
      </c>
      <c r="G278" s="298">
        <f t="shared" si="175"/>
        <v>0.82266666666666677</v>
      </c>
      <c r="H278" s="298">
        <f t="shared" si="175"/>
        <v>0.81833333333333347</v>
      </c>
      <c r="I278" s="298">
        <f t="shared" si="175"/>
        <v>0.81400000000000017</v>
      </c>
      <c r="J278" s="298">
        <f t="shared" si="175"/>
        <v>0.80966666666666687</v>
      </c>
      <c r="K278" s="298">
        <f t="shared" si="175"/>
        <v>0.80533333333333357</v>
      </c>
      <c r="L278" s="298">
        <f t="shared" si="175"/>
        <v>0.80100000000000027</v>
      </c>
      <c r="M278" s="298">
        <f t="shared" si="175"/>
        <v>0.79666666666666697</v>
      </c>
      <c r="N278" s="298">
        <f t="shared" si="175"/>
        <v>0.79233333333333367</v>
      </c>
      <c r="O278" s="298">
        <f t="shared" si="175"/>
        <v>0.78800000000000037</v>
      </c>
      <c r="P278" s="298">
        <f t="shared" si="175"/>
        <v>0.78366666666666707</v>
      </c>
      <c r="Q278" s="298">
        <f t="shared" si="175"/>
        <v>0.77933333333333377</v>
      </c>
      <c r="R278" s="298">
        <f t="shared" si="175"/>
        <v>0.77500000000000047</v>
      </c>
      <c r="S278" s="298">
        <f t="shared" si="175"/>
        <v>0.77066666666666717</v>
      </c>
      <c r="T278" s="298">
        <f t="shared" si="175"/>
        <v>0.76633333333333387</v>
      </c>
      <c r="U278" s="298">
        <f t="shared" si="175"/>
        <v>0.76200000000000057</v>
      </c>
      <c r="V278" s="298">
        <f t="shared" si="175"/>
        <v>0.75766666666666727</v>
      </c>
      <c r="W278" s="298">
        <f t="shared" si="175"/>
        <v>0.75333333333333397</v>
      </c>
      <c r="X278" s="298">
        <f t="shared" si="175"/>
        <v>0.74900000000000067</v>
      </c>
      <c r="Y278" s="298">
        <f t="shared" si="175"/>
        <v>0.74466666666666737</v>
      </c>
      <c r="Z278" s="298">
        <f t="shared" si="175"/>
        <v>0.74033333333333406</v>
      </c>
      <c r="AA278" s="298">
        <f t="shared" si="175"/>
        <v>0.73600000000000076</v>
      </c>
      <c r="AB278" s="298">
        <f t="shared" si="175"/>
        <v>0.73166666666666746</v>
      </c>
      <c r="AC278" s="298">
        <f t="shared" si="175"/>
        <v>0.72733333333333416</v>
      </c>
      <c r="AD278" s="298">
        <f t="shared" si="175"/>
        <v>0.72300000000000086</v>
      </c>
      <c r="AE278" s="298">
        <f t="shared" si="175"/>
        <v>0.71866666666666756</v>
      </c>
      <c r="AF278" s="298">
        <f t="shared" si="175"/>
        <v>0.71433333333333426</v>
      </c>
      <c r="AG278" s="678">
        <v>0.71</v>
      </c>
      <c r="AI278" s="299"/>
      <c r="AJ278" t="s">
        <v>1614</v>
      </c>
    </row>
    <row r="279" spans="1:36" outlineLevel="1">
      <c r="A279" s="3" t="s">
        <v>698</v>
      </c>
      <c r="B279" s="281" t="s">
        <v>126</v>
      </c>
      <c r="C279" s="275">
        <v>0.16</v>
      </c>
      <c r="D279" s="296">
        <f t="shared" ref="D279:S284" si="176">-($C279-$AG279)/30+C279</f>
        <v>0.16206666666666666</v>
      </c>
      <c r="E279" s="296">
        <f t="shared" si="176"/>
        <v>0.16413333333333333</v>
      </c>
      <c r="F279" s="296">
        <f t="shared" si="176"/>
        <v>0.16619999999999999</v>
      </c>
      <c r="G279" s="296">
        <f t="shared" si="176"/>
        <v>0.16826666666666665</v>
      </c>
      <c r="H279" s="296">
        <f t="shared" si="176"/>
        <v>0.17033333333333331</v>
      </c>
      <c r="I279" s="296">
        <f t="shared" si="176"/>
        <v>0.17239999999999997</v>
      </c>
      <c r="J279" s="296">
        <f t="shared" si="176"/>
        <v>0.17446666666666663</v>
      </c>
      <c r="K279" s="296">
        <f t="shared" si="176"/>
        <v>0.17653333333333329</v>
      </c>
      <c r="L279" s="296">
        <f t="shared" si="176"/>
        <v>0.17859999999999995</v>
      </c>
      <c r="M279" s="296">
        <f t="shared" si="176"/>
        <v>0.18066666666666661</v>
      </c>
      <c r="N279" s="296">
        <f t="shared" si="176"/>
        <v>0.18273333333333328</v>
      </c>
      <c r="O279" s="296">
        <f t="shared" si="176"/>
        <v>0.18479999999999994</v>
      </c>
      <c r="P279" s="296">
        <f t="shared" si="176"/>
        <v>0.1868666666666666</v>
      </c>
      <c r="Q279" s="296">
        <f t="shared" si="176"/>
        <v>0.18893333333333326</v>
      </c>
      <c r="R279" s="296">
        <f t="shared" si="176"/>
        <v>0.19099999999999992</v>
      </c>
      <c r="S279" s="296">
        <f t="shared" si="176"/>
        <v>0.19306666666666658</v>
      </c>
      <c r="T279" s="296">
        <f t="shared" si="175"/>
        <v>0.19513333333333324</v>
      </c>
      <c r="U279" s="296">
        <f t="shared" si="175"/>
        <v>0.1971999999999999</v>
      </c>
      <c r="V279" s="296">
        <f t="shared" si="175"/>
        <v>0.19926666666666656</v>
      </c>
      <c r="W279" s="296">
        <f t="shared" si="175"/>
        <v>0.20133333333333323</v>
      </c>
      <c r="X279" s="296">
        <f t="shared" si="175"/>
        <v>0.20339999999999989</v>
      </c>
      <c r="Y279" s="296">
        <f t="shared" si="175"/>
        <v>0.20546666666666655</v>
      </c>
      <c r="Z279" s="296">
        <f t="shared" si="175"/>
        <v>0.20753333333333321</v>
      </c>
      <c r="AA279" s="296">
        <f t="shared" si="175"/>
        <v>0.20959999999999987</v>
      </c>
      <c r="AB279" s="296">
        <f t="shared" si="175"/>
        <v>0.21166666666666653</v>
      </c>
      <c r="AC279" s="296">
        <f t="shared" si="175"/>
        <v>0.21373333333333319</v>
      </c>
      <c r="AD279" s="296">
        <f t="shared" si="175"/>
        <v>0.21579999999999985</v>
      </c>
      <c r="AE279" s="296">
        <f t="shared" si="175"/>
        <v>0.21786666666666651</v>
      </c>
      <c r="AF279" s="296">
        <f t="shared" si="175"/>
        <v>0.21993333333333318</v>
      </c>
      <c r="AG279" s="275">
        <v>0.222</v>
      </c>
      <c r="AI279" s="201"/>
      <c r="AJ279" t="s">
        <v>1614</v>
      </c>
    </row>
    <row r="280" spans="1:36" outlineLevel="1">
      <c r="A280" s="3" t="s">
        <v>697</v>
      </c>
      <c r="B280" s="281" t="s">
        <v>126</v>
      </c>
      <c r="C280" s="275">
        <v>0.37</v>
      </c>
      <c r="D280" s="296">
        <f t="shared" si="176"/>
        <v>0.36270000000000002</v>
      </c>
      <c r="E280" s="296">
        <f t="shared" si="176"/>
        <v>0.35540000000000005</v>
      </c>
      <c r="F280" s="296">
        <f t="shared" si="176"/>
        <v>0.34810000000000008</v>
      </c>
      <c r="G280" s="296">
        <f t="shared" si="176"/>
        <v>0.3408000000000001</v>
      </c>
      <c r="H280" s="296">
        <f t="shared" si="176"/>
        <v>0.33350000000000013</v>
      </c>
      <c r="I280" s="296">
        <f t="shared" si="176"/>
        <v>0.32620000000000016</v>
      </c>
      <c r="J280" s="296">
        <f t="shared" si="176"/>
        <v>0.31890000000000018</v>
      </c>
      <c r="K280" s="296">
        <f t="shared" si="176"/>
        <v>0.31160000000000021</v>
      </c>
      <c r="L280" s="296">
        <f t="shared" si="176"/>
        <v>0.30430000000000024</v>
      </c>
      <c r="M280" s="296">
        <f t="shared" si="176"/>
        <v>0.29700000000000026</v>
      </c>
      <c r="N280" s="296">
        <f t="shared" si="176"/>
        <v>0.28970000000000029</v>
      </c>
      <c r="O280" s="296">
        <f t="shared" si="176"/>
        <v>0.28240000000000032</v>
      </c>
      <c r="P280" s="296">
        <f t="shared" si="176"/>
        <v>0.27510000000000034</v>
      </c>
      <c r="Q280" s="296">
        <f t="shared" si="176"/>
        <v>0.26780000000000037</v>
      </c>
      <c r="R280" s="296">
        <f t="shared" si="176"/>
        <v>0.2605000000000004</v>
      </c>
      <c r="S280" s="296">
        <f t="shared" si="176"/>
        <v>0.25320000000000042</v>
      </c>
      <c r="T280" s="296">
        <f t="shared" si="175"/>
        <v>0.24590000000000042</v>
      </c>
      <c r="U280" s="296">
        <f t="shared" si="175"/>
        <v>0.23860000000000042</v>
      </c>
      <c r="V280" s="296">
        <f t="shared" si="175"/>
        <v>0.23130000000000042</v>
      </c>
      <c r="W280" s="296">
        <f t="shared" si="175"/>
        <v>0.22400000000000042</v>
      </c>
      <c r="X280" s="296">
        <f t="shared" si="175"/>
        <v>0.21670000000000042</v>
      </c>
      <c r="Y280" s="296">
        <f t="shared" si="175"/>
        <v>0.20940000000000042</v>
      </c>
      <c r="Z280" s="296">
        <f t="shared" si="175"/>
        <v>0.20210000000000042</v>
      </c>
      <c r="AA280" s="296">
        <f t="shared" si="175"/>
        <v>0.19480000000000042</v>
      </c>
      <c r="AB280" s="296">
        <f t="shared" si="175"/>
        <v>0.18750000000000042</v>
      </c>
      <c r="AC280" s="296">
        <f t="shared" si="175"/>
        <v>0.18020000000000042</v>
      </c>
      <c r="AD280" s="296">
        <f t="shared" si="175"/>
        <v>0.17290000000000041</v>
      </c>
      <c r="AE280" s="296">
        <f t="shared" si="175"/>
        <v>0.16560000000000041</v>
      </c>
      <c r="AF280" s="296">
        <f t="shared" si="175"/>
        <v>0.15830000000000041</v>
      </c>
      <c r="AG280" s="275">
        <v>0.151</v>
      </c>
      <c r="AI280" s="201"/>
      <c r="AJ280" t="s">
        <v>1614</v>
      </c>
    </row>
    <row r="281" spans="1:36" outlineLevel="1">
      <c r="A281" s="3" t="s">
        <v>699</v>
      </c>
      <c r="B281" s="281" t="s">
        <v>126</v>
      </c>
      <c r="C281" s="275">
        <v>0.08</v>
      </c>
      <c r="D281" s="296">
        <f t="shared" si="176"/>
        <v>8.0100000000000005E-2</v>
      </c>
      <c r="E281" s="296">
        <f t="shared" si="176"/>
        <v>8.0200000000000007E-2</v>
      </c>
      <c r="F281" s="296">
        <f t="shared" si="176"/>
        <v>8.030000000000001E-2</v>
      </c>
      <c r="G281" s="296">
        <f t="shared" si="176"/>
        <v>8.0400000000000013E-2</v>
      </c>
      <c r="H281" s="296">
        <f t="shared" si="176"/>
        <v>8.0500000000000016E-2</v>
      </c>
      <c r="I281" s="296">
        <f t="shared" si="176"/>
        <v>8.0600000000000019E-2</v>
      </c>
      <c r="J281" s="296">
        <f t="shared" si="176"/>
        <v>8.0700000000000022E-2</v>
      </c>
      <c r="K281" s="296">
        <f t="shared" si="176"/>
        <v>8.0800000000000025E-2</v>
      </c>
      <c r="L281" s="296">
        <f t="shared" si="176"/>
        <v>8.0900000000000027E-2</v>
      </c>
      <c r="M281" s="296">
        <f t="shared" si="176"/>
        <v>8.100000000000003E-2</v>
      </c>
      <c r="N281" s="296">
        <f t="shared" si="176"/>
        <v>8.1100000000000033E-2</v>
      </c>
      <c r="O281" s="296">
        <f t="shared" si="176"/>
        <v>8.1200000000000036E-2</v>
      </c>
      <c r="P281" s="296">
        <f t="shared" si="176"/>
        <v>8.1300000000000039E-2</v>
      </c>
      <c r="Q281" s="296">
        <f t="shared" si="176"/>
        <v>8.1400000000000042E-2</v>
      </c>
      <c r="R281" s="296">
        <f t="shared" si="176"/>
        <v>8.1500000000000045E-2</v>
      </c>
      <c r="S281" s="296">
        <f t="shared" si="176"/>
        <v>8.1600000000000047E-2</v>
      </c>
      <c r="T281" s="296">
        <f t="shared" si="175"/>
        <v>8.170000000000005E-2</v>
      </c>
      <c r="U281" s="296">
        <f t="shared" si="175"/>
        <v>8.1800000000000053E-2</v>
      </c>
      <c r="V281" s="296">
        <f t="shared" si="175"/>
        <v>8.1900000000000056E-2</v>
      </c>
      <c r="W281" s="296">
        <f t="shared" si="175"/>
        <v>8.2000000000000059E-2</v>
      </c>
      <c r="X281" s="296">
        <f t="shared" si="175"/>
        <v>8.2100000000000062E-2</v>
      </c>
      <c r="Y281" s="296">
        <f t="shared" si="175"/>
        <v>8.2200000000000065E-2</v>
      </c>
      <c r="Z281" s="296">
        <f t="shared" si="175"/>
        <v>8.2300000000000068E-2</v>
      </c>
      <c r="AA281" s="296">
        <f t="shared" si="175"/>
        <v>8.240000000000007E-2</v>
      </c>
      <c r="AB281" s="296">
        <f t="shared" si="175"/>
        <v>8.2500000000000073E-2</v>
      </c>
      <c r="AC281" s="296">
        <f t="shared" si="175"/>
        <v>8.2600000000000076E-2</v>
      </c>
      <c r="AD281" s="296">
        <f t="shared" si="175"/>
        <v>8.2700000000000079E-2</v>
      </c>
      <c r="AE281" s="296">
        <f t="shared" si="175"/>
        <v>8.2800000000000082E-2</v>
      </c>
      <c r="AF281" s="296">
        <f t="shared" si="175"/>
        <v>8.2900000000000085E-2</v>
      </c>
      <c r="AG281" s="275">
        <v>8.3000000000000004E-2</v>
      </c>
      <c r="AI281" s="201"/>
      <c r="AJ281" t="s">
        <v>1614</v>
      </c>
    </row>
    <row r="282" spans="1:36" outlineLevel="1">
      <c r="A282" s="3" t="s">
        <v>700</v>
      </c>
      <c r="B282" s="281" t="s">
        <v>126</v>
      </c>
      <c r="C282" s="275">
        <v>0.27</v>
      </c>
      <c r="D282" s="296">
        <f t="shared" si="176"/>
        <v>0.27313333333333334</v>
      </c>
      <c r="E282" s="296">
        <f t="shared" si="176"/>
        <v>0.27626666666666666</v>
      </c>
      <c r="F282" s="296">
        <f t="shared" si="176"/>
        <v>0.27939999999999998</v>
      </c>
      <c r="G282" s="296">
        <f t="shared" si="176"/>
        <v>0.2825333333333333</v>
      </c>
      <c r="H282" s="296">
        <f t="shared" si="176"/>
        <v>0.28566666666666662</v>
      </c>
      <c r="I282" s="296">
        <f t="shared" si="176"/>
        <v>0.28879999999999995</v>
      </c>
      <c r="J282" s="296">
        <f t="shared" si="176"/>
        <v>0.29193333333333327</v>
      </c>
      <c r="K282" s="296">
        <f t="shared" si="176"/>
        <v>0.29506666666666659</v>
      </c>
      <c r="L282" s="296">
        <f t="shared" si="176"/>
        <v>0.29819999999999991</v>
      </c>
      <c r="M282" s="296">
        <f t="shared" si="176"/>
        <v>0.30133333333333323</v>
      </c>
      <c r="N282" s="296">
        <f t="shared" si="176"/>
        <v>0.30446666666666655</v>
      </c>
      <c r="O282" s="296">
        <f t="shared" si="176"/>
        <v>0.30759999999999987</v>
      </c>
      <c r="P282" s="296">
        <f t="shared" si="176"/>
        <v>0.31073333333333319</v>
      </c>
      <c r="Q282" s="296">
        <f t="shared" si="176"/>
        <v>0.31386666666666652</v>
      </c>
      <c r="R282" s="296">
        <f t="shared" si="176"/>
        <v>0.31699999999999984</v>
      </c>
      <c r="S282" s="296">
        <f t="shared" si="176"/>
        <v>0.32013333333333316</v>
      </c>
      <c r="T282" s="296">
        <f t="shared" si="175"/>
        <v>0.32326666666666648</v>
      </c>
      <c r="U282" s="296">
        <f t="shared" si="175"/>
        <v>0.3263999999999998</v>
      </c>
      <c r="V282" s="296">
        <f t="shared" si="175"/>
        <v>0.32953333333333312</v>
      </c>
      <c r="W282" s="296">
        <f t="shared" si="175"/>
        <v>0.33266666666666644</v>
      </c>
      <c r="X282" s="296">
        <f t="shared" si="175"/>
        <v>0.33579999999999977</v>
      </c>
      <c r="Y282" s="296">
        <f t="shared" si="175"/>
        <v>0.33893333333333309</v>
      </c>
      <c r="Z282" s="296">
        <f t="shared" si="175"/>
        <v>0.34206666666666641</v>
      </c>
      <c r="AA282" s="296">
        <f t="shared" si="175"/>
        <v>0.34519999999999973</v>
      </c>
      <c r="AB282" s="296">
        <f t="shared" si="175"/>
        <v>0.34833333333333305</v>
      </c>
      <c r="AC282" s="296">
        <f t="shared" si="175"/>
        <v>0.35146666666666637</v>
      </c>
      <c r="AD282" s="296">
        <f t="shared" si="175"/>
        <v>0.35459999999999969</v>
      </c>
      <c r="AE282" s="296">
        <f t="shared" si="175"/>
        <v>0.35773333333333301</v>
      </c>
      <c r="AF282" s="296">
        <f t="shared" si="175"/>
        <v>0.36086666666666634</v>
      </c>
      <c r="AG282" s="275">
        <v>0.36399999999999999</v>
      </c>
      <c r="AI282" s="201"/>
      <c r="AJ282" t="s">
        <v>1614</v>
      </c>
    </row>
    <row r="283" spans="1:36" outlineLevel="1">
      <c r="A283" s="3" t="s">
        <v>701</v>
      </c>
      <c r="B283" s="281" t="s">
        <v>126</v>
      </c>
      <c r="C283" s="275">
        <v>7.0000000000000007E-2</v>
      </c>
      <c r="D283" s="296">
        <f t="shared" si="176"/>
        <v>7.1266666666666673E-2</v>
      </c>
      <c r="E283" s="296">
        <f t="shared" si="176"/>
        <v>7.2533333333333339E-2</v>
      </c>
      <c r="F283" s="296">
        <f t="shared" si="176"/>
        <v>7.3800000000000004E-2</v>
      </c>
      <c r="G283" s="296">
        <f t="shared" si="176"/>
        <v>7.506666666666667E-2</v>
      </c>
      <c r="H283" s="296">
        <f t="shared" si="176"/>
        <v>7.6333333333333336E-2</v>
      </c>
      <c r="I283" s="296">
        <f t="shared" si="176"/>
        <v>7.7600000000000002E-2</v>
      </c>
      <c r="J283" s="296">
        <f t="shared" si="176"/>
        <v>7.8866666666666668E-2</v>
      </c>
      <c r="K283" s="296">
        <f t="shared" si="176"/>
        <v>8.0133333333333334E-2</v>
      </c>
      <c r="L283" s="296">
        <f t="shared" si="176"/>
        <v>8.14E-2</v>
      </c>
      <c r="M283" s="296">
        <f t="shared" si="176"/>
        <v>8.2666666666666666E-2</v>
      </c>
      <c r="N283" s="296">
        <f t="shared" si="176"/>
        <v>8.3933333333333332E-2</v>
      </c>
      <c r="O283" s="296">
        <f t="shared" si="176"/>
        <v>8.5199999999999998E-2</v>
      </c>
      <c r="P283" s="296">
        <f t="shared" si="176"/>
        <v>8.6466666666666664E-2</v>
      </c>
      <c r="Q283" s="296">
        <f t="shared" si="176"/>
        <v>8.773333333333333E-2</v>
      </c>
      <c r="R283" s="296">
        <f t="shared" si="176"/>
        <v>8.8999999999999996E-2</v>
      </c>
      <c r="S283" s="296">
        <f t="shared" si="176"/>
        <v>9.0266666666666662E-2</v>
      </c>
      <c r="T283" s="296">
        <f t="shared" si="175"/>
        <v>9.1533333333333328E-2</v>
      </c>
      <c r="U283" s="296">
        <f t="shared" si="175"/>
        <v>9.2799999999999994E-2</v>
      </c>
      <c r="V283" s="296">
        <f t="shared" si="175"/>
        <v>9.406666666666666E-2</v>
      </c>
      <c r="W283" s="296">
        <f t="shared" si="175"/>
        <v>9.5333333333333325E-2</v>
      </c>
      <c r="X283" s="296">
        <f t="shared" si="175"/>
        <v>9.6599999999999991E-2</v>
      </c>
      <c r="Y283" s="296">
        <f t="shared" si="175"/>
        <v>9.7866666666666657E-2</v>
      </c>
      <c r="Z283" s="296">
        <f t="shared" si="175"/>
        <v>9.9133333333333323E-2</v>
      </c>
      <c r="AA283" s="296">
        <f t="shared" si="175"/>
        <v>0.10039999999999999</v>
      </c>
      <c r="AB283" s="296">
        <f t="shared" si="175"/>
        <v>0.10166666666666666</v>
      </c>
      <c r="AC283" s="296">
        <f t="shared" si="175"/>
        <v>0.10293333333333332</v>
      </c>
      <c r="AD283" s="296">
        <f t="shared" si="175"/>
        <v>0.10419999999999999</v>
      </c>
      <c r="AE283" s="296">
        <f t="shared" si="175"/>
        <v>0.10546666666666665</v>
      </c>
      <c r="AF283" s="296">
        <f t="shared" si="175"/>
        <v>0.10673333333333332</v>
      </c>
      <c r="AG283" s="275">
        <v>0.108</v>
      </c>
      <c r="AI283" s="201"/>
      <c r="AJ283" t="s">
        <v>1614</v>
      </c>
    </row>
    <row r="284" spans="1:36" outlineLevel="1">
      <c r="A284" s="3" t="s">
        <v>702</v>
      </c>
      <c r="B284" s="281" t="s">
        <v>126</v>
      </c>
      <c r="C284" s="275">
        <v>0.05</v>
      </c>
      <c r="D284" s="296">
        <f t="shared" si="176"/>
        <v>5.0733333333333339E-2</v>
      </c>
      <c r="E284" s="296">
        <f t="shared" si="176"/>
        <v>5.1466666666666674E-2</v>
      </c>
      <c r="F284" s="296">
        <f t="shared" si="176"/>
        <v>5.220000000000001E-2</v>
      </c>
      <c r="G284" s="296">
        <f t="shared" si="176"/>
        <v>5.2933333333333346E-2</v>
      </c>
      <c r="H284" s="296">
        <f t="shared" si="176"/>
        <v>5.3666666666666682E-2</v>
      </c>
      <c r="I284" s="296">
        <f t="shared" si="176"/>
        <v>5.4400000000000018E-2</v>
      </c>
      <c r="J284" s="296">
        <f t="shared" si="176"/>
        <v>5.5133333333333354E-2</v>
      </c>
      <c r="K284" s="296">
        <f t="shared" si="176"/>
        <v>5.5866666666666689E-2</v>
      </c>
      <c r="L284" s="296">
        <f t="shared" si="176"/>
        <v>5.6600000000000025E-2</v>
      </c>
      <c r="M284" s="296">
        <f t="shared" si="176"/>
        <v>5.7333333333333361E-2</v>
      </c>
      <c r="N284" s="296">
        <f t="shared" si="176"/>
        <v>5.8066666666666697E-2</v>
      </c>
      <c r="O284" s="296">
        <f t="shared" si="176"/>
        <v>5.8800000000000033E-2</v>
      </c>
      <c r="P284" s="296">
        <f t="shared" si="176"/>
        <v>5.9533333333333369E-2</v>
      </c>
      <c r="Q284" s="296">
        <f t="shared" si="176"/>
        <v>6.0266666666666704E-2</v>
      </c>
      <c r="R284" s="296">
        <f t="shared" si="176"/>
        <v>6.100000000000004E-2</v>
      </c>
      <c r="S284" s="296">
        <f t="shared" si="176"/>
        <v>6.1733333333333376E-2</v>
      </c>
      <c r="T284" s="296">
        <f t="shared" si="175"/>
        <v>6.2466666666666712E-2</v>
      </c>
      <c r="U284" s="296">
        <f t="shared" si="175"/>
        <v>6.3200000000000048E-2</v>
      </c>
      <c r="V284" s="296">
        <f t="shared" si="175"/>
        <v>6.3933333333333384E-2</v>
      </c>
      <c r="W284" s="296">
        <f t="shared" si="175"/>
        <v>6.4666666666666719E-2</v>
      </c>
      <c r="X284" s="296">
        <f t="shared" si="175"/>
        <v>6.5400000000000055E-2</v>
      </c>
      <c r="Y284" s="296">
        <f t="shared" si="175"/>
        <v>6.6133333333333391E-2</v>
      </c>
      <c r="Z284" s="296">
        <f t="shared" si="175"/>
        <v>6.6866666666666727E-2</v>
      </c>
      <c r="AA284" s="296">
        <f t="shared" si="175"/>
        <v>6.7600000000000063E-2</v>
      </c>
      <c r="AB284" s="296">
        <f t="shared" si="175"/>
        <v>6.8333333333333399E-2</v>
      </c>
      <c r="AC284" s="296">
        <f t="shared" si="175"/>
        <v>6.9066666666666734E-2</v>
      </c>
      <c r="AD284" s="296">
        <f t="shared" si="175"/>
        <v>6.980000000000007E-2</v>
      </c>
      <c r="AE284" s="296">
        <f t="shared" si="175"/>
        <v>7.0533333333333406E-2</v>
      </c>
      <c r="AF284" s="296">
        <f t="shared" si="175"/>
        <v>7.1266666666666742E-2</v>
      </c>
      <c r="AG284" s="275">
        <v>7.1999999999999995E-2</v>
      </c>
      <c r="AI284" s="201"/>
      <c r="AJ284" t="s">
        <v>1614</v>
      </c>
    </row>
    <row r="285" spans="1:36" s="55" customFormat="1" outlineLevel="1">
      <c r="A285" s="285" t="s">
        <v>704</v>
      </c>
      <c r="B285" s="282"/>
      <c r="C285" s="283"/>
      <c r="D285" s="283"/>
      <c r="E285" s="283"/>
      <c r="F285" s="283"/>
      <c r="G285" s="283"/>
      <c r="H285" s="283"/>
      <c r="I285" s="283"/>
      <c r="J285" s="283"/>
      <c r="K285" s="283"/>
      <c r="L285" s="283"/>
      <c r="M285" s="283"/>
      <c r="N285" s="283"/>
      <c r="O285" s="283"/>
      <c r="P285" s="283"/>
      <c r="Q285" s="283"/>
      <c r="R285" s="283"/>
      <c r="S285" s="283"/>
      <c r="T285" s="283"/>
      <c r="U285" s="283"/>
      <c r="V285" s="283"/>
      <c r="W285" s="283"/>
      <c r="X285" s="283"/>
      <c r="Y285" s="283"/>
      <c r="Z285" s="283"/>
      <c r="AA285" s="283"/>
      <c r="AB285" s="283"/>
      <c r="AC285" s="283"/>
      <c r="AD285" s="283"/>
      <c r="AE285" s="283"/>
      <c r="AF285" s="283"/>
      <c r="AG285" s="283"/>
      <c r="AI285" s="284"/>
      <c r="AJ285" s="285"/>
    </row>
    <row r="286" spans="1:36" s="55" customFormat="1" outlineLevel="1">
      <c r="A286" s="286" t="s">
        <v>732</v>
      </c>
      <c r="B286" s="287" t="s">
        <v>126</v>
      </c>
      <c r="C286" s="314">
        <v>0.84</v>
      </c>
      <c r="D286" s="315">
        <f>-($C286-$AG286)/30+C286</f>
        <v>0.84399999999999997</v>
      </c>
      <c r="E286" s="315">
        <f t="shared" ref="E286:AF287" si="177">-($C286-$AG286)/30+D286</f>
        <v>0.84799999999999998</v>
      </c>
      <c r="F286" s="315">
        <f t="shared" si="177"/>
        <v>0.85199999999999998</v>
      </c>
      <c r="G286" s="315">
        <f t="shared" si="177"/>
        <v>0.85599999999999998</v>
      </c>
      <c r="H286" s="315">
        <f t="shared" si="177"/>
        <v>0.86</v>
      </c>
      <c r="I286" s="315">
        <f t="shared" si="177"/>
        <v>0.86399999999999999</v>
      </c>
      <c r="J286" s="315">
        <f t="shared" si="177"/>
        <v>0.86799999999999999</v>
      </c>
      <c r="K286" s="315">
        <f t="shared" si="177"/>
        <v>0.872</v>
      </c>
      <c r="L286" s="315">
        <f t="shared" si="177"/>
        <v>0.876</v>
      </c>
      <c r="M286" s="315">
        <f t="shared" si="177"/>
        <v>0.88</v>
      </c>
      <c r="N286" s="315">
        <f t="shared" si="177"/>
        <v>0.88400000000000001</v>
      </c>
      <c r="O286" s="315">
        <f t="shared" si="177"/>
        <v>0.88800000000000001</v>
      </c>
      <c r="P286" s="315">
        <f t="shared" si="177"/>
        <v>0.89200000000000002</v>
      </c>
      <c r="Q286" s="315">
        <f t="shared" si="177"/>
        <v>0.89600000000000002</v>
      </c>
      <c r="R286" s="315">
        <f t="shared" si="177"/>
        <v>0.9</v>
      </c>
      <c r="S286" s="315">
        <f t="shared" si="177"/>
        <v>0.90400000000000003</v>
      </c>
      <c r="T286" s="315">
        <f t="shared" si="177"/>
        <v>0.90800000000000003</v>
      </c>
      <c r="U286" s="315">
        <f t="shared" si="177"/>
        <v>0.91200000000000003</v>
      </c>
      <c r="V286" s="315">
        <f t="shared" si="177"/>
        <v>0.91600000000000004</v>
      </c>
      <c r="W286" s="315">
        <f t="shared" si="177"/>
        <v>0.92</v>
      </c>
      <c r="X286" s="315">
        <f t="shared" si="177"/>
        <v>0.92400000000000004</v>
      </c>
      <c r="Y286" s="315">
        <f t="shared" si="177"/>
        <v>0.92800000000000005</v>
      </c>
      <c r="Z286" s="315">
        <f t="shared" si="177"/>
        <v>0.93200000000000005</v>
      </c>
      <c r="AA286" s="315">
        <f t="shared" si="177"/>
        <v>0.93600000000000005</v>
      </c>
      <c r="AB286" s="315">
        <f t="shared" si="177"/>
        <v>0.94000000000000006</v>
      </c>
      <c r="AC286" s="315">
        <f t="shared" si="177"/>
        <v>0.94400000000000006</v>
      </c>
      <c r="AD286" s="315">
        <f t="shared" si="177"/>
        <v>0.94800000000000006</v>
      </c>
      <c r="AE286" s="315">
        <f t="shared" si="177"/>
        <v>0.95200000000000007</v>
      </c>
      <c r="AF286" s="315">
        <f t="shared" si="177"/>
        <v>0.95600000000000007</v>
      </c>
      <c r="AG286" s="314">
        <v>0.96</v>
      </c>
      <c r="AI286" s="284"/>
      <c r="AJ286" s="316" t="s">
        <v>1614</v>
      </c>
    </row>
    <row r="287" spans="1:36" s="55" customFormat="1" outlineLevel="1">
      <c r="A287" s="286" t="s">
        <v>743</v>
      </c>
      <c r="B287" s="287" t="s">
        <v>126</v>
      </c>
      <c r="C287" s="314">
        <v>0.22</v>
      </c>
      <c r="D287" s="315">
        <f>-($C287-$AG287)/30+C287</f>
        <v>0.22666666666666666</v>
      </c>
      <c r="E287" s="315">
        <f t="shared" si="177"/>
        <v>0.23333333333333331</v>
      </c>
      <c r="F287" s="315">
        <f t="shared" si="177"/>
        <v>0.23999999999999996</v>
      </c>
      <c r="G287" s="315">
        <f t="shared" si="177"/>
        <v>0.24666666666666662</v>
      </c>
      <c r="H287" s="315">
        <f t="shared" si="177"/>
        <v>0.2533333333333333</v>
      </c>
      <c r="I287" s="315">
        <f t="shared" si="177"/>
        <v>0.25999999999999995</v>
      </c>
      <c r="J287" s="315">
        <f t="shared" si="177"/>
        <v>0.26666666666666661</v>
      </c>
      <c r="K287" s="315">
        <f t="shared" si="177"/>
        <v>0.27333333333333326</v>
      </c>
      <c r="L287" s="315">
        <f t="shared" si="177"/>
        <v>0.27999999999999992</v>
      </c>
      <c r="M287" s="315">
        <f t="shared" si="177"/>
        <v>0.28666666666666657</v>
      </c>
      <c r="N287" s="315">
        <f t="shared" si="177"/>
        <v>0.29333333333333322</v>
      </c>
      <c r="O287" s="315">
        <f t="shared" si="177"/>
        <v>0.29999999999999988</v>
      </c>
      <c r="P287" s="315">
        <f t="shared" si="177"/>
        <v>0.30666666666666653</v>
      </c>
      <c r="Q287" s="315">
        <f t="shared" si="177"/>
        <v>0.31333333333333319</v>
      </c>
      <c r="R287" s="315">
        <f t="shared" si="177"/>
        <v>0.31999999999999984</v>
      </c>
      <c r="S287" s="315">
        <f t="shared" si="177"/>
        <v>0.32666666666666649</v>
      </c>
      <c r="T287" s="315">
        <f t="shared" si="177"/>
        <v>0.33333333333333315</v>
      </c>
      <c r="U287" s="315">
        <f t="shared" si="177"/>
        <v>0.3399999999999998</v>
      </c>
      <c r="V287" s="315">
        <f t="shared" si="177"/>
        <v>0.34666666666666646</v>
      </c>
      <c r="W287" s="315">
        <f t="shared" si="177"/>
        <v>0.35333333333333311</v>
      </c>
      <c r="X287" s="315">
        <f t="shared" si="177"/>
        <v>0.35999999999999976</v>
      </c>
      <c r="Y287" s="315">
        <f t="shared" si="177"/>
        <v>0.36666666666666642</v>
      </c>
      <c r="Z287" s="315">
        <f t="shared" si="177"/>
        <v>0.37333333333333307</v>
      </c>
      <c r="AA287" s="315">
        <f t="shared" si="177"/>
        <v>0.37999999999999973</v>
      </c>
      <c r="AB287" s="315">
        <f t="shared" si="177"/>
        <v>0.38666666666666638</v>
      </c>
      <c r="AC287" s="315">
        <f t="shared" si="177"/>
        <v>0.39333333333333304</v>
      </c>
      <c r="AD287" s="315">
        <f t="shared" si="177"/>
        <v>0.39999999999999969</v>
      </c>
      <c r="AE287" s="315">
        <f t="shared" si="177"/>
        <v>0.40666666666666634</v>
      </c>
      <c r="AF287" s="315">
        <f t="shared" si="177"/>
        <v>0.413333333333333</v>
      </c>
      <c r="AG287" s="314">
        <v>0.42</v>
      </c>
      <c r="AI287" s="284"/>
      <c r="AJ287" s="316" t="s">
        <v>1614</v>
      </c>
    </row>
    <row r="288" spans="1:36" s="59" customFormat="1" outlineLevel="1">
      <c r="A288" s="290" t="s">
        <v>744</v>
      </c>
      <c r="B288" s="291" t="s">
        <v>126</v>
      </c>
      <c r="C288" s="317">
        <f>1-C287</f>
        <v>0.78</v>
      </c>
      <c r="D288" s="317">
        <f t="shared" ref="D288:AG288" si="178">1-D287</f>
        <v>0.77333333333333332</v>
      </c>
      <c r="E288" s="317">
        <f t="shared" si="178"/>
        <v>0.76666666666666672</v>
      </c>
      <c r="F288" s="317">
        <f t="shared" si="178"/>
        <v>0.76</v>
      </c>
      <c r="G288" s="317">
        <f t="shared" si="178"/>
        <v>0.75333333333333341</v>
      </c>
      <c r="H288" s="317">
        <f t="shared" si="178"/>
        <v>0.7466666666666667</v>
      </c>
      <c r="I288" s="317">
        <f t="shared" si="178"/>
        <v>0.74</v>
      </c>
      <c r="J288" s="317">
        <f t="shared" si="178"/>
        <v>0.73333333333333339</v>
      </c>
      <c r="K288" s="317">
        <f t="shared" si="178"/>
        <v>0.72666666666666679</v>
      </c>
      <c r="L288" s="317">
        <f t="shared" si="178"/>
        <v>0.72000000000000008</v>
      </c>
      <c r="M288" s="317">
        <f t="shared" si="178"/>
        <v>0.71333333333333337</v>
      </c>
      <c r="N288" s="317">
        <f t="shared" si="178"/>
        <v>0.70666666666666678</v>
      </c>
      <c r="O288" s="317">
        <f t="shared" si="178"/>
        <v>0.70000000000000018</v>
      </c>
      <c r="P288" s="317">
        <f t="shared" si="178"/>
        <v>0.69333333333333347</v>
      </c>
      <c r="Q288" s="317">
        <f t="shared" si="178"/>
        <v>0.68666666666666676</v>
      </c>
      <c r="R288" s="317">
        <f t="shared" si="178"/>
        <v>0.68000000000000016</v>
      </c>
      <c r="S288" s="317">
        <f t="shared" si="178"/>
        <v>0.67333333333333356</v>
      </c>
      <c r="T288" s="317">
        <f t="shared" si="178"/>
        <v>0.66666666666666685</v>
      </c>
      <c r="U288" s="317">
        <f t="shared" si="178"/>
        <v>0.66000000000000014</v>
      </c>
      <c r="V288" s="317">
        <f t="shared" si="178"/>
        <v>0.65333333333333354</v>
      </c>
      <c r="W288" s="317">
        <f t="shared" si="178"/>
        <v>0.64666666666666694</v>
      </c>
      <c r="X288" s="317">
        <f t="shared" si="178"/>
        <v>0.64000000000000024</v>
      </c>
      <c r="Y288" s="317">
        <f t="shared" si="178"/>
        <v>0.63333333333333353</v>
      </c>
      <c r="Z288" s="317">
        <f t="shared" si="178"/>
        <v>0.62666666666666693</v>
      </c>
      <c r="AA288" s="317">
        <f t="shared" si="178"/>
        <v>0.62000000000000033</v>
      </c>
      <c r="AB288" s="317">
        <f t="shared" si="178"/>
        <v>0.61333333333333362</v>
      </c>
      <c r="AC288" s="317">
        <f t="shared" si="178"/>
        <v>0.60666666666666691</v>
      </c>
      <c r="AD288" s="317">
        <f t="shared" si="178"/>
        <v>0.60000000000000031</v>
      </c>
      <c r="AE288" s="317">
        <f t="shared" si="178"/>
        <v>0.59333333333333371</v>
      </c>
      <c r="AF288" s="317">
        <f t="shared" si="178"/>
        <v>0.586666666666667</v>
      </c>
      <c r="AG288" s="317">
        <f t="shared" si="178"/>
        <v>0.58000000000000007</v>
      </c>
      <c r="AI288" s="319"/>
      <c r="AJ288" s="318" t="s">
        <v>1614</v>
      </c>
    </row>
    <row r="289" spans="1:36" s="1" customFormat="1" outlineLevel="1">
      <c r="A289" t="s">
        <v>725</v>
      </c>
      <c r="B289" s="281" t="s">
        <v>126</v>
      </c>
      <c r="C289" s="275">
        <v>0.85</v>
      </c>
      <c r="D289" s="296">
        <f t="shared" ref="D289:S304" si="179">-($C289-$AG289)/30+C289</f>
        <v>0.84833333333333327</v>
      </c>
      <c r="E289" s="296">
        <f t="shared" si="179"/>
        <v>0.84666666666666657</v>
      </c>
      <c r="F289" s="296">
        <f t="shared" si="179"/>
        <v>0.84499999999999986</v>
      </c>
      <c r="G289" s="296">
        <f t="shared" si="179"/>
        <v>0.84333333333333316</v>
      </c>
      <c r="H289" s="296">
        <f t="shared" si="179"/>
        <v>0.84166666666666645</v>
      </c>
      <c r="I289" s="296">
        <f t="shared" si="179"/>
        <v>0.83999999999999975</v>
      </c>
      <c r="J289" s="296">
        <f t="shared" si="179"/>
        <v>0.83833333333333304</v>
      </c>
      <c r="K289" s="296">
        <f t="shared" si="179"/>
        <v>0.83666666666666634</v>
      </c>
      <c r="L289" s="296">
        <f t="shared" si="179"/>
        <v>0.83499999999999963</v>
      </c>
      <c r="M289" s="296">
        <f t="shared" si="179"/>
        <v>0.83333333333333293</v>
      </c>
      <c r="N289" s="296">
        <f t="shared" si="179"/>
        <v>0.83166666666666622</v>
      </c>
      <c r="O289" s="296">
        <f t="shared" si="179"/>
        <v>0.82999999999999952</v>
      </c>
      <c r="P289" s="296">
        <f t="shared" si="179"/>
        <v>0.82833333333333281</v>
      </c>
      <c r="Q289" s="296">
        <f t="shared" si="179"/>
        <v>0.82666666666666611</v>
      </c>
      <c r="R289" s="296">
        <f t="shared" si="179"/>
        <v>0.8249999999999994</v>
      </c>
      <c r="S289" s="296">
        <f t="shared" si="179"/>
        <v>0.8233333333333327</v>
      </c>
      <c r="T289" s="296">
        <f t="shared" ref="T289:AF303" si="180">-($C289-$AG289)/30+S289</f>
        <v>0.82166666666666599</v>
      </c>
      <c r="U289" s="296">
        <f t="shared" si="180"/>
        <v>0.81999999999999929</v>
      </c>
      <c r="V289" s="296">
        <f t="shared" si="180"/>
        <v>0.81833333333333258</v>
      </c>
      <c r="W289" s="296">
        <f t="shared" si="180"/>
        <v>0.81666666666666587</v>
      </c>
      <c r="X289" s="296">
        <f t="shared" si="180"/>
        <v>0.81499999999999917</v>
      </c>
      <c r="Y289" s="296">
        <f t="shared" si="180"/>
        <v>0.81333333333333246</v>
      </c>
      <c r="Z289" s="296">
        <f t="shared" si="180"/>
        <v>0.81166666666666576</v>
      </c>
      <c r="AA289" s="296">
        <f t="shared" si="180"/>
        <v>0.80999999999999905</v>
      </c>
      <c r="AB289" s="296">
        <f t="shared" si="180"/>
        <v>0.80833333333333235</v>
      </c>
      <c r="AC289" s="296">
        <f t="shared" si="180"/>
        <v>0.80666666666666564</v>
      </c>
      <c r="AD289" s="296">
        <f t="shared" si="180"/>
        <v>0.80499999999999894</v>
      </c>
      <c r="AE289" s="296">
        <f t="shared" si="180"/>
        <v>0.80333333333333223</v>
      </c>
      <c r="AF289" s="296">
        <f t="shared" si="180"/>
        <v>0.80166666666666553</v>
      </c>
      <c r="AG289" s="275">
        <v>0.8</v>
      </c>
      <c r="AI289" s="295"/>
      <c r="AJ289" s="198" t="s">
        <v>1614</v>
      </c>
    </row>
    <row r="290" spans="1:36" s="1" customFormat="1" outlineLevel="1">
      <c r="A290" t="s">
        <v>731</v>
      </c>
      <c r="B290" s="281" t="s">
        <v>126</v>
      </c>
      <c r="C290" s="275">
        <v>0.15</v>
      </c>
      <c r="D290" s="296">
        <f t="shared" si="179"/>
        <v>0.15166666666666667</v>
      </c>
      <c r="E290" s="296">
        <f t="shared" si="179"/>
        <v>0.15333333333333335</v>
      </c>
      <c r="F290" s="296">
        <f t="shared" si="179"/>
        <v>0.15500000000000003</v>
      </c>
      <c r="G290" s="296">
        <f t="shared" si="179"/>
        <v>0.1566666666666667</v>
      </c>
      <c r="H290" s="296">
        <f t="shared" si="179"/>
        <v>0.15833333333333338</v>
      </c>
      <c r="I290" s="296">
        <f t="shared" si="179"/>
        <v>0.16000000000000006</v>
      </c>
      <c r="J290" s="296">
        <f t="shared" si="179"/>
        <v>0.16166666666666674</v>
      </c>
      <c r="K290" s="296">
        <f t="shared" si="179"/>
        <v>0.16333333333333341</v>
      </c>
      <c r="L290" s="296">
        <f t="shared" si="179"/>
        <v>0.16500000000000009</v>
      </c>
      <c r="M290" s="296">
        <f t="shared" si="179"/>
        <v>0.16666666666666677</v>
      </c>
      <c r="N290" s="296">
        <f t="shared" si="179"/>
        <v>0.16833333333333345</v>
      </c>
      <c r="O290" s="296">
        <f t="shared" si="179"/>
        <v>0.17000000000000012</v>
      </c>
      <c r="P290" s="296">
        <f t="shared" si="179"/>
        <v>0.1716666666666668</v>
      </c>
      <c r="Q290" s="296">
        <f t="shared" si="179"/>
        <v>0.17333333333333348</v>
      </c>
      <c r="R290" s="296">
        <f t="shared" si="179"/>
        <v>0.17500000000000016</v>
      </c>
      <c r="S290" s="296">
        <f t="shared" si="179"/>
        <v>0.17666666666666683</v>
      </c>
      <c r="T290" s="296">
        <f t="shared" si="180"/>
        <v>0.17833333333333351</v>
      </c>
      <c r="U290" s="296">
        <f t="shared" si="180"/>
        <v>0.18000000000000019</v>
      </c>
      <c r="V290" s="296">
        <f t="shared" si="180"/>
        <v>0.18166666666666687</v>
      </c>
      <c r="W290" s="296">
        <f t="shared" si="180"/>
        <v>0.18333333333333354</v>
      </c>
      <c r="X290" s="296">
        <f t="shared" si="180"/>
        <v>0.18500000000000022</v>
      </c>
      <c r="Y290" s="296">
        <f t="shared" si="180"/>
        <v>0.1866666666666669</v>
      </c>
      <c r="Z290" s="296">
        <f t="shared" si="180"/>
        <v>0.18833333333333357</v>
      </c>
      <c r="AA290" s="296">
        <f t="shared" si="180"/>
        <v>0.19000000000000025</v>
      </c>
      <c r="AB290" s="296">
        <f t="shared" si="180"/>
        <v>0.19166666666666693</v>
      </c>
      <c r="AC290" s="296">
        <f t="shared" si="180"/>
        <v>0.19333333333333361</v>
      </c>
      <c r="AD290" s="296">
        <f t="shared" si="180"/>
        <v>0.19500000000000028</v>
      </c>
      <c r="AE290" s="296">
        <f t="shared" si="180"/>
        <v>0.19666666666666696</v>
      </c>
      <c r="AF290" s="296">
        <f t="shared" si="180"/>
        <v>0.19833333333333364</v>
      </c>
      <c r="AG290" s="275">
        <v>0.2</v>
      </c>
      <c r="AI290" s="410" t="s">
        <v>858</v>
      </c>
      <c r="AJ290" s="198" t="s">
        <v>1614</v>
      </c>
    </row>
    <row r="291" spans="1:36" s="1" customFormat="1" outlineLevel="1">
      <c r="A291" t="s">
        <v>726</v>
      </c>
      <c r="B291" s="281" t="s">
        <v>126</v>
      </c>
      <c r="C291" s="275">
        <v>0.15</v>
      </c>
      <c r="D291" s="296">
        <f t="shared" si="179"/>
        <v>0.15633333333333332</v>
      </c>
      <c r="E291" s="296">
        <f t="shared" si="179"/>
        <v>0.16266666666666665</v>
      </c>
      <c r="F291" s="296">
        <f t="shared" si="179"/>
        <v>0.16899999999999998</v>
      </c>
      <c r="G291" s="296">
        <f t="shared" si="179"/>
        <v>0.17533333333333331</v>
      </c>
      <c r="H291" s="296">
        <f t="shared" si="179"/>
        <v>0.18166666666666664</v>
      </c>
      <c r="I291" s="296">
        <f t="shared" si="179"/>
        <v>0.18799999999999997</v>
      </c>
      <c r="J291" s="296">
        <f t="shared" si="179"/>
        <v>0.1943333333333333</v>
      </c>
      <c r="K291" s="296">
        <f t="shared" si="179"/>
        <v>0.20066666666666663</v>
      </c>
      <c r="L291" s="296">
        <f t="shared" si="179"/>
        <v>0.20699999999999996</v>
      </c>
      <c r="M291" s="296">
        <f t="shared" si="179"/>
        <v>0.21333333333333329</v>
      </c>
      <c r="N291" s="296">
        <f t="shared" si="179"/>
        <v>0.21966666666666662</v>
      </c>
      <c r="O291" s="296">
        <f t="shared" si="179"/>
        <v>0.22599999999999995</v>
      </c>
      <c r="P291" s="296">
        <f t="shared" si="179"/>
        <v>0.23233333333333328</v>
      </c>
      <c r="Q291" s="296">
        <f t="shared" si="179"/>
        <v>0.23866666666666661</v>
      </c>
      <c r="R291" s="296">
        <f t="shared" si="179"/>
        <v>0.24499999999999994</v>
      </c>
      <c r="S291" s="296">
        <f t="shared" si="179"/>
        <v>0.2513333333333333</v>
      </c>
      <c r="T291" s="296">
        <f t="shared" si="180"/>
        <v>0.25766666666666665</v>
      </c>
      <c r="U291" s="296">
        <f t="shared" si="180"/>
        <v>0.26400000000000001</v>
      </c>
      <c r="V291" s="296">
        <f t="shared" si="180"/>
        <v>0.27033333333333337</v>
      </c>
      <c r="W291" s="296">
        <f t="shared" si="180"/>
        <v>0.27666666666666673</v>
      </c>
      <c r="X291" s="296">
        <f t="shared" si="180"/>
        <v>0.28300000000000008</v>
      </c>
      <c r="Y291" s="296">
        <f t="shared" si="180"/>
        <v>0.28933333333333344</v>
      </c>
      <c r="Z291" s="296">
        <f t="shared" si="180"/>
        <v>0.2956666666666668</v>
      </c>
      <c r="AA291" s="296">
        <f t="shared" si="180"/>
        <v>0.30200000000000016</v>
      </c>
      <c r="AB291" s="296">
        <f t="shared" si="180"/>
        <v>0.30833333333333351</v>
      </c>
      <c r="AC291" s="296">
        <f t="shared" si="180"/>
        <v>0.31466666666666687</v>
      </c>
      <c r="AD291" s="296">
        <f t="shared" si="180"/>
        <v>0.32100000000000023</v>
      </c>
      <c r="AE291" s="296">
        <f t="shared" si="180"/>
        <v>0.32733333333333359</v>
      </c>
      <c r="AF291" s="296">
        <f t="shared" si="180"/>
        <v>0.33366666666666694</v>
      </c>
      <c r="AG291" s="275">
        <v>0.34</v>
      </c>
      <c r="AI291" s="295"/>
      <c r="AJ291" s="198" t="s">
        <v>1614</v>
      </c>
    </row>
    <row r="292" spans="1:36" s="1" customFormat="1" outlineLevel="1">
      <c r="A292" t="s">
        <v>727</v>
      </c>
      <c r="B292" s="281" t="s">
        <v>126</v>
      </c>
      <c r="C292" s="275">
        <v>0.85</v>
      </c>
      <c r="D292" s="296">
        <f t="shared" si="179"/>
        <v>0.84366666666666668</v>
      </c>
      <c r="E292" s="296">
        <f t="shared" si="179"/>
        <v>0.83733333333333337</v>
      </c>
      <c r="F292" s="296">
        <f t="shared" si="179"/>
        <v>0.83100000000000007</v>
      </c>
      <c r="G292" s="296">
        <f t="shared" si="179"/>
        <v>0.82466666666666677</v>
      </c>
      <c r="H292" s="296">
        <f t="shared" si="179"/>
        <v>0.81833333333333347</v>
      </c>
      <c r="I292" s="296">
        <f t="shared" si="179"/>
        <v>0.81200000000000017</v>
      </c>
      <c r="J292" s="296">
        <f t="shared" si="179"/>
        <v>0.80566666666666686</v>
      </c>
      <c r="K292" s="296">
        <f t="shared" si="179"/>
        <v>0.79933333333333356</v>
      </c>
      <c r="L292" s="296">
        <f t="shared" si="179"/>
        <v>0.79300000000000026</v>
      </c>
      <c r="M292" s="296">
        <f t="shared" si="179"/>
        <v>0.78666666666666696</v>
      </c>
      <c r="N292" s="296">
        <f t="shared" si="179"/>
        <v>0.78033333333333366</v>
      </c>
      <c r="O292" s="296">
        <f t="shared" si="179"/>
        <v>0.77400000000000035</v>
      </c>
      <c r="P292" s="296">
        <f t="shared" si="179"/>
        <v>0.76766666666666705</v>
      </c>
      <c r="Q292" s="296">
        <f t="shared" si="179"/>
        <v>0.76133333333333375</v>
      </c>
      <c r="R292" s="296">
        <f t="shared" si="179"/>
        <v>0.75500000000000045</v>
      </c>
      <c r="S292" s="296">
        <f t="shared" si="179"/>
        <v>0.74866666666666715</v>
      </c>
      <c r="T292" s="296">
        <f t="shared" si="180"/>
        <v>0.74233333333333384</v>
      </c>
      <c r="U292" s="296">
        <f t="shared" si="180"/>
        <v>0.73600000000000054</v>
      </c>
      <c r="V292" s="296">
        <f t="shared" si="180"/>
        <v>0.72966666666666724</v>
      </c>
      <c r="W292" s="296">
        <f t="shared" si="180"/>
        <v>0.72333333333333394</v>
      </c>
      <c r="X292" s="296">
        <f t="shared" si="180"/>
        <v>0.71700000000000064</v>
      </c>
      <c r="Y292" s="296">
        <f t="shared" si="180"/>
        <v>0.71066666666666733</v>
      </c>
      <c r="Z292" s="296">
        <f t="shared" si="180"/>
        <v>0.70433333333333403</v>
      </c>
      <c r="AA292" s="296">
        <f t="shared" si="180"/>
        <v>0.69800000000000073</v>
      </c>
      <c r="AB292" s="296">
        <f t="shared" si="180"/>
        <v>0.69166666666666743</v>
      </c>
      <c r="AC292" s="296">
        <f t="shared" si="180"/>
        <v>0.68533333333333413</v>
      </c>
      <c r="AD292" s="296">
        <f t="shared" si="180"/>
        <v>0.67900000000000083</v>
      </c>
      <c r="AE292" s="296">
        <f t="shared" si="180"/>
        <v>0.67266666666666752</v>
      </c>
      <c r="AF292" s="296">
        <f t="shared" si="180"/>
        <v>0.66633333333333422</v>
      </c>
      <c r="AG292" s="275">
        <v>0.66</v>
      </c>
      <c r="AI292" s="295"/>
      <c r="AJ292" s="198" t="s">
        <v>1614</v>
      </c>
    </row>
    <row r="293" spans="1:36" s="1" customFormat="1" outlineLevel="1">
      <c r="A293" t="s">
        <v>730</v>
      </c>
      <c r="B293" s="281" t="s">
        <v>126</v>
      </c>
      <c r="C293" s="275">
        <v>0</v>
      </c>
      <c r="D293" s="296">
        <f t="shared" si="179"/>
        <v>0</v>
      </c>
      <c r="E293" s="296">
        <f t="shared" si="179"/>
        <v>0</v>
      </c>
      <c r="F293" s="296">
        <f t="shared" si="179"/>
        <v>0</v>
      </c>
      <c r="G293" s="296">
        <f t="shared" si="179"/>
        <v>0</v>
      </c>
      <c r="H293" s="296">
        <f t="shared" si="179"/>
        <v>0</v>
      </c>
      <c r="I293" s="296">
        <f t="shared" si="179"/>
        <v>0</v>
      </c>
      <c r="J293" s="296">
        <f t="shared" si="179"/>
        <v>0</v>
      </c>
      <c r="K293" s="296">
        <f t="shared" si="179"/>
        <v>0</v>
      </c>
      <c r="L293" s="296">
        <f t="shared" si="179"/>
        <v>0</v>
      </c>
      <c r="M293" s="296">
        <f t="shared" si="179"/>
        <v>0</v>
      </c>
      <c r="N293" s="296">
        <f t="shared" si="179"/>
        <v>0</v>
      </c>
      <c r="O293" s="296">
        <f t="shared" si="179"/>
        <v>0</v>
      </c>
      <c r="P293" s="296">
        <f t="shared" si="179"/>
        <v>0</v>
      </c>
      <c r="Q293" s="296">
        <f t="shared" si="179"/>
        <v>0</v>
      </c>
      <c r="R293" s="296">
        <f t="shared" si="179"/>
        <v>0</v>
      </c>
      <c r="S293" s="296">
        <f t="shared" si="179"/>
        <v>0</v>
      </c>
      <c r="T293" s="296">
        <f t="shared" si="180"/>
        <v>0</v>
      </c>
      <c r="U293" s="296">
        <f t="shared" si="180"/>
        <v>0</v>
      </c>
      <c r="V293" s="296">
        <f t="shared" si="180"/>
        <v>0</v>
      </c>
      <c r="W293" s="296">
        <f t="shared" si="180"/>
        <v>0</v>
      </c>
      <c r="X293" s="296">
        <f t="shared" si="180"/>
        <v>0</v>
      </c>
      <c r="Y293" s="296">
        <f t="shared" si="180"/>
        <v>0</v>
      </c>
      <c r="Z293" s="296">
        <f t="shared" si="180"/>
        <v>0</v>
      </c>
      <c r="AA293" s="296">
        <f t="shared" si="180"/>
        <v>0</v>
      </c>
      <c r="AB293" s="296">
        <f t="shared" si="180"/>
        <v>0</v>
      </c>
      <c r="AC293" s="296">
        <f t="shared" si="180"/>
        <v>0</v>
      </c>
      <c r="AD293" s="296">
        <f t="shared" si="180"/>
        <v>0</v>
      </c>
      <c r="AE293" s="296">
        <f t="shared" si="180"/>
        <v>0</v>
      </c>
      <c r="AF293" s="296">
        <f t="shared" si="180"/>
        <v>0</v>
      </c>
      <c r="AG293" s="275">
        <v>0</v>
      </c>
      <c r="AI293" s="295"/>
      <c r="AJ293" s="198" t="s">
        <v>1615</v>
      </c>
    </row>
    <row r="294" spans="1:36" s="1" customFormat="1" outlineLevel="1">
      <c r="A294" t="s">
        <v>741</v>
      </c>
      <c r="B294" s="281" t="s">
        <v>126</v>
      </c>
      <c r="C294" s="275">
        <v>1</v>
      </c>
      <c r="D294" s="296">
        <f t="shared" si="179"/>
        <v>1</v>
      </c>
      <c r="E294" s="296">
        <f t="shared" si="179"/>
        <v>1</v>
      </c>
      <c r="F294" s="296">
        <f t="shared" si="179"/>
        <v>1</v>
      </c>
      <c r="G294" s="296">
        <f t="shared" si="179"/>
        <v>1</v>
      </c>
      <c r="H294" s="296">
        <f t="shared" si="179"/>
        <v>1</v>
      </c>
      <c r="I294" s="296">
        <f t="shared" si="179"/>
        <v>1</v>
      </c>
      <c r="J294" s="296">
        <f t="shared" si="179"/>
        <v>1</v>
      </c>
      <c r="K294" s="296">
        <f t="shared" si="179"/>
        <v>1</v>
      </c>
      <c r="L294" s="296">
        <f t="shared" si="179"/>
        <v>1</v>
      </c>
      <c r="M294" s="296">
        <f t="shared" si="179"/>
        <v>1</v>
      </c>
      <c r="N294" s="296">
        <f t="shared" si="179"/>
        <v>1</v>
      </c>
      <c r="O294" s="296">
        <f t="shared" si="179"/>
        <v>1</v>
      </c>
      <c r="P294" s="296">
        <f t="shared" si="179"/>
        <v>1</v>
      </c>
      <c r="Q294" s="296">
        <f t="shared" si="179"/>
        <v>1</v>
      </c>
      <c r="R294" s="296">
        <f t="shared" si="179"/>
        <v>1</v>
      </c>
      <c r="S294" s="296">
        <f t="shared" si="179"/>
        <v>1</v>
      </c>
      <c r="T294" s="296">
        <f t="shared" si="180"/>
        <v>1</v>
      </c>
      <c r="U294" s="296">
        <f t="shared" si="180"/>
        <v>1</v>
      </c>
      <c r="V294" s="296">
        <f t="shared" si="180"/>
        <v>1</v>
      </c>
      <c r="W294" s="296">
        <f t="shared" si="180"/>
        <v>1</v>
      </c>
      <c r="X294" s="296">
        <f t="shared" si="180"/>
        <v>1</v>
      </c>
      <c r="Y294" s="296">
        <f t="shared" si="180"/>
        <v>1</v>
      </c>
      <c r="Z294" s="296">
        <f t="shared" si="180"/>
        <v>1</v>
      </c>
      <c r="AA294" s="296">
        <f t="shared" si="180"/>
        <v>1</v>
      </c>
      <c r="AB294" s="296">
        <f t="shared" si="180"/>
        <v>1</v>
      </c>
      <c r="AC294" s="296">
        <f t="shared" si="180"/>
        <v>1</v>
      </c>
      <c r="AD294" s="296">
        <f t="shared" si="180"/>
        <v>1</v>
      </c>
      <c r="AE294" s="296">
        <f t="shared" si="180"/>
        <v>1</v>
      </c>
      <c r="AF294" s="296">
        <f t="shared" si="180"/>
        <v>1</v>
      </c>
      <c r="AG294" s="275">
        <v>1</v>
      </c>
      <c r="AI294" s="295"/>
      <c r="AJ294" s="198" t="s">
        <v>1616</v>
      </c>
    </row>
    <row r="295" spans="1:36" s="1" customFormat="1" outlineLevel="1">
      <c r="A295" t="s">
        <v>728</v>
      </c>
      <c r="B295" s="281" t="s">
        <v>126</v>
      </c>
      <c r="C295" s="275">
        <v>0.8</v>
      </c>
      <c r="D295" s="296">
        <f t="shared" si="179"/>
        <v>0.80333333333333334</v>
      </c>
      <c r="E295" s="296">
        <f t="shared" si="179"/>
        <v>0.80666666666666664</v>
      </c>
      <c r="F295" s="296">
        <f t="shared" si="179"/>
        <v>0.80999999999999994</v>
      </c>
      <c r="G295" s="296">
        <f t="shared" si="179"/>
        <v>0.81333333333333324</v>
      </c>
      <c r="H295" s="296">
        <f t="shared" si="179"/>
        <v>0.81666666666666654</v>
      </c>
      <c r="I295" s="296">
        <f t="shared" si="179"/>
        <v>0.81999999999999984</v>
      </c>
      <c r="J295" s="296">
        <f t="shared" si="179"/>
        <v>0.82333333333333314</v>
      </c>
      <c r="K295" s="296">
        <f t="shared" si="179"/>
        <v>0.82666666666666644</v>
      </c>
      <c r="L295" s="296">
        <f t="shared" si="179"/>
        <v>0.82999999999999974</v>
      </c>
      <c r="M295" s="296">
        <f t="shared" si="179"/>
        <v>0.83333333333333304</v>
      </c>
      <c r="N295" s="296">
        <f t="shared" si="179"/>
        <v>0.83666666666666634</v>
      </c>
      <c r="O295" s="296">
        <f t="shared" si="179"/>
        <v>0.83999999999999964</v>
      </c>
      <c r="P295" s="296">
        <f t="shared" si="179"/>
        <v>0.84333333333333294</v>
      </c>
      <c r="Q295" s="296">
        <f t="shared" si="179"/>
        <v>0.84666666666666623</v>
      </c>
      <c r="R295" s="296">
        <f t="shared" si="179"/>
        <v>0.84999999999999953</v>
      </c>
      <c r="S295" s="296">
        <f t="shared" si="179"/>
        <v>0.85333333333333283</v>
      </c>
      <c r="T295" s="296">
        <f t="shared" si="180"/>
        <v>0.85666666666666613</v>
      </c>
      <c r="U295" s="296">
        <f t="shared" si="180"/>
        <v>0.85999999999999943</v>
      </c>
      <c r="V295" s="296">
        <f t="shared" si="180"/>
        <v>0.86333333333333273</v>
      </c>
      <c r="W295" s="296">
        <f t="shared" si="180"/>
        <v>0.86666666666666603</v>
      </c>
      <c r="X295" s="296">
        <f t="shared" si="180"/>
        <v>0.86999999999999933</v>
      </c>
      <c r="Y295" s="296">
        <f t="shared" si="180"/>
        <v>0.87333333333333263</v>
      </c>
      <c r="Z295" s="296">
        <f t="shared" si="180"/>
        <v>0.87666666666666593</v>
      </c>
      <c r="AA295" s="296">
        <f t="shared" si="180"/>
        <v>0.87999999999999923</v>
      </c>
      <c r="AB295" s="296">
        <f t="shared" si="180"/>
        <v>0.88333333333333253</v>
      </c>
      <c r="AC295" s="296">
        <f t="shared" si="180"/>
        <v>0.88666666666666583</v>
      </c>
      <c r="AD295" s="296">
        <f t="shared" si="180"/>
        <v>0.88999999999999913</v>
      </c>
      <c r="AE295" s="296">
        <f t="shared" si="180"/>
        <v>0.89333333333333242</v>
      </c>
      <c r="AF295" s="296">
        <f t="shared" si="180"/>
        <v>0.89666666666666572</v>
      </c>
      <c r="AG295" s="275">
        <v>0.9</v>
      </c>
      <c r="AI295" s="295"/>
      <c r="AJ295" s="198" t="s">
        <v>1617</v>
      </c>
    </row>
    <row r="296" spans="1:36" s="1" customFormat="1" outlineLevel="1">
      <c r="A296" t="s">
        <v>729</v>
      </c>
      <c r="B296" s="281" t="s">
        <v>126</v>
      </c>
      <c r="C296" s="275">
        <v>0.2</v>
      </c>
      <c r="D296" s="296">
        <f t="shared" si="179"/>
        <v>0.19666666666666668</v>
      </c>
      <c r="E296" s="296">
        <f t="shared" si="179"/>
        <v>0.19333333333333336</v>
      </c>
      <c r="F296" s="296">
        <f t="shared" si="179"/>
        <v>0.19000000000000003</v>
      </c>
      <c r="G296" s="296">
        <f t="shared" si="179"/>
        <v>0.1866666666666667</v>
      </c>
      <c r="H296" s="296">
        <f t="shared" si="179"/>
        <v>0.18333333333333338</v>
      </c>
      <c r="I296" s="296">
        <f t="shared" si="179"/>
        <v>0.18000000000000005</v>
      </c>
      <c r="J296" s="296">
        <f t="shared" si="179"/>
        <v>0.17666666666666672</v>
      </c>
      <c r="K296" s="296">
        <f t="shared" si="179"/>
        <v>0.17333333333333339</v>
      </c>
      <c r="L296" s="296">
        <f t="shared" si="179"/>
        <v>0.17000000000000007</v>
      </c>
      <c r="M296" s="296">
        <f t="shared" si="179"/>
        <v>0.16666666666666674</v>
      </c>
      <c r="N296" s="296">
        <f t="shared" si="179"/>
        <v>0.16333333333333341</v>
      </c>
      <c r="O296" s="296">
        <f t="shared" si="179"/>
        <v>0.16000000000000009</v>
      </c>
      <c r="P296" s="296">
        <f t="shared" si="179"/>
        <v>0.15666666666666676</v>
      </c>
      <c r="Q296" s="296">
        <f t="shared" si="179"/>
        <v>0.15333333333333343</v>
      </c>
      <c r="R296" s="296">
        <f t="shared" si="179"/>
        <v>0.15000000000000011</v>
      </c>
      <c r="S296" s="296">
        <f t="shared" si="179"/>
        <v>0.14666666666666678</v>
      </c>
      <c r="T296" s="296">
        <f t="shared" si="180"/>
        <v>0.14333333333333345</v>
      </c>
      <c r="U296" s="296">
        <f t="shared" si="180"/>
        <v>0.14000000000000012</v>
      </c>
      <c r="V296" s="296">
        <f t="shared" si="180"/>
        <v>0.1366666666666668</v>
      </c>
      <c r="W296" s="296">
        <f t="shared" si="180"/>
        <v>0.13333333333333347</v>
      </c>
      <c r="X296" s="296">
        <f t="shared" si="180"/>
        <v>0.13000000000000014</v>
      </c>
      <c r="Y296" s="296">
        <f t="shared" si="180"/>
        <v>0.12666666666666682</v>
      </c>
      <c r="Z296" s="296">
        <f t="shared" si="180"/>
        <v>0.12333333333333349</v>
      </c>
      <c r="AA296" s="296">
        <f t="shared" si="180"/>
        <v>0.12000000000000016</v>
      </c>
      <c r="AB296" s="296">
        <f t="shared" si="180"/>
        <v>0.11666666666666684</v>
      </c>
      <c r="AC296" s="296">
        <f t="shared" si="180"/>
        <v>0.11333333333333351</v>
      </c>
      <c r="AD296" s="296">
        <f t="shared" si="180"/>
        <v>0.11000000000000018</v>
      </c>
      <c r="AE296" s="296">
        <f t="shared" si="180"/>
        <v>0.10666666666666685</v>
      </c>
      <c r="AF296" s="296">
        <f t="shared" si="180"/>
        <v>0.10333333333333353</v>
      </c>
      <c r="AG296" s="275">
        <v>0.1</v>
      </c>
      <c r="AI296" s="295"/>
      <c r="AJ296" s="198" t="s">
        <v>1618</v>
      </c>
    </row>
    <row r="297" spans="1:36" s="1" customFormat="1" outlineLevel="1">
      <c r="A297" t="s">
        <v>739</v>
      </c>
      <c r="B297" s="281" t="s">
        <v>126</v>
      </c>
      <c r="C297" s="275">
        <v>0.95</v>
      </c>
      <c r="D297" s="296">
        <f t="shared" si="179"/>
        <v>0.94866666666666666</v>
      </c>
      <c r="E297" s="296">
        <f t="shared" si="179"/>
        <v>0.94733333333333336</v>
      </c>
      <c r="F297" s="296">
        <f t="shared" si="179"/>
        <v>0.94600000000000006</v>
      </c>
      <c r="G297" s="296">
        <f t="shared" si="179"/>
        <v>0.94466666666666677</v>
      </c>
      <c r="H297" s="296">
        <f t="shared" si="179"/>
        <v>0.94333333333333347</v>
      </c>
      <c r="I297" s="296">
        <f t="shared" si="179"/>
        <v>0.94200000000000017</v>
      </c>
      <c r="J297" s="296">
        <f t="shared" si="179"/>
        <v>0.94066666666666687</v>
      </c>
      <c r="K297" s="296">
        <f t="shared" si="179"/>
        <v>0.93933333333333358</v>
      </c>
      <c r="L297" s="296">
        <f t="shared" si="179"/>
        <v>0.93800000000000028</v>
      </c>
      <c r="M297" s="296">
        <f t="shared" si="179"/>
        <v>0.93666666666666698</v>
      </c>
      <c r="N297" s="296">
        <f t="shared" si="179"/>
        <v>0.93533333333333368</v>
      </c>
      <c r="O297" s="296">
        <f t="shared" si="179"/>
        <v>0.93400000000000039</v>
      </c>
      <c r="P297" s="296">
        <f t="shared" si="179"/>
        <v>0.93266666666666709</v>
      </c>
      <c r="Q297" s="296">
        <f t="shared" si="179"/>
        <v>0.93133333333333379</v>
      </c>
      <c r="R297" s="296">
        <f t="shared" si="179"/>
        <v>0.93000000000000049</v>
      </c>
      <c r="S297" s="296">
        <f t="shared" si="179"/>
        <v>0.9286666666666672</v>
      </c>
      <c r="T297" s="296">
        <f t="shared" si="180"/>
        <v>0.9273333333333339</v>
      </c>
      <c r="U297" s="296">
        <f t="shared" si="180"/>
        <v>0.9260000000000006</v>
      </c>
      <c r="V297" s="296">
        <f t="shared" si="180"/>
        <v>0.9246666666666673</v>
      </c>
      <c r="W297" s="296">
        <f t="shared" si="180"/>
        <v>0.92333333333333401</v>
      </c>
      <c r="X297" s="296">
        <f t="shared" si="180"/>
        <v>0.92200000000000071</v>
      </c>
      <c r="Y297" s="296">
        <f t="shared" si="180"/>
        <v>0.92066666666666741</v>
      </c>
      <c r="Z297" s="296">
        <f t="shared" si="180"/>
        <v>0.91933333333333411</v>
      </c>
      <c r="AA297" s="296">
        <f t="shared" si="180"/>
        <v>0.91800000000000082</v>
      </c>
      <c r="AB297" s="296">
        <f t="shared" si="180"/>
        <v>0.91666666666666752</v>
      </c>
      <c r="AC297" s="296">
        <f t="shared" si="180"/>
        <v>0.91533333333333422</v>
      </c>
      <c r="AD297" s="296">
        <f t="shared" si="180"/>
        <v>0.91400000000000092</v>
      </c>
      <c r="AE297" s="296">
        <f t="shared" si="180"/>
        <v>0.91266666666666763</v>
      </c>
      <c r="AF297" s="296">
        <f t="shared" si="180"/>
        <v>0.91133333333333433</v>
      </c>
      <c r="AG297" s="275">
        <v>0.91</v>
      </c>
      <c r="AI297" s="295"/>
      <c r="AJ297" s="198" t="s">
        <v>1619</v>
      </c>
    </row>
    <row r="298" spans="1:36" s="1" customFormat="1" outlineLevel="1">
      <c r="A298" t="s">
        <v>740</v>
      </c>
      <c r="B298" s="281" t="s">
        <v>126</v>
      </c>
      <c r="C298" s="275">
        <v>0.05</v>
      </c>
      <c r="D298" s="296">
        <f t="shared" si="179"/>
        <v>5.1333333333333335E-2</v>
      </c>
      <c r="E298" s="296">
        <f t="shared" si="179"/>
        <v>5.2666666666666667E-2</v>
      </c>
      <c r="F298" s="296">
        <f t="shared" si="179"/>
        <v>5.3999999999999999E-2</v>
      </c>
      <c r="G298" s="296">
        <f t="shared" si="179"/>
        <v>5.5333333333333332E-2</v>
      </c>
      <c r="H298" s="296">
        <f t="shared" si="179"/>
        <v>5.6666666666666664E-2</v>
      </c>
      <c r="I298" s="296">
        <f t="shared" si="179"/>
        <v>5.7999999999999996E-2</v>
      </c>
      <c r="J298" s="296">
        <f t="shared" si="179"/>
        <v>5.9333333333333328E-2</v>
      </c>
      <c r="K298" s="296">
        <f t="shared" si="179"/>
        <v>6.066666666666666E-2</v>
      </c>
      <c r="L298" s="296">
        <f t="shared" si="179"/>
        <v>6.1999999999999993E-2</v>
      </c>
      <c r="M298" s="296">
        <f t="shared" si="179"/>
        <v>6.3333333333333325E-2</v>
      </c>
      <c r="N298" s="296">
        <f t="shared" si="179"/>
        <v>6.4666666666666664E-2</v>
      </c>
      <c r="O298" s="296">
        <f t="shared" si="179"/>
        <v>6.6000000000000003E-2</v>
      </c>
      <c r="P298" s="296">
        <f t="shared" si="179"/>
        <v>6.7333333333333342E-2</v>
      </c>
      <c r="Q298" s="296">
        <f t="shared" si="179"/>
        <v>6.8666666666666681E-2</v>
      </c>
      <c r="R298" s="296">
        <f t="shared" si="179"/>
        <v>7.0000000000000021E-2</v>
      </c>
      <c r="S298" s="296">
        <f t="shared" si="179"/>
        <v>7.133333333333336E-2</v>
      </c>
      <c r="T298" s="296">
        <f t="shared" si="180"/>
        <v>7.2666666666666699E-2</v>
      </c>
      <c r="U298" s="296">
        <f t="shared" si="180"/>
        <v>7.4000000000000038E-2</v>
      </c>
      <c r="V298" s="296">
        <f t="shared" si="180"/>
        <v>7.5333333333333377E-2</v>
      </c>
      <c r="W298" s="296">
        <f t="shared" si="180"/>
        <v>7.6666666666666716E-2</v>
      </c>
      <c r="X298" s="296">
        <f t="shared" si="180"/>
        <v>7.8000000000000055E-2</v>
      </c>
      <c r="Y298" s="296">
        <f t="shared" si="180"/>
        <v>7.9333333333333395E-2</v>
      </c>
      <c r="Z298" s="296">
        <f t="shared" si="180"/>
        <v>8.0666666666666734E-2</v>
      </c>
      <c r="AA298" s="296">
        <f t="shared" si="180"/>
        <v>8.2000000000000073E-2</v>
      </c>
      <c r="AB298" s="296">
        <f t="shared" si="180"/>
        <v>8.3333333333333412E-2</v>
      </c>
      <c r="AC298" s="296">
        <f t="shared" si="180"/>
        <v>8.4666666666666751E-2</v>
      </c>
      <c r="AD298" s="296">
        <f t="shared" si="180"/>
        <v>8.600000000000009E-2</v>
      </c>
      <c r="AE298" s="296">
        <f t="shared" si="180"/>
        <v>8.7333333333333429E-2</v>
      </c>
      <c r="AF298" s="296">
        <f t="shared" si="180"/>
        <v>8.8666666666666769E-2</v>
      </c>
      <c r="AG298" s="275">
        <v>0.09</v>
      </c>
      <c r="AI298" s="295"/>
      <c r="AJ298" s="198" t="s">
        <v>1620</v>
      </c>
    </row>
    <row r="299" spans="1:36" s="1" customFormat="1" outlineLevel="1">
      <c r="A299" t="s">
        <v>742</v>
      </c>
      <c r="B299" s="281"/>
      <c r="C299" s="275">
        <v>0.27</v>
      </c>
      <c r="D299" s="296">
        <f t="shared" si="179"/>
        <v>0.26600000000000001</v>
      </c>
      <c r="E299" s="296">
        <f t="shared" si="179"/>
        <v>0.26200000000000001</v>
      </c>
      <c r="F299" s="296">
        <f t="shared" si="179"/>
        <v>0.25800000000000001</v>
      </c>
      <c r="G299" s="296">
        <f t="shared" si="179"/>
        <v>0.254</v>
      </c>
      <c r="H299" s="296">
        <f t="shared" si="179"/>
        <v>0.25</v>
      </c>
      <c r="I299" s="296">
        <f t="shared" si="179"/>
        <v>0.246</v>
      </c>
      <c r="J299" s="296">
        <f t="shared" si="179"/>
        <v>0.24199999999999999</v>
      </c>
      <c r="K299" s="296">
        <f t="shared" si="179"/>
        <v>0.23799999999999999</v>
      </c>
      <c r="L299" s="296">
        <f t="shared" si="179"/>
        <v>0.23399999999999999</v>
      </c>
      <c r="M299" s="296">
        <f t="shared" si="179"/>
        <v>0.22999999999999998</v>
      </c>
      <c r="N299" s="296">
        <f t="shared" si="179"/>
        <v>0.22599999999999998</v>
      </c>
      <c r="O299" s="296">
        <f t="shared" si="179"/>
        <v>0.22199999999999998</v>
      </c>
      <c r="P299" s="296">
        <f t="shared" si="179"/>
        <v>0.21799999999999997</v>
      </c>
      <c r="Q299" s="296">
        <f t="shared" si="179"/>
        <v>0.21399999999999997</v>
      </c>
      <c r="R299" s="296">
        <f t="shared" si="179"/>
        <v>0.20999999999999996</v>
      </c>
      <c r="S299" s="296">
        <f t="shared" si="179"/>
        <v>0.20599999999999996</v>
      </c>
      <c r="T299" s="296">
        <f t="shared" si="180"/>
        <v>0.20199999999999996</v>
      </c>
      <c r="U299" s="296">
        <f t="shared" si="180"/>
        <v>0.19799999999999995</v>
      </c>
      <c r="V299" s="296">
        <f t="shared" si="180"/>
        <v>0.19399999999999995</v>
      </c>
      <c r="W299" s="296">
        <f t="shared" si="180"/>
        <v>0.18999999999999995</v>
      </c>
      <c r="X299" s="296">
        <f t="shared" si="180"/>
        <v>0.18599999999999994</v>
      </c>
      <c r="Y299" s="296">
        <f t="shared" si="180"/>
        <v>0.18199999999999994</v>
      </c>
      <c r="Z299" s="296">
        <f t="shared" si="180"/>
        <v>0.17799999999999994</v>
      </c>
      <c r="AA299" s="296">
        <f t="shared" si="180"/>
        <v>0.17399999999999993</v>
      </c>
      <c r="AB299" s="296">
        <f t="shared" si="180"/>
        <v>0.16999999999999993</v>
      </c>
      <c r="AC299" s="296">
        <f t="shared" si="180"/>
        <v>0.16599999999999993</v>
      </c>
      <c r="AD299" s="296">
        <f t="shared" si="180"/>
        <v>0.16199999999999992</v>
      </c>
      <c r="AE299" s="296">
        <f t="shared" si="180"/>
        <v>0.15799999999999992</v>
      </c>
      <c r="AF299" s="296">
        <f t="shared" si="180"/>
        <v>0.15399999999999991</v>
      </c>
      <c r="AG299" s="275">
        <v>0.15</v>
      </c>
      <c r="AI299" s="295"/>
      <c r="AJ299" s="198"/>
    </row>
    <row r="300" spans="1:36" s="62" customFormat="1" outlineLevel="1">
      <c r="A300" s="322" t="s">
        <v>733</v>
      </c>
      <c r="B300" s="287" t="s">
        <v>126</v>
      </c>
      <c r="C300" s="314">
        <v>0.16</v>
      </c>
      <c r="D300" s="315">
        <f t="shared" si="179"/>
        <v>0.16533333333333333</v>
      </c>
      <c r="E300" s="315">
        <f t="shared" si="179"/>
        <v>0.17066666666666666</v>
      </c>
      <c r="F300" s="315">
        <f t="shared" si="179"/>
        <v>0.17599999999999999</v>
      </c>
      <c r="G300" s="315">
        <f t="shared" si="179"/>
        <v>0.18133333333333332</v>
      </c>
      <c r="H300" s="315">
        <f t="shared" si="179"/>
        <v>0.18666666666666665</v>
      </c>
      <c r="I300" s="315">
        <f t="shared" si="179"/>
        <v>0.19199999999999998</v>
      </c>
      <c r="J300" s="315">
        <f t="shared" si="179"/>
        <v>0.19733333333333331</v>
      </c>
      <c r="K300" s="315">
        <f t="shared" si="179"/>
        <v>0.20266666666666663</v>
      </c>
      <c r="L300" s="315">
        <f t="shared" si="179"/>
        <v>0.20799999999999996</v>
      </c>
      <c r="M300" s="315">
        <f t="shared" si="179"/>
        <v>0.21333333333333329</v>
      </c>
      <c r="N300" s="315">
        <f t="shared" si="179"/>
        <v>0.21866666666666662</v>
      </c>
      <c r="O300" s="315">
        <f t="shared" si="179"/>
        <v>0.22399999999999995</v>
      </c>
      <c r="P300" s="315">
        <f t="shared" si="179"/>
        <v>0.22933333333333328</v>
      </c>
      <c r="Q300" s="315">
        <f t="shared" si="179"/>
        <v>0.23466666666666661</v>
      </c>
      <c r="R300" s="315">
        <f t="shared" si="179"/>
        <v>0.23999999999999994</v>
      </c>
      <c r="S300" s="315">
        <f t="shared" si="179"/>
        <v>0.24533333333333326</v>
      </c>
      <c r="T300" s="315">
        <f t="shared" si="180"/>
        <v>0.25066666666666659</v>
      </c>
      <c r="U300" s="315">
        <f t="shared" si="180"/>
        <v>0.25599999999999995</v>
      </c>
      <c r="V300" s="315">
        <f t="shared" si="180"/>
        <v>0.26133333333333331</v>
      </c>
      <c r="W300" s="315">
        <f t="shared" si="180"/>
        <v>0.26666666666666666</v>
      </c>
      <c r="X300" s="315">
        <f t="shared" si="180"/>
        <v>0.27200000000000002</v>
      </c>
      <c r="Y300" s="315">
        <f t="shared" si="180"/>
        <v>0.27733333333333338</v>
      </c>
      <c r="Z300" s="315">
        <f t="shared" si="180"/>
        <v>0.28266666666666673</v>
      </c>
      <c r="AA300" s="315">
        <f t="shared" si="180"/>
        <v>0.28800000000000009</v>
      </c>
      <c r="AB300" s="315">
        <f t="shared" si="180"/>
        <v>0.29333333333333345</v>
      </c>
      <c r="AC300" s="315">
        <f t="shared" si="180"/>
        <v>0.2986666666666668</v>
      </c>
      <c r="AD300" s="315">
        <f t="shared" si="180"/>
        <v>0.30400000000000016</v>
      </c>
      <c r="AE300" s="315">
        <f t="shared" si="180"/>
        <v>0.30933333333333352</v>
      </c>
      <c r="AF300" s="315">
        <f t="shared" si="180"/>
        <v>0.31466666666666687</v>
      </c>
      <c r="AG300" s="314">
        <v>0.32</v>
      </c>
      <c r="AI300" s="314"/>
      <c r="AJ300" s="316" t="s">
        <v>1620</v>
      </c>
    </row>
    <row r="301" spans="1:36" outlineLevel="1">
      <c r="A301" s="323" t="s">
        <v>734</v>
      </c>
      <c r="B301" s="281" t="s">
        <v>126</v>
      </c>
      <c r="C301" s="275">
        <v>0.37</v>
      </c>
      <c r="D301" s="296">
        <f t="shared" si="179"/>
        <v>0.37166666666666665</v>
      </c>
      <c r="E301" s="296">
        <f t="shared" si="179"/>
        <v>0.37333333333333329</v>
      </c>
      <c r="F301" s="296">
        <f t="shared" si="179"/>
        <v>0.37499999999999994</v>
      </c>
      <c r="G301" s="296">
        <f t="shared" si="179"/>
        <v>0.37666666666666659</v>
      </c>
      <c r="H301" s="296">
        <f t="shared" si="179"/>
        <v>0.37833333333333324</v>
      </c>
      <c r="I301" s="296">
        <f t="shared" si="179"/>
        <v>0.37999999999999989</v>
      </c>
      <c r="J301" s="296">
        <f t="shared" si="179"/>
        <v>0.38166666666666654</v>
      </c>
      <c r="K301" s="296">
        <f t="shared" si="179"/>
        <v>0.38333333333333319</v>
      </c>
      <c r="L301" s="296">
        <f t="shared" si="179"/>
        <v>0.38499999999999984</v>
      </c>
      <c r="M301" s="296">
        <f t="shared" si="179"/>
        <v>0.38666666666666649</v>
      </c>
      <c r="N301" s="296">
        <f t="shared" si="179"/>
        <v>0.38833333333333314</v>
      </c>
      <c r="O301" s="296">
        <f t="shared" si="179"/>
        <v>0.38999999999999979</v>
      </c>
      <c r="P301" s="296">
        <f t="shared" si="179"/>
        <v>0.39166666666666644</v>
      </c>
      <c r="Q301" s="296">
        <f t="shared" si="179"/>
        <v>0.39333333333333309</v>
      </c>
      <c r="R301" s="296">
        <f t="shared" si="179"/>
        <v>0.39499999999999974</v>
      </c>
      <c r="S301" s="296">
        <f t="shared" si="179"/>
        <v>0.39666666666666639</v>
      </c>
      <c r="T301" s="296">
        <f t="shared" si="180"/>
        <v>0.39833333333333304</v>
      </c>
      <c r="U301" s="296">
        <f t="shared" si="180"/>
        <v>0.39999999999999969</v>
      </c>
      <c r="V301" s="296">
        <f t="shared" si="180"/>
        <v>0.40166666666666634</v>
      </c>
      <c r="W301" s="296">
        <f t="shared" si="180"/>
        <v>0.40333333333333299</v>
      </c>
      <c r="X301" s="296">
        <f t="shared" si="180"/>
        <v>0.40499999999999964</v>
      </c>
      <c r="Y301" s="296">
        <f t="shared" si="180"/>
        <v>0.40666666666666629</v>
      </c>
      <c r="Z301" s="296">
        <f t="shared" si="180"/>
        <v>0.40833333333333294</v>
      </c>
      <c r="AA301" s="296">
        <f t="shared" si="180"/>
        <v>0.40999999999999959</v>
      </c>
      <c r="AB301" s="296">
        <f t="shared" si="180"/>
        <v>0.41166666666666624</v>
      </c>
      <c r="AC301" s="296">
        <f t="shared" si="180"/>
        <v>0.41333333333333289</v>
      </c>
      <c r="AD301" s="296">
        <f t="shared" si="180"/>
        <v>0.41499999999999954</v>
      </c>
      <c r="AE301" s="296">
        <f t="shared" si="180"/>
        <v>0.41666666666666619</v>
      </c>
      <c r="AF301" s="296">
        <f t="shared" si="180"/>
        <v>0.41833333333333284</v>
      </c>
      <c r="AG301" s="275">
        <v>0.42</v>
      </c>
      <c r="AI301" s="275"/>
      <c r="AJ301" s="198" t="s">
        <v>1621</v>
      </c>
    </row>
    <row r="302" spans="1:36" outlineLevel="1">
      <c r="A302" s="323" t="s">
        <v>735</v>
      </c>
      <c r="B302" s="281" t="s">
        <v>126</v>
      </c>
      <c r="C302" s="275">
        <v>0.08</v>
      </c>
      <c r="D302" s="296">
        <f t="shared" si="179"/>
        <v>7.7666666666666662E-2</v>
      </c>
      <c r="E302" s="296">
        <f t="shared" si="179"/>
        <v>7.5333333333333322E-2</v>
      </c>
      <c r="F302" s="296">
        <f t="shared" si="179"/>
        <v>7.2999999999999982E-2</v>
      </c>
      <c r="G302" s="296">
        <f t="shared" si="179"/>
        <v>7.0666666666666642E-2</v>
      </c>
      <c r="H302" s="296">
        <f t="shared" si="179"/>
        <v>6.8333333333333302E-2</v>
      </c>
      <c r="I302" s="296">
        <f t="shared" si="179"/>
        <v>6.5999999999999961E-2</v>
      </c>
      <c r="J302" s="296">
        <f t="shared" si="179"/>
        <v>6.3666666666666621E-2</v>
      </c>
      <c r="K302" s="296">
        <f t="shared" si="179"/>
        <v>6.1333333333333288E-2</v>
      </c>
      <c r="L302" s="296">
        <f t="shared" si="179"/>
        <v>5.8999999999999955E-2</v>
      </c>
      <c r="M302" s="296">
        <f t="shared" si="179"/>
        <v>5.6666666666666622E-2</v>
      </c>
      <c r="N302" s="296">
        <f t="shared" si="179"/>
        <v>5.4333333333333289E-2</v>
      </c>
      <c r="O302" s="296">
        <f t="shared" si="179"/>
        <v>5.1999999999999956E-2</v>
      </c>
      <c r="P302" s="296">
        <f t="shared" si="179"/>
        <v>4.9666666666666623E-2</v>
      </c>
      <c r="Q302" s="296">
        <f t="shared" si="179"/>
        <v>4.733333333333329E-2</v>
      </c>
      <c r="R302" s="296">
        <f t="shared" si="179"/>
        <v>4.4999999999999957E-2</v>
      </c>
      <c r="S302" s="296">
        <f t="shared" si="179"/>
        <v>4.2666666666666624E-2</v>
      </c>
      <c r="T302" s="296">
        <f t="shared" si="180"/>
        <v>4.0333333333333291E-2</v>
      </c>
      <c r="U302" s="296">
        <f t="shared" si="180"/>
        <v>3.7999999999999957E-2</v>
      </c>
      <c r="V302" s="296">
        <f t="shared" si="180"/>
        <v>3.5666666666666624E-2</v>
      </c>
      <c r="W302" s="296">
        <f t="shared" si="180"/>
        <v>3.3333333333333291E-2</v>
      </c>
      <c r="X302" s="296">
        <f t="shared" si="180"/>
        <v>3.0999999999999958E-2</v>
      </c>
      <c r="Y302" s="296">
        <f t="shared" si="180"/>
        <v>2.8666666666666625E-2</v>
      </c>
      <c r="Z302" s="296">
        <f t="shared" si="180"/>
        <v>2.6333333333333292E-2</v>
      </c>
      <c r="AA302" s="296">
        <f t="shared" si="180"/>
        <v>2.3999999999999959E-2</v>
      </c>
      <c r="AB302" s="296">
        <f t="shared" si="180"/>
        <v>2.1666666666666626E-2</v>
      </c>
      <c r="AC302" s="296">
        <f t="shared" si="180"/>
        <v>1.9333333333333293E-2</v>
      </c>
      <c r="AD302" s="296">
        <f t="shared" si="180"/>
        <v>1.699999999999996E-2</v>
      </c>
      <c r="AE302" s="296">
        <f t="shared" si="180"/>
        <v>1.4666666666666626E-2</v>
      </c>
      <c r="AF302" s="296">
        <f t="shared" si="180"/>
        <v>1.2333333333333293E-2</v>
      </c>
      <c r="AG302" s="275">
        <v>0.01</v>
      </c>
      <c r="AI302" s="275"/>
      <c r="AJ302" s="198" t="s">
        <v>1622</v>
      </c>
    </row>
    <row r="303" spans="1:36" outlineLevel="1">
      <c r="A303" s="323" t="s">
        <v>736</v>
      </c>
      <c r="B303" s="281" t="s">
        <v>126</v>
      </c>
      <c r="C303" s="275">
        <v>0.27</v>
      </c>
      <c r="D303" s="296">
        <f t="shared" si="179"/>
        <v>0.26633333333333337</v>
      </c>
      <c r="E303" s="296">
        <f t="shared" si="179"/>
        <v>0.26266666666666671</v>
      </c>
      <c r="F303" s="296">
        <f t="shared" si="179"/>
        <v>0.25900000000000006</v>
      </c>
      <c r="G303" s="296">
        <f t="shared" si="179"/>
        <v>0.25533333333333341</v>
      </c>
      <c r="H303" s="296">
        <f t="shared" si="179"/>
        <v>0.25166666666666676</v>
      </c>
      <c r="I303" s="296">
        <f t="shared" si="179"/>
        <v>0.24800000000000008</v>
      </c>
      <c r="J303" s="296">
        <f t="shared" si="179"/>
        <v>0.2443333333333334</v>
      </c>
      <c r="K303" s="296">
        <f t="shared" si="179"/>
        <v>0.24066666666666672</v>
      </c>
      <c r="L303" s="296">
        <f t="shared" si="179"/>
        <v>0.23700000000000004</v>
      </c>
      <c r="M303" s="296">
        <f t="shared" si="179"/>
        <v>0.23333333333333336</v>
      </c>
      <c r="N303" s="296">
        <f t="shared" si="179"/>
        <v>0.22966666666666669</v>
      </c>
      <c r="O303" s="296">
        <f t="shared" si="179"/>
        <v>0.22600000000000001</v>
      </c>
      <c r="P303" s="296">
        <f t="shared" si="179"/>
        <v>0.22233333333333333</v>
      </c>
      <c r="Q303" s="296">
        <f t="shared" si="179"/>
        <v>0.21866666666666665</v>
      </c>
      <c r="R303" s="296">
        <f t="shared" si="179"/>
        <v>0.21499999999999997</v>
      </c>
      <c r="S303" s="296">
        <f t="shared" si="179"/>
        <v>0.21133333333333329</v>
      </c>
      <c r="T303" s="296">
        <f t="shared" si="180"/>
        <v>0.20766666666666661</v>
      </c>
      <c r="U303" s="296">
        <f t="shared" si="180"/>
        <v>0.20399999999999993</v>
      </c>
      <c r="V303" s="296">
        <f t="shared" si="180"/>
        <v>0.20033333333333325</v>
      </c>
      <c r="W303" s="296">
        <f t="shared" si="180"/>
        <v>0.19666666666666657</v>
      </c>
      <c r="X303" s="296">
        <f t="shared" si="180"/>
        <v>0.19299999999999989</v>
      </c>
      <c r="Y303" s="296">
        <f t="shared" si="180"/>
        <v>0.18933333333333321</v>
      </c>
      <c r="Z303" s="296">
        <f t="shared" si="180"/>
        <v>0.18566666666666654</v>
      </c>
      <c r="AA303" s="296">
        <f t="shared" si="180"/>
        <v>0.18199999999999986</v>
      </c>
      <c r="AB303" s="296">
        <f t="shared" si="180"/>
        <v>0.17833333333333318</v>
      </c>
      <c r="AC303" s="296">
        <f t="shared" si="180"/>
        <v>0.1746666666666665</v>
      </c>
      <c r="AD303" s="296">
        <f t="shared" si="180"/>
        <v>0.17099999999999982</v>
      </c>
      <c r="AE303" s="296">
        <f t="shared" si="180"/>
        <v>0.16733333333333314</v>
      </c>
      <c r="AF303" s="296">
        <f t="shared" si="180"/>
        <v>0.16366666666666646</v>
      </c>
      <c r="AG303" s="275">
        <v>0.16</v>
      </c>
      <c r="AI303" s="275"/>
      <c r="AJ303" s="198" t="s">
        <v>1623</v>
      </c>
    </row>
    <row r="304" spans="1:36" outlineLevel="1">
      <c r="A304" s="323" t="s">
        <v>737</v>
      </c>
      <c r="B304" s="281" t="s">
        <v>126</v>
      </c>
      <c r="C304" s="275">
        <v>7.0000000000000007E-2</v>
      </c>
      <c r="D304" s="296">
        <f t="shared" si="179"/>
        <v>6.9666666666666668E-2</v>
      </c>
      <c r="E304" s="296">
        <f t="shared" si="179"/>
        <v>6.933333333333333E-2</v>
      </c>
      <c r="F304" s="296">
        <f t="shared" si="179"/>
        <v>6.8999999999999992E-2</v>
      </c>
      <c r="G304" s="296">
        <f t="shared" si="179"/>
        <v>6.8666666666666654E-2</v>
      </c>
      <c r="H304" s="296">
        <f t="shared" si="179"/>
        <v>6.8333333333333315E-2</v>
      </c>
      <c r="I304" s="296">
        <f t="shared" si="179"/>
        <v>6.7999999999999977E-2</v>
      </c>
      <c r="J304" s="296">
        <f t="shared" si="179"/>
        <v>6.7666666666666639E-2</v>
      </c>
      <c r="K304" s="296">
        <f t="shared" si="179"/>
        <v>6.7333333333333301E-2</v>
      </c>
      <c r="L304" s="296">
        <f t="shared" si="179"/>
        <v>6.6999999999999962E-2</v>
      </c>
      <c r="M304" s="296">
        <f t="shared" si="179"/>
        <v>6.6666666666666624E-2</v>
      </c>
      <c r="N304" s="296">
        <f t="shared" si="179"/>
        <v>6.6333333333333286E-2</v>
      </c>
      <c r="O304" s="296">
        <f t="shared" si="179"/>
        <v>6.5999999999999948E-2</v>
      </c>
      <c r="P304" s="296">
        <f t="shared" si="179"/>
        <v>6.5666666666666609E-2</v>
      </c>
      <c r="Q304" s="296">
        <f t="shared" si="179"/>
        <v>6.5333333333333271E-2</v>
      </c>
      <c r="R304" s="296">
        <f t="shared" si="179"/>
        <v>6.4999999999999933E-2</v>
      </c>
      <c r="S304" s="296">
        <f t="shared" ref="S304:AF304" si="181">-($C304-$AG304)/30+R304</f>
        <v>6.4666666666666595E-2</v>
      </c>
      <c r="T304" s="296">
        <f t="shared" si="181"/>
        <v>6.4333333333333256E-2</v>
      </c>
      <c r="U304" s="296">
        <f t="shared" si="181"/>
        <v>6.3999999999999918E-2</v>
      </c>
      <c r="V304" s="296">
        <f t="shared" si="181"/>
        <v>6.366666666666658E-2</v>
      </c>
      <c r="W304" s="296">
        <f t="shared" si="181"/>
        <v>6.3333333333333242E-2</v>
      </c>
      <c r="X304" s="296">
        <f t="shared" si="181"/>
        <v>6.2999999999999903E-2</v>
      </c>
      <c r="Y304" s="296">
        <f t="shared" si="181"/>
        <v>6.2666666666666565E-2</v>
      </c>
      <c r="Z304" s="296">
        <f t="shared" si="181"/>
        <v>6.2333333333333234E-2</v>
      </c>
      <c r="AA304" s="296">
        <f t="shared" si="181"/>
        <v>6.1999999999999902E-2</v>
      </c>
      <c r="AB304" s="296">
        <f t="shared" si="181"/>
        <v>6.1666666666666571E-2</v>
      </c>
      <c r="AC304" s="296">
        <f t="shared" si="181"/>
        <v>6.133333333333324E-2</v>
      </c>
      <c r="AD304" s="296">
        <f t="shared" si="181"/>
        <v>6.0999999999999908E-2</v>
      </c>
      <c r="AE304" s="296">
        <f t="shared" si="181"/>
        <v>6.0666666666666577E-2</v>
      </c>
      <c r="AF304" s="296">
        <f t="shared" si="181"/>
        <v>6.0333333333333246E-2</v>
      </c>
      <c r="AG304" s="275">
        <v>0.06</v>
      </c>
      <c r="AI304" s="275"/>
      <c r="AJ304" s="198" t="s">
        <v>1624</v>
      </c>
    </row>
    <row r="305" spans="1:36" s="63" customFormat="1" outlineLevel="1">
      <c r="A305" s="324" t="s">
        <v>738</v>
      </c>
      <c r="B305" s="291" t="s">
        <v>126</v>
      </c>
      <c r="C305" s="293">
        <v>0.05</v>
      </c>
      <c r="D305" s="317">
        <f t="shared" ref="D305:AF305" si="182">-($C305-$AG305)/30+C305</f>
        <v>4.9333333333333333E-2</v>
      </c>
      <c r="E305" s="317">
        <f t="shared" si="182"/>
        <v>4.8666666666666664E-2</v>
      </c>
      <c r="F305" s="317">
        <f t="shared" si="182"/>
        <v>4.7999999999999994E-2</v>
      </c>
      <c r="G305" s="317">
        <f t="shared" si="182"/>
        <v>4.7333333333333324E-2</v>
      </c>
      <c r="H305" s="317">
        <f t="shared" si="182"/>
        <v>4.6666666666666655E-2</v>
      </c>
      <c r="I305" s="317">
        <f t="shared" si="182"/>
        <v>4.5999999999999985E-2</v>
      </c>
      <c r="J305" s="317">
        <f t="shared" si="182"/>
        <v>4.5333333333333316E-2</v>
      </c>
      <c r="K305" s="317">
        <f t="shared" si="182"/>
        <v>4.4666666666666646E-2</v>
      </c>
      <c r="L305" s="317">
        <f t="shared" si="182"/>
        <v>4.3999999999999977E-2</v>
      </c>
      <c r="M305" s="317">
        <f t="shared" si="182"/>
        <v>4.3333333333333307E-2</v>
      </c>
      <c r="N305" s="317">
        <f t="shared" si="182"/>
        <v>4.2666666666666637E-2</v>
      </c>
      <c r="O305" s="317">
        <f t="shared" si="182"/>
        <v>4.1999999999999968E-2</v>
      </c>
      <c r="P305" s="317">
        <f t="shared" si="182"/>
        <v>4.1333333333333298E-2</v>
      </c>
      <c r="Q305" s="317">
        <f t="shared" si="182"/>
        <v>4.0666666666666629E-2</v>
      </c>
      <c r="R305" s="317">
        <f t="shared" si="182"/>
        <v>3.9999999999999959E-2</v>
      </c>
      <c r="S305" s="317">
        <f t="shared" si="182"/>
        <v>3.933333333333329E-2</v>
      </c>
      <c r="T305" s="317">
        <f t="shared" si="182"/>
        <v>3.866666666666662E-2</v>
      </c>
      <c r="U305" s="317">
        <f t="shared" si="182"/>
        <v>3.799999999999995E-2</v>
      </c>
      <c r="V305" s="317">
        <f t="shared" si="182"/>
        <v>3.7333333333333281E-2</v>
      </c>
      <c r="W305" s="317">
        <f t="shared" si="182"/>
        <v>3.6666666666666611E-2</v>
      </c>
      <c r="X305" s="317">
        <f t="shared" si="182"/>
        <v>3.5999999999999942E-2</v>
      </c>
      <c r="Y305" s="317">
        <f t="shared" si="182"/>
        <v>3.5333333333333272E-2</v>
      </c>
      <c r="Z305" s="317">
        <f t="shared" si="182"/>
        <v>3.4666666666666603E-2</v>
      </c>
      <c r="AA305" s="317">
        <f t="shared" si="182"/>
        <v>3.3999999999999933E-2</v>
      </c>
      <c r="AB305" s="317">
        <f t="shared" si="182"/>
        <v>3.3333333333333263E-2</v>
      </c>
      <c r="AC305" s="317">
        <f t="shared" si="182"/>
        <v>3.2666666666666594E-2</v>
      </c>
      <c r="AD305" s="317">
        <f t="shared" si="182"/>
        <v>3.1999999999999924E-2</v>
      </c>
      <c r="AE305" s="317">
        <f t="shared" si="182"/>
        <v>3.1333333333333255E-2</v>
      </c>
      <c r="AF305" s="317">
        <f t="shared" si="182"/>
        <v>3.0666666666666589E-2</v>
      </c>
      <c r="AG305" s="293">
        <v>0.03</v>
      </c>
      <c r="AI305" s="293"/>
      <c r="AJ305" s="318" t="s">
        <v>1625</v>
      </c>
    </row>
    <row r="306" spans="1:36" s="55" customFormat="1" outlineLevel="1">
      <c r="A306" s="55" t="s">
        <v>703</v>
      </c>
      <c r="B306" s="282"/>
      <c r="C306" s="283">
        <f>C29</f>
        <v>1096194.5752629088</v>
      </c>
      <c r="D306" s="283">
        <f t="shared" ref="D306:AG306" si="183">D29</f>
        <v>1096194.5752629088</v>
      </c>
      <c r="E306" s="283">
        <f t="shared" si="183"/>
        <v>1096194.5752629088</v>
      </c>
      <c r="F306" s="283">
        <f t="shared" si="183"/>
        <v>1096194.5752629088</v>
      </c>
      <c r="G306" s="283">
        <f t="shared" si="183"/>
        <v>1096194.5752629088</v>
      </c>
      <c r="H306" s="283">
        <f t="shared" si="183"/>
        <v>1096194.5752629088</v>
      </c>
      <c r="I306" s="283">
        <f t="shared" si="183"/>
        <v>1096194.5752629088</v>
      </c>
      <c r="J306" s="283">
        <f t="shared" si="183"/>
        <v>1096194.5752629088</v>
      </c>
      <c r="K306" s="283">
        <f t="shared" si="183"/>
        <v>1096194.5752629088</v>
      </c>
      <c r="L306" s="283">
        <f t="shared" si="183"/>
        <v>1096194.5752629088</v>
      </c>
      <c r="M306" s="283">
        <f t="shared" si="183"/>
        <v>1096194.5752629088</v>
      </c>
      <c r="N306" s="283">
        <f t="shared" si="183"/>
        <v>1096194.5752629088</v>
      </c>
      <c r="O306" s="283">
        <f t="shared" si="183"/>
        <v>1096194.5752629088</v>
      </c>
      <c r="P306" s="283">
        <f t="shared" si="183"/>
        <v>1096194.5752629088</v>
      </c>
      <c r="Q306" s="283">
        <f t="shared" si="183"/>
        <v>1096194.5752629088</v>
      </c>
      <c r="R306" s="283">
        <f t="shared" si="183"/>
        <v>1096194.5752629088</v>
      </c>
      <c r="S306" s="283">
        <f t="shared" si="183"/>
        <v>1096194.5752629088</v>
      </c>
      <c r="T306" s="283">
        <f t="shared" si="183"/>
        <v>1096194.5752629088</v>
      </c>
      <c r="U306" s="283">
        <f t="shared" si="183"/>
        <v>1096194.5752629088</v>
      </c>
      <c r="V306" s="283">
        <f t="shared" si="183"/>
        <v>1096194.5752629088</v>
      </c>
      <c r="W306" s="283">
        <f t="shared" si="183"/>
        <v>1096194.5752629088</v>
      </c>
      <c r="X306" s="283">
        <f t="shared" si="183"/>
        <v>1096194.5752629088</v>
      </c>
      <c r="Y306" s="283">
        <f t="shared" si="183"/>
        <v>1096194.5752629088</v>
      </c>
      <c r="Z306" s="283">
        <f t="shared" si="183"/>
        <v>1096194.5752629088</v>
      </c>
      <c r="AA306" s="283">
        <f t="shared" si="183"/>
        <v>1096194.5752629088</v>
      </c>
      <c r="AB306" s="283">
        <f t="shared" si="183"/>
        <v>1096194.5752629088</v>
      </c>
      <c r="AC306" s="283">
        <f t="shared" si="183"/>
        <v>1096194.5752629088</v>
      </c>
      <c r="AD306" s="283">
        <f t="shared" si="183"/>
        <v>1096194.5752629088</v>
      </c>
      <c r="AE306" s="283">
        <f t="shared" si="183"/>
        <v>1096194.5752629088</v>
      </c>
      <c r="AF306" s="283">
        <f t="shared" si="183"/>
        <v>1096194.5752629088</v>
      </c>
      <c r="AG306" s="283">
        <f t="shared" si="183"/>
        <v>1096194.5752629088</v>
      </c>
      <c r="AI306" s="284"/>
      <c r="AJ306" s="285"/>
    </row>
    <row r="307" spans="1:36" s="55" customFormat="1" outlineLevel="1">
      <c r="A307" s="286" t="s">
        <v>173</v>
      </c>
      <c r="B307" s="287" t="s">
        <v>127</v>
      </c>
      <c r="C307" s="288">
        <v>0</v>
      </c>
      <c r="D307" s="288">
        <v>0</v>
      </c>
      <c r="E307" s="288">
        <v>0</v>
      </c>
      <c r="F307" s="288">
        <v>0</v>
      </c>
      <c r="G307" s="288">
        <v>0</v>
      </c>
      <c r="H307" s="288">
        <v>0</v>
      </c>
      <c r="I307" s="288">
        <v>0</v>
      </c>
      <c r="J307" s="288">
        <v>0</v>
      </c>
      <c r="K307" s="288">
        <v>0</v>
      </c>
      <c r="L307" s="288">
        <v>0</v>
      </c>
      <c r="M307" s="288">
        <v>0</v>
      </c>
      <c r="N307" s="288">
        <v>0</v>
      </c>
      <c r="O307" s="288">
        <v>0</v>
      </c>
      <c r="P307" s="288">
        <v>0</v>
      </c>
      <c r="Q307" s="288">
        <v>0</v>
      </c>
      <c r="R307" s="288">
        <v>0</v>
      </c>
      <c r="S307" s="288">
        <v>0</v>
      </c>
      <c r="T307" s="288">
        <v>0</v>
      </c>
      <c r="U307" s="288">
        <v>0</v>
      </c>
      <c r="V307" s="288">
        <v>0</v>
      </c>
      <c r="W307" s="288">
        <v>0</v>
      </c>
      <c r="X307" s="288">
        <v>0</v>
      </c>
      <c r="Y307" s="288">
        <v>0</v>
      </c>
      <c r="Z307" s="288">
        <v>0</v>
      </c>
      <c r="AA307" s="288">
        <v>0</v>
      </c>
      <c r="AB307" s="288">
        <v>0</v>
      </c>
      <c r="AC307" s="288">
        <v>0</v>
      </c>
      <c r="AD307" s="288">
        <v>0</v>
      </c>
      <c r="AE307" s="288">
        <v>0</v>
      </c>
      <c r="AF307" s="288">
        <v>0</v>
      </c>
      <c r="AG307" s="288">
        <v>0</v>
      </c>
      <c r="AI307" s="284"/>
      <c r="AJ307" s="285"/>
    </row>
    <row r="308" spans="1:36" outlineLevel="1">
      <c r="A308" s="289" t="s">
        <v>696</v>
      </c>
      <c r="B308" s="281" t="s">
        <v>127</v>
      </c>
      <c r="C308" s="234">
        <f t="shared" ref="C308:AG308" si="184">C275</f>
        <v>102113.18489319331</v>
      </c>
      <c r="D308" s="234">
        <f t="shared" si="184"/>
        <v>103818.47508090963</v>
      </c>
      <c r="E308" s="234">
        <f t="shared" si="184"/>
        <v>105552.24361476081</v>
      </c>
      <c r="F308" s="234">
        <f t="shared" si="184"/>
        <v>107314.96608312731</v>
      </c>
      <c r="G308" s="234">
        <f t="shared" si="184"/>
        <v>109107.12601671553</v>
      </c>
      <c r="H308" s="234">
        <f t="shared" si="184"/>
        <v>110929.21502119467</v>
      </c>
      <c r="I308" s="234">
        <f t="shared" si="184"/>
        <v>112781.73291204861</v>
      </c>
      <c r="J308" s="234">
        <f t="shared" si="184"/>
        <v>114665.18785167982</v>
      </c>
      <c r="K308" s="234">
        <f t="shared" si="184"/>
        <v>116580.09648880287</v>
      </c>
      <c r="L308" s="234">
        <f t="shared" si="184"/>
        <v>118526.98410016586</v>
      </c>
      <c r="M308" s="234">
        <f t="shared" si="184"/>
        <v>120506.38473463863</v>
      </c>
      <c r="N308" s="234">
        <f t="shared" si="184"/>
        <v>122518.84135970709</v>
      </c>
      <c r="O308" s="234">
        <f t="shared" si="184"/>
        <v>124564.9060104142</v>
      </c>
      <c r="P308" s="234">
        <f t="shared" si="184"/>
        <v>126645.13994078811</v>
      </c>
      <c r="Q308" s="234">
        <f t="shared" si="184"/>
        <v>128760.11377779927</v>
      </c>
      <c r="R308" s="234">
        <f t="shared" si="184"/>
        <v>130910.40767788851</v>
      </c>
      <c r="S308" s="234">
        <f t="shared" si="184"/>
        <v>133096.61148610924</v>
      </c>
      <c r="T308" s="234">
        <f t="shared" si="184"/>
        <v>135319.32489792726</v>
      </c>
      <c r="U308" s="234">
        <f t="shared" si="184"/>
        <v>137579.15762372263</v>
      </c>
      <c r="V308" s="234">
        <f t="shared" si="184"/>
        <v>139876.72955603877</v>
      </c>
      <c r="W308" s="234">
        <f t="shared" si="184"/>
        <v>142212.6709396246</v>
      </c>
      <c r="X308" s="234">
        <f t="shared" si="184"/>
        <v>144587.62254431631</v>
      </c>
      <c r="Y308" s="234">
        <f t="shared" si="184"/>
        <v>147002.23584080639</v>
      </c>
      <c r="Z308" s="234">
        <f t="shared" si="184"/>
        <v>149457.17317934785</v>
      </c>
      <c r="AA308" s="234">
        <f t="shared" si="184"/>
        <v>151953.10797144295</v>
      </c>
      <c r="AB308" s="234">
        <f t="shared" si="184"/>
        <v>154490.72487456605</v>
      </c>
      <c r="AC308" s="234">
        <f t="shared" si="184"/>
        <v>157070.7199799713</v>
      </c>
      <c r="AD308" s="234">
        <f t="shared" si="184"/>
        <v>159693.80100363682</v>
      </c>
      <c r="AE308" s="234">
        <f t="shared" si="184"/>
        <v>162360.68748039755</v>
      </c>
      <c r="AF308" s="234">
        <f t="shared" si="184"/>
        <v>165072.11096132017</v>
      </c>
      <c r="AG308" s="234">
        <f t="shared" si="184"/>
        <v>167828.81521437422</v>
      </c>
      <c r="AI308" s="275"/>
    </row>
    <row r="309" spans="1:36" s="63" customFormat="1" outlineLevel="1">
      <c r="A309" s="290" t="s">
        <v>705</v>
      </c>
      <c r="B309" s="291" t="s">
        <v>127</v>
      </c>
      <c r="C309" s="292">
        <f>C306-C307-C308</f>
        <v>994081.39036971552</v>
      </c>
      <c r="D309" s="292">
        <f t="shared" ref="D309:AG309" si="185">D306-D307-D308</f>
        <v>992376.10018199915</v>
      </c>
      <c r="E309" s="292">
        <f t="shared" si="185"/>
        <v>990642.33164814801</v>
      </c>
      <c r="F309" s="292">
        <f t="shared" si="185"/>
        <v>988879.60917978152</v>
      </c>
      <c r="G309" s="292">
        <f t="shared" si="185"/>
        <v>987087.44924619328</v>
      </c>
      <c r="H309" s="292">
        <f t="shared" si="185"/>
        <v>985265.36024171417</v>
      </c>
      <c r="I309" s="292">
        <f t="shared" si="185"/>
        <v>983412.84235086024</v>
      </c>
      <c r="J309" s="292">
        <f t="shared" si="185"/>
        <v>981529.38741122896</v>
      </c>
      <c r="K309" s="292">
        <f t="shared" si="185"/>
        <v>979614.4787741059</v>
      </c>
      <c r="L309" s="292">
        <f t="shared" si="185"/>
        <v>977667.59116274293</v>
      </c>
      <c r="M309" s="292">
        <f t="shared" si="185"/>
        <v>975688.19052827021</v>
      </c>
      <c r="N309" s="292">
        <f t="shared" si="185"/>
        <v>973675.73390320176</v>
      </c>
      <c r="O309" s="292">
        <f t="shared" si="185"/>
        <v>971629.66925249458</v>
      </c>
      <c r="P309" s="292">
        <f t="shared" si="185"/>
        <v>969549.43532212067</v>
      </c>
      <c r="Q309" s="292">
        <f t="shared" si="185"/>
        <v>967434.46148510952</v>
      </c>
      <c r="R309" s="292">
        <f t="shared" si="185"/>
        <v>965284.1675850203</v>
      </c>
      <c r="S309" s="292">
        <f t="shared" si="185"/>
        <v>963097.96377679962</v>
      </c>
      <c r="T309" s="292">
        <f t="shared" si="185"/>
        <v>960875.25036498159</v>
      </c>
      <c r="U309" s="292">
        <f t="shared" si="185"/>
        <v>958615.41763918614</v>
      </c>
      <c r="V309" s="292">
        <f t="shared" si="185"/>
        <v>956317.84570687008</v>
      </c>
      <c r="W309" s="292">
        <f t="shared" si="185"/>
        <v>953981.90432328428</v>
      </c>
      <c r="X309" s="292">
        <f t="shared" si="185"/>
        <v>951606.95271859248</v>
      </c>
      <c r="Y309" s="292">
        <f t="shared" si="185"/>
        <v>949192.33942210244</v>
      </c>
      <c r="Z309" s="292">
        <f t="shared" si="185"/>
        <v>946737.40208356094</v>
      </c>
      <c r="AA309" s="292">
        <f t="shared" si="185"/>
        <v>944241.46729146584</v>
      </c>
      <c r="AB309" s="292">
        <f t="shared" si="185"/>
        <v>941703.85038834275</v>
      </c>
      <c r="AC309" s="292">
        <f t="shared" si="185"/>
        <v>939123.85528293753</v>
      </c>
      <c r="AD309" s="292">
        <f t="shared" si="185"/>
        <v>936500.77425927203</v>
      </c>
      <c r="AE309" s="292">
        <f t="shared" si="185"/>
        <v>933833.8877825113</v>
      </c>
      <c r="AF309" s="292">
        <f t="shared" si="185"/>
        <v>931122.46430158871</v>
      </c>
      <c r="AG309" s="292">
        <f t="shared" si="185"/>
        <v>928365.7600485346</v>
      </c>
      <c r="AI309" s="293"/>
      <c r="AJ309" s="294"/>
    </row>
    <row r="310" spans="1:36" outlineLevel="1">
      <c r="A310" s="106" t="s">
        <v>698</v>
      </c>
      <c r="B310" s="281" t="s">
        <v>127</v>
      </c>
      <c r="C310" s="216">
        <f>C279*C$309</f>
        <v>159053.02245915448</v>
      </c>
      <c r="D310" s="216">
        <f t="shared" ref="D310:AG310" si="186">D279*D$309</f>
        <v>160831.08663616265</v>
      </c>
      <c r="E310" s="216">
        <f t="shared" si="186"/>
        <v>162597.42803451602</v>
      </c>
      <c r="F310" s="216">
        <f t="shared" si="186"/>
        <v>164351.79104567968</v>
      </c>
      <c r="G310" s="216">
        <f t="shared" si="186"/>
        <v>166093.91479315943</v>
      </c>
      <c r="H310" s="216">
        <f t="shared" si="186"/>
        <v>167823.53302783862</v>
      </c>
      <c r="I310" s="216">
        <f t="shared" si="186"/>
        <v>169540.37402128827</v>
      </c>
      <c r="J310" s="216">
        <f t="shared" si="186"/>
        <v>171244.16045701239</v>
      </c>
      <c r="K310" s="216">
        <f t="shared" si="186"/>
        <v>172934.60931958878</v>
      </c>
      <c r="L310" s="216">
        <f t="shared" si="186"/>
        <v>174611.43178166583</v>
      </c>
      <c r="M310" s="216">
        <f t="shared" si="186"/>
        <v>176274.33308877409</v>
      </c>
      <c r="N310" s="216">
        <f t="shared" si="186"/>
        <v>177923.01244191168</v>
      </c>
      <c r="O310" s="216">
        <f t="shared" si="186"/>
        <v>179557.16287786094</v>
      </c>
      <c r="P310" s="216">
        <f t="shared" si="186"/>
        <v>181176.47114719354</v>
      </c>
      <c r="Q310" s="216">
        <f t="shared" si="186"/>
        <v>182780.61758991994</v>
      </c>
      <c r="R310" s="216">
        <f t="shared" si="186"/>
        <v>184369.27600873879</v>
      </c>
      <c r="S310" s="216">
        <f t="shared" si="186"/>
        <v>185942.11353984071</v>
      </c>
      <c r="T310" s="216">
        <f t="shared" si="186"/>
        <v>187498.79052121998</v>
      </c>
      <c r="U310" s="216">
        <f t="shared" si="186"/>
        <v>189038.96035844742</v>
      </c>
      <c r="V310" s="216">
        <f t="shared" si="186"/>
        <v>190562.26938785554</v>
      </c>
      <c r="W310" s="216">
        <f t="shared" si="186"/>
        <v>192068.3567370878</v>
      </c>
      <c r="X310" s="216">
        <f t="shared" si="186"/>
        <v>193556.8541829616</v>
      </c>
      <c r="Y310" s="216">
        <f t="shared" si="186"/>
        <v>195027.38600659455</v>
      </c>
      <c r="Z310" s="216">
        <f t="shared" si="186"/>
        <v>196479.56884574157</v>
      </c>
      <c r="AA310" s="216">
        <f t="shared" si="186"/>
        <v>197913.0115442911</v>
      </c>
      <c r="AB310" s="216">
        <f t="shared" si="186"/>
        <v>199327.31499886577</v>
      </c>
      <c r="AC310" s="216">
        <f t="shared" si="186"/>
        <v>200722.07200247305</v>
      </c>
      <c r="AD310" s="216">
        <f t="shared" si="186"/>
        <v>202096.86708515076</v>
      </c>
      <c r="AE310" s="216">
        <f t="shared" si="186"/>
        <v>203451.27635154966</v>
      </c>
      <c r="AF310" s="216">
        <f t="shared" si="186"/>
        <v>204784.86731539594</v>
      </c>
      <c r="AG310" s="216">
        <f t="shared" si="186"/>
        <v>206097.19873077469</v>
      </c>
      <c r="AI310" s="201"/>
    </row>
    <row r="311" spans="1:36" outlineLevel="1">
      <c r="A311" s="106" t="s">
        <v>697</v>
      </c>
      <c r="B311" s="281" t="s">
        <v>127</v>
      </c>
      <c r="C311" s="216">
        <f t="shared" ref="C311:AG311" si="187">C280*C$309</f>
        <v>367810.11443679471</v>
      </c>
      <c r="D311" s="216">
        <f t="shared" si="187"/>
        <v>359934.81153601111</v>
      </c>
      <c r="E311" s="216">
        <f t="shared" si="187"/>
        <v>352074.28466775187</v>
      </c>
      <c r="F311" s="216">
        <f t="shared" si="187"/>
        <v>344228.99195548199</v>
      </c>
      <c r="G311" s="216">
        <f t="shared" si="187"/>
        <v>336399.40270310279</v>
      </c>
      <c r="H311" s="216">
        <f t="shared" si="187"/>
        <v>328585.99764061178</v>
      </c>
      <c r="I311" s="216">
        <f t="shared" si="187"/>
        <v>320789.26917485078</v>
      </c>
      <c r="J311" s="216">
        <f t="shared" si="187"/>
        <v>313009.72164544108</v>
      </c>
      <c r="K311" s="216">
        <f t="shared" si="187"/>
        <v>305247.87158601161</v>
      </c>
      <c r="L311" s="216">
        <f t="shared" si="187"/>
        <v>297504.24799082289</v>
      </c>
      <c r="M311" s="216">
        <f t="shared" si="187"/>
        <v>289779.39258689649</v>
      </c>
      <c r="N311" s="216">
        <f t="shared" si="187"/>
        <v>282073.86011175782</v>
      </c>
      <c r="O311" s="216">
        <f t="shared" si="187"/>
        <v>274388.21859690477</v>
      </c>
      <c r="P311" s="216">
        <f t="shared" si="187"/>
        <v>266723.04965711571</v>
      </c>
      <c r="Q311" s="216">
        <f t="shared" si="187"/>
        <v>259078.94878571268</v>
      </c>
      <c r="R311" s="216">
        <f t="shared" si="187"/>
        <v>251456.52565589818</v>
      </c>
      <c r="S311" s="216">
        <f t="shared" si="187"/>
        <v>243856.40442828607</v>
      </c>
      <c r="T311" s="216">
        <f t="shared" si="187"/>
        <v>236279.22406474937</v>
      </c>
      <c r="U311" s="216">
        <f t="shared" si="187"/>
        <v>228725.63864871021</v>
      </c>
      <c r="V311" s="216">
        <f t="shared" si="187"/>
        <v>221196.31771199947</v>
      </c>
      <c r="W311" s="216">
        <f t="shared" si="187"/>
        <v>213691.94656841608</v>
      </c>
      <c r="X311" s="216">
        <f t="shared" si="187"/>
        <v>206213.22665411938</v>
      </c>
      <c r="Y311" s="216">
        <f t="shared" si="187"/>
        <v>198760.87587498865</v>
      </c>
      <c r="Z311" s="216">
        <f t="shared" si="187"/>
        <v>191335.62896108805</v>
      </c>
      <c r="AA311" s="216">
        <f t="shared" si="187"/>
        <v>183938.23782837795</v>
      </c>
      <c r="AB311" s="216">
        <f t="shared" si="187"/>
        <v>176569.47194781466</v>
      </c>
      <c r="AC311" s="216">
        <f t="shared" si="187"/>
        <v>169230.11872198572</v>
      </c>
      <c r="AD311" s="216">
        <f t="shared" si="187"/>
        <v>161920.98386942851</v>
      </c>
      <c r="AE311" s="216">
        <f t="shared" si="187"/>
        <v>154642.89181678425</v>
      </c>
      <c r="AF311" s="216">
        <f t="shared" si="187"/>
        <v>147396.68609894186</v>
      </c>
      <c r="AG311" s="216">
        <f t="shared" si="187"/>
        <v>140183.22976732871</v>
      </c>
      <c r="AI311" s="201"/>
    </row>
    <row r="312" spans="1:36" outlineLevel="1">
      <c r="A312" s="106" t="s">
        <v>699</v>
      </c>
      <c r="B312" s="281" t="s">
        <v>127</v>
      </c>
      <c r="C312" s="216">
        <f t="shared" ref="C312:AG312" si="188">C281*C$309</f>
        <v>79526.511229577241</v>
      </c>
      <c r="D312" s="216">
        <f t="shared" si="188"/>
        <v>79489.325624578138</v>
      </c>
      <c r="E312" s="216">
        <f t="shared" si="188"/>
        <v>79449.514998181476</v>
      </c>
      <c r="F312" s="216">
        <f t="shared" si="188"/>
        <v>79407.032617136472</v>
      </c>
      <c r="G312" s="216">
        <f t="shared" si="188"/>
        <v>79361.830919393949</v>
      </c>
      <c r="H312" s="216">
        <f t="shared" si="188"/>
        <v>79313.861499458013</v>
      </c>
      <c r="I312" s="216">
        <f t="shared" si="188"/>
        <v>79263.075093479347</v>
      </c>
      <c r="J312" s="216">
        <f t="shared" si="188"/>
        <v>79209.421564086195</v>
      </c>
      <c r="K312" s="216">
        <f t="shared" si="188"/>
        <v>79152.849884947776</v>
      </c>
      <c r="L312" s="216">
        <f t="shared" si="188"/>
        <v>79093.308125065931</v>
      </c>
      <c r="M312" s="216">
        <f t="shared" si="188"/>
        <v>79030.74343278991</v>
      </c>
      <c r="N312" s="216">
        <f t="shared" si="188"/>
        <v>78965.102019549697</v>
      </c>
      <c r="O312" s="216">
        <f t="shared" si="188"/>
        <v>78896.329143302588</v>
      </c>
      <c r="P312" s="216">
        <f t="shared" si="188"/>
        <v>78824.369091688452</v>
      </c>
      <c r="Q312" s="216">
        <f t="shared" si="188"/>
        <v>78749.165164887949</v>
      </c>
      <c r="R312" s="216">
        <f t="shared" si="188"/>
        <v>78670.659658179196</v>
      </c>
      <c r="S312" s="216">
        <f t="shared" si="188"/>
        <v>78588.79384418689</v>
      </c>
      <c r="T312" s="216">
        <f t="shared" si="188"/>
        <v>78503.507954819041</v>
      </c>
      <c r="U312" s="216">
        <f t="shared" si="188"/>
        <v>78414.741162885475</v>
      </c>
      <c r="V312" s="216">
        <f t="shared" si="188"/>
        <v>78322.431563392718</v>
      </c>
      <c r="W312" s="216">
        <f t="shared" si="188"/>
        <v>78226.516154509372</v>
      </c>
      <c r="X312" s="216">
        <f t="shared" si="188"/>
        <v>78126.930818196503</v>
      </c>
      <c r="Y312" s="216">
        <f t="shared" si="188"/>
        <v>78023.610300496875</v>
      </c>
      <c r="Z312" s="216">
        <f t="shared" si="188"/>
        <v>77916.488191477125</v>
      </c>
      <c r="AA312" s="216">
        <f t="shared" si="188"/>
        <v>77805.496904816857</v>
      </c>
      <c r="AB312" s="216">
        <f t="shared" si="188"/>
        <v>77690.567657038351</v>
      </c>
      <c r="AC312" s="216">
        <f t="shared" si="188"/>
        <v>77571.630446370706</v>
      </c>
      <c r="AD312" s="216">
        <f t="shared" si="188"/>
        <v>77448.614031241872</v>
      </c>
      <c r="AE312" s="216">
        <f t="shared" si="188"/>
        <v>77321.445908392008</v>
      </c>
      <c r="AF312" s="216">
        <f t="shared" si="188"/>
        <v>77190.052290601787</v>
      </c>
      <c r="AG312" s="216">
        <f t="shared" si="188"/>
        <v>77054.358084028383</v>
      </c>
      <c r="AI312" s="201"/>
    </row>
    <row r="313" spans="1:36" outlineLevel="1">
      <c r="A313" s="106" t="s">
        <v>700</v>
      </c>
      <c r="B313" s="281" t="s">
        <v>127</v>
      </c>
      <c r="C313" s="216">
        <f t="shared" ref="C313:AG313" si="189">C282*C$309</f>
        <v>268401.97539982322</v>
      </c>
      <c r="D313" s="216">
        <f t="shared" si="189"/>
        <v>271050.99216304335</v>
      </c>
      <c r="E313" s="216">
        <f t="shared" si="189"/>
        <v>273681.45482332836</v>
      </c>
      <c r="F313" s="216">
        <f t="shared" si="189"/>
        <v>276292.96280483092</v>
      </c>
      <c r="G313" s="216">
        <f t="shared" si="189"/>
        <v>278885.10732702445</v>
      </c>
      <c r="H313" s="216">
        <f t="shared" si="189"/>
        <v>281457.47124238295</v>
      </c>
      <c r="I313" s="216">
        <f t="shared" si="189"/>
        <v>284009.62887092837</v>
      </c>
      <c r="J313" s="216">
        <f t="shared" si="189"/>
        <v>286541.1458315847</v>
      </c>
      <c r="K313" s="216">
        <f t="shared" si="189"/>
        <v>289051.57887027942</v>
      </c>
      <c r="L313" s="216">
        <f t="shared" si="189"/>
        <v>291540.47568472987</v>
      </c>
      <c r="M313" s="216">
        <f t="shared" si="189"/>
        <v>294007.37474585196</v>
      </c>
      <c r="N313" s="216">
        <f t="shared" si="189"/>
        <v>296451.80511572806</v>
      </c>
      <c r="O313" s="216">
        <f t="shared" si="189"/>
        <v>298873.28626206721</v>
      </c>
      <c r="P313" s="216">
        <f t="shared" si="189"/>
        <v>301271.32786909351</v>
      </c>
      <c r="Q313" s="216">
        <f t="shared" si="189"/>
        <v>303645.42964479292</v>
      </c>
      <c r="R313" s="216">
        <f t="shared" si="189"/>
        <v>305995.0811244513</v>
      </c>
      <c r="S313" s="216">
        <f t="shared" si="189"/>
        <v>308319.7614704126</v>
      </c>
      <c r="T313" s="216">
        <f t="shared" si="189"/>
        <v>310618.93926798622</v>
      </c>
      <c r="U313" s="216">
        <f t="shared" si="189"/>
        <v>312892.07231743017</v>
      </c>
      <c r="V313" s="216">
        <f t="shared" si="189"/>
        <v>315138.60742193705</v>
      </c>
      <c r="W313" s="216">
        <f t="shared" si="189"/>
        <v>317357.9801715457</v>
      </c>
      <c r="X313" s="216">
        <f t="shared" si="189"/>
        <v>319549.61472290312</v>
      </c>
      <c r="Y313" s="216">
        <f t="shared" si="189"/>
        <v>321712.92357479769</v>
      </c>
      <c r="Z313" s="216">
        <f t="shared" si="189"/>
        <v>323847.30733938317</v>
      </c>
      <c r="AA313" s="216">
        <f t="shared" si="189"/>
        <v>325952.15450901375</v>
      </c>
      <c r="AB313" s="216">
        <f t="shared" si="189"/>
        <v>328026.84121860581</v>
      </c>
      <c r="AC313" s="216">
        <f t="shared" si="189"/>
        <v>330070.73100344284</v>
      </c>
      <c r="AD313" s="216">
        <f t="shared" si="189"/>
        <v>332083.17455233756</v>
      </c>
      <c r="AE313" s="216">
        <f t="shared" si="189"/>
        <v>334063.50945606339</v>
      </c>
      <c r="AF313" s="216">
        <f t="shared" si="189"/>
        <v>336011.05995096633</v>
      </c>
      <c r="AG313" s="216">
        <f t="shared" si="189"/>
        <v>337925.13665766659</v>
      </c>
      <c r="AI313" s="201"/>
    </row>
    <row r="314" spans="1:36" outlineLevel="1">
      <c r="A314" s="106" t="s">
        <v>701</v>
      </c>
      <c r="B314" s="281" t="s">
        <v>127</v>
      </c>
      <c r="C314" s="216">
        <f t="shared" ref="C314:AG314" si="190">C283*C$309</f>
        <v>69585.697325880086</v>
      </c>
      <c r="D314" s="216">
        <f t="shared" si="190"/>
        <v>70723.336739637147</v>
      </c>
      <c r="E314" s="216">
        <f t="shared" si="190"/>
        <v>71854.59045554568</v>
      </c>
      <c r="F314" s="216">
        <f t="shared" si="190"/>
        <v>72979.315157467878</v>
      </c>
      <c r="G314" s="216">
        <f t="shared" si="190"/>
        <v>74097.364523414246</v>
      </c>
      <c r="H314" s="216">
        <f t="shared" si="190"/>
        <v>75208.589165117519</v>
      </c>
      <c r="I314" s="216">
        <f t="shared" si="190"/>
        <v>76312.836566426762</v>
      </c>
      <c r="J314" s="216">
        <f t="shared" si="190"/>
        <v>77409.95102049892</v>
      </c>
      <c r="K314" s="216">
        <f t="shared" si="190"/>
        <v>78499.773565765019</v>
      </c>
      <c r="L314" s="216">
        <f t="shared" si="190"/>
        <v>79582.141920647278</v>
      </c>
      <c r="M314" s="216">
        <f t="shared" si="190"/>
        <v>80656.890417003669</v>
      </c>
      <c r="N314" s="216">
        <f t="shared" si="190"/>
        <v>81723.849932275407</v>
      </c>
      <c r="O314" s="216">
        <f t="shared" si="190"/>
        <v>82782.847820312541</v>
      </c>
      <c r="P314" s="216">
        <f t="shared" si="190"/>
        <v>83833.707840852701</v>
      </c>
      <c r="Q314" s="216">
        <f t="shared" si="190"/>
        <v>84876.250087626933</v>
      </c>
      <c r="R314" s="216">
        <f t="shared" si="190"/>
        <v>85910.290915066798</v>
      </c>
      <c r="S314" s="216">
        <f t="shared" si="190"/>
        <v>86935.642863585774</v>
      </c>
      <c r="T314" s="216">
        <f t="shared" si="190"/>
        <v>87952.11458340798</v>
      </c>
      <c r="U314" s="216">
        <f t="shared" si="190"/>
        <v>88959.510756916468</v>
      </c>
      <c r="V314" s="216">
        <f t="shared" si="190"/>
        <v>89957.632019492899</v>
      </c>
      <c r="W314" s="216">
        <f t="shared" si="190"/>
        <v>90946.274878819764</v>
      </c>
      <c r="X314" s="216">
        <f t="shared" si="190"/>
        <v>91925.231632616022</v>
      </c>
      <c r="Y314" s="216">
        <f t="shared" si="190"/>
        <v>92894.29028477642</v>
      </c>
      <c r="Z314" s="216">
        <f t="shared" si="190"/>
        <v>93853.234459883664</v>
      </c>
      <c r="AA314" s="216">
        <f t="shared" si="190"/>
        <v>94801.843316063154</v>
      </c>
      <c r="AB314" s="216">
        <f t="shared" si="190"/>
        <v>95739.891456148165</v>
      </c>
      <c r="AC314" s="216">
        <f t="shared" si="190"/>
        <v>96667.148837123692</v>
      </c>
      <c r="AD314" s="216">
        <f t="shared" si="190"/>
        <v>97583.380677816138</v>
      </c>
      <c r="AE314" s="216">
        <f t="shared" si="190"/>
        <v>98488.347364795511</v>
      </c>
      <c r="AF314" s="216">
        <f t="shared" si="190"/>
        <v>99381.804356456225</v>
      </c>
      <c r="AG314" s="216">
        <f t="shared" si="190"/>
        <v>100263.50208524174</v>
      </c>
      <c r="AI314" s="201"/>
    </row>
    <row r="315" spans="1:36" outlineLevel="1">
      <c r="A315" s="106" t="s">
        <v>702</v>
      </c>
      <c r="B315" s="281" t="s">
        <v>127</v>
      </c>
      <c r="C315" s="216">
        <f t="shared" ref="C315:AG315" si="191">C284*C$309</f>
        <v>49704.069518485776</v>
      </c>
      <c r="D315" s="216">
        <f t="shared" si="191"/>
        <v>50346.547482566762</v>
      </c>
      <c r="E315" s="216">
        <f t="shared" si="191"/>
        <v>50985.058668824691</v>
      </c>
      <c r="F315" s="216">
        <f t="shared" si="191"/>
        <v>51619.515599184604</v>
      </c>
      <c r="G315" s="216">
        <f t="shared" si="191"/>
        <v>52249.828980098508</v>
      </c>
      <c r="H315" s="216">
        <f t="shared" si="191"/>
        <v>52875.907666305342</v>
      </c>
      <c r="I315" s="216">
        <f t="shared" si="191"/>
        <v>53497.658623886811</v>
      </c>
      <c r="J315" s="216">
        <f t="shared" si="191"/>
        <v>54114.986892605775</v>
      </c>
      <c r="K315" s="216">
        <f t="shared" si="191"/>
        <v>54727.795547513408</v>
      </c>
      <c r="L315" s="216">
        <f t="shared" si="191"/>
        <v>55335.985659811275</v>
      </c>
      <c r="M315" s="216">
        <f t="shared" si="191"/>
        <v>55939.456256954189</v>
      </c>
      <c r="N315" s="216">
        <f t="shared" si="191"/>
        <v>56538.104281979278</v>
      </c>
      <c r="O315" s="216">
        <f t="shared" si="191"/>
        <v>57131.82455204671</v>
      </c>
      <c r="P315" s="216">
        <f t="shared" si="191"/>
        <v>57720.509716176952</v>
      </c>
      <c r="Q315" s="216">
        <f t="shared" si="191"/>
        <v>58304.050212169306</v>
      </c>
      <c r="R315" s="216">
        <f t="shared" si="191"/>
        <v>58882.334222686281</v>
      </c>
      <c r="S315" s="216">
        <f t="shared" si="191"/>
        <v>59455.247630487807</v>
      </c>
      <c r="T315" s="216">
        <f t="shared" si="191"/>
        <v>60022.673972799224</v>
      </c>
      <c r="U315" s="216">
        <f t="shared" si="191"/>
        <v>60584.494394796609</v>
      </c>
      <c r="V315" s="216">
        <f t="shared" si="191"/>
        <v>61140.587602192609</v>
      </c>
      <c r="W315" s="216">
        <f t="shared" si="191"/>
        <v>61690.829812905766</v>
      </c>
      <c r="X315" s="216">
        <f t="shared" si="191"/>
        <v>62235.094707796001</v>
      </c>
      <c r="Y315" s="216">
        <f t="shared" si="191"/>
        <v>62773.253380448426</v>
      </c>
      <c r="Z315" s="216">
        <f t="shared" si="191"/>
        <v>63305.174285987501</v>
      </c>
      <c r="AA315" s="216">
        <f t="shared" si="191"/>
        <v>63830.723188903154</v>
      </c>
      <c r="AB315" s="216">
        <f t="shared" si="191"/>
        <v>64349.763109870146</v>
      </c>
      <c r="AC315" s="216">
        <f t="shared" si="191"/>
        <v>64862.154271541614</v>
      </c>
      <c r="AD315" s="216">
        <f t="shared" si="191"/>
        <v>65367.754043297253</v>
      </c>
      <c r="AE315" s="216">
        <f t="shared" si="191"/>
        <v>65866.416884926526</v>
      </c>
      <c r="AF315" s="216">
        <f t="shared" si="191"/>
        <v>66357.994289226626</v>
      </c>
      <c r="AG315" s="216">
        <f t="shared" si="191"/>
        <v>66842.334723494481</v>
      </c>
      <c r="AI315" s="201"/>
    </row>
    <row r="316" spans="1:36" s="55" customFormat="1">
      <c r="A316" s="55" t="s">
        <v>704</v>
      </c>
      <c r="B316" s="282"/>
      <c r="C316" s="283">
        <f>C44</f>
        <v>1096194.5752629088</v>
      </c>
      <c r="D316" s="283">
        <f t="shared" ref="D316:AG316" si="192">D44</f>
        <v>1091904.3354999269</v>
      </c>
      <c r="E316" s="283">
        <f t="shared" si="192"/>
        <v>1085304.3326795939</v>
      </c>
      <c r="F316" s="283">
        <f t="shared" si="192"/>
        <v>1079859.2113879365</v>
      </c>
      <c r="G316" s="283">
        <f t="shared" si="192"/>
        <v>1074414.090096279</v>
      </c>
      <c r="H316" s="283">
        <f t="shared" si="192"/>
        <v>1068968.9688046216</v>
      </c>
      <c r="I316" s="283">
        <f t="shared" si="192"/>
        <v>1052652.7817703276</v>
      </c>
      <c r="J316" s="283">
        <f t="shared" si="192"/>
        <v>1036336.5947360341</v>
      </c>
      <c r="K316" s="283">
        <f t="shared" si="192"/>
        <v>1020020.4077017403</v>
      </c>
      <c r="L316" s="283">
        <f t="shared" si="192"/>
        <v>1003704.2206674465</v>
      </c>
      <c r="M316" s="283">
        <f t="shared" si="192"/>
        <v>987388.03363315284</v>
      </c>
      <c r="N316" s="283">
        <f t="shared" si="192"/>
        <v>964516.82865936705</v>
      </c>
      <c r="O316" s="283">
        <f t="shared" si="192"/>
        <v>941645.62368558126</v>
      </c>
      <c r="P316" s="283">
        <f t="shared" si="192"/>
        <v>918628.79849789012</v>
      </c>
      <c r="Q316" s="283">
        <f t="shared" si="192"/>
        <v>895611.05112284713</v>
      </c>
      <c r="R316" s="283">
        <f t="shared" si="192"/>
        <v>872592.38156045205</v>
      </c>
      <c r="S316" s="283">
        <f t="shared" si="192"/>
        <v>852235.86464275094</v>
      </c>
      <c r="T316" s="283">
        <f t="shared" si="192"/>
        <v>831878.42553769785</v>
      </c>
      <c r="U316" s="283">
        <f t="shared" si="192"/>
        <v>811520.06424529268</v>
      </c>
      <c r="V316" s="283">
        <f t="shared" si="192"/>
        <v>791160.78076553543</v>
      </c>
      <c r="W316" s="283">
        <f t="shared" si="192"/>
        <v>770800.57509842631</v>
      </c>
      <c r="X316" s="283">
        <f t="shared" si="192"/>
        <v>750243.63706811354</v>
      </c>
      <c r="Y316" s="283">
        <f t="shared" si="192"/>
        <v>729685.7768504488</v>
      </c>
      <c r="Z316" s="283">
        <f t="shared" si="192"/>
        <v>708774.84695852757</v>
      </c>
      <c r="AA316" s="283">
        <f t="shared" si="192"/>
        <v>687857.00066146615</v>
      </c>
      <c r="AB316" s="283">
        <f t="shared" si="192"/>
        <v>666932.23795926431</v>
      </c>
      <c r="AC316" s="283">
        <f t="shared" si="192"/>
        <v>644628.25016558659</v>
      </c>
      <c r="AD316" s="283">
        <f t="shared" si="192"/>
        <v>622317.34596676845</v>
      </c>
      <c r="AE316" s="283">
        <f t="shared" si="192"/>
        <v>599999.52536281012</v>
      </c>
      <c r="AF316" s="283">
        <f t="shared" si="192"/>
        <v>577674.78835371125</v>
      </c>
      <c r="AG316" s="283">
        <f t="shared" si="192"/>
        <v>555343.13493947219</v>
      </c>
      <c r="AI316" s="284"/>
      <c r="AJ316" s="285"/>
    </row>
    <row r="317" spans="1:36" s="55" customFormat="1">
      <c r="A317" s="286" t="s">
        <v>173</v>
      </c>
      <c r="B317" s="287" t="s">
        <v>127</v>
      </c>
      <c r="C317" s="288">
        <f>C316-C306</f>
        <v>0</v>
      </c>
      <c r="D317" s="288">
        <f t="shared" ref="D317:AG317" si="193">D316-D306</f>
        <v>-4290.2397629818879</v>
      </c>
      <c r="E317" s="288">
        <f t="shared" si="193"/>
        <v>-10890.242583314888</v>
      </c>
      <c r="F317" s="288">
        <f t="shared" si="193"/>
        <v>-16335.363874972332</v>
      </c>
      <c r="G317" s="288">
        <f t="shared" si="193"/>
        <v>-21780.485166629776</v>
      </c>
      <c r="H317" s="288">
        <f t="shared" si="193"/>
        <v>-27225.60645828722</v>
      </c>
      <c r="I317" s="288">
        <f t="shared" si="193"/>
        <v>-43541.79349258123</v>
      </c>
      <c r="J317" s="288">
        <f t="shared" si="193"/>
        <v>-59857.980526874773</v>
      </c>
      <c r="K317" s="288">
        <f t="shared" si="193"/>
        <v>-76174.16756116855</v>
      </c>
      <c r="L317" s="288">
        <f t="shared" si="193"/>
        <v>-92490.354595462326</v>
      </c>
      <c r="M317" s="288">
        <f t="shared" si="193"/>
        <v>-108806.54162975599</v>
      </c>
      <c r="N317" s="288">
        <f t="shared" si="193"/>
        <v>-131677.74660354177</v>
      </c>
      <c r="O317" s="288">
        <f t="shared" si="193"/>
        <v>-154548.95157732756</v>
      </c>
      <c r="P317" s="288">
        <f t="shared" si="193"/>
        <v>-177565.7767650187</v>
      </c>
      <c r="Q317" s="288">
        <f t="shared" si="193"/>
        <v>-200583.52414006169</v>
      </c>
      <c r="R317" s="288">
        <f t="shared" si="193"/>
        <v>-223602.19370245677</v>
      </c>
      <c r="S317" s="288">
        <f t="shared" si="193"/>
        <v>-243958.71062015789</v>
      </c>
      <c r="T317" s="288">
        <f t="shared" si="193"/>
        <v>-264316.14972521097</v>
      </c>
      <c r="U317" s="288">
        <f t="shared" si="193"/>
        <v>-284674.51101761614</v>
      </c>
      <c r="V317" s="288">
        <f t="shared" si="193"/>
        <v>-305033.7944973734</v>
      </c>
      <c r="W317" s="288">
        <f t="shared" si="193"/>
        <v>-325394.00016448251</v>
      </c>
      <c r="X317" s="288">
        <f t="shared" si="193"/>
        <v>-345950.93819479528</v>
      </c>
      <c r="Y317" s="288">
        <f t="shared" si="193"/>
        <v>-366508.79841246002</v>
      </c>
      <c r="Z317" s="288">
        <f t="shared" si="193"/>
        <v>-387419.72830438125</v>
      </c>
      <c r="AA317" s="288">
        <f t="shared" si="193"/>
        <v>-408337.57460144267</v>
      </c>
      <c r="AB317" s="288">
        <f t="shared" si="193"/>
        <v>-429262.33730364451</v>
      </c>
      <c r="AC317" s="288">
        <f t="shared" si="193"/>
        <v>-451566.32509732223</v>
      </c>
      <c r="AD317" s="288">
        <f t="shared" si="193"/>
        <v>-473877.22929614037</v>
      </c>
      <c r="AE317" s="288">
        <f t="shared" si="193"/>
        <v>-496195.0499000987</v>
      </c>
      <c r="AF317" s="288">
        <f t="shared" si="193"/>
        <v>-518519.78690919757</v>
      </c>
      <c r="AG317" s="288">
        <f t="shared" si="193"/>
        <v>-540851.44032343663</v>
      </c>
      <c r="AI317" s="284"/>
      <c r="AJ317" s="285"/>
    </row>
    <row r="318" spans="1:36">
      <c r="A318" s="289" t="s">
        <v>696</v>
      </c>
      <c r="B318" s="281" t="s">
        <v>127</v>
      </c>
      <c r="C318" s="234">
        <f>C274</f>
        <v>102113.18489319331</v>
      </c>
      <c r="D318" s="234">
        <f t="shared" ref="D318:AG318" si="194">D274</f>
        <v>104019.78169196579</v>
      </c>
      <c r="E318" s="234">
        <f t="shared" si="194"/>
        <v>107723.85741203249</v>
      </c>
      <c r="F318" s="234">
        <f t="shared" si="194"/>
        <v>111608.39116758168</v>
      </c>
      <c r="G318" s="234">
        <f t="shared" si="194"/>
        <v>115464.11045163577</v>
      </c>
      <c r="H318" s="234">
        <f t="shared" si="194"/>
        <v>119295.09578323126</v>
      </c>
      <c r="I318" s="234">
        <f t="shared" si="194"/>
        <v>122695.19978071147</v>
      </c>
      <c r="J318" s="234">
        <f t="shared" si="194"/>
        <v>125989.91631958704</v>
      </c>
      <c r="K318" s="234">
        <f t="shared" si="194"/>
        <v>129175.00041668498</v>
      </c>
      <c r="L318" s="234">
        <f t="shared" si="194"/>
        <v>132245.90828970668</v>
      </c>
      <c r="M318" s="234">
        <f t="shared" si="194"/>
        <v>135197.79735722768</v>
      </c>
      <c r="N318" s="234">
        <f t="shared" si="194"/>
        <v>141130.54533054438</v>
      </c>
      <c r="O318" s="234">
        <f t="shared" si="194"/>
        <v>146641.45307181377</v>
      </c>
      <c r="P318" s="234">
        <f t="shared" si="194"/>
        <v>151711.80730912241</v>
      </c>
      <c r="Q318" s="234">
        <f t="shared" si="194"/>
        <v>156346.05697868025</v>
      </c>
      <c r="R318" s="234">
        <f t="shared" si="194"/>
        <v>160537.63561110396</v>
      </c>
      <c r="S318" s="234">
        <f t="shared" si="194"/>
        <v>164565.30936281875</v>
      </c>
      <c r="T318" s="234">
        <f t="shared" si="194"/>
        <v>168196.81146363969</v>
      </c>
      <c r="U318" s="234">
        <f t="shared" si="194"/>
        <v>171429.42885314784</v>
      </c>
      <c r="V318" s="234">
        <f t="shared" si="194"/>
        <v>174260.0027217739</v>
      </c>
      <c r="W318" s="234">
        <f t="shared" si="194"/>
        <v>176684.92851079843</v>
      </c>
      <c r="X318" s="234">
        <f t="shared" si="194"/>
        <v>183390.27472899144</v>
      </c>
      <c r="Y318" s="234">
        <f t="shared" si="194"/>
        <v>189402.83936979968</v>
      </c>
      <c r="Z318" s="234">
        <f t="shared" si="194"/>
        <v>194632.9787768205</v>
      </c>
      <c r="AA318" s="234">
        <f t="shared" si="194"/>
        <v>199140.82063905144</v>
      </c>
      <c r="AB318" s="234">
        <f t="shared" si="194"/>
        <v>202917.93546475976</v>
      </c>
      <c r="AC318" s="234">
        <f t="shared" si="194"/>
        <v>205563.85988569597</v>
      </c>
      <c r="AD318" s="234">
        <f t="shared" si="194"/>
        <v>207388.92083918001</v>
      </c>
      <c r="AE318" s="234">
        <f t="shared" si="194"/>
        <v>208376.896620757</v>
      </c>
      <c r="AF318" s="234">
        <f t="shared" si="194"/>
        <v>208510.650580349</v>
      </c>
      <c r="AG318" s="234">
        <f t="shared" si="194"/>
        <v>207772.13112225514</v>
      </c>
      <c r="AI318" s="275"/>
    </row>
    <row r="319" spans="1:36" s="63" customFormat="1">
      <c r="A319" s="290" t="s">
        <v>705</v>
      </c>
      <c r="B319" s="291" t="s">
        <v>127</v>
      </c>
      <c r="C319" s="292">
        <f>C316-C318</f>
        <v>994081.39036971552</v>
      </c>
      <c r="D319" s="292">
        <f t="shared" ref="D319:AG319" si="195">D316-D318</f>
        <v>987884.55380796117</v>
      </c>
      <c r="E319" s="292">
        <f t="shared" si="195"/>
        <v>977580.47526756139</v>
      </c>
      <c r="F319" s="292">
        <f t="shared" si="195"/>
        <v>968250.82022035483</v>
      </c>
      <c r="G319" s="292">
        <f t="shared" si="195"/>
        <v>958949.97964464326</v>
      </c>
      <c r="H319" s="292">
        <f t="shared" si="195"/>
        <v>949673.87302139029</v>
      </c>
      <c r="I319" s="292">
        <f t="shared" si="195"/>
        <v>929957.58198961616</v>
      </c>
      <c r="J319" s="292">
        <f t="shared" si="195"/>
        <v>910346.67841644702</v>
      </c>
      <c r="K319" s="292">
        <f t="shared" si="195"/>
        <v>890845.40728505526</v>
      </c>
      <c r="L319" s="292">
        <f t="shared" si="195"/>
        <v>871458.31237773981</v>
      </c>
      <c r="M319" s="292">
        <f t="shared" si="195"/>
        <v>852190.23627592518</v>
      </c>
      <c r="N319" s="292">
        <f t="shared" si="195"/>
        <v>823386.2833288227</v>
      </c>
      <c r="O319" s="292">
        <f t="shared" si="195"/>
        <v>795004.17061376746</v>
      </c>
      <c r="P319" s="292">
        <f t="shared" si="195"/>
        <v>766916.99118876772</v>
      </c>
      <c r="Q319" s="292">
        <f t="shared" si="195"/>
        <v>739264.99414416682</v>
      </c>
      <c r="R319" s="292">
        <f t="shared" si="195"/>
        <v>712054.74594934809</v>
      </c>
      <c r="S319" s="292">
        <f t="shared" si="195"/>
        <v>687670.55527993222</v>
      </c>
      <c r="T319" s="292">
        <f t="shared" si="195"/>
        <v>663681.61407405813</v>
      </c>
      <c r="U319" s="292">
        <f t="shared" si="195"/>
        <v>640090.63539214479</v>
      </c>
      <c r="V319" s="292">
        <f t="shared" si="195"/>
        <v>616900.7780437615</v>
      </c>
      <c r="W319" s="292">
        <f t="shared" si="195"/>
        <v>594115.64658762794</v>
      </c>
      <c r="X319" s="292">
        <f t="shared" si="195"/>
        <v>566853.3623391221</v>
      </c>
      <c r="Y319" s="292">
        <f t="shared" si="195"/>
        <v>540282.9374806491</v>
      </c>
      <c r="Z319" s="292">
        <f t="shared" si="195"/>
        <v>514141.8681817071</v>
      </c>
      <c r="AA319" s="292">
        <f t="shared" si="195"/>
        <v>488716.18002241472</v>
      </c>
      <c r="AB319" s="292">
        <f t="shared" si="195"/>
        <v>464014.30249450455</v>
      </c>
      <c r="AC319" s="292">
        <f t="shared" si="195"/>
        <v>439064.39027989062</v>
      </c>
      <c r="AD319" s="292">
        <f t="shared" si="195"/>
        <v>414928.42512758845</v>
      </c>
      <c r="AE319" s="292">
        <f t="shared" si="195"/>
        <v>391622.62874205312</v>
      </c>
      <c r="AF319" s="292">
        <f t="shared" si="195"/>
        <v>369164.13777336222</v>
      </c>
      <c r="AG319" s="292">
        <f t="shared" si="195"/>
        <v>347571.00381721708</v>
      </c>
      <c r="AI319" s="293"/>
      <c r="AJ319" s="294"/>
    </row>
    <row r="320" spans="1:36" s="55" customFormat="1" outlineLevel="1">
      <c r="A320" s="286" t="s">
        <v>732</v>
      </c>
      <c r="B320" s="287" t="s">
        <v>126</v>
      </c>
      <c r="C320" s="288">
        <f>C316*C286</f>
        <v>920803.44322084333</v>
      </c>
      <c r="D320" s="288">
        <f t="shared" ref="D320:AG320" si="196">D316*D286</f>
        <v>921567.25916193833</v>
      </c>
      <c r="E320" s="288">
        <f t="shared" si="196"/>
        <v>920338.07411229564</v>
      </c>
      <c r="F320" s="288">
        <f t="shared" si="196"/>
        <v>920040.04810252192</v>
      </c>
      <c r="G320" s="288">
        <f t="shared" si="196"/>
        <v>919698.4611224148</v>
      </c>
      <c r="H320" s="288">
        <f t="shared" si="196"/>
        <v>919313.31317197462</v>
      </c>
      <c r="I320" s="288">
        <f t="shared" si="196"/>
        <v>909492.00344956305</v>
      </c>
      <c r="J320" s="288">
        <f t="shared" si="196"/>
        <v>899540.16423087753</v>
      </c>
      <c r="K320" s="288">
        <f t="shared" si="196"/>
        <v>889457.79551591747</v>
      </c>
      <c r="L320" s="288">
        <f t="shared" si="196"/>
        <v>879244.89730468311</v>
      </c>
      <c r="M320" s="288">
        <f t="shared" si="196"/>
        <v>868901.46959717455</v>
      </c>
      <c r="N320" s="288">
        <f t="shared" si="196"/>
        <v>852632.87653488049</v>
      </c>
      <c r="O320" s="288">
        <f t="shared" si="196"/>
        <v>836181.31383279618</v>
      </c>
      <c r="P320" s="288">
        <f t="shared" si="196"/>
        <v>819416.88826011796</v>
      </c>
      <c r="Q320" s="288">
        <f t="shared" si="196"/>
        <v>802467.50180607103</v>
      </c>
      <c r="R320" s="288">
        <f t="shared" si="196"/>
        <v>785333.14340440684</v>
      </c>
      <c r="S320" s="288">
        <f t="shared" si="196"/>
        <v>770421.2216370469</v>
      </c>
      <c r="T320" s="288">
        <f t="shared" si="196"/>
        <v>755345.61038822972</v>
      </c>
      <c r="U320" s="288">
        <f t="shared" si="196"/>
        <v>740106.2985917069</v>
      </c>
      <c r="V320" s="288">
        <f t="shared" si="196"/>
        <v>724703.27518123051</v>
      </c>
      <c r="W320" s="288">
        <f t="shared" si="196"/>
        <v>709136.52909055224</v>
      </c>
      <c r="X320" s="288">
        <f t="shared" si="196"/>
        <v>693225.12065093697</v>
      </c>
      <c r="Y320" s="288">
        <f t="shared" si="196"/>
        <v>677148.40091721655</v>
      </c>
      <c r="Z320" s="288">
        <f t="shared" si="196"/>
        <v>660578.15736534772</v>
      </c>
      <c r="AA320" s="288">
        <f t="shared" si="196"/>
        <v>643834.15261913231</v>
      </c>
      <c r="AB320" s="288">
        <f t="shared" si="196"/>
        <v>626916.30368170852</v>
      </c>
      <c r="AC320" s="288">
        <f t="shared" si="196"/>
        <v>608529.06815631373</v>
      </c>
      <c r="AD320" s="288">
        <f t="shared" si="196"/>
        <v>589956.84397649649</v>
      </c>
      <c r="AE320" s="288">
        <f t="shared" si="196"/>
        <v>571199.54814539524</v>
      </c>
      <c r="AF320" s="288">
        <f t="shared" si="196"/>
        <v>552257.09766614798</v>
      </c>
      <c r="AG320" s="288">
        <f t="shared" si="196"/>
        <v>533129.40954189328</v>
      </c>
      <c r="AI320" s="284"/>
      <c r="AJ320" s="316" t="s">
        <v>1624</v>
      </c>
    </row>
    <row r="321" spans="1:36" s="55" customFormat="1" outlineLevel="1">
      <c r="A321" s="286" t="s">
        <v>743</v>
      </c>
      <c r="B321" s="287" t="s">
        <v>126</v>
      </c>
      <c r="C321" s="288">
        <f>C320*C287</f>
        <v>202576.75750858552</v>
      </c>
      <c r="D321" s="288">
        <f t="shared" ref="D321:AG321" si="197">D320*D287</f>
        <v>208888.57874337267</v>
      </c>
      <c r="E321" s="288">
        <f t="shared" si="197"/>
        <v>214745.55062620228</v>
      </c>
      <c r="F321" s="288">
        <f t="shared" si="197"/>
        <v>220809.61154460523</v>
      </c>
      <c r="G321" s="288">
        <f t="shared" si="197"/>
        <v>226858.95374352892</v>
      </c>
      <c r="H321" s="288">
        <f t="shared" si="197"/>
        <v>232892.70600356688</v>
      </c>
      <c r="I321" s="288">
        <f t="shared" si="197"/>
        <v>236467.92089688635</v>
      </c>
      <c r="J321" s="288">
        <f t="shared" si="197"/>
        <v>239877.37712823396</v>
      </c>
      <c r="K321" s="288">
        <f t="shared" si="197"/>
        <v>243118.46410768403</v>
      </c>
      <c r="L321" s="288">
        <f t="shared" si="197"/>
        <v>246188.57124531121</v>
      </c>
      <c r="M321" s="288">
        <f t="shared" si="197"/>
        <v>249085.08795118995</v>
      </c>
      <c r="N321" s="288">
        <f t="shared" si="197"/>
        <v>250105.64378356485</v>
      </c>
      <c r="O321" s="288">
        <f t="shared" si="197"/>
        <v>250854.39414983874</v>
      </c>
      <c r="P321" s="288">
        <f t="shared" si="197"/>
        <v>251287.84573310273</v>
      </c>
      <c r="Q321" s="288">
        <f t="shared" si="197"/>
        <v>251439.81723256881</v>
      </c>
      <c r="R321" s="288">
        <f t="shared" si="197"/>
        <v>251306.60588941007</v>
      </c>
      <c r="S321" s="288">
        <f t="shared" si="197"/>
        <v>251670.93240143519</v>
      </c>
      <c r="T321" s="288">
        <f t="shared" si="197"/>
        <v>251781.87012940977</v>
      </c>
      <c r="U321" s="288">
        <f t="shared" si="197"/>
        <v>251636.14152118019</v>
      </c>
      <c r="V321" s="288">
        <f t="shared" si="197"/>
        <v>251230.46872949309</v>
      </c>
      <c r="W321" s="288">
        <f t="shared" si="197"/>
        <v>250561.57361199497</v>
      </c>
      <c r="X321" s="288">
        <f t="shared" si="197"/>
        <v>249561.04343433713</v>
      </c>
      <c r="Y321" s="288">
        <f t="shared" si="197"/>
        <v>248287.74700297925</v>
      </c>
      <c r="Z321" s="288">
        <f t="shared" si="197"/>
        <v>246615.8454163963</v>
      </c>
      <c r="AA321" s="288">
        <f t="shared" si="197"/>
        <v>244656.97799527011</v>
      </c>
      <c r="AB321" s="288">
        <f t="shared" si="197"/>
        <v>242407.63742359378</v>
      </c>
      <c r="AC321" s="288">
        <f t="shared" si="197"/>
        <v>239354.7668081499</v>
      </c>
      <c r="AD321" s="288">
        <f t="shared" si="197"/>
        <v>235982.73759059841</v>
      </c>
      <c r="AE321" s="288">
        <f t="shared" si="197"/>
        <v>232287.81624579389</v>
      </c>
      <c r="AF321" s="288">
        <f t="shared" si="197"/>
        <v>228266.26703534098</v>
      </c>
      <c r="AG321" s="288">
        <f t="shared" si="197"/>
        <v>223914.35200759518</v>
      </c>
      <c r="AI321" s="284"/>
      <c r="AJ321" s="316" t="s">
        <v>1625</v>
      </c>
    </row>
    <row r="322" spans="1:36" s="59" customFormat="1" outlineLevel="1">
      <c r="A322" s="290" t="s">
        <v>744</v>
      </c>
      <c r="B322" s="291" t="s">
        <v>126</v>
      </c>
      <c r="C322" s="292">
        <f>C320*C288</f>
        <v>718226.68571225787</v>
      </c>
      <c r="D322" s="292">
        <f t="shared" ref="D322:AG322" si="198">D320*D288</f>
        <v>712678.68041856564</v>
      </c>
      <c r="E322" s="292">
        <f t="shared" si="198"/>
        <v>705592.52348609339</v>
      </c>
      <c r="F322" s="292">
        <f t="shared" si="198"/>
        <v>699230.43655791669</v>
      </c>
      <c r="G322" s="292">
        <f t="shared" si="198"/>
        <v>692839.50737888587</v>
      </c>
      <c r="H322" s="292">
        <f t="shared" si="198"/>
        <v>686420.60716840776</v>
      </c>
      <c r="I322" s="292">
        <f t="shared" si="198"/>
        <v>673024.08255267667</v>
      </c>
      <c r="J322" s="292">
        <f t="shared" si="198"/>
        <v>659662.78710264363</v>
      </c>
      <c r="K322" s="292">
        <f t="shared" si="198"/>
        <v>646339.3314082335</v>
      </c>
      <c r="L322" s="292">
        <f t="shared" si="198"/>
        <v>633056.32605937193</v>
      </c>
      <c r="M322" s="292">
        <f t="shared" si="198"/>
        <v>619816.3816459846</v>
      </c>
      <c r="N322" s="292">
        <f t="shared" si="198"/>
        <v>602527.23275131569</v>
      </c>
      <c r="O322" s="292">
        <f t="shared" si="198"/>
        <v>585326.91968295746</v>
      </c>
      <c r="P322" s="292">
        <f t="shared" si="198"/>
        <v>568129.0425270152</v>
      </c>
      <c r="Q322" s="292">
        <f t="shared" si="198"/>
        <v>551027.68457350216</v>
      </c>
      <c r="R322" s="292">
        <f t="shared" si="198"/>
        <v>534026.53751499683</v>
      </c>
      <c r="S322" s="292">
        <f t="shared" si="198"/>
        <v>518750.28923561174</v>
      </c>
      <c r="T322" s="292">
        <f t="shared" si="198"/>
        <v>503563.74025881995</v>
      </c>
      <c r="U322" s="292">
        <f t="shared" si="198"/>
        <v>488470.15707052668</v>
      </c>
      <c r="V322" s="292">
        <f t="shared" si="198"/>
        <v>473472.80645173742</v>
      </c>
      <c r="W322" s="292">
        <f t="shared" si="198"/>
        <v>458574.95547855733</v>
      </c>
      <c r="X322" s="292">
        <f t="shared" si="198"/>
        <v>443664.07721659984</v>
      </c>
      <c r="Y322" s="292">
        <f t="shared" si="198"/>
        <v>428860.65391423728</v>
      </c>
      <c r="Z322" s="292">
        <f t="shared" si="198"/>
        <v>413962.31194895139</v>
      </c>
      <c r="AA322" s="292">
        <f t="shared" si="198"/>
        <v>399177.17462386226</v>
      </c>
      <c r="AB322" s="292">
        <f t="shared" si="198"/>
        <v>384508.66625811474</v>
      </c>
      <c r="AC322" s="292">
        <f t="shared" si="198"/>
        <v>369174.3013481638</v>
      </c>
      <c r="AD322" s="292">
        <f t="shared" si="198"/>
        <v>353974.10638589808</v>
      </c>
      <c r="AE322" s="292">
        <f t="shared" si="198"/>
        <v>338911.73189960141</v>
      </c>
      <c r="AF322" s="292">
        <f t="shared" si="198"/>
        <v>323990.83063080697</v>
      </c>
      <c r="AG322" s="292">
        <f t="shared" si="198"/>
        <v>309215.05753429816</v>
      </c>
      <c r="AI322" s="319"/>
      <c r="AJ322" s="318" t="s">
        <v>1626</v>
      </c>
    </row>
    <row r="323" spans="1:36" s="1" customFormat="1" outlineLevel="1">
      <c r="A323" t="s">
        <v>725</v>
      </c>
      <c r="B323" s="281" t="s">
        <v>127</v>
      </c>
      <c r="C323" s="234">
        <f>C289*C320</f>
        <v>782682.92673771677</v>
      </c>
      <c r="D323" s="234">
        <f t="shared" ref="D323:AG323" si="199">D289*D320</f>
        <v>781796.22485571099</v>
      </c>
      <c r="E323" s="234">
        <f t="shared" si="199"/>
        <v>779219.56941507687</v>
      </c>
      <c r="F323" s="234">
        <f t="shared" si="199"/>
        <v>777433.84064663085</v>
      </c>
      <c r="G323" s="234">
        <f t="shared" si="199"/>
        <v>775612.36887990299</v>
      </c>
      <c r="H323" s="234">
        <f t="shared" si="199"/>
        <v>773755.37191974511</v>
      </c>
      <c r="I323" s="234">
        <f t="shared" si="199"/>
        <v>763973.28289763269</v>
      </c>
      <c r="J323" s="234">
        <f t="shared" si="199"/>
        <v>754114.50434688537</v>
      </c>
      <c r="K323" s="234">
        <f t="shared" si="199"/>
        <v>744179.688914984</v>
      </c>
      <c r="L323" s="234">
        <f t="shared" si="199"/>
        <v>734169.48924941011</v>
      </c>
      <c r="M323" s="234">
        <f t="shared" si="199"/>
        <v>724084.55799764511</v>
      </c>
      <c r="N323" s="234">
        <f t="shared" si="199"/>
        <v>709106.34231817524</v>
      </c>
      <c r="O323" s="234">
        <f t="shared" si="199"/>
        <v>694030.49048122042</v>
      </c>
      <c r="P323" s="234">
        <f t="shared" si="199"/>
        <v>678750.32244213065</v>
      </c>
      <c r="Q323" s="234">
        <f t="shared" si="199"/>
        <v>663373.13482635166</v>
      </c>
      <c r="R323" s="234">
        <f t="shared" si="199"/>
        <v>647899.84330863517</v>
      </c>
      <c r="S323" s="234">
        <f t="shared" si="199"/>
        <v>634313.47248116811</v>
      </c>
      <c r="T323" s="234">
        <f t="shared" si="199"/>
        <v>620642.30986899487</v>
      </c>
      <c r="U323" s="234">
        <f t="shared" si="199"/>
        <v>606887.16484519909</v>
      </c>
      <c r="V323" s="234">
        <f t="shared" si="199"/>
        <v>593048.84685663972</v>
      </c>
      <c r="W323" s="234">
        <f t="shared" si="199"/>
        <v>579128.16542395041</v>
      </c>
      <c r="X323" s="234">
        <f t="shared" si="199"/>
        <v>564978.47333051311</v>
      </c>
      <c r="Y323" s="234">
        <f t="shared" si="199"/>
        <v>550747.36607933557</v>
      </c>
      <c r="Z323" s="234">
        <f t="shared" si="199"/>
        <v>536169.27106154</v>
      </c>
      <c r="AA323" s="234">
        <f t="shared" si="199"/>
        <v>521505.66362149658</v>
      </c>
      <c r="AB323" s="234">
        <f t="shared" si="199"/>
        <v>506757.34547604708</v>
      </c>
      <c r="AC323" s="234">
        <f t="shared" si="199"/>
        <v>490880.11497942579</v>
      </c>
      <c r="AD323" s="234">
        <f t="shared" si="199"/>
        <v>474915.25940107903</v>
      </c>
      <c r="AE323" s="234">
        <f t="shared" si="199"/>
        <v>458863.63701013353</v>
      </c>
      <c r="AF323" s="234">
        <f t="shared" si="199"/>
        <v>442726.10662902799</v>
      </c>
      <c r="AG323" s="234">
        <f t="shared" si="199"/>
        <v>426503.52763351466</v>
      </c>
      <c r="AI323" s="295"/>
      <c r="AJ323" s="198" t="s">
        <v>1627</v>
      </c>
    </row>
    <row r="324" spans="1:36" s="1" customFormat="1" outlineLevel="1">
      <c r="A324" t="s">
        <v>731</v>
      </c>
      <c r="B324" s="281" t="s">
        <v>127</v>
      </c>
      <c r="C324" s="234">
        <f>C290*C320</f>
        <v>138120.5164831265</v>
      </c>
      <c r="D324" s="234">
        <f t="shared" ref="D324:AG324" si="200">D290*D320</f>
        <v>139771.03430622732</v>
      </c>
      <c r="E324" s="234">
        <f t="shared" si="200"/>
        <v>141118.50469721868</v>
      </c>
      <c r="F324" s="234">
        <f t="shared" si="200"/>
        <v>142606.20745589092</v>
      </c>
      <c r="G324" s="234">
        <f t="shared" si="200"/>
        <v>144086.09224251169</v>
      </c>
      <c r="H324" s="234">
        <f t="shared" si="200"/>
        <v>145557.94125222936</v>
      </c>
      <c r="I324" s="234">
        <f t="shared" si="200"/>
        <v>145518.72055193014</v>
      </c>
      <c r="J324" s="234">
        <f t="shared" si="200"/>
        <v>145425.65988399193</v>
      </c>
      <c r="K324" s="234">
        <f t="shared" si="200"/>
        <v>145278.10660093327</v>
      </c>
      <c r="L324" s="234">
        <f t="shared" si="200"/>
        <v>145075.4080552728</v>
      </c>
      <c r="M324" s="234">
        <f t="shared" si="200"/>
        <v>144816.91159952918</v>
      </c>
      <c r="N324" s="234">
        <f t="shared" si="200"/>
        <v>143526.53421670498</v>
      </c>
      <c r="O324" s="234">
        <f t="shared" si="200"/>
        <v>142150.82335157544</v>
      </c>
      <c r="P324" s="234">
        <f t="shared" si="200"/>
        <v>140666.56581798702</v>
      </c>
      <c r="Q324" s="234">
        <f t="shared" si="200"/>
        <v>139094.36697971908</v>
      </c>
      <c r="R324" s="234">
        <f t="shared" si="200"/>
        <v>137433.30009577132</v>
      </c>
      <c r="S324" s="234">
        <f t="shared" si="200"/>
        <v>136107.74915587841</v>
      </c>
      <c r="T324" s="234">
        <f t="shared" si="200"/>
        <v>134703.30051923444</v>
      </c>
      <c r="U324" s="234">
        <f t="shared" si="200"/>
        <v>133219.13374650737</v>
      </c>
      <c r="V324" s="234">
        <f t="shared" si="200"/>
        <v>131654.42832459035</v>
      </c>
      <c r="W324" s="234">
        <f t="shared" si="200"/>
        <v>130008.36366660139</v>
      </c>
      <c r="X324" s="234">
        <f t="shared" si="200"/>
        <v>128246.64732042349</v>
      </c>
      <c r="Y324" s="234">
        <f t="shared" si="200"/>
        <v>126401.03483788058</v>
      </c>
      <c r="Z324" s="234">
        <f t="shared" si="200"/>
        <v>124408.88630380732</v>
      </c>
      <c r="AA324" s="234">
        <f t="shared" si="200"/>
        <v>122328.4889976353</v>
      </c>
      <c r="AB324" s="234">
        <f t="shared" si="200"/>
        <v>120158.95820566097</v>
      </c>
      <c r="AC324" s="234">
        <f t="shared" si="200"/>
        <v>117648.95317688749</v>
      </c>
      <c r="AD324" s="234">
        <f t="shared" si="200"/>
        <v>115041.58457541699</v>
      </c>
      <c r="AE324" s="234">
        <f t="shared" si="200"/>
        <v>112335.91113526124</v>
      </c>
      <c r="AF324" s="234">
        <f t="shared" si="200"/>
        <v>109530.99103711951</v>
      </c>
      <c r="AG324" s="234">
        <f t="shared" si="200"/>
        <v>106625.88190837867</v>
      </c>
      <c r="AI324" s="295"/>
      <c r="AJ324" s="198" t="s">
        <v>1628</v>
      </c>
    </row>
    <row r="325" spans="1:36" s="1" customFormat="1" outlineLevel="1">
      <c r="A325" t="s">
        <v>726</v>
      </c>
      <c r="B325" s="281" t="s">
        <v>127</v>
      </c>
      <c r="C325" s="234">
        <f>C323*C291</f>
        <v>117402.43901065752</v>
      </c>
      <c r="D325" s="234">
        <f t="shared" ref="D325:AG325" si="201">D323*D291</f>
        <v>122220.80981910948</v>
      </c>
      <c r="E325" s="234">
        <f t="shared" si="201"/>
        <v>126753.04995818583</v>
      </c>
      <c r="F325" s="234">
        <f t="shared" si="201"/>
        <v>131386.31906928061</v>
      </c>
      <c r="G325" s="234">
        <f t="shared" si="201"/>
        <v>135990.70201027632</v>
      </c>
      <c r="H325" s="234">
        <f t="shared" si="201"/>
        <v>140565.55923208702</v>
      </c>
      <c r="I325" s="234">
        <f t="shared" si="201"/>
        <v>143626.97718475491</v>
      </c>
      <c r="J325" s="234">
        <f t="shared" si="201"/>
        <v>146549.5853447447</v>
      </c>
      <c r="K325" s="234">
        <f t="shared" si="201"/>
        <v>149332.05757560677</v>
      </c>
      <c r="L325" s="234">
        <f t="shared" si="201"/>
        <v>151973.08427462785</v>
      </c>
      <c r="M325" s="234">
        <f t="shared" si="201"/>
        <v>154471.37237283093</v>
      </c>
      <c r="N325" s="234">
        <f t="shared" si="201"/>
        <v>155767.02652922578</v>
      </c>
      <c r="O325" s="234">
        <f t="shared" si="201"/>
        <v>156850.89084875578</v>
      </c>
      <c r="P325" s="234">
        <f t="shared" si="201"/>
        <v>157696.32491405497</v>
      </c>
      <c r="Q325" s="234">
        <f t="shared" si="201"/>
        <v>158325.05484522256</v>
      </c>
      <c r="R325" s="234">
        <f t="shared" si="201"/>
        <v>158735.46161061557</v>
      </c>
      <c r="S325" s="234">
        <f t="shared" si="201"/>
        <v>159424.11941693356</v>
      </c>
      <c r="T325" s="234">
        <f t="shared" si="201"/>
        <v>159918.83517624435</v>
      </c>
      <c r="U325" s="234">
        <f t="shared" si="201"/>
        <v>160218.21151913257</v>
      </c>
      <c r="V325" s="234">
        <f t="shared" si="201"/>
        <v>160320.87160024495</v>
      </c>
      <c r="W325" s="234">
        <f t="shared" si="201"/>
        <v>160225.45910062632</v>
      </c>
      <c r="X325" s="234">
        <f t="shared" si="201"/>
        <v>159888.90795253526</v>
      </c>
      <c r="Y325" s="234">
        <f t="shared" si="201"/>
        <v>159349.57125228783</v>
      </c>
      <c r="Z325" s="234">
        <f t="shared" si="201"/>
        <v>158527.38114386206</v>
      </c>
      <c r="AA325" s="234">
        <f t="shared" si="201"/>
        <v>157494.71041369205</v>
      </c>
      <c r="AB325" s="234">
        <f t="shared" si="201"/>
        <v>156250.18152178128</v>
      </c>
      <c r="AC325" s="234">
        <f t="shared" si="201"/>
        <v>154463.60951352608</v>
      </c>
      <c r="AD325" s="234">
        <f t="shared" si="201"/>
        <v>152447.79826774649</v>
      </c>
      <c r="AE325" s="234">
        <f t="shared" si="201"/>
        <v>150201.36384798383</v>
      </c>
      <c r="AF325" s="234">
        <f t="shared" si="201"/>
        <v>147722.94424521911</v>
      </c>
      <c r="AG325" s="234">
        <f t="shared" si="201"/>
        <v>145011.199395395</v>
      </c>
      <c r="AI325" s="295"/>
      <c r="AJ325" s="198" t="s">
        <v>1629</v>
      </c>
    </row>
    <row r="326" spans="1:36" s="1" customFormat="1" outlineLevel="1">
      <c r="A326" t="s">
        <v>727</v>
      </c>
      <c r="B326" s="281" t="s">
        <v>127</v>
      </c>
      <c r="C326" s="234">
        <f>C323*C292</f>
        <v>665280.48772705928</v>
      </c>
      <c r="D326" s="234">
        <f t="shared" ref="D326:AG326" si="202">D323*D292</f>
        <v>659575.41503660148</v>
      </c>
      <c r="E326" s="234">
        <f t="shared" si="202"/>
        <v>652466.51945689111</v>
      </c>
      <c r="F326" s="234">
        <f t="shared" si="202"/>
        <v>646047.52157735033</v>
      </c>
      <c r="G326" s="234">
        <f t="shared" si="202"/>
        <v>639621.66686962673</v>
      </c>
      <c r="H326" s="234">
        <f t="shared" si="202"/>
        <v>633189.81268765824</v>
      </c>
      <c r="I326" s="234">
        <f t="shared" si="202"/>
        <v>620346.30571287789</v>
      </c>
      <c r="J326" s="234">
        <f t="shared" si="202"/>
        <v>607564.91900214076</v>
      </c>
      <c r="K326" s="234">
        <f t="shared" si="202"/>
        <v>594847.63133937737</v>
      </c>
      <c r="L326" s="234">
        <f t="shared" si="202"/>
        <v>582196.40497478237</v>
      </c>
      <c r="M326" s="234">
        <f t="shared" si="202"/>
        <v>569613.18562481436</v>
      </c>
      <c r="N326" s="234">
        <f t="shared" si="202"/>
        <v>553339.31578894961</v>
      </c>
      <c r="O326" s="234">
        <f t="shared" si="202"/>
        <v>537179.59963246481</v>
      </c>
      <c r="P326" s="234">
        <f t="shared" si="202"/>
        <v>521053.99752807588</v>
      </c>
      <c r="Q326" s="234">
        <f t="shared" si="202"/>
        <v>505048.07998112933</v>
      </c>
      <c r="R326" s="234">
        <f t="shared" si="202"/>
        <v>489164.38169801986</v>
      </c>
      <c r="S326" s="234">
        <f t="shared" si="202"/>
        <v>474889.35306423483</v>
      </c>
      <c r="T326" s="234">
        <f t="shared" si="202"/>
        <v>460723.47469275084</v>
      </c>
      <c r="U326" s="234">
        <f t="shared" si="202"/>
        <v>446668.95332606684</v>
      </c>
      <c r="V326" s="234">
        <f t="shared" si="202"/>
        <v>432727.97525639512</v>
      </c>
      <c r="W326" s="234">
        <f t="shared" si="202"/>
        <v>418902.70632332447</v>
      </c>
      <c r="X326" s="234">
        <f t="shared" si="202"/>
        <v>405089.56537797826</v>
      </c>
      <c r="Y326" s="234">
        <f t="shared" si="202"/>
        <v>391397.7948270482</v>
      </c>
      <c r="Z326" s="234">
        <f t="shared" si="202"/>
        <v>377641.88991767837</v>
      </c>
      <c r="AA326" s="234">
        <f t="shared" si="202"/>
        <v>364010.953207805</v>
      </c>
      <c r="AB326" s="234">
        <f t="shared" si="202"/>
        <v>350507.16395426629</v>
      </c>
      <c r="AC326" s="234">
        <f t="shared" si="202"/>
        <v>336416.50546590018</v>
      </c>
      <c r="AD326" s="234">
        <f t="shared" si="202"/>
        <v>322467.46113333304</v>
      </c>
      <c r="AE326" s="234">
        <f t="shared" si="202"/>
        <v>308662.27316215023</v>
      </c>
      <c r="AF326" s="234">
        <f t="shared" si="202"/>
        <v>295003.16238380939</v>
      </c>
      <c r="AG326" s="234">
        <f t="shared" si="202"/>
        <v>281492.32823811966</v>
      </c>
      <c r="AI326" s="295"/>
      <c r="AJ326" s="198" t="s">
        <v>1630</v>
      </c>
    </row>
    <row r="327" spans="1:36" s="1" customFormat="1" outlineLevel="1">
      <c r="A327" t="s">
        <v>730</v>
      </c>
      <c r="B327" s="281" t="s">
        <v>127</v>
      </c>
      <c r="C327" s="234">
        <f>C293*C326</f>
        <v>0</v>
      </c>
      <c r="D327" s="234">
        <f t="shared" ref="D327:AG327" si="203">D293*D326</f>
        <v>0</v>
      </c>
      <c r="E327" s="234">
        <f t="shared" si="203"/>
        <v>0</v>
      </c>
      <c r="F327" s="234">
        <f t="shared" si="203"/>
        <v>0</v>
      </c>
      <c r="G327" s="234">
        <f t="shared" si="203"/>
        <v>0</v>
      </c>
      <c r="H327" s="234">
        <f t="shared" si="203"/>
        <v>0</v>
      </c>
      <c r="I327" s="234">
        <f t="shared" si="203"/>
        <v>0</v>
      </c>
      <c r="J327" s="234">
        <f t="shared" si="203"/>
        <v>0</v>
      </c>
      <c r="K327" s="234">
        <f t="shared" si="203"/>
        <v>0</v>
      </c>
      <c r="L327" s="234">
        <f t="shared" si="203"/>
        <v>0</v>
      </c>
      <c r="M327" s="234">
        <f t="shared" si="203"/>
        <v>0</v>
      </c>
      <c r="N327" s="234">
        <f t="shared" si="203"/>
        <v>0</v>
      </c>
      <c r="O327" s="234">
        <f t="shared" si="203"/>
        <v>0</v>
      </c>
      <c r="P327" s="234">
        <f t="shared" si="203"/>
        <v>0</v>
      </c>
      <c r="Q327" s="234">
        <f t="shared" si="203"/>
        <v>0</v>
      </c>
      <c r="R327" s="234">
        <f t="shared" si="203"/>
        <v>0</v>
      </c>
      <c r="S327" s="234">
        <f t="shared" si="203"/>
        <v>0</v>
      </c>
      <c r="T327" s="234">
        <f t="shared" si="203"/>
        <v>0</v>
      </c>
      <c r="U327" s="234">
        <f t="shared" si="203"/>
        <v>0</v>
      </c>
      <c r="V327" s="234">
        <f t="shared" si="203"/>
        <v>0</v>
      </c>
      <c r="W327" s="234">
        <f t="shared" si="203"/>
        <v>0</v>
      </c>
      <c r="X327" s="234">
        <f t="shared" si="203"/>
        <v>0</v>
      </c>
      <c r="Y327" s="234">
        <f t="shared" si="203"/>
        <v>0</v>
      </c>
      <c r="Z327" s="234">
        <f t="shared" si="203"/>
        <v>0</v>
      </c>
      <c r="AA327" s="234">
        <f t="shared" si="203"/>
        <v>0</v>
      </c>
      <c r="AB327" s="234">
        <f t="shared" si="203"/>
        <v>0</v>
      </c>
      <c r="AC327" s="234">
        <f t="shared" si="203"/>
        <v>0</v>
      </c>
      <c r="AD327" s="234">
        <f t="shared" si="203"/>
        <v>0</v>
      </c>
      <c r="AE327" s="234">
        <f t="shared" si="203"/>
        <v>0</v>
      </c>
      <c r="AF327" s="234">
        <f t="shared" si="203"/>
        <v>0</v>
      </c>
      <c r="AG327" s="234">
        <f t="shared" si="203"/>
        <v>0</v>
      </c>
      <c r="AI327" s="295"/>
      <c r="AJ327" s="198" t="s">
        <v>1631</v>
      </c>
    </row>
    <row r="328" spans="1:36" s="1" customFormat="1" outlineLevel="1">
      <c r="A328" t="s">
        <v>758</v>
      </c>
      <c r="B328" s="281" t="s">
        <v>127</v>
      </c>
      <c r="C328" s="234">
        <f>C294*C326</f>
        <v>665280.48772705928</v>
      </c>
      <c r="D328" s="234">
        <f t="shared" ref="D328:AG328" si="204">D294*D326</f>
        <v>659575.41503660148</v>
      </c>
      <c r="E328" s="234">
        <f t="shared" si="204"/>
        <v>652466.51945689111</v>
      </c>
      <c r="F328" s="234">
        <f t="shared" si="204"/>
        <v>646047.52157735033</v>
      </c>
      <c r="G328" s="234">
        <f t="shared" si="204"/>
        <v>639621.66686962673</v>
      </c>
      <c r="H328" s="234">
        <f t="shared" si="204"/>
        <v>633189.81268765824</v>
      </c>
      <c r="I328" s="234">
        <f t="shared" si="204"/>
        <v>620346.30571287789</v>
      </c>
      <c r="J328" s="234">
        <f t="shared" si="204"/>
        <v>607564.91900214076</v>
      </c>
      <c r="K328" s="234">
        <f t="shared" si="204"/>
        <v>594847.63133937737</v>
      </c>
      <c r="L328" s="234">
        <f t="shared" si="204"/>
        <v>582196.40497478237</v>
      </c>
      <c r="M328" s="234">
        <f t="shared" si="204"/>
        <v>569613.18562481436</v>
      </c>
      <c r="N328" s="234">
        <f t="shared" si="204"/>
        <v>553339.31578894961</v>
      </c>
      <c r="O328" s="234">
        <f t="shared" si="204"/>
        <v>537179.59963246481</v>
      </c>
      <c r="P328" s="234">
        <f t="shared" si="204"/>
        <v>521053.99752807588</v>
      </c>
      <c r="Q328" s="234">
        <f t="shared" si="204"/>
        <v>505048.07998112933</v>
      </c>
      <c r="R328" s="234">
        <f t="shared" si="204"/>
        <v>489164.38169801986</v>
      </c>
      <c r="S328" s="234">
        <f t="shared" si="204"/>
        <v>474889.35306423483</v>
      </c>
      <c r="T328" s="234">
        <f t="shared" si="204"/>
        <v>460723.47469275084</v>
      </c>
      <c r="U328" s="234">
        <f t="shared" si="204"/>
        <v>446668.95332606684</v>
      </c>
      <c r="V328" s="234">
        <f t="shared" si="204"/>
        <v>432727.97525639512</v>
      </c>
      <c r="W328" s="234">
        <f t="shared" si="204"/>
        <v>418902.70632332447</v>
      </c>
      <c r="X328" s="234">
        <f t="shared" si="204"/>
        <v>405089.56537797826</v>
      </c>
      <c r="Y328" s="234">
        <f t="shared" si="204"/>
        <v>391397.7948270482</v>
      </c>
      <c r="Z328" s="234">
        <f t="shared" si="204"/>
        <v>377641.88991767837</v>
      </c>
      <c r="AA328" s="234">
        <f t="shared" si="204"/>
        <v>364010.953207805</v>
      </c>
      <c r="AB328" s="234">
        <f t="shared" si="204"/>
        <v>350507.16395426629</v>
      </c>
      <c r="AC328" s="234">
        <f t="shared" si="204"/>
        <v>336416.50546590018</v>
      </c>
      <c r="AD328" s="234">
        <f t="shared" si="204"/>
        <v>322467.46113333304</v>
      </c>
      <c r="AE328" s="234">
        <f t="shared" si="204"/>
        <v>308662.27316215023</v>
      </c>
      <c r="AF328" s="234">
        <f t="shared" si="204"/>
        <v>295003.16238380939</v>
      </c>
      <c r="AG328" s="234">
        <f t="shared" si="204"/>
        <v>281492.32823811966</v>
      </c>
      <c r="AI328" s="295"/>
      <c r="AJ328" s="198" t="s">
        <v>1632</v>
      </c>
    </row>
    <row r="329" spans="1:36" s="1" customFormat="1" outlineLevel="1">
      <c r="A329" t="s">
        <v>728</v>
      </c>
      <c r="B329" s="281" t="s">
        <v>127</v>
      </c>
      <c r="C329" s="234">
        <f>C295*(C327+C325)</f>
        <v>93921.951208526021</v>
      </c>
      <c r="D329" s="234">
        <f t="shared" ref="D329:AG329" si="205">D295*(D327+D325)</f>
        <v>98184.050554684611</v>
      </c>
      <c r="E329" s="234">
        <f t="shared" si="205"/>
        <v>102247.46029960323</v>
      </c>
      <c r="F329" s="234">
        <f t="shared" si="205"/>
        <v>106422.91844611728</v>
      </c>
      <c r="G329" s="234">
        <f t="shared" si="205"/>
        <v>110605.77096835806</v>
      </c>
      <c r="H329" s="234">
        <f t="shared" si="205"/>
        <v>114795.20670620438</v>
      </c>
      <c r="I329" s="234">
        <f t="shared" si="205"/>
        <v>117774.121291499</v>
      </c>
      <c r="J329" s="234">
        <f t="shared" si="205"/>
        <v>120659.15860050645</v>
      </c>
      <c r="K329" s="234">
        <f t="shared" si="205"/>
        <v>123447.83426250156</v>
      </c>
      <c r="L329" s="234">
        <f t="shared" si="205"/>
        <v>126137.65994794108</v>
      </c>
      <c r="M329" s="234">
        <f t="shared" si="205"/>
        <v>128726.14364402572</v>
      </c>
      <c r="N329" s="234">
        <f t="shared" si="205"/>
        <v>130325.07886278552</v>
      </c>
      <c r="O329" s="234">
        <f t="shared" si="205"/>
        <v>131754.74831295479</v>
      </c>
      <c r="P329" s="234">
        <f t="shared" si="205"/>
        <v>132990.5673441863</v>
      </c>
      <c r="Q329" s="234">
        <f t="shared" si="205"/>
        <v>134048.54643562171</v>
      </c>
      <c r="R329" s="234">
        <f t="shared" si="205"/>
        <v>134925.14236902317</v>
      </c>
      <c r="S329" s="234">
        <f t="shared" si="205"/>
        <v>136041.91523578324</v>
      </c>
      <c r="T329" s="234">
        <f t="shared" si="205"/>
        <v>136997.13546764923</v>
      </c>
      <c r="U329" s="234">
        <f t="shared" si="205"/>
        <v>137787.66190645393</v>
      </c>
      <c r="V329" s="234">
        <f t="shared" si="205"/>
        <v>138410.35248154472</v>
      </c>
      <c r="W329" s="234">
        <f t="shared" si="205"/>
        <v>138862.06455387603</v>
      </c>
      <c r="X329" s="234">
        <f t="shared" si="205"/>
        <v>139103.34991870556</v>
      </c>
      <c r="Y329" s="234">
        <f t="shared" si="205"/>
        <v>139165.29222699793</v>
      </c>
      <c r="Z329" s="234">
        <f t="shared" si="205"/>
        <v>138975.67080278564</v>
      </c>
      <c r="AA329" s="234">
        <f t="shared" si="205"/>
        <v>138595.34516404889</v>
      </c>
      <c r="AB329" s="234">
        <f t="shared" si="205"/>
        <v>138020.99367757334</v>
      </c>
      <c r="AC329" s="234">
        <f t="shared" si="205"/>
        <v>136957.73376865967</v>
      </c>
      <c r="AD329" s="234">
        <f t="shared" si="205"/>
        <v>135678.54045829424</v>
      </c>
      <c r="AE329" s="234">
        <f t="shared" si="205"/>
        <v>134179.88503753208</v>
      </c>
      <c r="AF329" s="234">
        <f t="shared" si="205"/>
        <v>132458.24000654634</v>
      </c>
      <c r="AG329" s="234">
        <f t="shared" si="205"/>
        <v>130510.07945585551</v>
      </c>
      <c r="AH329" s="234"/>
      <c r="AI329" s="295"/>
      <c r="AJ329" s="198" t="s">
        <v>1633</v>
      </c>
    </row>
    <row r="330" spans="1:36" s="1" customFormat="1" outlineLevel="1">
      <c r="A330" t="s">
        <v>729</v>
      </c>
      <c r="B330" s="281" t="s">
        <v>127</v>
      </c>
      <c r="C330" s="234">
        <f>C296*(C327+C325)</f>
        <v>23480.487802131505</v>
      </c>
      <c r="D330" s="234">
        <f t="shared" ref="D330:AG330" si="206">D296*(D327+D325)</f>
        <v>24036.759264424865</v>
      </c>
      <c r="E330" s="234">
        <f t="shared" si="206"/>
        <v>24505.589658582598</v>
      </c>
      <c r="F330" s="234">
        <f t="shared" si="206"/>
        <v>24963.400623163321</v>
      </c>
      <c r="G330" s="234">
        <f t="shared" si="206"/>
        <v>25384.931041918251</v>
      </c>
      <c r="H330" s="234">
        <f t="shared" si="206"/>
        <v>25770.352525882627</v>
      </c>
      <c r="I330" s="234">
        <f t="shared" si="206"/>
        <v>25852.855893255892</v>
      </c>
      <c r="J330" s="234">
        <f t="shared" si="206"/>
        <v>25890.426744238237</v>
      </c>
      <c r="K330" s="234">
        <f t="shared" si="206"/>
        <v>25884.223313105183</v>
      </c>
      <c r="L330" s="234">
        <f t="shared" si="206"/>
        <v>25835.424326686745</v>
      </c>
      <c r="M330" s="234">
        <f t="shared" si="206"/>
        <v>25745.228728805167</v>
      </c>
      <c r="N330" s="234">
        <f t="shared" si="206"/>
        <v>25441.947666440225</v>
      </c>
      <c r="O330" s="234">
        <f t="shared" si="206"/>
        <v>25096.142535800936</v>
      </c>
      <c r="P330" s="234">
        <f t="shared" si="206"/>
        <v>24705.757569868627</v>
      </c>
      <c r="Q330" s="234">
        <f t="shared" si="206"/>
        <v>24276.50840960081</v>
      </c>
      <c r="R330" s="234">
        <f t="shared" si="206"/>
        <v>23810.319241592351</v>
      </c>
      <c r="S330" s="234">
        <f t="shared" si="206"/>
        <v>23382.204181150275</v>
      </c>
      <c r="T330" s="234">
        <f t="shared" si="206"/>
        <v>22921.699708595042</v>
      </c>
      <c r="U330" s="234">
        <f t="shared" si="206"/>
        <v>22430.54961267858</v>
      </c>
      <c r="V330" s="234">
        <f t="shared" si="206"/>
        <v>21910.519118700166</v>
      </c>
      <c r="W330" s="234">
        <f t="shared" si="206"/>
        <v>21363.394546750198</v>
      </c>
      <c r="X330" s="234">
        <f t="shared" si="206"/>
        <v>20785.558033829606</v>
      </c>
      <c r="Y330" s="234">
        <f t="shared" si="206"/>
        <v>20184.279025289816</v>
      </c>
      <c r="Z330" s="234">
        <f t="shared" si="206"/>
        <v>19551.710341076345</v>
      </c>
      <c r="AA330" s="234">
        <f t="shared" si="206"/>
        <v>18899.365249643073</v>
      </c>
      <c r="AB330" s="234">
        <f t="shared" si="206"/>
        <v>18229.187844207841</v>
      </c>
      <c r="AC330" s="234">
        <f t="shared" si="206"/>
        <v>17505.875744866316</v>
      </c>
      <c r="AD330" s="234">
        <f t="shared" si="206"/>
        <v>16769.257809452141</v>
      </c>
      <c r="AE330" s="234">
        <f t="shared" si="206"/>
        <v>16021.478810451636</v>
      </c>
      <c r="AF330" s="234">
        <f t="shared" si="206"/>
        <v>15264.70423867267</v>
      </c>
      <c r="AG330" s="234">
        <f t="shared" si="206"/>
        <v>14501.119939539502</v>
      </c>
      <c r="AI330" s="295"/>
      <c r="AJ330" s="198" t="s">
        <v>1634</v>
      </c>
    </row>
    <row r="331" spans="1:36" s="1" customFormat="1" outlineLevel="1">
      <c r="A331" t="s">
        <v>739</v>
      </c>
      <c r="B331" s="281" t="s">
        <v>127</v>
      </c>
      <c r="C331" s="234">
        <f>C324*C297</f>
        <v>131214.49065897017</v>
      </c>
      <c r="D331" s="234">
        <f t="shared" ref="D331:AG331" si="207">D324*D297</f>
        <v>132596.12121184097</v>
      </c>
      <c r="E331" s="234">
        <f t="shared" si="207"/>
        <v>133686.26344983184</v>
      </c>
      <c r="F331" s="234">
        <f t="shared" si="207"/>
        <v>134905.47225327283</v>
      </c>
      <c r="G331" s="234">
        <f t="shared" si="207"/>
        <v>136113.32847175939</v>
      </c>
      <c r="H331" s="234">
        <f t="shared" si="207"/>
        <v>137309.65791460304</v>
      </c>
      <c r="I331" s="234">
        <f t="shared" si="207"/>
        <v>137078.6347599182</v>
      </c>
      <c r="J331" s="234">
        <f t="shared" si="207"/>
        <v>136797.0707308751</v>
      </c>
      <c r="K331" s="234">
        <f t="shared" si="207"/>
        <v>136464.56813381001</v>
      </c>
      <c r="L331" s="234">
        <f t="shared" si="207"/>
        <v>136080.73275584594</v>
      </c>
      <c r="M331" s="234">
        <f t="shared" si="207"/>
        <v>135645.17386489236</v>
      </c>
      <c r="N331" s="234">
        <f t="shared" si="207"/>
        <v>134245.15167069144</v>
      </c>
      <c r="O331" s="234">
        <f t="shared" si="207"/>
        <v>132768.86901037151</v>
      </c>
      <c r="P331" s="234">
        <f t="shared" si="207"/>
        <v>131195.0170529093</v>
      </c>
      <c r="Q331" s="234">
        <f t="shared" si="207"/>
        <v>129543.22044711177</v>
      </c>
      <c r="R331" s="234">
        <f t="shared" si="207"/>
        <v>127812.9690890674</v>
      </c>
      <c r="S331" s="234">
        <f t="shared" si="207"/>
        <v>126398.72971609249</v>
      </c>
      <c r="T331" s="234">
        <f t="shared" si="207"/>
        <v>124914.86068150349</v>
      </c>
      <c r="U331" s="234">
        <f t="shared" si="207"/>
        <v>123360.91784926591</v>
      </c>
      <c r="V331" s="234">
        <f t="shared" si="207"/>
        <v>121736.46139080463</v>
      </c>
      <c r="W331" s="234">
        <f t="shared" si="207"/>
        <v>120041.05578549537</v>
      </c>
      <c r="X331" s="234">
        <f t="shared" si="207"/>
        <v>118243.40882943055</v>
      </c>
      <c r="Y331" s="234">
        <f t="shared" si="207"/>
        <v>116373.21940740882</v>
      </c>
      <c r="Z331" s="234">
        <f t="shared" si="207"/>
        <v>114373.23614196696</v>
      </c>
      <c r="AA331" s="234">
        <f t="shared" si="207"/>
        <v>112297.5528998293</v>
      </c>
      <c r="AB331" s="234">
        <f t="shared" si="207"/>
        <v>110145.71168852266</v>
      </c>
      <c r="AC331" s="234">
        <f t="shared" si="207"/>
        <v>107688.00847457779</v>
      </c>
      <c r="AD331" s="234">
        <f t="shared" si="207"/>
        <v>105148.00830193123</v>
      </c>
      <c r="AE331" s="234">
        <f t="shared" si="207"/>
        <v>102525.24156278187</v>
      </c>
      <c r="AF331" s="234">
        <f t="shared" si="207"/>
        <v>99819.243165161693</v>
      </c>
      <c r="AG331" s="234">
        <f t="shared" si="207"/>
        <v>97029.552536624586</v>
      </c>
      <c r="AI331" s="295"/>
      <c r="AJ331" s="198" t="s">
        <v>1635</v>
      </c>
    </row>
    <row r="332" spans="1:36" s="1" customFormat="1" outlineLevel="1">
      <c r="A332" t="s">
        <v>759</v>
      </c>
      <c r="B332" s="281" t="s">
        <v>127</v>
      </c>
      <c r="C332" s="234">
        <f>C324*C298</f>
        <v>6906.0258241563251</v>
      </c>
      <c r="D332" s="234">
        <f t="shared" ref="D332:AG332" si="208">D324*D298</f>
        <v>7174.9130943863356</v>
      </c>
      <c r="E332" s="234">
        <f t="shared" si="208"/>
        <v>7432.2412473868508</v>
      </c>
      <c r="F332" s="234">
        <f t="shared" si="208"/>
        <v>7700.7352026181097</v>
      </c>
      <c r="G332" s="234">
        <f t="shared" si="208"/>
        <v>7972.7637707523136</v>
      </c>
      <c r="H332" s="234">
        <f t="shared" si="208"/>
        <v>8248.2833376263297</v>
      </c>
      <c r="I332" s="234">
        <f t="shared" si="208"/>
        <v>8440.085792011947</v>
      </c>
      <c r="J332" s="234">
        <f t="shared" si="208"/>
        <v>8628.5891531168545</v>
      </c>
      <c r="K332" s="234">
        <f t="shared" si="208"/>
        <v>8813.5384671232841</v>
      </c>
      <c r="L332" s="234">
        <f t="shared" si="208"/>
        <v>8994.6752994269118</v>
      </c>
      <c r="M332" s="234">
        <f t="shared" si="208"/>
        <v>9171.7377346368467</v>
      </c>
      <c r="N332" s="234">
        <f t="shared" si="208"/>
        <v>9281.3825460135886</v>
      </c>
      <c r="O332" s="234">
        <f t="shared" si="208"/>
        <v>9381.9543412039802</v>
      </c>
      <c r="P332" s="234">
        <f t="shared" si="208"/>
        <v>9471.5487650777941</v>
      </c>
      <c r="Q332" s="234">
        <f t="shared" si="208"/>
        <v>9551.1465326073794</v>
      </c>
      <c r="R332" s="234">
        <f t="shared" si="208"/>
        <v>9620.3310067039947</v>
      </c>
      <c r="S332" s="234">
        <f t="shared" si="208"/>
        <v>9709.0194397859959</v>
      </c>
      <c r="T332" s="234">
        <f t="shared" si="208"/>
        <v>9788.4398377310408</v>
      </c>
      <c r="U332" s="234">
        <f t="shared" si="208"/>
        <v>9858.2158972415509</v>
      </c>
      <c r="V332" s="234">
        <f t="shared" si="208"/>
        <v>9917.9669337858122</v>
      </c>
      <c r="W332" s="234">
        <f t="shared" si="208"/>
        <v>9967.3078811061132</v>
      </c>
      <c r="X332" s="234">
        <f t="shared" si="208"/>
        <v>10003.238490993039</v>
      </c>
      <c r="Y332" s="234">
        <f t="shared" si="208"/>
        <v>10027.815430471866</v>
      </c>
      <c r="Z332" s="234">
        <f t="shared" si="208"/>
        <v>10035.650161840465</v>
      </c>
      <c r="AA332" s="234">
        <f t="shared" si="208"/>
        <v>10030.936097806103</v>
      </c>
      <c r="AB332" s="234">
        <f t="shared" si="208"/>
        <v>10013.246517138423</v>
      </c>
      <c r="AC332" s="234">
        <f t="shared" si="208"/>
        <v>9960.9447023098164</v>
      </c>
      <c r="AD332" s="234">
        <f t="shared" si="208"/>
        <v>9893.5762734858708</v>
      </c>
      <c r="AE332" s="234">
        <f t="shared" si="208"/>
        <v>9810.6695724794918</v>
      </c>
      <c r="AF332" s="234">
        <f t="shared" si="208"/>
        <v>9711.7478719579412</v>
      </c>
      <c r="AG332" s="234">
        <f t="shared" si="208"/>
        <v>9596.3293717540801</v>
      </c>
      <c r="AI332" s="295"/>
      <c r="AJ332" s="198" t="s">
        <v>1636</v>
      </c>
    </row>
    <row r="333" spans="1:36" s="1" customFormat="1" outlineLevel="1">
      <c r="A333" t="s">
        <v>742</v>
      </c>
      <c r="B333" s="281" t="s">
        <v>127</v>
      </c>
      <c r="C333" s="234">
        <f t="shared" ref="C333:AG333" si="209">C329*C299</f>
        <v>25358.926826302028</v>
      </c>
      <c r="D333" s="234">
        <f t="shared" si="209"/>
        <v>26116.957447546109</v>
      </c>
      <c r="E333" s="234">
        <f t="shared" si="209"/>
        <v>26788.834598496047</v>
      </c>
      <c r="F333" s="234">
        <f t="shared" si="209"/>
        <v>27457.11295909826</v>
      </c>
      <c r="G333" s="234">
        <f t="shared" si="209"/>
        <v>28093.865825962948</v>
      </c>
      <c r="H333" s="234">
        <f t="shared" si="209"/>
        <v>28698.801676551095</v>
      </c>
      <c r="I333" s="234">
        <f t="shared" si="209"/>
        <v>28972.433837708755</v>
      </c>
      <c r="J333" s="234">
        <f t="shared" si="209"/>
        <v>29199.516381322559</v>
      </c>
      <c r="K333" s="234">
        <f t="shared" si="209"/>
        <v>29380.584554475372</v>
      </c>
      <c r="L333" s="234">
        <f t="shared" si="209"/>
        <v>29516.212427818209</v>
      </c>
      <c r="M333" s="234">
        <f t="shared" si="209"/>
        <v>29607.013038125915</v>
      </c>
      <c r="N333" s="234">
        <f t="shared" si="209"/>
        <v>29453.467822989525</v>
      </c>
      <c r="O333" s="234">
        <f t="shared" si="209"/>
        <v>29249.554125475959</v>
      </c>
      <c r="P333" s="234">
        <f t="shared" si="209"/>
        <v>28991.943681032611</v>
      </c>
      <c r="Q333" s="234">
        <f t="shared" si="209"/>
        <v>28686.388937223041</v>
      </c>
      <c r="R333" s="234">
        <f t="shared" si="209"/>
        <v>28334.279897494864</v>
      </c>
      <c r="S333" s="234">
        <f t="shared" si="209"/>
        <v>28024.634538571339</v>
      </c>
      <c r="T333" s="234">
        <f t="shared" si="209"/>
        <v>27673.421364465139</v>
      </c>
      <c r="U333" s="234">
        <f t="shared" si="209"/>
        <v>27281.95705747787</v>
      </c>
      <c r="V333" s="234">
        <f t="shared" si="209"/>
        <v>26851.608381419668</v>
      </c>
      <c r="W333" s="234">
        <f t="shared" si="209"/>
        <v>26383.79226523644</v>
      </c>
      <c r="X333" s="234">
        <f t="shared" si="209"/>
        <v>25873.223084879224</v>
      </c>
      <c r="Y333" s="234">
        <f t="shared" si="209"/>
        <v>25328.083185313615</v>
      </c>
      <c r="Z333" s="234">
        <f t="shared" si="209"/>
        <v>24737.669402895834</v>
      </c>
      <c r="AA333" s="234">
        <f t="shared" si="209"/>
        <v>24115.590058544498</v>
      </c>
      <c r="AB333" s="234">
        <f t="shared" si="209"/>
        <v>23463.568925187457</v>
      </c>
      <c r="AC333" s="234">
        <f t="shared" si="209"/>
        <v>22734.983805597494</v>
      </c>
      <c r="AD333" s="234">
        <f t="shared" si="209"/>
        <v>21979.923554243658</v>
      </c>
      <c r="AE333" s="234">
        <f t="shared" si="209"/>
        <v>21200.421835930058</v>
      </c>
      <c r="AF333" s="234">
        <f t="shared" si="209"/>
        <v>20398.568961008124</v>
      </c>
      <c r="AG333" s="234">
        <f t="shared" si="209"/>
        <v>19576.511918378324</v>
      </c>
      <c r="AI333" s="295"/>
      <c r="AJ333" s="198"/>
    </row>
    <row r="334" spans="1:36" s="62" customFormat="1">
      <c r="A334" s="322" t="s">
        <v>733</v>
      </c>
      <c r="B334" s="287" t="s">
        <v>127</v>
      </c>
      <c r="C334" s="288">
        <f>C300*C$319</f>
        <v>159053.02245915448</v>
      </c>
      <c r="D334" s="288">
        <f t="shared" ref="D334:AG339" si="210">D300*D$319</f>
        <v>163330.2462295829</v>
      </c>
      <c r="E334" s="288">
        <f t="shared" si="210"/>
        <v>166840.40111233047</v>
      </c>
      <c r="F334" s="288">
        <f t="shared" si="210"/>
        <v>170412.14435878245</v>
      </c>
      <c r="G334" s="288">
        <f t="shared" si="210"/>
        <v>173889.5963088953</v>
      </c>
      <c r="H334" s="288">
        <f t="shared" si="210"/>
        <v>177272.45629732616</v>
      </c>
      <c r="I334" s="288">
        <f t="shared" si="210"/>
        <v>178551.85574200627</v>
      </c>
      <c r="J334" s="288">
        <f t="shared" si="210"/>
        <v>179641.74454084551</v>
      </c>
      <c r="K334" s="288">
        <f t="shared" si="210"/>
        <v>180544.66920977118</v>
      </c>
      <c r="L334" s="288">
        <f t="shared" si="210"/>
        <v>181263.32897456986</v>
      </c>
      <c r="M334" s="288">
        <f t="shared" si="210"/>
        <v>181800.58373886399</v>
      </c>
      <c r="N334" s="288">
        <f t="shared" si="210"/>
        <v>180047.1339545692</v>
      </c>
      <c r="O334" s="288">
        <f t="shared" si="210"/>
        <v>178080.93421748388</v>
      </c>
      <c r="P334" s="288">
        <f t="shared" si="210"/>
        <v>175879.62997929068</v>
      </c>
      <c r="Q334" s="288">
        <f t="shared" si="210"/>
        <v>173480.85195916443</v>
      </c>
      <c r="R334" s="288">
        <f t="shared" si="210"/>
        <v>170893.13902784348</v>
      </c>
      <c r="S334" s="288">
        <f t="shared" si="210"/>
        <v>168708.50956201</v>
      </c>
      <c r="T334" s="288">
        <f t="shared" si="210"/>
        <v>166362.85792789719</v>
      </c>
      <c r="U334" s="288">
        <f t="shared" si="210"/>
        <v>163863.20266038904</v>
      </c>
      <c r="V334" s="288">
        <f t="shared" si="210"/>
        <v>161216.73666210298</v>
      </c>
      <c r="W334" s="288">
        <f t="shared" si="210"/>
        <v>158430.8390900341</v>
      </c>
      <c r="X334" s="288">
        <f t="shared" si="210"/>
        <v>154184.11455624123</v>
      </c>
      <c r="Y334" s="288">
        <f t="shared" si="210"/>
        <v>149838.46799463336</v>
      </c>
      <c r="Z334" s="288">
        <f t="shared" si="210"/>
        <v>145330.76807269591</v>
      </c>
      <c r="AA334" s="288">
        <f t="shared" si="210"/>
        <v>140750.25984645548</v>
      </c>
      <c r="AB334" s="288">
        <f t="shared" si="210"/>
        <v>136110.86206505471</v>
      </c>
      <c r="AC334" s="288">
        <f t="shared" si="210"/>
        <v>131133.8978969274</v>
      </c>
      <c r="AD334" s="288">
        <f t="shared" si="210"/>
        <v>126138.24123878696</v>
      </c>
      <c r="AE334" s="288">
        <f t="shared" si="210"/>
        <v>121141.93315754183</v>
      </c>
      <c r="AF334" s="288">
        <f t="shared" si="210"/>
        <v>116163.64868601806</v>
      </c>
      <c r="AG334" s="288">
        <f t="shared" si="210"/>
        <v>111222.72122150946</v>
      </c>
      <c r="AI334" s="314"/>
      <c r="AJ334" s="325"/>
    </row>
    <row r="335" spans="1:36">
      <c r="A335" s="323" t="s">
        <v>734</v>
      </c>
      <c r="B335" s="281" t="s">
        <v>127</v>
      </c>
      <c r="C335" s="234">
        <f t="shared" ref="C335:R339" si="211">C301*C$319</f>
        <v>367810.11443679471</v>
      </c>
      <c r="D335" s="234">
        <f t="shared" si="211"/>
        <v>367163.7591652922</v>
      </c>
      <c r="E335" s="234">
        <f t="shared" si="211"/>
        <v>364963.37743322289</v>
      </c>
      <c r="F335" s="234">
        <f t="shared" si="211"/>
        <v>363094.05758263299</v>
      </c>
      <c r="G335" s="234">
        <f t="shared" si="211"/>
        <v>361204.49233281554</v>
      </c>
      <c r="H335" s="234">
        <f t="shared" si="211"/>
        <v>359293.28195975925</v>
      </c>
      <c r="I335" s="234">
        <f t="shared" si="211"/>
        <v>353383.88115605403</v>
      </c>
      <c r="J335" s="234">
        <f t="shared" si="211"/>
        <v>347448.98226227716</v>
      </c>
      <c r="K335" s="234">
        <f t="shared" si="211"/>
        <v>341490.73945927108</v>
      </c>
      <c r="L335" s="234">
        <f t="shared" si="211"/>
        <v>335511.45026542968</v>
      </c>
      <c r="M335" s="234">
        <f t="shared" si="211"/>
        <v>329513.55802669091</v>
      </c>
      <c r="N335" s="234">
        <f t="shared" si="211"/>
        <v>319748.34002602601</v>
      </c>
      <c r="O335" s="234">
        <f t="shared" si="211"/>
        <v>310051.62653936917</v>
      </c>
      <c r="P335" s="234">
        <f t="shared" si="211"/>
        <v>300375.82154893386</v>
      </c>
      <c r="Q335" s="234">
        <f t="shared" si="211"/>
        <v>290777.5643633721</v>
      </c>
      <c r="R335" s="234">
        <f t="shared" si="211"/>
        <v>281261.62464999233</v>
      </c>
      <c r="S335" s="234">
        <f t="shared" si="210"/>
        <v>272775.98692770628</v>
      </c>
      <c r="T335" s="234">
        <f t="shared" si="210"/>
        <v>264366.50960616628</v>
      </c>
      <c r="U335" s="234">
        <f t="shared" si="210"/>
        <v>256036.25415685773</v>
      </c>
      <c r="V335" s="234">
        <f t="shared" si="210"/>
        <v>247788.47918091065</v>
      </c>
      <c r="W335" s="234">
        <f t="shared" si="210"/>
        <v>239626.64412367641</v>
      </c>
      <c r="X335" s="234">
        <f t="shared" si="210"/>
        <v>229575.61174734426</v>
      </c>
      <c r="Y335" s="234">
        <f t="shared" si="210"/>
        <v>219715.06124213044</v>
      </c>
      <c r="Z335" s="234">
        <f t="shared" si="210"/>
        <v>209941.26284086352</v>
      </c>
      <c r="AA335" s="234">
        <f t="shared" si="210"/>
        <v>200373.63380918984</v>
      </c>
      <c r="AB335" s="234">
        <f t="shared" si="210"/>
        <v>191019.22119357085</v>
      </c>
      <c r="AC335" s="234">
        <f t="shared" si="210"/>
        <v>181479.94798235458</v>
      </c>
      <c r="AD335" s="234">
        <f t="shared" si="210"/>
        <v>172195.29642794901</v>
      </c>
      <c r="AE335" s="234">
        <f t="shared" si="210"/>
        <v>163176.09530918862</v>
      </c>
      <c r="AF335" s="234">
        <f t="shared" si="210"/>
        <v>154433.66430185633</v>
      </c>
      <c r="AG335" s="234">
        <f t="shared" si="210"/>
        <v>145979.82160323116</v>
      </c>
      <c r="AI335" s="275"/>
    </row>
    <row r="336" spans="1:36">
      <c r="A336" s="323" t="s">
        <v>735</v>
      </c>
      <c r="B336" s="281" t="s">
        <v>127</v>
      </c>
      <c r="C336" s="234">
        <f t="shared" si="211"/>
        <v>79526.511229577241</v>
      </c>
      <c r="D336" s="234">
        <f t="shared" si="210"/>
        <v>76725.70034575164</v>
      </c>
      <c r="E336" s="234">
        <f t="shared" si="210"/>
        <v>73644.395803489606</v>
      </c>
      <c r="F336" s="234">
        <f t="shared" si="210"/>
        <v>70682.309876085885</v>
      </c>
      <c r="G336" s="234">
        <f t="shared" si="210"/>
        <v>67765.798561554766</v>
      </c>
      <c r="H336" s="234">
        <f t="shared" si="210"/>
        <v>64894.381323128306</v>
      </c>
      <c r="I336" s="234">
        <f t="shared" si="210"/>
        <v>61377.200411314632</v>
      </c>
      <c r="J336" s="234">
        <f t="shared" si="210"/>
        <v>57958.738525847082</v>
      </c>
      <c r="K336" s="234">
        <f t="shared" si="210"/>
        <v>54638.51831348335</v>
      </c>
      <c r="L336" s="234">
        <f t="shared" si="210"/>
        <v>51416.040430286608</v>
      </c>
      <c r="M336" s="234">
        <f t="shared" si="210"/>
        <v>48290.780055635725</v>
      </c>
      <c r="N336" s="234">
        <f t="shared" si="210"/>
        <v>44737.321394199331</v>
      </c>
      <c r="O336" s="234">
        <f t="shared" si="210"/>
        <v>41340.216871915873</v>
      </c>
      <c r="P336" s="234">
        <f t="shared" si="210"/>
        <v>38090.210562375432</v>
      </c>
      <c r="Q336" s="234">
        <f t="shared" si="210"/>
        <v>34991.876389490528</v>
      </c>
      <c r="R336" s="234">
        <f t="shared" si="210"/>
        <v>32042.463567720632</v>
      </c>
      <c r="S336" s="234">
        <f t="shared" si="210"/>
        <v>29340.610358610411</v>
      </c>
      <c r="T336" s="234">
        <f t="shared" si="210"/>
        <v>26768.49176765365</v>
      </c>
      <c r="U336" s="234">
        <f t="shared" si="210"/>
        <v>24323.444144901474</v>
      </c>
      <c r="V336" s="234">
        <f t="shared" si="210"/>
        <v>22002.794416894136</v>
      </c>
      <c r="W336" s="234">
        <f t="shared" si="210"/>
        <v>19803.854886254241</v>
      </c>
      <c r="X336" s="234">
        <f t="shared" si="210"/>
        <v>17572.454232512762</v>
      </c>
      <c r="Y336" s="234">
        <f t="shared" si="210"/>
        <v>15488.110874445252</v>
      </c>
      <c r="Z336" s="234">
        <f t="shared" si="210"/>
        <v>13539.069195451599</v>
      </c>
      <c r="AA336" s="234">
        <f t="shared" si="210"/>
        <v>11729.188320537933</v>
      </c>
      <c r="AB336" s="234">
        <f t="shared" si="210"/>
        <v>10053.643220714246</v>
      </c>
      <c r="AC336" s="234">
        <f t="shared" si="210"/>
        <v>8488.5782120778676</v>
      </c>
      <c r="AD336" s="234">
        <f t="shared" si="210"/>
        <v>7053.7832271689867</v>
      </c>
      <c r="AE336" s="234">
        <f t="shared" si="210"/>
        <v>5743.7985548834304</v>
      </c>
      <c r="AF336" s="234">
        <f t="shared" si="210"/>
        <v>4553.0243658714526</v>
      </c>
      <c r="AG336" s="234">
        <f t="shared" si="210"/>
        <v>3475.7100381721707</v>
      </c>
      <c r="AI336" s="275"/>
    </row>
    <row r="337" spans="1:36">
      <c r="A337" s="323" t="s">
        <v>736</v>
      </c>
      <c r="B337" s="281" t="s">
        <v>127</v>
      </c>
      <c r="C337" s="234">
        <f t="shared" si="211"/>
        <v>268401.97539982322</v>
      </c>
      <c r="D337" s="234">
        <f t="shared" si="210"/>
        <v>263106.586164187</v>
      </c>
      <c r="E337" s="234">
        <f t="shared" si="210"/>
        <v>256777.80483694616</v>
      </c>
      <c r="F337" s="234">
        <f t="shared" si="210"/>
        <v>250776.96243707195</v>
      </c>
      <c r="G337" s="234">
        <f t="shared" si="210"/>
        <v>244851.89480259898</v>
      </c>
      <c r="H337" s="234">
        <f t="shared" si="210"/>
        <v>239001.25804371663</v>
      </c>
      <c r="I337" s="234">
        <f t="shared" si="210"/>
        <v>230629.48033342487</v>
      </c>
      <c r="J337" s="234">
        <f t="shared" si="210"/>
        <v>222428.03842641861</v>
      </c>
      <c r="K337" s="234">
        <f t="shared" si="210"/>
        <v>214396.79468660336</v>
      </c>
      <c r="L337" s="234">
        <f t="shared" si="210"/>
        <v>206535.62003352438</v>
      </c>
      <c r="M337" s="234">
        <f t="shared" si="210"/>
        <v>198844.38846438256</v>
      </c>
      <c r="N337" s="234">
        <f t="shared" si="210"/>
        <v>189104.38307118628</v>
      </c>
      <c r="O337" s="234">
        <f t="shared" si="210"/>
        <v>179670.94255871145</v>
      </c>
      <c r="P337" s="234">
        <f t="shared" si="210"/>
        <v>170511.21104096936</v>
      </c>
      <c r="Q337" s="234">
        <f t="shared" si="210"/>
        <v>161652.61205285779</v>
      </c>
      <c r="R337" s="234">
        <f t="shared" si="210"/>
        <v>153091.7703791098</v>
      </c>
      <c r="S337" s="234">
        <f t="shared" si="210"/>
        <v>145327.71068249232</v>
      </c>
      <c r="T337" s="234">
        <f t="shared" si="210"/>
        <v>137824.54852271269</v>
      </c>
      <c r="U337" s="234">
        <f t="shared" si="210"/>
        <v>130578.48961999749</v>
      </c>
      <c r="V337" s="234">
        <f t="shared" si="210"/>
        <v>123585.78920143351</v>
      </c>
      <c r="W337" s="234">
        <f t="shared" si="210"/>
        <v>116842.7438289001</v>
      </c>
      <c r="X337" s="234">
        <f t="shared" si="210"/>
        <v>109402.6989314505</v>
      </c>
      <c r="Y337" s="234">
        <f t="shared" si="210"/>
        <v>102293.56949633616</v>
      </c>
      <c r="Z337" s="234">
        <f t="shared" si="210"/>
        <v>95459.006859070214</v>
      </c>
      <c r="AA337" s="234">
        <f t="shared" si="210"/>
        <v>88946.344764079404</v>
      </c>
      <c r="AB337" s="234">
        <f t="shared" si="210"/>
        <v>82749.217278186567</v>
      </c>
      <c r="AC337" s="234">
        <f t="shared" si="210"/>
        <v>76689.913502220821</v>
      </c>
      <c r="AD337" s="234">
        <f t="shared" si="210"/>
        <v>70952.760696817553</v>
      </c>
      <c r="AE337" s="234">
        <f t="shared" si="210"/>
        <v>65531.519876170147</v>
      </c>
      <c r="AF337" s="234">
        <f t="shared" si="210"/>
        <v>60419.863882240206</v>
      </c>
      <c r="AG337" s="234">
        <f t="shared" si="210"/>
        <v>55611.360610754731</v>
      </c>
      <c r="AI337" s="275"/>
    </row>
    <row r="338" spans="1:36">
      <c r="A338" s="323" t="s">
        <v>737</v>
      </c>
      <c r="B338" s="281" t="s">
        <v>127</v>
      </c>
      <c r="C338" s="234">
        <f t="shared" si="211"/>
        <v>69585.697325880086</v>
      </c>
      <c r="D338" s="234">
        <f t="shared" si="210"/>
        <v>68822.623915287957</v>
      </c>
      <c r="E338" s="234">
        <f t="shared" si="210"/>
        <v>67778.912951884253</v>
      </c>
      <c r="F338" s="234">
        <f t="shared" si="210"/>
        <v>66809.306595204471</v>
      </c>
      <c r="G338" s="234">
        <f t="shared" si="210"/>
        <v>65847.898602265486</v>
      </c>
      <c r="H338" s="234">
        <f t="shared" si="210"/>
        <v>64894.38132312832</v>
      </c>
      <c r="I338" s="234">
        <f t="shared" si="210"/>
        <v>63237.115575293879</v>
      </c>
      <c r="J338" s="234">
        <f t="shared" si="210"/>
        <v>61600.12523951289</v>
      </c>
      <c r="K338" s="234">
        <f t="shared" si="210"/>
        <v>59983.590757193691</v>
      </c>
      <c r="L338" s="234">
        <f t="shared" si="210"/>
        <v>58387.706929308537</v>
      </c>
      <c r="M338" s="234">
        <f t="shared" si="210"/>
        <v>56812.682418394979</v>
      </c>
      <c r="N338" s="234">
        <f t="shared" si="210"/>
        <v>54617.956794145197</v>
      </c>
      <c r="O338" s="234">
        <f t="shared" si="210"/>
        <v>52470.275260508613</v>
      </c>
      <c r="P338" s="234">
        <f t="shared" si="210"/>
        <v>50360.882421395705</v>
      </c>
      <c r="Q338" s="234">
        <f t="shared" si="210"/>
        <v>48298.646284085517</v>
      </c>
      <c r="R338" s="234">
        <f t="shared" si="210"/>
        <v>46283.558486707581</v>
      </c>
      <c r="S338" s="234">
        <f t="shared" si="210"/>
        <v>44469.3625747689</v>
      </c>
      <c r="T338" s="234">
        <f t="shared" si="210"/>
        <v>42696.850505431023</v>
      </c>
      <c r="U338" s="234">
        <f t="shared" si="210"/>
        <v>40965.800665097217</v>
      </c>
      <c r="V338" s="234">
        <f t="shared" si="210"/>
        <v>39276.016202119426</v>
      </c>
      <c r="W338" s="234">
        <f t="shared" si="210"/>
        <v>37627.324283883048</v>
      </c>
      <c r="X338" s="234">
        <f t="shared" si="210"/>
        <v>35711.761827364637</v>
      </c>
      <c r="Y338" s="234">
        <f t="shared" si="210"/>
        <v>33857.730748787289</v>
      </c>
      <c r="Z338" s="234">
        <f t="shared" si="210"/>
        <v>32048.176449993025</v>
      </c>
      <c r="AA338" s="234">
        <f t="shared" si="210"/>
        <v>30300.403161389666</v>
      </c>
      <c r="AB338" s="234">
        <f t="shared" si="210"/>
        <v>28614.215320494404</v>
      </c>
      <c r="AC338" s="234">
        <f t="shared" si="210"/>
        <v>26929.28260383325</v>
      </c>
      <c r="AD338" s="234">
        <f t="shared" si="210"/>
        <v>25310.633932782857</v>
      </c>
      <c r="AE338" s="234">
        <f t="shared" si="210"/>
        <v>23758.439477017855</v>
      </c>
      <c r="AF338" s="234">
        <f t="shared" si="210"/>
        <v>22272.902978992821</v>
      </c>
      <c r="AG338" s="234">
        <f t="shared" si="210"/>
        <v>20854.260229033025</v>
      </c>
      <c r="AI338" s="275"/>
    </row>
    <row r="339" spans="1:36" s="63" customFormat="1">
      <c r="A339" s="324" t="s">
        <v>738</v>
      </c>
      <c r="B339" s="291" t="s">
        <v>127</v>
      </c>
      <c r="C339" s="292">
        <f t="shared" si="211"/>
        <v>49704.069518485776</v>
      </c>
      <c r="D339" s="292">
        <f t="shared" si="210"/>
        <v>48735.637987859416</v>
      </c>
      <c r="E339" s="292">
        <f t="shared" si="210"/>
        <v>47575.583129687984</v>
      </c>
      <c r="F339" s="292">
        <f t="shared" si="210"/>
        <v>46476.039370577026</v>
      </c>
      <c r="G339" s="292">
        <f t="shared" si="210"/>
        <v>45390.299036513105</v>
      </c>
      <c r="H339" s="292">
        <f t="shared" si="210"/>
        <v>44318.114074331534</v>
      </c>
      <c r="I339" s="292">
        <f t="shared" si="210"/>
        <v>42778.048771522328</v>
      </c>
      <c r="J339" s="292">
        <f t="shared" si="210"/>
        <v>41269.049421545584</v>
      </c>
      <c r="K339" s="292">
        <f t="shared" si="210"/>
        <v>39791.094858732453</v>
      </c>
      <c r="L339" s="292">
        <f t="shared" si="210"/>
        <v>38344.165744620528</v>
      </c>
      <c r="M339" s="292">
        <f t="shared" si="210"/>
        <v>36928.243571956737</v>
      </c>
      <c r="N339" s="292">
        <f t="shared" si="210"/>
        <v>35131.148088696413</v>
      </c>
      <c r="O339" s="292">
        <f t="shared" si="210"/>
        <v>33390.175165778208</v>
      </c>
      <c r="P339" s="292">
        <f t="shared" si="210"/>
        <v>31699.235635802372</v>
      </c>
      <c r="Q339" s="292">
        <f t="shared" si="210"/>
        <v>30063.443095196089</v>
      </c>
      <c r="R339" s="292">
        <f t="shared" si="210"/>
        <v>28482.189837973896</v>
      </c>
      <c r="S339" s="292">
        <f t="shared" si="210"/>
        <v>27048.375174343972</v>
      </c>
      <c r="T339" s="292">
        <f t="shared" si="210"/>
        <v>25662.355744196884</v>
      </c>
      <c r="U339" s="292">
        <f t="shared" si="210"/>
        <v>24323.44414490147</v>
      </c>
      <c r="V339" s="292">
        <f t="shared" si="210"/>
        <v>23030.962380300396</v>
      </c>
      <c r="W339" s="292">
        <f t="shared" si="210"/>
        <v>21784.240374879657</v>
      </c>
      <c r="X339" s="292">
        <f t="shared" si="210"/>
        <v>20406.721044208363</v>
      </c>
      <c r="Y339" s="292">
        <f t="shared" si="210"/>
        <v>19089.997124316236</v>
      </c>
      <c r="Z339" s="292">
        <f t="shared" si="210"/>
        <v>17823.58476363248</v>
      </c>
      <c r="AA339" s="292">
        <f t="shared" si="210"/>
        <v>16616.350120762068</v>
      </c>
      <c r="AB339" s="292">
        <f t="shared" si="210"/>
        <v>15467.143416483452</v>
      </c>
      <c r="AC339" s="292">
        <f t="shared" si="210"/>
        <v>14342.770082476394</v>
      </c>
      <c r="AD339" s="292">
        <f t="shared" si="210"/>
        <v>13277.709604082798</v>
      </c>
      <c r="AE339" s="292">
        <f t="shared" si="210"/>
        <v>12270.842367250967</v>
      </c>
      <c r="AF339" s="292">
        <f t="shared" si="210"/>
        <v>11321.03355838308</v>
      </c>
      <c r="AG339" s="292">
        <f t="shared" si="210"/>
        <v>10427.130114516513</v>
      </c>
      <c r="AI339" s="293"/>
      <c r="AJ339" s="294"/>
    </row>
    <row r="340" spans="1:36" s="169" customFormat="1">
      <c r="B340" s="165"/>
      <c r="C340" s="104"/>
      <c r="D340" s="104"/>
      <c r="E340" s="104"/>
      <c r="F340" s="104"/>
      <c r="G340" s="104"/>
      <c r="H340" s="104"/>
      <c r="I340" s="104"/>
      <c r="J340" s="104"/>
      <c r="K340" s="104"/>
      <c r="L340" s="104"/>
      <c r="M340" s="104"/>
      <c r="N340" s="104"/>
      <c r="O340" s="104"/>
      <c r="P340" s="104"/>
      <c r="Q340" s="104"/>
      <c r="R340" s="104"/>
      <c r="S340" s="104"/>
      <c r="T340" s="104"/>
      <c r="U340" s="104"/>
      <c r="V340" s="104"/>
      <c r="W340" s="104"/>
      <c r="X340" s="104"/>
      <c r="Y340" s="104"/>
      <c r="Z340" s="104"/>
      <c r="AA340" s="104"/>
      <c r="AB340" s="104"/>
      <c r="AC340" s="104"/>
      <c r="AD340" s="104"/>
      <c r="AE340" s="104"/>
      <c r="AF340" s="104"/>
      <c r="AG340" s="104"/>
      <c r="AJ340" s="300"/>
    </row>
    <row r="341" spans="1:36" s="169" customFormat="1">
      <c r="A341" s="169" t="s">
        <v>1390</v>
      </c>
      <c r="B341" s="327" t="s">
        <v>127</v>
      </c>
      <c r="C341" s="216">
        <f>C274</f>
        <v>102113.18489319331</v>
      </c>
      <c r="D341" s="216">
        <f t="shared" ref="D341:AG341" si="212">D274</f>
        <v>104019.78169196579</v>
      </c>
      <c r="E341" s="216">
        <f t="shared" si="212"/>
        <v>107723.85741203249</v>
      </c>
      <c r="F341" s="216">
        <f t="shared" si="212"/>
        <v>111608.39116758168</v>
      </c>
      <c r="G341" s="216">
        <f t="shared" si="212"/>
        <v>115464.11045163577</v>
      </c>
      <c r="H341" s="216">
        <f t="shared" si="212"/>
        <v>119295.09578323126</v>
      </c>
      <c r="I341" s="216">
        <f t="shared" si="212"/>
        <v>122695.19978071147</v>
      </c>
      <c r="J341" s="216">
        <f t="shared" si="212"/>
        <v>125989.91631958704</v>
      </c>
      <c r="K341" s="216">
        <f t="shared" si="212"/>
        <v>129175.00041668498</v>
      </c>
      <c r="L341" s="216">
        <f t="shared" si="212"/>
        <v>132245.90828970668</v>
      </c>
      <c r="M341" s="216">
        <f t="shared" si="212"/>
        <v>135197.79735722768</v>
      </c>
      <c r="N341" s="216">
        <f t="shared" si="212"/>
        <v>141130.54533054438</v>
      </c>
      <c r="O341" s="216">
        <f t="shared" si="212"/>
        <v>146641.45307181377</v>
      </c>
      <c r="P341" s="216">
        <f t="shared" si="212"/>
        <v>151711.80730912241</v>
      </c>
      <c r="Q341" s="216">
        <f t="shared" si="212"/>
        <v>156346.05697868025</v>
      </c>
      <c r="R341" s="216">
        <f t="shared" si="212"/>
        <v>160537.63561110396</v>
      </c>
      <c r="S341" s="216">
        <f t="shared" si="212"/>
        <v>164565.30936281875</v>
      </c>
      <c r="T341" s="216">
        <f t="shared" si="212"/>
        <v>168196.81146363969</v>
      </c>
      <c r="U341" s="216">
        <f t="shared" si="212"/>
        <v>171429.42885314784</v>
      </c>
      <c r="V341" s="216">
        <f t="shared" si="212"/>
        <v>174260.0027217739</v>
      </c>
      <c r="W341" s="216">
        <f t="shared" si="212"/>
        <v>176684.92851079843</v>
      </c>
      <c r="X341" s="216">
        <f t="shared" si="212"/>
        <v>183390.27472899144</v>
      </c>
      <c r="Y341" s="216">
        <f t="shared" si="212"/>
        <v>189402.83936979968</v>
      </c>
      <c r="Z341" s="216">
        <f t="shared" si="212"/>
        <v>194632.9787768205</v>
      </c>
      <c r="AA341" s="216">
        <f t="shared" si="212"/>
        <v>199140.82063905144</v>
      </c>
      <c r="AB341" s="216">
        <f t="shared" si="212"/>
        <v>202917.93546475976</v>
      </c>
      <c r="AC341" s="216">
        <f t="shared" si="212"/>
        <v>205563.85988569597</v>
      </c>
      <c r="AD341" s="216">
        <f t="shared" si="212"/>
        <v>207388.92083918001</v>
      </c>
      <c r="AE341" s="216">
        <f t="shared" si="212"/>
        <v>208376.896620757</v>
      </c>
      <c r="AF341" s="216">
        <f t="shared" si="212"/>
        <v>208510.650580349</v>
      </c>
      <c r="AG341" s="216">
        <f t="shared" si="212"/>
        <v>207772.13112225514</v>
      </c>
      <c r="AI341" s="698"/>
      <c r="AJ341" s="300"/>
    </row>
    <row r="342" spans="1:36" s="169" customFormat="1">
      <c r="A342" s="169" t="s">
        <v>1391</v>
      </c>
      <c r="B342" s="326" t="s">
        <v>127</v>
      </c>
      <c r="C342" s="234">
        <f>C341/(1-C299)</f>
        <v>139881.07519615523</v>
      </c>
      <c r="D342" s="234">
        <f t="shared" ref="D342:AG342" si="213">D341/(1-D299)</f>
        <v>141716.32383101608</v>
      </c>
      <c r="E342" s="234">
        <f t="shared" si="213"/>
        <v>145967.28646616868</v>
      </c>
      <c r="F342" s="234">
        <f t="shared" si="213"/>
        <v>150415.62151965185</v>
      </c>
      <c r="G342" s="234">
        <f t="shared" si="213"/>
        <v>154777.6279512544</v>
      </c>
      <c r="H342" s="234">
        <f t="shared" si="213"/>
        <v>159060.12771097501</v>
      </c>
      <c r="I342" s="234">
        <f t="shared" si="213"/>
        <v>162725.72915213721</v>
      </c>
      <c r="J342" s="234">
        <f t="shared" si="213"/>
        <v>166213.60992029952</v>
      </c>
      <c r="K342" s="234">
        <f t="shared" si="213"/>
        <v>169520.99792215877</v>
      </c>
      <c r="L342" s="234">
        <f t="shared" si="213"/>
        <v>172644.78888995652</v>
      </c>
      <c r="M342" s="234">
        <f t="shared" si="213"/>
        <v>175581.55500938659</v>
      </c>
      <c r="N342" s="234">
        <f t="shared" si="213"/>
        <v>182339.2058534165</v>
      </c>
      <c r="O342" s="234">
        <f t="shared" si="213"/>
        <v>188485.15818999198</v>
      </c>
      <c r="P342" s="234">
        <f t="shared" si="213"/>
        <v>194004.8686817422</v>
      </c>
      <c r="Q342" s="234">
        <f t="shared" si="213"/>
        <v>198913.55849704865</v>
      </c>
      <c r="R342" s="234">
        <f t="shared" si="213"/>
        <v>203212.19697608094</v>
      </c>
      <c r="S342" s="234">
        <f t="shared" si="213"/>
        <v>207261.09491538885</v>
      </c>
      <c r="T342" s="234">
        <f t="shared" si="213"/>
        <v>210772.94669629034</v>
      </c>
      <c r="U342" s="234">
        <f t="shared" si="213"/>
        <v>213752.40505380029</v>
      </c>
      <c r="V342" s="234">
        <f t="shared" si="213"/>
        <v>216203.47732230011</v>
      </c>
      <c r="W342" s="234">
        <f t="shared" si="213"/>
        <v>218129.54137135608</v>
      </c>
      <c r="X342" s="234">
        <f t="shared" si="213"/>
        <v>225295.17779974377</v>
      </c>
      <c r="Y342" s="234">
        <f t="shared" si="213"/>
        <v>231543.81341051304</v>
      </c>
      <c r="Z342" s="234">
        <f t="shared" si="213"/>
        <v>236779.77953384488</v>
      </c>
      <c r="AA342" s="234">
        <f t="shared" si="213"/>
        <v>241090.58188747146</v>
      </c>
      <c r="AB342" s="234">
        <f t="shared" si="213"/>
        <v>244479.44031898765</v>
      </c>
      <c r="AC342" s="234">
        <f t="shared" si="213"/>
        <v>246479.44830419178</v>
      </c>
      <c r="AD342" s="234">
        <f t="shared" si="213"/>
        <v>247480.81245725535</v>
      </c>
      <c r="AE342" s="234">
        <f t="shared" si="213"/>
        <v>247478.49954959261</v>
      </c>
      <c r="AF342" s="234">
        <f t="shared" si="213"/>
        <v>246466.49004769383</v>
      </c>
      <c r="AG342" s="234">
        <f t="shared" si="213"/>
        <v>244437.80132030018</v>
      </c>
      <c r="AI342" s="698"/>
      <c r="AJ342" s="300"/>
    </row>
    <row r="343" spans="1:36" s="169" customFormat="1">
      <c r="A343" s="169" t="s">
        <v>1392</v>
      </c>
      <c r="B343" s="326" t="s">
        <v>127</v>
      </c>
      <c r="C343" s="234">
        <f>C331</f>
        <v>131214.49065897017</v>
      </c>
      <c r="D343" s="234">
        <f t="shared" ref="D343:AG343" si="214">D331</f>
        <v>132596.12121184097</v>
      </c>
      <c r="E343" s="234">
        <f t="shared" si="214"/>
        <v>133686.26344983184</v>
      </c>
      <c r="F343" s="234">
        <f t="shared" si="214"/>
        <v>134905.47225327283</v>
      </c>
      <c r="G343" s="234">
        <f t="shared" si="214"/>
        <v>136113.32847175939</v>
      </c>
      <c r="H343" s="234">
        <f t="shared" si="214"/>
        <v>137309.65791460304</v>
      </c>
      <c r="I343" s="234">
        <f t="shared" si="214"/>
        <v>137078.6347599182</v>
      </c>
      <c r="J343" s="234">
        <f t="shared" si="214"/>
        <v>136797.0707308751</v>
      </c>
      <c r="K343" s="234">
        <f t="shared" si="214"/>
        <v>136464.56813381001</v>
      </c>
      <c r="L343" s="234">
        <f t="shared" si="214"/>
        <v>136080.73275584594</v>
      </c>
      <c r="M343" s="234">
        <f t="shared" si="214"/>
        <v>135645.17386489236</v>
      </c>
      <c r="N343" s="234">
        <f t="shared" si="214"/>
        <v>134245.15167069144</v>
      </c>
      <c r="O343" s="234">
        <f t="shared" si="214"/>
        <v>132768.86901037151</v>
      </c>
      <c r="P343" s="234">
        <f t="shared" si="214"/>
        <v>131195.0170529093</v>
      </c>
      <c r="Q343" s="234">
        <f t="shared" si="214"/>
        <v>129543.22044711177</v>
      </c>
      <c r="R343" s="234">
        <f t="shared" si="214"/>
        <v>127812.9690890674</v>
      </c>
      <c r="S343" s="234">
        <f t="shared" si="214"/>
        <v>126398.72971609249</v>
      </c>
      <c r="T343" s="234">
        <f t="shared" si="214"/>
        <v>124914.86068150349</v>
      </c>
      <c r="U343" s="234">
        <f t="shared" si="214"/>
        <v>123360.91784926591</v>
      </c>
      <c r="V343" s="234">
        <f t="shared" si="214"/>
        <v>121736.46139080463</v>
      </c>
      <c r="W343" s="234">
        <f t="shared" si="214"/>
        <v>120041.05578549537</v>
      </c>
      <c r="X343" s="234">
        <f t="shared" si="214"/>
        <v>118243.40882943055</v>
      </c>
      <c r="Y343" s="234">
        <f t="shared" si="214"/>
        <v>116373.21940740882</v>
      </c>
      <c r="Z343" s="234">
        <f t="shared" si="214"/>
        <v>114373.23614196696</v>
      </c>
      <c r="AA343" s="234">
        <f t="shared" si="214"/>
        <v>112297.5528998293</v>
      </c>
      <c r="AB343" s="234">
        <f t="shared" si="214"/>
        <v>110145.71168852266</v>
      </c>
      <c r="AC343" s="234">
        <f t="shared" si="214"/>
        <v>107688.00847457779</v>
      </c>
      <c r="AD343" s="234">
        <f t="shared" si="214"/>
        <v>105148.00830193123</v>
      </c>
      <c r="AE343" s="234">
        <f t="shared" si="214"/>
        <v>102525.24156278187</v>
      </c>
      <c r="AF343" s="234">
        <f t="shared" si="214"/>
        <v>99819.243165161693</v>
      </c>
      <c r="AG343" s="234">
        <f t="shared" si="214"/>
        <v>97029.552536624586</v>
      </c>
      <c r="AI343" s="698"/>
      <c r="AJ343" s="300"/>
    </row>
    <row r="344" spans="1:36" s="169" customFormat="1">
      <c r="A344" s="169" t="s">
        <v>1393</v>
      </c>
      <c r="B344" s="326" t="s">
        <v>127</v>
      </c>
      <c r="C344" s="234">
        <f>C342-C343</f>
        <v>8666.5845371850592</v>
      </c>
      <c r="D344" s="234">
        <f t="shared" ref="D344:AG344" si="215">D342-D343</f>
        <v>9120.2026191751065</v>
      </c>
      <c r="E344" s="234">
        <f t="shared" si="215"/>
        <v>12281.02301633684</v>
      </c>
      <c r="F344" s="234">
        <f t="shared" si="215"/>
        <v>15510.149266379012</v>
      </c>
      <c r="G344" s="234">
        <f t="shared" si="215"/>
        <v>18664.299479495006</v>
      </c>
      <c r="H344" s="234">
        <f t="shared" si="215"/>
        <v>21750.469796371966</v>
      </c>
      <c r="I344" s="234">
        <f t="shared" si="215"/>
        <v>25647.094392219005</v>
      </c>
      <c r="J344" s="234">
        <f t="shared" si="215"/>
        <v>29416.539189424424</v>
      </c>
      <c r="K344" s="234">
        <f t="shared" si="215"/>
        <v>33056.42978834876</v>
      </c>
      <c r="L344" s="234">
        <f t="shared" si="215"/>
        <v>36564.056134110579</v>
      </c>
      <c r="M344" s="234">
        <f t="shared" si="215"/>
        <v>39936.381144494226</v>
      </c>
      <c r="N344" s="234">
        <f t="shared" si="215"/>
        <v>48094.054182725056</v>
      </c>
      <c r="O344" s="234">
        <f t="shared" si="215"/>
        <v>55716.289179620479</v>
      </c>
      <c r="P344" s="234">
        <f t="shared" si="215"/>
        <v>62809.851628832897</v>
      </c>
      <c r="Q344" s="234">
        <f t="shared" si="215"/>
        <v>69370.33804993688</v>
      </c>
      <c r="R344" s="234">
        <f t="shared" si="215"/>
        <v>75399.227887013549</v>
      </c>
      <c r="S344" s="234">
        <f t="shared" si="215"/>
        <v>80862.365199296357</v>
      </c>
      <c r="T344" s="234">
        <f t="shared" si="215"/>
        <v>85858.086014786852</v>
      </c>
      <c r="U344" s="234">
        <f t="shared" si="215"/>
        <v>90391.48720453438</v>
      </c>
      <c r="V344" s="234">
        <f t="shared" si="215"/>
        <v>94467.01593149548</v>
      </c>
      <c r="W344" s="234">
        <f t="shared" si="215"/>
        <v>98088.485585860719</v>
      </c>
      <c r="X344" s="234">
        <f t="shared" si="215"/>
        <v>107051.76897031322</v>
      </c>
      <c r="Y344" s="234">
        <f t="shared" si="215"/>
        <v>115170.59400310423</v>
      </c>
      <c r="Z344" s="234">
        <f t="shared" si="215"/>
        <v>122406.54339187792</v>
      </c>
      <c r="AA344" s="234">
        <f t="shared" si="215"/>
        <v>128793.02898764216</v>
      </c>
      <c r="AB344" s="234">
        <f t="shared" si="215"/>
        <v>134333.72863046499</v>
      </c>
      <c r="AC344" s="234">
        <f t="shared" si="215"/>
        <v>138791.43982961401</v>
      </c>
      <c r="AD344" s="234">
        <f t="shared" si="215"/>
        <v>142332.80415532412</v>
      </c>
      <c r="AE344" s="234">
        <f t="shared" si="215"/>
        <v>144953.25798681076</v>
      </c>
      <c r="AF344" s="234">
        <f t="shared" si="215"/>
        <v>146647.24688253214</v>
      </c>
      <c r="AG344" s="234">
        <f t="shared" si="215"/>
        <v>147408.2487836756</v>
      </c>
      <c r="AI344" s="698"/>
      <c r="AJ344" s="300"/>
    </row>
    <row r="345" spans="1:36" s="169" customFormat="1">
      <c r="A345" s="169" t="s">
        <v>1394</v>
      </c>
      <c r="B345" s="326" t="s">
        <v>127</v>
      </c>
      <c r="C345" s="234">
        <f>(C344)/(1-C296)</f>
        <v>10833.230671481324</v>
      </c>
      <c r="D345" s="234">
        <f t="shared" ref="D345:AG345" si="216">(D342-D331)/(1-D296)</f>
        <v>11352.949318475235</v>
      </c>
      <c r="E345" s="234">
        <f t="shared" si="216"/>
        <v>15224.408697938232</v>
      </c>
      <c r="F345" s="234">
        <f t="shared" si="216"/>
        <v>19148.332427628411</v>
      </c>
      <c r="G345" s="234">
        <f t="shared" si="216"/>
        <v>22947.90919610042</v>
      </c>
      <c r="H345" s="234">
        <f t="shared" si="216"/>
        <v>26633.228322088122</v>
      </c>
      <c r="I345" s="234">
        <f t="shared" si="216"/>
        <v>31276.944380754885</v>
      </c>
      <c r="J345" s="234">
        <f t="shared" si="216"/>
        <v>35728.590108612661</v>
      </c>
      <c r="K345" s="234">
        <f t="shared" si="216"/>
        <v>39987.616679454142</v>
      </c>
      <c r="L345" s="234">
        <f t="shared" si="216"/>
        <v>44053.079679651302</v>
      </c>
      <c r="M345" s="234">
        <f t="shared" si="216"/>
        <v>47923.657373393078</v>
      </c>
      <c r="N345" s="234">
        <f t="shared" si="216"/>
        <v>57482.933286125575</v>
      </c>
      <c r="O345" s="234">
        <f t="shared" si="216"/>
        <v>66328.915690024383</v>
      </c>
      <c r="P345" s="234">
        <f t="shared" si="216"/>
        <v>74478.08493537498</v>
      </c>
      <c r="Q345" s="234">
        <f t="shared" si="216"/>
        <v>81933.470137720738</v>
      </c>
      <c r="R345" s="234">
        <f t="shared" si="216"/>
        <v>88704.97398472183</v>
      </c>
      <c r="S345" s="234">
        <f t="shared" si="216"/>
        <v>94760.584217925425</v>
      </c>
      <c r="T345" s="234">
        <f t="shared" si="216"/>
        <v>100223.44670986793</v>
      </c>
      <c r="U345" s="234">
        <f t="shared" si="216"/>
        <v>105106.38047038883</v>
      </c>
      <c r="V345" s="234">
        <f t="shared" si="216"/>
        <v>109421.25397470521</v>
      </c>
      <c r="W345" s="234">
        <f t="shared" si="216"/>
        <v>113179.02182983932</v>
      </c>
      <c r="X345" s="234">
        <f t="shared" si="216"/>
        <v>123048.01031070486</v>
      </c>
      <c r="Y345" s="234">
        <f t="shared" si="216"/>
        <v>131874.72595775296</v>
      </c>
      <c r="Z345" s="234">
        <f t="shared" si="216"/>
        <v>139627.23580822579</v>
      </c>
      <c r="AA345" s="234">
        <f t="shared" si="216"/>
        <v>146355.71475868428</v>
      </c>
      <c r="AB345" s="234">
        <f t="shared" si="216"/>
        <v>152075.91920430001</v>
      </c>
      <c r="AC345" s="234">
        <f t="shared" si="216"/>
        <v>156531.69905595569</v>
      </c>
      <c r="AD345" s="234">
        <f t="shared" si="216"/>
        <v>159924.49905092601</v>
      </c>
      <c r="AE345" s="234">
        <f t="shared" si="216"/>
        <v>162261.10968672851</v>
      </c>
      <c r="AF345" s="234">
        <f t="shared" si="216"/>
        <v>163547.11548237788</v>
      </c>
      <c r="AG345" s="234">
        <f t="shared" si="216"/>
        <v>163786.94309297288</v>
      </c>
      <c r="AI345" s="698"/>
      <c r="AJ345" s="300"/>
    </row>
    <row r="346" spans="1:36" s="169" customFormat="1">
      <c r="A346" s="169" t="s">
        <v>1395</v>
      </c>
      <c r="B346" s="326" t="s">
        <v>127</v>
      </c>
      <c r="C346" s="234">
        <f>IF(C325&gt;C345,C345,C325)</f>
        <v>10833.230671481324</v>
      </c>
      <c r="D346" s="234">
        <f t="shared" ref="D346:AG346" si="217">IF(D325&gt;D345,D345,D325)</f>
        <v>11352.949318475235</v>
      </c>
      <c r="E346" s="234">
        <f t="shared" si="217"/>
        <v>15224.408697938232</v>
      </c>
      <c r="F346" s="234">
        <f t="shared" si="217"/>
        <v>19148.332427628411</v>
      </c>
      <c r="G346" s="234">
        <f t="shared" si="217"/>
        <v>22947.90919610042</v>
      </c>
      <c r="H346" s="234">
        <f t="shared" si="217"/>
        <v>26633.228322088122</v>
      </c>
      <c r="I346" s="234">
        <f t="shared" si="217"/>
        <v>31276.944380754885</v>
      </c>
      <c r="J346" s="234">
        <f t="shared" si="217"/>
        <v>35728.590108612661</v>
      </c>
      <c r="K346" s="234">
        <f t="shared" si="217"/>
        <v>39987.616679454142</v>
      </c>
      <c r="L346" s="234">
        <f t="shared" si="217"/>
        <v>44053.079679651302</v>
      </c>
      <c r="M346" s="234">
        <f t="shared" si="217"/>
        <v>47923.657373393078</v>
      </c>
      <c r="N346" s="234">
        <f t="shared" si="217"/>
        <v>57482.933286125575</v>
      </c>
      <c r="O346" s="234">
        <f t="shared" si="217"/>
        <v>66328.915690024383</v>
      </c>
      <c r="P346" s="234">
        <f t="shared" si="217"/>
        <v>74478.08493537498</v>
      </c>
      <c r="Q346" s="234">
        <f t="shared" si="217"/>
        <v>81933.470137720738</v>
      </c>
      <c r="R346" s="234">
        <f t="shared" si="217"/>
        <v>88704.97398472183</v>
      </c>
      <c r="S346" s="234">
        <f t="shared" si="217"/>
        <v>94760.584217925425</v>
      </c>
      <c r="T346" s="234">
        <f t="shared" si="217"/>
        <v>100223.44670986793</v>
      </c>
      <c r="U346" s="234">
        <f t="shared" si="217"/>
        <v>105106.38047038883</v>
      </c>
      <c r="V346" s="234">
        <f t="shared" si="217"/>
        <v>109421.25397470521</v>
      </c>
      <c r="W346" s="234">
        <f t="shared" si="217"/>
        <v>113179.02182983932</v>
      </c>
      <c r="X346" s="234">
        <f t="shared" si="217"/>
        <v>123048.01031070486</v>
      </c>
      <c r="Y346" s="234">
        <f t="shared" si="217"/>
        <v>131874.72595775296</v>
      </c>
      <c r="Z346" s="234">
        <f t="shared" si="217"/>
        <v>139627.23580822579</v>
      </c>
      <c r="AA346" s="234">
        <f t="shared" si="217"/>
        <v>146355.71475868428</v>
      </c>
      <c r="AB346" s="234">
        <f t="shared" si="217"/>
        <v>152075.91920430001</v>
      </c>
      <c r="AC346" s="234">
        <f t="shared" si="217"/>
        <v>154463.60951352608</v>
      </c>
      <c r="AD346" s="234">
        <f t="shared" si="217"/>
        <v>152447.79826774649</v>
      </c>
      <c r="AE346" s="234">
        <f t="shared" si="217"/>
        <v>150201.36384798383</v>
      </c>
      <c r="AF346" s="234">
        <f t="shared" si="217"/>
        <v>147722.94424521911</v>
      </c>
      <c r="AG346" s="234">
        <f t="shared" si="217"/>
        <v>145011.199395395</v>
      </c>
      <c r="AI346" s="698"/>
      <c r="AJ346" s="300"/>
    </row>
    <row r="347" spans="1:36" s="169" customFormat="1">
      <c r="A347" s="169" t="s">
        <v>1396</v>
      </c>
      <c r="B347" s="326" t="s">
        <v>127</v>
      </c>
      <c r="C347" s="234">
        <f>IF(C345-C346&lt;0,0,C345-C346)</f>
        <v>0</v>
      </c>
      <c r="D347" s="234">
        <f t="shared" ref="D347:AG347" si="218">IF(D345-D346&lt;0,0,D345-D346)</f>
        <v>0</v>
      </c>
      <c r="E347" s="234">
        <f t="shared" si="218"/>
        <v>0</v>
      </c>
      <c r="F347" s="234">
        <f t="shared" si="218"/>
        <v>0</v>
      </c>
      <c r="G347" s="234">
        <f t="shared" si="218"/>
        <v>0</v>
      </c>
      <c r="H347" s="234">
        <f t="shared" si="218"/>
        <v>0</v>
      </c>
      <c r="I347" s="234">
        <f t="shared" si="218"/>
        <v>0</v>
      </c>
      <c r="J347" s="234">
        <f t="shared" si="218"/>
        <v>0</v>
      </c>
      <c r="K347" s="234">
        <f t="shared" si="218"/>
        <v>0</v>
      </c>
      <c r="L347" s="234">
        <f t="shared" si="218"/>
        <v>0</v>
      </c>
      <c r="M347" s="234">
        <f t="shared" si="218"/>
        <v>0</v>
      </c>
      <c r="N347" s="234">
        <f t="shared" si="218"/>
        <v>0</v>
      </c>
      <c r="O347" s="234">
        <f t="shared" si="218"/>
        <v>0</v>
      </c>
      <c r="P347" s="234">
        <f t="shared" si="218"/>
        <v>0</v>
      </c>
      <c r="Q347" s="234">
        <f t="shared" si="218"/>
        <v>0</v>
      </c>
      <c r="R347" s="234">
        <f t="shared" si="218"/>
        <v>0</v>
      </c>
      <c r="S347" s="234">
        <f t="shared" si="218"/>
        <v>0</v>
      </c>
      <c r="T347" s="234">
        <f t="shared" si="218"/>
        <v>0</v>
      </c>
      <c r="U347" s="234">
        <f t="shared" si="218"/>
        <v>0</v>
      </c>
      <c r="V347" s="234">
        <f t="shared" si="218"/>
        <v>0</v>
      </c>
      <c r="W347" s="234">
        <f t="shared" si="218"/>
        <v>0</v>
      </c>
      <c r="X347" s="234">
        <f t="shared" si="218"/>
        <v>0</v>
      </c>
      <c r="Y347" s="234">
        <f t="shared" si="218"/>
        <v>0</v>
      </c>
      <c r="Z347" s="234">
        <f t="shared" si="218"/>
        <v>0</v>
      </c>
      <c r="AA347" s="234">
        <f t="shared" si="218"/>
        <v>0</v>
      </c>
      <c r="AB347" s="234">
        <f t="shared" si="218"/>
        <v>0</v>
      </c>
      <c r="AC347" s="234">
        <f t="shared" si="218"/>
        <v>2068.0895424296032</v>
      </c>
      <c r="AD347" s="234">
        <f t="shared" si="218"/>
        <v>7476.7007831795199</v>
      </c>
      <c r="AE347" s="234">
        <f t="shared" si="218"/>
        <v>12059.745838744682</v>
      </c>
      <c r="AF347" s="234">
        <f t="shared" si="218"/>
        <v>15824.171237158764</v>
      </c>
      <c r="AG347" s="234">
        <f t="shared" si="218"/>
        <v>18775.743697577884</v>
      </c>
      <c r="AI347" s="698"/>
      <c r="AJ347" s="300"/>
    </row>
    <row r="348" spans="1:36" s="169" customFormat="1">
      <c r="A348" s="169" t="s">
        <v>1397</v>
      </c>
      <c r="B348" s="326" t="s">
        <v>127</v>
      </c>
      <c r="C348" s="234">
        <f>C342*C299+C296*C345+C332+IF(C325&gt;C345,C325-C345,0)</f>
        <v>153409.77060059071</v>
      </c>
      <c r="D348" s="234">
        <f t="shared" ref="D348:AG348" si="219">D342*D299+D296*D345+D332+IF(D325&gt;D345,D325-D345,0)</f>
        <v>157972.06243337097</v>
      </c>
      <c r="E348" s="234">
        <f t="shared" si="219"/>
        <v>160147.69724337204</v>
      </c>
      <c r="F348" s="234">
        <f t="shared" si="219"/>
        <v>162384.13535758987</v>
      </c>
      <c r="G348" s="234">
        <f t="shared" si="219"/>
        <v>164612.68380115225</v>
      </c>
      <c r="H348" s="234">
        <f t="shared" si="219"/>
        <v>166828.40470108512</v>
      </c>
      <c r="I348" s="234">
        <f t="shared" si="219"/>
        <v>166450.49795597361</v>
      </c>
      <c r="J348" s="234">
        <f t="shared" si="219"/>
        <v>165985.3289091496</v>
      </c>
      <c r="K348" s="234">
        <f t="shared" si="219"/>
        <v>165435.16375985509</v>
      </c>
      <c r="L348" s="234">
        <f t="shared" si="219"/>
        <v>164802.58404019399</v>
      </c>
      <c r="M348" s="234">
        <f t="shared" si="219"/>
        <v>164090.48661513248</v>
      </c>
      <c r="N348" s="234">
        <f t="shared" si="219"/>
        <v>158163.01541538644</v>
      </c>
      <c r="O348" s="234">
        <f t="shared" si="219"/>
        <v>152360.26112851751</v>
      </c>
      <c r="P348" s="234">
        <f t="shared" si="219"/>
        <v>146651.08342291968</v>
      </c>
      <c r="Q348" s="234">
        <f t="shared" si="219"/>
        <v>141073.36484626145</v>
      </c>
      <c r="R348" s="234">
        <f t="shared" si="219"/>
        <v>135631.12609528302</v>
      </c>
      <c r="S348" s="234">
        <f t="shared" si="219"/>
        <v>130966.5592099933</v>
      </c>
      <c r="T348" s="234">
        <f t="shared" si="219"/>
        <v>126425.32423183919</v>
      </c>
      <c r="U348" s="234">
        <f t="shared" si="219"/>
        <v>122007.9164124922</v>
      </c>
      <c r="V348" s="234">
        <f t="shared" si="219"/>
        <v>117715.29720306149</v>
      </c>
      <c r="W348" s="234">
        <f t="shared" si="219"/>
        <v>113548.89425642935</v>
      </c>
      <c r="X348" s="234">
        <f t="shared" si="219"/>
        <v>104745.28054396741</v>
      </c>
      <c r="Y348" s="234">
        <f t="shared" si="219"/>
        <v>96347.766720368818</v>
      </c>
      <c r="Z348" s="234">
        <f t="shared" si="219"/>
        <v>88303.288670848982</v>
      </c>
      <c r="AA348" s="234">
        <f t="shared" si="219"/>
        <v>80682.378772276032</v>
      </c>
      <c r="AB348" s="234">
        <f t="shared" si="219"/>
        <v>73491.204262682601</v>
      </c>
      <c r="AC348" s="234">
        <f t="shared" si="219"/>
        <v>68616.792347147304</v>
      </c>
      <c r="AD348" s="234">
        <f t="shared" si="219"/>
        <v>67577.162787163106</v>
      </c>
      <c r="AE348" s="234">
        <f t="shared" si="219"/>
        <v>66220.124201232844</v>
      </c>
      <c r="AF348" s="234">
        <f t="shared" si="219"/>
        <v>64567.455939148509</v>
      </c>
      <c r="AG348" s="234">
        <f t="shared" si="219"/>
        <v>62640.69387909639</v>
      </c>
      <c r="AI348" s="698"/>
      <c r="AJ348" s="300"/>
    </row>
    <row r="349" spans="1:36" s="169" customFormat="1">
      <c r="A349" s="169" t="s">
        <v>1398</v>
      </c>
      <c r="B349" s="326" t="s">
        <v>127</v>
      </c>
      <c r="C349" s="234">
        <f>C328-C347</f>
        <v>665280.48772705928</v>
      </c>
      <c r="D349" s="234">
        <f t="shared" ref="D349:AF349" si="220">D328-D347</f>
        <v>659575.41503660148</v>
      </c>
      <c r="E349" s="234">
        <f t="shared" si="220"/>
        <v>652466.51945689111</v>
      </c>
      <c r="F349" s="234">
        <f t="shared" si="220"/>
        <v>646047.52157735033</v>
      </c>
      <c r="G349" s="234">
        <f t="shared" si="220"/>
        <v>639621.66686962673</v>
      </c>
      <c r="H349" s="234">
        <f t="shared" si="220"/>
        <v>633189.81268765824</v>
      </c>
      <c r="I349" s="234">
        <f t="shared" si="220"/>
        <v>620346.30571287789</v>
      </c>
      <c r="J349" s="234">
        <f t="shared" si="220"/>
        <v>607564.91900214076</v>
      </c>
      <c r="K349" s="234">
        <f t="shared" si="220"/>
        <v>594847.63133937737</v>
      </c>
      <c r="L349" s="234">
        <f t="shared" si="220"/>
        <v>582196.40497478237</v>
      </c>
      <c r="M349" s="234">
        <f t="shared" si="220"/>
        <v>569613.18562481436</v>
      </c>
      <c r="N349" s="234">
        <f t="shared" si="220"/>
        <v>553339.31578894961</v>
      </c>
      <c r="O349" s="234">
        <f t="shared" si="220"/>
        <v>537179.59963246481</v>
      </c>
      <c r="P349" s="234">
        <f t="shared" si="220"/>
        <v>521053.99752807588</v>
      </c>
      <c r="Q349" s="234">
        <f t="shared" si="220"/>
        <v>505048.07998112933</v>
      </c>
      <c r="R349" s="234">
        <f t="shared" si="220"/>
        <v>489164.38169801986</v>
      </c>
      <c r="S349" s="234">
        <f t="shared" si="220"/>
        <v>474889.35306423483</v>
      </c>
      <c r="T349" s="234">
        <f t="shared" si="220"/>
        <v>460723.47469275084</v>
      </c>
      <c r="U349" s="234">
        <f t="shared" si="220"/>
        <v>446668.95332606684</v>
      </c>
      <c r="V349" s="234">
        <f t="shared" si="220"/>
        <v>432727.97525639512</v>
      </c>
      <c r="W349" s="234">
        <f t="shared" si="220"/>
        <v>418902.70632332447</v>
      </c>
      <c r="X349" s="234">
        <f t="shared" si="220"/>
        <v>405089.56537797826</v>
      </c>
      <c r="Y349" s="234">
        <f t="shared" si="220"/>
        <v>391397.7948270482</v>
      </c>
      <c r="Z349" s="234">
        <f t="shared" si="220"/>
        <v>377641.88991767837</v>
      </c>
      <c r="AA349" s="234">
        <f t="shared" si="220"/>
        <v>364010.953207805</v>
      </c>
      <c r="AB349" s="234">
        <f t="shared" si="220"/>
        <v>350507.16395426629</v>
      </c>
      <c r="AC349" s="234">
        <f t="shared" si="220"/>
        <v>334348.41592347057</v>
      </c>
      <c r="AD349" s="234">
        <f t="shared" si="220"/>
        <v>314990.76035015355</v>
      </c>
      <c r="AE349" s="234">
        <f t="shared" si="220"/>
        <v>296602.52732340555</v>
      </c>
      <c r="AF349" s="234">
        <f t="shared" si="220"/>
        <v>279178.99114665063</v>
      </c>
      <c r="AG349" s="234">
        <f>AG328-AG347</f>
        <v>262716.58454054175</v>
      </c>
      <c r="AI349" s="698"/>
      <c r="AJ349" s="300"/>
    </row>
    <row r="350" spans="1:36" s="169" customFormat="1">
      <c r="B350" s="327"/>
      <c r="C350" s="304"/>
      <c r="D350" s="304"/>
      <c r="E350" s="304"/>
      <c r="F350" s="304"/>
      <c r="G350" s="304"/>
      <c r="H350" s="304"/>
      <c r="I350" s="304"/>
      <c r="J350" s="304"/>
      <c r="K350" s="304"/>
      <c r="L350" s="304"/>
      <c r="M350" s="304"/>
      <c r="N350" s="304"/>
      <c r="O350" s="304"/>
      <c r="P350" s="304"/>
      <c r="Q350" s="304"/>
      <c r="R350" s="304"/>
      <c r="S350" s="304"/>
      <c r="T350" s="304"/>
      <c r="U350" s="304"/>
      <c r="V350" s="304"/>
      <c r="W350" s="304"/>
      <c r="X350" s="304"/>
      <c r="Y350" s="304"/>
      <c r="Z350" s="304"/>
      <c r="AA350" s="304"/>
      <c r="AB350" s="304"/>
      <c r="AC350" s="304"/>
      <c r="AD350" s="304"/>
      <c r="AE350" s="304"/>
      <c r="AF350" s="304"/>
      <c r="AG350" s="304"/>
      <c r="AJ350" s="300"/>
    </row>
    <row r="351" spans="1:36" s="169" customFormat="1">
      <c r="A351" s="169" t="s">
        <v>753</v>
      </c>
      <c r="B351" s="327" t="s">
        <v>126</v>
      </c>
      <c r="C351" s="275">
        <v>0.8</v>
      </c>
      <c r="D351" s="296">
        <f>C351</f>
        <v>0.8</v>
      </c>
      <c r="E351" s="296">
        <f t="shared" ref="E351:AG351" si="221">D351</f>
        <v>0.8</v>
      </c>
      <c r="F351" s="296">
        <f t="shared" si="221"/>
        <v>0.8</v>
      </c>
      <c r="G351" s="296">
        <f t="shared" si="221"/>
        <v>0.8</v>
      </c>
      <c r="H351" s="296">
        <f t="shared" si="221"/>
        <v>0.8</v>
      </c>
      <c r="I351" s="296">
        <f t="shared" si="221"/>
        <v>0.8</v>
      </c>
      <c r="J351" s="296">
        <f t="shared" si="221"/>
        <v>0.8</v>
      </c>
      <c r="K351" s="296">
        <f t="shared" si="221"/>
        <v>0.8</v>
      </c>
      <c r="L351" s="296">
        <f t="shared" si="221"/>
        <v>0.8</v>
      </c>
      <c r="M351" s="296">
        <f>L351</f>
        <v>0.8</v>
      </c>
      <c r="N351" s="296">
        <f t="shared" si="221"/>
        <v>0.8</v>
      </c>
      <c r="O351" s="296">
        <f t="shared" si="221"/>
        <v>0.8</v>
      </c>
      <c r="P351" s="296">
        <f t="shared" si="221"/>
        <v>0.8</v>
      </c>
      <c r="Q351" s="296">
        <f t="shared" si="221"/>
        <v>0.8</v>
      </c>
      <c r="R351" s="296">
        <f t="shared" si="221"/>
        <v>0.8</v>
      </c>
      <c r="S351" s="296">
        <f t="shared" si="221"/>
        <v>0.8</v>
      </c>
      <c r="T351" s="296">
        <f t="shared" si="221"/>
        <v>0.8</v>
      </c>
      <c r="U351" s="296">
        <f t="shared" si="221"/>
        <v>0.8</v>
      </c>
      <c r="V351" s="296">
        <f t="shared" si="221"/>
        <v>0.8</v>
      </c>
      <c r="W351" s="296">
        <f t="shared" si="221"/>
        <v>0.8</v>
      </c>
      <c r="X351" s="296">
        <f t="shared" si="221"/>
        <v>0.8</v>
      </c>
      <c r="Y351" s="296">
        <f t="shared" si="221"/>
        <v>0.8</v>
      </c>
      <c r="Z351" s="296">
        <f t="shared" si="221"/>
        <v>0.8</v>
      </c>
      <c r="AA351" s="296">
        <f t="shared" si="221"/>
        <v>0.8</v>
      </c>
      <c r="AB351" s="296">
        <f t="shared" si="221"/>
        <v>0.8</v>
      </c>
      <c r="AC351" s="296">
        <f t="shared" si="221"/>
        <v>0.8</v>
      </c>
      <c r="AD351" s="296">
        <f t="shared" si="221"/>
        <v>0.8</v>
      </c>
      <c r="AE351" s="296">
        <f t="shared" si="221"/>
        <v>0.8</v>
      </c>
      <c r="AF351" s="296">
        <f t="shared" si="221"/>
        <v>0.8</v>
      </c>
      <c r="AG351" s="296">
        <f t="shared" si="221"/>
        <v>0.8</v>
      </c>
      <c r="AJ351" s="300" t="s">
        <v>754</v>
      </c>
    </row>
    <row r="352" spans="1:36" s="169" customFormat="1">
      <c r="B352" s="327"/>
      <c r="C352" s="304"/>
      <c r="D352" s="304"/>
      <c r="E352" s="304"/>
      <c r="F352" s="304"/>
      <c r="G352" s="304"/>
      <c r="H352" s="304"/>
      <c r="I352" s="304"/>
      <c r="J352" s="304"/>
      <c r="K352" s="304"/>
      <c r="L352" s="304"/>
      <c r="M352" s="304"/>
      <c r="N352" s="304"/>
      <c r="O352" s="304"/>
      <c r="P352" s="304"/>
      <c r="Q352" s="304"/>
      <c r="R352" s="304"/>
      <c r="S352" s="304"/>
      <c r="T352" s="304"/>
      <c r="U352" s="304"/>
      <c r="V352" s="304"/>
      <c r="W352" s="304"/>
      <c r="X352" s="304"/>
      <c r="Y352" s="304"/>
      <c r="Z352" s="304"/>
      <c r="AA352" s="304"/>
      <c r="AB352" s="304"/>
      <c r="AC352" s="304"/>
      <c r="AD352" s="304"/>
      <c r="AE352" s="304"/>
      <c r="AF352" s="304"/>
      <c r="AG352" s="304"/>
      <c r="AJ352" s="300"/>
    </row>
    <row r="353" spans="1:37" s="169" customFormat="1">
      <c r="A353" s="169" t="s">
        <v>710</v>
      </c>
      <c r="B353" s="327" t="s">
        <v>127</v>
      </c>
      <c r="C353" s="304">
        <f>C287*C348*C351</f>
        <v>27000.11962570397</v>
      </c>
      <c r="D353" s="304">
        <f t="shared" ref="D353:AG353" si="222">D287*D348*D351</f>
        <v>28645.600654584603</v>
      </c>
      <c r="E353" s="304">
        <f t="shared" si="222"/>
        <v>29894.236818762776</v>
      </c>
      <c r="F353" s="304">
        <f t="shared" si="222"/>
        <v>31177.753988657252</v>
      </c>
      <c r="G353" s="304">
        <f t="shared" si="222"/>
        <v>32483.569603427371</v>
      </c>
      <c r="H353" s="304">
        <f t="shared" si="222"/>
        <v>33810.55668608658</v>
      </c>
      <c r="I353" s="304">
        <f t="shared" si="222"/>
        <v>34621.703574842504</v>
      </c>
      <c r="J353" s="304">
        <f t="shared" si="222"/>
        <v>35410.203500618569</v>
      </c>
      <c r="K353" s="304">
        <f t="shared" si="222"/>
        <v>36175.155808821633</v>
      </c>
      <c r="L353" s="304">
        <f t="shared" si="222"/>
        <v>36915.778825003443</v>
      </c>
      <c r="M353" s="304">
        <f t="shared" si="222"/>
        <v>37631.41826373704</v>
      </c>
      <c r="N353" s="304">
        <f t="shared" si="222"/>
        <v>37115.587617477337</v>
      </c>
      <c r="O353" s="304">
        <f t="shared" si="222"/>
        <v>36566.462670844187</v>
      </c>
      <c r="P353" s="304">
        <f t="shared" si="222"/>
        <v>35978.39913308961</v>
      </c>
      <c r="Q353" s="304">
        <f t="shared" si="222"/>
        <v>35362.390121462857</v>
      </c>
      <c r="R353" s="304">
        <f t="shared" si="222"/>
        <v>34721.568280392436</v>
      </c>
      <c r="S353" s="304">
        <f t="shared" si="222"/>
        <v>34225.9274735449</v>
      </c>
      <c r="T353" s="304">
        <f t="shared" si="222"/>
        <v>33713.419795157097</v>
      </c>
      <c r="U353" s="304">
        <f t="shared" si="222"/>
        <v>33186.153264197863</v>
      </c>
      <c r="V353" s="304">
        <f t="shared" si="222"/>
        <v>32646.375757649035</v>
      </c>
      <c r="W353" s="304">
        <f t="shared" si="222"/>
        <v>32096.48744315068</v>
      </c>
      <c r="X353" s="304">
        <f t="shared" si="222"/>
        <v>30166.640796662596</v>
      </c>
      <c r="Y353" s="304">
        <f t="shared" si="222"/>
        <v>28262.011571308169</v>
      </c>
      <c r="Z353" s="304">
        <f t="shared" si="222"/>
        <v>26373.248883026881</v>
      </c>
      <c r="AA353" s="304">
        <f t="shared" si="222"/>
        <v>24527.443146771897</v>
      </c>
      <c r="AB353" s="304">
        <f t="shared" si="222"/>
        <v>22733.27918525647</v>
      </c>
      <c r="AC353" s="304">
        <f t="shared" si="222"/>
        <v>21591.41732523567</v>
      </c>
      <c r="AD353" s="304">
        <f t="shared" si="222"/>
        <v>21624.692091892179</v>
      </c>
      <c r="AE353" s="304">
        <f t="shared" si="222"/>
        <v>21543.613740134402</v>
      </c>
      <c r="AF353" s="304">
        <f t="shared" si="222"/>
        <v>21350.305430545093</v>
      </c>
      <c r="AG353" s="304">
        <f t="shared" si="222"/>
        <v>21047.273143376387</v>
      </c>
      <c r="AJ353" s="300"/>
    </row>
    <row r="354" spans="1:37" s="169" customFormat="1">
      <c r="A354" s="169" t="s">
        <v>715</v>
      </c>
      <c r="B354" s="327" t="s">
        <v>127</v>
      </c>
      <c r="C354" s="304">
        <f>C348*C351-C353</f>
        <v>95727.696854768597</v>
      </c>
      <c r="D354" s="304">
        <f t="shared" ref="D354:AG354" si="223">D348*D351-D353</f>
        <v>97732.049292112177</v>
      </c>
      <c r="E354" s="304">
        <f t="shared" si="223"/>
        <v>98223.92097593486</v>
      </c>
      <c r="F354" s="304">
        <f t="shared" si="223"/>
        <v>98729.554297414652</v>
      </c>
      <c r="G354" s="304">
        <f t="shared" si="223"/>
        <v>99206.577437494445</v>
      </c>
      <c r="H354" s="304">
        <f t="shared" si="223"/>
        <v>99652.167074781522</v>
      </c>
      <c r="I354" s="304">
        <f t="shared" si="223"/>
        <v>98538.694789936388</v>
      </c>
      <c r="J354" s="304">
        <f t="shared" si="223"/>
        <v>97378.059626701113</v>
      </c>
      <c r="K354" s="304">
        <f t="shared" si="223"/>
        <v>96172.975199062435</v>
      </c>
      <c r="L354" s="304">
        <f t="shared" si="223"/>
        <v>94926.288407151762</v>
      </c>
      <c r="M354" s="304">
        <f t="shared" si="223"/>
        <v>93640.971028368964</v>
      </c>
      <c r="N354" s="304">
        <f t="shared" si="223"/>
        <v>89414.824714831833</v>
      </c>
      <c r="O354" s="304">
        <f t="shared" si="223"/>
        <v>85321.746231969824</v>
      </c>
      <c r="P354" s="304">
        <f t="shared" si="223"/>
        <v>81342.467605246144</v>
      </c>
      <c r="Q354" s="304">
        <f t="shared" si="223"/>
        <v>77496.301755546316</v>
      </c>
      <c r="R354" s="304">
        <f t="shared" si="223"/>
        <v>73783.332595833985</v>
      </c>
      <c r="S354" s="304">
        <f t="shared" si="223"/>
        <v>70547.319894449742</v>
      </c>
      <c r="T354" s="304">
        <f t="shared" si="223"/>
        <v>67426.839590314252</v>
      </c>
      <c r="U354" s="304">
        <f t="shared" si="223"/>
        <v>64420.179865795893</v>
      </c>
      <c r="V354" s="304">
        <f t="shared" si="223"/>
        <v>61525.862004800161</v>
      </c>
      <c r="W354" s="304">
        <f t="shared" si="223"/>
        <v>58742.62796199281</v>
      </c>
      <c r="X354" s="304">
        <f t="shared" si="223"/>
        <v>53629.583638511336</v>
      </c>
      <c r="Y354" s="304">
        <f t="shared" si="223"/>
        <v>48816.201804986886</v>
      </c>
      <c r="Z354" s="304">
        <f t="shared" si="223"/>
        <v>44269.382053652298</v>
      </c>
      <c r="AA354" s="304">
        <f t="shared" si="223"/>
        <v>40018.45987104893</v>
      </c>
      <c r="AB354" s="304">
        <f t="shared" si="223"/>
        <v>36059.684224889614</v>
      </c>
      <c r="AC354" s="304">
        <f t="shared" si="223"/>
        <v>33302.016552482179</v>
      </c>
      <c r="AD354" s="304">
        <f t="shared" si="223"/>
        <v>32437.038137838306</v>
      </c>
      <c r="AE354" s="304">
        <f t="shared" si="223"/>
        <v>31432.485620851876</v>
      </c>
      <c r="AF354" s="304">
        <f t="shared" si="223"/>
        <v>30303.659320773717</v>
      </c>
      <c r="AG354" s="304">
        <f t="shared" si="223"/>
        <v>29065.281959900731</v>
      </c>
      <c r="AJ354" s="300"/>
    </row>
    <row r="355" spans="1:37" s="169" customFormat="1">
      <c r="B355" s="165"/>
      <c r="C355" s="304"/>
      <c r="D355" s="304"/>
      <c r="E355" s="304"/>
      <c r="F355" s="304"/>
      <c r="G355" s="304"/>
      <c r="H355" s="304"/>
      <c r="I355" s="304"/>
      <c r="J355" s="304"/>
      <c r="K355" s="304"/>
      <c r="L355" s="304"/>
      <c r="M355" s="304"/>
      <c r="N355" s="304"/>
      <c r="O355" s="304"/>
      <c r="P355" s="304"/>
      <c r="Q355" s="304"/>
      <c r="R355" s="304"/>
      <c r="S355" s="304"/>
      <c r="T355" s="304"/>
      <c r="U355" s="304"/>
      <c r="V355" s="304"/>
      <c r="W355" s="304"/>
      <c r="X355" s="304"/>
      <c r="Y355" s="304"/>
      <c r="Z355" s="304"/>
      <c r="AA355" s="304"/>
      <c r="AB355" s="304"/>
      <c r="AC355" s="304"/>
      <c r="AD355" s="304"/>
      <c r="AE355" s="304"/>
      <c r="AF355" s="304"/>
      <c r="AG355" s="304"/>
      <c r="AJ355" s="300"/>
    </row>
    <row r="356" spans="1:37" s="169" customFormat="1">
      <c r="B356" s="197" t="s">
        <v>709</v>
      </c>
      <c r="C356" s="308">
        <v>0</v>
      </c>
      <c r="D356" s="308">
        <f>C356+1</f>
        <v>1</v>
      </c>
      <c r="E356" s="308">
        <f t="shared" ref="E356:AG356" si="224">D356+1</f>
        <v>2</v>
      </c>
      <c r="F356" s="308">
        <f t="shared" si="224"/>
        <v>3</v>
      </c>
      <c r="G356" s="308">
        <f t="shared" si="224"/>
        <v>4</v>
      </c>
      <c r="H356" s="308">
        <f t="shared" si="224"/>
        <v>5</v>
      </c>
      <c r="I356" s="308">
        <f t="shared" si="224"/>
        <v>6</v>
      </c>
      <c r="J356" s="308">
        <f t="shared" si="224"/>
        <v>7</v>
      </c>
      <c r="K356" s="308">
        <f t="shared" si="224"/>
        <v>8</v>
      </c>
      <c r="L356" s="308">
        <f t="shared" si="224"/>
        <v>9</v>
      </c>
      <c r="M356" s="308">
        <f t="shared" si="224"/>
        <v>10</v>
      </c>
      <c r="N356" s="308">
        <f t="shared" si="224"/>
        <v>11</v>
      </c>
      <c r="O356" s="308">
        <f t="shared" si="224"/>
        <v>12</v>
      </c>
      <c r="P356" s="308">
        <f t="shared" si="224"/>
        <v>13</v>
      </c>
      <c r="Q356" s="308">
        <f t="shared" si="224"/>
        <v>14</v>
      </c>
      <c r="R356" s="308">
        <f t="shared" si="224"/>
        <v>15</v>
      </c>
      <c r="S356" s="308">
        <f t="shared" si="224"/>
        <v>16</v>
      </c>
      <c r="T356" s="308">
        <f t="shared" si="224"/>
        <v>17</v>
      </c>
      <c r="U356" s="308">
        <f t="shared" si="224"/>
        <v>18</v>
      </c>
      <c r="V356" s="308">
        <f t="shared" si="224"/>
        <v>19</v>
      </c>
      <c r="W356" s="308">
        <f t="shared" si="224"/>
        <v>20</v>
      </c>
      <c r="X356" s="308">
        <f t="shared" si="224"/>
        <v>21</v>
      </c>
      <c r="Y356" s="308">
        <f t="shared" si="224"/>
        <v>22</v>
      </c>
      <c r="Z356" s="308">
        <f t="shared" si="224"/>
        <v>23</v>
      </c>
      <c r="AA356" s="308">
        <f t="shared" si="224"/>
        <v>24</v>
      </c>
      <c r="AB356" s="308">
        <f t="shared" si="224"/>
        <v>25</v>
      </c>
      <c r="AC356" s="308">
        <f t="shared" si="224"/>
        <v>26</v>
      </c>
      <c r="AD356" s="308">
        <f t="shared" si="224"/>
        <v>27</v>
      </c>
      <c r="AE356" s="308">
        <f t="shared" si="224"/>
        <v>28</v>
      </c>
      <c r="AF356" s="308">
        <f t="shared" si="224"/>
        <v>29</v>
      </c>
      <c r="AG356" s="308">
        <f t="shared" si="224"/>
        <v>30</v>
      </c>
      <c r="AJ356" s="300" t="s">
        <v>717</v>
      </c>
      <c r="AK356" s="169">
        <f>'Propylene Recycling HC'!AK196</f>
        <v>1.9</v>
      </c>
    </row>
    <row r="357" spans="1:37" s="169" customFormat="1">
      <c r="A357" s="169" t="s">
        <v>761</v>
      </c>
      <c r="B357" s="165"/>
      <c r="C357" s="310">
        <f>$AK$358/((1+EXP(-$AK$357*(C356-$AK$359)))^$AK$356)</f>
        <v>4.6088632748610021E-5</v>
      </c>
      <c r="D357" s="310">
        <f t="shared" ref="D357:AG357" si="225">$AK$358/((1+EXP(-$AK$357*(D356-$AK$359)))^$AK$356)</f>
        <v>8.924759460408035E-5</v>
      </c>
      <c r="E357" s="310">
        <f t="shared" si="225"/>
        <v>1.7252431976790472E-4</v>
      </c>
      <c r="F357" s="310">
        <f t="shared" si="225"/>
        <v>3.3269643715580369E-4</v>
      </c>
      <c r="G357" s="310">
        <f t="shared" si="225"/>
        <v>6.393827369910735E-4</v>
      </c>
      <c r="H357" s="310">
        <f t="shared" si="225"/>
        <v>1.2229053771654547E-3</v>
      </c>
      <c r="I357" s="310">
        <f t="shared" si="225"/>
        <v>2.3234018804222717E-3</v>
      </c>
      <c r="J357" s="310">
        <f t="shared" si="225"/>
        <v>4.3736281679830789E-3</v>
      </c>
      <c r="K357" s="310">
        <f t="shared" si="225"/>
        <v>8.1294184230466908E-3</v>
      </c>
      <c r="L357" s="310">
        <f t="shared" si="225"/>
        <v>1.4853985082038716E-2</v>
      </c>
      <c r="M357" s="310">
        <f t="shared" si="225"/>
        <v>2.6531412096832362E-2</v>
      </c>
      <c r="N357" s="310">
        <f t="shared" si="225"/>
        <v>4.6014759335105015E-2</v>
      </c>
      <c r="O357" s="310">
        <f t="shared" si="225"/>
        <v>7.6910635328419796E-2</v>
      </c>
      <c r="P357" s="310">
        <f t="shared" si="225"/>
        <v>0.12294065829885638</v>
      </c>
      <c r="Q357" s="310">
        <f t="shared" si="225"/>
        <v>0.18666754187878853</v>
      </c>
      <c r="R357" s="310">
        <f t="shared" si="225"/>
        <v>0.26794336563407328</v>
      </c>
      <c r="S357" s="310">
        <f t="shared" si="225"/>
        <v>0.36297326582455031</v>
      </c>
      <c r="T357" s="310">
        <f t="shared" si="225"/>
        <v>0.46484396312424381</v>
      </c>
      <c r="U357" s="310">
        <f t="shared" si="225"/>
        <v>0.56546260593861253</v>
      </c>
      <c r="V357" s="310">
        <f t="shared" si="225"/>
        <v>0.6578403022607352</v>
      </c>
      <c r="W357" s="310">
        <f t="shared" si="225"/>
        <v>0.73754668886795227</v>
      </c>
      <c r="X357" s="310">
        <f t="shared" si="225"/>
        <v>0.80293052021410605</v>
      </c>
      <c r="Y357" s="310">
        <f t="shared" si="225"/>
        <v>0.85447682949112158</v>
      </c>
      <c r="Z357" s="310">
        <f t="shared" si="225"/>
        <v>0.89389910336617451</v>
      </c>
      <c r="AA357" s="310">
        <f t="shared" si="225"/>
        <v>0.92337223319290385</v>
      </c>
      <c r="AB357" s="310">
        <f t="shared" si="225"/>
        <v>0.94504210708611314</v>
      </c>
      <c r="AC357" s="310">
        <f t="shared" si="225"/>
        <v>0.96078240575184182</v>
      </c>
      <c r="AD357" s="310">
        <f t="shared" si="225"/>
        <v>0.97211605463477313</v>
      </c>
      <c r="AE357" s="310">
        <f t="shared" si="225"/>
        <v>0.98022577885232642</v>
      </c>
      <c r="AF357" s="310">
        <f t="shared" si="225"/>
        <v>0.98600279580400285</v>
      </c>
      <c r="AG357" s="310">
        <f t="shared" si="225"/>
        <v>0.9901050637460882</v>
      </c>
      <c r="AI357" s="165" t="s">
        <v>716</v>
      </c>
      <c r="AJ357" s="300" t="s">
        <v>718</v>
      </c>
      <c r="AK357" s="169">
        <f>'Propylene Recycling HC'!AK197</f>
        <v>0.35</v>
      </c>
    </row>
    <row r="358" spans="1:37" s="169" customFormat="1">
      <c r="B358" s="165"/>
      <c r="C358" s="306">
        <v>0</v>
      </c>
      <c r="D358" s="306">
        <v>0</v>
      </c>
      <c r="E358" s="306">
        <v>0</v>
      </c>
      <c r="F358" s="306">
        <v>0</v>
      </c>
      <c r="G358" s="306">
        <v>0</v>
      </c>
      <c r="H358" s="306">
        <v>0</v>
      </c>
      <c r="I358" s="306">
        <v>0</v>
      </c>
      <c r="J358" s="306">
        <v>0</v>
      </c>
      <c r="K358" s="306">
        <v>0</v>
      </c>
      <c r="L358" s="306">
        <v>0</v>
      </c>
      <c r="M358" s="306">
        <f>C357</f>
        <v>4.6088632748610021E-5</v>
      </c>
      <c r="N358" s="306">
        <v>0</v>
      </c>
      <c r="O358" s="306">
        <v>0</v>
      </c>
      <c r="P358" s="306">
        <v>0</v>
      </c>
      <c r="Q358" s="306">
        <v>0</v>
      </c>
      <c r="R358" s="306">
        <f t="shared" ref="R358:AG358" si="226">C357</f>
        <v>4.6088632748610021E-5</v>
      </c>
      <c r="S358" s="306">
        <f t="shared" si="226"/>
        <v>8.924759460408035E-5</v>
      </c>
      <c r="T358" s="306">
        <f t="shared" si="226"/>
        <v>1.7252431976790472E-4</v>
      </c>
      <c r="U358" s="306">
        <f t="shared" si="226"/>
        <v>3.3269643715580369E-4</v>
      </c>
      <c r="V358" s="306">
        <f t="shared" si="226"/>
        <v>6.393827369910735E-4</v>
      </c>
      <c r="W358" s="306">
        <f t="shared" si="226"/>
        <v>1.2229053771654547E-3</v>
      </c>
      <c r="X358" s="306">
        <f t="shared" si="226"/>
        <v>2.3234018804222717E-3</v>
      </c>
      <c r="Y358" s="306">
        <f t="shared" si="226"/>
        <v>4.3736281679830789E-3</v>
      </c>
      <c r="Z358" s="306">
        <f t="shared" si="226"/>
        <v>8.1294184230466908E-3</v>
      </c>
      <c r="AA358" s="306">
        <f t="shared" si="226"/>
        <v>1.4853985082038716E-2</v>
      </c>
      <c r="AB358" s="306">
        <f t="shared" si="226"/>
        <v>2.6531412096832362E-2</v>
      </c>
      <c r="AC358" s="306">
        <f t="shared" si="226"/>
        <v>4.6014759335105015E-2</v>
      </c>
      <c r="AD358" s="306">
        <f t="shared" si="226"/>
        <v>7.6910635328419796E-2</v>
      </c>
      <c r="AE358" s="306">
        <f t="shared" si="226"/>
        <v>0.12294065829885638</v>
      </c>
      <c r="AF358" s="306">
        <f t="shared" si="226"/>
        <v>0.18666754187878853</v>
      </c>
      <c r="AG358" s="306">
        <f t="shared" si="226"/>
        <v>0.26794336563407328</v>
      </c>
      <c r="AI358" s="165" t="s">
        <v>762</v>
      </c>
      <c r="AJ358" s="300" t="s">
        <v>719</v>
      </c>
      <c r="AK358" s="169">
        <f>'Propylene Recycling HC'!AK198</f>
        <v>1</v>
      </c>
    </row>
    <row r="359" spans="1:37" s="169" customFormat="1">
      <c r="B359" s="165"/>
      <c r="C359" s="304"/>
      <c r="D359" s="304"/>
      <c r="E359" s="304"/>
      <c r="F359" s="304"/>
      <c r="G359" s="304"/>
      <c r="H359" s="304"/>
      <c r="I359" s="304"/>
      <c r="J359" s="304"/>
      <c r="K359" s="304"/>
      <c r="L359" s="304"/>
      <c r="M359" s="304"/>
      <c r="N359" s="304"/>
      <c r="O359" s="304"/>
      <c r="P359" s="304"/>
      <c r="Q359" s="304"/>
      <c r="R359" s="304"/>
      <c r="S359" s="304"/>
      <c r="T359" s="304"/>
      <c r="U359" s="304"/>
      <c r="V359" s="304"/>
      <c r="W359" s="304"/>
      <c r="X359" s="304"/>
      <c r="Y359" s="304"/>
      <c r="Z359" s="304"/>
      <c r="AA359" s="304"/>
      <c r="AB359" s="304"/>
      <c r="AC359" s="304"/>
      <c r="AD359" s="304"/>
      <c r="AE359" s="304"/>
      <c r="AF359" s="304"/>
      <c r="AG359" s="304"/>
      <c r="AJ359" s="300" t="s">
        <v>720</v>
      </c>
      <c r="AK359" s="169">
        <f>'Propylene Recycling HC'!AK199</f>
        <v>15</v>
      </c>
    </row>
    <row r="360" spans="1:37" s="169" customFormat="1">
      <c r="A360" s="169" t="s">
        <v>842</v>
      </c>
      <c r="B360" s="165" t="s">
        <v>126</v>
      </c>
      <c r="C360" s="305">
        <f>('Overall recycling rates'!G12+'Overall recycling rates'!G15)*'Overall recycling rates'!G57/(SUMPRODUCT('Overall recycling rates'!C57:I57,'Overall recycling rates'!C12:I12)+SUMPRODUCT('Overall recycling rates'!C15:I15,'Overall recycling rates'!C57:I57))</f>
        <v>9.3753800180177274E-2</v>
      </c>
      <c r="D360" s="305">
        <f>C360</f>
        <v>9.3753800180177274E-2</v>
      </c>
      <c r="E360" s="305">
        <f t="shared" ref="E360:AG360" si="227">D360</f>
        <v>9.3753800180177274E-2</v>
      </c>
      <c r="F360" s="305">
        <f t="shared" si="227"/>
        <v>9.3753800180177274E-2</v>
      </c>
      <c r="G360" s="305">
        <f t="shared" si="227"/>
        <v>9.3753800180177274E-2</v>
      </c>
      <c r="H360" s="305">
        <f t="shared" si="227"/>
        <v>9.3753800180177274E-2</v>
      </c>
      <c r="I360" s="305">
        <f t="shared" si="227"/>
        <v>9.3753800180177274E-2</v>
      </c>
      <c r="J360" s="305">
        <f t="shared" si="227"/>
        <v>9.3753800180177274E-2</v>
      </c>
      <c r="K360" s="305">
        <f t="shared" si="227"/>
        <v>9.3753800180177274E-2</v>
      </c>
      <c r="L360" s="305">
        <f t="shared" si="227"/>
        <v>9.3753800180177274E-2</v>
      </c>
      <c r="M360" s="305">
        <f t="shared" si="227"/>
        <v>9.3753800180177274E-2</v>
      </c>
      <c r="N360" s="305">
        <f t="shared" si="227"/>
        <v>9.3753800180177274E-2</v>
      </c>
      <c r="O360" s="305">
        <f t="shared" si="227"/>
        <v>9.3753800180177274E-2</v>
      </c>
      <c r="P360" s="305">
        <f t="shared" si="227"/>
        <v>9.3753800180177274E-2</v>
      </c>
      <c r="Q360" s="305">
        <f t="shared" si="227"/>
        <v>9.3753800180177274E-2</v>
      </c>
      <c r="R360" s="305">
        <f t="shared" si="227"/>
        <v>9.3753800180177274E-2</v>
      </c>
      <c r="S360" s="305">
        <f t="shared" si="227"/>
        <v>9.3753800180177274E-2</v>
      </c>
      <c r="T360" s="305">
        <f t="shared" si="227"/>
        <v>9.3753800180177274E-2</v>
      </c>
      <c r="U360" s="305">
        <f t="shared" si="227"/>
        <v>9.3753800180177274E-2</v>
      </c>
      <c r="V360" s="305">
        <f t="shared" si="227"/>
        <v>9.3753800180177274E-2</v>
      </c>
      <c r="W360" s="305">
        <f t="shared" si="227"/>
        <v>9.3753800180177274E-2</v>
      </c>
      <c r="X360" s="305">
        <f t="shared" si="227"/>
        <v>9.3753800180177274E-2</v>
      </c>
      <c r="Y360" s="305">
        <f t="shared" si="227"/>
        <v>9.3753800180177274E-2</v>
      </c>
      <c r="Z360" s="305">
        <f t="shared" si="227"/>
        <v>9.3753800180177274E-2</v>
      </c>
      <c r="AA360" s="305">
        <f t="shared" si="227"/>
        <v>9.3753800180177274E-2</v>
      </c>
      <c r="AB360" s="305">
        <f t="shared" si="227"/>
        <v>9.3753800180177274E-2</v>
      </c>
      <c r="AC360" s="305">
        <f t="shared" si="227"/>
        <v>9.3753800180177274E-2</v>
      </c>
      <c r="AD360" s="305">
        <f t="shared" si="227"/>
        <v>9.3753800180177274E-2</v>
      </c>
      <c r="AE360" s="305">
        <f t="shared" si="227"/>
        <v>9.3753800180177274E-2</v>
      </c>
      <c r="AF360" s="305">
        <f t="shared" si="227"/>
        <v>9.3753800180177274E-2</v>
      </c>
      <c r="AG360" s="305">
        <f t="shared" si="227"/>
        <v>9.3753800180177274E-2</v>
      </c>
      <c r="AI360" s="165" t="s">
        <v>846</v>
      </c>
      <c r="AJ360" s="300"/>
    </row>
    <row r="361" spans="1:37" s="279" customFormat="1" ht="15.5" thickBot="1">
      <c r="A361" s="311" t="s">
        <v>707</v>
      </c>
      <c r="B361" s="312" t="s">
        <v>127</v>
      </c>
      <c r="C361" s="313">
        <f>C360*(C353*C357+C354*C358)</f>
        <v>0.11666709746365898</v>
      </c>
      <c r="D361" s="313">
        <f t="shared" ref="D361:AG361" si="228">D360*(D353*D357+D354*D358)</f>
        <v>0.23968636733026649</v>
      </c>
      <c r="E361" s="313">
        <f t="shared" si="228"/>
        <v>0.48353361862708466</v>
      </c>
      <c r="F361" s="313">
        <f t="shared" si="228"/>
        <v>0.97248263734780438</v>
      </c>
      <c r="G361" s="313">
        <f t="shared" si="228"/>
        <v>1.9472133313662099</v>
      </c>
      <c r="H361" s="313">
        <f t="shared" si="228"/>
        <v>3.8764488367587404</v>
      </c>
      <c r="I361" s="313">
        <f t="shared" si="228"/>
        <v>7.5415679859805858</v>
      </c>
      <c r="J361" s="313">
        <f t="shared" si="228"/>
        <v>14.519750737725261</v>
      </c>
      <c r="K361" s="313">
        <f t="shared" si="228"/>
        <v>27.571396764130601</v>
      </c>
      <c r="L361" s="313">
        <f t="shared" si="228"/>
        <v>51.409561436329732</v>
      </c>
      <c r="M361" s="313">
        <f>M360*(M353*M357+M354*M358)</f>
        <v>94.009790250200211</v>
      </c>
      <c r="N361" s="313">
        <f t="shared" si="228"/>
        <v>160.11881817525645</v>
      </c>
      <c r="O361" s="313">
        <f t="shared" si="228"/>
        <v>263.6684882857092</v>
      </c>
      <c r="P361" s="313">
        <f t="shared" si="228"/>
        <v>414.69256592149014</v>
      </c>
      <c r="Q361" s="313">
        <f t="shared" si="228"/>
        <v>618.86981367891622</v>
      </c>
      <c r="R361" s="313">
        <f t="shared" si="228"/>
        <v>872.54922113992313</v>
      </c>
      <c r="S361" s="313">
        <f t="shared" si="228"/>
        <v>1165.3028135779289</v>
      </c>
      <c r="T361" s="313">
        <f t="shared" si="228"/>
        <v>1470.35138968612</v>
      </c>
      <c r="U361" s="313">
        <f t="shared" si="228"/>
        <v>1761.348994165844</v>
      </c>
      <c r="V361" s="313">
        <f t="shared" si="228"/>
        <v>2017.1542878784082</v>
      </c>
      <c r="W361" s="313">
        <f t="shared" si="228"/>
        <v>2226.1366127572996</v>
      </c>
      <c r="X361" s="313">
        <f t="shared" si="228"/>
        <v>2282.5599888496577</v>
      </c>
      <c r="Y361" s="313">
        <f t="shared" si="228"/>
        <v>2284.099266333948</v>
      </c>
      <c r="Z361" s="313">
        <f t="shared" si="228"/>
        <v>2243.9885687843807</v>
      </c>
      <c r="AA361" s="313">
        <f t="shared" si="228"/>
        <v>2179.0627214280385</v>
      </c>
      <c r="AB361" s="313">
        <f t="shared" si="228"/>
        <v>2103.8934413193119</v>
      </c>
      <c r="AC361" s="313">
        <f t="shared" si="228"/>
        <v>2088.556984105825</v>
      </c>
      <c r="AD361" s="313">
        <f t="shared" si="228"/>
        <v>2204.7578265251373</v>
      </c>
      <c r="AE361" s="313">
        <f t="shared" si="228"/>
        <v>2342.1514388500163</v>
      </c>
      <c r="AF361" s="313">
        <f t="shared" si="228"/>
        <v>2503.9924747156233</v>
      </c>
      <c r="AG361" s="313">
        <f t="shared" si="228"/>
        <v>2683.8770236750952</v>
      </c>
      <c r="AJ361" s="303"/>
    </row>
    <row r="362" spans="1:37" s="216" customFormat="1">
      <c r="A362" s="302" t="s">
        <v>713</v>
      </c>
      <c r="B362" s="301" t="s">
        <v>126</v>
      </c>
      <c r="C362" s="307">
        <v>0.5</v>
      </c>
      <c r="D362" s="307">
        <v>0.5</v>
      </c>
      <c r="E362" s="307">
        <v>0.5</v>
      </c>
      <c r="F362" s="307">
        <v>0.5</v>
      </c>
      <c r="G362" s="307">
        <v>0.5</v>
      </c>
      <c r="H362" s="307">
        <v>0.5</v>
      </c>
      <c r="I362" s="307">
        <v>0.5</v>
      </c>
      <c r="J362" s="307">
        <v>0.5</v>
      </c>
      <c r="K362" s="307">
        <v>0.5</v>
      </c>
      <c r="L362" s="307">
        <v>0.5</v>
      </c>
      <c r="M362" s="307">
        <v>0.5</v>
      </c>
      <c r="N362" s="307">
        <v>0.5</v>
      </c>
      <c r="O362" s="307">
        <v>0.5</v>
      </c>
      <c r="P362" s="307">
        <v>0.5</v>
      </c>
      <c r="Q362" s="307">
        <v>0.5</v>
      </c>
      <c r="R362" s="307">
        <v>0.5</v>
      </c>
      <c r="S362" s="307">
        <v>0.5</v>
      </c>
      <c r="T362" s="307">
        <v>0.5</v>
      </c>
      <c r="U362" s="307">
        <v>0.5</v>
      </c>
      <c r="V362" s="307">
        <v>0.5</v>
      </c>
      <c r="W362" s="307">
        <v>0.5</v>
      </c>
      <c r="X362" s="307">
        <v>0.5</v>
      </c>
      <c r="Y362" s="307">
        <v>0.5</v>
      </c>
      <c r="Z362" s="307">
        <v>0.5</v>
      </c>
      <c r="AA362" s="307">
        <v>0.5</v>
      </c>
      <c r="AB362" s="307">
        <v>0.5</v>
      </c>
      <c r="AC362" s="307">
        <v>0.5</v>
      </c>
      <c r="AD362" s="307">
        <v>0.5</v>
      </c>
      <c r="AE362" s="307">
        <v>0.5</v>
      </c>
      <c r="AF362" s="307">
        <v>0.5</v>
      </c>
      <c r="AG362" s="307">
        <v>0.5</v>
      </c>
      <c r="AJ362" s="216" t="s">
        <v>757</v>
      </c>
    </row>
    <row r="363" spans="1:37" s="216" customFormat="1" ht="15.5" thickBot="1">
      <c r="A363" s="280" t="s">
        <v>708</v>
      </c>
      <c r="B363" s="312" t="s">
        <v>127</v>
      </c>
      <c r="C363" s="313">
        <f>C362*(C353*C357+C354*C358)</f>
        <v>0.62219929879880409</v>
      </c>
      <c r="D363" s="313">
        <f t="shared" ref="D363:AG363" si="229">D362*(D353*D357+D354*D358)</f>
        <v>1.2782754772053726</v>
      </c>
      <c r="E363" s="313">
        <f t="shared" si="229"/>
        <v>2.5787414360688499</v>
      </c>
      <c r="F363" s="313">
        <f t="shared" si="229"/>
        <v>5.186363835273208</v>
      </c>
      <c r="G363" s="313">
        <f t="shared" si="229"/>
        <v>10.384716820139717</v>
      </c>
      <c r="H363" s="313">
        <f t="shared" si="229"/>
        <v>20.673555788186349</v>
      </c>
      <c r="I363" s="313">
        <f t="shared" si="229"/>
        <v>40.220065594605778</v>
      </c>
      <c r="J363" s="313">
        <f t="shared" si="229"/>
        <v>77.435531732159205</v>
      </c>
      <c r="K363" s="313">
        <f t="shared" si="229"/>
        <v>147.04148904440956</v>
      </c>
      <c r="L363" s="313">
        <f t="shared" si="229"/>
        <v>274.17321397922092</v>
      </c>
      <c r="M363" s="313">
        <f t="shared" si="229"/>
        <v>501.36522503371049</v>
      </c>
      <c r="N363" s="313">
        <f t="shared" si="229"/>
        <v>853.93241589961167</v>
      </c>
      <c r="O363" s="313">
        <f t="shared" si="229"/>
        <v>1406.1749378637862</v>
      </c>
      <c r="P363" s="313">
        <f t="shared" si="229"/>
        <v>2211.60403698052</v>
      </c>
      <c r="Q363" s="313">
        <f t="shared" si="229"/>
        <v>3300.505219466113</v>
      </c>
      <c r="R363" s="313">
        <f t="shared" si="229"/>
        <v>4653.4072190303041</v>
      </c>
      <c r="S363" s="313">
        <f t="shared" si="229"/>
        <v>6214.6964247765682</v>
      </c>
      <c r="T363" s="313">
        <f t="shared" si="229"/>
        <v>7841.5562188432878</v>
      </c>
      <c r="U363" s="313">
        <f t="shared" si="229"/>
        <v>9393.480535086901</v>
      </c>
      <c r="V363" s="313">
        <f t="shared" si="229"/>
        <v>10757.720135086871</v>
      </c>
      <c r="W363" s="313">
        <f t="shared" si="229"/>
        <v>11872.247356795571</v>
      </c>
      <c r="X363" s="313">
        <f t="shared" si="229"/>
        <v>12173.159831724175</v>
      </c>
      <c r="Y363" s="313">
        <f t="shared" si="229"/>
        <v>12181.368978880515</v>
      </c>
      <c r="Z363" s="313">
        <f t="shared" si="229"/>
        <v>11967.453929717272</v>
      </c>
      <c r="AA363" s="313">
        <f t="shared" si="229"/>
        <v>11621.196779438738</v>
      </c>
      <c r="AB363" s="313">
        <f t="shared" si="229"/>
        <v>11220.310202231922</v>
      </c>
      <c r="AC363" s="313">
        <f t="shared" si="229"/>
        <v>11138.519079184038</v>
      </c>
      <c r="AD363" s="313">
        <f t="shared" si="229"/>
        <v>11758.231785207665</v>
      </c>
      <c r="AE363" s="313">
        <f t="shared" si="229"/>
        <v>12490.968015956896</v>
      </c>
      <c r="AF363" s="313">
        <f t="shared" si="229"/>
        <v>13354.085220563957</v>
      </c>
      <c r="AG363" s="313">
        <f t="shared" si="229"/>
        <v>14313.430594371563</v>
      </c>
      <c r="AJ363" s="302"/>
    </row>
    <row r="364" spans="1:37" s="216" customFormat="1">
      <c r="A364" s="303"/>
      <c r="B364" s="301"/>
      <c r="AJ364" s="302"/>
    </row>
    <row r="365" spans="1:37" s="216" customFormat="1">
      <c r="A365" s="303" t="s">
        <v>711</v>
      </c>
      <c r="B365" s="301" t="s">
        <v>127</v>
      </c>
      <c r="C365" s="216">
        <f>SUM(C334:C335)-SUM(C361,C363)</f>
        <v>526862.39802955301</v>
      </c>
      <c r="D365" s="216">
        <f t="shared" ref="D365:AG365" si="230">SUM(D334:D335)-SUM(D361,D363)</f>
        <v>530492.4874330305</v>
      </c>
      <c r="E365" s="216">
        <f t="shared" si="230"/>
        <v>531800.71627049858</v>
      </c>
      <c r="F365" s="216">
        <f t="shared" si="230"/>
        <v>533500.04309494281</v>
      </c>
      <c r="G365" s="216">
        <f t="shared" si="230"/>
        <v>535081.75671155925</v>
      </c>
      <c r="H365" s="216">
        <f t="shared" si="230"/>
        <v>536541.18825246044</v>
      </c>
      <c r="I365" s="216">
        <f t="shared" si="230"/>
        <v>531887.97526447976</v>
      </c>
      <c r="J365" s="216">
        <f t="shared" si="230"/>
        <v>526998.77152065281</v>
      </c>
      <c r="K365" s="216">
        <f t="shared" si="230"/>
        <v>521860.79578323377</v>
      </c>
      <c r="L365" s="216">
        <f t="shared" si="230"/>
        <v>516449.19646458398</v>
      </c>
      <c r="M365" s="216">
        <f t="shared" si="230"/>
        <v>510718.76675027097</v>
      </c>
      <c r="N365" s="216">
        <f t="shared" si="230"/>
        <v>498781.42274652037</v>
      </c>
      <c r="O365" s="216">
        <f t="shared" si="230"/>
        <v>486462.71733070357</v>
      </c>
      <c r="P365" s="216">
        <f t="shared" si="230"/>
        <v>473629.15492532251</v>
      </c>
      <c r="Q365" s="216">
        <f t="shared" si="230"/>
        <v>460339.04128939152</v>
      </c>
      <c r="R365" s="216">
        <f t="shared" si="230"/>
        <v>446628.80723766558</v>
      </c>
      <c r="S365" s="216">
        <f t="shared" si="230"/>
        <v>434104.49725136178</v>
      </c>
      <c r="T365" s="216">
        <f t="shared" si="230"/>
        <v>421417.45992553409</v>
      </c>
      <c r="U365" s="216">
        <f t="shared" si="230"/>
        <v>408744.62728799402</v>
      </c>
      <c r="V365" s="216">
        <f t="shared" si="230"/>
        <v>396230.34142004832</v>
      </c>
      <c r="W365" s="216">
        <f t="shared" si="230"/>
        <v>383959.09924415761</v>
      </c>
      <c r="X365" s="216">
        <f t="shared" si="230"/>
        <v>369304.00648301165</v>
      </c>
      <c r="Y365" s="216">
        <f t="shared" si="230"/>
        <v>355088.0609915494</v>
      </c>
      <c r="Z365" s="216">
        <f t="shared" si="230"/>
        <v>341060.58841505775</v>
      </c>
      <c r="AA365" s="216">
        <f t="shared" si="230"/>
        <v>327323.63415477856</v>
      </c>
      <c r="AB365" s="216">
        <f t="shared" si="230"/>
        <v>313805.87961507437</v>
      </c>
      <c r="AC365" s="216">
        <f t="shared" si="230"/>
        <v>299386.7698159921</v>
      </c>
      <c r="AD365" s="216">
        <f t="shared" si="230"/>
        <v>284370.54805500316</v>
      </c>
      <c r="AE365" s="216">
        <f t="shared" si="230"/>
        <v>269484.90901192353</v>
      </c>
      <c r="AF365" s="216">
        <f t="shared" si="230"/>
        <v>254739.23529259479</v>
      </c>
      <c r="AG365" s="216">
        <f t="shared" si="230"/>
        <v>240205.23520669399</v>
      </c>
      <c r="AJ365" s="302"/>
    </row>
    <row r="366" spans="1:37" s="216" customFormat="1">
      <c r="A366" s="303"/>
      <c r="B366" s="301"/>
      <c r="AJ366" s="302"/>
    </row>
    <row r="367" spans="1:37" s="216" customFormat="1">
      <c r="A367" s="302" t="s">
        <v>722</v>
      </c>
      <c r="B367" s="301" t="s">
        <v>127</v>
      </c>
      <c r="C367" s="304">
        <f>C287*C286*C197</f>
        <v>1.1411399999999999E-2</v>
      </c>
      <c r="D367" s="304">
        <f t="shared" ref="D367:AG367" si="231">D287*D286*D197</f>
        <v>1.2211913118445541E-2</v>
      </c>
      <c r="E367" s="304">
        <f t="shared" si="231"/>
        <v>1.3033868575004636E-2</v>
      </c>
      <c r="F367" s="304">
        <f t="shared" si="231"/>
        <v>1.387667776234245E-2</v>
      </c>
      <c r="G367" s="304">
        <f t="shared" si="231"/>
        <v>1.4739737200808048E-2</v>
      </c>
      <c r="H367" s="304">
        <f t="shared" si="231"/>
        <v>1.5622428538434407E-2</v>
      </c>
      <c r="I367" s="304">
        <f t="shared" si="231"/>
        <v>1.652411855093841E-2</v>
      </c>
      <c r="J367" s="304">
        <f t="shared" si="231"/>
        <v>1.7444159141720841E-2</v>
      </c>
      <c r="K367" s="304">
        <f t="shared" si="231"/>
        <v>1.8381887341866382E-2</v>
      </c>
      <c r="L367" s="304">
        <f t="shared" si="231"/>
        <v>1.9336625310143647E-2</v>
      </c>
      <c r="M367" s="304">
        <f t="shared" si="231"/>
        <v>2.0307680333005135E-2</v>
      </c>
      <c r="N367" s="304">
        <f t="shared" si="231"/>
        <v>2.1981838457272966E-2</v>
      </c>
      <c r="O367" s="304">
        <f t="shared" si="231"/>
        <v>2.3694781802410692E-2</v>
      </c>
      <c r="P367" s="304">
        <f t="shared" si="231"/>
        <v>2.5445093487479479E-2</v>
      </c>
      <c r="Q367" s="304">
        <f t="shared" si="231"/>
        <v>2.7231325285274256E-2</v>
      </c>
      <c r="R367" s="304">
        <f t="shared" si="231"/>
        <v>2.905199762232372E-2</v>
      </c>
      <c r="S367" s="304">
        <f t="shared" si="231"/>
        <v>3.0905599578890351E-2</v>
      </c>
      <c r="T367" s="304">
        <f t="shared" si="231"/>
        <v>3.2790588888970414E-2</v>
      </c>
      <c r="U367" s="304">
        <f t="shared" si="231"/>
        <v>3.4705391940293893E-2</v>
      </c>
      <c r="V367" s="304">
        <f t="shared" si="231"/>
        <v>3.6648403774324587E-2</v>
      </c>
      <c r="W367" s="304">
        <f t="shared" si="231"/>
        <v>3.8617988086260047E-2</v>
      </c>
      <c r="X367" s="304">
        <f t="shared" si="231"/>
        <v>4.1632470531806902E-2</v>
      </c>
      <c r="Y367" s="304">
        <f t="shared" si="231"/>
        <v>4.4694492720111348E-2</v>
      </c>
      <c r="Z367" s="304">
        <f t="shared" si="231"/>
        <v>4.7801295593939176E-2</v>
      </c>
      <c r="AA367" s="304">
        <f t="shared" si="231"/>
        <v>5.0950067647971789E-2</v>
      </c>
      <c r="AB367" s="304">
        <f t="shared" si="231"/>
        <v>5.4137944928806254E-2</v>
      </c>
      <c r="AC367" s="304">
        <f t="shared" si="231"/>
        <v>5.7362011034955314E-2</v>
      </c>
      <c r="AD367" s="304">
        <f t="shared" si="231"/>
        <v>6.0619297116847333E-2</v>
      </c>
      <c r="AE367" s="304">
        <f t="shared" si="231"/>
        <v>6.3906781876826357E-2</v>
      </c>
      <c r="AF367" s="304">
        <f t="shared" si="231"/>
        <v>6.7221391569152106E-2</v>
      </c>
      <c r="AG367" s="304">
        <f t="shared" si="231"/>
        <v>7.0559999999999984E-2</v>
      </c>
      <c r="AJ367" s="302"/>
    </row>
    <row r="368" spans="1:37" s="216" customFormat="1">
      <c r="A368" s="216" t="s">
        <v>721</v>
      </c>
      <c r="B368" s="301" t="s">
        <v>127</v>
      </c>
      <c r="C368" s="304">
        <f>C288*C286*C197</f>
        <v>4.0458599999999997E-2</v>
      </c>
      <c r="D368" s="304">
        <f t="shared" ref="D368:AG368" si="232">D288*D286*D197</f>
        <v>4.1664174168814197E-2</v>
      </c>
      <c r="E368" s="304">
        <f t="shared" si="232"/>
        <v>4.282556817501524E-2</v>
      </c>
      <c r="F368" s="304">
        <f t="shared" si="232"/>
        <v>4.3942812914084431E-2</v>
      </c>
      <c r="G368" s="304">
        <f t="shared" si="232"/>
        <v>4.501595415381919E-2</v>
      </c>
      <c r="H368" s="304">
        <f t="shared" si="232"/>
        <v>4.6045052534332997E-2</v>
      </c>
      <c r="I368" s="304">
        <f t="shared" si="232"/>
        <v>4.7030183568055488E-2</v>
      </c>
      <c r="J368" s="304">
        <f t="shared" si="232"/>
        <v>4.7971437639732321E-2</v>
      </c>
      <c r="K368" s="304">
        <f t="shared" si="232"/>
        <v>4.886892000642528E-2</v>
      </c>
      <c r="L368" s="304">
        <f t="shared" si="232"/>
        <v>4.9722750797512254E-2</v>
      </c>
      <c r="M368" s="304">
        <f t="shared" si="232"/>
        <v>5.0533065014687212E-2</v>
      </c>
      <c r="N368" s="304">
        <f t="shared" si="232"/>
        <v>5.2956247192521268E-2</v>
      </c>
      <c r="O368" s="304">
        <f t="shared" si="232"/>
        <v>5.5287824205624975E-2</v>
      </c>
      <c r="P368" s="304">
        <f t="shared" si="232"/>
        <v>5.7528037449953634E-2</v>
      </c>
      <c r="Q368" s="304">
        <f t="shared" si="232"/>
        <v>5.9677159667728727E-2</v>
      </c>
      <c r="R368" s="304">
        <f t="shared" si="232"/>
        <v>6.1735494947437956E-2</v>
      </c>
      <c r="S368" s="304">
        <f t="shared" si="232"/>
        <v>6.3703378723835274E-2</v>
      </c>
      <c r="T368" s="304">
        <f t="shared" si="232"/>
        <v>6.5581177777940883E-2</v>
      </c>
      <c r="U368" s="304">
        <f t="shared" si="232"/>
        <v>6.7369290237041135E-2</v>
      </c>
      <c r="V368" s="304">
        <f t="shared" si="232"/>
        <v>6.9068145574688711E-2</v>
      </c>
      <c r="W368" s="304">
        <f t="shared" si="232"/>
        <v>7.0678204610702441E-2</v>
      </c>
      <c r="X368" s="304">
        <f t="shared" si="232"/>
        <v>7.4013280945434551E-2</v>
      </c>
      <c r="Y368" s="304">
        <f t="shared" si="232"/>
        <v>7.7199578334737867E-2</v>
      </c>
      <c r="Z368" s="304">
        <f t="shared" si="232"/>
        <v>8.023788903268371E-2</v>
      </c>
      <c r="AA368" s="304">
        <f t="shared" si="232"/>
        <v>8.3129057741427773E-2</v>
      </c>
      <c r="AB368" s="304">
        <f t="shared" si="232"/>
        <v>8.5873981611210029E-2</v>
      </c>
      <c r="AC368" s="304">
        <f t="shared" si="232"/>
        <v>8.8473610240354911E-2</v>
      </c>
      <c r="AD368" s="304">
        <f t="shared" si="232"/>
        <v>9.0928945675271114E-2</v>
      </c>
      <c r="AE368" s="304">
        <f t="shared" si="232"/>
        <v>9.3241042410451724E-2</v>
      </c>
      <c r="AF368" s="304">
        <f t="shared" si="232"/>
        <v>9.5411007388474092E-2</v>
      </c>
      <c r="AG368" s="304">
        <f t="shared" si="232"/>
        <v>9.7440000000000013E-2</v>
      </c>
      <c r="AJ368" s="302"/>
    </row>
    <row r="369" spans="1:36" s="216" customFormat="1">
      <c r="B369" s="301"/>
      <c r="C369" s="296"/>
      <c r="D369" s="296"/>
      <c r="E369" s="296"/>
      <c r="F369" s="296"/>
      <c r="G369" s="296"/>
      <c r="H369" s="296"/>
      <c r="I369" s="296"/>
      <c r="J369" s="296"/>
      <c r="K369" s="296"/>
      <c r="L369" s="296"/>
      <c r="M369" s="296"/>
      <c r="N369" s="296"/>
      <c r="O369" s="296"/>
      <c r="P369" s="296"/>
      <c r="Q369" s="296"/>
      <c r="R369" s="296"/>
      <c r="S369" s="296"/>
      <c r="T369" s="296"/>
      <c r="U369" s="296"/>
      <c r="V369" s="296"/>
      <c r="W369" s="296"/>
      <c r="X369" s="296"/>
      <c r="Y369" s="296"/>
      <c r="Z369" s="296"/>
      <c r="AA369" s="296"/>
      <c r="AB369" s="296"/>
      <c r="AC369" s="296"/>
      <c r="AD369" s="296"/>
      <c r="AE369" s="296"/>
      <c r="AF369" s="296"/>
      <c r="AG369" s="296"/>
      <c r="AJ369" s="302"/>
    </row>
    <row r="370" spans="1:36" s="216" customFormat="1">
      <c r="A370" s="328" t="s">
        <v>723</v>
      </c>
      <c r="B370" s="329" t="s">
        <v>127</v>
      </c>
      <c r="C370" s="283">
        <f>C348-C361-C363</f>
        <v>153409.03173419446</v>
      </c>
      <c r="D370" s="330">
        <f t="shared" ref="D370:AG370" si="233">D348-D361-D363</f>
        <v>157970.54447152643</v>
      </c>
      <c r="E370" s="330">
        <f t="shared" si="233"/>
        <v>160144.63496831735</v>
      </c>
      <c r="F370" s="330">
        <f t="shared" si="233"/>
        <v>162377.97651111725</v>
      </c>
      <c r="G370" s="330">
        <f t="shared" si="233"/>
        <v>164600.35187100075</v>
      </c>
      <c r="H370" s="330">
        <f t="shared" si="233"/>
        <v>166803.85469646018</v>
      </c>
      <c r="I370" s="330">
        <f t="shared" si="233"/>
        <v>166402.73632239303</v>
      </c>
      <c r="J370" s="330">
        <f t="shared" si="233"/>
        <v>165893.37362667971</v>
      </c>
      <c r="K370" s="330">
        <f t="shared" si="233"/>
        <v>165260.55087404654</v>
      </c>
      <c r="L370" s="330">
        <f t="shared" si="233"/>
        <v>164477.00126477843</v>
      </c>
      <c r="M370" s="330">
        <f t="shared" si="233"/>
        <v>163495.11159984858</v>
      </c>
      <c r="N370" s="330">
        <f t="shared" si="233"/>
        <v>157148.96418131157</v>
      </c>
      <c r="O370" s="330">
        <f t="shared" si="233"/>
        <v>150690.41770236802</v>
      </c>
      <c r="P370" s="330">
        <f t="shared" si="233"/>
        <v>144024.78682001767</v>
      </c>
      <c r="Q370" s="330">
        <f t="shared" si="233"/>
        <v>137153.98981311644</v>
      </c>
      <c r="R370" s="330">
        <f t="shared" si="233"/>
        <v>130105.1696551128</v>
      </c>
      <c r="S370" s="330">
        <f t="shared" si="233"/>
        <v>123586.5599716388</v>
      </c>
      <c r="T370" s="330">
        <f t="shared" si="233"/>
        <v>117113.41662330978</v>
      </c>
      <c r="U370" s="330">
        <f t="shared" si="233"/>
        <v>110853.08688323945</v>
      </c>
      <c r="V370" s="330">
        <f t="shared" si="233"/>
        <v>104940.42278009621</v>
      </c>
      <c r="W370" s="330">
        <f t="shared" si="233"/>
        <v>99450.510286876481</v>
      </c>
      <c r="X370" s="330">
        <f t="shared" si="233"/>
        <v>90289.560723393588</v>
      </c>
      <c r="Y370" s="330">
        <f t="shared" si="233"/>
        <v>81882.298475154355</v>
      </c>
      <c r="Z370" s="330">
        <f t="shared" si="233"/>
        <v>74091.84617234733</v>
      </c>
      <c r="AA370" s="330">
        <f t="shared" si="233"/>
        <v>66882.119271409261</v>
      </c>
      <c r="AB370" s="330">
        <f t="shared" si="233"/>
        <v>60167.000619131373</v>
      </c>
      <c r="AC370" s="330">
        <f t="shared" si="233"/>
        <v>55389.716283857437</v>
      </c>
      <c r="AD370" s="330">
        <f t="shared" si="233"/>
        <v>53614.173175430304</v>
      </c>
      <c r="AE370" s="330">
        <f t="shared" si="233"/>
        <v>51387.004746425933</v>
      </c>
      <c r="AF370" s="330">
        <f t="shared" si="233"/>
        <v>48709.378243868923</v>
      </c>
      <c r="AG370" s="331">
        <f t="shared" si="233"/>
        <v>45643.386261049731</v>
      </c>
      <c r="AI370" s="216" t="s">
        <v>755</v>
      </c>
      <c r="AJ370" s="302"/>
    </row>
    <row r="371" spans="1:36" s="216" customFormat="1">
      <c r="A371" s="332" t="s">
        <v>724</v>
      </c>
      <c r="B371" s="333" t="s">
        <v>127</v>
      </c>
      <c r="C371" s="334">
        <f>C349+C370</f>
        <v>818689.51946125377</v>
      </c>
      <c r="D371" s="334">
        <f t="shared" ref="D371:AG371" si="234">D349+D370</f>
        <v>817545.95950812788</v>
      </c>
      <c r="E371" s="334">
        <f t="shared" si="234"/>
        <v>812611.15442520846</v>
      </c>
      <c r="F371" s="334">
        <f t="shared" si="234"/>
        <v>808425.49808846763</v>
      </c>
      <c r="G371" s="334">
        <f t="shared" si="234"/>
        <v>804222.01874062745</v>
      </c>
      <c r="H371" s="334">
        <f t="shared" si="234"/>
        <v>799993.66738411842</v>
      </c>
      <c r="I371" s="334">
        <f t="shared" si="234"/>
        <v>786749.04203527095</v>
      </c>
      <c r="J371" s="334">
        <f t="shared" si="234"/>
        <v>773458.29262882052</v>
      </c>
      <c r="K371" s="334">
        <f t="shared" si="234"/>
        <v>760108.18221342389</v>
      </c>
      <c r="L371" s="334">
        <f t="shared" si="234"/>
        <v>746673.40623956081</v>
      </c>
      <c r="M371" s="334">
        <f t="shared" si="234"/>
        <v>733108.29722466297</v>
      </c>
      <c r="N371" s="334">
        <f t="shared" si="234"/>
        <v>710488.27997026115</v>
      </c>
      <c r="O371" s="334">
        <f t="shared" si="234"/>
        <v>687870.01733483281</v>
      </c>
      <c r="P371" s="334">
        <f t="shared" si="234"/>
        <v>665078.78434809356</v>
      </c>
      <c r="Q371" s="334">
        <f t="shared" si="234"/>
        <v>642202.06979424576</v>
      </c>
      <c r="R371" s="334">
        <f t="shared" si="234"/>
        <v>619269.5513531327</v>
      </c>
      <c r="S371" s="334">
        <f t="shared" si="234"/>
        <v>598475.91303587367</v>
      </c>
      <c r="T371" s="334">
        <f t="shared" si="234"/>
        <v>577836.89131606068</v>
      </c>
      <c r="U371" s="334">
        <f t="shared" si="234"/>
        <v>557522.04020930629</v>
      </c>
      <c r="V371" s="334">
        <f t="shared" si="234"/>
        <v>537668.39803649136</v>
      </c>
      <c r="W371" s="334">
        <f t="shared" si="234"/>
        <v>518353.21661020094</v>
      </c>
      <c r="X371" s="334">
        <f t="shared" si="234"/>
        <v>495379.12610137183</v>
      </c>
      <c r="Y371" s="334">
        <f t="shared" si="234"/>
        <v>473280.09330220253</v>
      </c>
      <c r="Z371" s="334">
        <f t="shared" si="234"/>
        <v>451733.73609002569</v>
      </c>
      <c r="AA371" s="334">
        <f t="shared" si="234"/>
        <v>430893.07247921429</v>
      </c>
      <c r="AB371" s="334">
        <f t="shared" si="234"/>
        <v>410674.16457339766</v>
      </c>
      <c r="AC371" s="334">
        <f t="shared" si="234"/>
        <v>389738.13220732799</v>
      </c>
      <c r="AD371" s="334">
        <f t="shared" si="234"/>
        <v>368604.93352558382</v>
      </c>
      <c r="AE371" s="334">
        <f t="shared" si="234"/>
        <v>347989.5320698315</v>
      </c>
      <c r="AF371" s="334">
        <f t="shared" si="234"/>
        <v>327888.36939051957</v>
      </c>
      <c r="AG371" s="335">
        <f t="shared" si="234"/>
        <v>308359.97080159147</v>
      </c>
      <c r="AI371" s="216" t="s">
        <v>756</v>
      </c>
      <c r="AJ371" s="302"/>
    </row>
    <row r="372" spans="1:36" s="216" customFormat="1">
      <c r="A372" s="408"/>
      <c r="B372" s="409"/>
      <c r="C372" s="408"/>
      <c r="D372" s="408"/>
      <c r="E372" s="408"/>
      <c r="F372" s="408"/>
      <c r="G372" s="408"/>
      <c r="H372" s="408"/>
      <c r="I372" s="408"/>
      <c r="J372" s="408"/>
      <c r="K372" s="408"/>
      <c r="L372" s="408"/>
      <c r="M372" s="408"/>
      <c r="N372" s="408"/>
      <c r="O372" s="408"/>
      <c r="P372" s="408"/>
      <c r="Q372" s="408"/>
      <c r="R372" s="408"/>
      <c r="S372" s="408"/>
      <c r="T372" s="408"/>
      <c r="U372" s="408"/>
      <c r="V372" s="408"/>
      <c r="W372" s="408"/>
      <c r="X372" s="408"/>
      <c r="Y372" s="408"/>
      <c r="Z372" s="408"/>
      <c r="AA372" s="408"/>
      <c r="AB372" s="408"/>
      <c r="AC372" s="408"/>
      <c r="AD372" s="408"/>
      <c r="AE372" s="408"/>
      <c r="AF372" s="408"/>
      <c r="AG372" s="408"/>
      <c r="AJ372" s="302"/>
    </row>
    <row r="373" spans="1:36">
      <c r="B373" s="123"/>
      <c r="C373" s="216"/>
      <c r="D373" s="216"/>
      <c r="E373" s="216"/>
      <c r="F373" s="216"/>
      <c r="G373" s="216"/>
      <c r="H373" s="216"/>
      <c r="I373" s="216"/>
      <c r="J373" s="216"/>
      <c r="K373" s="216"/>
      <c r="L373" s="216"/>
      <c r="M373" s="216"/>
      <c r="N373" s="216"/>
      <c r="O373" s="216"/>
      <c r="P373" s="216"/>
      <c r="Q373" s="216"/>
      <c r="R373" s="216"/>
      <c r="S373" s="216"/>
      <c r="T373" s="216"/>
      <c r="U373" s="216"/>
      <c r="V373" s="216"/>
      <c r="W373" s="216"/>
      <c r="X373" s="216"/>
      <c r="Y373" s="216"/>
      <c r="Z373" s="216"/>
      <c r="AA373" s="216"/>
      <c r="AB373" s="216"/>
      <c r="AC373" s="216"/>
      <c r="AD373" s="216"/>
      <c r="AE373" s="216"/>
      <c r="AF373" s="216"/>
      <c r="AG373" s="216"/>
      <c r="AI373" s="22"/>
    </row>
    <row r="374" spans="1:36">
      <c r="B374" s="123"/>
      <c r="C374" s="216"/>
      <c r="D374" s="216"/>
      <c r="E374" s="216"/>
      <c r="F374" s="216"/>
      <c r="G374" s="216"/>
      <c r="H374" s="216"/>
      <c r="I374" s="216"/>
      <c r="J374" s="216"/>
      <c r="K374" s="216"/>
      <c r="L374" s="216"/>
      <c r="M374" s="216"/>
      <c r="N374" s="216"/>
      <c r="O374" s="216"/>
      <c r="P374" s="216"/>
      <c r="Q374" s="216"/>
      <c r="R374" s="216"/>
      <c r="S374" s="216"/>
      <c r="T374" s="216"/>
      <c r="U374" s="216"/>
      <c r="V374" s="216"/>
      <c r="W374" s="216"/>
      <c r="X374" s="216"/>
      <c r="Y374" s="216"/>
      <c r="Z374" s="216"/>
      <c r="AA374" s="216"/>
      <c r="AB374" s="216"/>
      <c r="AC374" s="216"/>
      <c r="AD374" s="216"/>
      <c r="AE374" s="216"/>
      <c r="AF374" s="216"/>
      <c r="AG374" s="216"/>
      <c r="AI374" s="201"/>
    </row>
  </sheetData>
  <mergeCells count="5">
    <mergeCell ref="BD123:BE123"/>
    <mergeCell ref="BD128:BE128"/>
    <mergeCell ref="BD133:BE133"/>
    <mergeCell ref="BD141:BE141"/>
    <mergeCell ref="AI341:AI349"/>
  </mergeCells>
  <hyperlinks>
    <hyperlink ref="AJ127" r:id="rId1" xr:uid="{E33DF46D-C9BC-4BA0-9DE5-BD81EE35E8EB}"/>
    <hyperlink ref="AJ128" r:id="rId2" xr:uid="{83873675-651C-4A59-B152-3B0208BAF631}"/>
  </hyperlinks>
  <pageMargins left="0.7" right="0.7" top="0.75" bottom="0.75" header="0.3" footer="0.3"/>
  <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37757-9CDD-42AC-9127-5E624AC49AB9}">
  <sheetPr>
    <tabColor theme="4"/>
  </sheetPr>
  <dimension ref="A1:BL374"/>
  <sheetViews>
    <sheetView zoomScale="70" zoomScaleNormal="70" workbookViewId="0">
      <pane xSplit="2" ySplit="3" topLeftCell="C365" activePane="bottomRight" state="frozen"/>
      <selection pane="topRight" activeCell="C1" sqref="C1"/>
      <selection pane="bottomLeft" activeCell="A4" sqref="A4"/>
      <selection pane="bottomRight" activeCell="AI341" sqref="AI341:AI349"/>
    </sheetView>
  </sheetViews>
  <sheetFormatPr defaultRowHeight="14.75" outlineLevelRow="2" outlineLevelCol="1"/>
  <cols>
    <col min="1" max="1" width="84.26953125" customWidth="1"/>
    <col min="2" max="2" width="15.36328125" style="51" bestFit="1" customWidth="1"/>
    <col min="3" max="3" width="11.04296875" style="101" customWidth="1"/>
    <col min="4" max="11" width="8.81640625" style="101" hidden="1" customWidth="1" outlineLevel="1"/>
    <col min="12" max="12" width="1.1796875" style="101" hidden="1" customWidth="1" outlineLevel="1"/>
    <col min="13" max="13" width="10.36328125" style="101" customWidth="1" collapsed="1"/>
    <col min="14" max="22" width="8.81640625" style="101" hidden="1" customWidth="1" outlineLevel="1"/>
    <col min="23" max="23" width="10.36328125" style="101" bestFit="1" customWidth="1" collapsed="1"/>
    <col min="24" max="32" width="8.81640625" style="101" hidden="1" customWidth="1" outlineLevel="1"/>
    <col min="33" max="33" width="10.36328125" style="101" bestFit="1" customWidth="1" collapsed="1"/>
    <col min="35" max="35" width="52.81640625" bestFit="1" customWidth="1"/>
    <col min="36" max="36" width="30.36328125" style="3" customWidth="1"/>
    <col min="37" max="37" width="13.26953125" customWidth="1"/>
    <col min="38" max="38" width="20.36328125" bestFit="1" customWidth="1"/>
    <col min="41" max="41" width="17.81640625" customWidth="1"/>
    <col min="42" max="42" width="18.08984375" customWidth="1"/>
    <col min="44" max="44" width="10.36328125" customWidth="1"/>
    <col min="47" max="47" width="20.08984375" bestFit="1" customWidth="1"/>
    <col min="55" max="55" width="49" bestFit="1" customWidth="1"/>
    <col min="56" max="56" width="8.81640625" customWidth="1"/>
  </cols>
  <sheetData>
    <row r="1" spans="1:47">
      <c r="C1" s="113">
        <v>2020</v>
      </c>
      <c r="D1" s="113">
        <f>C1+1</f>
        <v>2021</v>
      </c>
      <c r="E1" s="113">
        <f t="shared" ref="E1:L1" si="0">D1+1</f>
        <v>2022</v>
      </c>
      <c r="F1" s="113">
        <f t="shared" si="0"/>
        <v>2023</v>
      </c>
      <c r="G1" s="113">
        <f t="shared" si="0"/>
        <v>2024</v>
      </c>
      <c r="H1" s="113">
        <f t="shared" si="0"/>
        <v>2025</v>
      </c>
      <c r="I1" s="113">
        <f t="shared" si="0"/>
        <v>2026</v>
      </c>
      <c r="J1" s="113">
        <f t="shared" si="0"/>
        <v>2027</v>
      </c>
      <c r="K1" s="113">
        <f t="shared" si="0"/>
        <v>2028</v>
      </c>
      <c r="L1" s="113">
        <f t="shared" si="0"/>
        <v>2029</v>
      </c>
      <c r="M1" s="113">
        <v>2030</v>
      </c>
      <c r="N1" s="113">
        <f>M1+1</f>
        <v>2031</v>
      </c>
      <c r="O1" s="113">
        <f t="shared" ref="O1:V1" si="1">N1+1</f>
        <v>2032</v>
      </c>
      <c r="P1" s="113">
        <f t="shared" si="1"/>
        <v>2033</v>
      </c>
      <c r="Q1" s="113">
        <f t="shared" si="1"/>
        <v>2034</v>
      </c>
      <c r="R1" s="113">
        <f t="shared" si="1"/>
        <v>2035</v>
      </c>
      <c r="S1" s="113">
        <f t="shared" si="1"/>
        <v>2036</v>
      </c>
      <c r="T1" s="113">
        <f t="shared" si="1"/>
        <v>2037</v>
      </c>
      <c r="U1" s="113">
        <f t="shared" si="1"/>
        <v>2038</v>
      </c>
      <c r="V1" s="113">
        <f t="shared" si="1"/>
        <v>2039</v>
      </c>
      <c r="W1" s="113">
        <v>2040</v>
      </c>
      <c r="X1" s="113">
        <f>W1+1</f>
        <v>2041</v>
      </c>
      <c r="Y1" s="113">
        <f t="shared" ref="Y1:AF1" si="2">X1+1</f>
        <v>2042</v>
      </c>
      <c r="Z1" s="113">
        <f t="shared" si="2"/>
        <v>2043</v>
      </c>
      <c r="AA1" s="113">
        <f t="shared" si="2"/>
        <v>2044</v>
      </c>
      <c r="AB1" s="113">
        <f t="shared" si="2"/>
        <v>2045</v>
      </c>
      <c r="AC1" s="113">
        <f t="shared" si="2"/>
        <v>2046</v>
      </c>
      <c r="AD1" s="113">
        <f t="shared" si="2"/>
        <v>2047</v>
      </c>
      <c r="AE1" s="113">
        <f t="shared" si="2"/>
        <v>2048</v>
      </c>
      <c r="AF1" s="113">
        <f t="shared" si="2"/>
        <v>2049</v>
      </c>
      <c r="AG1" s="113">
        <v>2050</v>
      </c>
      <c r="AI1" s="1" t="s">
        <v>67</v>
      </c>
      <c r="AJ1" s="151" t="s">
        <v>60</v>
      </c>
      <c r="AO1" s="1"/>
    </row>
    <row r="2" spans="1:47" ht="15.5" thickBot="1">
      <c r="A2" s="187" t="str">
        <f>'Ethylene Recycling HC'!A2</f>
        <v>Plastic waste generation</v>
      </c>
      <c r="B2" s="187" t="str">
        <f>'Ethylene Recycling HC'!B2</f>
        <v>mT</v>
      </c>
      <c r="C2" s="203">
        <f>'Ethylene Recycling HC'!C2</f>
        <v>5301378.929236711</v>
      </c>
      <c r="D2" s="203">
        <f>'Ethylene Recycling HC'!D2</f>
        <v>5301378.929236711</v>
      </c>
      <c r="E2" s="203">
        <f>'Ethylene Recycling HC'!E2</f>
        <v>5301378.929236711</v>
      </c>
      <c r="F2" s="203">
        <f>'Ethylene Recycling HC'!F2</f>
        <v>5301378.929236711</v>
      </c>
      <c r="G2" s="203">
        <f>'Ethylene Recycling HC'!G2</f>
        <v>5301378.929236711</v>
      </c>
      <c r="H2" s="203">
        <f>'Ethylene Recycling HC'!H2</f>
        <v>5301378.929236711</v>
      </c>
      <c r="I2" s="203">
        <f>'Ethylene Recycling HC'!I2</f>
        <v>5301378.929236711</v>
      </c>
      <c r="J2" s="203">
        <f>'Ethylene Recycling HC'!J2</f>
        <v>5301378.929236711</v>
      </c>
      <c r="K2" s="203">
        <f>'Ethylene Recycling HC'!K2</f>
        <v>5301378.929236711</v>
      </c>
      <c r="L2" s="203">
        <f>'Ethylene Recycling HC'!L2</f>
        <v>5301378.929236711</v>
      </c>
      <c r="M2" s="203">
        <f>'Ethylene Recycling HC'!M2</f>
        <v>5301378.929236711</v>
      </c>
      <c r="N2" s="203">
        <f>'Ethylene Recycling HC'!N2</f>
        <v>5301378.929236711</v>
      </c>
      <c r="O2" s="203">
        <f>'Ethylene Recycling HC'!O2</f>
        <v>5301378.929236711</v>
      </c>
      <c r="P2" s="203">
        <f>'Ethylene Recycling HC'!P2</f>
        <v>5301378.929236711</v>
      </c>
      <c r="Q2" s="203">
        <f>'Ethylene Recycling HC'!Q2</f>
        <v>5301378.929236711</v>
      </c>
      <c r="R2" s="203">
        <f>'Ethylene Recycling HC'!R2</f>
        <v>5301378.929236711</v>
      </c>
      <c r="S2" s="203">
        <f>'Ethylene Recycling HC'!S2</f>
        <v>5301378.929236711</v>
      </c>
      <c r="T2" s="203">
        <f>'Ethylene Recycling HC'!T2</f>
        <v>5301378.929236711</v>
      </c>
      <c r="U2" s="203">
        <f>'Ethylene Recycling HC'!U2</f>
        <v>5301378.929236711</v>
      </c>
      <c r="V2" s="203">
        <f>'Ethylene Recycling HC'!V2</f>
        <v>5301378.929236711</v>
      </c>
      <c r="W2" s="203">
        <f>'Ethylene Recycling HC'!W2</f>
        <v>5301378.929236711</v>
      </c>
      <c r="X2" s="203">
        <f>'Ethylene Recycling HC'!X2</f>
        <v>5301378.929236711</v>
      </c>
      <c r="Y2" s="203">
        <f>'Ethylene Recycling HC'!Y2</f>
        <v>5301378.929236711</v>
      </c>
      <c r="Z2" s="203">
        <f>'Ethylene Recycling HC'!Z2</f>
        <v>5301378.929236711</v>
      </c>
      <c r="AA2" s="203">
        <f>'Ethylene Recycling HC'!AA2</f>
        <v>5301378.929236711</v>
      </c>
      <c r="AB2" s="203">
        <f>'Ethylene Recycling HC'!AB2</f>
        <v>5301378.929236711</v>
      </c>
      <c r="AC2" s="203">
        <f>'Ethylene Recycling HC'!AC2</f>
        <v>5301378.929236711</v>
      </c>
      <c r="AD2" s="203">
        <f>'Ethylene Recycling HC'!AD2</f>
        <v>5301378.929236711</v>
      </c>
      <c r="AE2" s="203">
        <f>'Ethylene Recycling HC'!AE2</f>
        <v>5301378.929236711</v>
      </c>
      <c r="AF2" s="203">
        <f>'Ethylene Recycling HC'!AF2</f>
        <v>5301378.929236711</v>
      </c>
      <c r="AG2" s="203">
        <f>'Ethylene Recycling HC'!AG2</f>
        <v>5301378.929236711</v>
      </c>
      <c r="AH2" s="80"/>
      <c r="AI2" s="349">
        <f>(AG2/C2)^(1/30)-1</f>
        <v>0</v>
      </c>
      <c r="AJ2" s="199" t="s">
        <v>397</v>
      </c>
      <c r="AR2" s="1"/>
      <c r="AU2" s="22"/>
    </row>
    <row r="3" spans="1:47" ht="15.5" outlineLevel="1" thickTop="1">
      <c r="C3" s="105"/>
      <c r="D3" s="105"/>
      <c r="E3" s="105"/>
      <c r="F3" s="105"/>
      <c r="G3" s="105"/>
      <c r="H3" s="105"/>
      <c r="I3" s="105"/>
      <c r="J3" s="105"/>
      <c r="K3" s="105"/>
      <c r="L3" s="105"/>
      <c r="N3" s="105"/>
      <c r="O3" s="105"/>
      <c r="P3" s="105"/>
      <c r="Q3" s="105"/>
      <c r="R3" s="105"/>
      <c r="S3" s="105"/>
      <c r="T3" s="105"/>
      <c r="U3" s="105"/>
      <c r="V3" s="105"/>
      <c r="X3" s="105"/>
      <c r="Y3" s="105"/>
      <c r="Z3" s="105"/>
      <c r="AA3" s="105"/>
      <c r="AB3" s="105"/>
      <c r="AC3" s="105"/>
      <c r="AD3" s="105"/>
      <c r="AE3" s="105"/>
      <c r="AF3" s="105"/>
      <c r="AI3" s="52"/>
      <c r="AJ3" s="200"/>
    </row>
    <row r="4" spans="1:47" outlineLevel="1">
      <c r="A4" t="s">
        <v>401</v>
      </c>
      <c r="B4" s="51" t="s">
        <v>126</v>
      </c>
      <c r="C4" s="104">
        <f>'Waste gen. - Industry shares'!C18+'Waste gen. - Industry shares'!C22</f>
        <v>0.52761781690498222</v>
      </c>
      <c r="D4" s="22">
        <f>C4</f>
        <v>0.52761781690498222</v>
      </c>
      <c r="E4" s="22">
        <f t="shared" ref="E4:T8" si="3">D4</f>
        <v>0.52761781690498222</v>
      </c>
      <c r="F4" s="22">
        <f t="shared" si="3"/>
        <v>0.52761781690498222</v>
      </c>
      <c r="G4" s="22">
        <f t="shared" si="3"/>
        <v>0.52761781690498222</v>
      </c>
      <c r="H4" s="22">
        <f t="shared" si="3"/>
        <v>0.52761781690498222</v>
      </c>
      <c r="I4" s="22">
        <f t="shared" si="3"/>
        <v>0.52761781690498222</v>
      </c>
      <c r="J4" s="22">
        <f t="shared" si="3"/>
        <v>0.52761781690498222</v>
      </c>
      <c r="K4" s="22">
        <f t="shared" si="3"/>
        <v>0.52761781690498222</v>
      </c>
      <c r="L4" s="22">
        <f t="shared" si="3"/>
        <v>0.52761781690498222</v>
      </c>
      <c r="M4" s="22">
        <f t="shared" si="3"/>
        <v>0.52761781690498222</v>
      </c>
      <c r="N4" s="22">
        <f t="shared" si="3"/>
        <v>0.52761781690498222</v>
      </c>
      <c r="O4" s="22">
        <f t="shared" si="3"/>
        <v>0.52761781690498222</v>
      </c>
      <c r="P4" s="22">
        <f t="shared" si="3"/>
        <v>0.52761781690498222</v>
      </c>
      <c r="Q4" s="22">
        <f t="shared" si="3"/>
        <v>0.52761781690498222</v>
      </c>
      <c r="R4" s="22">
        <f t="shared" si="3"/>
        <v>0.52761781690498222</v>
      </c>
      <c r="S4" s="22">
        <f t="shared" si="3"/>
        <v>0.52761781690498222</v>
      </c>
      <c r="T4" s="22">
        <f t="shared" si="3"/>
        <v>0.52761781690498222</v>
      </c>
      <c r="U4" s="22">
        <f t="shared" ref="T4:AG8" si="4">T4</f>
        <v>0.52761781690498222</v>
      </c>
      <c r="V4" s="22">
        <f t="shared" si="4"/>
        <v>0.52761781690498222</v>
      </c>
      <c r="W4" s="22">
        <f t="shared" si="4"/>
        <v>0.52761781690498222</v>
      </c>
      <c r="X4" s="22">
        <f t="shared" si="4"/>
        <v>0.52761781690498222</v>
      </c>
      <c r="Y4" s="22">
        <f t="shared" si="4"/>
        <v>0.52761781690498222</v>
      </c>
      <c r="Z4" s="22">
        <f t="shared" si="4"/>
        <v>0.52761781690498222</v>
      </c>
      <c r="AA4" s="22">
        <f t="shared" si="4"/>
        <v>0.52761781690498222</v>
      </c>
      <c r="AB4" s="22">
        <f t="shared" si="4"/>
        <v>0.52761781690498222</v>
      </c>
      <c r="AC4" s="22">
        <f t="shared" si="4"/>
        <v>0.52761781690498222</v>
      </c>
      <c r="AD4" s="22">
        <f t="shared" si="4"/>
        <v>0.52761781690498222</v>
      </c>
      <c r="AE4" s="22">
        <f t="shared" si="4"/>
        <v>0.52761781690498222</v>
      </c>
      <c r="AF4" s="22">
        <f t="shared" si="4"/>
        <v>0.52761781690498222</v>
      </c>
      <c r="AG4" s="22">
        <f t="shared" si="4"/>
        <v>0.52761781690498222</v>
      </c>
      <c r="AI4" s="51" t="s">
        <v>268</v>
      </c>
      <c r="AJ4" s="198"/>
    </row>
    <row r="5" spans="1:47" outlineLevel="1">
      <c r="A5" t="s">
        <v>286</v>
      </c>
      <c r="B5" s="51" t="s">
        <v>126</v>
      </c>
      <c r="C5" s="104">
        <f>'Waste gen. - Industry shares'!C20</f>
        <v>4.980376521164729E-2</v>
      </c>
      <c r="D5" s="22">
        <f>C5</f>
        <v>4.980376521164729E-2</v>
      </c>
      <c r="E5" s="22">
        <f t="shared" si="3"/>
        <v>4.980376521164729E-2</v>
      </c>
      <c r="F5" s="22">
        <f t="shared" si="3"/>
        <v>4.980376521164729E-2</v>
      </c>
      <c r="G5" s="22">
        <f t="shared" si="3"/>
        <v>4.980376521164729E-2</v>
      </c>
      <c r="H5" s="22">
        <f t="shared" si="3"/>
        <v>4.980376521164729E-2</v>
      </c>
      <c r="I5" s="22">
        <f t="shared" si="3"/>
        <v>4.980376521164729E-2</v>
      </c>
      <c r="J5" s="22">
        <f t="shared" si="3"/>
        <v>4.980376521164729E-2</v>
      </c>
      <c r="K5" s="22">
        <f t="shared" si="3"/>
        <v>4.980376521164729E-2</v>
      </c>
      <c r="L5" s="22">
        <f t="shared" si="3"/>
        <v>4.980376521164729E-2</v>
      </c>
      <c r="M5" s="22">
        <f t="shared" si="3"/>
        <v>4.980376521164729E-2</v>
      </c>
      <c r="N5" s="22">
        <f t="shared" si="3"/>
        <v>4.980376521164729E-2</v>
      </c>
      <c r="O5" s="22">
        <f t="shared" si="3"/>
        <v>4.980376521164729E-2</v>
      </c>
      <c r="P5" s="22">
        <f t="shared" si="3"/>
        <v>4.980376521164729E-2</v>
      </c>
      <c r="Q5" s="22">
        <f t="shared" si="3"/>
        <v>4.980376521164729E-2</v>
      </c>
      <c r="R5" s="22">
        <f t="shared" si="3"/>
        <v>4.980376521164729E-2</v>
      </c>
      <c r="S5" s="22">
        <f t="shared" si="3"/>
        <v>4.980376521164729E-2</v>
      </c>
      <c r="T5" s="22">
        <f t="shared" si="4"/>
        <v>4.980376521164729E-2</v>
      </c>
      <c r="U5" s="22">
        <f t="shared" si="4"/>
        <v>4.980376521164729E-2</v>
      </c>
      <c r="V5" s="22">
        <f t="shared" si="4"/>
        <v>4.980376521164729E-2</v>
      </c>
      <c r="W5" s="22">
        <f t="shared" si="4"/>
        <v>4.980376521164729E-2</v>
      </c>
      <c r="X5" s="22">
        <f t="shared" si="4"/>
        <v>4.980376521164729E-2</v>
      </c>
      <c r="Y5" s="22">
        <f t="shared" si="4"/>
        <v>4.980376521164729E-2</v>
      </c>
      <c r="Z5" s="22">
        <f t="shared" si="4"/>
        <v>4.980376521164729E-2</v>
      </c>
      <c r="AA5" s="22">
        <f t="shared" si="4"/>
        <v>4.980376521164729E-2</v>
      </c>
      <c r="AB5" s="22">
        <f t="shared" si="4"/>
        <v>4.980376521164729E-2</v>
      </c>
      <c r="AC5" s="22">
        <f t="shared" si="4"/>
        <v>4.980376521164729E-2</v>
      </c>
      <c r="AD5" s="22">
        <f t="shared" si="4"/>
        <v>4.980376521164729E-2</v>
      </c>
      <c r="AE5" s="22">
        <f t="shared" si="4"/>
        <v>4.980376521164729E-2</v>
      </c>
      <c r="AF5" s="22">
        <f t="shared" si="4"/>
        <v>4.980376521164729E-2</v>
      </c>
      <c r="AG5" s="22">
        <f>AF5</f>
        <v>4.980376521164729E-2</v>
      </c>
      <c r="AI5" s="51" t="s">
        <v>268</v>
      </c>
      <c r="AJ5" s="198"/>
    </row>
    <row r="6" spans="1:47" outlineLevel="1">
      <c r="A6" t="s">
        <v>287</v>
      </c>
      <c r="B6" s="51" t="s">
        <v>126</v>
      </c>
      <c r="C6" s="104">
        <f>'Waste gen. - Industry shares'!C19</f>
        <v>3.9181884245312638E-2</v>
      </c>
      <c r="D6" s="22">
        <f t="shared" ref="D6:D7" si="5">C6</f>
        <v>3.9181884245312638E-2</v>
      </c>
      <c r="E6" s="22">
        <f t="shared" si="3"/>
        <v>3.9181884245312638E-2</v>
      </c>
      <c r="F6" s="22">
        <f t="shared" si="3"/>
        <v>3.9181884245312638E-2</v>
      </c>
      <c r="G6" s="22">
        <f t="shared" si="3"/>
        <v>3.9181884245312638E-2</v>
      </c>
      <c r="H6" s="22">
        <f t="shared" si="3"/>
        <v>3.9181884245312638E-2</v>
      </c>
      <c r="I6" s="22">
        <f t="shared" si="3"/>
        <v>3.9181884245312638E-2</v>
      </c>
      <c r="J6" s="22">
        <f t="shared" si="3"/>
        <v>3.9181884245312638E-2</v>
      </c>
      <c r="K6" s="22">
        <f t="shared" si="3"/>
        <v>3.9181884245312638E-2</v>
      </c>
      <c r="L6" s="22">
        <f t="shared" si="3"/>
        <v>3.9181884245312638E-2</v>
      </c>
      <c r="M6" s="22">
        <f t="shared" si="3"/>
        <v>3.9181884245312638E-2</v>
      </c>
      <c r="N6" s="22">
        <f t="shared" si="3"/>
        <v>3.9181884245312638E-2</v>
      </c>
      <c r="O6" s="22">
        <f t="shared" si="3"/>
        <v>3.9181884245312638E-2</v>
      </c>
      <c r="P6" s="22">
        <f t="shared" si="3"/>
        <v>3.9181884245312638E-2</v>
      </c>
      <c r="Q6" s="22">
        <f t="shared" si="3"/>
        <v>3.9181884245312638E-2</v>
      </c>
      <c r="R6" s="22">
        <f t="shared" si="3"/>
        <v>3.9181884245312638E-2</v>
      </c>
      <c r="S6" s="22">
        <f t="shared" si="3"/>
        <v>3.9181884245312638E-2</v>
      </c>
      <c r="T6" s="22">
        <f t="shared" si="3"/>
        <v>3.9181884245312638E-2</v>
      </c>
      <c r="U6" s="22">
        <f t="shared" si="4"/>
        <v>3.9181884245312638E-2</v>
      </c>
      <c r="V6" s="22">
        <f t="shared" si="4"/>
        <v>3.9181884245312638E-2</v>
      </c>
      <c r="W6" s="22">
        <f t="shared" si="4"/>
        <v>3.9181884245312638E-2</v>
      </c>
      <c r="X6" s="22">
        <f t="shared" si="4"/>
        <v>3.9181884245312638E-2</v>
      </c>
      <c r="Y6" s="22">
        <f t="shared" si="4"/>
        <v>3.9181884245312638E-2</v>
      </c>
      <c r="Z6" s="22">
        <f t="shared" si="4"/>
        <v>3.9181884245312638E-2</v>
      </c>
      <c r="AA6" s="22">
        <f t="shared" si="4"/>
        <v>3.9181884245312638E-2</v>
      </c>
      <c r="AB6" s="22">
        <f t="shared" si="4"/>
        <v>3.9181884245312638E-2</v>
      </c>
      <c r="AC6" s="22">
        <f t="shared" si="4"/>
        <v>3.9181884245312638E-2</v>
      </c>
      <c r="AD6" s="22">
        <f t="shared" si="4"/>
        <v>3.9181884245312638E-2</v>
      </c>
      <c r="AE6" s="22">
        <f t="shared" si="4"/>
        <v>3.9181884245312638E-2</v>
      </c>
      <c r="AF6" s="22">
        <f t="shared" si="4"/>
        <v>3.9181884245312638E-2</v>
      </c>
      <c r="AG6" s="22">
        <f t="shared" si="4"/>
        <v>3.9181884245312638E-2</v>
      </c>
      <c r="AI6" s="51" t="s">
        <v>268</v>
      </c>
      <c r="AJ6" s="198"/>
      <c r="AR6" s="22"/>
    </row>
    <row r="7" spans="1:47" outlineLevel="1">
      <c r="A7" t="s">
        <v>410</v>
      </c>
      <c r="B7" s="51" t="s">
        <v>126</v>
      </c>
      <c r="C7" s="104">
        <f>'Waste gen. - Industry shares'!C23</f>
        <v>0.1</v>
      </c>
      <c r="D7" s="22">
        <f t="shared" si="5"/>
        <v>0.1</v>
      </c>
      <c r="E7" s="22">
        <f t="shared" si="3"/>
        <v>0.1</v>
      </c>
      <c r="F7" s="22">
        <f t="shared" si="3"/>
        <v>0.1</v>
      </c>
      <c r="G7" s="22">
        <f t="shared" si="3"/>
        <v>0.1</v>
      </c>
      <c r="H7" s="22">
        <f t="shared" si="3"/>
        <v>0.1</v>
      </c>
      <c r="I7" s="22">
        <f t="shared" si="3"/>
        <v>0.1</v>
      </c>
      <c r="J7" s="22">
        <f t="shared" si="3"/>
        <v>0.1</v>
      </c>
      <c r="K7" s="22">
        <f t="shared" si="3"/>
        <v>0.1</v>
      </c>
      <c r="L7" s="22">
        <f t="shared" si="3"/>
        <v>0.1</v>
      </c>
      <c r="M7" s="22">
        <f>L7</f>
        <v>0.1</v>
      </c>
      <c r="N7" s="22">
        <f t="shared" si="3"/>
        <v>0.1</v>
      </c>
      <c r="O7" s="22">
        <f t="shared" si="3"/>
        <v>0.1</v>
      </c>
      <c r="P7" s="22">
        <f t="shared" si="3"/>
        <v>0.1</v>
      </c>
      <c r="Q7" s="22">
        <f t="shared" si="3"/>
        <v>0.1</v>
      </c>
      <c r="R7" s="22">
        <f t="shared" si="3"/>
        <v>0.1</v>
      </c>
      <c r="S7" s="22">
        <f t="shared" si="3"/>
        <v>0.1</v>
      </c>
      <c r="T7" s="22">
        <f t="shared" si="3"/>
        <v>0.1</v>
      </c>
      <c r="U7" s="22">
        <f t="shared" si="4"/>
        <v>0.1</v>
      </c>
      <c r="V7" s="22">
        <f t="shared" si="4"/>
        <v>0.1</v>
      </c>
      <c r="W7" s="22">
        <f t="shared" si="4"/>
        <v>0.1</v>
      </c>
      <c r="X7" s="22">
        <f t="shared" si="4"/>
        <v>0.1</v>
      </c>
      <c r="Y7" s="22">
        <f t="shared" si="4"/>
        <v>0.1</v>
      </c>
      <c r="Z7" s="22">
        <f t="shared" si="4"/>
        <v>0.1</v>
      </c>
      <c r="AA7" s="22">
        <f t="shared" si="4"/>
        <v>0.1</v>
      </c>
      <c r="AB7" s="22">
        <f t="shared" si="4"/>
        <v>0.1</v>
      </c>
      <c r="AC7" s="22">
        <f t="shared" si="4"/>
        <v>0.1</v>
      </c>
      <c r="AD7" s="22">
        <f t="shared" si="4"/>
        <v>0.1</v>
      </c>
      <c r="AE7" s="22">
        <f t="shared" si="4"/>
        <v>0.1</v>
      </c>
      <c r="AF7" s="22">
        <f t="shared" si="4"/>
        <v>0.1</v>
      </c>
      <c r="AG7" s="22">
        <f t="shared" si="4"/>
        <v>0.1</v>
      </c>
      <c r="AI7" s="51" t="s">
        <v>268</v>
      </c>
      <c r="AJ7" s="198"/>
    </row>
    <row r="8" spans="1:47" outlineLevel="1">
      <c r="A8" t="s">
        <v>402</v>
      </c>
      <c r="B8" s="51" t="s">
        <v>126</v>
      </c>
      <c r="C8" s="104">
        <f>'Waste gen. - Industry shares'!C24+'Waste gen. - Industry shares'!C21</f>
        <v>0.28429743453895867</v>
      </c>
      <c r="D8" s="119">
        <f>C8</f>
        <v>0.28429743453895867</v>
      </c>
      <c r="E8" s="119">
        <f t="shared" si="3"/>
        <v>0.28429743453895867</v>
      </c>
      <c r="F8" s="119">
        <f t="shared" si="3"/>
        <v>0.28429743453895867</v>
      </c>
      <c r="G8" s="119">
        <f t="shared" si="3"/>
        <v>0.28429743453895867</v>
      </c>
      <c r="H8" s="119">
        <f t="shared" si="3"/>
        <v>0.28429743453895867</v>
      </c>
      <c r="I8" s="119">
        <f t="shared" si="3"/>
        <v>0.28429743453895867</v>
      </c>
      <c r="J8" s="119">
        <f t="shared" si="3"/>
        <v>0.28429743453895867</v>
      </c>
      <c r="K8" s="119">
        <f t="shared" si="3"/>
        <v>0.28429743453895867</v>
      </c>
      <c r="L8" s="119">
        <f t="shared" si="3"/>
        <v>0.28429743453895867</v>
      </c>
      <c r="M8" s="121">
        <f t="shared" si="3"/>
        <v>0.28429743453895867</v>
      </c>
      <c r="N8" s="121">
        <f t="shared" si="3"/>
        <v>0.28429743453895867</v>
      </c>
      <c r="O8" s="121">
        <f t="shared" si="3"/>
        <v>0.28429743453895867</v>
      </c>
      <c r="P8" s="121">
        <f t="shared" si="3"/>
        <v>0.28429743453895867</v>
      </c>
      <c r="Q8" s="121">
        <f t="shared" si="3"/>
        <v>0.28429743453895867</v>
      </c>
      <c r="R8" s="121">
        <f t="shared" si="3"/>
        <v>0.28429743453895867</v>
      </c>
      <c r="S8" s="121">
        <f t="shared" si="3"/>
        <v>0.28429743453895867</v>
      </c>
      <c r="T8" s="121">
        <f t="shared" si="3"/>
        <v>0.28429743453895867</v>
      </c>
      <c r="U8" s="121">
        <f t="shared" si="4"/>
        <v>0.28429743453895867</v>
      </c>
      <c r="V8" s="121">
        <f t="shared" si="4"/>
        <v>0.28429743453895867</v>
      </c>
      <c r="W8" s="121">
        <f t="shared" si="4"/>
        <v>0.28429743453895867</v>
      </c>
      <c r="X8" s="121">
        <f t="shared" si="4"/>
        <v>0.28429743453895867</v>
      </c>
      <c r="Y8" s="121">
        <f t="shared" si="4"/>
        <v>0.28429743453895867</v>
      </c>
      <c r="Z8" s="121">
        <f t="shared" si="4"/>
        <v>0.28429743453895867</v>
      </c>
      <c r="AA8" s="121">
        <f t="shared" si="4"/>
        <v>0.28429743453895867</v>
      </c>
      <c r="AB8" s="121">
        <f t="shared" si="4"/>
        <v>0.28429743453895867</v>
      </c>
      <c r="AC8" s="121">
        <f t="shared" si="4"/>
        <v>0.28429743453895867</v>
      </c>
      <c r="AD8" s="121">
        <f t="shared" si="4"/>
        <v>0.28429743453895867</v>
      </c>
      <c r="AE8" s="121">
        <f t="shared" si="4"/>
        <v>0.28429743453895867</v>
      </c>
      <c r="AF8" s="121">
        <f t="shared" si="4"/>
        <v>0.28429743453895867</v>
      </c>
      <c r="AG8" s="121">
        <f t="shared" si="4"/>
        <v>0.28429743453895867</v>
      </c>
      <c r="AI8" s="51" t="s">
        <v>268</v>
      </c>
      <c r="AJ8" s="198"/>
    </row>
    <row r="9" spans="1:47" ht="15.5" outlineLevel="1" thickBot="1">
      <c r="A9" s="182" t="s">
        <v>433</v>
      </c>
      <c r="B9" s="183"/>
      <c r="C9" s="184">
        <f>SUM(C4:C8)</f>
        <v>1.0009009009009009</v>
      </c>
      <c r="D9" s="184">
        <f t="shared" ref="D9:AG9" si="6">SUM(D4:D8)</f>
        <v>1.0009009009009009</v>
      </c>
      <c r="E9" s="184">
        <f t="shared" si="6"/>
        <v>1.0009009009009009</v>
      </c>
      <c r="F9" s="184">
        <f t="shared" si="6"/>
        <v>1.0009009009009009</v>
      </c>
      <c r="G9" s="184">
        <f t="shared" si="6"/>
        <v>1.0009009009009009</v>
      </c>
      <c r="H9" s="184">
        <f t="shared" si="6"/>
        <v>1.0009009009009009</v>
      </c>
      <c r="I9" s="184">
        <f t="shared" si="6"/>
        <v>1.0009009009009009</v>
      </c>
      <c r="J9" s="184">
        <f t="shared" si="6"/>
        <v>1.0009009009009009</v>
      </c>
      <c r="K9" s="184">
        <f t="shared" si="6"/>
        <v>1.0009009009009009</v>
      </c>
      <c r="L9" s="184">
        <f t="shared" si="6"/>
        <v>1.0009009009009009</v>
      </c>
      <c r="M9" s="184">
        <f t="shared" si="6"/>
        <v>1.0009009009009009</v>
      </c>
      <c r="N9" s="184">
        <f t="shared" si="6"/>
        <v>1.0009009009009009</v>
      </c>
      <c r="O9" s="184">
        <f t="shared" si="6"/>
        <v>1.0009009009009009</v>
      </c>
      <c r="P9" s="184">
        <f t="shared" si="6"/>
        <v>1.0009009009009009</v>
      </c>
      <c r="Q9" s="184">
        <f t="shared" si="6"/>
        <v>1.0009009009009009</v>
      </c>
      <c r="R9" s="184">
        <f t="shared" si="6"/>
        <v>1.0009009009009009</v>
      </c>
      <c r="S9" s="184">
        <f t="shared" si="6"/>
        <v>1.0009009009009009</v>
      </c>
      <c r="T9" s="184">
        <f t="shared" si="6"/>
        <v>1.0009009009009009</v>
      </c>
      <c r="U9" s="184">
        <f t="shared" si="6"/>
        <v>1.0009009009009009</v>
      </c>
      <c r="V9" s="184">
        <f t="shared" si="6"/>
        <v>1.0009009009009009</v>
      </c>
      <c r="W9" s="184">
        <f t="shared" si="6"/>
        <v>1.0009009009009009</v>
      </c>
      <c r="X9" s="184">
        <f t="shared" si="6"/>
        <v>1.0009009009009009</v>
      </c>
      <c r="Y9" s="184">
        <f t="shared" si="6"/>
        <v>1.0009009009009009</v>
      </c>
      <c r="Z9" s="184">
        <f t="shared" si="6"/>
        <v>1.0009009009009009</v>
      </c>
      <c r="AA9" s="184">
        <f t="shared" si="6"/>
        <v>1.0009009009009009</v>
      </c>
      <c r="AB9" s="184">
        <f t="shared" si="6"/>
        <v>1.0009009009009009</v>
      </c>
      <c r="AC9" s="184">
        <f t="shared" si="6"/>
        <v>1.0009009009009009</v>
      </c>
      <c r="AD9" s="184">
        <f t="shared" si="6"/>
        <v>1.0009009009009009</v>
      </c>
      <c r="AE9" s="184">
        <f t="shared" si="6"/>
        <v>1.0009009009009009</v>
      </c>
      <c r="AF9" s="184">
        <f t="shared" si="6"/>
        <v>1.0009009009009009</v>
      </c>
      <c r="AG9" s="184">
        <f t="shared" si="6"/>
        <v>1.0009009009009009</v>
      </c>
      <c r="AM9" s="24"/>
      <c r="AN9" s="2"/>
      <c r="AO9" s="24"/>
      <c r="AR9" s="2"/>
    </row>
    <row r="10" spans="1:47" ht="15.5" outlineLevel="1" thickTop="1">
      <c r="AM10" s="24"/>
      <c r="AN10" s="2"/>
      <c r="AO10" s="24"/>
      <c r="AR10" s="2"/>
    </row>
    <row r="11" spans="1:47" outlineLevel="1">
      <c r="A11" t="s">
        <v>413</v>
      </c>
      <c r="B11" s="51" t="s">
        <v>296</v>
      </c>
      <c r="C11" s="101">
        <f t="shared" ref="C11:AG15" si="7">C$2*C4</f>
        <v>2797101.9772299458</v>
      </c>
      <c r="D11" s="101">
        <f t="shared" si="7"/>
        <v>2797101.9772299458</v>
      </c>
      <c r="E11" s="101">
        <f t="shared" si="7"/>
        <v>2797101.9772299458</v>
      </c>
      <c r="F11" s="101">
        <f t="shared" si="7"/>
        <v>2797101.9772299458</v>
      </c>
      <c r="G11" s="101">
        <f t="shared" si="7"/>
        <v>2797101.9772299458</v>
      </c>
      <c r="H11" s="101">
        <f t="shared" si="7"/>
        <v>2797101.9772299458</v>
      </c>
      <c r="I11" s="101">
        <f t="shared" si="7"/>
        <v>2797101.9772299458</v>
      </c>
      <c r="J11" s="101">
        <f t="shared" si="7"/>
        <v>2797101.9772299458</v>
      </c>
      <c r="K11" s="101">
        <f t="shared" si="7"/>
        <v>2797101.9772299458</v>
      </c>
      <c r="L11" s="101">
        <f t="shared" si="7"/>
        <v>2797101.9772299458</v>
      </c>
      <c r="M11" s="101">
        <f t="shared" si="7"/>
        <v>2797101.9772299458</v>
      </c>
      <c r="N11" s="101">
        <f t="shared" si="7"/>
        <v>2797101.9772299458</v>
      </c>
      <c r="O11" s="101">
        <f t="shared" si="7"/>
        <v>2797101.9772299458</v>
      </c>
      <c r="P11" s="101">
        <f t="shared" si="7"/>
        <v>2797101.9772299458</v>
      </c>
      <c r="Q11" s="101">
        <f t="shared" si="7"/>
        <v>2797101.9772299458</v>
      </c>
      <c r="R11" s="101">
        <f t="shared" si="7"/>
        <v>2797101.9772299458</v>
      </c>
      <c r="S11" s="101">
        <f t="shared" si="7"/>
        <v>2797101.9772299458</v>
      </c>
      <c r="T11" s="101">
        <f t="shared" si="7"/>
        <v>2797101.9772299458</v>
      </c>
      <c r="U11" s="101">
        <f t="shared" si="7"/>
        <v>2797101.9772299458</v>
      </c>
      <c r="V11" s="101">
        <f t="shared" si="7"/>
        <v>2797101.9772299458</v>
      </c>
      <c r="W11" s="101">
        <f t="shared" si="7"/>
        <v>2797101.9772299458</v>
      </c>
      <c r="X11" s="101">
        <f t="shared" si="7"/>
        <v>2797101.9772299458</v>
      </c>
      <c r="Y11" s="101">
        <f t="shared" si="7"/>
        <v>2797101.9772299458</v>
      </c>
      <c r="Z11" s="101">
        <f t="shared" si="7"/>
        <v>2797101.9772299458</v>
      </c>
      <c r="AA11" s="101">
        <f t="shared" si="7"/>
        <v>2797101.9772299458</v>
      </c>
      <c r="AB11" s="101">
        <f t="shared" si="7"/>
        <v>2797101.9772299458</v>
      </c>
      <c r="AC11" s="101">
        <f t="shared" si="7"/>
        <v>2797101.9772299458</v>
      </c>
      <c r="AD11" s="101">
        <f t="shared" si="7"/>
        <v>2797101.9772299458</v>
      </c>
      <c r="AE11" s="101">
        <f t="shared" si="7"/>
        <v>2797101.9772299458</v>
      </c>
      <c r="AF11" s="101">
        <f t="shared" si="7"/>
        <v>2797101.9772299458</v>
      </c>
      <c r="AG11" s="101">
        <f t="shared" si="7"/>
        <v>2797101.9772299458</v>
      </c>
      <c r="AM11" s="24"/>
      <c r="AN11" s="2"/>
      <c r="AO11" s="24"/>
      <c r="AR11" s="2"/>
    </row>
    <row r="12" spans="1:47" outlineLevel="1">
      <c r="A12" t="s">
        <v>269</v>
      </c>
      <c r="B12" s="51" t="s">
        <v>296</v>
      </c>
      <c r="C12" s="101">
        <f t="shared" si="7"/>
        <v>264028.63148967928</v>
      </c>
      <c r="D12" s="101">
        <f t="shared" si="7"/>
        <v>264028.63148967928</v>
      </c>
      <c r="E12" s="101">
        <f t="shared" si="7"/>
        <v>264028.63148967928</v>
      </c>
      <c r="F12" s="101">
        <f t="shared" si="7"/>
        <v>264028.63148967928</v>
      </c>
      <c r="G12" s="101">
        <f t="shared" si="7"/>
        <v>264028.63148967928</v>
      </c>
      <c r="H12" s="101">
        <f t="shared" si="7"/>
        <v>264028.63148967928</v>
      </c>
      <c r="I12" s="101">
        <f t="shared" si="7"/>
        <v>264028.63148967928</v>
      </c>
      <c r="J12" s="101">
        <f t="shared" si="7"/>
        <v>264028.63148967928</v>
      </c>
      <c r="K12" s="101">
        <f t="shared" si="7"/>
        <v>264028.63148967928</v>
      </c>
      <c r="L12" s="101">
        <f t="shared" si="7"/>
        <v>264028.63148967928</v>
      </c>
      <c r="M12" s="101">
        <f t="shared" si="7"/>
        <v>264028.63148967928</v>
      </c>
      <c r="N12" s="101">
        <f t="shared" si="7"/>
        <v>264028.63148967928</v>
      </c>
      <c r="O12" s="101">
        <f t="shared" si="7"/>
        <v>264028.63148967928</v>
      </c>
      <c r="P12" s="101">
        <f t="shared" si="7"/>
        <v>264028.63148967928</v>
      </c>
      <c r="Q12" s="101">
        <f t="shared" si="7"/>
        <v>264028.63148967928</v>
      </c>
      <c r="R12" s="101">
        <f t="shared" si="7"/>
        <v>264028.63148967928</v>
      </c>
      <c r="S12" s="101">
        <f t="shared" si="7"/>
        <v>264028.63148967928</v>
      </c>
      <c r="T12" s="101">
        <f t="shared" si="7"/>
        <v>264028.63148967928</v>
      </c>
      <c r="U12" s="101">
        <f t="shared" si="7"/>
        <v>264028.63148967928</v>
      </c>
      <c r="V12" s="101">
        <f t="shared" si="7"/>
        <v>264028.63148967928</v>
      </c>
      <c r="W12" s="101">
        <f t="shared" si="7"/>
        <v>264028.63148967928</v>
      </c>
      <c r="X12" s="101">
        <f t="shared" si="7"/>
        <v>264028.63148967928</v>
      </c>
      <c r="Y12" s="101">
        <f t="shared" si="7"/>
        <v>264028.63148967928</v>
      </c>
      <c r="Z12" s="101">
        <f t="shared" si="7"/>
        <v>264028.63148967928</v>
      </c>
      <c r="AA12" s="101">
        <f t="shared" si="7"/>
        <v>264028.63148967928</v>
      </c>
      <c r="AB12" s="101">
        <f t="shared" si="7"/>
        <v>264028.63148967928</v>
      </c>
      <c r="AC12" s="101">
        <f t="shared" si="7"/>
        <v>264028.63148967928</v>
      </c>
      <c r="AD12" s="101">
        <f t="shared" si="7"/>
        <v>264028.63148967928</v>
      </c>
      <c r="AE12" s="101">
        <f t="shared" si="7"/>
        <v>264028.63148967928</v>
      </c>
      <c r="AF12" s="101">
        <f t="shared" si="7"/>
        <v>264028.63148967928</v>
      </c>
      <c r="AG12" s="101">
        <f t="shared" si="7"/>
        <v>264028.63148967928</v>
      </c>
      <c r="AM12" s="24"/>
      <c r="AN12" s="2"/>
      <c r="AO12" s="24"/>
      <c r="AR12" s="2"/>
    </row>
    <row r="13" spans="1:47" outlineLevel="1">
      <c r="A13" t="s">
        <v>270</v>
      </c>
      <c r="B13" s="51" t="s">
        <v>296</v>
      </c>
      <c r="C13" s="101">
        <f t="shared" si="7"/>
        <v>207718.01554589227</v>
      </c>
      <c r="D13" s="101">
        <f t="shared" si="7"/>
        <v>207718.01554589227</v>
      </c>
      <c r="E13" s="101">
        <f t="shared" si="7"/>
        <v>207718.01554589227</v>
      </c>
      <c r="F13" s="101">
        <f t="shared" si="7"/>
        <v>207718.01554589227</v>
      </c>
      <c r="G13" s="101">
        <f t="shared" si="7"/>
        <v>207718.01554589227</v>
      </c>
      <c r="H13" s="101">
        <f t="shared" si="7"/>
        <v>207718.01554589227</v>
      </c>
      <c r="I13" s="101">
        <f t="shared" si="7"/>
        <v>207718.01554589227</v>
      </c>
      <c r="J13" s="101">
        <f t="shared" si="7"/>
        <v>207718.01554589227</v>
      </c>
      <c r="K13" s="101">
        <f t="shared" si="7"/>
        <v>207718.01554589227</v>
      </c>
      <c r="L13" s="101">
        <f t="shared" si="7"/>
        <v>207718.01554589227</v>
      </c>
      <c r="M13" s="101">
        <f t="shared" si="7"/>
        <v>207718.01554589227</v>
      </c>
      <c r="N13" s="101">
        <f t="shared" si="7"/>
        <v>207718.01554589227</v>
      </c>
      <c r="O13" s="101">
        <f t="shared" si="7"/>
        <v>207718.01554589227</v>
      </c>
      <c r="P13" s="101">
        <f t="shared" si="7"/>
        <v>207718.01554589227</v>
      </c>
      <c r="Q13" s="101">
        <f t="shared" si="7"/>
        <v>207718.01554589227</v>
      </c>
      <c r="R13" s="101">
        <f t="shared" si="7"/>
        <v>207718.01554589227</v>
      </c>
      <c r="S13" s="101">
        <f t="shared" si="7"/>
        <v>207718.01554589227</v>
      </c>
      <c r="T13" s="101">
        <f t="shared" si="7"/>
        <v>207718.01554589227</v>
      </c>
      <c r="U13" s="101">
        <f t="shared" si="7"/>
        <v>207718.01554589227</v>
      </c>
      <c r="V13" s="101">
        <f t="shared" si="7"/>
        <v>207718.01554589227</v>
      </c>
      <c r="W13" s="101">
        <f t="shared" si="7"/>
        <v>207718.01554589227</v>
      </c>
      <c r="X13" s="101">
        <f t="shared" si="7"/>
        <v>207718.01554589227</v>
      </c>
      <c r="Y13" s="101">
        <f t="shared" si="7"/>
        <v>207718.01554589227</v>
      </c>
      <c r="Z13" s="101">
        <f t="shared" si="7"/>
        <v>207718.01554589227</v>
      </c>
      <c r="AA13" s="101">
        <f t="shared" si="7"/>
        <v>207718.01554589227</v>
      </c>
      <c r="AB13" s="101">
        <f t="shared" si="7"/>
        <v>207718.01554589227</v>
      </c>
      <c r="AC13" s="101">
        <f t="shared" si="7"/>
        <v>207718.01554589227</v>
      </c>
      <c r="AD13" s="101">
        <f t="shared" si="7"/>
        <v>207718.01554589227</v>
      </c>
      <c r="AE13" s="101">
        <f t="shared" si="7"/>
        <v>207718.01554589227</v>
      </c>
      <c r="AF13" s="101">
        <f t="shared" si="7"/>
        <v>207718.01554589227</v>
      </c>
      <c r="AG13" s="101">
        <f t="shared" si="7"/>
        <v>207718.01554589227</v>
      </c>
      <c r="AM13" s="24"/>
      <c r="AN13" s="2"/>
      <c r="AO13" s="24"/>
      <c r="AR13" s="2"/>
    </row>
    <row r="14" spans="1:47" outlineLevel="1">
      <c r="A14" t="s">
        <v>411</v>
      </c>
      <c r="B14" s="51" t="s">
        <v>296</v>
      </c>
      <c r="C14" s="101">
        <f t="shared" si="7"/>
        <v>530137.89292367117</v>
      </c>
      <c r="D14" s="101">
        <f t="shared" si="7"/>
        <v>530137.89292367117</v>
      </c>
      <c r="E14" s="101">
        <f t="shared" si="7"/>
        <v>530137.89292367117</v>
      </c>
      <c r="F14" s="101">
        <f t="shared" si="7"/>
        <v>530137.89292367117</v>
      </c>
      <c r="G14" s="101">
        <f t="shared" si="7"/>
        <v>530137.89292367117</v>
      </c>
      <c r="H14" s="101">
        <f t="shared" si="7"/>
        <v>530137.89292367117</v>
      </c>
      <c r="I14" s="101">
        <f t="shared" si="7"/>
        <v>530137.89292367117</v>
      </c>
      <c r="J14" s="101">
        <f t="shared" si="7"/>
        <v>530137.89292367117</v>
      </c>
      <c r="K14" s="101">
        <f t="shared" si="7"/>
        <v>530137.89292367117</v>
      </c>
      <c r="L14" s="101">
        <f t="shared" si="7"/>
        <v>530137.89292367117</v>
      </c>
      <c r="M14" s="101">
        <f t="shared" si="7"/>
        <v>530137.89292367117</v>
      </c>
      <c r="N14" s="101">
        <f t="shared" si="7"/>
        <v>530137.89292367117</v>
      </c>
      <c r="O14" s="101">
        <f t="shared" si="7"/>
        <v>530137.89292367117</v>
      </c>
      <c r="P14" s="101">
        <f t="shared" si="7"/>
        <v>530137.89292367117</v>
      </c>
      <c r="Q14" s="101">
        <f t="shared" si="7"/>
        <v>530137.89292367117</v>
      </c>
      <c r="R14" s="101">
        <f t="shared" si="7"/>
        <v>530137.89292367117</v>
      </c>
      <c r="S14" s="101">
        <f t="shared" si="7"/>
        <v>530137.89292367117</v>
      </c>
      <c r="T14" s="101">
        <f t="shared" si="7"/>
        <v>530137.89292367117</v>
      </c>
      <c r="U14" s="101">
        <f t="shared" si="7"/>
        <v>530137.89292367117</v>
      </c>
      <c r="V14" s="101">
        <f t="shared" si="7"/>
        <v>530137.89292367117</v>
      </c>
      <c r="W14" s="101">
        <f t="shared" si="7"/>
        <v>530137.89292367117</v>
      </c>
      <c r="X14" s="101">
        <f t="shared" si="7"/>
        <v>530137.89292367117</v>
      </c>
      <c r="Y14" s="101">
        <f t="shared" si="7"/>
        <v>530137.89292367117</v>
      </c>
      <c r="Z14" s="101">
        <f t="shared" si="7"/>
        <v>530137.89292367117</v>
      </c>
      <c r="AA14" s="101">
        <f t="shared" si="7"/>
        <v>530137.89292367117</v>
      </c>
      <c r="AB14" s="101">
        <f t="shared" si="7"/>
        <v>530137.89292367117</v>
      </c>
      <c r="AC14" s="101">
        <f t="shared" si="7"/>
        <v>530137.89292367117</v>
      </c>
      <c r="AD14" s="101">
        <f t="shared" si="7"/>
        <v>530137.89292367117</v>
      </c>
      <c r="AE14" s="101">
        <f t="shared" si="7"/>
        <v>530137.89292367117</v>
      </c>
      <c r="AF14" s="101">
        <f t="shared" si="7"/>
        <v>530137.89292367117</v>
      </c>
      <c r="AG14" s="101">
        <f t="shared" si="7"/>
        <v>530137.89292367117</v>
      </c>
      <c r="AM14" s="24"/>
      <c r="AN14" s="2"/>
      <c r="AO14" s="24"/>
      <c r="AR14" s="2"/>
    </row>
    <row r="15" spans="1:47" outlineLevel="1">
      <c r="A15" t="s">
        <v>271</v>
      </c>
      <c r="B15" s="51" t="s">
        <v>296</v>
      </c>
      <c r="C15" s="122">
        <f t="shared" si="7"/>
        <v>1507168.4291008885</v>
      </c>
      <c r="D15" s="122">
        <f t="shared" si="7"/>
        <v>1507168.4291008885</v>
      </c>
      <c r="E15" s="122">
        <f t="shared" si="7"/>
        <v>1507168.4291008885</v>
      </c>
      <c r="F15" s="122">
        <f t="shared" si="7"/>
        <v>1507168.4291008885</v>
      </c>
      <c r="G15" s="122">
        <f t="shared" si="7"/>
        <v>1507168.4291008885</v>
      </c>
      <c r="H15" s="122">
        <f t="shared" si="7"/>
        <v>1507168.4291008885</v>
      </c>
      <c r="I15" s="122">
        <f t="shared" si="7"/>
        <v>1507168.4291008885</v>
      </c>
      <c r="J15" s="122">
        <f t="shared" si="7"/>
        <v>1507168.4291008885</v>
      </c>
      <c r="K15" s="122">
        <f t="shared" si="7"/>
        <v>1507168.4291008885</v>
      </c>
      <c r="L15" s="122">
        <f t="shared" si="7"/>
        <v>1507168.4291008885</v>
      </c>
      <c r="M15" s="122">
        <f t="shared" si="7"/>
        <v>1507168.4291008885</v>
      </c>
      <c r="N15" s="122">
        <f t="shared" si="7"/>
        <v>1507168.4291008885</v>
      </c>
      <c r="O15" s="122">
        <f t="shared" si="7"/>
        <v>1507168.4291008885</v>
      </c>
      <c r="P15" s="122">
        <f t="shared" si="7"/>
        <v>1507168.4291008885</v>
      </c>
      <c r="Q15" s="122">
        <f t="shared" si="7"/>
        <v>1507168.4291008885</v>
      </c>
      <c r="R15" s="122">
        <f t="shared" si="7"/>
        <v>1507168.4291008885</v>
      </c>
      <c r="S15" s="122">
        <f t="shared" si="7"/>
        <v>1507168.4291008885</v>
      </c>
      <c r="T15" s="122">
        <f t="shared" si="7"/>
        <v>1507168.4291008885</v>
      </c>
      <c r="U15" s="122">
        <f t="shared" si="7"/>
        <v>1507168.4291008885</v>
      </c>
      <c r="V15" s="122">
        <f t="shared" si="7"/>
        <v>1507168.4291008885</v>
      </c>
      <c r="W15" s="122">
        <f t="shared" si="7"/>
        <v>1507168.4291008885</v>
      </c>
      <c r="X15" s="122">
        <f t="shared" si="7"/>
        <v>1507168.4291008885</v>
      </c>
      <c r="Y15" s="122">
        <f t="shared" si="7"/>
        <v>1507168.4291008885</v>
      </c>
      <c r="Z15" s="122">
        <f t="shared" si="7"/>
        <v>1507168.4291008885</v>
      </c>
      <c r="AA15" s="122">
        <f t="shared" si="7"/>
        <v>1507168.4291008885</v>
      </c>
      <c r="AB15" s="122">
        <f t="shared" si="7"/>
        <v>1507168.4291008885</v>
      </c>
      <c r="AC15" s="122">
        <f t="shared" si="7"/>
        <v>1507168.4291008885</v>
      </c>
      <c r="AD15" s="122">
        <f t="shared" si="7"/>
        <v>1507168.4291008885</v>
      </c>
      <c r="AE15" s="122">
        <f t="shared" si="7"/>
        <v>1507168.4291008885</v>
      </c>
      <c r="AF15" s="122">
        <f t="shared" si="7"/>
        <v>1507168.4291008885</v>
      </c>
      <c r="AG15" s="122">
        <f t="shared" si="7"/>
        <v>1507168.4291008885</v>
      </c>
    </row>
    <row r="16" spans="1:47" ht="15.5" outlineLevel="1" thickBot="1">
      <c r="A16" s="187" t="s">
        <v>432</v>
      </c>
      <c r="B16" s="185"/>
      <c r="C16" s="186">
        <f t="shared" ref="C16:AG16" si="8">SUM(C11:C15)</f>
        <v>5306154.9462900767</v>
      </c>
      <c r="D16" s="186">
        <f t="shared" si="8"/>
        <v>5306154.9462900767</v>
      </c>
      <c r="E16" s="186">
        <f t="shared" si="8"/>
        <v>5306154.9462900767</v>
      </c>
      <c r="F16" s="186">
        <f t="shared" si="8"/>
        <v>5306154.9462900767</v>
      </c>
      <c r="G16" s="186">
        <f t="shared" si="8"/>
        <v>5306154.9462900767</v>
      </c>
      <c r="H16" s="186">
        <f t="shared" si="8"/>
        <v>5306154.9462900767</v>
      </c>
      <c r="I16" s="186">
        <f t="shared" si="8"/>
        <v>5306154.9462900767</v>
      </c>
      <c r="J16" s="186">
        <f t="shared" si="8"/>
        <v>5306154.9462900767</v>
      </c>
      <c r="K16" s="186">
        <f t="shared" si="8"/>
        <v>5306154.9462900767</v>
      </c>
      <c r="L16" s="186">
        <f t="shared" si="8"/>
        <v>5306154.9462900767</v>
      </c>
      <c r="M16" s="186">
        <f t="shared" si="8"/>
        <v>5306154.9462900767</v>
      </c>
      <c r="N16" s="186">
        <f t="shared" si="8"/>
        <v>5306154.9462900767</v>
      </c>
      <c r="O16" s="186">
        <f t="shared" si="8"/>
        <v>5306154.9462900767</v>
      </c>
      <c r="P16" s="186">
        <f t="shared" si="8"/>
        <v>5306154.9462900767</v>
      </c>
      <c r="Q16" s="186">
        <f t="shared" si="8"/>
        <v>5306154.9462900767</v>
      </c>
      <c r="R16" s="186">
        <f t="shared" si="8"/>
        <v>5306154.9462900767</v>
      </c>
      <c r="S16" s="186">
        <f t="shared" si="8"/>
        <v>5306154.9462900767</v>
      </c>
      <c r="T16" s="186">
        <f t="shared" si="8"/>
        <v>5306154.9462900767</v>
      </c>
      <c r="U16" s="186">
        <f t="shared" si="8"/>
        <v>5306154.9462900767</v>
      </c>
      <c r="V16" s="186">
        <f t="shared" si="8"/>
        <v>5306154.9462900767</v>
      </c>
      <c r="W16" s="186">
        <f t="shared" si="8"/>
        <v>5306154.9462900767</v>
      </c>
      <c r="X16" s="186">
        <f t="shared" si="8"/>
        <v>5306154.9462900767</v>
      </c>
      <c r="Y16" s="186">
        <f t="shared" si="8"/>
        <v>5306154.9462900767</v>
      </c>
      <c r="Z16" s="186">
        <f t="shared" si="8"/>
        <v>5306154.9462900767</v>
      </c>
      <c r="AA16" s="186">
        <f t="shared" si="8"/>
        <v>5306154.9462900767</v>
      </c>
      <c r="AB16" s="186">
        <f t="shared" si="8"/>
        <v>5306154.9462900767</v>
      </c>
      <c r="AC16" s="186">
        <f t="shared" si="8"/>
        <v>5306154.9462900767</v>
      </c>
      <c r="AD16" s="186">
        <f t="shared" si="8"/>
        <v>5306154.9462900767</v>
      </c>
      <c r="AE16" s="186">
        <f t="shared" si="8"/>
        <v>5306154.9462900767</v>
      </c>
      <c r="AF16" s="186">
        <f t="shared" si="8"/>
        <v>5306154.9462900767</v>
      </c>
      <c r="AG16" s="186">
        <f t="shared" si="8"/>
        <v>5306154.9462900767</v>
      </c>
    </row>
    <row r="17" spans="1:64" ht="15.5" outlineLevel="1" thickTop="1">
      <c r="AL17" s="108"/>
      <c r="AM17" s="109"/>
      <c r="AN17" s="109"/>
      <c r="AO17" s="109"/>
      <c r="AP17" s="109"/>
      <c r="AQ17" s="109"/>
    </row>
    <row r="18" spans="1:64" outlineLevel="1">
      <c r="A18" t="s">
        <v>1347</v>
      </c>
      <c r="B18" s="51" t="s">
        <v>126</v>
      </c>
      <c r="C18" s="148">
        <f>SUM('Overall recycling rates'!F76:H76)</f>
        <v>0.16468955599576085</v>
      </c>
      <c r="D18" s="148">
        <f>C18</f>
        <v>0.16468955599576085</v>
      </c>
      <c r="E18" s="148">
        <f t="shared" ref="E18:T18" si="9">D18</f>
        <v>0.16468955599576085</v>
      </c>
      <c r="F18" s="148">
        <f t="shared" si="9"/>
        <v>0.16468955599576085</v>
      </c>
      <c r="G18" s="148">
        <f t="shared" si="9"/>
        <v>0.16468955599576085</v>
      </c>
      <c r="H18" s="148">
        <f t="shared" si="9"/>
        <v>0.16468955599576085</v>
      </c>
      <c r="I18" s="148">
        <f t="shared" si="9"/>
        <v>0.16468955599576085</v>
      </c>
      <c r="J18" s="148">
        <f t="shared" si="9"/>
        <v>0.16468955599576085</v>
      </c>
      <c r="K18" s="148">
        <f t="shared" si="9"/>
        <v>0.16468955599576085</v>
      </c>
      <c r="L18" s="148">
        <f t="shared" si="9"/>
        <v>0.16468955599576085</v>
      </c>
      <c r="M18" s="148">
        <f t="shared" si="9"/>
        <v>0.16468955599576085</v>
      </c>
      <c r="N18" s="148">
        <f t="shared" si="9"/>
        <v>0.16468955599576085</v>
      </c>
      <c r="O18" s="148">
        <f t="shared" si="9"/>
        <v>0.16468955599576085</v>
      </c>
      <c r="P18" s="148">
        <f t="shared" si="9"/>
        <v>0.16468955599576085</v>
      </c>
      <c r="Q18" s="148">
        <f t="shared" si="9"/>
        <v>0.16468955599576085</v>
      </c>
      <c r="R18" s="148">
        <f t="shared" si="9"/>
        <v>0.16468955599576085</v>
      </c>
      <c r="S18" s="148">
        <f t="shared" si="9"/>
        <v>0.16468955599576085</v>
      </c>
      <c r="T18" s="148">
        <f t="shared" si="9"/>
        <v>0.16468955599576085</v>
      </c>
      <c r="U18" s="148">
        <f t="shared" ref="T18:AG22" si="10">T18</f>
        <v>0.16468955599576085</v>
      </c>
      <c r="V18" s="148">
        <f t="shared" si="10"/>
        <v>0.16468955599576085</v>
      </c>
      <c r="W18" s="148">
        <f t="shared" si="10"/>
        <v>0.16468955599576085</v>
      </c>
      <c r="X18" s="148">
        <f t="shared" si="10"/>
        <v>0.16468955599576085</v>
      </c>
      <c r="Y18" s="148">
        <f t="shared" si="10"/>
        <v>0.16468955599576085</v>
      </c>
      <c r="Z18" s="148">
        <f t="shared" si="10"/>
        <v>0.16468955599576085</v>
      </c>
      <c r="AA18" s="148">
        <f t="shared" si="10"/>
        <v>0.16468955599576085</v>
      </c>
      <c r="AB18" s="148">
        <f t="shared" si="10"/>
        <v>0.16468955599576085</v>
      </c>
      <c r="AC18" s="148">
        <f t="shared" si="10"/>
        <v>0.16468955599576085</v>
      </c>
      <c r="AD18" s="148">
        <f t="shared" si="10"/>
        <v>0.16468955599576085</v>
      </c>
      <c r="AE18" s="148">
        <f t="shared" si="10"/>
        <v>0.16468955599576085</v>
      </c>
      <c r="AF18" s="148">
        <f t="shared" si="10"/>
        <v>0.16468955599576085</v>
      </c>
      <c r="AG18" s="148">
        <f>AF18</f>
        <v>0.16468955599576085</v>
      </c>
      <c r="AI18" s="51" t="s">
        <v>268</v>
      </c>
      <c r="AJ18" s="198"/>
      <c r="AM18" s="109"/>
      <c r="AN18" s="109"/>
      <c r="AO18" s="109"/>
      <c r="AP18" s="109"/>
      <c r="AQ18" s="109"/>
    </row>
    <row r="19" spans="1:64" outlineLevel="1">
      <c r="A19" t="s">
        <v>1348</v>
      </c>
      <c r="B19" s="51" t="s">
        <v>126</v>
      </c>
      <c r="C19" s="148">
        <f>SUM('Overall recycling rates'!F77:H77)</f>
        <v>0.16170162550195019</v>
      </c>
      <c r="D19" s="148">
        <f t="shared" ref="D19:S22" si="11">C19</f>
        <v>0.16170162550195019</v>
      </c>
      <c r="E19" s="148">
        <f t="shared" si="11"/>
        <v>0.16170162550195019</v>
      </c>
      <c r="F19" s="148">
        <f t="shared" si="11"/>
        <v>0.16170162550195019</v>
      </c>
      <c r="G19" s="148">
        <f t="shared" si="11"/>
        <v>0.16170162550195019</v>
      </c>
      <c r="H19" s="148">
        <f t="shared" si="11"/>
        <v>0.16170162550195019</v>
      </c>
      <c r="I19" s="148">
        <f t="shared" si="11"/>
        <v>0.16170162550195019</v>
      </c>
      <c r="J19" s="148">
        <f t="shared" si="11"/>
        <v>0.16170162550195019</v>
      </c>
      <c r="K19" s="148">
        <f t="shared" si="11"/>
        <v>0.16170162550195019</v>
      </c>
      <c r="L19" s="148">
        <f t="shared" si="11"/>
        <v>0.16170162550195019</v>
      </c>
      <c r="M19" s="148">
        <f t="shared" si="11"/>
        <v>0.16170162550195019</v>
      </c>
      <c r="N19" s="148">
        <f t="shared" si="11"/>
        <v>0.16170162550195019</v>
      </c>
      <c r="O19" s="148">
        <f t="shared" si="11"/>
        <v>0.16170162550195019</v>
      </c>
      <c r="P19" s="148">
        <f t="shared" si="11"/>
        <v>0.16170162550195019</v>
      </c>
      <c r="Q19" s="148">
        <f t="shared" si="11"/>
        <v>0.16170162550195019</v>
      </c>
      <c r="R19" s="148">
        <f t="shared" si="11"/>
        <v>0.16170162550195019</v>
      </c>
      <c r="S19" s="148">
        <f t="shared" si="11"/>
        <v>0.16170162550195019</v>
      </c>
      <c r="T19" s="148">
        <f t="shared" si="10"/>
        <v>0.16170162550195019</v>
      </c>
      <c r="U19" s="148">
        <f t="shared" si="10"/>
        <v>0.16170162550195019</v>
      </c>
      <c r="V19" s="148">
        <f t="shared" si="10"/>
        <v>0.16170162550195019</v>
      </c>
      <c r="W19" s="148">
        <f t="shared" si="10"/>
        <v>0.16170162550195019</v>
      </c>
      <c r="X19" s="148">
        <f t="shared" si="10"/>
        <v>0.16170162550195019</v>
      </c>
      <c r="Y19" s="148">
        <f t="shared" si="10"/>
        <v>0.16170162550195019</v>
      </c>
      <c r="Z19" s="148">
        <f t="shared" si="10"/>
        <v>0.16170162550195019</v>
      </c>
      <c r="AA19" s="148">
        <f t="shared" si="10"/>
        <v>0.16170162550195019</v>
      </c>
      <c r="AB19" s="148">
        <f t="shared" si="10"/>
        <v>0.16170162550195019</v>
      </c>
      <c r="AC19" s="148">
        <f t="shared" si="10"/>
        <v>0.16170162550195019</v>
      </c>
      <c r="AD19" s="148">
        <f t="shared" si="10"/>
        <v>0.16170162550195019</v>
      </c>
      <c r="AE19" s="148">
        <f t="shared" si="10"/>
        <v>0.16170162550195019</v>
      </c>
      <c r="AF19" s="148">
        <f t="shared" si="10"/>
        <v>0.16170162550195019</v>
      </c>
      <c r="AG19" s="148">
        <f t="shared" si="10"/>
        <v>0.16170162550195019</v>
      </c>
      <c r="AI19" s="51" t="s">
        <v>268</v>
      </c>
      <c r="AJ19" s="198"/>
      <c r="AM19" s="114"/>
      <c r="AN19" s="109"/>
      <c r="AO19" s="110"/>
      <c r="AP19" s="111"/>
      <c r="AQ19" s="110"/>
    </row>
    <row r="20" spans="1:64" outlineLevel="1">
      <c r="A20" t="s">
        <v>1349</v>
      </c>
      <c r="B20" s="51" t="s">
        <v>126</v>
      </c>
      <c r="C20" s="148">
        <f>SUM('Overall recycling rates'!F78:H78)</f>
        <v>0.1116123684265191</v>
      </c>
      <c r="D20" s="148">
        <f t="shared" si="11"/>
        <v>0.1116123684265191</v>
      </c>
      <c r="E20" s="148">
        <f t="shared" si="11"/>
        <v>0.1116123684265191</v>
      </c>
      <c r="F20" s="148">
        <f t="shared" si="11"/>
        <v>0.1116123684265191</v>
      </c>
      <c r="G20" s="148">
        <f t="shared" si="11"/>
        <v>0.1116123684265191</v>
      </c>
      <c r="H20" s="148">
        <f t="shared" si="11"/>
        <v>0.1116123684265191</v>
      </c>
      <c r="I20" s="148">
        <f t="shared" si="11"/>
        <v>0.1116123684265191</v>
      </c>
      <c r="J20" s="148">
        <f t="shared" si="11"/>
        <v>0.1116123684265191</v>
      </c>
      <c r="K20" s="148">
        <f t="shared" si="11"/>
        <v>0.1116123684265191</v>
      </c>
      <c r="L20" s="148">
        <f t="shared" si="11"/>
        <v>0.1116123684265191</v>
      </c>
      <c r="M20" s="148">
        <f t="shared" si="11"/>
        <v>0.1116123684265191</v>
      </c>
      <c r="N20" s="148">
        <f t="shared" si="11"/>
        <v>0.1116123684265191</v>
      </c>
      <c r="O20" s="148">
        <f t="shared" si="11"/>
        <v>0.1116123684265191</v>
      </c>
      <c r="P20" s="148">
        <f t="shared" si="11"/>
        <v>0.1116123684265191</v>
      </c>
      <c r="Q20" s="148">
        <f t="shared" si="11"/>
        <v>0.1116123684265191</v>
      </c>
      <c r="R20" s="148">
        <f t="shared" si="11"/>
        <v>0.1116123684265191</v>
      </c>
      <c r="S20" s="148">
        <f t="shared" si="11"/>
        <v>0.1116123684265191</v>
      </c>
      <c r="T20" s="148">
        <f t="shared" si="10"/>
        <v>0.1116123684265191</v>
      </c>
      <c r="U20" s="148">
        <f t="shared" si="10"/>
        <v>0.1116123684265191</v>
      </c>
      <c r="V20" s="148">
        <f t="shared" si="10"/>
        <v>0.1116123684265191</v>
      </c>
      <c r="W20" s="148">
        <f t="shared" si="10"/>
        <v>0.1116123684265191</v>
      </c>
      <c r="X20" s="148">
        <f t="shared" si="10"/>
        <v>0.1116123684265191</v>
      </c>
      <c r="Y20" s="148">
        <f t="shared" si="10"/>
        <v>0.1116123684265191</v>
      </c>
      <c r="Z20" s="148">
        <f t="shared" si="10"/>
        <v>0.1116123684265191</v>
      </c>
      <c r="AA20" s="148">
        <f t="shared" si="10"/>
        <v>0.1116123684265191</v>
      </c>
      <c r="AB20" s="148">
        <f t="shared" si="10"/>
        <v>0.1116123684265191</v>
      </c>
      <c r="AC20" s="148">
        <f t="shared" si="10"/>
        <v>0.1116123684265191</v>
      </c>
      <c r="AD20" s="148">
        <f t="shared" si="10"/>
        <v>0.1116123684265191</v>
      </c>
      <c r="AE20" s="148">
        <f t="shared" si="10"/>
        <v>0.1116123684265191</v>
      </c>
      <c r="AF20" s="148">
        <f t="shared" si="10"/>
        <v>0.1116123684265191</v>
      </c>
      <c r="AG20" s="148">
        <f t="shared" si="10"/>
        <v>0.1116123684265191</v>
      </c>
      <c r="AI20" s="51" t="s">
        <v>268</v>
      </c>
      <c r="AJ20" s="198"/>
      <c r="AM20" s="114"/>
      <c r="AN20" s="109"/>
      <c r="AO20" s="110"/>
      <c r="AP20" s="111"/>
      <c r="AQ20" s="110"/>
    </row>
    <row r="21" spans="1:64" outlineLevel="1">
      <c r="A21" t="s">
        <v>1350</v>
      </c>
      <c r="B21" s="51" t="s">
        <v>126</v>
      </c>
      <c r="C21" s="148">
        <f>SUM('Overall recycling rates'!F79:H79)</f>
        <v>0.55201786147602583</v>
      </c>
      <c r="D21" s="148">
        <f t="shared" si="11"/>
        <v>0.55201786147602583</v>
      </c>
      <c r="E21" s="148">
        <f t="shared" si="11"/>
        <v>0.55201786147602583</v>
      </c>
      <c r="F21" s="148">
        <f t="shared" si="11"/>
        <v>0.55201786147602583</v>
      </c>
      <c r="G21" s="148">
        <f t="shared" si="11"/>
        <v>0.55201786147602583</v>
      </c>
      <c r="H21" s="148">
        <f t="shared" si="11"/>
        <v>0.55201786147602583</v>
      </c>
      <c r="I21" s="148">
        <f t="shared" si="11"/>
        <v>0.55201786147602583</v>
      </c>
      <c r="J21" s="148">
        <f t="shared" si="11"/>
        <v>0.55201786147602583</v>
      </c>
      <c r="K21" s="148">
        <f t="shared" si="11"/>
        <v>0.55201786147602583</v>
      </c>
      <c r="L21" s="148">
        <f t="shared" si="11"/>
        <v>0.55201786147602583</v>
      </c>
      <c r="M21" s="148">
        <f t="shared" si="11"/>
        <v>0.55201786147602583</v>
      </c>
      <c r="N21" s="148">
        <f t="shared" si="11"/>
        <v>0.55201786147602583</v>
      </c>
      <c r="O21" s="148">
        <f t="shared" si="11"/>
        <v>0.55201786147602583</v>
      </c>
      <c r="P21" s="148">
        <f t="shared" si="11"/>
        <v>0.55201786147602583</v>
      </c>
      <c r="Q21" s="148">
        <f t="shared" si="11"/>
        <v>0.55201786147602583</v>
      </c>
      <c r="R21" s="148">
        <f t="shared" si="11"/>
        <v>0.55201786147602583</v>
      </c>
      <c r="S21" s="148">
        <f t="shared" si="11"/>
        <v>0.55201786147602583</v>
      </c>
      <c r="T21" s="148">
        <f t="shared" si="10"/>
        <v>0.55201786147602583</v>
      </c>
      <c r="U21" s="148">
        <f t="shared" si="10"/>
        <v>0.55201786147602583</v>
      </c>
      <c r="V21" s="148">
        <f t="shared" si="10"/>
        <v>0.55201786147602583</v>
      </c>
      <c r="W21" s="148">
        <f t="shared" si="10"/>
        <v>0.55201786147602583</v>
      </c>
      <c r="X21" s="148">
        <f t="shared" si="10"/>
        <v>0.55201786147602583</v>
      </c>
      <c r="Y21" s="148">
        <f t="shared" si="10"/>
        <v>0.55201786147602583</v>
      </c>
      <c r="Z21" s="148">
        <f t="shared" si="10"/>
        <v>0.55201786147602583</v>
      </c>
      <c r="AA21" s="148">
        <f t="shared" si="10"/>
        <v>0.55201786147602583</v>
      </c>
      <c r="AB21" s="148">
        <f t="shared" si="10"/>
        <v>0.55201786147602583</v>
      </c>
      <c r="AC21" s="148">
        <f t="shared" si="10"/>
        <v>0.55201786147602583</v>
      </c>
      <c r="AD21" s="148">
        <f t="shared" si="10"/>
        <v>0.55201786147602583</v>
      </c>
      <c r="AE21" s="148">
        <f t="shared" si="10"/>
        <v>0.55201786147602583</v>
      </c>
      <c r="AF21" s="148">
        <f t="shared" si="10"/>
        <v>0.55201786147602583</v>
      </c>
      <c r="AG21" s="148">
        <f t="shared" si="10"/>
        <v>0.55201786147602583</v>
      </c>
      <c r="AI21" s="51" t="s">
        <v>268</v>
      </c>
      <c r="AJ21" s="198"/>
      <c r="AM21" s="114"/>
      <c r="AN21" s="109"/>
      <c r="AO21" s="450"/>
      <c r="AP21" s="451"/>
      <c r="AQ21" s="450"/>
    </row>
    <row r="22" spans="1:64" outlineLevel="1">
      <c r="A22" t="s">
        <v>1351</v>
      </c>
      <c r="B22" s="51" t="s">
        <v>126</v>
      </c>
      <c r="C22" s="148">
        <f>SUM('Overall recycling rates'!F80:H80)</f>
        <v>0.1838001265812737</v>
      </c>
      <c r="D22" s="148">
        <f>C22</f>
        <v>0.1838001265812737</v>
      </c>
      <c r="E22" s="148">
        <f t="shared" si="11"/>
        <v>0.1838001265812737</v>
      </c>
      <c r="F22" s="148">
        <f t="shared" si="11"/>
        <v>0.1838001265812737</v>
      </c>
      <c r="G22" s="148">
        <f t="shared" si="11"/>
        <v>0.1838001265812737</v>
      </c>
      <c r="H22" s="148">
        <f t="shared" si="11"/>
        <v>0.1838001265812737</v>
      </c>
      <c r="I22" s="148">
        <f t="shared" si="11"/>
        <v>0.1838001265812737</v>
      </c>
      <c r="J22" s="148">
        <f t="shared" si="11"/>
        <v>0.1838001265812737</v>
      </c>
      <c r="K22" s="148">
        <f t="shared" si="11"/>
        <v>0.1838001265812737</v>
      </c>
      <c r="L22" s="148">
        <f t="shared" si="11"/>
        <v>0.1838001265812737</v>
      </c>
      <c r="M22" s="148">
        <f t="shared" si="11"/>
        <v>0.1838001265812737</v>
      </c>
      <c r="N22" s="148">
        <f t="shared" si="11"/>
        <v>0.1838001265812737</v>
      </c>
      <c r="O22" s="148">
        <f t="shared" si="11"/>
        <v>0.1838001265812737</v>
      </c>
      <c r="P22" s="148">
        <f t="shared" si="11"/>
        <v>0.1838001265812737</v>
      </c>
      <c r="Q22" s="148">
        <f t="shared" si="11"/>
        <v>0.1838001265812737</v>
      </c>
      <c r="R22" s="148">
        <f t="shared" si="11"/>
        <v>0.1838001265812737</v>
      </c>
      <c r="S22" s="148">
        <f t="shared" si="11"/>
        <v>0.1838001265812737</v>
      </c>
      <c r="T22" s="148">
        <f t="shared" si="10"/>
        <v>0.1838001265812737</v>
      </c>
      <c r="U22" s="148">
        <f t="shared" si="10"/>
        <v>0.1838001265812737</v>
      </c>
      <c r="V22" s="148">
        <f t="shared" si="10"/>
        <v>0.1838001265812737</v>
      </c>
      <c r="W22" s="148">
        <f t="shared" si="10"/>
        <v>0.1838001265812737</v>
      </c>
      <c r="X22" s="148">
        <f t="shared" si="10"/>
        <v>0.1838001265812737</v>
      </c>
      <c r="Y22" s="148">
        <f t="shared" si="10"/>
        <v>0.1838001265812737</v>
      </c>
      <c r="Z22" s="148">
        <f t="shared" si="10"/>
        <v>0.1838001265812737</v>
      </c>
      <c r="AA22" s="148">
        <f t="shared" si="10"/>
        <v>0.1838001265812737</v>
      </c>
      <c r="AB22" s="148">
        <f t="shared" si="10"/>
        <v>0.1838001265812737</v>
      </c>
      <c r="AC22" s="148">
        <f t="shared" si="10"/>
        <v>0.1838001265812737</v>
      </c>
      <c r="AD22" s="148">
        <f t="shared" si="10"/>
        <v>0.1838001265812737</v>
      </c>
      <c r="AE22" s="148">
        <f t="shared" si="10"/>
        <v>0.1838001265812737</v>
      </c>
      <c r="AF22" s="148">
        <f t="shared" si="10"/>
        <v>0.1838001265812737</v>
      </c>
      <c r="AG22" s="148">
        <f t="shared" si="10"/>
        <v>0.1838001265812737</v>
      </c>
      <c r="AI22" s="51" t="s">
        <v>268</v>
      </c>
      <c r="AJ22" s="198"/>
      <c r="AM22" s="114"/>
      <c r="AN22" s="109"/>
      <c r="AO22" s="110"/>
      <c r="AP22" s="111"/>
      <c r="AQ22" s="110"/>
    </row>
    <row r="23" spans="1:64" outlineLevel="1">
      <c r="AI23" s="51"/>
      <c r="AM23" s="114"/>
      <c r="AN23" s="109"/>
      <c r="AO23" s="110"/>
      <c r="AP23" s="111"/>
      <c r="AQ23" s="110"/>
      <c r="BD23" s="22"/>
      <c r="BE23" s="22"/>
      <c r="BF23" s="22"/>
      <c r="BG23" s="22"/>
      <c r="BH23" s="22"/>
      <c r="BI23" s="22"/>
      <c r="BJ23" s="22"/>
      <c r="BK23" s="22"/>
      <c r="BL23" s="22"/>
    </row>
    <row r="24" spans="1:64" outlineLevel="1">
      <c r="A24" t="s">
        <v>1352</v>
      </c>
      <c r="B24" s="51" t="s">
        <v>1399</v>
      </c>
      <c r="C24" s="191">
        <f>C11*C18</f>
        <v>460653.48270486458</v>
      </c>
      <c r="D24" s="191">
        <f t="shared" ref="D24:AG24" si="12">D11*D18</f>
        <v>460653.48270486458</v>
      </c>
      <c r="E24" s="191">
        <f t="shared" si="12"/>
        <v>460653.48270486458</v>
      </c>
      <c r="F24" s="191">
        <f t="shared" si="12"/>
        <v>460653.48270486458</v>
      </c>
      <c r="G24" s="191">
        <f t="shared" si="12"/>
        <v>460653.48270486458</v>
      </c>
      <c r="H24" s="191">
        <f t="shared" si="12"/>
        <v>460653.48270486458</v>
      </c>
      <c r="I24" s="191">
        <f t="shared" si="12"/>
        <v>460653.48270486458</v>
      </c>
      <c r="J24" s="191">
        <f t="shared" si="12"/>
        <v>460653.48270486458</v>
      </c>
      <c r="K24" s="191">
        <f t="shared" si="12"/>
        <v>460653.48270486458</v>
      </c>
      <c r="L24" s="191">
        <f t="shared" si="12"/>
        <v>460653.48270486458</v>
      </c>
      <c r="M24" s="191">
        <f>M11*M18</f>
        <v>460653.48270486458</v>
      </c>
      <c r="N24" s="191">
        <f t="shared" si="12"/>
        <v>460653.48270486458</v>
      </c>
      <c r="O24" s="191">
        <f t="shared" si="12"/>
        <v>460653.48270486458</v>
      </c>
      <c r="P24" s="191">
        <f t="shared" si="12"/>
        <v>460653.48270486458</v>
      </c>
      <c r="Q24" s="191">
        <f t="shared" si="12"/>
        <v>460653.48270486458</v>
      </c>
      <c r="R24" s="191">
        <f t="shared" si="12"/>
        <v>460653.48270486458</v>
      </c>
      <c r="S24" s="191">
        <f t="shared" si="12"/>
        <v>460653.48270486458</v>
      </c>
      <c r="T24" s="191">
        <f t="shared" si="12"/>
        <v>460653.48270486458</v>
      </c>
      <c r="U24" s="191">
        <f t="shared" si="12"/>
        <v>460653.48270486458</v>
      </c>
      <c r="V24" s="191">
        <f t="shared" si="12"/>
        <v>460653.48270486458</v>
      </c>
      <c r="W24" s="191">
        <f t="shared" si="12"/>
        <v>460653.48270486458</v>
      </c>
      <c r="X24" s="191">
        <f t="shared" si="12"/>
        <v>460653.48270486458</v>
      </c>
      <c r="Y24" s="191">
        <f t="shared" si="12"/>
        <v>460653.48270486458</v>
      </c>
      <c r="Z24" s="191">
        <f t="shared" si="12"/>
        <v>460653.48270486458</v>
      </c>
      <c r="AA24" s="191">
        <f t="shared" si="12"/>
        <v>460653.48270486458</v>
      </c>
      <c r="AB24" s="191">
        <f t="shared" si="12"/>
        <v>460653.48270486458</v>
      </c>
      <c r="AC24" s="191">
        <f t="shared" si="12"/>
        <v>460653.48270486458</v>
      </c>
      <c r="AD24" s="191">
        <f t="shared" si="12"/>
        <v>460653.48270486458</v>
      </c>
      <c r="AE24" s="191">
        <f t="shared" si="12"/>
        <v>460653.48270486458</v>
      </c>
      <c r="AF24" s="191">
        <f t="shared" si="12"/>
        <v>460653.48270486458</v>
      </c>
      <c r="AG24" s="191">
        <f t="shared" si="12"/>
        <v>460653.48270486458</v>
      </c>
      <c r="AI24" s="230"/>
      <c r="AM24" s="114"/>
      <c r="AN24" s="109"/>
      <c r="AO24" s="109"/>
      <c r="AP24" s="109"/>
      <c r="AQ24" s="109"/>
      <c r="BD24" s="192"/>
      <c r="BE24" s="192"/>
      <c r="BF24" s="192"/>
      <c r="BG24" s="192"/>
      <c r="BH24" s="192"/>
      <c r="BI24" s="192"/>
      <c r="BJ24" s="192"/>
      <c r="BK24" s="192"/>
      <c r="BL24" s="192"/>
    </row>
    <row r="25" spans="1:64" outlineLevel="1">
      <c r="A25" t="s">
        <v>1353</v>
      </c>
      <c r="B25" s="51" t="s">
        <v>1399</v>
      </c>
      <c r="C25" s="191">
        <f t="shared" ref="C25:AG28" si="13">C12*C19</f>
        <v>42693.858890936535</v>
      </c>
      <c r="D25" s="191">
        <f t="shared" si="13"/>
        <v>42693.858890936535</v>
      </c>
      <c r="E25" s="191">
        <f t="shared" si="13"/>
        <v>42693.858890936535</v>
      </c>
      <c r="F25" s="191">
        <f t="shared" si="13"/>
        <v>42693.858890936535</v>
      </c>
      <c r="G25" s="191">
        <f t="shared" si="13"/>
        <v>42693.858890936535</v>
      </c>
      <c r="H25" s="191">
        <f t="shared" si="13"/>
        <v>42693.858890936535</v>
      </c>
      <c r="I25" s="191">
        <f t="shared" si="13"/>
        <v>42693.858890936535</v>
      </c>
      <c r="J25" s="191">
        <f t="shared" si="13"/>
        <v>42693.858890936535</v>
      </c>
      <c r="K25" s="191">
        <f t="shared" si="13"/>
        <v>42693.858890936535</v>
      </c>
      <c r="L25" s="191">
        <f t="shared" si="13"/>
        <v>42693.858890936535</v>
      </c>
      <c r="M25" s="191">
        <f t="shared" si="13"/>
        <v>42693.858890936535</v>
      </c>
      <c r="N25" s="191">
        <f t="shared" si="13"/>
        <v>42693.858890936535</v>
      </c>
      <c r="O25" s="191">
        <f t="shared" si="13"/>
        <v>42693.858890936535</v>
      </c>
      <c r="P25" s="191">
        <f t="shared" si="13"/>
        <v>42693.858890936535</v>
      </c>
      <c r="Q25" s="191">
        <f t="shared" si="13"/>
        <v>42693.858890936535</v>
      </c>
      <c r="R25" s="191">
        <f t="shared" si="13"/>
        <v>42693.858890936535</v>
      </c>
      <c r="S25" s="191">
        <f t="shared" si="13"/>
        <v>42693.858890936535</v>
      </c>
      <c r="T25" s="191">
        <f t="shared" si="13"/>
        <v>42693.858890936535</v>
      </c>
      <c r="U25" s="191">
        <f t="shared" si="13"/>
        <v>42693.858890936535</v>
      </c>
      <c r="V25" s="191">
        <f t="shared" si="13"/>
        <v>42693.858890936535</v>
      </c>
      <c r="W25" s="191">
        <f t="shared" si="13"/>
        <v>42693.858890936535</v>
      </c>
      <c r="X25" s="191">
        <f t="shared" si="13"/>
        <v>42693.858890936535</v>
      </c>
      <c r="Y25" s="191">
        <f t="shared" si="13"/>
        <v>42693.858890936535</v>
      </c>
      <c r="Z25" s="191">
        <f t="shared" si="13"/>
        <v>42693.858890936535</v>
      </c>
      <c r="AA25" s="191">
        <f t="shared" si="13"/>
        <v>42693.858890936535</v>
      </c>
      <c r="AB25" s="191">
        <f t="shared" si="13"/>
        <v>42693.858890936535</v>
      </c>
      <c r="AC25" s="191">
        <f t="shared" si="13"/>
        <v>42693.858890936535</v>
      </c>
      <c r="AD25" s="191">
        <f t="shared" si="13"/>
        <v>42693.858890936535</v>
      </c>
      <c r="AE25" s="191">
        <f t="shared" si="13"/>
        <v>42693.858890936535</v>
      </c>
      <c r="AF25" s="191">
        <f t="shared" si="13"/>
        <v>42693.858890936535</v>
      </c>
      <c r="AG25" s="191">
        <f t="shared" si="13"/>
        <v>42693.858890936535</v>
      </c>
      <c r="AM25" s="193"/>
      <c r="BD25" s="192"/>
      <c r="BE25" s="192"/>
      <c r="BF25" s="192"/>
      <c r="BG25" s="192"/>
      <c r="BH25" s="192"/>
      <c r="BI25" s="192"/>
      <c r="BJ25" s="192"/>
      <c r="BK25" s="192"/>
      <c r="BL25" s="192"/>
    </row>
    <row r="26" spans="1:64" outlineLevel="1">
      <c r="A26" t="s">
        <v>1354</v>
      </c>
      <c r="B26" s="51" t="s">
        <v>1399</v>
      </c>
      <c r="C26" s="191">
        <f t="shared" si="13"/>
        <v>23183.899679933551</v>
      </c>
      <c r="D26" s="191">
        <f t="shared" si="13"/>
        <v>23183.899679933551</v>
      </c>
      <c r="E26" s="191">
        <f t="shared" si="13"/>
        <v>23183.899679933551</v>
      </c>
      <c r="F26" s="191">
        <f t="shared" si="13"/>
        <v>23183.899679933551</v>
      </c>
      <c r="G26" s="191">
        <f t="shared" si="13"/>
        <v>23183.899679933551</v>
      </c>
      <c r="H26" s="191">
        <f t="shared" si="13"/>
        <v>23183.899679933551</v>
      </c>
      <c r="I26" s="191">
        <f t="shared" si="13"/>
        <v>23183.899679933551</v>
      </c>
      <c r="J26" s="191">
        <f t="shared" si="13"/>
        <v>23183.899679933551</v>
      </c>
      <c r="K26" s="191">
        <f t="shared" si="13"/>
        <v>23183.899679933551</v>
      </c>
      <c r="L26" s="191">
        <f t="shared" si="13"/>
        <v>23183.899679933551</v>
      </c>
      <c r="M26" s="191">
        <f t="shared" si="13"/>
        <v>23183.899679933551</v>
      </c>
      <c r="N26" s="191">
        <f t="shared" si="13"/>
        <v>23183.899679933551</v>
      </c>
      <c r="O26" s="191">
        <f t="shared" si="13"/>
        <v>23183.899679933551</v>
      </c>
      <c r="P26" s="191">
        <f t="shared" si="13"/>
        <v>23183.899679933551</v>
      </c>
      <c r="Q26" s="191">
        <f t="shared" si="13"/>
        <v>23183.899679933551</v>
      </c>
      <c r="R26" s="191">
        <f t="shared" si="13"/>
        <v>23183.899679933551</v>
      </c>
      <c r="S26" s="191">
        <f t="shared" si="13"/>
        <v>23183.899679933551</v>
      </c>
      <c r="T26" s="191">
        <f t="shared" si="13"/>
        <v>23183.899679933551</v>
      </c>
      <c r="U26" s="191">
        <f t="shared" si="13"/>
        <v>23183.899679933551</v>
      </c>
      <c r="V26" s="191">
        <f t="shared" si="13"/>
        <v>23183.899679933551</v>
      </c>
      <c r="W26" s="191">
        <f t="shared" si="13"/>
        <v>23183.899679933551</v>
      </c>
      <c r="X26" s="191">
        <f t="shared" si="13"/>
        <v>23183.899679933551</v>
      </c>
      <c r="Y26" s="191">
        <f t="shared" si="13"/>
        <v>23183.899679933551</v>
      </c>
      <c r="Z26" s="191">
        <f t="shared" si="13"/>
        <v>23183.899679933551</v>
      </c>
      <c r="AA26" s="191">
        <f t="shared" si="13"/>
        <v>23183.899679933551</v>
      </c>
      <c r="AB26" s="191">
        <f t="shared" si="13"/>
        <v>23183.899679933551</v>
      </c>
      <c r="AC26" s="191">
        <f t="shared" si="13"/>
        <v>23183.899679933551</v>
      </c>
      <c r="AD26" s="191">
        <f t="shared" si="13"/>
        <v>23183.899679933551</v>
      </c>
      <c r="AE26" s="191">
        <f t="shared" si="13"/>
        <v>23183.899679933551</v>
      </c>
      <c r="AF26" s="191">
        <f t="shared" si="13"/>
        <v>23183.899679933551</v>
      </c>
      <c r="AG26" s="191">
        <f t="shared" si="13"/>
        <v>23183.899679933551</v>
      </c>
      <c r="BD26" s="192"/>
      <c r="BE26" s="192"/>
      <c r="BF26" s="192"/>
      <c r="BG26" s="192"/>
      <c r="BH26" s="192"/>
      <c r="BI26" s="192"/>
      <c r="BJ26" s="192"/>
      <c r="BK26" s="192"/>
      <c r="BL26" s="192"/>
    </row>
    <row r="27" spans="1:64" outlineLevel="1">
      <c r="A27" t="s">
        <v>1355</v>
      </c>
      <c r="B27" s="51" t="s">
        <v>1399</v>
      </c>
      <c r="C27" s="191">
        <f t="shared" si="13"/>
        <v>292645.58593913133</v>
      </c>
      <c r="D27" s="191">
        <f t="shared" si="13"/>
        <v>292645.58593913133</v>
      </c>
      <c r="E27" s="191">
        <f t="shared" si="13"/>
        <v>292645.58593913133</v>
      </c>
      <c r="F27" s="191">
        <f t="shared" si="13"/>
        <v>292645.58593913133</v>
      </c>
      <c r="G27" s="191">
        <f t="shared" si="13"/>
        <v>292645.58593913133</v>
      </c>
      <c r="H27" s="191">
        <f t="shared" si="13"/>
        <v>292645.58593913133</v>
      </c>
      <c r="I27" s="191">
        <f t="shared" si="13"/>
        <v>292645.58593913133</v>
      </c>
      <c r="J27" s="191">
        <f t="shared" si="13"/>
        <v>292645.58593913133</v>
      </c>
      <c r="K27" s="191">
        <f t="shared" si="13"/>
        <v>292645.58593913133</v>
      </c>
      <c r="L27" s="191">
        <f t="shared" si="13"/>
        <v>292645.58593913133</v>
      </c>
      <c r="M27" s="191">
        <f t="shared" si="13"/>
        <v>292645.58593913133</v>
      </c>
      <c r="N27" s="191">
        <f t="shared" si="13"/>
        <v>292645.58593913133</v>
      </c>
      <c r="O27" s="191">
        <f t="shared" si="13"/>
        <v>292645.58593913133</v>
      </c>
      <c r="P27" s="191">
        <f t="shared" si="13"/>
        <v>292645.58593913133</v>
      </c>
      <c r="Q27" s="191">
        <f t="shared" si="13"/>
        <v>292645.58593913133</v>
      </c>
      <c r="R27" s="191">
        <f t="shared" si="13"/>
        <v>292645.58593913133</v>
      </c>
      <c r="S27" s="191">
        <f t="shared" si="13"/>
        <v>292645.58593913133</v>
      </c>
      <c r="T27" s="191">
        <f t="shared" si="13"/>
        <v>292645.58593913133</v>
      </c>
      <c r="U27" s="191">
        <f t="shared" si="13"/>
        <v>292645.58593913133</v>
      </c>
      <c r="V27" s="191">
        <f t="shared" si="13"/>
        <v>292645.58593913133</v>
      </c>
      <c r="W27" s="191">
        <f t="shared" si="13"/>
        <v>292645.58593913133</v>
      </c>
      <c r="X27" s="191">
        <f t="shared" si="13"/>
        <v>292645.58593913133</v>
      </c>
      <c r="Y27" s="191">
        <f t="shared" si="13"/>
        <v>292645.58593913133</v>
      </c>
      <c r="Z27" s="191">
        <f t="shared" si="13"/>
        <v>292645.58593913133</v>
      </c>
      <c r="AA27" s="191">
        <f t="shared" si="13"/>
        <v>292645.58593913133</v>
      </c>
      <c r="AB27" s="191">
        <f t="shared" si="13"/>
        <v>292645.58593913133</v>
      </c>
      <c r="AC27" s="191">
        <f t="shared" si="13"/>
        <v>292645.58593913133</v>
      </c>
      <c r="AD27" s="191">
        <f t="shared" si="13"/>
        <v>292645.58593913133</v>
      </c>
      <c r="AE27" s="191">
        <f t="shared" si="13"/>
        <v>292645.58593913133</v>
      </c>
      <c r="AF27" s="191">
        <f t="shared" si="13"/>
        <v>292645.58593913133</v>
      </c>
      <c r="AG27" s="191">
        <f t="shared" si="13"/>
        <v>292645.58593913133</v>
      </c>
      <c r="BD27" s="192"/>
      <c r="BE27" s="192"/>
      <c r="BF27" s="192"/>
      <c r="BG27" s="192"/>
      <c r="BH27" s="192"/>
      <c r="BI27" s="192"/>
      <c r="BJ27" s="192"/>
      <c r="BK27" s="192"/>
      <c r="BL27" s="192"/>
    </row>
    <row r="28" spans="1:64" outlineLevel="1">
      <c r="A28" s="169" t="s">
        <v>1356</v>
      </c>
      <c r="B28" s="165" t="s">
        <v>1399</v>
      </c>
      <c r="C28" s="191">
        <f t="shared" si="13"/>
        <v>277017.74804804276</v>
      </c>
      <c r="D28" s="191">
        <f t="shared" si="13"/>
        <v>277017.74804804276</v>
      </c>
      <c r="E28" s="191">
        <f t="shared" si="13"/>
        <v>277017.74804804276</v>
      </c>
      <c r="F28" s="191">
        <f t="shared" si="13"/>
        <v>277017.74804804276</v>
      </c>
      <c r="G28" s="191">
        <f t="shared" si="13"/>
        <v>277017.74804804276</v>
      </c>
      <c r="H28" s="191">
        <f t="shared" si="13"/>
        <v>277017.74804804276</v>
      </c>
      <c r="I28" s="191">
        <f t="shared" si="13"/>
        <v>277017.74804804276</v>
      </c>
      <c r="J28" s="191">
        <f t="shared" si="13"/>
        <v>277017.74804804276</v>
      </c>
      <c r="K28" s="191">
        <f t="shared" si="13"/>
        <v>277017.74804804276</v>
      </c>
      <c r="L28" s="191">
        <f t="shared" si="13"/>
        <v>277017.74804804276</v>
      </c>
      <c r="M28" s="191">
        <f t="shared" si="13"/>
        <v>277017.74804804276</v>
      </c>
      <c r="N28" s="191">
        <f t="shared" si="13"/>
        <v>277017.74804804276</v>
      </c>
      <c r="O28" s="191">
        <f t="shared" si="13"/>
        <v>277017.74804804276</v>
      </c>
      <c r="P28" s="191">
        <f t="shared" si="13"/>
        <v>277017.74804804276</v>
      </c>
      <c r="Q28" s="191">
        <f t="shared" si="13"/>
        <v>277017.74804804276</v>
      </c>
      <c r="R28" s="191">
        <f t="shared" si="13"/>
        <v>277017.74804804276</v>
      </c>
      <c r="S28" s="191">
        <f t="shared" si="13"/>
        <v>277017.74804804276</v>
      </c>
      <c r="T28" s="191">
        <f t="shared" si="13"/>
        <v>277017.74804804276</v>
      </c>
      <c r="U28" s="191">
        <f t="shared" si="13"/>
        <v>277017.74804804276</v>
      </c>
      <c r="V28" s="191">
        <f t="shared" si="13"/>
        <v>277017.74804804276</v>
      </c>
      <c r="W28" s="191">
        <f t="shared" si="13"/>
        <v>277017.74804804276</v>
      </c>
      <c r="X28" s="191">
        <f t="shared" si="13"/>
        <v>277017.74804804276</v>
      </c>
      <c r="Y28" s="191">
        <f t="shared" si="13"/>
        <v>277017.74804804276</v>
      </c>
      <c r="Z28" s="191">
        <f t="shared" si="13"/>
        <v>277017.74804804276</v>
      </c>
      <c r="AA28" s="191">
        <f t="shared" si="13"/>
        <v>277017.74804804276</v>
      </c>
      <c r="AB28" s="191">
        <f t="shared" si="13"/>
        <v>277017.74804804276</v>
      </c>
      <c r="AC28" s="191">
        <f t="shared" si="13"/>
        <v>277017.74804804276</v>
      </c>
      <c r="AD28" s="191">
        <f t="shared" si="13"/>
        <v>277017.74804804276</v>
      </c>
      <c r="AE28" s="191">
        <f t="shared" si="13"/>
        <v>277017.74804804276</v>
      </c>
      <c r="AF28" s="191">
        <f t="shared" si="13"/>
        <v>277017.74804804276</v>
      </c>
      <c r="AG28" s="191">
        <f t="shared" si="13"/>
        <v>277017.74804804276</v>
      </c>
      <c r="AL28" s="102"/>
      <c r="AM28" s="194"/>
      <c r="AN28" s="194"/>
      <c r="AO28" s="194"/>
    </row>
    <row r="29" spans="1:64" s="1" customFormat="1" ht="15.5" thickBot="1">
      <c r="A29" s="187" t="s">
        <v>1357</v>
      </c>
      <c r="B29" s="206" t="s">
        <v>1399</v>
      </c>
      <c r="C29" s="203">
        <f>SUM(C24:C28)</f>
        <v>1096194.5752629088</v>
      </c>
      <c r="D29" s="203">
        <f t="shared" ref="D29:AG29" si="14">SUM(D24:D28)</f>
        <v>1096194.5752629088</v>
      </c>
      <c r="E29" s="203">
        <f t="shared" si="14"/>
        <v>1096194.5752629088</v>
      </c>
      <c r="F29" s="203">
        <f t="shared" si="14"/>
        <v>1096194.5752629088</v>
      </c>
      <c r="G29" s="203">
        <f t="shared" si="14"/>
        <v>1096194.5752629088</v>
      </c>
      <c r="H29" s="203">
        <f t="shared" si="14"/>
        <v>1096194.5752629088</v>
      </c>
      <c r="I29" s="203">
        <f t="shared" si="14"/>
        <v>1096194.5752629088</v>
      </c>
      <c r="J29" s="203">
        <f t="shared" si="14"/>
        <v>1096194.5752629088</v>
      </c>
      <c r="K29" s="203">
        <f t="shared" si="14"/>
        <v>1096194.5752629088</v>
      </c>
      <c r="L29" s="203">
        <f t="shared" si="14"/>
        <v>1096194.5752629088</v>
      </c>
      <c r="M29" s="203">
        <f t="shared" si="14"/>
        <v>1096194.5752629088</v>
      </c>
      <c r="N29" s="203">
        <f t="shared" si="14"/>
        <v>1096194.5752629088</v>
      </c>
      <c r="O29" s="203">
        <f t="shared" si="14"/>
        <v>1096194.5752629088</v>
      </c>
      <c r="P29" s="203">
        <f t="shared" si="14"/>
        <v>1096194.5752629088</v>
      </c>
      <c r="Q29" s="203">
        <f t="shared" si="14"/>
        <v>1096194.5752629088</v>
      </c>
      <c r="R29" s="203">
        <f t="shared" si="14"/>
        <v>1096194.5752629088</v>
      </c>
      <c r="S29" s="203">
        <f t="shared" si="14"/>
        <v>1096194.5752629088</v>
      </c>
      <c r="T29" s="203">
        <f t="shared" si="14"/>
        <v>1096194.5752629088</v>
      </c>
      <c r="U29" s="203">
        <f t="shared" si="14"/>
        <v>1096194.5752629088</v>
      </c>
      <c r="V29" s="203">
        <f t="shared" si="14"/>
        <v>1096194.5752629088</v>
      </c>
      <c r="W29" s="203">
        <f t="shared" si="14"/>
        <v>1096194.5752629088</v>
      </c>
      <c r="X29" s="203">
        <f t="shared" si="14"/>
        <v>1096194.5752629088</v>
      </c>
      <c r="Y29" s="203">
        <f t="shared" si="14"/>
        <v>1096194.5752629088</v>
      </c>
      <c r="Z29" s="203">
        <f t="shared" si="14"/>
        <v>1096194.5752629088</v>
      </c>
      <c r="AA29" s="203">
        <f t="shared" si="14"/>
        <v>1096194.5752629088</v>
      </c>
      <c r="AB29" s="203">
        <f t="shared" si="14"/>
        <v>1096194.5752629088</v>
      </c>
      <c r="AC29" s="203">
        <f t="shared" si="14"/>
        <v>1096194.5752629088</v>
      </c>
      <c r="AD29" s="203">
        <f t="shared" si="14"/>
        <v>1096194.5752629088</v>
      </c>
      <c r="AE29" s="203">
        <f t="shared" si="14"/>
        <v>1096194.5752629088</v>
      </c>
      <c r="AF29" s="203">
        <f t="shared" si="14"/>
        <v>1096194.5752629088</v>
      </c>
      <c r="AG29" s="203">
        <f t="shared" si="14"/>
        <v>1096194.5752629088</v>
      </c>
      <c r="AJ29" s="151"/>
      <c r="AL29" s="207"/>
      <c r="AM29" s="118"/>
      <c r="AN29" s="118"/>
      <c r="AO29" s="118"/>
    </row>
    <row r="30" spans="1:64" ht="15.5" outlineLevel="1" thickTop="1">
      <c r="AL30" s="102"/>
      <c r="AM30" s="2"/>
      <c r="AN30" s="2"/>
      <c r="AO30" s="2"/>
    </row>
    <row r="31" spans="1:64" outlineLevel="1">
      <c r="A31" t="s">
        <v>1358</v>
      </c>
      <c r="B31" s="165" t="s">
        <v>1399</v>
      </c>
      <c r="C31" s="101">
        <f>C29</f>
        <v>1096194.5752629088</v>
      </c>
      <c r="D31" s="101">
        <f t="shared" ref="D31:AG31" si="15">D29</f>
        <v>1096194.5752629088</v>
      </c>
      <c r="E31" s="101">
        <f t="shared" si="15"/>
        <v>1096194.5752629088</v>
      </c>
      <c r="F31" s="101">
        <f t="shared" si="15"/>
        <v>1096194.5752629088</v>
      </c>
      <c r="G31" s="101">
        <f t="shared" si="15"/>
        <v>1096194.5752629088</v>
      </c>
      <c r="H31" s="101">
        <f t="shared" si="15"/>
        <v>1096194.5752629088</v>
      </c>
      <c r="I31" s="101">
        <f t="shared" si="15"/>
        <v>1096194.5752629088</v>
      </c>
      <c r="J31" s="101">
        <f t="shared" si="15"/>
        <v>1096194.5752629088</v>
      </c>
      <c r="K31" s="101">
        <f t="shared" si="15"/>
        <v>1096194.5752629088</v>
      </c>
      <c r="L31" s="101">
        <f t="shared" si="15"/>
        <v>1096194.5752629088</v>
      </c>
      <c r="M31" s="101">
        <f t="shared" si="15"/>
        <v>1096194.5752629088</v>
      </c>
      <c r="N31" s="101">
        <f t="shared" si="15"/>
        <v>1096194.5752629088</v>
      </c>
      <c r="O31" s="101">
        <f t="shared" si="15"/>
        <v>1096194.5752629088</v>
      </c>
      <c r="P31" s="101">
        <f t="shared" si="15"/>
        <v>1096194.5752629088</v>
      </c>
      <c r="Q31" s="101">
        <f t="shared" si="15"/>
        <v>1096194.5752629088</v>
      </c>
      <c r="R31" s="101">
        <f t="shared" si="15"/>
        <v>1096194.5752629088</v>
      </c>
      <c r="S31" s="101">
        <f t="shared" si="15"/>
        <v>1096194.5752629088</v>
      </c>
      <c r="T31" s="101">
        <f t="shared" si="15"/>
        <v>1096194.5752629088</v>
      </c>
      <c r="U31" s="101">
        <f t="shared" si="15"/>
        <v>1096194.5752629088</v>
      </c>
      <c r="V31" s="101">
        <f t="shared" si="15"/>
        <v>1096194.5752629088</v>
      </c>
      <c r="W31" s="101">
        <f t="shared" si="15"/>
        <v>1096194.5752629088</v>
      </c>
      <c r="X31" s="101">
        <f t="shared" si="15"/>
        <v>1096194.5752629088</v>
      </c>
      <c r="Y31" s="101">
        <f t="shared" si="15"/>
        <v>1096194.5752629088</v>
      </c>
      <c r="Z31" s="101">
        <f t="shared" si="15"/>
        <v>1096194.5752629088</v>
      </c>
      <c r="AA31" s="101">
        <f t="shared" si="15"/>
        <v>1096194.5752629088</v>
      </c>
      <c r="AB31" s="101">
        <f t="shared" si="15"/>
        <v>1096194.5752629088</v>
      </c>
      <c r="AC31" s="101">
        <f t="shared" si="15"/>
        <v>1096194.5752629088</v>
      </c>
      <c r="AD31" s="101">
        <f t="shared" si="15"/>
        <v>1096194.5752629088</v>
      </c>
      <c r="AE31" s="101">
        <f t="shared" si="15"/>
        <v>1096194.5752629088</v>
      </c>
      <c r="AF31" s="101">
        <f t="shared" si="15"/>
        <v>1096194.5752629088</v>
      </c>
      <c r="AG31" s="101">
        <f t="shared" si="15"/>
        <v>1096194.5752629088</v>
      </c>
      <c r="AL31" s="102"/>
      <c r="AM31" s="2"/>
      <c r="AN31" s="2"/>
      <c r="AO31" s="2"/>
    </row>
    <row r="32" spans="1:64" outlineLevel="1">
      <c r="AL32" s="102"/>
      <c r="AM32" s="2"/>
      <c r="AN32" s="2"/>
      <c r="AO32" s="2"/>
    </row>
    <row r="33" spans="1:64" outlineLevel="1">
      <c r="A33" t="s">
        <v>1359</v>
      </c>
      <c r="B33" s="51" t="s">
        <v>126</v>
      </c>
      <c r="C33" s="192">
        <f>'Yearly BTX'!AJ34/'Yearly BTX'!AJ27</f>
        <v>1</v>
      </c>
      <c r="D33" s="192">
        <f>'Yearly BTX'!AK34/'Yearly BTX'!AK27</f>
        <v>0.99303956274363891</v>
      </c>
      <c r="E33" s="192">
        <f>'Yearly BTX'!AL34/'Yearly BTX'!AL27</f>
        <v>0.98197028982360191</v>
      </c>
      <c r="F33" s="192">
        <f>'Yearly BTX'!AM34/'Yearly BTX'!AM27</f>
        <v>0.97295543473540302</v>
      </c>
      <c r="G33" s="192">
        <f>'Yearly BTX'!AN34/'Yearly BTX'!AN27</f>
        <v>0.96394057964720381</v>
      </c>
      <c r="H33" s="192">
        <f>'Yearly BTX'!AO34/'Yearly BTX'!AO27</f>
        <v>0.95492572455900493</v>
      </c>
      <c r="I33" s="192">
        <f>'Yearly BTX'!AP34/'Yearly BTX'!AP27</f>
        <v>0.94591086947080572</v>
      </c>
      <c r="J33" s="192">
        <f>'Yearly BTX'!AQ34/'Yearly BTX'!AQ27</f>
        <v>0.93689601438260683</v>
      </c>
      <c r="K33" s="192">
        <f>'Yearly BTX'!AR34/'Yearly BTX'!AR27</f>
        <v>0.92788115929440762</v>
      </c>
      <c r="L33" s="192">
        <f>'Yearly BTX'!AS34/'Yearly BTX'!AS27</f>
        <v>0.91886630420620874</v>
      </c>
      <c r="M33" s="192">
        <f>'Yearly BTX'!AT34/'Yearly BTX'!AT27</f>
        <v>0.90985144911800964</v>
      </c>
      <c r="N33" s="192">
        <f>'Yearly BTX'!AU34/'Yearly BTX'!AU27</f>
        <v>0.89014177877491107</v>
      </c>
      <c r="O33" s="192">
        <f>'Yearly BTX'!AV34/'Yearly BTX'!AV27</f>
        <v>0.8704321084318124</v>
      </c>
      <c r="P33" s="192">
        <f>'Yearly BTX'!AW34/'Yearly BTX'!AW27</f>
        <v>0.85072243808871373</v>
      </c>
      <c r="Q33" s="192">
        <f>'Yearly BTX'!AX34/'Yearly BTX'!AX27</f>
        <v>0.83101276774561517</v>
      </c>
      <c r="R33" s="192">
        <f>'Yearly BTX'!AY34/'Yearly BTX'!AY27</f>
        <v>0.81130309740251649</v>
      </c>
      <c r="S33" s="192">
        <f>'Yearly BTX'!AZ34/'Yearly BTX'!AZ27</f>
        <v>0.79159342705941782</v>
      </c>
      <c r="T33" s="192">
        <f>'Yearly BTX'!BA34/'Yearly BTX'!BA27</f>
        <v>0.77188375671631915</v>
      </c>
      <c r="U33" s="192">
        <f>'Yearly BTX'!BB34/'Yearly BTX'!BB27</f>
        <v>0.75217408637322047</v>
      </c>
      <c r="V33" s="192">
        <f>'Yearly BTX'!BC34/'Yearly BTX'!BC27</f>
        <v>0.73246441603012202</v>
      </c>
      <c r="W33" s="192">
        <f>'Yearly BTX'!BD34/'Yearly BTX'!BD27</f>
        <v>0.71275474568702335</v>
      </c>
      <c r="X33" s="192">
        <f>'Yearly BTX'!BE34/'Yearly BTX'!BE27</f>
        <v>0.69279497181501215</v>
      </c>
      <c r="Y33" s="192">
        <f>'Yearly BTX'!BF34/'Yearly BTX'!BF27</f>
        <v>0.67283519794300106</v>
      </c>
      <c r="Z33" s="192">
        <f>'Yearly BTX'!BG34/'Yearly BTX'!BG27</f>
        <v>0.65287542407098997</v>
      </c>
      <c r="AA33" s="192">
        <f>'Yearly BTX'!BH34/'Yearly BTX'!BH27</f>
        <v>0.63291565019897889</v>
      </c>
      <c r="AB33" s="192">
        <f>'Yearly BTX'!BI34/'Yearly BTX'!BI27</f>
        <v>0.61295587632696769</v>
      </c>
      <c r="AC33" s="192">
        <f>'Yearly BTX'!BJ34/'Yearly BTX'!BJ27</f>
        <v>0.5929961024549566</v>
      </c>
      <c r="AD33" s="192">
        <f>'Yearly BTX'!BK34/'Yearly BTX'!BK27</f>
        <v>0.57303632858294562</v>
      </c>
      <c r="AE33" s="192">
        <f>'Yearly BTX'!BL34/'Yearly BTX'!BL27</f>
        <v>0.55307655471093442</v>
      </c>
      <c r="AF33" s="192">
        <f>'Yearly BTX'!BM34/'Yearly BTX'!BM27</f>
        <v>0.53311678083892322</v>
      </c>
      <c r="AG33" s="192">
        <f>'Yearly BTX'!BN34/'Yearly BTX'!BN27</f>
        <v>0.51315700696691213</v>
      </c>
      <c r="AL33" s="102"/>
      <c r="AM33" s="194"/>
      <c r="AN33" s="194"/>
      <c r="AO33" s="194"/>
      <c r="BC33" s="1"/>
      <c r="BD33" s="550"/>
      <c r="BE33" s="550"/>
      <c r="BF33" s="550"/>
      <c r="BG33" s="550"/>
      <c r="BH33" s="550"/>
      <c r="BI33" s="550"/>
      <c r="BJ33" s="550"/>
      <c r="BK33" s="550"/>
    </row>
    <row r="34" spans="1:64" outlineLevel="1">
      <c r="A34" t="s">
        <v>1360</v>
      </c>
      <c r="B34" s="51" t="s">
        <v>126</v>
      </c>
      <c r="C34" s="192">
        <f>'Yearly BTX'!AJ23/'Yearly BTX'!AJ16</f>
        <v>1</v>
      </c>
      <c r="D34" s="192">
        <f>'Yearly BTX'!AK23/'Yearly BTX'!AK16</f>
        <v>0.99929459999999992</v>
      </c>
      <c r="E34" s="192">
        <f>'Yearly BTX'!AL23/'Yearly BTX'!AL16</f>
        <v>0.99857839999999998</v>
      </c>
      <c r="F34" s="192">
        <f>'Yearly BTX'!AM23/'Yearly BTX'!AM16</f>
        <v>0.99785140000000006</v>
      </c>
      <c r="G34" s="192">
        <f>'Yearly BTX'!AN23/'Yearly BTX'!AN16</f>
        <v>0.99711360000000004</v>
      </c>
      <c r="H34" s="192">
        <f>'Yearly BTX'!AO23/'Yearly BTX'!AO16</f>
        <v>0.99636499999999995</v>
      </c>
      <c r="I34" s="192">
        <f>'Yearly BTX'!AP23/'Yearly BTX'!AP16</f>
        <v>0.99560559999999998</v>
      </c>
      <c r="J34" s="192">
        <f>'Yearly BTX'!AQ23/'Yearly BTX'!AQ16</f>
        <v>0.99483540000000004</v>
      </c>
      <c r="K34" s="192">
        <f>'Yearly BTX'!AR23/'Yearly BTX'!AR16</f>
        <v>0.9940544</v>
      </c>
      <c r="L34" s="192">
        <f>'Yearly BTX'!AS23/'Yearly BTX'!AS16</f>
        <v>0.9932626</v>
      </c>
      <c r="M34" s="192">
        <f>'Yearly BTX'!AT23/'Yearly BTX'!AT16</f>
        <v>0.99246000000000012</v>
      </c>
      <c r="N34" s="192">
        <f>'Yearly BTX'!AU23/'Yearly BTX'!AU16</f>
        <v>0.98902250000000014</v>
      </c>
      <c r="O34" s="192">
        <f>'Yearly BTX'!AV23/'Yearly BTX'!AV16</f>
        <v>0.98550399999999982</v>
      </c>
      <c r="P34" s="192">
        <f>'Yearly BTX'!AW23/'Yearly BTX'!AW16</f>
        <v>0.98190449999999985</v>
      </c>
      <c r="Q34" s="192">
        <f>'Yearly BTX'!AX23/'Yearly BTX'!AX16</f>
        <v>0.97822399999999987</v>
      </c>
      <c r="R34" s="192">
        <f>'Yearly BTX'!AY23/'Yearly BTX'!AY16</f>
        <v>0.9744624999999999</v>
      </c>
      <c r="S34" s="192">
        <f>'Yearly BTX'!AZ23/'Yearly BTX'!AZ16</f>
        <v>0.97062000000000004</v>
      </c>
      <c r="T34" s="192">
        <f>'Yearly BTX'!BA23/'Yearly BTX'!BA16</f>
        <v>0.96669649999999985</v>
      </c>
      <c r="U34" s="192">
        <f>'Yearly BTX'!BB23/'Yearly BTX'!BB16</f>
        <v>0.96269199999999999</v>
      </c>
      <c r="V34" s="192">
        <f>'Yearly BTX'!BC23/'Yearly BTX'!BC16</f>
        <v>0.95860650000000014</v>
      </c>
      <c r="W34" s="192">
        <f>'Yearly BTX'!BD23/'Yearly BTX'!BD16</f>
        <v>0.95444000000000007</v>
      </c>
      <c r="X34" s="192">
        <f>'Yearly BTX'!BE23/'Yearly BTX'!BE16</f>
        <v>0.93973340000000005</v>
      </c>
      <c r="Y34" s="192">
        <f>'Yearly BTX'!BF23/'Yearly BTX'!BF16</f>
        <v>0.92492960000000013</v>
      </c>
      <c r="Z34" s="192">
        <f>'Yearly BTX'!BG23/'Yearly BTX'!BG16</f>
        <v>0.91002860000000008</v>
      </c>
      <c r="AA34" s="192">
        <f>'Yearly BTX'!BH23/'Yearly BTX'!BH16</f>
        <v>0.8950304</v>
      </c>
      <c r="AB34" s="192">
        <f>'Yearly BTX'!BI23/'Yearly BTX'!BI16</f>
        <v>0.87993500000000002</v>
      </c>
      <c r="AC34" s="192">
        <f>'Yearly BTX'!BJ23/'Yearly BTX'!BJ16</f>
        <v>0.86474239999999991</v>
      </c>
      <c r="AD34" s="192">
        <f>'Yearly BTX'!BK23/'Yearly BTX'!BK16</f>
        <v>0.84945259999999989</v>
      </c>
      <c r="AE34" s="192">
        <f>'Yearly BTX'!BL23/'Yearly BTX'!BL16</f>
        <v>0.83406559999999996</v>
      </c>
      <c r="AF34" s="192">
        <f>'Yearly BTX'!BM23/'Yearly BTX'!BM16</f>
        <v>0.81858140000000001</v>
      </c>
      <c r="AG34" s="192">
        <f>'Yearly BTX'!BN23/'Yearly BTX'!BN16</f>
        <v>0.80299999999999994</v>
      </c>
      <c r="AL34" s="102"/>
      <c r="AM34" s="194"/>
      <c r="AN34" s="194"/>
      <c r="AO34" s="194"/>
      <c r="BL34" s="1"/>
    </row>
    <row r="35" spans="1:64" outlineLevel="1">
      <c r="A35" t="s">
        <v>1361</v>
      </c>
      <c r="B35" s="51" t="s">
        <v>126</v>
      </c>
      <c r="C35" s="192">
        <f>'Yearly BTX'!AJ41/'Yearly BTX'!AJ38</f>
        <v>1</v>
      </c>
      <c r="D35" s="192">
        <f>'Yearly BTX'!AK41/'Yearly BTX'!AK38</f>
        <v>0.98978437759336102</v>
      </c>
      <c r="E35" s="192">
        <f>'Yearly BTX'!AL41/'Yearly BTX'!AL38</f>
        <v>0.97956875518672204</v>
      </c>
      <c r="F35" s="192">
        <f>'Yearly BTX'!AM41/'Yearly BTX'!AM38</f>
        <v>0.96935313278008306</v>
      </c>
      <c r="G35" s="192">
        <f>'Yearly BTX'!AN41/'Yearly BTX'!AN38</f>
        <v>0.95913751037344397</v>
      </c>
      <c r="H35" s="192">
        <f>'Yearly BTX'!AO41/'Yearly BTX'!AO38</f>
        <v>0.94892188796680488</v>
      </c>
      <c r="I35" s="192">
        <f>'Yearly BTX'!AP41/'Yearly BTX'!AP38</f>
        <v>0.93870626556016601</v>
      </c>
      <c r="J35" s="192">
        <f>'Yearly BTX'!AQ41/'Yearly BTX'!AQ38</f>
        <v>0.92849064315352692</v>
      </c>
      <c r="K35" s="192">
        <f>'Yearly BTX'!AR41/'Yearly BTX'!AR38</f>
        <v>0.91827502074688794</v>
      </c>
      <c r="L35" s="192">
        <f>'Yearly BTX'!AS41/'Yearly BTX'!AS38</f>
        <v>0.90805939834024885</v>
      </c>
      <c r="M35" s="192">
        <f>'Yearly BTX'!AT41/'Yearly BTX'!AT38</f>
        <v>0.89784377593360998</v>
      </c>
      <c r="N35" s="192">
        <f>'Yearly BTX'!AU41/'Yearly BTX'!AU38</f>
        <v>0.887628153526971</v>
      </c>
      <c r="O35" s="192">
        <f>'Yearly BTX'!AV41/'Yearly BTX'!AV38</f>
        <v>0.87741253112033191</v>
      </c>
      <c r="P35" s="192">
        <f>'Yearly BTX'!AW41/'Yearly BTX'!AW38</f>
        <v>0.86719690871369304</v>
      </c>
      <c r="Q35" s="192">
        <f>'Yearly BTX'!AX41/'Yearly BTX'!AX38</f>
        <v>0.85698128630705395</v>
      </c>
      <c r="R35" s="192">
        <f>'Yearly BTX'!AY41/'Yearly BTX'!AY38</f>
        <v>0.84676566390041486</v>
      </c>
      <c r="S35" s="192">
        <f>'Yearly BTX'!AZ41/'Yearly BTX'!AZ38</f>
        <v>0.83655004149377588</v>
      </c>
      <c r="T35" s="192">
        <f>'Yearly BTX'!BA41/'Yearly BTX'!BA38</f>
        <v>0.8263344190871369</v>
      </c>
      <c r="U35" s="192">
        <f>'Yearly BTX'!BB41/'Yearly BTX'!BB38</f>
        <v>0.81611879668049792</v>
      </c>
      <c r="V35" s="192">
        <f>'Yearly BTX'!BC41/'Yearly BTX'!BC38</f>
        <v>0.80590317427385894</v>
      </c>
      <c r="W35" s="192">
        <f>'Yearly BTX'!BD41/'Yearly BTX'!BD38</f>
        <v>0.79568755186721984</v>
      </c>
      <c r="X35" s="192">
        <f>'Yearly BTX'!BE41/'Yearly BTX'!BE38</f>
        <v>0.78516236514522819</v>
      </c>
      <c r="Y35" s="192">
        <f>'Yearly BTX'!BF41/'Yearly BTX'!BF38</f>
        <v>0.77463717842323643</v>
      </c>
      <c r="Z35" s="192">
        <f>'Yearly BTX'!BG41/'Yearly BTX'!BG38</f>
        <v>0.76411199170124477</v>
      </c>
      <c r="AA35" s="192">
        <f>'Yearly BTX'!BH41/'Yearly BTX'!BH38</f>
        <v>0.75358680497925301</v>
      </c>
      <c r="AB35" s="192">
        <f>'Yearly BTX'!BI41/'Yearly BTX'!BI38</f>
        <v>0.74306161825726147</v>
      </c>
      <c r="AC35" s="192">
        <f>'Yearly BTX'!BJ41/'Yearly BTX'!BJ38</f>
        <v>0.73253643153526971</v>
      </c>
      <c r="AD35" s="192">
        <f>'Yearly BTX'!BK41/'Yearly BTX'!BK38</f>
        <v>0.72201124481327794</v>
      </c>
      <c r="AE35" s="192">
        <f>'Yearly BTX'!BL41/'Yearly BTX'!BL38</f>
        <v>0.71148605809128629</v>
      </c>
      <c r="AF35" s="192">
        <f>'Yearly BTX'!BM41/'Yearly BTX'!BM38</f>
        <v>0.70096087136929452</v>
      </c>
      <c r="AG35" s="192">
        <f>'Yearly BTX'!BN41/'Yearly BTX'!BN38</f>
        <v>0.69043568464730287</v>
      </c>
      <c r="AL35" s="102"/>
      <c r="AM35" s="194"/>
      <c r="AN35" s="194"/>
      <c r="AO35" s="194"/>
      <c r="BD35" s="38"/>
      <c r="BE35" s="38"/>
      <c r="BF35" s="38"/>
      <c r="BG35" s="38"/>
      <c r="BH35" s="38"/>
      <c r="BI35" s="38"/>
      <c r="BJ35" s="38"/>
      <c r="BK35" s="38"/>
      <c r="BL35" s="112"/>
    </row>
    <row r="36" spans="1:64" outlineLevel="1">
      <c r="A36" t="s">
        <v>1362</v>
      </c>
      <c r="B36" s="51" t="s">
        <v>126</v>
      </c>
      <c r="C36" s="192">
        <f>'Yearly BTX'!AJ50/'Yearly BTX'!AJ45</f>
        <v>1</v>
      </c>
      <c r="D36" s="192">
        <f>'Yearly BTX'!AK50/'Yearly BTX'!AK45</f>
        <v>0.98455000000000015</v>
      </c>
      <c r="E36" s="192">
        <f>'Yearly BTX'!AL50/'Yearly BTX'!AL45</f>
        <v>0.96910000000000007</v>
      </c>
      <c r="F36" s="192">
        <f>'Yearly BTX'!AM50/'Yearly BTX'!AM45</f>
        <v>0.95365</v>
      </c>
      <c r="G36" s="192">
        <f>'Yearly BTX'!AN50/'Yearly BTX'!AN45</f>
        <v>0.93820000000000003</v>
      </c>
      <c r="H36" s="192">
        <f>'Yearly BTX'!AO50/'Yearly BTX'!AO45</f>
        <v>0.92275000000000018</v>
      </c>
      <c r="I36" s="192">
        <f>'Yearly BTX'!AP50/'Yearly BTX'!AP45</f>
        <v>0.90730000000000011</v>
      </c>
      <c r="J36" s="192">
        <f>'Yearly BTX'!AQ50/'Yearly BTX'!AQ45</f>
        <v>0.89184999999999981</v>
      </c>
      <c r="K36" s="192">
        <f>'Yearly BTX'!AR50/'Yearly BTX'!AR45</f>
        <v>0.87639999999999996</v>
      </c>
      <c r="L36" s="192">
        <f>'Yearly BTX'!AS50/'Yearly BTX'!AS45</f>
        <v>0.86094999999999999</v>
      </c>
      <c r="M36" s="192">
        <f>'Yearly BTX'!AT50/'Yearly BTX'!AT45</f>
        <v>0.84549999999999992</v>
      </c>
      <c r="N36" s="192">
        <f>'Yearly BTX'!AU50/'Yearly BTX'!AU45</f>
        <v>0.8345999999999999</v>
      </c>
      <c r="O36" s="192">
        <f>'Yearly BTX'!AV50/'Yearly BTX'!AV45</f>
        <v>0.8237000000000001</v>
      </c>
      <c r="P36" s="192">
        <f>'Yearly BTX'!AW50/'Yearly BTX'!AW45</f>
        <v>0.81279999999999997</v>
      </c>
      <c r="Q36" s="192">
        <f>'Yearly BTX'!AX50/'Yearly BTX'!AX45</f>
        <v>0.80189999999999995</v>
      </c>
      <c r="R36" s="192">
        <f>'Yearly BTX'!AY50/'Yearly BTX'!AY45</f>
        <v>0.79099999999999993</v>
      </c>
      <c r="S36" s="192">
        <f>'Yearly BTX'!AZ50/'Yearly BTX'!AZ45</f>
        <v>0.78010000000000013</v>
      </c>
      <c r="T36" s="192">
        <f>'Yearly BTX'!BA50/'Yearly BTX'!BA45</f>
        <v>0.76919999999999999</v>
      </c>
      <c r="U36" s="192">
        <f>'Yearly BTX'!BB50/'Yearly BTX'!BB45</f>
        <v>0.75829999999999997</v>
      </c>
      <c r="V36" s="192">
        <f>'Yearly BTX'!BC50/'Yearly BTX'!BC45</f>
        <v>0.74739999999999984</v>
      </c>
      <c r="W36" s="192">
        <f>'Yearly BTX'!BD50/'Yearly BTX'!BD45</f>
        <v>0.73650000000000004</v>
      </c>
      <c r="X36" s="192">
        <f>'Yearly BTX'!BE50/'Yearly BTX'!BE45</f>
        <v>0.72334999999999994</v>
      </c>
      <c r="Y36" s="192">
        <f>'Yearly BTX'!BF50/'Yearly BTX'!BF45</f>
        <v>0.71019999999999983</v>
      </c>
      <c r="Z36" s="192">
        <f>'Yearly BTX'!BG50/'Yearly BTX'!BG45</f>
        <v>0.69704999999999995</v>
      </c>
      <c r="AA36" s="192">
        <f>'Yearly BTX'!BH50/'Yearly BTX'!BH45</f>
        <v>0.68390000000000006</v>
      </c>
      <c r="AB36" s="192">
        <f>'Yearly BTX'!BI50/'Yearly BTX'!BI45</f>
        <v>0.67074999999999996</v>
      </c>
      <c r="AC36" s="192">
        <f>'Yearly BTX'!BJ50/'Yearly BTX'!BJ45</f>
        <v>0.65759999999999996</v>
      </c>
      <c r="AD36" s="192">
        <f>'Yearly BTX'!BK50/'Yearly BTX'!BK45</f>
        <v>0.64444999999999997</v>
      </c>
      <c r="AE36" s="192">
        <f>'Yearly BTX'!BL50/'Yearly BTX'!BL45</f>
        <v>0.63130000000000008</v>
      </c>
      <c r="AF36" s="192">
        <f>'Yearly BTX'!BM50/'Yearly BTX'!BM45</f>
        <v>0.61814999999999998</v>
      </c>
      <c r="AG36" s="192">
        <f>'Yearly BTX'!BN50/'Yearly BTX'!BN45</f>
        <v>0.60499999999999998</v>
      </c>
      <c r="AL36" s="102"/>
      <c r="AM36" s="194"/>
      <c r="AN36" s="194"/>
      <c r="AO36" s="194"/>
      <c r="BD36" s="38"/>
      <c r="BE36" s="38"/>
      <c r="BF36" s="38"/>
      <c r="BG36" s="38"/>
      <c r="BH36" s="38"/>
      <c r="BI36" s="38"/>
      <c r="BJ36" s="38"/>
      <c r="BK36" s="38"/>
      <c r="BL36" s="112"/>
    </row>
    <row r="37" spans="1:64" outlineLevel="1">
      <c r="A37" t="s">
        <v>1363</v>
      </c>
      <c r="B37" s="165" t="s">
        <v>126</v>
      </c>
      <c r="C37" s="148">
        <f>'Yearly BTX'!AJ57/'Yearly BTX'!AJ54</f>
        <v>1</v>
      </c>
      <c r="D37" s="148">
        <f>'Yearly BTX'!AK57/'Yearly BTX'!AK54</f>
        <v>0.99670000000000014</v>
      </c>
      <c r="E37" s="148">
        <f>'Yearly BTX'!AL57/'Yearly BTX'!AL54</f>
        <v>0.99339999999999995</v>
      </c>
      <c r="F37" s="148">
        <f>'Yearly BTX'!AM57/'Yearly BTX'!AM54</f>
        <v>0.99009999999999998</v>
      </c>
      <c r="G37" s="148">
        <f>'Yearly BTX'!AN57/'Yearly BTX'!AN54</f>
        <v>0.98680000000000001</v>
      </c>
      <c r="H37" s="148">
        <f>'Yearly BTX'!AO57/'Yearly BTX'!AO54</f>
        <v>0.98349999999999993</v>
      </c>
      <c r="I37" s="148">
        <f>'Yearly BTX'!AP57/'Yearly BTX'!AP54</f>
        <v>0.98019999999999996</v>
      </c>
      <c r="J37" s="148">
        <f>'Yearly BTX'!AQ57/'Yearly BTX'!AQ54</f>
        <v>0.97689999999999999</v>
      </c>
      <c r="K37" s="148">
        <f>'Yearly BTX'!AR57/'Yearly BTX'!AR54</f>
        <v>0.97360000000000013</v>
      </c>
      <c r="L37" s="148">
        <f>'Yearly BTX'!AS57/'Yearly BTX'!AS54</f>
        <v>0.97029999999999994</v>
      </c>
      <c r="M37" s="148">
        <f>'Yearly BTX'!AT57/'Yearly BTX'!AT54</f>
        <v>0.96700000000000008</v>
      </c>
      <c r="N37" s="148">
        <f>'Yearly BTX'!AU57/'Yearly BTX'!AU54</f>
        <v>0.9637</v>
      </c>
      <c r="O37" s="148">
        <f>'Yearly BTX'!AV57/'Yearly BTX'!AV54</f>
        <v>0.96040000000000003</v>
      </c>
      <c r="P37" s="148">
        <f>'Yearly BTX'!AW57/'Yearly BTX'!AW54</f>
        <v>0.95709999999999995</v>
      </c>
      <c r="Q37" s="148">
        <f>'Yearly BTX'!AX57/'Yearly BTX'!AX54</f>
        <v>0.95380000000000009</v>
      </c>
      <c r="R37" s="148">
        <f>'Yearly BTX'!AY57/'Yearly BTX'!AY54</f>
        <v>0.9504999999999999</v>
      </c>
      <c r="S37" s="148">
        <f>'Yearly BTX'!AZ57/'Yearly BTX'!AZ54</f>
        <v>0.94719999999999993</v>
      </c>
      <c r="T37" s="148">
        <f>'Yearly BTX'!BA57/'Yearly BTX'!BA54</f>
        <v>0.94390000000000007</v>
      </c>
      <c r="U37" s="148">
        <f>'Yearly BTX'!BB57/'Yearly BTX'!BB54</f>
        <v>0.94059999999999999</v>
      </c>
      <c r="V37" s="148">
        <f>'Yearly BTX'!BC57/'Yearly BTX'!BC54</f>
        <v>0.93730000000000002</v>
      </c>
      <c r="W37" s="148">
        <f>'Yearly BTX'!BD57/'Yearly BTX'!BD54</f>
        <v>0.93399999999999994</v>
      </c>
      <c r="X37" s="148">
        <f>'Yearly BTX'!BE57/'Yearly BTX'!BE54</f>
        <v>0.93059999999999987</v>
      </c>
      <c r="Y37" s="148">
        <f>'Yearly BTX'!BF57/'Yearly BTX'!BF54</f>
        <v>0.92720000000000002</v>
      </c>
      <c r="Z37" s="148">
        <f>'Yearly BTX'!BG57/'Yearly BTX'!BG54</f>
        <v>0.92379999999999995</v>
      </c>
      <c r="AA37" s="148">
        <f>'Yearly BTX'!BH57/'Yearly BTX'!BH54</f>
        <v>0.9204</v>
      </c>
      <c r="AB37" s="148">
        <f>'Yearly BTX'!BI57/'Yearly BTX'!BI54</f>
        <v>0.91699999999999993</v>
      </c>
      <c r="AC37" s="148">
        <f>'Yearly BTX'!BJ57/'Yearly BTX'!BJ54</f>
        <v>0.91359999999999997</v>
      </c>
      <c r="AD37" s="148">
        <f>'Yearly BTX'!BK57/'Yearly BTX'!BK54</f>
        <v>0.9101999999999999</v>
      </c>
      <c r="AE37" s="148">
        <f>'Yearly BTX'!BL57/'Yearly BTX'!BL54</f>
        <v>0.90680000000000005</v>
      </c>
      <c r="AF37" s="148">
        <f>'Yearly BTX'!BM57/'Yearly BTX'!BM54</f>
        <v>0.90339999999999998</v>
      </c>
      <c r="AG37" s="148">
        <f>'Yearly BTX'!BN57/'Yearly BTX'!BN54</f>
        <v>0.9</v>
      </c>
      <c r="AI37" s="124"/>
      <c r="AL37" s="102"/>
      <c r="AM37" s="194"/>
      <c r="AN37" s="194"/>
      <c r="AO37" s="194"/>
      <c r="BD37" s="38"/>
      <c r="BE37" s="38"/>
      <c r="BF37" s="38"/>
      <c r="BG37" s="38"/>
      <c r="BH37" s="38"/>
      <c r="BI37" s="38"/>
      <c r="BJ37" s="38"/>
      <c r="BK37" s="38"/>
      <c r="BL37" s="112"/>
    </row>
    <row r="38" spans="1:64" outlineLevel="1">
      <c r="AI38" t="s">
        <v>421</v>
      </c>
      <c r="BD38" s="38"/>
      <c r="BE38" s="38"/>
      <c r="BF38" s="38"/>
      <c r="BG38" s="38"/>
      <c r="BH38" s="38"/>
      <c r="BI38" s="38"/>
      <c r="BJ38" s="38"/>
      <c r="BK38" s="38"/>
      <c r="BL38" s="112"/>
    </row>
    <row r="39" spans="1:64" outlineLevel="1">
      <c r="A39" t="s">
        <v>1364</v>
      </c>
      <c r="B39" s="51" t="s">
        <v>1399</v>
      </c>
      <c r="C39" s="101">
        <f>C24*C33</f>
        <v>460653.48270486458</v>
      </c>
      <c r="D39" s="101">
        <f t="shared" ref="D39:AF39" si="16">D24*D33</f>
        <v>457447.13304157316</v>
      </c>
      <c r="E39" s="101">
        <f t="shared" si="16"/>
        <v>452348.03391994745</v>
      </c>
      <c r="F39" s="101">
        <f t="shared" si="16"/>
        <v>448195.30952748895</v>
      </c>
      <c r="G39" s="101">
        <f t="shared" si="16"/>
        <v>444042.58513503033</v>
      </c>
      <c r="H39" s="101">
        <f t="shared" si="16"/>
        <v>439889.86074257188</v>
      </c>
      <c r="I39" s="101">
        <f t="shared" si="16"/>
        <v>435737.1363501132</v>
      </c>
      <c r="J39" s="101">
        <f t="shared" si="16"/>
        <v>431584.41195765475</v>
      </c>
      <c r="K39" s="101">
        <f t="shared" si="16"/>
        <v>427431.68756519607</v>
      </c>
      <c r="L39" s="101">
        <f t="shared" si="16"/>
        <v>423278.96317273763</v>
      </c>
      <c r="M39" s="101">
        <f t="shared" si="16"/>
        <v>419126.238780279</v>
      </c>
      <c r="N39" s="101">
        <f t="shared" si="16"/>
        <v>410046.9104937659</v>
      </c>
      <c r="O39" s="101">
        <f t="shared" si="16"/>
        <v>400967.58220725268</v>
      </c>
      <c r="P39" s="101">
        <f t="shared" si="16"/>
        <v>391888.25392073952</v>
      </c>
      <c r="Q39" s="101">
        <f t="shared" si="16"/>
        <v>382808.92563422641</v>
      </c>
      <c r="R39" s="101">
        <f t="shared" si="16"/>
        <v>373729.59734771319</v>
      </c>
      <c r="S39" s="101">
        <f t="shared" si="16"/>
        <v>364650.26906120003</v>
      </c>
      <c r="T39" s="101">
        <f t="shared" si="16"/>
        <v>355570.94077468681</v>
      </c>
      <c r="U39" s="101">
        <f t="shared" si="16"/>
        <v>346491.61248817365</v>
      </c>
      <c r="V39" s="101">
        <f t="shared" si="16"/>
        <v>337412.28420166054</v>
      </c>
      <c r="W39" s="101">
        <f t="shared" si="16"/>
        <v>328332.95591514738</v>
      </c>
      <c r="X39" s="101">
        <f t="shared" si="16"/>
        <v>319138.41656700382</v>
      </c>
      <c r="Y39" s="101">
        <f t="shared" si="16"/>
        <v>309943.87721886038</v>
      </c>
      <c r="Z39" s="101">
        <f t="shared" si="16"/>
        <v>300749.33787071693</v>
      </c>
      <c r="AA39" s="101">
        <f t="shared" si="16"/>
        <v>291554.79852257343</v>
      </c>
      <c r="AB39" s="101">
        <f t="shared" si="16"/>
        <v>282360.25917442993</v>
      </c>
      <c r="AC39" s="101">
        <f t="shared" si="16"/>
        <v>273165.71982628643</v>
      </c>
      <c r="AD39" s="101">
        <f t="shared" si="16"/>
        <v>263971.18047814304</v>
      </c>
      <c r="AE39" s="101">
        <f t="shared" si="16"/>
        <v>254776.64112999951</v>
      </c>
      <c r="AF39" s="101">
        <f t="shared" si="16"/>
        <v>245582.10178185601</v>
      </c>
      <c r="AG39" s="101">
        <f>AG24*AG33</f>
        <v>236387.56243371253</v>
      </c>
      <c r="AI39" s="197" t="s">
        <v>281</v>
      </c>
      <c r="AJ39" s="198" t="s">
        <v>422</v>
      </c>
      <c r="BD39" s="38"/>
      <c r="BE39" s="38"/>
      <c r="BF39" s="38"/>
      <c r="BG39" s="38"/>
      <c r="BH39" s="38"/>
      <c r="BI39" s="38"/>
      <c r="BJ39" s="38"/>
      <c r="BK39" s="38"/>
      <c r="BL39" s="112"/>
    </row>
    <row r="40" spans="1:64" outlineLevel="1">
      <c r="A40" t="s">
        <v>1365</v>
      </c>
      <c r="B40" s="51" t="s">
        <v>1399</v>
      </c>
      <c r="C40" s="101">
        <f t="shared" ref="C40:O40" si="17">C25*$C$34</f>
        <v>42693.858890936535</v>
      </c>
      <c r="D40" s="101">
        <f t="shared" si="17"/>
        <v>42693.858890936535</v>
      </c>
      <c r="E40" s="101">
        <f t="shared" si="17"/>
        <v>42693.858890936535</v>
      </c>
      <c r="F40" s="101">
        <f t="shared" si="17"/>
        <v>42693.858890936535</v>
      </c>
      <c r="G40" s="101">
        <f t="shared" si="17"/>
        <v>42693.858890936535</v>
      </c>
      <c r="H40" s="101">
        <f t="shared" si="17"/>
        <v>42693.858890936535</v>
      </c>
      <c r="I40" s="101">
        <f t="shared" si="17"/>
        <v>42693.858890936535</v>
      </c>
      <c r="J40" s="101">
        <f t="shared" si="17"/>
        <v>42693.858890936535</v>
      </c>
      <c r="K40" s="101">
        <f t="shared" si="17"/>
        <v>42693.858890936535</v>
      </c>
      <c r="L40" s="101">
        <f t="shared" si="17"/>
        <v>42693.858890936535</v>
      </c>
      <c r="M40" s="101">
        <f t="shared" si="17"/>
        <v>42693.858890936535</v>
      </c>
      <c r="N40" s="101">
        <f t="shared" si="17"/>
        <v>42693.858890936535</v>
      </c>
      <c r="O40" s="101">
        <f t="shared" si="17"/>
        <v>42693.858890936535</v>
      </c>
      <c r="P40" s="101">
        <f t="shared" ref="P40:AG40" si="18">D34*P25</f>
        <v>42663.742642874866</v>
      </c>
      <c r="Q40" s="101">
        <f t="shared" si="18"/>
        <v>42633.165301137182</v>
      </c>
      <c r="R40" s="101">
        <f t="shared" si="18"/>
        <v>42602.126865723469</v>
      </c>
      <c r="S40" s="101">
        <f t="shared" si="18"/>
        <v>42570.627336633741</v>
      </c>
      <c r="T40" s="101">
        <f t="shared" si="18"/>
        <v>42538.666713867977</v>
      </c>
      <c r="U40" s="101">
        <f t="shared" si="18"/>
        <v>42506.244997426205</v>
      </c>
      <c r="V40" s="101">
        <f t="shared" si="18"/>
        <v>42473.362187308405</v>
      </c>
      <c r="W40" s="101">
        <f t="shared" si="18"/>
        <v>42440.018283514582</v>
      </c>
      <c r="X40" s="101">
        <f t="shared" si="18"/>
        <v>42406.213286044738</v>
      </c>
      <c r="Y40" s="101">
        <f t="shared" si="18"/>
        <v>42371.947194898879</v>
      </c>
      <c r="Z40" s="101">
        <f t="shared" si="18"/>
        <v>42225.187054961287</v>
      </c>
      <c r="AA40" s="101">
        <f t="shared" si="18"/>
        <v>42074.968712453512</v>
      </c>
      <c r="AB40" s="101">
        <f t="shared" si="18"/>
        <v>41921.292167375585</v>
      </c>
      <c r="AC40" s="101">
        <f t="shared" si="18"/>
        <v>41764.157419727497</v>
      </c>
      <c r="AD40" s="101">
        <f t="shared" si="18"/>
        <v>41603.564469509241</v>
      </c>
      <c r="AE40" s="101">
        <f t="shared" si="18"/>
        <v>41439.513316720819</v>
      </c>
      <c r="AF40" s="101">
        <f t="shared" si="18"/>
        <v>41272.003961362221</v>
      </c>
      <c r="AG40" s="101">
        <f t="shared" si="18"/>
        <v>41101.036403433478</v>
      </c>
      <c r="AI40" s="197" t="s">
        <v>282</v>
      </c>
      <c r="AJ40" s="198" t="s">
        <v>422</v>
      </c>
      <c r="BD40" s="38"/>
      <c r="BE40" s="38"/>
      <c r="BF40" s="38"/>
      <c r="BG40" s="38"/>
      <c r="BH40" s="38"/>
      <c r="BI40" s="38"/>
      <c r="BJ40" s="38"/>
      <c r="BK40" s="38"/>
      <c r="BL40" s="112"/>
    </row>
    <row r="41" spans="1:64" outlineLevel="1">
      <c r="A41" t="s">
        <v>1366</v>
      </c>
      <c r="B41" s="51" t="s">
        <v>1399</v>
      </c>
      <c r="C41" s="101">
        <f t="shared" ref="C41:AG41" si="19">C26</f>
        <v>23183.899679933551</v>
      </c>
      <c r="D41" s="101">
        <f t="shared" si="19"/>
        <v>23183.899679933551</v>
      </c>
      <c r="E41" s="101">
        <f t="shared" si="19"/>
        <v>23183.899679933551</v>
      </c>
      <c r="F41" s="101">
        <f t="shared" si="19"/>
        <v>23183.899679933551</v>
      </c>
      <c r="G41" s="101">
        <f t="shared" si="19"/>
        <v>23183.899679933551</v>
      </c>
      <c r="H41" s="101">
        <f t="shared" si="19"/>
        <v>23183.899679933551</v>
      </c>
      <c r="I41" s="101">
        <f t="shared" si="19"/>
        <v>23183.899679933551</v>
      </c>
      <c r="J41" s="101">
        <f t="shared" si="19"/>
        <v>23183.899679933551</v>
      </c>
      <c r="K41" s="101">
        <f t="shared" si="19"/>
        <v>23183.899679933551</v>
      </c>
      <c r="L41" s="101">
        <f t="shared" si="19"/>
        <v>23183.899679933551</v>
      </c>
      <c r="M41" s="101">
        <f t="shared" si="19"/>
        <v>23183.899679933551</v>
      </c>
      <c r="N41" s="101">
        <f t="shared" si="19"/>
        <v>23183.899679933551</v>
      </c>
      <c r="O41" s="101">
        <f t="shared" si="19"/>
        <v>23183.899679933551</v>
      </c>
      <c r="P41" s="101">
        <f t="shared" si="19"/>
        <v>23183.899679933551</v>
      </c>
      <c r="Q41" s="101">
        <f t="shared" si="19"/>
        <v>23183.899679933551</v>
      </c>
      <c r="R41" s="101">
        <f t="shared" si="19"/>
        <v>23183.899679933551</v>
      </c>
      <c r="S41" s="101">
        <f t="shared" si="19"/>
        <v>23183.899679933551</v>
      </c>
      <c r="T41" s="101">
        <f t="shared" si="19"/>
        <v>23183.899679933551</v>
      </c>
      <c r="U41" s="101">
        <f t="shared" si="19"/>
        <v>23183.899679933551</v>
      </c>
      <c r="V41" s="101">
        <f t="shared" si="19"/>
        <v>23183.899679933551</v>
      </c>
      <c r="W41" s="101">
        <f t="shared" si="19"/>
        <v>23183.899679933551</v>
      </c>
      <c r="X41" s="101">
        <f t="shared" si="19"/>
        <v>23183.899679933551</v>
      </c>
      <c r="Y41" s="101">
        <f t="shared" si="19"/>
        <v>23183.899679933551</v>
      </c>
      <c r="Z41" s="101">
        <f t="shared" si="19"/>
        <v>23183.899679933551</v>
      </c>
      <c r="AA41" s="101">
        <f t="shared" si="19"/>
        <v>23183.899679933551</v>
      </c>
      <c r="AB41" s="101">
        <f t="shared" si="19"/>
        <v>23183.899679933551</v>
      </c>
      <c r="AC41" s="101">
        <f t="shared" si="19"/>
        <v>23183.899679933551</v>
      </c>
      <c r="AD41" s="101">
        <f t="shared" si="19"/>
        <v>23183.899679933551</v>
      </c>
      <c r="AE41" s="101">
        <f t="shared" si="19"/>
        <v>23183.899679933551</v>
      </c>
      <c r="AF41" s="101">
        <f t="shared" si="19"/>
        <v>23183.899679933551</v>
      </c>
      <c r="AG41" s="101">
        <f t="shared" si="19"/>
        <v>23183.899679933551</v>
      </c>
      <c r="AI41" s="197" t="s">
        <v>283</v>
      </c>
      <c r="AJ41" s="198" t="s">
        <v>422</v>
      </c>
      <c r="BD41" s="38"/>
      <c r="BE41" s="38"/>
      <c r="BF41" s="38"/>
      <c r="BG41" s="38"/>
      <c r="BH41" s="38"/>
      <c r="BI41" s="38"/>
      <c r="BJ41" s="38"/>
      <c r="BK41" s="38"/>
      <c r="BL41" s="112"/>
    </row>
    <row r="42" spans="1:64" outlineLevel="1">
      <c r="A42" t="s">
        <v>1367</v>
      </c>
      <c r="B42" s="51" t="s">
        <v>1399</v>
      </c>
      <c r="C42" s="246">
        <f t="shared" ref="C42:H42" si="20">C27*$C$36</f>
        <v>292645.58593913133</v>
      </c>
      <c r="D42" s="246">
        <f t="shared" si="20"/>
        <v>292645.58593913133</v>
      </c>
      <c r="E42" s="246">
        <f t="shared" si="20"/>
        <v>292645.58593913133</v>
      </c>
      <c r="F42" s="246">
        <f t="shared" si="20"/>
        <v>292645.58593913133</v>
      </c>
      <c r="G42" s="246">
        <f t="shared" si="20"/>
        <v>292645.58593913133</v>
      </c>
      <c r="H42" s="246">
        <f t="shared" si="20"/>
        <v>292645.58593913133</v>
      </c>
      <c r="I42" s="246">
        <f t="shared" ref="I42:AG43" si="21">I27*D36</f>
        <v>288124.21163637179</v>
      </c>
      <c r="J42" s="246">
        <f t="shared" si="21"/>
        <v>283602.8373336122</v>
      </c>
      <c r="K42" s="246">
        <f t="shared" si="21"/>
        <v>279081.46303085261</v>
      </c>
      <c r="L42" s="246">
        <f t="shared" si="21"/>
        <v>274560.08872809302</v>
      </c>
      <c r="M42" s="246">
        <f t="shared" si="21"/>
        <v>270038.71442533348</v>
      </c>
      <c r="N42" s="246">
        <f t="shared" si="21"/>
        <v>265517.34012257389</v>
      </c>
      <c r="O42" s="246">
        <f t="shared" si="21"/>
        <v>260995.96581981421</v>
      </c>
      <c r="P42" s="246">
        <f t="shared" si="21"/>
        <v>256474.59151705468</v>
      </c>
      <c r="Q42" s="246">
        <f t="shared" si="21"/>
        <v>251953.21721429512</v>
      </c>
      <c r="R42" s="246">
        <f t="shared" si="21"/>
        <v>247431.84291153552</v>
      </c>
      <c r="S42" s="246">
        <f t="shared" si="21"/>
        <v>244242.00602479899</v>
      </c>
      <c r="T42" s="246">
        <f t="shared" si="21"/>
        <v>241052.16913806251</v>
      </c>
      <c r="U42" s="246">
        <f t="shared" si="21"/>
        <v>237862.33225132595</v>
      </c>
      <c r="V42" s="246">
        <f t="shared" si="21"/>
        <v>234672.49536458938</v>
      </c>
      <c r="W42" s="246">
        <f t="shared" si="21"/>
        <v>231482.65847785285</v>
      </c>
      <c r="X42" s="246">
        <f t="shared" si="21"/>
        <v>228292.82159111637</v>
      </c>
      <c r="Y42" s="246">
        <f t="shared" si="21"/>
        <v>225102.98470437981</v>
      </c>
      <c r="Z42" s="246">
        <f t="shared" si="21"/>
        <v>221913.14781764327</v>
      </c>
      <c r="AA42" s="246">
        <f t="shared" si="21"/>
        <v>218723.31093090671</v>
      </c>
      <c r="AB42" s="246">
        <f t="shared" si="21"/>
        <v>215533.47404417023</v>
      </c>
      <c r="AC42" s="246">
        <f t="shared" si="21"/>
        <v>211685.18458907062</v>
      </c>
      <c r="AD42" s="246">
        <f t="shared" si="21"/>
        <v>207836.89513397103</v>
      </c>
      <c r="AE42" s="246">
        <f t="shared" si="21"/>
        <v>203988.60567887148</v>
      </c>
      <c r="AF42" s="246">
        <f t="shared" si="21"/>
        <v>200140.31622377192</v>
      </c>
      <c r="AG42" s="246">
        <f t="shared" si="21"/>
        <v>196292.02676867234</v>
      </c>
      <c r="AI42" s="197" t="s">
        <v>284</v>
      </c>
      <c r="AJ42" s="198" t="s">
        <v>422</v>
      </c>
      <c r="AL42" s="5"/>
      <c r="AM42" s="103"/>
      <c r="AN42" s="103"/>
      <c r="AO42" s="103"/>
      <c r="BC42" s="1"/>
      <c r="BD42" s="112"/>
      <c r="BE42" s="112"/>
      <c r="BF42" s="112"/>
      <c r="BG42" s="112"/>
      <c r="BH42" s="112"/>
      <c r="BI42" s="112"/>
      <c r="BJ42" s="112"/>
      <c r="BK42" s="112"/>
      <c r="BL42" s="112"/>
    </row>
    <row r="43" spans="1:64" outlineLevel="1">
      <c r="A43" s="169" t="s">
        <v>1368</v>
      </c>
      <c r="B43" s="165" t="s">
        <v>1399</v>
      </c>
      <c r="C43" s="101">
        <f t="shared" ref="C43:H43" si="22">C28*$C$37</f>
        <v>277017.74804804276</v>
      </c>
      <c r="D43" s="101">
        <f t="shared" si="22"/>
        <v>277017.74804804276</v>
      </c>
      <c r="E43" s="101">
        <f t="shared" si="22"/>
        <v>277017.74804804276</v>
      </c>
      <c r="F43" s="101">
        <f t="shared" si="22"/>
        <v>277017.74804804276</v>
      </c>
      <c r="G43" s="101">
        <f t="shared" si="22"/>
        <v>277017.74804804276</v>
      </c>
      <c r="H43" s="101">
        <f t="shared" si="22"/>
        <v>277017.74804804276</v>
      </c>
      <c r="I43" s="101">
        <f t="shared" si="21"/>
        <v>276103.58947948425</v>
      </c>
      <c r="J43" s="101">
        <f t="shared" si="21"/>
        <v>275189.43091092567</v>
      </c>
      <c r="K43" s="101">
        <f t="shared" si="21"/>
        <v>274275.27234236716</v>
      </c>
      <c r="L43" s="101">
        <f t="shared" si="21"/>
        <v>273361.11377380858</v>
      </c>
      <c r="M43" s="101">
        <f t="shared" si="21"/>
        <v>272446.95520525007</v>
      </c>
      <c r="N43" s="101">
        <f t="shared" si="21"/>
        <v>271532.79663669149</v>
      </c>
      <c r="O43" s="101">
        <f t="shared" si="21"/>
        <v>270618.63806813298</v>
      </c>
      <c r="P43" s="101">
        <f t="shared" si="21"/>
        <v>269704.47949957446</v>
      </c>
      <c r="Q43" s="101">
        <f t="shared" si="21"/>
        <v>268790.32093101589</v>
      </c>
      <c r="R43" s="101">
        <f t="shared" si="21"/>
        <v>267876.16236245737</v>
      </c>
      <c r="S43" s="101">
        <f t="shared" si="21"/>
        <v>266962.0037938988</v>
      </c>
      <c r="T43" s="101">
        <f t="shared" si="21"/>
        <v>266047.84522534028</v>
      </c>
      <c r="U43" s="101">
        <f t="shared" si="21"/>
        <v>265133.68665678171</v>
      </c>
      <c r="V43" s="101">
        <f t="shared" si="21"/>
        <v>264219.52808822319</v>
      </c>
      <c r="W43" s="101">
        <f t="shared" si="21"/>
        <v>263305.36951966461</v>
      </c>
      <c r="X43" s="101">
        <f t="shared" si="21"/>
        <v>262391.2109511061</v>
      </c>
      <c r="Y43" s="101">
        <f t="shared" si="21"/>
        <v>261477.05238254758</v>
      </c>
      <c r="Z43" s="101">
        <f t="shared" si="21"/>
        <v>260562.89381398901</v>
      </c>
      <c r="AA43" s="101">
        <f t="shared" si="21"/>
        <v>259648.73524543049</v>
      </c>
      <c r="AB43" s="101">
        <f t="shared" si="21"/>
        <v>258734.57667687192</v>
      </c>
      <c r="AC43" s="101">
        <f t="shared" si="21"/>
        <v>257792.71633350855</v>
      </c>
      <c r="AD43" s="101">
        <f t="shared" si="21"/>
        <v>256850.85599014527</v>
      </c>
      <c r="AE43" s="101">
        <f t="shared" si="21"/>
        <v>255908.9956467819</v>
      </c>
      <c r="AF43" s="101">
        <f t="shared" si="21"/>
        <v>254967.13530341856</v>
      </c>
      <c r="AG43" s="101">
        <f t="shared" si="21"/>
        <v>254025.27496005519</v>
      </c>
      <c r="AI43" s="197" t="s">
        <v>284</v>
      </c>
      <c r="AJ43" s="198" t="s">
        <v>422</v>
      </c>
      <c r="AL43" s="102"/>
      <c r="AM43" s="2"/>
      <c r="AN43" s="2"/>
      <c r="AO43" s="2"/>
    </row>
    <row r="44" spans="1:64" s="1" customFormat="1" ht="15.5" thickBot="1">
      <c r="A44" s="187" t="s">
        <v>1369</v>
      </c>
      <c r="B44" s="202" t="s">
        <v>1399</v>
      </c>
      <c r="C44" s="203">
        <f>SUM(C39:C43)</f>
        <v>1096194.5752629088</v>
      </c>
      <c r="D44" s="203">
        <f t="shared" ref="D44:AF44" si="23">SUM(D39:D43)</f>
        <v>1092988.2255996172</v>
      </c>
      <c r="E44" s="203">
        <f t="shared" si="23"/>
        <v>1087889.1264779917</v>
      </c>
      <c r="F44" s="203">
        <f t="shared" si="23"/>
        <v>1083736.4020855331</v>
      </c>
      <c r="G44" s="203">
        <f t="shared" si="23"/>
        <v>1079583.6776930746</v>
      </c>
      <c r="H44" s="203">
        <f t="shared" si="23"/>
        <v>1075430.9533006162</v>
      </c>
      <c r="I44" s="203">
        <f t="shared" si="23"/>
        <v>1065842.6960368394</v>
      </c>
      <c r="J44" s="203">
        <f t="shared" si="23"/>
        <v>1056254.4387730628</v>
      </c>
      <c r="K44" s="203">
        <f t="shared" si="23"/>
        <v>1046666.1815092859</v>
      </c>
      <c r="L44" s="203">
        <f t="shared" si="23"/>
        <v>1037077.9242455093</v>
      </c>
      <c r="M44" s="203">
        <f t="shared" si="23"/>
        <v>1027489.6669817327</v>
      </c>
      <c r="N44" s="203">
        <f t="shared" si="23"/>
        <v>1012974.8058239014</v>
      </c>
      <c r="O44" s="203">
        <f t="shared" si="23"/>
        <v>998459.94466606993</v>
      </c>
      <c r="P44" s="203">
        <f t="shared" si="23"/>
        <v>983914.96726017701</v>
      </c>
      <c r="Q44" s="203">
        <f t="shared" si="23"/>
        <v>969369.52876060817</v>
      </c>
      <c r="R44" s="203">
        <f t="shared" si="23"/>
        <v>954823.62916736316</v>
      </c>
      <c r="S44" s="203">
        <f t="shared" si="23"/>
        <v>941608.8058964652</v>
      </c>
      <c r="T44" s="203">
        <f t="shared" si="23"/>
        <v>928393.52153189108</v>
      </c>
      <c r="U44" s="203">
        <f t="shared" si="23"/>
        <v>915177.77607364114</v>
      </c>
      <c r="V44" s="203">
        <f t="shared" si="23"/>
        <v>901961.56952171505</v>
      </c>
      <c r="W44" s="203">
        <f t="shared" si="23"/>
        <v>888744.90187611291</v>
      </c>
      <c r="X44" s="203">
        <f t="shared" si="23"/>
        <v>875412.56207520468</v>
      </c>
      <c r="Y44" s="203">
        <f t="shared" si="23"/>
        <v>862079.76118062017</v>
      </c>
      <c r="Z44" s="203">
        <f t="shared" si="23"/>
        <v>848634.46623724408</v>
      </c>
      <c r="AA44" s="203">
        <f t="shared" si="23"/>
        <v>835185.71309129766</v>
      </c>
      <c r="AB44" s="203">
        <f t="shared" si="23"/>
        <v>821733.50174278114</v>
      </c>
      <c r="AC44" s="203">
        <f t="shared" si="23"/>
        <v>807591.67784852651</v>
      </c>
      <c r="AD44" s="203">
        <f t="shared" si="23"/>
        <v>793446.39575170213</v>
      </c>
      <c r="AE44" s="203">
        <f t="shared" si="23"/>
        <v>779297.6554523072</v>
      </c>
      <c r="AF44" s="203">
        <f t="shared" si="23"/>
        <v>765145.45695034228</v>
      </c>
      <c r="AG44" s="203">
        <f>SUM(AG39:AG43)</f>
        <v>750989.80024580704</v>
      </c>
      <c r="AJ44" s="151"/>
      <c r="AL44" s="207"/>
      <c r="AM44" s="118"/>
      <c r="AN44" s="118"/>
      <c r="AO44" s="118"/>
    </row>
    <row r="45" spans="1:64" ht="15.5" thickTop="1">
      <c r="B45" s="165"/>
      <c r="C45" s="196"/>
      <c r="D45" s="196"/>
      <c r="E45" s="196"/>
      <c r="F45" s="196"/>
      <c r="G45" s="196"/>
      <c r="H45" s="196"/>
      <c r="I45" s="196"/>
      <c r="J45" s="196"/>
      <c r="K45" s="196"/>
      <c r="L45" s="196"/>
      <c r="M45" s="196"/>
      <c r="N45" s="196"/>
      <c r="O45" s="196"/>
      <c r="P45" s="196"/>
      <c r="Q45" s="196"/>
      <c r="R45" s="196"/>
      <c r="S45" s="196"/>
      <c r="T45" s="196"/>
      <c r="U45" s="196"/>
      <c r="V45" s="196"/>
      <c r="W45" s="196"/>
      <c r="X45" s="196"/>
      <c r="Y45" s="196"/>
      <c r="Z45" s="196"/>
      <c r="AA45" s="196"/>
      <c r="AB45" s="196"/>
      <c r="AC45" s="196"/>
      <c r="AD45" s="196"/>
      <c r="AE45" s="196"/>
      <c r="AF45" s="196"/>
      <c r="AG45" s="196"/>
      <c r="AL45" s="102"/>
      <c r="AM45" s="2"/>
      <c r="AN45" s="2"/>
      <c r="AO45" s="2"/>
    </row>
    <row r="46" spans="1:64" s="187" customFormat="1" ht="15.5" thickBot="1">
      <c r="A46" s="187" t="s">
        <v>431</v>
      </c>
      <c r="B46" s="202" t="s">
        <v>126</v>
      </c>
      <c r="C46" s="208">
        <f>C49</f>
        <v>0.14200000000000002</v>
      </c>
      <c r="D46" s="208">
        <f t="shared" ref="D46:AG46" si="24">D49</f>
        <v>0.14849999999999999</v>
      </c>
      <c r="E46" s="208">
        <f t="shared" si="24"/>
        <v>0.155</v>
      </c>
      <c r="F46" s="208">
        <f t="shared" si="24"/>
        <v>0.16149999999999998</v>
      </c>
      <c r="G46" s="208">
        <f t="shared" si="24"/>
        <v>0.16800000000000001</v>
      </c>
      <c r="H46" s="208">
        <f t="shared" si="24"/>
        <v>0.17449999999999999</v>
      </c>
      <c r="I46" s="208">
        <f t="shared" si="24"/>
        <v>0.18099999999999999</v>
      </c>
      <c r="J46" s="208">
        <f t="shared" si="24"/>
        <v>0.1875</v>
      </c>
      <c r="K46" s="208">
        <f t="shared" si="24"/>
        <v>0.19400000000000001</v>
      </c>
      <c r="L46" s="208">
        <f t="shared" si="24"/>
        <v>0.20050000000000001</v>
      </c>
      <c r="M46" s="208">
        <f t="shared" si="24"/>
        <v>0.20700000000000002</v>
      </c>
      <c r="N46" s="208">
        <f t="shared" si="24"/>
        <v>0.22070000000000001</v>
      </c>
      <c r="O46" s="208">
        <f t="shared" si="24"/>
        <v>0.2344</v>
      </c>
      <c r="P46" s="208">
        <f t="shared" si="24"/>
        <v>0.24809999999999999</v>
      </c>
      <c r="Q46" s="208">
        <f t="shared" si="24"/>
        <v>0.26179999999999998</v>
      </c>
      <c r="R46" s="208">
        <f t="shared" si="24"/>
        <v>0.27549999999999997</v>
      </c>
      <c r="S46" s="208">
        <f t="shared" si="24"/>
        <v>0.28920000000000001</v>
      </c>
      <c r="T46" s="208">
        <f t="shared" si="24"/>
        <v>0.3029</v>
      </c>
      <c r="U46" s="208">
        <f t="shared" si="24"/>
        <v>0.31659999999999999</v>
      </c>
      <c r="V46" s="208">
        <f t="shared" si="24"/>
        <v>0.33030000000000004</v>
      </c>
      <c r="W46" s="208">
        <f t="shared" si="24"/>
        <v>0.34399999999999997</v>
      </c>
      <c r="X46" s="208">
        <f t="shared" si="24"/>
        <v>0.36692262658227848</v>
      </c>
      <c r="Y46" s="208">
        <f t="shared" si="24"/>
        <v>0.38984525316455698</v>
      </c>
      <c r="Z46" s="208">
        <f t="shared" si="24"/>
        <v>0.41276787974683543</v>
      </c>
      <c r="AA46" s="208">
        <f t="shared" si="24"/>
        <v>0.43569050632911388</v>
      </c>
      <c r="AB46" s="208">
        <f t="shared" si="24"/>
        <v>0.45861313291139238</v>
      </c>
      <c r="AC46" s="208">
        <f t="shared" si="24"/>
        <v>0.48153575949367089</v>
      </c>
      <c r="AD46" s="208">
        <f t="shared" si="24"/>
        <v>0.50445838607594939</v>
      </c>
      <c r="AE46" s="208">
        <f t="shared" si="24"/>
        <v>0.5273810126582279</v>
      </c>
      <c r="AF46" s="208">
        <f t="shared" si="24"/>
        <v>0.55030363924050629</v>
      </c>
      <c r="AG46" s="208">
        <f t="shared" si="24"/>
        <v>0.5732262658227848</v>
      </c>
      <c r="AJ46" s="217" t="s">
        <v>473</v>
      </c>
      <c r="AL46" s="204"/>
      <c r="AM46" s="205"/>
      <c r="AN46" s="205"/>
      <c r="AO46" s="205"/>
    </row>
    <row r="47" spans="1:64" ht="15.5" outlineLevel="1" thickTop="1">
      <c r="A47" t="s">
        <v>423</v>
      </c>
      <c r="B47" s="51" t="s">
        <v>126</v>
      </c>
      <c r="C47" s="107">
        <v>4.7E-2</v>
      </c>
      <c r="D47" s="104">
        <f>$C47+($M47-$C47)/10*(D$1-$C$1)</f>
        <v>5.0200000000000002E-2</v>
      </c>
      <c r="E47" s="104">
        <f t="shared" ref="E47:L48" si="25">$C47+($M47-$C47)/10*(E$1-$C$1)</f>
        <v>5.3400000000000003E-2</v>
      </c>
      <c r="F47" s="104">
        <f t="shared" si="25"/>
        <v>5.6599999999999998E-2</v>
      </c>
      <c r="G47" s="104">
        <f t="shared" si="25"/>
        <v>5.9799999999999999E-2</v>
      </c>
      <c r="H47" s="104">
        <f t="shared" si="25"/>
        <v>6.3E-2</v>
      </c>
      <c r="I47" s="104">
        <f t="shared" si="25"/>
        <v>6.6200000000000009E-2</v>
      </c>
      <c r="J47" s="104">
        <f t="shared" si="25"/>
        <v>6.9400000000000003E-2</v>
      </c>
      <c r="K47" s="104">
        <f t="shared" si="25"/>
        <v>7.2599999999999998E-2</v>
      </c>
      <c r="L47" s="104">
        <f t="shared" si="25"/>
        <v>7.5800000000000006E-2</v>
      </c>
      <c r="M47" s="107">
        <v>7.9000000000000001E-2</v>
      </c>
      <c r="N47" s="104">
        <f>$M47+($W47-$M47)/10*(N$1-$M$1)</f>
        <v>8.5100000000000009E-2</v>
      </c>
      <c r="O47" s="104">
        <f t="shared" ref="O47:U48" si="26">$M47+($W47-$M47)/10*(O$1-$M$1)</f>
        <v>9.1200000000000003E-2</v>
      </c>
      <c r="P47" s="104">
        <f t="shared" si="26"/>
        <v>9.7299999999999998E-2</v>
      </c>
      <c r="Q47" s="104">
        <f t="shared" si="26"/>
        <v>0.10340000000000001</v>
      </c>
      <c r="R47" s="104">
        <f t="shared" si="26"/>
        <v>0.10950000000000001</v>
      </c>
      <c r="S47" s="104">
        <f t="shared" si="26"/>
        <v>0.11560000000000001</v>
      </c>
      <c r="T47" s="104">
        <f t="shared" si="26"/>
        <v>0.1217</v>
      </c>
      <c r="U47" s="104">
        <f t="shared" si="26"/>
        <v>0.12780000000000002</v>
      </c>
      <c r="V47" s="104">
        <f>$M47+($W47-$M47)/10*(V$1-$M$1)</f>
        <v>0.13390000000000002</v>
      </c>
      <c r="W47" s="107">
        <v>0.14000000000000001</v>
      </c>
      <c r="X47" s="104">
        <f>$W47+($AG47-$W47)/10*(X$1-$W$1)</f>
        <v>0.15081012658227849</v>
      </c>
      <c r="Y47" s="104">
        <f t="shared" ref="Y47:AF48" si="27">$W47+($AG47-$W47)/10*(Y$1-$W$1)</f>
        <v>0.16162025316455697</v>
      </c>
      <c r="Z47" s="104">
        <f t="shared" si="27"/>
        <v>0.17243037974683545</v>
      </c>
      <c r="AA47" s="104">
        <f t="shared" si="27"/>
        <v>0.18324050632911396</v>
      </c>
      <c r="AB47" s="104">
        <f t="shared" si="27"/>
        <v>0.19405063291139243</v>
      </c>
      <c r="AC47" s="104">
        <f t="shared" si="27"/>
        <v>0.20486075949367091</v>
      </c>
      <c r="AD47" s="104">
        <f t="shared" si="27"/>
        <v>0.21567088607594942</v>
      </c>
      <c r="AE47" s="104">
        <f t="shared" si="27"/>
        <v>0.2264810126582279</v>
      </c>
      <c r="AF47" s="104">
        <f t="shared" si="27"/>
        <v>0.23729113924050638</v>
      </c>
      <c r="AG47" s="104">
        <f>(W47/M47)*W47</f>
        <v>0.24810126582278486</v>
      </c>
      <c r="AI47" s="126"/>
      <c r="AJ47" s="198" t="s">
        <v>484</v>
      </c>
      <c r="AL47" s="102"/>
      <c r="AM47" s="2"/>
      <c r="AN47" s="2"/>
      <c r="AO47" s="2"/>
      <c r="AV47" s="38"/>
    </row>
    <row r="48" spans="1:64" outlineLevel="1">
      <c r="A48" t="s">
        <v>425</v>
      </c>
      <c r="B48" s="51" t="s">
        <v>126</v>
      </c>
      <c r="C48" s="107">
        <v>9.5000000000000001E-2</v>
      </c>
      <c r="D48" s="104">
        <f>$C48+($M48-$C48)/10*(D$1-$C$1)</f>
        <v>9.8299999999999998E-2</v>
      </c>
      <c r="E48" s="104">
        <f t="shared" si="25"/>
        <v>0.1016</v>
      </c>
      <c r="F48" s="104">
        <f t="shared" si="25"/>
        <v>0.10489999999999999</v>
      </c>
      <c r="G48" s="104">
        <f t="shared" si="25"/>
        <v>0.1082</v>
      </c>
      <c r="H48" s="104">
        <f t="shared" si="25"/>
        <v>0.1115</v>
      </c>
      <c r="I48" s="104">
        <f t="shared" si="25"/>
        <v>0.1148</v>
      </c>
      <c r="J48" s="104">
        <f t="shared" si="25"/>
        <v>0.1181</v>
      </c>
      <c r="K48" s="104">
        <f t="shared" si="25"/>
        <v>0.12140000000000001</v>
      </c>
      <c r="L48" s="104">
        <f t="shared" si="25"/>
        <v>0.12470000000000001</v>
      </c>
      <c r="M48" s="107">
        <v>0.128</v>
      </c>
      <c r="N48" s="104">
        <f>$M48+($W48-$M48)/10*(N$1-$M$1)</f>
        <v>0.1356</v>
      </c>
      <c r="O48" s="104">
        <f t="shared" si="26"/>
        <v>0.14319999999999999</v>
      </c>
      <c r="P48" s="104">
        <f t="shared" si="26"/>
        <v>0.15079999999999999</v>
      </c>
      <c r="Q48" s="104">
        <f t="shared" si="26"/>
        <v>0.15839999999999999</v>
      </c>
      <c r="R48" s="104">
        <f t="shared" si="26"/>
        <v>0.16599999999999998</v>
      </c>
      <c r="S48" s="104">
        <f t="shared" si="26"/>
        <v>0.17359999999999998</v>
      </c>
      <c r="T48" s="104">
        <f t="shared" si="26"/>
        <v>0.1812</v>
      </c>
      <c r="U48" s="104">
        <f t="shared" si="26"/>
        <v>0.1888</v>
      </c>
      <c r="V48" s="104">
        <f>$M48+($W48-$M48)/10*(V$1-$M$1)</f>
        <v>0.19639999999999999</v>
      </c>
      <c r="W48" s="107">
        <v>0.20399999999999999</v>
      </c>
      <c r="X48" s="104">
        <f>$W48+($AG48-$W48)/10*(X$1-$W$1)</f>
        <v>0.21611249999999999</v>
      </c>
      <c r="Y48" s="104">
        <f t="shared" si="27"/>
        <v>0.22822499999999998</v>
      </c>
      <c r="Z48" s="104">
        <f t="shared" si="27"/>
        <v>0.24033749999999998</v>
      </c>
      <c r="AA48" s="104">
        <f t="shared" si="27"/>
        <v>0.25244999999999995</v>
      </c>
      <c r="AB48" s="104">
        <f t="shared" si="27"/>
        <v>0.26456249999999998</v>
      </c>
      <c r="AC48" s="104">
        <f t="shared" si="27"/>
        <v>0.27667499999999995</v>
      </c>
      <c r="AD48" s="104">
        <f t="shared" si="27"/>
        <v>0.28878749999999997</v>
      </c>
      <c r="AE48" s="104">
        <f t="shared" si="27"/>
        <v>0.30089999999999995</v>
      </c>
      <c r="AF48" s="104">
        <f t="shared" si="27"/>
        <v>0.31301249999999992</v>
      </c>
      <c r="AG48" s="104">
        <f>(W48/M48)*W48</f>
        <v>0.32512499999999994</v>
      </c>
      <c r="AI48" s="126"/>
      <c r="AJ48" s="198" t="s">
        <v>484</v>
      </c>
      <c r="AL48" s="102"/>
      <c r="AM48" s="2"/>
      <c r="AN48" s="2"/>
      <c r="AO48" s="2"/>
      <c r="AV48" s="38"/>
    </row>
    <row r="49" spans="1:63" outlineLevel="1">
      <c r="A49" t="s">
        <v>424</v>
      </c>
      <c r="B49" s="165" t="s">
        <v>126</v>
      </c>
      <c r="C49" s="104">
        <f>C47+C48</f>
        <v>0.14200000000000002</v>
      </c>
      <c r="D49" s="104">
        <f t="shared" ref="D49:AF49" si="28">D47+D48</f>
        <v>0.14849999999999999</v>
      </c>
      <c r="E49" s="104">
        <f t="shared" si="28"/>
        <v>0.155</v>
      </c>
      <c r="F49" s="104">
        <f t="shared" si="28"/>
        <v>0.16149999999999998</v>
      </c>
      <c r="G49" s="104">
        <f t="shared" si="28"/>
        <v>0.16800000000000001</v>
      </c>
      <c r="H49" s="104">
        <f t="shared" si="28"/>
        <v>0.17449999999999999</v>
      </c>
      <c r="I49" s="104">
        <f t="shared" si="28"/>
        <v>0.18099999999999999</v>
      </c>
      <c r="J49" s="104">
        <f t="shared" si="28"/>
        <v>0.1875</v>
      </c>
      <c r="K49" s="104">
        <f t="shared" si="28"/>
        <v>0.19400000000000001</v>
      </c>
      <c r="L49" s="104">
        <f t="shared" si="28"/>
        <v>0.20050000000000001</v>
      </c>
      <c r="M49" s="104">
        <f t="shared" si="28"/>
        <v>0.20700000000000002</v>
      </c>
      <c r="N49" s="104">
        <f t="shared" si="28"/>
        <v>0.22070000000000001</v>
      </c>
      <c r="O49" s="104">
        <f t="shared" si="28"/>
        <v>0.2344</v>
      </c>
      <c r="P49" s="104">
        <f t="shared" si="28"/>
        <v>0.24809999999999999</v>
      </c>
      <c r="Q49" s="104">
        <f t="shared" si="28"/>
        <v>0.26179999999999998</v>
      </c>
      <c r="R49" s="104">
        <f t="shared" si="28"/>
        <v>0.27549999999999997</v>
      </c>
      <c r="S49" s="104">
        <f t="shared" si="28"/>
        <v>0.28920000000000001</v>
      </c>
      <c r="T49" s="104">
        <f t="shared" si="28"/>
        <v>0.3029</v>
      </c>
      <c r="U49" s="104">
        <f t="shared" si="28"/>
        <v>0.31659999999999999</v>
      </c>
      <c r="V49" s="104">
        <f t="shared" si="28"/>
        <v>0.33030000000000004</v>
      </c>
      <c r="W49" s="104">
        <f t="shared" si="28"/>
        <v>0.34399999999999997</v>
      </c>
      <c r="X49" s="104">
        <f t="shared" si="28"/>
        <v>0.36692262658227848</v>
      </c>
      <c r="Y49" s="104">
        <f t="shared" si="28"/>
        <v>0.38984525316455698</v>
      </c>
      <c r="Z49" s="104">
        <f t="shared" si="28"/>
        <v>0.41276787974683543</v>
      </c>
      <c r="AA49" s="104">
        <f t="shared" si="28"/>
        <v>0.43569050632911388</v>
      </c>
      <c r="AB49" s="104">
        <f t="shared" si="28"/>
        <v>0.45861313291139238</v>
      </c>
      <c r="AC49" s="104">
        <f t="shared" si="28"/>
        <v>0.48153575949367089</v>
      </c>
      <c r="AD49" s="104">
        <f t="shared" si="28"/>
        <v>0.50445838607594939</v>
      </c>
      <c r="AE49" s="104">
        <f t="shared" si="28"/>
        <v>0.5273810126582279</v>
      </c>
      <c r="AF49" s="104">
        <f t="shared" si="28"/>
        <v>0.55030363924050629</v>
      </c>
      <c r="AG49" s="104">
        <f>AG47+AG48</f>
        <v>0.5732262658227848</v>
      </c>
      <c r="AI49" s="126"/>
      <c r="AJ49" s="198"/>
      <c r="AL49" s="102"/>
      <c r="AM49" s="2"/>
      <c r="AN49" s="2"/>
      <c r="AO49" s="2"/>
    </row>
    <row r="50" spans="1:63" outlineLevel="1">
      <c r="C50" s="107"/>
      <c r="D50" s="104"/>
      <c r="E50" s="104"/>
      <c r="F50" s="104"/>
      <c r="G50" s="104"/>
      <c r="H50" s="104"/>
      <c r="I50" s="104"/>
      <c r="J50" s="104"/>
      <c r="K50" s="104"/>
      <c r="L50" s="104"/>
      <c r="M50" s="107"/>
      <c r="N50" s="104"/>
      <c r="O50" s="104"/>
      <c r="P50" s="104"/>
      <c r="Q50" s="104"/>
      <c r="R50" s="104"/>
      <c r="S50" s="104"/>
      <c r="T50" s="104"/>
      <c r="U50" s="104"/>
      <c r="V50" s="104"/>
      <c r="W50" s="107"/>
      <c r="X50" s="104"/>
      <c r="Y50" s="104"/>
      <c r="Z50" s="104"/>
      <c r="AA50" s="104"/>
      <c r="AB50" s="104"/>
      <c r="AC50" s="104"/>
      <c r="AD50" s="104"/>
      <c r="AE50" s="104"/>
      <c r="AF50" s="104"/>
      <c r="AG50" s="107"/>
      <c r="AI50" s="126"/>
      <c r="AJ50" s="198"/>
      <c r="AL50" s="102"/>
      <c r="AM50" s="2"/>
      <c r="AN50" s="2"/>
      <c r="AO50" s="2"/>
      <c r="AV50" s="38"/>
    </row>
    <row r="51" spans="1:63" outlineLevel="1">
      <c r="A51" t="s">
        <v>438</v>
      </c>
      <c r="B51" s="51" t="s">
        <v>126</v>
      </c>
      <c r="C51" s="104">
        <f>'Ethylene Recycling HC'!C54</f>
        <v>0.11499935012302656</v>
      </c>
      <c r="D51" s="104">
        <f>'Ethylene Recycling HC'!D54</f>
        <v>0.11283270511892568</v>
      </c>
      <c r="E51" s="104">
        <f>'Ethylene Recycling HC'!E54</f>
        <v>0.1106660601148248</v>
      </c>
      <c r="F51" s="104">
        <f>'Ethylene Recycling HC'!F54</f>
        <v>0.10849941511072392</v>
      </c>
      <c r="G51" s="104">
        <f>'Ethylene Recycling HC'!G54</f>
        <v>0.10633277010662304</v>
      </c>
      <c r="H51" s="104">
        <f>'Ethylene Recycling HC'!H54</f>
        <v>0.10416612510252216</v>
      </c>
      <c r="I51" s="104">
        <f>'Ethylene Recycling HC'!I54</f>
        <v>0.10199948009842127</v>
      </c>
      <c r="J51" s="104">
        <f>'Ethylene Recycling HC'!J54</f>
        <v>9.9832835094320393E-2</v>
      </c>
      <c r="K51" s="104">
        <f>'Ethylene Recycling HC'!K54</f>
        <v>9.7666190090219512E-2</v>
      </c>
      <c r="L51" s="104">
        <f>'Ethylene Recycling HC'!L54</f>
        <v>9.5499545086118631E-2</v>
      </c>
      <c r="M51" s="104">
        <f>'Ethylene Recycling HC'!M54</f>
        <v>9.333290008201775E-2</v>
      </c>
      <c r="N51" s="104">
        <f>'Ethylene Recycling HC'!N54</f>
        <v>9.1166255077916869E-2</v>
      </c>
      <c r="O51" s="104">
        <f>'Ethylene Recycling HC'!O54</f>
        <v>8.8999610073815988E-2</v>
      </c>
      <c r="P51" s="104">
        <f>'Ethylene Recycling HC'!P54</f>
        <v>8.6832965069715107E-2</v>
      </c>
      <c r="Q51" s="104">
        <f>'Ethylene Recycling HC'!Q54</f>
        <v>8.4666320065614226E-2</v>
      </c>
      <c r="R51" s="104">
        <f>'Ethylene Recycling HC'!R54</f>
        <v>8.2499675061513345E-2</v>
      </c>
      <c r="S51" s="104">
        <f>'Ethylene Recycling HC'!S54</f>
        <v>8.0333030057412463E-2</v>
      </c>
      <c r="T51" s="104">
        <f>'Ethylene Recycling HC'!T54</f>
        <v>7.8166385053311582E-2</v>
      </c>
      <c r="U51" s="104">
        <f>'Ethylene Recycling HC'!U54</f>
        <v>7.5999740049210701E-2</v>
      </c>
      <c r="V51" s="104">
        <f>'Ethylene Recycling HC'!V54</f>
        <v>7.383309504510982E-2</v>
      </c>
      <c r="W51" s="104">
        <f>'Ethylene Recycling HC'!W54</f>
        <v>7.1666450041008939E-2</v>
      </c>
      <c r="X51" s="104">
        <f>'Ethylene Recycling HC'!X54</f>
        <v>6.9499805036908058E-2</v>
      </c>
      <c r="Y51" s="104">
        <f>'Ethylene Recycling HC'!Y54</f>
        <v>6.7333160032807177E-2</v>
      </c>
      <c r="Z51" s="104">
        <f>'Ethylene Recycling HC'!Z54</f>
        <v>6.5166515028706296E-2</v>
      </c>
      <c r="AA51" s="104">
        <f>'Ethylene Recycling HC'!AA54</f>
        <v>6.2999870024605414E-2</v>
      </c>
      <c r="AB51" s="104">
        <f>'Ethylene Recycling HC'!AB54</f>
        <v>6.0833225020504526E-2</v>
      </c>
      <c r="AC51" s="104">
        <f>'Ethylene Recycling HC'!AC54</f>
        <v>5.8666580016403638E-2</v>
      </c>
      <c r="AD51" s="104">
        <f>'Ethylene Recycling HC'!AD54</f>
        <v>5.649993501230275E-2</v>
      </c>
      <c r="AE51" s="104">
        <f>'Ethylene Recycling HC'!AE54</f>
        <v>5.4333290008201862E-2</v>
      </c>
      <c r="AF51" s="104">
        <f>'Ethylene Recycling HC'!AF54</f>
        <v>5.2166645004100974E-2</v>
      </c>
      <c r="AG51" s="104">
        <f>'Ethylene Recycling HC'!AG54</f>
        <v>0.05</v>
      </c>
      <c r="AI51" s="126"/>
      <c r="AJ51" s="198" t="s">
        <v>832</v>
      </c>
      <c r="AL51" s="102"/>
      <c r="AM51" s="2"/>
      <c r="AN51" s="2"/>
      <c r="AO51" s="2"/>
      <c r="AV51" s="38"/>
    </row>
    <row r="52" spans="1:63" outlineLevel="1">
      <c r="A52" t="s">
        <v>439</v>
      </c>
      <c r="C52" s="104">
        <f>'Ethylene Recycling HC'!C55</f>
        <v>0.13791632052401978</v>
      </c>
      <c r="D52" s="104">
        <f>'Ethylene Recycling HC'!D55</f>
        <v>0.13791632052401978</v>
      </c>
      <c r="E52" s="104">
        <f>'Ethylene Recycling HC'!E55</f>
        <v>0.13791632052401978</v>
      </c>
      <c r="F52" s="104">
        <f>'Ethylene Recycling HC'!F55</f>
        <v>0.13791632052401978</v>
      </c>
      <c r="G52" s="104">
        <f>'Ethylene Recycling HC'!G55</f>
        <v>0.13791632052401978</v>
      </c>
      <c r="H52" s="104">
        <f>'Ethylene Recycling HC'!H55</f>
        <v>0.13791632052401978</v>
      </c>
      <c r="I52" s="104">
        <f>'Ethylene Recycling HC'!I55</f>
        <v>0.13791632052401978</v>
      </c>
      <c r="J52" s="104">
        <f>'Ethylene Recycling HC'!J55</f>
        <v>0.13791632052401978</v>
      </c>
      <c r="K52" s="104">
        <f>'Ethylene Recycling HC'!K55</f>
        <v>0.13791632052401978</v>
      </c>
      <c r="L52" s="104">
        <f>'Ethylene Recycling HC'!L55</f>
        <v>0.13791632052401978</v>
      </c>
      <c r="M52" s="104">
        <f>'Ethylene Recycling HC'!M55</f>
        <v>0.13791632052401978</v>
      </c>
      <c r="N52" s="104">
        <f>'Ethylene Recycling HC'!N55</f>
        <v>0.13791632052401978</v>
      </c>
      <c r="O52" s="104">
        <f>'Ethylene Recycling HC'!O55</f>
        <v>0.13791632052401978</v>
      </c>
      <c r="P52" s="104">
        <f>'Ethylene Recycling HC'!P55</f>
        <v>0.13791632052401978</v>
      </c>
      <c r="Q52" s="104">
        <f>'Ethylene Recycling HC'!Q55</f>
        <v>0.13791632052401978</v>
      </c>
      <c r="R52" s="104">
        <f>'Ethylene Recycling HC'!R55</f>
        <v>0.13791632052401978</v>
      </c>
      <c r="S52" s="104">
        <f>'Ethylene Recycling HC'!S55</f>
        <v>0.13791632052401978</v>
      </c>
      <c r="T52" s="104">
        <f>'Ethylene Recycling HC'!T55</f>
        <v>0.13791632052401978</v>
      </c>
      <c r="U52" s="104">
        <f>'Ethylene Recycling HC'!U55</f>
        <v>0.13791632052401978</v>
      </c>
      <c r="V52" s="104">
        <f>'Ethylene Recycling HC'!V55</f>
        <v>0.13791632052401978</v>
      </c>
      <c r="W52" s="104">
        <f>'Ethylene Recycling HC'!W55</f>
        <v>0.13791632052401978</v>
      </c>
      <c r="X52" s="104">
        <f>'Ethylene Recycling HC'!X55</f>
        <v>0.13791632052401978</v>
      </c>
      <c r="Y52" s="104">
        <f>'Ethylene Recycling HC'!Y55</f>
        <v>0.13791632052401978</v>
      </c>
      <c r="Z52" s="104">
        <f>'Ethylene Recycling HC'!Z55</f>
        <v>0.13791632052401978</v>
      </c>
      <c r="AA52" s="104">
        <f>'Ethylene Recycling HC'!AA55</f>
        <v>0.13791632052401978</v>
      </c>
      <c r="AB52" s="104">
        <f>'Ethylene Recycling HC'!AB55</f>
        <v>0.13791632052401978</v>
      </c>
      <c r="AC52" s="104">
        <f>'Ethylene Recycling HC'!AC55</f>
        <v>0.13791632052401978</v>
      </c>
      <c r="AD52" s="104">
        <f>'Ethylene Recycling HC'!AD55</f>
        <v>0.13791632052401978</v>
      </c>
      <c r="AE52" s="104">
        <f>'Ethylene Recycling HC'!AE55</f>
        <v>0.13791632052401978</v>
      </c>
      <c r="AF52" s="104">
        <f>'Ethylene Recycling HC'!AF55</f>
        <v>0.13791632052401978</v>
      </c>
      <c r="AG52" s="104">
        <f>'Ethylene Recycling HC'!AG55</f>
        <v>0.13791632052401978</v>
      </c>
      <c r="AI52" s="126"/>
      <c r="AJ52" s="198" t="s">
        <v>832</v>
      </c>
      <c r="AL52" s="102"/>
      <c r="AM52" s="2"/>
      <c r="AN52" s="2"/>
      <c r="AO52" s="2"/>
      <c r="AV52" s="38"/>
    </row>
    <row r="53" spans="1:63" outlineLevel="1">
      <c r="A53" t="s">
        <v>831</v>
      </c>
      <c r="B53" s="51" t="s">
        <v>126</v>
      </c>
      <c r="C53" s="104">
        <f>'Ethylene Recycling HC'!C56</f>
        <v>0.10855071452136934</v>
      </c>
      <c r="D53" s="104">
        <f>'Ethylene Recycling HC'!D56</f>
        <v>0.10855071452136934</v>
      </c>
      <c r="E53" s="104">
        <f>'Ethylene Recycling HC'!E56</f>
        <v>0.10855071452136934</v>
      </c>
      <c r="F53" s="104">
        <f>'Ethylene Recycling HC'!F56</f>
        <v>0.10855071452136934</v>
      </c>
      <c r="G53" s="104">
        <f>'Ethylene Recycling HC'!G56</f>
        <v>0.10855071452136934</v>
      </c>
      <c r="H53" s="104">
        <f>'Ethylene Recycling HC'!H56</f>
        <v>0.10855071452136934</v>
      </c>
      <c r="I53" s="104">
        <f>'Ethylene Recycling HC'!I56</f>
        <v>0.10855071452136934</v>
      </c>
      <c r="J53" s="104">
        <f>'Ethylene Recycling HC'!J56</f>
        <v>0.10855071452136934</v>
      </c>
      <c r="K53" s="104">
        <f>'Ethylene Recycling HC'!K56</f>
        <v>0.10855071452136934</v>
      </c>
      <c r="L53" s="104">
        <f>'Ethylene Recycling HC'!L56</f>
        <v>0.10855071452136934</v>
      </c>
      <c r="M53" s="104">
        <f>'Ethylene Recycling HC'!M56</f>
        <v>0.10855071452136934</v>
      </c>
      <c r="N53" s="104">
        <f>'Ethylene Recycling HC'!N56</f>
        <v>0.10855071452136934</v>
      </c>
      <c r="O53" s="104">
        <f>'Ethylene Recycling HC'!O56</f>
        <v>0.10855071452136934</v>
      </c>
      <c r="P53" s="104">
        <f>'Ethylene Recycling HC'!P56</f>
        <v>0.10855071452136934</v>
      </c>
      <c r="Q53" s="104">
        <f>'Ethylene Recycling HC'!Q56</f>
        <v>0.10855071452136934</v>
      </c>
      <c r="R53" s="104">
        <f>'Ethylene Recycling HC'!R56</f>
        <v>0.10855071452136934</v>
      </c>
      <c r="S53" s="104">
        <f>'Ethylene Recycling HC'!S56</f>
        <v>0.10855071452136934</v>
      </c>
      <c r="T53" s="104">
        <f>'Ethylene Recycling HC'!T56</f>
        <v>0.10855071452136934</v>
      </c>
      <c r="U53" s="104">
        <f>'Ethylene Recycling HC'!U56</f>
        <v>0.10855071452136934</v>
      </c>
      <c r="V53" s="104">
        <f>'Ethylene Recycling HC'!V56</f>
        <v>0.10855071452136934</v>
      </c>
      <c r="W53" s="104">
        <f>'Ethylene Recycling HC'!W56</f>
        <v>0.10855071452136934</v>
      </c>
      <c r="X53" s="104">
        <f>'Ethylene Recycling HC'!X56</f>
        <v>0.10855071452136934</v>
      </c>
      <c r="Y53" s="104">
        <f>'Ethylene Recycling HC'!Y56</f>
        <v>0.10855071452136934</v>
      </c>
      <c r="Z53" s="104">
        <f>'Ethylene Recycling HC'!Z56</f>
        <v>0.10855071452136934</v>
      </c>
      <c r="AA53" s="104">
        <f>'Ethylene Recycling HC'!AA56</f>
        <v>0.10855071452136934</v>
      </c>
      <c r="AB53" s="104">
        <f>'Ethylene Recycling HC'!AB56</f>
        <v>0.10855071452136934</v>
      </c>
      <c r="AC53" s="104">
        <f>'Ethylene Recycling HC'!AC56</f>
        <v>0.10855071452136934</v>
      </c>
      <c r="AD53" s="104">
        <f>'Ethylene Recycling HC'!AD56</f>
        <v>0.10855071452136934</v>
      </c>
      <c r="AE53" s="104">
        <f>'Ethylene Recycling HC'!AE56</f>
        <v>0.10855071452136934</v>
      </c>
      <c r="AF53" s="104">
        <f>'Ethylene Recycling HC'!AF56</f>
        <v>0.10855071452136934</v>
      </c>
      <c r="AG53" s="104">
        <f>'Ethylene Recycling HC'!AG56</f>
        <v>0.10855071452136934</v>
      </c>
      <c r="AI53" s="126"/>
      <c r="AJ53" s="198" t="s">
        <v>832</v>
      </c>
      <c r="AL53" s="102"/>
      <c r="AM53" s="2"/>
      <c r="AN53" s="2"/>
      <c r="AO53" s="2"/>
      <c r="AV53" s="38"/>
    </row>
    <row r="54" spans="1:63" outlineLevel="1">
      <c r="A54" t="s">
        <v>440</v>
      </c>
      <c r="B54" s="51" t="s">
        <v>126</v>
      </c>
      <c r="C54" s="104">
        <f>'Ethylene Recycling HC'!C57</f>
        <v>0.63853361483158433</v>
      </c>
      <c r="D54" s="104">
        <f>'Ethylene Recycling HC'!D57</f>
        <v>0.64070025983568524</v>
      </c>
      <c r="E54" s="104">
        <f>'Ethylene Recycling HC'!E57</f>
        <v>0.64286690483978604</v>
      </c>
      <c r="F54" s="104">
        <f>'Ethylene Recycling HC'!F57</f>
        <v>0.64503354984388694</v>
      </c>
      <c r="G54" s="104">
        <f>'Ethylene Recycling HC'!G57</f>
        <v>0.64720019484798785</v>
      </c>
      <c r="H54" s="104">
        <f>'Ethylene Recycling HC'!H57</f>
        <v>0.64936683985208865</v>
      </c>
      <c r="I54" s="104">
        <f>'Ethylene Recycling HC'!I57</f>
        <v>0.65153348485618956</v>
      </c>
      <c r="J54" s="104">
        <f>'Ethylene Recycling HC'!J57</f>
        <v>0.65370012986029047</v>
      </c>
      <c r="K54" s="104">
        <f>'Ethylene Recycling HC'!K57</f>
        <v>0.65586677486439138</v>
      </c>
      <c r="L54" s="104">
        <f>'Ethylene Recycling HC'!L57</f>
        <v>0.65803341986849229</v>
      </c>
      <c r="M54" s="104">
        <f>'Ethylene Recycling HC'!M57</f>
        <v>0.66020006487259308</v>
      </c>
      <c r="N54" s="104">
        <f>'Ethylene Recycling HC'!N57</f>
        <v>0.66236670987669399</v>
      </c>
      <c r="O54" s="104">
        <f>'Ethylene Recycling HC'!O57</f>
        <v>0.6645333548807949</v>
      </c>
      <c r="P54" s="104">
        <f>'Ethylene Recycling HC'!P57</f>
        <v>0.6666999998848957</v>
      </c>
      <c r="Q54" s="104">
        <f>'Ethylene Recycling HC'!Q57</f>
        <v>0.66886664488899661</v>
      </c>
      <c r="R54" s="104">
        <f>'Ethylene Recycling HC'!R57</f>
        <v>0.67103328989309752</v>
      </c>
      <c r="S54" s="104">
        <f>'Ethylene Recycling HC'!S57</f>
        <v>0.67319993489719843</v>
      </c>
      <c r="T54" s="104">
        <f>'Ethylene Recycling HC'!T57</f>
        <v>0.67536657990129934</v>
      </c>
      <c r="U54" s="104">
        <f>'Ethylene Recycling HC'!U57</f>
        <v>0.67753322490540013</v>
      </c>
      <c r="V54" s="104">
        <f>'Ethylene Recycling HC'!V57</f>
        <v>0.67969986990950104</v>
      </c>
      <c r="W54" s="104">
        <f>'Ethylene Recycling HC'!W57</f>
        <v>0.68186651491360195</v>
      </c>
      <c r="X54" s="104">
        <f>'Ethylene Recycling HC'!X57</f>
        <v>0.68403315991770275</v>
      </c>
      <c r="Y54" s="104">
        <f>'Ethylene Recycling HC'!Y57</f>
        <v>0.68619980492180366</v>
      </c>
      <c r="Z54" s="104">
        <f>'Ethylene Recycling HC'!Z57</f>
        <v>0.68836644992590457</v>
      </c>
      <c r="AA54" s="104">
        <f>'Ethylene Recycling HC'!AA57</f>
        <v>0.69053309493000548</v>
      </c>
      <c r="AB54" s="104">
        <f>'Ethylene Recycling HC'!AB57</f>
        <v>0.69269973993410638</v>
      </c>
      <c r="AC54" s="104">
        <f>'Ethylene Recycling HC'!AC57</f>
        <v>0.69486638493820718</v>
      </c>
      <c r="AD54" s="104">
        <f>'Ethylene Recycling HC'!AD57</f>
        <v>0.69703302994230809</v>
      </c>
      <c r="AE54" s="104">
        <f>'Ethylene Recycling HC'!AE57</f>
        <v>0.699199674946409</v>
      </c>
      <c r="AF54" s="104">
        <f>'Ethylene Recycling HC'!AF57</f>
        <v>0.70136631995050991</v>
      </c>
      <c r="AG54" s="104">
        <f>'Ethylene Recycling HC'!AG57</f>
        <v>0.70353296495461082</v>
      </c>
      <c r="AI54" s="126"/>
      <c r="AJ54" s="198" t="s">
        <v>832</v>
      </c>
      <c r="AL54" s="102"/>
      <c r="AM54" s="2"/>
      <c r="AN54" s="2"/>
      <c r="AO54" s="2"/>
      <c r="AV54" s="38"/>
    </row>
    <row r="55" spans="1:63" outlineLevel="1">
      <c r="A55" t="s">
        <v>438</v>
      </c>
      <c r="B55" s="51" t="s">
        <v>126</v>
      </c>
      <c r="C55" s="104">
        <f>'Ethylene Recycling HC'!C58</f>
        <v>1.0924938261687523E-2</v>
      </c>
      <c r="D55" s="104">
        <f>'Ethylene Recycling HC'!D58</f>
        <v>1.1091454913190394E-2</v>
      </c>
      <c r="E55" s="104">
        <f>'Ethylene Recycling HC'!E58</f>
        <v>1.1243671707666198E-2</v>
      </c>
      <c r="F55" s="104">
        <f>'Ethylene Recycling HC'!F58</f>
        <v>1.1381588645114939E-2</v>
      </c>
      <c r="G55" s="104">
        <f>'Ethylene Recycling HC'!G58</f>
        <v>1.1505205725536613E-2</v>
      </c>
      <c r="H55" s="104">
        <f>'Ethylene Recycling HC'!H58</f>
        <v>1.161452294893122E-2</v>
      </c>
      <c r="I55" s="104">
        <f>'Ethylene Recycling HC'!I58</f>
        <v>1.1709540315298762E-2</v>
      </c>
      <c r="J55" s="104">
        <f>'Ethylene Recycling HC'!J58</f>
        <v>1.1790257824639237E-2</v>
      </c>
      <c r="K55" s="104">
        <f>'Ethylene Recycling HC'!K58</f>
        <v>1.185667547695265E-2</v>
      </c>
      <c r="L55" s="104">
        <f>'Ethylene Recycling HC'!L58</f>
        <v>1.1908793272238994E-2</v>
      </c>
      <c r="M55" s="104">
        <f>'Ethylene Recycling HC'!M58</f>
        <v>1.1946611210498273E-2</v>
      </c>
      <c r="N55" s="104">
        <f>'Ethylene Recycling HC'!N58</f>
        <v>1.2362144188565528E-2</v>
      </c>
      <c r="O55" s="104">
        <f>'Ethylene Recycling HC'!O58</f>
        <v>1.2744744162570449E-2</v>
      </c>
      <c r="P55" s="104">
        <f>'Ethylene Recycling HC'!P58</f>
        <v>1.3094411132513037E-2</v>
      </c>
      <c r="Q55" s="104">
        <f>'Ethylene Recycling HC'!Q58</f>
        <v>1.3411145098393293E-2</v>
      </c>
      <c r="R55" s="104">
        <f>'Ethylene Recycling HC'!R58</f>
        <v>1.3694946060211214E-2</v>
      </c>
      <c r="S55" s="104">
        <f>'Ethylene Recycling HC'!S58</f>
        <v>1.3945814017966802E-2</v>
      </c>
      <c r="T55" s="104">
        <f>'Ethylene Recycling HC'!T58</f>
        <v>1.4163748971660058E-2</v>
      </c>
      <c r="U55" s="104">
        <f>'Ethylene Recycling HC'!U58</f>
        <v>1.434875092129098E-2</v>
      </c>
      <c r="V55" s="104">
        <f>'Ethylene Recycling HC'!V58</f>
        <v>1.4500819866859568E-2</v>
      </c>
      <c r="W55" s="104">
        <f>'Ethylene Recycling HC'!W58</f>
        <v>1.4619955808365823E-2</v>
      </c>
      <c r="X55" s="104">
        <f>'Ethylene Recycling HC'!X58</f>
        <v>1.5019776616038791E-2</v>
      </c>
      <c r="Y55" s="104">
        <f>'Ethylene Recycling HC'!Y58</f>
        <v>1.5367110448487417E-2</v>
      </c>
      <c r="Z55" s="104">
        <f>'Ethylene Recycling HC'!Z58</f>
        <v>1.56619573057117E-2</v>
      </c>
      <c r="AA55" s="104">
        <f>'Ethylene Recycling HC'!AA58</f>
        <v>1.5904317187711636E-2</v>
      </c>
      <c r="AB55" s="104">
        <f>'Ethylene Recycling HC'!AB58</f>
        <v>1.6094190094487228E-2</v>
      </c>
      <c r="AC55" s="104">
        <f>'Ethylene Recycling HC'!AC58</f>
        <v>1.6231576026038474E-2</v>
      </c>
      <c r="AD55" s="104">
        <f>'Ethylene Recycling HC'!AD58</f>
        <v>1.6316474982365377E-2</v>
      </c>
      <c r="AE55" s="104">
        <f>'Ethylene Recycling HC'!AE58</f>
        <v>1.6348886963467937E-2</v>
      </c>
      <c r="AF55" s="104">
        <f>'Ethylene Recycling HC'!AF58</f>
        <v>1.6328811969346151E-2</v>
      </c>
      <c r="AG55" s="104">
        <f>'Ethylene Recycling HC'!AG58</f>
        <v>1.6256249999999996E-2</v>
      </c>
      <c r="AH55" s="252"/>
      <c r="AI55" s="126"/>
      <c r="AJ55" s="198"/>
      <c r="AL55" s="102"/>
      <c r="AM55" s="2"/>
      <c r="AN55" s="2"/>
      <c r="AO55" s="2"/>
    </row>
    <row r="56" spans="1:63" outlineLevel="1">
      <c r="A56" t="s">
        <v>439</v>
      </c>
      <c r="B56" s="51" t="s">
        <v>126</v>
      </c>
      <c r="C56" s="104">
        <f>'Ethylene Recycling HC'!C59</f>
        <v>1.3102050449781879E-2</v>
      </c>
      <c r="D56" s="104">
        <f>'Ethylene Recycling HC'!D59</f>
        <v>1.3557174307511145E-2</v>
      </c>
      <c r="E56" s="104">
        <f>'Ethylene Recycling HC'!E59</f>
        <v>1.4012298165240409E-2</v>
      </c>
      <c r="F56" s="104">
        <f>'Ethylene Recycling HC'!F59</f>
        <v>1.4467422022969674E-2</v>
      </c>
      <c r="G56" s="104">
        <f>'Ethylene Recycling HC'!G59</f>
        <v>1.4922545880698941E-2</v>
      </c>
      <c r="H56" s="104">
        <f>'Ethylene Recycling HC'!H59</f>
        <v>1.5377669738428206E-2</v>
      </c>
      <c r="I56" s="104">
        <f>'Ethylene Recycling HC'!I59</f>
        <v>1.5832793596157472E-2</v>
      </c>
      <c r="J56" s="104">
        <f>'Ethylene Recycling HC'!J59</f>
        <v>1.6287917453886736E-2</v>
      </c>
      <c r="K56" s="104">
        <f>'Ethylene Recycling HC'!K59</f>
        <v>1.6743041311616004E-2</v>
      </c>
      <c r="L56" s="104">
        <f>'Ethylene Recycling HC'!L59</f>
        <v>1.7198165169345268E-2</v>
      </c>
      <c r="M56" s="104">
        <f>'Ethylene Recycling HC'!M59</f>
        <v>1.7653289027074533E-2</v>
      </c>
      <c r="N56" s="104">
        <f>'Ethylene Recycling HC'!N59</f>
        <v>1.8701453063057084E-2</v>
      </c>
      <c r="O56" s="104">
        <f>'Ethylene Recycling HC'!O59</f>
        <v>1.9749617099039631E-2</v>
      </c>
      <c r="P56" s="104">
        <f>'Ethylene Recycling HC'!P59</f>
        <v>2.0797781135022182E-2</v>
      </c>
      <c r="Q56" s="104">
        <f>'Ethylene Recycling HC'!Q59</f>
        <v>2.184594517100473E-2</v>
      </c>
      <c r="R56" s="104">
        <f>'Ethylene Recycling HC'!R59</f>
        <v>2.2894109206987281E-2</v>
      </c>
      <c r="S56" s="104">
        <f>'Ethylene Recycling HC'!S59</f>
        <v>2.3942273242969832E-2</v>
      </c>
      <c r="T56" s="104">
        <f>'Ethylene Recycling HC'!T59</f>
        <v>2.4990437278952383E-2</v>
      </c>
      <c r="U56" s="104">
        <f>'Ethylene Recycling HC'!U59</f>
        <v>2.6038601314934934E-2</v>
      </c>
      <c r="V56" s="104">
        <f>'Ethylene Recycling HC'!V59</f>
        <v>2.7086765350917485E-2</v>
      </c>
      <c r="W56" s="104">
        <f>'Ethylene Recycling HC'!W59</f>
        <v>2.8134929386900032E-2</v>
      </c>
      <c r="X56" s="104">
        <f>'Ethylene Recycling HC'!X59</f>
        <v>2.9805440819247221E-2</v>
      </c>
      <c r="Y56" s="104">
        <f>'Ethylene Recycling HC'!Y59</f>
        <v>3.1475952251594413E-2</v>
      </c>
      <c r="Z56" s="104">
        <f>'Ethylene Recycling HC'!Z59</f>
        <v>3.3146463683941599E-2</v>
      </c>
      <c r="AA56" s="104">
        <f>'Ethylene Recycling HC'!AA59</f>
        <v>3.4816975116288784E-2</v>
      </c>
      <c r="AB56" s="104">
        <f>'Ethylene Recycling HC'!AB59</f>
        <v>3.6487486548635983E-2</v>
      </c>
      <c r="AC56" s="104">
        <f>'Ethylene Recycling HC'!AC59</f>
        <v>3.8157997980983169E-2</v>
      </c>
      <c r="AD56" s="104">
        <f>'Ethylene Recycling HC'!AD59</f>
        <v>3.9828509413330361E-2</v>
      </c>
      <c r="AE56" s="104">
        <f>'Ethylene Recycling HC'!AE59</f>
        <v>4.1499020845677546E-2</v>
      </c>
      <c r="AF56" s="104">
        <f>'Ethylene Recycling HC'!AF59</f>
        <v>4.3169532278024732E-2</v>
      </c>
      <c r="AG56" s="104">
        <f>'Ethylene Recycling HC'!AG59</f>
        <v>4.4840043710371924E-2</v>
      </c>
      <c r="AH56" s="252"/>
      <c r="AJ56" s="198"/>
      <c r="AL56" s="102"/>
      <c r="AM56" s="2"/>
      <c r="AN56" s="2"/>
      <c r="AO56" s="2"/>
      <c r="BC56" s="1"/>
      <c r="BD56" s="2"/>
      <c r="BE56" s="2"/>
      <c r="BF56" s="2"/>
      <c r="BG56" s="2"/>
      <c r="BH56" s="2"/>
      <c r="BI56" s="2"/>
      <c r="BJ56" s="2"/>
      <c r="BK56" s="2"/>
    </row>
    <row r="57" spans="1:63" outlineLevel="1">
      <c r="A57" t="s">
        <v>831</v>
      </c>
      <c r="C57" s="104">
        <f>'Ethylene Recycling HC'!C60</f>
        <v>1.0312317879530087E-2</v>
      </c>
      <c r="D57" s="104">
        <f>'Ethylene Recycling HC'!D60</f>
        <v>1.0670535237450606E-2</v>
      </c>
      <c r="E57" s="104">
        <f>'Ethylene Recycling HC'!E60</f>
        <v>1.1028752595371125E-2</v>
      </c>
      <c r="F57" s="104">
        <f>'Ethylene Recycling HC'!F60</f>
        <v>1.1386969953291644E-2</v>
      </c>
      <c r="G57" s="104">
        <f>'Ethylene Recycling HC'!G60</f>
        <v>1.1745187311212163E-2</v>
      </c>
      <c r="H57" s="104">
        <f>'Ethylene Recycling HC'!H60</f>
        <v>1.2103404669132681E-2</v>
      </c>
      <c r="I57" s="104">
        <f>'Ethylene Recycling HC'!I60</f>
        <v>1.24616220270532E-2</v>
      </c>
      <c r="J57" s="104">
        <f>'Ethylene Recycling HC'!J60</f>
        <v>1.2819839384973719E-2</v>
      </c>
      <c r="K57" s="104">
        <f>'Ethylene Recycling HC'!K60</f>
        <v>1.317805674289424E-2</v>
      </c>
      <c r="L57" s="104">
        <f>'Ethylene Recycling HC'!L60</f>
        <v>1.3536274100814759E-2</v>
      </c>
      <c r="M57" s="104">
        <f>'Ethylene Recycling HC'!M60</f>
        <v>1.3894491458735276E-2</v>
      </c>
      <c r="N57" s="104">
        <f>'Ethylene Recycling HC'!N60</f>
        <v>1.4719476889097683E-2</v>
      </c>
      <c r="O57" s="104">
        <f>'Ethylene Recycling HC'!O60</f>
        <v>1.5544462319460089E-2</v>
      </c>
      <c r="P57" s="104">
        <f>'Ethylene Recycling HC'!P60</f>
        <v>1.6369447749822495E-2</v>
      </c>
      <c r="Q57" s="104">
        <f>'Ethylene Recycling HC'!Q60</f>
        <v>1.7194433180184904E-2</v>
      </c>
      <c r="R57" s="104">
        <f>'Ethylene Recycling HC'!R60</f>
        <v>1.8019418610547309E-2</v>
      </c>
      <c r="S57" s="104">
        <f>'Ethylene Recycling HC'!S60</f>
        <v>1.8844404040909715E-2</v>
      </c>
      <c r="T57" s="104">
        <f>'Ethylene Recycling HC'!T60</f>
        <v>1.9669389471272124E-2</v>
      </c>
      <c r="U57" s="104">
        <f>'Ethylene Recycling HC'!U60</f>
        <v>2.049437490163453E-2</v>
      </c>
      <c r="V57" s="104">
        <f>'Ethylene Recycling HC'!V60</f>
        <v>2.1319360331996939E-2</v>
      </c>
      <c r="W57" s="104">
        <f>'Ethylene Recycling HC'!W60</f>
        <v>2.2144345762359345E-2</v>
      </c>
      <c r="X57" s="104">
        <f>'Ethylene Recycling HC'!X60</f>
        <v>2.3459166291999432E-2</v>
      </c>
      <c r="Y57" s="104">
        <f>'Ethylene Recycling HC'!Y60</f>
        <v>2.4773986821639518E-2</v>
      </c>
      <c r="Z57" s="104">
        <f>'Ethylene Recycling HC'!Z60</f>
        <v>2.6088807351279601E-2</v>
      </c>
      <c r="AA57" s="104">
        <f>'Ethylene Recycling HC'!AA60</f>
        <v>2.7403627880919684E-2</v>
      </c>
      <c r="AB57" s="104">
        <f>'Ethylene Recycling HC'!AB60</f>
        <v>2.8718448410559774E-2</v>
      </c>
      <c r="AC57" s="104">
        <f>'Ethylene Recycling HC'!AC60</f>
        <v>3.0033268940199857E-2</v>
      </c>
      <c r="AD57" s="104">
        <f>'Ethylene Recycling HC'!AD60</f>
        <v>3.1348089469839947E-2</v>
      </c>
      <c r="AE57" s="104">
        <f>'Ethylene Recycling HC'!AE60</f>
        <v>3.266290999948003E-2</v>
      </c>
      <c r="AF57" s="104">
        <f>'Ethylene Recycling HC'!AF60</f>
        <v>3.3977730529120113E-2</v>
      </c>
      <c r="AG57" s="104">
        <f>'Ethylene Recycling HC'!AG60</f>
        <v>3.5292551058760203E-2</v>
      </c>
      <c r="AH57" s="252"/>
      <c r="AJ57" s="198"/>
      <c r="AL57" s="102"/>
      <c r="AM57" s="2"/>
      <c r="AN57" s="2"/>
      <c r="AO57" s="2"/>
      <c r="BC57" s="1"/>
      <c r="BD57" s="2"/>
      <c r="BE57" s="2"/>
      <c r="BF57" s="2"/>
      <c r="BG57" s="2"/>
      <c r="BH57" s="2"/>
      <c r="BI57" s="2"/>
      <c r="BJ57" s="2"/>
      <c r="BK57" s="2"/>
    </row>
    <row r="58" spans="1:63" outlineLevel="1">
      <c r="A58" t="s">
        <v>440</v>
      </c>
      <c r="B58" s="51" t="s">
        <v>126</v>
      </c>
      <c r="C58" s="104">
        <f>'Ethylene Recycling HC'!C61</f>
        <v>6.0660693409000509E-2</v>
      </c>
      <c r="D58" s="104">
        <f>'Ethylene Recycling HC'!D61</f>
        <v>6.2980835541847857E-2</v>
      </c>
      <c r="E58" s="104">
        <f>'Ethylene Recycling HC'!E61</f>
        <v>6.5315277531722254E-2</v>
      </c>
      <c r="F58" s="104">
        <f>'Ethylene Recycling HC'!F61</f>
        <v>6.7664019378623735E-2</v>
      </c>
      <c r="G58" s="104">
        <f>'Ethylene Recycling HC'!G61</f>
        <v>7.0027061082552286E-2</v>
      </c>
      <c r="H58" s="104">
        <f>'Ethylene Recycling HC'!H61</f>
        <v>7.2404402643507892E-2</v>
      </c>
      <c r="I58" s="104">
        <f>'Ethylene Recycling HC'!I61</f>
        <v>7.4796044061490555E-2</v>
      </c>
      <c r="J58" s="104">
        <f>'Ethylene Recycling HC'!J61</f>
        <v>7.7201985336500301E-2</v>
      </c>
      <c r="K58" s="104">
        <f>'Ethylene Recycling HC'!K61</f>
        <v>7.9622226468537116E-2</v>
      </c>
      <c r="L58" s="104">
        <f>'Ethylene Recycling HC'!L61</f>
        <v>8.2056767457600988E-2</v>
      </c>
      <c r="M58" s="104">
        <f>'Ethylene Recycling HC'!M61</f>
        <v>8.4505608303691915E-2</v>
      </c>
      <c r="N58" s="104">
        <f>'Ethylene Recycling HC'!N61</f>
        <v>8.9816925859279709E-2</v>
      </c>
      <c r="O58" s="104">
        <f>'Ethylene Recycling HC'!O61</f>
        <v>9.5161176418929821E-2</v>
      </c>
      <c r="P58" s="104">
        <f>'Ethylene Recycling HC'!P61</f>
        <v>0.10053835998264227</v>
      </c>
      <c r="Q58" s="104">
        <f>'Ethylene Recycling HC'!Q61</f>
        <v>0.10594847655041706</v>
      </c>
      <c r="R58" s="104">
        <f>'Ethylene Recycling HC'!R61</f>
        <v>0.11139152612225417</v>
      </c>
      <c r="S58" s="104">
        <f>'Ethylene Recycling HC'!S61</f>
        <v>0.11686750869815363</v>
      </c>
      <c r="T58" s="104">
        <f>'Ethylene Recycling HC'!T61</f>
        <v>0.12237642427811544</v>
      </c>
      <c r="U58" s="104">
        <f>'Ethylene Recycling HC'!U61</f>
        <v>0.12791827286213955</v>
      </c>
      <c r="V58" s="104">
        <f>'Ethylene Recycling HC'!V61</f>
        <v>0.133493054450226</v>
      </c>
      <c r="W58" s="104">
        <f>'Ethylene Recycling HC'!W61</f>
        <v>0.13910076904237478</v>
      </c>
      <c r="X58" s="104">
        <f>'Ethylene Recycling HC'!X61</f>
        <v>0.14782811627271453</v>
      </c>
      <c r="Y58" s="104">
        <f>'Ethylene Recycling HC'!Y61</f>
        <v>0.15660795047827863</v>
      </c>
      <c r="Z58" s="104">
        <f>'Ethylene Recycling HC'!Z61</f>
        <v>0.16544027165906708</v>
      </c>
      <c r="AA58" s="104">
        <f>'Ethylene Recycling HC'!AA61</f>
        <v>0.17432507981507986</v>
      </c>
      <c r="AB58" s="104">
        <f>'Ethylene Recycling HC'!AB61</f>
        <v>0.183262374946317</v>
      </c>
      <c r="AC58" s="104">
        <f>'Ethylene Recycling HC'!AC61</f>
        <v>0.19225215705277843</v>
      </c>
      <c r="AD58" s="104">
        <f>'Ethylene Recycling HC'!AD61</f>
        <v>0.20129442613446427</v>
      </c>
      <c r="AE58" s="104">
        <f>'Ethylene Recycling HC'!AE61</f>
        <v>0.21038918219137442</v>
      </c>
      <c r="AF58" s="104">
        <f>'Ethylene Recycling HC'!AF61</f>
        <v>0.21953642522350891</v>
      </c>
      <c r="AG58" s="104">
        <f>'Ethylene Recycling HC'!AG61</f>
        <v>0.22873615523086779</v>
      </c>
      <c r="AH58" s="252"/>
      <c r="AI58" s="126"/>
      <c r="AJ58" s="198"/>
      <c r="AL58" s="102"/>
      <c r="AM58" s="2"/>
      <c r="AN58" s="2"/>
      <c r="AO58" s="2"/>
      <c r="BC58" s="1"/>
      <c r="BD58" s="2"/>
      <c r="BE58" s="2"/>
      <c r="BF58" s="2"/>
      <c r="BG58" s="2"/>
      <c r="BH58" s="2"/>
      <c r="BI58" s="2"/>
      <c r="BJ58" s="2"/>
      <c r="BK58" s="2"/>
    </row>
    <row r="59" spans="1:63" outlineLevel="1">
      <c r="C59" s="104"/>
      <c r="D59" s="104"/>
      <c r="E59" s="104"/>
      <c r="F59" s="104"/>
      <c r="G59" s="104"/>
      <c r="H59" s="104"/>
      <c r="I59" s="104"/>
      <c r="J59" s="104"/>
      <c r="K59" s="104"/>
      <c r="L59" s="104"/>
      <c r="M59" s="104"/>
      <c r="N59" s="104"/>
      <c r="O59" s="104"/>
      <c r="P59" s="104"/>
      <c r="Q59" s="104"/>
      <c r="R59" s="104"/>
      <c r="S59" s="104"/>
      <c r="T59" s="104"/>
      <c r="U59" s="104"/>
      <c r="V59" s="104"/>
      <c r="W59" s="104"/>
      <c r="X59" s="104"/>
      <c r="Y59" s="104"/>
      <c r="Z59" s="104"/>
      <c r="AA59" s="104"/>
      <c r="AB59" s="104"/>
      <c r="AC59" s="104"/>
      <c r="AD59" s="104"/>
      <c r="AE59" s="104"/>
      <c r="AF59" s="104"/>
      <c r="AG59" s="104"/>
      <c r="AI59" s="126"/>
      <c r="AJ59" s="198"/>
      <c r="AL59" s="102"/>
      <c r="AM59" s="2"/>
      <c r="AN59" s="2"/>
      <c r="AO59" s="2"/>
      <c r="BC59" s="1"/>
      <c r="BD59" s="2"/>
      <c r="BE59" s="2"/>
      <c r="BF59" s="2"/>
      <c r="BG59" s="2"/>
      <c r="BH59" s="2"/>
      <c r="BI59" s="2"/>
      <c r="BJ59" s="2"/>
      <c r="BK59" s="2"/>
    </row>
    <row r="60" spans="1:63" outlineLevel="1">
      <c r="A60" t="s">
        <v>1370</v>
      </c>
      <c r="C60" s="357">
        <f>('Overall recycling rates'!F84*'Yearly BTX'!D5+'Overall recycling rates'!G84*'Yearly BTX'!D6+'Overall recycling rates'!H84*'Yearly BTX'!D7)/'Yearly BTX'!D4</f>
        <v>1.3486413897778087</v>
      </c>
      <c r="D60" s="357">
        <f>C60-($C60-$AG60)/($AG$1-$C$1)</f>
        <v>1.3403533434518817</v>
      </c>
      <c r="E60" s="357">
        <f t="shared" ref="E60:AF60" si="29">D60-($C60-$AG60)/($AG$1-$C$1)</f>
        <v>1.3320652971259548</v>
      </c>
      <c r="F60" s="357">
        <f t="shared" si="29"/>
        <v>1.3237772508000278</v>
      </c>
      <c r="G60" s="357">
        <f t="shared" si="29"/>
        <v>1.3154892044741009</v>
      </c>
      <c r="H60" s="357">
        <f t="shared" si="29"/>
        <v>1.3072011581481739</v>
      </c>
      <c r="I60" s="357">
        <f t="shared" si="29"/>
        <v>1.298913111822247</v>
      </c>
      <c r="J60" s="357">
        <f t="shared" si="29"/>
        <v>1.2906250654963201</v>
      </c>
      <c r="K60" s="357">
        <f t="shared" si="29"/>
        <v>1.2823370191703931</v>
      </c>
      <c r="L60" s="357">
        <f t="shared" si="29"/>
        <v>1.2740489728444662</v>
      </c>
      <c r="M60" s="357">
        <f t="shared" si="29"/>
        <v>1.2657609265185392</v>
      </c>
      <c r="N60" s="357">
        <f t="shared" si="29"/>
        <v>1.2574728801926123</v>
      </c>
      <c r="O60" s="357">
        <f t="shared" si="29"/>
        <v>1.2491848338666853</v>
      </c>
      <c r="P60" s="357">
        <f t="shared" si="29"/>
        <v>1.2408967875407584</v>
      </c>
      <c r="Q60" s="357">
        <f t="shared" si="29"/>
        <v>1.2326087412148314</v>
      </c>
      <c r="R60" s="357">
        <f t="shared" si="29"/>
        <v>1.2243206948889045</v>
      </c>
      <c r="S60" s="357">
        <f t="shared" si="29"/>
        <v>1.2160326485629775</v>
      </c>
      <c r="T60" s="357">
        <f t="shared" si="29"/>
        <v>1.2077446022370506</v>
      </c>
      <c r="U60" s="357">
        <f t="shared" si="29"/>
        <v>1.1994565559111237</v>
      </c>
      <c r="V60" s="357">
        <f t="shared" si="29"/>
        <v>1.1911685095851967</v>
      </c>
      <c r="W60" s="357">
        <f t="shared" si="29"/>
        <v>1.1828804632592698</v>
      </c>
      <c r="X60" s="357">
        <f t="shared" si="29"/>
        <v>1.1745924169333428</v>
      </c>
      <c r="Y60" s="357">
        <f t="shared" si="29"/>
        <v>1.1663043706074159</v>
      </c>
      <c r="Z60" s="357">
        <f t="shared" si="29"/>
        <v>1.1580163242814889</v>
      </c>
      <c r="AA60" s="357">
        <f t="shared" si="29"/>
        <v>1.149728277955562</v>
      </c>
      <c r="AB60" s="357">
        <f t="shared" si="29"/>
        <v>1.141440231629635</v>
      </c>
      <c r="AC60" s="357">
        <f t="shared" si="29"/>
        <v>1.1331521853037081</v>
      </c>
      <c r="AD60" s="357">
        <f t="shared" si="29"/>
        <v>1.1248641389777811</v>
      </c>
      <c r="AE60" s="357">
        <f t="shared" si="29"/>
        <v>1.1165760926518542</v>
      </c>
      <c r="AF60" s="357">
        <f t="shared" si="29"/>
        <v>1.1082880463259273</v>
      </c>
      <c r="AG60" s="357">
        <f>'Overall recycling rates'!G93</f>
        <v>1.1000000000000001</v>
      </c>
      <c r="AI60" s="126"/>
      <c r="AJ60" s="198"/>
      <c r="AL60" s="102"/>
      <c r="AM60" s="2"/>
      <c r="AN60" s="2"/>
      <c r="AO60" s="2"/>
      <c r="BC60" s="1"/>
      <c r="BD60" s="2"/>
      <c r="BE60" s="2"/>
      <c r="BF60" s="2"/>
      <c r="BG60" s="2"/>
      <c r="BH60" s="2"/>
      <c r="BI60" s="2"/>
      <c r="BJ60" s="2"/>
      <c r="BK60" s="2"/>
    </row>
    <row r="61" spans="1:63" outlineLevel="1">
      <c r="A61" t="s">
        <v>1371</v>
      </c>
      <c r="B61" s="51" t="s">
        <v>126</v>
      </c>
      <c r="C61" s="104">
        <f>C47*C$60</f>
        <v>6.3386145319557011E-2</v>
      </c>
      <c r="D61" s="104">
        <f t="shared" ref="D61:AG62" si="30">D47*D$60</f>
        <v>6.7285737841284471E-2</v>
      </c>
      <c r="E61" s="104">
        <f t="shared" si="30"/>
        <v>7.1132286866525993E-2</v>
      </c>
      <c r="F61" s="104">
        <f t="shared" si="30"/>
        <v>7.4925792395281576E-2</v>
      </c>
      <c r="G61" s="104">
        <f t="shared" si="30"/>
        <v>7.8666254427551235E-2</v>
      </c>
      <c r="H61" s="104">
        <f t="shared" si="30"/>
        <v>8.2353672963334956E-2</v>
      </c>
      <c r="I61" s="104">
        <f t="shared" si="30"/>
        <v>8.5988048002632766E-2</v>
      </c>
      <c r="J61" s="104">
        <f t="shared" si="30"/>
        <v>8.9569379545444611E-2</v>
      </c>
      <c r="K61" s="104">
        <f t="shared" si="30"/>
        <v>9.309766759177053E-2</v>
      </c>
      <c r="L61" s="104">
        <f t="shared" si="30"/>
        <v>9.657291214161054E-2</v>
      </c>
      <c r="M61" s="104">
        <f t="shared" si="30"/>
        <v>9.9995113194964597E-2</v>
      </c>
      <c r="N61" s="104">
        <f t="shared" si="30"/>
        <v>0.10701094210439131</v>
      </c>
      <c r="O61" s="104">
        <f t="shared" si="30"/>
        <v>0.11392565684864171</v>
      </c>
      <c r="P61" s="104">
        <f t="shared" si="30"/>
        <v>0.12073925742771578</v>
      </c>
      <c r="Q61" s="104">
        <f t="shared" si="30"/>
        <v>0.12745174384161359</v>
      </c>
      <c r="R61" s="104">
        <f t="shared" si="30"/>
        <v>0.13406311609033505</v>
      </c>
      <c r="S61" s="104">
        <f t="shared" si="30"/>
        <v>0.14057337417388022</v>
      </c>
      <c r="T61" s="104">
        <f t="shared" si="30"/>
        <v>0.14698251809224905</v>
      </c>
      <c r="U61" s="104">
        <f t="shared" si="30"/>
        <v>0.15329054784544163</v>
      </c>
      <c r="V61" s="104">
        <f t="shared" si="30"/>
        <v>0.15949746343345786</v>
      </c>
      <c r="W61" s="104">
        <f t="shared" si="30"/>
        <v>0.16560326485629778</v>
      </c>
      <c r="X61" s="104">
        <f t="shared" si="30"/>
        <v>0.17714043108030186</v>
      </c>
      <c r="Y61" s="104">
        <f t="shared" si="30"/>
        <v>0.18849840764449982</v>
      </c>
      <c r="Z61" s="104">
        <f t="shared" si="30"/>
        <v>0.19967719454889168</v>
      </c>
      <c r="AA61" s="104">
        <f t="shared" si="30"/>
        <v>0.21067679179347745</v>
      </c>
      <c r="AB61" s="104">
        <f t="shared" si="30"/>
        <v>0.22149719937825707</v>
      </c>
      <c r="AC61" s="104">
        <f t="shared" si="30"/>
        <v>0.23213841730323057</v>
      </c>
      <c r="AD61" s="104">
        <f t="shared" si="30"/>
        <v>0.24260044556839797</v>
      </c>
      <c r="AE61" s="104">
        <f t="shared" si="30"/>
        <v>0.25288328417375922</v>
      </c>
      <c r="AF61" s="104">
        <f t="shared" si="30"/>
        <v>0.26298693311931437</v>
      </c>
      <c r="AG61" s="104">
        <f t="shared" si="30"/>
        <v>0.27291139240506335</v>
      </c>
      <c r="AI61" s="126"/>
      <c r="AJ61" s="198"/>
      <c r="AL61" s="102"/>
      <c r="AM61" s="2"/>
      <c r="AN61" s="2"/>
      <c r="AO61" s="2"/>
      <c r="AV61" s="38"/>
    </row>
    <row r="62" spans="1:63" outlineLevel="1">
      <c r="A62" t="s">
        <v>1372</v>
      </c>
      <c r="B62" s="51" t="s">
        <v>126</v>
      </c>
      <c r="C62" s="104">
        <f>C48*C$60</f>
        <v>0.12812093202889183</v>
      </c>
      <c r="D62" s="104">
        <f t="shared" si="30"/>
        <v>0.13175673366131999</v>
      </c>
      <c r="E62" s="104">
        <f t="shared" si="30"/>
        <v>0.135337834187997</v>
      </c>
      <c r="F62" s="104">
        <f t="shared" si="30"/>
        <v>0.13886423360892292</v>
      </c>
      <c r="G62" s="104">
        <f t="shared" si="30"/>
        <v>0.14233593192409771</v>
      </c>
      <c r="H62" s="104">
        <f t="shared" si="30"/>
        <v>0.14575292913352139</v>
      </c>
      <c r="I62" s="104">
        <f t="shared" si="30"/>
        <v>0.14911522523719395</v>
      </c>
      <c r="J62" s="104">
        <f t="shared" si="30"/>
        <v>0.15242282023511539</v>
      </c>
      <c r="K62" s="104">
        <f t="shared" si="30"/>
        <v>0.15567571412728573</v>
      </c>
      <c r="L62" s="104">
        <f t="shared" si="30"/>
        <v>0.15887390691370493</v>
      </c>
      <c r="M62" s="104">
        <f t="shared" si="30"/>
        <v>0.16201739859437303</v>
      </c>
      <c r="N62" s="104">
        <f t="shared" si="30"/>
        <v>0.17051332255411822</v>
      </c>
      <c r="O62" s="104">
        <f t="shared" si="30"/>
        <v>0.17888326820970935</v>
      </c>
      <c r="P62" s="104">
        <f t="shared" si="30"/>
        <v>0.18712723556114635</v>
      </c>
      <c r="Q62" s="104">
        <f t="shared" si="30"/>
        <v>0.19524522460842927</v>
      </c>
      <c r="R62" s="104">
        <f t="shared" si="30"/>
        <v>0.20323723535155813</v>
      </c>
      <c r="S62" s="104">
        <f t="shared" si="30"/>
        <v>0.21110326779053287</v>
      </c>
      <c r="T62" s="104">
        <f t="shared" si="30"/>
        <v>0.21884332192535358</v>
      </c>
      <c r="U62" s="104">
        <f t="shared" si="30"/>
        <v>0.22645739775602014</v>
      </c>
      <c r="V62" s="104">
        <f t="shared" si="30"/>
        <v>0.23394549528253261</v>
      </c>
      <c r="W62" s="104">
        <f t="shared" si="30"/>
        <v>0.24130761450489102</v>
      </c>
      <c r="X62" s="104">
        <f t="shared" si="30"/>
        <v>0.25384410370450705</v>
      </c>
      <c r="Y62" s="104">
        <f t="shared" si="30"/>
        <v>0.26617981498187748</v>
      </c>
      <c r="Z62" s="104">
        <f t="shared" si="30"/>
        <v>0.27831474833700232</v>
      </c>
      <c r="AA62" s="104">
        <f t="shared" si="30"/>
        <v>0.29024890376988155</v>
      </c>
      <c r="AB62" s="104">
        <f t="shared" si="30"/>
        <v>0.3019822812805153</v>
      </c>
      <c r="AC62" s="104">
        <f t="shared" si="30"/>
        <v>0.31351488086890339</v>
      </c>
      <c r="AD62" s="104">
        <f t="shared" si="30"/>
        <v>0.32484670253504594</v>
      </c>
      <c r="AE62" s="104">
        <f t="shared" si="30"/>
        <v>0.33597774627894289</v>
      </c>
      <c r="AF62" s="104">
        <f t="shared" si="30"/>
        <v>0.34690801210059419</v>
      </c>
      <c r="AG62" s="104">
        <f t="shared" si="30"/>
        <v>0.35763749999999994</v>
      </c>
      <c r="AH62" s="230"/>
      <c r="AI62" s="126"/>
      <c r="AJ62" s="198"/>
      <c r="AL62" s="102"/>
      <c r="AM62" s="2"/>
      <c r="AN62" s="2"/>
      <c r="AO62" s="2"/>
      <c r="AV62" s="38"/>
    </row>
    <row r="63" spans="1:63" outlineLevel="1">
      <c r="A63" t="s">
        <v>1373</v>
      </c>
      <c r="B63" s="165" t="s">
        <v>126</v>
      </c>
      <c r="C63" s="104">
        <f>SUM(C61:C62)</f>
        <v>0.19150707734844885</v>
      </c>
      <c r="D63" s="104">
        <f t="shared" ref="D63:AG63" si="31">SUM(D61:D62)</f>
        <v>0.19904247150260446</v>
      </c>
      <c r="E63" s="104">
        <f t="shared" si="31"/>
        <v>0.206470121054523</v>
      </c>
      <c r="F63" s="104">
        <f t="shared" si="31"/>
        <v>0.21379002600420449</v>
      </c>
      <c r="G63" s="104">
        <f t="shared" si="31"/>
        <v>0.22100218635164895</v>
      </c>
      <c r="H63" s="104">
        <f t="shared" si="31"/>
        <v>0.22810660209685635</v>
      </c>
      <c r="I63" s="104">
        <f t="shared" si="31"/>
        <v>0.23510327323982672</v>
      </c>
      <c r="J63" s="104">
        <f t="shared" si="31"/>
        <v>0.24199219978056</v>
      </c>
      <c r="K63" s="104">
        <f t="shared" si="31"/>
        <v>0.24877338171905627</v>
      </c>
      <c r="L63" s="104">
        <f t="shared" si="31"/>
        <v>0.25544681905531547</v>
      </c>
      <c r="M63" s="104">
        <f t="shared" si="31"/>
        <v>0.2620125117893376</v>
      </c>
      <c r="N63" s="104">
        <f t="shared" si="31"/>
        <v>0.27752426465850955</v>
      </c>
      <c r="O63" s="104">
        <f t="shared" si="31"/>
        <v>0.29280892505835104</v>
      </c>
      <c r="P63" s="104">
        <f t="shared" si="31"/>
        <v>0.30786649298886215</v>
      </c>
      <c r="Q63" s="104">
        <f t="shared" si="31"/>
        <v>0.32269696845004286</v>
      </c>
      <c r="R63" s="104">
        <f t="shared" si="31"/>
        <v>0.33730035144189319</v>
      </c>
      <c r="S63" s="104">
        <f t="shared" si="31"/>
        <v>0.35167664196441306</v>
      </c>
      <c r="T63" s="104">
        <f t="shared" si="31"/>
        <v>0.36582584001760265</v>
      </c>
      <c r="U63" s="104">
        <f t="shared" si="31"/>
        <v>0.37974794560146174</v>
      </c>
      <c r="V63" s="104">
        <f t="shared" si="31"/>
        <v>0.39344295871599044</v>
      </c>
      <c r="W63" s="104">
        <f t="shared" si="31"/>
        <v>0.4069108793611888</v>
      </c>
      <c r="X63" s="104">
        <f t="shared" si="31"/>
        <v>0.43098453478480891</v>
      </c>
      <c r="Y63" s="104">
        <f t="shared" si="31"/>
        <v>0.4546782226263773</v>
      </c>
      <c r="Z63" s="104">
        <f t="shared" si="31"/>
        <v>0.47799194288589397</v>
      </c>
      <c r="AA63" s="104">
        <f t="shared" si="31"/>
        <v>0.50092569556335897</v>
      </c>
      <c r="AB63" s="104">
        <f t="shared" si="31"/>
        <v>0.52347948065877237</v>
      </c>
      <c r="AC63" s="104">
        <f t="shared" si="31"/>
        <v>0.54565329817213393</v>
      </c>
      <c r="AD63" s="104">
        <f t="shared" si="31"/>
        <v>0.56744714810344388</v>
      </c>
      <c r="AE63" s="104">
        <f t="shared" si="31"/>
        <v>0.58886103045270211</v>
      </c>
      <c r="AF63" s="104">
        <f t="shared" si="31"/>
        <v>0.6098949452199085</v>
      </c>
      <c r="AG63" s="104">
        <f t="shared" si="31"/>
        <v>0.63054889240506329</v>
      </c>
      <c r="AI63" s="126"/>
      <c r="AJ63" s="198"/>
      <c r="AL63" s="102"/>
      <c r="AM63" s="2"/>
      <c r="AN63" s="2"/>
      <c r="AO63" s="2"/>
    </row>
    <row r="64" spans="1:63" outlineLevel="1">
      <c r="A64" t="s">
        <v>1374</v>
      </c>
      <c r="B64" s="51" t="s">
        <v>126</v>
      </c>
      <c r="C64" s="104">
        <f>C$60*C55</f>
        <v>1.4733823920479018E-2</v>
      </c>
      <c r="D64" s="104">
        <f t="shared" ref="D64:AG67" si="32">D$60*D55</f>
        <v>1.4866468676640545E-2</v>
      </c>
      <c r="E64" s="104">
        <f t="shared" si="32"/>
        <v>1.4977304894059067E-2</v>
      </c>
      <c r="F64" s="104">
        <f t="shared" si="32"/>
        <v>1.5066688126367068E-2</v>
      </c>
      <c r="G64" s="104">
        <f t="shared" si="32"/>
        <v>1.5134973927197029E-2</v>
      </c>
      <c r="H64" s="104">
        <f t="shared" si="32"/>
        <v>1.5182517850181435E-2</v>
      </c>
      <c r="I64" s="104">
        <f t="shared" si="32"/>
        <v>1.520967544895277E-2</v>
      </c>
      <c r="J64" s="104">
        <f t="shared" si="32"/>
        <v>1.5216802277143516E-2</v>
      </c>
      <c r="K64" s="104">
        <f t="shared" si="32"/>
        <v>1.5204253888386161E-2</v>
      </c>
      <c r="L64" s="104">
        <f t="shared" si="32"/>
        <v>1.517238583631318E-2</v>
      </c>
      <c r="M64" s="104">
        <f t="shared" si="32"/>
        <v>1.5121553674557061E-2</v>
      </c>
      <c r="N64" s="104">
        <f t="shared" si="32"/>
        <v>1.5545061058151859E-2</v>
      </c>
      <c r="O64" s="104">
        <f t="shared" si="32"/>
        <v>1.5920541119393974E-2</v>
      </c>
      <c r="P64" s="104">
        <f t="shared" si="32"/>
        <v>1.6248812709073371E-2</v>
      </c>
      <c r="Q64" s="104">
        <f t="shared" si="32"/>
        <v>1.6530694677980014E-2</v>
      </c>
      <c r="R64" s="104">
        <f t="shared" si="32"/>
        <v>1.676700587690386E-2</v>
      </c>
      <c r="S64" s="104">
        <f t="shared" si="32"/>
        <v>1.695856515663487E-2</v>
      </c>
      <c r="T64" s="104">
        <f t="shared" si="32"/>
        <v>1.7106191367963011E-2</v>
      </c>
      <c r="U64" s="104">
        <f t="shared" si="32"/>
        <v>1.721070336167824E-2</v>
      </c>
      <c r="V64" s="104">
        <f t="shared" si="32"/>
        <v>1.7272919988570522E-2</v>
      </c>
      <c r="W64" s="104">
        <f t="shared" si="32"/>
        <v>1.7293660099429817E-2</v>
      </c>
      <c r="X64" s="104">
        <f t="shared" si="32"/>
        <v>1.7642115717231909E-2</v>
      </c>
      <c r="Y64" s="104">
        <f t="shared" si="32"/>
        <v>1.792272807967776E-2</v>
      </c>
      <c r="Z64" s="104">
        <f t="shared" si="32"/>
        <v>1.8136802230213873E-2</v>
      </c>
      <c r="AA64" s="104">
        <f t="shared" si="32"/>
        <v>1.8285643212286744E-2</v>
      </c>
      <c r="AB64" s="104">
        <f t="shared" si="32"/>
        <v>1.8370556069342878E-2</v>
      </c>
      <c r="AC64" s="104">
        <f t="shared" si="32"/>
        <v>1.8392845844828774E-2</v>
      </c>
      <c r="AD64" s="104">
        <f t="shared" si="32"/>
        <v>1.8353817582190936E-2</v>
      </c>
      <c r="AE64" s="104">
        <f t="shared" si="32"/>
        <v>1.8254776324875866E-2</v>
      </c>
      <c r="AF64" s="104">
        <f t="shared" si="32"/>
        <v>1.8097027116330062E-2</v>
      </c>
      <c r="AG64" s="104">
        <f t="shared" si="32"/>
        <v>1.7881874999999998E-2</v>
      </c>
      <c r="AI64" s="126"/>
      <c r="AJ64" s="198"/>
      <c r="AL64" s="102"/>
      <c r="AM64" s="2"/>
      <c r="AN64" s="2"/>
      <c r="AO64" s="2"/>
    </row>
    <row r="65" spans="1:63" outlineLevel="1">
      <c r="A65" t="s">
        <v>1375</v>
      </c>
      <c r="B65" s="51" t="s">
        <v>126</v>
      </c>
      <c r="C65" s="104">
        <f t="shared" ref="C65:R67" si="33">C$60*C56</f>
        <v>1.7669967527532797E-2</v>
      </c>
      <c r="D65" s="104">
        <f t="shared" si="33"/>
        <v>1.8171403910832513E-2</v>
      </c>
      <c r="E65" s="104">
        <f t="shared" si="33"/>
        <v>1.8665296118898438E-2</v>
      </c>
      <c r="F65" s="104">
        <f t="shared" si="33"/>
        <v>1.9151644151730571E-2</v>
      </c>
      <c r="G65" s="104">
        <f t="shared" si="33"/>
        <v>1.9630448009328921E-2</v>
      </c>
      <c r="H65" s="104">
        <f t="shared" si="33"/>
        <v>2.0101707691693477E-2</v>
      </c>
      <c r="I65" s="104">
        <f t="shared" si="33"/>
        <v>2.0565423198824248E-2</v>
      </c>
      <c r="J65" s="104">
        <f t="shared" si="33"/>
        <v>2.1021594530721225E-2</v>
      </c>
      <c r="K65" s="104">
        <f t="shared" si="33"/>
        <v>2.1470221687384414E-2</v>
      </c>
      <c r="L65" s="104">
        <f t="shared" si="33"/>
        <v>2.1911304668813813E-2</v>
      </c>
      <c r="M65" s="104">
        <f t="shared" si="33"/>
        <v>2.2344843475009424E-2</v>
      </c>
      <c r="N65" s="104">
        <f t="shared" si="33"/>
        <v>2.3516570046989344E-2</v>
      </c>
      <c r="O65" s="104">
        <f t="shared" si="33"/>
        <v>2.467092215479447E-2</v>
      </c>
      <c r="P65" s="104">
        <f t="shared" si="33"/>
        <v>2.5807899798424815E-2</v>
      </c>
      <c r="Q65" s="104">
        <f t="shared" si="33"/>
        <v>2.6927502977880366E-2</v>
      </c>
      <c r="R65" s="104">
        <f t="shared" si="33"/>
        <v>2.8029731693161135E-2</v>
      </c>
      <c r="S65" s="104">
        <f t="shared" si="32"/>
        <v>2.9114585944267114E-2</v>
      </c>
      <c r="T65" s="104">
        <f t="shared" si="32"/>
        <v>3.0182065731198308E-2</v>
      </c>
      <c r="U65" s="104">
        <f t="shared" si="32"/>
        <v>3.1232171053954712E-2</v>
      </c>
      <c r="V65" s="104">
        <f t="shared" si="32"/>
        <v>3.226490191253633E-2</v>
      </c>
      <c r="W65" s="104">
        <f t="shared" si="32"/>
        <v>3.3280258306943152E-2</v>
      </c>
      <c r="X65" s="104">
        <f t="shared" si="32"/>
        <v>3.5009244769643309E-2</v>
      </c>
      <c r="Y65" s="104">
        <f t="shared" si="32"/>
        <v>3.67105406800649E-2</v>
      </c>
      <c r="Z65" s="104">
        <f t="shared" si="32"/>
        <v>3.838414603820791E-2</v>
      </c>
      <c r="AA65" s="104">
        <f t="shared" si="32"/>
        <v>4.0030060844072353E-2</v>
      </c>
      <c r="AB65" s="104">
        <f t="shared" si="32"/>
        <v>4.164828509765825E-2</v>
      </c>
      <c r="AC65" s="104">
        <f t="shared" si="32"/>
        <v>4.3238818798965559E-2</v>
      </c>
      <c r="AD65" s="104">
        <f t="shared" si="32"/>
        <v>4.4801661947994308E-2</v>
      </c>
      <c r="AE65" s="104">
        <f t="shared" si="32"/>
        <v>4.6336814544744483E-2</v>
      </c>
      <c r="AF65" s="104">
        <f t="shared" si="32"/>
        <v>4.7844276589216084E-2</v>
      </c>
      <c r="AG65" s="104">
        <f t="shared" si="32"/>
        <v>4.9324048081409118E-2</v>
      </c>
      <c r="AI65" s="126"/>
      <c r="AJ65" s="198"/>
      <c r="AL65" s="102"/>
      <c r="AM65" s="2"/>
      <c r="AN65" s="2"/>
      <c r="AO65" s="2"/>
      <c r="BC65" s="1"/>
      <c r="BD65" s="2"/>
      <c r="BE65" s="2"/>
      <c r="BF65" s="2"/>
      <c r="BG65" s="2"/>
      <c r="BH65" s="2"/>
      <c r="BI65" s="2"/>
      <c r="BJ65" s="2"/>
      <c r="BK65" s="2"/>
    </row>
    <row r="66" spans="1:63" outlineLevel="1">
      <c r="A66" t="s">
        <v>1376</v>
      </c>
      <c r="C66" s="104">
        <f t="shared" si="33"/>
        <v>1.3907618716880002E-2</v>
      </c>
      <c r="D66" s="104">
        <f t="shared" si="32"/>
        <v>1.4302287581938038E-2</v>
      </c>
      <c r="E66" s="104">
        <f t="shared" si="32"/>
        <v>1.4691018602881682E-2</v>
      </c>
      <c r="F66" s="104">
        <f t="shared" si="32"/>
        <v>1.5073811779710934E-2</v>
      </c>
      <c r="G66" s="104">
        <f t="shared" si="32"/>
        <v>1.5450667112425792E-2</v>
      </c>
      <c r="H66" s="104">
        <f t="shared" si="32"/>
        <v>1.5821584601026256E-2</v>
      </c>
      <c r="I66" s="104">
        <f t="shared" si="32"/>
        <v>1.618656424551233E-2</v>
      </c>
      <c r="J66" s="104">
        <f t="shared" si="32"/>
        <v>1.6545606045884009E-2</v>
      </c>
      <c r="K66" s="104">
        <f t="shared" si="32"/>
        <v>1.6898710002141298E-2</v>
      </c>
      <c r="L66" s="104">
        <f t="shared" si="32"/>
        <v>1.7245876114284193E-2</v>
      </c>
      <c r="M66" s="104">
        <f t="shared" si="32"/>
        <v>1.7587104382312691E-2</v>
      </c>
      <c r="N66" s="104">
        <f t="shared" si="32"/>
        <v>1.8509342998662255E-2</v>
      </c>
      <c r="O66" s="104">
        <f t="shared" si="32"/>
        <v>1.94179065800817E-2</v>
      </c>
      <c r="P66" s="104">
        <f t="shared" si="32"/>
        <v>2.031279512657103E-2</v>
      </c>
      <c r="Q66" s="104">
        <f t="shared" si="32"/>
        <v>2.1194008638130247E-2</v>
      </c>
      <c r="R66" s="104">
        <f t="shared" si="32"/>
        <v>2.2061547114759338E-2</v>
      </c>
      <c r="S66" s="104">
        <f t="shared" si="32"/>
        <v>2.2915410556458318E-2</v>
      </c>
      <c r="T66" s="104">
        <f t="shared" si="32"/>
        <v>2.3755598963227181E-2</v>
      </c>
      <c r="U66" s="104">
        <f t="shared" si="32"/>
        <v>2.4582112335065926E-2</v>
      </c>
      <c r="V66" s="104">
        <f t="shared" si="32"/>
        <v>2.5394950671974559E-2</v>
      </c>
      <c r="W66" s="104">
        <f t="shared" si="32"/>
        <v>2.6194113973953069E-2</v>
      </c>
      <c r="X66" s="104">
        <f t="shared" si="32"/>
        <v>2.7554958834160818E-2</v>
      </c>
      <c r="Y66" s="104">
        <f t="shared" si="32"/>
        <v>2.8894009107448694E-2</v>
      </c>
      <c r="Z66" s="104">
        <f t="shared" si="32"/>
        <v>3.0211264793816691E-2</v>
      </c>
      <c r="AA66" s="104">
        <f t="shared" si="32"/>
        <v>3.1506725893264816E-2</v>
      </c>
      <c r="AB66" s="104">
        <f t="shared" si="32"/>
        <v>3.2780392405793071E-2</v>
      </c>
      <c r="AC66" s="104">
        <f t="shared" si="32"/>
        <v>3.4032264331401448E-2</v>
      </c>
      <c r="AD66" s="104">
        <f t="shared" si="32"/>
        <v>3.5262341670089958E-2</v>
      </c>
      <c r="AE66" s="104">
        <f t="shared" si="32"/>
        <v>3.647062442185859E-2</v>
      </c>
      <c r="AF66" s="104">
        <f t="shared" si="32"/>
        <v>3.7657112586707342E-2</v>
      </c>
      <c r="AG66" s="104">
        <f t="shared" si="32"/>
        <v>3.8821806164636229E-2</v>
      </c>
      <c r="AI66" s="126"/>
      <c r="AJ66" s="198"/>
      <c r="AL66" s="102"/>
      <c r="AM66" s="2"/>
      <c r="AN66" s="2"/>
      <c r="AO66" s="2"/>
      <c r="BC66" s="1"/>
      <c r="BD66" s="2"/>
      <c r="BE66" s="2"/>
      <c r="BF66" s="2"/>
      <c r="BG66" s="2"/>
      <c r="BH66" s="2"/>
      <c r="BI66" s="2"/>
      <c r="BJ66" s="2"/>
      <c r="BK66" s="2"/>
    </row>
    <row r="67" spans="1:63" outlineLevel="1">
      <c r="A67" t="s">
        <v>1377</v>
      </c>
      <c r="B67" s="51" t="s">
        <v>126</v>
      </c>
      <c r="C67" s="104">
        <f t="shared" si="33"/>
        <v>8.1809521864000007E-2</v>
      </c>
      <c r="D67" s="104">
        <f t="shared" si="32"/>
        <v>8.4416573491908883E-2</v>
      </c>
      <c r="E67" s="104">
        <f t="shared" si="32"/>
        <v>8.7004214572157804E-2</v>
      </c>
      <c r="F67" s="104">
        <f t="shared" si="32"/>
        <v>8.9572089551114342E-2</v>
      </c>
      <c r="G67" s="104">
        <f t="shared" si="32"/>
        <v>9.2119842875145977E-2</v>
      </c>
      <c r="H67" s="104">
        <f t="shared" si="32"/>
        <v>9.4647118990620227E-2</v>
      </c>
      <c r="I67" s="104">
        <f t="shared" si="32"/>
        <v>9.7153562343904598E-2</v>
      </c>
      <c r="J67" s="104">
        <f t="shared" si="32"/>
        <v>9.9638817381366637E-2</v>
      </c>
      <c r="K67" s="104">
        <f t="shared" si="32"/>
        <v>0.10210252854937386</v>
      </c>
      <c r="L67" s="104">
        <f t="shared" si="32"/>
        <v>0.10454434029429376</v>
      </c>
      <c r="M67" s="104">
        <f t="shared" si="32"/>
        <v>0.10696389706249385</v>
      </c>
      <c r="N67" s="104">
        <f t="shared" si="32"/>
        <v>0.11294234845031477</v>
      </c>
      <c r="O67" s="104">
        <f t="shared" si="32"/>
        <v>0.11887389835543918</v>
      </c>
      <c r="P67" s="104">
        <f t="shared" si="32"/>
        <v>0.12475772792707712</v>
      </c>
      <c r="Q67" s="104">
        <f t="shared" si="32"/>
        <v>0.13059301831443865</v>
      </c>
      <c r="R67" s="104">
        <f t="shared" si="32"/>
        <v>0.13637895066673378</v>
      </c>
      <c r="S67" s="104">
        <f t="shared" si="32"/>
        <v>0.14211470613317256</v>
      </c>
      <c r="T67" s="104">
        <f t="shared" si="32"/>
        <v>0.14779946586296508</v>
      </c>
      <c r="U67" s="104">
        <f t="shared" si="32"/>
        <v>0.15343241100532126</v>
      </c>
      <c r="V67" s="104">
        <f t="shared" si="32"/>
        <v>0.15901272270945122</v>
      </c>
      <c r="W67" s="104">
        <f t="shared" si="32"/>
        <v>0.16453958212456499</v>
      </c>
      <c r="X67" s="104">
        <f t="shared" si="32"/>
        <v>0.17363778438347099</v>
      </c>
      <c r="Y67" s="104">
        <f t="shared" si="32"/>
        <v>0.18265253711468613</v>
      </c>
      <c r="Z67" s="104">
        <f t="shared" si="32"/>
        <v>0.19158253527476385</v>
      </c>
      <c r="AA67" s="104">
        <f t="shared" si="32"/>
        <v>0.20042647382025766</v>
      </c>
      <c r="AB67" s="104">
        <f t="shared" si="32"/>
        <v>0.20918304770772111</v>
      </c>
      <c r="AC67" s="104">
        <f t="shared" si="32"/>
        <v>0.21785095189370757</v>
      </c>
      <c r="AD67" s="104">
        <f t="shared" si="32"/>
        <v>0.22642888133477071</v>
      </c>
      <c r="AE67" s="104">
        <f t="shared" si="32"/>
        <v>0.23491553098746393</v>
      </c>
      <c r="AF67" s="104">
        <f t="shared" si="32"/>
        <v>0.24330959580834072</v>
      </c>
      <c r="AG67" s="104">
        <f t="shared" si="32"/>
        <v>0.25160977075395458</v>
      </c>
      <c r="AH67" s="230"/>
      <c r="AI67" s="126"/>
      <c r="AJ67" s="198"/>
      <c r="AL67" s="102"/>
      <c r="AM67" s="2"/>
      <c r="AN67" s="2"/>
      <c r="AO67" s="2"/>
      <c r="BC67" s="1"/>
      <c r="BD67" s="2"/>
      <c r="BE67" s="2"/>
      <c r="BF67" s="2"/>
      <c r="BG67" s="2"/>
      <c r="BH67" s="2"/>
      <c r="BI67" s="2"/>
      <c r="BJ67" s="2"/>
      <c r="BK67" s="2"/>
    </row>
    <row r="68" spans="1:63" outlineLevel="1">
      <c r="C68" s="104"/>
      <c r="D68" s="104"/>
      <c r="E68" s="104"/>
      <c r="F68" s="104"/>
      <c r="G68" s="104"/>
      <c r="H68" s="104"/>
      <c r="I68" s="104"/>
      <c r="J68" s="104"/>
      <c r="K68" s="104"/>
      <c r="L68" s="104"/>
      <c r="M68" s="104"/>
      <c r="N68" s="104"/>
      <c r="O68" s="104"/>
      <c r="P68" s="104"/>
      <c r="Q68" s="104"/>
      <c r="R68" s="104"/>
      <c r="S68" s="104"/>
      <c r="T68" s="104"/>
      <c r="U68" s="104"/>
      <c r="V68" s="104"/>
      <c r="W68" s="104"/>
      <c r="X68" s="104"/>
      <c r="Y68" s="104"/>
      <c r="Z68" s="104"/>
      <c r="AA68" s="104"/>
      <c r="AB68" s="104"/>
      <c r="AC68" s="104"/>
      <c r="AD68" s="104"/>
      <c r="AE68" s="104"/>
      <c r="AF68" s="104"/>
      <c r="AG68" s="104"/>
      <c r="AI68" s="127"/>
      <c r="AJ68" s="198"/>
      <c r="BC68" s="1"/>
      <c r="BD68" s="38"/>
      <c r="BF68" s="6"/>
      <c r="BG68" s="6"/>
      <c r="BH68" s="6"/>
      <c r="BI68" s="6"/>
      <c r="BJ68" s="6"/>
    </row>
    <row r="69" spans="1:63" s="1" customFormat="1" outlineLevel="1">
      <c r="A69" s="1" t="s">
        <v>261</v>
      </c>
      <c r="B69" s="61"/>
      <c r="C69" s="279">
        <f>'BTX Recycling HC'!C69</f>
        <v>29199.048596690587</v>
      </c>
      <c r="D69" s="279">
        <f>'BTX Recycling HC'!D69</f>
        <v>30706.737524985947</v>
      </c>
      <c r="E69" s="279">
        <f>'BTX Recycling HC'!E69</f>
        <v>31992.687818344282</v>
      </c>
      <c r="F69" s="279">
        <f>'BTX Recycling HC'!F69</f>
        <v>33290.887128910545</v>
      </c>
      <c r="G69" s="279">
        <f>'BTX Recycling HC'!G69</f>
        <v>34524.494885724838</v>
      </c>
      <c r="H69" s="279">
        <f>'BTX Recycling HC'!H69</f>
        <v>35694.377573603437</v>
      </c>
      <c r="I69" s="279">
        <f>'BTX Recycling HC'!I69</f>
        <v>36801.401677362657</v>
      </c>
      <c r="J69" s="279">
        <f>'BTX Recycling HC'!J69</f>
        <v>37846.433681818773</v>
      </c>
      <c r="K69" s="279">
        <f>'BTX Recycling HC'!K69</f>
        <v>38830.340071788101</v>
      </c>
      <c r="L69" s="279">
        <f>'BTX Recycling HC'!L69</f>
        <v>39753.987332086952</v>
      </c>
      <c r="M69" s="279">
        <f>'BTX Recycling HC'!M69</f>
        <v>40618.241947531598</v>
      </c>
      <c r="N69" s="279">
        <f>'BTX Recycling HC'!N69</f>
        <v>42183.941370477849</v>
      </c>
      <c r="O69" s="279">
        <f>'BTX Recycling HC'!O69</f>
        <v>43542.61291067236</v>
      </c>
      <c r="P69" s="279">
        <f>'BTX Recycling HC'!P69</f>
        <v>44697.896720296187</v>
      </c>
      <c r="Q69" s="279">
        <f>'BTX Recycling HC'!Q69</f>
        <v>45653.432951530449</v>
      </c>
      <c r="R69" s="279">
        <f>'BTX Recycling HC'!R69</f>
        <v>46412.861756556165</v>
      </c>
      <c r="S69" s="279">
        <f>'BTX Recycling HC'!S69</f>
        <v>46979.823287554427</v>
      </c>
      <c r="T69" s="279">
        <f>'BTX Recycling HC'!T69</f>
        <v>47357.957696706297</v>
      </c>
      <c r="U69" s="279">
        <f>'BTX Recycling HC'!U69</f>
        <v>47550.905136192887</v>
      </c>
      <c r="V69" s="279">
        <f>'BTX Recycling HC'!V69</f>
        <v>47562.305758195194</v>
      </c>
      <c r="W69" s="279">
        <f>'BTX Recycling HC'!W69</f>
        <v>47395.799714894376</v>
      </c>
      <c r="X69" s="279">
        <f>'BTX Recycling HC'!X69</f>
        <v>48537.351076410247</v>
      </c>
      <c r="Y69" s="279">
        <f>'BTX Recycling HC'!Y69</f>
        <v>49350.575584969127</v>
      </c>
      <c r="Z69" s="279">
        <f>'BTX Recycling HC'!Z69</f>
        <v>49842.029404646753</v>
      </c>
      <c r="AA69" s="279">
        <f>'BTX Recycling HC'!AA69</f>
        <v>50018.268699518914</v>
      </c>
      <c r="AB69" s="279">
        <f>'BTX Recycling HC'!AB69</f>
        <v>49885.849633661317</v>
      </c>
      <c r="AC69" s="279">
        <f>'BTX Recycling HC'!AC69</f>
        <v>49451.328371149772</v>
      </c>
      <c r="AD69" s="279">
        <f>'BTX Recycling HC'!AD69</f>
        <v>48721.261076060029</v>
      </c>
      <c r="AE69" s="279">
        <f>'BTX Recycling HC'!AE69</f>
        <v>47702.203912467827</v>
      </c>
      <c r="AF69" s="279">
        <f>'BTX Recycling HC'!AF69</f>
        <v>46400.713044448938</v>
      </c>
      <c r="AG69" s="279">
        <f>'BTX Recycling HC'!AG69</f>
        <v>44823.344636079106</v>
      </c>
      <c r="AH69" s="230"/>
      <c r="AI69" s="398"/>
      <c r="AJ69" s="399"/>
      <c r="AL69" s="207"/>
      <c r="AM69" s="118"/>
      <c r="AN69" s="118"/>
      <c r="AO69" s="118"/>
      <c r="BD69" s="118"/>
      <c r="BE69" s="118"/>
      <c r="BF69" s="118"/>
      <c r="BG69" s="118"/>
      <c r="BH69" s="118"/>
      <c r="BI69" s="118"/>
      <c r="BJ69" s="118"/>
      <c r="BK69" s="118"/>
    </row>
    <row r="70" spans="1:63" outlineLevel="1">
      <c r="A70" s="4" t="s">
        <v>35</v>
      </c>
      <c r="C70" s="216">
        <f>C$69*'BTX recycling rates'!E38</f>
        <v>29096.990239664017</v>
      </c>
      <c r="D70" s="216">
        <f>D$69*'BTX recycling rates'!F38</f>
        <v>30191.183133136732</v>
      </c>
      <c r="E70" s="216">
        <f>E$69*'BTX recycling rates'!G38</f>
        <v>31030.220667467471</v>
      </c>
      <c r="F70" s="216">
        <f>F$69*'BTX recycling rates'!H38</f>
        <v>31846.78411805104</v>
      </c>
      <c r="G70" s="216">
        <f>G$69*'BTX recycling rates'!I38</f>
        <v>32567.89914686804</v>
      </c>
      <c r="H70" s="216">
        <f>H$69*'BTX recycling rates'!J38</f>
        <v>33196.947722469435</v>
      </c>
      <c r="I70" s="216">
        <f>I$69*'BTX recycling rates'!K38</f>
        <v>33737.265735979694</v>
      </c>
      <c r="J70" s="216">
        <f>J$69*'BTX recycling rates'!L38</f>
        <v>34192.143001096723</v>
      </c>
      <c r="K70" s="216">
        <f>K$69*'BTX recycling rates'!M38</f>
        <v>34564.823254091949</v>
      </c>
      <c r="L70" s="216">
        <f>L$69*'BTX recycling rates'!N38</f>
        <v>34858.504153810252</v>
      </c>
      <c r="M70" s="216">
        <f>M$69*'BTX recycling rates'!O38</f>
        <v>35076.337281669963</v>
      </c>
      <c r="N70" s="216">
        <f>N$69*'BTX recycling rates'!P38</f>
        <v>35867.60624971419</v>
      </c>
      <c r="O70" s="216">
        <f>O$69*'BTX recycling rates'!Q38</f>
        <v>36443.968650128299</v>
      </c>
      <c r="P70" s="216">
        <f>P$69*'BTX recycling rates'!R38</f>
        <v>36816.679703050373</v>
      </c>
      <c r="Q70" s="216">
        <f>Q$69*'BTX recycling rates'!S38</f>
        <v>36996.801054719115</v>
      </c>
      <c r="R70" s="216">
        <f>R$69*'BTX recycling rates'!T38</f>
        <v>36995.200777473772</v>
      </c>
      <c r="S70" s="216">
        <f>S$69*'BTX recycling rates'!U38</f>
        <v>36822.55336975422</v>
      </c>
      <c r="T70" s="216">
        <f>T$69*'BTX recycling rates'!V38</f>
        <v>36489.339756100911</v>
      </c>
      <c r="U70" s="216">
        <f>U$69*'BTX recycling rates'!W38</f>
        <v>36005.847287154938</v>
      </c>
      <c r="V70" s="216">
        <f>V$69*'BTX recycling rates'!X38</f>
        <v>35382.169739657889</v>
      </c>
      <c r="W70" s="216">
        <f>W$69*'BTX recycling rates'!Y38</f>
        <v>34628.207316452092</v>
      </c>
      <c r="X70" s="216">
        <f>X$69*'BTX recycling rates'!Z38</f>
        <v>34816.972108396374</v>
      </c>
      <c r="Y70" s="216">
        <f>Y$69*'BTX recycling rates'!AA38</f>
        <v>34744.232919602902</v>
      </c>
      <c r="Z70" s="216">
        <f>Z$69*'BTX recycling rates'!AB38</f>
        <v>34427.613000361496</v>
      </c>
      <c r="AA70" s="216">
        <f>AA$69*'BTX recycling rates'!AC38</f>
        <v>33884.386961074975</v>
      </c>
      <c r="AB70" s="216">
        <f>AB$69*'BTX recycling rates'!AD38</f>
        <v>33131.480772259041</v>
      </c>
      <c r="AC70" s="216">
        <f>AC$69*'BTX recycling rates'!AE38</f>
        <v>32185.471764542388</v>
      </c>
      <c r="AD70" s="216">
        <f>AD$69*'BTX recycling rates'!AF38</f>
        <v>31062.588628666632</v>
      </c>
      <c r="AE70" s="216">
        <f>AE$69*'BTX recycling rates'!AG38</f>
        <v>29778.711415486308</v>
      </c>
      <c r="AF70" s="216">
        <f>AF$69*'BTX recycling rates'!AH38</f>
        <v>28349.371535968927</v>
      </c>
      <c r="AG70" s="216">
        <f>AG$69*'BTX recycling rates'!AI38</f>
        <v>26789.751761194955</v>
      </c>
      <c r="AH70" s="230"/>
      <c r="AI70" s="126"/>
      <c r="AJ70" s="198"/>
      <c r="AL70" s="102"/>
      <c r="AM70" s="2"/>
      <c r="AN70" s="2"/>
      <c r="AO70" s="2"/>
      <c r="BC70" s="1"/>
      <c r="BD70" s="2"/>
      <c r="BE70" s="2"/>
      <c r="BF70" s="2"/>
      <c r="BG70" s="2"/>
      <c r="BH70" s="2"/>
      <c r="BI70" s="2"/>
      <c r="BJ70" s="2"/>
      <c r="BK70" s="2"/>
    </row>
    <row r="71" spans="1:63" outlineLevel="1">
      <c r="A71" s="4" t="s">
        <v>74</v>
      </c>
      <c r="C71" s="216">
        <f>C$69*'BTX recycling rates'!E39</f>
        <v>102.05835702657066</v>
      </c>
      <c r="D71" s="216">
        <f>D$69*'BTX recycling rates'!F39</f>
        <v>434.74704820859853</v>
      </c>
      <c r="E71" s="216">
        <f>E$69*'BTX recycling rates'!G39</f>
        <v>794.08429246208209</v>
      </c>
      <c r="F71" s="216">
        <f>F$69*'BTX recycling rates'!H39</f>
        <v>1181.2797636026498</v>
      </c>
      <c r="G71" s="216">
        <f>G$69*'BTX recycling rates'!I39</f>
        <v>1593.1793752682565</v>
      </c>
      <c r="H71" s="216">
        <f>H$69*'BTX recycling rates'!J39</f>
        <v>2027.7661767887271</v>
      </c>
      <c r="I71" s="216">
        <f>I$69*'BTX recycling rates'!K39</f>
        <v>2483.0601740118514</v>
      </c>
      <c r="J71" s="216">
        <f>J$69*'BTX recycling rates'!L39</f>
        <v>2957.1183293033791</v>
      </c>
      <c r="K71" s="216">
        <f>K$69*'BTX recycling rates'!M39</f>
        <v>3448.034561547026</v>
      </c>
      <c r="L71" s="216">
        <f>L$69*'BTX recycling rates'!N39</f>
        <v>3953.9397461444701</v>
      </c>
      <c r="M71" s="216">
        <f>M$69*'BTX recycling rates'!O39</f>
        <v>4473.001715015349</v>
      </c>
      <c r="N71" s="216">
        <f>N$69*'BTX recycling rates'!P39</f>
        <v>5095.2189184862782</v>
      </c>
      <c r="O71" s="216">
        <f>O$69*'BTX recycling rates'!Q39</f>
        <v>5723.6120032278468</v>
      </c>
      <c r="P71" s="216">
        <f>P$69*'BTX recycling rates'!R39</f>
        <v>6352.0758030233246</v>
      </c>
      <c r="Q71" s="216">
        <f>Q$69*'BTX recycling rates'!S39</f>
        <v>6974.6604080978104</v>
      </c>
      <c r="R71" s="216">
        <f>R$69*'BTX recycling rates'!T39</f>
        <v>7585.5711651182046</v>
      </c>
      <c r="S71" s="216">
        <f>S$69*'BTX recycling rates'!U39</f>
        <v>8179.1686771932355</v>
      </c>
      <c r="T71" s="216">
        <f>T$69*'BTX recycling rates'!V39</f>
        <v>8749.9688038734421</v>
      </c>
      <c r="U71" s="216">
        <f>U$69*'BTX recycling rates'!W39</f>
        <v>9292.6426611511906</v>
      </c>
      <c r="V71" s="216">
        <f>V$69*'BTX recycling rates'!X39</f>
        <v>9802.0166214606434</v>
      </c>
      <c r="W71" s="216">
        <f>W$69*'BTX recycling rates'!Y39</f>
        <v>10273.072313677811</v>
      </c>
      <c r="X71" s="216">
        <f>X$69*'BTX recycling rates'!Z39</f>
        <v>11038.04703686836</v>
      </c>
      <c r="Y71" s="216">
        <f>Y$69*'BTX recycling rates'!AA39</f>
        <v>11749.199141992429</v>
      </c>
      <c r="Z71" s="216">
        <f>Z$69*'BTX recycling rates'!AB39</f>
        <v>12397.656780274163</v>
      </c>
      <c r="AA71" s="216">
        <f>AA$69*'BTX recycling rates'!AC39</f>
        <v>12974.8277304521</v>
      </c>
      <c r="AB71" s="216">
        <f>AB$69*'BTX recycling rates'!AD39</f>
        <v>13472.399398779136</v>
      </c>
      <c r="AC71" s="216">
        <f>AC$69*'BTX recycling rates'!AE39</f>
        <v>13882.338819022589</v>
      </c>
      <c r="AD71" s="216">
        <f>AD$69*'BTX recycling rates'!AF39</f>
        <v>14196.892652464136</v>
      </c>
      <c r="AE71" s="216">
        <f>AE$69*'BTX recycling rates'!AG39</f>
        <v>14408.587187899835</v>
      </c>
      <c r="AF71" s="216">
        <f>AF$69*'BTX recycling rates'!AH39</f>
        <v>14510.228341640139</v>
      </c>
      <c r="AG71" s="216">
        <f>AG$69*'BTX recycling rates'!AI39</f>
        <v>14494.901657509874</v>
      </c>
      <c r="AH71" s="230"/>
      <c r="AI71" s="126"/>
      <c r="AJ71" s="198"/>
      <c r="AL71" s="102"/>
      <c r="AM71" s="2"/>
      <c r="AN71" s="2"/>
      <c r="AO71" s="2"/>
      <c r="BC71" s="1"/>
      <c r="BD71" s="2"/>
      <c r="BE71" s="2"/>
      <c r="BF71" s="2"/>
      <c r="BG71" s="2"/>
      <c r="BH71" s="2"/>
      <c r="BI71" s="2"/>
      <c r="BJ71" s="2"/>
      <c r="BK71" s="2"/>
    </row>
    <row r="72" spans="1:63" outlineLevel="1">
      <c r="A72" s="4" t="s">
        <v>160</v>
      </c>
      <c r="C72" s="216">
        <f>C$69*'BTX recycling rates'!E40</f>
        <v>0</v>
      </c>
      <c r="D72" s="216">
        <f>D$69*'BTX recycling rates'!F40</f>
        <v>74.224673519014956</v>
      </c>
      <c r="E72" s="216">
        <f>E$69*'BTX recycling rates'!G40</f>
        <v>154.66617424792398</v>
      </c>
      <c r="F72" s="216">
        <f>F$69*'BTX recycling rates'!H40</f>
        <v>241.41332757585678</v>
      </c>
      <c r="G72" s="216">
        <f>G$69*'BTX recycling rates'!I40</f>
        <v>333.81199930037184</v>
      </c>
      <c r="H72" s="216">
        <f>H$69*'BTX recycling rates'!J40</f>
        <v>431.40426750144906</v>
      </c>
      <c r="I72" s="216">
        <f>I$69*'BTX recycling rates'!K40</f>
        <v>533.74058816669219</v>
      </c>
      <c r="J72" s="216">
        <f>J$69*'BTX recycling rates'!L40</f>
        <v>640.37979519132739</v>
      </c>
      <c r="K72" s="216">
        <f>K$69*'BTX recycling rates'!M40</f>
        <v>750.88910037820494</v>
      </c>
      <c r="L72" s="216">
        <f>L$69*'BTX recycling rates'!N40</f>
        <v>864.84409343779816</v>
      </c>
      <c r="M72" s="216">
        <f>M$69*'BTX recycling rates'!O40</f>
        <v>981.82874198820332</v>
      </c>
      <c r="N72" s="216">
        <f>N$69*'BTX recycling rates'!P40</f>
        <v>1121.6425062295709</v>
      </c>
      <c r="O72" s="216">
        <f>O$69*'BTX recycling rates'!Q40</f>
        <v>1263.0203615071855</v>
      </c>
      <c r="P72" s="216">
        <f>P$69*'BTX recycling rates'!R40</f>
        <v>1404.5754046180771</v>
      </c>
      <c r="Q72" s="216">
        <f>Q$69*'BTX recycling rates'!S40</f>
        <v>1544.9559284274997</v>
      </c>
      <c r="R72" s="216">
        <f>R$69*'BTX recycling rates'!T40</f>
        <v>1682.8454218689255</v>
      </c>
      <c r="S72" s="216">
        <f>S$69*'BTX recycling rates'!U40</f>
        <v>1816.9625699440508</v>
      </c>
      <c r="T72" s="216">
        <f>T$69*'BTX recycling rates'!V40</f>
        <v>1946.061253722793</v>
      </c>
      <c r="U72" s="216">
        <f>U$69*'BTX recycling rates'!W40</f>
        <v>2068.9305503432934</v>
      </c>
      <c r="V72" s="216">
        <f>V$69*'BTX recycling rates'!X40</f>
        <v>2184.3947330119099</v>
      </c>
      <c r="W72" s="216">
        <f>W$69*'BTX recycling rates'!Y40</f>
        <v>2291.3132710032291</v>
      </c>
      <c r="X72" s="216">
        <f>X$69*'BTX recycling rates'!Z40</f>
        <v>2463.8257228743546</v>
      </c>
      <c r="Y72" s="216">
        <f>Y$69*'BTX recycling rates'!AA40</f>
        <v>2624.3969380127946</v>
      </c>
      <c r="Z72" s="216">
        <f>Z$69*'BTX recycling rates'!AB40</f>
        <v>2771.0105058448435</v>
      </c>
      <c r="AA72" s="216">
        <f>AA$69*'BTX recycling rates'!AC40</f>
        <v>2901.7134063328517</v>
      </c>
      <c r="AB72" s="216">
        <f>AB$69*'BTX recycling rates'!AD40</f>
        <v>3014.6160099752233</v>
      </c>
      <c r="AC72" s="216">
        <f>AC$69*'BTX recycling rates'!AE40</f>
        <v>3107.8920778064235</v>
      </c>
      <c r="AD72" s="216">
        <f>AD$69*'BTX recycling rates'!AF40</f>
        <v>3179.7787613969704</v>
      </c>
      <c r="AE72" s="216">
        <f>AE$69*'BTX recycling rates'!AG40</f>
        <v>3228.5766028534367</v>
      </c>
      <c r="AF72" s="216">
        <f>AF$69*'BTX recycling rates'!AH40</f>
        <v>3252.649534818454</v>
      </c>
      <c r="AG72" s="216">
        <f>AG$69*'BTX recycling rates'!AI40</f>
        <v>3250.4248804707076</v>
      </c>
      <c r="AH72" s="230"/>
      <c r="AI72" s="126"/>
      <c r="AJ72" s="198"/>
      <c r="AL72" s="102"/>
      <c r="AM72" s="2"/>
      <c r="AN72" s="2"/>
      <c r="AO72" s="2"/>
      <c r="BC72" s="1"/>
      <c r="BD72" s="2"/>
      <c r="BE72" s="2"/>
      <c r="BF72" s="2"/>
      <c r="BG72" s="2"/>
      <c r="BH72" s="2"/>
      <c r="BI72" s="2"/>
      <c r="BJ72" s="2"/>
      <c r="BK72" s="2"/>
    </row>
    <row r="73" spans="1:63" outlineLevel="1">
      <c r="A73" s="4" t="s">
        <v>1159</v>
      </c>
      <c r="C73" s="216">
        <f>C$69*'BTX recycling rates'!E41</f>
        <v>0</v>
      </c>
      <c r="D73" s="216">
        <f>D$69*'BTX recycling rates'!F41</f>
        <v>6.5826701216031802</v>
      </c>
      <c r="E73" s="216">
        <f>E$69*'BTX recycling rates'!G41</f>
        <v>13.716684166804161</v>
      </c>
      <c r="F73" s="216">
        <f>F$69*'BTX recycling rates'!H41</f>
        <v>21.409919680997788</v>
      </c>
      <c r="G73" s="216">
        <f>G$69*'BTX recycling rates'!I41</f>
        <v>29.604364288166977</v>
      </c>
      <c r="H73" s="216">
        <f>H$69*'BTX recycling rates'!J41</f>
        <v>38.259406843822539</v>
      </c>
      <c r="I73" s="216">
        <f>I$69*'BTX recycling rates'!K41</f>
        <v>47.335179204415304</v>
      </c>
      <c r="J73" s="216">
        <f>J$69*'BTX recycling rates'!L41</f>
        <v>56.792556227335993</v>
      </c>
      <c r="K73" s="216">
        <f>K$69*'BTX recycling rates'!M41</f>
        <v>66.593155770915374</v>
      </c>
      <c r="L73" s="216">
        <f>L$69*'BTX recycling rates'!N41</f>
        <v>76.699338694424142</v>
      </c>
      <c r="M73" s="216">
        <f>M$69*'BTX recycling rates'!O41</f>
        <v>87.074208858072922</v>
      </c>
      <c r="N73" s="216">
        <f>N$69*'BTX recycling rates'!P41</f>
        <v>99.473696047797588</v>
      </c>
      <c r="O73" s="216">
        <f>O$69*'BTX recycling rates'!Q41</f>
        <v>112.01189580901148</v>
      </c>
      <c r="P73" s="216">
        <f>P$69*'BTX recycling rates'!R41</f>
        <v>124.56580960439658</v>
      </c>
      <c r="Q73" s="216">
        <f>Q$69*'BTX recycling rates'!S41</f>
        <v>137.01556028600189</v>
      </c>
      <c r="R73" s="216">
        <f>R$69*'BTX recycling rates'!T41</f>
        <v>149.24439209524306</v>
      </c>
      <c r="S73" s="216">
        <f>S$69*'BTX recycling rates'!U41</f>
        <v>161.13867066290274</v>
      </c>
      <c r="T73" s="216">
        <f>T$69*'BTX recycling rates'!V41</f>
        <v>172.58788300913039</v>
      </c>
      <c r="U73" s="216">
        <f>U$69*'BTX recycling rates'!W41</f>
        <v>183.48463754344255</v>
      </c>
      <c r="V73" s="216">
        <f>V$69*'BTX recycling rates'!X41</f>
        <v>193.72466406472213</v>
      </c>
      <c r="W73" s="216">
        <f>W$69*'BTX recycling rates'!Y41</f>
        <v>203.20681376121962</v>
      </c>
      <c r="X73" s="216">
        <f>X$69*'BTX recycling rates'!Z41</f>
        <v>218.50620827112803</v>
      </c>
      <c r="Y73" s="216">
        <f>Y$69*'BTX recycling rates'!AA41</f>
        <v>232.74658536097195</v>
      </c>
      <c r="Z73" s="216">
        <f>Z$69*'BTX recycling rates'!AB41</f>
        <v>245.74911816621795</v>
      </c>
      <c r="AA73" s="216">
        <f>AA$69*'BTX recycling rates'!AC41</f>
        <v>257.34060165895266</v>
      </c>
      <c r="AB73" s="216">
        <f>AB$69*'BTX recycling rates'!AD41</f>
        <v>267.35345264788225</v>
      </c>
      <c r="AC73" s="216">
        <f>AC$69*'BTX recycling rates'!AE41</f>
        <v>275.62570977833332</v>
      </c>
      <c r="AD73" s="216">
        <f>AD$69*'BTX recycling rates'!AF41</f>
        <v>282.00103353225199</v>
      </c>
      <c r="AE73" s="216">
        <f>AE$69*'BTX recycling rates'!AG41</f>
        <v>286.32870622820428</v>
      </c>
      <c r="AF73" s="216">
        <f>AF$69*'BTX recycling rates'!AH41</f>
        <v>288.46363202137616</v>
      </c>
      <c r="AG73" s="216">
        <f>AG$69*'BTX recycling rates'!AI41</f>
        <v>288.26633690357357</v>
      </c>
      <c r="AH73" s="230"/>
      <c r="AI73" s="126"/>
      <c r="AJ73" s="198"/>
      <c r="AL73" s="102"/>
      <c r="AM73" s="2"/>
      <c r="AN73" s="2"/>
      <c r="AO73" s="2"/>
      <c r="BC73" s="1"/>
      <c r="BD73" s="2"/>
      <c r="BE73" s="2"/>
      <c r="BF73" s="2"/>
      <c r="BG73" s="2"/>
      <c r="BH73" s="2"/>
      <c r="BI73" s="2"/>
      <c r="BJ73" s="2"/>
      <c r="BK73" s="2"/>
    </row>
    <row r="74" spans="1:63" s="1" customFormat="1" outlineLevel="1">
      <c r="A74" s="1" t="s">
        <v>1160</v>
      </c>
      <c r="B74" s="61"/>
      <c r="C74" s="279">
        <f t="shared" ref="C74:AG74" si="34">C69-$C69</f>
        <v>0</v>
      </c>
      <c r="D74" s="279">
        <f t="shared" si="34"/>
        <v>1507.6889282953598</v>
      </c>
      <c r="E74" s="279">
        <f t="shared" si="34"/>
        <v>2793.6392216536951</v>
      </c>
      <c r="F74" s="279">
        <f t="shared" si="34"/>
        <v>4091.8385322199574</v>
      </c>
      <c r="G74" s="279">
        <f t="shared" si="34"/>
        <v>5325.4462890342511</v>
      </c>
      <c r="H74" s="279">
        <f t="shared" si="34"/>
        <v>6495.3289769128496</v>
      </c>
      <c r="I74" s="279">
        <f t="shared" si="34"/>
        <v>7602.3530806720701</v>
      </c>
      <c r="J74" s="279">
        <f t="shared" si="34"/>
        <v>8647.3850851281859</v>
      </c>
      <c r="K74" s="279">
        <f t="shared" si="34"/>
        <v>9631.2914750975142</v>
      </c>
      <c r="L74" s="279">
        <f t="shared" si="34"/>
        <v>10554.938735396365</v>
      </c>
      <c r="M74" s="279">
        <f t="shared" si="34"/>
        <v>11419.193350841011</v>
      </c>
      <c r="N74" s="279">
        <f t="shared" si="34"/>
        <v>12984.892773787262</v>
      </c>
      <c r="O74" s="279">
        <f t="shared" si="34"/>
        <v>14343.564313981773</v>
      </c>
      <c r="P74" s="279">
        <f t="shared" si="34"/>
        <v>15498.8481236056</v>
      </c>
      <c r="Q74" s="279">
        <f t="shared" si="34"/>
        <v>16454.384354839862</v>
      </c>
      <c r="R74" s="279">
        <f t="shared" si="34"/>
        <v>17213.813159865578</v>
      </c>
      <c r="S74" s="279">
        <f t="shared" si="34"/>
        <v>17780.77469086384</v>
      </c>
      <c r="T74" s="279">
        <f t="shared" si="34"/>
        <v>18158.90910001571</v>
      </c>
      <c r="U74" s="279">
        <f t="shared" si="34"/>
        <v>18351.8565395023</v>
      </c>
      <c r="V74" s="279">
        <f t="shared" si="34"/>
        <v>18363.257161504607</v>
      </c>
      <c r="W74" s="279">
        <f t="shared" si="34"/>
        <v>18196.751118203789</v>
      </c>
      <c r="X74" s="279">
        <f t="shared" si="34"/>
        <v>19338.302479719659</v>
      </c>
      <c r="Y74" s="279">
        <f t="shared" si="34"/>
        <v>20151.52698827854</v>
      </c>
      <c r="Z74" s="279">
        <f t="shared" si="34"/>
        <v>20642.980807956166</v>
      </c>
      <c r="AA74" s="279">
        <f t="shared" si="34"/>
        <v>20819.220102828327</v>
      </c>
      <c r="AB74" s="279">
        <f t="shared" si="34"/>
        <v>20686.80103697073</v>
      </c>
      <c r="AC74" s="279">
        <f t="shared" si="34"/>
        <v>20252.279774459184</v>
      </c>
      <c r="AD74" s="279">
        <f t="shared" si="34"/>
        <v>19522.212479369442</v>
      </c>
      <c r="AE74" s="279">
        <f t="shared" si="34"/>
        <v>18503.15531577724</v>
      </c>
      <c r="AF74" s="279">
        <f t="shared" si="34"/>
        <v>17201.66444775835</v>
      </c>
      <c r="AG74" s="279">
        <f t="shared" si="34"/>
        <v>15624.296039388519</v>
      </c>
      <c r="AH74" s="230"/>
      <c r="AI74" s="398"/>
      <c r="AJ74" s="399"/>
      <c r="AL74" s="207"/>
      <c r="AM74" s="118"/>
      <c r="AN74" s="118"/>
      <c r="AO74" s="118"/>
      <c r="BD74" s="118"/>
      <c r="BE74" s="118"/>
      <c r="BF74" s="118"/>
      <c r="BG74" s="118"/>
      <c r="BH74" s="118"/>
      <c r="BI74" s="118"/>
      <c r="BJ74" s="118"/>
      <c r="BK74" s="118"/>
    </row>
    <row r="75" spans="1:63" outlineLevel="1">
      <c r="A75" s="4" t="s">
        <v>35</v>
      </c>
      <c r="C75" s="216">
        <f t="shared" ref="C75:AG75" si="35">C70-$C70</f>
        <v>0</v>
      </c>
      <c r="D75" s="216">
        <f t="shared" si="35"/>
        <v>1094.1928934727148</v>
      </c>
      <c r="E75" s="216">
        <f t="shared" si="35"/>
        <v>1933.2304278034535</v>
      </c>
      <c r="F75" s="216">
        <f t="shared" si="35"/>
        <v>2749.7938783870231</v>
      </c>
      <c r="G75" s="216">
        <f t="shared" si="35"/>
        <v>3470.9089072040224</v>
      </c>
      <c r="H75" s="216">
        <f t="shared" si="35"/>
        <v>4099.9574828054174</v>
      </c>
      <c r="I75" s="216">
        <f t="shared" si="35"/>
        <v>4640.2754963156767</v>
      </c>
      <c r="J75" s="216">
        <f t="shared" si="35"/>
        <v>5095.152761432706</v>
      </c>
      <c r="K75" s="216">
        <f t="shared" si="35"/>
        <v>5467.8330144279316</v>
      </c>
      <c r="L75" s="216">
        <f t="shared" si="35"/>
        <v>5761.513914146235</v>
      </c>
      <c r="M75" s="216">
        <f t="shared" si="35"/>
        <v>5979.3470420059457</v>
      </c>
      <c r="N75" s="216">
        <f t="shared" si="35"/>
        <v>6770.6160100501729</v>
      </c>
      <c r="O75" s="216">
        <f t="shared" si="35"/>
        <v>7346.9784104642822</v>
      </c>
      <c r="P75" s="216">
        <f t="shared" si="35"/>
        <v>7719.6894633863558</v>
      </c>
      <c r="Q75" s="216">
        <f t="shared" si="35"/>
        <v>7899.8108150550979</v>
      </c>
      <c r="R75" s="216">
        <f t="shared" si="35"/>
        <v>7898.2105378097549</v>
      </c>
      <c r="S75" s="216">
        <f t="shared" si="35"/>
        <v>7725.5631300902023</v>
      </c>
      <c r="T75" s="216">
        <f t="shared" si="35"/>
        <v>7392.3495164368942</v>
      </c>
      <c r="U75" s="216">
        <f t="shared" si="35"/>
        <v>6908.8570474909211</v>
      </c>
      <c r="V75" s="216">
        <f t="shared" si="35"/>
        <v>6285.179499993872</v>
      </c>
      <c r="W75" s="216">
        <f t="shared" si="35"/>
        <v>5531.2170767880743</v>
      </c>
      <c r="X75" s="216">
        <f t="shared" si="35"/>
        <v>5719.9818687323568</v>
      </c>
      <c r="Y75" s="216">
        <f t="shared" si="35"/>
        <v>5647.242679938885</v>
      </c>
      <c r="Z75" s="216">
        <f t="shared" si="35"/>
        <v>5330.622760697479</v>
      </c>
      <c r="AA75" s="216">
        <f t="shared" si="35"/>
        <v>4787.396721410958</v>
      </c>
      <c r="AB75" s="216">
        <f t="shared" si="35"/>
        <v>4034.490532595024</v>
      </c>
      <c r="AC75" s="216">
        <f t="shared" si="35"/>
        <v>3088.4815248783707</v>
      </c>
      <c r="AD75" s="216">
        <f t="shared" si="35"/>
        <v>1965.5983890026146</v>
      </c>
      <c r="AE75" s="216">
        <f t="shared" si="35"/>
        <v>681.72117582229112</v>
      </c>
      <c r="AF75" s="216">
        <f t="shared" si="35"/>
        <v>-747.61870369509052</v>
      </c>
      <c r="AG75" s="216">
        <f t="shared" si="35"/>
        <v>-2307.2384784690621</v>
      </c>
      <c r="AH75" s="230"/>
      <c r="AI75" s="126"/>
      <c r="AJ75" s="198"/>
      <c r="AL75" s="102"/>
      <c r="AM75" s="2"/>
      <c r="AN75" s="2"/>
      <c r="AO75" s="2"/>
      <c r="BC75" s="1"/>
      <c r="BD75" s="2"/>
      <c r="BE75" s="2"/>
      <c r="BF75" s="2"/>
      <c r="BG75" s="2"/>
      <c r="BH75" s="2"/>
      <c r="BI75" s="2"/>
      <c r="BJ75" s="2"/>
      <c r="BK75" s="2"/>
    </row>
    <row r="76" spans="1:63" outlineLevel="1">
      <c r="A76" s="4" t="s">
        <v>74</v>
      </c>
      <c r="C76" s="216">
        <f t="shared" ref="C76:AG76" si="36">C71-$C71</f>
        <v>0</v>
      </c>
      <c r="D76" s="216">
        <f t="shared" si="36"/>
        <v>332.68869118202787</v>
      </c>
      <c r="E76" s="216">
        <f t="shared" si="36"/>
        <v>692.02593543551143</v>
      </c>
      <c r="F76" s="216">
        <f t="shared" si="36"/>
        <v>1079.2214065760791</v>
      </c>
      <c r="G76" s="216">
        <f t="shared" si="36"/>
        <v>1491.1210182416858</v>
      </c>
      <c r="H76" s="216">
        <f t="shared" si="36"/>
        <v>1925.7078197621563</v>
      </c>
      <c r="I76" s="216">
        <f t="shared" si="36"/>
        <v>2381.0018169852806</v>
      </c>
      <c r="J76" s="216">
        <f t="shared" si="36"/>
        <v>2855.0599722768084</v>
      </c>
      <c r="K76" s="216">
        <f t="shared" si="36"/>
        <v>3345.9762045204552</v>
      </c>
      <c r="L76" s="216">
        <f t="shared" si="36"/>
        <v>3851.8813891178993</v>
      </c>
      <c r="M76" s="216">
        <f t="shared" si="36"/>
        <v>4370.9433579887782</v>
      </c>
      <c r="N76" s="216">
        <f t="shared" si="36"/>
        <v>4993.1605614597074</v>
      </c>
      <c r="O76" s="216">
        <f t="shared" si="36"/>
        <v>5621.553646201276</v>
      </c>
      <c r="P76" s="216">
        <f t="shared" si="36"/>
        <v>6250.0174459967538</v>
      </c>
      <c r="Q76" s="216">
        <f t="shared" si="36"/>
        <v>6872.6020510712397</v>
      </c>
      <c r="R76" s="216">
        <f t="shared" si="36"/>
        <v>7483.5128080916338</v>
      </c>
      <c r="S76" s="216">
        <f t="shared" si="36"/>
        <v>8077.1103201666647</v>
      </c>
      <c r="T76" s="216">
        <f t="shared" si="36"/>
        <v>8647.9104468468722</v>
      </c>
      <c r="U76" s="216">
        <f t="shared" si="36"/>
        <v>9190.5843041246208</v>
      </c>
      <c r="V76" s="216">
        <f t="shared" si="36"/>
        <v>9699.9582644340735</v>
      </c>
      <c r="W76" s="216">
        <f t="shared" si="36"/>
        <v>10171.013956651241</v>
      </c>
      <c r="X76" s="216">
        <f t="shared" si="36"/>
        <v>10935.98867984179</v>
      </c>
      <c r="Y76" s="216">
        <f t="shared" si="36"/>
        <v>11647.140784965859</v>
      </c>
      <c r="Z76" s="216">
        <f t="shared" si="36"/>
        <v>12295.598423247593</v>
      </c>
      <c r="AA76" s="216">
        <f t="shared" si="36"/>
        <v>12872.76937342553</v>
      </c>
      <c r="AB76" s="216">
        <f t="shared" si="36"/>
        <v>13370.341041752567</v>
      </c>
      <c r="AC76" s="216">
        <f t="shared" si="36"/>
        <v>13780.280461996019</v>
      </c>
      <c r="AD76" s="216">
        <f t="shared" si="36"/>
        <v>14094.834295437566</v>
      </c>
      <c r="AE76" s="216">
        <f t="shared" si="36"/>
        <v>14306.528830873265</v>
      </c>
      <c r="AF76" s="216">
        <f t="shared" si="36"/>
        <v>14408.169984613569</v>
      </c>
      <c r="AG76" s="216">
        <f t="shared" si="36"/>
        <v>14392.843300483304</v>
      </c>
      <c r="AH76" s="230"/>
      <c r="AI76" s="126"/>
      <c r="AJ76" s="198"/>
      <c r="AL76" s="102"/>
      <c r="AM76" s="2"/>
      <c r="AN76" s="2"/>
      <c r="AO76" s="2"/>
      <c r="BC76" s="1"/>
      <c r="BD76" s="2"/>
      <c r="BE76" s="2"/>
      <c r="BF76" s="2"/>
      <c r="BG76" s="2"/>
      <c r="BH76" s="2"/>
      <c r="BI76" s="2"/>
      <c r="BJ76" s="2"/>
      <c r="BK76" s="2"/>
    </row>
    <row r="77" spans="1:63" outlineLevel="1">
      <c r="A77" s="4" t="s">
        <v>160</v>
      </c>
      <c r="C77" s="216">
        <f t="shared" ref="C77:AG77" si="37">C72-$C72</f>
        <v>0</v>
      </c>
      <c r="D77" s="216">
        <f t="shared" si="37"/>
        <v>74.224673519014956</v>
      </c>
      <c r="E77" s="216">
        <f t="shared" si="37"/>
        <v>154.66617424792398</v>
      </c>
      <c r="F77" s="216">
        <f t="shared" si="37"/>
        <v>241.41332757585678</v>
      </c>
      <c r="G77" s="216">
        <f t="shared" si="37"/>
        <v>333.81199930037184</v>
      </c>
      <c r="H77" s="216">
        <f t="shared" si="37"/>
        <v>431.40426750144906</v>
      </c>
      <c r="I77" s="216">
        <f t="shared" si="37"/>
        <v>533.74058816669219</v>
      </c>
      <c r="J77" s="216">
        <f t="shared" si="37"/>
        <v>640.37979519132739</v>
      </c>
      <c r="K77" s="216">
        <f t="shared" si="37"/>
        <v>750.88910037820494</v>
      </c>
      <c r="L77" s="216">
        <f t="shared" si="37"/>
        <v>864.84409343779816</v>
      </c>
      <c r="M77" s="216">
        <f t="shared" si="37"/>
        <v>981.82874198820332</v>
      </c>
      <c r="N77" s="216">
        <f t="shared" si="37"/>
        <v>1121.6425062295709</v>
      </c>
      <c r="O77" s="216">
        <f t="shared" si="37"/>
        <v>1263.0203615071855</v>
      </c>
      <c r="P77" s="216">
        <f t="shared" si="37"/>
        <v>1404.5754046180771</v>
      </c>
      <c r="Q77" s="216">
        <f t="shared" si="37"/>
        <v>1544.9559284274997</v>
      </c>
      <c r="R77" s="216">
        <f t="shared" si="37"/>
        <v>1682.8454218689255</v>
      </c>
      <c r="S77" s="216">
        <f t="shared" si="37"/>
        <v>1816.9625699440508</v>
      </c>
      <c r="T77" s="216">
        <f t="shared" si="37"/>
        <v>1946.061253722793</v>
      </c>
      <c r="U77" s="216">
        <f t="shared" si="37"/>
        <v>2068.9305503432934</v>
      </c>
      <c r="V77" s="216">
        <f t="shared" si="37"/>
        <v>2184.3947330119099</v>
      </c>
      <c r="W77" s="216">
        <f t="shared" si="37"/>
        <v>2291.3132710032291</v>
      </c>
      <c r="X77" s="216">
        <f t="shared" si="37"/>
        <v>2463.8257228743546</v>
      </c>
      <c r="Y77" s="216">
        <f t="shared" si="37"/>
        <v>2624.3969380127946</v>
      </c>
      <c r="Z77" s="216">
        <f t="shared" si="37"/>
        <v>2771.0105058448435</v>
      </c>
      <c r="AA77" s="216">
        <f t="shared" si="37"/>
        <v>2901.7134063328517</v>
      </c>
      <c r="AB77" s="216">
        <f t="shared" si="37"/>
        <v>3014.6160099752233</v>
      </c>
      <c r="AC77" s="216">
        <f t="shared" si="37"/>
        <v>3107.8920778064235</v>
      </c>
      <c r="AD77" s="216">
        <f t="shared" si="37"/>
        <v>3179.7787613969704</v>
      </c>
      <c r="AE77" s="216">
        <f t="shared" si="37"/>
        <v>3228.5766028534367</v>
      </c>
      <c r="AF77" s="216">
        <f t="shared" si="37"/>
        <v>3252.649534818454</v>
      </c>
      <c r="AG77" s="216">
        <f t="shared" si="37"/>
        <v>3250.4248804707076</v>
      </c>
      <c r="AH77" s="230"/>
      <c r="AI77" s="126"/>
      <c r="AJ77" s="198"/>
      <c r="AL77" s="102"/>
      <c r="AM77" s="2"/>
      <c r="AN77" s="2"/>
      <c r="AO77" s="2"/>
      <c r="BC77" s="1"/>
      <c r="BD77" s="2"/>
      <c r="BE77" s="2"/>
      <c r="BF77" s="2"/>
      <c r="BG77" s="2"/>
      <c r="BH77" s="2"/>
      <c r="BI77" s="2"/>
      <c r="BJ77" s="2"/>
      <c r="BK77" s="2"/>
    </row>
    <row r="78" spans="1:63" outlineLevel="1">
      <c r="A78" s="4" t="s">
        <v>1159</v>
      </c>
      <c r="C78" s="216">
        <f t="shared" ref="C78:AG78" si="38">C73-$C73</f>
        <v>0</v>
      </c>
      <c r="D78" s="216">
        <f t="shared" si="38"/>
        <v>6.5826701216031802</v>
      </c>
      <c r="E78" s="216">
        <f t="shared" si="38"/>
        <v>13.716684166804161</v>
      </c>
      <c r="F78" s="216">
        <f t="shared" si="38"/>
        <v>21.409919680997788</v>
      </c>
      <c r="G78" s="216">
        <f t="shared" si="38"/>
        <v>29.604364288166977</v>
      </c>
      <c r="H78" s="216">
        <f t="shared" si="38"/>
        <v>38.259406843822539</v>
      </c>
      <c r="I78" s="216">
        <f t="shared" si="38"/>
        <v>47.335179204415304</v>
      </c>
      <c r="J78" s="216">
        <f t="shared" si="38"/>
        <v>56.792556227335993</v>
      </c>
      <c r="K78" s="216">
        <f t="shared" si="38"/>
        <v>66.593155770915374</v>
      </c>
      <c r="L78" s="216">
        <f t="shared" si="38"/>
        <v>76.699338694424142</v>
      </c>
      <c r="M78" s="216">
        <f t="shared" si="38"/>
        <v>87.074208858072922</v>
      </c>
      <c r="N78" s="216">
        <f t="shared" si="38"/>
        <v>99.473696047797588</v>
      </c>
      <c r="O78" s="216">
        <f t="shared" si="38"/>
        <v>112.01189580901148</v>
      </c>
      <c r="P78" s="216">
        <f t="shared" si="38"/>
        <v>124.56580960439658</v>
      </c>
      <c r="Q78" s="216">
        <f t="shared" si="38"/>
        <v>137.01556028600189</v>
      </c>
      <c r="R78" s="216">
        <f t="shared" si="38"/>
        <v>149.24439209524306</v>
      </c>
      <c r="S78" s="216">
        <f t="shared" si="38"/>
        <v>161.13867066290274</v>
      </c>
      <c r="T78" s="216">
        <f t="shared" si="38"/>
        <v>172.58788300913039</v>
      </c>
      <c r="U78" s="216">
        <f t="shared" si="38"/>
        <v>183.48463754344255</v>
      </c>
      <c r="V78" s="216">
        <f t="shared" si="38"/>
        <v>193.72466406472213</v>
      </c>
      <c r="W78" s="216">
        <f t="shared" si="38"/>
        <v>203.20681376121962</v>
      </c>
      <c r="X78" s="216">
        <f t="shared" si="38"/>
        <v>218.50620827112803</v>
      </c>
      <c r="Y78" s="216">
        <f t="shared" si="38"/>
        <v>232.74658536097195</v>
      </c>
      <c r="Z78" s="216">
        <f t="shared" si="38"/>
        <v>245.74911816621795</v>
      </c>
      <c r="AA78" s="216">
        <f t="shared" si="38"/>
        <v>257.34060165895266</v>
      </c>
      <c r="AB78" s="216">
        <f t="shared" si="38"/>
        <v>267.35345264788225</v>
      </c>
      <c r="AC78" s="216">
        <f t="shared" si="38"/>
        <v>275.62570977833332</v>
      </c>
      <c r="AD78" s="216">
        <f t="shared" si="38"/>
        <v>282.00103353225199</v>
      </c>
      <c r="AE78" s="216">
        <f t="shared" si="38"/>
        <v>286.32870622820428</v>
      </c>
      <c r="AF78" s="216">
        <f t="shared" si="38"/>
        <v>288.46363202137616</v>
      </c>
      <c r="AG78" s="216">
        <f t="shared" si="38"/>
        <v>288.26633690357357</v>
      </c>
      <c r="AH78" s="230"/>
      <c r="AI78" s="126"/>
      <c r="AJ78" s="198"/>
      <c r="AL78" s="102"/>
      <c r="AM78" s="2"/>
      <c r="AN78" s="2"/>
      <c r="AO78" s="2"/>
      <c r="BC78" s="1"/>
      <c r="BD78" s="2"/>
      <c r="BE78" s="2"/>
      <c r="BF78" s="2"/>
      <c r="BG78" s="2"/>
      <c r="BH78" s="2"/>
      <c r="BI78" s="2"/>
      <c r="BJ78" s="2"/>
      <c r="BK78" s="2"/>
    </row>
    <row r="79" spans="1:63" s="1" customFormat="1" outlineLevel="1">
      <c r="A79" s="1" t="s">
        <v>1161</v>
      </c>
      <c r="B79" s="61"/>
      <c r="C79" s="279">
        <f>'BTX Recycling HC'!C79</f>
        <v>6787.1873025289015</v>
      </c>
      <c r="D79" s="279">
        <f>'BTX Recycling HC'!D79</f>
        <v>6784.5098563656011</v>
      </c>
      <c r="E79" s="279">
        <f>'BTX Recycling HC'!E79</f>
        <v>6736.2411774403481</v>
      </c>
      <c r="F79" s="279">
        <f>'BTX Recycling HC'!F79</f>
        <v>6694.4025253040872</v>
      </c>
      <c r="G79" s="279">
        <f>'BTX Recycling HC'!G79</f>
        <v>6642.3313750919888</v>
      </c>
      <c r="H79" s="279">
        <f>'BTX Recycling HC'!H79</f>
        <v>6580.5264678798894</v>
      </c>
      <c r="I79" s="279">
        <f>'BTX Recycling HC'!I79</f>
        <v>6509.478800613012</v>
      </c>
      <c r="J79" s="279">
        <f>'BTX Recycling HC'!J79</f>
        <v>6429.6716261059628</v>
      </c>
      <c r="K79" s="279">
        <f>'BTX Recycling HC'!K79</f>
        <v>6341.5804530427249</v>
      </c>
      <c r="L79" s="279">
        <f>'BTX Recycling HC'!L79</f>
        <v>6245.6730459766659</v>
      </c>
      <c r="M79" s="279">
        <f>'BTX Recycling HC'!M79</f>
        <v>6142.4094253305338</v>
      </c>
      <c r="N79" s="279">
        <f>'BTX Recycling HC'!N79</f>
        <v>6127.8961887642972</v>
      </c>
      <c r="O79" s="279">
        <f>'BTX Recycling HC'!O79</f>
        <v>6084.8625188196947</v>
      </c>
      <c r="P79" s="279">
        <f>'BTX Recycling HC'!P79</f>
        <v>6015.3405592411546</v>
      </c>
      <c r="Q79" s="279">
        <f>'BTX Recycling HC'!Q79</f>
        <v>5921.3231484791522</v>
      </c>
      <c r="R79" s="279">
        <f>'BTX Recycling HC'!R79</f>
        <v>5804.7638196901971</v>
      </c>
      <c r="S79" s="279">
        <f>'BTX Recycling HC'!S79</f>
        <v>5667.5768007368488</v>
      </c>
      <c r="T79" s="279">
        <f>'BTX Recycling HC'!T79</f>
        <v>5511.6370141877105</v>
      </c>
      <c r="U79" s="279">
        <f>'BTX Recycling HC'!U79</f>
        <v>5338.7800773174295</v>
      </c>
      <c r="V79" s="279">
        <f>'BTX Recycling HC'!V79</f>
        <v>5150.802302106692</v>
      </c>
      <c r="W79" s="279">
        <f>'BTX Recycling HC'!W79</f>
        <v>4949.4606952422373</v>
      </c>
      <c r="X79" s="279">
        <f>'BTX Recycling HC'!X79</f>
        <v>4834.026648099094</v>
      </c>
      <c r="Y79" s="279">
        <f>'BTX Recycling HC'!Y79</f>
        <v>4692.331133391378</v>
      </c>
      <c r="Z79" s="279">
        <f>'BTX Recycling HC'!Z79</f>
        <v>4527.1821456968692</v>
      </c>
      <c r="AA79" s="279">
        <f>'BTX Recycling HC'!AA79</f>
        <v>4341.3240146179642</v>
      </c>
      <c r="AB79" s="279">
        <f>'BTX Recycling HC'!AB79</f>
        <v>4137.4374047816655</v>
      </c>
      <c r="AC79" s="279">
        <f>'BTX Recycling HC'!AC79</f>
        <v>3918.1393158395913</v>
      </c>
      <c r="AD79" s="279">
        <f>'BTX Recycling HC'!AD79</f>
        <v>3685.9830824679657</v>
      </c>
      <c r="AE79" s="279">
        <f>'BTX Recycling HC'!AE79</f>
        <v>3443.4583743676235</v>
      </c>
      <c r="AF79" s="279">
        <f>'BTX Recycling HC'!AF79</f>
        <v>3192.9911962640085</v>
      </c>
      <c r="AG79" s="279">
        <f>'BTX Recycling HC'!AG79</f>
        <v>2936.9438879071736</v>
      </c>
      <c r="AH79" s="230"/>
      <c r="AI79" s="398"/>
      <c r="AJ79" s="399"/>
      <c r="AL79" s="207"/>
      <c r="AM79" s="118"/>
      <c r="AN79" s="118"/>
      <c r="AO79" s="118"/>
      <c r="BD79" s="118"/>
      <c r="BE79" s="118"/>
      <c r="BF79" s="118"/>
      <c r="BG79" s="118"/>
      <c r="BH79" s="118"/>
      <c r="BI79" s="118"/>
      <c r="BJ79" s="118"/>
      <c r="BK79" s="118"/>
    </row>
    <row r="80" spans="1:63" outlineLevel="1">
      <c r="A80" s="4" t="s">
        <v>35</v>
      </c>
      <c r="C80" s="216">
        <f>C$79*'BTX recycling rates'!E42</f>
        <v>6763.4642972181664</v>
      </c>
      <c r="D80" s="216">
        <f>D$79*'BTX recycling rates'!F42</f>
        <v>6670.6005278298862</v>
      </c>
      <c r="E80" s="216">
        <f>E$79*'BTX recycling rates'!G42</f>
        <v>6533.5882809258974</v>
      </c>
      <c r="F80" s="216">
        <f>F$79*'BTX recycling rates'!H42</f>
        <v>6404.0105388946376</v>
      </c>
      <c r="G80" s="216">
        <f>G$79*'BTX recycling rates'!I42</f>
        <v>6265.8926376796853</v>
      </c>
      <c r="H80" s="216">
        <f>H$79*'BTX recycling rates'!J42</f>
        <v>6120.1065263030359</v>
      </c>
      <c r="I80" s="216">
        <f>I$79*'BTX recycling rates'!K42</f>
        <v>5967.4905326797834</v>
      </c>
      <c r="J80" s="216">
        <f>J$79*'BTX recycling rates'!L42</f>
        <v>5808.8498783842133</v>
      </c>
      <c r="K80" s="216">
        <f>K$79*'BTX recycling rates'!M42</f>
        <v>5644.9571934159048</v>
      </c>
      <c r="L80" s="216">
        <f>L$79*'BTX recycling rates'!N42</f>
        <v>5476.5530309658379</v>
      </c>
      <c r="M80" s="216">
        <f>M$79*'BTX recycling rates'!O42</f>
        <v>5304.3463821824917</v>
      </c>
      <c r="N80" s="216">
        <f>N$79*'BTX recycling rates'!P42</f>
        <v>5210.3468878691056</v>
      </c>
      <c r="O80" s="216">
        <f>O$79*'BTX recycling rates'!Q42</f>
        <v>5092.8624639761301</v>
      </c>
      <c r="P80" s="216">
        <f>P$79*'BTX recycling rates'!R42</f>
        <v>4954.7044251365833</v>
      </c>
      <c r="Q80" s="216">
        <f>Q$79*'BTX recycling rates'!S42</f>
        <v>4798.5441694509482</v>
      </c>
      <c r="R80" s="216">
        <f>R$79*'BTX recycling rates'!T42</f>
        <v>4626.915791179792</v>
      </c>
      <c r="S80" s="216">
        <f>S$79*'BTX recycling rates'!U42</f>
        <v>4442.2186934364099</v>
      </c>
      <c r="T80" s="216">
        <f>T$79*'BTX recycling rates'!V42</f>
        <v>4246.7202008794475</v>
      </c>
      <c r="U80" s="216">
        <f>U$79*'BTX recycling rates'!W42</f>
        <v>4042.5581724055287</v>
      </c>
      <c r="V80" s="216">
        <f>V$79*'BTX recycling rates'!X42</f>
        <v>3831.7436138418861</v>
      </c>
      <c r="W80" s="216">
        <f>W$79*'BTX recycling rates'!Y42</f>
        <v>3616.1632906389973</v>
      </c>
      <c r="X80" s="216">
        <f>X$79*'BTX recycling rates'!Z42</f>
        <v>3467.5598739031693</v>
      </c>
      <c r="Y80" s="216">
        <f>Y$79*'BTX recycling rates'!AA42</f>
        <v>3303.5368666319941</v>
      </c>
      <c r="Z80" s="216">
        <f>Z$79*'BTX recycling rates'!AB42</f>
        <v>3127.0812355739918</v>
      </c>
      <c r="AA80" s="216">
        <f>AA$79*'BTX recycling rates'!AC42</f>
        <v>2940.9874963572556</v>
      </c>
      <c r="AB80" s="216">
        <f>AB$79*'BTX recycling rates'!AD42</f>
        <v>2747.8619454133227</v>
      </c>
      <c r="AC80" s="216">
        <f>AC$79*'BTX recycling rates'!AE42</f>
        <v>2550.1268919010545</v>
      </c>
      <c r="AD80" s="216">
        <f>AD$79*'BTX recycling rates'!AF42</f>
        <v>2350.0248896305056</v>
      </c>
      <c r="AE80" s="216">
        <f>AE$79*'BTX recycling rates'!AG42</f>
        <v>2149.6229689868051</v>
      </c>
      <c r="AF80" s="216">
        <f>AF$79*'BTX recycling rates'!AH42</f>
        <v>1950.8168688540306</v>
      </c>
      <c r="AG80" s="220">
        <f>AG$79*'BTX recycling rates'!AI42</f>
        <v>1755.3352685390871</v>
      </c>
      <c r="AH80" s="230"/>
      <c r="AI80" s="126"/>
      <c r="AJ80" s="198"/>
      <c r="AL80" s="102"/>
      <c r="AM80" s="2"/>
      <c r="AN80" s="2"/>
      <c r="AO80" s="2"/>
      <c r="BC80" s="1"/>
      <c r="BD80" s="2"/>
      <c r="BE80" s="2"/>
      <c r="BF80" s="2"/>
      <c r="BG80" s="2"/>
      <c r="BH80" s="2"/>
      <c r="BI80" s="2"/>
      <c r="BJ80" s="2"/>
      <c r="BK80" s="2"/>
    </row>
    <row r="81" spans="1:63" outlineLevel="1">
      <c r="A81" s="4" t="s">
        <v>74</v>
      </c>
      <c r="C81" s="216">
        <f>C$79*'BTX recycling rates'!E43</f>
        <v>23.723005310735051</v>
      </c>
      <c r="D81" s="216">
        <f>D$79*'BTX recycling rates'!F43</f>
        <v>96.055324379447825</v>
      </c>
      <c r="E81" s="216">
        <f>E$79*'BTX recycling rates'!G43</f>
        <v>167.19893431943899</v>
      </c>
      <c r="F81" s="216">
        <f>F$79*'BTX recycling rates'!H43</f>
        <v>237.54134883611272</v>
      </c>
      <c r="G81" s="216">
        <f>G$79*'BTX recycling rates'!I43</f>
        <v>306.51933896560519</v>
      </c>
      <c r="H81" s="216">
        <f>H$79*'BTX recycling rates'!J43</f>
        <v>373.83391738697134</v>
      </c>
      <c r="I81" s="216">
        <f>I$79*'BTX recycling rates'!K43</f>
        <v>439.20684611638256</v>
      </c>
      <c r="J81" s="216">
        <f>J$79*'BTX recycling rates'!L43</f>
        <v>502.38022363765532</v>
      </c>
      <c r="K81" s="216">
        <f>K$79*'BTX recycling rates'!M43</f>
        <v>563.11607203277981</v>
      </c>
      <c r="L81" s="216">
        <f>L$79*'BTX recycling rates'!N43</f>
        <v>621.19592411244878</v>
      </c>
      <c r="M81" s="216">
        <f>M$79*'BTX recycling rates'!O43</f>
        <v>676.42041054658694</v>
      </c>
      <c r="N81" s="216">
        <f>N$79*'BTX recycling rates'!P43</f>
        <v>740.16252576538523</v>
      </c>
      <c r="O81" s="216">
        <f>O$79*'BTX recycling rates'!Q43</f>
        <v>799.84616959381844</v>
      </c>
      <c r="P81" s="216">
        <f>P$79*'BTX recycling rates'!R43</f>
        <v>854.84781202132899</v>
      </c>
      <c r="Q81" s="216">
        <f>Q$79*'BTX recycling rates'!S43</f>
        <v>904.62459134447488</v>
      </c>
      <c r="R81" s="216">
        <f>R$79*'BTX recycling rates'!T43</f>
        <v>948.71221865011285</v>
      </c>
      <c r="S81" s="216">
        <f>S$79*'BTX recycling rates'!U43</f>
        <v>986.72288229858475</v>
      </c>
      <c r="T81" s="216">
        <f>T$79*'BTX recycling rates'!V43</f>
        <v>1018.3431524069026</v>
      </c>
      <c r="U81" s="216">
        <f>U$79*'BTX recycling rates'!W43</f>
        <v>1043.3318853319324</v>
      </c>
      <c r="V81" s="216">
        <f>V$79*'BTX recycling rates'!X43</f>
        <v>1061.5181281535788</v>
      </c>
      <c r="W81" s="216">
        <f>W$79*'BTX recycling rates'!Y43</f>
        <v>1072.7990231579718</v>
      </c>
      <c r="X81" s="216">
        <f>X$79*'BTX recycling rates'!Z43</f>
        <v>1099.3227346748563</v>
      </c>
      <c r="Y81" s="216">
        <f>Y$79*'BTX recycling rates'!AA43</f>
        <v>1117.1325212096983</v>
      </c>
      <c r="Z81" s="216">
        <f>Z$79*'BTX recycling rates'!AB43</f>
        <v>1126.0867804652889</v>
      </c>
      <c r="AA81" s="216">
        <f>AA$79*'BTX recycling rates'!AC43</f>
        <v>1126.1471593534898</v>
      </c>
      <c r="AB81" s="216">
        <f>AB$79*'BTX recycling rates'!AD43</f>
        <v>1117.3751597698458</v>
      </c>
      <c r="AC81" s="216">
        <f>AC$79*'BTX recycling rates'!AE43</f>
        <v>1099.9287443682051</v>
      </c>
      <c r="AD81" s="216">
        <f>AD$79*'BTX recycling rates'!AF43</f>
        <v>1074.058942335331</v>
      </c>
      <c r="AE81" s="216">
        <f>AE$79*'BTX recycling rates'!AG43</f>
        <v>1040.1064551655204</v>
      </c>
      <c r="AF81" s="216">
        <f>AF$79*'BTX recycling rates'!AH43</f>
        <v>998.49826243521898</v>
      </c>
      <c r="AG81" s="220">
        <f>AG$79*'BTX recycling rates'!AI43</f>
        <v>949.74422757763728</v>
      </c>
      <c r="AH81" s="230"/>
      <c r="AI81" s="126"/>
      <c r="AJ81" s="198"/>
      <c r="AL81" s="102"/>
      <c r="AM81" s="2"/>
      <c r="AN81" s="2"/>
      <c r="AO81" s="2"/>
      <c r="BC81" s="1"/>
      <c r="BD81" s="2"/>
      <c r="BE81" s="2"/>
      <c r="BF81" s="2"/>
      <c r="BG81" s="2"/>
      <c r="BH81" s="2"/>
      <c r="BI81" s="2"/>
      <c r="BJ81" s="2"/>
      <c r="BK81" s="2"/>
    </row>
    <row r="82" spans="1:63" outlineLevel="1">
      <c r="A82" s="4" t="s">
        <v>160</v>
      </c>
      <c r="C82" s="216">
        <f>C$79*'BTX recycling rates'!E44</f>
        <v>0</v>
      </c>
      <c r="D82" s="216">
        <f>D$79*'BTX recycling rates'!F44</f>
        <v>16.399594019570344</v>
      </c>
      <c r="E82" s="216">
        <f>E$79*'BTX recycling rates'!G44</f>
        <v>32.565836845025338</v>
      </c>
      <c r="F82" s="216">
        <f>F$79*'BTX recycling rates'!H44</f>
        <v>48.545356676974997</v>
      </c>
      <c r="G82" s="216">
        <f>G$79*'BTX recycling rates'!I44</f>
        <v>64.223674341195021</v>
      </c>
      <c r="H82" s="216">
        <f>H$79*'BTX recycling rates'!J44</f>
        <v>79.532615320038786</v>
      </c>
      <c r="I82" s="216">
        <f>I$79*'BTX recycling rates'!K44</f>
        <v>94.408715030953971</v>
      </c>
      <c r="J82" s="216">
        <f>J$79*'BTX recycling rates'!L44</f>
        <v>108.79312523048156</v>
      </c>
      <c r="K82" s="216">
        <f>K$79*'BTX recycling rates'!M44</f>
        <v>122.63152041825482</v>
      </c>
      <c r="L82" s="216">
        <f>L$79*'BTX recycling rates'!N44</f>
        <v>135.87400424099846</v>
      </c>
      <c r="M82" s="216">
        <f>M$79*'BTX recycling rates'!O44</f>
        <v>148.47501589652765</v>
      </c>
      <c r="N82" s="216">
        <f>N$79*'BTX recycling rates'!P44</f>
        <v>162.93662032942379</v>
      </c>
      <c r="O82" s="216">
        <f>O$79*'BTX recycling rates'!Q44</f>
        <v>176.50078267024472</v>
      </c>
      <c r="P82" s="216">
        <f>P$79*'BTX recycling rates'!R44</f>
        <v>189.02454074701905</v>
      </c>
      <c r="Q82" s="216">
        <f>Q$79*'BTX recycling rates'!S44</f>
        <v>200.38325074239961</v>
      </c>
      <c r="R82" s="216">
        <f>R$79*'BTX recycling rates'!T44</f>
        <v>210.4701121476559</v>
      </c>
      <c r="S82" s="216">
        <f>S$79*'BTX recycling rates'!U44</f>
        <v>219.19569271666722</v>
      </c>
      <c r="T82" s="216">
        <f>T$79*'BTX recycling rates'!V44</f>
        <v>226.48745341991534</v>
      </c>
      <c r="U82" s="216">
        <f>U$79*'BTX recycling rates'!W44</f>
        <v>232.28927339847712</v>
      </c>
      <c r="V82" s="216">
        <f>V$79*'BTX recycling rates'!X44</f>
        <v>236.56097491801719</v>
      </c>
      <c r="W82" s="216">
        <f>W$79*'BTX recycling rates'!Y44</f>
        <v>239.2778483227811</v>
      </c>
      <c r="X82" s="216">
        <f>X$79*'BTX recycling rates'!Z44</f>
        <v>245.38214254619979</v>
      </c>
      <c r="Y82" s="216">
        <f>Y$79*'BTX recycling rates'!AA44</f>
        <v>249.53183043249288</v>
      </c>
      <c r="Z82" s="216">
        <f>Z$79*'BTX recycling rates'!AB44</f>
        <v>251.69258630607987</v>
      </c>
      <c r="AA82" s="216">
        <f>AA$79*'BTX recycling rates'!AC44</f>
        <v>251.8535411557111</v>
      </c>
      <c r="AB82" s="216">
        <f>AB$79*'BTX recycling rates'!AD44</f>
        <v>250.02651317597136</v>
      </c>
      <c r="AC82" s="216">
        <f>AC$79*'BTX recycling rates'!AE44</f>
        <v>246.24523830878479</v>
      </c>
      <c r="AD82" s="216">
        <f>AD$79*'BTX recycling rates'!AF44</f>
        <v>240.56460078491858</v>
      </c>
      <c r="AE82" s="216">
        <f>AE$79*'BTX recycling rates'!AG44</f>
        <v>233.05986366548757</v>
      </c>
      <c r="AF82" s="216">
        <f>AF$79*'BTX recycling rates'!AH44</f>
        <v>223.82589938345825</v>
      </c>
      <c r="AG82" s="220">
        <f>AG$79*'BTX recycling rates'!AI44</f>
        <v>212.97642028515318</v>
      </c>
      <c r="AH82" s="230"/>
      <c r="AI82" s="126"/>
      <c r="AJ82" s="198"/>
      <c r="AL82" s="102"/>
      <c r="AM82" s="2"/>
      <c r="AN82" s="2"/>
      <c r="AO82" s="2"/>
      <c r="BC82" s="1"/>
      <c r="BD82" s="2"/>
      <c r="BE82" s="2"/>
      <c r="BF82" s="2"/>
      <c r="BG82" s="2"/>
      <c r="BH82" s="2"/>
      <c r="BI82" s="2"/>
      <c r="BJ82" s="2"/>
      <c r="BK82" s="2"/>
    </row>
    <row r="83" spans="1:63" outlineLevel="1">
      <c r="A83" s="4" t="s">
        <v>1159</v>
      </c>
      <c r="C83" s="216">
        <f>C$79*'BTX recycling rates'!E45</f>
        <v>0</v>
      </c>
      <c r="D83" s="216">
        <f>D$79*'BTX recycling rates'!F45</f>
        <v>1.4544101366965576</v>
      </c>
      <c r="E83" s="216">
        <f>E$79*'BTX recycling rates'!G45</f>
        <v>2.8881253499866819</v>
      </c>
      <c r="F83" s="216">
        <f>F$79*'BTX recycling rates'!H45</f>
        <v>4.3052808963616132</v>
      </c>
      <c r="G83" s="216">
        <f>G$79*'BTX recycling rates'!I45</f>
        <v>5.6957241055031833</v>
      </c>
      <c r="H83" s="216">
        <f>H$79*'BTX recycling rates'!J45</f>
        <v>7.0534088698424302</v>
      </c>
      <c r="I83" s="216">
        <f>I$79*'BTX recycling rates'!K45</f>
        <v>8.3727067858911237</v>
      </c>
      <c r="J83" s="216">
        <f>J$79*'BTX recycling rates'!L45</f>
        <v>9.6483988536111251</v>
      </c>
      <c r="K83" s="216">
        <f>K$79*'BTX recycling rates'!M45</f>
        <v>10.875667175783748</v>
      </c>
      <c r="L83" s="216">
        <f>L$79*'BTX recycling rates'!N45</f>
        <v>12.050086657379131</v>
      </c>
      <c r="M83" s="216">
        <f>M$79*'BTX recycling rates'!O45</f>
        <v>13.167616704925594</v>
      </c>
      <c r="N83" s="216">
        <f>N$79*'BTX recycling rates'!P45</f>
        <v>14.450154800380901</v>
      </c>
      <c r="O83" s="216">
        <f>O$79*'BTX recycling rates'!Q45</f>
        <v>15.653102579499432</v>
      </c>
      <c r="P83" s="216">
        <f>P$79*'BTX recycling rates'!R45</f>
        <v>16.763781336221069</v>
      </c>
      <c r="Q83" s="216">
        <f>Q$79*'BTX recycling rates'!S45</f>
        <v>17.771136941327125</v>
      </c>
      <c r="R83" s="216">
        <f>R$79*'BTX recycling rates'!T45</f>
        <v>18.665697712633484</v>
      </c>
      <c r="S83" s="216">
        <f>S$79*'BTX recycling rates'!U45</f>
        <v>19.439532285183777</v>
      </c>
      <c r="T83" s="216">
        <f>T$79*'BTX recycling rates'!V45</f>
        <v>20.086207481442539</v>
      </c>
      <c r="U83" s="216">
        <f>U$79*'BTX recycling rates'!W45</f>
        <v>20.600746181488354</v>
      </c>
      <c r="V83" s="216">
        <f>V$79*'BTX recycling rates'!X45</f>
        <v>20.979585193207008</v>
      </c>
      <c r="W83" s="216">
        <f>W$79*'BTX recycling rates'!Y45</f>
        <v>21.220533122484674</v>
      </c>
      <c r="X83" s="216">
        <f>X$79*'BTX recycling rates'!Z45</f>
        <v>21.761896974865639</v>
      </c>
      <c r="Y83" s="216">
        <f>Y$79*'BTX recycling rates'!AA45</f>
        <v>22.129915117189729</v>
      </c>
      <c r="Z83" s="216">
        <f>Z$79*'BTX recycling rates'!AB45</f>
        <v>22.321543351505856</v>
      </c>
      <c r="AA83" s="216">
        <f>AA$79*'BTX recycling rates'!AC45</f>
        <v>22.335817751504706</v>
      </c>
      <c r="AB83" s="216">
        <f>AB$79*'BTX recycling rates'!AD45</f>
        <v>22.173786422522372</v>
      </c>
      <c r="AC83" s="216">
        <f>AC$79*'BTX recycling rates'!AE45</f>
        <v>21.838441261544041</v>
      </c>
      <c r="AD83" s="216">
        <f>AD$79*'BTX recycling rates'!AF45</f>
        <v>21.334649717207615</v>
      </c>
      <c r="AE83" s="216">
        <f>AE$79*'BTX recycling rates'!AG45</f>
        <v>20.669086549807368</v>
      </c>
      <c r="AF83" s="216">
        <f>AF$79*'BTX recycling rates'!AH45</f>
        <v>19.850165591297614</v>
      </c>
      <c r="AG83" s="220">
        <f>AG$79*'BTX recycling rates'!AI45</f>
        <v>18.88797150529636</v>
      </c>
      <c r="AH83" s="230"/>
      <c r="AI83" s="126"/>
      <c r="AJ83" s="198"/>
      <c r="AL83" s="102"/>
      <c r="AM83" s="2"/>
      <c r="AN83" s="2"/>
      <c r="AO83" s="2"/>
      <c r="BC83" s="1"/>
      <c r="BD83" s="2"/>
      <c r="BE83" s="2"/>
      <c r="BF83" s="2"/>
      <c r="BG83" s="2"/>
      <c r="BH83" s="2"/>
      <c r="BI83" s="2"/>
      <c r="BJ83" s="2"/>
      <c r="BK83" s="2"/>
    </row>
    <row r="84" spans="1:63" s="1" customFormat="1" outlineLevel="1">
      <c r="A84" s="1" t="s">
        <v>1164</v>
      </c>
      <c r="B84" s="61"/>
      <c r="C84" s="279">
        <f>C79-$C79</f>
        <v>0</v>
      </c>
      <c r="D84" s="279">
        <f t="shared" ref="D84:AG84" si="39">D79-$C79</f>
        <v>-2.6774461633003739</v>
      </c>
      <c r="E84" s="279">
        <f t="shared" si="39"/>
        <v>-50.946125088553345</v>
      </c>
      <c r="F84" s="279">
        <f t="shared" si="39"/>
        <v>-92.784777224814206</v>
      </c>
      <c r="G84" s="279">
        <f t="shared" si="39"/>
        <v>-144.85592743691268</v>
      </c>
      <c r="H84" s="279">
        <f t="shared" si="39"/>
        <v>-206.66083464901203</v>
      </c>
      <c r="I84" s="279">
        <f t="shared" si="39"/>
        <v>-277.70850191588943</v>
      </c>
      <c r="J84" s="279">
        <f t="shared" si="39"/>
        <v>-357.51567642293867</v>
      </c>
      <c r="K84" s="279">
        <f t="shared" si="39"/>
        <v>-445.60684948617654</v>
      </c>
      <c r="L84" s="279">
        <f t="shared" si="39"/>
        <v>-541.51425655223557</v>
      </c>
      <c r="M84" s="279">
        <f t="shared" si="39"/>
        <v>-644.77787719836761</v>
      </c>
      <c r="N84" s="279">
        <f t="shared" si="39"/>
        <v>-659.29111376460423</v>
      </c>
      <c r="O84" s="279">
        <f t="shared" si="39"/>
        <v>-702.32478370920671</v>
      </c>
      <c r="P84" s="279">
        <f t="shared" si="39"/>
        <v>-771.8467432877469</v>
      </c>
      <c r="Q84" s="279">
        <f t="shared" si="39"/>
        <v>-865.86415404974923</v>
      </c>
      <c r="R84" s="279">
        <f t="shared" si="39"/>
        <v>-982.42348283870433</v>
      </c>
      <c r="S84" s="279">
        <f t="shared" si="39"/>
        <v>-1119.6105017920527</v>
      </c>
      <c r="T84" s="279">
        <f t="shared" si="39"/>
        <v>-1275.5502883411909</v>
      </c>
      <c r="U84" s="279">
        <f t="shared" si="39"/>
        <v>-1448.407225211472</v>
      </c>
      <c r="V84" s="279">
        <f t="shared" si="39"/>
        <v>-1636.3850004222095</v>
      </c>
      <c r="W84" s="279">
        <f t="shared" si="39"/>
        <v>-1837.7266072866641</v>
      </c>
      <c r="X84" s="279">
        <f t="shared" si="39"/>
        <v>-1953.1606544298074</v>
      </c>
      <c r="Y84" s="279">
        <f t="shared" si="39"/>
        <v>-2094.8561691375235</v>
      </c>
      <c r="Z84" s="279">
        <f t="shared" si="39"/>
        <v>-2260.0051568320323</v>
      </c>
      <c r="AA84" s="279">
        <f t="shared" si="39"/>
        <v>-2445.8632879109373</v>
      </c>
      <c r="AB84" s="279">
        <f t="shared" si="39"/>
        <v>-2649.749897747236</v>
      </c>
      <c r="AC84" s="279">
        <f t="shared" si="39"/>
        <v>-2869.0479866893102</v>
      </c>
      <c r="AD84" s="279">
        <f t="shared" si="39"/>
        <v>-3101.2042200609358</v>
      </c>
      <c r="AE84" s="279">
        <f t="shared" si="39"/>
        <v>-3343.728928161278</v>
      </c>
      <c r="AF84" s="279">
        <f t="shared" si="39"/>
        <v>-3594.1961062648929</v>
      </c>
      <c r="AG84" s="279">
        <f t="shared" si="39"/>
        <v>-3850.2434146217279</v>
      </c>
      <c r="AH84" s="230"/>
      <c r="AI84" s="398"/>
      <c r="AJ84" s="399"/>
      <c r="AL84" s="207"/>
      <c r="AM84" s="118"/>
      <c r="AN84" s="118"/>
      <c r="AO84" s="118"/>
      <c r="BD84" s="118"/>
      <c r="BE84" s="118"/>
      <c r="BF84" s="118"/>
      <c r="BG84" s="118"/>
      <c r="BH84" s="118"/>
      <c r="BI84" s="118"/>
      <c r="BJ84" s="118"/>
      <c r="BK84" s="118"/>
    </row>
    <row r="85" spans="1:63" outlineLevel="1">
      <c r="A85" s="4" t="s">
        <v>35</v>
      </c>
      <c r="C85" s="216">
        <f>C80-$C80</f>
        <v>0</v>
      </c>
      <c r="D85" s="216">
        <f t="shared" ref="D85:AG85" si="40">D80-$C80</f>
        <v>-92.863769388280161</v>
      </c>
      <c r="E85" s="216">
        <f t="shared" si="40"/>
        <v>-229.87601629226901</v>
      </c>
      <c r="F85" s="216">
        <f t="shared" si="40"/>
        <v>-359.45375832352875</v>
      </c>
      <c r="G85" s="216">
        <f t="shared" si="40"/>
        <v>-497.57165953848107</v>
      </c>
      <c r="H85" s="216">
        <f t="shared" si="40"/>
        <v>-643.35777091513046</v>
      </c>
      <c r="I85" s="216">
        <f t="shared" si="40"/>
        <v>-795.97376453838297</v>
      </c>
      <c r="J85" s="216">
        <f t="shared" si="40"/>
        <v>-954.6144188339531</v>
      </c>
      <c r="K85" s="216">
        <f t="shared" si="40"/>
        <v>-1118.5071038022616</v>
      </c>
      <c r="L85" s="216">
        <f t="shared" si="40"/>
        <v>-1286.9112662523285</v>
      </c>
      <c r="M85" s="216">
        <f t="shared" si="40"/>
        <v>-1459.1179150356747</v>
      </c>
      <c r="N85" s="216">
        <f t="shared" si="40"/>
        <v>-1553.1174093490608</v>
      </c>
      <c r="O85" s="216">
        <f t="shared" si="40"/>
        <v>-1670.6018332420363</v>
      </c>
      <c r="P85" s="216">
        <f t="shared" si="40"/>
        <v>-1808.7598720815831</v>
      </c>
      <c r="Q85" s="216">
        <f t="shared" si="40"/>
        <v>-1964.9201277672182</v>
      </c>
      <c r="R85" s="216">
        <f t="shared" si="40"/>
        <v>-2136.5485060383744</v>
      </c>
      <c r="S85" s="216">
        <f t="shared" si="40"/>
        <v>-2321.2456037817565</v>
      </c>
      <c r="T85" s="216">
        <f t="shared" si="40"/>
        <v>-2516.7440963387189</v>
      </c>
      <c r="U85" s="216">
        <f t="shared" si="40"/>
        <v>-2720.9061248126377</v>
      </c>
      <c r="V85" s="216">
        <f t="shared" si="40"/>
        <v>-2931.7206833762802</v>
      </c>
      <c r="W85" s="216">
        <f t="shared" si="40"/>
        <v>-3147.3010065791691</v>
      </c>
      <c r="X85" s="216">
        <f t="shared" si="40"/>
        <v>-3295.9044233149971</v>
      </c>
      <c r="Y85" s="216">
        <f t="shared" si="40"/>
        <v>-3459.9274305861722</v>
      </c>
      <c r="Z85" s="216">
        <f t="shared" si="40"/>
        <v>-3636.3830616441746</v>
      </c>
      <c r="AA85" s="216">
        <f t="shared" si="40"/>
        <v>-3822.4768008609108</v>
      </c>
      <c r="AB85" s="216">
        <f t="shared" si="40"/>
        <v>-4015.6023518048437</v>
      </c>
      <c r="AC85" s="216">
        <f t="shared" si="40"/>
        <v>-4213.3374053171119</v>
      </c>
      <c r="AD85" s="216">
        <f t="shared" si="40"/>
        <v>-4413.4394075876608</v>
      </c>
      <c r="AE85" s="216">
        <f t="shared" si="40"/>
        <v>-4613.8413282313613</v>
      </c>
      <c r="AF85" s="216">
        <f t="shared" si="40"/>
        <v>-4812.6474283641355</v>
      </c>
      <c r="AG85" s="216">
        <f t="shared" si="40"/>
        <v>-5008.1290286790791</v>
      </c>
      <c r="AH85" s="230"/>
      <c r="AI85" s="126"/>
      <c r="AJ85" s="198"/>
      <c r="AL85" s="102"/>
      <c r="AM85" s="2"/>
      <c r="AN85" s="2"/>
      <c r="AO85" s="2"/>
      <c r="BC85" s="1"/>
      <c r="BD85" s="2"/>
      <c r="BE85" s="2"/>
      <c r="BF85" s="2"/>
      <c r="BG85" s="2"/>
      <c r="BH85" s="2"/>
      <c r="BI85" s="2"/>
      <c r="BJ85" s="2"/>
      <c r="BK85" s="2"/>
    </row>
    <row r="86" spans="1:63" outlineLevel="1">
      <c r="A86" s="4" t="s">
        <v>74</v>
      </c>
      <c r="C86" s="216">
        <f t="shared" ref="C86:AG88" si="41">C81-$C81</f>
        <v>0</v>
      </c>
      <c r="D86" s="216">
        <f t="shared" si="41"/>
        <v>72.332319068712778</v>
      </c>
      <c r="E86" s="216">
        <f t="shared" si="41"/>
        <v>143.47592900870393</v>
      </c>
      <c r="F86" s="216">
        <f t="shared" si="41"/>
        <v>213.81834352537766</v>
      </c>
      <c r="G86" s="216">
        <f t="shared" si="41"/>
        <v>282.79633365487012</v>
      </c>
      <c r="H86" s="216">
        <f t="shared" si="41"/>
        <v>350.11091207623627</v>
      </c>
      <c r="I86" s="216">
        <f t="shared" si="41"/>
        <v>415.4838408056475</v>
      </c>
      <c r="J86" s="216">
        <f t="shared" si="41"/>
        <v>478.65721832692026</v>
      </c>
      <c r="K86" s="216">
        <f t="shared" si="41"/>
        <v>539.39306672204475</v>
      </c>
      <c r="L86" s="216">
        <f t="shared" si="41"/>
        <v>597.47291880171372</v>
      </c>
      <c r="M86" s="216">
        <f t="shared" si="41"/>
        <v>652.69740523585187</v>
      </c>
      <c r="N86" s="216">
        <f t="shared" si="41"/>
        <v>716.43952045465016</v>
      </c>
      <c r="O86" s="216">
        <f t="shared" si="41"/>
        <v>776.12316428308338</v>
      </c>
      <c r="P86" s="216">
        <f t="shared" si="41"/>
        <v>831.12480671059393</v>
      </c>
      <c r="Q86" s="216">
        <f t="shared" si="41"/>
        <v>880.90158603373982</v>
      </c>
      <c r="R86" s="216">
        <f t="shared" si="41"/>
        <v>924.98921333937778</v>
      </c>
      <c r="S86" s="216">
        <f t="shared" si="41"/>
        <v>962.99987698784969</v>
      </c>
      <c r="T86" s="216">
        <f t="shared" si="41"/>
        <v>994.62014709616756</v>
      </c>
      <c r="U86" s="216">
        <f t="shared" si="41"/>
        <v>1019.6088800211974</v>
      </c>
      <c r="V86" s="216">
        <f t="shared" si="41"/>
        <v>1037.7951228428437</v>
      </c>
      <c r="W86" s="216">
        <f t="shared" si="41"/>
        <v>1049.0760178472367</v>
      </c>
      <c r="X86" s="216">
        <f t="shared" si="41"/>
        <v>1075.5997293641212</v>
      </c>
      <c r="Y86" s="216">
        <f t="shared" si="41"/>
        <v>1093.4095158989633</v>
      </c>
      <c r="Z86" s="216">
        <f t="shared" si="41"/>
        <v>1102.3637751545539</v>
      </c>
      <c r="AA86" s="216">
        <f t="shared" si="41"/>
        <v>1102.4241540427547</v>
      </c>
      <c r="AB86" s="216">
        <f t="shared" si="41"/>
        <v>1093.6521544591108</v>
      </c>
      <c r="AC86" s="216">
        <f t="shared" si="41"/>
        <v>1076.2057390574701</v>
      </c>
      <c r="AD86" s="216">
        <f t="shared" si="41"/>
        <v>1050.335937024596</v>
      </c>
      <c r="AE86" s="216">
        <f t="shared" si="41"/>
        <v>1016.3834498547853</v>
      </c>
      <c r="AF86" s="216">
        <f t="shared" si="41"/>
        <v>974.77525712448391</v>
      </c>
      <c r="AG86" s="216">
        <f t="shared" si="41"/>
        <v>926.02122226690221</v>
      </c>
      <c r="AH86" s="230"/>
      <c r="AI86" s="126"/>
      <c r="AJ86" s="198"/>
      <c r="AL86" s="102"/>
      <c r="AM86" s="2"/>
      <c r="AN86" s="2"/>
      <c r="AO86" s="2"/>
      <c r="BC86" s="1"/>
      <c r="BD86" s="2"/>
      <c r="BE86" s="2"/>
      <c r="BF86" s="2"/>
      <c r="BG86" s="2"/>
      <c r="BH86" s="2"/>
      <c r="BI86" s="2"/>
      <c r="BJ86" s="2"/>
      <c r="BK86" s="2"/>
    </row>
    <row r="87" spans="1:63" outlineLevel="1">
      <c r="A87" s="4" t="s">
        <v>160</v>
      </c>
      <c r="C87" s="216">
        <f t="shared" si="41"/>
        <v>0</v>
      </c>
      <c r="D87" s="216">
        <f t="shared" si="41"/>
        <v>16.399594019570344</v>
      </c>
      <c r="E87" s="216">
        <f t="shared" si="41"/>
        <v>32.565836845025338</v>
      </c>
      <c r="F87" s="216">
        <f t="shared" si="41"/>
        <v>48.545356676974997</v>
      </c>
      <c r="G87" s="216">
        <f t="shared" si="41"/>
        <v>64.223674341195021</v>
      </c>
      <c r="H87" s="216">
        <f t="shared" si="41"/>
        <v>79.532615320038786</v>
      </c>
      <c r="I87" s="216">
        <f t="shared" si="41"/>
        <v>94.408715030953971</v>
      </c>
      <c r="J87" s="216">
        <f t="shared" si="41"/>
        <v>108.79312523048156</v>
      </c>
      <c r="K87" s="216">
        <f t="shared" si="41"/>
        <v>122.63152041825482</v>
      </c>
      <c r="L87" s="216">
        <f t="shared" si="41"/>
        <v>135.87400424099846</v>
      </c>
      <c r="M87" s="216">
        <f t="shared" si="41"/>
        <v>148.47501589652765</v>
      </c>
      <c r="N87" s="216">
        <f t="shared" si="41"/>
        <v>162.93662032942379</v>
      </c>
      <c r="O87" s="216">
        <f t="shared" si="41"/>
        <v>176.50078267024472</v>
      </c>
      <c r="P87" s="216">
        <f t="shared" si="41"/>
        <v>189.02454074701905</v>
      </c>
      <c r="Q87" s="216">
        <f t="shared" si="41"/>
        <v>200.38325074239961</v>
      </c>
      <c r="R87" s="216">
        <f t="shared" si="41"/>
        <v>210.4701121476559</v>
      </c>
      <c r="S87" s="216">
        <f t="shared" si="41"/>
        <v>219.19569271666722</v>
      </c>
      <c r="T87" s="216">
        <f t="shared" si="41"/>
        <v>226.48745341991534</v>
      </c>
      <c r="U87" s="216">
        <f t="shared" si="41"/>
        <v>232.28927339847712</v>
      </c>
      <c r="V87" s="216">
        <f t="shared" si="41"/>
        <v>236.56097491801719</v>
      </c>
      <c r="W87" s="216">
        <f t="shared" si="41"/>
        <v>239.2778483227811</v>
      </c>
      <c r="X87" s="216">
        <f t="shared" si="41"/>
        <v>245.38214254619979</v>
      </c>
      <c r="Y87" s="216">
        <f t="shared" si="41"/>
        <v>249.53183043249288</v>
      </c>
      <c r="Z87" s="216">
        <f t="shared" si="41"/>
        <v>251.69258630607987</v>
      </c>
      <c r="AA87" s="216">
        <f t="shared" si="41"/>
        <v>251.8535411557111</v>
      </c>
      <c r="AB87" s="216">
        <f t="shared" si="41"/>
        <v>250.02651317597136</v>
      </c>
      <c r="AC87" s="216">
        <f t="shared" si="41"/>
        <v>246.24523830878479</v>
      </c>
      <c r="AD87" s="216">
        <f t="shared" si="41"/>
        <v>240.56460078491858</v>
      </c>
      <c r="AE87" s="216">
        <f t="shared" si="41"/>
        <v>233.05986366548757</v>
      </c>
      <c r="AF87" s="216">
        <f t="shared" si="41"/>
        <v>223.82589938345825</v>
      </c>
      <c r="AG87" s="216">
        <f t="shared" si="41"/>
        <v>212.97642028515318</v>
      </c>
      <c r="AH87" s="230"/>
      <c r="AI87" s="126"/>
      <c r="AJ87" s="198"/>
      <c r="AL87" s="102"/>
      <c r="AM87" s="2"/>
      <c r="AN87" s="2"/>
      <c r="AO87" s="2"/>
      <c r="BC87" s="1"/>
      <c r="BD87" s="2"/>
      <c r="BE87" s="2"/>
      <c r="BF87" s="2"/>
      <c r="BG87" s="2"/>
      <c r="BH87" s="2"/>
      <c r="BI87" s="2"/>
      <c r="BJ87" s="2"/>
      <c r="BK87" s="2"/>
    </row>
    <row r="88" spans="1:63" outlineLevel="1">
      <c r="A88" s="4" t="s">
        <v>1159</v>
      </c>
      <c r="C88" s="216">
        <f t="shared" si="41"/>
        <v>0</v>
      </c>
      <c r="D88" s="216">
        <f t="shared" si="41"/>
        <v>1.4544101366965576</v>
      </c>
      <c r="E88" s="216">
        <f t="shared" si="41"/>
        <v>2.8881253499866819</v>
      </c>
      <c r="F88" s="216">
        <f t="shared" si="41"/>
        <v>4.3052808963616132</v>
      </c>
      <c r="G88" s="216">
        <f t="shared" si="41"/>
        <v>5.6957241055031833</v>
      </c>
      <c r="H88" s="216">
        <f t="shared" si="41"/>
        <v>7.0534088698424302</v>
      </c>
      <c r="I88" s="216">
        <f t="shared" si="41"/>
        <v>8.3727067858911237</v>
      </c>
      <c r="J88" s="216">
        <f t="shared" si="41"/>
        <v>9.6483988536111251</v>
      </c>
      <c r="K88" s="216">
        <f t="shared" si="41"/>
        <v>10.875667175783748</v>
      </c>
      <c r="L88" s="216">
        <f t="shared" si="41"/>
        <v>12.050086657379131</v>
      </c>
      <c r="M88" s="216">
        <f t="shared" si="41"/>
        <v>13.167616704925594</v>
      </c>
      <c r="N88" s="216">
        <f t="shared" si="41"/>
        <v>14.450154800380901</v>
      </c>
      <c r="O88" s="216">
        <f t="shared" si="41"/>
        <v>15.653102579499432</v>
      </c>
      <c r="P88" s="216">
        <f t="shared" si="41"/>
        <v>16.763781336221069</v>
      </c>
      <c r="Q88" s="216">
        <f t="shared" si="41"/>
        <v>17.771136941327125</v>
      </c>
      <c r="R88" s="216">
        <f t="shared" si="41"/>
        <v>18.665697712633484</v>
      </c>
      <c r="S88" s="216">
        <f t="shared" si="41"/>
        <v>19.439532285183777</v>
      </c>
      <c r="T88" s="216">
        <f t="shared" si="41"/>
        <v>20.086207481442539</v>
      </c>
      <c r="U88" s="216">
        <f t="shared" si="41"/>
        <v>20.600746181488354</v>
      </c>
      <c r="V88" s="216">
        <f t="shared" si="41"/>
        <v>20.979585193207008</v>
      </c>
      <c r="W88" s="216">
        <f t="shared" si="41"/>
        <v>21.220533122484674</v>
      </c>
      <c r="X88" s="216">
        <f t="shared" si="41"/>
        <v>21.761896974865639</v>
      </c>
      <c r="Y88" s="216">
        <f t="shared" si="41"/>
        <v>22.129915117189729</v>
      </c>
      <c r="Z88" s="216">
        <f t="shared" si="41"/>
        <v>22.321543351505856</v>
      </c>
      <c r="AA88" s="216">
        <f t="shared" si="41"/>
        <v>22.335817751504706</v>
      </c>
      <c r="AB88" s="216">
        <f t="shared" si="41"/>
        <v>22.173786422522372</v>
      </c>
      <c r="AC88" s="216">
        <f t="shared" si="41"/>
        <v>21.838441261544041</v>
      </c>
      <c r="AD88" s="216">
        <f t="shared" si="41"/>
        <v>21.334649717207615</v>
      </c>
      <c r="AE88" s="216">
        <f t="shared" si="41"/>
        <v>20.669086549807368</v>
      </c>
      <c r="AF88" s="216">
        <f t="shared" si="41"/>
        <v>19.850165591297614</v>
      </c>
      <c r="AG88" s="216">
        <f t="shared" si="41"/>
        <v>18.88797150529636</v>
      </c>
      <c r="AH88" s="230"/>
      <c r="AI88" s="126"/>
      <c r="AJ88" s="198"/>
      <c r="AL88" s="102"/>
      <c r="AM88" s="2"/>
      <c r="AN88" s="2"/>
      <c r="AO88" s="2"/>
      <c r="BC88" s="1"/>
      <c r="BD88" s="2"/>
      <c r="BE88" s="2"/>
      <c r="BF88" s="2"/>
      <c r="BG88" s="2"/>
      <c r="BH88" s="2"/>
      <c r="BI88" s="2"/>
      <c r="BJ88" s="2"/>
      <c r="BK88" s="2"/>
    </row>
    <row r="89" spans="1:63" s="1" customFormat="1" outlineLevel="1">
      <c r="A89" s="1" t="s">
        <v>1169</v>
      </c>
      <c r="B89" s="61"/>
      <c r="C89" s="279">
        <f>'BTX Recycling HC'!C89</f>
        <v>6.5365807969336009E-4</v>
      </c>
      <c r="D89" s="279">
        <f>'BTX Recycling HC'!D89</f>
        <v>7.1797483661328952E-4</v>
      </c>
      <c r="E89" s="279">
        <f>'BTX Recycling HC'!E89</f>
        <v>7.8450039339388186E-4</v>
      </c>
      <c r="F89" s="279">
        <f>'BTX Recycling HC'!F89</f>
        <v>8.5317774673163886E-4</v>
      </c>
      <c r="G89" s="279">
        <f>'BTX Recycling HC'!G89</f>
        <v>9.2394989332306231E-4</v>
      </c>
      <c r="H89" s="279">
        <f>'BTX Recycling HC'!H89</f>
        <v>9.9675982986465405E-4</v>
      </c>
      <c r="I89" s="279">
        <f>'BTX Recycling HC'!I89</f>
        <v>1.0715505530529163E-3</v>
      </c>
      <c r="J89" s="279">
        <f>'BTX Recycling HC'!J89</f>
        <v>1.1482650595843504E-3</v>
      </c>
      <c r="K89" s="279">
        <f>'BTX Recycling HC'!K89</f>
        <v>1.2268463461554582E-3</v>
      </c>
      <c r="L89" s="279">
        <f>'BTX Recycling HC'!L89</f>
        <v>1.3072374094627421E-3</v>
      </c>
      <c r="M89" s="279">
        <f>'BTX Recycling HC'!M89</f>
        <v>1.3893812462027026E-3</v>
      </c>
      <c r="N89" s="279">
        <f>'BTX Recycling HC'!N89</f>
        <v>1.575145089186158E-3</v>
      </c>
      <c r="O89" s="279">
        <f>'BTX Recycling HC'!O89</f>
        <v>1.770913080103451E-3</v>
      </c>
      <c r="P89" s="279">
        <f>'BTX Recycling HC'!P89</f>
        <v>1.9764349658153613E-3</v>
      </c>
      <c r="Q89" s="279">
        <f>'BTX Recycling HC'!Q89</f>
        <v>2.1914604931826676E-3</v>
      </c>
      <c r="R89" s="279">
        <f>'BTX Recycling HC'!R89</f>
        <v>2.4157394090661478E-3</v>
      </c>
      <c r="S89" s="279">
        <f>'BTX Recycling HC'!S89</f>
        <v>2.6490214603265816E-3</v>
      </c>
      <c r="T89" s="279">
        <f>'BTX Recycling HC'!T89</f>
        <v>2.8910563938247479E-3</v>
      </c>
      <c r="U89" s="279">
        <f>'BTX Recycling HC'!U89</f>
        <v>3.1415939564214258E-3</v>
      </c>
      <c r="V89" s="279">
        <f>'BTX Recycling HC'!V89</f>
        <v>3.4003838949773937E-3</v>
      </c>
      <c r="W89" s="279">
        <f>'BTX Recycling HC'!W89</f>
        <v>3.66717595635343E-3</v>
      </c>
      <c r="X89" s="279">
        <f>'BTX Recycling HC'!X89</f>
        <v>4.1555668297492661E-3</v>
      </c>
      <c r="Y89" s="279">
        <f>'BTX Recycling HC'!Y89</f>
        <v>4.669857066884873E-3</v>
      </c>
      <c r="Z89" s="279">
        <f>'BTX Recycling HC'!Z89</f>
        <v>5.2093398610300124E-3</v>
      </c>
      <c r="AA89" s="279">
        <f>'BTX Recycling HC'!AA89</f>
        <v>5.77330840545445E-3</v>
      </c>
      <c r="AB89" s="279">
        <f>'BTX Recycling HC'!AB89</f>
        <v>6.361055893427948E-3</v>
      </c>
      <c r="AC89" s="279">
        <f>'BTX Recycling HC'!AC89</f>
        <v>6.9718755182202668E-3</v>
      </c>
      <c r="AD89" s="279">
        <f>'BTX Recycling HC'!AD89</f>
        <v>7.6050604731011757E-3</v>
      </c>
      <c r="AE89" s="279">
        <f>'BTX Recycling HC'!AE89</f>
        <v>8.2599039513404308E-3</v>
      </c>
      <c r="AF89" s="279">
        <f>'BTX Recycling HC'!AF89</f>
        <v>8.9356991462077977E-3</v>
      </c>
      <c r="AG89" s="279">
        <f>'BTX Recycling HC'!AG89</f>
        <v>9.6317392509730412E-3</v>
      </c>
      <c r="AH89" s="230"/>
      <c r="AI89" s="398"/>
      <c r="AJ89" s="399"/>
      <c r="AL89" s="207"/>
      <c r="AM89" s="118"/>
      <c r="AN89" s="118"/>
      <c r="AO89" s="118"/>
      <c r="BD89" s="118"/>
      <c r="BE89" s="118"/>
      <c r="BF89" s="118"/>
      <c r="BG89" s="118"/>
      <c r="BH89" s="118"/>
      <c r="BI89" s="118"/>
      <c r="BJ89" s="118"/>
      <c r="BK89" s="118"/>
    </row>
    <row r="90" spans="1:63" outlineLevel="1">
      <c r="A90" s="4" t="s">
        <v>35</v>
      </c>
      <c r="C90" s="216">
        <f>C$89*'BTX recycling rates'!E46</f>
        <v>6.5137337272937331E-4</v>
      </c>
      <c r="D90" s="216">
        <f>D$89*'BTX recycling rates'!F46</f>
        <v>6.916164814735798E-4</v>
      </c>
      <c r="E90" s="216">
        <f>E$89*'BTX recycling rates'!G46</f>
        <v>7.2964113424467609E-4</v>
      </c>
      <c r="F90" s="216">
        <f>F$89*'BTX recycling rates'!H46</f>
        <v>7.6517609943450057E-4</v>
      </c>
      <c r="G90" s="216">
        <f>G$89*'BTX recycling rates'!I46</f>
        <v>7.9795771930981881E-4</v>
      </c>
      <c r="H90" s="216">
        <f>H$89*'BTX recycling rates'!J46</f>
        <v>8.2772991001232377E-4</v>
      </c>
      <c r="I90" s="216">
        <f>I$89*'BTX recycling rates'!K46</f>
        <v>8.5424416155863625E-4</v>
      </c>
      <c r="J90" s="216">
        <f>J$89*'BTX recycling rates'!L46</f>
        <v>8.7725953784030346E-4</v>
      </c>
      <c r="K90" s="216">
        <f>K$89*'BTX recycling rates'!M46</f>
        <v>8.9654267662380046E-4</v>
      </c>
      <c r="L90" s="216">
        <f>L$89*'BTX recycling rates'!N46</f>
        <v>9.1186778955053001E-4</v>
      </c>
      <c r="M90" s="216">
        <f>M$89*'BTX recycling rates'!O46</f>
        <v>9.2301666213682088E-4</v>
      </c>
      <c r="N90" s="216">
        <f>N$89*'BTX recycling rates'!P46</f>
        <v>9.941050436995853E-4</v>
      </c>
      <c r="O90" s="216">
        <f>O$89*'BTX recycling rates'!Q46</f>
        <v>1.0588339637799767E-3</v>
      </c>
      <c r="P90" s="216">
        <f>P$89*'BTX recycling rates'!R46</f>
        <v>1.1160651898489476E-3</v>
      </c>
      <c r="Q90" s="216">
        <f>Q$89*'BTX recycling rates'!S46</f>
        <v>1.1646937398359376E-3</v>
      </c>
      <c r="R90" s="216">
        <f>R$89*'BTX recycling rates'!T46</f>
        <v>1.2036478821288738E-3</v>
      </c>
      <c r="S90" s="216">
        <f>S$89*'BTX recycling rates'!U46</f>
        <v>1.231889135574172E-3</v>
      </c>
      <c r="T90" s="216">
        <f>T$89*'BTX recycling rates'!V46</f>
        <v>1.2484122694767352E-3</v>
      </c>
      <c r="U90" s="216">
        <f>U$89*'BTX recycling rates'!W46</f>
        <v>1.252245303599955E-3</v>
      </c>
      <c r="V90" s="216">
        <f>V$89*'BTX recycling rates'!X46</f>
        <v>1.2424495081657095E-3</v>
      </c>
      <c r="W90" s="216">
        <f>W$89*'BTX recycling rates'!Y46</f>
        <v>1.2181194038543657E-3</v>
      </c>
      <c r="X90" s="216">
        <f>X$89*'BTX recycling rates'!Z46</f>
        <v>1.2423126091086767E-3</v>
      </c>
      <c r="Y90" s="216">
        <f>Y$89*'BTX recycling rates'!AA46</f>
        <v>1.2409425834162319E-3</v>
      </c>
      <c r="Z90" s="216">
        <f>Z$89*'BTX recycling rates'!AB46</f>
        <v>1.2112640977859758E-3</v>
      </c>
      <c r="AA90" s="216">
        <f>AA$89*'BTX recycling rates'!AC46</f>
        <v>1.150625834727488E-3</v>
      </c>
      <c r="AB90" s="216">
        <f>AB$89*'BTX recycling rates'!AD46</f>
        <v>1.0564703882509807E-3</v>
      </c>
      <c r="AC90" s="216">
        <f>AC$89*'BTX recycling rates'!AE46</f>
        <v>9.2633426386730096E-4</v>
      </c>
      <c r="AD90" s="216">
        <f>AD$89*'BTX recycling rates'!AF46</f>
        <v>7.5784787858793046E-4</v>
      </c>
      <c r="AE90" s="216">
        <f>AE$89*'BTX recycling rates'!AG46</f>
        <v>5.4873556092498393E-4</v>
      </c>
      <c r="AF90" s="216">
        <f>AF$89*'BTX recycling rates'!AH46</f>
        <v>2.9681555089121109E-4</v>
      </c>
      <c r="AG90" s="216">
        <f>AG$89*'BTX recycling rates'!AI46</f>
        <v>0</v>
      </c>
      <c r="AH90" s="230"/>
      <c r="AI90" s="126"/>
      <c r="AJ90" s="198"/>
      <c r="AL90" s="102"/>
      <c r="AM90" s="2"/>
      <c r="AN90" s="2"/>
      <c r="AO90" s="2"/>
      <c r="BC90" s="1"/>
      <c r="BD90" s="2"/>
      <c r="BE90" s="2"/>
      <c r="BF90" s="2"/>
      <c r="BG90" s="2"/>
      <c r="BH90" s="2"/>
      <c r="BI90" s="2"/>
      <c r="BJ90" s="2"/>
      <c r="BK90" s="2"/>
    </row>
    <row r="91" spans="1:63" outlineLevel="1">
      <c r="A91" s="4" t="s">
        <v>74</v>
      </c>
      <c r="C91" s="216">
        <f>C$89*'BTX recycling rates'!E47</f>
        <v>2.2847069639867844E-6</v>
      </c>
      <c r="D91" s="216">
        <f>D$89*'BTX recycling rates'!F47</f>
        <v>2.4258605859334489E-6</v>
      </c>
      <c r="E91" s="216">
        <f>E$89*'BTX recycling rates'!G47</f>
        <v>2.5592329229469813E-6</v>
      </c>
      <c r="F91" s="216">
        <f>F$89*'BTX recycling rates'!H47</f>
        <v>2.6838726239744146E-6</v>
      </c>
      <c r="G91" s="216">
        <f>G$89*'BTX recycling rates'!I47</f>
        <v>2.7988549035018653E-6</v>
      </c>
      <c r="H91" s="216">
        <f>H$89*'BTX recycling rates'!J47</f>
        <v>2.9032815415545331E-6</v>
      </c>
      <c r="I91" s="216">
        <f>I$89*'BTX recycling rates'!K47</f>
        <v>2.9962808836967022E-6</v>
      </c>
      <c r="J91" s="216">
        <f>J$89*'BTX recycling rates'!L47</f>
        <v>3.0770078410317361E-6</v>
      </c>
      <c r="K91" s="216">
        <f>K$89*'BTX recycling rates'!M47</f>
        <v>3.144643890202084E-6</v>
      </c>
      <c r="L91" s="216">
        <f>L$89*'BTX recycling rates'!N47</f>
        <v>3.198397073389279E-6</v>
      </c>
      <c r="M91" s="216">
        <f>M$89*'BTX recycling rates'!O47</f>
        <v>3.2375019983139322E-6</v>
      </c>
      <c r="N91" s="216">
        <f>N$89*'BTX recycling rates'!P47</f>
        <v>3.4868461183144847E-6</v>
      </c>
      <c r="O91" s="216">
        <f>O$89*'BTX recycling rates'!Q47</f>
        <v>3.7138842820934901E-6</v>
      </c>
      <c r="P91" s="216">
        <f>P$89*'BTX recycling rates'!R47</f>
        <v>3.9146241130899366E-6</v>
      </c>
      <c r="Q91" s="216">
        <f>Q$89*'BTX recycling rates'!S47</f>
        <v>4.0851898614844688E-6</v>
      </c>
      <c r="R91" s="216">
        <f>R$89*'BTX recycling rates'!T47</f>
        <v>4.2218224041993826E-6</v>
      </c>
      <c r="S91" s="216">
        <f>S$89*'BTX recycling rates'!U47</f>
        <v>4.3208792448986351E-6</v>
      </c>
      <c r="T91" s="216">
        <f>T$89*'BTX recycling rates'!V47</f>
        <v>4.3788345139878391E-6</v>
      </c>
      <c r="U91" s="216">
        <f>U$89*'BTX recycling rates'!W47</f>
        <v>4.39227896861426E-6</v>
      </c>
      <c r="V91" s="216">
        <f>V$89*'BTX recycling rates'!X47</f>
        <v>4.3579199926668224E-6</v>
      </c>
      <c r="W91" s="216">
        <f>W$89*'BTX recycling rates'!Y47</f>
        <v>4.2725815967761042E-6</v>
      </c>
      <c r="X91" s="216">
        <f>X$89*'BTX recycling rates'!Z47</f>
        <v>4.3574398161013378E-6</v>
      </c>
      <c r="Y91" s="216">
        <f>Y$89*'BTX recycling rates'!AA47</f>
        <v>4.3526344197320432E-6</v>
      </c>
      <c r="Z91" s="216">
        <f>Z$89*'BTX recycling rates'!AB47</f>
        <v>4.2485364543578913E-6</v>
      </c>
      <c r="AA91" s="216">
        <f>AA$89*'BTX recycling rates'!AC47</f>
        <v>4.0358463633993389E-6</v>
      </c>
      <c r="AB91" s="216">
        <f>AB$89*'BTX recycling rates'!AD47</f>
        <v>3.7055939870076255E-6</v>
      </c>
      <c r="AC91" s="216">
        <f>AC$89*'BTX recycling rates'!AE47</f>
        <v>3.2491385620647759E-6</v>
      </c>
      <c r="AD91" s="216">
        <f>AD$89*'BTX recycling rates'!AF47</f>
        <v>2.6581687221836025E-6</v>
      </c>
      <c r="AE91" s="216">
        <f>AE$89*'BTX recycling rates'!AG47</f>
        <v>1.9247024977076969E-6</v>
      </c>
      <c r="AF91" s="216">
        <f>AF$89*'BTX recycling rates'!AH47</f>
        <v>1.04108731571144E-6</v>
      </c>
      <c r="AG91" s="216">
        <f>AG$89*'BTX recycling rates'!AI47</f>
        <v>0</v>
      </c>
      <c r="AH91" s="230"/>
      <c r="AI91" s="126"/>
      <c r="AJ91" s="198"/>
      <c r="AL91" s="102"/>
      <c r="AM91" s="2"/>
      <c r="AN91" s="2"/>
      <c r="AO91" s="2"/>
      <c r="BC91" s="1"/>
      <c r="BD91" s="2"/>
      <c r="BE91" s="2"/>
      <c r="BF91" s="2"/>
      <c r="BG91" s="2"/>
      <c r="BH91" s="2"/>
      <c r="BI91" s="2"/>
      <c r="BJ91" s="2"/>
      <c r="BK91" s="2"/>
    </row>
    <row r="92" spans="1:63" outlineLevel="1">
      <c r="A92" s="4" t="s">
        <v>160</v>
      </c>
      <c r="C92" s="216">
        <f>C$89*'BTX recycling rates'!E48</f>
        <v>0</v>
      </c>
      <c r="D92" s="216">
        <f>D$89*'BTX recycling rates'!F48</f>
        <v>1.1966247276888158E-5</v>
      </c>
      <c r="E92" s="216">
        <f>E$89*'BTX recycling rates'!G48</f>
        <v>2.6150013113129396E-5</v>
      </c>
      <c r="F92" s="216">
        <f>F$89*'BTX recycling rates'!H48</f>
        <v>4.2658887336581949E-5</v>
      </c>
      <c r="G92" s="216">
        <f>G$89*'BTX recycling rates'!I48</f>
        <v>6.1596659554870813E-5</v>
      </c>
      <c r="H92" s="216">
        <f>H$89*'BTX recycling rates'!J48</f>
        <v>8.3063319155387828E-5</v>
      </c>
      <c r="I92" s="216">
        <f>I$89*'BTX recycling rates'!K48</f>
        <v>1.0715505530529162E-4</v>
      </c>
      <c r="J92" s="216">
        <f>J$89*'BTX recycling rates'!L48</f>
        <v>1.3396425695150752E-4</v>
      </c>
      <c r="K92" s="216">
        <f>K$89*'BTX recycling rates'!M48</f>
        <v>1.6357951282072776E-4</v>
      </c>
      <c r="L92" s="216">
        <f>L$89*'BTX recycling rates'!N48</f>
        <v>1.9608561141941131E-4</v>
      </c>
      <c r="M92" s="216">
        <f>M$89*'BTX recycling rates'!O48</f>
        <v>2.3156354103378375E-4</v>
      </c>
      <c r="N92" s="216">
        <f>N$89*'BTX recycling rates'!P48</f>
        <v>2.8877659968412893E-4</v>
      </c>
      <c r="O92" s="216">
        <f>O$89*'BTX recycling rates'!Q48</f>
        <v>3.5418261602069017E-4</v>
      </c>
      <c r="P92" s="216">
        <f>P$89*'BTX recycling rates'!R48</f>
        <v>4.2822757592666155E-4</v>
      </c>
      <c r="Q92" s="216">
        <f>Q$89*'BTX recycling rates'!S48</f>
        <v>5.1134078174262234E-4</v>
      </c>
      <c r="R92" s="216">
        <f>R$89*'BTX recycling rates'!T48</f>
        <v>6.0393485226653684E-4</v>
      </c>
      <c r="S92" s="216">
        <f>S$89*'BTX recycling rates'!U48</f>
        <v>7.0640572275375508E-4</v>
      </c>
      <c r="T92" s="216">
        <f>T$89*'BTX recycling rates'!V48</f>
        <v>8.1913264491701191E-4</v>
      </c>
      <c r="U92" s="216">
        <f>U$89*'BTX recycling rates'!W48</f>
        <v>9.4247818692642774E-4</v>
      </c>
      <c r="V92" s="216">
        <f>V$89*'BTX recycling rates'!X48</f>
        <v>1.076788233409508E-3</v>
      </c>
      <c r="W92" s="216">
        <f>W$89*'BTX recycling rates'!Y48</f>
        <v>1.2223919854511432E-3</v>
      </c>
      <c r="X92" s="216">
        <f>X$89*'BTX recycling rates'!Z48</f>
        <v>1.454448390412243E-3</v>
      </c>
      <c r="Y92" s="216">
        <f>Y$89*'BTX recycling rates'!AA48</f>
        <v>1.7122809245244534E-3</v>
      </c>
      <c r="Z92" s="216">
        <f>Z$89*'BTX recycling rates'!AB48</f>
        <v>1.9969136133948379E-3</v>
      </c>
      <c r="AA92" s="216">
        <f>AA$89*'BTX recycling rates'!AC48</f>
        <v>2.3093233621817796E-3</v>
      </c>
      <c r="AB92" s="216">
        <f>AB$89*'BTX recycling rates'!AD48</f>
        <v>2.6504399555949782E-3</v>
      </c>
      <c r="AC92" s="216">
        <f>AC$89*'BTX recycling rates'!AE48</f>
        <v>3.0211460578954486E-3</v>
      </c>
      <c r="AD92" s="216">
        <f>AD$89*'BTX recycling rates'!AF48</f>
        <v>3.4222772128955289E-3</v>
      </c>
      <c r="AE92" s="216">
        <f>AE$89*'BTX recycling rates'!AG48</f>
        <v>3.8546218439588671E-3</v>
      </c>
      <c r="AF92" s="216">
        <f>AF$89*'BTX recycling rates'!AH48</f>
        <v>4.3189212540004351E-3</v>
      </c>
      <c r="AG92" s="216">
        <f>AG$89*'BTX recycling rates'!AI48</f>
        <v>4.8158696254865206E-3</v>
      </c>
      <c r="AH92" s="230"/>
      <c r="AI92" s="126"/>
      <c r="AJ92" s="198"/>
      <c r="AL92" s="102"/>
      <c r="AM92" s="2"/>
      <c r="AN92" s="2"/>
      <c r="AO92" s="2"/>
      <c r="BC92" s="1"/>
      <c r="BD92" s="2"/>
      <c r="BE92" s="2"/>
      <c r="BF92" s="2"/>
      <c r="BG92" s="2"/>
      <c r="BH92" s="2"/>
      <c r="BI92" s="2"/>
      <c r="BJ92" s="2"/>
      <c r="BK92" s="2"/>
    </row>
    <row r="93" spans="1:63" outlineLevel="1">
      <c r="A93" s="4" t="s">
        <v>1159</v>
      </c>
      <c r="C93" s="216">
        <f>C$89*'BTX recycling rates'!E49</f>
        <v>0</v>
      </c>
      <c r="D93" s="216">
        <f>D$89*'BTX recycling rates'!F49</f>
        <v>1.1966247276888158E-5</v>
      </c>
      <c r="E93" s="216">
        <f>E$89*'BTX recycling rates'!G49</f>
        <v>2.6150013113129396E-5</v>
      </c>
      <c r="F93" s="216">
        <f>F$89*'BTX recycling rates'!H49</f>
        <v>4.2658887336581949E-5</v>
      </c>
      <c r="G93" s="216">
        <f>G$89*'BTX recycling rates'!I49</f>
        <v>6.1596659554870813E-5</v>
      </c>
      <c r="H93" s="216">
        <f>H$89*'BTX recycling rates'!J49</f>
        <v>8.3063319155387828E-5</v>
      </c>
      <c r="I93" s="216">
        <f>I$89*'BTX recycling rates'!K49</f>
        <v>1.0715505530529162E-4</v>
      </c>
      <c r="J93" s="216">
        <f>J$89*'BTX recycling rates'!L49</f>
        <v>1.3396425695150752E-4</v>
      </c>
      <c r="K93" s="216">
        <f>K$89*'BTX recycling rates'!M49</f>
        <v>1.6357951282072776E-4</v>
      </c>
      <c r="L93" s="216">
        <f>L$89*'BTX recycling rates'!N49</f>
        <v>1.9608561141941131E-4</v>
      </c>
      <c r="M93" s="216">
        <f>M$89*'BTX recycling rates'!O49</f>
        <v>2.3156354103378375E-4</v>
      </c>
      <c r="N93" s="216">
        <f>N$89*'BTX recycling rates'!P49</f>
        <v>2.8877659968412893E-4</v>
      </c>
      <c r="O93" s="216">
        <f>O$89*'BTX recycling rates'!Q49</f>
        <v>3.5418261602069017E-4</v>
      </c>
      <c r="P93" s="216">
        <f>P$89*'BTX recycling rates'!R49</f>
        <v>4.2822757592666155E-4</v>
      </c>
      <c r="Q93" s="216">
        <f>Q$89*'BTX recycling rates'!S49</f>
        <v>5.1134078174262234E-4</v>
      </c>
      <c r="R93" s="216">
        <f>R$89*'BTX recycling rates'!T49</f>
        <v>6.0393485226653684E-4</v>
      </c>
      <c r="S93" s="216">
        <f>S$89*'BTX recycling rates'!U49</f>
        <v>7.0640572275375508E-4</v>
      </c>
      <c r="T93" s="216">
        <f>T$89*'BTX recycling rates'!V49</f>
        <v>8.1913264491701191E-4</v>
      </c>
      <c r="U93" s="216">
        <f>U$89*'BTX recycling rates'!W49</f>
        <v>9.4247818692642774E-4</v>
      </c>
      <c r="V93" s="216">
        <f>V$89*'BTX recycling rates'!X49</f>
        <v>1.076788233409508E-3</v>
      </c>
      <c r="W93" s="216">
        <f>W$89*'BTX recycling rates'!Y49</f>
        <v>1.2223919854511432E-3</v>
      </c>
      <c r="X93" s="216">
        <f>X$89*'BTX recycling rates'!Z49</f>
        <v>1.454448390412243E-3</v>
      </c>
      <c r="Y93" s="216">
        <f>Y$89*'BTX recycling rates'!AA49</f>
        <v>1.7122809245244534E-3</v>
      </c>
      <c r="Z93" s="216">
        <f>Z$89*'BTX recycling rates'!AB49</f>
        <v>1.9969136133948379E-3</v>
      </c>
      <c r="AA93" s="216">
        <f>AA$89*'BTX recycling rates'!AC49</f>
        <v>2.3093233621817796E-3</v>
      </c>
      <c r="AB93" s="216">
        <f>AB$89*'BTX recycling rates'!AD49</f>
        <v>2.6504399555949782E-3</v>
      </c>
      <c r="AC93" s="216">
        <f>AC$89*'BTX recycling rates'!AE49</f>
        <v>3.0211460578954486E-3</v>
      </c>
      <c r="AD93" s="216">
        <f>AD$89*'BTX recycling rates'!AF49</f>
        <v>3.4222772128955289E-3</v>
      </c>
      <c r="AE93" s="216">
        <f>AE$89*'BTX recycling rates'!AG49</f>
        <v>3.8546218439588671E-3</v>
      </c>
      <c r="AF93" s="216">
        <f>AF$89*'BTX recycling rates'!AH49</f>
        <v>4.3189212540004351E-3</v>
      </c>
      <c r="AG93" s="216">
        <f>AG$89*'BTX recycling rates'!AI49</f>
        <v>4.8158696254865206E-3</v>
      </c>
      <c r="AH93" s="230"/>
      <c r="AI93" s="126"/>
      <c r="AJ93" s="198"/>
      <c r="AL93" s="102"/>
      <c r="AM93" s="2"/>
      <c r="AN93" s="2"/>
      <c r="AO93" s="2"/>
      <c r="BC93" s="1"/>
      <c r="BD93" s="2"/>
      <c r="BE93" s="2"/>
      <c r="BF93" s="2"/>
      <c r="BG93" s="2"/>
      <c r="BH93" s="2"/>
      <c r="BI93" s="2"/>
      <c r="BJ93" s="2"/>
      <c r="BK93" s="2"/>
    </row>
    <row r="94" spans="1:63" s="1" customFormat="1" outlineLevel="1">
      <c r="A94" s="1" t="s">
        <v>1170</v>
      </c>
      <c r="B94" s="61"/>
      <c r="C94" s="279">
        <f>C89-$C89</f>
        <v>0</v>
      </c>
      <c r="D94" s="279">
        <f t="shared" ref="D94:AG94" si="42">D89-$C89</f>
        <v>6.431675691992943E-5</v>
      </c>
      <c r="E94" s="279">
        <f t="shared" si="42"/>
        <v>1.3084231370052177E-4</v>
      </c>
      <c r="F94" s="279">
        <f t="shared" si="42"/>
        <v>1.9951966703827878E-4</v>
      </c>
      <c r="G94" s="279">
        <f t="shared" si="42"/>
        <v>2.7029181362970222E-4</v>
      </c>
      <c r="H94" s="279">
        <f t="shared" si="42"/>
        <v>3.4310175017129396E-4</v>
      </c>
      <c r="I94" s="279">
        <f t="shared" si="42"/>
        <v>4.178924733595562E-4</v>
      </c>
      <c r="J94" s="279">
        <f t="shared" si="42"/>
        <v>4.9460697989099026E-4</v>
      </c>
      <c r="K94" s="279">
        <f t="shared" si="42"/>
        <v>5.7318826646209813E-4</v>
      </c>
      <c r="L94" s="279">
        <f t="shared" si="42"/>
        <v>6.5357932976938199E-4</v>
      </c>
      <c r="M94" s="279">
        <f t="shared" si="42"/>
        <v>7.3572316650934253E-4</v>
      </c>
      <c r="N94" s="279">
        <f t="shared" si="42"/>
        <v>9.2148700949279795E-4</v>
      </c>
      <c r="O94" s="279">
        <f t="shared" si="42"/>
        <v>1.117255000410091E-3</v>
      </c>
      <c r="P94" s="279">
        <f t="shared" si="42"/>
        <v>1.3227768861220012E-3</v>
      </c>
      <c r="Q94" s="279">
        <f t="shared" si="42"/>
        <v>1.5378024134893075E-3</v>
      </c>
      <c r="R94" s="279">
        <f t="shared" si="42"/>
        <v>1.7620813293727877E-3</v>
      </c>
      <c r="S94" s="279">
        <f t="shared" si="42"/>
        <v>1.9953633806332216E-3</v>
      </c>
      <c r="T94" s="279">
        <f t="shared" si="42"/>
        <v>2.2373983141313878E-3</v>
      </c>
      <c r="U94" s="279">
        <f t="shared" si="42"/>
        <v>2.4879358767280657E-3</v>
      </c>
      <c r="V94" s="279">
        <f t="shared" si="42"/>
        <v>2.7467258152840336E-3</v>
      </c>
      <c r="W94" s="279">
        <f t="shared" si="42"/>
        <v>3.0135178766600699E-3</v>
      </c>
      <c r="X94" s="279">
        <f t="shared" si="42"/>
        <v>3.501908750055906E-3</v>
      </c>
      <c r="Y94" s="279">
        <f t="shared" si="42"/>
        <v>4.0161989871915129E-3</v>
      </c>
      <c r="Z94" s="279">
        <f t="shared" si="42"/>
        <v>4.5556817813366523E-3</v>
      </c>
      <c r="AA94" s="279">
        <f t="shared" si="42"/>
        <v>5.1196503257610899E-3</v>
      </c>
      <c r="AB94" s="279">
        <f t="shared" si="42"/>
        <v>5.7073978137345879E-3</v>
      </c>
      <c r="AC94" s="279">
        <f t="shared" si="42"/>
        <v>6.3182174385269067E-3</v>
      </c>
      <c r="AD94" s="279">
        <f t="shared" si="42"/>
        <v>6.9514023934078156E-3</v>
      </c>
      <c r="AE94" s="279">
        <f t="shared" si="42"/>
        <v>7.6062458716470707E-3</v>
      </c>
      <c r="AF94" s="279">
        <f t="shared" si="42"/>
        <v>8.2820410665144367E-3</v>
      </c>
      <c r="AG94" s="279">
        <f t="shared" si="42"/>
        <v>8.9780811712796803E-3</v>
      </c>
      <c r="AH94" s="230"/>
      <c r="AI94" s="398"/>
      <c r="AJ94" s="399"/>
      <c r="AL94" s="207"/>
      <c r="AM94" s="118"/>
      <c r="AN94" s="118"/>
      <c r="AO94" s="118"/>
      <c r="BD94" s="118"/>
      <c r="BE94" s="118"/>
      <c r="BF94" s="118"/>
      <c r="BG94" s="118"/>
      <c r="BH94" s="118"/>
      <c r="BI94" s="118"/>
      <c r="BJ94" s="118"/>
      <c r="BK94" s="118"/>
    </row>
    <row r="95" spans="1:63" outlineLevel="1">
      <c r="A95" s="4" t="s">
        <v>35</v>
      </c>
      <c r="C95" s="216">
        <f>C90-$C90</f>
        <v>0</v>
      </c>
      <c r="D95" s="216">
        <f t="shared" ref="D95:AG95" si="43">D90-$C90</f>
        <v>4.0243108744206484E-5</v>
      </c>
      <c r="E95" s="216">
        <f t="shared" si="43"/>
        <v>7.8267761515302776E-5</v>
      </c>
      <c r="F95" s="216">
        <f t="shared" si="43"/>
        <v>1.1380272670512726E-4</v>
      </c>
      <c r="G95" s="216">
        <f t="shared" si="43"/>
        <v>1.465843465804455E-4</v>
      </c>
      <c r="H95" s="216">
        <f t="shared" si="43"/>
        <v>1.7635653728295046E-4</v>
      </c>
      <c r="I95" s="216">
        <f t="shared" si="43"/>
        <v>2.0287078882926294E-4</v>
      </c>
      <c r="J95" s="216">
        <f t="shared" si="43"/>
        <v>2.2588616511093015E-4</v>
      </c>
      <c r="K95" s="216">
        <f t="shared" si="43"/>
        <v>2.4516930389442714E-4</v>
      </c>
      <c r="L95" s="216">
        <f t="shared" si="43"/>
        <v>2.604944168211567E-4</v>
      </c>
      <c r="M95" s="216">
        <f t="shared" si="43"/>
        <v>2.7164328940744757E-4</v>
      </c>
      <c r="N95" s="216">
        <f t="shared" si="43"/>
        <v>3.4273167097021199E-4</v>
      </c>
      <c r="O95" s="216">
        <f t="shared" si="43"/>
        <v>4.0746059105060343E-4</v>
      </c>
      <c r="P95" s="216">
        <f t="shared" si="43"/>
        <v>4.646918171195743E-4</v>
      </c>
      <c r="Q95" s="216">
        <f t="shared" si="43"/>
        <v>5.1332036710656428E-4</v>
      </c>
      <c r="R95" s="216">
        <f t="shared" si="43"/>
        <v>5.522745093995005E-4</v>
      </c>
      <c r="S95" s="216">
        <f t="shared" si="43"/>
        <v>5.805157628447987E-4</v>
      </c>
      <c r="T95" s="216">
        <f t="shared" si="43"/>
        <v>5.9703889674736184E-4</v>
      </c>
      <c r="U95" s="216">
        <f t="shared" si="43"/>
        <v>6.0087193087058168E-4</v>
      </c>
      <c r="V95" s="216">
        <f t="shared" si="43"/>
        <v>5.9107613543633614E-4</v>
      </c>
      <c r="W95" s="216">
        <f t="shared" si="43"/>
        <v>5.6674603112499237E-4</v>
      </c>
      <c r="X95" s="216">
        <f t="shared" si="43"/>
        <v>5.9093923637930335E-4</v>
      </c>
      <c r="Y95" s="216">
        <f t="shared" si="43"/>
        <v>5.8956921068685855E-4</v>
      </c>
      <c r="Z95" s="216">
        <f t="shared" si="43"/>
        <v>5.5989072505660249E-4</v>
      </c>
      <c r="AA95" s="216">
        <f t="shared" si="43"/>
        <v>4.9925246199811473E-4</v>
      </c>
      <c r="AB95" s="216">
        <f t="shared" si="43"/>
        <v>4.0509701552160742E-4</v>
      </c>
      <c r="AC95" s="216">
        <f t="shared" si="43"/>
        <v>2.7496089113792765E-4</v>
      </c>
      <c r="AD95" s="216">
        <f t="shared" si="43"/>
        <v>1.0647450585855715E-4</v>
      </c>
      <c r="AE95" s="216">
        <f t="shared" si="43"/>
        <v>-1.0263781180438938E-4</v>
      </c>
      <c r="AF95" s="216">
        <f t="shared" si="43"/>
        <v>-3.5455782183816222E-4</v>
      </c>
      <c r="AG95" s="216">
        <f t="shared" si="43"/>
        <v>-6.5137337272937331E-4</v>
      </c>
      <c r="AH95" s="230"/>
      <c r="AI95" s="126"/>
      <c r="AJ95" s="198"/>
      <c r="AL95" s="102"/>
      <c r="AM95" s="2"/>
      <c r="AN95" s="2"/>
      <c r="AO95" s="2"/>
      <c r="BC95" s="1"/>
      <c r="BD95" s="2"/>
      <c r="BE95" s="2"/>
      <c r="BF95" s="2"/>
      <c r="BG95" s="2"/>
      <c r="BH95" s="2"/>
      <c r="BI95" s="2"/>
      <c r="BJ95" s="2"/>
      <c r="BK95" s="2"/>
    </row>
    <row r="96" spans="1:63" outlineLevel="1">
      <c r="A96" s="4" t="s">
        <v>74</v>
      </c>
      <c r="C96" s="216"/>
      <c r="D96" s="216"/>
      <c r="E96" s="216"/>
      <c r="F96" s="216"/>
      <c r="G96" s="216"/>
      <c r="H96" s="216"/>
      <c r="I96" s="216"/>
      <c r="J96" s="216"/>
      <c r="K96" s="216"/>
      <c r="L96" s="216"/>
      <c r="M96" s="216"/>
      <c r="N96" s="216"/>
      <c r="O96" s="216"/>
      <c r="P96" s="216"/>
      <c r="Q96" s="216"/>
      <c r="R96" s="216"/>
      <c r="S96" s="216"/>
      <c r="T96" s="216"/>
      <c r="U96" s="216"/>
      <c r="V96" s="216"/>
      <c r="W96" s="216"/>
      <c r="X96" s="216"/>
      <c r="Y96" s="216"/>
      <c r="Z96" s="216"/>
      <c r="AA96" s="216"/>
      <c r="AB96" s="216"/>
      <c r="AC96" s="216"/>
      <c r="AD96" s="216"/>
      <c r="AE96" s="216"/>
      <c r="AF96" s="216"/>
      <c r="AG96" s="216"/>
      <c r="AH96" s="230"/>
      <c r="AI96" s="126"/>
      <c r="AJ96" s="198"/>
      <c r="AL96" s="102"/>
      <c r="AM96" s="2"/>
      <c r="AN96" s="2"/>
      <c r="AO96" s="2"/>
      <c r="BC96" s="1"/>
      <c r="BD96" s="2"/>
      <c r="BE96" s="2"/>
      <c r="BF96" s="2"/>
      <c r="BG96" s="2"/>
      <c r="BH96" s="2"/>
      <c r="BI96" s="2"/>
      <c r="BJ96" s="2"/>
      <c r="BK96" s="2"/>
    </row>
    <row r="97" spans="1:63" outlineLevel="1">
      <c r="A97" s="4" t="s">
        <v>160</v>
      </c>
      <c r="C97" s="216">
        <f t="shared" ref="C97:AG97" si="44">C92-$C92</f>
        <v>0</v>
      </c>
      <c r="D97" s="216">
        <f t="shared" si="44"/>
        <v>1.1966247276888158E-5</v>
      </c>
      <c r="E97" s="216">
        <f t="shared" si="44"/>
        <v>2.6150013113129396E-5</v>
      </c>
      <c r="F97" s="216">
        <f t="shared" si="44"/>
        <v>4.2658887336581949E-5</v>
      </c>
      <c r="G97" s="216">
        <f t="shared" si="44"/>
        <v>6.1596659554870813E-5</v>
      </c>
      <c r="H97" s="216">
        <f t="shared" si="44"/>
        <v>8.3063319155387828E-5</v>
      </c>
      <c r="I97" s="216">
        <f t="shared" si="44"/>
        <v>1.0715505530529162E-4</v>
      </c>
      <c r="J97" s="216">
        <f t="shared" si="44"/>
        <v>1.3396425695150752E-4</v>
      </c>
      <c r="K97" s="216">
        <f t="shared" si="44"/>
        <v>1.6357951282072776E-4</v>
      </c>
      <c r="L97" s="216">
        <f t="shared" si="44"/>
        <v>1.9608561141941131E-4</v>
      </c>
      <c r="M97" s="216">
        <f t="shared" si="44"/>
        <v>2.3156354103378375E-4</v>
      </c>
      <c r="N97" s="216">
        <f t="shared" si="44"/>
        <v>2.8877659968412893E-4</v>
      </c>
      <c r="O97" s="216">
        <f t="shared" si="44"/>
        <v>3.5418261602069017E-4</v>
      </c>
      <c r="P97" s="216">
        <f t="shared" si="44"/>
        <v>4.2822757592666155E-4</v>
      </c>
      <c r="Q97" s="216">
        <f t="shared" si="44"/>
        <v>5.1134078174262234E-4</v>
      </c>
      <c r="R97" s="216">
        <f t="shared" si="44"/>
        <v>6.0393485226653684E-4</v>
      </c>
      <c r="S97" s="216">
        <f t="shared" si="44"/>
        <v>7.0640572275375508E-4</v>
      </c>
      <c r="T97" s="216">
        <f t="shared" si="44"/>
        <v>8.1913264491701191E-4</v>
      </c>
      <c r="U97" s="216">
        <f t="shared" si="44"/>
        <v>9.4247818692642774E-4</v>
      </c>
      <c r="V97" s="216">
        <f t="shared" si="44"/>
        <v>1.076788233409508E-3</v>
      </c>
      <c r="W97" s="216">
        <f t="shared" si="44"/>
        <v>1.2223919854511432E-3</v>
      </c>
      <c r="X97" s="216">
        <f t="shared" si="44"/>
        <v>1.454448390412243E-3</v>
      </c>
      <c r="Y97" s="216">
        <f t="shared" si="44"/>
        <v>1.7122809245244534E-3</v>
      </c>
      <c r="Z97" s="216">
        <f t="shared" si="44"/>
        <v>1.9969136133948379E-3</v>
      </c>
      <c r="AA97" s="216">
        <f t="shared" si="44"/>
        <v>2.3093233621817796E-3</v>
      </c>
      <c r="AB97" s="216">
        <f t="shared" si="44"/>
        <v>2.6504399555949782E-3</v>
      </c>
      <c r="AC97" s="216">
        <f t="shared" si="44"/>
        <v>3.0211460578954486E-3</v>
      </c>
      <c r="AD97" s="216">
        <f t="shared" si="44"/>
        <v>3.4222772128955289E-3</v>
      </c>
      <c r="AE97" s="216">
        <f t="shared" si="44"/>
        <v>3.8546218439588671E-3</v>
      </c>
      <c r="AF97" s="216">
        <f t="shared" si="44"/>
        <v>4.3189212540004351E-3</v>
      </c>
      <c r="AG97" s="216">
        <f t="shared" si="44"/>
        <v>4.8158696254865206E-3</v>
      </c>
      <c r="AH97" s="230"/>
      <c r="AI97" s="126"/>
      <c r="AJ97" s="198"/>
      <c r="AL97" s="102"/>
      <c r="AM97" s="2"/>
      <c r="AN97" s="2"/>
      <c r="AO97" s="2"/>
      <c r="BC97" s="1"/>
      <c r="BD97" s="2"/>
      <c r="BE97" s="2"/>
      <c r="BF97" s="2"/>
      <c r="BG97" s="2"/>
      <c r="BH97" s="2"/>
      <c r="BI97" s="2"/>
      <c r="BJ97" s="2"/>
      <c r="BK97" s="2"/>
    </row>
    <row r="98" spans="1:63" outlineLevel="1">
      <c r="A98" s="4" t="s">
        <v>1159</v>
      </c>
      <c r="C98" s="216">
        <f t="shared" ref="C98:AG98" si="45">C93-$C93</f>
        <v>0</v>
      </c>
      <c r="D98" s="216">
        <f t="shared" si="45"/>
        <v>1.1966247276888158E-5</v>
      </c>
      <c r="E98" s="216">
        <f t="shared" si="45"/>
        <v>2.6150013113129396E-5</v>
      </c>
      <c r="F98" s="216">
        <f t="shared" si="45"/>
        <v>4.2658887336581949E-5</v>
      </c>
      <c r="G98" s="216">
        <f t="shared" si="45"/>
        <v>6.1596659554870813E-5</v>
      </c>
      <c r="H98" s="216">
        <f t="shared" si="45"/>
        <v>8.3063319155387828E-5</v>
      </c>
      <c r="I98" s="216">
        <f t="shared" si="45"/>
        <v>1.0715505530529162E-4</v>
      </c>
      <c r="J98" s="216">
        <f t="shared" si="45"/>
        <v>1.3396425695150752E-4</v>
      </c>
      <c r="K98" s="216">
        <f t="shared" si="45"/>
        <v>1.6357951282072776E-4</v>
      </c>
      <c r="L98" s="216">
        <f t="shared" si="45"/>
        <v>1.9608561141941131E-4</v>
      </c>
      <c r="M98" s="216">
        <f t="shared" si="45"/>
        <v>2.3156354103378375E-4</v>
      </c>
      <c r="N98" s="216">
        <f t="shared" si="45"/>
        <v>2.8877659968412893E-4</v>
      </c>
      <c r="O98" s="216">
        <f t="shared" si="45"/>
        <v>3.5418261602069017E-4</v>
      </c>
      <c r="P98" s="216">
        <f t="shared" si="45"/>
        <v>4.2822757592666155E-4</v>
      </c>
      <c r="Q98" s="216">
        <f t="shared" si="45"/>
        <v>5.1134078174262234E-4</v>
      </c>
      <c r="R98" s="216">
        <f t="shared" si="45"/>
        <v>6.0393485226653684E-4</v>
      </c>
      <c r="S98" s="216">
        <f t="shared" si="45"/>
        <v>7.0640572275375508E-4</v>
      </c>
      <c r="T98" s="216">
        <f t="shared" si="45"/>
        <v>8.1913264491701191E-4</v>
      </c>
      <c r="U98" s="216">
        <f t="shared" si="45"/>
        <v>9.4247818692642774E-4</v>
      </c>
      <c r="V98" s="216">
        <f t="shared" si="45"/>
        <v>1.076788233409508E-3</v>
      </c>
      <c r="W98" s="216">
        <f t="shared" si="45"/>
        <v>1.2223919854511432E-3</v>
      </c>
      <c r="X98" s="216">
        <f t="shared" si="45"/>
        <v>1.454448390412243E-3</v>
      </c>
      <c r="Y98" s="216">
        <f t="shared" si="45"/>
        <v>1.7122809245244534E-3</v>
      </c>
      <c r="Z98" s="216">
        <f t="shared" si="45"/>
        <v>1.9969136133948379E-3</v>
      </c>
      <c r="AA98" s="216">
        <f t="shared" si="45"/>
        <v>2.3093233621817796E-3</v>
      </c>
      <c r="AB98" s="216">
        <f t="shared" si="45"/>
        <v>2.6504399555949782E-3</v>
      </c>
      <c r="AC98" s="216">
        <f t="shared" si="45"/>
        <v>3.0211460578954486E-3</v>
      </c>
      <c r="AD98" s="216">
        <f t="shared" si="45"/>
        <v>3.4222772128955289E-3</v>
      </c>
      <c r="AE98" s="216">
        <f t="shared" si="45"/>
        <v>3.8546218439588671E-3</v>
      </c>
      <c r="AF98" s="216">
        <f t="shared" si="45"/>
        <v>4.3189212540004351E-3</v>
      </c>
      <c r="AG98" s="216">
        <f t="shared" si="45"/>
        <v>4.8158696254865206E-3</v>
      </c>
      <c r="AH98" s="230"/>
      <c r="AI98" s="126"/>
      <c r="AJ98" s="198"/>
      <c r="AL98" s="102"/>
      <c r="AM98" s="2"/>
      <c r="AN98" s="2"/>
      <c r="AO98" s="2"/>
      <c r="BC98" s="1"/>
      <c r="BD98" s="2"/>
      <c r="BE98" s="2"/>
      <c r="BF98" s="2"/>
      <c r="BG98" s="2"/>
      <c r="BH98" s="2"/>
      <c r="BI98" s="2"/>
      <c r="BJ98" s="2"/>
      <c r="BK98" s="2"/>
    </row>
    <row r="99" spans="1:63" s="1" customFormat="1" outlineLevel="1">
      <c r="A99" s="1" t="s">
        <v>1162</v>
      </c>
      <c r="B99" s="61"/>
      <c r="C99" s="279">
        <f>'BTX Recycling HC'!C99</f>
        <v>8139.7320808398481</v>
      </c>
      <c r="D99" s="279">
        <f>'BTX Recycling HC'!D99</f>
        <v>8292.7608175543392</v>
      </c>
      <c r="E99" s="279">
        <f>'BTX Recycling HC'!E99</f>
        <v>8394.9640602639465</v>
      </c>
      <c r="F99" s="279">
        <f>'BTX Recycling HC'!F99</f>
        <v>8509.4225019964324</v>
      </c>
      <c r="G99" s="279">
        <f>'BTX Recycling HC'!G99</f>
        <v>8615.2735608726562</v>
      </c>
      <c r="H99" s="279">
        <f>'BTX Recycling HC'!H99</f>
        <v>8712.6404737401899</v>
      </c>
      <c r="I99" s="279">
        <f>'BTX Recycling HC'!I99</f>
        <v>8801.6464774466203</v>
      </c>
      <c r="J99" s="279">
        <f>'BTX Recycling HC'!J99</f>
        <v>8882.4148088395232</v>
      </c>
      <c r="K99" s="279">
        <f>'BTX Recycling HC'!K99</f>
        <v>8955.0687047664815</v>
      </c>
      <c r="L99" s="279">
        <f>'BTX Recycling HC'!L99</f>
        <v>9019.7314020750764</v>
      </c>
      <c r="M99" s="279">
        <f>'BTX Recycling HC'!M99</f>
        <v>9076.5261376128874</v>
      </c>
      <c r="N99" s="279">
        <f>'BTX Recycling HC'!N99</f>
        <v>9270.2820159194289</v>
      </c>
      <c r="O99" s="279">
        <f>'BTX Recycling HC'!O99</f>
        <v>9429.2755754109494</v>
      </c>
      <c r="P99" s="279">
        <f>'BTX Recycling HC'!P99</f>
        <v>9554.1323040549432</v>
      </c>
      <c r="Q99" s="279">
        <f>'BTX Recycling HC'!Q99</f>
        <v>9645.4776898189029</v>
      </c>
      <c r="R99" s="279">
        <f>'BTX Recycling HC'!R99</f>
        <v>9703.9372206703229</v>
      </c>
      <c r="S99" s="279">
        <f>'BTX Recycling HC'!S99</f>
        <v>9730.13638457669</v>
      </c>
      <c r="T99" s="279">
        <f>'BTX Recycling HC'!T99</f>
        <v>9724.700669505497</v>
      </c>
      <c r="U99" s="279">
        <f>'BTX Recycling HC'!U99</f>
        <v>9688.2555634242417</v>
      </c>
      <c r="V99" s="279">
        <f>'BTX Recycling HC'!V99</f>
        <v>9621.4265543004094</v>
      </c>
      <c r="W99" s="279">
        <f>'BTX Recycling HC'!W99</f>
        <v>9524.8391301014981</v>
      </c>
      <c r="X99" s="279">
        <f>'BTX Recycling HC'!X99</f>
        <v>9592.7055948838934</v>
      </c>
      <c r="Y99" s="279">
        <f>'BTX Recycling HC'!Y99</f>
        <v>9611.1491616066687</v>
      </c>
      <c r="Z99" s="279">
        <f>'BTX Recycling HC'!Z99</f>
        <v>9581.1829679937418</v>
      </c>
      <c r="AA99" s="279">
        <f>'BTX Recycling HC'!AA99</f>
        <v>9503.8201517690432</v>
      </c>
      <c r="AB99" s="279">
        <f>'BTX Recycling HC'!AB99</f>
        <v>9380.073850656494</v>
      </c>
      <c r="AC99" s="279">
        <f>'BTX Recycling HC'!AC99</f>
        <v>9210.9572023800174</v>
      </c>
      <c r="AD99" s="279">
        <f>'BTX Recycling HC'!AD99</f>
        <v>8997.4833446635421</v>
      </c>
      <c r="AE99" s="279">
        <f>'BTX Recycling HC'!AE99</f>
        <v>8740.6654152309857</v>
      </c>
      <c r="AF99" s="279">
        <f>'BTX Recycling HC'!AF99</f>
        <v>8441.5165518062731</v>
      </c>
      <c r="AG99" s="279">
        <f>'BTX Recycling HC'!AG99</f>
        <v>8101.0498921133312</v>
      </c>
      <c r="AH99" s="230"/>
      <c r="AI99" s="398"/>
      <c r="AJ99" s="399"/>
      <c r="AL99" s="207"/>
      <c r="AM99" s="118"/>
      <c r="AN99" s="118"/>
      <c r="AO99" s="118"/>
      <c r="BD99" s="118"/>
      <c r="BE99" s="118"/>
      <c r="BF99" s="118"/>
      <c r="BG99" s="118"/>
      <c r="BH99" s="118"/>
      <c r="BI99" s="118"/>
      <c r="BJ99" s="118"/>
      <c r="BK99" s="118"/>
    </row>
    <row r="100" spans="1:63" outlineLevel="1">
      <c r="A100" s="4" t="s">
        <v>35</v>
      </c>
      <c r="C100" s="216">
        <f>C$99*'BTX recycling rates'!E54</f>
        <v>8111.2815756784876</v>
      </c>
      <c r="D100" s="216">
        <f>D$99*'BTX recycling rates'!F54</f>
        <v>8153.5285315921337</v>
      </c>
      <c r="E100" s="216">
        <f>E$99*'BTX recycling rates'!G54</f>
        <v>8142.4101896209631</v>
      </c>
      <c r="F100" s="216">
        <f>F$99*'BTX recycling rates'!H54</f>
        <v>8140.2979842800787</v>
      </c>
      <c r="G100" s="216">
        <f>G$99*'BTX recycling rates'!I54</f>
        <v>8127.0228972761579</v>
      </c>
      <c r="H100" s="216">
        <f>H$99*'BTX recycling rates'!J54</f>
        <v>8103.0428317460537</v>
      </c>
      <c r="I100" s="216">
        <f>I$99*'BTX recycling rates'!K54</f>
        <v>8068.8091374090955</v>
      </c>
      <c r="J100" s="216">
        <f>J$99*'BTX recycling rates'!L54</f>
        <v>8024.7666105670687</v>
      </c>
      <c r="K100" s="216">
        <f>K$99*'BTX recycling rates'!M54</f>
        <v>7971.353494104229</v>
      </c>
      <c r="L100" s="216">
        <f>L$99*'BTX recycling rates'!N54</f>
        <v>7909.0014774872916</v>
      </c>
      <c r="M100" s="216">
        <f>M$99*'BTX recycling rates'!O54</f>
        <v>7838.1356967654392</v>
      </c>
      <c r="N100" s="216">
        <f>N$99*'BTX recycling rates'!P54</f>
        <v>7882.2133344681879</v>
      </c>
      <c r="O100" s="216">
        <f>O$99*'BTX recycling rates'!Q54</f>
        <v>7892.0441492262953</v>
      </c>
      <c r="P100" s="216">
        <f>P$99*'BTX recycling rates'!R54</f>
        <v>7869.5297696017997</v>
      </c>
      <c r="Q100" s="216">
        <f>Q$99*'BTX recycling rates'!S54</f>
        <v>7816.5385623207312</v>
      </c>
      <c r="R100" s="216">
        <f>R$99*'BTX recycling rates'!T54</f>
        <v>7734.9056322731076</v>
      </c>
      <c r="S100" s="216">
        <f>S$99*'BTX recycling rates'!U54</f>
        <v>7626.4328225129329</v>
      </c>
      <c r="T100" s="216">
        <f>T$99*'BTX recycling rates'!V54</f>
        <v>7492.8887142582034</v>
      </c>
      <c r="U100" s="216">
        <f>U$99*'BTX recycling rates'!W54</f>
        <v>7336.0086268909126</v>
      </c>
      <c r="V100" s="216">
        <f>V$99*'BTX recycling rates'!X54</f>
        <v>7157.4946179570316</v>
      </c>
      <c r="W100" s="216">
        <f>W$99*'BTX recycling rates'!Y54</f>
        <v>6959.0154831665313</v>
      </c>
      <c r="X100" s="216">
        <f>X$99*'BTX recycling rates'!Z54</f>
        <v>6881.0710871993415</v>
      </c>
      <c r="Y100" s="216">
        <f>Y$99*'BTX recycling rates'!AA54</f>
        <v>6766.5270594658487</v>
      </c>
      <c r="Z100" s="216">
        <f>Z$99*'BTX recycling rates'!AB54</f>
        <v>6618.0543458567727</v>
      </c>
      <c r="AA100" s="216">
        <f>AA$99*'BTX recycling rates'!AC54</f>
        <v>6438.270016213135</v>
      </c>
      <c r="AB100" s="216">
        <f>AB$99*'BTX recycling rates'!AD54</f>
        <v>6229.7372643262406</v>
      </c>
      <c r="AC100" s="216">
        <f>AC$99*'BTX recycling rates'!AE54</f>
        <v>5994.9654079376869</v>
      </c>
      <c r="AD100" s="216">
        <f>AD$99*'BTX recycling rates'!AF54</f>
        <v>5736.4098887393666</v>
      </c>
      <c r="AE100" s="216">
        <f>AE$99*'BTX recycling rates'!AG54</f>
        <v>5456.4722723734567</v>
      </c>
      <c r="AF100" s="216">
        <f>AF$99*'BTX recycling rates'!AH54</f>
        <v>5157.5002484324305</v>
      </c>
      <c r="AG100" s="216">
        <f>AG$99*'BTX recycling rates'!AI54</f>
        <v>4841.7876304590609</v>
      </c>
      <c r="AH100" s="230"/>
      <c r="AI100" s="126"/>
      <c r="AJ100" s="198"/>
      <c r="AL100" s="102"/>
      <c r="AM100" s="2"/>
      <c r="AN100" s="2"/>
      <c r="AO100" s="2"/>
      <c r="BC100" s="1"/>
      <c r="BD100" s="2"/>
      <c r="BE100" s="2"/>
      <c r="BF100" s="2"/>
      <c r="BG100" s="2"/>
      <c r="BH100" s="2"/>
      <c r="BI100" s="2"/>
      <c r="BJ100" s="2"/>
      <c r="BK100" s="2"/>
    </row>
    <row r="101" spans="1:63" outlineLevel="1">
      <c r="A101" s="4" t="s">
        <v>74</v>
      </c>
      <c r="C101" s="216">
        <f>C$99*'BTX recycling rates'!E55</f>
        <v>28.450505161361271</v>
      </c>
      <c r="D101" s="216">
        <f>D$99*'BTX recycling rates'!F55</f>
        <v>117.40919347091476</v>
      </c>
      <c r="E101" s="216">
        <f>E$99*'BTX recycling rates'!G55</f>
        <v>208.36977292720337</v>
      </c>
      <c r="F101" s="216">
        <f>F$99*'BTX recycling rates'!H55</f>
        <v>301.94475030447683</v>
      </c>
      <c r="G101" s="216">
        <f>G$99*'BTX recycling rates'!I55</f>
        <v>397.56341678300726</v>
      </c>
      <c r="H101" s="216">
        <f>H$99*'BTX recycling rates'!J55</f>
        <v>494.95743767321062</v>
      </c>
      <c r="I101" s="216">
        <f>I$99*'BTX recycling rates'!K55</f>
        <v>593.86373447082326</v>
      </c>
      <c r="J101" s="216">
        <f>J$99*'BTX recycling rates'!L55</f>
        <v>694.02448485690059</v>
      </c>
      <c r="K101" s="216">
        <f>K$99*'BTX recycling rates'!M55</f>
        <v>795.18712269781861</v>
      </c>
      <c r="L101" s="216">
        <f>L$99*'BTX recycling rates'!N55</f>
        <v>897.10433804527293</v>
      </c>
      <c r="M101" s="216">
        <f>M$99*'BTX recycling rates'!O55</f>
        <v>999.53407713627882</v>
      </c>
      <c r="N101" s="216">
        <f>N$99*'BTX recycling rates'!P55</f>
        <v>1119.7179488845077</v>
      </c>
      <c r="O101" s="216">
        <f>O$99*'BTX recycling rates'!Q55</f>
        <v>1239.4643145528196</v>
      </c>
      <c r="P101" s="216">
        <f>P$99*'BTX recycling rates'!R55</f>
        <v>1357.7500750703946</v>
      </c>
      <c r="Q101" s="216">
        <f>Q$99*'BTX recycling rates'!S55</f>
        <v>1473.5788091071781</v>
      </c>
      <c r="R101" s="216">
        <f>R$99*'BTX recycling rates'!T55</f>
        <v>1585.9807730738808</v>
      </c>
      <c r="S101" s="216">
        <f>S$99*'BTX recycling rates'!U55</f>
        <v>1694.0129011219772</v>
      </c>
      <c r="T101" s="216">
        <f>T$99*'BTX recycling rates'!V55</f>
        <v>1796.7588051437078</v>
      </c>
      <c r="U101" s="216">
        <f>U$99*'BTX recycling rates'!W55</f>
        <v>1893.3287747720799</v>
      </c>
      <c r="V101" s="216">
        <f>V$99*'BTX recycling rates'!X55</f>
        <v>1982.8597773808622</v>
      </c>
      <c r="W101" s="216">
        <f>W$99*'BTX recycling rates'!Y55</f>
        <v>2064.5154580845924</v>
      </c>
      <c r="X101" s="216">
        <f>X$99*'BTX recycling rates'!Z55</f>
        <v>2181.5103877520828</v>
      </c>
      <c r="Y101" s="216">
        <f>Y$99*'BTX recycling rates'!AA55</f>
        <v>2288.1861892104002</v>
      </c>
      <c r="Z101" s="216">
        <f>Z$99*'BTX recycling rates'!AB55</f>
        <v>2383.2139141413199</v>
      </c>
      <c r="AA101" s="216">
        <f>AA$99*'BTX recycling rates'!AC55</f>
        <v>2465.3078256502804</v>
      </c>
      <c r="AB101" s="216">
        <f>AB$99*'BTX recycling rates'!AD55</f>
        <v>2533.2253982663801</v>
      </c>
      <c r="AC101" s="216">
        <f>AC$99*'BTX recycling rates'!AE55</f>
        <v>2585.7673179423791</v>
      </c>
      <c r="AD101" s="216">
        <f>AD$99*'BTX recycling rates'!AF55</f>
        <v>2621.7774820546988</v>
      </c>
      <c r="AE101" s="216">
        <f>AE$99*'BTX recycling rates'!AG55</f>
        <v>2640.1429994034202</v>
      </c>
      <c r="AF101" s="216">
        <f>AF$99*'BTX recycling rates'!AH55</f>
        <v>2639.7941902122857</v>
      </c>
      <c r="AG101" s="216">
        <f>AG$99*'BTX recycling rates'!AI55</f>
        <v>2619.7045861287002</v>
      </c>
      <c r="AH101" s="230"/>
      <c r="AI101" s="126"/>
      <c r="AJ101" s="198"/>
      <c r="AL101" s="102"/>
      <c r="AM101" s="2"/>
      <c r="AN101" s="2"/>
      <c r="AO101" s="2"/>
      <c r="BC101" s="1"/>
      <c r="BD101" s="2"/>
      <c r="BE101" s="2"/>
      <c r="BF101" s="2"/>
      <c r="BG101" s="2"/>
      <c r="BH101" s="2"/>
      <c r="BI101" s="2"/>
      <c r="BJ101" s="2"/>
      <c r="BK101" s="2"/>
    </row>
    <row r="102" spans="1:63" outlineLevel="1">
      <c r="A102" s="4" t="s">
        <v>160</v>
      </c>
      <c r="C102" s="216">
        <f>C$99*'BTX recycling rates'!E56</f>
        <v>0</v>
      </c>
      <c r="D102" s="216">
        <f>D$99*'BTX recycling rates'!F56</f>
        <v>20.045355315047654</v>
      </c>
      <c r="E102" s="216">
        <f>E$99*'BTX recycling rates'!G56</f>
        <v>40.584804300354655</v>
      </c>
      <c r="F102" s="216">
        <f>F$99*'BTX recycling rates'!H56</f>
        <v>61.707217173309942</v>
      </c>
      <c r="G102" s="216">
        <f>G$99*'BTX recycling rates'!I56</f>
        <v>83.299747075044166</v>
      </c>
      <c r="H102" s="216">
        <f>H$99*'BTX recycling rates'!J56</f>
        <v>105.30146586326698</v>
      </c>
      <c r="I102" s="216">
        <f>I$99*'BTX recycling rates'!K56</f>
        <v>127.65263695369977</v>
      </c>
      <c r="J102" s="216">
        <f>J$99*'BTX recycling rates'!L56</f>
        <v>150.29471532007545</v>
      </c>
      <c r="K102" s="216">
        <f>K$99*'BTX recycling rates'!M56</f>
        <v>173.17034749413858</v>
      </c>
      <c r="L102" s="216">
        <f>L$99*'BTX recycling rates'!N56</f>
        <v>196.22337156564544</v>
      </c>
      <c r="M102" s="216">
        <f>M$99*'BTX recycling rates'!O56</f>
        <v>219.39881718236381</v>
      </c>
      <c r="N102" s="216">
        <f>N$99*'BTX recycling rates'!P56</f>
        <v>246.49053682470074</v>
      </c>
      <c r="O102" s="216">
        <f>O$99*'BTX recycling rates'!Q56</f>
        <v>273.51061982519218</v>
      </c>
      <c r="P102" s="216">
        <f>P$99*'BTX recycling rates'!R56</f>
        <v>300.2266377480164</v>
      </c>
      <c r="Q102" s="216">
        <f>Q$99*'BTX recycling rates'!S56</f>
        <v>326.41220990373171</v>
      </c>
      <c r="R102" s="216">
        <f>R$99*'BTX recycling rates'!T56</f>
        <v>351.84700334927635</v>
      </c>
      <c r="S102" s="216">
        <f>S$99*'BTX recycling rates'!U56</f>
        <v>376.31673288796844</v>
      </c>
      <c r="T102" s="216">
        <f>T$99*'BTX recycling rates'!V56</f>
        <v>399.61316106950619</v>
      </c>
      <c r="U102" s="216">
        <f>U$99*'BTX recycling rates'!W56</f>
        <v>421.53409818996812</v>
      </c>
      <c r="V102" s="216">
        <f>V$99*'BTX recycling rates'!X56</f>
        <v>441.88340229181222</v>
      </c>
      <c r="W102" s="216">
        <f>W$99*'BTX recycling rates'!Y56</f>
        <v>460.47097916387702</v>
      </c>
      <c r="X102" s="216">
        <f>X$99*'BTX recycling rates'!Z56</f>
        <v>486.93952744616212</v>
      </c>
      <c r="Y102" s="216">
        <f>Y$99*'BTX recycling rates'!AA56</f>
        <v>511.10792795266161</v>
      </c>
      <c r="Z102" s="216">
        <f>Z$99*'BTX recycling rates'!AB56</f>
        <v>532.67411018093753</v>
      </c>
      <c r="AA102" s="216">
        <f>AA$99*'BTX recycling rates'!AC56</f>
        <v>551.34579950044917</v>
      </c>
      <c r="AB102" s="216">
        <f>AB$99*'BTX recycling rates'!AD56</f>
        <v>566.84051715255168</v>
      </c>
      <c r="AC102" s="216">
        <f>AC$99*'BTX recycling rates'!AE56</f>
        <v>578.88558025049645</v>
      </c>
      <c r="AD102" s="216">
        <f>AD$99*'BTX recycling rates'!AF56</f>
        <v>587.21810177943223</v>
      </c>
      <c r="AE102" s="216">
        <f>AE$99*'BTX recycling rates'!AG56</f>
        <v>591.58499059640303</v>
      </c>
      <c r="AF102" s="216">
        <f>AF$99*'BTX recycling rates'!AH56</f>
        <v>591.74295143034999</v>
      </c>
      <c r="AG102" s="216">
        <f>AG$99*'BTX recycling rates'!AI56</f>
        <v>587.45848488211072</v>
      </c>
      <c r="AH102" s="230"/>
      <c r="AI102" s="126"/>
      <c r="AJ102" s="198"/>
      <c r="AL102" s="102"/>
      <c r="AM102" s="2"/>
      <c r="AN102" s="2"/>
      <c r="AO102" s="2"/>
      <c r="BC102" s="1"/>
      <c r="BD102" s="2"/>
      <c r="BE102" s="2"/>
      <c r="BF102" s="2"/>
      <c r="BG102" s="2"/>
      <c r="BH102" s="2"/>
      <c r="BI102" s="2"/>
      <c r="BJ102" s="2"/>
      <c r="BK102" s="2"/>
    </row>
    <row r="103" spans="1:63" outlineLevel="1">
      <c r="A103" s="4" t="s">
        <v>1159</v>
      </c>
      <c r="C103" s="216">
        <f>C$99*'BTX recycling rates'!E57</f>
        <v>0</v>
      </c>
      <c r="D103" s="216">
        <f>D$99*'BTX recycling rates'!F57</f>
        <v>1.7777371762434242</v>
      </c>
      <c r="E103" s="216">
        <f>E$99*'BTX recycling rates'!G57</f>
        <v>3.5992934154249454</v>
      </c>
      <c r="F103" s="216">
        <f>F$99*'BTX recycling rates'!H57</f>
        <v>5.4725502385667717</v>
      </c>
      <c r="G103" s="216">
        <f>G$99*'BTX recycling rates'!I57</f>
        <v>7.3874997384464374</v>
      </c>
      <c r="H103" s="216">
        <f>H$99*'BTX recycling rates'!J57</f>
        <v>9.33873845765814</v>
      </c>
      <c r="I103" s="216">
        <f>I$99*'BTX recycling rates'!K57</f>
        <v>11.320968613000495</v>
      </c>
      <c r="J103" s="216">
        <f>J$99*'BTX recycling rates'!L57</f>
        <v>13.328998095476511</v>
      </c>
      <c r="K103" s="216">
        <f>K$99*'BTX recycling rates'!M57</f>
        <v>15.357740470293605</v>
      </c>
      <c r="L103" s="216">
        <f>L$99*'BTX recycling rates'!N57</f>
        <v>17.402214976863601</v>
      </c>
      <c r="M103" s="216">
        <f>M$99*'BTX recycling rates'!O57</f>
        <v>19.45754652880272</v>
      </c>
      <c r="N103" s="216">
        <f>N$99*'BTX recycling rates'!P57</f>
        <v>21.860195742029301</v>
      </c>
      <c r="O103" s="216">
        <f>O$99*'BTX recycling rates'!Q57</f>
        <v>24.256491806639239</v>
      </c>
      <c r="P103" s="216">
        <f>P$99*'BTX recycling rates'!R57</f>
        <v>26.625821634728513</v>
      </c>
      <c r="Q103" s="216">
        <f>Q$99*'BTX recycling rates'!S57</f>
        <v>28.948108487258121</v>
      </c>
      <c r="R103" s="216">
        <f>R$99*'BTX recycling rates'!T57</f>
        <v>31.203811974054098</v>
      </c>
      <c r="S103" s="216">
        <f>S$99*'BTX recycling rates'!U57</f>
        <v>33.373928053807475</v>
      </c>
      <c r="T103" s="216">
        <f>T$99*'BTX recycling rates'!V57</f>
        <v>35.439989034074316</v>
      </c>
      <c r="U103" s="216">
        <f>U$99*'BTX recycling rates'!W57</f>
        <v>37.384063571275753</v>
      </c>
      <c r="V103" s="216">
        <f>V$99*'BTX recycling rates'!X57</f>
        <v>39.188756670697877</v>
      </c>
      <c r="W103" s="216">
        <f>W$99*'BTX recycling rates'!Y57</f>
        <v>40.837209686491846</v>
      </c>
      <c r="X103" s="216">
        <f>X$99*'BTX recycling rates'!Z57</f>
        <v>43.18459248630132</v>
      </c>
      <c r="Y103" s="216">
        <f>Y$99*'BTX recycling rates'!AA57</f>
        <v>45.327984977752514</v>
      </c>
      <c r="Z103" s="216">
        <f>Z$99*'BTX recycling rates'!AB57</f>
        <v>47.240597814705623</v>
      </c>
      <c r="AA103" s="216">
        <f>AA$99*'BTX recycling rates'!AC57</f>
        <v>48.89651040517218</v>
      </c>
      <c r="AB103" s="216">
        <f>AB$99*'BTX recycling rates'!AD57</f>
        <v>50.270670911314951</v>
      </c>
      <c r="AC103" s="216">
        <f>AC$99*'BTX recycling rates'!AE57</f>
        <v>51.338896249448027</v>
      </c>
      <c r="AD103" s="216">
        <f>AD$99*'BTX recycling rates'!AF57</f>
        <v>52.077872090036792</v>
      </c>
      <c r="AE103" s="216">
        <f>AE$99*'BTX recycling rates'!AG57</f>
        <v>52.465152857697873</v>
      </c>
      <c r="AF103" s="216">
        <f>AF$99*'BTX recycling rates'!AH57</f>
        <v>52.479161731199213</v>
      </c>
      <c r="AG103" s="216">
        <f>AG$99*'BTX recycling rates'!AI57</f>
        <v>52.099190643460098</v>
      </c>
      <c r="AH103" s="230"/>
      <c r="AI103" s="126"/>
      <c r="AJ103" s="198"/>
      <c r="AL103" s="102"/>
      <c r="AM103" s="2"/>
      <c r="AN103" s="2"/>
      <c r="AO103" s="2"/>
      <c r="BC103" s="1"/>
      <c r="BD103" s="2"/>
      <c r="BE103" s="2"/>
      <c r="BF103" s="2"/>
      <c r="BG103" s="2"/>
      <c r="BH103" s="2"/>
      <c r="BI103" s="2"/>
      <c r="BJ103" s="2"/>
      <c r="BK103" s="2"/>
    </row>
    <row r="104" spans="1:63" s="1" customFormat="1" outlineLevel="1">
      <c r="A104" s="1" t="s">
        <v>1165</v>
      </c>
      <c r="B104" s="61"/>
      <c r="C104" s="279">
        <f>C99-$C99</f>
        <v>0</v>
      </c>
      <c r="D104" s="279">
        <f t="shared" ref="D104:AG104" si="46">D99-$C99</f>
        <v>153.02873671449106</v>
      </c>
      <c r="E104" s="279">
        <f t="shared" si="46"/>
        <v>255.23197942409843</v>
      </c>
      <c r="F104" s="279">
        <f t="shared" si="46"/>
        <v>369.69042115658431</v>
      </c>
      <c r="G104" s="279">
        <f t="shared" si="46"/>
        <v>475.54148003280807</v>
      </c>
      <c r="H104" s="279">
        <f t="shared" si="46"/>
        <v>572.90839290034182</v>
      </c>
      <c r="I104" s="279">
        <f t="shared" si="46"/>
        <v>661.91439660677224</v>
      </c>
      <c r="J104" s="279">
        <f t="shared" si="46"/>
        <v>742.68272799967508</v>
      </c>
      <c r="K104" s="279">
        <f t="shared" si="46"/>
        <v>815.33662392663337</v>
      </c>
      <c r="L104" s="279">
        <f t="shared" si="46"/>
        <v>879.99932123522831</v>
      </c>
      <c r="M104" s="279">
        <f t="shared" si="46"/>
        <v>936.7940567730393</v>
      </c>
      <c r="N104" s="279">
        <f t="shared" si="46"/>
        <v>1130.5499350795808</v>
      </c>
      <c r="O104" s="279">
        <f t="shared" si="46"/>
        <v>1289.5434945711013</v>
      </c>
      <c r="P104" s="279">
        <f t="shared" si="46"/>
        <v>1414.4002232150951</v>
      </c>
      <c r="Q104" s="279">
        <f t="shared" si="46"/>
        <v>1505.7456089790549</v>
      </c>
      <c r="R104" s="279">
        <f t="shared" si="46"/>
        <v>1564.2051398304748</v>
      </c>
      <c r="S104" s="279">
        <f t="shared" si="46"/>
        <v>1590.4043037368419</v>
      </c>
      <c r="T104" s="279">
        <f t="shared" si="46"/>
        <v>1584.9685886656489</v>
      </c>
      <c r="U104" s="279">
        <f t="shared" si="46"/>
        <v>1548.5234825843936</v>
      </c>
      <c r="V104" s="279">
        <f t="shared" si="46"/>
        <v>1481.6944734605613</v>
      </c>
      <c r="W104" s="279">
        <f t="shared" si="46"/>
        <v>1385.10704926165</v>
      </c>
      <c r="X104" s="279">
        <f t="shared" si="46"/>
        <v>1452.9735140440453</v>
      </c>
      <c r="Y104" s="279">
        <f t="shared" si="46"/>
        <v>1471.4170807668206</v>
      </c>
      <c r="Z104" s="279">
        <f t="shared" si="46"/>
        <v>1441.4508871538937</v>
      </c>
      <c r="AA104" s="279">
        <f t="shared" si="46"/>
        <v>1364.0880709291951</v>
      </c>
      <c r="AB104" s="279">
        <f t="shared" si="46"/>
        <v>1240.3417698166459</v>
      </c>
      <c r="AC104" s="279">
        <f t="shared" si="46"/>
        <v>1071.2251215401693</v>
      </c>
      <c r="AD104" s="279">
        <f t="shared" si="46"/>
        <v>857.75126382369399</v>
      </c>
      <c r="AE104" s="279">
        <f t="shared" si="46"/>
        <v>600.93333439113758</v>
      </c>
      <c r="AF104" s="279">
        <f t="shared" si="46"/>
        <v>301.78447096642503</v>
      </c>
      <c r="AG104" s="279">
        <f t="shared" si="46"/>
        <v>-38.68218872651687</v>
      </c>
      <c r="AH104" s="230"/>
      <c r="AI104" s="398"/>
      <c r="AJ104" s="399"/>
      <c r="AL104" s="207"/>
      <c r="AM104" s="118"/>
      <c r="AN104" s="118"/>
      <c r="AO104" s="118"/>
      <c r="BD104" s="118"/>
      <c r="BE104" s="118"/>
      <c r="BF104" s="118"/>
      <c r="BG104" s="118"/>
      <c r="BH104" s="118"/>
      <c r="BI104" s="118"/>
      <c r="BJ104" s="118"/>
      <c r="BK104" s="118"/>
    </row>
    <row r="105" spans="1:63" outlineLevel="1">
      <c r="A105" s="4" t="s">
        <v>35</v>
      </c>
      <c r="C105" s="216">
        <f>C100-$C100</f>
        <v>0</v>
      </c>
      <c r="D105" s="216">
        <f t="shared" ref="D105:AG105" si="47">D100-$C100</f>
        <v>42.246955913646161</v>
      </c>
      <c r="E105" s="216">
        <f t="shared" si="47"/>
        <v>31.128613942475567</v>
      </c>
      <c r="F105" s="216">
        <f t="shared" si="47"/>
        <v>29.016408601591138</v>
      </c>
      <c r="G105" s="216">
        <f t="shared" si="47"/>
        <v>15.741321597670321</v>
      </c>
      <c r="H105" s="216">
        <f t="shared" si="47"/>
        <v>-8.2387439324338629</v>
      </c>
      <c r="I105" s="216">
        <f t="shared" si="47"/>
        <v>-42.472438269392114</v>
      </c>
      <c r="J105" s="216">
        <f t="shared" si="47"/>
        <v>-86.51496511141886</v>
      </c>
      <c r="K105" s="216">
        <f t="shared" si="47"/>
        <v>-139.92808157425861</v>
      </c>
      <c r="L105" s="216">
        <f t="shared" si="47"/>
        <v>-202.28009819119598</v>
      </c>
      <c r="M105" s="216">
        <f t="shared" si="47"/>
        <v>-273.14587891304836</v>
      </c>
      <c r="N105" s="216">
        <f t="shared" si="47"/>
        <v>-229.06824121029968</v>
      </c>
      <c r="O105" s="216">
        <f t="shared" si="47"/>
        <v>-219.23742645219227</v>
      </c>
      <c r="P105" s="216">
        <f t="shared" si="47"/>
        <v>-241.7518060766879</v>
      </c>
      <c r="Q105" s="216">
        <f t="shared" si="47"/>
        <v>-294.74301335775635</v>
      </c>
      <c r="R105" s="216">
        <f t="shared" si="47"/>
        <v>-376.37594340537999</v>
      </c>
      <c r="S105" s="216">
        <f t="shared" si="47"/>
        <v>-484.84875316555463</v>
      </c>
      <c r="T105" s="216">
        <f t="shared" si="47"/>
        <v>-618.39286142028413</v>
      </c>
      <c r="U105" s="216">
        <f t="shared" si="47"/>
        <v>-775.27294878757493</v>
      </c>
      <c r="V105" s="216">
        <f t="shared" si="47"/>
        <v>-953.78695772145602</v>
      </c>
      <c r="W105" s="216">
        <f t="shared" si="47"/>
        <v>-1152.2660925119562</v>
      </c>
      <c r="X105" s="216">
        <f t="shared" si="47"/>
        <v>-1230.2104884791461</v>
      </c>
      <c r="Y105" s="216">
        <f t="shared" si="47"/>
        <v>-1344.7545162126389</v>
      </c>
      <c r="Z105" s="216">
        <f t="shared" si="47"/>
        <v>-1493.2272298217149</v>
      </c>
      <c r="AA105" s="216">
        <f t="shared" si="47"/>
        <v>-1673.0115594653525</v>
      </c>
      <c r="AB105" s="216">
        <f t="shared" si="47"/>
        <v>-1881.544311352247</v>
      </c>
      <c r="AC105" s="216">
        <f t="shared" si="47"/>
        <v>-2116.3161677408007</v>
      </c>
      <c r="AD105" s="216">
        <f t="shared" si="47"/>
        <v>-2374.871686939121</v>
      </c>
      <c r="AE105" s="216">
        <f t="shared" si="47"/>
        <v>-2654.8093033050309</v>
      </c>
      <c r="AF105" s="216">
        <f t="shared" si="47"/>
        <v>-2953.7813272460571</v>
      </c>
      <c r="AG105" s="216">
        <f t="shared" si="47"/>
        <v>-3269.4939452194267</v>
      </c>
      <c r="AH105" s="230"/>
      <c r="AI105" s="126"/>
      <c r="AJ105" s="198"/>
      <c r="AL105" s="102"/>
      <c r="AM105" s="2"/>
      <c r="AN105" s="2"/>
      <c r="AO105" s="2"/>
      <c r="BC105" s="1"/>
      <c r="BD105" s="2"/>
      <c r="BE105" s="2"/>
      <c r="BF105" s="2"/>
      <c r="BG105" s="2"/>
      <c r="BH105" s="2"/>
      <c r="BI105" s="2"/>
      <c r="BJ105" s="2"/>
      <c r="BK105" s="2"/>
    </row>
    <row r="106" spans="1:63" outlineLevel="1">
      <c r="A106" s="4" t="s">
        <v>74</v>
      </c>
      <c r="C106" s="216">
        <f t="shared" ref="C106:AG108" si="48">C101-$C101</f>
        <v>0</v>
      </c>
      <c r="D106" s="216">
        <f t="shared" si="48"/>
        <v>88.95868830955348</v>
      </c>
      <c r="E106" s="216">
        <f t="shared" si="48"/>
        <v>179.91926776584211</v>
      </c>
      <c r="F106" s="216">
        <f t="shared" si="48"/>
        <v>273.49424514311556</v>
      </c>
      <c r="G106" s="216">
        <f t="shared" si="48"/>
        <v>369.11291162164599</v>
      </c>
      <c r="H106" s="216">
        <f t="shared" si="48"/>
        <v>466.50693251184936</v>
      </c>
      <c r="I106" s="216">
        <f t="shared" si="48"/>
        <v>565.41322930946194</v>
      </c>
      <c r="J106" s="216">
        <f t="shared" si="48"/>
        <v>665.57397969553926</v>
      </c>
      <c r="K106" s="216">
        <f t="shared" si="48"/>
        <v>766.73661753645729</v>
      </c>
      <c r="L106" s="216">
        <f t="shared" si="48"/>
        <v>868.6538328839116</v>
      </c>
      <c r="M106" s="216">
        <f t="shared" si="48"/>
        <v>971.0835719749175</v>
      </c>
      <c r="N106" s="216">
        <f t="shared" si="48"/>
        <v>1091.2674437231465</v>
      </c>
      <c r="O106" s="216">
        <f t="shared" si="48"/>
        <v>1211.0138093914584</v>
      </c>
      <c r="P106" s="216">
        <f t="shared" si="48"/>
        <v>1329.2995699090334</v>
      </c>
      <c r="Q106" s="216">
        <f t="shared" si="48"/>
        <v>1445.1283039458169</v>
      </c>
      <c r="R106" s="216">
        <f t="shared" si="48"/>
        <v>1557.5302679125195</v>
      </c>
      <c r="S106" s="216">
        <f t="shared" si="48"/>
        <v>1665.562395960616</v>
      </c>
      <c r="T106" s="216">
        <f t="shared" si="48"/>
        <v>1768.3082999823466</v>
      </c>
      <c r="U106" s="216">
        <f t="shared" si="48"/>
        <v>1864.8782696107187</v>
      </c>
      <c r="V106" s="216">
        <f t="shared" si="48"/>
        <v>1954.409272219501</v>
      </c>
      <c r="W106" s="216">
        <f t="shared" si="48"/>
        <v>2036.0649529232312</v>
      </c>
      <c r="X106" s="216">
        <f t="shared" si="48"/>
        <v>2153.0598825907214</v>
      </c>
      <c r="Y106" s="216">
        <f t="shared" si="48"/>
        <v>2259.7356840490388</v>
      </c>
      <c r="Z106" s="216">
        <f t="shared" si="48"/>
        <v>2354.7634089799585</v>
      </c>
      <c r="AA106" s="216">
        <f t="shared" si="48"/>
        <v>2436.857320488919</v>
      </c>
      <c r="AB106" s="216">
        <f t="shared" si="48"/>
        <v>2504.7748931050187</v>
      </c>
      <c r="AC106" s="216">
        <f t="shared" si="48"/>
        <v>2557.3168127810177</v>
      </c>
      <c r="AD106" s="216">
        <f t="shared" si="48"/>
        <v>2593.3269768933374</v>
      </c>
      <c r="AE106" s="216">
        <f t="shared" si="48"/>
        <v>2611.6924942420587</v>
      </c>
      <c r="AF106" s="216">
        <f t="shared" si="48"/>
        <v>2611.3436850509243</v>
      </c>
      <c r="AG106" s="216">
        <f t="shared" si="48"/>
        <v>2591.2540809673387</v>
      </c>
      <c r="AH106" s="230"/>
      <c r="AI106" s="126"/>
      <c r="AJ106" s="198"/>
      <c r="AL106" s="102"/>
      <c r="AM106" s="2"/>
      <c r="AN106" s="2"/>
      <c r="AO106" s="2"/>
      <c r="BC106" s="1"/>
      <c r="BD106" s="2"/>
      <c r="BE106" s="2"/>
      <c r="BF106" s="2"/>
      <c r="BG106" s="2"/>
      <c r="BH106" s="2"/>
      <c r="BI106" s="2"/>
      <c r="BJ106" s="2"/>
      <c r="BK106" s="2"/>
    </row>
    <row r="107" spans="1:63" outlineLevel="1">
      <c r="A107" s="4" t="s">
        <v>160</v>
      </c>
      <c r="C107" s="216">
        <f t="shared" si="48"/>
        <v>0</v>
      </c>
      <c r="D107" s="216">
        <f t="shared" si="48"/>
        <v>20.045355315047654</v>
      </c>
      <c r="E107" s="216">
        <f t="shared" si="48"/>
        <v>40.584804300354655</v>
      </c>
      <c r="F107" s="216">
        <f t="shared" si="48"/>
        <v>61.707217173309942</v>
      </c>
      <c r="G107" s="216">
        <f t="shared" si="48"/>
        <v>83.299747075044166</v>
      </c>
      <c r="H107" s="216">
        <f t="shared" si="48"/>
        <v>105.30146586326698</v>
      </c>
      <c r="I107" s="216">
        <f t="shared" si="48"/>
        <v>127.65263695369977</v>
      </c>
      <c r="J107" s="216">
        <f t="shared" si="48"/>
        <v>150.29471532007545</v>
      </c>
      <c r="K107" s="216">
        <f t="shared" si="48"/>
        <v>173.17034749413858</v>
      </c>
      <c r="L107" s="216">
        <f t="shared" si="48"/>
        <v>196.22337156564544</v>
      </c>
      <c r="M107" s="216">
        <f t="shared" si="48"/>
        <v>219.39881718236381</v>
      </c>
      <c r="N107" s="216">
        <f t="shared" si="48"/>
        <v>246.49053682470074</v>
      </c>
      <c r="O107" s="216">
        <f t="shared" si="48"/>
        <v>273.51061982519218</v>
      </c>
      <c r="P107" s="216">
        <f t="shared" si="48"/>
        <v>300.2266377480164</v>
      </c>
      <c r="Q107" s="216">
        <f t="shared" si="48"/>
        <v>326.41220990373171</v>
      </c>
      <c r="R107" s="216">
        <f t="shared" si="48"/>
        <v>351.84700334927635</v>
      </c>
      <c r="S107" s="216">
        <f t="shared" si="48"/>
        <v>376.31673288796844</v>
      </c>
      <c r="T107" s="216">
        <f t="shared" si="48"/>
        <v>399.61316106950619</v>
      </c>
      <c r="U107" s="216">
        <f t="shared" si="48"/>
        <v>421.53409818996812</v>
      </c>
      <c r="V107" s="216">
        <f t="shared" si="48"/>
        <v>441.88340229181222</v>
      </c>
      <c r="W107" s="216">
        <f t="shared" si="48"/>
        <v>460.47097916387702</v>
      </c>
      <c r="X107" s="216">
        <f t="shared" si="48"/>
        <v>486.93952744616212</v>
      </c>
      <c r="Y107" s="216">
        <f t="shared" si="48"/>
        <v>511.10792795266161</v>
      </c>
      <c r="Z107" s="216">
        <f t="shared" si="48"/>
        <v>532.67411018093753</v>
      </c>
      <c r="AA107" s="216">
        <f t="shared" si="48"/>
        <v>551.34579950044917</v>
      </c>
      <c r="AB107" s="216">
        <f t="shared" si="48"/>
        <v>566.84051715255168</v>
      </c>
      <c r="AC107" s="216">
        <f t="shared" si="48"/>
        <v>578.88558025049645</v>
      </c>
      <c r="AD107" s="216">
        <f t="shared" si="48"/>
        <v>587.21810177943223</v>
      </c>
      <c r="AE107" s="216">
        <f t="shared" si="48"/>
        <v>591.58499059640303</v>
      </c>
      <c r="AF107" s="216">
        <f t="shared" si="48"/>
        <v>591.74295143034999</v>
      </c>
      <c r="AG107" s="216">
        <f t="shared" si="48"/>
        <v>587.45848488211072</v>
      </c>
      <c r="AH107" s="230"/>
      <c r="AI107" s="126"/>
      <c r="AJ107" s="198"/>
      <c r="AL107" s="102"/>
      <c r="AM107" s="2"/>
      <c r="AN107" s="2"/>
      <c r="AO107" s="2"/>
      <c r="BC107" s="1"/>
      <c r="BD107" s="2"/>
      <c r="BE107" s="2"/>
      <c r="BF107" s="2"/>
      <c r="BG107" s="2"/>
      <c r="BH107" s="2"/>
      <c r="BI107" s="2"/>
      <c r="BJ107" s="2"/>
      <c r="BK107" s="2"/>
    </row>
    <row r="108" spans="1:63" outlineLevel="1">
      <c r="A108" s="4" t="s">
        <v>1159</v>
      </c>
      <c r="C108" s="216">
        <f t="shared" si="48"/>
        <v>0</v>
      </c>
      <c r="D108" s="216">
        <f t="shared" si="48"/>
        <v>1.7777371762434242</v>
      </c>
      <c r="E108" s="216">
        <f t="shared" si="48"/>
        <v>3.5992934154249454</v>
      </c>
      <c r="F108" s="216">
        <f t="shared" si="48"/>
        <v>5.4725502385667717</v>
      </c>
      <c r="G108" s="216">
        <f t="shared" si="48"/>
        <v>7.3874997384464374</v>
      </c>
      <c r="H108" s="216">
        <f t="shared" si="48"/>
        <v>9.33873845765814</v>
      </c>
      <c r="I108" s="216">
        <f t="shared" si="48"/>
        <v>11.320968613000495</v>
      </c>
      <c r="J108" s="216">
        <f t="shared" si="48"/>
        <v>13.328998095476511</v>
      </c>
      <c r="K108" s="216">
        <f t="shared" si="48"/>
        <v>15.357740470293605</v>
      </c>
      <c r="L108" s="216">
        <f t="shared" si="48"/>
        <v>17.402214976863601</v>
      </c>
      <c r="M108" s="216">
        <f t="shared" si="48"/>
        <v>19.45754652880272</v>
      </c>
      <c r="N108" s="216">
        <f t="shared" si="48"/>
        <v>21.860195742029301</v>
      </c>
      <c r="O108" s="216">
        <f t="shared" si="48"/>
        <v>24.256491806639239</v>
      </c>
      <c r="P108" s="216">
        <f t="shared" si="48"/>
        <v>26.625821634728513</v>
      </c>
      <c r="Q108" s="216">
        <f t="shared" si="48"/>
        <v>28.948108487258121</v>
      </c>
      <c r="R108" s="216">
        <f t="shared" si="48"/>
        <v>31.203811974054098</v>
      </c>
      <c r="S108" s="216">
        <f t="shared" si="48"/>
        <v>33.373928053807475</v>
      </c>
      <c r="T108" s="216">
        <f t="shared" si="48"/>
        <v>35.439989034074316</v>
      </c>
      <c r="U108" s="216">
        <f t="shared" si="48"/>
        <v>37.384063571275753</v>
      </c>
      <c r="V108" s="216">
        <f t="shared" si="48"/>
        <v>39.188756670697877</v>
      </c>
      <c r="W108" s="216">
        <f t="shared" si="48"/>
        <v>40.837209686491846</v>
      </c>
      <c r="X108" s="216">
        <f t="shared" si="48"/>
        <v>43.18459248630132</v>
      </c>
      <c r="Y108" s="216">
        <f t="shared" si="48"/>
        <v>45.327984977752514</v>
      </c>
      <c r="Z108" s="216">
        <f t="shared" si="48"/>
        <v>47.240597814705623</v>
      </c>
      <c r="AA108" s="216">
        <f t="shared" si="48"/>
        <v>48.89651040517218</v>
      </c>
      <c r="AB108" s="216">
        <f t="shared" si="48"/>
        <v>50.270670911314951</v>
      </c>
      <c r="AC108" s="216">
        <f t="shared" si="48"/>
        <v>51.338896249448027</v>
      </c>
      <c r="AD108" s="216">
        <f t="shared" si="48"/>
        <v>52.077872090036792</v>
      </c>
      <c r="AE108" s="216">
        <f t="shared" si="48"/>
        <v>52.465152857697873</v>
      </c>
      <c r="AF108" s="216">
        <f t="shared" si="48"/>
        <v>52.479161731199213</v>
      </c>
      <c r="AG108" s="216">
        <f t="shared" si="48"/>
        <v>52.099190643460098</v>
      </c>
      <c r="AH108" s="230"/>
      <c r="AI108" s="126"/>
      <c r="AJ108" s="198"/>
      <c r="AL108" s="102"/>
      <c r="AM108" s="2"/>
      <c r="AN108" s="2"/>
      <c r="AO108" s="2"/>
      <c r="BC108" s="1"/>
      <c r="BD108" s="2"/>
      <c r="BE108" s="2"/>
      <c r="BF108" s="2"/>
      <c r="BG108" s="2"/>
      <c r="BH108" s="2"/>
      <c r="BI108" s="2"/>
      <c r="BJ108" s="2"/>
      <c r="BK108" s="2"/>
    </row>
    <row r="109" spans="1:63" s="1" customFormat="1" outlineLevel="1">
      <c r="A109" s="1" t="s">
        <v>1163</v>
      </c>
      <c r="B109" s="61"/>
      <c r="C109" s="279">
        <f>'BTX Recycling HC'!C109</f>
        <v>37685.841165071368</v>
      </c>
      <c r="D109" s="279">
        <f>'BTX Recycling HC'!D109</f>
        <v>38524.621236809326</v>
      </c>
      <c r="E109" s="279">
        <f>'BTX Recycling HC'!E109</f>
        <v>39131.297450204242</v>
      </c>
      <c r="F109" s="279">
        <f>'BTX Recycling HC'!F109</f>
        <v>39798.502329013761</v>
      </c>
      <c r="G109" s="279">
        <f>'BTX Recycling HC'!G109</f>
        <v>40428.91157536651</v>
      </c>
      <c r="H109" s="279">
        <f>'BTX Recycling HC'!H109</f>
        <v>41022.699776961614</v>
      </c>
      <c r="I109" s="279">
        <f>'BTX Recycling HC'!I109</f>
        <v>41580.049265628841</v>
      </c>
      <c r="J109" s="279">
        <f>'BTX Recycling HC'!J109</f>
        <v>42101.150117328587</v>
      </c>
      <c r="K109" s="279">
        <f>'BTX Recycling HC'!K109</f>
        <v>42586.200152151847</v>
      </c>
      <c r="L109" s="279">
        <f>'BTX Recycling HC'!L109</f>
        <v>43035.404934320242</v>
      </c>
      <c r="M109" s="279">
        <f>'BTX Recycling HC'!M109</f>
        <v>43448.977772185994</v>
      </c>
      <c r="N109" s="279">
        <f>'BTX Recycling HC'!N109</f>
        <v>44522.114389241018</v>
      </c>
      <c r="O109" s="279">
        <f>'BTX Recycling HC'!O109</f>
        <v>45433.840668132274</v>
      </c>
      <c r="P109" s="279">
        <f>'BTX Recycling HC'!P109</f>
        <v>46185.541941748234</v>
      </c>
      <c r="Q109" s="279">
        <f>'BTX Recycling HC'!Q109</f>
        <v>46778.642848271375</v>
      </c>
      <c r="R109" s="279">
        <f>'BTX Recycling HC'!R109</f>
        <v>47214.607331178056</v>
      </c>
      <c r="S109" s="279">
        <f>'BTX Recycling HC'!S109</f>
        <v>47494.938639238637</v>
      </c>
      <c r="T109" s="279">
        <f>'BTX Recycling HC'!T109</f>
        <v>47621.179326517442</v>
      </c>
      <c r="U109" s="279">
        <f>'BTX Recycling HC'!U109</f>
        <v>47594.911252372716</v>
      </c>
      <c r="V109" s="279">
        <f>'BTX Recycling HC'!V109</f>
        <v>47417.755581456673</v>
      </c>
      <c r="W109" s="279">
        <f>'BTX Recycling HC'!W109</f>
        <v>47091.372783715538</v>
      </c>
      <c r="X109" s="279">
        <f>'BTX Recycling HC'!X109</f>
        <v>47577.608620191204</v>
      </c>
      <c r="Y109" s="279">
        <f>'BTX Recycling HC'!Y109</f>
        <v>47820.074192163687</v>
      </c>
      <c r="Z109" s="279">
        <f>'BTX Recycling HC'!Z109</f>
        <v>47821.496982438221</v>
      </c>
      <c r="AA109" s="279">
        <f>'BTX Recycling HC'!AA109</f>
        <v>47584.668138795503</v>
      </c>
      <c r="AB109" s="279">
        <f>'BTX Recycling HC'!AB109</f>
        <v>47112.442473991563</v>
      </c>
      <c r="AC109" s="279">
        <f>'BTX Recycling HC'!AC109</f>
        <v>46407.738465757866</v>
      </c>
      <c r="AD109" s="279">
        <f>'BTX Recycling HC'!AD109</f>
        <v>45473.538256801272</v>
      </c>
      <c r="AE109" s="279">
        <f>'BTX Recycling HC'!AE109</f>
        <v>44312.88765480397</v>
      </c>
      <c r="AF109" s="279">
        <f>'BTX Recycling HC'!AF109</f>
        <v>42928.896132423579</v>
      </c>
      <c r="AG109" s="279">
        <f>'BTX Recycling HC'!AG109</f>
        <v>41324.736827293113</v>
      </c>
      <c r="AH109" s="230"/>
      <c r="AI109" s="398"/>
      <c r="AJ109" s="399"/>
      <c r="AL109" s="207"/>
      <c r="AM109" s="118"/>
      <c r="AN109" s="118"/>
      <c r="AO109" s="118"/>
      <c r="BD109" s="118"/>
      <c r="BE109" s="118"/>
      <c r="BF109" s="118"/>
      <c r="BG109" s="118"/>
      <c r="BH109" s="118"/>
      <c r="BI109" s="118"/>
      <c r="BJ109" s="118"/>
      <c r="BK109" s="118"/>
    </row>
    <row r="110" spans="1:63" outlineLevel="1">
      <c r="A110" s="4" t="s">
        <v>35</v>
      </c>
      <c r="C110" s="216">
        <f>C$109*'BTX recycling rates'!E50</f>
        <v>37554.119235168924</v>
      </c>
      <c r="D110" s="216">
        <f>D$109*'BTX recycling rates'!F50</f>
        <v>37110.301964879807</v>
      </c>
      <c r="E110" s="216">
        <f>E$109*'BTX recycling rates'!G50</f>
        <v>36394.888385604085</v>
      </c>
      <c r="F110" s="216">
        <f>F$109*'BTX recycling rates'!H50</f>
        <v>35693.456483257731</v>
      </c>
      <c r="G110" s="216">
        <f>G$109*'BTX recycling rates'!I50</f>
        <v>34915.921640328364</v>
      </c>
      <c r="H110" s="216">
        <f>H$109*'BTX recycling rates'!J50</f>
        <v>34066.095540244351</v>
      </c>
      <c r="I110" s="216">
        <f>I$109*'BTX recycling rates'!K50</f>
        <v>33147.772843088474</v>
      </c>
      <c r="J110" s="216">
        <f>J$109*'BTX recycling rates'!L50</f>
        <v>32164.729899420759</v>
      </c>
      <c r="K110" s="216">
        <f>K$109*'BTX recycling rates'!M50</f>
        <v>31120.723464101302</v>
      </c>
      <c r="L110" s="216">
        <f>L$109*'BTX recycling rates'!N50</f>
        <v>30019.489410113179</v>
      </c>
      <c r="M110" s="216">
        <f>M$109*'BTX recycling rates'!O50</f>
        <v>28864.741442385268</v>
      </c>
      <c r="N110" s="216">
        <f>N$109*'BTX recycling rates'!P50</f>
        <v>28098.781994350975</v>
      </c>
      <c r="O110" s="216">
        <f>O$109*'BTX recycling rates'!Q50</f>
        <v>27165.022464894861</v>
      </c>
      <c r="P110" s="216">
        <f>P$109*'BTX recycling rates'!R50</f>
        <v>26080.329748785276</v>
      </c>
      <c r="Q110" s="216">
        <f>Q$109*'BTX recycling rates'!S50</f>
        <v>24861.40756490537</v>
      </c>
      <c r="R110" s="216">
        <f>R$109*'BTX recycling rates'!T50</f>
        <v>23524.789928267775</v>
      </c>
      <c r="S110" s="216">
        <f>S$109*'BTX recycling rates'!U50</f>
        <v>22086.834622029401</v>
      </c>
      <c r="T110" s="216">
        <f>T$109*'BTX recycling rates'!V50</f>
        <v>20563.716669506124</v>
      </c>
      <c r="U110" s="216">
        <f>U$109*'BTX recycling rates'!W50</f>
        <v>18971.421806187525</v>
      </c>
      <c r="V110" s="216">
        <f>V$109*'BTX recycling rates'!X50</f>
        <v>17325.739951751635</v>
      </c>
      <c r="W110" s="216">
        <f>W$109*'BTX recycling rates'!Y50</f>
        <v>15642.258682079673</v>
      </c>
      <c r="X110" s="216">
        <f>X$109*'BTX recycling rates'!Z50</f>
        <v>14223.393708161706</v>
      </c>
      <c r="Y110" s="216">
        <f>Y$109*'BTX recycling rates'!AA50</f>
        <v>12707.448120412131</v>
      </c>
      <c r="Z110" s="216">
        <f>Z$109*'BTX recycling rates'!AB50</f>
        <v>11119.347929385189</v>
      </c>
      <c r="AA110" s="216">
        <f>AA$109*'BTX recycling rates'!AC50</f>
        <v>9483.6694408536841</v>
      </c>
      <c r="AB110" s="216">
        <f>AB$109*'BTX recycling rates'!AD50</f>
        <v>7824.6286820673486</v>
      </c>
      <c r="AC110" s="216">
        <f>AC$109*'BTX recycling rates'!AE50</f>
        <v>6166.070828011284</v>
      </c>
      <c r="AD110" s="216">
        <f>AD$109*'BTX recycling rates'!AF50</f>
        <v>4531.4596276643533</v>
      </c>
      <c r="AE110" s="216">
        <f>AE$109*'BTX recycling rates'!AG50</f>
        <v>2943.8668302575848</v>
      </c>
      <c r="AF110" s="216">
        <f>AF$109*'BTX recycling rates'!AH50</f>
        <v>1425.9616115325928</v>
      </c>
      <c r="AG110" s="216">
        <f>AG$109*'BTX recycling rates'!AI50</f>
        <v>0</v>
      </c>
      <c r="AH110" s="230"/>
      <c r="AI110" s="126"/>
      <c r="AJ110" s="198"/>
      <c r="AL110" s="102"/>
      <c r="AM110" s="2"/>
      <c r="AN110" s="2"/>
      <c r="AO110" s="2"/>
      <c r="BC110" s="1"/>
      <c r="BD110" s="2"/>
      <c r="BE110" s="2"/>
      <c r="BF110" s="2"/>
      <c r="BG110" s="2"/>
      <c r="BH110" s="2"/>
      <c r="BI110" s="2"/>
      <c r="BJ110" s="2"/>
      <c r="BK110" s="2"/>
    </row>
    <row r="111" spans="1:63" outlineLevel="1">
      <c r="A111" s="4" t="s">
        <v>74</v>
      </c>
      <c r="C111" s="216">
        <f>C$109*'BTX recycling rates'!E51</f>
        <v>131.72192990244926</v>
      </c>
      <c r="D111" s="216">
        <f>D$109*'BTX recycling rates'!F51</f>
        <v>130.16523070254442</v>
      </c>
      <c r="E111" s="216">
        <f>E$109*'BTX recycling rates'!G51</f>
        <v>127.65590125321022</v>
      </c>
      <c r="F111" s="216">
        <f>F$109*'BTX recycling rates'!H51</f>
        <v>125.19561285465601</v>
      </c>
      <c r="G111" s="216">
        <f>G$109*'BTX recycling rates'!I51</f>
        <v>122.46839165594551</v>
      </c>
      <c r="H111" s="216">
        <f>H$109*'BTX recycling rates'!J51</f>
        <v>119.48760722365596</v>
      </c>
      <c r="I111" s="216">
        <f>I$109*'BTX recycling rates'!K51</f>
        <v>116.26656941459149</v>
      </c>
      <c r="J111" s="216">
        <f>J$109*'BTX recycling rates'!L51</f>
        <v>112.81852386448756</v>
      </c>
      <c r="K111" s="216">
        <f>K$109*'BTX recycling rates'!M51</f>
        <v>109.15664747671512</v>
      </c>
      <c r="L111" s="216">
        <f>L$109*'BTX recycling rates'!N51</f>
        <v>105.29404391098511</v>
      </c>
      <c r="M111" s="216">
        <f>M$109*'BTX recycling rates'!O51</f>
        <v>101.24373907205266</v>
      </c>
      <c r="N111" s="216">
        <f>N$109*'BTX recycling rates'!P51</f>
        <v>98.557118834994711</v>
      </c>
      <c r="O111" s="216">
        <f>O$109*'BTX recycling rates'!Q51</f>
        <v>95.281935984491923</v>
      </c>
      <c r="P111" s="216">
        <f>P$109*'BTX recycling rates'!R51</f>
        <v>91.477351538712114</v>
      </c>
      <c r="Q111" s="216">
        <f>Q$109*'BTX recycling rates'!S51</f>
        <v>87.201954172683415</v>
      </c>
      <c r="R111" s="216">
        <f>R$109*'BTX recycling rates'!T51</f>
        <v>82.513737321236803</v>
      </c>
      <c r="S111" s="216">
        <f>S$109*'BTX recycling rates'!U51</f>
        <v>77.47007628194909</v>
      </c>
      <c r="T111" s="216">
        <f>T$109*'BTX recycling rates'!V51</f>
        <v>72.127705318085617</v>
      </c>
      <c r="U111" s="216">
        <f>U$109*'BTX recycling rates'!W51</f>
        <v>66.542694761542919</v>
      </c>
      <c r="V111" s="216">
        <f>V$109*'BTX recycling rates'!X51</f>
        <v>60.770428115791503</v>
      </c>
      <c r="W111" s="216">
        <f>W$109*'BTX recycling rates'!Y51</f>
        <v>54.865579158818782</v>
      </c>
      <c r="X111" s="216">
        <f>X$109*'BTX recycling rates'!Z51</f>
        <v>49.888877895633847</v>
      </c>
      <c r="Y111" s="216">
        <f>Y$109*'BTX recycling rates'!AA51</f>
        <v>44.571664164830224</v>
      </c>
      <c r="Z111" s="216">
        <f>Z$109*'BTX recycling rates'!AB51</f>
        <v>39.001366517039408</v>
      </c>
      <c r="AA111" s="216">
        <f>AA$109*'BTX recycling rates'!AC51</f>
        <v>33.264186905394553</v>
      </c>
      <c r="AB111" s="216">
        <f>AB$109*'BTX recycling rates'!AD51</f>
        <v>27.445063597890435</v>
      </c>
      <c r="AC111" s="216">
        <f>AC$109*'BTX recycling rates'!AE51</f>
        <v>21.627634089743776</v>
      </c>
      <c r="AD111" s="216">
        <f>AD$109*'BTX recycling rates'!AF51</f>
        <v>15.894198015753306</v>
      </c>
      <c r="AE111" s="216">
        <f>AE$109*'BTX recycling rates'!AG51</f>
        <v>10.325680062659918</v>
      </c>
      <c r="AF111" s="216">
        <f>AF$109*'BTX recycling rates'!AH51</f>
        <v>5.0015928815068866</v>
      </c>
      <c r="AG111" s="216">
        <f>AG$109*'BTX recycling rates'!AI51</f>
        <v>0</v>
      </c>
      <c r="AH111" s="230"/>
      <c r="AI111" s="126"/>
      <c r="AJ111" s="198"/>
      <c r="AL111" s="102"/>
      <c r="AM111" s="2"/>
      <c r="AN111" s="2"/>
      <c r="AO111" s="2"/>
      <c r="BC111" s="1"/>
      <c r="BD111" s="2"/>
      <c r="BE111" s="2"/>
      <c r="BF111" s="2"/>
      <c r="BG111" s="2"/>
      <c r="BH111" s="2"/>
      <c r="BI111" s="2"/>
      <c r="BJ111" s="2"/>
      <c r="BK111" s="2"/>
    </row>
    <row r="112" spans="1:63" outlineLevel="1">
      <c r="A112" s="4" t="s">
        <v>160</v>
      </c>
      <c r="C112" s="216">
        <f>C$109*'BTX recycling rates'!E52</f>
        <v>0</v>
      </c>
      <c r="D112" s="216">
        <f>D$109*'BTX recycling rates'!F52</f>
        <v>642.0770206134888</v>
      </c>
      <c r="E112" s="216">
        <f>E$109*'BTX recycling rates'!G52</f>
        <v>1304.3765816734747</v>
      </c>
      <c r="F112" s="216">
        <f>F$109*'BTX recycling rates'!H52</f>
        <v>1989.9251164506882</v>
      </c>
      <c r="G112" s="216">
        <f>G$109*'BTX recycling rates'!I52</f>
        <v>2695.2607716911007</v>
      </c>
      <c r="H112" s="216">
        <f>H$109*'BTX recycling rates'!J52</f>
        <v>3418.558314746801</v>
      </c>
      <c r="I112" s="216">
        <f>I$109*'BTX recycling rates'!K52</f>
        <v>4158.0049265628841</v>
      </c>
      <c r="J112" s="216">
        <f>J$109*'BTX recycling rates'!L52</f>
        <v>4911.8008470216682</v>
      </c>
      <c r="K112" s="216">
        <f>K$109*'BTX recycling rates'!M52</f>
        <v>5678.1600202869131</v>
      </c>
      <c r="L112" s="216">
        <f>L$109*'BTX recycling rates'!N52</f>
        <v>6455.3107401480365</v>
      </c>
      <c r="M112" s="216">
        <f>M$109*'BTX recycling rates'!O52</f>
        <v>7241.4962953643317</v>
      </c>
      <c r="N112" s="216">
        <f>N$109*'BTX recycling rates'!P52</f>
        <v>8162.3876380275196</v>
      </c>
      <c r="O112" s="216">
        <f>O$109*'BTX recycling rates'!Q52</f>
        <v>9086.7681336264541</v>
      </c>
      <c r="P112" s="216">
        <f>P$109*'BTX recycling rates'!R52</f>
        <v>10006.867420712117</v>
      </c>
      <c r="Q112" s="216">
        <f>Q$109*'BTX recycling rates'!S52</f>
        <v>10915.016664596653</v>
      </c>
      <c r="R112" s="216">
        <f>R$109*'BTX recycling rates'!T52</f>
        <v>11803.651832794512</v>
      </c>
      <c r="S112" s="216">
        <f>S$109*'BTX recycling rates'!U52</f>
        <v>12665.316970463637</v>
      </c>
      <c r="T112" s="216">
        <f>T$109*'BTX recycling rates'!V52</f>
        <v>13492.667475846609</v>
      </c>
      <c r="U112" s="216">
        <f>U$109*'BTX recycling rates'!W52</f>
        <v>14278.473375711814</v>
      </c>
      <c r="V112" s="216">
        <f>V$109*'BTX recycling rates'!X52</f>
        <v>15015.622600794612</v>
      </c>
      <c r="W112" s="216">
        <f>W$109*'BTX recycling rates'!Y52</f>
        <v>15697.124261238512</v>
      </c>
      <c r="X112" s="216">
        <f>X$109*'BTX recycling rates'!Z52</f>
        <v>16652.16301706692</v>
      </c>
      <c r="Y112" s="216">
        <f>Y$109*'BTX recycling rates'!AA52</f>
        <v>17534.02720379335</v>
      </c>
      <c r="Z112" s="216">
        <f>Z$109*'BTX recycling rates'!AB52</f>
        <v>18331.573843267983</v>
      </c>
      <c r="AA112" s="216">
        <f>AA$109*'BTX recycling rates'!AC52</f>
        <v>19033.867255518198</v>
      </c>
      <c r="AB112" s="216">
        <f>AB$109*'BTX recycling rates'!AD52</f>
        <v>19630.184364163149</v>
      </c>
      <c r="AC112" s="216">
        <f>AC$109*'BTX recycling rates'!AE52</f>
        <v>20110.020001828405</v>
      </c>
      <c r="AD112" s="216">
        <f>AD$109*'BTX recycling rates'!AF52</f>
        <v>20463.092215560569</v>
      </c>
      <c r="AE112" s="216">
        <f>AE$109*'BTX recycling rates'!AG52</f>
        <v>20679.347572241852</v>
      </c>
      <c r="AF112" s="216">
        <f>AF$109*'BTX recycling rates'!AH52</f>
        <v>20748.966464004727</v>
      </c>
      <c r="AG112" s="216">
        <f>AG$109*'BTX recycling rates'!AI52</f>
        <v>20662.368413646556</v>
      </c>
      <c r="AH112" s="230"/>
      <c r="AI112" s="126"/>
      <c r="AJ112" s="198"/>
      <c r="AL112" s="102"/>
      <c r="AM112" s="2"/>
      <c r="AN112" s="2"/>
      <c r="AO112" s="2"/>
      <c r="BC112" s="1"/>
      <c r="BD112" s="2"/>
      <c r="BE112" s="2"/>
      <c r="BF112" s="2"/>
      <c r="BG112" s="2"/>
      <c r="BH112" s="2"/>
      <c r="BI112" s="2"/>
      <c r="BJ112" s="2"/>
      <c r="BK112" s="2"/>
    </row>
    <row r="113" spans="1:63" outlineLevel="1">
      <c r="A113" s="4" t="s">
        <v>1159</v>
      </c>
      <c r="C113" s="216">
        <f>C$109*'BTX recycling rates'!E53</f>
        <v>0</v>
      </c>
      <c r="D113" s="216">
        <f>D$109*'BTX recycling rates'!F53</f>
        <v>642.0770206134888</v>
      </c>
      <c r="E113" s="216">
        <f>E$109*'BTX recycling rates'!G53</f>
        <v>1304.3765816734747</v>
      </c>
      <c r="F113" s="216">
        <f>F$109*'BTX recycling rates'!H53</f>
        <v>1989.9251164506882</v>
      </c>
      <c r="G113" s="216">
        <f>G$109*'BTX recycling rates'!I53</f>
        <v>2695.2607716911007</v>
      </c>
      <c r="H113" s="216">
        <f>H$109*'BTX recycling rates'!J53</f>
        <v>3418.558314746801</v>
      </c>
      <c r="I113" s="216">
        <f>I$109*'BTX recycling rates'!K53</f>
        <v>4158.0049265628841</v>
      </c>
      <c r="J113" s="216">
        <f>J$109*'BTX recycling rates'!L53</f>
        <v>4911.8008470216682</v>
      </c>
      <c r="K113" s="216">
        <f>K$109*'BTX recycling rates'!M53</f>
        <v>5678.1600202869131</v>
      </c>
      <c r="L113" s="216">
        <f>L$109*'BTX recycling rates'!N53</f>
        <v>6455.3107401480365</v>
      </c>
      <c r="M113" s="216">
        <f>M$109*'BTX recycling rates'!O53</f>
        <v>7241.4962953643317</v>
      </c>
      <c r="N113" s="216">
        <f>N$109*'BTX recycling rates'!P53</f>
        <v>8162.3876380275196</v>
      </c>
      <c r="O113" s="216">
        <f>O$109*'BTX recycling rates'!Q53</f>
        <v>9086.7681336264541</v>
      </c>
      <c r="P113" s="216">
        <f>P$109*'BTX recycling rates'!R53</f>
        <v>10006.867420712117</v>
      </c>
      <c r="Q113" s="216">
        <f>Q$109*'BTX recycling rates'!S53</f>
        <v>10915.016664596653</v>
      </c>
      <c r="R113" s="216">
        <f>R$109*'BTX recycling rates'!T53</f>
        <v>11803.651832794512</v>
      </c>
      <c r="S113" s="216">
        <f>S$109*'BTX recycling rates'!U53</f>
        <v>12665.316970463637</v>
      </c>
      <c r="T113" s="216">
        <f>T$109*'BTX recycling rates'!V53</f>
        <v>13492.667475846609</v>
      </c>
      <c r="U113" s="216">
        <f>U$109*'BTX recycling rates'!W53</f>
        <v>14278.473375711814</v>
      </c>
      <c r="V113" s="216">
        <f>V$109*'BTX recycling rates'!X53</f>
        <v>15015.622600794612</v>
      </c>
      <c r="W113" s="216">
        <f>W$109*'BTX recycling rates'!Y53</f>
        <v>15697.124261238512</v>
      </c>
      <c r="X113" s="216">
        <f>X$109*'BTX recycling rates'!Z53</f>
        <v>16652.16301706692</v>
      </c>
      <c r="Y113" s="216">
        <f>Y$109*'BTX recycling rates'!AA53</f>
        <v>17534.02720379335</v>
      </c>
      <c r="Z113" s="216">
        <f>Z$109*'BTX recycling rates'!AB53</f>
        <v>18331.573843267983</v>
      </c>
      <c r="AA113" s="216">
        <f>AA$109*'BTX recycling rates'!AC53</f>
        <v>19033.867255518198</v>
      </c>
      <c r="AB113" s="216">
        <f>AB$109*'BTX recycling rates'!AD53</f>
        <v>19630.184364163149</v>
      </c>
      <c r="AC113" s="216">
        <f>AC$109*'BTX recycling rates'!AE53</f>
        <v>20110.020001828405</v>
      </c>
      <c r="AD113" s="216">
        <f>AD$109*'BTX recycling rates'!AF53</f>
        <v>20463.092215560569</v>
      </c>
      <c r="AE113" s="216">
        <f>AE$109*'BTX recycling rates'!AG53</f>
        <v>20679.347572241852</v>
      </c>
      <c r="AF113" s="216">
        <f>AF$109*'BTX recycling rates'!AH53</f>
        <v>20748.966464004727</v>
      </c>
      <c r="AG113" s="216">
        <f>AG$109*'BTX recycling rates'!AI53</f>
        <v>20662.368413646556</v>
      </c>
      <c r="AH113" s="230"/>
      <c r="AI113" s="126"/>
      <c r="AJ113" s="198"/>
      <c r="AL113" s="102"/>
      <c r="AM113" s="2"/>
      <c r="AN113" s="2"/>
      <c r="AO113" s="2"/>
      <c r="BC113" s="1"/>
      <c r="BD113" s="2"/>
      <c r="BE113" s="2"/>
      <c r="BF113" s="2"/>
      <c r="BG113" s="2"/>
      <c r="BH113" s="2"/>
      <c r="BI113" s="2"/>
      <c r="BJ113" s="2"/>
      <c r="BK113" s="2"/>
    </row>
    <row r="114" spans="1:63" s="1" customFormat="1" outlineLevel="1">
      <c r="A114" s="1" t="s">
        <v>1166</v>
      </c>
      <c r="B114" s="61"/>
      <c r="C114" s="279">
        <f>C109-$C109</f>
        <v>0</v>
      </c>
      <c r="D114" s="279">
        <f t="shared" ref="D114:AG114" si="49">D109-$C109</f>
        <v>838.78007173795777</v>
      </c>
      <c r="E114" s="279">
        <f t="shared" si="49"/>
        <v>1445.4562851328737</v>
      </c>
      <c r="F114" s="279">
        <f t="shared" si="49"/>
        <v>2112.6611639423936</v>
      </c>
      <c r="G114" s="279">
        <f t="shared" si="49"/>
        <v>2743.0704102951422</v>
      </c>
      <c r="H114" s="279">
        <f t="shared" si="49"/>
        <v>3336.8586118902458</v>
      </c>
      <c r="I114" s="279">
        <f t="shared" si="49"/>
        <v>3894.2081005574728</v>
      </c>
      <c r="J114" s="279">
        <f t="shared" si="49"/>
        <v>4415.3089522572191</v>
      </c>
      <c r="K114" s="279">
        <f t="shared" si="49"/>
        <v>4900.358987080479</v>
      </c>
      <c r="L114" s="279">
        <f t="shared" si="49"/>
        <v>5349.5637692488745</v>
      </c>
      <c r="M114" s="279">
        <f t="shared" si="49"/>
        <v>5763.1366071146258</v>
      </c>
      <c r="N114" s="279">
        <f t="shared" si="49"/>
        <v>6836.2732241696503</v>
      </c>
      <c r="O114" s="279">
        <f t="shared" si="49"/>
        <v>7747.9995030609061</v>
      </c>
      <c r="P114" s="279">
        <f t="shared" si="49"/>
        <v>8499.7007766768656</v>
      </c>
      <c r="Q114" s="279">
        <f t="shared" si="49"/>
        <v>9092.8016832000067</v>
      </c>
      <c r="R114" s="279">
        <f t="shared" si="49"/>
        <v>9528.7661661066886</v>
      </c>
      <c r="S114" s="279">
        <f t="shared" si="49"/>
        <v>9809.097474167269</v>
      </c>
      <c r="T114" s="279">
        <f t="shared" si="49"/>
        <v>9935.3381614460741</v>
      </c>
      <c r="U114" s="279">
        <f t="shared" si="49"/>
        <v>9909.0700873013484</v>
      </c>
      <c r="V114" s="279">
        <f t="shared" si="49"/>
        <v>9731.9144163853052</v>
      </c>
      <c r="W114" s="279">
        <f t="shared" si="49"/>
        <v>9405.5316186441705</v>
      </c>
      <c r="X114" s="279">
        <f t="shared" si="49"/>
        <v>9891.7674551198361</v>
      </c>
      <c r="Y114" s="279">
        <f t="shared" si="49"/>
        <v>10134.233027092319</v>
      </c>
      <c r="Z114" s="279">
        <f t="shared" si="49"/>
        <v>10135.655817366853</v>
      </c>
      <c r="AA114" s="279">
        <f t="shared" si="49"/>
        <v>9898.8269737241353</v>
      </c>
      <c r="AB114" s="279">
        <f t="shared" si="49"/>
        <v>9426.6013089201952</v>
      </c>
      <c r="AC114" s="279">
        <f t="shared" si="49"/>
        <v>8721.8973006864981</v>
      </c>
      <c r="AD114" s="279">
        <f t="shared" si="49"/>
        <v>7787.6970917299041</v>
      </c>
      <c r="AE114" s="279">
        <f t="shared" si="49"/>
        <v>6627.0464897326019</v>
      </c>
      <c r="AF114" s="279">
        <f t="shared" si="49"/>
        <v>5243.054967352211</v>
      </c>
      <c r="AG114" s="279">
        <f t="shared" si="49"/>
        <v>3638.8956622217447</v>
      </c>
      <c r="AH114" s="230"/>
      <c r="AI114" s="398"/>
      <c r="AJ114" s="399"/>
      <c r="AL114" s="207"/>
      <c r="AM114" s="118"/>
      <c r="AN114" s="118"/>
      <c r="AO114" s="118"/>
      <c r="BD114" s="118"/>
      <c r="BE114" s="118"/>
      <c r="BF114" s="118"/>
      <c r="BG114" s="118"/>
      <c r="BH114" s="118"/>
      <c r="BI114" s="118"/>
      <c r="BJ114" s="118"/>
      <c r="BK114" s="118"/>
    </row>
    <row r="115" spans="1:63" outlineLevel="1">
      <c r="A115" s="4" t="s">
        <v>35</v>
      </c>
      <c r="C115" s="216">
        <f>C110-$C110</f>
        <v>0</v>
      </c>
      <c r="D115" s="216">
        <f t="shared" ref="D115:AG115" si="50">D110-$C110</f>
        <v>-443.817270289117</v>
      </c>
      <c r="E115" s="216">
        <f t="shared" si="50"/>
        <v>-1159.2308495648394</v>
      </c>
      <c r="F115" s="216">
        <f t="shared" si="50"/>
        <v>-1860.6627519111935</v>
      </c>
      <c r="G115" s="216">
        <f t="shared" si="50"/>
        <v>-2638.1975948405598</v>
      </c>
      <c r="H115" s="216">
        <f t="shared" si="50"/>
        <v>-3488.0236949245736</v>
      </c>
      <c r="I115" s="216">
        <f t="shared" si="50"/>
        <v>-4406.3463920804497</v>
      </c>
      <c r="J115" s="216">
        <f t="shared" si="50"/>
        <v>-5389.3893357481647</v>
      </c>
      <c r="K115" s="216">
        <f t="shared" si="50"/>
        <v>-6433.3957710676223</v>
      </c>
      <c r="L115" s="216">
        <f t="shared" si="50"/>
        <v>-7534.6298250557447</v>
      </c>
      <c r="M115" s="216">
        <f t="shared" si="50"/>
        <v>-8689.3777927836563</v>
      </c>
      <c r="N115" s="216">
        <f t="shared" si="50"/>
        <v>-9455.3372408179494</v>
      </c>
      <c r="O115" s="216">
        <f t="shared" si="50"/>
        <v>-10389.096770274064</v>
      </c>
      <c r="P115" s="216">
        <f t="shared" si="50"/>
        <v>-11473.789486383648</v>
      </c>
      <c r="Q115" s="216">
        <f t="shared" si="50"/>
        <v>-12692.711670263554</v>
      </c>
      <c r="R115" s="216">
        <f t="shared" si="50"/>
        <v>-14029.329306901149</v>
      </c>
      <c r="S115" s="216">
        <f t="shared" si="50"/>
        <v>-15467.284613139524</v>
      </c>
      <c r="T115" s="216">
        <f t="shared" si="50"/>
        <v>-16990.4025656628</v>
      </c>
      <c r="U115" s="216">
        <f t="shared" si="50"/>
        <v>-18582.697428981399</v>
      </c>
      <c r="V115" s="216">
        <f t="shared" si="50"/>
        <v>-20228.379283417289</v>
      </c>
      <c r="W115" s="216">
        <f t="shared" si="50"/>
        <v>-21911.860553089253</v>
      </c>
      <c r="X115" s="216">
        <f t="shared" si="50"/>
        <v>-23330.72552700722</v>
      </c>
      <c r="Y115" s="216">
        <f t="shared" si="50"/>
        <v>-24846.671114756791</v>
      </c>
      <c r="Z115" s="216">
        <f t="shared" si="50"/>
        <v>-26434.771305783735</v>
      </c>
      <c r="AA115" s="216">
        <f t="shared" si="50"/>
        <v>-28070.449794315238</v>
      </c>
      <c r="AB115" s="216">
        <f t="shared" si="50"/>
        <v>-29729.490553101576</v>
      </c>
      <c r="AC115" s="216">
        <f t="shared" si="50"/>
        <v>-31388.048407157639</v>
      </c>
      <c r="AD115" s="216">
        <f t="shared" si="50"/>
        <v>-33022.659607504567</v>
      </c>
      <c r="AE115" s="216">
        <f t="shared" si="50"/>
        <v>-34610.252404911342</v>
      </c>
      <c r="AF115" s="216">
        <f t="shared" si="50"/>
        <v>-36128.157623636333</v>
      </c>
      <c r="AG115" s="216">
        <f t="shared" si="50"/>
        <v>-37554.119235168924</v>
      </c>
      <c r="AH115" s="230"/>
      <c r="AI115" s="126"/>
      <c r="AJ115" s="198"/>
      <c r="AL115" s="102"/>
      <c r="AM115" s="2"/>
      <c r="AN115" s="2"/>
      <c r="AO115" s="2"/>
      <c r="BC115" s="1"/>
      <c r="BD115" s="2"/>
      <c r="BE115" s="2"/>
      <c r="BF115" s="2"/>
      <c r="BG115" s="2"/>
      <c r="BH115" s="2"/>
      <c r="BI115" s="2"/>
      <c r="BJ115" s="2"/>
      <c r="BK115" s="2"/>
    </row>
    <row r="116" spans="1:63" outlineLevel="1">
      <c r="A116" s="4" t="s">
        <v>74</v>
      </c>
      <c r="C116" s="216">
        <f t="shared" ref="C116:AG118" si="51">C111-$C111</f>
        <v>0</v>
      </c>
      <c r="D116" s="216">
        <f t="shared" si="51"/>
        <v>-1.5566991999048412</v>
      </c>
      <c r="E116" s="216">
        <f t="shared" si="51"/>
        <v>-4.0660286492390441</v>
      </c>
      <c r="F116" s="216">
        <f t="shared" si="51"/>
        <v>-6.5263170477932562</v>
      </c>
      <c r="G116" s="216">
        <f t="shared" si="51"/>
        <v>-9.2535382465037515</v>
      </c>
      <c r="H116" s="216">
        <f t="shared" si="51"/>
        <v>-12.234322678793305</v>
      </c>
      <c r="I116" s="216">
        <f t="shared" si="51"/>
        <v>-15.455360487857774</v>
      </c>
      <c r="J116" s="216">
        <f t="shared" si="51"/>
        <v>-18.903406037961702</v>
      </c>
      <c r="K116" s="216">
        <f t="shared" si="51"/>
        <v>-22.565282425734139</v>
      </c>
      <c r="L116" s="216">
        <f t="shared" si="51"/>
        <v>-26.427885991464152</v>
      </c>
      <c r="M116" s="216">
        <f t="shared" si="51"/>
        <v>-30.478190830396599</v>
      </c>
      <c r="N116" s="216">
        <f t="shared" si="51"/>
        <v>-33.164811067454551</v>
      </c>
      <c r="O116" s="216">
        <f t="shared" si="51"/>
        <v>-36.439993917957338</v>
      </c>
      <c r="P116" s="216">
        <f t="shared" si="51"/>
        <v>-40.244578363737148</v>
      </c>
      <c r="Q116" s="216">
        <f t="shared" si="51"/>
        <v>-44.519975729765846</v>
      </c>
      <c r="R116" s="216">
        <f t="shared" si="51"/>
        <v>-49.208192581212458</v>
      </c>
      <c r="S116" s="216">
        <f t="shared" si="51"/>
        <v>-54.251853620500171</v>
      </c>
      <c r="T116" s="216">
        <f t="shared" si="51"/>
        <v>-59.594224584363644</v>
      </c>
      <c r="U116" s="216">
        <f t="shared" si="51"/>
        <v>-65.179235140906343</v>
      </c>
      <c r="V116" s="216">
        <f t="shared" si="51"/>
        <v>-70.951501786657758</v>
      </c>
      <c r="W116" s="216">
        <f t="shared" si="51"/>
        <v>-76.856350743630486</v>
      </c>
      <c r="X116" s="216">
        <f t="shared" si="51"/>
        <v>-81.833052006815421</v>
      </c>
      <c r="Y116" s="216">
        <f t="shared" si="51"/>
        <v>-87.150265737619037</v>
      </c>
      <c r="Z116" s="216">
        <f t="shared" si="51"/>
        <v>-92.720563385409861</v>
      </c>
      <c r="AA116" s="216">
        <f t="shared" si="51"/>
        <v>-98.457742997054709</v>
      </c>
      <c r="AB116" s="216">
        <f t="shared" si="51"/>
        <v>-104.27686630455882</v>
      </c>
      <c r="AC116" s="216">
        <f t="shared" si="51"/>
        <v>-110.09429581270548</v>
      </c>
      <c r="AD116" s="216">
        <f t="shared" si="51"/>
        <v>-115.82773188669596</v>
      </c>
      <c r="AE116" s="216">
        <f t="shared" si="51"/>
        <v>-121.39624983978935</v>
      </c>
      <c r="AF116" s="216">
        <f t="shared" si="51"/>
        <v>-126.72033702094238</v>
      </c>
      <c r="AG116" s="216">
        <f t="shared" si="51"/>
        <v>-131.72192990244926</v>
      </c>
      <c r="AH116" s="230"/>
      <c r="AI116" s="126"/>
      <c r="AJ116" s="198"/>
      <c r="AL116" s="102"/>
      <c r="AM116" s="2"/>
      <c r="AN116" s="2"/>
      <c r="AO116" s="2"/>
      <c r="BC116" s="1"/>
      <c r="BD116" s="2"/>
      <c r="BE116" s="2"/>
      <c r="BF116" s="2"/>
      <c r="BG116" s="2"/>
      <c r="BH116" s="2"/>
      <c r="BI116" s="2"/>
      <c r="BJ116" s="2"/>
      <c r="BK116" s="2"/>
    </row>
    <row r="117" spans="1:63" outlineLevel="1">
      <c r="A117" s="4" t="s">
        <v>160</v>
      </c>
      <c r="C117" s="216">
        <f t="shared" si="51"/>
        <v>0</v>
      </c>
      <c r="D117" s="216">
        <f t="shared" si="51"/>
        <v>642.0770206134888</v>
      </c>
      <c r="E117" s="216">
        <f t="shared" si="51"/>
        <v>1304.3765816734747</v>
      </c>
      <c r="F117" s="216">
        <f t="shared" si="51"/>
        <v>1989.9251164506882</v>
      </c>
      <c r="G117" s="216">
        <f t="shared" si="51"/>
        <v>2695.2607716911007</v>
      </c>
      <c r="H117" s="216">
        <f t="shared" si="51"/>
        <v>3418.558314746801</v>
      </c>
      <c r="I117" s="216">
        <f t="shared" si="51"/>
        <v>4158.0049265628841</v>
      </c>
      <c r="J117" s="216">
        <f t="shared" si="51"/>
        <v>4911.8008470216682</v>
      </c>
      <c r="K117" s="216">
        <f t="shared" si="51"/>
        <v>5678.1600202869131</v>
      </c>
      <c r="L117" s="216">
        <f t="shared" si="51"/>
        <v>6455.3107401480365</v>
      </c>
      <c r="M117" s="216">
        <f t="shared" si="51"/>
        <v>7241.4962953643317</v>
      </c>
      <c r="N117" s="216">
        <f t="shared" si="51"/>
        <v>8162.3876380275196</v>
      </c>
      <c r="O117" s="216">
        <f t="shared" si="51"/>
        <v>9086.7681336264541</v>
      </c>
      <c r="P117" s="216">
        <f t="shared" si="51"/>
        <v>10006.867420712117</v>
      </c>
      <c r="Q117" s="216">
        <f t="shared" si="51"/>
        <v>10915.016664596653</v>
      </c>
      <c r="R117" s="216">
        <f t="shared" si="51"/>
        <v>11803.651832794512</v>
      </c>
      <c r="S117" s="216">
        <f t="shared" si="51"/>
        <v>12665.316970463637</v>
      </c>
      <c r="T117" s="216">
        <f t="shared" si="51"/>
        <v>13492.667475846609</v>
      </c>
      <c r="U117" s="216">
        <f t="shared" si="51"/>
        <v>14278.473375711814</v>
      </c>
      <c r="V117" s="216">
        <f t="shared" si="51"/>
        <v>15015.622600794612</v>
      </c>
      <c r="W117" s="216">
        <f t="shared" si="51"/>
        <v>15697.124261238512</v>
      </c>
      <c r="X117" s="216">
        <f t="shared" si="51"/>
        <v>16652.16301706692</v>
      </c>
      <c r="Y117" s="216">
        <f t="shared" si="51"/>
        <v>17534.02720379335</v>
      </c>
      <c r="Z117" s="216">
        <f t="shared" si="51"/>
        <v>18331.573843267983</v>
      </c>
      <c r="AA117" s="216">
        <f t="shared" si="51"/>
        <v>19033.867255518198</v>
      </c>
      <c r="AB117" s="216">
        <f t="shared" si="51"/>
        <v>19630.184364163149</v>
      </c>
      <c r="AC117" s="216">
        <f t="shared" si="51"/>
        <v>20110.020001828405</v>
      </c>
      <c r="AD117" s="216">
        <f t="shared" si="51"/>
        <v>20463.092215560569</v>
      </c>
      <c r="AE117" s="216">
        <f t="shared" si="51"/>
        <v>20679.347572241852</v>
      </c>
      <c r="AF117" s="216">
        <f t="shared" si="51"/>
        <v>20748.966464004727</v>
      </c>
      <c r="AG117" s="216">
        <f t="shared" si="51"/>
        <v>20662.368413646556</v>
      </c>
      <c r="AH117" s="230"/>
      <c r="AI117" s="126"/>
      <c r="AJ117" s="198"/>
      <c r="AL117" s="102"/>
      <c r="AM117" s="2"/>
      <c r="AN117" s="2"/>
      <c r="AO117" s="2"/>
      <c r="BC117" s="1"/>
      <c r="BD117" s="2"/>
      <c r="BE117" s="2"/>
      <c r="BF117" s="2"/>
      <c r="BG117" s="2"/>
      <c r="BH117" s="2"/>
      <c r="BI117" s="2"/>
      <c r="BJ117" s="2"/>
      <c r="BK117" s="2"/>
    </row>
    <row r="118" spans="1:63" outlineLevel="1">
      <c r="A118" s="4" t="s">
        <v>1159</v>
      </c>
      <c r="C118" s="216">
        <f t="shared" si="51"/>
        <v>0</v>
      </c>
      <c r="D118" s="216">
        <f t="shared" si="51"/>
        <v>642.0770206134888</v>
      </c>
      <c r="E118" s="216">
        <f t="shared" si="51"/>
        <v>1304.3765816734747</v>
      </c>
      <c r="F118" s="216">
        <f t="shared" si="51"/>
        <v>1989.9251164506882</v>
      </c>
      <c r="G118" s="216">
        <f t="shared" si="51"/>
        <v>2695.2607716911007</v>
      </c>
      <c r="H118" s="216">
        <f t="shared" si="51"/>
        <v>3418.558314746801</v>
      </c>
      <c r="I118" s="216">
        <f t="shared" si="51"/>
        <v>4158.0049265628841</v>
      </c>
      <c r="J118" s="216">
        <f t="shared" si="51"/>
        <v>4911.8008470216682</v>
      </c>
      <c r="K118" s="216">
        <f t="shared" si="51"/>
        <v>5678.1600202869131</v>
      </c>
      <c r="L118" s="216">
        <f t="shared" si="51"/>
        <v>6455.3107401480365</v>
      </c>
      <c r="M118" s="216">
        <f t="shared" si="51"/>
        <v>7241.4962953643317</v>
      </c>
      <c r="N118" s="216">
        <f t="shared" si="51"/>
        <v>8162.3876380275196</v>
      </c>
      <c r="O118" s="216">
        <f t="shared" si="51"/>
        <v>9086.7681336264541</v>
      </c>
      <c r="P118" s="216">
        <f t="shared" si="51"/>
        <v>10006.867420712117</v>
      </c>
      <c r="Q118" s="216">
        <f t="shared" si="51"/>
        <v>10915.016664596653</v>
      </c>
      <c r="R118" s="216">
        <f t="shared" si="51"/>
        <v>11803.651832794512</v>
      </c>
      <c r="S118" s="216">
        <f t="shared" si="51"/>
        <v>12665.316970463637</v>
      </c>
      <c r="T118" s="216">
        <f t="shared" si="51"/>
        <v>13492.667475846609</v>
      </c>
      <c r="U118" s="216">
        <f t="shared" si="51"/>
        <v>14278.473375711814</v>
      </c>
      <c r="V118" s="216">
        <f t="shared" si="51"/>
        <v>15015.622600794612</v>
      </c>
      <c r="W118" s="216">
        <f t="shared" si="51"/>
        <v>15697.124261238512</v>
      </c>
      <c r="X118" s="216">
        <f t="shared" si="51"/>
        <v>16652.16301706692</v>
      </c>
      <c r="Y118" s="216">
        <f t="shared" si="51"/>
        <v>17534.02720379335</v>
      </c>
      <c r="Z118" s="216">
        <f t="shared" si="51"/>
        <v>18331.573843267983</v>
      </c>
      <c r="AA118" s="216">
        <f t="shared" si="51"/>
        <v>19033.867255518198</v>
      </c>
      <c r="AB118" s="216">
        <f t="shared" si="51"/>
        <v>19630.184364163149</v>
      </c>
      <c r="AC118" s="216">
        <f t="shared" si="51"/>
        <v>20110.020001828405</v>
      </c>
      <c r="AD118" s="216">
        <f t="shared" si="51"/>
        <v>20463.092215560569</v>
      </c>
      <c r="AE118" s="216">
        <f t="shared" si="51"/>
        <v>20679.347572241852</v>
      </c>
      <c r="AF118" s="216">
        <f t="shared" si="51"/>
        <v>20748.966464004727</v>
      </c>
      <c r="AG118" s="216">
        <f t="shared" si="51"/>
        <v>20662.368413646556</v>
      </c>
      <c r="AH118" s="230"/>
      <c r="AI118" s="126"/>
      <c r="AJ118" s="198"/>
      <c r="AL118" s="102"/>
      <c r="AM118" s="2"/>
      <c r="AN118" s="2"/>
      <c r="AO118" s="2"/>
      <c r="BC118" s="1"/>
      <c r="BD118" s="2"/>
      <c r="BE118" s="2"/>
      <c r="BF118" s="2"/>
      <c r="BG118" s="2"/>
      <c r="BH118" s="2"/>
      <c r="BI118" s="2"/>
      <c r="BJ118" s="2"/>
      <c r="BK118" s="2"/>
    </row>
    <row r="119" spans="1:63" outlineLevel="1"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I119" s="127"/>
      <c r="AJ119" s="198"/>
      <c r="AL119" s="102"/>
      <c r="AM119" s="125"/>
      <c r="AN119" s="2"/>
      <c r="AO119" s="2"/>
    </row>
    <row r="120" spans="1:63" s="187" customFormat="1" ht="15.5" thickBot="1">
      <c r="A120" s="187" t="s">
        <v>436</v>
      </c>
      <c r="B120" s="202"/>
      <c r="C120" s="208">
        <f>C121</f>
        <v>2.5000000000000001E-2</v>
      </c>
      <c r="D120" s="208">
        <f t="shared" ref="D120:AG120" si="52">D121</f>
        <v>3.1255416735465176E-2</v>
      </c>
      <c r="E120" s="208">
        <f t="shared" si="52"/>
        <v>3.7510833470930344E-2</v>
      </c>
      <c r="F120" s="208">
        <f t="shared" si="52"/>
        <v>4.3766250206395518E-2</v>
      </c>
      <c r="G120" s="208">
        <f t="shared" si="52"/>
        <v>5.0021666941860693E-2</v>
      </c>
      <c r="H120" s="208">
        <f t="shared" si="52"/>
        <v>5.6277083677325861E-2</v>
      </c>
      <c r="I120" s="208">
        <f t="shared" si="52"/>
        <v>6.2532500412791042E-2</v>
      </c>
      <c r="J120" s="208">
        <f t="shared" si="52"/>
        <v>6.8787917148256203E-2</v>
      </c>
      <c r="K120" s="208">
        <f t="shared" si="52"/>
        <v>7.5043333883721378E-2</v>
      </c>
      <c r="L120" s="208">
        <f t="shared" si="52"/>
        <v>8.1298750619186552E-2</v>
      </c>
      <c r="M120" s="208">
        <f t="shared" si="52"/>
        <v>8.7554167354651713E-2</v>
      </c>
      <c r="N120" s="208">
        <f t="shared" si="52"/>
        <v>0.10073866108940137</v>
      </c>
      <c r="O120" s="208">
        <f t="shared" si="52"/>
        <v>0.11392315482415102</v>
      </c>
      <c r="P120" s="208">
        <f t="shared" si="52"/>
        <v>0.12710764855890069</v>
      </c>
      <c r="Q120" s="208">
        <f t="shared" si="52"/>
        <v>0.14029214229365033</v>
      </c>
      <c r="R120" s="208">
        <f t="shared" si="52"/>
        <v>0.1534766360284</v>
      </c>
      <c r="S120" s="208">
        <f t="shared" si="52"/>
        <v>0.16666112976314967</v>
      </c>
      <c r="T120" s="208">
        <f t="shared" si="52"/>
        <v>0.17984562349789934</v>
      </c>
      <c r="U120" s="208">
        <f t="shared" si="52"/>
        <v>0.19303011723264898</v>
      </c>
      <c r="V120" s="208">
        <f t="shared" si="52"/>
        <v>0.20621461096739863</v>
      </c>
      <c r="W120" s="208">
        <f t="shared" si="52"/>
        <v>0.2193991047021483</v>
      </c>
      <c r="X120" s="208">
        <f t="shared" si="52"/>
        <v>0.24145919423193346</v>
      </c>
      <c r="Y120" s="208">
        <f t="shared" si="52"/>
        <v>0.26351928376171863</v>
      </c>
      <c r="Z120" s="208">
        <f t="shared" si="52"/>
        <v>0.28557937329150385</v>
      </c>
      <c r="AA120" s="208">
        <f t="shared" si="52"/>
        <v>0.30763946282128896</v>
      </c>
      <c r="AB120" s="208">
        <f t="shared" si="52"/>
        <v>0.32969955235107418</v>
      </c>
      <c r="AC120" s="208">
        <f t="shared" si="52"/>
        <v>0.35175964188085934</v>
      </c>
      <c r="AD120" s="208">
        <f t="shared" si="52"/>
        <v>0.37381973141064451</v>
      </c>
      <c r="AE120" s="208">
        <f t="shared" si="52"/>
        <v>0.39587982094042967</v>
      </c>
      <c r="AF120" s="208">
        <f t="shared" si="52"/>
        <v>0.41793991047021484</v>
      </c>
      <c r="AG120" s="208">
        <f t="shared" si="52"/>
        <v>0.44</v>
      </c>
      <c r="AJ120" s="217" t="s">
        <v>472</v>
      </c>
      <c r="AL120" s="204"/>
      <c r="AM120" s="205"/>
      <c r="AN120" s="205"/>
      <c r="AO120" s="205"/>
    </row>
    <row r="121" spans="1:63" ht="15.5" outlineLevel="1" thickTop="1">
      <c r="A121" t="s">
        <v>428</v>
      </c>
      <c r="B121" s="51" t="s">
        <v>126</v>
      </c>
      <c r="C121" s="201">
        <v>2.5000000000000001E-2</v>
      </c>
      <c r="D121" s="104">
        <f>$C121+($M121-$C121)/10*(D$1-$C$1)</f>
        <v>3.1255416735465176E-2</v>
      </c>
      <c r="E121" s="104">
        <f t="shared" ref="E121:L121" si="53">$C121+($M121-$C121)/10*(E$1-$C$1)</f>
        <v>3.7510833470930344E-2</v>
      </c>
      <c r="F121" s="104">
        <f t="shared" si="53"/>
        <v>4.3766250206395518E-2</v>
      </c>
      <c r="G121" s="104">
        <f t="shared" si="53"/>
        <v>5.0021666941860693E-2</v>
      </c>
      <c r="H121" s="104">
        <f t="shared" si="53"/>
        <v>5.6277083677325861E-2</v>
      </c>
      <c r="I121" s="104">
        <f t="shared" si="53"/>
        <v>6.2532500412791042E-2</v>
      </c>
      <c r="J121" s="104">
        <f t="shared" si="53"/>
        <v>6.8787917148256203E-2</v>
      </c>
      <c r="K121" s="104">
        <f t="shared" si="53"/>
        <v>7.5043333883721378E-2</v>
      </c>
      <c r="L121" s="104">
        <f t="shared" si="53"/>
        <v>8.1298750619186552E-2</v>
      </c>
      <c r="M121" s="115">
        <f>(M$49-$C$49)/($AG$49-$C$49)*($AG121-$C121)+$C121</f>
        <v>8.7554167354651713E-2</v>
      </c>
      <c r="N121" s="115">
        <f>$M121+($W121-$M121)/10*(N$1-$M$1)</f>
        <v>0.10073866108940137</v>
      </c>
      <c r="O121" s="115">
        <f t="shared" ref="O121:U121" si="54">$M121+($W121-$M121)/10*(O$1-$M$1)</f>
        <v>0.11392315482415102</v>
      </c>
      <c r="P121" s="115">
        <f t="shared" si="54"/>
        <v>0.12710764855890069</v>
      </c>
      <c r="Q121" s="115">
        <f t="shared" si="54"/>
        <v>0.14029214229365033</v>
      </c>
      <c r="R121" s="115">
        <f t="shared" si="54"/>
        <v>0.1534766360284</v>
      </c>
      <c r="S121" s="115">
        <f t="shared" si="54"/>
        <v>0.16666112976314967</v>
      </c>
      <c r="T121" s="115">
        <f t="shared" si="54"/>
        <v>0.17984562349789934</v>
      </c>
      <c r="U121" s="115">
        <f t="shared" si="54"/>
        <v>0.19303011723264898</v>
      </c>
      <c r="V121" s="115">
        <f>$M121+($W121-$M121)/10*(V$1-$M$1)</f>
        <v>0.20621461096739863</v>
      </c>
      <c r="W121" s="115">
        <f>(W$49-$C$49)/($AG$49-$C$49)*($AG121-$C121)+$C121</f>
        <v>0.2193991047021483</v>
      </c>
      <c r="X121" s="104">
        <f>$W121+($AG121-$W121)/10*(X$1-$W$1)</f>
        <v>0.24145919423193346</v>
      </c>
      <c r="Y121" s="104">
        <f t="shared" ref="Y121:AF121" si="55">$W121+($AG121-$W121)/10*(Y$1-$W$1)</f>
        <v>0.26351928376171863</v>
      </c>
      <c r="Z121" s="104">
        <f t="shared" si="55"/>
        <v>0.28557937329150385</v>
      </c>
      <c r="AA121" s="104">
        <f t="shared" si="55"/>
        <v>0.30763946282128896</v>
      </c>
      <c r="AB121" s="104">
        <f t="shared" si="55"/>
        <v>0.32969955235107418</v>
      </c>
      <c r="AC121" s="104">
        <f t="shared" si="55"/>
        <v>0.35175964188085934</v>
      </c>
      <c r="AD121" s="104">
        <f t="shared" si="55"/>
        <v>0.37381973141064451</v>
      </c>
      <c r="AE121" s="104">
        <f t="shared" si="55"/>
        <v>0.39587982094042967</v>
      </c>
      <c r="AF121" s="104">
        <f t="shared" si="55"/>
        <v>0.41793991047021484</v>
      </c>
      <c r="AG121" s="201">
        <v>0.44</v>
      </c>
      <c r="AJ121" s="198" t="s">
        <v>427</v>
      </c>
    </row>
    <row r="122" spans="1:63" outlineLevel="1">
      <c r="A122" t="s">
        <v>429</v>
      </c>
      <c r="B122" s="51" t="s">
        <v>126</v>
      </c>
      <c r="C122" s="201">
        <v>0.08</v>
      </c>
      <c r="D122" s="104">
        <f t="shared" ref="D122:AF122" si="56">C122-($C$122-$AG$122)/($AG$1-$C$1)</f>
        <v>0.10400000000000001</v>
      </c>
      <c r="E122" s="104">
        <f t="shared" si="56"/>
        <v>0.128</v>
      </c>
      <c r="F122" s="104">
        <f t="shared" si="56"/>
        <v>0.152</v>
      </c>
      <c r="G122" s="104">
        <f t="shared" si="56"/>
        <v>0.17599999999999999</v>
      </c>
      <c r="H122" s="104">
        <f t="shared" si="56"/>
        <v>0.19999999999999998</v>
      </c>
      <c r="I122" s="104">
        <f t="shared" si="56"/>
        <v>0.22399999999999998</v>
      </c>
      <c r="J122" s="104">
        <f t="shared" si="56"/>
        <v>0.24799999999999997</v>
      </c>
      <c r="K122" s="104">
        <f t="shared" si="56"/>
        <v>0.27199999999999996</v>
      </c>
      <c r="L122" s="104">
        <f t="shared" si="56"/>
        <v>0.29599999999999999</v>
      </c>
      <c r="M122" s="104">
        <f t="shared" si="56"/>
        <v>0.32</v>
      </c>
      <c r="N122" s="104">
        <f t="shared" si="56"/>
        <v>0.34400000000000003</v>
      </c>
      <c r="O122" s="104">
        <f t="shared" si="56"/>
        <v>0.36800000000000005</v>
      </c>
      <c r="P122" s="104">
        <f t="shared" si="56"/>
        <v>0.39200000000000007</v>
      </c>
      <c r="Q122" s="104">
        <f t="shared" si="56"/>
        <v>0.41600000000000009</v>
      </c>
      <c r="R122" s="104">
        <f t="shared" si="56"/>
        <v>0.44000000000000011</v>
      </c>
      <c r="S122" s="104">
        <f t="shared" si="56"/>
        <v>0.46400000000000013</v>
      </c>
      <c r="T122" s="104">
        <f t="shared" si="56"/>
        <v>0.48800000000000016</v>
      </c>
      <c r="U122" s="104">
        <f t="shared" si="56"/>
        <v>0.51200000000000012</v>
      </c>
      <c r="V122" s="104">
        <f t="shared" si="56"/>
        <v>0.53600000000000014</v>
      </c>
      <c r="W122" s="104">
        <f t="shared" si="56"/>
        <v>0.56000000000000016</v>
      </c>
      <c r="X122" s="104">
        <f t="shared" si="56"/>
        <v>0.58400000000000019</v>
      </c>
      <c r="Y122" s="104">
        <f t="shared" si="56"/>
        <v>0.60800000000000021</v>
      </c>
      <c r="Z122" s="104">
        <f t="shared" si="56"/>
        <v>0.63200000000000023</v>
      </c>
      <c r="AA122" s="104">
        <f t="shared" si="56"/>
        <v>0.65600000000000025</v>
      </c>
      <c r="AB122" s="104">
        <f t="shared" si="56"/>
        <v>0.68000000000000027</v>
      </c>
      <c r="AC122" s="104">
        <f t="shared" si="56"/>
        <v>0.70400000000000029</v>
      </c>
      <c r="AD122" s="104">
        <f t="shared" si="56"/>
        <v>0.72800000000000031</v>
      </c>
      <c r="AE122" s="104">
        <f t="shared" si="56"/>
        <v>0.75200000000000033</v>
      </c>
      <c r="AF122" s="104">
        <f t="shared" si="56"/>
        <v>0.77600000000000036</v>
      </c>
      <c r="AG122" s="201">
        <v>0.8</v>
      </c>
      <c r="AI122" s="127"/>
      <c r="AJ122" s="198" t="s">
        <v>459</v>
      </c>
      <c r="AL122" s="51" t="s">
        <v>294</v>
      </c>
    </row>
    <row r="123" spans="1:63" outlineLevel="1">
      <c r="A123" t="s">
        <v>430</v>
      </c>
      <c r="B123" s="165" t="s">
        <v>126</v>
      </c>
      <c r="C123" s="104">
        <f>1-C122</f>
        <v>0.92</v>
      </c>
      <c r="D123" s="104">
        <f t="shared" ref="D123:AG123" si="57">1-D122</f>
        <v>0.89600000000000002</v>
      </c>
      <c r="E123" s="104">
        <f t="shared" si="57"/>
        <v>0.872</v>
      </c>
      <c r="F123" s="104">
        <f t="shared" si="57"/>
        <v>0.84799999999999998</v>
      </c>
      <c r="G123" s="104">
        <f t="shared" si="57"/>
        <v>0.82400000000000007</v>
      </c>
      <c r="H123" s="104">
        <f t="shared" si="57"/>
        <v>0.8</v>
      </c>
      <c r="I123" s="104">
        <f t="shared" si="57"/>
        <v>0.77600000000000002</v>
      </c>
      <c r="J123" s="104">
        <f t="shared" si="57"/>
        <v>0.752</v>
      </c>
      <c r="K123" s="104">
        <f t="shared" si="57"/>
        <v>0.72799999999999998</v>
      </c>
      <c r="L123" s="104">
        <f t="shared" si="57"/>
        <v>0.70399999999999996</v>
      </c>
      <c r="M123" s="104">
        <f t="shared" si="57"/>
        <v>0.67999999999999994</v>
      </c>
      <c r="N123" s="104">
        <f t="shared" si="57"/>
        <v>0.65599999999999992</v>
      </c>
      <c r="O123" s="104">
        <f t="shared" si="57"/>
        <v>0.6319999999999999</v>
      </c>
      <c r="P123" s="104">
        <f t="shared" si="57"/>
        <v>0.60799999999999987</v>
      </c>
      <c r="Q123" s="104">
        <f t="shared" si="57"/>
        <v>0.58399999999999985</v>
      </c>
      <c r="R123" s="104">
        <f t="shared" si="57"/>
        <v>0.55999999999999983</v>
      </c>
      <c r="S123" s="104">
        <f t="shared" si="57"/>
        <v>0.53599999999999981</v>
      </c>
      <c r="T123" s="104">
        <f t="shared" si="57"/>
        <v>0.51199999999999979</v>
      </c>
      <c r="U123" s="104">
        <f t="shared" si="57"/>
        <v>0.48799999999999988</v>
      </c>
      <c r="V123" s="104">
        <f t="shared" si="57"/>
        <v>0.46399999999999986</v>
      </c>
      <c r="W123" s="104">
        <f t="shared" si="57"/>
        <v>0.43999999999999984</v>
      </c>
      <c r="X123" s="104">
        <f t="shared" si="57"/>
        <v>0.41599999999999981</v>
      </c>
      <c r="Y123" s="104">
        <f t="shared" si="57"/>
        <v>0.39199999999999979</v>
      </c>
      <c r="Z123" s="104">
        <f t="shared" si="57"/>
        <v>0.36799999999999977</v>
      </c>
      <c r="AA123" s="104">
        <f t="shared" si="57"/>
        <v>0.34399999999999975</v>
      </c>
      <c r="AB123" s="104">
        <f t="shared" si="57"/>
        <v>0.31999999999999973</v>
      </c>
      <c r="AC123" s="104">
        <f t="shared" si="57"/>
        <v>0.29599999999999971</v>
      </c>
      <c r="AD123" s="104">
        <f t="shared" si="57"/>
        <v>0.27199999999999969</v>
      </c>
      <c r="AE123" s="104">
        <f t="shared" si="57"/>
        <v>0.24799999999999967</v>
      </c>
      <c r="AF123" s="104">
        <f t="shared" si="57"/>
        <v>0.22399999999999964</v>
      </c>
      <c r="AG123" s="104">
        <f t="shared" si="57"/>
        <v>0.19999999999999996</v>
      </c>
      <c r="AI123" s="127"/>
      <c r="AJ123" s="198"/>
      <c r="BD123" s="687"/>
      <c r="BE123" s="687"/>
    </row>
    <row r="124" spans="1:63" outlineLevel="1">
      <c r="A124" t="s">
        <v>493</v>
      </c>
      <c r="B124" s="51" t="s">
        <v>126</v>
      </c>
      <c r="C124" s="104">
        <f>C121*C122</f>
        <v>2E-3</v>
      </c>
      <c r="D124" s="104">
        <f t="shared" ref="D124:AG124" si="58">D121*D122</f>
        <v>3.2505633404883785E-3</v>
      </c>
      <c r="E124" s="104">
        <f t="shared" si="58"/>
        <v>4.8013866842790843E-3</v>
      </c>
      <c r="F124" s="104">
        <f t="shared" si="58"/>
        <v>6.652470031372119E-3</v>
      </c>
      <c r="G124" s="104">
        <f t="shared" si="58"/>
        <v>8.8038133817674811E-3</v>
      </c>
      <c r="H124" s="104">
        <f t="shared" si="58"/>
        <v>1.125541673546517E-2</v>
      </c>
      <c r="I124" s="104">
        <f t="shared" si="58"/>
        <v>1.4007280092465192E-2</v>
      </c>
      <c r="J124" s="104">
        <f t="shared" si="58"/>
        <v>1.7059403452767536E-2</v>
      </c>
      <c r="K124" s="104">
        <f t="shared" si="58"/>
        <v>2.0411786816372211E-2</v>
      </c>
      <c r="L124" s="104">
        <f t="shared" si="58"/>
        <v>2.4064430183279219E-2</v>
      </c>
      <c r="M124" s="104">
        <f t="shared" si="58"/>
        <v>2.8017333553488549E-2</v>
      </c>
      <c r="N124" s="104">
        <f t="shared" si="58"/>
        <v>3.4654099414754072E-2</v>
      </c>
      <c r="O124" s="104">
        <f t="shared" si="58"/>
        <v>4.1923720975287584E-2</v>
      </c>
      <c r="P124" s="104">
        <f t="shared" si="58"/>
        <v>4.9826198235089082E-2</v>
      </c>
      <c r="Q124" s="104">
        <f t="shared" si="58"/>
        <v>5.8361531194158552E-2</v>
      </c>
      <c r="R124" s="104">
        <f t="shared" si="58"/>
        <v>6.752971985249602E-2</v>
      </c>
      <c r="S124" s="104">
        <f t="shared" si="58"/>
        <v>7.7330764210101474E-2</v>
      </c>
      <c r="T124" s="104">
        <f t="shared" si="58"/>
        <v>8.7764664266974907E-2</v>
      </c>
      <c r="U124" s="104">
        <f t="shared" si="58"/>
        <v>9.8831420023116304E-2</v>
      </c>
      <c r="V124" s="104">
        <f t="shared" si="58"/>
        <v>0.11053103147852569</v>
      </c>
      <c r="W124" s="104">
        <f t="shared" si="58"/>
        <v>0.12286349863320307</v>
      </c>
      <c r="X124" s="104">
        <f t="shared" si="58"/>
        <v>0.14101216943144917</v>
      </c>
      <c r="Y124" s="104">
        <f t="shared" si="58"/>
        <v>0.16021972452712499</v>
      </c>
      <c r="Z124" s="104">
        <f t="shared" si="58"/>
        <v>0.18048616392023051</v>
      </c>
      <c r="AA124" s="104">
        <f t="shared" si="58"/>
        <v>0.20181148761076564</v>
      </c>
      <c r="AB124" s="104">
        <f t="shared" si="58"/>
        <v>0.22419569559873054</v>
      </c>
      <c r="AC124" s="104">
        <f t="shared" si="58"/>
        <v>0.24763878788412508</v>
      </c>
      <c r="AD124" s="104">
        <f t="shared" si="58"/>
        <v>0.27214076446694929</v>
      </c>
      <c r="AE124" s="104">
        <f t="shared" si="58"/>
        <v>0.29770162534720324</v>
      </c>
      <c r="AF124" s="104">
        <f t="shared" si="58"/>
        <v>0.32432137052488685</v>
      </c>
      <c r="AG124" s="104">
        <f t="shared" si="58"/>
        <v>0.35200000000000004</v>
      </c>
      <c r="AI124" s="127"/>
      <c r="AJ124" s="198"/>
      <c r="BD124" s="190"/>
      <c r="BE124" s="190"/>
    </row>
    <row r="125" spans="1:63" outlineLevel="1">
      <c r="A125" t="s">
        <v>494</v>
      </c>
      <c r="B125" s="51" t="s">
        <v>126</v>
      </c>
      <c r="C125" s="104">
        <f>C121*C123</f>
        <v>2.3000000000000003E-2</v>
      </c>
      <c r="D125" s="104">
        <f t="shared" ref="D125:AG125" si="59">D121*D123</f>
        <v>2.8004853394976797E-2</v>
      </c>
      <c r="E125" s="104">
        <f t="shared" si="59"/>
        <v>3.2709446786651261E-2</v>
      </c>
      <c r="F125" s="104">
        <f t="shared" si="59"/>
        <v>3.7113780175023398E-2</v>
      </c>
      <c r="G125" s="104">
        <f t="shared" si="59"/>
        <v>4.1217853560093214E-2</v>
      </c>
      <c r="H125" s="104">
        <f t="shared" si="59"/>
        <v>4.5021666941860689E-2</v>
      </c>
      <c r="I125" s="104">
        <f t="shared" si="59"/>
        <v>4.852522032032585E-2</v>
      </c>
      <c r="J125" s="104">
        <f t="shared" si="59"/>
        <v>5.1728513695488663E-2</v>
      </c>
      <c r="K125" s="104">
        <f t="shared" si="59"/>
        <v>5.4631547067349163E-2</v>
      </c>
      <c r="L125" s="104">
        <f t="shared" si="59"/>
        <v>5.7234320435907329E-2</v>
      </c>
      <c r="M125" s="104">
        <f t="shared" si="59"/>
        <v>5.9536833801163161E-2</v>
      </c>
      <c r="N125" s="104">
        <f t="shared" si="59"/>
        <v>6.6084561674647282E-2</v>
      </c>
      <c r="O125" s="104">
        <f t="shared" si="59"/>
        <v>7.1999433848863439E-2</v>
      </c>
      <c r="P125" s="104">
        <f t="shared" si="59"/>
        <v>7.7281450323811604E-2</v>
      </c>
      <c r="Q125" s="104">
        <f t="shared" si="59"/>
        <v>8.1930611099491776E-2</v>
      </c>
      <c r="R125" s="104">
        <f t="shared" si="59"/>
        <v>8.594691617590397E-2</v>
      </c>
      <c r="S125" s="104">
        <f t="shared" si="59"/>
        <v>8.9330365553048199E-2</v>
      </c>
      <c r="T125" s="104">
        <f t="shared" si="59"/>
        <v>9.2080959230924422E-2</v>
      </c>
      <c r="U125" s="104">
        <f t="shared" si="59"/>
        <v>9.4198697209532681E-2</v>
      </c>
      <c r="V125" s="104">
        <f t="shared" si="59"/>
        <v>9.5683579488872933E-2</v>
      </c>
      <c r="W125" s="104">
        <f t="shared" si="59"/>
        <v>9.6535606068945221E-2</v>
      </c>
      <c r="X125" s="104">
        <f t="shared" si="59"/>
        <v>0.10044702480048427</v>
      </c>
      <c r="Y125" s="104">
        <f t="shared" si="59"/>
        <v>0.10329955923459365</v>
      </c>
      <c r="Z125" s="104">
        <f t="shared" si="59"/>
        <v>0.10509320937127335</v>
      </c>
      <c r="AA125" s="104">
        <f t="shared" si="59"/>
        <v>0.10582797521052333</v>
      </c>
      <c r="AB125" s="104">
        <f t="shared" si="59"/>
        <v>0.10550385675234365</v>
      </c>
      <c r="AC125" s="104">
        <f t="shared" si="59"/>
        <v>0.10412085399673426</v>
      </c>
      <c r="AD125" s="104">
        <f t="shared" si="59"/>
        <v>0.10167896694369519</v>
      </c>
      <c r="AE125" s="104">
        <f t="shared" si="59"/>
        <v>9.8178195593226422E-2</v>
      </c>
      <c r="AF125" s="104">
        <f t="shared" si="59"/>
        <v>9.3618539945327969E-2</v>
      </c>
      <c r="AG125" s="104">
        <f t="shared" si="59"/>
        <v>8.7999999999999981E-2</v>
      </c>
      <c r="AI125" s="127"/>
      <c r="AJ125" s="198"/>
      <c r="BD125" s="190"/>
      <c r="BE125" s="190"/>
    </row>
    <row r="126" spans="1:63" outlineLevel="1">
      <c r="B126" s="165"/>
      <c r="C126" s="104"/>
      <c r="D126" s="104"/>
      <c r="E126" s="104"/>
      <c r="F126" s="104"/>
      <c r="G126" s="104"/>
      <c r="H126" s="104"/>
      <c r="I126" s="104"/>
      <c r="J126" s="104"/>
      <c r="K126" s="104"/>
      <c r="L126" s="104"/>
      <c r="M126" s="104"/>
      <c r="N126" s="104"/>
      <c r="O126" s="104"/>
      <c r="P126" s="104"/>
      <c r="Q126" s="104"/>
      <c r="R126" s="104"/>
      <c r="S126" s="104"/>
      <c r="T126" s="104"/>
      <c r="U126" s="104"/>
      <c r="V126" s="104"/>
      <c r="W126" s="104"/>
      <c r="X126" s="104"/>
      <c r="Y126" s="104"/>
      <c r="Z126" s="104"/>
      <c r="AA126" s="104"/>
      <c r="AB126" s="104"/>
      <c r="AC126" s="104"/>
      <c r="AD126" s="104"/>
      <c r="AE126" s="104"/>
      <c r="AF126" s="104"/>
      <c r="AG126" s="104"/>
      <c r="AI126" s="127"/>
      <c r="AJ126" s="198"/>
      <c r="BD126" s="190"/>
      <c r="BE126" s="190"/>
    </row>
    <row r="127" spans="1:63" outlineLevel="1">
      <c r="A127" t="s">
        <v>437</v>
      </c>
      <c r="B127" s="51" t="s">
        <v>126</v>
      </c>
      <c r="C127" s="201">
        <v>0.52</v>
      </c>
      <c r="D127" s="104">
        <f>C127</f>
        <v>0.52</v>
      </c>
      <c r="E127" s="104">
        <f t="shared" ref="E127:AG129" si="60">D127</f>
        <v>0.52</v>
      </c>
      <c r="F127" s="104">
        <f t="shared" si="60"/>
        <v>0.52</v>
      </c>
      <c r="G127" s="104">
        <f t="shared" si="60"/>
        <v>0.52</v>
      </c>
      <c r="H127" s="104">
        <f t="shared" si="60"/>
        <v>0.52</v>
      </c>
      <c r="I127" s="104">
        <f t="shared" si="60"/>
        <v>0.52</v>
      </c>
      <c r="J127" s="104">
        <f t="shared" si="60"/>
        <v>0.52</v>
      </c>
      <c r="K127" s="104">
        <f t="shared" si="60"/>
        <v>0.52</v>
      </c>
      <c r="L127" s="104">
        <f t="shared" si="60"/>
        <v>0.52</v>
      </c>
      <c r="M127" s="104">
        <f t="shared" si="60"/>
        <v>0.52</v>
      </c>
      <c r="N127" s="104">
        <f t="shared" si="60"/>
        <v>0.52</v>
      </c>
      <c r="O127" s="104">
        <f t="shared" si="60"/>
        <v>0.52</v>
      </c>
      <c r="P127" s="104">
        <f t="shared" si="60"/>
        <v>0.52</v>
      </c>
      <c r="Q127" s="104">
        <f t="shared" si="60"/>
        <v>0.52</v>
      </c>
      <c r="R127" s="104">
        <f t="shared" si="60"/>
        <v>0.52</v>
      </c>
      <c r="S127" s="104">
        <f t="shared" si="60"/>
        <v>0.52</v>
      </c>
      <c r="T127" s="104">
        <f t="shared" si="60"/>
        <v>0.52</v>
      </c>
      <c r="U127" s="104">
        <f t="shared" si="60"/>
        <v>0.52</v>
      </c>
      <c r="V127" s="104">
        <f t="shared" si="60"/>
        <v>0.52</v>
      </c>
      <c r="W127" s="104">
        <f t="shared" si="60"/>
        <v>0.52</v>
      </c>
      <c r="X127" s="104">
        <f t="shared" si="60"/>
        <v>0.52</v>
      </c>
      <c r="Y127" s="104">
        <f t="shared" si="60"/>
        <v>0.52</v>
      </c>
      <c r="Z127" s="104">
        <f t="shared" si="60"/>
        <v>0.52</v>
      </c>
      <c r="AA127" s="104">
        <f t="shared" si="60"/>
        <v>0.52</v>
      </c>
      <c r="AB127" s="104">
        <f t="shared" si="60"/>
        <v>0.52</v>
      </c>
      <c r="AC127" s="104">
        <f t="shared" si="60"/>
        <v>0.52</v>
      </c>
      <c r="AD127" s="104">
        <f t="shared" si="60"/>
        <v>0.52</v>
      </c>
      <c r="AE127" s="104">
        <f t="shared" si="60"/>
        <v>0.52</v>
      </c>
      <c r="AF127" s="104">
        <f t="shared" si="60"/>
        <v>0.52</v>
      </c>
      <c r="AG127" s="104">
        <f t="shared" si="60"/>
        <v>0.52</v>
      </c>
      <c r="AI127" s="126" t="s">
        <v>446</v>
      </c>
      <c r="AJ127" s="218" t="s">
        <v>458</v>
      </c>
      <c r="BD127" s="190"/>
      <c r="BE127" s="190"/>
    </row>
    <row r="128" spans="1:63" outlineLevel="1">
      <c r="A128" t="s">
        <v>444</v>
      </c>
      <c r="B128" s="51" t="s">
        <v>126</v>
      </c>
      <c r="C128" s="201">
        <v>0.12</v>
      </c>
      <c r="D128" s="104">
        <f t="shared" ref="D128:S129" si="61">C128</f>
        <v>0.12</v>
      </c>
      <c r="E128" s="104">
        <f t="shared" si="61"/>
        <v>0.12</v>
      </c>
      <c r="F128" s="104">
        <f t="shared" si="61"/>
        <v>0.12</v>
      </c>
      <c r="G128" s="104">
        <f t="shared" si="61"/>
        <v>0.12</v>
      </c>
      <c r="H128" s="104">
        <f t="shared" si="61"/>
        <v>0.12</v>
      </c>
      <c r="I128" s="104">
        <f t="shared" si="61"/>
        <v>0.12</v>
      </c>
      <c r="J128" s="104">
        <f t="shared" si="61"/>
        <v>0.12</v>
      </c>
      <c r="K128" s="104">
        <f t="shared" si="61"/>
        <v>0.12</v>
      </c>
      <c r="L128" s="104">
        <f t="shared" si="61"/>
        <v>0.12</v>
      </c>
      <c r="M128" s="104">
        <f t="shared" si="61"/>
        <v>0.12</v>
      </c>
      <c r="N128" s="104">
        <f t="shared" si="61"/>
        <v>0.12</v>
      </c>
      <c r="O128" s="104">
        <f t="shared" si="61"/>
        <v>0.12</v>
      </c>
      <c r="P128" s="104">
        <f t="shared" si="61"/>
        <v>0.12</v>
      </c>
      <c r="Q128" s="104">
        <f t="shared" si="61"/>
        <v>0.12</v>
      </c>
      <c r="R128" s="104">
        <f t="shared" si="61"/>
        <v>0.12</v>
      </c>
      <c r="S128" s="104">
        <f t="shared" si="61"/>
        <v>0.12</v>
      </c>
      <c r="T128" s="104">
        <f t="shared" si="60"/>
        <v>0.12</v>
      </c>
      <c r="U128" s="104">
        <f t="shared" si="60"/>
        <v>0.12</v>
      </c>
      <c r="V128" s="104">
        <f t="shared" si="60"/>
        <v>0.12</v>
      </c>
      <c r="W128" s="104">
        <f t="shared" si="60"/>
        <v>0.12</v>
      </c>
      <c r="X128" s="104">
        <f t="shared" si="60"/>
        <v>0.12</v>
      </c>
      <c r="Y128" s="104">
        <f t="shared" si="60"/>
        <v>0.12</v>
      </c>
      <c r="Z128" s="104">
        <f t="shared" si="60"/>
        <v>0.12</v>
      </c>
      <c r="AA128" s="104">
        <f t="shared" si="60"/>
        <v>0.12</v>
      </c>
      <c r="AB128" s="104">
        <f t="shared" si="60"/>
        <v>0.12</v>
      </c>
      <c r="AC128" s="104">
        <f t="shared" si="60"/>
        <v>0.12</v>
      </c>
      <c r="AD128" s="104">
        <f t="shared" si="60"/>
        <v>0.12</v>
      </c>
      <c r="AE128" s="104">
        <f t="shared" si="60"/>
        <v>0.12</v>
      </c>
      <c r="AF128" s="104">
        <f t="shared" si="60"/>
        <v>0.12</v>
      </c>
      <c r="AG128" s="104">
        <f t="shared" si="60"/>
        <v>0.12</v>
      </c>
      <c r="AI128" s="126" t="s">
        <v>446</v>
      </c>
      <c r="AJ128" s="218" t="s">
        <v>458</v>
      </c>
      <c r="AL128" s="1"/>
      <c r="BC128" s="1"/>
      <c r="BD128" s="697"/>
      <c r="BE128" s="687"/>
      <c r="BF128" s="6"/>
      <c r="BG128" s="6"/>
      <c r="BH128" s="6"/>
      <c r="BI128" s="6"/>
      <c r="BJ128" s="6"/>
    </row>
    <row r="129" spans="1:63" outlineLevel="1">
      <c r="A129" t="s">
        <v>445</v>
      </c>
      <c r="B129" s="51" t="s">
        <v>126</v>
      </c>
      <c r="C129" s="115">
        <f>1-C127-C128</f>
        <v>0.36</v>
      </c>
      <c r="D129" s="104">
        <f t="shared" si="61"/>
        <v>0.36</v>
      </c>
      <c r="E129" s="104">
        <f t="shared" si="61"/>
        <v>0.36</v>
      </c>
      <c r="F129" s="104">
        <f t="shared" si="61"/>
        <v>0.36</v>
      </c>
      <c r="G129" s="104">
        <f t="shared" si="61"/>
        <v>0.36</v>
      </c>
      <c r="H129" s="104">
        <f t="shared" si="61"/>
        <v>0.36</v>
      </c>
      <c r="I129" s="104">
        <f t="shared" si="61"/>
        <v>0.36</v>
      </c>
      <c r="J129" s="104">
        <f t="shared" si="61"/>
        <v>0.36</v>
      </c>
      <c r="K129" s="104">
        <f t="shared" si="61"/>
        <v>0.36</v>
      </c>
      <c r="L129" s="104">
        <f t="shared" si="61"/>
        <v>0.36</v>
      </c>
      <c r="M129" s="104">
        <f t="shared" si="61"/>
        <v>0.36</v>
      </c>
      <c r="N129" s="104">
        <f t="shared" si="61"/>
        <v>0.36</v>
      </c>
      <c r="O129" s="104">
        <f t="shared" si="61"/>
        <v>0.36</v>
      </c>
      <c r="P129" s="104">
        <f t="shared" si="61"/>
        <v>0.36</v>
      </c>
      <c r="Q129" s="104">
        <f t="shared" si="61"/>
        <v>0.36</v>
      </c>
      <c r="R129" s="104">
        <f t="shared" si="61"/>
        <v>0.36</v>
      </c>
      <c r="S129" s="104">
        <f t="shared" si="61"/>
        <v>0.36</v>
      </c>
      <c r="T129" s="104">
        <f t="shared" si="60"/>
        <v>0.36</v>
      </c>
      <c r="U129" s="104">
        <f t="shared" si="60"/>
        <v>0.36</v>
      </c>
      <c r="V129" s="104">
        <f t="shared" si="60"/>
        <v>0.36</v>
      </c>
      <c r="W129" s="104">
        <f t="shared" si="60"/>
        <v>0.36</v>
      </c>
      <c r="X129" s="104">
        <f t="shared" si="60"/>
        <v>0.36</v>
      </c>
      <c r="Y129" s="104">
        <f t="shared" si="60"/>
        <v>0.36</v>
      </c>
      <c r="Z129" s="104">
        <f t="shared" si="60"/>
        <v>0.36</v>
      </c>
      <c r="AA129" s="104">
        <f t="shared" si="60"/>
        <v>0.36</v>
      </c>
      <c r="AB129" s="104">
        <f t="shared" si="60"/>
        <v>0.36</v>
      </c>
      <c r="AC129" s="104">
        <f t="shared" si="60"/>
        <v>0.36</v>
      </c>
      <c r="AD129" s="104">
        <f t="shared" si="60"/>
        <v>0.36</v>
      </c>
      <c r="AE129" s="104">
        <f t="shared" si="60"/>
        <v>0.36</v>
      </c>
      <c r="AF129" s="104">
        <f t="shared" si="60"/>
        <v>0.36</v>
      </c>
      <c r="AG129" s="104">
        <f t="shared" si="60"/>
        <v>0.36</v>
      </c>
      <c r="AI129" s="126"/>
      <c r="AJ129" s="209"/>
      <c r="BC129" s="1"/>
      <c r="BD129" s="38"/>
      <c r="BF129" s="6"/>
      <c r="BG129" s="6"/>
      <c r="BH129" s="6"/>
      <c r="BI129" s="6"/>
      <c r="BJ129" s="6"/>
    </row>
    <row r="130" spans="1:63" outlineLevel="1">
      <c r="A130" t="s">
        <v>433</v>
      </c>
      <c r="B130" s="51" t="s">
        <v>126</v>
      </c>
      <c r="C130" s="104">
        <f>SUM(C127:C129)</f>
        <v>1</v>
      </c>
      <c r="D130" s="104">
        <f t="shared" ref="D130:AG130" si="62">SUM(D127:D129)</f>
        <v>1</v>
      </c>
      <c r="E130" s="104">
        <f t="shared" si="62"/>
        <v>1</v>
      </c>
      <c r="F130" s="104">
        <f t="shared" si="62"/>
        <v>1</v>
      </c>
      <c r="G130" s="104">
        <f t="shared" si="62"/>
        <v>1</v>
      </c>
      <c r="H130" s="104">
        <f t="shared" si="62"/>
        <v>1</v>
      </c>
      <c r="I130" s="104">
        <f t="shared" si="62"/>
        <v>1</v>
      </c>
      <c r="J130" s="104">
        <f t="shared" si="62"/>
        <v>1</v>
      </c>
      <c r="K130" s="104">
        <f t="shared" si="62"/>
        <v>1</v>
      </c>
      <c r="L130" s="104">
        <f t="shared" si="62"/>
        <v>1</v>
      </c>
      <c r="M130" s="104">
        <f t="shared" si="62"/>
        <v>1</v>
      </c>
      <c r="N130" s="104">
        <f t="shared" si="62"/>
        <v>1</v>
      </c>
      <c r="O130" s="104">
        <f t="shared" si="62"/>
        <v>1</v>
      </c>
      <c r="P130" s="104">
        <f t="shared" si="62"/>
        <v>1</v>
      </c>
      <c r="Q130" s="104">
        <f t="shared" si="62"/>
        <v>1</v>
      </c>
      <c r="R130" s="104">
        <f t="shared" si="62"/>
        <v>1</v>
      </c>
      <c r="S130" s="104">
        <f t="shared" si="62"/>
        <v>1</v>
      </c>
      <c r="T130" s="104">
        <f t="shared" si="62"/>
        <v>1</v>
      </c>
      <c r="U130" s="104">
        <f t="shared" si="62"/>
        <v>1</v>
      </c>
      <c r="V130" s="104">
        <f t="shared" si="62"/>
        <v>1</v>
      </c>
      <c r="W130" s="104">
        <f t="shared" si="62"/>
        <v>1</v>
      </c>
      <c r="X130" s="104">
        <f t="shared" si="62"/>
        <v>1</v>
      </c>
      <c r="Y130" s="104">
        <f t="shared" si="62"/>
        <v>1</v>
      </c>
      <c r="Z130" s="104">
        <f t="shared" si="62"/>
        <v>1</v>
      </c>
      <c r="AA130" s="104">
        <f t="shared" si="62"/>
        <v>1</v>
      </c>
      <c r="AB130" s="104">
        <f t="shared" si="62"/>
        <v>1</v>
      </c>
      <c r="AC130" s="104">
        <f t="shared" si="62"/>
        <v>1</v>
      </c>
      <c r="AD130" s="104">
        <f t="shared" si="62"/>
        <v>1</v>
      </c>
      <c r="AE130" s="104">
        <f t="shared" si="62"/>
        <v>1</v>
      </c>
      <c r="AF130" s="104">
        <f t="shared" si="62"/>
        <v>1</v>
      </c>
      <c r="AG130" s="104">
        <f t="shared" si="62"/>
        <v>1</v>
      </c>
      <c r="AI130" s="126"/>
      <c r="AJ130" s="198"/>
      <c r="BC130" s="1"/>
      <c r="BD130" s="38"/>
      <c r="BF130" s="6"/>
      <c r="BG130" s="6"/>
      <c r="BH130" s="6"/>
      <c r="BI130" s="6"/>
      <c r="BJ130" s="6"/>
    </row>
    <row r="131" spans="1:63" outlineLevel="1">
      <c r="C131" s="201"/>
      <c r="D131" s="104"/>
      <c r="E131" s="104"/>
      <c r="F131" s="104"/>
      <c r="G131" s="104"/>
      <c r="H131" s="104"/>
      <c r="I131" s="104"/>
      <c r="J131" s="104"/>
      <c r="K131" s="104"/>
      <c r="L131" s="104"/>
      <c r="M131" s="104"/>
      <c r="N131" s="104"/>
      <c r="O131" s="104"/>
      <c r="P131" s="104"/>
      <c r="Q131" s="104"/>
      <c r="R131" s="104"/>
      <c r="S131" s="104"/>
      <c r="T131" s="104"/>
      <c r="U131" s="104"/>
      <c r="V131" s="104"/>
      <c r="W131" s="104"/>
      <c r="X131" s="104"/>
      <c r="Y131" s="104"/>
      <c r="Z131" s="104"/>
      <c r="AA131" s="104"/>
      <c r="AB131" s="104"/>
      <c r="AC131" s="104"/>
      <c r="AD131" s="104"/>
      <c r="AE131" s="104"/>
      <c r="AF131" s="104"/>
      <c r="AG131" s="104"/>
      <c r="AI131" s="126"/>
      <c r="AJ131" s="198"/>
      <c r="BC131" s="1"/>
      <c r="BD131" s="38"/>
      <c r="BF131" s="6"/>
      <c r="BG131" s="6"/>
      <c r="BH131" s="6"/>
      <c r="BI131" s="6"/>
      <c r="BJ131" s="6"/>
    </row>
    <row r="132" spans="1:63" outlineLevel="1">
      <c r="A132" t="s">
        <v>441</v>
      </c>
      <c r="B132" s="51" t="s">
        <v>126</v>
      </c>
      <c r="C132" s="104">
        <f>C127*C125</f>
        <v>1.1960000000000002E-2</v>
      </c>
      <c r="D132" s="104">
        <f t="shared" ref="D132:AG132" si="63">D127*D125</f>
        <v>1.4562523765387934E-2</v>
      </c>
      <c r="E132" s="104">
        <f t="shared" si="63"/>
        <v>1.7008912329058656E-2</v>
      </c>
      <c r="F132" s="104">
        <f t="shared" si="63"/>
        <v>1.9299165691012168E-2</v>
      </c>
      <c r="G132" s="104">
        <f t="shared" si="63"/>
        <v>2.1433283851248472E-2</v>
      </c>
      <c r="H132" s="104">
        <f t="shared" si="63"/>
        <v>2.3411266809767559E-2</v>
      </c>
      <c r="I132" s="104">
        <f t="shared" si="63"/>
        <v>2.5233114566569442E-2</v>
      </c>
      <c r="J132" s="104">
        <f t="shared" si="63"/>
        <v>2.6898827121654107E-2</v>
      </c>
      <c r="K132" s="104">
        <f t="shared" si="63"/>
        <v>2.8408404475021565E-2</v>
      </c>
      <c r="L132" s="104">
        <f t="shared" si="63"/>
        <v>2.9761846626671813E-2</v>
      </c>
      <c r="M132" s="104">
        <f t="shared" si="63"/>
        <v>3.0959153576604843E-2</v>
      </c>
      <c r="N132" s="104">
        <f t="shared" si="63"/>
        <v>3.4363972070816588E-2</v>
      </c>
      <c r="O132" s="104">
        <f t="shared" si="63"/>
        <v>3.7439705601408989E-2</v>
      </c>
      <c r="P132" s="104">
        <f t="shared" si="63"/>
        <v>4.0186354168382038E-2</v>
      </c>
      <c r="Q132" s="104">
        <f t="shared" si="63"/>
        <v>4.2603917771735722E-2</v>
      </c>
      <c r="R132" s="104">
        <f t="shared" si="63"/>
        <v>4.4692396411470069E-2</v>
      </c>
      <c r="S132" s="104">
        <f t="shared" si="63"/>
        <v>4.6451790087585064E-2</v>
      </c>
      <c r="T132" s="104">
        <f t="shared" si="63"/>
        <v>4.7882098800080701E-2</v>
      </c>
      <c r="U132" s="104">
        <f t="shared" si="63"/>
        <v>4.8983322548956994E-2</v>
      </c>
      <c r="V132" s="104">
        <f t="shared" si="63"/>
        <v>4.9755461334213928E-2</v>
      </c>
      <c r="W132" s="104">
        <f t="shared" si="63"/>
        <v>5.0198515155851518E-2</v>
      </c>
      <c r="X132" s="104">
        <f t="shared" si="63"/>
        <v>5.2232452896251821E-2</v>
      </c>
      <c r="Y132" s="104">
        <f t="shared" si="63"/>
        <v>5.3715770801988701E-2</v>
      </c>
      <c r="Z132" s="104">
        <f t="shared" si="63"/>
        <v>5.4648468873062142E-2</v>
      </c>
      <c r="AA132" s="104">
        <f t="shared" si="63"/>
        <v>5.5030547109472132E-2</v>
      </c>
      <c r="AB132" s="104">
        <f t="shared" si="63"/>
        <v>5.4862005511218705E-2</v>
      </c>
      <c r="AC132" s="104">
        <f t="shared" si="63"/>
        <v>5.4142844078301819E-2</v>
      </c>
      <c r="AD132" s="104">
        <f t="shared" si="63"/>
        <v>5.2873062810721502E-2</v>
      </c>
      <c r="AE132" s="104">
        <f t="shared" si="63"/>
        <v>5.1052661708477741E-2</v>
      </c>
      <c r="AF132" s="104">
        <f t="shared" si="63"/>
        <v>4.8681640771570549E-2</v>
      </c>
      <c r="AG132" s="104">
        <f t="shared" si="63"/>
        <v>4.5759999999999995E-2</v>
      </c>
      <c r="AI132" s="126"/>
      <c r="AJ132" s="198"/>
      <c r="BD132" s="190"/>
      <c r="BE132" s="190"/>
    </row>
    <row r="133" spans="1:63" outlineLevel="1">
      <c r="A133" t="s">
        <v>442</v>
      </c>
      <c r="B133" s="51" t="s">
        <v>126</v>
      </c>
      <c r="C133" s="104">
        <f>C125*C128</f>
        <v>2.7600000000000003E-3</v>
      </c>
      <c r="D133" s="104">
        <f t="shared" ref="D133:AG133" si="64">D125*D128</f>
        <v>3.3605824073972158E-3</v>
      </c>
      <c r="E133" s="104">
        <f t="shared" si="64"/>
        <v>3.9251336143981512E-3</v>
      </c>
      <c r="F133" s="104">
        <f t="shared" si="64"/>
        <v>4.4536536210028075E-3</v>
      </c>
      <c r="G133" s="104">
        <f t="shared" si="64"/>
        <v>4.9461424272111854E-3</v>
      </c>
      <c r="H133" s="104">
        <f t="shared" si="64"/>
        <v>5.4026000330232825E-3</v>
      </c>
      <c r="I133" s="104">
        <f t="shared" si="64"/>
        <v>5.8230264384391021E-3</v>
      </c>
      <c r="J133" s="104">
        <f t="shared" si="64"/>
        <v>6.2074216434586391E-3</v>
      </c>
      <c r="K133" s="104">
        <f t="shared" si="64"/>
        <v>6.5557856480818995E-3</v>
      </c>
      <c r="L133" s="104">
        <f t="shared" si="64"/>
        <v>6.868118452308879E-3</v>
      </c>
      <c r="M133" s="104">
        <f t="shared" si="64"/>
        <v>7.1444200561395794E-3</v>
      </c>
      <c r="N133" s="104">
        <f t="shared" si="64"/>
        <v>7.9301474009576736E-3</v>
      </c>
      <c r="O133" s="104">
        <f t="shared" si="64"/>
        <v>8.6399320618636127E-3</v>
      </c>
      <c r="P133" s="104">
        <f t="shared" si="64"/>
        <v>9.2737740388573915E-3</v>
      </c>
      <c r="Q133" s="104">
        <f t="shared" si="64"/>
        <v>9.8316733319390136E-3</v>
      </c>
      <c r="R133" s="104">
        <f t="shared" si="64"/>
        <v>1.0313629941108475E-2</v>
      </c>
      <c r="S133" s="104">
        <f t="shared" si="64"/>
        <v>1.0719643866365784E-2</v>
      </c>
      <c r="T133" s="104">
        <f t="shared" si="64"/>
        <v>1.104971510771093E-2</v>
      </c>
      <c r="U133" s="104">
        <f t="shared" si="64"/>
        <v>1.1303843665143922E-2</v>
      </c>
      <c r="V133" s="104">
        <f t="shared" si="64"/>
        <v>1.1482029538664751E-2</v>
      </c>
      <c r="W133" s="104">
        <f t="shared" si="64"/>
        <v>1.1584272728273426E-2</v>
      </c>
      <c r="X133" s="104">
        <f t="shared" si="64"/>
        <v>1.2053642976058113E-2</v>
      </c>
      <c r="Y133" s="104">
        <f t="shared" si="64"/>
        <v>1.2395947108151237E-2</v>
      </c>
      <c r="Z133" s="104">
        <f t="shared" si="64"/>
        <v>1.2611185124552803E-2</v>
      </c>
      <c r="AA133" s="104">
        <f t="shared" si="64"/>
        <v>1.2699357025262798E-2</v>
      </c>
      <c r="AB133" s="104">
        <f t="shared" si="64"/>
        <v>1.2660462810281237E-2</v>
      </c>
      <c r="AC133" s="104">
        <f t="shared" si="64"/>
        <v>1.2494502479608111E-2</v>
      </c>
      <c r="AD133" s="104">
        <f t="shared" si="64"/>
        <v>1.2201476033243421E-2</v>
      </c>
      <c r="AE133" s="104">
        <f t="shared" si="64"/>
        <v>1.178138347118717E-2</v>
      </c>
      <c r="AF133" s="104">
        <f t="shared" si="64"/>
        <v>1.1234224793439355E-2</v>
      </c>
      <c r="AG133" s="104">
        <f t="shared" si="64"/>
        <v>1.0559999999999996E-2</v>
      </c>
      <c r="AI133" s="126"/>
      <c r="AJ133" s="198"/>
      <c r="AL133" s="1"/>
      <c r="BC133" s="1"/>
      <c r="BD133" s="697"/>
      <c r="BE133" s="687"/>
      <c r="BF133" s="6"/>
      <c r="BG133" s="6"/>
      <c r="BH133" s="6"/>
      <c r="BI133" s="6"/>
      <c r="BJ133" s="6"/>
    </row>
    <row r="134" spans="1:63" outlineLevel="1">
      <c r="A134" t="s">
        <v>443</v>
      </c>
      <c r="B134" s="51" t="s">
        <v>126</v>
      </c>
      <c r="C134" s="104">
        <f>C125*C129</f>
        <v>8.2800000000000009E-3</v>
      </c>
      <c r="D134" s="104">
        <f t="shared" ref="D134:AG134" si="65">D125*D129</f>
        <v>1.0081747222191647E-2</v>
      </c>
      <c r="E134" s="104">
        <f t="shared" si="65"/>
        <v>1.1775400843194454E-2</v>
      </c>
      <c r="F134" s="104">
        <f t="shared" si="65"/>
        <v>1.3360960863008423E-2</v>
      </c>
      <c r="G134" s="104">
        <f t="shared" si="65"/>
        <v>1.4838427281633556E-2</v>
      </c>
      <c r="H134" s="104">
        <f t="shared" si="65"/>
        <v>1.6207800099069847E-2</v>
      </c>
      <c r="I134" s="104">
        <f t="shared" si="65"/>
        <v>1.7469079315317305E-2</v>
      </c>
      <c r="J134" s="104">
        <f t="shared" si="65"/>
        <v>1.8622264930375918E-2</v>
      </c>
      <c r="K134" s="104">
        <f t="shared" si="65"/>
        <v>1.9667356944245699E-2</v>
      </c>
      <c r="L134" s="104">
        <f t="shared" si="65"/>
        <v>2.0604355356926639E-2</v>
      </c>
      <c r="M134" s="104">
        <f t="shared" si="65"/>
        <v>2.1433260168418736E-2</v>
      </c>
      <c r="N134" s="104">
        <f t="shared" si="65"/>
        <v>2.3790442202873022E-2</v>
      </c>
      <c r="O134" s="104">
        <f t="shared" si="65"/>
        <v>2.5919796185590836E-2</v>
      </c>
      <c r="P134" s="104">
        <f t="shared" si="65"/>
        <v>2.7821322116572178E-2</v>
      </c>
      <c r="Q134" s="104">
        <f t="shared" si="65"/>
        <v>2.9495019995817037E-2</v>
      </c>
      <c r="R134" s="104">
        <f t="shared" si="65"/>
        <v>3.0940889823325428E-2</v>
      </c>
      <c r="S134" s="104">
        <f t="shared" si="65"/>
        <v>3.215893159909735E-2</v>
      </c>
      <c r="T134" s="104">
        <f t="shared" si="65"/>
        <v>3.3149145323132789E-2</v>
      </c>
      <c r="U134" s="104">
        <f t="shared" si="65"/>
        <v>3.3911530995431767E-2</v>
      </c>
      <c r="V134" s="104">
        <f t="shared" si="65"/>
        <v>3.4446088615994255E-2</v>
      </c>
      <c r="W134" s="104">
        <f t="shared" si="65"/>
        <v>3.4752818184820275E-2</v>
      </c>
      <c r="X134" s="104">
        <f t="shared" si="65"/>
        <v>3.6160928928174338E-2</v>
      </c>
      <c r="Y134" s="104">
        <f t="shared" si="65"/>
        <v>3.7187841324453713E-2</v>
      </c>
      <c r="Z134" s="104">
        <f t="shared" si="65"/>
        <v>3.7833555373658408E-2</v>
      </c>
      <c r="AA134" s="104">
        <f t="shared" si="65"/>
        <v>3.8098071075788394E-2</v>
      </c>
      <c r="AB134" s="104">
        <f t="shared" si="65"/>
        <v>3.7981388430843713E-2</v>
      </c>
      <c r="AC134" s="104">
        <f t="shared" si="65"/>
        <v>3.748350743882433E-2</v>
      </c>
      <c r="AD134" s="104">
        <f t="shared" si="65"/>
        <v>3.6604428099730267E-2</v>
      </c>
      <c r="AE134" s="104">
        <f t="shared" si="65"/>
        <v>3.5344150413561509E-2</v>
      </c>
      <c r="AF134" s="104">
        <f t="shared" si="65"/>
        <v>3.3702674380318071E-2</v>
      </c>
      <c r="AG134" s="104">
        <f t="shared" si="65"/>
        <v>3.1679999999999993E-2</v>
      </c>
      <c r="AI134" s="127"/>
      <c r="AJ134" s="198"/>
      <c r="BC134" s="1"/>
      <c r="BD134" s="38"/>
      <c r="BF134" s="6"/>
      <c r="BG134" s="6"/>
      <c r="BH134" s="6"/>
      <c r="BI134" s="6"/>
      <c r="BJ134" s="6"/>
    </row>
    <row r="135" spans="1:63" outlineLevel="1">
      <c r="C135" s="104"/>
      <c r="D135" s="104"/>
      <c r="E135" s="104"/>
      <c r="F135" s="104"/>
      <c r="G135" s="104"/>
      <c r="H135" s="104"/>
      <c r="I135" s="104"/>
      <c r="J135" s="104"/>
      <c r="K135" s="104"/>
      <c r="L135" s="104"/>
      <c r="M135" s="104"/>
      <c r="N135" s="104"/>
      <c r="O135" s="104"/>
      <c r="P135" s="104"/>
      <c r="Q135" s="104"/>
      <c r="R135" s="104"/>
      <c r="S135" s="104"/>
      <c r="T135" s="104"/>
      <c r="U135" s="104"/>
      <c r="V135" s="104"/>
      <c r="W135" s="104"/>
      <c r="X135" s="104"/>
      <c r="Y135" s="104"/>
      <c r="Z135" s="104"/>
      <c r="AA135" s="104"/>
      <c r="AB135" s="104"/>
      <c r="AC135" s="104"/>
      <c r="AD135" s="104"/>
      <c r="AE135" s="104"/>
      <c r="AF135" s="104"/>
      <c r="AG135" s="104"/>
      <c r="AI135" s="127"/>
      <c r="AJ135" s="198"/>
      <c r="BC135" s="1"/>
      <c r="BD135" s="38"/>
      <c r="BF135" s="6"/>
      <c r="BG135" s="6"/>
      <c r="BH135" s="6"/>
      <c r="BI135" s="6"/>
      <c r="BJ135" s="6"/>
    </row>
    <row r="136" spans="1:63" outlineLevel="1">
      <c r="A136" t="s">
        <v>1370</v>
      </c>
      <c r="C136" s="216">
        <f>('Overall recycling rates'!F86*'Yearly BTX'!D5+'Overall recycling rates'!G86*'Yearly BTX'!D6+'Overall recycling rates'!H86*'Yearly BTX'!D7)/'Yearly BTX'!D4</f>
        <v>0.60376320911032988</v>
      </c>
      <c r="D136" s="216">
        <f>C136-($C136-$AG136)/($AG$1-$C$1)</f>
        <v>0.61363776880665222</v>
      </c>
      <c r="E136" s="216">
        <f t="shared" ref="E136:AF136" si="66">D136-($C136-$AG136)/($AG$1-$C$1)</f>
        <v>0.62351232850297456</v>
      </c>
      <c r="F136" s="216">
        <f t="shared" si="66"/>
        <v>0.63338688819929689</v>
      </c>
      <c r="G136" s="216">
        <f t="shared" si="66"/>
        <v>0.64326144789561923</v>
      </c>
      <c r="H136" s="216">
        <f t="shared" si="66"/>
        <v>0.65313600759194157</v>
      </c>
      <c r="I136" s="216">
        <f t="shared" si="66"/>
        <v>0.66301056728826391</v>
      </c>
      <c r="J136" s="216">
        <f t="shared" si="66"/>
        <v>0.67288512698458625</v>
      </c>
      <c r="K136" s="216">
        <f t="shared" si="66"/>
        <v>0.68275968668090858</v>
      </c>
      <c r="L136" s="216">
        <f t="shared" si="66"/>
        <v>0.69263424637723092</v>
      </c>
      <c r="M136" s="216">
        <f t="shared" si="66"/>
        <v>0.70250880607355326</v>
      </c>
      <c r="N136" s="216">
        <f t="shared" si="66"/>
        <v>0.7123833657698756</v>
      </c>
      <c r="O136" s="216">
        <f t="shared" si="66"/>
        <v>0.72225792546619794</v>
      </c>
      <c r="P136" s="216">
        <f t="shared" si="66"/>
        <v>0.73213248516252027</v>
      </c>
      <c r="Q136" s="216">
        <f t="shared" si="66"/>
        <v>0.74200704485884261</v>
      </c>
      <c r="R136" s="216">
        <f t="shared" si="66"/>
        <v>0.75188160455516495</v>
      </c>
      <c r="S136" s="216">
        <f t="shared" si="66"/>
        <v>0.76175616425148729</v>
      </c>
      <c r="T136" s="216">
        <f t="shared" si="66"/>
        <v>0.77163072394780963</v>
      </c>
      <c r="U136" s="216">
        <f t="shared" si="66"/>
        <v>0.78150528364413197</v>
      </c>
      <c r="V136" s="216">
        <f t="shared" si="66"/>
        <v>0.7913798433404543</v>
      </c>
      <c r="W136" s="216">
        <f t="shared" si="66"/>
        <v>0.80125440303677664</v>
      </c>
      <c r="X136" s="216">
        <f t="shared" si="66"/>
        <v>0.81112896273309898</v>
      </c>
      <c r="Y136" s="216">
        <f t="shared" si="66"/>
        <v>0.82100352242942132</v>
      </c>
      <c r="Z136" s="216">
        <f t="shared" si="66"/>
        <v>0.83087808212574366</v>
      </c>
      <c r="AA136" s="216">
        <f t="shared" si="66"/>
        <v>0.84075264182206599</v>
      </c>
      <c r="AB136" s="216">
        <f t="shared" si="66"/>
        <v>0.85062720151838833</v>
      </c>
      <c r="AC136" s="216">
        <f t="shared" si="66"/>
        <v>0.86050176121471067</v>
      </c>
      <c r="AD136" s="216">
        <f t="shared" si="66"/>
        <v>0.87037632091103301</v>
      </c>
      <c r="AE136" s="216">
        <f t="shared" si="66"/>
        <v>0.88025088060735535</v>
      </c>
      <c r="AF136" s="216">
        <f t="shared" si="66"/>
        <v>0.89012544030367768</v>
      </c>
      <c r="AG136" s="216">
        <f>'Overall recycling rates'!F95</f>
        <v>0.9</v>
      </c>
      <c r="AI136" s="126"/>
      <c r="AJ136" s="198" t="s">
        <v>1081</v>
      </c>
      <c r="AL136" s="102"/>
      <c r="AM136" s="194"/>
      <c r="AN136" s="194"/>
      <c r="AO136" s="194"/>
      <c r="BC136" s="1"/>
      <c r="BD136" s="194"/>
      <c r="BE136" s="194"/>
      <c r="BF136" s="194"/>
      <c r="BG136" s="194"/>
      <c r="BH136" s="194"/>
      <c r="BI136" s="194"/>
      <c r="BJ136" s="194"/>
      <c r="BK136" s="194"/>
    </row>
    <row r="137" spans="1:63" outlineLevel="1">
      <c r="A137" t="s">
        <v>1378</v>
      </c>
      <c r="B137" s="51" t="s">
        <v>126</v>
      </c>
      <c r="C137" s="104">
        <f>C124*C$136</f>
        <v>1.2075264182206597E-3</v>
      </c>
      <c r="D137" s="104">
        <f t="shared" ref="D137:AG138" si="67">D124*D$136</f>
        <v>1.9946684356219866E-3</v>
      </c>
      <c r="E137" s="104">
        <f t="shared" si="67"/>
        <v>2.9937237915580281E-3</v>
      </c>
      <c r="F137" s="104">
        <f t="shared" si="67"/>
        <v>4.2135872920098655E-3</v>
      </c>
      <c r="G137" s="104">
        <f t="shared" si="67"/>
        <v>5.6631537429585781E-3</v>
      </c>
      <c r="H137" s="104">
        <f t="shared" si="67"/>
        <v>7.3513179503852458E-3</v>
      </c>
      <c r="I137" s="104">
        <f t="shared" si="67"/>
        <v>9.2869747202709522E-3</v>
      </c>
      <c r="J137" s="104">
        <f t="shared" si="67"/>
        <v>1.1479018858596772E-2</v>
      </c>
      <c r="K137" s="104">
        <f t="shared" si="67"/>
        <v>1.3936345171343791E-2</v>
      </c>
      <c r="L137" s="104">
        <f t="shared" si="67"/>
        <v>1.6667848464493092E-2</v>
      </c>
      <c r="M137" s="104">
        <f t="shared" si="67"/>
        <v>1.9682423544025742E-2</v>
      </c>
      <c r="N137" s="104">
        <f t="shared" si="67"/>
        <v>2.4687003978806382E-2</v>
      </c>
      <c r="O137" s="104">
        <f t="shared" si="67"/>
        <v>3.027973973943494E-2</v>
      </c>
      <c r="P137" s="104">
        <f t="shared" si="67"/>
        <v>3.647937834005615E-2</v>
      </c>
      <c r="Q137" s="104">
        <f t="shared" si="67"/>
        <v>4.3304667294814747E-2</v>
      </c>
      <c r="R137" s="104">
        <f t="shared" si="67"/>
        <v>5.0774354117855483E-2</v>
      </c>
      <c r="S137" s="104">
        <f t="shared" si="67"/>
        <v>5.8907186323323091E-2</v>
      </c>
      <c r="T137" s="104">
        <f t="shared" si="67"/>
        <v>6.7721911425362311E-2</v>
      </c>
      <c r="U137" s="104">
        <f t="shared" si="67"/>
        <v>7.7237276938117855E-2</v>
      </c>
      <c r="V137" s="104">
        <f t="shared" si="67"/>
        <v>8.7472030375734491E-2</v>
      </c>
      <c r="W137" s="104">
        <f t="shared" si="67"/>
        <v>9.8444919252356947E-2</v>
      </c>
      <c r="X137" s="104">
        <f t="shared" si="67"/>
        <v>0.11437905472367538</v>
      </c>
      <c r="Y137" s="104">
        <f t="shared" si="67"/>
        <v>0.13154095819944117</v>
      </c>
      <c r="Z137" s="104">
        <f t="shared" si="67"/>
        <v>0.1499619977282737</v>
      </c>
      <c r="AA137" s="104">
        <f t="shared" si="67"/>
        <v>0.16967354135879237</v>
      </c>
      <c r="AB137" s="104">
        <f t="shared" si="67"/>
        <v>0.19070695713961661</v>
      </c>
      <c r="AC137" s="104">
        <f t="shared" si="67"/>
        <v>0.21309361311936578</v>
      </c>
      <c r="AD137" s="104">
        <f t="shared" si="67"/>
        <v>0.23686487734665931</v>
      </c>
      <c r="AE137" s="104">
        <f t="shared" si="67"/>
        <v>0.26205211787011662</v>
      </c>
      <c r="AF137" s="104">
        <f t="shared" si="67"/>
        <v>0.28868670273835711</v>
      </c>
      <c r="AG137" s="104">
        <f t="shared" si="67"/>
        <v>0.31680000000000003</v>
      </c>
      <c r="AI137" s="126"/>
      <c r="AJ137"/>
      <c r="AL137" s="102"/>
      <c r="AM137" s="2"/>
      <c r="AN137" s="2"/>
      <c r="AO137" s="2"/>
      <c r="AV137" s="38"/>
    </row>
    <row r="138" spans="1:63" outlineLevel="1">
      <c r="A138" t="s">
        <v>1379</v>
      </c>
      <c r="B138" s="51" t="s">
        <v>126</v>
      </c>
      <c r="C138" s="104">
        <f>C125*C$136</f>
        <v>1.3886553809537589E-2</v>
      </c>
      <c r="D138" s="104">
        <f t="shared" si="67"/>
        <v>1.7184835753050961E-2</v>
      </c>
      <c r="E138" s="104">
        <f t="shared" si="67"/>
        <v>2.0394743329989067E-2</v>
      </c>
      <c r="F138" s="104">
        <f t="shared" si="67"/>
        <v>2.3507381734370825E-2</v>
      </c>
      <c r="G138" s="104">
        <f t="shared" si="67"/>
        <v>2.6513856160215163E-2</v>
      </c>
      <c r="H138" s="104">
        <f t="shared" si="67"/>
        <v>2.9405271801540987E-2</v>
      </c>
      <c r="I138" s="104">
        <f t="shared" si="67"/>
        <v>3.2172733852367234E-2</v>
      </c>
      <c r="J138" s="104">
        <f t="shared" si="67"/>
        <v>3.4807347506712799E-2</v>
      </c>
      <c r="K138" s="104">
        <f t="shared" si="67"/>
        <v>3.7300217958596622E-2</v>
      </c>
      <c r="L138" s="104">
        <f t="shared" si="67"/>
        <v>3.9642450402037621E-2</v>
      </c>
      <c r="M138" s="104">
        <f t="shared" si="67"/>
        <v>4.1825150031054699E-2</v>
      </c>
      <c r="N138" s="104">
        <f t="shared" si="67"/>
        <v>4.707754247121216E-2</v>
      </c>
      <c r="O138" s="104">
        <f t="shared" si="67"/>
        <v>5.2002161726420859E-2</v>
      </c>
      <c r="P138" s="104">
        <f t="shared" si="67"/>
        <v>5.6580260282536043E-2</v>
      </c>
      <c r="Q138" s="104">
        <f t="shared" si="67"/>
        <v>6.0793090625412986E-2</v>
      </c>
      <c r="R138" s="104">
        <f t="shared" si="67"/>
        <v>6.4621905240906941E-2</v>
      </c>
      <c r="S138" s="104">
        <f t="shared" si="67"/>
        <v>6.8047956614873187E-2</v>
      </c>
      <c r="T138" s="104">
        <f t="shared" si="67"/>
        <v>7.105249723316695E-2</v>
      </c>
      <c r="U138" s="104">
        <f t="shared" si="67"/>
        <v>7.3616779581643546E-2</v>
      </c>
      <c r="V138" s="104">
        <f t="shared" si="67"/>
        <v>7.5722056146158165E-2</v>
      </c>
      <c r="W138" s="104">
        <f t="shared" si="67"/>
        <v>7.7349579412566136E-2</v>
      </c>
      <c r="X138" s="104">
        <f t="shared" si="67"/>
        <v>8.147549103604268E-2</v>
      </c>
      <c r="Y138" s="104">
        <f t="shared" si="67"/>
        <v>8.4809301997008049E-2</v>
      </c>
      <c r="Z138" s="104">
        <f t="shared" si="67"/>
        <v>8.731964424684284E-2</v>
      </c>
      <c r="AA138" s="104">
        <f t="shared" si="67"/>
        <v>8.8975149736927592E-2</v>
      </c>
      <c r="AB138" s="104">
        <f t="shared" si="67"/>
        <v>8.9744450418642999E-2</v>
      </c>
      <c r="AC138" s="104">
        <f t="shared" si="67"/>
        <v>8.9596178243369587E-2</v>
      </c>
      <c r="AD138" s="104">
        <f t="shared" si="67"/>
        <v>8.8498965162487953E-2</v>
      </c>
      <c r="AE138" s="104">
        <f t="shared" si="67"/>
        <v>8.6421443127378733E-2</v>
      </c>
      <c r="AF138" s="104">
        <f t="shared" si="67"/>
        <v>8.3332244089422497E-2</v>
      </c>
      <c r="AG138" s="104">
        <f t="shared" si="67"/>
        <v>7.9199999999999979E-2</v>
      </c>
      <c r="AH138" s="230"/>
      <c r="AI138" s="126"/>
      <c r="AJ138" s="198"/>
      <c r="AL138" s="102"/>
      <c r="AM138" s="2"/>
      <c r="AN138" s="2"/>
      <c r="AO138" s="2"/>
      <c r="AV138" s="38"/>
    </row>
    <row r="139" spans="1:63" outlineLevel="1">
      <c r="A139" t="s">
        <v>1380</v>
      </c>
      <c r="B139" s="165" t="s">
        <v>126</v>
      </c>
      <c r="C139" s="104">
        <f>SUM(C137:C138)</f>
        <v>1.5094080227758249E-2</v>
      </c>
      <c r="D139" s="104">
        <f t="shared" ref="D139:AG139" si="68">SUM(D137:D138)</f>
        <v>1.9179504188672949E-2</v>
      </c>
      <c r="E139" s="104">
        <f t="shared" si="68"/>
        <v>2.3388467121547095E-2</v>
      </c>
      <c r="F139" s="104">
        <f t="shared" si="68"/>
        <v>2.7720969026380691E-2</v>
      </c>
      <c r="G139" s="104">
        <f t="shared" si="68"/>
        <v>3.2177009903173744E-2</v>
      </c>
      <c r="H139" s="104">
        <f t="shared" si="68"/>
        <v>3.6756589751926236E-2</v>
      </c>
      <c r="I139" s="104">
        <f t="shared" si="68"/>
        <v>4.1459708572638185E-2</v>
      </c>
      <c r="J139" s="104">
        <f t="shared" si="68"/>
        <v>4.628636636530957E-2</v>
      </c>
      <c r="K139" s="104">
        <f t="shared" si="68"/>
        <v>5.1236563129940411E-2</v>
      </c>
      <c r="L139" s="104">
        <f t="shared" si="68"/>
        <v>5.6310298866530717E-2</v>
      </c>
      <c r="M139" s="104">
        <f t="shared" si="68"/>
        <v>6.1507573575080438E-2</v>
      </c>
      <c r="N139" s="104">
        <f t="shared" si="68"/>
        <v>7.1764546450018535E-2</v>
      </c>
      <c r="O139" s="104">
        <f t="shared" si="68"/>
        <v>8.2281901465855803E-2</v>
      </c>
      <c r="P139" s="104">
        <f t="shared" si="68"/>
        <v>9.30596386225922E-2</v>
      </c>
      <c r="Q139" s="104">
        <f t="shared" si="68"/>
        <v>0.10409775792022774</v>
      </c>
      <c r="R139" s="104">
        <f t="shared" si="68"/>
        <v>0.11539625935876242</v>
      </c>
      <c r="S139" s="104">
        <f t="shared" si="68"/>
        <v>0.12695514293819626</v>
      </c>
      <c r="T139" s="104">
        <f t="shared" si="68"/>
        <v>0.13877440865852925</v>
      </c>
      <c r="U139" s="104">
        <f t="shared" si="68"/>
        <v>0.15085405651976141</v>
      </c>
      <c r="V139" s="104">
        <f t="shared" si="68"/>
        <v>0.16319408652189266</v>
      </c>
      <c r="W139" s="104">
        <f t="shared" si="68"/>
        <v>0.17579449866492308</v>
      </c>
      <c r="X139" s="104">
        <f t="shared" si="68"/>
        <v>0.19585454575971806</v>
      </c>
      <c r="Y139" s="104">
        <f t="shared" si="68"/>
        <v>0.21635026019644921</v>
      </c>
      <c r="Z139" s="104">
        <f t="shared" si="68"/>
        <v>0.23728164197511653</v>
      </c>
      <c r="AA139" s="104">
        <f t="shared" si="68"/>
        <v>0.25864869109571997</v>
      </c>
      <c r="AB139" s="104">
        <f t="shared" si="68"/>
        <v>0.28045140755825959</v>
      </c>
      <c r="AC139" s="104">
        <f t="shared" si="68"/>
        <v>0.30268979136273538</v>
      </c>
      <c r="AD139" s="104">
        <f t="shared" si="68"/>
        <v>0.32536384250914729</v>
      </c>
      <c r="AE139" s="104">
        <f t="shared" si="68"/>
        <v>0.34847356099749538</v>
      </c>
      <c r="AF139" s="104">
        <f t="shared" si="68"/>
        <v>0.37201894682777958</v>
      </c>
      <c r="AG139" s="104">
        <f t="shared" si="68"/>
        <v>0.39600000000000002</v>
      </c>
      <c r="AI139" s="126"/>
      <c r="AJ139" s="198"/>
      <c r="AL139" s="102"/>
      <c r="AM139" s="2"/>
      <c r="AN139" s="2"/>
      <c r="AO139" s="2"/>
    </row>
    <row r="140" spans="1:63" outlineLevel="1">
      <c r="A140" t="s">
        <v>1381</v>
      </c>
      <c r="B140" s="51" t="s">
        <v>126</v>
      </c>
      <c r="C140" s="104">
        <f>C127*C138</f>
        <v>7.2210079809595469E-3</v>
      </c>
      <c r="D140" s="104">
        <f t="shared" ref="D140:AG140" si="69">D127*D138</f>
        <v>8.9361145915865005E-3</v>
      </c>
      <c r="E140" s="104">
        <f t="shared" si="69"/>
        <v>1.0605266531594316E-2</v>
      </c>
      <c r="F140" s="104">
        <f t="shared" si="69"/>
        <v>1.2223838501872829E-2</v>
      </c>
      <c r="G140" s="104">
        <f t="shared" si="69"/>
        <v>1.3787205203311885E-2</v>
      </c>
      <c r="H140" s="104">
        <f t="shared" si="69"/>
        <v>1.5290741336801314E-2</v>
      </c>
      <c r="I140" s="104">
        <f t="shared" si="69"/>
        <v>1.6729821603230964E-2</v>
      </c>
      <c r="J140" s="104">
        <f t="shared" si="69"/>
        <v>1.8099820703490657E-2</v>
      </c>
      <c r="K140" s="104">
        <f t="shared" si="69"/>
        <v>1.9396113338470244E-2</v>
      </c>
      <c r="L140" s="104">
        <f t="shared" si="69"/>
        <v>2.0614074209059564E-2</v>
      </c>
      <c r="M140" s="104">
        <f t="shared" si="69"/>
        <v>2.1749078016148445E-2</v>
      </c>
      <c r="N140" s="104">
        <f t="shared" si="69"/>
        <v>2.4480322085030325E-2</v>
      </c>
      <c r="O140" s="104">
        <f t="shared" si="69"/>
        <v>2.7041124097738848E-2</v>
      </c>
      <c r="P140" s="104">
        <f t="shared" si="69"/>
        <v>2.9421735346918745E-2</v>
      </c>
      <c r="Q140" s="104">
        <f t="shared" si="69"/>
        <v>3.1612407125214757E-2</v>
      </c>
      <c r="R140" s="104">
        <f t="shared" si="69"/>
        <v>3.360339072527161E-2</v>
      </c>
      <c r="S140" s="104">
        <f t="shared" si="69"/>
        <v>3.538493743973406E-2</v>
      </c>
      <c r="T140" s="104">
        <f t="shared" si="69"/>
        <v>3.6947298561246816E-2</v>
      </c>
      <c r="U140" s="104">
        <f t="shared" si="69"/>
        <v>3.8280725382454646E-2</v>
      </c>
      <c r="V140" s="104">
        <f t="shared" si="69"/>
        <v>3.9375469196002245E-2</v>
      </c>
      <c r="W140" s="104">
        <f t="shared" si="69"/>
        <v>4.0221781294534395E-2</v>
      </c>
      <c r="X140" s="104">
        <f t="shared" si="69"/>
        <v>4.2367255338742194E-2</v>
      </c>
      <c r="Y140" s="104">
        <f t="shared" si="69"/>
        <v>4.4100837038444189E-2</v>
      </c>
      <c r="Z140" s="104">
        <f t="shared" si="69"/>
        <v>4.5406215008358279E-2</v>
      </c>
      <c r="AA140" s="104">
        <f t="shared" si="69"/>
        <v>4.6267077863202347E-2</v>
      </c>
      <c r="AB140" s="104">
        <f t="shared" si="69"/>
        <v>4.6667114217694358E-2</v>
      </c>
      <c r="AC140" s="104">
        <f t="shared" si="69"/>
        <v>4.659001268655219E-2</v>
      </c>
      <c r="AD140" s="104">
        <f t="shared" si="69"/>
        <v>4.601946188449374E-2</v>
      </c>
      <c r="AE140" s="104">
        <f t="shared" si="69"/>
        <v>4.4939150426236946E-2</v>
      </c>
      <c r="AF140" s="104">
        <f t="shared" si="69"/>
        <v>4.3332766926499698E-2</v>
      </c>
      <c r="AG140" s="104">
        <f t="shared" si="69"/>
        <v>4.1183999999999991E-2</v>
      </c>
      <c r="AI140" s="126"/>
      <c r="AJ140" s="198"/>
      <c r="BD140" s="190"/>
      <c r="BE140" s="190"/>
    </row>
    <row r="141" spans="1:63" outlineLevel="1">
      <c r="A141" t="s">
        <v>1382</v>
      </c>
      <c r="B141" s="51" t="s">
        <v>126</v>
      </c>
      <c r="C141" s="104">
        <f>C128*C138</f>
        <v>1.6663864571445106E-3</v>
      </c>
      <c r="D141" s="104">
        <f t="shared" ref="D141:AG141" si="70">D128*D138</f>
        <v>2.0621802903661151E-3</v>
      </c>
      <c r="E141" s="104">
        <f t="shared" si="70"/>
        <v>2.4473691995986879E-3</v>
      </c>
      <c r="F141" s="104">
        <f t="shared" si="70"/>
        <v>2.8208858081244991E-3</v>
      </c>
      <c r="G141" s="104">
        <f t="shared" si="70"/>
        <v>3.1816627392258195E-3</v>
      </c>
      <c r="H141" s="104">
        <f t="shared" si="70"/>
        <v>3.5286326161849181E-3</v>
      </c>
      <c r="I141" s="104">
        <f t="shared" si="70"/>
        <v>3.860728062284068E-3</v>
      </c>
      <c r="J141" s="104">
        <f t="shared" si="70"/>
        <v>4.1768817008055355E-3</v>
      </c>
      <c r="K141" s="104">
        <f t="shared" si="70"/>
        <v>4.4760261550315945E-3</v>
      </c>
      <c r="L141" s="104">
        <f t="shared" si="70"/>
        <v>4.7570940482445142E-3</v>
      </c>
      <c r="M141" s="104">
        <f t="shared" si="70"/>
        <v>5.0190180037265634E-3</v>
      </c>
      <c r="N141" s="104">
        <f t="shared" si="70"/>
        <v>5.6493050965454586E-3</v>
      </c>
      <c r="O141" s="104">
        <f t="shared" si="70"/>
        <v>6.2402594071705028E-3</v>
      </c>
      <c r="P141" s="104">
        <f t="shared" si="70"/>
        <v>6.7896312339043247E-3</v>
      </c>
      <c r="Q141" s="104">
        <f t="shared" si="70"/>
        <v>7.2951708750495581E-3</v>
      </c>
      <c r="R141" s="104">
        <f t="shared" si="70"/>
        <v>7.7546286289088325E-3</v>
      </c>
      <c r="S141" s="104">
        <f t="shared" si="70"/>
        <v>8.1657547937847817E-3</v>
      </c>
      <c r="T141" s="104">
        <f t="shared" si="70"/>
        <v>8.5262996679800335E-3</v>
      </c>
      <c r="U141" s="104">
        <f t="shared" si="70"/>
        <v>8.834013549797225E-3</v>
      </c>
      <c r="V141" s="104">
        <f t="shared" si="70"/>
        <v>9.0866467375389798E-3</v>
      </c>
      <c r="W141" s="104">
        <f t="shared" si="70"/>
        <v>9.2819495295079352E-3</v>
      </c>
      <c r="X141" s="104">
        <f t="shared" si="70"/>
        <v>9.7770589243251216E-3</v>
      </c>
      <c r="Y141" s="104">
        <f t="shared" si="70"/>
        <v>1.0177116239640965E-2</v>
      </c>
      <c r="Z141" s="104">
        <f t="shared" si="70"/>
        <v>1.047835730962114E-2</v>
      </c>
      <c r="AA141" s="104">
        <f t="shared" si="70"/>
        <v>1.0677017968431311E-2</v>
      </c>
      <c r="AB141" s="104">
        <f t="shared" si="70"/>
        <v>1.076933405023716E-2</v>
      </c>
      <c r="AC141" s="104">
        <f t="shared" si="70"/>
        <v>1.0751541389204349E-2</v>
      </c>
      <c r="AD141" s="104">
        <f t="shared" si="70"/>
        <v>1.0619875819498553E-2</v>
      </c>
      <c r="AE141" s="104">
        <f t="shared" si="70"/>
        <v>1.0370573175285447E-2</v>
      </c>
      <c r="AF141" s="104">
        <f t="shared" si="70"/>
        <v>9.9998692907306997E-3</v>
      </c>
      <c r="AG141" s="104">
        <f t="shared" si="70"/>
        <v>9.5039999999999968E-3</v>
      </c>
      <c r="AI141" s="126"/>
      <c r="AJ141" s="198"/>
      <c r="AL141" s="1"/>
      <c r="BC141" s="1"/>
      <c r="BD141" s="697"/>
      <c r="BE141" s="687"/>
      <c r="BF141" s="6"/>
      <c r="BG141" s="6"/>
      <c r="BH141" s="6"/>
      <c r="BI141" s="6"/>
      <c r="BJ141" s="6"/>
    </row>
    <row r="142" spans="1:63" outlineLevel="1">
      <c r="A142" t="s">
        <v>1383</v>
      </c>
      <c r="B142" s="51" t="s">
        <v>126</v>
      </c>
      <c r="C142" s="104">
        <f>C129*C138</f>
        <v>4.9991593714335319E-3</v>
      </c>
      <c r="D142" s="104">
        <f t="shared" ref="D142:AG142" si="71">D129*D138</f>
        <v>6.1865408710983453E-3</v>
      </c>
      <c r="E142" s="104">
        <f t="shared" si="71"/>
        <v>7.3421075987960636E-3</v>
      </c>
      <c r="F142" s="104">
        <f t="shared" si="71"/>
        <v>8.4626574243734966E-3</v>
      </c>
      <c r="G142" s="104">
        <f t="shared" si="71"/>
        <v>9.5449882176774584E-3</v>
      </c>
      <c r="H142" s="104">
        <f t="shared" si="71"/>
        <v>1.0585897848554755E-2</v>
      </c>
      <c r="I142" s="104">
        <f t="shared" si="71"/>
        <v>1.1582184186852204E-2</v>
      </c>
      <c r="J142" s="104">
        <f t="shared" si="71"/>
        <v>1.2530645102416606E-2</v>
      </c>
      <c r="K142" s="104">
        <f t="shared" si="71"/>
        <v>1.3428078465094783E-2</v>
      </c>
      <c r="L142" s="104">
        <f t="shared" si="71"/>
        <v>1.4271282144733543E-2</v>
      </c>
      <c r="M142" s="104">
        <f t="shared" si="71"/>
        <v>1.5057054011179691E-2</v>
      </c>
      <c r="N142" s="104">
        <f t="shared" si="71"/>
        <v>1.6947915289636378E-2</v>
      </c>
      <c r="O142" s="104">
        <f t="shared" si="71"/>
        <v>1.8720778221511507E-2</v>
      </c>
      <c r="P142" s="104">
        <f t="shared" si="71"/>
        <v>2.0368893701712975E-2</v>
      </c>
      <c r="Q142" s="104">
        <f t="shared" si="71"/>
        <v>2.1885512625148675E-2</v>
      </c>
      <c r="R142" s="104">
        <f t="shared" si="71"/>
        <v>2.3263885886726499E-2</v>
      </c>
      <c r="S142" s="104">
        <f t="shared" si="71"/>
        <v>2.4497264381354345E-2</v>
      </c>
      <c r="T142" s="104">
        <f t="shared" si="71"/>
        <v>2.55788990039401E-2</v>
      </c>
      <c r="U142" s="104">
        <f t="shared" si="71"/>
        <v>2.6502040649391677E-2</v>
      </c>
      <c r="V142" s="104">
        <f t="shared" si="71"/>
        <v>2.7259940212616938E-2</v>
      </c>
      <c r="W142" s="104">
        <f t="shared" si="71"/>
        <v>2.7845848588523809E-2</v>
      </c>
      <c r="X142" s="104">
        <f t="shared" si="71"/>
        <v>2.9331176772975365E-2</v>
      </c>
      <c r="Y142" s="104">
        <f t="shared" si="71"/>
        <v>3.0531348718922897E-2</v>
      </c>
      <c r="Z142" s="104">
        <f t="shared" si="71"/>
        <v>3.1435071928863419E-2</v>
      </c>
      <c r="AA142" s="104">
        <f t="shared" si="71"/>
        <v>3.2031053905293934E-2</v>
      </c>
      <c r="AB142" s="104">
        <f t="shared" si="71"/>
        <v>3.230800215071148E-2</v>
      </c>
      <c r="AC142" s="104">
        <f t="shared" si="71"/>
        <v>3.2254624167613051E-2</v>
      </c>
      <c r="AD142" s="104">
        <f t="shared" si="71"/>
        <v>3.185962745849566E-2</v>
      </c>
      <c r="AE142" s="104">
        <f t="shared" si="71"/>
        <v>3.1111719525856344E-2</v>
      </c>
      <c r="AF142" s="104">
        <f t="shared" si="71"/>
        <v>2.9999607872192097E-2</v>
      </c>
      <c r="AG142" s="104">
        <f t="shared" si="71"/>
        <v>2.8511999999999992E-2</v>
      </c>
      <c r="AI142" s="127"/>
      <c r="AJ142" s="198"/>
      <c r="BC142" s="1"/>
      <c r="BD142" s="38"/>
      <c r="BF142" s="6"/>
      <c r="BG142" s="6"/>
      <c r="BH142" s="6"/>
      <c r="BI142" s="6"/>
      <c r="BJ142" s="6"/>
    </row>
    <row r="143" spans="1:63" outlineLevel="1">
      <c r="C143" s="104"/>
      <c r="D143" s="104"/>
      <c r="E143" s="104"/>
      <c r="F143" s="104"/>
      <c r="G143" s="104"/>
      <c r="H143" s="104"/>
      <c r="I143" s="104"/>
      <c r="J143" s="104"/>
      <c r="K143" s="104"/>
      <c r="L143" s="104"/>
      <c r="M143" s="104"/>
      <c r="N143" s="104"/>
      <c r="O143" s="104"/>
      <c r="P143" s="104"/>
      <c r="Q143" s="104"/>
      <c r="R143" s="104"/>
      <c r="S143" s="104"/>
      <c r="T143" s="104"/>
      <c r="U143" s="104"/>
      <c r="V143" s="104"/>
      <c r="W143" s="104"/>
      <c r="X143" s="104"/>
      <c r="Y143" s="104"/>
      <c r="Z143" s="104"/>
      <c r="AA143" s="104"/>
      <c r="AB143" s="104"/>
      <c r="AC143" s="104"/>
      <c r="AD143" s="104"/>
      <c r="AE143" s="104"/>
      <c r="AF143" s="104"/>
      <c r="AG143" s="104"/>
      <c r="AI143" s="127"/>
      <c r="AJ143" s="198"/>
      <c r="BC143" s="1"/>
      <c r="BD143" s="38"/>
      <c r="BF143" s="6"/>
      <c r="BG143" s="6"/>
      <c r="BH143" s="6"/>
      <c r="BI143" s="6"/>
      <c r="BJ143" s="6"/>
    </row>
    <row r="144" spans="1:63" s="1" customFormat="1" outlineLevel="1">
      <c r="A144" s="1" t="s">
        <v>261</v>
      </c>
      <c r="B144" s="61"/>
      <c r="C144" s="279">
        <f>'BTX Recycling HC'!C144</f>
        <v>51.553962506590864</v>
      </c>
      <c r="D144" s="279">
        <f>'BTX Recycling HC'!D144</f>
        <v>85.160092724650227</v>
      </c>
      <c r="E144" s="279">
        <f>'BTX Recycling HC'!E144</f>
        <v>127.81362111521796</v>
      </c>
      <c r="F144" s="279">
        <f>'BTX Recycling HC'!F144</f>
        <v>179.8943012697126</v>
      </c>
      <c r="G144" s="279">
        <f>'BTX Recycling HC'!G144</f>
        <v>241.78188677955262</v>
      </c>
      <c r="H144" s="279">
        <f>'BTX Recycling HC'!H144</f>
        <v>313.8561312361565</v>
      </c>
      <c r="I144" s="279">
        <f>'BTX Recycling HC'!I144</f>
        <v>396.49678823094285</v>
      </c>
      <c r="J144" s="279">
        <f>'BTX Recycling HC'!J144</f>
        <v>490.08361135532999</v>
      </c>
      <c r="K144" s="279">
        <f>'BTX Recycling HC'!K144</f>
        <v>594.9963542007365</v>
      </c>
      <c r="L144" s="279">
        <f>'BTX Recycling HC'!L144</f>
        <v>711.61477035858127</v>
      </c>
      <c r="M144" s="279">
        <f>'BTX Recycling HC'!M144</f>
        <v>840.31861342028208</v>
      </c>
      <c r="N144" s="279">
        <f>'BTX Recycling HC'!N144</f>
        <v>1053.9834643111485</v>
      </c>
      <c r="O144" s="279">
        <f>'BTX Recycling HC'!O144</f>
        <v>1292.7589356897188</v>
      </c>
      <c r="P144" s="279">
        <f>'BTX Recycling HC'!P144</f>
        <v>1552.1332964024361</v>
      </c>
      <c r="Q144" s="279">
        <f>'BTX Recycling HC'!Q144</f>
        <v>1836.1913499581819</v>
      </c>
      <c r="R144" s="279">
        <f>'BTX Recycling HC'!R144</f>
        <v>2145.4313226620147</v>
      </c>
      <c r="S144" s="279">
        <f>'BTX Recycling HC'!S144</f>
        <v>2480.3368514852068</v>
      </c>
      <c r="T144" s="279">
        <f>'BTX Recycling HC'!T144</f>
        <v>2841.3768111780405</v>
      </c>
      <c r="U144" s="279">
        <f>'BTX Recycling HC'!U144</f>
        <v>3229.0051413826041</v>
      </c>
      <c r="V144" s="279">
        <f>'BTX Recycling HC'!V144</f>
        <v>3643.66067374559</v>
      </c>
      <c r="W144" s="279">
        <f>'BTX Recycling HC'!W144</f>
        <v>4085.7669590310866</v>
      </c>
      <c r="X144" s="279">
        <f>'BTX Recycling HC'!X144</f>
        <v>4729.5828596812944</v>
      </c>
      <c r="Y144" s="279">
        <f>'BTX Recycling HC'!Y144</f>
        <v>5418.9821396858097</v>
      </c>
      <c r="Z144" s="279">
        <f>'BTX Recycling HC'!Z144</f>
        <v>6101.829031159863</v>
      </c>
      <c r="AA144" s="279">
        <f>'BTX Recycling HC'!AA144</f>
        <v>6816.6791087380552</v>
      </c>
      <c r="AB144" s="279">
        <f>'BTX Recycling HC'!AB144</f>
        <v>7562.3776624460588</v>
      </c>
      <c r="AC144" s="279">
        <f>'BTX Recycling HC'!AC144</f>
        <v>8337.6502118702574</v>
      </c>
      <c r="AD144" s="279">
        <f>'BTX Recycling HC'!AD144</f>
        <v>9141.1003366164405</v>
      </c>
      <c r="AE144" s="279">
        <f>'BTX Recycling HC'!AE144</f>
        <v>9971.2075067684655</v>
      </c>
      <c r="AF144" s="279">
        <f>'BTX Recycling HC'!AF144</f>
        <v>10826.324913346927</v>
      </c>
      <c r="AG144" s="279">
        <f>'BTX Recycling HC'!AG144</f>
        <v>11704.677298767834</v>
      </c>
      <c r="AH144" s="230"/>
      <c r="AI144" s="398"/>
      <c r="AJ144" s="399"/>
      <c r="AL144" s="207"/>
      <c r="AM144" s="118"/>
      <c r="AN144" s="118"/>
      <c r="AO144" s="118"/>
      <c r="BD144" s="118"/>
      <c r="BE144" s="118"/>
      <c r="BF144" s="118"/>
      <c r="BG144" s="118"/>
      <c r="BH144" s="118"/>
      <c r="BI144" s="118"/>
      <c r="BJ144" s="118"/>
      <c r="BK144" s="118"/>
    </row>
    <row r="145" spans="1:63" outlineLevel="1">
      <c r="A145" s="4" t="s">
        <v>35</v>
      </c>
      <c r="C145" s="216">
        <f>C$144*'BTX recycling rates'!E58</f>
        <v>0</v>
      </c>
      <c r="D145" s="216">
        <f>D$144*'BTX recycling rates'!F58</f>
        <v>0</v>
      </c>
      <c r="E145" s="216">
        <f>E$144*'BTX recycling rates'!G58</f>
        <v>0</v>
      </c>
      <c r="F145" s="216">
        <f>F$144*'BTX recycling rates'!H58</f>
        <v>0</v>
      </c>
      <c r="G145" s="216">
        <f>G$144*'BTX recycling rates'!I58</f>
        <v>0</v>
      </c>
      <c r="H145" s="216">
        <f>H$144*'BTX recycling rates'!J58</f>
        <v>0</v>
      </c>
      <c r="I145" s="216">
        <f>I$144*'BTX recycling rates'!K58</f>
        <v>0</v>
      </c>
      <c r="J145" s="216">
        <f>J$144*'BTX recycling rates'!L58</f>
        <v>0</v>
      </c>
      <c r="K145" s="216">
        <f>K$144*'BTX recycling rates'!M58</f>
        <v>0</v>
      </c>
      <c r="L145" s="216">
        <f>L$144*'BTX recycling rates'!N58</f>
        <v>0</v>
      </c>
      <c r="M145" s="216">
        <f>M$144*'BTX recycling rates'!O58</f>
        <v>0</v>
      </c>
      <c r="N145" s="216">
        <f>N$144*'BTX recycling rates'!P58</f>
        <v>0</v>
      </c>
      <c r="O145" s="216">
        <f>O$144*'BTX recycling rates'!Q58</f>
        <v>0</v>
      </c>
      <c r="P145" s="216">
        <f>P$144*'BTX recycling rates'!R58</f>
        <v>0</v>
      </c>
      <c r="Q145" s="216">
        <f>Q$144*'BTX recycling rates'!S58</f>
        <v>0</v>
      </c>
      <c r="R145" s="216">
        <f>R$144*'BTX recycling rates'!T58</f>
        <v>0</v>
      </c>
      <c r="S145" s="216">
        <f>S$144*'BTX recycling rates'!U58</f>
        <v>0</v>
      </c>
      <c r="T145" s="216">
        <f>T$144*'BTX recycling rates'!V58</f>
        <v>0</v>
      </c>
      <c r="U145" s="216">
        <f>U$144*'BTX recycling rates'!W58</f>
        <v>0</v>
      </c>
      <c r="V145" s="216">
        <f>V$144*'BTX recycling rates'!X58</f>
        <v>0</v>
      </c>
      <c r="W145" s="216">
        <f>W$144*'BTX recycling rates'!Y58</f>
        <v>0</v>
      </c>
      <c r="X145" s="216">
        <f>X$144*'BTX recycling rates'!Z58</f>
        <v>0</v>
      </c>
      <c r="Y145" s="216">
        <f>Y$144*'BTX recycling rates'!AA58</f>
        <v>0</v>
      </c>
      <c r="Z145" s="216">
        <f>Z$144*'BTX recycling rates'!AB58</f>
        <v>0</v>
      </c>
      <c r="AA145" s="216">
        <f>AA$144*'BTX recycling rates'!AC58</f>
        <v>0</v>
      </c>
      <c r="AB145" s="216">
        <f>AB$144*'BTX recycling rates'!AD58</f>
        <v>0</v>
      </c>
      <c r="AC145" s="216">
        <f>AC$144*'BTX recycling rates'!AE58</f>
        <v>0</v>
      </c>
      <c r="AD145" s="216">
        <f>AD$144*'BTX recycling rates'!AF58</f>
        <v>0</v>
      </c>
      <c r="AE145" s="216">
        <f>AE$144*'BTX recycling rates'!AG58</f>
        <v>0</v>
      </c>
      <c r="AF145" s="216">
        <f>AF$144*'BTX recycling rates'!AH58</f>
        <v>0</v>
      </c>
      <c r="AG145" s="216">
        <f>AG$144*'BTX recycling rates'!AI58</f>
        <v>0</v>
      </c>
      <c r="AH145" s="230"/>
      <c r="AI145" s="126"/>
      <c r="AJ145" s="198"/>
      <c r="AL145" s="102"/>
      <c r="AM145" s="2"/>
      <c r="AN145" s="2"/>
      <c r="AO145" s="2"/>
      <c r="BC145" s="1"/>
      <c r="BD145" s="2"/>
      <c r="BE145" s="2"/>
      <c r="BF145" s="2"/>
      <c r="BG145" s="2"/>
      <c r="BH145" s="2"/>
      <c r="BI145" s="2"/>
      <c r="BJ145" s="2"/>
      <c r="BK145" s="2"/>
    </row>
    <row r="146" spans="1:63" outlineLevel="1">
      <c r="A146" s="4" t="s">
        <v>74</v>
      </c>
      <c r="C146" s="216">
        <f>C$144*'BTX recycling rates'!E59</f>
        <v>30.696252484840361</v>
      </c>
      <c r="D146" s="216">
        <f>D$144*'BTX recycling rates'!F59</f>
        <v>49.015809094951351</v>
      </c>
      <c r="E146" s="216">
        <f>E$144*'BTX recycling rates'!G59</f>
        <v>71.02924898616692</v>
      </c>
      <c r="F146" s="216">
        <f>F$144*'BTX recycling rates'!H59</f>
        <v>96.401373657510106</v>
      </c>
      <c r="G146" s="216">
        <f>G$144*'BTX recycling rates'!I59</f>
        <v>124.76683623128058</v>
      </c>
      <c r="H146" s="216">
        <f>H$144*'BTX recycling rates'!J59</f>
        <v>155.73014145305473</v>
      </c>
      <c r="I146" s="216">
        <f>I$144*'BTX recycling rates'!K59</f>
        <v>188.86564569168573</v>
      </c>
      <c r="J146" s="216">
        <f>J$144*'BTX recycling rates'!L59</f>
        <v>223.71755693930328</v>
      </c>
      <c r="K146" s="216">
        <f>K$144*'BTX recycling rates'!M59</f>
        <v>259.7999348113139</v>
      </c>
      <c r="L146" s="216">
        <f>L$144*'BTX recycling rates'!N59</f>
        <v>296.59669054640096</v>
      </c>
      <c r="M146" s="216">
        <f>M$144*'BTX recycling rates'!O59</f>
        <v>333.56158700652406</v>
      </c>
      <c r="N146" s="216">
        <f>N$144*'BTX recycling rates'!P59</f>
        <v>397.45635982420396</v>
      </c>
      <c r="O146" s="216">
        <f>O$144*'BTX recycling rates'!Q59</f>
        <v>461.84059687235737</v>
      </c>
      <c r="P146" s="216">
        <f>P$144*'BTX recycling rates'!R59</f>
        <v>523.69688321364617</v>
      </c>
      <c r="Q146" s="216">
        <f>Q$144*'BTX recycling rates'!S59</f>
        <v>583.09587907068953</v>
      </c>
      <c r="R146" s="216">
        <f>R$144*'BTX recycling rates'!T59</f>
        <v>638.7161952963246</v>
      </c>
      <c r="S146" s="216">
        <f>S$144*'BTX recycling rates'!U59</f>
        <v>689.19283506917157</v>
      </c>
      <c r="T146" s="216">
        <f>T$144*'BTX recycling rates'!V59</f>
        <v>733.11859708257782</v>
      </c>
      <c r="U146" s="216">
        <f>U$144*'BTX recycling rates'!W59</f>
        <v>769.04549932165776</v>
      </c>
      <c r="V146" s="216">
        <f>V$144*'BTX recycling rates'!X59</f>
        <v>795.48622342842577</v>
      </c>
      <c r="W146" s="216">
        <f>W$144*'BTX recycling rates'!Y59</f>
        <v>810.91557965502386</v>
      </c>
      <c r="X146" s="216">
        <f>X$144*'BTX recycling rates'!Z59</f>
        <v>844.82625127131405</v>
      </c>
      <c r="Y146" s="216">
        <f>Y$144*'BTX recycling rates'!AA59</f>
        <v>860.41853820965389</v>
      </c>
      <c r="Z146" s="216">
        <f>Z$144*'BTX recycling rates'!AB59</f>
        <v>847.73502570312439</v>
      </c>
      <c r="AA146" s="216">
        <f>AA$144*'BTX recycling rates'!AC59</f>
        <v>811.75720684208727</v>
      </c>
      <c r="AB146" s="216">
        <f>AB$144*'BTX recycling rates'!AD59</f>
        <v>750.46495886869093</v>
      </c>
      <c r="AC146" s="216">
        <f>AC$144*'BTX recycling rates'!AE59</f>
        <v>661.92032216374355</v>
      </c>
      <c r="AD146" s="216">
        <f>AD$144*'BTX recycling rates'!AF59</f>
        <v>544.27925668403009</v>
      </c>
      <c r="AE146" s="216">
        <f>AE$144*'BTX recycling rates'!AG59</f>
        <v>395.80365675721913</v>
      </c>
      <c r="AF146" s="216">
        <f>AF$144*'BTX recycling rates'!AH59</f>
        <v>214.87362423436386</v>
      </c>
      <c r="AG146" s="216">
        <f>AG$144*'BTX recycling rates'!AI59</f>
        <v>0</v>
      </c>
      <c r="AH146" s="230"/>
      <c r="AI146" s="126"/>
      <c r="AJ146" s="198"/>
      <c r="AL146" s="102"/>
      <c r="AM146" s="2"/>
      <c r="AN146" s="2"/>
      <c r="AO146" s="2"/>
      <c r="BC146" s="1"/>
      <c r="BD146" s="2"/>
      <c r="BE146" s="2"/>
      <c r="BF146" s="2"/>
      <c r="BG146" s="2"/>
      <c r="BH146" s="2"/>
      <c r="BI146" s="2"/>
      <c r="BJ146" s="2"/>
      <c r="BK146" s="2"/>
    </row>
    <row r="147" spans="1:63" outlineLevel="1">
      <c r="A147" s="4" t="s">
        <v>160</v>
      </c>
      <c r="C147" s="216">
        <f>C$144*'BTX recycling rates'!E60</f>
        <v>0</v>
      </c>
      <c r="D147" s="216">
        <f>D$144*'BTX recycling rates'!F60</f>
        <v>1.4369059803530211</v>
      </c>
      <c r="E147" s="216">
        <f>E$144*'BTX recycling rates'!G60</f>
        <v>4.3131976651282153</v>
      </c>
      <c r="F147" s="216">
        <f>F$144*'BTX recycling rates'!H60</f>
        <v>9.1060679617269571</v>
      </c>
      <c r="G147" s="216">
        <f>G$144*'BTX recycling rates'!I60</f>
        <v>16.318340102230234</v>
      </c>
      <c r="H147" s="216">
        <f>H$144*'BTX recycling rates'!J60</f>
        <v>26.478467643398645</v>
      </c>
      <c r="I147" s="216">
        <f>I$144*'BTX recycling rates'!K60</f>
        <v>40.140534466672435</v>
      </c>
      <c r="J147" s="216">
        <f>J$144*'BTX recycling rates'!L60</f>
        <v>57.884254778171417</v>
      </c>
      <c r="K147" s="216">
        <f>K$144*'BTX recycling rates'!M60</f>
        <v>80.314973108695071</v>
      </c>
      <c r="L147" s="216">
        <f>L$144*'BTX recycling rates'!N60</f>
        <v>108.06366431372251</v>
      </c>
      <c r="M147" s="216">
        <f>M$144*'BTX recycling rates'!O60</f>
        <v>141.78693357341234</v>
      </c>
      <c r="N147" s="216">
        <f>N$144*'BTX recycling rates'!P60</f>
        <v>195.62245695933336</v>
      </c>
      <c r="O147" s="216">
        <f>O$144*'BTX recycling rates'!Q60</f>
        <v>261.75261013679119</v>
      </c>
      <c r="P147" s="216">
        <f>P$144*'BTX recycling rates'!R60</f>
        <v>340.45882383570756</v>
      </c>
      <c r="Q147" s="216">
        <f>Q$144*'BTX recycling rates'!S60</f>
        <v>433.74871332064174</v>
      </c>
      <c r="R147" s="216">
        <f>R$144*'BTX recycling rates'!T60</f>
        <v>542.99784077338245</v>
      </c>
      <c r="S147" s="216">
        <f>S$144*'BTX recycling rates'!U60</f>
        <v>669.61145600677764</v>
      </c>
      <c r="T147" s="216">
        <f>T$144*'BTX recycling rates'!V60</f>
        <v>815.02321604468614</v>
      </c>
      <c r="U147" s="216">
        <f>U$144*'BTX recycling rates'!W60</f>
        <v>980.69388719917845</v>
      </c>
      <c r="V147" s="216">
        <f>V$144*'BTX recycling rates'!X60</f>
        <v>1168.1100296449868</v>
      </c>
      <c r="W147" s="216">
        <f>W$144*'BTX recycling rates'!Y60</f>
        <v>1378.7826644912004</v>
      </c>
      <c r="X147" s="216">
        <f>X$144*'BTX recycling rates'!Z60</f>
        <v>1675.8469752976812</v>
      </c>
      <c r="Y147" s="216">
        <f>Y$144*'BTX recycling rates'!AA60</f>
        <v>2011.5583142984437</v>
      </c>
      <c r="Z147" s="216">
        <f>Z$144*'BTX recycling rates'!AB60</f>
        <v>2367.991273203842</v>
      </c>
      <c r="AA147" s="216">
        <f>AA$144*'BTX recycling rates'!AC60</f>
        <v>2760.4273309086248</v>
      </c>
      <c r="AB147" s="216">
        <f>AB$144*'BTX recycling rates'!AD60</f>
        <v>3189.9993709469859</v>
      </c>
      <c r="AC147" s="216">
        <f>AC$144*'BTX recycling rates'!AE60</f>
        <v>3657.7098001393433</v>
      </c>
      <c r="AD147" s="216">
        <f>AD$144*'BTX recycling rates'!AF60</f>
        <v>4164.4194557811716</v>
      </c>
      <c r="AE147" s="216">
        <f>AE$144*'BTX recycling rates'!AG60</f>
        <v>4710.8362931918264</v>
      </c>
      <c r="AF147" s="216">
        <f>AF$144*'BTX recycling rates'!AH60</f>
        <v>5297.503853623396</v>
      </c>
      <c r="AG147" s="216">
        <f>AG$144*'BTX recycling rates'!AI60</f>
        <v>5924.7895125295572</v>
      </c>
      <c r="AH147" s="230"/>
      <c r="AI147" s="126"/>
      <c r="AJ147" s="198"/>
      <c r="AL147" s="102"/>
      <c r="AM147" s="2"/>
      <c r="AN147" s="2"/>
      <c r="AO147" s="2"/>
      <c r="BC147" s="1"/>
      <c r="BD147" s="2"/>
      <c r="BE147" s="2"/>
      <c r="BF147" s="2"/>
      <c r="BG147" s="2"/>
      <c r="BH147" s="2"/>
      <c r="BI147" s="2"/>
      <c r="BJ147" s="2"/>
      <c r="BK147" s="2"/>
    </row>
    <row r="148" spans="1:63" outlineLevel="1">
      <c r="A148" s="4" t="s">
        <v>1159</v>
      </c>
      <c r="C148" s="216">
        <f>C$144*'BTX recycling rates'!E61</f>
        <v>20.857710021750503</v>
      </c>
      <c r="D148" s="216">
        <f>D$144*'BTX recycling rates'!F61</f>
        <v>34.707377649345851</v>
      </c>
      <c r="E148" s="216">
        <f>E$144*'BTX recycling rates'!G61</f>
        <v>52.471174463922814</v>
      </c>
      <c r="F148" s="216">
        <f>F$144*'BTX recycling rates'!H61</f>
        <v>74.386859650475529</v>
      </c>
      <c r="G148" s="216">
        <f>G$144*'BTX recycling rates'!I61</f>
        <v>100.69671044604179</v>
      </c>
      <c r="H148" s="216">
        <f>H$144*'BTX recycling rates'!J61</f>
        <v>131.64752213970309</v>
      </c>
      <c r="I148" s="216">
        <f>I$144*'BTX recycling rates'!K61</f>
        <v>167.49060807258462</v>
      </c>
      <c r="J148" s="216">
        <f>J$144*'BTX recycling rates'!L61</f>
        <v>208.48179963785523</v>
      </c>
      <c r="K148" s="216">
        <f>K$144*'BTX recycling rates'!M61</f>
        <v>254.88144628072743</v>
      </c>
      <c r="L148" s="216">
        <f>L$144*'BTX recycling rates'!N61</f>
        <v>306.95441549845765</v>
      </c>
      <c r="M148" s="216">
        <f>M$144*'BTX recycling rates'!O61</f>
        <v>364.97009284034544</v>
      </c>
      <c r="N148" s="216">
        <f>N$144*'BTX recycling rates'!P61</f>
        <v>460.9046475276109</v>
      </c>
      <c r="O148" s="216">
        <f>O$144*'BTX recycling rates'!Q61</f>
        <v>569.16572868056983</v>
      </c>
      <c r="P148" s="216">
        <f>P$144*'BTX recycling rates'!R61</f>
        <v>687.97758935308195</v>
      </c>
      <c r="Q148" s="216">
        <f>Q$144*'BTX recycling rates'!S61</f>
        <v>819.34675756684999</v>
      </c>
      <c r="R148" s="216">
        <f>R$144*'BTX recycling rates'!T61</f>
        <v>963.71728659230678</v>
      </c>
      <c r="S148" s="216">
        <f>S$144*'BTX recycling rates'!U61</f>
        <v>1121.5325604092568</v>
      </c>
      <c r="T148" s="216">
        <f>T$144*'BTX recycling rates'!V61</f>
        <v>1293.2349980507754</v>
      </c>
      <c r="U148" s="216">
        <f>U$144*'BTX recycling rates'!W61</f>
        <v>1479.2657548617667</v>
      </c>
      <c r="V148" s="216">
        <f>V$144*'BTX recycling rates'!X61</f>
        <v>1680.0644206721761</v>
      </c>
      <c r="W148" s="216">
        <f>W$144*'BTX recycling rates'!Y61</f>
        <v>1896.0687148848606</v>
      </c>
      <c r="X148" s="216">
        <f>X$144*'BTX recycling rates'!Z61</f>
        <v>2208.9096331122973</v>
      </c>
      <c r="Y148" s="216">
        <f>Y$144*'BTX recycling rates'!AA61</f>
        <v>2547.0052871777098</v>
      </c>
      <c r="Z148" s="216">
        <f>Z$144*'BTX recycling rates'!AB61</f>
        <v>2886.1027322528944</v>
      </c>
      <c r="AA148" s="216">
        <f>AA$144*'BTX recycling rates'!AC61</f>
        <v>3244.4945709873405</v>
      </c>
      <c r="AB148" s="216">
        <f>AB$144*'BTX recycling rates'!AD61</f>
        <v>3621.9133326303795</v>
      </c>
      <c r="AC148" s="216">
        <f>AC$144*'BTX recycling rates'!AE61</f>
        <v>4018.0200895671674</v>
      </c>
      <c r="AD148" s="216">
        <f>AD$144*'BTX recycling rates'!AF61</f>
        <v>4432.4016241512354</v>
      </c>
      <c r="AE148" s="216">
        <f>AE$144*'BTX recycling rates'!AG61</f>
        <v>4864.5675568194165</v>
      </c>
      <c r="AF148" s="216">
        <f>AF$144*'BTX recycling rates'!AH61</f>
        <v>5313.9474354891645</v>
      </c>
      <c r="AG148" s="216">
        <f>AG$144*'BTX recycling rates'!AI61</f>
        <v>5779.8877862382751</v>
      </c>
      <c r="AH148" s="230"/>
      <c r="AI148" s="126"/>
      <c r="AJ148" s="198"/>
      <c r="AL148" s="102"/>
      <c r="AM148" s="2"/>
      <c r="AN148" s="2"/>
      <c r="AO148" s="2"/>
      <c r="BC148" s="1"/>
      <c r="BD148" s="2"/>
      <c r="BE148" s="2"/>
      <c r="BF148" s="2"/>
      <c r="BG148" s="2"/>
      <c r="BH148" s="2"/>
      <c r="BI148" s="2"/>
      <c r="BJ148" s="2"/>
      <c r="BK148" s="2"/>
    </row>
    <row r="149" spans="1:63" s="1" customFormat="1" outlineLevel="1">
      <c r="A149" s="1" t="s">
        <v>1160</v>
      </c>
      <c r="B149" s="61"/>
      <c r="C149" s="279">
        <f t="shared" ref="C149:AG149" si="72">C144-$C144</f>
        <v>0</v>
      </c>
      <c r="D149" s="279">
        <f t="shared" si="72"/>
        <v>33.606130218059363</v>
      </c>
      <c r="E149" s="279">
        <f t="shared" si="72"/>
        <v>76.259658608627092</v>
      </c>
      <c r="F149" s="279">
        <f t="shared" si="72"/>
        <v>128.34033876312174</v>
      </c>
      <c r="G149" s="279">
        <f t="shared" si="72"/>
        <v>190.22792427296176</v>
      </c>
      <c r="H149" s="279">
        <f t="shared" si="72"/>
        <v>262.30216872956566</v>
      </c>
      <c r="I149" s="279">
        <f t="shared" si="72"/>
        <v>344.94282572435202</v>
      </c>
      <c r="J149" s="279">
        <f t="shared" si="72"/>
        <v>438.52964884873916</v>
      </c>
      <c r="K149" s="279">
        <f t="shared" si="72"/>
        <v>543.44239169414561</v>
      </c>
      <c r="L149" s="279">
        <f t="shared" si="72"/>
        <v>660.06080785199038</v>
      </c>
      <c r="M149" s="279">
        <f t="shared" si="72"/>
        <v>788.76465091369118</v>
      </c>
      <c r="N149" s="279">
        <f t="shared" si="72"/>
        <v>1002.4295018045576</v>
      </c>
      <c r="O149" s="279">
        <f t="shared" si="72"/>
        <v>1241.204973183128</v>
      </c>
      <c r="P149" s="279">
        <f t="shared" si="72"/>
        <v>1500.5793338958454</v>
      </c>
      <c r="Q149" s="279">
        <f t="shared" si="72"/>
        <v>1784.6373874515912</v>
      </c>
      <c r="R149" s="279">
        <f t="shared" si="72"/>
        <v>2093.877360155424</v>
      </c>
      <c r="S149" s="279">
        <f t="shared" si="72"/>
        <v>2428.782888978616</v>
      </c>
      <c r="T149" s="279">
        <f t="shared" si="72"/>
        <v>2789.8228486714497</v>
      </c>
      <c r="U149" s="279">
        <f t="shared" si="72"/>
        <v>3177.4511788760133</v>
      </c>
      <c r="V149" s="279">
        <f t="shared" si="72"/>
        <v>3592.1067112389992</v>
      </c>
      <c r="W149" s="279">
        <f t="shared" si="72"/>
        <v>4034.2129965244958</v>
      </c>
      <c r="X149" s="279">
        <f t="shared" si="72"/>
        <v>4678.0288971747032</v>
      </c>
      <c r="Y149" s="279">
        <f t="shared" si="72"/>
        <v>5367.4281771792184</v>
      </c>
      <c r="Z149" s="279">
        <f t="shared" si="72"/>
        <v>6050.2750686532718</v>
      </c>
      <c r="AA149" s="279">
        <f t="shared" si="72"/>
        <v>6765.125146231464</v>
      </c>
      <c r="AB149" s="279">
        <f t="shared" si="72"/>
        <v>7510.8236999394676</v>
      </c>
      <c r="AC149" s="279">
        <f t="shared" si="72"/>
        <v>8286.0962493636671</v>
      </c>
      <c r="AD149" s="279">
        <f t="shared" si="72"/>
        <v>9089.5463741098501</v>
      </c>
      <c r="AE149" s="279">
        <f t="shared" si="72"/>
        <v>9919.6535442618751</v>
      </c>
      <c r="AF149" s="279">
        <f t="shared" si="72"/>
        <v>10774.770950840337</v>
      </c>
      <c r="AG149" s="279">
        <f t="shared" si="72"/>
        <v>11653.123336261244</v>
      </c>
      <c r="AH149" s="230"/>
      <c r="AI149" s="398"/>
      <c r="AJ149" s="399"/>
      <c r="AL149" s="207"/>
      <c r="AM149" s="118"/>
      <c r="AN149" s="118"/>
      <c r="AO149" s="118"/>
      <c r="BD149" s="118"/>
      <c r="BE149" s="118"/>
      <c r="BF149" s="118"/>
      <c r="BG149" s="118"/>
      <c r="BH149" s="118"/>
      <c r="BI149" s="118"/>
      <c r="BJ149" s="118"/>
      <c r="BK149" s="118"/>
    </row>
    <row r="150" spans="1:63" outlineLevel="1">
      <c r="A150" s="4" t="s">
        <v>35</v>
      </c>
      <c r="C150" s="216">
        <f t="shared" ref="C150:AG150" si="73">C145-$C145</f>
        <v>0</v>
      </c>
      <c r="D150" s="216">
        <f t="shared" si="73"/>
        <v>0</v>
      </c>
      <c r="E150" s="216">
        <f t="shared" si="73"/>
        <v>0</v>
      </c>
      <c r="F150" s="216">
        <f t="shared" si="73"/>
        <v>0</v>
      </c>
      <c r="G150" s="216">
        <f t="shared" si="73"/>
        <v>0</v>
      </c>
      <c r="H150" s="216">
        <f t="shared" si="73"/>
        <v>0</v>
      </c>
      <c r="I150" s="216">
        <f t="shared" si="73"/>
        <v>0</v>
      </c>
      <c r="J150" s="216">
        <f t="shared" si="73"/>
        <v>0</v>
      </c>
      <c r="K150" s="216">
        <f t="shared" si="73"/>
        <v>0</v>
      </c>
      <c r="L150" s="216">
        <f t="shared" si="73"/>
        <v>0</v>
      </c>
      <c r="M150" s="216">
        <f t="shared" si="73"/>
        <v>0</v>
      </c>
      <c r="N150" s="216">
        <f t="shared" si="73"/>
        <v>0</v>
      </c>
      <c r="O150" s="216">
        <f t="shared" si="73"/>
        <v>0</v>
      </c>
      <c r="P150" s="216">
        <f t="shared" si="73"/>
        <v>0</v>
      </c>
      <c r="Q150" s="216">
        <f t="shared" si="73"/>
        <v>0</v>
      </c>
      <c r="R150" s="216">
        <f t="shared" si="73"/>
        <v>0</v>
      </c>
      <c r="S150" s="216">
        <f t="shared" si="73"/>
        <v>0</v>
      </c>
      <c r="T150" s="216">
        <f t="shared" si="73"/>
        <v>0</v>
      </c>
      <c r="U150" s="216">
        <f t="shared" si="73"/>
        <v>0</v>
      </c>
      <c r="V150" s="216">
        <f t="shared" si="73"/>
        <v>0</v>
      </c>
      <c r="W150" s="216">
        <f t="shared" si="73"/>
        <v>0</v>
      </c>
      <c r="X150" s="216">
        <f t="shared" si="73"/>
        <v>0</v>
      </c>
      <c r="Y150" s="216">
        <f t="shared" si="73"/>
        <v>0</v>
      </c>
      <c r="Z150" s="216">
        <f t="shared" si="73"/>
        <v>0</v>
      </c>
      <c r="AA150" s="216">
        <f t="shared" si="73"/>
        <v>0</v>
      </c>
      <c r="AB150" s="216">
        <f t="shared" si="73"/>
        <v>0</v>
      </c>
      <c r="AC150" s="216">
        <f t="shared" si="73"/>
        <v>0</v>
      </c>
      <c r="AD150" s="216">
        <f t="shared" si="73"/>
        <v>0</v>
      </c>
      <c r="AE150" s="216">
        <f t="shared" si="73"/>
        <v>0</v>
      </c>
      <c r="AF150" s="216">
        <f t="shared" si="73"/>
        <v>0</v>
      </c>
      <c r="AG150" s="216">
        <f t="shared" si="73"/>
        <v>0</v>
      </c>
      <c r="AH150" s="230"/>
      <c r="AI150" s="126"/>
      <c r="AJ150" s="198"/>
      <c r="AL150" s="102"/>
      <c r="AM150" s="2"/>
      <c r="AN150" s="2"/>
      <c r="AO150" s="2"/>
      <c r="BC150" s="1"/>
      <c r="BD150" s="2"/>
      <c r="BE150" s="2"/>
      <c r="BF150" s="2"/>
      <c r="BG150" s="2"/>
      <c r="BH150" s="2"/>
      <c r="BI150" s="2"/>
      <c r="BJ150" s="2"/>
      <c r="BK150" s="2"/>
    </row>
    <row r="151" spans="1:63" outlineLevel="1">
      <c r="A151" s="4" t="s">
        <v>74</v>
      </c>
      <c r="C151" s="216">
        <f t="shared" ref="C151:AG153" si="74">C146-$C146</f>
        <v>0</v>
      </c>
      <c r="D151" s="216">
        <f t="shared" si="74"/>
        <v>18.31955661011099</v>
      </c>
      <c r="E151" s="216">
        <f t="shared" si="74"/>
        <v>40.332996501326562</v>
      </c>
      <c r="F151" s="216">
        <f t="shared" si="74"/>
        <v>65.705121172669749</v>
      </c>
      <c r="G151" s="216">
        <f t="shared" si="74"/>
        <v>94.070583746440221</v>
      </c>
      <c r="H151" s="216">
        <f t="shared" si="74"/>
        <v>125.03388896821437</v>
      </c>
      <c r="I151" s="216">
        <f t="shared" si="74"/>
        <v>158.16939320684537</v>
      </c>
      <c r="J151" s="216">
        <f t="shared" si="74"/>
        <v>193.02130445446292</v>
      </c>
      <c r="K151" s="216">
        <f t="shared" si="74"/>
        <v>229.10368232647355</v>
      </c>
      <c r="L151" s="216">
        <f t="shared" si="74"/>
        <v>265.90043806156058</v>
      </c>
      <c r="M151" s="216">
        <f t="shared" si="74"/>
        <v>302.86533452168368</v>
      </c>
      <c r="N151" s="216">
        <f t="shared" si="74"/>
        <v>366.76010733936357</v>
      </c>
      <c r="O151" s="216">
        <f t="shared" si="74"/>
        <v>431.14434438751698</v>
      </c>
      <c r="P151" s="216">
        <f t="shared" si="74"/>
        <v>493.00063072880579</v>
      </c>
      <c r="Q151" s="216">
        <f t="shared" si="74"/>
        <v>552.39962658584921</v>
      </c>
      <c r="R151" s="216">
        <f t="shared" si="74"/>
        <v>608.01994281148427</v>
      </c>
      <c r="S151" s="216">
        <f t="shared" si="74"/>
        <v>658.49658258433124</v>
      </c>
      <c r="T151" s="216">
        <f t="shared" si="74"/>
        <v>702.42234459773749</v>
      </c>
      <c r="U151" s="216">
        <f t="shared" si="74"/>
        <v>738.34924683681743</v>
      </c>
      <c r="V151" s="216">
        <f t="shared" si="74"/>
        <v>764.78997094358544</v>
      </c>
      <c r="W151" s="216">
        <f t="shared" si="74"/>
        <v>780.21932717018353</v>
      </c>
      <c r="X151" s="216">
        <f t="shared" si="74"/>
        <v>814.12999878647372</v>
      </c>
      <c r="Y151" s="216">
        <f t="shared" si="74"/>
        <v>829.72228572481356</v>
      </c>
      <c r="Z151" s="216">
        <f t="shared" si="74"/>
        <v>817.03877321828406</v>
      </c>
      <c r="AA151" s="216">
        <f t="shared" si="74"/>
        <v>781.06095435724694</v>
      </c>
      <c r="AB151" s="216">
        <f t="shared" si="74"/>
        <v>719.7687063838506</v>
      </c>
      <c r="AC151" s="216">
        <f t="shared" si="74"/>
        <v>631.22406967890322</v>
      </c>
      <c r="AD151" s="216">
        <f t="shared" si="74"/>
        <v>513.58300419918976</v>
      </c>
      <c r="AE151" s="216">
        <f t="shared" si="74"/>
        <v>365.10740427237874</v>
      </c>
      <c r="AF151" s="216">
        <f t="shared" si="74"/>
        <v>184.1773717495235</v>
      </c>
      <c r="AG151" s="216">
        <f t="shared" si="74"/>
        <v>-30.696252484840361</v>
      </c>
      <c r="AH151" s="230"/>
      <c r="AI151" s="126"/>
      <c r="AJ151" s="198"/>
      <c r="AL151" s="102"/>
      <c r="AM151" s="2"/>
      <c r="AN151" s="2"/>
      <c r="AO151" s="2"/>
      <c r="BC151" s="1"/>
      <c r="BD151" s="2"/>
      <c r="BE151" s="2"/>
      <c r="BF151" s="2"/>
      <c r="BG151" s="2"/>
      <c r="BH151" s="2"/>
      <c r="BI151" s="2"/>
      <c r="BJ151" s="2"/>
      <c r="BK151" s="2"/>
    </row>
    <row r="152" spans="1:63" outlineLevel="1">
      <c r="A152" s="4" t="s">
        <v>160</v>
      </c>
      <c r="C152" s="216">
        <f t="shared" si="74"/>
        <v>0</v>
      </c>
      <c r="D152" s="216">
        <f t="shared" si="74"/>
        <v>1.4369059803530211</v>
      </c>
      <c r="E152" s="216">
        <f t="shared" si="74"/>
        <v>4.3131976651282153</v>
      </c>
      <c r="F152" s="216">
        <f t="shared" si="74"/>
        <v>9.1060679617269571</v>
      </c>
      <c r="G152" s="216">
        <f t="shared" si="74"/>
        <v>16.318340102230234</v>
      </c>
      <c r="H152" s="216">
        <f t="shared" si="74"/>
        <v>26.478467643398645</v>
      </c>
      <c r="I152" s="216">
        <f t="shared" si="74"/>
        <v>40.140534466672435</v>
      </c>
      <c r="J152" s="216">
        <f t="shared" si="74"/>
        <v>57.884254778171417</v>
      </c>
      <c r="K152" s="216">
        <f t="shared" si="74"/>
        <v>80.314973108695071</v>
      </c>
      <c r="L152" s="216">
        <f t="shared" si="74"/>
        <v>108.06366431372251</v>
      </c>
      <c r="M152" s="216">
        <f t="shared" si="74"/>
        <v>141.78693357341234</v>
      </c>
      <c r="N152" s="216">
        <f t="shared" si="74"/>
        <v>195.62245695933336</v>
      </c>
      <c r="O152" s="216">
        <f t="shared" si="74"/>
        <v>261.75261013679119</v>
      </c>
      <c r="P152" s="216">
        <f t="shared" si="74"/>
        <v>340.45882383570756</v>
      </c>
      <c r="Q152" s="216">
        <f t="shared" si="74"/>
        <v>433.74871332064174</v>
      </c>
      <c r="R152" s="216">
        <f t="shared" si="74"/>
        <v>542.99784077338245</v>
      </c>
      <c r="S152" s="216">
        <f t="shared" si="74"/>
        <v>669.61145600677764</v>
      </c>
      <c r="T152" s="216">
        <f t="shared" si="74"/>
        <v>815.02321604468614</v>
      </c>
      <c r="U152" s="216">
        <f t="shared" si="74"/>
        <v>980.69388719917845</v>
      </c>
      <c r="V152" s="216">
        <f t="shared" si="74"/>
        <v>1168.1100296449868</v>
      </c>
      <c r="W152" s="216">
        <f t="shared" si="74"/>
        <v>1378.7826644912004</v>
      </c>
      <c r="X152" s="216">
        <f t="shared" si="74"/>
        <v>1675.8469752976812</v>
      </c>
      <c r="Y152" s="216">
        <f t="shared" si="74"/>
        <v>2011.5583142984437</v>
      </c>
      <c r="Z152" s="216">
        <f t="shared" si="74"/>
        <v>2367.991273203842</v>
      </c>
      <c r="AA152" s="216">
        <f t="shared" si="74"/>
        <v>2760.4273309086248</v>
      </c>
      <c r="AB152" s="216">
        <f t="shared" si="74"/>
        <v>3189.9993709469859</v>
      </c>
      <c r="AC152" s="216">
        <f t="shared" si="74"/>
        <v>3657.7098001393433</v>
      </c>
      <c r="AD152" s="216">
        <f t="shared" si="74"/>
        <v>4164.4194557811716</v>
      </c>
      <c r="AE152" s="216">
        <f t="shared" si="74"/>
        <v>4710.8362931918264</v>
      </c>
      <c r="AF152" s="216">
        <f t="shared" si="74"/>
        <v>5297.503853623396</v>
      </c>
      <c r="AG152" s="216">
        <f t="shared" si="74"/>
        <v>5924.7895125295572</v>
      </c>
      <c r="AH152" s="230"/>
      <c r="AI152" s="126"/>
      <c r="AJ152" s="198"/>
      <c r="AL152" s="102"/>
      <c r="AM152" s="2"/>
      <c r="AN152" s="2"/>
      <c r="AO152" s="2"/>
      <c r="BC152" s="1"/>
      <c r="BD152" s="2"/>
      <c r="BE152" s="2"/>
      <c r="BF152" s="2"/>
      <c r="BG152" s="2"/>
      <c r="BH152" s="2"/>
      <c r="BI152" s="2"/>
      <c r="BJ152" s="2"/>
      <c r="BK152" s="2"/>
    </row>
    <row r="153" spans="1:63" outlineLevel="1">
      <c r="A153" s="4" t="s">
        <v>1159</v>
      </c>
      <c r="C153" s="216">
        <f t="shared" si="74"/>
        <v>0</v>
      </c>
      <c r="D153" s="216">
        <f t="shared" si="74"/>
        <v>13.849667627595348</v>
      </c>
      <c r="E153" s="216">
        <f t="shared" si="74"/>
        <v>31.613464442172312</v>
      </c>
      <c r="F153" s="216">
        <f t="shared" si="74"/>
        <v>53.529149628725023</v>
      </c>
      <c r="G153" s="216">
        <f t="shared" si="74"/>
        <v>79.839000424291285</v>
      </c>
      <c r="H153" s="216">
        <f t="shared" si="74"/>
        <v>110.78981211795258</v>
      </c>
      <c r="I153" s="216">
        <f t="shared" si="74"/>
        <v>146.63289805083411</v>
      </c>
      <c r="J153" s="216">
        <f t="shared" si="74"/>
        <v>187.62408961610473</v>
      </c>
      <c r="K153" s="216">
        <f t="shared" si="74"/>
        <v>234.02373625897692</v>
      </c>
      <c r="L153" s="216">
        <f t="shared" si="74"/>
        <v>286.09670547670714</v>
      </c>
      <c r="M153" s="216">
        <f t="shared" si="74"/>
        <v>344.11238281859494</v>
      </c>
      <c r="N153" s="216">
        <f t="shared" si="74"/>
        <v>440.0469375058604</v>
      </c>
      <c r="O153" s="216">
        <f t="shared" si="74"/>
        <v>548.30801865881938</v>
      </c>
      <c r="P153" s="216">
        <f t="shared" si="74"/>
        <v>667.1198793313315</v>
      </c>
      <c r="Q153" s="216">
        <f t="shared" si="74"/>
        <v>798.48904754509954</v>
      </c>
      <c r="R153" s="216">
        <f t="shared" si="74"/>
        <v>942.85957657055633</v>
      </c>
      <c r="S153" s="216">
        <f t="shared" si="74"/>
        <v>1100.6748503875062</v>
      </c>
      <c r="T153" s="216">
        <f t="shared" si="74"/>
        <v>1272.3772880290248</v>
      </c>
      <c r="U153" s="216">
        <f t="shared" si="74"/>
        <v>1458.4080448400161</v>
      </c>
      <c r="V153" s="216">
        <f t="shared" si="74"/>
        <v>1659.2067106504255</v>
      </c>
      <c r="W153" s="216">
        <f t="shared" si="74"/>
        <v>1875.21100486311</v>
      </c>
      <c r="X153" s="216">
        <f t="shared" si="74"/>
        <v>2188.051923090547</v>
      </c>
      <c r="Y153" s="216">
        <f t="shared" si="74"/>
        <v>2526.1475771559594</v>
      </c>
      <c r="Z153" s="216">
        <f t="shared" si="74"/>
        <v>2865.245022231144</v>
      </c>
      <c r="AA153" s="216">
        <f t="shared" si="74"/>
        <v>3223.6368609655901</v>
      </c>
      <c r="AB153" s="216">
        <f t="shared" si="74"/>
        <v>3601.0556226086292</v>
      </c>
      <c r="AC153" s="216">
        <f t="shared" si="74"/>
        <v>3997.162379545417</v>
      </c>
      <c r="AD153" s="216">
        <f t="shared" si="74"/>
        <v>4411.5439141294846</v>
      </c>
      <c r="AE153" s="216">
        <f t="shared" si="74"/>
        <v>4843.7098467976657</v>
      </c>
      <c r="AF153" s="216">
        <f t="shared" si="74"/>
        <v>5293.0897254674137</v>
      </c>
      <c r="AG153" s="216">
        <f t="shared" si="74"/>
        <v>5759.0300762165243</v>
      </c>
      <c r="AH153" s="230"/>
      <c r="AI153" s="126"/>
      <c r="AJ153" s="198"/>
      <c r="AL153" s="102"/>
      <c r="AM153" s="2"/>
      <c r="AN153" s="2"/>
      <c r="AO153" s="2"/>
      <c r="BC153" s="1"/>
      <c r="BD153" s="2"/>
      <c r="BE153" s="2"/>
      <c r="BF153" s="2"/>
      <c r="BG153" s="2"/>
      <c r="BH153" s="2"/>
      <c r="BI153" s="2"/>
      <c r="BJ153" s="2"/>
      <c r="BK153" s="2"/>
    </row>
    <row r="154" spans="1:63" s="1" customFormat="1" outlineLevel="1">
      <c r="A154" s="1" t="s">
        <v>1163</v>
      </c>
      <c r="B154" s="61"/>
      <c r="C154" s="279">
        <f>'BTX Recycling HC'!C154</f>
        <v>308.29269578941341</v>
      </c>
      <c r="D154" s="279">
        <f>'BTX Recycling HC'!D154</f>
        <v>381.51721540643302</v>
      </c>
      <c r="E154" s="279">
        <f>'BTX Recycling HC'!E154</f>
        <v>452.77975280065965</v>
      </c>
      <c r="F154" s="279">
        <f>'BTX Recycling HC'!F154</f>
        <v>521.88283610455562</v>
      </c>
      <c r="G154" s="279">
        <f>'BTX Recycling HC'!G154</f>
        <v>588.62899345058361</v>
      </c>
      <c r="H154" s="279">
        <f>'BTX Recycling HC'!H154</f>
        <v>652.82075297120559</v>
      </c>
      <c r="I154" s="279">
        <f>'BTX Recycling HC'!I154</f>
        <v>714.26064279888442</v>
      </c>
      <c r="J154" s="279">
        <f>'BTX Recycling HC'!J154</f>
        <v>772.75119106608179</v>
      </c>
      <c r="K154" s="279">
        <f>'BTX Recycling HC'!K154</f>
        <v>828.09492590526054</v>
      </c>
      <c r="L154" s="279">
        <f>'BTX Recycling HC'!L154</f>
        <v>880.09437544888317</v>
      </c>
      <c r="M154" s="279">
        <f>'BTX Recycling HC'!M154</f>
        <v>928.55206782941161</v>
      </c>
      <c r="N154" s="279">
        <f>'BTX Recycling HC'!N154</f>
        <v>1045.1594167029621</v>
      </c>
      <c r="O154" s="279">
        <f>'BTX Recycling HC'!O154</f>
        <v>1154.4899364811658</v>
      </c>
      <c r="P154" s="279">
        <f>'BTX Recycling HC'!P154</f>
        <v>1251.843017833148</v>
      </c>
      <c r="Q154" s="279">
        <f>'BTX Recycling HC'!Q154</f>
        <v>1340.4196854694724</v>
      </c>
      <c r="R154" s="279">
        <f>'BTX Recycling HC'!R154</f>
        <v>1419.8854571799509</v>
      </c>
      <c r="S154" s="279">
        <f>'BTX Recycling HC'!S154</f>
        <v>1489.9126880300785</v>
      </c>
      <c r="T154" s="279">
        <f>'BTX Recycling HC'!T154</f>
        <v>1550.180660262379</v>
      </c>
      <c r="U154" s="279">
        <f>'BTX Recycling HC'!U154</f>
        <v>1600.3756731977526</v>
      </c>
      <c r="V154" s="279">
        <f>'BTX Recycling HC'!V154</f>
        <v>1640.1911331368196</v>
      </c>
      <c r="W154" s="279">
        <f>'BTX Recycling HC'!W154</f>
        <v>1669.327643261272</v>
      </c>
      <c r="X154" s="279">
        <f>'BTX Recycling HC'!X154</f>
        <v>1751.889322270988</v>
      </c>
      <c r="Y154" s="279">
        <f>'BTX Recycling HC'!Y154</f>
        <v>1816.785064726241</v>
      </c>
      <c r="Z154" s="279">
        <f>'BTX Recycling HC'!Z154</f>
        <v>1847.5411446246051</v>
      </c>
      <c r="AA154" s="279">
        <f>'BTX Recycling HC'!AA154</f>
        <v>1858.7920106266185</v>
      </c>
      <c r="AB154" s="279">
        <f>'BTX Recycling HC'!AB154</f>
        <v>1850.5582985750332</v>
      </c>
      <c r="AC154" s="279">
        <f>'BTX Recycling HC'!AC154</f>
        <v>1822.9135235952676</v>
      </c>
      <c r="AD154" s="279">
        <f>'BTX Recycling HC'!AD154</f>
        <v>1775.9852082569057</v>
      </c>
      <c r="AE154" s="279">
        <f>'BTX Recycling HC'!AE154</f>
        <v>1709.9560107351851</v>
      </c>
      <c r="AF154" s="279">
        <f>'BTX Recycling HC'!AF154</f>
        <v>1625.0648529724838</v>
      </c>
      <c r="AG154" s="279">
        <f>'BTX Recycling HC'!AG154</f>
        <v>1521.6080488398179</v>
      </c>
      <c r="AH154" s="230"/>
      <c r="AI154" s="398"/>
      <c r="AJ154" s="399"/>
      <c r="AL154" s="207"/>
      <c r="AM154" s="118"/>
      <c r="AN154" s="118"/>
      <c r="AO154" s="118"/>
      <c r="BD154" s="118"/>
      <c r="BE154" s="118"/>
      <c r="BF154" s="118"/>
      <c r="BG154" s="118"/>
      <c r="BH154" s="118"/>
      <c r="BI154" s="118"/>
      <c r="BJ154" s="118"/>
      <c r="BK154" s="118"/>
    </row>
    <row r="155" spans="1:63" outlineLevel="1">
      <c r="A155" s="4" t="s">
        <v>35</v>
      </c>
      <c r="C155" s="216">
        <f>C$154*'BTX recycling rates'!E62</f>
        <v>0</v>
      </c>
      <c r="D155" s="216">
        <f>D$154*'BTX recycling rates'!F62</f>
        <v>0</v>
      </c>
      <c r="E155" s="216">
        <f>E$154*'BTX recycling rates'!G62</f>
        <v>0</v>
      </c>
      <c r="F155" s="216">
        <f>F$154*'BTX recycling rates'!H62</f>
        <v>0</v>
      </c>
      <c r="G155" s="216">
        <f>G$154*'BTX recycling rates'!I62</f>
        <v>0</v>
      </c>
      <c r="H155" s="216">
        <f>H$154*'BTX recycling rates'!J62</f>
        <v>0</v>
      </c>
      <c r="I155" s="216">
        <f>I$154*'BTX recycling rates'!K62</f>
        <v>0</v>
      </c>
      <c r="J155" s="216">
        <f>J$154*'BTX recycling rates'!L62</f>
        <v>0</v>
      </c>
      <c r="K155" s="216">
        <f>K$154*'BTX recycling rates'!M62</f>
        <v>0</v>
      </c>
      <c r="L155" s="216">
        <f>L$154*'BTX recycling rates'!N62</f>
        <v>0</v>
      </c>
      <c r="M155" s="216">
        <f>M$154*'BTX recycling rates'!O62</f>
        <v>0</v>
      </c>
      <c r="N155" s="216">
        <f>N$154*'BTX recycling rates'!P62</f>
        <v>0</v>
      </c>
      <c r="O155" s="216">
        <f>O$154*'BTX recycling rates'!Q62</f>
        <v>0</v>
      </c>
      <c r="P155" s="216">
        <f>P$154*'BTX recycling rates'!R62</f>
        <v>0</v>
      </c>
      <c r="Q155" s="216">
        <f>Q$154*'BTX recycling rates'!S62</f>
        <v>0</v>
      </c>
      <c r="R155" s="216">
        <f>R$154*'BTX recycling rates'!T62</f>
        <v>0</v>
      </c>
      <c r="S155" s="216">
        <f>S$154*'BTX recycling rates'!U62</f>
        <v>0</v>
      </c>
      <c r="T155" s="216">
        <f>T$154*'BTX recycling rates'!V62</f>
        <v>0</v>
      </c>
      <c r="U155" s="216">
        <f>U$154*'BTX recycling rates'!W62</f>
        <v>0</v>
      </c>
      <c r="V155" s="216">
        <f>V$154*'BTX recycling rates'!X62</f>
        <v>0</v>
      </c>
      <c r="W155" s="216">
        <f>W$154*'BTX recycling rates'!Y62</f>
        <v>0</v>
      </c>
      <c r="X155" s="216">
        <f>X$154*'BTX recycling rates'!Z62</f>
        <v>0</v>
      </c>
      <c r="Y155" s="216">
        <f>Y$154*'BTX recycling rates'!AA62</f>
        <v>0</v>
      </c>
      <c r="Z155" s="216">
        <f>Z$154*'BTX recycling rates'!AB62</f>
        <v>0</v>
      </c>
      <c r="AA155" s="216">
        <f>AA$154*'BTX recycling rates'!AC62</f>
        <v>0</v>
      </c>
      <c r="AB155" s="216">
        <f>AB$154*'BTX recycling rates'!AD62</f>
        <v>0</v>
      </c>
      <c r="AC155" s="216">
        <f>AC$154*'BTX recycling rates'!AE62</f>
        <v>0</v>
      </c>
      <c r="AD155" s="216">
        <f>AD$154*'BTX recycling rates'!AF62</f>
        <v>0</v>
      </c>
      <c r="AE155" s="216">
        <f>AE$154*'BTX recycling rates'!AG62</f>
        <v>0</v>
      </c>
      <c r="AF155" s="216">
        <f>AF$154*'BTX recycling rates'!AH62</f>
        <v>0</v>
      </c>
      <c r="AG155" s="216">
        <f>AG$154*'BTX recycling rates'!AI62</f>
        <v>0</v>
      </c>
      <c r="AH155" s="230"/>
      <c r="AI155" s="126"/>
      <c r="AJ155" s="198"/>
      <c r="AL155" s="102"/>
      <c r="AM155" s="2"/>
      <c r="AN155" s="2"/>
      <c r="AO155" s="2"/>
      <c r="BC155" s="1"/>
      <c r="BD155" s="2"/>
      <c r="BE155" s="2"/>
      <c r="BF155" s="2"/>
      <c r="BG155" s="2"/>
      <c r="BH155" s="2"/>
      <c r="BI155" s="2"/>
      <c r="BJ155" s="2"/>
      <c r="BK155" s="2"/>
    </row>
    <row r="156" spans="1:63" outlineLevel="1">
      <c r="A156" s="4" t="s">
        <v>74</v>
      </c>
      <c r="C156" s="216">
        <f>C$154*'BTX recycling rates'!E63</f>
        <v>183.5635898593454</v>
      </c>
      <c r="D156" s="216">
        <f>D$154*'BTX recycling rates'!F63</f>
        <v>219.59082474538206</v>
      </c>
      <c r="E156" s="216">
        <f>E$154*'BTX recycling rates'!G63</f>
        <v>251.62111453349635</v>
      </c>
      <c r="F156" s="216">
        <f>F$154*'BTX recycling rates'!H63</f>
        <v>279.66545873694503</v>
      </c>
      <c r="G156" s="216">
        <f>G$154*'BTX recycling rates'!I63</f>
        <v>303.75053402488129</v>
      </c>
      <c r="H156" s="216">
        <f>H$154*'BTX recycling rates'!J63</f>
        <v>323.91869422235391</v>
      </c>
      <c r="I156" s="216">
        <f>I$154*'BTX recycling rates'!K63</f>
        <v>340.22797031030825</v>
      </c>
      <c r="J156" s="216">
        <f>J$154*'BTX recycling rates'!L63</f>
        <v>352.75207042558537</v>
      </c>
      <c r="K156" s="216">
        <f>K$154*'BTX recycling rates'!M63</f>
        <v>361.58037986092285</v>
      </c>
      <c r="L156" s="216">
        <f>L$154*'BTX recycling rates'!N63</f>
        <v>366.81796106495426</v>
      </c>
      <c r="M156" s="216">
        <f>M$154*'BTX recycling rates'!O63</f>
        <v>368.58555364220911</v>
      </c>
      <c r="N156" s="216">
        <f>N$154*'BTX recycling rates'!P63</f>
        <v>394.12881820707105</v>
      </c>
      <c r="O156" s="216">
        <f>O$154*'BTX recycling rates'!Q63</f>
        <v>412.44373303296595</v>
      </c>
      <c r="P156" s="216">
        <f>P$154*'BTX recycling rates'!R63</f>
        <v>422.37756784904667</v>
      </c>
      <c r="Q156" s="216">
        <f>Q$154*'BTX recycling rates'!S63</f>
        <v>425.65999172160321</v>
      </c>
      <c r="R156" s="216">
        <f>R$154*'BTX recycling rates'!T63</f>
        <v>422.71399106884007</v>
      </c>
      <c r="S156" s="216">
        <f>S$154*'BTX recycling rates'!U63</f>
        <v>413.99100644499862</v>
      </c>
      <c r="T156" s="216">
        <f>T$154*'BTX recycling rates'!V63</f>
        <v>399.97027722800283</v>
      </c>
      <c r="U156" s="216">
        <f>U$154*'BTX recycling rates'!W63</f>
        <v>381.15817560129648</v>
      </c>
      <c r="V156" s="216">
        <f>V$154*'BTX recycling rates'!X63</f>
        <v>358.08752982987022</v>
      </c>
      <c r="W156" s="216">
        <f>W$154*'BTX recycling rates'!Y63</f>
        <v>331.3169368304811</v>
      </c>
      <c r="X156" s="216">
        <f>X$154*'BTX recycling rates'!Z63</f>
        <v>312.93290184077148</v>
      </c>
      <c r="Y156" s="216">
        <f>Y$154*'BTX recycling rates'!AA63</f>
        <v>288.46663623134162</v>
      </c>
      <c r="Z156" s="216">
        <f>Z$154*'BTX recycling rates'!AB63</f>
        <v>256.68128879517366</v>
      </c>
      <c r="AA156" s="216">
        <f>AA$154*'BTX recycling rates'!AC63</f>
        <v>221.3523310364518</v>
      </c>
      <c r="AB156" s="216">
        <f>AB$154*'BTX recycling rates'!AD63</f>
        <v>183.64318993492648</v>
      </c>
      <c r="AC156" s="216">
        <f>AC$154*'BTX recycling rates'!AE63</f>
        <v>144.71985225489104</v>
      </c>
      <c r="AD156" s="216">
        <f>AD$154*'BTX recycling rates'!AF63</f>
        <v>105.74568415575426</v>
      </c>
      <c r="AE156" s="216">
        <f>AE$154*'BTX recycling rates'!AG63</f>
        <v>67.876116456663425</v>
      </c>
      <c r="AF156" s="216">
        <f>AF$154*'BTX recycling rates'!AH63</f>
        <v>32.253195555178671</v>
      </c>
      <c r="AG156" s="216">
        <f>AG$154*'BTX recycling rates'!AI63</f>
        <v>0</v>
      </c>
      <c r="AH156" s="230"/>
      <c r="AI156" s="126"/>
      <c r="AJ156" s="198"/>
      <c r="AL156" s="102"/>
      <c r="AM156" s="2"/>
      <c r="AN156" s="2"/>
      <c r="AO156" s="2"/>
      <c r="BC156" s="1"/>
      <c r="BD156" s="2"/>
      <c r="BE156" s="2"/>
      <c r="BF156" s="2"/>
      <c r="BG156" s="2"/>
      <c r="BH156" s="2"/>
      <c r="BI156" s="2"/>
      <c r="BJ156" s="2"/>
      <c r="BK156" s="2"/>
    </row>
    <row r="157" spans="1:63" outlineLevel="1">
      <c r="A157" s="4" t="s">
        <v>160</v>
      </c>
      <c r="C157" s="216">
        <f>C$154*'BTX recycling rates'!E64</f>
        <v>0</v>
      </c>
      <c r="D157" s="216">
        <f>D$154*'BTX recycling rates'!F64</f>
        <v>6.437338791981535</v>
      </c>
      <c r="E157" s="216">
        <f>E$154*'BTX recycling rates'!G64</f>
        <v>15.279502728716706</v>
      </c>
      <c r="F157" s="216">
        <f>F$154*'BTX recycling rates'!H64</f>
        <v>26.417182423704727</v>
      </c>
      <c r="G157" s="216">
        <f>G$154*'BTX recycling rates'!I64</f>
        <v>39.727740721611426</v>
      </c>
      <c r="H157" s="216">
        <f>H$154*'BTX recycling rates'!J64</f>
        <v>55.075212698269191</v>
      </c>
      <c r="I157" s="216">
        <f>I$154*'BTX recycling rates'!K64</f>
        <v>72.310305660677074</v>
      </c>
      <c r="J157" s="216">
        <f>J$154*'BTX recycling rates'!L64</f>
        <v>91.270399147000632</v>
      </c>
      <c r="K157" s="216">
        <f>K$154*'BTX recycling rates'!M64</f>
        <v>111.7795449265721</v>
      </c>
      <c r="L157" s="216">
        <f>L$154*'BTX recycling rates'!N64</f>
        <v>133.64846699989033</v>
      </c>
      <c r="M157" s="216">
        <f>M$154*'BTX recycling rates'!O64</f>
        <v>156.67456159862061</v>
      </c>
      <c r="N157" s="216">
        <f>N$154*'BTX recycling rates'!P64</f>
        <v>193.98468755223195</v>
      </c>
      <c r="O157" s="216">
        <f>O$154*'BTX recycling rates'!Q64</f>
        <v>233.7564614004213</v>
      </c>
      <c r="P157" s="216">
        <f>P$154*'BTX recycling rates'!R64</f>
        <v>274.59046363239094</v>
      </c>
      <c r="Q157" s="216">
        <f>Q$154*'BTX recycling rates'!S64</f>
        <v>316.63656072406837</v>
      </c>
      <c r="R157" s="216">
        <f>R$154*'BTX recycling rates'!T64</f>
        <v>359.36584371183841</v>
      </c>
      <c r="S157" s="216">
        <f>S$154*'BTX recycling rates'!U64</f>
        <v>402.22867460820896</v>
      </c>
      <c r="T157" s="216">
        <f>T$154*'BTX recycling rates'!V64</f>
        <v>444.65528901585463</v>
      </c>
      <c r="U157" s="216">
        <f>U$154*'BTX recycling rates'!W64</f>
        <v>486.05640784309264</v>
      </c>
      <c r="V157" s="216">
        <f>V$154*'BTX recycling rates'!X64</f>
        <v>525.82385812078769</v>
      </c>
      <c r="W157" s="216">
        <f>W$154*'BTX recycling rates'!Y64</f>
        <v>563.33120292069032</v>
      </c>
      <c r="X157" s="216">
        <f>X$154*'BTX recycling rates'!Z64</f>
        <v>620.75208509656545</v>
      </c>
      <c r="Y157" s="216">
        <f>Y$154*'BTX recycling rates'!AA64</f>
        <v>674.40139274110925</v>
      </c>
      <c r="Z157" s="216">
        <f>Z$154*'BTX recycling rates'!AB64</f>
        <v>716.99178803842847</v>
      </c>
      <c r="AA157" s="216">
        <f>AA$154*'BTX recycling rates'!AC64</f>
        <v>752.72140389166805</v>
      </c>
      <c r="AB157" s="216">
        <f>AB$154*'BTX recycling rates'!AD64</f>
        <v>780.61161077290842</v>
      </c>
      <c r="AC157" s="216">
        <f>AC$154*'BTX recycling rates'!AE64</f>
        <v>799.7083699395555</v>
      </c>
      <c r="AD157" s="216">
        <f>AD$154*'BTX recycling rates'!AF64</f>
        <v>809.08720855176921</v>
      </c>
      <c r="AE157" s="216">
        <f>AE$154*'BTX recycling rates'!AG64</f>
        <v>807.85830900268218</v>
      </c>
      <c r="AF157" s="216">
        <f>AF$154*'BTX recycling rates'!AH64</f>
        <v>795.17171246140697</v>
      </c>
      <c r="AG157" s="216">
        <f>AG$154*'BTX recycling rates'!AI64</f>
        <v>770.22263662884222</v>
      </c>
      <c r="AH157" s="230"/>
      <c r="AI157" s="126"/>
      <c r="AJ157" s="198"/>
      <c r="AL157" s="102"/>
      <c r="AM157" s="2"/>
      <c r="AN157" s="2"/>
      <c r="AO157" s="2"/>
      <c r="BC157" s="1"/>
      <c r="BD157" s="2"/>
      <c r="BE157" s="2"/>
      <c r="BF157" s="2"/>
      <c r="BG157" s="2"/>
      <c r="BH157" s="2"/>
      <c r="BI157" s="2"/>
      <c r="BJ157" s="2"/>
      <c r="BK157" s="2"/>
    </row>
    <row r="158" spans="1:63" outlineLevel="1">
      <c r="A158" s="4" t="s">
        <v>1159</v>
      </c>
      <c r="C158" s="216">
        <f>C$154*'BTX recycling rates'!E65</f>
        <v>124.72910593006803</v>
      </c>
      <c r="D158" s="216">
        <f>D$154*'BTX recycling rates'!F65</f>
        <v>155.48905186906941</v>
      </c>
      <c r="E158" s="216">
        <f>E$154*'BTX recycling rates'!G65</f>
        <v>185.87913553844658</v>
      </c>
      <c r="F158" s="216">
        <f>F$154*'BTX recycling rates'!H65</f>
        <v>215.80019494390581</v>
      </c>
      <c r="G158" s="216">
        <f>G$154*'BTX recycling rates'!I65</f>
        <v>245.15071870409085</v>
      </c>
      <c r="H158" s="216">
        <f>H$154*'BTX recycling rates'!J65</f>
        <v>273.82684605058245</v>
      </c>
      <c r="I158" s="216">
        <f>I$154*'BTX recycling rates'!K65</f>
        <v>301.72236682789901</v>
      </c>
      <c r="J158" s="216">
        <f>J$154*'BTX recycling rates'!L65</f>
        <v>328.72872149349564</v>
      </c>
      <c r="K158" s="216">
        <f>K$154*'BTX recycling rates'!M65</f>
        <v>354.73500111776542</v>
      </c>
      <c r="L158" s="216">
        <f>L$154*'BTX recycling rates'!N65</f>
        <v>379.62794738403841</v>
      </c>
      <c r="M158" s="216">
        <f>M$154*'BTX recycling rates'!O65</f>
        <v>403.29195258858169</v>
      </c>
      <c r="N158" s="216">
        <f>N$154*'BTX recycling rates'!P65</f>
        <v>457.04591094365878</v>
      </c>
      <c r="O158" s="216">
        <f>O$154*'BTX recycling rates'!Q65</f>
        <v>508.28974204777825</v>
      </c>
      <c r="P158" s="216">
        <f>P$154*'BTX recycling rates'!R65</f>
        <v>554.87498635170994</v>
      </c>
      <c r="Q158" s="216">
        <f>Q$154*'BTX recycling rates'!S65</f>
        <v>598.12313302380028</v>
      </c>
      <c r="R158" s="216">
        <f>R$154*'BTX recycling rates'!T65</f>
        <v>637.80562239927178</v>
      </c>
      <c r="S158" s="216">
        <f>S$154*'BTX recycling rates'!U65</f>
        <v>673.69300697687038</v>
      </c>
      <c r="T158" s="216">
        <f>T$154*'BTX recycling rates'!V65</f>
        <v>705.55509401852089</v>
      </c>
      <c r="U158" s="216">
        <f>U$154*'BTX recycling rates'!W65</f>
        <v>733.16108975336283</v>
      </c>
      <c r="V158" s="216">
        <f>V$154*'BTX recycling rates'!X65</f>
        <v>756.27974518616111</v>
      </c>
      <c r="W158" s="216">
        <f>W$154*'BTX recycling rates'!Y65</f>
        <v>774.67950351009995</v>
      </c>
      <c r="X158" s="216">
        <f>X$154*'BTX recycling rates'!Z65</f>
        <v>818.20433533365042</v>
      </c>
      <c r="Y158" s="216">
        <f>Y$154*'BTX recycling rates'!AA65</f>
        <v>853.91703575378938</v>
      </c>
      <c r="Z158" s="216">
        <f>Z$154*'BTX recycling rates'!AB65</f>
        <v>873.8680677910022</v>
      </c>
      <c r="AA158" s="216">
        <f>AA$154*'BTX recycling rates'!AC65</f>
        <v>884.71827569849802</v>
      </c>
      <c r="AB158" s="216">
        <f>AB$154*'BTX recycling rates'!AD65</f>
        <v>886.30349786719762</v>
      </c>
      <c r="AC158" s="216">
        <f>AC$154*'BTX recycling rates'!AE65</f>
        <v>878.4853014008205</v>
      </c>
      <c r="AD158" s="216">
        <f>AD$154*'BTX recycling rates'!AF65</f>
        <v>861.15231554938157</v>
      </c>
      <c r="AE158" s="216">
        <f>AE$154*'BTX recycling rates'!AG65</f>
        <v>834.22158527583906</v>
      </c>
      <c r="AF158" s="216">
        <f>AF$154*'BTX recycling rates'!AH65</f>
        <v>797.63994495589759</v>
      </c>
      <c r="AG158" s="216">
        <f>AG$154*'BTX recycling rates'!AI65</f>
        <v>751.38541221097557</v>
      </c>
      <c r="AH158" s="230"/>
      <c r="AI158" s="126"/>
      <c r="AJ158" s="198"/>
      <c r="AL158" s="102"/>
      <c r="AM158" s="2"/>
      <c r="AN158" s="2"/>
      <c r="AO158" s="2"/>
      <c r="BC158" s="1"/>
      <c r="BD158" s="2"/>
      <c r="BE158" s="2"/>
      <c r="BF158" s="2"/>
      <c r="BG158" s="2"/>
      <c r="BH158" s="2"/>
      <c r="BI158" s="2"/>
      <c r="BJ158" s="2"/>
      <c r="BK158" s="2"/>
    </row>
    <row r="159" spans="1:63" s="1" customFormat="1" outlineLevel="1">
      <c r="A159" s="1" t="s">
        <v>1166</v>
      </c>
      <c r="B159" s="61"/>
      <c r="C159" s="279">
        <f t="shared" ref="C159:AG159" si="75">C154-$C154</f>
        <v>0</v>
      </c>
      <c r="D159" s="279">
        <f t="shared" si="75"/>
        <v>73.22451961701961</v>
      </c>
      <c r="E159" s="279">
        <f t="shared" si="75"/>
        <v>144.48705701124624</v>
      </c>
      <c r="F159" s="279">
        <f t="shared" si="75"/>
        <v>213.59014031514221</v>
      </c>
      <c r="G159" s="279">
        <f t="shared" si="75"/>
        <v>280.33629766117019</v>
      </c>
      <c r="H159" s="279">
        <f t="shared" si="75"/>
        <v>344.52805718179218</v>
      </c>
      <c r="I159" s="279">
        <f t="shared" si="75"/>
        <v>405.967947009471</v>
      </c>
      <c r="J159" s="279">
        <f t="shared" si="75"/>
        <v>464.45849527666837</v>
      </c>
      <c r="K159" s="279">
        <f t="shared" si="75"/>
        <v>519.80223011584712</v>
      </c>
      <c r="L159" s="279">
        <f t="shared" si="75"/>
        <v>571.80167965946976</v>
      </c>
      <c r="M159" s="279">
        <f t="shared" si="75"/>
        <v>620.2593720399982</v>
      </c>
      <c r="N159" s="279">
        <f t="shared" si="75"/>
        <v>736.86672091354865</v>
      </c>
      <c r="O159" s="279">
        <f t="shared" si="75"/>
        <v>846.19724069175243</v>
      </c>
      <c r="P159" s="279">
        <f t="shared" si="75"/>
        <v>943.55032204373458</v>
      </c>
      <c r="Q159" s="279">
        <f t="shared" si="75"/>
        <v>1032.1269896800591</v>
      </c>
      <c r="R159" s="279">
        <f t="shared" si="75"/>
        <v>1111.5927613905374</v>
      </c>
      <c r="S159" s="279">
        <f t="shared" si="75"/>
        <v>1181.6199922406649</v>
      </c>
      <c r="T159" s="279">
        <f t="shared" si="75"/>
        <v>1241.8879644729655</v>
      </c>
      <c r="U159" s="279">
        <f t="shared" si="75"/>
        <v>1292.082977408339</v>
      </c>
      <c r="V159" s="279">
        <f t="shared" si="75"/>
        <v>1331.8984373474063</v>
      </c>
      <c r="W159" s="279">
        <f t="shared" si="75"/>
        <v>1361.0349474718587</v>
      </c>
      <c r="X159" s="279">
        <f t="shared" si="75"/>
        <v>1443.5966264815747</v>
      </c>
      <c r="Y159" s="279">
        <f t="shared" si="75"/>
        <v>1508.4923689368275</v>
      </c>
      <c r="Z159" s="279">
        <f t="shared" si="75"/>
        <v>1539.2484488351915</v>
      </c>
      <c r="AA159" s="279">
        <f t="shared" si="75"/>
        <v>1550.499314837205</v>
      </c>
      <c r="AB159" s="279">
        <f t="shared" si="75"/>
        <v>1542.2656027856196</v>
      </c>
      <c r="AC159" s="279">
        <f t="shared" si="75"/>
        <v>1514.6208278058543</v>
      </c>
      <c r="AD159" s="279">
        <f t="shared" si="75"/>
        <v>1467.6925124674922</v>
      </c>
      <c r="AE159" s="279">
        <f t="shared" si="75"/>
        <v>1401.6633149457716</v>
      </c>
      <c r="AF159" s="279">
        <f t="shared" si="75"/>
        <v>1316.7721571830702</v>
      </c>
      <c r="AG159" s="279">
        <f t="shared" si="75"/>
        <v>1213.3153530504046</v>
      </c>
      <c r="AH159" s="230"/>
      <c r="AI159" s="398"/>
      <c r="AJ159" s="399"/>
      <c r="AL159" s="207"/>
      <c r="AM159" s="118"/>
      <c r="AN159" s="118"/>
      <c r="AO159" s="118"/>
      <c r="BD159" s="118"/>
      <c r="BE159" s="118"/>
      <c r="BF159" s="118"/>
      <c r="BG159" s="118"/>
      <c r="BH159" s="118"/>
      <c r="BI159" s="118"/>
      <c r="BJ159" s="118"/>
      <c r="BK159" s="118"/>
    </row>
    <row r="160" spans="1:63" outlineLevel="1">
      <c r="A160" s="4" t="s">
        <v>35</v>
      </c>
      <c r="C160" s="216">
        <f t="shared" ref="C160:AG160" si="76">C155-$C155</f>
        <v>0</v>
      </c>
      <c r="D160" s="216">
        <f t="shared" si="76"/>
        <v>0</v>
      </c>
      <c r="E160" s="216">
        <f t="shared" si="76"/>
        <v>0</v>
      </c>
      <c r="F160" s="216">
        <f t="shared" si="76"/>
        <v>0</v>
      </c>
      <c r="G160" s="216">
        <f t="shared" si="76"/>
        <v>0</v>
      </c>
      <c r="H160" s="216">
        <f t="shared" si="76"/>
        <v>0</v>
      </c>
      <c r="I160" s="216">
        <f t="shared" si="76"/>
        <v>0</v>
      </c>
      <c r="J160" s="216">
        <f t="shared" si="76"/>
        <v>0</v>
      </c>
      <c r="K160" s="216">
        <f t="shared" si="76"/>
        <v>0</v>
      </c>
      <c r="L160" s="216">
        <f t="shared" si="76"/>
        <v>0</v>
      </c>
      <c r="M160" s="216">
        <f t="shared" si="76"/>
        <v>0</v>
      </c>
      <c r="N160" s="216">
        <f t="shared" si="76"/>
        <v>0</v>
      </c>
      <c r="O160" s="216">
        <f t="shared" si="76"/>
        <v>0</v>
      </c>
      <c r="P160" s="216">
        <f t="shared" si="76"/>
        <v>0</v>
      </c>
      <c r="Q160" s="216">
        <f t="shared" si="76"/>
        <v>0</v>
      </c>
      <c r="R160" s="216">
        <f t="shared" si="76"/>
        <v>0</v>
      </c>
      <c r="S160" s="216">
        <f t="shared" si="76"/>
        <v>0</v>
      </c>
      <c r="T160" s="216">
        <f t="shared" si="76"/>
        <v>0</v>
      </c>
      <c r="U160" s="216">
        <f t="shared" si="76"/>
        <v>0</v>
      </c>
      <c r="V160" s="216">
        <f t="shared" si="76"/>
        <v>0</v>
      </c>
      <c r="W160" s="216">
        <f t="shared" si="76"/>
        <v>0</v>
      </c>
      <c r="X160" s="216">
        <f t="shared" si="76"/>
        <v>0</v>
      </c>
      <c r="Y160" s="216">
        <f t="shared" si="76"/>
        <v>0</v>
      </c>
      <c r="Z160" s="216">
        <f t="shared" si="76"/>
        <v>0</v>
      </c>
      <c r="AA160" s="216">
        <f t="shared" si="76"/>
        <v>0</v>
      </c>
      <c r="AB160" s="216">
        <f t="shared" si="76"/>
        <v>0</v>
      </c>
      <c r="AC160" s="216">
        <f t="shared" si="76"/>
        <v>0</v>
      </c>
      <c r="AD160" s="216">
        <f t="shared" si="76"/>
        <v>0</v>
      </c>
      <c r="AE160" s="216">
        <f t="shared" si="76"/>
        <v>0</v>
      </c>
      <c r="AF160" s="216">
        <f t="shared" si="76"/>
        <v>0</v>
      </c>
      <c r="AG160" s="216">
        <f t="shared" si="76"/>
        <v>0</v>
      </c>
      <c r="AH160" s="230"/>
      <c r="AI160" s="126"/>
      <c r="AJ160" s="198"/>
      <c r="AL160" s="102"/>
      <c r="AM160" s="2"/>
      <c r="AN160" s="2"/>
      <c r="AO160" s="2"/>
      <c r="BC160" s="1"/>
      <c r="BD160" s="2"/>
      <c r="BE160" s="2"/>
      <c r="BF160" s="2"/>
      <c r="BG160" s="2"/>
      <c r="BH160" s="2"/>
      <c r="BI160" s="2"/>
      <c r="BJ160" s="2"/>
      <c r="BK160" s="2"/>
    </row>
    <row r="161" spans="1:63" outlineLevel="1">
      <c r="A161" s="4" t="s">
        <v>74</v>
      </c>
      <c r="C161" s="216">
        <f t="shared" ref="C161:AG163" si="77">C156-$C156</f>
        <v>0</v>
      </c>
      <c r="D161" s="216">
        <f t="shared" si="77"/>
        <v>36.027234886036666</v>
      </c>
      <c r="E161" s="216">
        <f t="shared" si="77"/>
        <v>68.057524674150955</v>
      </c>
      <c r="F161" s="216">
        <f t="shared" si="77"/>
        <v>96.101868877599628</v>
      </c>
      <c r="G161" s="216">
        <f t="shared" si="77"/>
        <v>120.18694416553589</v>
      </c>
      <c r="H161" s="216">
        <f t="shared" si="77"/>
        <v>140.35510436300851</v>
      </c>
      <c r="I161" s="216">
        <f t="shared" si="77"/>
        <v>156.66438045096285</v>
      </c>
      <c r="J161" s="216">
        <f t="shared" si="77"/>
        <v>169.18848056623997</v>
      </c>
      <c r="K161" s="216">
        <f t="shared" si="77"/>
        <v>178.01679000157745</v>
      </c>
      <c r="L161" s="216">
        <f t="shared" si="77"/>
        <v>183.25437120560886</v>
      </c>
      <c r="M161" s="216">
        <f t="shared" si="77"/>
        <v>185.02196378286371</v>
      </c>
      <c r="N161" s="216">
        <f t="shared" si="77"/>
        <v>210.56522834772565</v>
      </c>
      <c r="O161" s="216">
        <f t="shared" si="77"/>
        <v>228.88014317362055</v>
      </c>
      <c r="P161" s="216">
        <f t="shared" si="77"/>
        <v>238.81397798970127</v>
      </c>
      <c r="Q161" s="216">
        <f t="shared" si="77"/>
        <v>242.09640186225781</v>
      </c>
      <c r="R161" s="216">
        <f t="shared" si="77"/>
        <v>239.15040120949467</v>
      </c>
      <c r="S161" s="216">
        <f t="shared" si="77"/>
        <v>230.42741658565322</v>
      </c>
      <c r="T161" s="216">
        <f t="shared" si="77"/>
        <v>216.40668736865743</v>
      </c>
      <c r="U161" s="216">
        <f t="shared" si="77"/>
        <v>197.59458574195108</v>
      </c>
      <c r="V161" s="216">
        <f t="shared" si="77"/>
        <v>174.52393997052482</v>
      </c>
      <c r="W161" s="216">
        <f t="shared" si="77"/>
        <v>147.7533469711357</v>
      </c>
      <c r="X161" s="216">
        <f t="shared" si="77"/>
        <v>129.36931198142608</v>
      </c>
      <c r="Y161" s="216">
        <f t="shared" si="77"/>
        <v>104.90304637199623</v>
      </c>
      <c r="Z161" s="216">
        <f t="shared" si="77"/>
        <v>73.117698935828258</v>
      </c>
      <c r="AA161" s="216">
        <f t="shared" si="77"/>
        <v>37.788741177106402</v>
      </c>
      <c r="AB161" s="216">
        <f t="shared" si="77"/>
        <v>7.9600075581083729E-2</v>
      </c>
      <c r="AC161" s="216">
        <f t="shared" si="77"/>
        <v>-38.843737604454361</v>
      </c>
      <c r="AD161" s="216">
        <f t="shared" si="77"/>
        <v>-77.817905703591137</v>
      </c>
      <c r="AE161" s="216">
        <f t="shared" si="77"/>
        <v>-115.68747340268197</v>
      </c>
      <c r="AF161" s="216">
        <f t="shared" si="77"/>
        <v>-151.31039430416672</v>
      </c>
      <c r="AG161" s="216">
        <f t="shared" si="77"/>
        <v>-183.5635898593454</v>
      </c>
      <c r="AH161" s="230"/>
      <c r="AI161" s="126"/>
      <c r="AJ161" s="198"/>
      <c r="AL161" s="102"/>
      <c r="AM161" s="2"/>
      <c r="AN161" s="2"/>
      <c r="AO161" s="2"/>
      <c r="BC161" s="1"/>
      <c r="BD161" s="2"/>
      <c r="BE161" s="2"/>
      <c r="BF161" s="2"/>
      <c r="BG161" s="2"/>
      <c r="BH161" s="2"/>
      <c r="BI161" s="2"/>
      <c r="BJ161" s="2"/>
      <c r="BK161" s="2"/>
    </row>
    <row r="162" spans="1:63" outlineLevel="1">
      <c r="A162" s="4" t="s">
        <v>160</v>
      </c>
      <c r="C162" s="216">
        <f t="shared" si="77"/>
        <v>0</v>
      </c>
      <c r="D162" s="216">
        <f t="shared" si="77"/>
        <v>6.437338791981535</v>
      </c>
      <c r="E162" s="216">
        <f t="shared" si="77"/>
        <v>15.279502728716706</v>
      </c>
      <c r="F162" s="216">
        <f t="shared" si="77"/>
        <v>26.417182423704727</v>
      </c>
      <c r="G162" s="216">
        <f t="shared" si="77"/>
        <v>39.727740721611426</v>
      </c>
      <c r="H162" s="216">
        <f t="shared" si="77"/>
        <v>55.075212698269191</v>
      </c>
      <c r="I162" s="216">
        <f t="shared" si="77"/>
        <v>72.310305660677074</v>
      </c>
      <c r="J162" s="216">
        <f t="shared" si="77"/>
        <v>91.270399147000632</v>
      </c>
      <c r="K162" s="216">
        <f t="shared" si="77"/>
        <v>111.7795449265721</v>
      </c>
      <c r="L162" s="216">
        <f t="shared" si="77"/>
        <v>133.64846699989033</v>
      </c>
      <c r="M162" s="216">
        <f t="shared" si="77"/>
        <v>156.67456159862061</v>
      </c>
      <c r="N162" s="216">
        <f t="shared" si="77"/>
        <v>193.98468755223195</v>
      </c>
      <c r="O162" s="216">
        <f t="shared" si="77"/>
        <v>233.7564614004213</v>
      </c>
      <c r="P162" s="216">
        <f t="shared" si="77"/>
        <v>274.59046363239094</v>
      </c>
      <c r="Q162" s="216">
        <f t="shared" si="77"/>
        <v>316.63656072406837</v>
      </c>
      <c r="R162" s="216">
        <f t="shared" si="77"/>
        <v>359.36584371183841</v>
      </c>
      <c r="S162" s="216">
        <f t="shared" si="77"/>
        <v>402.22867460820896</v>
      </c>
      <c r="T162" s="216">
        <f t="shared" si="77"/>
        <v>444.65528901585463</v>
      </c>
      <c r="U162" s="216">
        <f t="shared" si="77"/>
        <v>486.05640784309264</v>
      </c>
      <c r="V162" s="216">
        <f t="shared" si="77"/>
        <v>525.82385812078769</v>
      </c>
      <c r="W162" s="216">
        <f t="shared" si="77"/>
        <v>563.33120292069032</v>
      </c>
      <c r="X162" s="216">
        <f t="shared" si="77"/>
        <v>620.75208509656545</v>
      </c>
      <c r="Y162" s="216">
        <f t="shared" si="77"/>
        <v>674.40139274110925</v>
      </c>
      <c r="Z162" s="216">
        <f t="shared" si="77"/>
        <v>716.99178803842847</v>
      </c>
      <c r="AA162" s="216">
        <f t="shared" si="77"/>
        <v>752.72140389166805</v>
      </c>
      <c r="AB162" s="216">
        <f t="shared" si="77"/>
        <v>780.61161077290842</v>
      </c>
      <c r="AC162" s="216">
        <f t="shared" si="77"/>
        <v>799.7083699395555</v>
      </c>
      <c r="AD162" s="216">
        <f t="shared" si="77"/>
        <v>809.08720855176921</v>
      </c>
      <c r="AE162" s="216">
        <f t="shared" si="77"/>
        <v>807.85830900268218</v>
      </c>
      <c r="AF162" s="216">
        <f t="shared" si="77"/>
        <v>795.17171246140697</v>
      </c>
      <c r="AG162" s="216">
        <f t="shared" si="77"/>
        <v>770.22263662884222</v>
      </c>
      <c r="AH162" s="230"/>
      <c r="AI162" s="126"/>
      <c r="AJ162" s="198"/>
      <c r="AL162" s="102"/>
      <c r="AM162" s="2"/>
      <c r="AN162" s="2"/>
      <c r="AO162" s="2"/>
      <c r="BC162" s="1"/>
      <c r="BD162" s="2"/>
      <c r="BE162" s="2"/>
      <c r="BF162" s="2"/>
      <c r="BG162" s="2"/>
      <c r="BH162" s="2"/>
      <c r="BI162" s="2"/>
      <c r="BJ162" s="2"/>
      <c r="BK162" s="2"/>
    </row>
    <row r="163" spans="1:63" outlineLevel="1">
      <c r="A163" s="4" t="s">
        <v>1159</v>
      </c>
      <c r="C163" s="216">
        <f t="shared" si="77"/>
        <v>0</v>
      </c>
      <c r="D163" s="216">
        <f t="shared" si="77"/>
        <v>30.759945939001383</v>
      </c>
      <c r="E163" s="216">
        <f t="shared" si="77"/>
        <v>61.150029608378546</v>
      </c>
      <c r="F163" s="216">
        <f t="shared" si="77"/>
        <v>91.071089013837778</v>
      </c>
      <c r="G163" s="216">
        <f t="shared" si="77"/>
        <v>120.42161277402282</v>
      </c>
      <c r="H163" s="216">
        <f t="shared" si="77"/>
        <v>149.0977401205144</v>
      </c>
      <c r="I163" s="216">
        <f t="shared" si="77"/>
        <v>176.99326089783096</v>
      </c>
      <c r="J163" s="216">
        <f t="shared" si="77"/>
        <v>203.9996155634276</v>
      </c>
      <c r="K163" s="216">
        <f t="shared" si="77"/>
        <v>230.00589518769738</v>
      </c>
      <c r="L163" s="216">
        <f t="shared" si="77"/>
        <v>254.89884145397036</v>
      </c>
      <c r="M163" s="216">
        <f t="shared" si="77"/>
        <v>278.56284665851365</v>
      </c>
      <c r="N163" s="216">
        <f t="shared" si="77"/>
        <v>332.31680501359074</v>
      </c>
      <c r="O163" s="216">
        <f t="shared" si="77"/>
        <v>383.5606361177102</v>
      </c>
      <c r="P163" s="216">
        <f t="shared" si="77"/>
        <v>430.14588042164189</v>
      </c>
      <c r="Q163" s="216">
        <f t="shared" si="77"/>
        <v>473.39402709373223</v>
      </c>
      <c r="R163" s="216">
        <f t="shared" si="77"/>
        <v>513.07651646920374</v>
      </c>
      <c r="S163" s="216">
        <f t="shared" si="77"/>
        <v>548.96390104680233</v>
      </c>
      <c r="T163" s="216">
        <f t="shared" si="77"/>
        <v>580.82598808845285</v>
      </c>
      <c r="U163" s="216">
        <f t="shared" si="77"/>
        <v>608.43198382329479</v>
      </c>
      <c r="V163" s="216">
        <f t="shared" si="77"/>
        <v>631.55063925609306</v>
      </c>
      <c r="W163" s="216">
        <f t="shared" si="77"/>
        <v>649.9503975800319</v>
      </c>
      <c r="X163" s="216">
        <f t="shared" si="77"/>
        <v>693.47522940358238</v>
      </c>
      <c r="Y163" s="216">
        <f t="shared" si="77"/>
        <v>729.18792982372133</v>
      </c>
      <c r="Z163" s="216">
        <f t="shared" si="77"/>
        <v>749.13896186093416</v>
      </c>
      <c r="AA163" s="216">
        <f t="shared" si="77"/>
        <v>759.98916976842997</v>
      </c>
      <c r="AB163" s="216">
        <f t="shared" si="77"/>
        <v>761.57439193712958</v>
      </c>
      <c r="AC163" s="216">
        <f t="shared" si="77"/>
        <v>753.75619547075246</v>
      </c>
      <c r="AD163" s="216">
        <f t="shared" si="77"/>
        <v>736.42320961931352</v>
      </c>
      <c r="AE163" s="216">
        <f t="shared" si="77"/>
        <v>709.49247934577102</v>
      </c>
      <c r="AF163" s="216">
        <f t="shared" si="77"/>
        <v>672.91083902582955</v>
      </c>
      <c r="AG163" s="216">
        <f t="shared" si="77"/>
        <v>626.65630628090753</v>
      </c>
      <c r="AH163" s="230"/>
      <c r="AI163" s="126"/>
      <c r="AJ163" s="198"/>
      <c r="AL163" s="102"/>
      <c r="AM163" s="2"/>
      <c r="AN163" s="2"/>
      <c r="AO163" s="2"/>
      <c r="BC163" s="1"/>
      <c r="BD163" s="2"/>
      <c r="BE163" s="2"/>
      <c r="BF163" s="2"/>
      <c r="BG163" s="2"/>
      <c r="BH163" s="2"/>
      <c r="BI163" s="2"/>
      <c r="BJ163" s="2"/>
      <c r="BK163" s="2"/>
    </row>
    <row r="164" spans="1:63" s="1" customFormat="1" outlineLevel="1">
      <c r="A164" s="1" t="s">
        <v>1167</v>
      </c>
      <c r="B164" s="61"/>
      <c r="C164" s="279">
        <f>'BTX Recycling HC'!C164</f>
        <v>71.14446825909539</v>
      </c>
      <c r="D164" s="279">
        <f>'BTX Recycling HC'!D164</f>
        <v>88.042434324561455</v>
      </c>
      <c r="E164" s="279">
        <f>'BTX Recycling HC'!E164</f>
        <v>104.48763526169067</v>
      </c>
      <c r="F164" s="279">
        <f>'BTX Recycling HC'!F164</f>
        <v>120.43450063951285</v>
      </c>
      <c r="G164" s="279">
        <f>'BTX Recycling HC'!G164</f>
        <v>135.83746002705774</v>
      </c>
      <c r="H164" s="279">
        <f>'BTX Recycling HC'!H164</f>
        <v>150.6509429933551</v>
      </c>
      <c r="I164" s="279">
        <f>'BTX Recycling HC'!I164</f>
        <v>164.82937910743485</v>
      </c>
      <c r="J164" s="279">
        <f>'BTX Recycling HC'!J164</f>
        <v>178.32719793832652</v>
      </c>
      <c r="K164" s="279">
        <f>'BTX Recycling HC'!K164</f>
        <v>191.09882905506012</v>
      </c>
      <c r="L164" s="279">
        <f>'BTX Recycling HC'!L164</f>
        <v>203.09870202666534</v>
      </c>
      <c r="M164" s="279">
        <f>'BTX Recycling HC'!M164</f>
        <v>214.28124642217188</v>
      </c>
      <c r="N164" s="279">
        <f>'BTX Recycling HC'!N164</f>
        <v>241.19063462376042</v>
      </c>
      <c r="O164" s="279">
        <f>'BTX Recycling HC'!O164</f>
        <v>266.4207545725767</v>
      </c>
      <c r="P164" s="279">
        <f>'BTX Recycling HC'!P164</f>
        <v>288.88685026918796</v>
      </c>
      <c r="Q164" s="279">
        <f>'BTX Recycling HC'!Q164</f>
        <v>309.32761972372435</v>
      </c>
      <c r="R164" s="279">
        <f>'BTX Recycling HC'!R164</f>
        <v>327.66587473383481</v>
      </c>
      <c r="S164" s="279">
        <f>'BTX Recycling HC'!S164</f>
        <v>343.82600493001809</v>
      </c>
      <c r="T164" s="279">
        <f>'BTX Recycling HC'!T164</f>
        <v>357.7339985220874</v>
      </c>
      <c r="U164" s="279">
        <f>'BTX Recycling HC'!U164</f>
        <v>369.31746304563518</v>
      </c>
      <c r="V164" s="279">
        <f>'BTX Recycling HC'!V164</f>
        <v>378.50564610849682</v>
      </c>
      <c r="W164" s="279">
        <f>'BTX Recycling HC'!W164</f>
        <v>385.22945613721652</v>
      </c>
      <c r="X164" s="279">
        <f>'BTX Recycling HC'!X164</f>
        <v>404.28215129330493</v>
      </c>
      <c r="Y164" s="279">
        <f>'BTX Recycling HC'!Y164</f>
        <v>419.2580918599017</v>
      </c>
      <c r="Z164" s="279">
        <f>'BTX Recycling HC'!Z164</f>
        <v>426.35564875952423</v>
      </c>
      <c r="AA164" s="279">
        <f>'BTX Recycling HC'!AA164</f>
        <v>428.9520024522966</v>
      </c>
      <c r="AB164" s="279">
        <f>'BTX Recycling HC'!AB164</f>
        <v>427.05191505577693</v>
      </c>
      <c r="AC164" s="279">
        <f>'BTX Recycling HC'!AC164</f>
        <v>420.67235159890782</v>
      </c>
      <c r="AD164" s="279">
        <f>'BTX Recycling HC'!AD164</f>
        <v>409.84274036697815</v>
      </c>
      <c r="AE164" s="279">
        <f>'BTX Recycling HC'!AE164</f>
        <v>394.60523324658112</v>
      </c>
      <c r="AF164" s="279">
        <f>'BTX Recycling HC'!AF164</f>
        <v>375.01496607057317</v>
      </c>
      <c r="AG164" s="279">
        <f>'BTX Recycling HC'!AG164</f>
        <v>351.14031896303487</v>
      </c>
      <c r="AH164" s="230"/>
      <c r="AI164" s="398"/>
      <c r="AJ164" s="399"/>
      <c r="AL164" s="207"/>
      <c r="AM164" s="118"/>
      <c r="AN164" s="118"/>
      <c r="AO164" s="118"/>
      <c r="BD164" s="118"/>
      <c r="BE164" s="118"/>
      <c r="BF164" s="118"/>
      <c r="BG164" s="118"/>
      <c r="BH164" s="118"/>
      <c r="BI164" s="118"/>
      <c r="BJ164" s="118"/>
      <c r="BK164" s="118"/>
    </row>
    <row r="165" spans="1:63" outlineLevel="1">
      <c r="A165" s="4" t="s">
        <v>35</v>
      </c>
      <c r="C165" s="216">
        <f>C$164*'BTX recycling rates'!E66</f>
        <v>0</v>
      </c>
      <c r="D165" s="216">
        <f>D$164*'BTX recycling rates'!F66</f>
        <v>0</v>
      </c>
      <c r="E165" s="216">
        <f>E$164*'BTX recycling rates'!G66</f>
        <v>0</v>
      </c>
      <c r="F165" s="216">
        <f>F$164*'BTX recycling rates'!H66</f>
        <v>0</v>
      </c>
      <c r="G165" s="216">
        <f>G$164*'BTX recycling rates'!I66</f>
        <v>0</v>
      </c>
      <c r="H165" s="216">
        <f>H$164*'BTX recycling rates'!J66</f>
        <v>0</v>
      </c>
      <c r="I165" s="216">
        <f>I$164*'BTX recycling rates'!K66</f>
        <v>0</v>
      </c>
      <c r="J165" s="216">
        <f>J$164*'BTX recycling rates'!L66</f>
        <v>0</v>
      </c>
      <c r="K165" s="216">
        <f>K$164*'BTX recycling rates'!M66</f>
        <v>0</v>
      </c>
      <c r="L165" s="216">
        <f>L$164*'BTX recycling rates'!N66</f>
        <v>0</v>
      </c>
      <c r="M165" s="216">
        <f>M$164*'BTX recycling rates'!O66</f>
        <v>0</v>
      </c>
      <c r="N165" s="216">
        <f>N$164*'BTX recycling rates'!P66</f>
        <v>0</v>
      </c>
      <c r="O165" s="216">
        <f>O$164*'BTX recycling rates'!Q66</f>
        <v>0</v>
      </c>
      <c r="P165" s="216">
        <f>P$164*'BTX recycling rates'!R66</f>
        <v>0</v>
      </c>
      <c r="Q165" s="216">
        <f>Q$164*'BTX recycling rates'!S66</f>
        <v>0</v>
      </c>
      <c r="R165" s="216">
        <f>R$164*'BTX recycling rates'!T66</f>
        <v>0</v>
      </c>
      <c r="S165" s="216">
        <f>S$164*'BTX recycling rates'!U66</f>
        <v>0</v>
      </c>
      <c r="T165" s="216">
        <f>T$164*'BTX recycling rates'!V66</f>
        <v>0</v>
      </c>
      <c r="U165" s="216">
        <f>U$164*'BTX recycling rates'!W66</f>
        <v>0</v>
      </c>
      <c r="V165" s="216">
        <f>V$164*'BTX recycling rates'!X66</f>
        <v>0</v>
      </c>
      <c r="W165" s="216">
        <f>W$164*'BTX recycling rates'!Y66</f>
        <v>0</v>
      </c>
      <c r="X165" s="216">
        <f>X$164*'BTX recycling rates'!Z66</f>
        <v>0</v>
      </c>
      <c r="Y165" s="216">
        <f>Y$164*'BTX recycling rates'!AA66</f>
        <v>0</v>
      </c>
      <c r="Z165" s="216">
        <f>Z$164*'BTX recycling rates'!AB66</f>
        <v>0</v>
      </c>
      <c r="AA165" s="216">
        <f>AA$164*'BTX recycling rates'!AC66</f>
        <v>0</v>
      </c>
      <c r="AB165" s="216">
        <f>AB$164*'BTX recycling rates'!AD66</f>
        <v>0</v>
      </c>
      <c r="AC165" s="216">
        <f>AC$164*'BTX recycling rates'!AE66</f>
        <v>0</v>
      </c>
      <c r="AD165" s="216">
        <f>AD$164*'BTX recycling rates'!AF66</f>
        <v>0</v>
      </c>
      <c r="AE165" s="216">
        <f>AE$164*'BTX recycling rates'!AG66</f>
        <v>0</v>
      </c>
      <c r="AF165" s="216">
        <f>AF$164*'BTX recycling rates'!AH66</f>
        <v>0</v>
      </c>
      <c r="AG165" s="216">
        <f>AG$164*'BTX recycling rates'!AI66</f>
        <v>0</v>
      </c>
      <c r="AH165" s="230"/>
      <c r="AI165" s="126"/>
      <c r="AJ165" s="198"/>
      <c r="AL165" s="102"/>
      <c r="AM165" s="2"/>
      <c r="AN165" s="2"/>
      <c r="AO165" s="2"/>
      <c r="BC165" s="1"/>
      <c r="BD165" s="2"/>
      <c r="BE165" s="2"/>
      <c r="BF165" s="2"/>
      <c r="BG165" s="2"/>
      <c r="BH165" s="2"/>
      <c r="BI165" s="2"/>
      <c r="BJ165" s="2"/>
      <c r="BK165" s="2"/>
    </row>
    <row r="166" spans="1:63" outlineLevel="1">
      <c r="A166" s="4" t="s">
        <v>74</v>
      </c>
      <c r="C166" s="216">
        <f>C$164*'BTX recycling rates'!E67</f>
        <v>42.360828429079696</v>
      </c>
      <c r="D166" s="216">
        <f>D$164*'BTX recycling rates'!F67</f>
        <v>50.674805710472775</v>
      </c>
      <c r="E166" s="216">
        <f>E$164*'BTX recycling rates'!G67</f>
        <v>58.066411046191455</v>
      </c>
      <c r="F166" s="216">
        <f>F$164*'BTX recycling rates'!H67</f>
        <v>64.538182785448868</v>
      </c>
      <c r="G166" s="216">
        <f>G$164*'BTX recycling rates'!I67</f>
        <v>70.096277082664912</v>
      </c>
      <c r="H166" s="216">
        <f>H$164*'BTX recycling rates'!J67</f>
        <v>74.750467897466265</v>
      </c>
      <c r="I166" s="216">
        <f>I$164*'BTX recycling rates'!K67</f>
        <v>78.514146994686513</v>
      </c>
      <c r="J166" s="216">
        <f>J$164*'BTX recycling rates'!L67</f>
        <v>81.404323944365828</v>
      </c>
      <c r="K166" s="216">
        <f>K$164*'BTX recycling rates'!M67</f>
        <v>83.441626121751426</v>
      </c>
      <c r="L166" s="216">
        <f>L$164*'BTX recycling rates'!N67</f>
        <v>84.650298707297139</v>
      </c>
      <c r="M166" s="216">
        <f>M$164*'BTX recycling rates'!O67</f>
        <v>85.058204686663615</v>
      </c>
      <c r="N166" s="216">
        <f>N$164*'BTX recycling rates'!P67</f>
        <v>90.952804201631764</v>
      </c>
      <c r="O166" s="216">
        <f>O$164*'BTX recycling rates'!Q67</f>
        <v>95.179323007607522</v>
      </c>
      <c r="P166" s="216">
        <f>P$164*'BTX recycling rates'!R67</f>
        <v>97.471746426703064</v>
      </c>
      <c r="Q166" s="216">
        <f>Q$164*'BTX recycling rates'!S67</f>
        <v>98.229228858831505</v>
      </c>
      <c r="R166" s="216">
        <f>R$164*'BTX recycling rates'!T67</f>
        <v>97.549382554347716</v>
      </c>
      <c r="S166" s="216">
        <f>S$164*'BTX recycling rates'!U67</f>
        <v>95.536386102691992</v>
      </c>
      <c r="T166" s="216">
        <f>T$164*'BTX recycling rates'!V67</f>
        <v>92.300833206462173</v>
      </c>
      <c r="U166" s="216">
        <f>U$164*'BTX recycling rates'!W67</f>
        <v>87.959578984914558</v>
      </c>
      <c r="V166" s="216">
        <f>V$164*'BTX recycling rates'!X67</f>
        <v>82.635583806893123</v>
      </c>
      <c r="W166" s="216">
        <f>W$164*'BTX recycling rates'!Y67</f>
        <v>76.457754653187919</v>
      </c>
      <c r="X166" s="216">
        <f>X$164*'BTX recycling rates'!Z67</f>
        <v>72.215285040178031</v>
      </c>
      <c r="Y166" s="216">
        <f>Y$164*'BTX recycling rates'!AA67</f>
        <v>66.569223745694217</v>
      </c>
      <c r="Z166" s="216">
        <f>Z$164*'BTX recycling rates'!AB67</f>
        <v>59.234143568116998</v>
      </c>
      <c r="AA166" s="216">
        <f>AA$164*'BTX recycling rates'!AC67</f>
        <v>51.081307162258113</v>
      </c>
      <c r="AB166" s="216">
        <f>AB$164*'BTX recycling rates'!AD67</f>
        <v>42.379197677290733</v>
      </c>
      <c r="AC166" s="216">
        <f>AC$164*'BTX recycling rates'!AE67</f>
        <v>33.396888981897924</v>
      </c>
      <c r="AD166" s="216">
        <f>AD$164*'BTX recycling rates'!AF67</f>
        <v>24.402850189789437</v>
      </c>
      <c r="AE166" s="216">
        <f>AE$164*'BTX recycling rates'!AG67</f>
        <v>15.663719182306941</v>
      </c>
      <c r="AF166" s="216">
        <f>AF$164*'BTX recycling rates'!AH67</f>
        <v>7.4430451281181549</v>
      </c>
      <c r="AG166" s="216">
        <f>AG$164*'BTX recycling rates'!AI67</f>
        <v>0</v>
      </c>
      <c r="AH166" s="230"/>
      <c r="AI166" s="126"/>
      <c r="AJ166" s="198"/>
      <c r="AL166" s="102"/>
      <c r="AM166" s="2"/>
      <c r="AN166" s="2"/>
      <c r="AO166" s="2"/>
      <c r="BC166" s="1"/>
      <c r="BD166" s="2"/>
      <c r="BE166" s="2"/>
      <c r="BF166" s="2"/>
      <c r="BG166" s="2"/>
      <c r="BH166" s="2"/>
      <c r="BI166" s="2"/>
      <c r="BJ166" s="2"/>
      <c r="BK166" s="2"/>
    </row>
    <row r="167" spans="1:63" outlineLevel="1">
      <c r="A167" s="4" t="s">
        <v>160</v>
      </c>
      <c r="C167" s="216">
        <f>C$164*'BTX recycling rates'!E68</f>
        <v>0</v>
      </c>
      <c r="D167" s="216">
        <f>D$164*'BTX recycling rates'!F68</f>
        <v>1.4855397212265078</v>
      </c>
      <c r="E167" s="216">
        <f>E$164*'BTX recycling rates'!G68</f>
        <v>3.5260390912423163</v>
      </c>
      <c r="F167" s="216">
        <f>F$164*'BTX recycling rates'!H68</f>
        <v>6.0962728670087838</v>
      </c>
      <c r="G167" s="216">
        <f>G$164*'BTX recycling rates'!I68</f>
        <v>9.1679401665257121</v>
      </c>
      <c r="H167" s="216">
        <f>H$164*'BTX recycling rates'!J68</f>
        <v>12.709664468831349</v>
      </c>
      <c r="I167" s="216">
        <f>I$164*'BTX recycling rates'!K68</f>
        <v>16.6869936140024</v>
      </c>
      <c r="J167" s="216">
        <f>J$164*'BTX recycling rates'!L68</f>
        <v>21.062399803153983</v>
      </c>
      <c r="K167" s="216">
        <f>K$164*'BTX recycling rates'!M68</f>
        <v>25.795279598439716</v>
      </c>
      <c r="L167" s="216">
        <f>L$164*'BTX recycling rates'!N68</f>
        <v>30.841953923051612</v>
      </c>
      <c r="M167" s="216">
        <f>M$164*'BTX recycling rates'!O68</f>
        <v>36.15566806122014</v>
      </c>
      <c r="N167" s="216">
        <f>N$164*'BTX recycling rates'!P68</f>
        <v>44.765697127438131</v>
      </c>
      <c r="O167" s="216">
        <f>O$164*'BTX recycling rates'!Q68</f>
        <v>53.943798784712598</v>
      </c>
      <c r="P167" s="216">
        <f>P$164*'BTX recycling rates'!R68</f>
        <v>63.367030069013289</v>
      </c>
      <c r="Q167" s="216">
        <f>Q$164*'BTX recycling rates'!S68</f>
        <v>73.069975551708069</v>
      </c>
      <c r="R167" s="216">
        <f>R$164*'BTX recycling rates'!T68</f>
        <v>82.930579318116557</v>
      </c>
      <c r="S167" s="216">
        <f>S$164*'BTX recycling rates'!U68</f>
        <v>92.822001832663588</v>
      </c>
      <c r="T167" s="216">
        <f>T$164*'BTX recycling rates'!V68</f>
        <v>102.61275900365875</v>
      </c>
      <c r="U167" s="216">
        <f>U$164*'BTX recycling rates'!W68</f>
        <v>112.16686334840598</v>
      </c>
      <c r="V167" s="216">
        <f>V$164*'BTX recycling rates'!X68</f>
        <v>121.3439672586433</v>
      </c>
      <c r="W167" s="216">
        <f>W$164*'BTX recycling rates'!Y68</f>
        <v>129.99950836631311</v>
      </c>
      <c r="X167" s="216">
        <f>X$164*'BTX recycling rates'!Z68</f>
        <v>143.25048117613048</v>
      </c>
      <c r="Y167" s="216">
        <f>Y$164*'BTX recycling rates'!AA68</f>
        <v>155.63109063256366</v>
      </c>
      <c r="Z167" s="216">
        <f>Z$164*'BTX recycling rates'!AB68</f>
        <v>165.45964339348347</v>
      </c>
      <c r="AA167" s="216">
        <f>AA$164*'BTX recycling rates'!AC68</f>
        <v>173.70493935961571</v>
      </c>
      <c r="AB167" s="216">
        <f>AB$164*'BTX recycling rates'!AD68</f>
        <v>180.14114094759427</v>
      </c>
      <c r="AC167" s="216">
        <f>AC$164*'BTX recycling rates'!AE68</f>
        <v>184.5480853706666</v>
      </c>
      <c r="AD167" s="216">
        <f>AD$164*'BTX recycling rates'!AF68</f>
        <v>186.71243274271595</v>
      </c>
      <c r="AE167" s="216">
        <f>AE$164*'BTX recycling rates'!AG68</f>
        <v>186.42884053908045</v>
      </c>
      <c r="AF167" s="216">
        <f>AF$164*'BTX recycling rates'!AH68</f>
        <v>183.50116441417083</v>
      </c>
      <c r="AG167" s="216">
        <f>AG$164*'BTX recycling rates'!AI68</f>
        <v>177.74368537588666</v>
      </c>
      <c r="AH167" s="230"/>
      <c r="AI167" s="126"/>
      <c r="AJ167" s="198"/>
      <c r="AL167" s="102"/>
      <c r="AM167" s="2"/>
      <c r="AN167" s="2"/>
      <c r="AO167" s="2"/>
      <c r="BC167" s="1"/>
      <c r="BD167" s="2"/>
      <c r="BE167" s="2"/>
      <c r="BF167" s="2"/>
      <c r="BG167" s="2"/>
      <c r="BH167" s="2"/>
      <c r="BI167" s="2"/>
      <c r="BJ167" s="2"/>
      <c r="BK167" s="2"/>
    </row>
    <row r="168" spans="1:63" outlineLevel="1">
      <c r="A168" s="4" t="s">
        <v>1159</v>
      </c>
      <c r="C168" s="216">
        <f>C$164*'BTX recycling rates'!E69</f>
        <v>28.783639830015694</v>
      </c>
      <c r="D168" s="216">
        <f>D$164*'BTX recycling rates'!F69</f>
        <v>35.882088892862171</v>
      </c>
      <c r="E168" s="216">
        <f>E$164*'BTX recycling rates'!G69</f>
        <v>42.895185124256898</v>
      </c>
      <c r="F168" s="216">
        <f>F$164*'BTX recycling rates'!H69</f>
        <v>49.800044987055188</v>
      </c>
      <c r="G168" s="216">
        <f>G$164*'BTX recycling rates'!I69</f>
        <v>56.573242777867115</v>
      </c>
      <c r="H168" s="216">
        <f>H$164*'BTX recycling rates'!J69</f>
        <v>63.190810627057473</v>
      </c>
      <c r="I168" s="216">
        <f>I$164*'BTX recycling rates'!K69</f>
        <v>69.628238498745915</v>
      </c>
      <c r="J168" s="216">
        <f>J$164*'BTX recycling rates'!L69</f>
        <v>75.86047419080667</v>
      </c>
      <c r="K168" s="216">
        <f>K$164*'BTX recycling rates'!M69</f>
        <v>81.861923334868948</v>
      </c>
      <c r="L168" s="216">
        <f>L$164*'BTX recycling rates'!N69</f>
        <v>87.606449396316549</v>
      </c>
      <c r="M168" s="216">
        <f>M$164*'BTX recycling rates'!O69</f>
        <v>93.067373674288064</v>
      </c>
      <c r="N168" s="216">
        <f>N$164*'BTX recycling rates'!P69</f>
        <v>105.47213329469047</v>
      </c>
      <c r="O168" s="216">
        <f>O$164*'BTX recycling rates'!Q69</f>
        <v>117.29763278025651</v>
      </c>
      <c r="P168" s="216">
        <f>P$164*'BTX recycling rates'!R69</f>
        <v>128.04807377347151</v>
      </c>
      <c r="Q168" s="216">
        <f>Q$164*'BTX recycling rates'!S69</f>
        <v>138.02841531318467</v>
      </c>
      <c r="R168" s="216">
        <f>R$164*'BTX recycling rates'!T69</f>
        <v>147.18591286137041</v>
      </c>
      <c r="S168" s="216">
        <f>S$164*'BTX recycling rates'!U69</f>
        <v>155.46761699466236</v>
      </c>
      <c r="T168" s="216">
        <f>T$164*'BTX recycling rates'!V69</f>
        <v>162.82040631196634</v>
      </c>
      <c r="U168" s="216">
        <f>U$164*'BTX recycling rates'!W69</f>
        <v>169.1910207123145</v>
      </c>
      <c r="V168" s="216">
        <f>V$164*'BTX recycling rates'!X69</f>
        <v>174.52609504296026</v>
      </c>
      <c r="W168" s="216">
        <f>W$164*'BTX recycling rates'!Y69</f>
        <v>178.77219311771532</v>
      </c>
      <c r="X168" s="216">
        <f>X$164*'BTX recycling rates'!Z69</f>
        <v>188.81638507699626</v>
      </c>
      <c r="Y168" s="216">
        <f>Y$164*'BTX recycling rates'!AA69</f>
        <v>197.05777748164368</v>
      </c>
      <c r="Z168" s="216">
        <f>Z$164*'BTX recycling rates'!AB69</f>
        <v>201.66186179792359</v>
      </c>
      <c r="AA168" s="216">
        <f>AA$164*'BTX recycling rates'!AC69</f>
        <v>204.16575593042262</v>
      </c>
      <c r="AB168" s="216">
        <f>AB$164*'BTX recycling rates'!AD69</f>
        <v>204.53157643089176</v>
      </c>
      <c r="AC168" s="216">
        <f>AC$164*'BTX recycling rates'!AE69</f>
        <v>202.72737724634314</v>
      </c>
      <c r="AD168" s="216">
        <f>AD$164*'BTX recycling rates'!AF69</f>
        <v>198.72745743447263</v>
      </c>
      <c r="AE168" s="216">
        <f>AE$164*'BTX recycling rates'!AG69</f>
        <v>192.51267352519358</v>
      </c>
      <c r="AF168" s="216">
        <f>AF$164*'BTX recycling rates'!AH69</f>
        <v>184.07075652828405</v>
      </c>
      <c r="AG168" s="216">
        <f>AG$164*'BTX recycling rates'!AI69</f>
        <v>173.39663358714819</v>
      </c>
      <c r="AH168" s="230"/>
      <c r="AI168" s="126"/>
      <c r="AJ168" s="198"/>
      <c r="AL168" s="102"/>
      <c r="AM168" s="2"/>
      <c r="AN168" s="2"/>
      <c r="AO168" s="2"/>
      <c r="BC168" s="1"/>
      <c r="BD168" s="2"/>
      <c r="BE168" s="2"/>
      <c r="BF168" s="2"/>
      <c r="BG168" s="2"/>
      <c r="BH168" s="2"/>
      <c r="BI168" s="2"/>
      <c r="BJ168" s="2"/>
      <c r="BK168" s="2"/>
    </row>
    <row r="169" spans="1:63" s="1" customFormat="1" outlineLevel="1">
      <c r="A169" s="1" t="s">
        <v>1168</v>
      </c>
      <c r="B169" s="61"/>
      <c r="C169" s="279">
        <f t="shared" ref="C169:AG169" si="78">C164-$C164</f>
        <v>0</v>
      </c>
      <c r="D169" s="279">
        <f t="shared" si="78"/>
        <v>16.897966065466065</v>
      </c>
      <c r="E169" s="279">
        <f t="shared" si="78"/>
        <v>33.34316700259528</v>
      </c>
      <c r="F169" s="279">
        <f t="shared" si="78"/>
        <v>49.290032380417458</v>
      </c>
      <c r="G169" s="279">
        <f t="shared" si="78"/>
        <v>64.692991767962354</v>
      </c>
      <c r="H169" s="279">
        <f t="shared" si="78"/>
        <v>79.506474734259712</v>
      </c>
      <c r="I169" s="279">
        <f t="shared" si="78"/>
        <v>93.684910848339456</v>
      </c>
      <c r="J169" s="279">
        <f t="shared" si="78"/>
        <v>107.18272967923113</v>
      </c>
      <c r="K169" s="279">
        <f t="shared" si="78"/>
        <v>119.95436079596473</v>
      </c>
      <c r="L169" s="279">
        <f t="shared" si="78"/>
        <v>131.95423376756995</v>
      </c>
      <c r="M169" s="279">
        <f t="shared" si="78"/>
        <v>143.13677816307649</v>
      </c>
      <c r="N169" s="279">
        <f t="shared" si="78"/>
        <v>170.04616636466503</v>
      </c>
      <c r="O169" s="279">
        <f t="shared" si="78"/>
        <v>195.27628631348131</v>
      </c>
      <c r="P169" s="279">
        <f t="shared" si="78"/>
        <v>217.74238201009257</v>
      </c>
      <c r="Q169" s="279">
        <f t="shared" si="78"/>
        <v>238.18315146462896</v>
      </c>
      <c r="R169" s="279">
        <f t="shared" si="78"/>
        <v>256.52140647473942</v>
      </c>
      <c r="S169" s="279">
        <f t="shared" si="78"/>
        <v>272.6815366709227</v>
      </c>
      <c r="T169" s="279">
        <f t="shared" si="78"/>
        <v>286.58953026299201</v>
      </c>
      <c r="U169" s="279">
        <f t="shared" si="78"/>
        <v>298.17299478653979</v>
      </c>
      <c r="V169" s="279">
        <f t="shared" si="78"/>
        <v>307.36117784940143</v>
      </c>
      <c r="W169" s="279">
        <f t="shared" si="78"/>
        <v>314.08498787812113</v>
      </c>
      <c r="X169" s="279">
        <f t="shared" si="78"/>
        <v>333.13768303420954</v>
      </c>
      <c r="Y169" s="279">
        <f t="shared" si="78"/>
        <v>348.11362360080631</v>
      </c>
      <c r="Z169" s="279">
        <f t="shared" si="78"/>
        <v>355.21118050042884</v>
      </c>
      <c r="AA169" s="279">
        <f t="shared" si="78"/>
        <v>357.80753419320121</v>
      </c>
      <c r="AB169" s="279">
        <f t="shared" si="78"/>
        <v>355.90744679668154</v>
      </c>
      <c r="AC169" s="279">
        <f t="shared" si="78"/>
        <v>349.52788333981243</v>
      </c>
      <c r="AD169" s="279">
        <f t="shared" si="78"/>
        <v>338.69827210788276</v>
      </c>
      <c r="AE169" s="279">
        <f t="shared" si="78"/>
        <v>323.46076498748573</v>
      </c>
      <c r="AF169" s="279">
        <f t="shared" si="78"/>
        <v>303.87049781147778</v>
      </c>
      <c r="AG169" s="279">
        <f t="shared" si="78"/>
        <v>279.99585070393948</v>
      </c>
      <c r="AH169" s="230"/>
      <c r="AI169" s="398"/>
      <c r="AJ169" s="399"/>
      <c r="AL169" s="207"/>
      <c r="AM169" s="118"/>
      <c r="AN169" s="118"/>
      <c r="AO169" s="118"/>
      <c r="BD169" s="118"/>
      <c r="BE169" s="118"/>
      <c r="BF169" s="118"/>
      <c r="BG169" s="118"/>
      <c r="BH169" s="118"/>
      <c r="BI169" s="118"/>
      <c r="BJ169" s="118"/>
      <c r="BK169" s="118"/>
    </row>
    <row r="170" spans="1:63" outlineLevel="1">
      <c r="A170" s="4" t="s">
        <v>35</v>
      </c>
      <c r="C170" s="216">
        <f t="shared" ref="C170:R173" si="79">C165-$C165</f>
        <v>0</v>
      </c>
      <c r="D170" s="216">
        <f t="shared" ref="D170:AG170" si="80">D165-$C165</f>
        <v>0</v>
      </c>
      <c r="E170" s="216">
        <f t="shared" si="80"/>
        <v>0</v>
      </c>
      <c r="F170" s="216">
        <f t="shared" si="80"/>
        <v>0</v>
      </c>
      <c r="G170" s="216">
        <f t="shared" si="80"/>
        <v>0</v>
      </c>
      <c r="H170" s="216">
        <f t="shared" si="80"/>
        <v>0</v>
      </c>
      <c r="I170" s="216">
        <f t="shared" si="80"/>
        <v>0</v>
      </c>
      <c r="J170" s="216">
        <f t="shared" si="80"/>
        <v>0</v>
      </c>
      <c r="K170" s="216">
        <f t="shared" si="80"/>
        <v>0</v>
      </c>
      <c r="L170" s="216">
        <f t="shared" si="80"/>
        <v>0</v>
      </c>
      <c r="M170" s="216">
        <f t="shared" si="80"/>
        <v>0</v>
      </c>
      <c r="N170" s="216">
        <f t="shared" si="80"/>
        <v>0</v>
      </c>
      <c r="O170" s="216">
        <f t="shared" si="80"/>
        <v>0</v>
      </c>
      <c r="P170" s="216">
        <f t="shared" si="80"/>
        <v>0</v>
      </c>
      <c r="Q170" s="216">
        <f t="shared" si="80"/>
        <v>0</v>
      </c>
      <c r="R170" s="216">
        <f t="shared" si="80"/>
        <v>0</v>
      </c>
      <c r="S170" s="216">
        <f t="shared" si="80"/>
        <v>0</v>
      </c>
      <c r="T170" s="216">
        <f t="shared" si="80"/>
        <v>0</v>
      </c>
      <c r="U170" s="216">
        <f t="shared" si="80"/>
        <v>0</v>
      </c>
      <c r="V170" s="216">
        <f t="shared" si="80"/>
        <v>0</v>
      </c>
      <c r="W170" s="216">
        <f t="shared" si="80"/>
        <v>0</v>
      </c>
      <c r="X170" s="216">
        <f t="shared" si="80"/>
        <v>0</v>
      </c>
      <c r="Y170" s="216">
        <f t="shared" si="80"/>
        <v>0</v>
      </c>
      <c r="Z170" s="216">
        <f t="shared" si="80"/>
        <v>0</v>
      </c>
      <c r="AA170" s="216">
        <f t="shared" si="80"/>
        <v>0</v>
      </c>
      <c r="AB170" s="216">
        <f t="shared" si="80"/>
        <v>0</v>
      </c>
      <c r="AC170" s="216">
        <f t="shared" si="80"/>
        <v>0</v>
      </c>
      <c r="AD170" s="216">
        <f t="shared" si="80"/>
        <v>0</v>
      </c>
      <c r="AE170" s="216">
        <f t="shared" si="80"/>
        <v>0</v>
      </c>
      <c r="AF170" s="216">
        <f t="shared" si="80"/>
        <v>0</v>
      </c>
      <c r="AG170" s="216">
        <f t="shared" si="80"/>
        <v>0</v>
      </c>
      <c r="AH170" s="230"/>
      <c r="AI170" s="126"/>
      <c r="AJ170" s="198"/>
      <c r="AL170" s="102"/>
      <c r="AM170" s="2"/>
      <c r="AN170" s="2"/>
      <c r="AO170" s="2"/>
      <c r="BC170" s="1"/>
      <c r="BD170" s="2"/>
      <c r="BE170" s="2"/>
      <c r="BF170" s="2"/>
      <c r="BG170" s="2"/>
      <c r="BH170" s="2"/>
      <c r="BI170" s="2"/>
      <c r="BJ170" s="2"/>
      <c r="BK170" s="2"/>
    </row>
    <row r="171" spans="1:63" outlineLevel="1">
      <c r="A171" s="4" t="s">
        <v>74</v>
      </c>
      <c r="C171" s="216">
        <f t="shared" si="79"/>
        <v>0</v>
      </c>
      <c r="D171" s="216">
        <f t="shared" si="79"/>
        <v>8.313977281393079</v>
      </c>
      <c r="E171" s="216">
        <f t="shared" si="79"/>
        <v>15.705582617111759</v>
      </c>
      <c r="F171" s="216">
        <f t="shared" si="79"/>
        <v>22.177354356369172</v>
      </c>
      <c r="G171" s="216">
        <f t="shared" si="79"/>
        <v>27.735448653585216</v>
      </c>
      <c r="H171" s="216">
        <f t="shared" si="79"/>
        <v>32.389639468386569</v>
      </c>
      <c r="I171" s="216">
        <f t="shared" si="79"/>
        <v>36.153318565606817</v>
      </c>
      <c r="J171" s="216">
        <f t="shared" si="79"/>
        <v>39.043495515286132</v>
      </c>
      <c r="K171" s="216">
        <f t="shared" si="79"/>
        <v>41.08079769267173</v>
      </c>
      <c r="L171" s="216">
        <f t="shared" si="79"/>
        <v>42.289470278217443</v>
      </c>
      <c r="M171" s="216">
        <f t="shared" si="79"/>
        <v>42.697376257583919</v>
      </c>
      <c r="N171" s="216">
        <f t="shared" si="79"/>
        <v>48.591975772552068</v>
      </c>
      <c r="O171" s="216">
        <f t="shared" si="79"/>
        <v>52.818494578527826</v>
      </c>
      <c r="P171" s="216">
        <f t="shared" si="79"/>
        <v>55.110917997623368</v>
      </c>
      <c r="Q171" s="216">
        <f t="shared" si="79"/>
        <v>55.868400429751809</v>
      </c>
      <c r="R171" s="216">
        <f t="shared" si="79"/>
        <v>55.18855412526802</v>
      </c>
      <c r="S171" s="216">
        <f t="shared" ref="S171:AG173" si="81">S166-$C166</f>
        <v>53.175557673612296</v>
      </c>
      <c r="T171" s="216">
        <f t="shared" si="81"/>
        <v>49.940004777382477</v>
      </c>
      <c r="U171" s="216">
        <f t="shared" si="81"/>
        <v>45.598750555834862</v>
      </c>
      <c r="V171" s="216">
        <f t="shared" si="81"/>
        <v>40.274755377813428</v>
      </c>
      <c r="W171" s="216">
        <f t="shared" si="81"/>
        <v>34.096926224108223</v>
      </c>
      <c r="X171" s="216">
        <f t="shared" si="81"/>
        <v>29.854456611098335</v>
      </c>
      <c r="Y171" s="216">
        <f t="shared" si="81"/>
        <v>24.208395316614521</v>
      </c>
      <c r="Z171" s="216">
        <f t="shared" si="81"/>
        <v>16.873315139037302</v>
      </c>
      <c r="AA171" s="216">
        <f t="shared" si="81"/>
        <v>8.7204787331784175</v>
      </c>
      <c r="AB171" s="216">
        <f t="shared" si="81"/>
        <v>1.8369248211037359E-2</v>
      </c>
      <c r="AC171" s="216">
        <f t="shared" si="81"/>
        <v>-8.9639394471817724</v>
      </c>
      <c r="AD171" s="216">
        <f t="shared" si="81"/>
        <v>-17.957978239290259</v>
      </c>
      <c r="AE171" s="216">
        <f t="shared" si="81"/>
        <v>-26.697109246772754</v>
      </c>
      <c r="AF171" s="216">
        <f t="shared" si="81"/>
        <v>-34.917783300961538</v>
      </c>
      <c r="AG171" s="216">
        <f t="shared" si="81"/>
        <v>-42.360828429079696</v>
      </c>
      <c r="AH171" s="230"/>
      <c r="AI171" s="126"/>
      <c r="AJ171" s="198"/>
      <c r="AL171" s="102"/>
      <c r="AM171" s="2"/>
      <c r="AN171" s="2"/>
      <c r="AO171" s="2"/>
      <c r="BC171" s="1"/>
      <c r="BD171" s="2"/>
      <c r="BE171" s="2"/>
      <c r="BF171" s="2"/>
      <c r="BG171" s="2"/>
      <c r="BH171" s="2"/>
      <c r="BI171" s="2"/>
      <c r="BJ171" s="2"/>
      <c r="BK171" s="2"/>
    </row>
    <row r="172" spans="1:63" outlineLevel="1">
      <c r="A172" s="4" t="s">
        <v>160</v>
      </c>
      <c r="C172" s="216">
        <f t="shared" si="79"/>
        <v>0</v>
      </c>
      <c r="D172" s="216">
        <f t="shared" si="79"/>
        <v>1.4855397212265078</v>
      </c>
      <c r="E172" s="216">
        <f t="shared" si="79"/>
        <v>3.5260390912423163</v>
      </c>
      <c r="F172" s="216">
        <f t="shared" si="79"/>
        <v>6.0962728670087838</v>
      </c>
      <c r="G172" s="216">
        <f t="shared" si="79"/>
        <v>9.1679401665257121</v>
      </c>
      <c r="H172" s="216">
        <f t="shared" si="79"/>
        <v>12.709664468831349</v>
      </c>
      <c r="I172" s="216">
        <f t="shared" si="79"/>
        <v>16.6869936140024</v>
      </c>
      <c r="J172" s="216">
        <f t="shared" si="79"/>
        <v>21.062399803153983</v>
      </c>
      <c r="K172" s="216">
        <f t="shared" si="79"/>
        <v>25.795279598439716</v>
      </c>
      <c r="L172" s="216">
        <f t="shared" si="79"/>
        <v>30.841953923051612</v>
      </c>
      <c r="M172" s="216">
        <f t="shared" si="79"/>
        <v>36.15566806122014</v>
      </c>
      <c r="N172" s="216">
        <f t="shared" si="79"/>
        <v>44.765697127438131</v>
      </c>
      <c r="O172" s="216">
        <f t="shared" si="79"/>
        <v>53.943798784712598</v>
      </c>
      <c r="P172" s="216">
        <f t="shared" si="79"/>
        <v>63.367030069013289</v>
      </c>
      <c r="Q172" s="216">
        <f t="shared" si="79"/>
        <v>73.069975551708069</v>
      </c>
      <c r="R172" s="216">
        <f t="shared" si="79"/>
        <v>82.930579318116557</v>
      </c>
      <c r="S172" s="216">
        <f t="shared" si="81"/>
        <v>92.822001832663588</v>
      </c>
      <c r="T172" s="216">
        <f t="shared" si="81"/>
        <v>102.61275900365875</v>
      </c>
      <c r="U172" s="216">
        <f t="shared" si="81"/>
        <v>112.16686334840598</v>
      </c>
      <c r="V172" s="216">
        <f t="shared" si="81"/>
        <v>121.3439672586433</v>
      </c>
      <c r="W172" s="216">
        <f t="shared" si="81"/>
        <v>129.99950836631311</v>
      </c>
      <c r="X172" s="216">
        <f t="shared" si="81"/>
        <v>143.25048117613048</v>
      </c>
      <c r="Y172" s="216">
        <f t="shared" si="81"/>
        <v>155.63109063256366</v>
      </c>
      <c r="Z172" s="216">
        <f t="shared" si="81"/>
        <v>165.45964339348347</v>
      </c>
      <c r="AA172" s="216">
        <f t="shared" si="81"/>
        <v>173.70493935961571</v>
      </c>
      <c r="AB172" s="216">
        <f t="shared" si="81"/>
        <v>180.14114094759427</v>
      </c>
      <c r="AC172" s="216">
        <f t="shared" si="81"/>
        <v>184.5480853706666</v>
      </c>
      <c r="AD172" s="216">
        <f t="shared" si="81"/>
        <v>186.71243274271595</v>
      </c>
      <c r="AE172" s="216">
        <f t="shared" si="81"/>
        <v>186.42884053908045</v>
      </c>
      <c r="AF172" s="216">
        <f t="shared" si="81"/>
        <v>183.50116441417083</v>
      </c>
      <c r="AG172" s="216">
        <f t="shared" si="81"/>
        <v>177.74368537588666</v>
      </c>
      <c r="AH172" s="230"/>
      <c r="AI172" s="126"/>
      <c r="AJ172" s="198"/>
      <c r="AL172" s="102"/>
      <c r="AM172" s="2"/>
      <c r="AN172" s="2"/>
      <c r="AO172" s="2"/>
      <c r="BC172" s="1"/>
      <c r="BD172" s="2"/>
      <c r="BE172" s="2"/>
      <c r="BF172" s="2"/>
      <c r="BG172" s="2"/>
      <c r="BH172" s="2"/>
      <c r="BI172" s="2"/>
      <c r="BJ172" s="2"/>
      <c r="BK172" s="2"/>
    </row>
    <row r="173" spans="1:63" outlineLevel="1">
      <c r="A173" s="4" t="s">
        <v>1159</v>
      </c>
      <c r="C173" s="216">
        <f t="shared" si="79"/>
        <v>0</v>
      </c>
      <c r="D173" s="216">
        <f t="shared" si="79"/>
        <v>7.0984490628464769</v>
      </c>
      <c r="E173" s="216">
        <f t="shared" si="79"/>
        <v>14.111545294241203</v>
      </c>
      <c r="F173" s="216">
        <f t="shared" si="79"/>
        <v>21.016405157039493</v>
      </c>
      <c r="G173" s="216">
        <f t="shared" si="79"/>
        <v>27.789602947851421</v>
      </c>
      <c r="H173" s="216">
        <f t="shared" si="79"/>
        <v>34.407170797041779</v>
      </c>
      <c r="I173" s="216">
        <f t="shared" si="79"/>
        <v>40.844598668730221</v>
      </c>
      <c r="J173" s="216">
        <f t="shared" si="79"/>
        <v>47.076834360790976</v>
      </c>
      <c r="K173" s="216">
        <f t="shared" si="79"/>
        <v>53.078283504853253</v>
      </c>
      <c r="L173" s="216">
        <f t="shared" si="79"/>
        <v>58.822809566300855</v>
      </c>
      <c r="M173" s="216">
        <f t="shared" si="79"/>
        <v>64.283733844272376</v>
      </c>
      <c r="N173" s="216">
        <f t="shared" si="79"/>
        <v>76.688493464674764</v>
      </c>
      <c r="O173" s="216">
        <f t="shared" si="79"/>
        <v>88.513992950240805</v>
      </c>
      <c r="P173" s="216">
        <f t="shared" si="79"/>
        <v>99.264433943455828</v>
      </c>
      <c r="Q173" s="216">
        <f t="shared" si="79"/>
        <v>109.24477548316898</v>
      </c>
      <c r="R173" s="216">
        <f t="shared" si="79"/>
        <v>118.40227303135472</v>
      </c>
      <c r="S173" s="216">
        <f t="shared" si="81"/>
        <v>126.68397716464668</v>
      </c>
      <c r="T173" s="216">
        <f t="shared" si="81"/>
        <v>134.03676648195065</v>
      </c>
      <c r="U173" s="216">
        <f t="shared" si="81"/>
        <v>140.40738088229881</v>
      </c>
      <c r="V173" s="216">
        <f t="shared" si="81"/>
        <v>145.74245521294458</v>
      </c>
      <c r="W173" s="216">
        <f t="shared" si="81"/>
        <v>149.98855328769963</v>
      </c>
      <c r="X173" s="216">
        <f t="shared" si="81"/>
        <v>160.03274524698057</v>
      </c>
      <c r="Y173" s="216">
        <f t="shared" si="81"/>
        <v>168.274137651628</v>
      </c>
      <c r="Z173" s="216">
        <f t="shared" si="81"/>
        <v>172.8782219679079</v>
      </c>
      <c r="AA173" s="216">
        <f t="shared" si="81"/>
        <v>175.38211610040693</v>
      </c>
      <c r="AB173" s="216">
        <f t="shared" si="81"/>
        <v>175.74793660087607</v>
      </c>
      <c r="AC173" s="216">
        <f t="shared" si="81"/>
        <v>173.94373741632745</v>
      </c>
      <c r="AD173" s="216">
        <f t="shared" si="81"/>
        <v>169.94381760445694</v>
      </c>
      <c r="AE173" s="216">
        <f t="shared" si="81"/>
        <v>163.72903369517789</v>
      </c>
      <c r="AF173" s="216">
        <f t="shared" si="81"/>
        <v>155.28711669826836</v>
      </c>
      <c r="AG173" s="216">
        <f t="shared" si="81"/>
        <v>144.6129937571325</v>
      </c>
      <c r="AH173" s="230"/>
      <c r="AI173" s="126"/>
      <c r="AJ173" s="198"/>
      <c r="AL173" s="102"/>
      <c r="AM173" s="2"/>
      <c r="AN173" s="2"/>
      <c r="AO173" s="2"/>
      <c r="BC173" s="1"/>
      <c r="BD173" s="2"/>
      <c r="BE173" s="2"/>
      <c r="BF173" s="2"/>
      <c r="BG173" s="2"/>
      <c r="BH173" s="2"/>
      <c r="BI173" s="2"/>
      <c r="BJ173" s="2"/>
      <c r="BK173" s="2"/>
    </row>
    <row r="174" spans="1:63" s="1" customFormat="1" outlineLevel="1">
      <c r="A174" s="1" t="s">
        <v>1162</v>
      </c>
      <c r="B174" s="61"/>
      <c r="C174" s="279">
        <f>'BTX Recycling HC'!C174</f>
        <v>213.4334047772862</v>
      </c>
      <c r="D174" s="279">
        <f>'BTX Recycling HC'!D174</f>
        <v>264.12730297368432</v>
      </c>
      <c r="E174" s="279">
        <f>'BTX Recycling HC'!E174</f>
        <v>313.462905785072</v>
      </c>
      <c r="F174" s="279">
        <f>'BTX Recycling HC'!F174</f>
        <v>361.30350191853847</v>
      </c>
      <c r="G174" s="279">
        <f>'BTX Recycling HC'!G174</f>
        <v>407.51238008117321</v>
      </c>
      <c r="H174" s="279">
        <f>'BTX Recycling HC'!H174</f>
        <v>451.95282898006536</v>
      </c>
      <c r="I174" s="279">
        <f>'BTX Recycling HC'!I174</f>
        <v>494.48813732230451</v>
      </c>
      <c r="J174" s="279">
        <f>'BTX Recycling HC'!J174</f>
        <v>534.98159381497953</v>
      </c>
      <c r="K174" s="279">
        <f>'BTX Recycling HC'!K174</f>
        <v>573.29648716518034</v>
      </c>
      <c r="L174" s="279">
        <f>'BTX Recycling HC'!L174</f>
        <v>609.29610607999598</v>
      </c>
      <c r="M174" s="279">
        <f>'BTX Recycling HC'!M174</f>
        <v>642.84373926651563</v>
      </c>
      <c r="N174" s="279">
        <f>'BTX Recycling HC'!N174</f>
        <v>723.57190387128128</v>
      </c>
      <c r="O174" s="279">
        <f>'BTX Recycling HC'!O174</f>
        <v>799.26226371773009</v>
      </c>
      <c r="P174" s="279">
        <f>'BTX Recycling HC'!P174</f>
        <v>866.66055080756394</v>
      </c>
      <c r="Q174" s="279">
        <f>'BTX Recycling HC'!Q174</f>
        <v>927.98285917117312</v>
      </c>
      <c r="R174" s="279">
        <f>'BTX Recycling HC'!R174</f>
        <v>982.99762420150444</v>
      </c>
      <c r="S174" s="279">
        <f>'BTX Recycling HC'!S174</f>
        <v>1031.4780147900542</v>
      </c>
      <c r="T174" s="279">
        <f>'BTX Recycling HC'!T174</f>
        <v>1073.2019955662622</v>
      </c>
      <c r="U174" s="279">
        <f>'BTX Recycling HC'!U174</f>
        <v>1107.9523891369056</v>
      </c>
      <c r="V174" s="279">
        <f>'BTX Recycling HC'!V174</f>
        <v>1135.5169383254904</v>
      </c>
      <c r="W174" s="279">
        <f>'BTX Recycling HC'!W174</f>
        <v>1155.6883684116497</v>
      </c>
      <c r="X174" s="279">
        <f>'BTX Recycling HC'!X174</f>
        <v>1212.8464538799149</v>
      </c>
      <c r="Y174" s="279">
        <f>'BTX Recycling HC'!Y174</f>
        <v>1257.7742755797051</v>
      </c>
      <c r="Z174" s="279">
        <f>'BTX Recycling HC'!Z174</f>
        <v>1279.0669462785725</v>
      </c>
      <c r="AA174" s="279">
        <f>'BTX Recycling HC'!AA174</f>
        <v>1286.8560073568899</v>
      </c>
      <c r="AB174" s="279">
        <f>'BTX Recycling HC'!AB174</f>
        <v>1281.1557451673307</v>
      </c>
      <c r="AC174" s="279">
        <f>'BTX Recycling HC'!AC174</f>
        <v>1262.0170547967236</v>
      </c>
      <c r="AD174" s="279">
        <f>'BTX Recycling HC'!AD174</f>
        <v>1229.5282211009346</v>
      </c>
      <c r="AE174" s="279">
        <f>'BTX Recycling HC'!AE174</f>
        <v>1183.8156997397434</v>
      </c>
      <c r="AF174" s="279">
        <f>'BTX Recycling HC'!AF174</f>
        <v>1125.0448982117196</v>
      </c>
      <c r="AG174" s="279">
        <f>'BTX Recycling HC'!AG174</f>
        <v>1053.4209568891047</v>
      </c>
      <c r="AH174" s="230"/>
      <c r="AI174" s="398"/>
      <c r="AJ174" s="399"/>
      <c r="AL174" s="207"/>
      <c r="AM174" s="118"/>
      <c r="AN174" s="118"/>
      <c r="AO174" s="118"/>
      <c r="BD174" s="118"/>
      <c r="BE174" s="118"/>
      <c r="BF174" s="118"/>
      <c r="BG174" s="118"/>
      <c r="BH174" s="118"/>
      <c r="BI174" s="118"/>
      <c r="BJ174" s="118"/>
      <c r="BK174" s="118"/>
    </row>
    <row r="175" spans="1:63" outlineLevel="1">
      <c r="A175" s="4" t="s">
        <v>35</v>
      </c>
      <c r="C175" s="216">
        <f>C$174*'BTX recycling rates'!E70</f>
        <v>0</v>
      </c>
      <c r="D175" s="216">
        <f>D$174*'BTX recycling rates'!F70</f>
        <v>0</v>
      </c>
      <c r="E175" s="216">
        <f>E$174*'BTX recycling rates'!G70</f>
        <v>0</v>
      </c>
      <c r="F175" s="216">
        <f>F$174*'BTX recycling rates'!H70</f>
        <v>0</v>
      </c>
      <c r="G175" s="216">
        <f>G$174*'BTX recycling rates'!I70</f>
        <v>0</v>
      </c>
      <c r="H175" s="216">
        <f>H$174*'BTX recycling rates'!J70</f>
        <v>0</v>
      </c>
      <c r="I175" s="216">
        <f>I$174*'BTX recycling rates'!K70</f>
        <v>0</v>
      </c>
      <c r="J175" s="216">
        <f>J$174*'BTX recycling rates'!L70</f>
        <v>0</v>
      </c>
      <c r="K175" s="216">
        <f>K$174*'BTX recycling rates'!M70</f>
        <v>0</v>
      </c>
      <c r="L175" s="216">
        <f>L$174*'BTX recycling rates'!N70</f>
        <v>0</v>
      </c>
      <c r="M175" s="216">
        <f>M$174*'BTX recycling rates'!O70</f>
        <v>0</v>
      </c>
      <c r="N175" s="216">
        <f>N$174*'BTX recycling rates'!P70</f>
        <v>0</v>
      </c>
      <c r="O175" s="216">
        <f>O$174*'BTX recycling rates'!Q70</f>
        <v>0</v>
      </c>
      <c r="P175" s="216">
        <f>P$174*'BTX recycling rates'!R70</f>
        <v>0</v>
      </c>
      <c r="Q175" s="216">
        <f>Q$174*'BTX recycling rates'!S70</f>
        <v>0</v>
      </c>
      <c r="R175" s="216">
        <f>R$174*'BTX recycling rates'!T70</f>
        <v>0</v>
      </c>
      <c r="S175" s="216">
        <f>S$174*'BTX recycling rates'!U70</f>
        <v>0</v>
      </c>
      <c r="T175" s="216">
        <f>T$174*'BTX recycling rates'!V70</f>
        <v>0</v>
      </c>
      <c r="U175" s="216">
        <f>U$174*'BTX recycling rates'!W70</f>
        <v>0</v>
      </c>
      <c r="V175" s="216">
        <f>V$174*'BTX recycling rates'!X70</f>
        <v>0</v>
      </c>
      <c r="W175" s="216">
        <f>W$174*'BTX recycling rates'!Y70</f>
        <v>0</v>
      </c>
      <c r="X175" s="216">
        <f>X$174*'BTX recycling rates'!Z70</f>
        <v>0</v>
      </c>
      <c r="Y175" s="216">
        <f>Y$174*'BTX recycling rates'!AA70</f>
        <v>0</v>
      </c>
      <c r="Z175" s="216">
        <f>Z$174*'BTX recycling rates'!AB70</f>
        <v>0</v>
      </c>
      <c r="AA175" s="216">
        <f>AA$174*'BTX recycling rates'!AC70</f>
        <v>0</v>
      </c>
      <c r="AB175" s="216">
        <f>AB$174*'BTX recycling rates'!AD70</f>
        <v>0</v>
      </c>
      <c r="AC175" s="216">
        <f>AC$174*'BTX recycling rates'!AE70</f>
        <v>0</v>
      </c>
      <c r="AD175" s="216">
        <f>AD$174*'BTX recycling rates'!AF70</f>
        <v>0</v>
      </c>
      <c r="AE175" s="216">
        <f>AE$174*'BTX recycling rates'!AG70</f>
        <v>0</v>
      </c>
      <c r="AF175" s="216">
        <f>AF$174*'BTX recycling rates'!AH70</f>
        <v>0</v>
      </c>
      <c r="AG175" s="216">
        <f>AG$174*'BTX recycling rates'!AI70</f>
        <v>0</v>
      </c>
      <c r="AH175" s="230"/>
      <c r="AI175" s="126"/>
      <c r="AJ175" s="198"/>
      <c r="AL175" s="102"/>
      <c r="AM175" s="2"/>
      <c r="AN175" s="2"/>
      <c r="AO175" s="2"/>
      <c r="BC175" s="1"/>
      <c r="BD175" s="2"/>
      <c r="BE175" s="2"/>
      <c r="BF175" s="2"/>
      <c r="BG175" s="2"/>
      <c r="BH175" s="2"/>
      <c r="BI175" s="2"/>
      <c r="BJ175" s="2"/>
      <c r="BK175" s="2"/>
    </row>
    <row r="176" spans="1:63" outlineLevel="1">
      <c r="A176" s="4" t="s">
        <v>74</v>
      </c>
      <c r="C176" s="216">
        <f>C$174*'BTX recycling rates'!E71</f>
        <v>127.08248528723911</v>
      </c>
      <c r="D176" s="216">
        <f>D$174*'BTX recycling rates'!F71</f>
        <v>152.02441713141829</v>
      </c>
      <c r="E176" s="216">
        <f>E$174*'BTX recycling rates'!G71</f>
        <v>174.19923313857436</v>
      </c>
      <c r="F176" s="216">
        <f>F$174*'BTX recycling rates'!H71</f>
        <v>193.61454835634655</v>
      </c>
      <c r="G176" s="216">
        <f>G$174*'BTX recycling rates'!I71</f>
        <v>210.28883124799469</v>
      </c>
      <c r="H176" s="216">
        <f>H$174*'BTX recycling rates'!J71</f>
        <v>224.25140369239881</v>
      </c>
      <c r="I176" s="216">
        <f>I$174*'BTX recycling rates'!K71</f>
        <v>235.54244098405951</v>
      </c>
      <c r="J176" s="216">
        <f>J$174*'BTX recycling rates'!L71</f>
        <v>244.21297183309747</v>
      </c>
      <c r="K176" s="216">
        <f>K$174*'BTX recycling rates'!M71</f>
        <v>250.32487836525425</v>
      </c>
      <c r="L176" s="216">
        <f>L$174*'BTX recycling rates'!N71</f>
        <v>253.95089612189139</v>
      </c>
      <c r="M176" s="216">
        <f>M$174*'BTX recycling rates'!O71</f>
        <v>255.17461405999086</v>
      </c>
      <c r="N176" s="216">
        <f>N$174*'BTX recycling rates'!P71</f>
        <v>272.85841260489531</v>
      </c>
      <c r="O176" s="216">
        <f>O$174*'BTX recycling rates'!Q71</f>
        <v>285.53796902282255</v>
      </c>
      <c r="P176" s="216">
        <f>P$174*'BTX recycling rates'!R71</f>
        <v>292.41523928010923</v>
      </c>
      <c r="Q176" s="216">
        <f>Q$174*'BTX recycling rates'!S71</f>
        <v>294.68768657649451</v>
      </c>
      <c r="R176" s="216">
        <f>R$174*'BTX recycling rates'!T71</f>
        <v>292.64814766304312</v>
      </c>
      <c r="S176" s="216">
        <f>S$174*'BTX recycling rates'!U71</f>
        <v>286.60915830807596</v>
      </c>
      <c r="T176" s="216">
        <f>T$174*'BTX recycling rates'!V71</f>
        <v>276.90249961938656</v>
      </c>
      <c r="U176" s="216">
        <f>U$174*'BTX recycling rates'!W71</f>
        <v>263.87873695474372</v>
      </c>
      <c r="V176" s="216">
        <f>V$174*'BTX recycling rates'!X71</f>
        <v>247.90675142067934</v>
      </c>
      <c r="W176" s="216">
        <f>W$174*'BTX recycling rates'!Y71</f>
        <v>229.37326395956379</v>
      </c>
      <c r="X176" s="216">
        <f>X$174*'BTX recycling rates'!Z71</f>
        <v>216.64585512053412</v>
      </c>
      <c r="Y176" s="216">
        <f>Y$174*'BTX recycling rates'!AA71</f>
        <v>199.70767123708265</v>
      </c>
      <c r="Z176" s="216">
        <f>Z$174*'BTX recycling rates'!AB71</f>
        <v>177.70243070435095</v>
      </c>
      <c r="AA176" s="216">
        <f>AA$174*'BTX recycling rates'!AC71</f>
        <v>153.24392148677435</v>
      </c>
      <c r="AB176" s="216">
        <f>AB$174*'BTX recycling rates'!AD71</f>
        <v>127.13759303187219</v>
      </c>
      <c r="AC176" s="216">
        <f>AC$174*'BTX recycling rates'!AE71</f>
        <v>100.19066694569378</v>
      </c>
      <c r="AD176" s="216">
        <f>AD$174*'BTX recycling rates'!AF71</f>
        <v>73.208550569368327</v>
      </c>
      <c r="AE176" s="216">
        <f>AE$174*'BTX recycling rates'!AG71</f>
        <v>46.991157546920824</v>
      </c>
      <c r="AF176" s="216">
        <f>AF$174*'BTX recycling rates'!AH71</f>
        <v>22.329135384354466</v>
      </c>
      <c r="AG176" s="216">
        <f>AG$174*'BTX recycling rates'!AI71</f>
        <v>0</v>
      </c>
      <c r="AH176" s="230"/>
      <c r="AI176" s="126"/>
      <c r="AJ176" s="198"/>
      <c r="AL176" s="102"/>
      <c r="AM176" s="2"/>
      <c r="AN176" s="2"/>
      <c r="AO176" s="2"/>
      <c r="BC176" s="1"/>
      <c r="BD176" s="2"/>
      <c r="BE176" s="2"/>
      <c r="BF176" s="2"/>
      <c r="BG176" s="2"/>
      <c r="BH176" s="2"/>
      <c r="BI176" s="2"/>
      <c r="BJ176" s="2"/>
      <c r="BK176" s="2"/>
    </row>
    <row r="177" spans="1:63" outlineLevel="1">
      <c r="A177" s="4" t="s">
        <v>160</v>
      </c>
      <c r="C177" s="216">
        <f>C$174*'BTX recycling rates'!E72</f>
        <v>0</v>
      </c>
      <c r="D177" s="216">
        <f>D$174*'BTX recycling rates'!F72</f>
        <v>4.4566191636795232</v>
      </c>
      <c r="E177" s="216">
        <f>E$174*'BTX recycling rates'!G72</f>
        <v>10.578117273726948</v>
      </c>
      <c r="F177" s="216">
        <f>F$174*'BTX recycling rates'!H72</f>
        <v>18.288818601026346</v>
      </c>
      <c r="G177" s="216">
        <f>G$174*'BTX recycling rates'!I72</f>
        <v>27.503820499577134</v>
      </c>
      <c r="H177" s="216">
        <f>H$174*'BTX recycling rates'!J72</f>
        <v>38.128993406494047</v>
      </c>
      <c r="I177" s="216">
        <f>I$174*'BTX recycling rates'!K72</f>
        <v>50.060980842007197</v>
      </c>
      <c r="J177" s="216">
        <f>J$174*'BTX recycling rates'!L72</f>
        <v>63.187199409461954</v>
      </c>
      <c r="K177" s="216">
        <f>K$174*'BTX recycling rates'!M72</f>
        <v>77.385838795319145</v>
      </c>
      <c r="L177" s="216">
        <f>L$174*'BTX recycling rates'!N72</f>
        <v>92.52586176915483</v>
      </c>
      <c r="M177" s="216">
        <f>M$174*'BTX recycling rates'!O72</f>
        <v>108.46700418366042</v>
      </c>
      <c r="N177" s="216">
        <f>N$174*'BTX recycling rates'!P72</f>
        <v>134.29709138231439</v>
      </c>
      <c r="O177" s="216">
        <f>O$174*'BTX recycling rates'!Q72</f>
        <v>161.83139635413781</v>
      </c>
      <c r="P177" s="216">
        <f>P$174*'BTX recycling rates'!R72</f>
        <v>190.10109020703987</v>
      </c>
      <c r="Q177" s="216">
        <f>Q$174*'BTX recycling rates'!S72</f>
        <v>219.20992665512424</v>
      </c>
      <c r="R177" s="216">
        <f>R$174*'BTX recycling rates'!T72</f>
        <v>248.79173795434966</v>
      </c>
      <c r="S177" s="216">
        <f>S$174*'BTX recycling rates'!U72</f>
        <v>278.46600549799075</v>
      </c>
      <c r="T177" s="216">
        <f>T$174*'BTX recycling rates'!V72</f>
        <v>307.83827701097624</v>
      </c>
      <c r="U177" s="216">
        <f>U$174*'BTX recycling rates'!W72</f>
        <v>336.50059004521796</v>
      </c>
      <c r="V177" s="216">
        <f>V$174*'BTX recycling rates'!X72</f>
        <v>364.0319017759299</v>
      </c>
      <c r="W177" s="216">
        <f>W$174*'BTX recycling rates'!Y72</f>
        <v>389.99852509893941</v>
      </c>
      <c r="X177" s="216">
        <f>X$174*'BTX recycling rates'!Z72</f>
        <v>429.75144352839146</v>
      </c>
      <c r="Y177" s="216">
        <f>Y$174*'BTX recycling rates'!AA72</f>
        <v>466.89327189769097</v>
      </c>
      <c r="Z177" s="216">
        <f>Z$174*'BTX recycling rates'!AB72</f>
        <v>496.37893018045037</v>
      </c>
      <c r="AA177" s="216">
        <f>AA$174*'BTX recycling rates'!AC72</f>
        <v>521.11481807884718</v>
      </c>
      <c r="AB177" s="216">
        <f>AB$174*'BTX recycling rates'!AD72</f>
        <v>540.42342284278277</v>
      </c>
      <c r="AC177" s="216">
        <f>AC$174*'BTX recycling rates'!AE72</f>
        <v>553.64425611199988</v>
      </c>
      <c r="AD177" s="216">
        <f>AD$174*'BTX recycling rates'!AF72</f>
        <v>560.13729822814787</v>
      </c>
      <c r="AE177" s="216">
        <f>AE$174*'BTX recycling rates'!AG72</f>
        <v>559.28652161724142</v>
      </c>
      <c r="AF177" s="216">
        <f>AF$174*'BTX recycling rates'!AH72</f>
        <v>550.50349324251249</v>
      </c>
      <c r="AG177" s="216">
        <f>AG$174*'BTX recycling rates'!AI72</f>
        <v>533.23105612765994</v>
      </c>
      <c r="AH177" s="230"/>
      <c r="AI177" s="126"/>
      <c r="AJ177" s="198"/>
      <c r="AL177" s="102"/>
      <c r="AM177" s="2"/>
      <c r="AN177" s="2"/>
      <c r="AO177" s="2"/>
      <c r="BC177" s="1"/>
      <c r="BD177" s="2"/>
      <c r="BE177" s="2"/>
      <c r="BF177" s="2"/>
      <c r="BG177" s="2"/>
      <c r="BH177" s="2"/>
      <c r="BI177" s="2"/>
      <c r="BJ177" s="2"/>
      <c r="BK177" s="2"/>
    </row>
    <row r="178" spans="1:63" outlineLevel="1">
      <c r="A178" s="4" t="s">
        <v>1159</v>
      </c>
      <c r="C178" s="216">
        <f>C$174*'BTX recycling rates'!E73</f>
        <v>86.35091949004709</v>
      </c>
      <c r="D178" s="216">
        <f>D$174*'BTX recycling rates'!F73</f>
        <v>107.6462666785865</v>
      </c>
      <c r="E178" s="216">
        <f>E$174*'BTX recycling rates'!G73</f>
        <v>128.68555537277069</v>
      </c>
      <c r="F178" s="216">
        <f>F$174*'BTX recycling rates'!H73</f>
        <v>149.40013496116555</v>
      </c>
      <c r="G178" s="216">
        <f>G$174*'BTX recycling rates'!I73</f>
        <v>169.71972833360132</v>
      </c>
      <c r="H178" s="216">
        <f>H$174*'BTX recycling rates'!J73</f>
        <v>189.57243188117243</v>
      </c>
      <c r="I178" s="216">
        <f>I$174*'BTX recycling rates'!K73</f>
        <v>208.88471549623773</v>
      </c>
      <c r="J178" s="216">
        <f>J$174*'BTX recycling rates'!L73</f>
        <v>227.58142257242</v>
      </c>
      <c r="K178" s="216">
        <f>K$174*'BTX recycling rates'!M73</f>
        <v>245.58577000460681</v>
      </c>
      <c r="L178" s="216">
        <f>L$174*'BTX recycling rates'!N73</f>
        <v>262.81934818894962</v>
      </c>
      <c r="M178" s="216">
        <f>M$174*'BTX recycling rates'!O73</f>
        <v>279.20212102286422</v>
      </c>
      <c r="N178" s="216">
        <f>N$174*'BTX recycling rates'!P73</f>
        <v>316.41639988407138</v>
      </c>
      <c r="O178" s="216">
        <f>O$174*'BTX recycling rates'!Q73</f>
        <v>351.89289834076948</v>
      </c>
      <c r="P178" s="216">
        <f>P$174*'BTX recycling rates'!R73</f>
        <v>384.14422132041454</v>
      </c>
      <c r="Q178" s="216">
        <f>Q$174*'BTX recycling rates'!S73</f>
        <v>414.08524593955406</v>
      </c>
      <c r="R178" s="216">
        <f>R$174*'BTX recycling rates'!T73</f>
        <v>441.55773858411123</v>
      </c>
      <c r="S178" s="216">
        <f>S$174*'BTX recycling rates'!U73</f>
        <v>466.40285098398709</v>
      </c>
      <c r="T178" s="216">
        <f>T$174*'BTX recycling rates'!V73</f>
        <v>488.46121893589901</v>
      </c>
      <c r="U178" s="216">
        <f>U$174*'BTX recycling rates'!W73</f>
        <v>507.57306213694346</v>
      </c>
      <c r="V178" s="216">
        <f>V$174*'BTX recycling rates'!X73</f>
        <v>523.57828512888068</v>
      </c>
      <c r="W178" s="216">
        <f>W$174*'BTX recycling rates'!Y73</f>
        <v>536.31657935314604</v>
      </c>
      <c r="X178" s="216">
        <f>X$174*'BTX recycling rates'!Z73</f>
        <v>566.44915523098882</v>
      </c>
      <c r="Y178" s="216">
        <f>Y$174*'BTX recycling rates'!AA73</f>
        <v>591.17333244493102</v>
      </c>
      <c r="Z178" s="216">
        <f>Z$174*'BTX recycling rates'!AB73</f>
        <v>604.98558539377063</v>
      </c>
      <c r="AA178" s="216">
        <f>AA$174*'BTX recycling rates'!AC73</f>
        <v>612.49726779126797</v>
      </c>
      <c r="AB178" s="216">
        <f>AB$174*'BTX recycling rates'!AD73</f>
        <v>613.5947292926752</v>
      </c>
      <c r="AC178" s="216">
        <f>AC$174*'BTX recycling rates'!AE73</f>
        <v>608.1821317390295</v>
      </c>
      <c r="AD178" s="216">
        <f>AD$174*'BTX recycling rates'!AF73</f>
        <v>596.18237230341799</v>
      </c>
      <c r="AE178" s="216">
        <f>AE$174*'BTX recycling rates'!AG73</f>
        <v>577.53802057558084</v>
      </c>
      <c r="AF178" s="216">
        <f>AF$174*'BTX recycling rates'!AH73</f>
        <v>552.21226958485227</v>
      </c>
      <c r="AG178" s="216">
        <f>AG$174*'BTX recycling rates'!AI73</f>
        <v>520.18990076144462</v>
      </c>
      <c r="AH178" s="230"/>
      <c r="AI178" s="126"/>
      <c r="AJ178" s="198"/>
      <c r="AL178" s="102"/>
      <c r="AM178" s="2"/>
      <c r="AN178" s="2"/>
      <c r="AO178" s="2"/>
      <c r="BC178" s="1"/>
      <c r="BD178" s="2"/>
      <c r="BE178" s="2"/>
      <c r="BF178" s="2"/>
      <c r="BG178" s="2"/>
      <c r="BH178" s="2"/>
      <c r="BI178" s="2"/>
      <c r="BJ178" s="2"/>
      <c r="BK178" s="2"/>
    </row>
    <row r="179" spans="1:63" s="1" customFormat="1" outlineLevel="1">
      <c r="A179" s="1" t="s">
        <v>1165</v>
      </c>
      <c r="B179" s="61"/>
      <c r="C179" s="279">
        <f t="shared" ref="C179:AG179" si="82">C174-$C174</f>
        <v>0</v>
      </c>
      <c r="D179" s="279">
        <f t="shared" si="82"/>
        <v>50.693898196398123</v>
      </c>
      <c r="E179" s="279">
        <f t="shared" si="82"/>
        <v>100.0295010077858</v>
      </c>
      <c r="F179" s="279">
        <f t="shared" si="82"/>
        <v>147.87009714125227</v>
      </c>
      <c r="G179" s="279">
        <f t="shared" si="82"/>
        <v>194.07897530388701</v>
      </c>
      <c r="H179" s="279">
        <f t="shared" si="82"/>
        <v>238.51942420277916</v>
      </c>
      <c r="I179" s="279">
        <f t="shared" si="82"/>
        <v>281.05473254501828</v>
      </c>
      <c r="J179" s="279">
        <f t="shared" si="82"/>
        <v>321.54818903769331</v>
      </c>
      <c r="K179" s="279">
        <f t="shared" si="82"/>
        <v>359.86308238789411</v>
      </c>
      <c r="L179" s="279">
        <f t="shared" si="82"/>
        <v>395.86270130270975</v>
      </c>
      <c r="M179" s="279">
        <f t="shared" si="82"/>
        <v>429.4103344892294</v>
      </c>
      <c r="N179" s="279">
        <f t="shared" si="82"/>
        <v>510.13849909399505</v>
      </c>
      <c r="O179" s="279">
        <f t="shared" si="82"/>
        <v>585.82885894044387</v>
      </c>
      <c r="P179" s="279">
        <f t="shared" si="82"/>
        <v>653.22714603027771</v>
      </c>
      <c r="Q179" s="279">
        <f t="shared" si="82"/>
        <v>714.54945439388689</v>
      </c>
      <c r="R179" s="279">
        <f t="shared" si="82"/>
        <v>769.56421942421821</v>
      </c>
      <c r="S179" s="279">
        <f t="shared" si="82"/>
        <v>818.04461001276798</v>
      </c>
      <c r="T179" s="279">
        <f t="shared" si="82"/>
        <v>859.76859078897598</v>
      </c>
      <c r="U179" s="279">
        <f t="shared" si="82"/>
        <v>894.51898435961937</v>
      </c>
      <c r="V179" s="279">
        <f t="shared" si="82"/>
        <v>922.08353354820417</v>
      </c>
      <c r="W179" s="279">
        <f t="shared" si="82"/>
        <v>942.25496363436343</v>
      </c>
      <c r="X179" s="279">
        <f t="shared" si="82"/>
        <v>999.41304910262863</v>
      </c>
      <c r="Y179" s="279">
        <f t="shared" si="82"/>
        <v>1044.340870802419</v>
      </c>
      <c r="Z179" s="279">
        <f t="shared" si="82"/>
        <v>1065.6335415012863</v>
      </c>
      <c r="AA179" s="279">
        <f t="shared" si="82"/>
        <v>1073.4226025796038</v>
      </c>
      <c r="AB179" s="279">
        <f t="shared" si="82"/>
        <v>1067.7223403900446</v>
      </c>
      <c r="AC179" s="279">
        <f t="shared" si="82"/>
        <v>1048.5836500194375</v>
      </c>
      <c r="AD179" s="279">
        <f t="shared" si="82"/>
        <v>1016.0948163236484</v>
      </c>
      <c r="AE179" s="279">
        <f t="shared" si="82"/>
        <v>970.38229496245719</v>
      </c>
      <c r="AF179" s="279">
        <f t="shared" si="82"/>
        <v>911.61149343443333</v>
      </c>
      <c r="AG179" s="279">
        <f t="shared" si="82"/>
        <v>839.98755211181845</v>
      </c>
      <c r="AH179" s="230"/>
      <c r="AI179" s="398"/>
      <c r="AJ179" s="399"/>
      <c r="AL179" s="207"/>
      <c r="AM179" s="118"/>
      <c r="AN179" s="118"/>
      <c r="AO179" s="118"/>
      <c r="BD179" s="118"/>
      <c r="BE179" s="118"/>
      <c r="BF179" s="118"/>
      <c r="BG179" s="118"/>
      <c r="BH179" s="118"/>
      <c r="BI179" s="118"/>
      <c r="BJ179" s="118"/>
      <c r="BK179" s="118"/>
    </row>
    <row r="180" spans="1:63" outlineLevel="1">
      <c r="A180" s="4" t="s">
        <v>35</v>
      </c>
      <c r="C180" s="216">
        <f t="shared" ref="C180:R183" si="83">C175-$C175</f>
        <v>0</v>
      </c>
      <c r="D180" s="216">
        <f t="shared" ref="D180:AG180" si="84">D175-$C175</f>
        <v>0</v>
      </c>
      <c r="E180" s="216">
        <f t="shared" si="84"/>
        <v>0</v>
      </c>
      <c r="F180" s="216">
        <f t="shared" si="84"/>
        <v>0</v>
      </c>
      <c r="G180" s="216">
        <f t="shared" si="84"/>
        <v>0</v>
      </c>
      <c r="H180" s="216">
        <f t="shared" si="84"/>
        <v>0</v>
      </c>
      <c r="I180" s="216">
        <f t="shared" si="84"/>
        <v>0</v>
      </c>
      <c r="J180" s="216">
        <f t="shared" si="84"/>
        <v>0</v>
      </c>
      <c r="K180" s="216">
        <f t="shared" si="84"/>
        <v>0</v>
      </c>
      <c r="L180" s="216">
        <f t="shared" si="84"/>
        <v>0</v>
      </c>
      <c r="M180" s="216">
        <f t="shared" si="84"/>
        <v>0</v>
      </c>
      <c r="N180" s="216">
        <f t="shared" si="84"/>
        <v>0</v>
      </c>
      <c r="O180" s="216">
        <f t="shared" si="84"/>
        <v>0</v>
      </c>
      <c r="P180" s="216">
        <f t="shared" si="84"/>
        <v>0</v>
      </c>
      <c r="Q180" s="216">
        <f t="shared" si="84"/>
        <v>0</v>
      </c>
      <c r="R180" s="216">
        <f t="shared" si="84"/>
        <v>0</v>
      </c>
      <c r="S180" s="216">
        <f t="shared" si="84"/>
        <v>0</v>
      </c>
      <c r="T180" s="216">
        <f t="shared" si="84"/>
        <v>0</v>
      </c>
      <c r="U180" s="216">
        <f t="shared" si="84"/>
        <v>0</v>
      </c>
      <c r="V180" s="216">
        <f t="shared" si="84"/>
        <v>0</v>
      </c>
      <c r="W180" s="216">
        <f t="shared" si="84"/>
        <v>0</v>
      </c>
      <c r="X180" s="216">
        <f t="shared" si="84"/>
        <v>0</v>
      </c>
      <c r="Y180" s="216">
        <f t="shared" si="84"/>
        <v>0</v>
      </c>
      <c r="Z180" s="216">
        <f t="shared" si="84"/>
        <v>0</v>
      </c>
      <c r="AA180" s="216">
        <f t="shared" si="84"/>
        <v>0</v>
      </c>
      <c r="AB180" s="216">
        <f t="shared" si="84"/>
        <v>0</v>
      </c>
      <c r="AC180" s="216">
        <f t="shared" si="84"/>
        <v>0</v>
      </c>
      <c r="AD180" s="216">
        <f t="shared" si="84"/>
        <v>0</v>
      </c>
      <c r="AE180" s="216">
        <f t="shared" si="84"/>
        <v>0</v>
      </c>
      <c r="AF180" s="216">
        <f t="shared" si="84"/>
        <v>0</v>
      </c>
      <c r="AG180" s="216">
        <f t="shared" si="84"/>
        <v>0</v>
      </c>
      <c r="AH180" s="230"/>
      <c r="AI180" s="126"/>
      <c r="AJ180" s="198"/>
      <c r="AL180" s="102"/>
      <c r="AM180" s="2"/>
      <c r="AN180" s="2"/>
      <c r="AO180" s="2"/>
      <c r="BC180" s="1"/>
      <c r="BD180" s="2"/>
      <c r="BE180" s="2"/>
      <c r="BF180" s="2"/>
      <c r="BG180" s="2"/>
      <c r="BH180" s="2"/>
      <c r="BI180" s="2"/>
      <c r="BJ180" s="2"/>
      <c r="BK180" s="2"/>
    </row>
    <row r="181" spans="1:63" outlineLevel="1">
      <c r="A181" s="4" t="s">
        <v>74</v>
      </c>
      <c r="C181" s="216">
        <f t="shared" si="83"/>
        <v>0</v>
      </c>
      <c r="D181" s="216">
        <f t="shared" si="83"/>
        <v>24.94193184417918</v>
      </c>
      <c r="E181" s="216">
        <f t="shared" si="83"/>
        <v>47.116747851335248</v>
      </c>
      <c r="F181" s="216">
        <f t="shared" si="83"/>
        <v>66.532063069107437</v>
      </c>
      <c r="G181" s="216">
        <f t="shared" si="83"/>
        <v>83.206345960755584</v>
      </c>
      <c r="H181" s="216">
        <f t="shared" si="83"/>
        <v>97.168918405159701</v>
      </c>
      <c r="I181" s="216">
        <f t="shared" si="83"/>
        <v>108.4599556968204</v>
      </c>
      <c r="J181" s="216">
        <f t="shared" si="83"/>
        <v>117.13048654585836</v>
      </c>
      <c r="K181" s="216">
        <f t="shared" si="83"/>
        <v>123.24239307801514</v>
      </c>
      <c r="L181" s="216">
        <f t="shared" si="83"/>
        <v>126.86841083465228</v>
      </c>
      <c r="M181" s="216">
        <f t="shared" si="83"/>
        <v>128.09212877275175</v>
      </c>
      <c r="N181" s="216">
        <f t="shared" si="83"/>
        <v>145.7759273176562</v>
      </c>
      <c r="O181" s="216">
        <f t="shared" si="83"/>
        <v>158.45548373558344</v>
      </c>
      <c r="P181" s="216">
        <f t="shared" si="83"/>
        <v>165.33275399287012</v>
      </c>
      <c r="Q181" s="216">
        <f t="shared" si="83"/>
        <v>167.6052012892554</v>
      </c>
      <c r="R181" s="216">
        <f t="shared" si="83"/>
        <v>165.56566237580401</v>
      </c>
      <c r="S181" s="216">
        <f t="shared" ref="S181:AG183" si="85">S176-$C176</f>
        <v>159.52667302083685</v>
      </c>
      <c r="T181" s="216">
        <f t="shared" si="85"/>
        <v>149.82001433214745</v>
      </c>
      <c r="U181" s="216">
        <f t="shared" si="85"/>
        <v>136.79625166750461</v>
      </c>
      <c r="V181" s="216">
        <f t="shared" si="85"/>
        <v>120.82426613344023</v>
      </c>
      <c r="W181" s="216">
        <f t="shared" si="85"/>
        <v>102.29077867232468</v>
      </c>
      <c r="X181" s="216">
        <f t="shared" si="85"/>
        <v>89.563369833295013</v>
      </c>
      <c r="Y181" s="216">
        <f t="shared" si="85"/>
        <v>72.625185949843541</v>
      </c>
      <c r="Z181" s="216">
        <f t="shared" si="85"/>
        <v>50.619945417111836</v>
      </c>
      <c r="AA181" s="216">
        <f t="shared" si="85"/>
        <v>26.161436199535245</v>
      </c>
      <c r="AB181" s="216">
        <f t="shared" si="85"/>
        <v>5.510774463307655E-2</v>
      </c>
      <c r="AC181" s="216">
        <f t="shared" si="85"/>
        <v>-26.891818341545331</v>
      </c>
      <c r="AD181" s="216">
        <f t="shared" si="85"/>
        <v>-53.873934717870782</v>
      </c>
      <c r="AE181" s="216">
        <f t="shared" si="85"/>
        <v>-80.091327740318292</v>
      </c>
      <c r="AF181" s="216">
        <f t="shared" si="85"/>
        <v>-104.75334990288465</v>
      </c>
      <c r="AG181" s="216">
        <f t="shared" si="85"/>
        <v>-127.08248528723911</v>
      </c>
      <c r="AH181" s="230"/>
      <c r="AI181" s="126"/>
      <c r="AJ181" s="198"/>
      <c r="AL181" s="102"/>
      <c r="AM181" s="2"/>
      <c r="AN181" s="2"/>
      <c r="AO181" s="2"/>
      <c r="BC181" s="1"/>
      <c r="BD181" s="2"/>
      <c r="BE181" s="2"/>
      <c r="BF181" s="2"/>
      <c r="BG181" s="2"/>
      <c r="BH181" s="2"/>
      <c r="BI181" s="2"/>
      <c r="BJ181" s="2"/>
      <c r="BK181" s="2"/>
    </row>
    <row r="182" spans="1:63" outlineLevel="1">
      <c r="A182" s="4" t="s">
        <v>160</v>
      </c>
      <c r="C182" s="216">
        <f t="shared" si="83"/>
        <v>0</v>
      </c>
      <c r="D182" s="216">
        <f t="shared" si="83"/>
        <v>4.4566191636795232</v>
      </c>
      <c r="E182" s="216">
        <f t="shared" si="83"/>
        <v>10.578117273726948</v>
      </c>
      <c r="F182" s="216">
        <f t="shared" si="83"/>
        <v>18.288818601026346</v>
      </c>
      <c r="G182" s="216">
        <f t="shared" si="83"/>
        <v>27.503820499577134</v>
      </c>
      <c r="H182" s="216">
        <f t="shared" si="83"/>
        <v>38.128993406494047</v>
      </c>
      <c r="I182" s="216">
        <f t="shared" si="83"/>
        <v>50.060980842007197</v>
      </c>
      <c r="J182" s="216">
        <f t="shared" si="83"/>
        <v>63.187199409461954</v>
      </c>
      <c r="K182" s="216">
        <f t="shared" si="83"/>
        <v>77.385838795319145</v>
      </c>
      <c r="L182" s="216">
        <f t="shared" si="83"/>
        <v>92.52586176915483</v>
      </c>
      <c r="M182" s="216">
        <f t="shared" si="83"/>
        <v>108.46700418366042</v>
      </c>
      <c r="N182" s="216">
        <f t="shared" si="83"/>
        <v>134.29709138231439</v>
      </c>
      <c r="O182" s="216">
        <f t="shared" si="83"/>
        <v>161.83139635413781</v>
      </c>
      <c r="P182" s="216">
        <f t="shared" si="83"/>
        <v>190.10109020703987</v>
      </c>
      <c r="Q182" s="216">
        <f t="shared" si="83"/>
        <v>219.20992665512424</v>
      </c>
      <c r="R182" s="216">
        <f t="shared" si="83"/>
        <v>248.79173795434966</v>
      </c>
      <c r="S182" s="216">
        <f t="shared" si="85"/>
        <v>278.46600549799075</v>
      </c>
      <c r="T182" s="216">
        <f t="shared" si="85"/>
        <v>307.83827701097624</v>
      </c>
      <c r="U182" s="216">
        <f t="shared" si="85"/>
        <v>336.50059004521796</v>
      </c>
      <c r="V182" s="216">
        <f t="shared" si="85"/>
        <v>364.0319017759299</v>
      </c>
      <c r="W182" s="216">
        <f t="shared" si="85"/>
        <v>389.99852509893941</v>
      </c>
      <c r="X182" s="216">
        <f t="shared" si="85"/>
        <v>429.75144352839146</v>
      </c>
      <c r="Y182" s="216">
        <f t="shared" si="85"/>
        <v>466.89327189769097</v>
      </c>
      <c r="Z182" s="216">
        <f t="shared" si="85"/>
        <v>496.37893018045037</v>
      </c>
      <c r="AA182" s="216">
        <f t="shared" si="85"/>
        <v>521.11481807884718</v>
      </c>
      <c r="AB182" s="216">
        <f t="shared" si="85"/>
        <v>540.42342284278277</v>
      </c>
      <c r="AC182" s="216">
        <f t="shared" si="85"/>
        <v>553.64425611199988</v>
      </c>
      <c r="AD182" s="216">
        <f t="shared" si="85"/>
        <v>560.13729822814787</v>
      </c>
      <c r="AE182" s="216">
        <f t="shared" si="85"/>
        <v>559.28652161724142</v>
      </c>
      <c r="AF182" s="216">
        <f t="shared" si="85"/>
        <v>550.50349324251249</v>
      </c>
      <c r="AG182" s="216">
        <f t="shared" si="85"/>
        <v>533.23105612765994</v>
      </c>
      <c r="AH182" s="230"/>
      <c r="AI182" s="126"/>
      <c r="AJ182" s="198"/>
      <c r="AL182" s="102"/>
      <c r="AM182" s="2"/>
      <c r="AN182" s="2"/>
      <c r="AO182" s="2"/>
      <c r="BC182" s="1"/>
      <c r="BD182" s="2"/>
      <c r="BE182" s="2"/>
      <c r="BF182" s="2"/>
      <c r="BG182" s="2"/>
      <c r="BH182" s="2"/>
      <c r="BI182" s="2"/>
      <c r="BJ182" s="2"/>
      <c r="BK182" s="2"/>
    </row>
    <row r="183" spans="1:63" outlineLevel="1">
      <c r="A183" s="4" t="s">
        <v>1159</v>
      </c>
      <c r="C183" s="216">
        <f t="shared" si="83"/>
        <v>0</v>
      </c>
      <c r="D183" s="216">
        <f t="shared" si="83"/>
        <v>21.295347188539409</v>
      </c>
      <c r="E183" s="216">
        <f t="shared" si="83"/>
        <v>42.334635882723603</v>
      </c>
      <c r="F183" s="216">
        <f t="shared" si="83"/>
        <v>63.049215471118458</v>
      </c>
      <c r="G183" s="216">
        <f t="shared" si="83"/>
        <v>83.368808843554234</v>
      </c>
      <c r="H183" s="216">
        <f t="shared" si="83"/>
        <v>103.22151239112534</v>
      </c>
      <c r="I183" s="216">
        <f t="shared" si="83"/>
        <v>122.53379600619064</v>
      </c>
      <c r="J183" s="216">
        <f t="shared" si="83"/>
        <v>141.23050308237291</v>
      </c>
      <c r="K183" s="216">
        <f t="shared" si="83"/>
        <v>159.23485051455972</v>
      </c>
      <c r="L183" s="216">
        <f t="shared" si="83"/>
        <v>176.46842869890253</v>
      </c>
      <c r="M183" s="216">
        <f t="shared" si="83"/>
        <v>192.85120153281713</v>
      </c>
      <c r="N183" s="216">
        <f t="shared" si="83"/>
        <v>230.06548039402429</v>
      </c>
      <c r="O183" s="216">
        <f t="shared" si="83"/>
        <v>265.54197885072239</v>
      </c>
      <c r="P183" s="216">
        <f t="shared" si="83"/>
        <v>297.79330183036745</v>
      </c>
      <c r="Q183" s="216">
        <f t="shared" si="83"/>
        <v>327.73432644950697</v>
      </c>
      <c r="R183" s="216">
        <f t="shared" si="83"/>
        <v>355.20681909406414</v>
      </c>
      <c r="S183" s="216">
        <f t="shared" si="85"/>
        <v>380.05193149394</v>
      </c>
      <c r="T183" s="216">
        <f t="shared" si="85"/>
        <v>402.11029944585192</v>
      </c>
      <c r="U183" s="216">
        <f t="shared" si="85"/>
        <v>421.22214264689637</v>
      </c>
      <c r="V183" s="216">
        <f t="shared" si="85"/>
        <v>437.22736563883359</v>
      </c>
      <c r="W183" s="216">
        <f t="shared" si="85"/>
        <v>449.96565986309895</v>
      </c>
      <c r="X183" s="216">
        <f t="shared" si="85"/>
        <v>480.09823574094173</v>
      </c>
      <c r="Y183" s="216">
        <f t="shared" si="85"/>
        <v>504.82241295488393</v>
      </c>
      <c r="Z183" s="216">
        <f t="shared" si="85"/>
        <v>518.63466590372354</v>
      </c>
      <c r="AA183" s="216">
        <f t="shared" si="85"/>
        <v>526.14634830122088</v>
      </c>
      <c r="AB183" s="216">
        <f t="shared" si="85"/>
        <v>527.24380980262811</v>
      </c>
      <c r="AC183" s="216">
        <f t="shared" si="85"/>
        <v>521.83121224898241</v>
      </c>
      <c r="AD183" s="216">
        <f t="shared" si="85"/>
        <v>509.8314528133709</v>
      </c>
      <c r="AE183" s="216">
        <f t="shared" si="85"/>
        <v>491.18710108553375</v>
      </c>
      <c r="AF183" s="216">
        <f t="shared" si="85"/>
        <v>465.86135009480518</v>
      </c>
      <c r="AG183" s="216">
        <f t="shared" si="85"/>
        <v>433.83898127139753</v>
      </c>
      <c r="AH183" s="230"/>
      <c r="AI183" s="126"/>
      <c r="AJ183" s="198"/>
      <c r="AL183" s="102"/>
      <c r="AM183" s="2"/>
      <c r="AN183" s="2"/>
      <c r="AO183" s="2"/>
      <c r="BC183" s="1"/>
      <c r="BD183" s="2"/>
      <c r="BE183" s="2"/>
      <c r="BF183" s="2"/>
      <c r="BG183" s="2"/>
      <c r="BH183" s="2"/>
      <c r="BI183" s="2"/>
      <c r="BJ183" s="2"/>
      <c r="BK183" s="2"/>
    </row>
    <row r="184" spans="1:63" outlineLevel="1">
      <c r="C184" s="104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  <c r="AF184" s="22"/>
      <c r="AG184" s="22"/>
      <c r="AJ184" s="198"/>
      <c r="AM184" s="117"/>
      <c r="AN184" s="117"/>
    </row>
    <row r="185" spans="1:63" s="187" customFormat="1" ht="15.5" thickBot="1">
      <c r="A185" s="187" t="s">
        <v>447</v>
      </c>
      <c r="B185" s="202"/>
      <c r="C185" s="210">
        <f>C186</f>
        <v>0.13</v>
      </c>
      <c r="D185" s="210">
        <f t="shared" ref="D185:AG185" si="86">D186</f>
        <v>0.13557711853523402</v>
      </c>
      <c r="E185" s="210">
        <f t="shared" si="86"/>
        <v>0.14115423707046801</v>
      </c>
      <c r="F185" s="210">
        <f t="shared" si="86"/>
        <v>0.14673135560570202</v>
      </c>
      <c r="G185" s="210">
        <f t="shared" si="86"/>
        <v>0.15230847414093604</v>
      </c>
      <c r="H185" s="210">
        <f t="shared" si="86"/>
        <v>0.15788559267617003</v>
      </c>
      <c r="I185" s="210">
        <f t="shared" si="86"/>
        <v>0.16346271121140404</v>
      </c>
      <c r="J185" s="210">
        <f t="shared" si="86"/>
        <v>0.16903982974663806</v>
      </c>
      <c r="K185" s="210">
        <f t="shared" si="86"/>
        <v>0.17461694828187208</v>
      </c>
      <c r="L185" s="210">
        <f t="shared" si="86"/>
        <v>0.18019406681710606</v>
      </c>
      <c r="M185" s="210">
        <f t="shared" si="86"/>
        <v>0.18577118535234008</v>
      </c>
      <c r="N185" s="210">
        <f t="shared" si="86"/>
        <v>0.19752603518814099</v>
      </c>
      <c r="O185" s="210">
        <f t="shared" si="86"/>
        <v>0.20928088502394188</v>
      </c>
      <c r="P185" s="210">
        <f t="shared" si="86"/>
        <v>0.22103573485974279</v>
      </c>
      <c r="Q185" s="210">
        <f t="shared" si="86"/>
        <v>0.2327905846955437</v>
      </c>
      <c r="R185" s="210">
        <f t="shared" si="86"/>
        <v>0.24454543453134459</v>
      </c>
      <c r="S185" s="210">
        <f t="shared" si="86"/>
        <v>0.25630028436714547</v>
      </c>
      <c r="T185" s="210">
        <f t="shared" si="86"/>
        <v>0.26805513420294641</v>
      </c>
      <c r="U185" s="210">
        <f t="shared" si="86"/>
        <v>0.27980998403874729</v>
      </c>
      <c r="V185" s="210">
        <f t="shared" si="86"/>
        <v>0.29156483387454823</v>
      </c>
      <c r="W185" s="210">
        <f t="shared" si="86"/>
        <v>0.30331968371034912</v>
      </c>
      <c r="X185" s="210">
        <f t="shared" si="86"/>
        <v>0.3229877153393142</v>
      </c>
      <c r="Y185" s="210">
        <f t="shared" si="86"/>
        <v>0.34265574696827927</v>
      </c>
      <c r="Z185" s="210">
        <f t="shared" si="86"/>
        <v>0.36232377859724441</v>
      </c>
      <c r="AA185" s="210">
        <f t="shared" si="86"/>
        <v>0.38199181022620948</v>
      </c>
      <c r="AB185" s="210">
        <f t="shared" si="86"/>
        <v>0.40165984185517456</v>
      </c>
      <c r="AC185" s="210">
        <f t="shared" si="86"/>
        <v>0.42132787348413964</v>
      </c>
      <c r="AD185" s="210">
        <f t="shared" si="86"/>
        <v>0.44099590511310471</v>
      </c>
      <c r="AE185" s="210">
        <f t="shared" si="86"/>
        <v>0.46066393674206985</v>
      </c>
      <c r="AF185" s="210">
        <f t="shared" si="86"/>
        <v>0.48033196837103487</v>
      </c>
      <c r="AG185" s="210">
        <f t="shared" si="86"/>
        <v>0.5</v>
      </c>
      <c r="AJ185" s="217" t="s">
        <v>471</v>
      </c>
      <c r="AL185" s="204"/>
      <c r="AM185" s="211"/>
      <c r="AN185" s="211"/>
      <c r="AO185" s="211"/>
    </row>
    <row r="186" spans="1:63" ht="15.5" outlineLevel="1" thickTop="1">
      <c r="A186" t="s">
        <v>448</v>
      </c>
      <c r="B186" s="51" t="s">
        <v>126</v>
      </c>
      <c r="C186" s="201">
        <v>0.13</v>
      </c>
      <c r="D186" s="104">
        <f>$C186+($M186-$C186)/10*(D$1-$C$1)</f>
        <v>0.13557711853523402</v>
      </c>
      <c r="E186" s="104">
        <f t="shared" ref="E186:L186" si="87">$C186+($M186-$C186)/10*(E$1-$C$1)</f>
        <v>0.14115423707046801</v>
      </c>
      <c r="F186" s="104">
        <f t="shared" si="87"/>
        <v>0.14673135560570202</v>
      </c>
      <c r="G186" s="104">
        <f t="shared" si="87"/>
        <v>0.15230847414093604</v>
      </c>
      <c r="H186" s="104">
        <f t="shared" si="87"/>
        <v>0.15788559267617003</v>
      </c>
      <c r="I186" s="104">
        <f t="shared" si="87"/>
        <v>0.16346271121140404</v>
      </c>
      <c r="J186" s="104">
        <f t="shared" si="87"/>
        <v>0.16903982974663806</v>
      </c>
      <c r="K186" s="104">
        <f t="shared" si="87"/>
        <v>0.17461694828187208</v>
      </c>
      <c r="L186" s="104">
        <f t="shared" si="87"/>
        <v>0.18019406681710606</v>
      </c>
      <c r="M186" s="115">
        <f>(M$49-$C$49)/($AG$49-$C$49)*($AG186-$C186)+$C186</f>
        <v>0.18577118535234008</v>
      </c>
      <c r="N186" s="115">
        <f>$M186+($W186-$M186)/10*(N$1-$M$1)</f>
        <v>0.19752603518814099</v>
      </c>
      <c r="O186" s="115">
        <f t="shared" ref="O186:U186" si="88">$M186+($W186-$M186)/10*(O$1-$M$1)</f>
        <v>0.20928088502394188</v>
      </c>
      <c r="P186" s="115">
        <f t="shared" si="88"/>
        <v>0.22103573485974279</v>
      </c>
      <c r="Q186" s="115">
        <f t="shared" si="88"/>
        <v>0.2327905846955437</v>
      </c>
      <c r="R186" s="115">
        <f t="shared" si="88"/>
        <v>0.24454543453134459</v>
      </c>
      <c r="S186" s="115">
        <f t="shared" si="88"/>
        <v>0.25630028436714547</v>
      </c>
      <c r="T186" s="115">
        <f t="shared" si="88"/>
        <v>0.26805513420294641</v>
      </c>
      <c r="U186" s="115">
        <f t="shared" si="88"/>
        <v>0.27980998403874729</v>
      </c>
      <c r="V186" s="115">
        <f>$M186+($W186-$M186)/10*(V$1-$M$1)</f>
        <v>0.29156483387454823</v>
      </c>
      <c r="W186" s="115">
        <f>(W$49-$C$49)/($AG$49-$C$49)*($AG186-$C186)+$C186</f>
        <v>0.30331968371034912</v>
      </c>
      <c r="X186" s="104">
        <f>$W186+($AG186-$W186)/10*(X$1-$W$1)</f>
        <v>0.3229877153393142</v>
      </c>
      <c r="Y186" s="104">
        <f t="shared" ref="Y186:AF186" si="89">$W186+($AG186-$W186)/10*(Y$1-$W$1)</f>
        <v>0.34265574696827927</v>
      </c>
      <c r="Z186" s="104">
        <f t="shared" si="89"/>
        <v>0.36232377859724441</v>
      </c>
      <c r="AA186" s="104">
        <f t="shared" si="89"/>
        <v>0.38199181022620948</v>
      </c>
      <c r="AB186" s="104">
        <f t="shared" si="89"/>
        <v>0.40165984185517456</v>
      </c>
      <c r="AC186" s="104">
        <f t="shared" si="89"/>
        <v>0.42132787348413964</v>
      </c>
      <c r="AD186" s="104">
        <f t="shared" si="89"/>
        <v>0.44099590511310471</v>
      </c>
      <c r="AE186" s="104">
        <f t="shared" si="89"/>
        <v>0.46066393674206985</v>
      </c>
      <c r="AF186" s="104">
        <f t="shared" si="89"/>
        <v>0.48033196837103487</v>
      </c>
      <c r="AG186" s="201">
        <v>0.5</v>
      </c>
      <c r="AJ186" s="198" t="s">
        <v>453</v>
      </c>
    </row>
    <row r="187" spans="1:63" outlineLevel="1">
      <c r="A187" t="s">
        <v>449</v>
      </c>
      <c r="B187" s="51" t="s">
        <v>126</v>
      </c>
      <c r="C187" s="201">
        <v>0.05</v>
      </c>
      <c r="D187" s="104">
        <f t="shared" ref="D187:AF187" si="90">C187-($C$187-$AG$187)/($AG$1-$C$1)</f>
        <v>5.8333333333333334E-2</v>
      </c>
      <c r="E187" s="104">
        <f t="shared" si="90"/>
        <v>6.6666666666666666E-2</v>
      </c>
      <c r="F187" s="104">
        <f t="shared" si="90"/>
        <v>7.4999999999999997E-2</v>
      </c>
      <c r="G187" s="104">
        <f t="shared" si="90"/>
        <v>8.3333333333333329E-2</v>
      </c>
      <c r="H187" s="104">
        <f t="shared" si="90"/>
        <v>9.166666666666666E-2</v>
      </c>
      <c r="I187" s="104">
        <f t="shared" si="90"/>
        <v>9.9999999999999992E-2</v>
      </c>
      <c r="J187" s="104">
        <f t="shared" si="90"/>
        <v>0.10833333333333332</v>
      </c>
      <c r="K187" s="104">
        <f t="shared" si="90"/>
        <v>0.11666666666666665</v>
      </c>
      <c r="L187" s="104">
        <f t="shared" si="90"/>
        <v>0.12499999999999999</v>
      </c>
      <c r="M187" s="104">
        <f t="shared" si="90"/>
        <v>0.13333333333333333</v>
      </c>
      <c r="N187" s="104">
        <f t="shared" si="90"/>
        <v>0.14166666666666666</v>
      </c>
      <c r="O187" s="104">
        <f t="shared" si="90"/>
        <v>0.15</v>
      </c>
      <c r="P187" s="104">
        <f t="shared" si="90"/>
        <v>0.15833333333333333</v>
      </c>
      <c r="Q187" s="104">
        <f t="shared" si="90"/>
        <v>0.16666666666666666</v>
      </c>
      <c r="R187" s="104">
        <f t="shared" si="90"/>
        <v>0.17499999999999999</v>
      </c>
      <c r="S187" s="104">
        <f t="shared" si="90"/>
        <v>0.18333333333333332</v>
      </c>
      <c r="T187" s="104">
        <f t="shared" si="90"/>
        <v>0.19166666666666665</v>
      </c>
      <c r="U187" s="104">
        <f t="shared" si="90"/>
        <v>0.19999999999999998</v>
      </c>
      <c r="V187" s="104">
        <f t="shared" si="90"/>
        <v>0.20833333333333331</v>
      </c>
      <c r="W187" s="104">
        <f t="shared" si="90"/>
        <v>0.21666666666666665</v>
      </c>
      <c r="X187" s="104">
        <f t="shared" si="90"/>
        <v>0.22499999999999998</v>
      </c>
      <c r="Y187" s="104">
        <f t="shared" si="90"/>
        <v>0.23333333333333331</v>
      </c>
      <c r="Z187" s="104">
        <f t="shared" si="90"/>
        <v>0.24166666666666664</v>
      </c>
      <c r="AA187" s="104">
        <f t="shared" si="90"/>
        <v>0.24999999999999997</v>
      </c>
      <c r="AB187" s="104">
        <f t="shared" si="90"/>
        <v>0.2583333333333333</v>
      </c>
      <c r="AC187" s="104">
        <f t="shared" si="90"/>
        <v>0.26666666666666666</v>
      </c>
      <c r="AD187" s="104">
        <f t="shared" si="90"/>
        <v>0.27500000000000002</v>
      </c>
      <c r="AE187" s="104">
        <f t="shared" si="90"/>
        <v>0.28333333333333338</v>
      </c>
      <c r="AF187" s="104">
        <f t="shared" si="90"/>
        <v>0.29166666666666674</v>
      </c>
      <c r="AG187" s="201">
        <v>0.3</v>
      </c>
      <c r="AI187" s="128"/>
      <c r="AJ187" s="198" t="s">
        <v>645</v>
      </c>
      <c r="AM187" s="117"/>
      <c r="AN187" s="117"/>
    </row>
    <row r="188" spans="1:63" ht="14.5" customHeight="1" outlineLevel="1">
      <c r="A188" t="s">
        <v>450</v>
      </c>
      <c r="B188" s="165" t="s">
        <v>126</v>
      </c>
      <c r="C188" s="104">
        <f>1-C187</f>
        <v>0.95</v>
      </c>
      <c r="D188" s="104">
        <f t="shared" ref="D188:AG188" si="91">1-D187</f>
        <v>0.94166666666666665</v>
      </c>
      <c r="E188" s="104">
        <f t="shared" si="91"/>
        <v>0.93333333333333335</v>
      </c>
      <c r="F188" s="104">
        <f t="shared" si="91"/>
        <v>0.92500000000000004</v>
      </c>
      <c r="G188" s="104">
        <f t="shared" si="91"/>
        <v>0.91666666666666663</v>
      </c>
      <c r="H188" s="104">
        <f t="shared" si="91"/>
        <v>0.90833333333333333</v>
      </c>
      <c r="I188" s="104">
        <f t="shared" si="91"/>
        <v>0.9</v>
      </c>
      <c r="J188" s="104">
        <f t="shared" si="91"/>
        <v>0.89166666666666672</v>
      </c>
      <c r="K188" s="104">
        <f t="shared" si="91"/>
        <v>0.8833333333333333</v>
      </c>
      <c r="L188" s="104">
        <f t="shared" si="91"/>
        <v>0.875</v>
      </c>
      <c r="M188" s="104">
        <f t="shared" si="91"/>
        <v>0.8666666666666667</v>
      </c>
      <c r="N188" s="104">
        <f t="shared" si="91"/>
        <v>0.85833333333333339</v>
      </c>
      <c r="O188" s="104">
        <f t="shared" si="91"/>
        <v>0.85</v>
      </c>
      <c r="P188" s="104">
        <f t="shared" si="91"/>
        <v>0.84166666666666667</v>
      </c>
      <c r="Q188" s="104">
        <f t="shared" si="91"/>
        <v>0.83333333333333337</v>
      </c>
      <c r="R188" s="104">
        <f t="shared" si="91"/>
        <v>0.82499999999999996</v>
      </c>
      <c r="S188" s="104">
        <f t="shared" si="91"/>
        <v>0.81666666666666665</v>
      </c>
      <c r="T188" s="104">
        <f t="shared" si="91"/>
        <v>0.80833333333333335</v>
      </c>
      <c r="U188" s="104">
        <f t="shared" si="91"/>
        <v>0.8</v>
      </c>
      <c r="V188" s="104">
        <f t="shared" si="91"/>
        <v>0.79166666666666674</v>
      </c>
      <c r="W188" s="104">
        <f t="shared" si="91"/>
        <v>0.78333333333333333</v>
      </c>
      <c r="X188" s="104">
        <f t="shared" si="91"/>
        <v>0.77500000000000002</v>
      </c>
      <c r="Y188" s="104">
        <f t="shared" si="91"/>
        <v>0.76666666666666672</v>
      </c>
      <c r="Z188" s="104">
        <f t="shared" si="91"/>
        <v>0.7583333333333333</v>
      </c>
      <c r="AA188" s="104">
        <f t="shared" si="91"/>
        <v>0.75</v>
      </c>
      <c r="AB188" s="104">
        <f t="shared" si="91"/>
        <v>0.7416666666666667</v>
      </c>
      <c r="AC188" s="104">
        <f t="shared" si="91"/>
        <v>0.73333333333333339</v>
      </c>
      <c r="AD188" s="104">
        <f t="shared" si="91"/>
        <v>0.72499999999999998</v>
      </c>
      <c r="AE188" s="104">
        <f t="shared" si="91"/>
        <v>0.71666666666666656</v>
      </c>
      <c r="AF188" s="104">
        <f t="shared" si="91"/>
        <v>0.70833333333333326</v>
      </c>
      <c r="AG188" s="104">
        <f t="shared" si="91"/>
        <v>0.7</v>
      </c>
      <c r="AI188" s="128" t="s">
        <v>285</v>
      </c>
      <c r="AJ188" s="198"/>
    </row>
    <row r="189" spans="1:63" outlineLevel="1">
      <c r="A189" t="s">
        <v>451</v>
      </c>
      <c r="B189" s="51" t="s">
        <v>126</v>
      </c>
      <c r="C189" s="104">
        <f>C186*C187</f>
        <v>6.5000000000000006E-3</v>
      </c>
      <c r="D189" s="104">
        <f t="shared" ref="D189:AG189" si="92">D186*D187</f>
        <v>7.9086652478886511E-3</v>
      </c>
      <c r="E189" s="104">
        <f t="shared" si="92"/>
        <v>9.4102824713645332E-3</v>
      </c>
      <c r="F189" s="104">
        <f t="shared" si="92"/>
        <v>1.1004851670427652E-2</v>
      </c>
      <c r="G189" s="104">
        <f t="shared" si="92"/>
        <v>1.2692372845078003E-2</v>
      </c>
      <c r="H189" s="104">
        <f t="shared" si="92"/>
        <v>1.4472845995315585E-2</v>
      </c>
      <c r="I189" s="104">
        <f t="shared" si="92"/>
        <v>1.6346271121140402E-2</v>
      </c>
      <c r="J189" s="104">
        <f t="shared" si="92"/>
        <v>1.8312648222552456E-2</v>
      </c>
      <c r="K189" s="104">
        <f t="shared" si="92"/>
        <v>2.037197729955174E-2</v>
      </c>
      <c r="L189" s="104">
        <f t="shared" si="92"/>
        <v>2.2524258352138254E-2</v>
      </c>
      <c r="M189" s="104">
        <f t="shared" si="92"/>
        <v>2.4769491380312009E-2</v>
      </c>
      <c r="N189" s="104">
        <f t="shared" si="92"/>
        <v>2.7982854984986639E-2</v>
      </c>
      <c r="O189" s="104">
        <f t="shared" si="92"/>
        <v>3.1392132753591283E-2</v>
      </c>
      <c r="P189" s="104">
        <f t="shared" si="92"/>
        <v>3.4997324686125937E-2</v>
      </c>
      <c r="Q189" s="104">
        <f t="shared" si="92"/>
        <v>3.8798430782590612E-2</v>
      </c>
      <c r="R189" s="104">
        <f t="shared" si="92"/>
        <v>4.2795451042985301E-2</v>
      </c>
      <c r="S189" s="104">
        <f t="shared" si="92"/>
        <v>4.6988385467309997E-2</v>
      </c>
      <c r="T189" s="104">
        <f t="shared" si="92"/>
        <v>5.1377234055564727E-2</v>
      </c>
      <c r="U189" s="104">
        <f t="shared" si="92"/>
        <v>5.5961996807749458E-2</v>
      </c>
      <c r="V189" s="104">
        <f t="shared" si="92"/>
        <v>6.0742673723864209E-2</v>
      </c>
      <c r="W189" s="104">
        <f t="shared" si="92"/>
        <v>6.5719264803908967E-2</v>
      </c>
      <c r="X189" s="104">
        <f t="shared" si="92"/>
        <v>7.2672235951345684E-2</v>
      </c>
      <c r="Y189" s="104">
        <f t="shared" si="92"/>
        <v>7.9953007625931827E-2</v>
      </c>
      <c r="Z189" s="104">
        <f t="shared" si="92"/>
        <v>8.7561579827667393E-2</v>
      </c>
      <c r="AA189" s="104">
        <f t="shared" si="92"/>
        <v>9.5497952556552357E-2</v>
      </c>
      <c r="AB189" s="104">
        <f t="shared" si="92"/>
        <v>0.10376212581258674</v>
      </c>
      <c r="AC189" s="104">
        <f t="shared" si="92"/>
        <v>0.11235409959577057</v>
      </c>
      <c r="AD189" s="104">
        <f t="shared" si="92"/>
        <v>0.12127387390610381</v>
      </c>
      <c r="AE189" s="104">
        <f t="shared" si="92"/>
        <v>0.13052144874358648</v>
      </c>
      <c r="AF189" s="104">
        <f t="shared" si="92"/>
        <v>0.14009682410821853</v>
      </c>
      <c r="AG189" s="104">
        <f t="shared" si="92"/>
        <v>0.15</v>
      </c>
      <c r="AI189" s="127"/>
      <c r="AJ189" s="198"/>
      <c r="BD189" s="190"/>
      <c r="BE189" s="190"/>
    </row>
    <row r="190" spans="1:63" outlineLevel="1">
      <c r="A190" t="s">
        <v>452</v>
      </c>
      <c r="B190" s="51" t="s">
        <v>126</v>
      </c>
      <c r="C190" s="104">
        <f>C186*C188</f>
        <v>0.1235</v>
      </c>
      <c r="D190" s="104">
        <f t="shared" ref="D190:AG190" si="93">D186*D188</f>
        <v>0.12766845328734536</v>
      </c>
      <c r="E190" s="104">
        <f t="shared" si="93"/>
        <v>0.13174395459910349</v>
      </c>
      <c r="F190" s="104">
        <f t="shared" si="93"/>
        <v>0.13572650393527438</v>
      </c>
      <c r="G190" s="104">
        <f t="shared" si="93"/>
        <v>0.13961610129585802</v>
      </c>
      <c r="H190" s="104">
        <f t="shared" si="93"/>
        <v>0.14341274668085444</v>
      </c>
      <c r="I190" s="104">
        <f t="shared" si="93"/>
        <v>0.14711644009026364</v>
      </c>
      <c r="J190" s="104">
        <f t="shared" si="93"/>
        <v>0.15072718152408562</v>
      </c>
      <c r="K190" s="104">
        <f t="shared" si="93"/>
        <v>0.15424497098232032</v>
      </c>
      <c r="L190" s="104">
        <f t="shared" si="93"/>
        <v>0.15766980846496781</v>
      </c>
      <c r="M190" s="104">
        <f t="shared" si="93"/>
        <v>0.16100169397202807</v>
      </c>
      <c r="N190" s="104">
        <f t="shared" si="93"/>
        <v>0.16954318020315437</v>
      </c>
      <c r="O190" s="104">
        <f t="shared" si="93"/>
        <v>0.17788875227035059</v>
      </c>
      <c r="P190" s="104">
        <f t="shared" si="93"/>
        <v>0.18603841017361686</v>
      </c>
      <c r="Q190" s="104">
        <f t="shared" si="93"/>
        <v>0.1939921539129531</v>
      </c>
      <c r="R190" s="104">
        <f t="shared" si="93"/>
        <v>0.20174998348835926</v>
      </c>
      <c r="S190" s="104">
        <f t="shared" si="93"/>
        <v>0.20931189889983545</v>
      </c>
      <c r="T190" s="104">
        <f t="shared" si="93"/>
        <v>0.2166779001473817</v>
      </c>
      <c r="U190" s="104">
        <f t="shared" si="93"/>
        <v>0.22384798723099786</v>
      </c>
      <c r="V190" s="104">
        <f t="shared" si="93"/>
        <v>0.23082216015068405</v>
      </c>
      <c r="W190" s="104">
        <f t="shared" si="93"/>
        <v>0.23760041890644015</v>
      </c>
      <c r="X190" s="104">
        <f t="shared" si="93"/>
        <v>0.2503154793879685</v>
      </c>
      <c r="Y190" s="104">
        <f t="shared" si="93"/>
        <v>0.26270273934234745</v>
      </c>
      <c r="Z190" s="104">
        <f t="shared" si="93"/>
        <v>0.27476219876957697</v>
      </c>
      <c r="AA190" s="104">
        <f t="shared" si="93"/>
        <v>0.28649385766965713</v>
      </c>
      <c r="AB190" s="104">
        <f t="shared" si="93"/>
        <v>0.2978977160425878</v>
      </c>
      <c r="AC190" s="104">
        <f t="shared" si="93"/>
        <v>0.30897377388836911</v>
      </c>
      <c r="AD190" s="104">
        <f t="shared" si="93"/>
        <v>0.31972203120700093</v>
      </c>
      <c r="AE190" s="104">
        <f t="shared" si="93"/>
        <v>0.33014248799848334</v>
      </c>
      <c r="AF190" s="104">
        <f t="shared" si="93"/>
        <v>0.34023514426281631</v>
      </c>
      <c r="AG190" s="104">
        <f t="shared" si="93"/>
        <v>0.35</v>
      </c>
      <c r="AI190" s="127"/>
      <c r="AJ190" s="198"/>
      <c r="BD190" s="190"/>
      <c r="BE190" s="190"/>
    </row>
    <row r="191" spans="1:63" outlineLevel="1">
      <c r="C191" s="104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J191" s="198"/>
    </row>
    <row r="192" spans="1:63" outlineLevel="1">
      <c r="A192" t="s">
        <v>437</v>
      </c>
      <c r="B192" s="51" t="s">
        <v>126</v>
      </c>
      <c r="C192" s="100">
        <v>0.5</v>
      </c>
      <c r="D192" s="104">
        <f>C192</f>
        <v>0.5</v>
      </c>
      <c r="E192" s="104">
        <f t="shared" ref="E192:AG192" si="94">D192</f>
        <v>0.5</v>
      </c>
      <c r="F192" s="104">
        <f t="shared" si="94"/>
        <v>0.5</v>
      </c>
      <c r="G192" s="104">
        <f t="shared" si="94"/>
        <v>0.5</v>
      </c>
      <c r="H192" s="104">
        <f t="shared" si="94"/>
        <v>0.5</v>
      </c>
      <c r="I192" s="104">
        <f t="shared" si="94"/>
        <v>0.5</v>
      </c>
      <c r="J192" s="104">
        <f t="shared" si="94"/>
        <v>0.5</v>
      </c>
      <c r="K192" s="104">
        <f t="shared" si="94"/>
        <v>0.5</v>
      </c>
      <c r="L192" s="104">
        <f t="shared" si="94"/>
        <v>0.5</v>
      </c>
      <c r="M192" s="104">
        <f t="shared" si="94"/>
        <v>0.5</v>
      </c>
      <c r="N192" s="104">
        <f t="shared" si="94"/>
        <v>0.5</v>
      </c>
      <c r="O192" s="104">
        <f t="shared" si="94"/>
        <v>0.5</v>
      </c>
      <c r="P192" s="104">
        <f t="shared" si="94"/>
        <v>0.5</v>
      </c>
      <c r="Q192" s="104">
        <f t="shared" si="94"/>
        <v>0.5</v>
      </c>
      <c r="R192" s="104">
        <f t="shared" si="94"/>
        <v>0.5</v>
      </c>
      <c r="S192" s="104">
        <f t="shared" si="94"/>
        <v>0.5</v>
      </c>
      <c r="T192" s="104">
        <f t="shared" si="94"/>
        <v>0.5</v>
      </c>
      <c r="U192" s="104">
        <f t="shared" si="94"/>
        <v>0.5</v>
      </c>
      <c r="V192" s="104">
        <f t="shared" si="94"/>
        <v>0.5</v>
      </c>
      <c r="W192" s="104">
        <f t="shared" si="94"/>
        <v>0.5</v>
      </c>
      <c r="X192" s="104">
        <f t="shared" si="94"/>
        <v>0.5</v>
      </c>
      <c r="Y192" s="104">
        <f t="shared" si="94"/>
        <v>0.5</v>
      </c>
      <c r="Z192" s="104">
        <f t="shared" si="94"/>
        <v>0.5</v>
      </c>
      <c r="AA192" s="104">
        <f t="shared" si="94"/>
        <v>0.5</v>
      </c>
      <c r="AB192" s="104">
        <f t="shared" si="94"/>
        <v>0.5</v>
      </c>
      <c r="AC192" s="104">
        <f t="shared" si="94"/>
        <v>0.5</v>
      </c>
      <c r="AD192" s="104">
        <f t="shared" si="94"/>
        <v>0.5</v>
      </c>
      <c r="AE192" s="104">
        <f t="shared" si="94"/>
        <v>0.5</v>
      </c>
      <c r="AF192" s="104">
        <f t="shared" si="94"/>
        <v>0.5</v>
      </c>
      <c r="AG192" s="104">
        <f t="shared" si="94"/>
        <v>0.5</v>
      </c>
      <c r="AI192" s="51"/>
      <c r="AJ192" s="198" t="s">
        <v>460</v>
      </c>
    </row>
    <row r="193" spans="1:63" outlineLevel="1">
      <c r="A193" t="s">
        <v>445</v>
      </c>
      <c r="B193" s="51" t="s">
        <v>126</v>
      </c>
      <c r="C193" s="115">
        <f>1-C192</f>
        <v>0.5</v>
      </c>
      <c r="D193" s="104">
        <f t="shared" ref="D193:AG193" si="95">C193</f>
        <v>0.5</v>
      </c>
      <c r="E193" s="104">
        <f t="shared" si="95"/>
        <v>0.5</v>
      </c>
      <c r="F193" s="104">
        <f t="shared" si="95"/>
        <v>0.5</v>
      </c>
      <c r="G193" s="104">
        <f t="shared" si="95"/>
        <v>0.5</v>
      </c>
      <c r="H193" s="104">
        <f t="shared" si="95"/>
        <v>0.5</v>
      </c>
      <c r="I193" s="104">
        <f t="shared" si="95"/>
        <v>0.5</v>
      </c>
      <c r="J193" s="104">
        <f t="shared" si="95"/>
        <v>0.5</v>
      </c>
      <c r="K193" s="104">
        <f t="shared" si="95"/>
        <v>0.5</v>
      </c>
      <c r="L193" s="104">
        <f t="shared" si="95"/>
        <v>0.5</v>
      </c>
      <c r="M193" s="104">
        <f t="shared" si="95"/>
        <v>0.5</v>
      </c>
      <c r="N193" s="104">
        <f t="shared" si="95"/>
        <v>0.5</v>
      </c>
      <c r="O193" s="104">
        <f t="shared" si="95"/>
        <v>0.5</v>
      </c>
      <c r="P193" s="104">
        <f t="shared" si="95"/>
        <v>0.5</v>
      </c>
      <c r="Q193" s="104">
        <f t="shared" si="95"/>
        <v>0.5</v>
      </c>
      <c r="R193" s="104">
        <f t="shared" si="95"/>
        <v>0.5</v>
      </c>
      <c r="S193" s="104">
        <f t="shared" si="95"/>
        <v>0.5</v>
      </c>
      <c r="T193" s="104">
        <f t="shared" si="95"/>
        <v>0.5</v>
      </c>
      <c r="U193" s="104">
        <f t="shared" si="95"/>
        <v>0.5</v>
      </c>
      <c r="V193" s="104">
        <f t="shared" si="95"/>
        <v>0.5</v>
      </c>
      <c r="W193" s="104">
        <f t="shared" si="95"/>
        <v>0.5</v>
      </c>
      <c r="X193" s="104">
        <f t="shared" si="95"/>
        <v>0.5</v>
      </c>
      <c r="Y193" s="104">
        <f t="shared" si="95"/>
        <v>0.5</v>
      </c>
      <c r="Z193" s="104">
        <f t="shared" si="95"/>
        <v>0.5</v>
      </c>
      <c r="AA193" s="104">
        <f t="shared" si="95"/>
        <v>0.5</v>
      </c>
      <c r="AB193" s="104">
        <f t="shared" si="95"/>
        <v>0.5</v>
      </c>
      <c r="AC193" s="104">
        <f t="shared" si="95"/>
        <v>0.5</v>
      </c>
      <c r="AD193" s="104">
        <f t="shared" si="95"/>
        <v>0.5</v>
      </c>
      <c r="AE193" s="104">
        <f t="shared" si="95"/>
        <v>0.5</v>
      </c>
      <c r="AF193" s="104">
        <f t="shared" si="95"/>
        <v>0.5</v>
      </c>
      <c r="AG193" s="104">
        <f t="shared" si="95"/>
        <v>0.5</v>
      </c>
      <c r="AJ193" s="209"/>
    </row>
    <row r="194" spans="1:63" outlineLevel="1">
      <c r="A194" t="s">
        <v>433</v>
      </c>
      <c r="B194" s="51" t="s">
        <v>126</v>
      </c>
      <c r="C194" s="104">
        <f t="shared" ref="C194:AG194" si="96">SUM(C192:C193)</f>
        <v>1</v>
      </c>
      <c r="D194" s="104">
        <f t="shared" si="96"/>
        <v>1</v>
      </c>
      <c r="E194" s="104">
        <f t="shared" si="96"/>
        <v>1</v>
      </c>
      <c r="F194" s="104">
        <f t="shared" si="96"/>
        <v>1</v>
      </c>
      <c r="G194" s="104">
        <f t="shared" si="96"/>
        <v>1</v>
      </c>
      <c r="H194" s="104">
        <f t="shared" si="96"/>
        <v>1</v>
      </c>
      <c r="I194" s="104">
        <f t="shared" si="96"/>
        <v>1</v>
      </c>
      <c r="J194" s="104">
        <f t="shared" si="96"/>
        <v>1</v>
      </c>
      <c r="K194" s="104">
        <f t="shared" si="96"/>
        <v>1</v>
      </c>
      <c r="L194" s="104">
        <f t="shared" si="96"/>
        <v>1</v>
      </c>
      <c r="M194" s="104">
        <f t="shared" si="96"/>
        <v>1</v>
      </c>
      <c r="N194" s="104">
        <f t="shared" si="96"/>
        <v>1</v>
      </c>
      <c r="O194" s="104">
        <f t="shared" si="96"/>
        <v>1</v>
      </c>
      <c r="P194" s="104">
        <f t="shared" si="96"/>
        <v>1</v>
      </c>
      <c r="Q194" s="104">
        <f t="shared" si="96"/>
        <v>1</v>
      </c>
      <c r="R194" s="104">
        <f t="shared" si="96"/>
        <v>1</v>
      </c>
      <c r="S194" s="104">
        <f t="shared" si="96"/>
        <v>1</v>
      </c>
      <c r="T194" s="104">
        <f t="shared" si="96"/>
        <v>1</v>
      </c>
      <c r="U194" s="104">
        <f t="shared" si="96"/>
        <v>1</v>
      </c>
      <c r="V194" s="104">
        <f t="shared" si="96"/>
        <v>1</v>
      </c>
      <c r="W194" s="104">
        <f t="shared" si="96"/>
        <v>1</v>
      </c>
      <c r="X194" s="104">
        <f t="shared" si="96"/>
        <v>1</v>
      </c>
      <c r="Y194" s="104">
        <f t="shared" si="96"/>
        <v>1</v>
      </c>
      <c r="Z194" s="104">
        <f t="shared" si="96"/>
        <v>1</v>
      </c>
      <c r="AA194" s="104">
        <f t="shared" si="96"/>
        <v>1</v>
      </c>
      <c r="AB194" s="104">
        <f t="shared" si="96"/>
        <v>1</v>
      </c>
      <c r="AC194" s="104">
        <f t="shared" si="96"/>
        <v>1</v>
      </c>
      <c r="AD194" s="104">
        <f t="shared" si="96"/>
        <v>1</v>
      </c>
      <c r="AE194" s="104">
        <f t="shared" si="96"/>
        <v>1</v>
      </c>
      <c r="AF194" s="104">
        <f t="shared" si="96"/>
        <v>1</v>
      </c>
      <c r="AG194" s="104">
        <f t="shared" si="96"/>
        <v>1</v>
      </c>
      <c r="AH194" s="124"/>
      <c r="AI194" s="51"/>
      <c r="AJ194" s="209"/>
    </row>
    <row r="195" spans="1:63" outlineLevel="1">
      <c r="C195" s="201"/>
      <c r="D195" s="104"/>
      <c r="E195" s="104"/>
      <c r="F195" s="104"/>
      <c r="G195" s="104"/>
      <c r="H195" s="104"/>
      <c r="I195" s="104"/>
      <c r="J195" s="104"/>
      <c r="K195" s="104"/>
      <c r="L195" s="104"/>
      <c r="M195" s="104"/>
      <c r="N195" s="104"/>
      <c r="O195" s="104"/>
      <c r="P195" s="104"/>
      <c r="Q195" s="104"/>
      <c r="R195" s="104"/>
      <c r="S195" s="104"/>
      <c r="T195" s="104"/>
      <c r="U195" s="104"/>
      <c r="V195" s="104"/>
      <c r="W195" s="104"/>
      <c r="X195" s="104"/>
      <c r="Y195" s="104"/>
      <c r="Z195" s="104"/>
      <c r="AA195" s="104"/>
      <c r="AB195" s="104"/>
      <c r="AC195" s="104"/>
      <c r="AD195" s="104"/>
      <c r="AE195" s="104"/>
      <c r="AF195" s="104"/>
      <c r="AG195" s="104"/>
      <c r="AH195" s="124"/>
      <c r="AI195" s="124"/>
      <c r="AJ195" s="209"/>
    </row>
    <row r="196" spans="1:63" outlineLevel="1">
      <c r="A196" t="s">
        <v>455</v>
      </c>
      <c r="B196" s="51" t="s">
        <v>126</v>
      </c>
      <c r="C196" s="104">
        <f>C192*C190</f>
        <v>6.1749999999999999E-2</v>
      </c>
      <c r="D196" s="104">
        <f t="shared" ref="D196:AG196" si="97">D192*D190</f>
        <v>6.3834226643672679E-2</v>
      </c>
      <c r="E196" s="104">
        <f t="shared" si="97"/>
        <v>6.5871977299551743E-2</v>
      </c>
      <c r="F196" s="104">
        <f t="shared" si="97"/>
        <v>6.7863251967637192E-2</v>
      </c>
      <c r="G196" s="104">
        <f t="shared" si="97"/>
        <v>6.9808050647929012E-2</v>
      </c>
      <c r="H196" s="104">
        <f t="shared" si="97"/>
        <v>7.1706373340427218E-2</v>
      </c>
      <c r="I196" s="104">
        <f t="shared" si="97"/>
        <v>7.3558220045131822E-2</v>
      </c>
      <c r="J196" s="104">
        <f t="shared" si="97"/>
        <v>7.5363590762042812E-2</v>
      </c>
      <c r="K196" s="104">
        <f t="shared" si="97"/>
        <v>7.7122485491160159E-2</v>
      </c>
      <c r="L196" s="104">
        <f t="shared" si="97"/>
        <v>7.8834904232483904E-2</v>
      </c>
      <c r="M196" s="104">
        <f t="shared" si="97"/>
        <v>8.0500846986014035E-2</v>
      </c>
      <c r="N196" s="104">
        <f t="shared" si="97"/>
        <v>8.4771590101577185E-2</v>
      </c>
      <c r="O196" s="104">
        <f t="shared" si="97"/>
        <v>8.8944376135175293E-2</v>
      </c>
      <c r="P196" s="104">
        <f t="shared" si="97"/>
        <v>9.3019205086808429E-2</v>
      </c>
      <c r="Q196" s="104">
        <f t="shared" si="97"/>
        <v>9.6996076956476551E-2</v>
      </c>
      <c r="R196" s="104">
        <f t="shared" si="97"/>
        <v>0.10087499174417963</v>
      </c>
      <c r="S196" s="104">
        <f t="shared" si="97"/>
        <v>0.10465594944991773</v>
      </c>
      <c r="T196" s="104">
        <f t="shared" si="97"/>
        <v>0.10833895007369085</v>
      </c>
      <c r="U196" s="104">
        <f t="shared" si="97"/>
        <v>0.11192399361549893</v>
      </c>
      <c r="V196" s="104">
        <f t="shared" si="97"/>
        <v>0.11541108007534202</v>
      </c>
      <c r="W196" s="104">
        <f t="shared" si="97"/>
        <v>0.11880020945322008</v>
      </c>
      <c r="X196" s="104">
        <f t="shared" si="97"/>
        <v>0.12515773969398425</v>
      </c>
      <c r="Y196" s="104">
        <f t="shared" si="97"/>
        <v>0.13135136967117372</v>
      </c>
      <c r="Z196" s="104">
        <f t="shared" si="97"/>
        <v>0.13738109938478849</v>
      </c>
      <c r="AA196" s="104">
        <f t="shared" si="97"/>
        <v>0.14324692883482856</v>
      </c>
      <c r="AB196" s="104">
        <f t="shared" si="97"/>
        <v>0.1489488580212939</v>
      </c>
      <c r="AC196" s="104">
        <f t="shared" si="97"/>
        <v>0.15448688694418455</v>
      </c>
      <c r="AD196" s="104">
        <f t="shared" si="97"/>
        <v>0.15986101560350047</v>
      </c>
      <c r="AE196" s="104">
        <f t="shared" si="97"/>
        <v>0.16507124399924167</v>
      </c>
      <c r="AF196" s="104">
        <f t="shared" si="97"/>
        <v>0.17011757213140816</v>
      </c>
      <c r="AG196" s="104">
        <f t="shared" si="97"/>
        <v>0.17499999999999999</v>
      </c>
      <c r="AH196" s="124"/>
      <c r="AI196" s="124"/>
      <c r="AJ196" s="198"/>
    </row>
    <row r="197" spans="1:63" outlineLevel="1">
      <c r="A197" t="s">
        <v>531</v>
      </c>
      <c r="B197" s="51" t="s">
        <v>126</v>
      </c>
      <c r="C197" s="104">
        <f>C190*C193</f>
        <v>6.1749999999999999E-2</v>
      </c>
      <c r="D197" s="104">
        <f t="shared" ref="D197:AG197" si="98">D190*D193</f>
        <v>6.3834226643672679E-2</v>
      </c>
      <c r="E197" s="104">
        <f t="shared" si="98"/>
        <v>6.5871977299551743E-2</v>
      </c>
      <c r="F197" s="104">
        <f t="shared" si="98"/>
        <v>6.7863251967637192E-2</v>
      </c>
      <c r="G197" s="104">
        <f t="shared" si="98"/>
        <v>6.9808050647929012E-2</v>
      </c>
      <c r="H197" s="104">
        <f t="shared" si="98"/>
        <v>7.1706373340427218E-2</v>
      </c>
      <c r="I197" s="104">
        <f t="shared" si="98"/>
        <v>7.3558220045131822E-2</v>
      </c>
      <c r="J197" s="104">
        <f t="shared" si="98"/>
        <v>7.5363590762042812E-2</v>
      </c>
      <c r="K197" s="104">
        <f t="shared" si="98"/>
        <v>7.7122485491160159E-2</v>
      </c>
      <c r="L197" s="104">
        <f t="shared" si="98"/>
        <v>7.8834904232483904E-2</v>
      </c>
      <c r="M197" s="104">
        <f t="shared" si="98"/>
        <v>8.0500846986014035E-2</v>
      </c>
      <c r="N197" s="104">
        <f t="shared" si="98"/>
        <v>8.4771590101577185E-2</v>
      </c>
      <c r="O197" s="104">
        <f t="shared" si="98"/>
        <v>8.8944376135175293E-2</v>
      </c>
      <c r="P197" s="104">
        <f t="shared" si="98"/>
        <v>9.3019205086808429E-2</v>
      </c>
      <c r="Q197" s="104">
        <f t="shared" si="98"/>
        <v>9.6996076956476551E-2</v>
      </c>
      <c r="R197" s="104">
        <f t="shared" si="98"/>
        <v>0.10087499174417963</v>
      </c>
      <c r="S197" s="104">
        <f t="shared" si="98"/>
        <v>0.10465594944991773</v>
      </c>
      <c r="T197" s="104">
        <f t="shared" si="98"/>
        <v>0.10833895007369085</v>
      </c>
      <c r="U197" s="104">
        <f t="shared" si="98"/>
        <v>0.11192399361549893</v>
      </c>
      <c r="V197" s="104">
        <f t="shared" si="98"/>
        <v>0.11541108007534202</v>
      </c>
      <c r="W197" s="104">
        <f t="shared" si="98"/>
        <v>0.11880020945322008</v>
      </c>
      <c r="X197" s="104">
        <f t="shared" si="98"/>
        <v>0.12515773969398425</v>
      </c>
      <c r="Y197" s="104">
        <f t="shared" si="98"/>
        <v>0.13135136967117372</v>
      </c>
      <c r="Z197" s="104">
        <f t="shared" si="98"/>
        <v>0.13738109938478849</v>
      </c>
      <c r="AA197" s="104">
        <f t="shared" si="98"/>
        <v>0.14324692883482856</v>
      </c>
      <c r="AB197" s="104">
        <f t="shared" si="98"/>
        <v>0.1489488580212939</v>
      </c>
      <c r="AC197" s="104">
        <f t="shared" si="98"/>
        <v>0.15448688694418455</v>
      </c>
      <c r="AD197" s="104">
        <f t="shared" si="98"/>
        <v>0.15986101560350047</v>
      </c>
      <c r="AE197" s="104">
        <f t="shared" si="98"/>
        <v>0.16507124399924167</v>
      </c>
      <c r="AF197" s="104">
        <f t="shared" si="98"/>
        <v>0.17011757213140816</v>
      </c>
      <c r="AG197" s="104">
        <f t="shared" si="98"/>
        <v>0.17499999999999999</v>
      </c>
      <c r="AJ197" s="198"/>
    </row>
    <row r="198" spans="1:63" outlineLevel="1">
      <c r="C198" s="104"/>
      <c r="D198" s="104"/>
      <c r="E198" s="104"/>
      <c r="F198" s="104"/>
      <c r="G198" s="104"/>
      <c r="H198" s="104"/>
      <c r="I198" s="104"/>
      <c r="J198" s="104"/>
      <c r="K198" s="104"/>
      <c r="L198" s="104"/>
      <c r="M198" s="104"/>
      <c r="N198" s="104"/>
      <c r="O198" s="104"/>
      <c r="P198" s="104"/>
      <c r="Q198" s="104"/>
      <c r="R198" s="104"/>
      <c r="S198" s="104"/>
      <c r="T198" s="104"/>
      <c r="U198" s="104"/>
      <c r="V198" s="104"/>
      <c r="W198" s="104"/>
      <c r="X198" s="104"/>
      <c r="Y198" s="104"/>
      <c r="Z198" s="104"/>
      <c r="AA198" s="104"/>
      <c r="AB198" s="104"/>
      <c r="AC198" s="104"/>
      <c r="AD198" s="104"/>
      <c r="AE198" s="104"/>
      <c r="AF198" s="104"/>
      <c r="AG198" s="104"/>
      <c r="AJ198" s="198"/>
    </row>
    <row r="199" spans="1:63" outlineLevel="1">
      <c r="A199" t="s">
        <v>1370</v>
      </c>
      <c r="C199" s="216">
        <f>('Overall recycling rates'!F87*'Yearly BTX'!D5+'Overall recycling rates'!G87*'Yearly BTX'!D6+'Overall recycling rates'!H87*'Yearly BTX'!D7)/'Yearly BTX'!D4</f>
        <v>1</v>
      </c>
      <c r="D199" s="216">
        <f>C199-($C199-$AG199)/($AG$1-$C$1)</f>
        <v>1</v>
      </c>
      <c r="E199" s="216">
        <f t="shared" ref="E199:AF199" si="99">D199-($C199-$AG199)/($AG$1-$C$1)</f>
        <v>1</v>
      </c>
      <c r="F199" s="216">
        <f t="shared" si="99"/>
        <v>1</v>
      </c>
      <c r="G199" s="216">
        <f t="shared" si="99"/>
        <v>1</v>
      </c>
      <c r="H199" s="216">
        <f t="shared" si="99"/>
        <v>1</v>
      </c>
      <c r="I199" s="216">
        <f t="shared" si="99"/>
        <v>1</v>
      </c>
      <c r="J199" s="216">
        <f t="shared" si="99"/>
        <v>1</v>
      </c>
      <c r="K199" s="216">
        <f t="shared" si="99"/>
        <v>1</v>
      </c>
      <c r="L199" s="216">
        <f t="shared" si="99"/>
        <v>1</v>
      </c>
      <c r="M199" s="216">
        <f t="shared" si="99"/>
        <v>1</v>
      </c>
      <c r="N199" s="216">
        <f t="shared" si="99"/>
        <v>1</v>
      </c>
      <c r="O199" s="216">
        <f t="shared" si="99"/>
        <v>1</v>
      </c>
      <c r="P199" s="216">
        <f t="shared" si="99"/>
        <v>1</v>
      </c>
      <c r="Q199" s="216">
        <f t="shared" si="99"/>
        <v>1</v>
      </c>
      <c r="R199" s="216">
        <f t="shared" si="99"/>
        <v>1</v>
      </c>
      <c r="S199" s="216">
        <f t="shared" si="99"/>
        <v>1</v>
      </c>
      <c r="T199" s="216">
        <f t="shared" si="99"/>
        <v>1</v>
      </c>
      <c r="U199" s="216">
        <f t="shared" si="99"/>
        <v>1</v>
      </c>
      <c r="V199" s="216">
        <f t="shared" si="99"/>
        <v>1</v>
      </c>
      <c r="W199" s="216">
        <f t="shared" si="99"/>
        <v>1</v>
      </c>
      <c r="X199" s="216">
        <f t="shared" si="99"/>
        <v>1</v>
      </c>
      <c r="Y199" s="216">
        <f t="shared" si="99"/>
        <v>1</v>
      </c>
      <c r="Z199" s="216">
        <f t="shared" si="99"/>
        <v>1</v>
      </c>
      <c r="AA199" s="216">
        <f t="shared" si="99"/>
        <v>1</v>
      </c>
      <c r="AB199" s="216">
        <f t="shared" si="99"/>
        <v>1</v>
      </c>
      <c r="AC199" s="216">
        <f t="shared" si="99"/>
        <v>1</v>
      </c>
      <c r="AD199" s="216">
        <f t="shared" si="99"/>
        <v>1</v>
      </c>
      <c r="AE199" s="216">
        <f t="shared" si="99"/>
        <v>1</v>
      </c>
      <c r="AF199" s="216">
        <f t="shared" si="99"/>
        <v>1</v>
      </c>
      <c r="AG199" s="216">
        <f>'Overall recycling rates'!F96</f>
        <v>1</v>
      </c>
      <c r="AI199" s="126"/>
      <c r="AJ199" s="198" t="s">
        <v>1081</v>
      </c>
      <c r="AL199" s="102"/>
      <c r="AM199" s="194"/>
      <c r="AN199" s="194"/>
      <c r="AO199" s="194"/>
      <c r="BC199" s="1"/>
      <c r="BD199" s="194"/>
      <c r="BE199" s="194"/>
      <c r="BF199" s="194"/>
      <c r="BG199" s="194"/>
      <c r="BH199" s="194"/>
      <c r="BI199" s="194"/>
      <c r="BJ199" s="194"/>
      <c r="BK199" s="194"/>
    </row>
    <row r="200" spans="1:63" outlineLevel="1">
      <c r="A200" t="s">
        <v>1378</v>
      </c>
      <c r="B200" s="51" t="s">
        <v>126</v>
      </c>
      <c r="C200" s="104">
        <f>C189*C$199</f>
        <v>6.5000000000000006E-3</v>
      </c>
      <c r="D200" s="104">
        <f>D189*D$136</f>
        <v>4.8530556969531005E-3</v>
      </c>
      <c r="E200" s="104">
        <f t="shared" ref="E200:AG200" si="100">E189*E$136</f>
        <v>5.8674271355912263E-3</v>
      </c>
      <c r="F200" s="104">
        <f t="shared" si="100"/>
        <v>6.9703287546270046E-3</v>
      </c>
      <c r="G200" s="104">
        <f t="shared" si="100"/>
        <v>8.1645141335559158E-3</v>
      </c>
      <c r="H200" s="104">
        <f t="shared" si="100"/>
        <v>9.4527368518734414E-3</v>
      </c>
      <c r="I200" s="104">
        <f t="shared" si="100"/>
        <v>1.0837750489075064E-2</v>
      </c>
      <c r="J200" s="104">
        <f t="shared" si="100"/>
        <v>1.2322308624656267E-2</v>
      </c>
      <c r="K200" s="104">
        <f t="shared" si="100"/>
        <v>1.3909164838112529E-2</v>
      </c>
      <c r="L200" s="104">
        <f t="shared" si="100"/>
        <v>1.560107270893933E-2</v>
      </c>
      <c r="M200" s="104">
        <f t="shared" si="100"/>
        <v>1.740078581663216E-2</v>
      </c>
      <c r="N200" s="104">
        <f t="shared" si="100"/>
        <v>1.9934520418055122E-2</v>
      </c>
      <c r="O200" s="104">
        <f t="shared" si="100"/>
        <v>2.2673216678568323E-2</v>
      </c>
      <c r="P200" s="104">
        <f t="shared" si="100"/>
        <v>2.5622678296493003E-2</v>
      </c>
      <c r="Q200" s="104">
        <f t="shared" si="100"/>
        <v>2.8788708970150411E-2</v>
      </c>
      <c r="R200" s="104">
        <f t="shared" si="100"/>
        <v>3.2177112397861793E-2</v>
      </c>
      <c r="S200" s="104">
        <f t="shared" si="100"/>
        <v>3.5793692277948395E-2</v>
      </c>
      <c r="T200" s="104">
        <f t="shared" si="100"/>
        <v>3.9644252308731469E-2</v>
      </c>
      <c r="U200" s="104">
        <f t="shared" si="100"/>
        <v>4.3734596188532246E-2</v>
      </c>
      <c r="V200" s="104">
        <f t="shared" si="100"/>
        <v>4.8070527615671987E-2</v>
      </c>
      <c r="W200" s="104">
        <f t="shared" si="100"/>
        <v>5.2657850288471926E-2</v>
      </c>
      <c r="X200" s="104">
        <f t="shared" si="100"/>
        <v>5.8946555366710049E-2</v>
      </c>
      <c r="Y200" s="104">
        <f t="shared" si="100"/>
        <v>6.5641700889716409E-2</v>
      </c>
      <c r="Z200" s="104">
        <f t="shared" si="100"/>
        <v>7.2752997515112494E-2</v>
      </c>
      <c r="AA200" s="104">
        <f t="shared" si="100"/>
        <v>8.0290155900519716E-2</v>
      </c>
      <c r="AB200" s="104">
        <f t="shared" si="100"/>
        <v>8.8262886703559584E-2</v>
      </c>
      <c r="AC200" s="104">
        <f t="shared" si="100"/>
        <v>9.6680900581853593E-2</v>
      </c>
      <c r="AD200" s="104">
        <f t="shared" si="100"/>
        <v>0.10555390819302315</v>
      </c>
      <c r="AE200" s="104">
        <f t="shared" si="100"/>
        <v>0.11489162019468979</v>
      </c>
      <c r="AF200" s="104">
        <f t="shared" si="100"/>
        <v>0.1247037472444749</v>
      </c>
      <c r="AG200" s="104">
        <f t="shared" si="100"/>
        <v>0.13500000000000001</v>
      </c>
      <c r="AI200" s="126"/>
      <c r="AJ200"/>
      <c r="AL200" s="102"/>
      <c r="AM200" s="2"/>
      <c r="AN200" s="2"/>
      <c r="AO200" s="2"/>
      <c r="AV200" s="38"/>
    </row>
    <row r="201" spans="1:63" outlineLevel="1">
      <c r="A201" t="s">
        <v>1379</v>
      </c>
      <c r="B201" s="51" t="s">
        <v>126</v>
      </c>
      <c r="C201" s="104">
        <f>C190*C$199</f>
        <v>0.1235</v>
      </c>
      <c r="D201" s="104">
        <f t="shared" ref="D201:AG201" si="101">D187*D$136</f>
        <v>3.5795536513721381E-2</v>
      </c>
      <c r="E201" s="104">
        <f t="shared" si="101"/>
        <v>4.1567488566864971E-2</v>
      </c>
      <c r="F201" s="104">
        <f t="shared" si="101"/>
        <v>4.7504016614947263E-2</v>
      </c>
      <c r="G201" s="104">
        <f t="shared" si="101"/>
        <v>5.3605120657968269E-2</v>
      </c>
      <c r="H201" s="104">
        <f t="shared" si="101"/>
        <v>5.987080069592797E-2</v>
      </c>
      <c r="I201" s="104">
        <f t="shared" si="101"/>
        <v>6.6301056728826385E-2</v>
      </c>
      <c r="J201" s="104">
        <f t="shared" si="101"/>
        <v>7.2895888756663502E-2</v>
      </c>
      <c r="K201" s="104">
        <f t="shared" si="101"/>
        <v>7.9655296779439333E-2</v>
      </c>
      <c r="L201" s="104">
        <f t="shared" si="101"/>
        <v>8.6579280797153851E-2</v>
      </c>
      <c r="M201" s="104">
        <f t="shared" si="101"/>
        <v>9.3667840809807099E-2</v>
      </c>
      <c r="N201" s="104">
        <f t="shared" si="101"/>
        <v>0.10092097681739905</v>
      </c>
      <c r="O201" s="104">
        <f t="shared" si="101"/>
        <v>0.10833868881992968</v>
      </c>
      <c r="P201" s="104">
        <f t="shared" si="101"/>
        <v>0.11592097681739903</v>
      </c>
      <c r="Q201" s="104">
        <f t="shared" si="101"/>
        <v>0.1236678408098071</v>
      </c>
      <c r="R201" s="104">
        <f t="shared" si="101"/>
        <v>0.13157928079715386</v>
      </c>
      <c r="S201" s="104">
        <f t="shared" si="101"/>
        <v>0.13965529677943933</v>
      </c>
      <c r="T201" s="104">
        <f t="shared" si="101"/>
        <v>0.14789588875666351</v>
      </c>
      <c r="U201" s="104">
        <f t="shared" si="101"/>
        <v>0.15630105672882638</v>
      </c>
      <c r="V201" s="104">
        <f t="shared" si="101"/>
        <v>0.16487080069592797</v>
      </c>
      <c r="W201" s="104">
        <f t="shared" si="101"/>
        <v>0.17360512065796826</v>
      </c>
      <c r="X201" s="104">
        <f t="shared" si="101"/>
        <v>0.18250401661494725</v>
      </c>
      <c r="Y201" s="104">
        <f t="shared" si="101"/>
        <v>0.19156748856686495</v>
      </c>
      <c r="Z201" s="104">
        <f t="shared" si="101"/>
        <v>0.20079553651372137</v>
      </c>
      <c r="AA201" s="104">
        <f t="shared" si="101"/>
        <v>0.21018816045551647</v>
      </c>
      <c r="AB201" s="104">
        <f t="shared" si="101"/>
        <v>0.21974536039225029</v>
      </c>
      <c r="AC201" s="104">
        <f t="shared" si="101"/>
        <v>0.22946713632392285</v>
      </c>
      <c r="AD201" s="104">
        <f t="shared" si="101"/>
        <v>0.2393534882505341</v>
      </c>
      <c r="AE201" s="104">
        <f t="shared" si="101"/>
        <v>0.24940441617208406</v>
      </c>
      <c r="AF201" s="104">
        <f t="shared" si="101"/>
        <v>0.25961992008857271</v>
      </c>
      <c r="AG201" s="104">
        <f t="shared" si="101"/>
        <v>0.27</v>
      </c>
      <c r="AH201" s="230"/>
      <c r="AI201" s="126"/>
      <c r="AJ201" s="198"/>
      <c r="AL201" s="102"/>
      <c r="AM201" s="2"/>
      <c r="AN201" s="2"/>
      <c r="AO201" s="2"/>
      <c r="AV201" s="38"/>
    </row>
    <row r="202" spans="1:63" outlineLevel="1">
      <c r="A202" t="s">
        <v>1380</v>
      </c>
      <c r="B202" s="165" t="s">
        <v>126</v>
      </c>
      <c r="C202" s="104">
        <f>SUM(C200:C201)</f>
        <v>0.13</v>
      </c>
      <c r="D202" s="104">
        <f t="shared" ref="D202:AG202" si="102">SUM(D200:D201)</f>
        <v>4.0648592210674482E-2</v>
      </c>
      <c r="E202" s="104">
        <f t="shared" si="102"/>
        <v>4.7434915702456198E-2</v>
      </c>
      <c r="F202" s="104">
        <f t="shared" si="102"/>
        <v>5.4474345369574267E-2</v>
      </c>
      <c r="G202" s="104">
        <f t="shared" si="102"/>
        <v>6.1769634791524183E-2</v>
      </c>
      <c r="H202" s="104">
        <f t="shared" si="102"/>
        <v>6.9323537547801406E-2</v>
      </c>
      <c r="I202" s="104">
        <f t="shared" si="102"/>
        <v>7.7138807217901451E-2</v>
      </c>
      <c r="J202" s="104">
        <f t="shared" si="102"/>
        <v>8.5218197381319763E-2</v>
      </c>
      <c r="K202" s="104">
        <f t="shared" si="102"/>
        <v>9.3564461617551858E-2</v>
      </c>
      <c r="L202" s="104">
        <f t="shared" si="102"/>
        <v>0.10218035350609318</v>
      </c>
      <c r="M202" s="104">
        <f t="shared" si="102"/>
        <v>0.11106862662643927</v>
      </c>
      <c r="N202" s="104">
        <f t="shared" si="102"/>
        <v>0.12085549723545416</v>
      </c>
      <c r="O202" s="104">
        <f t="shared" si="102"/>
        <v>0.131011905498498</v>
      </c>
      <c r="P202" s="104">
        <f t="shared" si="102"/>
        <v>0.14154365511389203</v>
      </c>
      <c r="Q202" s="104">
        <f t="shared" si="102"/>
        <v>0.15245654977995751</v>
      </c>
      <c r="R202" s="104">
        <f t="shared" si="102"/>
        <v>0.16375639319501567</v>
      </c>
      <c r="S202" s="104">
        <f t="shared" si="102"/>
        <v>0.17544898905738773</v>
      </c>
      <c r="T202" s="104">
        <f t="shared" si="102"/>
        <v>0.18754014106539499</v>
      </c>
      <c r="U202" s="104">
        <f t="shared" si="102"/>
        <v>0.20003565291735864</v>
      </c>
      <c r="V202" s="104">
        <f t="shared" si="102"/>
        <v>0.21294132831159995</v>
      </c>
      <c r="W202" s="104">
        <f t="shared" si="102"/>
        <v>0.22626297094644018</v>
      </c>
      <c r="X202" s="104">
        <f t="shared" si="102"/>
        <v>0.24145057198165731</v>
      </c>
      <c r="Y202" s="104">
        <f t="shared" si="102"/>
        <v>0.25720918945658133</v>
      </c>
      <c r="Z202" s="104">
        <f t="shared" si="102"/>
        <v>0.27354853402883383</v>
      </c>
      <c r="AA202" s="104">
        <f t="shared" si="102"/>
        <v>0.29047831635603616</v>
      </c>
      <c r="AB202" s="104">
        <f t="shared" si="102"/>
        <v>0.30800824709580987</v>
      </c>
      <c r="AC202" s="104">
        <f t="shared" si="102"/>
        <v>0.32614803690577643</v>
      </c>
      <c r="AD202" s="104">
        <f t="shared" si="102"/>
        <v>0.34490739644355728</v>
      </c>
      <c r="AE202" s="104">
        <f t="shared" si="102"/>
        <v>0.36429603636677388</v>
      </c>
      <c r="AF202" s="104">
        <f t="shared" si="102"/>
        <v>0.38432366733304762</v>
      </c>
      <c r="AG202" s="104">
        <f t="shared" si="102"/>
        <v>0.40500000000000003</v>
      </c>
      <c r="AI202" s="126"/>
      <c r="AJ202" s="198"/>
      <c r="AL202" s="102"/>
      <c r="AM202" s="2"/>
      <c r="AN202" s="2"/>
      <c r="AO202" s="2"/>
    </row>
    <row r="203" spans="1:63" outlineLevel="1">
      <c r="A203" t="s">
        <v>1384</v>
      </c>
      <c r="B203" s="51" t="s">
        <v>126</v>
      </c>
      <c r="C203" s="104">
        <f>C192*C201</f>
        <v>6.1749999999999999E-2</v>
      </c>
      <c r="D203" s="104">
        <f t="shared" ref="D203:AG203" si="103">D189*D201</f>
        <v>2.8309491565559758E-4</v>
      </c>
      <c r="E203" s="104">
        <f t="shared" si="103"/>
        <v>3.9116180903941506E-4</v>
      </c>
      <c r="F203" s="104">
        <f t="shared" si="103"/>
        <v>5.2277465659702528E-4</v>
      </c>
      <c r="G203" s="104">
        <f t="shared" si="103"/>
        <v>6.8037617779632639E-4</v>
      </c>
      <c r="H203" s="104">
        <f t="shared" si="103"/>
        <v>8.6650087808839862E-4</v>
      </c>
      <c r="I203" s="104">
        <f t="shared" si="103"/>
        <v>1.0837750489075062E-3</v>
      </c>
      <c r="J203" s="104">
        <f t="shared" si="103"/>
        <v>1.3349167676710955E-3</v>
      </c>
      <c r="K203" s="104">
        <f t="shared" si="103"/>
        <v>1.6227358977797949E-3</v>
      </c>
      <c r="L203" s="104">
        <f t="shared" si="103"/>
        <v>1.9501340886174158E-3</v>
      </c>
      <c r="M203" s="104">
        <f t="shared" si="103"/>
        <v>2.3201047755509545E-3</v>
      </c>
      <c r="N203" s="104">
        <f t="shared" si="103"/>
        <v>2.8240570592244761E-3</v>
      </c>
      <c r="O203" s="104">
        <f t="shared" si="103"/>
        <v>3.4009825017852482E-3</v>
      </c>
      <c r="P203" s="104">
        <f t="shared" si="103"/>
        <v>4.0569240636113913E-3</v>
      </c>
      <c r="Q203" s="104">
        <f t="shared" si="103"/>
        <v>4.7981181616917352E-3</v>
      </c>
      <c r="R203" s="104">
        <f t="shared" si="103"/>
        <v>5.6309946696258143E-3</v>
      </c>
      <c r="S203" s="104">
        <f t="shared" si="103"/>
        <v>6.5621769176238713E-3</v>
      </c>
      <c r="T203" s="104">
        <f t="shared" si="103"/>
        <v>7.598481692506865E-3</v>
      </c>
      <c r="U203" s="104">
        <f t="shared" si="103"/>
        <v>8.7469192377064488E-3</v>
      </c>
      <c r="V203" s="104">
        <f t="shared" si="103"/>
        <v>1.0014693253264997E-2</v>
      </c>
      <c r="W203" s="104">
        <f t="shared" si="103"/>
        <v>1.1409200895835584E-2</v>
      </c>
      <c r="X203" s="104">
        <f t="shared" si="103"/>
        <v>1.3262974957509759E-2</v>
      </c>
      <c r="Y203" s="104">
        <f t="shared" si="103"/>
        <v>1.5316396874267162E-2</v>
      </c>
      <c r="Z203" s="104">
        <f t="shared" si="103"/>
        <v>1.7581974399485518E-2</v>
      </c>
      <c r="AA203" s="104">
        <f t="shared" si="103"/>
        <v>2.0072538975129926E-2</v>
      </c>
      <c r="AB203" s="104">
        <f t="shared" si="103"/>
        <v>2.2801245731752892E-2</v>
      </c>
      <c r="AC203" s="104">
        <f t="shared" si="103"/>
        <v>2.5781573488494292E-2</v>
      </c>
      <c r="AD203" s="104">
        <f t="shared" si="103"/>
        <v>2.9027324753081372E-2</v>
      </c>
      <c r="AE203" s="104">
        <f t="shared" si="103"/>
        <v>3.2552625721828779E-2</v>
      </c>
      <c r="AF203" s="104">
        <f t="shared" si="103"/>
        <v>3.637192627963852E-2</v>
      </c>
      <c r="AG203" s="104">
        <f t="shared" si="103"/>
        <v>4.0500000000000001E-2</v>
      </c>
      <c r="AI203" s="126"/>
      <c r="AJ203" s="198"/>
      <c r="BD203" s="190"/>
      <c r="BE203" s="190"/>
    </row>
    <row r="204" spans="1:63" outlineLevel="1">
      <c r="A204" t="s">
        <v>1385</v>
      </c>
      <c r="B204" s="51" t="s">
        <v>126</v>
      </c>
      <c r="C204" s="104">
        <f>C193*C201</f>
        <v>6.1749999999999999E-2</v>
      </c>
      <c r="D204" s="104">
        <f t="shared" ref="D204:AG204" si="104">D191*D201</f>
        <v>0</v>
      </c>
      <c r="E204" s="104">
        <f t="shared" si="104"/>
        <v>0</v>
      </c>
      <c r="F204" s="104">
        <f t="shared" si="104"/>
        <v>0</v>
      </c>
      <c r="G204" s="104">
        <f t="shared" si="104"/>
        <v>0</v>
      </c>
      <c r="H204" s="104">
        <f t="shared" si="104"/>
        <v>0</v>
      </c>
      <c r="I204" s="104">
        <f t="shared" si="104"/>
        <v>0</v>
      </c>
      <c r="J204" s="104">
        <f t="shared" si="104"/>
        <v>0</v>
      </c>
      <c r="K204" s="104">
        <f t="shared" si="104"/>
        <v>0</v>
      </c>
      <c r="L204" s="104">
        <f t="shared" si="104"/>
        <v>0</v>
      </c>
      <c r="M204" s="104">
        <f t="shared" si="104"/>
        <v>0</v>
      </c>
      <c r="N204" s="104">
        <f t="shared" si="104"/>
        <v>0</v>
      </c>
      <c r="O204" s="104">
        <f t="shared" si="104"/>
        <v>0</v>
      </c>
      <c r="P204" s="104">
        <f t="shared" si="104"/>
        <v>0</v>
      </c>
      <c r="Q204" s="104">
        <f t="shared" si="104"/>
        <v>0</v>
      </c>
      <c r="R204" s="104">
        <f t="shared" si="104"/>
        <v>0</v>
      </c>
      <c r="S204" s="104">
        <f t="shared" si="104"/>
        <v>0</v>
      </c>
      <c r="T204" s="104">
        <f t="shared" si="104"/>
        <v>0</v>
      </c>
      <c r="U204" s="104">
        <f t="shared" si="104"/>
        <v>0</v>
      </c>
      <c r="V204" s="104">
        <f t="shared" si="104"/>
        <v>0</v>
      </c>
      <c r="W204" s="104">
        <f t="shared" si="104"/>
        <v>0</v>
      </c>
      <c r="X204" s="104">
        <f t="shared" si="104"/>
        <v>0</v>
      </c>
      <c r="Y204" s="104">
        <f t="shared" si="104"/>
        <v>0</v>
      </c>
      <c r="Z204" s="104">
        <f t="shared" si="104"/>
        <v>0</v>
      </c>
      <c r="AA204" s="104">
        <f t="shared" si="104"/>
        <v>0</v>
      </c>
      <c r="AB204" s="104">
        <f t="shared" si="104"/>
        <v>0</v>
      </c>
      <c r="AC204" s="104">
        <f t="shared" si="104"/>
        <v>0</v>
      </c>
      <c r="AD204" s="104">
        <f t="shared" si="104"/>
        <v>0</v>
      </c>
      <c r="AE204" s="104">
        <f t="shared" si="104"/>
        <v>0</v>
      </c>
      <c r="AF204" s="104">
        <f t="shared" si="104"/>
        <v>0</v>
      </c>
      <c r="AG204" s="104">
        <f t="shared" si="104"/>
        <v>0</v>
      </c>
      <c r="AI204" s="127"/>
      <c r="AJ204" s="198"/>
      <c r="BC204" s="1"/>
      <c r="BD204" s="38"/>
      <c r="BF204" s="6"/>
      <c r="BG204" s="6"/>
      <c r="BH204" s="6"/>
      <c r="BI204" s="6"/>
      <c r="BJ204" s="6"/>
    </row>
    <row r="205" spans="1:63" outlineLevel="1">
      <c r="C205" s="104"/>
      <c r="D205" s="104"/>
      <c r="E205" s="104"/>
      <c r="F205" s="104"/>
      <c r="G205" s="104"/>
      <c r="H205" s="104"/>
      <c r="I205" s="104"/>
      <c r="J205" s="104"/>
      <c r="K205" s="104"/>
      <c r="L205" s="104"/>
      <c r="M205" s="104"/>
      <c r="N205" s="104"/>
      <c r="O205" s="104"/>
      <c r="P205" s="104"/>
      <c r="Q205" s="104"/>
      <c r="R205" s="104"/>
      <c r="S205" s="104"/>
      <c r="T205" s="104"/>
      <c r="U205" s="104"/>
      <c r="V205" s="104"/>
      <c r="W205" s="104"/>
      <c r="X205" s="104"/>
      <c r="Y205" s="104"/>
      <c r="Z205" s="104"/>
      <c r="AA205" s="104"/>
      <c r="AB205" s="104"/>
      <c r="AC205" s="104"/>
      <c r="AD205" s="104"/>
      <c r="AE205" s="104"/>
      <c r="AF205" s="104"/>
      <c r="AG205" s="104"/>
      <c r="AI205" s="127"/>
      <c r="AJ205" s="198"/>
      <c r="BC205" s="1"/>
      <c r="BD205" s="38"/>
      <c r="BF205" s="6"/>
      <c r="BG205" s="6"/>
      <c r="BH205" s="6"/>
      <c r="BI205" s="6"/>
      <c r="BJ205" s="6"/>
    </row>
    <row r="206" spans="1:63" s="1" customFormat="1" outlineLevel="1">
      <c r="A206" s="1" t="s">
        <v>261</v>
      </c>
      <c r="B206" s="61"/>
      <c r="C206" s="279">
        <f>'BTX Recycling HC'!C206</f>
        <v>1902.1963086043538</v>
      </c>
      <c r="D206" s="279">
        <f>'BTX Recycling HC'!D206</f>
        <v>1420.2253280300795</v>
      </c>
      <c r="E206" s="279">
        <f>'BTX Recycling HC'!E206</f>
        <v>1717.0766520502534</v>
      </c>
      <c r="F206" s="279">
        <f>'BTX Recycling HC'!F206</f>
        <v>2039.8359425861954</v>
      </c>
      <c r="G206" s="279">
        <f>'BTX Recycling HC'!G206</f>
        <v>2389.3090225227902</v>
      </c>
      <c r="H206" s="279">
        <f>'BTX Recycling HC'!H206</f>
        <v>2766.3017147449227</v>
      </c>
      <c r="I206" s="279">
        <f>'BTX Recycling HC'!I206</f>
        <v>3073.6167890154316</v>
      </c>
      <c r="J206" s="279">
        <f>'BTX Recycling HC'!J206</f>
        <v>3383.2141493205704</v>
      </c>
      <c r="K206" s="279">
        <f>'BTX Recycling HC'!K206</f>
        <v>3693.1244511420696</v>
      </c>
      <c r="L206" s="279">
        <f>'BTX Recycling HC'!L206</f>
        <v>4001.2787502530841</v>
      </c>
      <c r="M206" s="279">
        <f>'BTX Recycling HC'!M206</f>
        <v>4305.508502718204</v>
      </c>
      <c r="N206" s="279">
        <f>'BTX Recycling HC'!N206</f>
        <v>4752.1722678849519</v>
      </c>
      <c r="O206" s="279">
        <f>'BTX Recycling HC'!O206</f>
        <v>5200.0193905052101</v>
      </c>
      <c r="P206" s="279">
        <f>'BTX Recycling HC'!P206</f>
        <v>5644.768195924833</v>
      </c>
      <c r="Q206" s="279">
        <f>'BTX Recycling HC'!Q206</f>
        <v>6081.9270839500723</v>
      </c>
      <c r="R206" s="279">
        <f>'BTX Recycling HC'!R206</f>
        <v>6506.7945288475712</v>
      </c>
      <c r="S206" s="279">
        <f>'BTX Recycling HC'!S206</f>
        <v>7009.7803603957782</v>
      </c>
      <c r="T206" s="279">
        <f>'BTX Recycling HC'!T206</f>
        <v>7510.9505797452421</v>
      </c>
      <c r="U206" s="279">
        <f>'BTX Recycling HC'!U206</f>
        <v>8006.8895715441413</v>
      </c>
      <c r="V206" s="279">
        <f>'BTX Recycling HC'!V206</f>
        <v>8494.0336176327819</v>
      </c>
      <c r="W206" s="279">
        <f>'BTX Recycling HC'!W206</f>
        <v>8968.670897043583</v>
      </c>
      <c r="X206" s="279">
        <f>'BTX Recycling HC'!X206</f>
        <v>9663.7016611020899</v>
      </c>
      <c r="Y206" s="279">
        <f>'BTX Recycling HC'!Y206</f>
        <v>10342.531563782359</v>
      </c>
      <c r="Z206" s="279">
        <f>'BTX Recycling HC'!Z206</f>
        <v>10998.849796857325</v>
      </c>
      <c r="AA206" s="279">
        <f>'BTX Recycling HC'!AA206</f>
        <v>11626.097748788907</v>
      </c>
      <c r="AB206" s="279">
        <f>'BTX Recycling HC'!AB206</f>
        <v>12217.469004728035</v>
      </c>
      <c r="AC206" s="279">
        <f>'BTX Recycling HC'!AC206</f>
        <v>12638.589771915082</v>
      </c>
      <c r="AD206" s="279">
        <f>'BTX Recycling HC'!AD206</f>
        <v>12986.107784875789</v>
      </c>
      <c r="AE206" s="279">
        <f>'BTX Recycling HC'!AE206</f>
        <v>13250.637304031359</v>
      </c>
      <c r="AF206" s="279">
        <f>'BTX Recycling HC'!AF206</f>
        <v>13422.493634432371</v>
      </c>
      <c r="AG206" s="279">
        <f>'BTX Recycling HC'!AG206</f>
        <v>13491.693125758798</v>
      </c>
      <c r="AH206" s="230"/>
      <c r="AI206" s="398"/>
      <c r="AJ206" s="399"/>
      <c r="AL206" s="207"/>
      <c r="AM206" s="118"/>
      <c r="AN206" s="118"/>
      <c r="AO206" s="118"/>
      <c r="BD206" s="118"/>
      <c r="BE206" s="118"/>
      <c r="BF206" s="118"/>
      <c r="BG206" s="118"/>
      <c r="BH206" s="118"/>
      <c r="BI206" s="118"/>
      <c r="BJ206" s="118"/>
      <c r="BK206" s="118"/>
    </row>
    <row r="207" spans="1:63" outlineLevel="1">
      <c r="A207" s="4" t="s">
        <v>35</v>
      </c>
      <c r="C207" s="216">
        <f>C$206*'BTX recycling rates'!E74</f>
        <v>1902.096502530673</v>
      </c>
      <c r="D207" s="216">
        <f>D$206*'BTX recycling rates'!F74</f>
        <v>1420.1508104247769</v>
      </c>
      <c r="E207" s="216">
        <f>E$206*'BTX recycling rates'!G74</f>
        <v>1716.9865589940978</v>
      </c>
      <c r="F207" s="216">
        <f>F$206*'BTX recycling rates'!H74</f>
        <v>2039.7289147176932</v>
      </c>
      <c r="G207" s="216">
        <f>G$206*'BTX recycling rates'!I74</f>
        <v>2389.1836581998391</v>
      </c>
      <c r="H207" s="216">
        <f>H$206*'BTX recycling rates'!J74</f>
        <v>2766.1565700448114</v>
      </c>
      <c r="I207" s="216">
        <f>I$206*'BTX recycling rates'!K74</f>
        <v>3073.45551984341</v>
      </c>
      <c r="J207" s="216">
        <f>J$206*'BTX recycling rates'!L74</f>
        <v>3383.03663592769</v>
      </c>
      <c r="K207" s="216">
        <f>K$206*'BTX recycling rates'!M74</f>
        <v>3692.9306771086453</v>
      </c>
      <c r="L207" s="216">
        <f>L$206*'BTX recycling rates'!N74</f>
        <v>4001.0688077145783</v>
      </c>
      <c r="M207" s="216">
        <f>M$206*'BTX recycling rates'!O74</f>
        <v>4305.2825975911082</v>
      </c>
      <c r="N207" s="216">
        <f>N$206*'BTX recycling rates'!P74</f>
        <v>4751.9229268188556</v>
      </c>
      <c r="O207" s="216">
        <f>O$206*'BTX recycling rates'!Q74</f>
        <v>5199.7465514106943</v>
      </c>
      <c r="P207" s="216">
        <f>P$206*'BTX recycling rates'!R74</f>
        <v>5644.4720213670726</v>
      </c>
      <c r="Q207" s="216">
        <f>Q$206*'BTX recycling rates'!S74</f>
        <v>6081.6079721633887</v>
      </c>
      <c r="R207" s="216">
        <f>R$206*'BTX recycling rates'!T74</f>
        <v>6506.4531247499845</v>
      </c>
      <c r="S207" s="216">
        <f>S$206*'BTX recycling rates'!U74</f>
        <v>7009.4125652045186</v>
      </c>
      <c r="T207" s="216">
        <f>T$206*'BTX recycling rates'!V74</f>
        <v>7510.5564887234141</v>
      </c>
      <c r="U207" s="216">
        <f>U$206*'BTX recycling rates'!W74</f>
        <v>8006.4694591682965</v>
      </c>
      <c r="V207" s="216">
        <f>V$206*'BTX recycling rates'!X74</f>
        <v>8493.5879453637026</v>
      </c>
      <c r="W207" s="216">
        <f>W$206*'BTX recycling rates'!Y74</f>
        <v>8968.2003210970724</v>
      </c>
      <c r="X207" s="216">
        <f>X$206*'BTX recycling rates'!Z74</f>
        <v>9663.1946176830406</v>
      </c>
      <c r="Y207" s="216">
        <f>Y$206*'BTX recycling rates'!AA74</f>
        <v>10341.988902931515</v>
      </c>
      <c r="Z207" s="216">
        <f>Z$206*'BTX recycling rates'!AB74</f>
        <v>10998.272699736348</v>
      </c>
      <c r="AA207" s="216">
        <f>AA$206*'BTX recycling rates'!AC74</f>
        <v>11625.487740682336</v>
      </c>
      <c r="AB207" s="216">
        <f>AB$206*'BTX recycling rates'!AD74</f>
        <v>12216.827968045247</v>
      </c>
      <c r="AC207" s="216">
        <f>AC$206*'BTX recycling rates'!AE74</f>
        <v>12637.926639505302</v>
      </c>
      <c r="AD207" s="216">
        <f>AD$206*'BTX recycling rates'!AF74</f>
        <v>12985.426418591698</v>
      </c>
      <c r="AE207" s="216">
        <f>AE$206*'BTX recycling rates'!AG74</f>
        <v>13249.942058184703</v>
      </c>
      <c r="AF207" s="216">
        <f>AF$206*'BTX recycling rates'!AH74</f>
        <v>13421.789371479805</v>
      </c>
      <c r="AG207" s="216">
        <f>AG$206*'BTX recycling rates'!AI74</f>
        <v>13490.985231987741</v>
      </c>
      <c r="AH207" s="230"/>
      <c r="AI207" s="126"/>
      <c r="AJ207" s="198"/>
      <c r="AL207" s="102"/>
      <c r="AM207" s="2"/>
      <c r="AN207" s="2"/>
      <c r="AO207" s="2"/>
      <c r="BC207" s="1"/>
      <c r="BD207" s="2"/>
      <c r="BE207" s="2"/>
      <c r="BF207" s="2"/>
      <c r="BG207" s="2"/>
      <c r="BH207" s="2"/>
      <c r="BI207" s="2"/>
      <c r="BJ207" s="2"/>
      <c r="BK207" s="2"/>
    </row>
    <row r="208" spans="1:63" outlineLevel="1">
      <c r="A208" s="4" t="s">
        <v>74</v>
      </c>
      <c r="C208" s="216">
        <f>C$206*'BTX recycling rates'!E75</f>
        <v>0</v>
      </c>
      <c r="D208" s="216">
        <f>D$206*'BTX recycling rates'!F75</f>
        <v>0</v>
      </c>
      <c r="E208" s="216">
        <f>E$206*'BTX recycling rates'!G75</f>
        <v>0</v>
      </c>
      <c r="F208" s="216">
        <f>F$206*'BTX recycling rates'!H75</f>
        <v>0</v>
      </c>
      <c r="G208" s="216">
        <f>G$206*'BTX recycling rates'!I75</f>
        <v>0</v>
      </c>
      <c r="H208" s="216">
        <f>H$206*'BTX recycling rates'!J75</f>
        <v>0</v>
      </c>
      <c r="I208" s="216">
        <f>I$206*'BTX recycling rates'!K75</f>
        <v>0</v>
      </c>
      <c r="J208" s="216">
        <f>J$206*'BTX recycling rates'!L75</f>
        <v>0</v>
      </c>
      <c r="K208" s="216">
        <f>K$206*'BTX recycling rates'!M75</f>
        <v>0</v>
      </c>
      <c r="L208" s="216">
        <f>L$206*'BTX recycling rates'!N75</f>
        <v>0</v>
      </c>
      <c r="M208" s="216">
        <f>M$206*'BTX recycling rates'!O75</f>
        <v>0</v>
      </c>
      <c r="N208" s="216">
        <f>N$206*'BTX recycling rates'!P75</f>
        <v>0</v>
      </c>
      <c r="O208" s="216">
        <f>O$206*'BTX recycling rates'!Q75</f>
        <v>0</v>
      </c>
      <c r="P208" s="216">
        <f>P$206*'BTX recycling rates'!R75</f>
        <v>0</v>
      </c>
      <c r="Q208" s="216">
        <f>Q$206*'BTX recycling rates'!S75</f>
        <v>0</v>
      </c>
      <c r="R208" s="216">
        <f>R$206*'BTX recycling rates'!T75</f>
        <v>0</v>
      </c>
      <c r="S208" s="216">
        <f>S$206*'BTX recycling rates'!U75</f>
        <v>0</v>
      </c>
      <c r="T208" s="216">
        <f>T$206*'BTX recycling rates'!V75</f>
        <v>0</v>
      </c>
      <c r="U208" s="216">
        <f>U$206*'BTX recycling rates'!W75</f>
        <v>0</v>
      </c>
      <c r="V208" s="216">
        <f>V$206*'BTX recycling rates'!X75</f>
        <v>0</v>
      </c>
      <c r="W208" s="216">
        <f>W$206*'BTX recycling rates'!Y75</f>
        <v>0</v>
      </c>
      <c r="X208" s="216">
        <f>X$206*'BTX recycling rates'!Z75</f>
        <v>0</v>
      </c>
      <c r="Y208" s="216">
        <f>Y$206*'BTX recycling rates'!AA75</f>
        <v>0</v>
      </c>
      <c r="Z208" s="216">
        <f>Z$206*'BTX recycling rates'!AB75</f>
        <v>0</v>
      </c>
      <c r="AA208" s="216">
        <f>AA$206*'BTX recycling rates'!AC75</f>
        <v>0</v>
      </c>
      <c r="AB208" s="216">
        <f>AB$206*'BTX recycling rates'!AD75</f>
        <v>0</v>
      </c>
      <c r="AC208" s="216">
        <f>AC$206*'BTX recycling rates'!AE75</f>
        <v>0</v>
      </c>
      <c r="AD208" s="216">
        <f>AD$206*'BTX recycling rates'!AF75</f>
        <v>0</v>
      </c>
      <c r="AE208" s="216">
        <f>AE$206*'BTX recycling rates'!AG75</f>
        <v>0</v>
      </c>
      <c r="AF208" s="216">
        <f>AF$206*'BTX recycling rates'!AH75</f>
        <v>0</v>
      </c>
      <c r="AG208" s="216">
        <f>AG$206*'BTX recycling rates'!AI75</f>
        <v>0</v>
      </c>
      <c r="AH208" s="230"/>
      <c r="AI208" s="126"/>
      <c r="AJ208" s="198"/>
      <c r="AL208" s="102"/>
      <c r="AM208" s="2"/>
      <c r="AN208" s="2"/>
      <c r="AO208" s="2"/>
      <c r="BC208" s="1"/>
      <c r="BD208" s="2"/>
      <c r="BE208" s="2"/>
      <c r="BF208" s="2"/>
      <c r="BG208" s="2"/>
      <c r="BH208" s="2"/>
      <c r="BI208" s="2"/>
      <c r="BJ208" s="2"/>
      <c r="BK208" s="2"/>
    </row>
    <row r="209" spans="1:63" outlineLevel="1">
      <c r="A209" s="4" t="s">
        <v>160</v>
      </c>
      <c r="C209" s="216">
        <f>C$206*'BTX recycling rates'!E76</f>
        <v>0</v>
      </c>
      <c r="D209" s="216">
        <f>D$206*'BTX recycling rates'!F76</f>
        <v>0</v>
      </c>
      <c r="E209" s="216">
        <f>E$206*'BTX recycling rates'!G76</f>
        <v>0</v>
      </c>
      <c r="F209" s="216">
        <f>F$206*'BTX recycling rates'!H76</f>
        <v>0</v>
      </c>
      <c r="G209" s="216">
        <f>G$206*'BTX recycling rates'!I76</f>
        <v>0</v>
      </c>
      <c r="H209" s="216">
        <f>H$206*'BTX recycling rates'!J76</f>
        <v>0</v>
      </c>
      <c r="I209" s="216">
        <f>I$206*'BTX recycling rates'!K76</f>
        <v>0</v>
      </c>
      <c r="J209" s="216">
        <f>J$206*'BTX recycling rates'!L76</f>
        <v>0</v>
      </c>
      <c r="K209" s="216">
        <f>K$206*'BTX recycling rates'!M76</f>
        <v>0</v>
      </c>
      <c r="L209" s="216">
        <f>L$206*'BTX recycling rates'!N76</f>
        <v>0</v>
      </c>
      <c r="M209" s="216">
        <f>M$206*'BTX recycling rates'!O76</f>
        <v>0</v>
      </c>
      <c r="N209" s="216">
        <f>N$206*'BTX recycling rates'!P76</f>
        <v>0</v>
      </c>
      <c r="O209" s="216">
        <f>O$206*'BTX recycling rates'!Q76</f>
        <v>0</v>
      </c>
      <c r="P209" s="216">
        <f>P$206*'BTX recycling rates'!R76</f>
        <v>0</v>
      </c>
      <c r="Q209" s="216">
        <f>Q$206*'BTX recycling rates'!S76</f>
        <v>0</v>
      </c>
      <c r="R209" s="216">
        <f>R$206*'BTX recycling rates'!T76</f>
        <v>0</v>
      </c>
      <c r="S209" s="216">
        <f>S$206*'BTX recycling rates'!U76</f>
        <v>0</v>
      </c>
      <c r="T209" s="216">
        <f>T$206*'BTX recycling rates'!V76</f>
        <v>0</v>
      </c>
      <c r="U209" s="216">
        <f>U$206*'BTX recycling rates'!W76</f>
        <v>0</v>
      </c>
      <c r="V209" s="216">
        <f>V$206*'BTX recycling rates'!X76</f>
        <v>0</v>
      </c>
      <c r="W209" s="216">
        <f>W$206*'BTX recycling rates'!Y76</f>
        <v>0</v>
      </c>
      <c r="X209" s="216">
        <f>X$206*'BTX recycling rates'!Z76</f>
        <v>0</v>
      </c>
      <c r="Y209" s="216">
        <f>Y$206*'BTX recycling rates'!AA76</f>
        <v>0</v>
      </c>
      <c r="Z209" s="216">
        <f>Z$206*'BTX recycling rates'!AB76</f>
        <v>0</v>
      </c>
      <c r="AA209" s="216">
        <f>AA$206*'BTX recycling rates'!AC76</f>
        <v>0</v>
      </c>
      <c r="AB209" s="216">
        <f>AB$206*'BTX recycling rates'!AD76</f>
        <v>0</v>
      </c>
      <c r="AC209" s="216">
        <f>AC$206*'BTX recycling rates'!AE76</f>
        <v>0</v>
      </c>
      <c r="AD209" s="216">
        <f>AD$206*'BTX recycling rates'!AF76</f>
        <v>0</v>
      </c>
      <c r="AE209" s="216">
        <f>AE$206*'BTX recycling rates'!AG76</f>
        <v>0</v>
      </c>
      <c r="AF209" s="216">
        <f>AF$206*'BTX recycling rates'!AH76</f>
        <v>0</v>
      </c>
      <c r="AG209" s="216">
        <f>AG$206*'BTX recycling rates'!AI76</f>
        <v>0</v>
      </c>
      <c r="AH209" s="230"/>
      <c r="AI209" s="126"/>
      <c r="AJ209" s="198"/>
      <c r="AL209" s="102"/>
      <c r="AM209" s="2"/>
      <c r="AN209" s="2"/>
      <c r="AO209" s="2"/>
      <c r="BC209" s="1"/>
      <c r="BD209" s="2"/>
      <c r="BE209" s="2"/>
      <c r="BF209" s="2"/>
      <c r="BG209" s="2"/>
      <c r="BH209" s="2"/>
      <c r="BI209" s="2"/>
      <c r="BJ209" s="2"/>
      <c r="BK209" s="2"/>
    </row>
    <row r="210" spans="1:63" outlineLevel="1">
      <c r="A210" s="4" t="s">
        <v>1159</v>
      </c>
      <c r="C210" s="216">
        <f>C$206*'BTX recycling rates'!E77</f>
        <v>9.9806073680858851E-2</v>
      </c>
      <c r="D210" s="216">
        <f>D$206*'BTX recycling rates'!F77</f>
        <v>7.451760530267891E-2</v>
      </c>
      <c r="E210" s="216">
        <f>E$206*'BTX recycling rates'!G77</f>
        <v>9.0093056155675158E-2</v>
      </c>
      <c r="F210" s="216">
        <f>F$206*'BTX recycling rates'!H77</f>
        <v>0.10702786850217107</v>
      </c>
      <c r="G210" s="216">
        <f>G$206*'BTX recycling rates'!I77</f>
        <v>0.12536432295109157</v>
      </c>
      <c r="H210" s="216">
        <f>H$206*'BTX recycling rates'!J77</f>
        <v>0.1451447001113616</v>
      </c>
      <c r="I210" s="216">
        <f>I$206*'BTX recycling rates'!K77</f>
        <v>0.16126917202161625</v>
      </c>
      <c r="J210" s="216">
        <f>J$206*'BTX recycling rates'!L77</f>
        <v>0.17751339288054815</v>
      </c>
      <c r="K210" s="216">
        <f>K$206*'BTX recycling rates'!M77</f>
        <v>0.19377403342439814</v>
      </c>
      <c r="L210" s="216">
        <f>L$206*'BTX recycling rates'!N77</f>
        <v>0.20994253850614381</v>
      </c>
      <c r="M210" s="216">
        <f>M$206*'BTX recycling rates'!O77</f>
        <v>0.22590512709549992</v>
      </c>
      <c r="N210" s="216">
        <f>N$206*'BTX recycling rates'!P77</f>
        <v>0.24934106609672246</v>
      </c>
      <c r="O210" s="216">
        <f>O$206*'BTX recycling rates'!Q77</f>
        <v>0.27283909451566785</v>
      </c>
      <c r="P210" s="216">
        <f>P$206*'BTX recycling rates'!R77</f>
        <v>0.29617455776012808</v>
      </c>
      <c r="Q210" s="216">
        <f>Q$206*'BTX recycling rates'!S77</f>
        <v>0.31911178668394069</v>
      </c>
      <c r="R210" s="216">
        <f>R$206*'BTX recycling rates'!T77</f>
        <v>0.34140409758698842</v>
      </c>
      <c r="S210" s="216">
        <f>S$206*'BTX recycling rates'!U77</f>
        <v>0.36779519125952376</v>
      </c>
      <c r="T210" s="216">
        <f>T$206*'BTX recycling rates'!V77</f>
        <v>0.39409102182800199</v>
      </c>
      <c r="U210" s="216">
        <f>U$206*'BTX recycling rates'!W77</f>
        <v>0.42011237584535277</v>
      </c>
      <c r="V210" s="216">
        <f>V$206*'BTX recycling rates'!X77</f>
        <v>0.44567226907886826</v>
      </c>
      <c r="W210" s="216">
        <f>W$206*'BTX recycling rates'!Y77</f>
        <v>0.47057594651020213</v>
      </c>
      <c r="X210" s="216">
        <f>X$206*'BTX recycling rates'!Z77</f>
        <v>0.50704341904934436</v>
      </c>
      <c r="Y210" s="216">
        <f>Y$206*'BTX recycling rates'!AA77</f>
        <v>0.54266085084500715</v>
      </c>
      <c r="Z210" s="216">
        <f>Z$206*'BTX recycling rates'!AB77</f>
        <v>0.57709712097762667</v>
      </c>
      <c r="AA210" s="216">
        <f>AA$206*'BTX recycling rates'!AC77</f>
        <v>0.61000810657016169</v>
      </c>
      <c r="AB210" s="216">
        <f>AB$206*'BTX recycling rates'!AD77</f>
        <v>0.64103668278809556</v>
      </c>
      <c r="AC210" s="216">
        <f>AC$206*'BTX recycling rates'!AE77</f>
        <v>0.66313240977920096</v>
      </c>
      <c r="AD210" s="216">
        <f>AD$206*'BTX recycling rates'!AF77</f>
        <v>0.68136628409074873</v>
      </c>
      <c r="AE210" s="216">
        <f>AE$206*'BTX recycling rates'!AG77</f>
        <v>0.69524584665754507</v>
      </c>
      <c r="AF210" s="216">
        <f>AF$206*'BTX recycling rates'!AH77</f>
        <v>0.70426295256661398</v>
      </c>
      <c r="AG210" s="216">
        <f>AG$206*'BTX recycling rates'!AI77</f>
        <v>0.70789377105719919</v>
      </c>
      <c r="AH210" s="230"/>
      <c r="AI210" s="126"/>
      <c r="AJ210" s="198"/>
      <c r="AL210" s="102"/>
      <c r="AM210" s="2"/>
      <c r="AN210" s="2"/>
      <c r="AO210" s="2"/>
      <c r="BC210" s="1"/>
      <c r="BD210" s="2"/>
      <c r="BE210" s="2"/>
      <c r="BF210" s="2"/>
      <c r="BG210" s="2"/>
      <c r="BH210" s="2"/>
      <c r="BI210" s="2"/>
      <c r="BJ210" s="2"/>
      <c r="BK210" s="2"/>
    </row>
    <row r="211" spans="1:63" s="1" customFormat="1" outlineLevel="1">
      <c r="A211" s="1" t="s">
        <v>1160</v>
      </c>
      <c r="B211" s="61"/>
      <c r="C211" s="279">
        <f t="shared" ref="C211:AG211" si="105">C206-$C206</f>
        <v>0</v>
      </c>
      <c r="D211" s="279">
        <f t="shared" si="105"/>
        <v>-481.97098057427434</v>
      </c>
      <c r="E211" s="279">
        <f t="shared" si="105"/>
        <v>-185.1196565541004</v>
      </c>
      <c r="F211" s="279">
        <f t="shared" si="105"/>
        <v>137.6396339818416</v>
      </c>
      <c r="G211" s="279">
        <f t="shared" si="105"/>
        <v>487.11271391843638</v>
      </c>
      <c r="H211" s="279">
        <f t="shared" si="105"/>
        <v>864.1054061405689</v>
      </c>
      <c r="I211" s="279">
        <f t="shared" si="105"/>
        <v>1171.4204804110777</v>
      </c>
      <c r="J211" s="279">
        <f t="shared" si="105"/>
        <v>1481.0178407162166</v>
      </c>
      <c r="K211" s="279">
        <f t="shared" si="105"/>
        <v>1790.9281425377158</v>
      </c>
      <c r="L211" s="279">
        <f t="shared" si="105"/>
        <v>2099.0824416487303</v>
      </c>
      <c r="M211" s="279">
        <f t="shared" si="105"/>
        <v>2403.3121941138502</v>
      </c>
      <c r="N211" s="279">
        <f t="shared" si="105"/>
        <v>2849.9759592805981</v>
      </c>
      <c r="O211" s="279">
        <f t="shared" si="105"/>
        <v>3297.8230819008563</v>
      </c>
      <c r="P211" s="279">
        <f t="shared" si="105"/>
        <v>3742.5718873204792</v>
      </c>
      <c r="Q211" s="279">
        <f t="shared" si="105"/>
        <v>4179.7307753457189</v>
      </c>
      <c r="R211" s="279">
        <f t="shared" si="105"/>
        <v>4604.5982202432169</v>
      </c>
      <c r="S211" s="279">
        <f t="shared" si="105"/>
        <v>5107.5840517914239</v>
      </c>
      <c r="T211" s="279">
        <f t="shared" si="105"/>
        <v>5608.7542711408878</v>
      </c>
      <c r="U211" s="279">
        <f t="shared" si="105"/>
        <v>6104.693262939787</v>
      </c>
      <c r="V211" s="279">
        <f t="shared" si="105"/>
        <v>6591.8373090284276</v>
      </c>
      <c r="W211" s="279">
        <f t="shared" si="105"/>
        <v>7066.4745884392287</v>
      </c>
      <c r="X211" s="279">
        <f t="shared" si="105"/>
        <v>7761.5053524977357</v>
      </c>
      <c r="Y211" s="279">
        <f t="shared" si="105"/>
        <v>8440.3352551780044</v>
      </c>
      <c r="Z211" s="279">
        <f t="shared" si="105"/>
        <v>9096.6534882529704</v>
      </c>
      <c r="AA211" s="279">
        <f t="shared" si="105"/>
        <v>9723.9014401845525</v>
      </c>
      <c r="AB211" s="279">
        <f t="shared" si="105"/>
        <v>10315.27269612368</v>
      </c>
      <c r="AC211" s="279">
        <f t="shared" si="105"/>
        <v>10736.393463310727</v>
      </c>
      <c r="AD211" s="279">
        <f t="shared" si="105"/>
        <v>11083.911476271434</v>
      </c>
      <c r="AE211" s="279">
        <f t="shared" si="105"/>
        <v>11348.440995427005</v>
      </c>
      <c r="AF211" s="279">
        <f t="shared" si="105"/>
        <v>11520.297325828016</v>
      </c>
      <c r="AG211" s="279">
        <f t="shared" si="105"/>
        <v>11589.496817154444</v>
      </c>
      <c r="AH211" s="230"/>
      <c r="AI211" s="398"/>
      <c r="AJ211" s="399"/>
      <c r="AL211" s="207"/>
      <c r="AM211" s="118"/>
      <c r="AN211" s="118"/>
      <c r="AO211" s="118"/>
      <c r="BD211" s="118"/>
      <c r="BE211" s="118"/>
      <c r="BF211" s="118"/>
      <c r="BG211" s="118"/>
      <c r="BH211" s="118"/>
      <c r="BI211" s="118"/>
      <c r="BJ211" s="118"/>
      <c r="BK211" s="118"/>
    </row>
    <row r="212" spans="1:63" outlineLevel="1">
      <c r="A212" s="4" t="s">
        <v>35</v>
      </c>
      <c r="C212" s="216">
        <f t="shared" ref="C212:AG212" si="106">C207-$C207</f>
        <v>0</v>
      </c>
      <c r="D212" s="216">
        <f t="shared" si="106"/>
        <v>-481.94569210589611</v>
      </c>
      <c r="E212" s="216">
        <f t="shared" si="106"/>
        <v>-185.1099435365752</v>
      </c>
      <c r="F212" s="216">
        <f t="shared" si="106"/>
        <v>137.63241218702024</v>
      </c>
      <c r="G212" s="216">
        <f t="shared" si="106"/>
        <v>487.08715566916612</v>
      </c>
      <c r="H212" s="216">
        <f t="shared" si="106"/>
        <v>864.06006751413838</v>
      </c>
      <c r="I212" s="216">
        <f t="shared" si="106"/>
        <v>1171.359017312737</v>
      </c>
      <c r="J212" s="216">
        <f t="shared" si="106"/>
        <v>1480.940133397017</v>
      </c>
      <c r="K212" s="216">
        <f t="shared" si="106"/>
        <v>1790.8341745779724</v>
      </c>
      <c r="L212" s="216">
        <f t="shared" si="106"/>
        <v>2098.9723051839055</v>
      </c>
      <c r="M212" s="216">
        <f t="shared" si="106"/>
        <v>2403.186095060435</v>
      </c>
      <c r="N212" s="216">
        <f t="shared" si="106"/>
        <v>2849.8264242881824</v>
      </c>
      <c r="O212" s="216">
        <f t="shared" si="106"/>
        <v>3297.6500488800211</v>
      </c>
      <c r="P212" s="216">
        <f t="shared" si="106"/>
        <v>3742.3755188363994</v>
      </c>
      <c r="Q212" s="216">
        <f t="shared" si="106"/>
        <v>4179.5114696327155</v>
      </c>
      <c r="R212" s="216">
        <f t="shared" si="106"/>
        <v>4604.3566222193112</v>
      </c>
      <c r="S212" s="216">
        <f t="shared" si="106"/>
        <v>5107.3160626738454</v>
      </c>
      <c r="T212" s="216">
        <f t="shared" si="106"/>
        <v>5608.4599861927409</v>
      </c>
      <c r="U212" s="216">
        <f t="shared" si="106"/>
        <v>6104.3729566376232</v>
      </c>
      <c r="V212" s="216">
        <f t="shared" si="106"/>
        <v>6591.4914428330294</v>
      </c>
      <c r="W212" s="216">
        <f t="shared" si="106"/>
        <v>7066.1038185663992</v>
      </c>
      <c r="X212" s="216">
        <f t="shared" si="106"/>
        <v>7761.0981151523674</v>
      </c>
      <c r="Y212" s="216">
        <f t="shared" si="106"/>
        <v>8439.8924004008422</v>
      </c>
      <c r="Z212" s="216">
        <f t="shared" si="106"/>
        <v>9096.1761972056756</v>
      </c>
      <c r="AA212" s="216">
        <f t="shared" si="106"/>
        <v>9723.3912381516639</v>
      </c>
      <c r="AB212" s="216">
        <f t="shared" si="106"/>
        <v>10314.731465514575</v>
      </c>
      <c r="AC212" s="216">
        <f t="shared" si="106"/>
        <v>10735.83013697463</v>
      </c>
      <c r="AD212" s="216">
        <f t="shared" si="106"/>
        <v>11083.329916061026</v>
      </c>
      <c r="AE212" s="216">
        <f t="shared" si="106"/>
        <v>11347.84555565403</v>
      </c>
      <c r="AF212" s="216">
        <f t="shared" si="106"/>
        <v>11519.692868949132</v>
      </c>
      <c r="AG212" s="216">
        <f t="shared" si="106"/>
        <v>11588.888729457069</v>
      </c>
      <c r="AH212" s="230"/>
      <c r="AI212" s="126"/>
      <c r="AJ212" s="198"/>
      <c r="AL212" s="102"/>
      <c r="AM212" s="2"/>
      <c r="AN212" s="2"/>
      <c r="AO212" s="2"/>
      <c r="BC212" s="1"/>
      <c r="BD212" s="2"/>
      <c r="BE212" s="2"/>
      <c r="BF212" s="2"/>
      <c r="BG212" s="2"/>
      <c r="BH212" s="2"/>
      <c r="BI212" s="2"/>
      <c r="BJ212" s="2"/>
      <c r="BK212" s="2"/>
    </row>
    <row r="213" spans="1:63" outlineLevel="1">
      <c r="A213" s="4" t="s">
        <v>74</v>
      </c>
      <c r="C213" s="216">
        <f t="shared" ref="C213:AG215" si="107">C208-$C208</f>
        <v>0</v>
      </c>
      <c r="D213" s="216">
        <f t="shared" si="107"/>
        <v>0</v>
      </c>
      <c r="E213" s="216">
        <f t="shared" si="107"/>
        <v>0</v>
      </c>
      <c r="F213" s="216">
        <f t="shared" si="107"/>
        <v>0</v>
      </c>
      <c r="G213" s="216">
        <f t="shared" si="107"/>
        <v>0</v>
      </c>
      <c r="H213" s="216">
        <f t="shared" si="107"/>
        <v>0</v>
      </c>
      <c r="I213" s="216">
        <f t="shared" si="107"/>
        <v>0</v>
      </c>
      <c r="J213" s="216">
        <f t="shared" si="107"/>
        <v>0</v>
      </c>
      <c r="K213" s="216">
        <f t="shared" si="107"/>
        <v>0</v>
      </c>
      <c r="L213" s="216">
        <f t="shared" si="107"/>
        <v>0</v>
      </c>
      <c r="M213" s="216">
        <f t="shared" si="107"/>
        <v>0</v>
      </c>
      <c r="N213" s="216">
        <f t="shared" si="107"/>
        <v>0</v>
      </c>
      <c r="O213" s="216">
        <f t="shared" si="107"/>
        <v>0</v>
      </c>
      <c r="P213" s="216">
        <f t="shared" si="107"/>
        <v>0</v>
      </c>
      <c r="Q213" s="216">
        <f t="shared" si="107"/>
        <v>0</v>
      </c>
      <c r="R213" s="216">
        <f t="shared" si="107"/>
        <v>0</v>
      </c>
      <c r="S213" s="216">
        <f t="shared" si="107"/>
        <v>0</v>
      </c>
      <c r="T213" s="216">
        <f t="shared" si="107"/>
        <v>0</v>
      </c>
      <c r="U213" s="216">
        <f t="shared" si="107"/>
        <v>0</v>
      </c>
      <c r="V213" s="216">
        <f t="shared" si="107"/>
        <v>0</v>
      </c>
      <c r="W213" s="216">
        <f t="shared" si="107"/>
        <v>0</v>
      </c>
      <c r="X213" s="216">
        <f t="shared" si="107"/>
        <v>0</v>
      </c>
      <c r="Y213" s="216">
        <f t="shared" si="107"/>
        <v>0</v>
      </c>
      <c r="Z213" s="216">
        <f t="shared" si="107"/>
        <v>0</v>
      </c>
      <c r="AA213" s="216">
        <f t="shared" si="107"/>
        <v>0</v>
      </c>
      <c r="AB213" s="216">
        <f t="shared" si="107"/>
        <v>0</v>
      </c>
      <c r="AC213" s="216">
        <f t="shared" si="107"/>
        <v>0</v>
      </c>
      <c r="AD213" s="216">
        <f t="shared" si="107"/>
        <v>0</v>
      </c>
      <c r="AE213" s="216">
        <f t="shared" si="107"/>
        <v>0</v>
      </c>
      <c r="AF213" s="216">
        <f t="shared" si="107"/>
        <v>0</v>
      </c>
      <c r="AG213" s="216">
        <f t="shared" si="107"/>
        <v>0</v>
      </c>
      <c r="AH213" s="230"/>
      <c r="AI213" s="126"/>
      <c r="AJ213" s="198"/>
      <c r="AL213" s="102"/>
      <c r="AM213" s="2"/>
      <c r="AN213" s="2"/>
      <c r="AO213" s="2"/>
      <c r="BC213" s="1"/>
      <c r="BD213" s="2"/>
      <c r="BE213" s="2"/>
      <c r="BF213" s="2"/>
      <c r="BG213" s="2"/>
      <c r="BH213" s="2"/>
      <c r="BI213" s="2"/>
      <c r="BJ213" s="2"/>
      <c r="BK213" s="2"/>
    </row>
    <row r="214" spans="1:63" outlineLevel="1">
      <c r="A214" s="4" t="s">
        <v>160</v>
      </c>
      <c r="C214" s="216">
        <f t="shared" si="107"/>
        <v>0</v>
      </c>
      <c r="D214" s="216">
        <f t="shared" si="107"/>
        <v>0</v>
      </c>
      <c r="E214" s="216">
        <f t="shared" si="107"/>
        <v>0</v>
      </c>
      <c r="F214" s="216">
        <f t="shared" si="107"/>
        <v>0</v>
      </c>
      <c r="G214" s="216">
        <f t="shared" si="107"/>
        <v>0</v>
      </c>
      <c r="H214" s="216">
        <f t="shared" si="107"/>
        <v>0</v>
      </c>
      <c r="I214" s="216">
        <f t="shared" si="107"/>
        <v>0</v>
      </c>
      <c r="J214" s="216">
        <f t="shared" si="107"/>
        <v>0</v>
      </c>
      <c r="K214" s="216">
        <f t="shared" si="107"/>
        <v>0</v>
      </c>
      <c r="L214" s="216">
        <f t="shared" si="107"/>
        <v>0</v>
      </c>
      <c r="M214" s="216">
        <f t="shared" si="107"/>
        <v>0</v>
      </c>
      <c r="N214" s="216">
        <f t="shared" si="107"/>
        <v>0</v>
      </c>
      <c r="O214" s="216">
        <f t="shared" si="107"/>
        <v>0</v>
      </c>
      <c r="P214" s="216">
        <f t="shared" si="107"/>
        <v>0</v>
      </c>
      <c r="Q214" s="216">
        <f t="shared" si="107"/>
        <v>0</v>
      </c>
      <c r="R214" s="216">
        <f t="shared" si="107"/>
        <v>0</v>
      </c>
      <c r="S214" s="216">
        <f t="shared" si="107"/>
        <v>0</v>
      </c>
      <c r="T214" s="216">
        <f t="shared" si="107"/>
        <v>0</v>
      </c>
      <c r="U214" s="216">
        <f t="shared" si="107"/>
        <v>0</v>
      </c>
      <c r="V214" s="216">
        <f t="shared" si="107"/>
        <v>0</v>
      </c>
      <c r="W214" s="216">
        <f t="shared" si="107"/>
        <v>0</v>
      </c>
      <c r="X214" s="216">
        <f t="shared" si="107"/>
        <v>0</v>
      </c>
      <c r="Y214" s="216">
        <f t="shared" si="107"/>
        <v>0</v>
      </c>
      <c r="Z214" s="216">
        <f t="shared" si="107"/>
        <v>0</v>
      </c>
      <c r="AA214" s="216">
        <f t="shared" si="107"/>
        <v>0</v>
      </c>
      <c r="AB214" s="216">
        <f t="shared" si="107"/>
        <v>0</v>
      </c>
      <c r="AC214" s="216">
        <f t="shared" si="107"/>
        <v>0</v>
      </c>
      <c r="AD214" s="216">
        <f t="shared" si="107"/>
        <v>0</v>
      </c>
      <c r="AE214" s="216">
        <f t="shared" si="107"/>
        <v>0</v>
      </c>
      <c r="AF214" s="216">
        <f t="shared" si="107"/>
        <v>0</v>
      </c>
      <c r="AG214" s="216">
        <f t="shared" si="107"/>
        <v>0</v>
      </c>
      <c r="AH214" s="230"/>
      <c r="AI214" s="126"/>
      <c r="AJ214" s="198"/>
      <c r="AL214" s="102"/>
      <c r="AM214" s="2"/>
      <c r="AN214" s="2"/>
      <c r="AO214" s="2"/>
      <c r="BC214" s="1"/>
      <c r="BD214" s="2"/>
      <c r="BE214" s="2"/>
      <c r="BF214" s="2"/>
      <c r="BG214" s="2"/>
      <c r="BH214" s="2"/>
      <c r="BI214" s="2"/>
      <c r="BJ214" s="2"/>
      <c r="BK214" s="2"/>
    </row>
    <row r="215" spans="1:63" outlineLevel="1">
      <c r="A215" s="4" t="s">
        <v>1159</v>
      </c>
      <c r="C215" s="216">
        <f t="shared" si="107"/>
        <v>0</v>
      </c>
      <c r="D215" s="216">
        <f t="shared" si="107"/>
        <v>-2.528846837817994E-2</v>
      </c>
      <c r="E215" s="216">
        <f t="shared" si="107"/>
        <v>-9.7130175251836925E-3</v>
      </c>
      <c r="F215" s="216">
        <f t="shared" si="107"/>
        <v>7.2217948213122163E-3</v>
      </c>
      <c r="G215" s="216">
        <f t="shared" si="107"/>
        <v>2.5558249270232716E-2</v>
      </c>
      <c r="H215" s="216">
        <f t="shared" si="107"/>
        <v>4.5338626430502751E-2</v>
      </c>
      <c r="I215" s="216">
        <f t="shared" si="107"/>
        <v>6.1463098340757402E-2</v>
      </c>
      <c r="J215" s="216">
        <f t="shared" si="107"/>
        <v>7.7707319199689304E-2</v>
      </c>
      <c r="K215" s="216">
        <f t="shared" si="107"/>
        <v>9.3967959743539289E-2</v>
      </c>
      <c r="L215" s="216">
        <f t="shared" si="107"/>
        <v>0.11013646482528495</v>
      </c>
      <c r="M215" s="216">
        <f t="shared" si="107"/>
        <v>0.12609905341464106</v>
      </c>
      <c r="N215" s="216">
        <f t="shared" si="107"/>
        <v>0.1495349924158636</v>
      </c>
      <c r="O215" s="216">
        <f t="shared" si="107"/>
        <v>0.17303302083480898</v>
      </c>
      <c r="P215" s="216">
        <f t="shared" si="107"/>
        <v>0.19636848407926921</v>
      </c>
      <c r="Q215" s="216">
        <f t="shared" si="107"/>
        <v>0.21930571300308183</v>
      </c>
      <c r="R215" s="216">
        <f t="shared" si="107"/>
        <v>0.24159802390612956</v>
      </c>
      <c r="S215" s="216">
        <f t="shared" si="107"/>
        <v>0.26798911757866489</v>
      </c>
      <c r="T215" s="216">
        <f t="shared" si="107"/>
        <v>0.29428494814714312</v>
      </c>
      <c r="U215" s="216">
        <f t="shared" si="107"/>
        <v>0.32030630216449391</v>
      </c>
      <c r="V215" s="216">
        <f t="shared" si="107"/>
        <v>0.34586619539800939</v>
      </c>
      <c r="W215" s="216">
        <f t="shared" si="107"/>
        <v>0.37076987282934326</v>
      </c>
      <c r="X215" s="216">
        <f t="shared" si="107"/>
        <v>0.40723734536848549</v>
      </c>
      <c r="Y215" s="216">
        <f t="shared" si="107"/>
        <v>0.44285477716414828</v>
      </c>
      <c r="Z215" s="216">
        <f t="shared" si="107"/>
        <v>0.4772910472967678</v>
      </c>
      <c r="AA215" s="216">
        <f t="shared" si="107"/>
        <v>0.51020203288930288</v>
      </c>
      <c r="AB215" s="216">
        <f t="shared" si="107"/>
        <v>0.54123060910723675</v>
      </c>
      <c r="AC215" s="216">
        <f t="shared" si="107"/>
        <v>0.56332633609834215</v>
      </c>
      <c r="AD215" s="216">
        <f t="shared" si="107"/>
        <v>0.58156021040988992</v>
      </c>
      <c r="AE215" s="216">
        <f t="shared" si="107"/>
        <v>0.59543977297668627</v>
      </c>
      <c r="AF215" s="216">
        <f t="shared" si="107"/>
        <v>0.60445687888575517</v>
      </c>
      <c r="AG215" s="216">
        <f t="shared" si="107"/>
        <v>0.60808769737634039</v>
      </c>
      <c r="AH215" s="230"/>
      <c r="AI215" s="126"/>
      <c r="AJ215" s="198"/>
      <c r="AL215" s="102"/>
      <c r="AM215" s="2"/>
      <c r="AN215" s="2"/>
      <c r="AO215" s="2"/>
      <c r="BC215" s="1"/>
      <c r="BD215" s="2"/>
      <c r="BE215" s="2"/>
      <c r="BF215" s="2"/>
      <c r="BG215" s="2"/>
      <c r="BH215" s="2"/>
      <c r="BI215" s="2"/>
      <c r="BJ215" s="2"/>
      <c r="BK215" s="2"/>
    </row>
    <row r="216" spans="1:63" s="1" customFormat="1" outlineLevel="1">
      <c r="A216" s="1" t="s">
        <v>1163</v>
      </c>
      <c r="B216" s="61"/>
      <c r="C216" s="279">
        <f>'BTX Recycling HC'!C216</f>
        <v>1902.1963086043538</v>
      </c>
      <c r="D216" s="279">
        <f>'BTX Recycling HC'!D216</f>
        <v>1420.2253280300795</v>
      </c>
      <c r="E216" s="279">
        <f>'BTX Recycling HC'!E216</f>
        <v>1717.0766520502534</v>
      </c>
      <c r="F216" s="279">
        <f>'BTX Recycling HC'!F216</f>
        <v>2039.8359425861954</v>
      </c>
      <c r="G216" s="279">
        <f>'BTX Recycling HC'!G216</f>
        <v>2389.3090225227902</v>
      </c>
      <c r="H216" s="279">
        <f>'BTX Recycling HC'!H216</f>
        <v>2766.3017147449227</v>
      </c>
      <c r="I216" s="279">
        <f>'BTX Recycling HC'!I216</f>
        <v>3073.6167890154316</v>
      </c>
      <c r="J216" s="279">
        <f>'BTX Recycling HC'!J216</f>
        <v>3383.2141493205704</v>
      </c>
      <c r="K216" s="279">
        <f>'BTX Recycling HC'!K216</f>
        <v>3693.1244511420696</v>
      </c>
      <c r="L216" s="279">
        <f>'BTX Recycling HC'!L216</f>
        <v>4001.2787502530841</v>
      </c>
      <c r="M216" s="279">
        <f>'BTX Recycling HC'!M216</f>
        <v>4305.508502718204</v>
      </c>
      <c r="N216" s="279">
        <f>'BTX Recycling HC'!N216</f>
        <v>4752.1722678849519</v>
      </c>
      <c r="O216" s="279">
        <f>'BTX Recycling HC'!O216</f>
        <v>5200.0193905052101</v>
      </c>
      <c r="P216" s="279">
        <f>'BTX Recycling HC'!P216</f>
        <v>5644.768195924833</v>
      </c>
      <c r="Q216" s="279">
        <f>'BTX Recycling HC'!Q216</f>
        <v>6081.9270839500723</v>
      </c>
      <c r="R216" s="279">
        <f>'BTX Recycling HC'!R216</f>
        <v>6506.7945288475712</v>
      </c>
      <c r="S216" s="279">
        <f>'BTX Recycling HC'!S216</f>
        <v>7009.7803603957782</v>
      </c>
      <c r="T216" s="279">
        <f>'BTX Recycling HC'!T216</f>
        <v>7510.9505797452421</v>
      </c>
      <c r="U216" s="279">
        <f>'BTX Recycling HC'!U216</f>
        <v>8006.8895715441413</v>
      </c>
      <c r="V216" s="279">
        <f>'BTX Recycling HC'!V216</f>
        <v>8494.0336176327819</v>
      </c>
      <c r="W216" s="279">
        <f>'BTX Recycling HC'!W216</f>
        <v>8968.670897043583</v>
      </c>
      <c r="X216" s="279">
        <f>'BTX Recycling HC'!X216</f>
        <v>9663.7016611020899</v>
      </c>
      <c r="Y216" s="279">
        <f>'BTX Recycling HC'!Y216</f>
        <v>10342.531563782359</v>
      </c>
      <c r="Z216" s="279">
        <f>'BTX Recycling HC'!Z216</f>
        <v>10998.849796857325</v>
      </c>
      <c r="AA216" s="279">
        <f>'BTX Recycling HC'!AA216</f>
        <v>11626.097748788907</v>
      </c>
      <c r="AB216" s="279">
        <f>'BTX Recycling HC'!AB216</f>
        <v>12217.469004728035</v>
      </c>
      <c r="AC216" s="279">
        <f>'BTX Recycling HC'!AC216</f>
        <v>12638.589771915082</v>
      </c>
      <c r="AD216" s="279">
        <f>'BTX Recycling HC'!AD216</f>
        <v>12986.107784875789</v>
      </c>
      <c r="AE216" s="279">
        <f>'BTX Recycling HC'!AE216</f>
        <v>13250.637304031359</v>
      </c>
      <c r="AF216" s="279">
        <f>'BTX Recycling HC'!AF216</f>
        <v>13422.493634432371</v>
      </c>
      <c r="AG216" s="279">
        <f>'BTX Recycling HC'!AG216</f>
        <v>13491.693125758798</v>
      </c>
      <c r="AH216" s="230"/>
      <c r="AI216" s="398"/>
      <c r="AJ216" s="399"/>
      <c r="AL216" s="207"/>
      <c r="AM216" s="118"/>
      <c r="AN216" s="118"/>
      <c r="AO216" s="118"/>
      <c r="BD216" s="118"/>
      <c r="BE216" s="118"/>
      <c r="BF216" s="118"/>
      <c r="BG216" s="118"/>
      <c r="BH216" s="118"/>
      <c r="BI216" s="118"/>
      <c r="BJ216" s="118"/>
      <c r="BK216" s="118"/>
    </row>
    <row r="217" spans="1:63" outlineLevel="1">
      <c r="A217" s="4" t="s">
        <v>35</v>
      </c>
      <c r="C217" s="216">
        <f>C$216*'BTX recycling rates'!E78</f>
        <v>1902.096502530673</v>
      </c>
      <c r="D217" s="216">
        <f>D$216*'BTX recycling rates'!F78</f>
        <v>1420.1508104247769</v>
      </c>
      <c r="E217" s="216">
        <f>E$216*'BTX recycling rates'!G78</f>
        <v>1716.9865589940978</v>
      </c>
      <c r="F217" s="216">
        <f>F$216*'BTX recycling rates'!H78</f>
        <v>2039.7289147176932</v>
      </c>
      <c r="G217" s="216">
        <f>G$216*'BTX recycling rates'!I78</f>
        <v>2389.1836581998391</v>
      </c>
      <c r="H217" s="216">
        <f>H$216*'BTX recycling rates'!J78</f>
        <v>2766.1565700448114</v>
      </c>
      <c r="I217" s="216">
        <f>I$216*'BTX recycling rates'!K78</f>
        <v>3073.45551984341</v>
      </c>
      <c r="J217" s="216">
        <f>J$216*'BTX recycling rates'!L78</f>
        <v>3383.03663592769</v>
      </c>
      <c r="K217" s="216">
        <f>K$216*'BTX recycling rates'!M78</f>
        <v>3692.9306771086453</v>
      </c>
      <c r="L217" s="216">
        <f>L$216*'BTX recycling rates'!N78</f>
        <v>4001.0688077145783</v>
      </c>
      <c r="M217" s="216">
        <f>M$216*'BTX recycling rates'!O78</f>
        <v>4305.2825975911082</v>
      </c>
      <c r="N217" s="216">
        <f>N$216*'BTX recycling rates'!P78</f>
        <v>4751.9229268188556</v>
      </c>
      <c r="O217" s="216">
        <f>O$216*'BTX recycling rates'!Q78</f>
        <v>5199.7465514106943</v>
      </c>
      <c r="P217" s="216">
        <f>P$216*'BTX recycling rates'!R78</f>
        <v>5644.4720213670726</v>
      </c>
      <c r="Q217" s="216">
        <f>Q$216*'BTX recycling rates'!S78</f>
        <v>6081.6079721633887</v>
      </c>
      <c r="R217" s="216">
        <f>R$216*'BTX recycling rates'!T78</f>
        <v>6506.4531247499845</v>
      </c>
      <c r="S217" s="216">
        <f>S$216*'BTX recycling rates'!U78</f>
        <v>7009.4125652045186</v>
      </c>
      <c r="T217" s="216">
        <f>T$216*'BTX recycling rates'!V78</f>
        <v>7510.5564887234141</v>
      </c>
      <c r="U217" s="216">
        <f>U$216*'BTX recycling rates'!W78</f>
        <v>8006.4694591682965</v>
      </c>
      <c r="V217" s="216">
        <f>V$216*'BTX recycling rates'!X78</f>
        <v>8493.5879453637026</v>
      </c>
      <c r="W217" s="216">
        <f>W$216*'BTX recycling rates'!Y78</f>
        <v>8968.2003210970724</v>
      </c>
      <c r="X217" s="216">
        <f>X$216*'BTX recycling rates'!Z78</f>
        <v>9663.1946176830406</v>
      </c>
      <c r="Y217" s="216">
        <f>Y$216*'BTX recycling rates'!AA78</f>
        <v>10341.988902931515</v>
      </c>
      <c r="Z217" s="216">
        <f>Z$216*'BTX recycling rates'!AB78</f>
        <v>10998.272699736348</v>
      </c>
      <c r="AA217" s="216">
        <f>AA$216*'BTX recycling rates'!AC78</f>
        <v>11625.487740682336</v>
      </c>
      <c r="AB217" s="216">
        <f>AB$216*'BTX recycling rates'!AD78</f>
        <v>12216.827968045247</v>
      </c>
      <c r="AC217" s="216">
        <f>AC$216*'BTX recycling rates'!AE78</f>
        <v>12637.926639505302</v>
      </c>
      <c r="AD217" s="216">
        <f>AD$216*'BTX recycling rates'!AF78</f>
        <v>12985.426418591698</v>
      </c>
      <c r="AE217" s="216">
        <f>AE$216*'BTX recycling rates'!AG78</f>
        <v>13249.942058184703</v>
      </c>
      <c r="AF217" s="216">
        <f>AF$216*'BTX recycling rates'!AH78</f>
        <v>13421.789371479805</v>
      </c>
      <c r="AG217" s="216">
        <f>AG$216*'BTX recycling rates'!AI78</f>
        <v>13490.985231987741</v>
      </c>
      <c r="AH217" s="230"/>
      <c r="AI217" s="126"/>
      <c r="AJ217" s="198"/>
      <c r="AL217" s="102"/>
      <c r="AM217" s="2"/>
      <c r="AN217" s="2"/>
      <c r="AO217" s="2"/>
      <c r="BC217" s="1"/>
      <c r="BD217" s="2"/>
      <c r="BE217" s="2"/>
      <c r="BF217" s="2"/>
      <c r="BG217" s="2"/>
      <c r="BH217" s="2"/>
      <c r="BI217" s="2"/>
      <c r="BJ217" s="2"/>
      <c r="BK217" s="2"/>
    </row>
    <row r="218" spans="1:63" outlineLevel="1">
      <c r="A218" s="4" t="s">
        <v>74</v>
      </c>
      <c r="C218" s="216">
        <f>C$216*'BTX recycling rates'!E79</f>
        <v>0</v>
      </c>
      <c r="D218" s="216">
        <f>D$216*'BTX recycling rates'!F79</f>
        <v>0</v>
      </c>
      <c r="E218" s="216">
        <f>E$216*'BTX recycling rates'!G79</f>
        <v>0</v>
      </c>
      <c r="F218" s="216">
        <f>F$216*'BTX recycling rates'!H79</f>
        <v>0</v>
      </c>
      <c r="G218" s="216">
        <f>G$216*'BTX recycling rates'!I79</f>
        <v>0</v>
      </c>
      <c r="H218" s="216">
        <f>H$216*'BTX recycling rates'!J79</f>
        <v>0</v>
      </c>
      <c r="I218" s="216">
        <f>I$216*'BTX recycling rates'!K79</f>
        <v>0</v>
      </c>
      <c r="J218" s="216">
        <f>J$216*'BTX recycling rates'!L79</f>
        <v>0</v>
      </c>
      <c r="K218" s="216">
        <f>K$216*'BTX recycling rates'!M79</f>
        <v>0</v>
      </c>
      <c r="L218" s="216">
        <f>L$216*'BTX recycling rates'!N79</f>
        <v>0</v>
      </c>
      <c r="M218" s="216">
        <f>M$216*'BTX recycling rates'!O79</f>
        <v>0</v>
      </c>
      <c r="N218" s="216">
        <f>N$216*'BTX recycling rates'!P79</f>
        <v>0</v>
      </c>
      <c r="O218" s="216">
        <f>O$216*'BTX recycling rates'!Q79</f>
        <v>0</v>
      </c>
      <c r="P218" s="216">
        <f>P$216*'BTX recycling rates'!R79</f>
        <v>0</v>
      </c>
      <c r="Q218" s="216">
        <f>Q$216*'BTX recycling rates'!S79</f>
        <v>0</v>
      </c>
      <c r="R218" s="216">
        <f>R$216*'BTX recycling rates'!T79</f>
        <v>0</v>
      </c>
      <c r="S218" s="216">
        <f>S$216*'BTX recycling rates'!U79</f>
        <v>0</v>
      </c>
      <c r="T218" s="216">
        <f>T$216*'BTX recycling rates'!V79</f>
        <v>0</v>
      </c>
      <c r="U218" s="216">
        <f>U$216*'BTX recycling rates'!W79</f>
        <v>0</v>
      </c>
      <c r="V218" s="216">
        <f>V$216*'BTX recycling rates'!X79</f>
        <v>0</v>
      </c>
      <c r="W218" s="216">
        <f>W$216*'BTX recycling rates'!Y79</f>
        <v>0</v>
      </c>
      <c r="X218" s="216">
        <f>X$216*'BTX recycling rates'!Z79</f>
        <v>0</v>
      </c>
      <c r="Y218" s="216">
        <f>Y$216*'BTX recycling rates'!AA79</f>
        <v>0</v>
      </c>
      <c r="Z218" s="216">
        <f>Z$216*'BTX recycling rates'!AB79</f>
        <v>0</v>
      </c>
      <c r="AA218" s="216">
        <f>AA$216*'BTX recycling rates'!AC79</f>
        <v>0</v>
      </c>
      <c r="AB218" s="216">
        <f>AB$216*'BTX recycling rates'!AD79</f>
        <v>0</v>
      </c>
      <c r="AC218" s="216">
        <f>AC$216*'BTX recycling rates'!AE79</f>
        <v>0</v>
      </c>
      <c r="AD218" s="216">
        <f>AD$216*'BTX recycling rates'!AF79</f>
        <v>0</v>
      </c>
      <c r="AE218" s="216">
        <f>AE$216*'BTX recycling rates'!AG79</f>
        <v>0</v>
      </c>
      <c r="AF218" s="216">
        <f>AF$216*'BTX recycling rates'!AH79</f>
        <v>0</v>
      </c>
      <c r="AG218" s="216">
        <f>AG$216*'BTX recycling rates'!AI79</f>
        <v>0</v>
      </c>
      <c r="AH218" s="230"/>
      <c r="AI218" s="126"/>
      <c r="AJ218" s="198"/>
      <c r="AL218" s="102"/>
      <c r="AM218" s="2"/>
      <c r="AN218" s="2"/>
      <c r="AO218" s="2"/>
      <c r="BC218" s="1"/>
      <c r="BD218" s="2"/>
      <c r="BE218" s="2"/>
      <c r="BF218" s="2"/>
      <c r="BG218" s="2"/>
      <c r="BH218" s="2"/>
      <c r="BI218" s="2"/>
      <c r="BJ218" s="2"/>
      <c r="BK218" s="2"/>
    </row>
    <row r="219" spans="1:63" outlineLevel="1">
      <c r="A219" s="4" t="s">
        <v>160</v>
      </c>
      <c r="C219" s="216">
        <f>C$216*'BTX recycling rates'!E80</f>
        <v>0</v>
      </c>
      <c r="D219" s="216">
        <f>D$216*'BTX recycling rates'!F80</f>
        <v>0</v>
      </c>
      <c r="E219" s="216">
        <f>E$216*'BTX recycling rates'!G80</f>
        <v>0</v>
      </c>
      <c r="F219" s="216">
        <f>F$216*'BTX recycling rates'!H80</f>
        <v>0</v>
      </c>
      <c r="G219" s="216">
        <f>G$216*'BTX recycling rates'!I80</f>
        <v>0</v>
      </c>
      <c r="H219" s="216">
        <f>H$216*'BTX recycling rates'!J80</f>
        <v>0</v>
      </c>
      <c r="I219" s="216">
        <f>I$216*'BTX recycling rates'!K80</f>
        <v>0</v>
      </c>
      <c r="J219" s="216">
        <f>J$216*'BTX recycling rates'!L80</f>
        <v>0</v>
      </c>
      <c r="K219" s="216">
        <f>K$216*'BTX recycling rates'!M80</f>
        <v>0</v>
      </c>
      <c r="L219" s="216">
        <f>L$216*'BTX recycling rates'!N80</f>
        <v>0</v>
      </c>
      <c r="M219" s="216">
        <f>M$216*'BTX recycling rates'!O80</f>
        <v>0</v>
      </c>
      <c r="N219" s="216">
        <f>N$216*'BTX recycling rates'!P80</f>
        <v>0</v>
      </c>
      <c r="O219" s="216">
        <f>O$216*'BTX recycling rates'!Q80</f>
        <v>0</v>
      </c>
      <c r="P219" s="216">
        <f>P$216*'BTX recycling rates'!R80</f>
        <v>0</v>
      </c>
      <c r="Q219" s="216">
        <f>Q$216*'BTX recycling rates'!S80</f>
        <v>0</v>
      </c>
      <c r="R219" s="216">
        <f>R$216*'BTX recycling rates'!T80</f>
        <v>0</v>
      </c>
      <c r="S219" s="216">
        <f>S$216*'BTX recycling rates'!U80</f>
        <v>0</v>
      </c>
      <c r="T219" s="216">
        <f>T$216*'BTX recycling rates'!V80</f>
        <v>0</v>
      </c>
      <c r="U219" s="216">
        <f>U$216*'BTX recycling rates'!W80</f>
        <v>0</v>
      </c>
      <c r="V219" s="216">
        <f>V$216*'BTX recycling rates'!X80</f>
        <v>0</v>
      </c>
      <c r="W219" s="216">
        <f>W$216*'BTX recycling rates'!Y80</f>
        <v>0</v>
      </c>
      <c r="X219" s="216">
        <f>X$216*'BTX recycling rates'!Z80</f>
        <v>0</v>
      </c>
      <c r="Y219" s="216">
        <f>Y$216*'BTX recycling rates'!AA80</f>
        <v>0</v>
      </c>
      <c r="Z219" s="216">
        <f>Z$216*'BTX recycling rates'!AB80</f>
        <v>0</v>
      </c>
      <c r="AA219" s="216">
        <f>AA$216*'BTX recycling rates'!AC80</f>
        <v>0</v>
      </c>
      <c r="AB219" s="216">
        <f>AB$216*'BTX recycling rates'!AD80</f>
        <v>0</v>
      </c>
      <c r="AC219" s="216">
        <f>AC$216*'BTX recycling rates'!AE80</f>
        <v>0</v>
      </c>
      <c r="AD219" s="216">
        <f>AD$216*'BTX recycling rates'!AF80</f>
        <v>0</v>
      </c>
      <c r="AE219" s="216">
        <f>AE$216*'BTX recycling rates'!AG80</f>
        <v>0</v>
      </c>
      <c r="AF219" s="216">
        <f>AF$216*'BTX recycling rates'!AH80</f>
        <v>0</v>
      </c>
      <c r="AG219" s="216">
        <f>AG$216*'BTX recycling rates'!AI80</f>
        <v>0</v>
      </c>
      <c r="AH219" s="230"/>
      <c r="AI219" s="126"/>
      <c r="AJ219" s="198"/>
      <c r="AL219" s="102"/>
      <c r="AM219" s="2"/>
      <c r="AN219" s="2"/>
      <c r="AO219" s="2"/>
      <c r="BC219" s="1"/>
      <c r="BD219" s="2"/>
      <c r="BE219" s="2"/>
      <c r="BF219" s="2"/>
      <c r="BG219" s="2"/>
      <c r="BH219" s="2"/>
      <c r="BI219" s="2"/>
      <c r="BJ219" s="2"/>
      <c r="BK219" s="2"/>
    </row>
    <row r="220" spans="1:63" outlineLevel="1">
      <c r="A220" s="4" t="s">
        <v>1159</v>
      </c>
      <c r="C220" s="216">
        <f>C$216*'BTX recycling rates'!E81</f>
        <v>9.9806073680858851E-2</v>
      </c>
      <c r="D220" s="216">
        <f>D$216*'BTX recycling rates'!F81</f>
        <v>7.451760530267891E-2</v>
      </c>
      <c r="E220" s="216">
        <f>E$216*'BTX recycling rates'!G81</f>
        <v>9.0093056155675158E-2</v>
      </c>
      <c r="F220" s="216">
        <f>F$216*'BTX recycling rates'!H81</f>
        <v>0.10702786850217107</v>
      </c>
      <c r="G220" s="216">
        <f>G$216*'BTX recycling rates'!I81</f>
        <v>0.12536432295109157</v>
      </c>
      <c r="H220" s="216">
        <f>H$216*'BTX recycling rates'!J81</f>
        <v>0.1451447001113616</v>
      </c>
      <c r="I220" s="216">
        <f>I$216*'BTX recycling rates'!K81</f>
        <v>0.16126917202161625</v>
      </c>
      <c r="J220" s="216">
        <f>J$216*'BTX recycling rates'!L81</f>
        <v>0.17751339288054815</v>
      </c>
      <c r="K220" s="216">
        <f>K$216*'BTX recycling rates'!M81</f>
        <v>0.19377403342439814</v>
      </c>
      <c r="L220" s="216">
        <f>L$216*'BTX recycling rates'!N81</f>
        <v>0.20994253850614381</v>
      </c>
      <c r="M220" s="216">
        <f>M$216*'BTX recycling rates'!O81</f>
        <v>0.22590512709549992</v>
      </c>
      <c r="N220" s="216">
        <f>N$216*'BTX recycling rates'!P81</f>
        <v>0.24934106609672246</v>
      </c>
      <c r="O220" s="216">
        <f>O$216*'BTX recycling rates'!Q81</f>
        <v>0.27283909451566785</v>
      </c>
      <c r="P220" s="216">
        <f>P$216*'BTX recycling rates'!R81</f>
        <v>0.29617455776012808</v>
      </c>
      <c r="Q220" s="216">
        <f>Q$216*'BTX recycling rates'!S81</f>
        <v>0.31911178668394069</v>
      </c>
      <c r="R220" s="216">
        <f>R$216*'BTX recycling rates'!T81</f>
        <v>0.34140409758698842</v>
      </c>
      <c r="S220" s="216">
        <f>S$216*'BTX recycling rates'!U81</f>
        <v>0.36779519125952376</v>
      </c>
      <c r="T220" s="216">
        <f>T$216*'BTX recycling rates'!V81</f>
        <v>0.39409102182800199</v>
      </c>
      <c r="U220" s="216">
        <f>U$216*'BTX recycling rates'!W81</f>
        <v>0.42011237584535277</v>
      </c>
      <c r="V220" s="216">
        <f>V$216*'BTX recycling rates'!X81</f>
        <v>0.44567226907886826</v>
      </c>
      <c r="W220" s="216">
        <f>W$216*'BTX recycling rates'!Y81</f>
        <v>0.47057594651020213</v>
      </c>
      <c r="X220" s="216">
        <f>X$216*'BTX recycling rates'!Z81</f>
        <v>0.50704341904934436</v>
      </c>
      <c r="Y220" s="216">
        <f>Y$216*'BTX recycling rates'!AA81</f>
        <v>0.54266085084500715</v>
      </c>
      <c r="Z220" s="216">
        <f>Z$216*'BTX recycling rates'!AB81</f>
        <v>0.57709712097762667</v>
      </c>
      <c r="AA220" s="216">
        <f>AA$216*'BTX recycling rates'!AC81</f>
        <v>0.61000810657016169</v>
      </c>
      <c r="AB220" s="216">
        <f>AB$216*'BTX recycling rates'!AD81</f>
        <v>0.64103668278809556</v>
      </c>
      <c r="AC220" s="216">
        <f>AC$216*'BTX recycling rates'!AE81</f>
        <v>0.66313240977920096</v>
      </c>
      <c r="AD220" s="216">
        <f>AD$216*'BTX recycling rates'!AF81</f>
        <v>0.68136628409074873</v>
      </c>
      <c r="AE220" s="216">
        <f>AE$216*'BTX recycling rates'!AG81</f>
        <v>0.69524584665754507</v>
      </c>
      <c r="AF220" s="216">
        <f>AF$216*'BTX recycling rates'!AH81</f>
        <v>0.70426295256661398</v>
      </c>
      <c r="AG220" s="216">
        <f>AG$216*'BTX recycling rates'!AI81</f>
        <v>0.70789377105719919</v>
      </c>
      <c r="AH220" s="230"/>
      <c r="AI220" s="126"/>
      <c r="AJ220" s="198"/>
      <c r="AL220" s="102"/>
      <c r="AM220" s="2"/>
      <c r="AN220" s="2"/>
      <c r="AO220" s="2"/>
      <c r="BC220" s="1"/>
      <c r="BD220" s="2"/>
      <c r="BE220" s="2"/>
      <c r="BF220" s="2"/>
      <c r="BG220" s="2"/>
      <c r="BH220" s="2"/>
      <c r="BI220" s="2"/>
      <c r="BJ220" s="2"/>
      <c r="BK220" s="2"/>
    </row>
    <row r="221" spans="1:63" s="1" customFormat="1" outlineLevel="1">
      <c r="A221" s="1" t="s">
        <v>1166</v>
      </c>
      <c r="B221" s="61"/>
      <c r="C221" s="279">
        <f t="shared" ref="C221:AG221" si="108">C216-$C216</f>
        <v>0</v>
      </c>
      <c r="D221" s="279">
        <f t="shared" si="108"/>
        <v>-481.97098057427434</v>
      </c>
      <c r="E221" s="279">
        <f t="shared" si="108"/>
        <v>-185.1196565541004</v>
      </c>
      <c r="F221" s="279">
        <f t="shared" si="108"/>
        <v>137.6396339818416</v>
      </c>
      <c r="G221" s="279">
        <f t="shared" si="108"/>
        <v>487.11271391843638</v>
      </c>
      <c r="H221" s="279">
        <f t="shared" si="108"/>
        <v>864.1054061405689</v>
      </c>
      <c r="I221" s="279">
        <f t="shared" si="108"/>
        <v>1171.4204804110777</v>
      </c>
      <c r="J221" s="279">
        <f t="shared" si="108"/>
        <v>1481.0178407162166</v>
      </c>
      <c r="K221" s="279">
        <f t="shared" si="108"/>
        <v>1790.9281425377158</v>
      </c>
      <c r="L221" s="279">
        <f t="shared" si="108"/>
        <v>2099.0824416487303</v>
      </c>
      <c r="M221" s="279">
        <f t="shared" si="108"/>
        <v>2403.3121941138502</v>
      </c>
      <c r="N221" s="279">
        <f t="shared" si="108"/>
        <v>2849.9759592805981</v>
      </c>
      <c r="O221" s="279">
        <f t="shared" si="108"/>
        <v>3297.8230819008563</v>
      </c>
      <c r="P221" s="279">
        <f t="shared" si="108"/>
        <v>3742.5718873204792</v>
      </c>
      <c r="Q221" s="279">
        <f t="shared" si="108"/>
        <v>4179.7307753457189</v>
      </c>
      <c r="R221" s="279">
        <f t="shared" si="108"/>
        <v>4604.5982202432169</v>
      </c>
      <c r="S221" s="279">
        <f t="shared" si="108"/>
        <v>5107.5840517914239</v>
      </c>
      <c r="T221" s="279">
        <f t="shared" si="108"/>
        <v>5608.7542711408878</v>
      </c>
      <c r="U221" s="279">
        <f t="shared" si="108"/>
        <v>6104.693262939787</v>
      </c>
      <c r="V221" s="279">
        <f t="shared" si="108"/>
        <v>6591.8373090284276</v>
      </c>
      <c r="W221" s="279">
        <f t="shared" si="108"/>
        <v>7066.4745884392287</v>
      </c>
      <c r="X221" s="279">
        <f t="shared" si="108"/>
        <v>7761.5053524977357</v>
      </c>
      <c r="Y221" s="279">
        <f t="shared" si="108"/>
        <v>8440.3352551780044</v>
      </c>
      <c r="Z221" s="279">
        <f t="shared" si="108"/>
        <v>9096.6534882529704</v>
      </c>
      <c r="AA221" s="279">
        <f t="shared" si="108"/>
        <v>9723.9014401845525</v>
      </c>
      <c r="AB221" s="279">
        <f t="shared" si="108"/>
        <v>10315.27269612368</v>
      </c>
      <c r="AC221" s="279">
        <f t="shared" si="108"/>
        <v>10736.393463310727</v>
      </c>
      <c r="AD221" s="279">
        <f t="shared" si="108"/>
        <v>11083.911476271434</v>
      </c>
      <c r="AE221" s="279">
        <f t="shared" si="108"/>
        <v>11348.440995427005</v>
      </c>
      <c r="AF221" s="279">
        <f t="shared" si="108"/>
        <v>11520.297325828016</v>
      </c>
      <c r="AG221" s="279">
        <f t="shared" si="108"/>
        <v>11589.496817154444</v>
      </c>
      <c r="AH221" s="230"/>
      <c r="AI221" s="398"/>
      <c r="AJ221" s="399"/>
      <c r="AL221" s="207"/>
      <c r="AM221" s="118"/>
      <c r="AN221" s="118"/>
      <c r="AO221" s="118"/>
      <c r="BD221" s="118"/>
      <c r="BE221" s="118"/>
      <c r="BF221" s="118"/>
      <c r="BG221" s="118"/>
      <c r="BH221" s="118"/>
      <c r="BI221" s="118"/>
      <c r="BJ221" s="118"/>
      <c r="BK221" s="118"/>
    </row>
    <row r="222" spans="1:63" outlineLevel="1">
      <c r="A222" s="4" t="s">
        <v>35</v>
      </c>
      <c r="C222" s="216">
        <f t="shared" ref="C222:AG222" si="109">C217-$C217</f>
        <v>0</v>
      </c>
      <c r="D222" s="216">
        <f t="shared" si="109"/>
        <v>-481.94569210589611</v>
      </c>
      <c r="E222" s="216">
        <f t="shared" si="109"/>
        <v>-185.1099435365752</v>
      </c>
      <c r="F222" s="216">
        <f t="shared" si="109"/>
        <v>137.63241218702024</v>
      </c>
      <c r="G222" s="216">
        <f t="shared" si="109"/>
        <v>487.08715566916612</v>
      </c>
      <c r="H222" s="216">
        <f t="shared" si="109"/>
        <v>864.06006751413838</v>
      </c>
      <c r="I222" s="216">
        <f t="shared" si="109"/>
        <v>1171.359017312737</v>
      </c>
      <c r="J222" s="216">
        <f t="shared" si="109"/>
        <v>1480.940133397017</v>
      </c>
      <c r="K222" s="216">
        <f t="shared" si="109"/>
        <v>1790.8341745779724</v>
      </c>
      <c r="L222" s="216">
        <f t="shared" si="109"/>
        <v>2098.9723051839055</v>
      </c>
      <c r="M222" s="216">
        <f t="shared" si="109"/>
        <v>2403.186095060435</v>
      </c>
      <c r="N222" s="216">
        <f t="shared" si="109"/>
        <v>2849.8264242881824</v>
      </c>
      <c r="O222" s="216">
        <f t="shared" si="109"/>
        <v>3297.6500488800211</v>
      </c>
      <c r="P222" s="216">
        <f t="shared" si="109"/>
        <v>3742.3755188363994</v>
      </c>
      <c r="Q222" s="216">
        <f t="shared" si="109"/>
        <v>4179.5114696327155</v>
      </c>
      <c r="R222" s="216">
        <f t="shared" si="109"/>
        <v>4604.3566222193112</v>
      </c>
      <c r="S222" s="216">
        <f t="shared" si="109"/>
        <v>5107.3160626738454</v>
      </c>
      <c r="T222" s="216">
        <f t="shared" si="109"/>
        <v>5608.4599861927409</v>
      </c>
      <c r="U222" s="216">
        <f t="shared" si="109"/>
        <v>6104.3729566376232</v>
      </c>
      <c r="V222" s="216">
        <f t="shared" si="109"/>
        <v>6591.4914428330294</v>
      </c>
      <c r="W222" s="216">
        <f t="shared" si="109"/>
        <v>7066.1038185663992</v>
      </c>
      <c r="X222" s="216">
        <f t="shared" si="109"/>
        <v>7761.0981151523674</v>
      </c>
      <c r="Y222" s="216">
        <f t="shared" si="109"/>
        <v>8439.8924004008422</v>
      </c>
      <c r="Z222" s="216">
        <f t="shared" si="109"/>
        <v>9096.1761972056756</v>
      </c>
      <c r="AA222" s="216">
        <f t="shared" si="109"/>
        <v>9723.3912381516639</v>
      </c>
      <c r="AB222" s="216">
        <f t="shared" si="109"/>
        <v>10314.731465514575</v>
      </c>
      <c r="AC222" s="216">
        <f t="shared" si="109"/>
        <v>10735.83013697463</v>
      </c>
      <c r="AD222" s="216">
        <f t="shared" si="109"/>
        <v>11083.329916061026</v>
      </c>
      <c r="AE222" s="216">
        <f t="shared" si="109"/>
        <v>11347.84555565403</v>
      </c>
      <c r="AF222" s="216">
        <f t="shared" si="109"/>
        <v>11519.692868949132</v>
      </c>
      <c r="AG222" s="216">
        <f t="shared" si="109"/>
        <v>11588.888729457069</v>
      </c>
      <c r="AH222" s="230"/>
      <c r="AI222" s="126"/>
      <c r="AJ222" s="198"/>
      <c r="AL222" s="102"/>
      <c r="AM222" s="2"/>
      <c r="AN222" s="2"/>
      <c r="AO222" s="2"/>
      <c r="BC222" s="1"/>
      <c r="BD222" s="2"/>
      <c r="BE222" s="2"/>
      <c r="BF222" s="2"/>
      <c r="BG222" s="2"/>
      <c r="BH222" s="2"/>
      <c r="BI222" s="2"/>
      <c r="BJ222" s="2"/>
      <c r="BK222" s="2"/>
    </row>
    <row r="223" spans="1:63" outlineLevel="1">
      <c r="A223" s="4" t="s">
        <v>74</v>
      </c>
      <c r="C223" s="216">
        <f t="shared" ref="C223:AG225" si="110">C218-$C218</f>
        <v>0</v>
      </c>
      <c r="D223" s="216">
        <f t="shared" si="110"/>
        <v>0</v>
      </c>
      <c r="E223" s="216">
        <f t="shared" si="110"/>
        <v>0</v>
      </c>
      <c r="F223" s="216">
        <f t="shared" si="110"/>
        <v>0</v>
      </c>
      <c r="G223" s="216">
        <f t="shared" si="110"/>
        <v>0</v>
      </c>
      <c r="H223" s="216">
        <f t="shared" si="110"/>
        <v>0</v>
      </c>
      <c r="I223" s="216">
        <f t="shared" si="110"/>
        <v>0</v>
      </c>
      <c r="J223" s="216">
        <f t="shared" si="110"/>
        <v>0</v>
      </c>
      <c r="K223" s="216">
        <f t="shared" si="110"/>
        <v>0</v>
      </c>
      <c r="L223" s="216">
        <f t="shared" si="110"/>
        <v>0</v>
      </c>
      <c r="M223" s="216">
        <f t="shared" si="110"/>
        <v>0</v>
      </c>
      <c r="N223" s="216">
        <f t="shared" si="110"/>
        <v>0</v>
      </c>
      <c r="O223" s="216">
        <f t="shared" si="110"/>
        <v>0</v>
      </c>
      <c r="P223" s="216">
        <f t="shared" si="110"/>
        <v>0</v>
      </c>
      <c r="Q223" s="216">
        <f t="shared" si="110"/>
        <v>0</v>
      </c>
      <c r="R223" s="216">
        <f t="shared" si="110"/>
        <v>0</v>
      </c>
      <c r="S223" s="216">
        <f t="shared" si="110"/>
        <v>0</v>
      </c>
      <c r="T223" s="216">
        <f t="shared" si="110"/>
        <v>0</v>
      </c>
      <c r="U223" s="216">
        <f t="shared" si="110"/>
        <v>0</v>
      </c>
      <c r="V223" s="216">
        <f t="shared" si="110"/>
        <v>0</v>
      </c>
      <c r="W223" s="216">
        <f t="shared" si="110"/>
        <v>0</v>
      </c>
      <c r="X223" s="216">
        <f t="shared" si="110"/>
        <v>0</v>
      </c>
      <c r="Y223" s="216">
        <f t="shared" si="110"/>
        <v>0</v>
      </c>
      <c r="Z223" s="216">
        <f t="shared" si="110"/>
        <v>0</v>
      </c>
      <c r="AA223" s="216">
        <f t="shared" si="110"/>
        <v>0</v>
      </c>
      <c r="AB223" s="216">
        <f t="shared" si="110"/>
        <v>0</v>
      </c>
      <c r="AC223" s="216">
        <f t="shared" si="110"/>
        <v>0</v>
      </c>
      <c r="AD223" s="216">
        <f t="shared" si="110"/>
        <v>0</v>
      </c>
      <c r="AE223" s="216">
        <f t="shared" si="110"/>
        <v>0</v>
      </c>
      <c r="AF223" s="216">
        <f t="shared" si="110"/>
        <v>0</v>
      </c>
      <c r="AG223" s="216">
        <f t="shared" si="110"/>
        <v>0</v>
      </c>
      <c r="AH223" s="230"/>
      <c r="AI223" s="126"/>
      <c r="AJ223" s="198"/>
      <c r="AL223" s="102"/>
      <c r="AM223" s="2"/>
      <c r="AN223" s="2"/>
      <c r="AO223" s="2"/>
      <c r="BC223" s="1"/>
      <c r="BD223" s="2"/>
      <c r="BE223" s="2"/>
      <c r="BF223" s="2"/>
      <c r="BG223" s="2"/>
      <c r="BH223" s="2"/>
      <c r="BI223" s="2"/>
      <c r="BJ223" s="2"/>
      <c r="BK223" s="2"/>
    </row>
    <row r="224" spans="1:63" outlineLevel="1">
      <c r="A224" s="4" t="s">
        <v>160</v>
      </c>
      <c r="C224" s="216">
        <f t="shared" si="110"/>
        <v>0</v>
      </c>
      <c r="D224" s="216">
        <f t="shared" si="110"/>
        <v>0</v>
      </c>
      <c r="E224" s="216">
        <f t="shared" si="110"/>
        <v>0</v>
      </c>
      <c r="F224" s="216">
        <f t="shared" si="110"/>
        <v>0</v>
      </c>
      <c r="G224" s="216">
        <f t="shared" si="110"/>
        <v>0</v>
      </c>
      <c r="H224" s="216">
        <f t="shared" si="110"/>
        <v>0</v>
      </c>
      <c r="I224" s="216">
        <f t="shared" si="110"/>
        <v>0</v>
      </c>
      <c r="J224" s="216">
        <f t="shared" si="110"/>
        <v>0</v>
      </c>
      <c r="K224" s="216">
        <f t="shared" si="110"/>
        <v>0</v>
      </c>
      <c r="L224" s="216">
        <f t="shared" si="110"/>
        <v>0</v>
      </c>
      <c r="M224" s="216">
        <f t="shared" si="110"/>
        <v>0</v>
      </c>
      <c r="N224" s="216">
        <f t="shared" si="110"/>
        <v>0</v>
      </c>
      <c r="O224" s="216">
        <f t="shared" si="110"/>
        <v>0</v>
      </c>
      <c r="P224" s="216">
        <f t="shared" si="110"/>
        <v>0</v>
      </c>
      <c r="Q224" s="216">
        <f t="shared" si="110"/>
        <v>0</v>
      </c>
      <c r="R224" s="216">
        <f t="shared" si="110"/>
        <v>0</v>
      </c>
      <c r="S224" s="216">
        <f t="shared" si="110"/>
        <v>0</v>
      </c>
      <c r="T224" s="216">
        <f t="shared" si="110"/>
        <v>0</v>
      </c>
      <c r="U224" s="216">
        <f t="shared" si="110"/>
        <v>0</v>
      </c>
      <c r="V224" s="216">
        <f t="shared" si="110"/>
        <v>0</v>
      </c>
      <c r="W224" s="216">
        <f t="shared" si="110"/>
        <v>0</v>
      </c>
      <c r="X224" s="216">
        <f t="shared" si="110"/>
        <v>0</v>
      </c>
      <c r="Y224" s="216">
        <f t="shared" si="110"/>
        <v>0</v>
      </c>
      <c r="Z224" s="216">
        <f t="shared" si="110"/>
        <v>0</v>
      </c>
      <c r="AA224" s="216">
        <f t="shared" si="110"/>
        <v>0</v>
      </c>
      <c r="AB224" s="216">
        <f t="shared" si="110"/>
        <v>0</v>
      </c>
      <c r="AC224" s="216">
        <f t="shared" si="110"/>
        <v>0</v>
      </c>
      <c r="AD224" s="216">
        <f t="shared" si="110"/>
        <v>0</v>
      </c>
      <c r="AE224" s="216">
        <f t="shared" si="110"/>
        <v>0</v>
      </c>
      <c r="AF224" s="216">
        <f t="shared" si="110"/>
        <v>0</v>
      </c>
      <c r="AG224" s="216">
        <f t="shared" si="110"/>
        <v>0</v>
      </c>
      <c r="AH224" s="230"/>
      <c r="AI224" s="126"/>
      <c r="AJ224" s="198"/>
      <c r="AL224" s="102"/>
      <c r="AM224" s="2"/>
      <c r="AN224" s="2"/>
      <c r="AO224" s="2"/>
      <c r="BC224" s="1"/>
      <c r="BD224" s="2"/>
      <c r="BE224" s="2"/>
      <c r="BF224" s="2"/>
      <c r="BG224" s="2"/>
      <c r="BH224" s="2"/>
      <c r="BI224" s="2"/>
      <c r="BJ224" s="2"/>
      <c r="BK224" s="2"/>
    </row>
    <row r="225" spans="1:63" outlineLevel="1">
      <c r="A225" s="4" t="s">
        <v>1159</v>
      </c>
      <c r="C225" s="216">
        <f t="shared" si="110"/>
        <v>0</v>
      </c>
      <c r="D225" s="216">
        <f t="shared" si="110"/>
        <v>-2.528846837817994E-2</v>
      </c>
      <c r="E225" s="216">
        <f t="shared" si="110"/>
        <v>-9.7130175251836925E-3</v>
      </c>
      <c r="F225" s="216">
        <f t="shared" si="110"/>
        <v>7.2217948213122163E-3</v>
      </c>
      <c r="G225" s="216">
        <f t="shared" si="110"/>
        <v>2.5558249270232716E-2</v>
      </c>
      <c r="H225" s="216">
        <f t="shared" si="110"/>
        <v>4.5338626430502751E-2</v>
      </c>
      <c r="I225" s="216">
        <f t="shared" si="110"/>
        <v>6.1463098340757402E-2</v>
      </c>
      <c r="J225" s="216">
        <f t="shared" si="110"/>
        <v>7.7707319199689304E-2</v>
      </c>
      <c r="K225" s="216">
        <f t="shared" si="110"/>
        <v>9.3967959743539289E-2</v>
      </c>
      <c r="L225" s="216">
        <f t="shared" si="110"/>
        <v>0.11013646482528495</v>
      </c>
      <c r="M225" s="216">
        <f t="shared" si="110"/>
        <v>0.12609905341464106</v>
      </c>
      <c r="N225" s="216">
        <f t="shared" si="110"/>
        <v>0.1495349924158636</v>
      </c>
      <c r="O225" s="216">
        <f t="shared" si="110"/>
        <v>0.17303302083480898</v>
      </c>
      <c r="P225" s="216">
        <f t="shared" si="110"/>
        <v>0.19636848407926921</v>
      </c>
      <c r="Q225" s="216">
        <f t="shared" si="110"/>
        <v>0.21930571300308183</v>
      </c>
      <c r="R225" s="216">
        <f t="shared" si="110"/>
        <v>0.24159802390612956</v>
      </c>
      <c r="S225" s="216">
        <f t="shared" si="110"/>
        <v>0.26798911757866489</v>
      </c>
      <c r="T225" s="216">
        <f t="shared" si="110"/>
        <v>0.29428494814714312</v>
      </c>
      <c r="U225" s="216">
        <f t="shared" si="110"/>
        <v>0.32030630216449391</v>
      </c>
      <c r="V225" s="216">
        <f t="shared" si="110"/>
        <v>0.34586619539800939</v>
      </c>
      <c r="W225" s="216">
        <f t="shared" si="110"/>
        <v>0.37076987282934326</v>
      </c>
      <c r="X225" s="216">
        <f t="shared" si="110"/>
        <v>0.40723734536848549</v>
      </c>
      <c r="Y225" s="216">
        <f t="shared" si="110"/>
        <v>0.44285477716414828</v>
      </c>
      <c r="Z225" s="216">
        <f t="shared" si="110"/>
        <v>0.4772910472967678</v>
      </c>
      <c r="AA225" s="216">
        <f t="shared" si="110"/>
        <v>0.51020203288930288</v>
      </c>
      <c r="AB225" s="216">
        <f t="shared" si="110"/>
        <v>0.54123060910723675</v>
      </c>
      <c r="AC225" s="216">
        <f t="shared" si="110"/>
        <v>0.56332633609834215</v>
      </c>
      <c r="AD225" s="216">
        <f t="shared" si="110"/>
        <v>0.58156021040988992</v>
      </c>
      <c r="AE225" s="216">
        <f t="shared" si="110"/>
        <v>0.59543977297668627</v>
      </c>
      <c r="AF225" s="216">
        <f t="shared" si="110"/>
        <v>0.60445687888575517</v>
      </c>
      <c r="AG225" s="216">
        <f t="shared" si="110"/>
        <v>0.60808769737634039</v>
      </c>
      <c r="AH225" s="230"/>
      <c r="AI225" s="126"/>
      <c r="AJ225" s="198"/>
      <c r="AL225" s="102"/>
      <c r="AM225" s="2"/>
      <c r="AN225" s="2"/>
      <c r="AO225" s="2"/>
      <c r="BC225" s="1"/>
      <c r="BD225" s="2"/>
      <c r="BE225" s="2"/>
      <c r="BF225" s="2"/>
      <c r="BG225" s="2"/>
      <c r="BH225" s="2"/>
      <c r="BI225" s="2"/>
      <c r="BJ225" s="2"/>
      <c r="BK225" s="2"/>
    </row>
    <row r="226" spans="1:63" s="1" customFormat="1" outlineLevel="1">
      <c r="A226" s="1" t="s">
        <v>1400</v>
      </c>
      <c r="B226" s="61"/>
      <c r="C226" s="279">
        <f>'BTX Recycling HC'!C226</f>
        <v>1902.1963086043538</v>
      </c>
      <c r="D226" s="279">
        <f>'BTX Recycling HC'!D226</f>
        <v>1420.2253280300795</v>
      </c>
      <c r="E226" s="279">
        <f>'BTX Recycling HC'!E226</f>
        <v>1717.0766520502534</v>
      </c>
      <c r="F226" s="279">
        <f>'BTX Recycling HC'!F226</f>
        <v>2039.8359425861954</v>
      </c>
      <c r="G226" s="279">
        <f>'BTX Recycling HC'!G226</f>
        <v>2389.3090225227902</v>
      </c>
      <c r="H226" s="279">
        <f>'BTX Recycling HC'!H226</f>
        <v>2766.3017147449227</v>
      </c>
      <c r="I226" s="279">
        <f>'BTX Recycling HC'!I226</f>
        <v>3073.6167890154316</v>
      </c>
      <c r="J226" s="279">
        <f>'BTX Recycling HC'!J226</f>
        <v>3383.2141493205704</v>
      </c>
      <c r="K226" s="279">
        <f>'BTX Recycling HC'!K226</f>
        <v>3693.1244511420696</v>
      </c>
      <c r="L226" s="279">
        <f>'BTX Recycling HC'!L226</f>
        <v>4001.2787502530841</v>
      </c>
      <c r="M226" s="279">
        <f>'BTX Recycling HC'!M226</f>
        <v>4305.508502718204</v>
      </c>
      <c r="N226" s="279">
        <f>'BTX Recycling HC'!N226</f>
        <v>4752.1722678849519</v>
      </c>
      <c r="O226" s="279">
        <f>'BTX Recycling HC'!O226</f>
        <v>5200.0193905052101</v>
      </c>
      <c r="P226" s="279">
        <f>'BTX Recycling HC'!P226</f>
        <v>5644.768195924833</v>
      </c>
      <c r="Q226" s="279">
        <f>'BTX Recycling HC'!Q226</f>
        <v>6081.9270839500723</v>
      </c>
      <c r="R226" s="279">
        <f>'BTX Recycling HC'!R226</f>
        <v>6506.7945288475712</v>
      </c>
      <c r="S226" s="279">
        <f>'BTX Recycling HC'!S226</f>
        <v>7009.7803603957782</v>
      </c>
      <c r="T226" s="279">
        <f>'BTX Recycling HC'!T226</f>
        <v>7510.9505797452421</v>
      </c>
      <c r="U226" s="279">
        <f>'BTX Recycling HC'!U226</f>
        <v>8006.8895715441413</v>
      </c>
      <c r="V226" s="279">
        <f>'BTX Recycling HC'!V226</f>
        <v>8494.0336176327819</v>
      </c>
      <c r="W226" s="279">
        <f>'BTX Recycling HC'!W226</f>
        <v>8968.670897043583</v>
      </c>
      <c r="X226" s="279">
        <f>'BTX Recycling HC'!X226</f>
        <v>9663.7016611020899</v>
      </c>
      <c r="Y226" s="279">
        <f>'BTX Recycling HC'!Y226</f>
        <v>10342.531563782359</v>
      </c>
      <c r="Z226" s="279">
        <f>'BTX Recycling HC'!Z226</f>
        <v>10998.849796857325</v>
      </c>
      <c r="AA226" s="279">
        <f>'BTX Recycling HC'!AA226</f>
        <v>11626.097748788907</v>
      </c>
      <c r="AB226" s="279">
        <f>'BTX Recycling HC'!AB226</f>
        <v>12217.469004728035</v>
      </c>
      <c r="AC226" s="279">
        <f>'BTX Recycling HC'!AC226</f>
        <v>12638.589771915082</v>
      </c>
      <c r="AD226" s="279">
        <f>'BTX Recycling HC'!AD226</f>
        <v>12986.107784875789</v>
      </c>
      <c r="AE226" s="279">
        <f>'BTX Recycling HC'!AE226</f>
        <v>13250.637304031359</v>
      </c>
      <c r="AF226" s="279">
        <f>'BTX Recycling HC'!AF226</f>
        <v>13422.493634432371</v>
      </c>
      <c r="AG226" s="279">
        <f>'BTX Recycling HC'!AG226</f>
        <v>13491.693125758798</v>
      </c>
      <c r="AH226" s="230"/>
      <c r="AI226" s="398"/>
      <c r="AJ226" s="399"/>
      <c r="AL226" s="207"/>
      <c r="AM226" s="118"/>
      <c r="AN226" s="118"/>
      <c r="AO226" s="118"/>
      <c r="BD226" s="118"/>
      <c r="BE226" s="118"/>
      <c r="BF226" s="118"/>
      <c r="BG226" s="118"/>
      <c r="BH226" s="118"/>
      <c r="BI226" s="118"/>
      <c r="BJ226" s="118"/>
      <c r="BK226" s="118"/>
    </row>
    <row r="227" spans="1:63" outlineLevel="1">
      <c r="A227" s="4" t="s">
        <v>35</v>
      </c>
      <c r="C227" s="216">
        <f>C$226*'BTX recycling rates'!E82</f>
        <v>1902.096502530673</v>
      </c>
      <c r="D227" s="216">
        <f>D$226*'BTX recycling rates'!F82</f>
        <v>1420.1508104247769</v>
      </c>
      <c r="E227" s="216">
        <f>E$226*'BTX recycling rates'!G82</f>
        <v>1716.9865589940978</v>
      </c>
      <c r="F227" s="216">
        <f>F$226*'BTX recycling rates'!H82</f>
        <v>2039.7289147176932</v>
      </c>
      <c r="G227" s="216">
        <f>G$226*'BTX recycling rates'!I82</f>
        <v>2389.1836581998391</v>
      </c>
      <c r="H227" s="216">
        <f>H$226*'BTX recycling rates'!J82</f>
        <v>2766.1565700448114</v>
      </c>
      <c r="I227" s="216">
        <f>I$226*'BTX recycling rates'!K82</f>
        <v>3073.45551984341</v>
      </c>
      <c r="J227" s="216">
        <f>J$226*'BTX recycling rates'!L82</f>
        <v>3383.03663592769</v>
      </c>
      <c r="K227" s="216">
        <f>K$226*'BTX recycling rates'!M82</f>
        <v>3692.9306771086453</v>
      </c>
      <c r="L227" s="216">
        <f>L$226*'BTX recycling rates'!N82</f>
        <v>4001.0688077145783</v>
      </c>
      <c r="M227" s="216">
        <f>M$226*'BTX recycling rates'!O82</f>
        <v>4305.2825975911082</v>
      </c>
      <c r="N227" s="216">
        <f>N$226*'BTX recycling rates'!P82</f>
        <v>4751.9229268188556</v>
      </c>
      <c r="O227" s="216">
        <f>O$226*'BTX recycling rates'!Q82</f>
        <v>5199.7465514106943</v>
      </c>
      <c r="P227" s="216">
        <f>P$226*'BTX recycling rates'!R82</f>
        <v>5644.4720213670726</v>
      </c>
      <c r="Q227" s="216">
        <f>Q$226*'BTX recycling rates'!S82</f>
        <v>6081.6079721633887</v>
      </c>
      <c r="R227" s="216">
        <f>R$226*'BTX recycling rates'!T82</f>
        <v>6506.4531247499845</v>
      </c>
      <c r="S227" s="216">
        <f>S$226*'BTX recycling rates'!U82</f>
        <v>7009.4125652045186</v>
      </c>
      <c r="T227" s="216">
        <f>T$226*'BTX recycling rates'!V82</f>
        <v>7510.5564887234141</v>
      </c>
      <c r="U227" s="216">
        <f>U$226*'BTX recycling rates'!W82</f>
        <v>8006.4694591682965</v>
      </c>
      <c r="V227" s="216">
        <f>V$226*'BTX recycling rates'!X82</f>
        <v>8493.5879453637026</v>
      </c>
      <c r="W227" s="216">
        <f>W$226*'BTX recycling rates'!Y82</f>
        <v>8968.2003210970724</v>
      </c>
      <c r="X227" s="216">
        <f>X$226*'BTX recycling rates'!Z82</f>
        <v>9663.1946176830406</v>
      </c>
      <c r="Y227" s="216">
        <f>Y$226*'BTX recycling rates'!AA82</f>
        <v>10341.988902931515</v>
      </c>
      <c r="Z227" s="216">
        <f>Z$226*'BTX recycling rates'!AB82</f>
        <v>10998.272699736348</v>
      </c>
      <c r="AA227" s="216">
        <f>AA$226*'BTX recycling rates'!AC82</f>
        <v>11625.487740682336</v>
      </c>
      <c r="AB227" s="216">
        <f>AB$226*'BTX recycling rates'!AD82</f>
        <v>12216.827968045247</v>
      </c>
      <c r="AC227" s="216">
        <f>AC$226*'BTX recycling rates'!AE82</f>
        <v>12637.926639505302</v>
      </c>
      <c r="AD227" s="216">
        <f>AD$226*'BTX recycling rates'!AF82</f>
        <v>12985.426418591698</v>
      </c>
      <c r="AE227" s="216">
        <f>AE$226*'BTX recycling rates'!AG82</f>
        <v>13249.942058184703</v>
      </c>
      <c r="AF227" s="216">
        <f>AF$226*'BTX recycling rates'!AH82</f>
        <v>13421.789371479805</v>
      </c>
      <c r="AG227" s="216">
        <f>AG$226*'BTX recycling rates'!AI82</f>
        <v>13490.985231987741</v>
      </c>
      <c r="AH227" s="230"/>
      <c r="AI227" s="126"/>
      <c r="AJ227" s="198"/>
      <c r="AL227" s="102"/>
      <c r="AM227" s="2"/>
      <c r="AN227" s="2"/>
      <c r="AO227" s="2"/>
      <c r="BC227" s="1"/>
      <c r="BD227" s="2"/>
      <c r="BE227" s="2"/>
      <c r="BF227" s="2"/>
      <c r="BG227" s="2"/>
      <c r="BH227" s="2"/>
      <c r="BI227" s="2"/>
      <c r="BJ227" s="2"/>
      <c r="BK227" s="2"/>
    </row>
    <row r="228" spans="1:63" outlineLevel="1">
      <c r="A228" s="4" t="s">
        <v>74</v>
      </c>
      <c r="C228" s="216">
        <f>C$226*'BTX recycling rates'!E83</f>
        <v>0</v>
      </c>
      <c r="D228" s="216">
        <f>D$226*'BTX recycling rates'!F83</f>
        <v>0</v>
      </c>
      <c r="E228" s="216">
        <f>E$226*'BTX recycling rates'!G83</f>
        <v>0</v>
      </c>
      <c r="F228" s="216">
        <f>F$226*'BTX recycling rates'!H83</f>
        <v>0</v>
      </c>
      <c r="G228" s="216">
        <f>G$226*'BTX recycling rates'!I83</f>
        <v>0</v>
      </c>
      <c r="H228" s="216">
        <f>H$226*'BTX recycling rates'!J83</f>
        <v>0</v>
      </c>
      <c r="I228" s="216">
        <f>I$226*'BTX recycling rates'!K83</f>
        <v>0</v>
      </c>
      <c r="J228" s="216">
        <f>J$226*'BTX recycling rates'!L83</f>
        <v>0</v>
      </c>
      <c r="K228" s="216">
        <f>K$226*'BTX recycling rates'!M83</f>
        <v>0</v>
      </c>
      <c r="L228" s="216">
        <f>L$226*'BTX recycling rates'!N83</f>
        <v>0</v>
      </c>
      <c r="M228" s="216">
        <f>M$226*'BTX recycling rates'!O83</f>
        <v>0</v>
      </c>
      <c r="N228" s="216">
        <f>N$226*'BTX recycling rates'!P83</f>
        <v>0</v>
      </c>
      <c r="O228" s="216">
        <f>O$226*'BTX recycling rates'!Q83</f>
        <v>0</v>
      </c>
      <c r="P228" s="216">
        <f>P$226*'BTX recycling rates'!R83</f>
        <v>0</v>
      </c>
      <c r="Q228" s="216">
        <f>Q$226*'BTX recycling rates'!S83</f>
        <v>0</v>
      </c>
      <c r="R228" s="216">
        <f>R$226*'BTX recycling rates'!T83</f>
        <v>0</v>
      </c>
      <c r="S228" s="216">
        <f>S$226*'BTX recycling rates'!U83</f>
        <v>0</v>
      </c>
      <c r="T228" s="216">
        <f>T$226*'BTX recycling rates'!V83</f>
        <v>0</v>
      </c>
      <c r="U228" s="216">
        <f>U$226*'BTX recycling rates'!W83</f>
        <v>0</v>
      </c>
      <c r="V228" s="216">
        <f>V$226*'BTX recycling rates'!X83</f>
        <v>0</v>
      </c>
      <c r="W228" s="216">
        <f>W$226*'BTX recycling rates'!Y83</f>
        <v>0</v>
      </c>
      <c r="X228" s="216">
        <f>X$226*'BTX recycling rates'!Z83</f>
        <v>0</v>
      </c>
      <c r="Y228" s="216">
        <f>Y$226*'BTX recycling rates'!AA83</f>
        <v>0</v>
      </c>
      <c r="Z228" s="216">
        <f>Z$226*'BTX recycling rates'!AB83</f>
        <v>0</v>
      </c>
      <c r="AA228" s="216">
        <f>AA$226*'BTX recycling rates'!AC83</f>
        <v>0</v>
      </c>
      <c r="AB228" s="216">
        <f>AB$226*'BTX recycling rates'!AD83</f>
        <v>0</v>
      </c>
      <c r="AC228" s="216">
        <f>AC$226*'BTX recycling rates'!AE83</f>
        <v>0</v>
      </c>
      <c r="AD228" s="216">
        <f>AD$226*'BTX recycling rates'!AF83</f>
        <v>0</v>
      </c>
      <c r="AE228" s="216">
        <f>AE$226*'BTX recycling rates'!AG83</f>
        <v>0</v>
      </c>
      <c r="AF228" s="216">
        <f>AF$226*'BTX recycling rates'!AH83</f>
        <v>0</v>
      </c>
      <c r="AG228" s="216">
        <f>AG$226*'BTX recycling rates'!AI83</f>
        <v>0</v>
      </c>
      <c r="AH228" s="230"/>
      <c r="AI228" s="126"/>
      <c r="AJ228" s="198"/>
      <c r="AL228" s="102"/>
      <c r="AM228" s="2"/>
      <c r="AN228" s="2"/>
      <c r="AO228" s="2"/>
      <c r="BC228" s="1"/>
      <c r="BD228" s="2"/>
      <c r="BE228" s="2"/>
      <c r="BF228" s="2"/>
      <c r="BG228" s="2"/>
      <c r="BH228" s="2"/>
      <c r="BI228" s="2"/>
      <c r="BJ228" s="2"/>
      <c r="BK228" s="2"/>
    </row>
    <row r="229" spans="1:63" outlineLevel="1">
      <c r="A229" s="4" t="s">
        <v>160</v>
      </c>
      <c r="C229" s="216">
        <f>C$226*'BTX recycling rates'!E84</f>
        <v>0</v>
      </c>
      <c r="D229" s="216">
        <f>D$226*'BTX recycling rates'!F84</f>
        <v>0</v>
      </c>
      <c r="E229" s="216">
        <f>E$226*'BTX recycling rates'!G84</f>
        <v>0</v>
      </c>
      <c r="F229" s="216">
        <f>F$226*'BTX recycling rates'!H84</f>
        <v>0</v>
      </c>
      <c r="G229" s="216">
        <f>G$226*'BTX recycling rates'!I84</f>
        <v>0</v>
      </c>
      <c r="H229" s="216">
        <f>H$226*'BTX recycling rates'!J84</f>
        <v>0</v>
      </c>
      <c r="I229" s="216">
        <f>I$226*'BTX recycling rates'!K84</f>
        <v>0</v>
      </c>
      <c r="J229" s="216">
        <f>J$226*'BTX recycling rates'!L84</f>
        <v>0</v>
      </c>
      <c r="K229" s="216">
        <f>K$226*'BTX recycling rates'!M84</f>
        <v>0</v>
      </c>
      <c r="L229" s="216">
        <f>L$226*'BTX recycling rates'!N84</f>
        <v>0</v>
      </c>
      <c r="M229" s="216">
        <f>M$226*'BTX recycling rates'!O84</f>
        <v>0</v>
      </c>
      <c r="N229" s="216">
        <f>N$226*'BTX recycling rates'!P84</f>
        <v>0</v>
      </c>
      <c r="O229" s="216">
        <f>O$226*'BTX recycling rates'!Q84</f>
        <v>0</v>
      </c>
      <c r="P229" s="216">
        <f>P$226*'BTX recycling rates'!R84</f>
        <v>0</v>
      </c>
      <c r="Q229" s="216">
        <f>Q$226*'BTX recycling rates'!S84</f>
        <v>0</v>
      </c>
      <c r="R229" s="216">
        <f>R$226*'BTX recycling rates'!T84</f>
        <v>0</v>
      </c>
      <c r="S229" s="216">
        <f>S$226*'BTX recycling rates'!U84</f>
        <v>0</v>
      </c>
      <c r="T229" s="216">
        <f>T$226*'BTX recycling rates'!V84</f>
        <v>0</v>
      </c>
      <c r="U229" s="216">
        <f>U$226*'BTX recycling rates'!W84</f>
        <v>0</v>
      </c>
      <c r="V229" s="216">
        <f>V$226*'BTX recycling rates'!X84</f>
        <v>0</v>
      </c>
      <c r="W229" s="216">
        <f>W$226*'BTX recycling rates'!Y84</f>
        <v>0</v>
      </c>
      <c r="X229" s="216">
        <f>X$226*'BTX recycling rates'!Z84</f>
        <v>0</v>
      </c>
      <c r="Y229" s="216">
        <f>Y$226*'BTX recycling rates'!AA84</f>
        <v>0</v>
      </c>
      <c r="Z229" s="216">
        <f>Z$226*'BTX recycling rates'!AB84</f>
        <v>0</v>
      </c>
      <c r="AA229" s="216">
        <f>AA$226*'BTX recycling rates'!AC84</f>
        <v>0</v>
      </c>
      <c r="AB229" s="216">
        <f>AB$226*'BTX recycling rates'!AD84</f>
        <v>0</v>
      </c>
      <c r="AC229" s="216">
        <f>AC$226*'BTX recycling rates'!AE84</f>
        <v>0</v>
      </c>
      <c r="AD229" s="216">
        <f>AD$226*'BTX recycling rates'!AF84</f>
        <v>0</v>
      </c>
      <c r="AE229" s="216">
        <f>AE$226*'BTX recycling rates'!AG84</f>
        <v>0</v>
      </c>
      <c r="AF229" s="216">
        <f>AF$226*'BTX recycling rates'!AH84</f>
        <v>0</v>
      </c>
      <c r="AG229" s="216">
        <f>AG$226*'BTX recycling rates'!AI84</f>
        <v>0</v>
      </c>
      <c r="AH229" s="230"/>
      <c r="AI229" s="126"/>
      <c r="AJ229" s="198"/>
      <c r="AL229" s="102"/>
      <c r="AM229" s="2"/>
      <c r="AN229" s="2"/>
      <c r="AO229" s="2"/>
      <c r="BC229" s="1"/>
      <c r="BD229" s="2"/>
      <c r="BE229" s="2"/>
      <c r="BF229" s="2"/>
      <c r="BG229" s="2"/>
      <c r="BH229" s="2"/>
      <c r="BI229" s="2"/>
      <c r="BJ229" s="2"/>
      <c r="BK229" s="2"/>
    </row>
    <row r="230" spans="1:63" outlineLevel="1">
      <c r="A230" s="4" t="s">
        <v>1159</v>
      </c>
      <c r="C230" s="216">
        <f>C$226*'BTX recycling rates'!E85</f>
        <v>9.9806073680858851E-2</v>
      </c>
      <c r="D230" s="216">
        <f>D$226*'BTX recycling rates'!F85</f>
        <v>7.451760530267891E-2</v>
      </c>
      <c r="E230" s="216">
        <f>E$226*'BTX recycling rates'!G85</f>
        <v>9.0093056155675158E-2</v>
      </c>
      <c r="F230" s="216">
        <f>F$226*'BTX recycling rates'!H85</f>
        <v>0.10702786850217107</v>
      </c>
      <c r="G230" s="216">
        <f>G$226*'BTX recycling rates'!I85</f>
        <v>0.12536432295109157</v>
      </c>
      <c r="H230" s="216">
        <f>H$226*'BTX recycling rates'!J85</f>
        <v>0.1451447001113616</v>
      </c>
      <c r="I230" s="216">
        <f>I$226*'BTX recycling rates'!K85</f>
        <v>0.16126917202161625</v>
      </c>
      <c r="J230" s="216">
        <f>J$226*'BTX recycling rates'!L85</f>
        <v>0.17751339288054815</v>
      </c>
      <c r="K230" s="216">
        <f>K$226*'BTX recycling rates'!M85</f>
        <v>0.19377403342439814</v>
      </c>
      <c r="L230" s="216">
        <f>L$226*'BTX recycling rates'!N85</f>
        <v>0.20994253850614381</v>
      </c>
      <c r="M230" s="216">
        <f>M$226*'BTX recycling rates'!O85</f>
        <v>0.22590512709549992</v>
      </c>
      <c r="N230" s="216">
        <f>N$226*'BTX recycling rates'!P85</f>
        <v>0.24934106609672246</v>
      </c>
      <c r="O230" s="216">
        <f>O$226*'BTX recycling rates'!Q85</f>
        <v>0.27283909451566785</v>
      </c>
      <c r="P230" s="216">
        <f>P$226*'BTX recycling rates'!R85</f>
        <v>0.29617455776012808</v>
      </c>
      <c r="Q230" s="216">
        <f>Q$226*'BTX recycling rates'!S85</f>
        <v>0.31911178668394069</v>
      </c>
      <c r="R230" s="216">
        <f>R$226*'BTX recycling rates'!T85</f>
        <v>0.34140409758698842</v>
      </c>
      <c r="S230" s="216">
        <f>S$226*'BTX recycling rates'!U85</f>
        <v>0.36779519125952376</v>
      </c>
      <c r="T230" s="216">
        <f>T$226*'BTX recycling rates'!V85</f>
        <v>0.39409102182800199</v>
      </c>
      <c r="U230" s="216">
        <f>U$226*'BTX recycling rates'!W85</f>
        <v>0.42011237584535277</v>
      </c>
      <c r="V230" s="216">
        <f>V$226*'BTX recycling rates'!X85</f>
        <v>0.44567226907886826</v>
      </c>
      <c r="W230" s="216">
        <f>W$226*'BTX recycling rates'!Y85</f>
        <v>0.47057594651020213</v>
      </c>
      <c r="X230" s="216">
        <f>X$226*'BTX recycling rates'!Z85</f>
        <v>0.50704341904934436</v>
      </c>
      <c r="Y230" s="216">
        <f>Y$226*'BTX recycling rates'!AA85</f>
        <v>0.54266085084500715</v>
      </c>
      <c r="Z230" s="216">
        <f>Z$226*'BTX recycling rates'!AB85</f>
        <v>0.57709712097762667</v>
      </c>
      <c r="AA230" s="216">
        <f>AA$226*'BTX recycling rates'!AC85</f>
        <v>0.61000810657016169</v>
      </c>
      <c r="AB230" s="216">
        <f>AB$226*'BTX recycling rates'!AD85</f>
        <v>0.64103668278809556</v>
      </c>
      <c r="AC230" s="216">
        <f>AC$226*'BTX recycling rates'!AE85</f>
        <v>0.66313240977920096</v>
      </c>
      <c r="AD230" s="216">
        <f>AD$226*'BTX recycling rates'!AF85</f>
        <v>0.68136628409074873</v>
      </c>
      <c r="AE230" s="216">
        <f>AE$226*'BTX recycling rates'!AG85</f>
        <v>0.69524584665754507</v>
      </c>
      <c r="AF230" s="216">
        <f>AF$226*'BTX recycling rates'!AH85</f>
        <v>0.70426295256661398</v>
      </c>
      <c r="AG230" s="216">
        <f>AG$226*'BTX recycling rates'!AI85</f>
        <v>0.70789377105719919</v>
      </c>
      <c r="AH230" s="230"/>
      <c r="AI230" s="126"/>
      <c r="AJ230" s="198"/>
      <c r="AL230" s="102"/>
      <c r="AM230" s="2"/>
      <c r="AN230" s="2"/>
      <c r="AO230" s="2"/>
      <c r="BC230" s="1"/>
      <c r="BD230" s="2"/>
      <c r="BE230" s="2"/>
      <c r="BF230" s="2"/>
      <c r="BG230" s="2"/>
      <c r="BH230" s="2"/>
      <c r="BI230" s="2"/>
      <c r="BJ230" s="2"/>
      <c r="BK230" s="2"/>
    </row>
    <row r="231" spans="1:63" s="1" customFormat="1" outlineLevel="1">
      <c r="A231" s="1" t="s">
        <v>1401</v>
      </c>
      <c r="B231" s="61"/>
      <c r="C231" s="279">
        <f t="shared" ref="C231:AG231" si="111">C226-$C226</f>
        <v>0</v>
      </c>
      <c r="D231" s="279">
        <f t="shared" si="111"/>
        <v>-481.97098057427434</v>
      </c>
      <c r="E231" s="279">
        <f t="shared" si="111"/>
        <v>-185.1196565541004</v>
      </c>
      <c r="F231" s="279">
        <f t="shared" si="111"/>
        <v>137.6396339818416</v>
      </c>
      <c r="G231" s="279">
        <f t="shared" si="111"/>
        <v>487.11271391843638</v>
      </c>
      <c r="H231" s="279">
        <f t="shared" si="111"/>
        <v>864.1054061405689</v>
      </c>
      <c r="I231" s="279">
        <f t="shared" si="111"/>
        <v>1171.4204804110777</v>
      </c>
      <c r="J231" s="279">
        <f t="shared" si="111"/>
        <v>1481.0178407162166</v>
      </c>
      <c r="K231" s="279">
        <f t="shared" si="111"/>
        <v>1790.9281425377158</v>
      </c>
      <c r="L231" s="279">
        <f t="shared" si="111"/>
        <v>2099.0824416487303</v>
      </c>
      <c r="M231" s="279">
        <f t="shared" si="111"/>
        <v>2403.3121941138502</v>
      </c>
      <c r="N231" s="279">
        <f t="shared" si="111"/>
        <v>2849.9759592805981</v>
      </c>
      <c r="O231" s="279">
        <f t="shared" si="111"/>
        <v>3297.8230819008563</v>
      </c>
      <c r="P231" s="279">
        <f t="shared" si="111"/>
        <v>3742.5718873204792</v>
      </c>
      <c r="Q231" s="279">
        <f t="shared" si="111"/>
        <v>4179.7307753457189</v>
      </c>
      <c r="R231" s="279">
        <f t="shared" si="111"/>
        <v>4604.5982202432169</v>
      </c>
      <c r="S231" s="279">
        <f t="shared" si="111"/>
        <v>5107.5840517914239</v>
      </c>
      <c r="T231" s="279">
        <f t="shared" si="111"/>
        <v>5608.7542711408878</v>
      </c>
      <c r="U231" s="279">
        <f t="shared" si="111"/>
        <v>6104.693262939787</v>
      </c>
      <c r="V231" s="279">
        <f t="shared" si="111"/>
        <v>6591.8373090284276</v>
      </c>
      <c r="W231" s="279">
        <f t="shared" si="111"/>
        <v>7066.4745884392287</v>
      </c>
      <c r="X231" s="279">
        <f t="shared" si="111"/>
        <v>7761.5053524977357</v>
      </c>
      <c r="Y231" s="279">
        <f t="shared" si="111"/>
        <v>8440.3352551780044</v>
      </c>
      <c r="Z231" s="279">
        <f t="shared" si="111"/>
        <v>9096.6534882529704</v>
      </c>
      <c r="AA231" s="279">
        <f t="shared" si="111"/>
        <v>9723.9014401845525</v>
      </c>
      <c r="AB231" s="279">
        <f t="shared" si="111"/>
        <v>10315.27269612368</v>
      </c>
      <c r="AC231" s="279">
        <f t="shared" si="111"/>
        <v>10736.393463310727</v>
      </c>
      <c r="AD231" s="279">
        <f t="shared" si="111"/>
        <v>11083.911476271434</v>
      </c>
      <c r="AE231" s="279">
        <f t="shared" si="111"/>
        <v>11348.440995427005</v>
      </c>
      <c r="AF231" s="279">
        <f t="shared" si="111"/>
        <v>11520.297325828016</v>
      </c>
      <c r="AG231" s="279">
        <f t="shared" si="111"/>
        <v>11589.496817154444</v>
      </c>
      <c r="AH231" s="230"/>
      <c r="AI231" s="398"/>
      <c r="AJ231" s="399"/>
      <c r="AL231" s="207"/>
      <c r="AM231" s="118"/>
      <c r="AN231" s="118"/>
      <c r="AO231" s="118"/>
      <c r="BD231" s="118"/>
      <c r="BE231" s="118"/>
      <c r="BF231" s="118"/>
      <c r="BG231" s="118"/>
      <c r="BH231" s="118"/>
      <c r="BI231" s="118"/>
      <c r="BJ231" s="118"/>
      <c r="BK231" s="118"/>
    </row>
    <row r="232" spans="1:63" outlineLevel="1">
      <c r="A232" s="4" t="s">
        <v>35</v>
      </c>
      <c r="C232" s="216">
        <f t="shared" ref="C232:AG232" si="112">C227-$C227</f>
        <v>0</v>
      </c>
      <c r="D232" s="216">
        <f t="shared" si="112"/>
        <v>-481.94569210589611</v>
      </c>
      <c r="E232" s="216">
        <f t="shared" si="112"/>
        <v>-185.1099435365752</v>
      </c>
      <c r="F232" s="216">
        <f t="shared" si="112"/>
        <v>137.63241218702024</v>
      </c>
      <c r="G232" s="216">
        <f t="shared" si="112"/>
        <v>487.08715566916612</v>
      </c>
      <c r="H232" s="216">
        <f t="shared" si="112"/>
        <v>864.06006751413838</v>
      </c>
      <c r="I232" s="216">
        <f t="shared" si="112"/>
        <v>1171.359017312737</v>
      </c>
      <c r="J232" s="216">
        <f t="shared" si="112"/>
        <v>1480.940133397017</v>
      </c>
      <c r="K232" s="216">
        <f t="shared" si="112"/>
        <v>1790.8341745779724</v>
      </c>
      <c r="L232" s="216">
        <f t="shared" si="112"/>
        <v>2098.9723051839055</v>
      </c>
      <c r="M232" s="216">
        <f t="shared" si="112"/>
        <v>2403.186095060435</v>
      </c>
      <c r="N232" s="216">
        <f t="shared" si="112"/>
        <v>2849.8264242881824</v>
      </c>
      <c r="O232" s="216">
        <f t="shared" si="112"/>
        <v>3297.6500488800211</v>
      </c>
      <c r="P232" s="216">
        <f t="shared" si="112"/>
        <v>3742.3755188363994</v>
      </c>
      <c r="Q232" s="216">
        <f t="shared" si="112"/>
        <v>4179.5114696327155</v>
      </c>
      <c r="R232" s="216">
        <f t="shared" si="112"/>
        <v>4604.3566222193112</v>
      </c>
      <c r="S232" s="216">
        <f t="shared" si="112"/>
        <v>5107.3160626738454</v>
      </c>
      <c r="T232" s="216">
        <f t="shared" si="112"/>
        <v>5608.4599861927409</v>
      </c>
      <c r="U232" s="216">
        <f t="shared" si="112"/>
        <v>6104.3729566376232</v>
      </c>
      <c r="V232" s="216">
        <f t="shared" si="112"/>
        <v>6591.4914428330294</v>
      </c>
      <c r="W232" s="216">
        <f t="shared" si="112"/>
        <v>7066.1038185663992</v>
      </c>
      <c r="X232" s="216">
        <f t="shared" si="112"/>
        <v>7761.0981151523674</v>
      </c>
      <c r="Y232" s="216">
        <f t="shared" si="112"/>
        <v>8439.8924004008422</v>
      </c>
      <c r="Z232" s="216">
        <f t="shared" si="112"/>
        <v>9096.1761972056756</v>
      </c>
      <c r="AA232" s="216">
        <f t="shared" si="112"/>
        <v>9723.3912381516639</v>
      </c>
      <c r="AB232" s="216">
        <f t="shared" si="112"/>
        <v>10314.731465514575</v>
      </c>
      <c r="AC232" s="216">
        <f t="shared" si="112"/>
        <v>10735.83013697463</v>
      </c>
      <c r="AD232" s="216">
        <f t="shared" si="112"/>
        <v>11083.329916061026</v>
      </c>
      <c r="AE232" s="216">
        <f t="shared" si="112"/>
        <v>11347.84555565403</v>
      </c>
      <c r="AF232" s="216">
        <f t="shared" si="112"/>
        <v>11519.692868949132</v>
      </c>
      <c r="AG232" s="216">
        <f t="shared" si="112"/>
        <v>11588.888729457069</v>
      </c>
      <c r="AH232" s="230"/>
      <c r="AI232" s="126"/>
      <c r="AJ232" s="198"/>
      <c r="AL232" s="102"/>
      <c r="AM232" s="2"/>
      <c r="AN232" s="2"/>
      <c r="AO232" s="2"/>
      <c r="BC232" s="1"/>
      <c r="BD232" s="2"/>
      <c r="BE232" s="2"/>
      <c r="BF232" s="2"/>
      <c r="BG232" s="2"/>
      <c r="BH232" s="2"/>
      <c r="BI232" s="2"/>
      <c r="BJ232" s="2"/>
      <c r="BK232" s="2"/>
    </row>
    <row r="233" spans="1:63" outlineLevel="1">
      <c r="A233" s="4" t="s">
        <v>74</v>
      </c>
      <c r="C233" s="216">
        <f t="shared" ref="C233:AG235" si="113">C228-$C228</f>
        <v>0</v>
      </c>
      <c r="D233" s="216">
        <f t="shared" si="113"/>
        <v>0</v>
      </c>
      <c r="E233" s="216">
        <f t="shared" si="113"/>
        <v>0</v>
      </c>
      <c r="F233" s="216">
        <f t="shared" si="113"/>
        <v>0</v>
      </c>
      <c r="G233" s="216">
        <f t="shared" si="113"/>
        <v>0</v>
      </c>
      <c r="H233" s="216">
        <f t="shared" si="113"/>
        <v>0</v>
      </c>
      <c r="I233" s="216">
        <f t="shared" si="113"/>
        <v>0</v>
      </c>
      <c r="J233" s="216">
        <f t="shared" si="113"/>
        <v>0</v>
      </c>
      <c r="K233" s="216">
        <f t="shared" si="113"/>
        <v>0</v>
      </c>
      <c r="L233" s="216">
        <f t="shared" si="113"/>
        <v>0</v>
      </c>
      <c r="M233" s="216">
        <f t="shared" si="113"/>
        <v>0</v>
      </c>
      <c r="N233" s="216">
        <f t="shared" si="113"/>
        <v>0</v>
      </c>
      <c r="O233" s="216">
        <f t="shared" si="113"/>
        <v>0</v>
      </c>
      <c r="P233" s="216">
        <f t="shared" si="113"/>
        <v>0</v>
      </c>
      <c r="Q233" s="216">
        <f t="shared" si="113"/>
        <v>0</v>
      </c>
      <c r="R233" s="216">
        <f t="shared" si="113"/>
        <v>0</v>
      </c>
      <c r="S233" s="216">
        <f t="shared" si="113"/>
        <v>0</v>
      </c>
      <c r="T233" s="216">
        <f t="shared" si="113"/>
        <v>0</v>
      </c>
      <c r="U233" s="216">
        <f t="shared" si="113"/>
        <v>0</v>
      </c>
      <c r="V233" s="216">
        <f t="shared" si="113"/>
        <v>0</v>
      </c>
      <c r="W233" s="216">
        <f t="shared" si="113"/>
        <v>0</v>
      </c>
      <c r="X233" s="216">
        <f t="shared" si="113"/>
        <v>0</v>
      </c>
      <c r="Y233" s="216">
        <f t="shared" si="113"/>
        <v>0</v>
      </c>
      <c r="Z233" s="216">
        <f t="shared" si="113"/>
        <v>0</v>
      </c>
      <c r="AA233" s="216">
        <f t="shared" si="113"/>
        <v>0</v>
      </c>
      <c r="AB233" s="216">
        <f t="shared" si="113"/>
        <v>0</v>
      </c>
      <c r="AC233" s="216">
        <f t="shared" si="113"/>
        <v>0</v>
      </c>
      <c r="AD233" s="216">
        <f t="shared" si="113"/>
        <v>0</v>
      </c>
      <c r="AE233" s="216">
        <f t="shared" si="113"/>
        <v>0</v>
      </c>
      <c r="AF233" s="216">
        <f t="shared" si="113"/>
        <v>0</v>
      </c>
      <c r="AG233" s="216">
        <f t="shared" si="113"/>
        <v>0</v>
      </c>
      <c r="AH233" s="230"/>
      <c r="AI233" s="126"/>
      <c r="AJ233" s="198"/>
      <c r="AL233" s="102"/>
      <c r="AM233" s="2"/>
      <c r="AN233" s="2"/>
      <c r="AO233" s="2"/>
      <c r="BC233" s="1"/>
      <c r="BD233" s="2"/>
      <c r="BE233" s="2"/>
      <c r="BF233" s="2"/>
      <c r="BG233" s="2"/>
      <c r="BH233" s="2"/>
      <c r="BI233" s="2"/>
      <c r="BJ233" s="2"/>
      <c r="BK233" s="2"/>
    </row>
    <row r="234" spans="1:63" outlineLevel="1">
      <c r="A234" s="4" t="s">
        <v>160</v>
      </c>
      <c r="C234" s="216">
        <f t="shared" si="113"/>
        <v>0</v>
      </c>
      <c r="D234" s="216">
        <f t="shared" si="113"/>
        <v>0</v>
      </c>
      <c r="E234" s="216">
        <f t="shared" si="113"/>
        <v>0</v>
      </c>
      <c r="F234" s="216">
        <f t="shared" si="113"/>
        <v>0</v>
      </c>
      <c r="G234" s="216">
        <f t="shared" si="113"/>
        <v>0</v>
      </c>
      <c r="H234" s="216">
        <f t="shared" si="113"/>
        <v>0</v>
      </c>
      <c r="I234" s="216">
        <f t="shared" si="113"/>
        <v>0</v>
      </c>
      <c r="J234" s="216">
        <f t="shared" si="113"/>
        <v>0</v>
      </c>
      <c r="K234" s="216">
        <f t="shared" si="113"/>
        <v>0</v>
      </c>
      <c r="L234" s="216">
        <f t="shared" si="113"/>
        <v>0</v>
      </c>
      <c r="M234" s="216">
        <f t="shared" si="113"/>
        <v>0</v>
      </c>
      <c r="N234" s="216">
        <f t="shared" si="113"/>
        <v>0</v>
      </c>
      <c r="O234" s="216">
        <f t="shared" si="113"/>
        <v>0</v>
      </c>
      <c r="P234" s="216">
        <f t="shared" si="113"/>
        <v>0</v>
      </c>
      <c r="Q234" s="216">
        <f t="shared" si="113"/>
        <v>0</v>
      </c>
      <c r="R234" s="216">
        <f t="shared" si="113"/>
        <v>0</v>
      </c>
      <c r="S234" s="216">
        <f t="shared" si="113"/>
        <v>0</v>
      </c>
      <c r="T234" s="216">
        <f t="shared" si="113"/>
        <v>0</v>
      </c>
      <c r="U234" s="216">
        <f t="shared" si="113"/>
        <v>0</v>
      </c>
      <c r="V234" s="216">
        <f t="shared" si="113"/>
        <v>0</v>
      </c>
      <c r="W234" s="216">
        <f t="shared" si="113"/>
        <v>0</v>
      </c>
      <c r="X234" s="216">
        <f t="shared" si="113"/>
        <v>0</v>
      </c>
      <c r="Y234" s="216">
        <f t="shared" si="113"/>
        <v>0</v>
      </c>
      <c r="Z234" s="216">
        <f t="shared" si="113"/>
        <v>0</v>
      </c>
      <c r="AA234" s="216">
        <f t="shared" si="113"/>
        <v>0</v>
      </c>
      <c r="AB234" s="216">
        <f t="shared" si="113"/>
        <v>0</v>
      </c>
      <c r="AC234" s="216">
        <f t="shared" si="113"/>
        <v>0</v>
      </c>
      <c r="AD234" s="216">
        <f t="shared" si="113"/>
        <v>0</v>
      </c>
      <c r="AE234" s="216">
        <f t="shared" si="113"/>
        <v>0</v>
      </c>
      <c r="AF234" s="216">
        <f t="shared" si="113"/>
        <v>0</v>
      </c>
      <c r="AG234" s="216">
        <f t="shared" si="113"/>
        <v>0</v>
      </c>
      <c r="AH234" s="230"/>
      <c r="AI234" s="126"/>
      <c r="AJ234" s="198"/>
      <c r="AL234" s="102"/>
      <c r="AM234" s="2"/>
      <c r="AN234" s="2"/>
      <c r="AO234" s="2"/>
      <c r="BC234" s="1"/>
      <c r="BD234" s="2"/>
      <c r="BE234" s="2"/>
      <c r="BF234" s="2"/>
      <c r="BG234" s="2"/>
      <c r="BH234" s="2"/>
      <c r="BI234" s="2"/>
      <c r="BJ234" s="2"/>
      <c r="BK234" s="2"/>
    </row>
    <row r="235" spans="1:63" outlineLevel="1">
      <c r="A235" s="4" t="s">
        <v>1159</v>
      </c>
      <c r="C235" s="216">
        <f t="shared" si="113"/>
        <v>0</v>
      </c>
      <c r="D235" s="216">
        <f t="shared" si="113"/>
        <v>-2.528846837817994E-2</v>
      </c>
      <c r="E235" s="216">
        <f t="shared" si="113"/>
        <v>-9.7130175251836925E-3</v>
      </c>
      <c r="F235" s="216">
        <f t="shared" si="113"/>
        <v>7.2217948213122163E-3</v>
      </c>
      <c r="G235" s="216">
        <f t="shared" si="113"/>
        <v>2.5558249270232716E-2</v>
      </c>
      <c r="H235" s="216">
        <f t="shared" si="113"/>
        <v>4.5338626430502751E-2</v>
      </c>
      <c r="I235" s="216">
        <f t="shared" si="113"/>
        <v>6.1463098340757402E-2</v>
      </c>
      <c r="J235" s="216">
        <f t="shared" si="113"/>
        <v>7.7707319199689304E-2</v>
      </c>
      <c r="K235" s="216">
        <f t="shared" si="113"/>
        <v>9.3967959743539289E-2</v>
      </c>
      <c r="L235" s="216">
        <f t="shared" si="113"/>
        <v>0.11013646482528495</v>
      </c>
      <c r="M235" s="216">
        <f t="shared" si="113"/>
        <v>0.12609905341464106</v>
      </c>
      <c r="N235" s="216">
        <f t="shared" si="113"/>
        <v>0.1495349924158636</v>
      </c>
      <c r="O235" s="216">
        <f t="shared" si="113"/>
        <v>0.17303302083480898</v>
      </c>
      <c r="P235" s="216">
        <f t="shared" si="113"/>
        <v>0.19636848407926921</v>
      </c>
      <c r="Q235" s="216">
        <f t="shared" si="113"/>
        <v>0.21930571300308183</v>
      </c>
      <c r="R235" s="216">
        <f t="shared" si="113"/>
        <v>0.24159802390612956</v>
      </c>
      <c r="S235" s="216">
        <f t="shared" si="113"/>
        <v>0.26798911757866489</v>
      </c>
      <c r="T235" s="216">
        <f t="shared" si="113"/>
        <v>0.29428494814714312</v>
      </c>
      <c r="U235" s="216">
        <f t="shared" si="113"/>
        <v>0.32030630216449391</v>
      </c>
      <c r="V235" s="216">
        <f t="shared" si="113"/>
        <v>0.34586619539800939</v>
      </c>
      <c r="W235" s="216">
        <f t="shared" si="113"/>
        <v>0.37076987282934326</v>
      </c>
      <c r="X235" s="216">
        <f t="shared" si="113"/>
        <v>0.40723734536848549</v>
      </c>
      <c r="Y235" s="216">
        <f t="shared" si="113"/>
        <v>0.44285477716414828</v>
      </c>
      <c r="Z235" s="216">
        <f t="shared" si="113"/>
        <v>0.4772910472967678</v>
      </c>
      <c r="AA235" s="216">
        <f t="shared" si="113"/>
        <v>0.51020203288930288</v>
      </c>
      <c r="AB235" s="216">
        <f t="shared" si="113"/>
        <v>0.54123060910723675</v>
      </c>
      <c r="AC235" s="216">
        <f t="shared" si="113"/>
        <v>0.56332633609834215</v>
      </c>
      <c r="AD235" s="216">
        <f t="shared" si="113"/>
        <v>0.58156021040988992</v>
      </c>
      <c r="AE235" s="216">
        <f t="shared" si="113"/>
        <v>0.59543977297668627</v>
      </c>
      <c r="AF235" s="216">
        <f t="shared" si="113"/>
        <v>0.60445687888575517</v>
      </c>
      <c r="AG235" s="216">
        <f t="shared" si="113"/>
        <v>0.60808769737634039</v>
      </c>
      <c r="AH235" s="230"/>
      <c r="AI235" s="126"/>
      <c r="AJ235" s="198"/>
      <c r="AL235" s="102"/>
      <c r="AM235" s="2"/>
      <c r="AN235" s="2"/>
      <c r="AO235" s="2"/>
      <c r="BC235" s="1"/>
      <c r="BD235" s="2"/>
      <c r="BE235" s="2"/>
      <c r="BF235" s="2"/>
      <c r="BG235" s="2"/>
      <c r="BH235" s="2"/>
      <c r="BI235" s="2"/>
      <c r="BJ235" s="2"/>
      <c r="BK235" s="2"/>
    </row>
    <row r="236" spans="1:63" outlineLevel="1">
      <c r="C236" s="104"/>
      <c r="D236" s="104"/>
      <c r="E236" s="104"/>
      <c r="F236" s="104"/>
      <c r="G236" s="104"/>
      <c r="H236" s="104"/>
      <c r="I236" s="104"/>
      <c r="J236" s="104"/>
      <c r="K236" s="104"/>
      <c r="L236" s="104"/>
      <c r="M236" s="104"/>
      <c r="N236" s="104"/>
      <c r="O236" s="104"/>
      <c r="P236" s="104"/>
      <c r="Q236" s="104"/>
      <c r="R236" s="104"/>
      <c r="S236" s="104"/>
      <c r="T236" s="104"/>
      <c r="U236" s="104"/>
      <c r="V236" s="104"/>
      <c r="W236" s="104"/>
      <c r="X236" s="104"/>
      <c r="Y236" s="104"/>
      <c r="Z236" s="104"/>
      <c r="AA236" s="104"/>
      <c r="AB236" s="104"/>
      <c r="AC236" s="104"/>
      <c r="AD236" s="104"/>
      <c r="AE236" s="104"/>
      <c r="AF236" s="104"/>
      <c r="AG236" s="104"/>
      <c r="AJ236" s="198"/>
    </row>
    <row r="237" spans="1:63" s="187" customFormat="1" ht="15.5" thickBot="1">
      <c r="A237" s="187" t="s">
        <v>461</v>
      </c>
      <c r="B237" s="202"/>
      <c r="C237" s="210">
        <f>C238</f>
        <v>1.6E-2</v>
      </c>
      <c r="D237" s="210">
        <f t="shared" ref="D237:AG237" si="114">D238</f>
        <v>2.329547397581962E-2</v>
      </c>
      <c r="E237" s="210">
        <f t="shared" si="114"/>
        <v>3.059094795163924E-2</v>
      </c>
      <c r="F237" s="210">
        <f t="shared" si="114"/>
        <v>3.7886421927458863E-2</v>
      </c>
      <c r="G237" s="210">
        <f t="shared" si="114"/>
        <v>4.5181895903278479E-2</v>
      </c>
      <c r="H237" s="210">
        <f t="shared" si="114"/>
        <v>5.2477369879098103E-2</v>
      </c>
      <c r="I237" s="210">
        <f t="shared" si="114"/>
        <v>5.9772843854917726E-2</v>
      </c>
      <c r="J237" s="210">
        <f t="shared" si="114"/>
        <v>6.7068317830737342E-2</v>
      </c>
      <c r="K237" s="210">
        <f t="shared" si="114"/>
        <v>7.4363791806556973E-2</v>
      </c>
      <c r="L237" s="210">
        <f t="shared" si="114"/>
        <v>8.1659265782376589E-2</v>
      </c>
      <c r="M237" s="210">
        <f t="shared" si="114"/>
        <v>8.8954739758196205E-2</v>
      </c>
      <c r="N237" s="210">
        <f t="shared" si="114"/>
        <v>0.10433135413800063</v>
      </c>
      <c r="O237" s="210">
        <f t="shared" si="114"/>
        <v>0.11970796851780505</v>
      </c>
      <c r="P237" s="210">
        <f t="shared" si="114"/>
        <v>0.1350845828976095</v>
      </c>
      <c r="Q237" s="210">
        <f t="shared" si="114"/>
        <v>0.15046119727741392</v>
      </c>
      <c r="R237" s="210">
        <f t="shared" si="114"/>
        <v>0.16583781165721834</v>
      </c>
      <c r="S237" s="210">
        <f t="shared" si="114"/>
        <v>0.18121442603702276</v>
      </c>
      <c r="T237" s="210">
        <f t="shared" si="114"/>
        <v>0.19659104041682718</v>
      </c>
      <c r="U237" s="210">
        <f t="shared" si="114"/>
        <v>0.2119676547966316</v>
      </c>
      <c r="V237" s="210">
        <f t="shared" si="114"/>
        <v>0.22734426917643602</v>
      </c>
      <c r="W237" s="210">
        <f t="shared" si="114"/>
        <v>0.24272088355624044</v>
      </c>
      <c r="X237" s="210">
        <f t="shared" si="114"/>
        <v>0.26844879520061637</v>
      </c>
      <c r="Y237" s="210">
        <f t="shared" si="114"/>
        <v>0.29417670684499236</v>
      </c>
      <c r="Z237" s="210">
        <f t="shared" si="114"/>
        <v>0.3199046184893683</v>
      </c>
      <c r="AA237" s="210">
        <f t="shared" si="114"/>
        <v>0.34563253013374429</v>
      </c>
      <c r="AB237" s="210">
        <f t="shared" si="114"/>
        <v>0.37136044177812022</v>
      </c>
      <c r="AC237" s="210">
        <f t="shared" si="114"/>
        <v>0.39708835342249615</v>
      </c>
      <c r="AD237" s="210">
        <f t="shared" si="114"/>
        <v>0.42281626506687209</v>
      </c>
      <c r="AE237" s="210">
        <f t="shared" si="114"/>
        <v>0.44854417671124808</v>
      </c>
      <c r="AF237" s="210">
        <f t="shared" si="114"/>
        <v>0.47427208835562407</v>
      </c>
      <c r="AG237" s="210">
        <f t="shared" si="114"/>
        <v>0.5</v>
      </c>
      <c r="AJ237" s="217" t="s">
        <v>473</v>
      </c>
      <c r="AL237" s="204"/>
      <c r="AM237" s="211"/>
      <c r="AN237" s="211"/>
      <c r="AO237" s="211"/>
    </row>
    <row r="238" spans="1:63" ht="15.5" outlineLevel="1" thickTop="1">
      <c r="A238" t="s">
        <v>469</v>
      </c>
      <c r="B238" s="51" t="s">
        <v>126</v>
      </c>
      <c r="C238" s="107">
        <v>1.6E-2</v>
      </c>
      <c r="D238" s="104">
        <f>$C238+($M238-$C238)/10*(D$1-$C$1)</f>
        <v>2.329547397581962E-2</v>
      </c>
      <c r="E238" s="104">
        <f t="shared" ref="E238:L238" si="115">$C238+($M238-$C238)/10*(E$1-$C$1)</f>
        <v>3.059094795163924E-2</v>
      </c>
      <c r="F238" s="104">
        <f t="shared" si="115"/>
        <v>3.7886421927458863E-2</v>
      </c>
      <c r="G238" s="104">
        <f t="shared" si="115"/>
        <v>4.5181895903278479E-2</v>
      </c>
      <c r="H238" s="104">
        <f t="shared" si="115"/>
        <v>5.2477369879098103E-2</v>
      </c>
      <c r="I238" s="104">
        <f t="shared" si="115"/>
        <v>5.9772843854917726E-2</v>
      </c>
      <c r="J238" s="104">
        <f t="shared" si="115"/>
        <v>6.7068317830737342E-2</v>
      </c>
      <c r="K238" s="104">
        <f t="shared" si="115"/>
        <v>7.4363791806556973E-2</v>
      </c>
      <c r="L238" s="104">
        <f t="shared" si="115"/>
        <v>8.1659265782376589E-2</v>
      </c>
      <c r="M238" s="115">
        <f>(M$49-$C$49)/($AG$49-$C$49)*($AG238-$C238)+$C238</f>
        <v>8.8954739758196205E-2</v>
      </c>
      <c r="N238" s="115">
        <f>$M238+($W238-$M238)/10*(N$1-$M$1)</f>
        <v>0.10433135413800063</v>
      </c>
      <c r="O238" s="115">
        <f t="shared" ref="O238:U238" si="116">$M238+($W238-$M238)/10*(O$1-$M$1)</f>
        <v>0.11970796851780505</v>
      </c>
      <c r="P238" s="115">
        <f t="shared" si="116"/>
        <v>0.1350845828976095</v>
      </c>
      <c r="Q238" s="115">
        <f t="shared" si="116"/>
        <v>0.15046119727741392</v>
      </c>
      <c r="R238" s="115">
        <f t="shared" si="116"/>
        <v>0.16583781165721834</v>
      </c>
      <c r="S238" s="115">
        <f t="shared" si="116"/>
        <v>0.18121442603702276</v>
      </c>
      <c r="T238" s="115">
        <f t="shared" si="116"/>
        <v>0.19659104041682718</v>
      </c>
      <c r="U238" s="115">
        <f t="shared" si="116"/>
        <v>0.2119676547966316</v>
      </c>
      <c r="V238" s="115">
        <f>$M238+($W238-$M238)/10*(V$1-$M$1)</f>
        <v>0.22734426917643602</v>
      </c>
      <c r="W238" s="115">
        <f>(W$49-$C$49)/($AG$49-$C$49)*($AG238-$C238)+$C238</f>
        <v>0.24272088355624044</v>
      </c>
      <c r="X238" s="22">
        <f t="shared" ref="X238:AF238" si="117">$W238+($AG238-$W238)/10*(X$1-$W$1)</f>
        <v>0.26844879520061637</v>
      </c>
      <c r="Y238" s="22">
        <f t="shared" si="117"/>
        <v>0.29417670684499236</v>
      </c>
      <c r="Z238" s="22">
        <f t="shared" si="117"/>
        <v>0.3199046184893683</v>
      </c>
      <c r="AA238" s="22">
        <f t="shared" si="117"/>
        <v>0.34563253013374429</v>
      </c>
      <c r="AB238" s="22">
        <f t="shared" si="117"/>
        <v>0.37136044177812022</v>
      </c>
      <c r="AC238" s="22">
        <f t="shared" si="117"/>
        <v>0.39708835342249615</v>
      </c>
      <c r="AD238" s="22">
        <f t="shared" si="117"/>
        <v>0.42281626506687209</v>
      </c>
      <c r="AE238" s="22">
        <f t="shared" si="117"/>
        <v>0.44854417671124808</v>
      </c>
      <c r="AF238" s="22">
        <f t="shared" si="117"/>
        <v>0.47427208835562407</v>
      </c>
      <c r="AG238" s="201">
        <v>0.5</v>
      </c>
      <c r="AJ238" s="198" t="s">
        <v>462</v>
      </c>
    </row>
    <row r="239" spans="1:63" outlineLevel="1">
      <c r="C239" s="107"/>
      <c r="D239" s="104"/>
      <c r="E239" s="104"/>
      <c r="F239" s="104"/>
      <c r="G239" s="104"/>
      <c r="H239" s="104"/>
      <c r="I239" s="104"/>
      <c r="J239" s="104"/>
      <c r="K239" s="104"/>
      <c r="L239" s="104"/>
      <c r="M239" s="115"/>
      <c r="N239" s="115"/>
      <c r="O239" s="115"/>
      <c r="P239" s="115"/>
      <c r="Q239" s="115"/>
      <c r="R239" s="115"/>
      <c r="S239" s="115"/>
      <c r="T239" s="115"/>
      <c r="U239" s="115"/>
      <c r="V239" s="115"/>
      <c r="W239" s="115"/>
      <c r="X239" s="22"/>
      <c r="Y239" s="22"/>
      <c r="Z239" s="22"/>
      <c r="AA239" s="22"/>
      <c r="AB239" s="22"/>
      <c r="AC239" s="22"/>
      <c r="AD239" s="22"/>
      <c r="AE239" s="22"/>
      <c r="AF239" s="22"/>
      <c r="AG239" s="100"/>
      <c r="AJ239" s="198"/>
    </row>
    <row r="240" spans="1:63" outlineLevel="1">
      <c r="A240" t="s">
        <v>1370</v>
      </c>
      <c r="C240" s="477">
        <f>('Overall recycling rates'!F85*'Yearly BTX'!D5+'Overall recycling rates'!G85*'Yearly BTX'!D6+'Overall recycling rates'!H85*'Yearly BTX'!D7)/'Yearly BTX'!D4</f>
        <v>0.26816626039580643</v>
      </c>
      <c r="D240" s="477">
        <f>C240-($C240-$AG240)/($AG$1-$C$1)</f>
        <v>0.28589405171594623</v>
      </c>
      <c r="E240" s="477">
        <f t="shared" ref="E240:AF240" si="118">D240-($C240-$AG240)/($AG$1-$C$1)</f>
        <v>0.30362184303608603</v>
      </c>
      <c r="F240" s="477">
        <f t="shared" si="118"/>
        <v>0.32134963435622582</v>
      </c>
      <c r="G240" s="477">
        <f t="shared" si="118"/>
        <v>0.33907742567636562</v>
      </c>
      <c r="H240" s="477">
        <f t="shared" si="118"/>
        <v>0.35680521699650541</v>
      </c>
      <c r="I240" s="477">
        <f t="shared" si="118"/>
        <v>0.37453300831664521</v>
      </c>
      <c r="J240" s="477">
        <f t="shared" si="118"/>
        <v>0.39226079963678501</v>
      </c>
      <c r="K240" s="477">
        <f t="shared" si="118"/>
        <v>0.4099885909569248</v>
      </c>
      <c r="L240" s="477">
        <f t="shared" si="118"/>
        <v>0.4277163822770646</v>
      </c>
      <c r="M240" s="477">
        <f t="shared" si="118"/>
        <v>0.4454441735972044</v>
      </c>
      <c r="N240" s="477">
        <f t="shared" si="118"/>
        <v>0.46317196491734419</v>
      </c>
      <c r="O240" s="477">
        <f t="shared" si="118"/>
        <v>0.48089975623748399</v>
      </c>
      <c r="P240" s="477">
        <f t="shared" si="118"/>
        <v>0.49862754755762378</v>
      </c>
      <c r="Q240" s="477">
        <f t="shared" si="118"/>
        <v>0.51635533887776353</v>
      </c>
      <c r="R240" s="477">
        <f t="shared" si="118"/>
        <v>0.53408313019790332</v>
      </c>
      <c r="S240" s="477">
        <f t="shared" si="118"/>
        <v>0.55181092151804312</v>
      </c>
      <c r="T240" s="477">
        <f t="shared" si="118"/>
        <v>0.56953871283818291</v>
      </c>
      <c r="U240" s="477">
        <f t="shared" si="118"/>
        <v>0.58726650415832271</v>
      </c>
      <c r="V240" s="477">
        <f t="shared" si="118"/>
        <v>0.60499429547846251</v>
      </c>
      <c r="W240" s="477">
        <f t="shared" si="118"/>
        <v>0.6227220867986023</v>
      </c>
      <c r="X240" s="477">
        <f t="shared" si="118"/>
        <v>0.6404498781187421</v>
      </c>
      <c r="Y240" s="477">
        <f t="shared" si="118"/>
        <v>0.6581776694388819</v>
      </c>
      <c r="Z240" s="477">
        <f t="shared" si="118"/>
        <v>0.67590546075902169</v>
      </c>
      <c r="AA240" s="477">
        <f t="shared" si="118"/>
        <v>0.69363325207916149</v>
      </c>
      <c r="AB240" s="477">
        <f t="shared" si="118"/>
        <v>0.71136104339930128</v>
      </c>
      <c r="AC240" s="477">
        <f t="shared" si="118"/>
        <v>0.72908883471944108</v>
      </c>
      <c r="AD240" s="477">
        <f t="shared" si="118"/>
        <v>0.74681662603958088</v>
      </c>
      <c r="AE240" s="477">
        <f t="shared" si="118"/>
        <v>0.76454441735972067</v>
      </c>
      <c r="AF240" s="477">
        <f t="shared" si="118"/>
        <v>0.78227220867986047</v>
      </c>
      <c r="AG240" s="477">
        <f>'Overall recycling rates'!F94</f>
        <v>0.8</v>
      </c>
      <c r="AI240" s="126"/>
      <c r="AJ240" s="198" t="s">
        <v>1088</v>
      </c>
      <c r="AL240" s="102"/>
      <c r="AM240" s="194"/>
      <c r="AN240" s="194"/>
      <c r="AO240" s="194"/>
      <c r="BC240" s="1"/>
      <c r="BD240" s="194"/>
      <c r="BE240" s="194"/>
      <c r="BF240" s="194"/>
      <c r="BG240" s="194"/>
      <c r="BH240" s="194"/>
      <c r="BI240" s="194"/>
      <c r="BJ240" s="194"/>
      <c r="BK240" s="194"/>
    </row>
    <row r="241" spans="1:63" outlineLevel="1">
      <c r="A241" t="s">
        <v>1386</v>
      </c>
      <c r="B241" s="51" t="s">
        <v>126</v>
      </c>
      <c r="C241" s="104">
        <f>C238*C240</f>
        <v>4.2906601663329031E-3</v>
      </c>
      <c r="D241" s="104">
        <f t="shared" ref="D241:AG241" si="119">D238*D240</f>
        <v>6.660037441590454E-3</v>
      </c>
      <c r="E241" s="104">
        <f t="shared" si="119"/>
        <v>9.2880799972976866E-3</v>
      </c>
      <c r="F241" s="104">
        <f t="shared" si="119"/>
        <v>1.2174787833454602E-2</v>
      </c>
      <c r="G241" s="104">
        <f t="shared" si="119"/>
        <v>1.5320160950061197E-2</v>
      </c>
      <c r="H241" s="104">
        <f t="shared" si="119"/>
        <v>1.8724199347117474E-2</v>
      </c>
      <c r="I241" s="104">
        <f t="shared" si="119"/>
        <v>2.2386903024623435E-2</v>
      </c>
      <c r="J241" s="104">
        <f t="shared" si="119"/>
        <v>2.6308271982579075E-2</v>
      </c>
      <c r="K241" s="104">
        <f t="shared" si="119"/>
        <v>3.0488306220984404E-2</v>
      </c>
      <c r="L241" s="104">
        <f t="shared" si="119"/>
        <v>3.4927005739839409E-2</v>
      </c>
      <c r="M241" s="104">
        <f t="shared" si="119"/>
        <v>3.962437053914409E-2</v>
      </c>
      <c r="N241" s="104">
        <f t="shared" si="119"/>
        <v>4.8323358298585035E-2</v>
      </c>
      <c r="O241" s="104">
        <f t="shared" si="119"/>
        <v>5.7567532879896854E-2</v>
      </c>
      <c r="P241" s="104">
        <f t="shared" si="119"/>
        <v>6.7356894283079546E-2</v>
      </c>
      <c r="Q241" s="104">
        <f t="shared" si="119"/>
        <v>7.7691442508133091E-2</v>
      </c>
      <c r="R241" s="104">
        <f t="shared" si="119"/>
        <v>8.8571177555057515E-2</v>
      </c>
      <c r="S241" s="104">
        <f t="shared" si="119"/>
        <v>9.9996099423852791E-2</v>
      </c>
      <c r="T241" s="104">
        <f t="shared" si="119"/>
        <v>0.11196620811451895</v>
      </c>
      <c r="U241" s="104">
        <f t="shared" si="119"/>
        <v>0.12448150362705597</v>
      </c>
      <c r="V241" s="104">
        <f t="shared" si="119"/>
        <v>0.13754198596146386</v>
      </c>
      <c r="W241" s="104">
        <f t="shared" si="119"/>
        <v>0.15114765511774261</v>
      </c>
      <c r="X241" s="104">
        <f t="shared" si="119"/>
        <v>0.1719279981673579</v>
      </c>
      <c r="Y241" s="104">
        <f t="shared" si="119"/>
        <v>0.19362053931444226</v>
      </c>
      <c r="Z241" s="104">
        <f t="shared" si="119"/>
        <v>0.21622527855899554</v>
      </c>
      <c r="AA241" s="104">
        <f t="shared" si="119"/>
        <v>0.23974221590101782</v>
      </c>
      <c r="AB241" s="104">
        <f t="shared" si="119"/>
        <v>0.26417135134050906</v>
      </c>
      <c r="AC241" s="104">
        <f t="shared" si="119"/>
        <v>0.28951268487746928</v>
      </c>
      <c r="AD241" s="104">
        <f t="shared" si="119"/>
        <v>0.31576621651189851</v>
      </c>
      <c r="AE241" s="104">
        <f t="shared" si="119"/>
        <v>0.34293194624379675</v>
      </c>
      <c r="AF241" s="104">
        <f t="shared" si="119"/>
        <v>0.37100987407316399</v>
      </c>
      <c r="AG241" s="104">
        <f t="shared" si="119"/>
        <v>0.4</v>
      </c>
      <c r="AJ241" s="198" t="s">
        <v>462</v>
      </c>
    </row>
    <row r="242" spans="1:63" outlineLevel="1">
      <c r="C242" s="104"/>
      <c r="D242" s="104"/>
      <c r="E242" s="104"/>
      <c r="F242" s="104"/>
      <c r="G242" s="104"/>
      <c r="H242" s="104"/>
      <c r="I242" s="104"/>
      <c r="J242" s="104"/>
      <c r="K242" s="104"/>
      <c r="L242" s="104"/>
      <c r="M242" s="104"/>
      <c r="N242" s="104"/>
      <c r="O242" s="104"/>
      <c r="P242" s="104"/>
      <c r="Q242" s="104"/>
      <c r="R242" s="104"/>
      <c r="S242" s="104"/>
      <c r="T242" s="104"/>
      <c r="U242" s="104"/>
      <c r="V242" s="104"/>
      <c r="W242" s="104"/>
      <c r="X242" s="104"/>
      <c r="Y242" s="104"/>
      <c r="Z242" s="104"/>
      <c r="AA242" s="104"/>
      <c r="AB242" s="104"/>
      <c r="AC242" s="104"/>
      <c r="AD242" s="104"/>
      <c r="AE242" s="104"/>
      <c r="AF242" s="104"/>
      <c r="AG242" s="104"/>
      <c r="AI242" s="127"/>
      <c r="AJ242" s="198"/>
      <c r="BC242" s="1"/>
      <c r="BD242" s="38"/>
      <c r="BF242" s="6"/>
      <c r="BG242" s="6"/>
      <c r="BH242" s="6"/>
      <c r="BI242" s="6"/>
      <c r="BJ242" s="6"/>
    </row>
    <row r="243" spans="1:63" s="1" customFormat="1" outlineLevel="1">
      <c r="A243" s="1" t="s">
        <v>261</v>
      </c>
      <c r="B243" s="61"/>
      <c r="C243" s="279">
        <f>'BTX Recycling HC'!C243</f>
        <v>99.474234856949025</v>
      </c>
      <c r="D243" s="279">
        <f>'BTX Recycling HC'!D243</f>
        <v>154.40563991043439</v>
      </c>
      <c r="E243" s="279">
        <f>'BTX Recycling HC'!E243</f>
        <v>215.33391487654706</v>
      </c>
      <c r="F243" s="279">
        <f>'BTX Recycling HC'!F243</f>
        <v>282.25905975528701</v>
      </c>
      <c r="G243" s="279">
        <f>'BTX Recycling HC'!G243</f>
        <v>355.18107454665426</v>
      </c>
      <c r="H243" s="279">
        <f>'BTX Recycling HC'!H243</f>
        <v>434.09995925064879</v>
      </c>
      <c r="I243" s="279">
        <f>'BTX Recycling HC'!I243</f>
        <v>519.01571386727073</v>
      </c>
      <c r="J243" s="279">
        <f>'BTX Recycling HC'!J243</f>
        <v>609.92833839651985</v>
      </c>
      <c r="K243" s="279">
        <f>'BTX Recycling HC'!K243</f>
        <v>706.83783283839637</v>
      </c>
      <c r="L243" s="279">
        <f>'BTX Recycling HC'!L243</f>
        <v>809.74419719290017</v>
      </c>
      <c r="M243" s="279">
        <f>'BTX Recycling HC'!M243</f>
        <v>918.64743146003104</v>
      </c>
      <c r="N243" s="279">
        <f>'BTX Recycling HC'!N243</f>
        <v>1120.3238909918798</v>
      </c>
      <c r="O243" s="279">
        <f>'BTX Recycling HC'!O243</f>
        <v>1334.6399071088049</v>
      </c>
      <c r="P243" s="279">
        <f>'BTX Recycling HC'!P243</f>
        <v>1561.595479810806</v>
      </c>
      <c r="Q243" s="279">
        <f>'BTX Recycling HC'!Q243</f>
        <v>1801.1906090978825</v>
      </c>
      <c r="R243" s="279">
        <f>'BTX Recycling HC'!R243</f>
        <v>2053.4252949700358</v>
      </c>
      <c r="S243" s="279">
        <f>'BTX Recycling HC'!S243</f>
        <v>2318.2995374272641</v>
      </c>
      <c r="T243" s="279">
        <f>'BTX Recycling HC'!T243</f>
        <v>2595.8133364695691</v>
      </c>
      <c r="U243" s="279">
        <f>'BTX Recycling HC'!U243</f>
        <v>2885.9666920969503</v>
      </c>
      <c r="V243" s="279">
        <f>'BTX Recycling HC'!V243</f>
        <v>3188.7596043094068</v>
      </c>
      <c r="W243" s="279">
        <f>'BTX Recycling HC'!W243</f>
        <v>3504.1920731069399</v>
      </c>
      <c r="X243" s="279">
        <f>'BTX Recycling HC'!X243</f>
        <v>3985.9614616838248</v>
      </c>
      <c r="Y243" s="279">
        <f>'BTX Recycling HC'!Y243</f>
        <v>4488.8791594406594</v>
      </c>
      <c r="Z243" s="279">
        <f>'BTX Recycling HC'!Z243</f>
        <v>5012.9451663774398</v>
      </c>
      <c r="AA243" s="279">
        <f>'BTX Recycling HC'!AA243</f>
        <v>5558.1594824941676</v>
      </c>
      <c r="AB243" s="279">
        <f>'BTX Recycling HC'!AB243</f>
        <v>6124.5221077908418</v>
      </c>
      <c r="AC243" s="279">
        <f>'BTX Recycling HC'!AC243</f>
        <v>6712.0330422674633</v>
      </c>
      <c r="AD243" s="279">
        <f>'BTX Recycling HC'!AD243</f>
        <v>7320.6922859240321</v>
      </c>
      <c r="AE243" s="279">
        <f>'BTX Recycling HC'!AE243</f>
        <v>7950.4998387605492</v>
      </c>
      <c r="AF243" s="279">
        <f>'BTX Recycling HC'!AF243</f>
        <v>8601.4557007770145</v>
      </c>
      <c r="AG243" s="279">
        <f>'BTX Recycling HC'!AG243</f>
        <v>9273.5598719734207</v>
      </c>
      <c r="AH243" s="230"/>
      <c r="AI243" s="398"/>
      <c r="AJ243" s="399"/>
      <c r="AL243" s="207"/>
      <c r="AM243" s="118"/>
      <c r="AN243" s="118"/>
      <c r="AO243" s="118"/>
      <c r="BD243" s="118"/>
      <c r="BE243" s="118"/>
      <c r="BF243" s="118"/>
      <c r="BG243" s="118"/>
      <c r="BH243" s="118"/>
      <c r="BI243" s="118"/>
      <c r="BJ243" s="118"/>
      <c r="BK243" s="118"/>
    </row>
    <row r="244" spans="1:63" outlineLevel="1">
      <c r="A244" s="4" t="s">
        <v>35</v>
      </c>
      <c r="C244" s="216">
        <f>C$243*'BTX recycling rates'!E86</f>
        <v>0</v>
      </c>
      <c r="D244" s="216">
        <f>D$243*'BTX recycling rates'!F86</f>
        <v>3.0761416826530614</v>
      </c>
      <c r="E244" s="216">
        <f>E$243*'BTX recycling rates'!G86</f>
        <v>8.5799667890997711</v>
      </c>
      <c r="F244" s="216">
        <f>F$243*'BTX recycling rates'!H86</f>
        <v>16.869892696730904</v>
      </c>
      <c r="G244" s="216">
        <f>G$243*'BTX recycling rates'!I86</f>
        <v>28.304336782937238</v>
      </c>
      <c r="H244" s="216">
        <f>H$243*'BTX recycling rates'!J86</f>
        <v>43.241716425109544</v>
      </c>
      <c r="I244" s="216">
        <f>I$243*'BTX recycling rates'!K86</f>
        <v>62.040449000638624</v>
      </c>
      <c r="J244" s="216">
        <f>J$243*'BTX recycling rates'!L86</f>
        <v>85.058951886915224</v>
      </c>
      <c r="K244" s="216">
        <f>K$243*'BTX recycling rates'!M86</f>
        <v>112.65564246133013</v>
      </c>
      <c r="L244" s="216">
        <f>L$243*'BTX recycling rates'!N86</f>
        <v>145.18893810127412</v>
      </c>
      <c r="M244" s="216">
        <f>M$243*'BTX recycling rates'!O86</f>
        <v>183.01725618413795</v>
      </c>
      <c r="N244" s="216">
        <f>N$243*'BTX recycling rates'!P86</f>
        <v>245.51580649945049</v>
      </c>
      <c r="O244" s="216">
        <f>O$243*'BTX recycling rates'!Q86</f>
        <v>319.07187732036931</v>
      </c>
      <c r="P244" s="216">
        <f>P$243*'BTX recycling rates'!R86</f>
        <v>404.44090219616419</v>
      </c>
      <c r="Q244" s="216">
        <f>Q$243*'BTX recycling rates'!S86</f>
        <v>502.37831467610471</v>
      </c>
      <c r="R244" s="216">
        <f>R$243*'BTX recycling rates'!T86</f>
        <v>613.63954830946102</v>
      </c>
      <c r="S244" s="216">
        <f>S$243*'BTX recycling rates'!U86</f>
        <v>738.98003664550242</v>
      </c>
      <c r="T244" s="216">
        <f>T$243*'BTX recycling rates'!V86</f>
        <v>879.15521323349913</v>
      </c>
      <c r="U244" s="216">
        <f>U$243*'BTX recycling rates'!W86</f>
        <v>1034.9205116227211</v>
      </c>
      <c r="V244" s="216">
        <f>V$243*'BTX recycling rates'!X86</f>
        <v>1207.0313653624373</v>
      </c>
      <c r="W244" s="216">
        <f>W$243*'BTX recycling rates'!Y86</f>
        <v>1396.2432080019184</v>
      </c>
      <c r="X244" s="216">
        <f>X$243*'BTX recycling rates'!Z86</f>
        <v>1667.6141253763908</v>
      </c>
      <c r="Y244" s="216">
        <f>Y$243*'BTX recycling rates'!AA86</f>
        <v>1967.4502989183093</v>
      </c>
      <c r="Z244" s="216">
        <f>Z$243*'BTX recycling rates'!AB86</f>
        <v>2297.0157082742153</v>
      </c>
      <c r="AA244" s="216">
        <f>AA$243*'BTX recycling rates'!AC86</f>
        <v>2657.5743330906521</v>
      </c>
      <c r="AB244" s="216">
        <f>AB$243*'BTX recycling rates'!AD86</f>
        <v>3050.3901530141625</v>
      </c>
      <c r="AC244" s="216">
        <f>AC$243*'BTX recycling rates'!AE86</f>
        <v>3476.7271476912892</v>
      </c>
      <c r="AD244" s="216">
        <f>AD$243*'BTX recycling rates'!AF86</f>
        <v>3937.8492967685756</v>
      </c>
      <c r="AE244" s="216">
        <f>AE$243*'BTX recycling rates'!AG86</f>
        <v>4435.0205798925645</v>
      </c>
      <c r="AF244" s="216">
        <f>AF$243*'BTX recycling rates'!AH86</f>
        <v>4969.5049767097989</v>
      </c>
      <c r="AG244" s="216">
        <f>AG$243*'BTX recycling rates'!AI86</f>
        <v>5542.5664668668205</v>
      </c>
      <c r="AH244" s="230"/>
      <c r="AI244" s="126"/>
      <c r="AJ244" s="198"/>
      <c r="AL244" s="102"/>
      <c r="AM244" s="2"/>
      <c r="AN244" s="2"/>
      <c r="AO244" s="2"/>
      <c r="BC244" s="1"/>
      <c r="BD244" s="2"/>
      <c r="BE244" s="2"/>
      <c r="BF244" s="2"/>
      <c r="BG244" s="2"/>
      <c r="BH244" s="2"/>
      <c r="BI244" s="2"/>
      <c r="BJ244" s="2"/>
      <c r="BK244" s="2"/>
    </row>
    <row r="245" spans="1:63" outlineLevel="1">
      <c r="A245" s="4" t="s">
        <v>74</v>
      </c>
      <c r="C245" s="216">
        <f>C$243*'BTX recycling rates'!E87</f>
        <v>54.742691417404295</v>
      </c>
      <c r="D245" s="216">
        <f>D$243*'BTX recycling rates'!F87</f>
        <v>83.804522095507082</v>
      </c>
      <c r="E245" s="216">
        <f>E$243*'BTX recycling rates'!G87</f>
        <v>115.24474015353258</v>
      </c>
      <c r="F245" s="216">
        <f>F$243*'BTX recycling rates'!H87</f>
        <v>148.9272514848623</v>
      </c>
      <c r="G245" s="216">
        <f>G$243*'BTX recycling rates'!I87</f>
        <v>184.71596198287779</v>
      </c>
      <c r="H245" s="216">
        <f>H$243*'BTX recycling rates'!J87</f>
        <v>222.47477754096053</v>
      </c>
      <c r="I245" s="216">
        <f>I$243*'BTX recycling rates'!K87</f>
        <v>262.06760405249213</v>
      </c>
      <c r="J245" s="216">
        <f>J$243*'BTX recycling rates'!L87</f>
        <v>303.35834741085392</v>
      </c>
      <c r="K245" s="216">
        <f>K$243*'BTX recycling rates'!M87</f>
        <v>346.21091350942766</v>
      </c>
      <c r="L245" s="216">
        <f>L$243*'BTX recycling rates'!N87</f>
        <v>390.48920824159467</v>
      </c>
      <c r="M245" s="216">
        <f>M$243*'BTX recycling rates'!O87</f>
        <v>436.05713750073642</v>
      </c>
      <c r="N245" s="216">
        <f>N$243*'BTX recycling rates'!P87</f>
        <v>523.31256089638009</v>
      </c>
      <c r="O245" s="216">
        <f>O$243*'BTX recycling rates'!Q87</f>
        <v>613.3251549804661</v>
      </c>
      <c r="P245" s="216">
        <f>P$243*'BTX recycling rates'!R87</f>
        <v>705.80807525135219</v>
      </c>
      <c r="Q245" s="216">
        <f>Q$243*'BTX recycling rates'!S87</f>
        <v>800.47447720739638</v>
      </c>
      <c r="R245" s="216">
        <f>R$243*'BTX recycling rates'!T87</f>
        <v>897.03751634695698</v>
      </c>
      <c r="S245" s="216">
        <f>S$243*'BTX recycling rates'!U87</f>
        <v>995.21034816839119</v>
      </c>
      <c r="T245" s="216">
        <f>T$243*'BTX recycling rates'!V87</f>
        <v>1094.7061281700578</v>
      </c>
      <c r="U245" s="216">
        <f>U$243*'BTX recycling rates'!W87</f>
        <v>1195.2380118503147</v>
      </c>
      <c r="V245" s="216">
        <f>V$243*'BTX recycling rates'!X87</f>
        <v>1296.5191547075192</v>
      </c>
      <c r="W245" s="216">
        <f>W$243*'BTX recycling rates'!Y87</f>
        <v>1398.2627122400302</v>
      </c>
      <c r="X245" s="216">
        <f>X$243*'BTX recycling rates'!Z87</f>
        <v>1560.348359576871</v>
      </c>
      <c r="Y245" s="216">
        <f>Y$243*'BTX recycling rates'!AA87</f>
        <v>1723.2638526219987</v>
      </c>
      <c r="Z245" s="216">
        <f>Z$243*'BTX recycling rates'!AB87</f>
        <v>1886.5292476237091</v>
      </c>
      <c r="AA245" s="216">
        <f>AA$243*'BTX recycling rates'!AC87</f>
        <v>2049.664600830301</v>
      </c>
      <c r="AB245" s="216">
        <f>AB$243*'BTX recycling rates'!AD87</f>
        <v>2212.1899684900714</v>
      </c>
      <c r="AC245" s="216">
        <f>AC$243*'BTX recycling rates'!AE87</f>
        <v>2373.6254068513185</v>
      </c>
      <c r="AD245" s="216">
        <f>AD$243*'BTX recycling rates'!AF87</f>
        <v>2533.4909721623408</v>
      </c>
      <c r="AE245" s="216">
        <f>AE$243*'BTX recycling rates'!AG87</f>
        <v>2691.3067206714359</v>
      </c>
      <c r="AF245" s="216">
        <f>AF$243*'BTX recycling rates'!AH87</f>
        <v>2846.5927086269016</v>
      </c>
      <c r="AG245" s="216">
        <f>AG$243*'BTX recycling rates'!AI87</f>
        <v>2998.8689922770304</v>
      </c>
      <c r="AH245" s="230"/>
      <c r="AI245" s="126"/>
      <c r="AJ245" s="198"/>
      <c r="AL245" s="102"/>
      <c r="AM245" s="2"/>
      <c r="AN245" s="2"/>
      <c r="AO245" s="2"/>
      <c r="BC245" s="1"/>
      <c r="BD245" s="2"/>
      <c r="BE245" s="2"/>
      <c r="BF245" s="2"/>
      <c r="BG245" s="2"/>
      <c r="BH245" s="2"/>
      <c r="BI245" s="2"/>
      <c r="BJ245" s="2"/>
      <c r="BK245" s="2"/>
    </row>
    <row r="246" spans="1:63" outlineLevel="1">
      <c r="A246" s="4" t="s">
        <v>160</v>
      </c>
      <c r="C246" s="216">
        <f>C$243*'BTX recycling rates'!E88</f>
        <v>41.653174585303418</v>
      </c>
      <c r="D246" s="216">
        <f>D$243*'BTX recycling rates'!F88</f>
        <v>62.872854698891118</v>
      </c>
      <c r="E246" s="216">
        <f>E$243*'BTX recycling rates'!G88</f>
        <v>85.197330462342208</v>
      </c>
      <c r="F246" s="216">
        <f>F$243*'BTX recycling rates'!H88</f>
        <v>108.41898006858378</v>
      </c>
      <c r="G246" s="216">
        <f>G$243*'BTX recycling rates'!I88</f>
        <v>132.33018171054292</v>
      </c>
      <c r="H246" s="216">
        <f>H$243*'BTX recycling rates'!J88</f>
        <v>156.72331358114673</v>
      </c>
      <c r="I246" s="216">
        <f>I$243*'BTX recycling rates'!K88</f>
        <v>181.39075387332235</v>
      </c>
      <c r="J246" s="216">
        <f>J$243*'BTX recycling rates'!L88</f>
        <v>206.12488077999677</v>
      </c>
      <c r="K246" s="216">
        <f>K$243*'BTX recycling rates'!M88</f>
        <v>230.71807249409719</v>
      </c>
      <c r="L246" s="216">
        <f>L$243*'BTX recycling rates'!N88</f>
        <v>254.96270720855063</v>
      </c>
      <c r="M246" s="216">
        <f>M$243*'BTX recycling rates'!O88</f>
        <v>278.65116311628412</v>
      </c>
      <c r="N246" s="216">
        <f>N$243*'BTX recycling rates'!P88</f>
        <v>326.89603783077013</v>
      </c>
      <c r="O246" s="216">
        <f>O$243*'BTX recycling rates'!Q88</f>
        <v>374.02818352171602</v>
      </c>
      <c r="P246" s="216">
        <f>P$243*'BTX recycling rates'!R88</f>
        <v>419.60999730344497</v>
      </c>
      <c r="Q246" s="216">
        <f>Q$243*'BTX recycling rates'!S88</f>
        <v>463.20387629028022</v>
      </c>
      <c r="R246" s="216">
        <f>R$243*'BTX recycling rates'!T88</f>
        <v>504.37221759654523</v>
      </c>
      <c r="S246" s="216">
        <f>S$243*'BTX recycling rates'!U88</f>
        <v>542.67741833656282</v>
      </c>
      <c r="T246" s="216">
        <f>T$243*'BTX recycling rates'!V88</f>
        <v>577.68187562465687</v>
      </c>
      <c r="U246" s="216">
        <f>U$243*'BTX recycling rates'!W88</f>
        <v>608.94798657515025</v>
      </c>
      <c r="V246" s="216">
        <f>V$243*'BTX recycling rates'!X88</f>
        <v>636.03814830236615</v>
      </c>
      <c r="W246" s="216">
        <f>W$243*'BTX recycling rates'!Y88</f>
        <v>658.5147579206282</v>
      </c>
      <c r="X246" s="216">
        <f>X$243*'BTX recycling rates'!Z88</f>
        <v>703.04957287930995</v>
      </c>
      <c r="Y246" s="216">
        <f>Y$243*'BTX recycling rates'!AA88</f>
        <v>739.95071114892119</v>
      </c>
      <c r="Z246" s="216">
        <f>Z$243*'BTX recycling rates'!AB88</f>
        <v>768.48598239809678</v>
      </c>
      <c r="AA246" s="216">
        <f>AA$243*'BTX recycling rates'!AC88</f>
        <v>787.92319629547228</v>
      </c>
      <c r="AB246" s="216">
        <f>AB$243*'BTX recycling rates'!AD88</f>
        <v>797.5301625096829</v>
      </c>
      <c r="AC246" s="216">
        <f>AC$243*'BTX recycling rates'!AE88</f>
        <v>796.57469070936418</v>
      </c>
      <c r="AD246" s="216">
        <f>AD$243*'BTX recycling rates'!AF88</f>
        <v>784.32459056315156</v>
      </c>
      <c r="AE246" s="216">
        <f>AE$243*'BTX recycling rates'!AG88</f>
        <v>760.04767173968037</v>
      </c>
      <c r="AF246" s="216">
        <f>AF$243*'BTX recycling rates'!AH88</f>
        <v>723.01174390758604</v>
      </c>
      <c r="AG246" s="216">
        <f>AG$243*'BTX recycling rates'!AI88</f>
        <v>672.48461673550605</v>
      </c>
      <c r="AH246" s="230"/>
      <c r="AI246" s="126"/>
      <c r="AJ246" s="198"/>
      <c r="AL246" s="102"/>
      <c r="AM246" s="2"/>
      <c r="AN246" s="2"/>
      <c r="AO246" s="2"/>
      <c r="BC246" s="1"/>
      <c r="BD246" s="2"/>
      <c r="BE246" s="2"/>
      <c r="BF246" s="2"/>
      <c r="BG246" s="2"/>
      <c r="BH246" s="2"/>
      <c r="BI246" s="2"/>
      <c r="BJ246" s="2"/>
      <c r="BK246" s="2"/>
    </row>
    <row r="247" spans="1:63" outlineLevel="1">
      <c r="A247" s="4" t="s">
        <v>1159</v>
      </c>
      <c r="C247" s="216">
        <f>C$243*'BTX recycling rates'!E89</f>
        <v>3.0783688542413037</v>
      </c>
      <c r="D247" s="216">
        <f>D$243*'BTX recycling rates'!F89</f>
        <v>4.6521214333831233</v>
      </c>
      <c r="E247" s="216">
        <f>E$243*'BTX recycling rates'!G89</f>
        <v>6.3118774715725001</v>
      </c>
      <c r="F247" s="216">
        <f>F$243*'BTX recycling rates'!H89</f>
        <v>8.0429355051100409</v>
      </c>
      <c r="G247" s="216">
        <f>G$243*'BTX recycling rates'!I89</f>
        <v>9.8305940702963586</v>
      </c>
      <c r="H247" s="216">
        <f>H$243*'BTX recycling rates'!J89</f>
        <v>11.660151703432058</v>
      </c>
      <c r="I247" s="216">
        <f>I$243*'BTX recycling rates'!K89</f>
        <v>13.516906940817755</v>
      </c>
      <c r="J247" s="216">
        <f>J$243*'BTX recycling rates'!L89</f>
        <v>15.386158318754049</v>
      </c>
      <c r="K247" s="216">
        <f>K$243*'BTX recycling rates'!M89</f>
        <v>17.253204373541557</v>
      </c>
      <c r="L247" s="216">
        <f>L$243*'BTX recycling rates'!N89</f>
        <v>19.10334364148089</v>
      </c>
      <c r="M247" s="216">
        <f>M$243*'BTX recycling rates'!O89</f>
        <v>20.921874658872643</v>
      </c>
      <c r="N247" s="216">
        <f>N$243*'BTX recycling rates'!P89</f>
        <v>24.599485765279287</v>
      </c>
      <c r="O247" s="216">
        <f>O$243*'BTX recycling rates'!Q89</f>
        <v>28.214691286253647</v>
      </c>
      <c r="P247" s="216">
        <f>P$243*'BTX recycling rates'!R89</f>
        <v>31.736505059844685</v>
      </c>
      <c r="Q247" s="216">
        <f>Q$243*'BTX recycling rates'!S89</f>
        <v>35.133940924101374</v>
      </c>
      <c r="R247" s="216">
        <f>R$243*'BTX recycling rates'!T89</f>
        <v>38.376012717072705</v>
      </c>
      <c r="S247" s="216">
        <f>S$243*'BTX recycling rates'!U89</f>
        <v>41.431734276807632</v>
      </c>
      <c r="T247" s="216">
        <f>T$243*'BTX recycling rates'!V89</f>
        <v>44.270119441355163</v>
      </c>
      <c r="U247" s="216">
        <f>U$243*'BTX recycling rates'!W89</f>
        <v>46.860182048764251</v>
      </c>
      <c r="V247" s="216">
        <f>V$243*'BTX recycling rates'!X89</f>
        <v>49.170935937083883</v>
      </c>
      <c r="W247" s="216">
        <f>W$243*'BTX recycling rates'!Y89</f>
        <v>51.171394944363037</v>
      </c>
      <c r="X247" s="216">
        <f>X$243*'BTX recycling rates'!Z89</f>
        <v>54.949403851252718</v>
      </c>
      <c r="Y247" s="216">
        <f>Y$243*'BTX recycling rates'!AA89</f>
        <v>58.214296751429671</v>
      </c>
      <c r="Z247" s="216">
        <f>Z$243*'BTX recycling rates'!AB89</f>
        <v>60.914228081417832</v>
      </c>
      <c r="AA247" s="216">
        <f>AA$243*'BTX recycling rates'!AC89</f>
        <v>62.997352277741221</v>
      </c>
      <c r="AB247" s="216">
        <f>AB$243*'BTX recycling rates'!AD89</f>
        <v>64.411823776923811</v>
      </c>
      <c r="AC247" s="216">
        <f>AC$243*'BTX recycling rates'!AE89</f>
        <v>65.1057970154896</v>
      </c>
      <c r="AD247" s="216">
        <f>AD$243*'BTX recycling rates'!AF89</f>
        <v>65.027426429962588</v>
      </c>
      <c r="AE247" s="216">
        <f>AE$243*'BTX recycling rates'!AG89</f>
        <v>64.124866456866769</v>
      </c>
      <c r="AF247" s="216">
        <f>AF$243*'BTX recycling rates'!AH89</f>
        <v>62.346271532726128</v>
      </c>
      <c r="AG247" s="216">
        <f>AG$243*'BTX recycling rates'!AI89</f>
        <v>59.639796094064792</v>
      </c>
      <c r="AH247" s="230"/>
      <c r="AI247" s="126"/>
      <c r="AJ247" s="198"/>
      <c r="AL247" s="102"/>
      <c r="AM247" s="2"/>
      <c r="AN247" s="2"/>
      <c r="AO247" s="2"/>
      <c r="BC247" s="1"/>
      <c r="BD247" s="2"/>
      <c r="BE247" s="2"/>
      <c r="BF247" s="2"/>
      <c r="BG247" s="2"/>
      <c r="BH247" s="2"/>
      <c r="BI247" s="2"/>
      <c r="BJ247" s="2"/>
      <c r="BK247" s="2"/>
    </row>
    <row r="248" spans="1:63" s="1" customFormat="1" outlineLevel="1">
      <c r="A248" s="1" t="s">
        <v>1160</v>
      </c>
      <c r="B248" s="61"/>
      <c r="C248" s="279">
        <f t="shared" ref="C248:AG248" si="120">C243-$C243</f>
        <v>0</v>
      </c>
      <c r="D248" s="279">
        <f t="shared" si="120"/>
        <v>54.931405053485364</v>
      </c>
      <c r="E248" s="279">
        <f t="shared" si="120"/>
        <v>115.85968001959803</v>
      </c>
      <c r="F248" s="279">
        <f t="shared" si="120"/>
        <v>182.784824898338</v>
      </c>
      <c r="G248" s="279">
        <f t="shared" si="120"/>
        <v>255.70683968970525</v>
      </c>
      <c r="H248" s="279">
        <f t="shared" si="120"/>
        <v>334.62572439369978</v>
      </c>
      <c r="I248" s="279">
        <f t="shared" si="120"/>
        <v>419.54147901032172</v>
      </c>
      <c r="J248" s="279">
        <f t="shared" si="120"/>
        <v>510.45410353957084</v>
      </c>
      <c r="K248" s="279">
        <f t="shared" si="120"/>
        <v>607.36359798144736</v>
      </c>
      <c r="L248" s="279">
        <f t="shared" si="120"/>
        <v>710.26996233595116</v>
      </c>
      <c r="M248" s="279">
        <f t="shared" si="120"/>
        <v>819.17319660308203</v>
      </c>
      <c r="N248" s="279">
        <f t="shared" si="120"/>
        <v>1020.8496561349308</v>
      </c>
      <c r="O248" s="279">
        <f t="shared" si="120"/>
        <v>1235.1656722518558</v>
      </c>
      <c r="P248" s="279">
        <f t="shared" si="120"/>
        <v>1462.1212449538568</v>
      </c>
      <c r="Q248" s="279">
        <f t="shared" si="120"/>
        <v>1701.7163742409334</v>
      </c>
      <c r="R248" s="279">
        <f t="shared" si="120"/>
        <v>1953.9510601130867</v>
      </c>
      <c r="S248" s="279">
        <f t="shared" si="120"/>
        <v>2218.8253025703152</v>
      </c>
      <c r="T248" s="279">
        <f t="shared" si="120"/>
        <v>2496.3391016126202</v>
      </c>
      <c r="U248" s="279">
        <f t="shared" si="120"/>
        <v>2786.4924572400014</v>
      </c>
      <c r="V248" s="279">
        <f t="shared" si="120"/>
        <v>3089.2853694524579</v>
      </c>
      <c r="W248" s="279">
        <f t="shared" si="120"/>
        <v>3404.717838249991</v>
      </c>
      <c r="X248" s="279">
        <f t="shared" si="120"/>
        <v>3886.4872268268759</v>
      </c>
      <c r="Y248" s="279">
        <f t="shared" si="120"/>
        <v>4389.4049245837105</v>
      </c>
      <c r="Z248" s="279">
        <f t="shared" si="120"/>
        <v>4913.4709315204909</v>
      </c>
      <c r="AA248" s="279">
        <f t="shared" si="120"/>
        <v>5458.6852476372187</v>
      </c>
      <c r="AB248" s="279">
        <f t="shared" si="120"/>
        <v>6025.0478729338929</v>
      </c>
      <c r="AC248" s="279">
        <f t="shared" si="120"/>
        <v>6612.5588074105144</v>
      </c>
      <c r="AD248" s="279">
        <f t="shared" si="120"/>
        <v>7221.2180510670833</v>
      </c>
      <c r="AE248" s="279">
        <f t="shared" si="120"/>
        <v>7851.0256039036003</v>
      </c>
      <c r="AF248" s="279">
        <f t="shared" si="120"/>
        <v>8501.9814659200656</v>
      </c>
      <c r="AG248" s="279">
        <f t="shared" si="120"/>
        <v>9174.0856371164718</v>
      </c>
      <c r="AH248" s="230"/>
      <c r="AI248" s="398"/>
      <c r="AJ248" s="399"/>
      <c r="AL248" s="207"/>
      <c r="AM248" s="118"/>
      <c r="AN248" s="118"/>
      <c r="AO248" s="118"/>
      <c r="BD248" s="118"/>
      <c r="BE248" s="118"/>
      <c r="BF248" s="118"/>
      <c r="BG248" s="118"/>
      <c r="BH248" s="118"/>
      <c r="BI248" s="118"/>
      <c r="BJ248" s="118"/>
      <c r="BK248" s="118"/>
    </row>
    <row r="249" spans="1:63" outlineLevel="1">
      <c r="A249" s="4" t="s">
        <v>35</v>
      </c>
      <c r="C249" s="216">
        <f t="shared" ref="C249:AG249" si="121">C244-$C244</f>
        <v>0</v>
      </c>
      <c r="D249" s="216">
        <f t="shared" si="121"/>
        <v>3.0761416826530614</v>
      </c>
      <c r="E249" s="216">
        <f t="shared" si="121"/>
        <v>8.5799667890997711</v>
      </c>
      <c r="F249" s="216">
        <f t="shared" si="121"/>
        <v>16.869892696730904</v>
      </c>
      <c r="G249" s="216">
        <f t="shared" si="121"/>
        <v>28.304336782937238</v>
      </c>
      <c r="H249" s="216">
        <f t="shared" si="121"/>
        <v>43.241716425109544</v>
      </c>
      <c r="I249" s="216">
        <f t="shared" si="121"/>
        <v>62.040449000638624</v>
      </c>
      <c r="J249" s="216">
        <f t="shared" si="121"/>
        <v>85.058951886915224</v>
      </c>
      <c r="K249" s="216">
        <f t="shared" si="121"/>
        <v>112.65564246133013</v>
      </c>
      <c r="L249" s="216">
        <f t="shared" si="121"/>
        <v>145.18893810127412</v>
      </c>
      <c r="M249" s="216">
        <f t="shared" si="121"/>
        <v>183.01725618413795</v>
      </c>
      <c r="N249" s="216">
        <f t="shared" si="121"/>
        <v>245.51580649945049</v>
      </c>
      <c r="O249" s="216">
        <f t="shared" si="121"/>
        <v>319.07187732036931</v>
      </c>
      <c r="P249" s="216">
        <f t="shared" si="121"/>
        <v>404.44090219616419</v>
      </c>
      <c r="Q249" s="216">
        <f t="shared" si="121"/>
        <v>502.37831467610471</v>
      </c>
      <c r="R249" s="216">
        <f t="shared" si="121"/>
        <v>613.63954830946102</v>
      </c>
      <c r="S249" s="216">
        <f t="shared" si="121"/>
        <v>738.98003664550242</v>
      </c>
      <c r="T249" s="216">
        <f t="shared" si="121"/>
        <v>879.15521323349913</v>
      </c>
      <c r="U249" s="216">
        <f t="shared" si="121"/>
        <v>1034.9205116227211</v>
      </c>
      <c r="V249" s="216">
        <f t="shared" si="121"/>
        <v>1207.0313653624373</v>
      </c>
      <c r="W249" s="216">
        <f t="shared" si="121"/>
        <v>1396.2432080019184</v>
      </c>
      <c r="X249" s="216">
        <f t="shared" si="121"/>
        <v>1667.6141253763908</v>
      </c>
      <c r="Y249" s="216">
        <f t="shared" si="121"/>
        <v>1967.4502989183093</v>
      </c>
      <c r="Z249" s="216">
        <f t="shared" si="121"/>
        <v>2297.0157082742153</v>
      </c>
      <c r="AA249" s="216">
        <f t="shared" si="121"/>
        <v>2657.5743330906521</v>
      </c>
      <c r="AB249" s="216">
        <f t="shared" si="121"/>
        <v>3050.3901530141625</v>
      </c>
      <c r="AC249" s="216">
        <f t="shared" si="121"/>
        <v>3476.7271476912892</v>
      </c>
      <c r="AD249" s="216">
        <f t="shared" si="121"/>
        <v>3937.8492967685756</v>
      </c>
      <c r="AE249" s="216">
        <f t="shared" si="121"/>
        <v>4435.0205798925645</v>
      </c>
      <c r="AF249" s="216">
        <f t="shared" si="121"/>
        <v>4969.5049767097989</v>
      </c>
      <c r="AG249" s="216">
        <f t="shared" si="121"/>
        <v>5542.5664668668205</v>
      </c>
      <c r="AH249" s="230"/>
      <c r="AI249" s="126"/>
      <c r="AJ249" s="198"/>
      <c r="AL249" s="102"/>
      <c r="AM249" s="2"/>
      <c r="AN249" s="2"/>
      <c r="AO249" s="2"/>
      <c r="BC249" s="1"/>
      <c r="BD249" s="2"/>
      <c r="BE249" s="2"/>
      <c r="BF249" s="2"/>
      <c r="BG249" s="2"/>
      <c r="BH249" s="2"/>
      <c r="BI249" s="2"/>
      <c r="BJ249" s="2"/>
      <c r="BK249" s="2"/>
    </row>
    <row r="250" spans="1:63" outlineLevel="1">
      <c r="A250" s="4" t="s">
        <v>74</v>
      </c>
      <c r="C250" s="216">
        <f t="shared" ref="C250:AG252" si="122">C245-$C245</f>
        <v>0</v>
      </c>
      <c r="D250" s="216">
        <f t="shared" si="122"/>
        <v>29.061830678102787</v>
      </c>
      <c r="E250" s="216">
        <f t="shared" si="122"/>
        <v>60.50204873612828</v>
      </c>
      <c r="F250" s="216">
        <f t="shared" si="122"/>
        <v>94.184560067457994</v>
      </c>
      <c r="G250" s="216">
        <f t="shared" si="122"/>
        <v>129.97327056547348</v>
      </c>
      <c r="H250" s="216">
        <f t="shared" si="122"/>
        <v>167.73208612355623</v>
      </c>
      <c r="I250" s="216">
        <f t="shared" si="122"/>
        <v>207.32491263508783</v>
      </c>
      <c r="J250" s="216">
        <f t="shared" si="122"/>
        <v>248.61565599344962</v>
      </c>
      <c r="K250" s="216">
        <f t="shared" si="122"/>
        <v>291.46822209202338</v>
      </c>
      <c r="L250" s="216">
        <f t="shared" si="122"/>
        <v>335.74651682419039</v>
      </c>
      <c r="M250" s="216">
        <f t="shared" si="122"/>
        <v>381.31444608333214</v>
      </c>
      <c r="N250" s="216">
        <f t="shared" si="122"/>
        <v>468.56986947897582</v>
      </c>
      <c r="O250" s="216">
        <f t="shared" si="122"/>
        <v>558.58246356306176</v>
      </c>
      <c r="P250" s="216">
        <f t="shared" si="122"/>
        <v>651.06538383394786</v>
      </c>
      <c r="Q250" s="216">
        <f t="shared" si="122"/>
        <v>745.73178578999205</v>
      </c>
      <c r="R250" s="216">
        <f t="shared" si="122"/>
        <v>842.29482492955265</v>
      </c>
      <c r="S250" s="216">
        <f t="shared" si="122"/>
        <v>940.46765675098686</v>
      </c>
      <c r="T250" s="216">
        <f t="shared" si="122"/>
        <v>1039.9634367526535</v>
      </c>
      <c r="U250" s="216">
        <f t="shared" si="122"/>
        <v>1140.4953204329104</v>
      </c>
      <c r="V250" s="216">
        <f t="shared" si="122"/>
        <v>1241.7764632901149</v>
      </c>
      <c r="W250" s="216">
        <f t="shared" si="122"/>
        <v>1343.5200208226258</v>
      </c>
      <c r="X250" s="216">
        <f t="shared" si="122"/>
        <v>1505.6056681594666</v>
      </c>
      <c r="Y250" s="216">
        <f t="shared" si="122"/>
        <v>1668.5211612045944</v>
      </c>
      <c r="Z250" s="216">
        <f t="shared" si="122"/>
        <v>1831.7865562063048</v>
      </c>
      <c r="AA250" s="216">
        <f t="shared" si="122"/>
        <v>1994.9219094128966</v>
      </c>
      <c r="AB250" s="216">
        <f t="shared" si="122"/>
        <v>2157.447277072667</v>
      </c>
      <c r="AC250" s="216">
        <f t="shared" si="122"/>
        <v>2318.8827154339142</v>
      </c>
      <c r="AD250" s="216">
        <f t="shared" si="122"/>
        <v>2478.7482807449364</v>
      </c>
      <c r="AE250" s="216">
        <f t="shared" si="122"/>
        <v>2636.5640292540315</v>
      </c>
      <c r="AF250" s="216">
        <f t="shared" si="122"/>
        <v>2791.8500172094973</v>
      </c>
      <c r="AG250" s="216">
        <f t="shared" si="122"/>
        <v>2944.1263008596261</v>
      </c>
      <c r="AH250" s="230"/>
      <c r="AI250" s="126"/>
      <c r="AJ250" s="198"/>
      <c r="AL250" s="102"/>
      <c r="AM250" s="2"/>
      <c r="AN250" s="2"/>
      <c r="AO250" s="2"/>
      <c r="BC250" s="1"/>
      <c r="BD250" s="2"/>
      <c r="BE250" s="2"/>
      <c r="BF250" s="2"/>
      <c r="BG250" s="2"/>
      <c r="BH250" s="2"/>
      <c r="BI250" s="2"/>
      <c r="BJ250" s="2"/>
      <c r="BK250" s="2"/>
    </row>
    <row r="251" spans="1:63" outlineLevel="1">
      <c r="A251" s="4" t="s">
        <v>160</v>
      </c>
      <c r="C251" s="216">
        <f t="shared" si="122"/>
        <v>0</v>
      </c>
      <c r="D251" s="216">
        <f t="shared" si="122"/>
        <v>21.2196801135877</v>
      </c>
      <c r="E251" s="216">
        <f t="shared" si="122"/>
        <v>43.54415587703879</v>
      </c>
      <c r="F251" s="216">
        <f t="shared" si="122"/>
        <v>66.76580548328036</v>
      </c>
      <c r="G251" s="216">
        <f t="shared" si="122"/>
        <v>90.677007125239498</v>
      </c>
      <c r="H251" s="216">
        <f t="shared" si="122"/>
        <v>115.07013899584331</v>
      </c>
      <c r="I251" s="216">
        <f t="shared" si="122"/>
        <v>139.73757928801894</v>
      </c>
      <c r="J251" s="216">
        <f t="shared" si="122"/>
        <v>164.47170619469335</v>
      </c>
      <c r="K251" s="216">
        <f t="shared" si="122"/>
        <v>189.06489790879377</v>
      </c>
      <c r="L251" s="216">
        <f t="shared" si="122"/>
        <v>213.30953262324721</v>
      </c>
      <c r="M251" s="216">
        <f t="shared" si="122"/>
        <v>236.99798853098071</v>
      </c>
      <c r="N251" s="216">
        <f t="shared" si="122"/>
        <v>285.24286324546671</v>
      </c>
      <c r="O251" s="216">
        <f t="shared" si="122"/>
        <v>332.3750089364126</v>
      </c>
      <c r="P251" s="216">
        <f t="shared" si="122"/>
        <v>377.95682271814155</v>
      </c>
      <c r="Q251" s="216">
        <f t="shared" si="122"/>
        <v>421.5507017049768</v>
      </c>
      <c r="R251" s="216">
        <f t="shared" si="122"/>
        <v>462.71904301124181</v>
      </c>
      <c r="S251" s="216">
        <f t="shared" si="122"/>
        <v>501.02424375125941</v>
      </c>
      <c r="T251" s="216">
        <f t="shared" si="122"/>
        <v>536.02870103935345</v>
      </c>
      <c r="U251" s="216">
        <f t="shared" si="122"/>
        <v>567.29481198984683</v>
      </c>
      <c r="V251" s="216">
        <f t="shared" si="122"/>
        <v>594.38497371706273</v>
      </c>
      <c r="W251" s="216">
        <f t="shared" si="122"/>
        <v>616.86158333532478</v>
      </c>
      <c r="X251" s="216">
        <f t="shared" si="122"/>
        <v>661.39639829400653</v>
      </c>
      <c r="Y251" s="216">
        <f t="shared" si="122"/>
        <v>698.29753656361777</v>
      </c>
      <c r="Z251" s="216">
        <f t="shared" si="122"/>
        <v>726.83280781279336</v>
      </c>
      <c r="AA251" s="216">
        <f t="shared" si="122"/>
        <v>746.27002171016886</v>
      </c>
      <c r="AB251" s="216">
        <f t="shared" si="122"/>
        <v>755.87698792437948</v>
      </c>
      <c r="AC251" s="216">
        <f t="shared" si="122"/>
        <v>754.92151612406076</v>
      </c>
      <c r="AD251" s="216">
        <f t="shared" si="122"/>
        <v>742.67141597784814</v>
      </c>
      <c r="AE251" s="216">
        <f t="shared" si="122"/>
        <v>718.39449715437695</v>
      </c>
      <c r="AF251" s="216">
        <f t="shared" si="122"/>
        <v>681.35856932228262</v>
      </c>
      <c r="AG251" s="216">
        <f t="shared" si="122"/>
        <v>630.83144215020263</v>
      </c>
      <c r="AH251" s="230"/>
      <c r="AI251" s="126"/>
      <c r="AJ251" s="198"/>
      <c r="AL251" s="102"/>
      <c r="AM251" s="2"/>
      <c r="AN251" s="2"/>
      <c r="AO251" s="2"/>
      <c r="BC251" s="1"/>
      <c r="BD251" s="2"/>
      <c r="BE251" s="2"/>
      <c r="BF251" s="2"/>
      <c r="BG251" s="2"/>
      <c r="BH251" s="2"/>
      <c r="BI251" s="2"/>
      <c r="BJ251" s="2"/>
      <c r="BK251" s="2"/>
    </row>
    <row r="252" spans="1:63" outlineLevel="1">
      <c r="A252" s="4" t="s">
        <v>1159</v>
      </c>
      <c r="C252" s="216">
        <f t="shared" si="122"/>
        <v>0</v>
      </c>
      <c r="D252" s="216">
        <f t="shared" si="122"/>
        <v>1.5737525791418197</v>
      </c>
      <c r="E252" s="216">
        <f t="shared" si="122"/>
        <v>3.2335086173311964</v>
      </c>
      <c r="F252" s="216">
        <f t="shared" si="122"/>
        <v>4.9645666508687372</v>
      </c>
      <c r="G252" s="216">
        <f t="shared" si="122"/>
        <v>6.7522252160550549</v>
      </c>
      <c r="H252" s="216">
        <f t="shared" si="122"/>
        <v>8.5817828491907555</v>
      </c>
      <c r="I252" s="216">
        <f t="shared" si="122"/>
        <v>10.43853808657645</v>
      </c>
      <c r="J252" s="216">
        <f t="shared" si="122"/>
        <v>12.307789464512744</v>
      </c>
      <c r="K252" s="216">
        <f t="shared" si="122"/>
        <v>14.174835519300252</v>
      </c>
      <c r="L252" s="216">
        <f t="shared" si="122"/>
        <v>16.024974787239586</v>
      </c>
      <c r="M252" s="216">
        <f t="shared" si="122"/>
        <v>17.843505804631338</v>
      </c>
      <c r="N252" s="216">
        <f t="shared" si="122"/>
        <v>21.521116911037982</v>
      </c>
      <c r="O252" s="216">
        <f t="shared" si="122"/>
        <v>25.136322432012342</v>
      </c>
      <c r="P252" s="216">
        <f t="shared" si="122"/>
        <v>28.65813620560338</v>
      </c>
      <c r="Q252" s="216">
        <f t="shared" si="122"/>
        <v>32.055572069860069</v>
      </c>
      <c r="R252" s="216">
        <f t="shared" si="122"/>
        <v>35.2976438628314</v>
      </c>
      <c r="S252" s="216">
        <f t="shared" si="122"/>
        <v>38.353365422566327</v>
      </c>
      <c r="T252" s="216">
        <f t="shared" si="122"/>
        <v>41.191750587113859</v>
      </c>
      <c r="U252" s="216">
        <f t="shared" si="122"/>
        <v>43.781813194522947</v>
      </c>
      <c r="V252" s="216">
        <f t="shared" si="122"/>
        <v>46.092567082842578</v>
      </c>
      <c r="W252" s="216">
        <f t="shared" si="122"/>
        <v>48.093026090121732</v>
      </c>
      <c r="X252" s="216">
        <f t="shared" si="122"/>
        <v>51.871034997011414</v>
      </c>
      <c r="Y252" s="216">
        <f t="shared" si="122"/>
        <v>55.135927897188367</v>
      </c>
      <c r="Z252" s="216">
        <f t="shared" si="122"/>
        <v>57.835859227176527</v>
      </c>
      <c r="AA252" s="216">
        <f t="shared" si="122"/>
        <v>59.918983423499917</v>
      </c>
      <c r="AB252" s="216">
        <f t="shared" si="122"/>
        <v>61.333454922682506</v>
      </c>
      <c r="AC252" s="216">
        <f t="shared" si="122"/>
        <v>62.027428161248295</v>
      </c>
      <c r="AD252" s="216">
        <f t="shared" si="122"/>
        <v>61.949057575721284</v>
      </c>
      <c r="AE252" s="216">
        <f t="shared" si="122"/>
        <v>61.046497602625465</v>
      </c>
      <c r="AF252" s="216">
        <f t="shared" si="122"/>
        <v>59.267902678484823</v>
      </c>
      <c r="AG252" s="216">
        <f t="shared" si="122"/>
        <v>56.561427239823487</v>
      </c>
      <c r="AH252" s="230"/>
      <c r="AI252" s="126"/>
      <c r="AJ252" s="198"/>
      <c r="AL252" s="102"/>
      <c r="AM252" s="2"/>
      <c r="AN252" s="2"/>
      <c r="AO252" s="2"/>
      <c r="BC252" s="1"/>
      <c r="BD252" s="2"/>
      <c r="BE252" s="2"/>
      <c r="BF252" s="2"/>
      <c r="BG252" s="2"/>
      <c r="BH252" s="2"/>
      <c r="BI252" s="2"/>
      <c r="BJ252" s="2"/>
      <c r="BK252" s="2"/>
    </row>
    <row r="253" spans="1:63" outlineLevel="1">
      <c r="AJ253" s="198"/>
    </row>
    <row r="254" spans="1:63" s="187" customFormat="1" ht="15.5" thickBot="1">
      <c r="A254" s="187" t="s">
        <v>463</v>
      </c>
      <c r="B254" s="202"/>
      <c r="C254" s="210">
        <f>C255</f>
        <v>0.05</v>
      </c>
      <c r="D254" s="210">
        <f t="shared" ref="D254:AG254" si="123">D255</f>
        <v>5.2260994000770548E-2</v>
      </c>
      <c r="E254" s="210">
        <f t="shared" si="123"/>
        <v>5.4521988001541094E-2</v>
      </c>
      <c r="F254" s="210">
        <f t="shared" si="123"/>
        <v>5.6782982002311633E-2</v>
      </c>
      <c r="G254" s="210">
        <f t="shared" si="123"/>
        <v>5.9043976003082178E-2</v>
      </c>
      <c r="H254" s="210">
        <f t="shared" si="123"/>
        <v>6.1304970003852724E-2</v>
      </c>
      <c r="I254" s="210">
        <f t="shared" si="123"/>
        <v>6.3565964004623277E-2</v>
      </c>
      <c r="J254" s="210">
        <f t="shared" si="123"/>
        <v>6.5826958005393815E-2</v>
      </c>
      <c r="K254" s="210">
        <f t="shared" si="123"/>
        <v>6.8087952006164354E-2</v>
      </c>
      <c r="L254" s="210">
        <f t="shared" si="123"/>
        <v>7.0348946006934907E-2</v>
      </c>
      <c r="M254" s="210">
        <f t="shared" si="123"/>
        <v>7.2609940007705445E-2</v>
      </c>
      <c r="N254" s="210">
        <f t="shared" si="123"/>
        <v>7.7375419670867973E-2</v>
      </c>
      <c r="O254" s="210">
        <f t="shared" si="123"/>
        <v>8.2140899334030501E-2</v>
      </c>
      <c r="P254" s="210">
        <f t="shared" si="123"/>
        <v>8.6906378997193029E-2</v>
      </c>
      <c r="Q254" s="210">
        <f t="shared" si="123"/>
        <v>9.1671858660355557E-2</v>
      </c>
      <c r="R254" s="210">
        <f t="shared" si="123"/>
        <v>9.6437338323518085E-2</v>
      </c>
      <c r="S254" s="210">
        <f t="shared" si="123"/>
        <v>0.10120281798668061</v>
      </c>
      <c r="T254" s="210">
        <f t="shared" si="123"/>
        <v>0.10596829764984314</v>
      </c>
      <c r="U254" s="210">
        <f t="shared" si="123"/>
        <v>0.11073377731300567</v>
      </c>
      <c r="V254" s="210">
        <f t="shared" si="123"/>
        <v>0.1154992569761682</v>
      </c>
      <c r="W254" s="210">
        <f t="shared" si="123"/>
        <v>0.12026473663933072</v>
      </c>
      <c r="X254" s="210">
        <f t="shared" si="123"/>
        <v>0.12823826297539764</v>
      </c>
      <c r="Y254" s="210">
        <f t="shared" si="123"/>
        <v>0.13621178931146458</v>
      </c>
      <c r="Z254" s="210">
        <f t="shared" si="123"/>
        <v>0.14418531564753151</v>
      </c>
      <c r="AA254" s="210">
        <f t="shared" si="123"/>
        <v>0.15215884198359844</v>
      </c>
      <c r="AB254" s="210">
        <f t="shared" si="123"/>
        <v>0.16013236831966537</v>
      </c>
      <c r="AC254" s="210">
        <f t="shared" si="123"/>
        <v>0.16810589465573231</v>
      </c>
      <c r="AD254" s="210">
        <f t="shared" si="123"/>
        <v>0.17607942099179924</v>
      </c>
      <c r="AE254" s="210">
        <f t="shared" si="123"/>
        <v>0.18405294732786615</v>
      </c>
      <c r="AF254" s="210">
        <f t="shared" si="123"/>
        <v>0.19202647366393311</v>
      </c>
      <c r="AG254" s="210">
        <f t="shared" si="123"/>
        <v>0.2</v>
      </c>
      <c r="AJ254" s="217" t="s">
        <v>472</v>
      </c>
      <c r="AL254" s="204"/>
      <c r="AM254" s="211"/>
      <c r="AN254" s="211"/>
      <c r="AO254" s="211"/>
    </row>
    <row r="255" spans="1:63" ht="15.5" outlineLevel="2" thickTop="1">
      <c r="A255" t="s">
        <v>464</v>
      </c>
      <c r="B255" s="51" t="s">
        <v>126</v>
      </c>
      <c r="C255" s="107">
        <v>0.05</v>
      </c>
      <c r="D255" s="104">
        <f>$C255+($M255-$C255)/10*(D$1-$C$1)</f>
        <v>5.2260994000770548E-2</v>
      </c>
      <c r="E255" s="104">
        <f t="shared" ref="E255:L255" si="124">$C255+($M255-$C255)/10*(E$1-$C$1)</f>
        <v>5.4521988001541094E-2</v>
      </c>
      <c r="F255" s="104">
        <f t="shared" si="124"/>
        <v>5.6782982002311633E-2</v>
      </c>
      <c r="G255" s="104">
        <f t="shared" si="124"/>
        <v>5.9043976003082178E-2</v>
      </c>
      <c r="H255" s="104">
        <f t="shared" si="124"/>
        <v>6.1304970003852724E-2</v>
      </c>
      <c r="I255" s="104">
        <f t="shared" si="124"/>
        <v>6.3565964004623277E-2</v>
      </c>
      <c r="J255" s="104">
        <f t="shared" si="124"/>
        <v>6.5826958005393815E-2</v>
      </c>
      <c r="K255" s="104">
        <f t="shared" si="124"/>
        <v>6.8087952006164354E-2</v>
      </c>
      <c r="L255" s="104">
        <f t="shared" si="124"/>
        <v>7.0348946006934907E-2</v>
      </c>
      <c r="M255" s="115">
        <f>(M$49-$C$49)/($AG$49-$C$49)*($AG255-$C255)+$C255</f>
        <v>7.2609940007705445E-2</v>
      </c>
      <c r="N255" s="115">
        <f>$M255+($W255-$M255)/10*(N$1-$M$1)</f>
        <v>7.7375419670867973E-2</v>
      </c>
      <c r="O255" s="115">
        <f t="shared" ref="O255:U255" si="125">$M255+($W255-$M255)/10*(O$1-$M$1)</f>
        <v>8.2140899334030501E-2</v>
      </c>
      <c r="P255" s="115">
        <f t="shared" si="125"/>
        <v>8.6906378997193029E-2</v>
      </c>
      <c r="Q255" s="115">
        <f t="shared" si="125"/>
        <v>9.1671858660355557E-2</v>
      </c>
      <c r="R255" s="115">
        <f t="shared" si="125"/>
        <v>9.6437338323518085E-2</v>
      </c>
      <c r="S255" s="115">
        <f t="shared" si="125"/>
        <v>0.10120281798668061</v>
      </c>
      <c r="T255" s="115">
        <f t="shared" si="125"/>
        <v>0.10596829764984314</v>
      </c>
      <c r="U255" s="115">
        <f t="shared" si="125"/>
        <v>0.11073377731300567</v>
      </c>
      <c r="V255" s="115">
        <f>$M255+($W255-$M255)/10*(V$1-$M$1)</f>
        <v>0.1154992569761682</v>
      </c>
      <c r="W255" s="115">
        <f>(W$49-$C$49)/($AG$49-$C$49)*($AG255-$C255)+$C255</f>
        <v>0.12026473663933072</v>
      </c>
      <c r="X255" s="22">
        <f t="shared" ref="X255:AF255" si="126">$W255+($AG255-$W255)/10*(X$1-$W$1)</f>
        <v>0.12823826297539764</v>
      </c>
      <c r="Y255" s="22">
        <f t="shared" si="126"/>
        <v>0.13621178931146458</v>
      </c>
      <c r="Z255" s="22">
        <f t="shared" si="126"/>
        <v>0.14418531564753151</v>
      </c>
      <c r="AA255" s="22">
        <f t="shared" si="126"/>
        <v>0.15215884198359844</v>
      </c>
      <c r="AB255" s="22">
        <f t="shared" si="126"/>
        <v>0.16013236831966537</v>
      </c>
      <c r="AC255" s="22">
        <f t="shared" si="126"/>
        <v>0.16810589465573231</v>
      </c>
      <c r="AD255" s="22">
        <f t="shared" si="126"/>
        <v>0.17607942099179924</v>
      </c>
      <c r="AE255" s="22">
        <f t="shared" si="126"/>
        <v>0.18405294732786615</v>
      </c>
      <c r="AF255" s="22">
        <f t="shared" si="126"/>
        <v>0.19202647366393311</v>
      </c>
      <c r="AG255" s="201">
        <v>0.2</v>
      </c>
      <c r="AJ255" s="198" t="s">
        <v>465</v>
      </c>
    </row>
    <row r="256" spans="1:63" outlineLevel="2">
      <c r="C256" s="107"/>
      <c r="D256" s="104"/>
      <c r="E256" s="104"/>
      <c r="F256" s="104"/>
      <c r="G256" s="104"/>
      <c r="H256" s="104"/>
      <c r="I256" s="104"/>
      <c r="J256" s="104"/>
      <c r="K256" s="104"/>
      <c r="L256" s="104"/>
      <c r="M256" s="115"/>
      <c r="N256" s="115"/>
      <c r="O256" s="115"/>
      <c r="P256" s="115"/>
      <c r="Q256" s="115"/>
      <c r="R256" s="115"/>
      <c r="S256" s="115"/>
      <c r="T256" s="115"/>
      <c r="U256" s="115"/>
      <c r="V256" s="115"/>
      <c r="W256" s="115"/>
      <c r="X256" s="22"/>
      <c r="Y256" s="22"/>
      <c r="Z256" s="22"/>
      <c r="AA256" s="22"/>
      <c r="AB256" s="22"/>
      <c r="AC256" s="22"/>
      <c r="AD256" s="22"/>
      <c r="AE256" s="22"/>
      <c r="AF256" s="22"/>
      <c r="AG256" s="100"/>
      <c r="AJ256" s="198"/>
    </row>
    <row r="257" spans="1:63" outlineLevel="1">
      <c r="A257" t="s">
        <v>1370</v>
      </c>
      <c r="C257" s="477">
        <f>('Overall recycling rates'!F88*'Yearly BTX'!D5+'Overall recycling rates'!G88*'Yearly BTX'!D6+'Overall recycling rates'!H88*'Yearly BTX'!D7)/'Yearly BTX'!D4</f>
        <v>1.0000000000000002</v>
      </c>
      <c r="D257" s="477">
        <f>C257-($C257-$AG257)/($AG$1-$C$1)</f>
        <v>1.0000000000000002</v>
      </c>
      <c r="E257" s="477">
        <f t="shared" ref="E257:AF257" si="127">D257-($C257-$AG257)/($AG$1-$C$1)</f>
        <v>1.0000000000000002</v>
      </c>
      <c r="F257" s="477">
        <f t="shared" si="127"/>
        <v>1.0000000000000002</v>
      </c>
      <c r="G257" s="477">
        <f t="shared" si="127"/>
        <v>1.0000000000000002</v>
      </c>
      <c r="H257" s="477">
        <f t="shared" si="127"/>
        <v>1.0000000000000002</v>
      </c>
      <c r="I257" s="477">
        <f t="shared" si="127"/>
        <v>1.0000000000000002</v>
      </c>
      <c r="J257" s="477">
        <f t="shared" si="127"/>
        <v>1.0000000000000002</v>
      </c>
      <c r="K257" s="477">
        <f t="shared" si="127"/>
        <v>1.0000000000000002</v>
      </c>
      <c r="L257" s="477">
        <f t="shared" si="127"/>
        <v>1.0000000000000002</v>
      </c>
      <c r="M257" s="477">
        <f t="shared" si="127"/>
        <v>1.0000000000000002</v>
      </c>
      <c r="N257" s="477">
        <f t="shared" si="127"/>
        <v>1.0000000000000002</v>
      </c>
      <c r="O257" s="477">
        <f t="shared" si="127"/>
        <v>1.0000000000000002</v>
      </c>
      <c r="P257" s="477">
        <f t="shared" si="127"/>
        <v>1.0000000000000002</v>
      </c>
      <c r="Q257" s="477">
        <f t="shared" si="127"/>
        <v>1.0000000000000002</v>
      </c>
      <c r="R257" s="477">
        <f t="shared" si="127"/>
        <v>1.0000000000000002</v>
      </c>
      <c r="S257" s="477">
        <f t="shared" si="127"/>
        <v>1.0000000000000002</v>
      </c>
      <c r="T257" s="477">
        <f t="shared" si="127"/>
        <v>1.0000000000000002</v>
      </c>
      <c r="U257" s="477">
        <f t="shared" si="127"/>
        <v>1.0000000000000002</v>
      </c>
      <c r="V257" s="477">
        <f t="shared" si="127"/>
        <v>1.0000000000000002</v>
      </c>
      <c r="W257" s="477">
        <f t="shared" si="127"/>
        <v>1.0000000000000002</v>
      </c>
      <c r="X257" s="477">
        <f t="shared" si="127"/>
        <v>1.0000000000000002</v>
      </c>
      <c r="Y257" s="477">
        <f t="shared" si="127"/>
        <v>1.0000000000000002</v>
      </c>
      <c r="Z257" s="477">
        <f t="shared" si="127"/>
        <v>1.0000000000000002</v>
      </c>
      <c r="AA257" s="477">
        <f t="shared" si="127"/>
        <v>1.0000000000000002</v>
      </c>
      <c r="AB257" s="477">
        <f t="shared" si="127"/>
        <v>1.0000000000000002</v>
      </c>
      <c r="AC257" s="477">
        <f t="shared" si="127"/>
        <v>1.0000000000000002</v>
      </c>
      <c r="AD257" s="477">
        <f t="shared" si="127"/>
        <v>1.0000000000000002</v>
      </c>
      <c r="AE257" s="477">
        <f t="shared" si="127"/>
        <v>1.0000000000000002</v>
      </c>
      <c r="AF257" s="477">
        <f t="shared" si="127"/>
        <v>1.0000000000000002</v>
      </c>
      <c r="AG257" s="477">
        <f>'Overall recycling rates'!F97</f>
        <v>1</v>
      </c>
      <c r="AI257" s="126"/>
      <c r="AJ257" s="198" t="s">
        <v>1088</v>
      </c>
      <c r="AL257" s="102"/>
      <c r="AM257" s="194"/>
      <c r="AN257" s="194"/>
      <c r="AO257" s="194"/>
      <c r="BC257" s="1"/>
      <c r="BD257" s="194"/>
      <c r="BE257" s="194"/>
      <c r="BF257" s="194"/>
      <c r="BG257" s="194"/>
      <c r="BH257" s="194"/>
      <c r="BI257" s="194"/>
      <c r="BJ257" s="194"/>
      <c r="BK257" s="194"/>
    </row>
    <row r="258" spans="1:63" outlineLevel="1">
      <c r="A258" t="s">
        <v>1386</v>
      </c>
      <c r="B258" s="51" t="s">
        <v>126</v>
      </c>
      <c r="C258" s="104">
        <f>C255*C257</f>
        <v>5.0000000000000017E-2</v>
      </c>
      <c r="D258" s="104">
        <f t="shared" ref="D258:AG258" si="128">D255*D257</f>
        <v>5.2260994000770562E-2</v>
      </c>
      <c r="E258" s="104">
        <f t="shared" si="128"/>
        <v>5.4521988001541108E-2</v>
      </c>
      <c r="F258" s="104">
        <f t="shared" si="128"/>
        <v>5.6782982002311647E-2</v>
      </c>
      <c r="G258" s="104">
        <f t="shared" si="128"/>
        <v>5.9043976003082192E-2</v>
      </c>
      <c r="H258" s="104">
        <f t="shared" si="128"/>
        <v>6.1304970003852738E-2</v>
      </c>
      <c r="I258" s="104">
        <f t="shared" si="128"/>
        <v>6.356596400462329E-2</v>
      </c>
      <c r="J258" s="104">
        <f t="shared" si="128"/>
        <v>6.5826958005393829E-2</v>
      </c>
      <c r="K258" s="104">
        <f t="shared" si="128"/>
        <v>6.8087952006164368E-2</v>
      </c>
      <c r="L258" s="104">
        <f t="shared" si="128"/>
        <v>7.034894600693492E-2</v>
      </c>
      <c r="M258" s="104">
        <f t="shared" si="128"/>
        <v>7.2609940007705459E-2</v>
      </c>
      <c r="N258" s="104">
        <f t="shared" si="128"/>
        <v>7.7375419670867987E-2</v>
      </c>
      <c r="O258" s="104">
        <f t="shared" si="128"/>
        <v>8.2140899334030515E-2</v>
      </c>
      <c r="P258" s="104">
        <f t="shared" si="128"/>
        <v>8.6906378997193043E-2</v>
      </c>
      <c r="Q258" s="104">
        <f t="shared" si="128"/>
        <v>9.1671858660355571E-2</v>
      </c>
      <c r="R258" s="104">
        <f t="shared" si="128"/>
        <v>9.6437338323518113E-2</v>
      </c>
      <c r="S258" s="104">
        <f t="shared" si="128"/>
        <v>0.10120281798668064</v>
      </c>
      <c r="T258" s="104">
        <f t="shared" si="128"/>
        <v>0.10596829764984317</v>
      </c>
      <c r="U258" s="104">
        <f t="shared" si="128"/>
        <v>0.1107337773130057</v>
      </c>
      <c r="V258" s="104">
        <f t="shared" si="128"/>
        <v>0.11549925697616822</v>
      </c>
      <c r="W258" s="104">
        <f t="shared" si="128"/>
        <v>0.12026473663933075</v>
      </c>
      <c r="X258" s="104">
        <f t="shared" si="128"/>
        <v>0.12823826297539767</v>
      </c>
      <c r="Y258" s="104">
        <f t="shared" si="128"/>
        <v>0.1362117893114646</v>
      </c>
      <c r="Z258" s="104">
        <f t="shared" si="128"/>
        <v>0.14418531564753154</v>
      </c>
      <c r="AA258" s="104">
        <f t="shared" si="128"/>
        <v>0.15215884198359847</v>
      </c>
      <c r="AB258" s="104">
        <f t="shared" si="128"/>
        <v>0.1601323683196654</v>
      </c>
      <c r="AC258" s="104">
        <f t="shared" si="128"/>
        <v>0.16810589465573234</v>
      </c>
      <c r="AD258" s="104">
        <f t="shared" si="128"/>
        <v>0.17607942099179927</v>
      </c>
      <c r="AE258" s="104">
        <f t="shared" si="128"/>
        <v>0.18405294732786617</v>
      </c>
      <c r="AF258" s="104">
        <f t="shared" si="128"/>
        <v>0.19202647366393316</v>
      </c>
      <c r="AG258" s="104">
        <f t="shared" si="128"/>
        <v>0.2</v>
      </c>
      <c r="AJ258" s="198" t="s">
        <v>462</v>
      </c>
    </row>
    <row r="259" spans="1:63" outlineLevel="1">
      <c r="C259" s="104"/>
      <c r="D259" s="104"/>
      <c r="E259" s="104"/>
      <c r="F259" s="104"/>
      <c r="G259" s="104"/>
      <c r="H259" s="104"/>
      <c r="I259" s="104"/>
      <c r="J259" s="104"/>
      <c r="K259" s="104"/>
      <c r="L259" s="104"/>
      <c r="M259" s="104"/>
      <c r="N259" s="104"/>
      <c r="O259" s="104"/>
      <c r="P259" s="104"/>
      <c r="Q259" s="104"/>
      <c r="R259" s="104"/>
      <c r="S259" s="104"/>
      <c r="T259" s="104"/>
      <c r="U259" s="104"/>
      <c r="V259" s="104"/>
      <c r="W259" s="104"/>
      <c r="X259" s="104"/>
      <c r="Y259" s="104"/>
      <c r="Z259" s="104"/>
      <c r="AA259" s="104"/>
      <c r="AB259" s="104"/>
      <c r="AC259" s="104"/>
      <c r="AD259" s="104"/>
      <c r="AE259" s="104"/>
      <c r="AF259" s="104"/>
      <c r="AG259" s="104"/>
      <c r="AJ259" s="198"/>
    </row>
    <row r="260" spans="1:63" s="1" customFormat="1" outlineLevel="1">
      <c r="A260" s="1" t="s">
        <v>261</v>
      </c>
      <c r="B260" s="61"/>
      <c r="C260" s="279">
        <f>'BTX Recycling HC'!C260</f>
        <v>13850.887402402142</v>
      </c>
      <c r="D260" s="279">
        <f>'BTX Recycling HC'!D260</f>
        <v>14477.222868845734</v>
      </c>
      <c r="E260" s="279">
        <f>'BTX Recycling HC'!E260</f>
        <v>15103.558335289325</v>
      </c>
      <c r="F260" s="279">
        <f>'BTX Recycling HC'!F260</f>
        <v>15729.893801732915</v>
      </c>
      <c r="G260" s="279">
        <f>'BTX Recycling HC'!G260</f>
        <v>16356.229268176505</v>
      </c>
      <c r="H260" s="279">
        <f>'BTX Recycling HC'!H260</f>
        <v>16982.564734620097</v>
      </c>
      <c r="I260" s="279">
        <f>'BTX Recycling HC'!I260</f>
        <v>17492.681459736668</v>
      </c>
      <c r="J260" s="279">
        <f>'BTX Recycling HC'!J260</f>
        <v>17994.530556696183</v>
      </c>
      <c r="K260" s="279">
        <f>'BTX Recycling HC'!K260</f>
        <v>18488.112025498638</v>
      </c>
      <c r="L260" s="279">
        <f>'BTX Recycling HC'!L260</f>
        <v>18973.425866144051</v>
      </c>
      <c r="M260" s="279">
        <f>'BTX Recycling HC'!M260</f>
        <v>19450.472078632396</v>
      </c>
      <c r="N260" s="279">
        <f>'BTX Recycling HC'!N260</f>
        <v>20585.563676840837</v>
      </c>
      <c r="O260" s="279">
        <f>'BTX Recycling HC'!O260</f>
        <v>21703.22965877979</v>
      </c>
      <c r="P260" s="279">
        <f>'BTX Recycling HC'!P260</f>
        <v>22803.470024449256</v>
      </c>
      <c r="Q260" s="279">
        <f>'BTX Recycling HC'!Q260</f>
        <v>23886.284773849238</v>
      </c>
      <c r="R260" s="279">
        <f>'BTX Recycling HC'!R260</f>
        <v>24951.673906979737</v>
      </c>
      <c r="S260" s="279">
        <f>'BTX Recycling HC'!S260</f>
        <v>25999.637423840744</v>
      </c>
      <c r="T260" s="279">
        <f>'BTX Recycling HC'!T260</f>
        <v>27030.175324432275</v>
      </c>
      <c r="U260" s="279">
        <f>'BTX Recycling HC'!U260</f>
        <v>28043.287608754312</v>
      </c>
      <c r="V260" s="279">
        <f>'BTX Recycling HC'!V260</f>
        <v>29038.974276806865</v>
      </c>
      <c r="W260" s="279">
        <f>'BTX Recycling HC'!W260</f>
        <v>30017.235328589926</v>
      </c>
      <c r="X260" s="279">
        <f>'BTX Recycling HC'!X260</f>
        <v>31772.911401724617</v>
      </c>
      <c r="Y260" s="279">
        <f>'BTX Recycling HC'!Y260</f>
        <v>33499.431205172339</v>
      </c>
      <c r="Z260" s="279">
        <f>'BTX Recycling HC'!Z260</f>
        <v>35196.794738933088</v>
      </c>
      <c r="AA260" s="279">
        <f>'BTX Recycling HC'!AA260</f>
        <v>36865.002003006863</v>
      </c>
      <c r="AB260" s="279">
        <f>'BTX Recycling HC'!AB260</f>
        <v>38504.052997393679</v>
      </c>
      <c r="AC260" s="279">
        <f>'BTX Recycling HC'!AC260</f>
        <v>40104.634058819298</v>
      </c>
      <c r="AD260" s="279">
        <f>'BTX Recycling HC'!AD260</f>
        <v>41675.175327234087</v>
      </c>
      <c r="AE260" s="279">
        <f>'BTX Recycling HC'!AE260</f>
        <v>43215.67680263806</v>
      </c>
      <c r="AF260" s="279">
        <f>'BTX Recycling HC'!AF260</f>
        <v>44726.138485031224</v>
      </c>
      <c r="AG260" s="279">
        <f>'BTX Recycling HC'!AG260</f>
        <v>46206.560374413537</v>
      </c>
      <c r="AH260" s="230"/>
      <c r="AI260" s="398"/>
      <c r="AJ260" s="399"/>
      <c r="AL260" s="207"/>
      <c r="AM260" s="118"/>
      <c r="AN260" s="118"/>
      <c r="AO260" s="118"/>
      <c r="BD260" s="118"/>
      <c r="BE260" s="118"/>
      <c r="BF260" s="118"/>
      <c r="BG260" s="118"/>
      <c r="BH260" s="118"/>
      <c r="BI260" s="118"/>
      <c r="BJ260" s="118"/>
      <c r="BK260" s="118"/>
    </row>
    <row r="261" spans="1:63" outlineLevel="1">
      <c r="A261" s="4" t="s">
        <v>35</v>
      </c>
      <c r="C261" s="216">
        <f>C$260*'BTX recycling rates'!E90</f>
        <v>0</v>
      </c>
      <c r="D261" s="216">
        <f>D$260*'BTX recycling rates'!F90</f>
        <v>0</v>
      </c>
      <c r="E261" s="216">
        <f>E$260*'BTX recycling rates'!G90</f>
        <v>0</v>
      </c>
      <c r="F261" s="216">
        <f>F$260*'BTX recycling rates'!H90</f>
        <v>0</v>
      </c>
      <c r="G261" s="216">
        <f>G$260*'BTX recycling rates'!I90</f>
        <v>0</v>
      </c>
      <c r="H261" s="216">
        <f>H$260*'BTX recycling rates'!J90</f>
        <v>0</v>
      </c>
      <c r="I261" s="216">
        <f>I$260*'BTX recycling rates'!K90</f>
        <v>0</v>
      </c>
      <c r="J261" s="216">
        <f>J$260*'BTX recycling rates'!L90</f>
        <v>0</v>
      </c>
      <c r="K261" s="216">
        <f>K$260*'BTX recycling rates'!M90</f>
        <v>0</v>
      </c>
      <c r="L261" s="216">
        <f>L$260*'BTX recycling rates'!N90</f>
        <v>0</v>
      </c>
      <c r="M261" s="216">
        <f>M$260*'BTX recycling rates'!O90</f>
        <v>0</v>
      </c>
      <c r="N261" s="216">
        <f>N$260*'BTX recycling rates'!P90</f>
        <v>0</v>
      </c>
      <c r="O261" s="216">
        <f>O$260*'BTX recycling rates'!Q90</f>
        <v>0</v>
      </c>
      <c r="P261" s="216">
        <f>P$260*'BTX recycling rates'!R90</f>
        <v>0</v>
      </c>
      <c r="Q261" s="216">
        <f>Q$260*'BTX recycling rates'!S90</f>
        <v>0</v>
      </c>
      <c r="R261" s="216">
        <f>R$260*'BTX recycling rates'!T90</f>
        <v>0</v>
      </c>
      <c r="S261" s="216">
        <f>S$260*'BTX recycling rates'!U90</f>
        <v>0</v>
      </c>
      <c r="T261" s="216">
        <f>T$260*'BTX recycling rates'!V90</f>
        <v>0</v>
      </c>
      <c r="U261" s="216">
        <f>U$260*'BTX recycling rates'!W90</f>
        <v>0</v>
      </c>
      <c r="V261" s="216">
        <f>V$260*'BTX recycling rates'!X90</f>
        <v>0</v>
      </c>
      <c r="W261" s="216">
        <f>W$260*'BTX recycling rates'!Y90</f>
        <v>0</v>
      </c>
      <c r="X261" s="216">
        <f>X$260*'BTX recycling rates'!Z90</f>
        <v>0</v>
      </c>
      <c r="Y261" s="216">
        <f>Y$260*'BTX recycling rates'!AA90</f>
        <v>0</v>
      </c>
      <c r="Z261" s="216">
        <f>Z$260*'BTX recycling rates'!AB90</f>
        <v>0</v>
      </c>
      <c r="AA261" s="216">
        <f>AA$260*'BTX recycling rates'!AC90</f>
        <v>0</v>
      </c>
      <c r="AB261" s="216">
        <f>AB$260*'BTX recycling rates'!AD90</f>
        <v>0</v>
      </c>
      <c r="AC261" s="216">
        <f>AC$260*'BTX recycling rates'!AE90</f>
        <v>0</v>
      </c>
      <c r="AD261" s="216">
        <f>AD$260*'BTX recycling rates'!AF90</f>
        <v>0</v>
      </c>
      <c r="AE261" s="216">
        <f>AE$260*'BTX recycling rates'!AG90</f>
        <v>0</v>
      </c>
      <c r="AF261" s="216">
        <f>AF$260*'BTX recycling rates'!AH90</f>
        <v>0</v>
      </c>
      <c r="AG261" s="216">
        <f>AG$260*'BTX recycling rates'!AI90</f>
        <v>0</v>
      </c>
      <c r="AH261" s="230"/>
      <c r="AI261" s="126"/>
      <c r="AJ261" s="198"/>
      <c r="AL261" s="102"/>
      <c r="AM261" s="2"/>
      <c r="AN261" s="2"/>
      <c r="AO261" s="2"/>
      <c r="BC261" s="1"/>
      <c r="BD261" s="2"/>
      <c r="BE261" s="2"/>
      <c r="BF261" s="2"/>
      <c r="BG261" s="2"/>
      <c r="BH261" s="2"/>
      <c r="BI261" s="2"/>
      <c r="BJ261" s="2"/>
      <c r="BK261" s="2"/>
    </row>
    <row r="262" spans="1:63" outlineLevel="1">
      <c r="A262" s="4" t="s">
        <v>74</v>
      </c>
      <c r="C262" s="216">
        <f>C$260*'BTX recycling rates'!E91</f>
        <v>4038.6814683861944</v>
      </c>
      <c r="D262" s="216">
        <f>D$260*'BTX recycling rates'!F91</f>
        <v>4221.3101598070816</v>
      </c>
      <c r="E262" s="216">
        <f>E$260*'BTX recycling rates'!G91</f>
        <v>4403.9388512279693</v>
      </c>
      <c r="F262" s="216">
        <f>F$260*'BTX recycling rates'!H91</f>
        <v>4586.567542648856</v>
      </c>
      <c r="G262" s="216">
        <f>G$260*'BTX recycling rates'!I91</f>
        <v>4769.1962340697428</v>
      </c>
      <c r="H262" s="216">
        <f>H$260*'BTX recycling rates'!J91</f>
        <v>4951.8249254906304</v>
      </c>
      <c r="I262" s="216">
        <f>I$260*'BTX recycling rates'!K91</f>
        <v>5100.5662230399021</v>
      </c>
      <c r="J262" s="216">
        <f>J$260*'BTX recycling rates'!L91</f>
        <v>5246.8968218624168</v>
      </c>
      <c r="K262" s="216">
        <f>K$260*'BTX recycling rates'!M91</f>
        <v>5390.8167219581755</v>
      </c>
      <c r="L262" s="216">
        <f>L$260*'BTX recycling rates'!N91</f>
        <v>5532.325923327182</v>
      </c>
      <c r="M262" s="216">
        <f>M$260*'BTX recycling rates'!O91</f>
        <v>5671.4244259694287</v>
      </c>
      <c r="N262" s="216">
        <f>N$260*'BTX recycling rates'!P91</f>
        <v>6002.3976892283772</v>
      </c>
      <c r="O262" s="216">
        <f>O$260*'BTX recycling rates'!Q91</f>
        <v>6328.2899413247787</v>
      </c>
      <c r="P262" s="216">
        <f>P$260*'BTX recycling rates'!R91</f>
        <v>6649.1011822586333</v>
      </c>
      <c r="Q262" s="216">
        <f>Q$260*'BTX recycling rates'!S91</f>
        <v>6964.8314120299419</v>
      </c>
      <c r="R262" s="216">
        <f>R$260*'BTX recycling rates'!T91</f>
        <v>7275.4806306387045</v>
      </c>
      <c r="S262" s="216">
        <f>S$260*'BTX recycling rates'!U91</f>
        <v>7581.0488380849183</v>
      </c>
      <c r="T262" s="216">
        <f>T$260*'BTX recycling rates'!V91</f>
        <v>7881.5360343685888</v>
      </c>
      <c r="U262" s="216">
        <f>U$260*'BTX recycling rates'!W91</f>
        <v>8176.9422194897097</v>
      </c>
      <c r="V262" s="216">
        <f>V$260*'BTX recycling rates'!X91</f>
        <v>8467.2673934482846</v>
      </c>
      <c r="W262" s="216">
        <f>W$260*'BTX recycling rates'!Y91</f>
        <v>8752.5115562443134</v>
      </c>
      <c r="X262" s="216">
        <f>X$260*'BTX recycling rates'!Z91</f>
        <v>9264.4366203256504</v>
      </c>
      <c r="Y262" s="216">
        <f>Y$260*'BTX recycling rates'!AA91</f>
        <v>9767.8602156814832</v>
      </c>
      <c r="Z262" s="216">
        <f>Z$260*'BTX recycling rates'!AB91</f>
        <v>10262.782342311808</v>
      </c>
      <c r="AA262" s="216">
        <f>AA$260*'BTX recycling rates'!AC91</f>
        <v>10749.203000216625</v>
      </c>
      <c r="AB262" s="216">
        <f>AB$260*'BTX recycling rates'!AD91</f>
        <v>11227.122189395939</v>
      </c>
      <c r="AC262" s="216">
        <f>AC$260*'BTX recycling rates'!AE91</f>
        <v>11693.824205203855</v>
      </c>
      <c r="AD262" s="216">
        <f>AD$260*'BTX recycling rates'!AF91</f>
        <v>12151.767132021851</v>
      </c>
      <c r="AE262" s="216">
        <f>AE$260*'BTX recycling rates'!AG91</f>
        <v>12600.950969849931</v>
      </c>
      <c r="AF262" s="216">
        <f>AF$260*'BTX recycling rates'!AH91</f>
        <v>13041.375718688099</v>
      </c>
      <c r="AG262" s="216">
        <f>AG$260*'BTX recycling rates'!AI91</f>
        <v>13473.041378536345</v>
      </c>
      <c r="AH262" s="230"/>
      <c r="AI262" s="126"/>
      <c r="AJ262" s="198"/>
      <c r="AL262" s="102"/>
      <c r="AM262" s="2"/>
      <c r="AN262" s="2"/>
      <c r="AO262" s="2"/>
      <c r="BC262" s="1"/>
      <c r="BD262" s="2"/>
      <c r="BE262" s="2"/>
      <c r="BF262" s="2"/>
      <c r="BG262" s="2"/>
      <c r="BH262" s="2"/>
      <c r="BI262" s="2"/>
      <c r="BJ262" s="2"/>
      <c r="BK262" s="2"/>
    </row>
    <row r="263" spans="1:63" outlineLevel="1">
      <c r="A263" s="4" t="s">
        <v>160</v>
      </c>
      <c r="C263" s="216">
        <f>C$260*'BTX recycling rates'!E92</f>
        <v>7616.8201101752456</v>
      </c>
      <c r="D263" s="216">
        <f>D$260*'BTX recycling rates'!F92</f>
        <v>7961.251801656339</v>
      </c>
      <c r="E263" s="216">
        <f>E$260*'BTX recycling rates'!G92</f>
        <v>8305.6834931374324</v>
      </c>
      <c r="F263" s="216">
        <f>F$260*'BTX recycling rates'!H92</f>
        <v>8650.1151846185257</v>
      </c>
      <c r="G263" s="216">
        <f>G$260*'BTX recycling rates'!I92</f>
        <v>8994.5468760996173</v>
      </c>
      <c r="H263" s="216">
        <f>H$260*'BTX recycling rates'!J92</f>
        <v>9338.9785675807125</v>
      </c>
      <c r="I263" s="216">
        <f>I$260*'BTX recycling rates'!K92</f>
        <v>9619.4997513519975</v>
      </c>
      <c r="J263" s="216">
        <f>J$260*'BTX recycling rates'!L92</f>
        <v>9895.4744367957319</v>
      </c>
      <c r="K263" s="216">
        <f>K$260*'BTX recycling rates'!M92</f>
        <v>10166.902623911914</v>
      </c>
      <c r="L263" s="216">
        <f>L$260*'BTX recycling rates'!N92</f>
        <v>10433.784312700553</v>
      </c>
      <c r="M263" s="216">
        <f>M$260*'BTX recycling rates'!O92</f>
        <v>10696.119503161633</v>
      </c>
      <c r="N263" s="216">
        <f>N$260*'BTX recycling rates'!P92</f>
        <v>11320.324166801134</v>
      </c>
      <c r="O263" s="216">
        <f>O$260*'BTX recycling rates'!Q92</f>
        <v>11934.946210888718</v>
      </c>
      <c r="P263" s="216">
        <f>P$260*'BTX recycling rates'!R92</f>
        <v>12539.985635424389</v>
      </c>
      <c r="Q263" s="216">
        <f>Q$260*'BTX recycling rates'!S92</f>
        <v>13135.442440408146</v>
      </c>
      <c r="R263" s="216">
        <f>R$260*'BTX recycling rates'!T92</f>
        <v>13721.316625839991</v>
      </c>
      <c r="S263" s="216">
        <f>S$260*'BTX recycling rates'!U92</f>
        <v>14297.608191719919</v>
      </c>
      <c r="T263" s="216">
        <f>T$260*'BTX recycling rates'!V92</f>
        <v>14864.317138047938</v>
      </c>
      <c r="U263" s="216">
        <f>U$260*'BTX recycling rates'!W92</f>
        <v>15421.443464824039</v>
      </c>
      <c r="V263" s="216">
        <f>V$260*'BTX recycling rates'!X92</f>
        <v>15968.987172048226</v>
      </c>
      <c r="W263" s="216">
        <f>W$260*'BTX recycling rates'!Y92</f>
        <v>16506.948259720495</v>
      </c>
      <c r="X263" s="216">
        <f>X$260*'BTX recycling rates'!Z92</f>
        <v>17472.422054452712</v>
      </c>
      <c r="Y263" s="216">
        <f>Y$260*'BTX recycling rates'!AA92</f>
        <v>18421.862359428098</v>
      </c>
      <c r="Z263" s="216">
        <f>Z$260*'BTX recycling rates'!AB92</f>
        <v>19355.269174646652</v>
      </c>
      <c r="AA263" s="216">
        <f>AA$260*'BTX recycling rates'!AC92</f>
        <v>20272.642500108377</v>
      </c>
      <c r="AB263" s="216">
        <f>AB$260*'BTX recycling rates'!AD92</f>
        <v>21173.982335813278</v>
      </c>
      <c r="AC263" s="216">
        <f>AC$260*'BTX recycling rates'!AE92</f>
        <v>22054.166952325137</v>
      </c>
      <c r="AD263" s="216">
        <f>AD$260*'BTX recycling rates'!AF92</f>
        <v>22917.832215754199</v>
      </c>
      <c r="AE263" s="216">
        <f>AE$260*'BTX recycling rates'!AG92</f>
        <v>23764.978126100468</v>
      </c>
      <c r="AF263" s="216">
        <f>AF$260*'BTX recycling rates'!AH92</f>
        <v>24595.604683363945</v>
      </c>
      <c r="AG263" s="216">
        <f>AG$260*'BTX recycling rates'!AI92</f>
        <v>25409.711887544618</v>
      </c>
      <c r="AH263" s="230"/>
      <c r="AI263" s="126"/>
      <c r="AJ263" s="198"/>
      <c r="AL263" s="102"/>
      <c r="AM263" s="2"/>
      <c r="AN263" s="2"/>
      <c r="AO263" s="2"/>
      <c r="BC263" s="1"/>
      <c r="BD263" s="2"/>
      <c r="BE263" s="2"/>
      <c r="BF263" s="2"/>
      <c r="BG263" s="2"/>
      <c r="BH263" s="2"/>
      <c r="BI263" s="2"/>
      <c r="BJ263" s="2"/>
      <c r="BK263" s="2"/>
    </row>
    <row r="264" spans="1:63" outlineLevel="1">
      <c r="A264" s="4" t="s">
        <v>1159</v>
      </c>
      <c r="C264" s="216">
        <f>C$260*'BTX recycling rates'!E93</f>
        <v>2195.3858238407011</v>
      </c>
      <c r="D264" s="216">
        <f>D$260*'BTX recycling rates'!F93</f>
        <v>2294.660907382312</v>
      </c>
      <c r="E264" s="216">
        <f>E$260*'BTX recycling rates'!G93</f>
        <v>2393.9359909239224</v>
      </c>
      <c r="F264" s="216">
        <f>F$260*'BTX recycling rates'!H93</f>
        <v>2493.2110744655324</v>
      </c>
      <c r="G264" s="216">
        <f>G$260*'BTX recycling rates'!I93</f>
        <v>2592.4861580071429</v>
      </c>
      <c r="H264" s="216">
        <f>H$260*'BTX recycling rates'!J93</f>
        <v>2691.7612415487533</v>
      </c>
      <c r="I264" s="216">
        <f>I$260*'BTX recycling rates'!K93</f>
        <v>2772.6154853447679</v>
      </c>
      <c r="J264" s="216">
        <f>J$260*'BTX recycling rates'!L93</f>
        <v>2852.1592980380324</v>
      </c>
      <c r="K264" s="216">
        <f>K$260*'BTX recycling rates'!M93</f>
        <v>2930.3926796285473</v>
      </c>
      <c r="L264" s="216">
        <f>L$260*'BTX recycling rates'!N93</f>
        <v>3007.3156301163149</v>
      </c>
      <c r="M264" s="216">
        <f>M$260*'BTX recycling rates'!O93</f>
        <v>3082.9281495013315</v>
      </c>
      <c r="N264" s="216">
        <f>N$260*'BTX recycling rates'!P93</f>
        <v>3262.8418208113239</v>
      </c>
      <c r="O264" s="216">
        <f>O$260*'BTX recycling rates'!Q93</f>
        <v>3439.9935065662908</v>
      </c>
      <c r="P264" s="216">
        <f>P$260*'BTX recycling rates'!R93</f>
        <v>3614.3832067662324</v>
      </c>
      <c r="Q264" s="216">
        <f>Q$260*'BTX recycling rates'!S93</f>
        <v>3786.0109214111485</v>
      </c>
      <c r="R264" s="216">
        <f>R$260*'BTX recycling rates'!T93</f>
        <v>3954.8766505010403</v>
      </c>
      <c r="S264" s="216">
        <f>S$260*'BTX recycling rates'!U93</f>
        <v>4120.9803940359052</v>
      </c>
      <c r="T264" s="216">
        <f>T$260*'BTX recycling rates'!V93</f>
        <v>4284.3221520157467</v>
      </c>
      <c r="U264" s="216">
        <f>U$260*'BTX recycling rates'!W93</f>
        <v>4444.9019244405617</v>
      </c>
      <c r="V264" s="216">
        <f>V$260*'BTX recycling rates'!X93</f>
        <v>4602.7197113103512</v>
      </c>
      <c r="W264" s="216">
        <f>W$260*'BTX recycling rates'!Y93</f>
        <v>4757.775512625115</v>
      </c>
      <c r="X264" s="216">
        <f>X$260*'BTX recycling rates'!Z93</f>
        <v>5036.0527269462527</v>
      </c>
      <c r="Y264" s="216">
        <f>Y$260*'BTX recycling rates'!AA93</f>
        <v>5309.7086300627561</v>
      </c>
      <c r="Z264" s="216">
        <f>Z$260*'BTX recycling rates'!AB93</f>
        <v>5578.7432219746252</v>
      </c>
      <c r="AA264" s="216">
        <f>AA$260*'BTX recycling rates'!AC93</f>
        <v>5843.1565026818589</v>
      </c>
      <c r="AB264" s="216">
        <f>AB$260*'BTX recycling rates'!AD93</f>
        <v>6102.9484721844601</v>
      </c>
      <c r="AC264" s="216">
        <f>AC$260*'BTX recycling rates'!AE93</f>
        <v>6356.6429012903018</v>
      </c>
      <c r="AD264" s="216">
        <f>AD$260*'BTX recycling rates'!AF93</f>
        <v>6605.5759794580335</v>
      </c>
      <c r="AE264" s="216">
        <f>AE$260*'BTX recycling rates'!AG93</f>
        <v>6849.7477066876572</v>
      </c>
      <c r="AF264" s="216">
        <f>AF$260*'BTX recycling rates'!AH93</f>
        <v>7089.1580829791747</v>
      </c>
      <c r="AG264" s="216">
        <f>AG$260*'BTX recycling rates'!AI93</f>
        <v>7323.8071083325785</v>
      </c>
      <c r="AH264" s="230"/>
      <c r="AI264" s="126"/>
      <c r="AJ264" s="198"/>
      <c r="AL264" s="102"/>
      <c r="AM264" s="2"/>
      <c r="AN264" s="2"/>
      <c r="AO264" s="2"/>
      <c r="BC264" s="1"/>
      <c r="BD264" s="2"/>
      <c r="BE264" s="2"/>
      <c r="BF264" s="2"/>
      <c r="BG264" s="2"/>
      <c r="BH264" s="2"/>
      <c r="BI264" s="2"/>
      <c r="BJ264" s="2"/>
      <c r="BK264" s="2"/>
    </row>
    <row r="265" spans="1:63" s="1" customFormat="1" outlineLevel="1">
      <c r="A265" s="1" t="s">
        <v>1160</v>
      </c>
      <c r="B265" s="61"/>
      <c r="C265" s="279">
        <f t="shared" ref="C265:AG265" si="129">C260-$C260</f>
        <v>0</v>
      </c>
      <c r="D265" s="279">
        <f t="shared" si="129"/>
        <v>626.33546644359194</v>
      </c>
      <c r="E265" s="279">
        <f t="shared" si="129"/>
        <v>1252.6709328871821</v>
      </c>
      <c r="F265" s="279">
        <f t="shared" si="129"/>
        <v>1879.0063993307722</v>
      </c>
      <c r="G265" s="279">
        <f t="shared" si="129"/>
        <v>2505.3418657743623</v>
      </c>
      <c r="H265" s="279">
        <f t="shared" si="129"/>
        <v>3131.6773322179542</v>
      </c>
      <c r="I265" s="279">
        <f t="shared" si="129"/>
        <v>3641.7940573345259</v>
      </c>
      <c r="J265" s="279">
        <f t="shared" si="129"/>
        <v>4143.6431542940409</v>
      </c>
      <c r="K265" s="279">
        <f t="shared" si="129"/>
        <v>4637.2246230964956</v>
      </c>
      <c r="L265" s="279">
        <f t="shared" si="129"/>
        <v>5122.5384637419083</v>
      </c>
      <c r="M265" s="279">
        <f t="shared" si="129"/>
        <v>5599.5846762302535</v>
      </c>
      <c r="N265" s="279">
        <f t="shared" si="129"/>
        <v>6734.6762744386942</v>
      </c>
      <c r="O265" s="279">
        <f t="shared" si="129"/>
        <v>7852.3422563776476</v>
      </c>
      <c r="P265" s="279">
        <f t="shared" si="129"/>
        <v>8952.5826220471135</v>
      </c>
      <c r="Q265" s="279">
        <f t="shared" si="129"/>
        <v>10035.397371447096</v>
      </c>
      <c r="R265" s="279">
        <f t="shared" si="129"/>
        <v>11100.786504577594</v>
      </c>
      <c r="S265" s="279">
        <f t="shared" si="129"/>
        <v>12148.750021438602</v>
      </c>
      <c r="T265" s="279">
        <f t="shared" si="129"/>
        <v>13179.287922030133</v>
      </c>
      <c r="U265" s="279">
        <f t="shared" si="129"/>
        <v>14192.400206352169</v>
      </c>
      <c r="V265" s="279">
        <f t="shared" si="129"/>
        <v>15188.086874404722</v>
      </c>
      <c r="W265" s="279">
        <f t="shared" si="129"/>
        <v>16166.347926187784</v>
      </c>
      <c r="X265" s="279">
        <f t="shared" si="129"/>
        <v>17922.023999322475</v>
      </c>
      <c r="Y265" s="279">
        <f t="shared" si="129"/>
        <v>19648.543802770197</v>
      </c>
      <c r="Z265" s="279">
        <f t="shared" si="129"/>
        <v>21345.907336530945</v>
      </c>
      <c r="AA265" s="279">
        <f t="shared" si="129"/>
        <v>23014.11460060472</v>
      </c>
      <c r="AB265" s="279">
        <f t="shared" si="129"/>
        <v>24653.165594991537</v>
      </c>
      <c r="AC265" s="279">
        <f t="shared" si="129"/>
        <v>26253.746656417155</v>
      </c>
      <c r="AD265" s="279">
        <f t="shared" si="129"/>
        <v>27824.287924831944</v>
      </c>
      <c r="AE265" s="279">
        <f t="shared" si="129"/>
        <v>29364.789400235917</v>
      </c>
      <c r="AF265" s="279">
        <f t="shared" si="129"/>
        <v>30875.251082629082</v>
      </c>
      <c r="AG265" s="279">
        <f t="shared" si="129"/>
        <v>32355.672972011394</v>
      </c>
      <c r="AH265" s="230"/>
      <c r="AI265" s="398"/>
      <c r="AJ265" s="399"/>
      <c r="AL265" s="207"/>
      <c r="AM265" s="118"/>
      <c r="AN265" s="118"/>
      <c r="AO265" s="118"/>
      <c r="BD265" s="118"/>
      <c r="BE265" s="118"/>
      <c r="BF265" s="118"/>
      <c r="BG265" s="118"/>
      <c r="BH265" s="118"/>
      <c r="BI265" s="118"/>
      <c r="BJ265" s="118"/>
      <c r="BK265" s="118"/>
    </row>
    <row r="266" spans="1:63" outlineLevel="1">
      <c r="A266" s="4" t="s">
        <v>35</v>
      </c>
      <c r="C266" s="216">
        <f t="shared" ref="C266:AG266" si="130">C261-$C261</f>
        <v>0</v>
      </c>
      <c r="D266" s="216">
        <f t="shared" si="130"/>
        <v>0</v>
      </c>
      <c r="E266" s="216">
        <f t="shared" si="130"/>
        <v>0</v>
      </c>
      <c r="F266" s="216">
        <f t="shared" si="130"/>
        <v>0</v>
      </c>
      <c r="G266" s="216">
        <f t="shared" si="130"/>
        <v>0</v>
      </c>
      <c r="H266" s="216">
        <f t="shared" si="130"/>
        <v>0</v>
      </c>
      <c r="I266" s="216">
        <f t="shared" si="130"/>
        <v>0</v>
      </c>
      <c r="J266" s="216">
        <f t="shared" si="130"/>
        <v>0</v>
      </c>
      <c r="K266" s="216">
        <f t="shared" si="130"/>
        <v>0</v>
      </c>
      <c r="L266" s="216">
        <f t="shared" si="130"/>
        <v>0</v>
      </c>
      <c r="M266" s="216">
        <f t="shared" si="130"/>
        <v>0</v>
      </c>
      <c r="N266" s="216">
        <f t="shared" si="130"/>
        <v>0</v>
      </c>
      <c r="O266" s="216">
        <f t="shared" si="130"/>
        <v>0</v>
      </c>
      <c r="P266" s="216">
        <f t="shared" si="130"/>
        <v>0</v>
      </c>
      <c r="Q266" s="216">
        <f t="shared" si="130"/>
        <v>0</v>
      </c>
      <c r="R266" s="216">
        <f t="shared" si="130"/>
        <v>0</v>
      </c>
      <c r="S266" s="216">
        <f t="shared" si="130"/>
        <v>0</v>
      </c>
      <c r="T266" s="216">
        <f t="shared" si="130"/>
        <v>0</v>
      </c>
      <c r="U266" s="216">
        <f t="shared" si="130"/>
        <v>0</v>
      </c>
      <c r="V266" s="216">
        <f t="shared" si="130"/>
        <v>0</v>
      </c>
      <c r="W266" s="216">
        <f t="shared" si="130"/>
        <v>0</v>
      </c>
      <c r="X266" s="216">
        <f t="shared" si="130"/>
        <v>0</v>
      </c>
      <c r="Y266" s="216">
        <f t="shared" si="130"/>
        <v>0</v>
      </c>
      <c r="Z266" s="216">
        <f t="shared" si="130"/>
        <v>0</v>
      </c>
      <c r="AA266" s="216">
        <f t="shared" si="130"/>
        <v>0</v>
      </c>
      <c r="AB266" s="216">
        <f t="shared" si="130"/>
        <v>0</v>
      </c>
      <c r="AC266" s="216">
        <f t="shared" si="130"/>
        <v>0</v>
      </c>
      <c r="AD266" s="216">
        <f t="shared" si="130"/>
        <v>0</v>
      </c>
      <c r="AE266" s="216">
        <f t="shared" si="130"/>
        <v>0</v>
      </c>
      <c r="AF266" s="216">
        <f t="shared" si="130"/>
        <v>0</v>
      </c>
      <c r="AG266" s="216">
        <f t="shared" si="130"/>
        <v>0</v>
      </c>
      <c r="AH266" s="230"/>
      <c r="AI266" s="126"/>
      <c r="AJ266" s="198"/>
      <c r="AL266" s="102"/>
      <c r="AM266" s="2"/>
      <c r="AN266" s="2"/>
      <c r="AO266" s="2"/>
      <c r="BC266" s="1"/>
      <c r="BD266" s="2"/>
      <c r="BE266" s="2"/>
      <c r="BF266" s="2"/>
      <c r="BG266" s="2"/>
      <c r="BH266" s="2"/>
      <c r="BI266" s="2"/>
      <c r="BJ266" s="2"/>
      <c r="BK266" s="2"/>
    </row>
    <row r="267" spans="1:63" outlineLevel="1">
      <c r="A267" s="4" t="s">
        <v>74</v>
      </c>
      <c r="C267" s="216">
        <f t="shared" ref="C267:AG269" si="131">C262-$C262</f>
        <v>0</v>
      </c>
      <c r="D267" s="216">
        <f t="shared" si="131"/>
        <v>182.62869142088721</v>
      </c>
      <c r="E267" s="216">
        <f t="shared" si="131"/>
        <v>365.25738284177487</v>
      </c>
      <c r="F267" s="216">
        <f t="shared" si="131"/>
        <v>547.88607426266162</v>
      </c>
      <c r="G267" s="216">
        <f t="shared" si="131"/>
        <v>730.51476568354838</v>
      </c>
      <c r="H267" s="216">
        <f t="shared" si="131"/>
        <v>913.14345710443604</v>
      </c>
      <c r="I267" s="216">
        <f t="shared" si="131"/>
        <v>1061.8847546537077</v>
      </c>
      <c r="J267" s="216">
        <f t="shared" si="131"/>
        <v>1208.2153534762224</v>
      </c>
      <c r="K267" s="216">
        <f t="shared" si="131"/>
        <v>1352.1352535719811</v>
      </c>
      <c r="L267" s="216">
        <f t="shared" si="131"/>
        <v>1493.6444549409875</v>
      </c>
      <c r="M267" s="216">
        <f t="shared" si="131"/>
        <v>1632.7429575832343</v>
      </c>
      <c r="N267" s="216">
        <f t="shared" si="131"/>
        <v>1963.7162208421828</v>
      </c>
      <c r="O267" s="216">
        <f t="shared" si="131"/>
        <v>2289.6084729385843</v>
      </c>
      <c r="P267" s="216">
        <f t="shared" si="131"/>
        <v>2610.4197138724389</v>
      </c>
      <c r="Q267" s="216">
        <f t="shared" si="131"/>
        <v>2926.1499436437475</v>
      </c>
      <c r="R267" s="216">
        <f t="shared" si="131"/>
        <v>3236.7991622525101</v>
      </c>
      <c r="S267" s="216">
        <f t="shared" si="131"/>
        <v>3542.3673696987239</v>
      </c>
      <c r="T267" s="216">
        <f t="shared" si="131"/>
        <v>3842.8545659823944</v>
      </c>
      <c r="U267" s="216">
        <f t="shared" si="131"/>
        <v>4138.2607511035148</v>
      </c>
      <c r="V267" s="216">
        <f t="shared" si="131"/>
        <v>4428.5859250620906</v>
      </c>
      <c r="W267" s="216">
        <f t="shared" si="131"/>
        <v>4713.8300878581194</v>
      </c>
      <c r="X267" s="216">
        <f t="shared" si="131"/>
        <v>5225.7551519394565</v>
      </c>
      <c r="Y267" s="216">
        <f t="shared" si="131"/>
        <v>5729.1787472952892</v>
      </c>
      <c r="Z267" s="216">
        <f t="shared" si="131"/>
        <v>6224.100873925614</v>
      </c>
      <c r="AA267" s="216">
        <f t="shared" si="131"/>
        <v>6710.5215318304308</v>
      </c>
      <c r="AB267" s="216">
        <f t="shared" si="131"/>
        <v>7188.4407210097452</v>
      </c>
      <c r="AC267" s="216">
        <f t="shared" si="131"/>
        <v>7655.142736817661</v>
      </c>
      <c r="AD267" s="216">
        <f t="shared" si="131"/>
        <v>8113.0856636356566</v>
      </c>
      <c r="AE267" s="216">
        <f t="shared" si="131"/>
        <v>8562.2695014637375</v>
      </c>
      <c r="AF267" s="216">
        <f t="shared" si="131"/>
        <v>9002.6942503019054</v>
      </c>
      <c r="AG267" s="216">
        <f t="shared" si="131"/>
        <v>9434.3599101501513</v>
      </c>
      <c r="AH267" s="230"/>
      <c r="AI267" s="126"/>
      <c r="AJ267" s="198"/>
      <c r="AL267" s="102"/>
      <c r="AM267" s="2"/>
      <c r="AN267" s="2"/>
      <c r="AO267" s="2"/>
      <c r="BC267" s="1"/>
      <c r="BD267" s="2"/>
      <c r="BE267" s="2"/>
      <c r="BF267" s="2"/>
      <c r="BG267" s="2"/>
      <c r="BH267" s="2"/>
      <c r="BI267" s="2"/>
      <c r="BJ267" s="2"/>
      <c r="BK267" s="2"/>
    </row>
    <row r="268" spans="1:63" outlineLevel="1">
      <c r="A268" s="4" t="s">
        <v>160</v>
      </c>
      <c r="C268" s="216">
        <f t="shared" si="131"/>
        <v>0</v>
      </c>
      <c r="D268" s="216">
        <f t="shared" si="131"/>
        <v>344.43169148109337</v>
      </c>
      <c r="E268" s="216">
        <f t="shared" si="131"/>
        <v>688.86338296218673</v>
      </c>
      <c r="F268" s="216">
        <f t="shared" si="131"/>
        <v>1033.2950744432801</v>
      </c>
      <c r="G268" s="216">
        <f t="shared" si="131"/>
        <v>1377.7267659243716</v>
      </c>
      <c r="H268" s="216">
        <f t="shared" si="131"/>
        <v>1722.1584574054668</v>
      </c>
      <c r="I268" s="216">
        <f t="shared" si="131"/>
        <v>2002.6796411767518</v>
      </c>
      <c r="J268" s="216">
        <f t="shared" si="131"/>
        <v>2278.6543266204862</v>
      </c>
      <c r="K268" s="216">
        <f t="shared" si="131"/>
        <v>2550.0825137366683</v>
      </c>
      <c r="L268" s="216">
        <f t="shared" si="131"/>
        <v>2816.964202525307</v>
      </c>
      <c r="M268" s="216">
        <f t="shared" si="131"/>
        <v>3079.2993929863878</v>
      </c>
      <c r="N268" s="216">
        <f t="shared" si="131"/>
        <v>3703.5040566258886</v>
      </c>
      <c r="O268" s="216">
        <f t="shared" si="131"/>
        <v>4318.1261007134726</v>
      </c>
      <c r="P268" s="216">
        <f t="shared" si="131"/>
        <v>4923.1655252491437</v>
      </c>
      <c r="Q268" s="216">
        <f t="shared" si="131"/>
        <v>5518.6223302328999</v>
      </c>
      <c r="R268" s="216">
        <f t="shared" si="131"/>
        <v>6104.4965156647449</v>
      </c>
      <c r="S268" s="216">
        <f t="shared" si="131"/>
        <v>6680.7880815446733</v>
      </c>
      <c r="T268" s="216">
        <f t="shared" si="131"/>
        <v>7247.4970278726923</v>
      </c>
      <c r="U268" s="216">
        <f t="shared" si="131"/>
        <v>7804.6233546487929</v>
      </c>
      <c r="V268" s="216">
        <f t="shared" si="131"/>
        <v>8352.1670618729804</v>
      </c>
      <c r="W268" s="216">
        <f t="shared" si="131"/>
        <v>8890.1281495452495</v>
      </c>
      <c r="X268" s="216">
        <f t="shared" si="131"/>
        <v>9855.6019442774668</v>
      </c>
      <c r="Y268" s="216">
        <f t="shared" si="131"/>
        <v>10805.042249252852</v>
      </c>
      <c r="Z268" s="216">
        <f t="shared" si="131"/>
        <v>11738.449064471406</v>
      </c>
      <c r="AA268" s="216">
        <f t="shared" si="131"/>
        <v>12655.822389933131</v>
      </c>
      <c r="AB268" s="216">
        <f t="shared" si="131"/>
        <v>13557.162225638032</v>
      </c>
      <c r="AC268" s="216">
        <f t="shared" si="131"/>
        <v>14437.346842149891</v>
      </c>
      <c r="AD268" s="216">
        <f t="shared" si="131"/>
        <v>15301.012105578953</v>
      </c>
      <c r="AE268" s="216">
        <f t="shared" si="131"/>
        <v>16148.158015925223</v>
      </c>
      <c r="AF268" s="216">
        <f t="shared" si="131"/>
        <v>16978.784573188699</v>
      </c>
      <c r="AG268" s="216">
        <f t="shared" si="131"/>
        <v>17792.891777369372</v>
      </c>
      <c r="AH268" s="230"/>
      <c r="AI268" s="126"/>
      <c r="AJ268" s="198"/>
      <c r="AL268" s="102"/>
      <c r="AM268" s="2"/>
      <c r="AN268" s="2"/>
      <c r="AO268" s="2"/>
      <c r="BC268" s="1"/>
      <c r="BD268" s="2"/>
      <c r="BE268" s="2"/>
      <c r="BF268" s="2"/>
      <c r="BG268" s="2"/>
      <c r="BH268" s="2"/>
      <c r="BI268" s="2"/>
      <c r="BJ268" s="2"/>
      <c r="BK268" s="2"/>
    </row>
    <row r="269" spans="1:63" outlineLevel="1">
      <c r="A269" s="4" t="s">
        <v>1159</v>
      </c>
      <c r="C269" s="216">
        <f t="shared" si="131"/>
        <v>0</v>
      </c>
      <c r="D269" s="216">
        <f t="shared" si="131"/>
        <v>99.275083541610911</v>
      </c>
      <c r="E269" s="216">
        <f t="shared" si="131"/>
        <v>198.55016708322137</v>
      </c>
      <c r="F269" s="216">
        <f t="shared" si="131"/>
        <v>297.82525062483137</v>
      </c>
      <c r="G269" s="216">
        <f t="shared" si="131"/>
        <v>397.10033416644183</v>
      </c>
      <c r="H269" s="216">
        <f t="shared" si="131"/>
        <v>496.37541770805228</v>
      </c>
      <c r="I269" s="216">
        <f t="shared" si="131"/>
        <v>577.22966150406683</v>
      </c>
      <c r="J269" s="216">
        <f t="shared" si="131"/>
        <v>656.77347419733132</v>
      </c>
      <c r="K269" s="216">
        <f t="shared" si="131"/>
        <v>735.00685578784623</v>
      </c>
      <c r="L269" s="216">
        <f t="shared" si="131"/>
        <v>811.92980627561383</v>
      </c>
      <c r="M269" s="216">
        <f t="shared" si="131"/>
        <v>887.54232566063047</v>
      </c>
      <c r="N269" s="216">
        <f t="shared" si="131"/>
        <v>1067.4559969706229</v>
      </c>
      <c r="O269" s="216">
        <f t="shared" si="131"/>
        <v>1244.6076827255897</v>
      </c>
      <c r="P269" s="216">
        <f t="shared" si="131"/>
        <v>1418.9973829255314</v>
      </c>
      <c r="Q269" s="216">
        <f t="shared" si="131"/>
        <v>1590.6250975704475</v>
      </c>
      <c r="R269" s="216">
        <f t="shared" si="131"/>
        <v>1759.4908266603393</v>
      </c>
      <c r="S269" s="216">
        <f t="shared" si="131"/>
        <v>1925.5945701952041</v>
      </c>
      <c r="T269" s="216">
        <f t="shared" si="131"/>
        <v>2088.9363281750457</v>
      </c>
      <c r="U269" s="216">
        <f t="shared" si="131"/>
        <v>2249.5161005998607</v>
      </c>
      <c r="V269" s="216">
        <f t="shared" si="131"/>
        <v>2407.3338874696501</v>
      </c>
      <c r="W269" s="216">
        <f t="shared" si="131"/>
        <v>2562.3896887844139</v>
      </c>
      <c r="X269" s="216">
        <f t="shared" si="131"/>
        <v>2840.6669031055517</v>
      </c>
      <c r="Y269" s="216">
        <f t="shared" si="131"/>
        <v>3114.3228062220551</v>
      </c>
      <c r="Z269" s="216">
        <f t="shared" si="131"/>
        <v>3383.3573981339241</v>
      </c>
      <c r="AA269" s="216">
        <f t="shared" si="131"/>
        <v>3647.7706788411579</v>
      </c>
      <c r="AB269" s="216">
        <f t="shared" si="131"/>
        <v>3907.5626483437591</v>
      </c>
      <c r="AC269" s="216">
        <f t="shared" si="131"/>
        <v>4161.2570774496007</v>
      </c>
      <c r="AD269" s="216">
        <f t="shared" si="131"/>
        <v>4410.1901556173325</v>
      </c>
      <c r="AE269" s="216">
        <f t="shared" si="131"/>
        <v>4654.3618828469562</v>
      </c>
      <c r="AF269" s="216">
        <f t="shared" si="131"/>
        <v>4893.7722591384736</v>
      </c>
      <c r="AG269" s="216">
        <f t="shared" si="131"/>
        <v>5128.4212844918775</v>
      </c>
      <c r="AH269" s="230"/>
      <c r="AI269" s="126"/>
      <c r="AJ269" s="198"/>
      <c r="AL269" s="102"/>
      <c r="AM269" s="2"/>
      <c r="AN269" s="2"/>
      <c r="AO269" s="2"/>
      <c r="BC269" s="1"/>
      <c r="BD269" s="2"/>
      <c r="BE269" s="2"/>
      <c r="BF269" s="2"/>
      <c r="BG269" s="2"/>
      <c r="BH269" s="2"/>
      <c r="BI269" s="2"/>
      <c r="BJ269" s="2"/>
      <c r="BK269" s="2"/>
    </row>
    <row r="270" spans="1:63" outlineLevel="2">
      <c r="C270" s="107"/>
      <c r="D270" s="104"/>
      <c r="E270" s="104"/>
      <c r="F270" s="104"/>
      <c r="G270" s="104"/>
      <c r="H270" s="104"/>
      <c r="I270" s="104"/>
      <c r="J270" s="104"/>
      <c r="K270" s="104"/>
      <c r="L270" s="104"/>
      <c r="M270" s="115"/>
      <c r="N270" s="115"/>
      <c r="O270" s="115"/>
      <c r="P270" s="115"/>
      <c r="Q270" s="115"/>
      <c r="R270" s="115"/>
      <c r="S270" s="115"/>
      <c r="T270" s="115"/>
      <c r="U270" s="115"/>
      <c r="V270" s="115"/>
      <c r="W270" s="115"/>
      <c r="X270" s="22"/>
      <c r="Y270" s="22"/>
      <c r="Z270" s="22"/>
      <c r="AA270" s="22"/>
      <c r="AB270" s="22"/>
      <c r="AC270" s="22"/>
      <c r="AD270" s="22"/>
      <c r="AE270" s="22"/>
      <c r="AF270" s="22"/>
      <c r="AG270" s="100"/>
      <c r="AJ270" s="198"/>
    </row>
    <row r="271" spans="1:63" s="187" customFormat="1" ht="15.5" thickBot="1">
      <c r="A271" s="213" t="s">
        <v>1387</v>
      </c>
      <c r="B271" s="214"/>
      <c r="C271" s="215">
        <f>(C39*C63+C40*C139+C42*C202+C41*C241+C43*C258)/C44</f>
        <v>0.12849645278539037</v>
      </c>
      <c r="D271" s="215">
        <f t="shared" ref="D271:AG271" si="132">(D39*D63+D40*D139+D42*D202+D41*D241+D43*D258)/D44</f>
        <v>0.10832460204839012</v>
      </c>
      <c r="E271" s="215">
        <f t="shared" si="132"/>
        <v>0.1136102983097281</v>
      </c>
      <c r="F271" s="215">
        <f t="shared" si="132"/>
        <v>0.11899298699520541</v>
      </c>
      <c r="G271" s="215">
        <f t="shared" si="132"/>
        <v>0.12439625288233892</v>
      </c>
      <c r="H271" s="215">
        <f t="shared" si="132"/>
        <v>0.12982233179866631</v>
      </c>
      <c r="I271" s="215">
        <f t="shared" si="132"/>
        <v>0.1355816079364684</v>
      </c>
      <c r="J271" s="215">
        <f t="shared" si="132"/>
        <v>0.14135717055877153</v>
      </c>
      <c r="K271" s="215">
        <f t="shared" si="132"/>
        <v>0.14714806108686745</v>
      </c>
      <c r="L271" s="215">
        <f t="shared" si="132"/>
        <v>0.15295323747266798</v>
      </c>
      <c r="M271" s="215">
        <f t="shared" si="132"/>
        <v>0.1587715703041358</v>
      </c>
      <c r="N271" s="215">
        <f t="shared" si="132"/>
        <v>0.16889007495200795</v>
      </c>
      <c r="O271" s="215">
        <f t="shared" si="132"/>
        <v>0.17895249238427982</v>
      </c>
      <c r="P271" s="215">
        <f t="shared" si="132"/>
        <v>0.18896198081839349</v>
      </c>
      <c r="Q271" s="215">
        <f t="shared" si="132"/>
        <v>0.19891579848442054</v>
      </c>
      <c r="R271" s="215">
        <f t="shared" si="132"/>
        <v>0.20881394225112734</v>
      </c>
      <c r="S271" s="215">
        <f t="shared" si="132"/>
        <v>0.21859519639531272</v>
      </c>
      <c r="T271" s="215">
        <f t="shared" si="132"/>
        <v>0.22832529513562136</v>
      </c>
      <c r="U271" s="215">
        <f t="shared" si="132"/>
        <v>0.23800609175101314</v>
      </c>
      <c r="V271" s="215">
        <f t="shared" si="132"/>
        <v>0.24763946508692369</v>
      </c>
      <c r="W271" s="215">
        <f t="shared" si="132"/>
        <v>0.25722732146589466</v>
      </c>
      <c r="X271" s="215">
        <f t="shared" si="132"/>
        <v>0.2725630964188368</v>
      </c>
      <c r="Y271" s="215">
        <f t="shared" si="132"/>
        <v>0.28778729851760404</v>
      </c>
      <c r="Z271" s="215">
        <f t="shared" si="132"/>
        <v>0.30291172088682961</v>
      </c>
      <c r="AA271" s="215">
        <f t="shared" si="132"/>
        <v>0.31792966658191713</v>
      </c>
      <c r="AB271" s="215">
        <f t="shared" si="132"/>
        <v>0.33284401428722782</v>
      </c>
      <c r="AC271" s="215">
        <f t="shared" si="132"/>
        <v>0.34768136351730233</v>
      </c>
      <c r="AD271" s="215">
        <f t="shared" si="132"/>
        <v>0.36241555240131529</v>
      </c>
      <c r="AE271" s="215">
        <f t="shared" si="132"/>
        <v>0.37704740081643373</v>
      </c>
      <c r="AF271" s="215">
        <f t="shared" si="132"/>
        <v>0.39157757932745724</v>
      </c>
      <c r="AG271" s="215">
        <f t="shared" si="132"/>
        <v>0.40600659515238069</v>
      </c>
      <c r="AJ271" s="452"/>
      <c r="AL271" s="204"/>
      <c r="AM271" s="211"/>
      <c r="AN271" s="211"/>
      <c r="AO271" s="211"/>
    </row>
    <row r="272" spans="1:63" s="187" customFormat="1" ht="16.25" thickTop="1" thickBot="1">
      <c r="A272" s="213" t="s">
        <v>467</v>
      </c>
      <c r="B272" s="214"/>
      <c r="C272" s="215">
        <f t="shared" ref="C272:AG272" si="133">(C11*C46+C120*C12+C14*C185+C237*C13+C254*C15)/C16</f>
        <v>0.10391498889855581</v>
      </c>
      <c r="D272" s="215">
        <f t="shared" si="133"/>
        <v>0.10913769993404097</v>
      </c>
      <c r="E272" s="215">
        <f t="shared" si="133"/>
        <v>0.11436041096952614</v>
      </c>
      <c r="F272" s="215">
        <f t="shared" si="133"/>
        <v>0.11958312200501135</v>
      </c>
      <c r="G272" s="215">
        <f t="shared" si="133"/>
        <v>0.12480583304049657</v>
      </c>
      <c r="H272" s="215">
        <f t="shared" si="133"/>
        <v>0.13002854407598174</v>
      </c>
      <c r="I272" s="215">
        <f t="shared" si="133"/>
        <v>0.13525125511146691</v>
      </c>
      <c r="J272" s="215">
        <f t="shared" si="133"/>
        <v>0.14047396614695212</v>
      </c>
      <c r="K272" s="215">
        <f t="shared" si="133"/>
        <v>0.14569667718243728</v>
      </c>
      <c r="L272" s="215">
        <f t="shared" si="133"/>
        <v>0.15091938821792247</v>
      </c>
      <c r="M272" s="215">
        <f t="shared" si="133"/>
        <v>0.15614209925340766</v>
      </c>
      <c r="N272" s="215">
        <f t="shared" si="133"/>
        <v>0.16714996712819952</v>
      </c>
      <c r="O272" s="215">
        <f t="shared" si="133"/>
        <v>0.17815783500299134</v>
      </c>
      <c r="P272" s="215">
        <f t="shared" si="133"/>
        <v>0.1891657028777832</v>
      </c>
      <c r="Q272" s="215">
        <f t="shared" si="133"/>
        <v>0.20017357075257503</v>
      </c>
      <c r="R272" s="215">
        <f t="shared" si="133"/>
        <v>0.21118143862736688</v>
      </c>
      <c r="S272" s="215">
        <f t="shared" si="133"/>
        <v>0.22218930650215879</v>
      </c>
      <c r="T272" s="215">
        <f t="shared" si="133"/>
        <v>0.23319717437695062</v>
      </c>
      <c r="U272" s="215">
        <f t="shared" si="133"/>
        <v>0.2442050422517425</v>
      </c>
      <c r="V272" s="215">
        <f t="shared" si="133"/>
        <v>0.25521291012653435</v>
      </c>
      <c r="W272" s="215">
        <f t="shared" si="133"/>
        <v>0.26622077800132615</v>
      </c>
      <c r="X272" s="215">
        <f t="shared" si="133"/>
        <v>0.28463897104956798</v>
      </c>
      <c r="Y272" s="215">
        <f t="shared" si="133"/>
        <v>0.30305716409780986</v>
      </c>
      <c r="Z272" s="215">
        <f t="shared" si="133"/>
        <v>0.32147535714605169</v>
      </c>
      <c r="AA272" s="215">
        <f t="shared" si="133"/>
        <v>0.3398935501942934</v>
      </c>
      <c r="AB272" s="215">
        <f t="shared" si="133"/>
        <v>0.35831174324253534</v>
      </c>
      <c r="AC272" s="215">
        <f t="shared" si="133"/>
        <v>0.37672993629077711</v>
      </c>
      <c r="AD272" s="215">
        <f t="shared" si="133"/>
        <v>0.39514812933901905</v>
      </c>
      <c r="AE272" s="215">
        <f t="shared" si="133"/>
        <v>0.41356632238726082</v>
      </c>
      <c r="AF272" s="215">
        <f t="shared" si="133"/>
        <v>0.43198451543550265</v>
      </c>
      <c r="AG272" s="215">
        <f t="shared" si="133"/>
        <v>0.45040270848374447</v>
      </c>
      <c r="AJ272" s="212"/>
      <c r="AL272" s="204"/>
      <c r="AM272" s="211"/>
      <c r="AN272" s="211"/>
      <c r="AO272" s="211"/>
    </row>
    <row r="273" spans="1:36" ht="15.5" thickTop="1">
      <c r="B273" s="123"/>
      <c r="C273" s="107"/>
      <c r="D273" s="22"/>
      <c r="E273" s="22"/>
      <c r="F273" s="22"/>
      <c r="G273" s="22"/>
      <c r="H273" s="22"/>
      <c r="I273" s="22"/>
      <c r="J273" s="22"/>
      <c r="K273" s="22"/>
      <c r="L273" s="22"/>
      <c r="M273" s="120"/>
      <c r="N273" s="104"/>
      <c r="O273" s="104"/>
      <c r="P273" s="104"/>
      <c r="Q273" s="104"/>
      <c r="R273" s="104"/>
      <c r="S273" s="104"/>
      <c r="T273" s="104"/>
      <c r="U273" s="104"/>
      <c r="V273" s="104"/>
      <c r="W273" s="120"/>
      <c r="X273" s="104"/>
      <c r="Y273" s="104"/>
      <c r="Z273" s="104"/>
      <c r="AA273" s="104"/>
      <c r="AB273" s="104"/>
      <c r="AC273" s="104"/>
      <c r="AD273" s="104"/>
      <c r="AE273" s="104"/>
      <c r="AF273" s="104"/>
      <c r="AG273" s="107"/>
    </row>
    <row r="274" spans="1:36">
      <c r="A274" t="s">
        <v>1388</v>
      </c>
      <c r="B274" s="123"/>
      <c r="C274" s="216">
        <f>C260+C243+C226+C216+C206+C174+C164+C154+C144+C109+C99+C89+C79+C69</f>
        <v>102113.18489319331</v>
      </c>
      <c r="D274" s="216">
        <f t="shared" ref="D274:AG274" si="134">D260+D243+D226+D216+D206+D174+D164+D154+D144+D109+D99+D89+D79+D69</f>
        <v>104019.78169196579</v>
      </c>
      <c r="E274" s="216">
        <f t="shared" si="134"/>
        <v>107723.85741203249</v>
      </c>
      <c r="F274" s="216">
        <f t="shared" si="134"/>
        <v>111608.39116758168</v>
      </c>
      <c r="G274" s="216">
        <f t="shared" si="134"/>
        <v>115464.11045163577</v>
      </c>
      <c r="H274" s="216">
        <f t="shared" si="134"/>
        <v>119295.09578323126</v>
      </c>
      <c r="I274" s="216">
        <f t="shared" si="134"/>
        <v>122695.19978071147</v>
      </c>
      <c r="J274" s="216">
        <f t="shared" si="134"/>
        <v>125989.91631958704</v>
      </c>
      <c r="K274" s="216">
        <f t="shared" si="134"/>
        <v>129175.00041668498</v>
      </c>
      <c r="L274" s="216">
        <f t="shared" si="134"/>
        <v>132245.90828970668</v>
      </c>
      <c r="M274" s="216">
        <f t="shared" si="134"/>
        <v>135197.79735722768</v>
      </c>
      <c r="N274" s="216">
        <f t="shared" si="134"/>
        <v>141130.54533054438</v>
      </c>
      <c r="O274" s="216">
        <f t="shared" si="134"/>
        <v>146641.45307181377</v>
      </c>
      <c r="P274" s="216">
        <f t="shared" si="134"/>
        <v>151711.80730912241</v>
      </c>
      <c r="Q274" s="216">
        <f t="shared" si="134"/>
        <v>156346.05697868025</v>
      </c>
      <c r="R274" s="216">
        <f t="shared" si="134"/>
        <v>160537.63561110396</v>
      </c>
      <c r="S274" s="216">
        <f t="shared" si="134"/>
        <v>164565.30936281875</v>
      </c>
      <c r="T274" s="216">
        <f t="shared" si="134"/>
        <v>168196.81146363969</v>
      </c>
      <c r="U274" s="216">
        <f t="shared" si="134"/>
        <v>171429.42885314784</v>
      </c>
      <c r="V274" s="216">
        <f t="shared" si="134"/>
        <v>174260.0027217739</v>
      </c>
      <c r="W274" s="216">
        <f t="shared" si="134"/>
        <v>176684.92851079843</v>
      </c>
      <c r="X274" s="216">
        <f t="shared" si="134"/>
        <v>183390.27472899144</v>
      </c>
      <c r="Y274" s="216">
        <f t="shared" si="134"/>
        <v>189402.83936979968</v>
      </c>
      <c r="Z274" s="216">
        <f t="shared" si="134"/>
        <v>194632.9787768205</v>
      </c>
      <c r="AA274" s="216">
        <f t="shared" si="134"/>
        <v>199140.82063905144</v>
      </c>
      <c r="AB274" s="216">
        <f t="shared" si="134"/>
        <v>202917.93546475976</v>
      </c>
      <c r="AC274" s="216">
        <f t="shared" si="134"/>
        <v>205563.85988569597</v>
      </c>
      <c r="AD274" s="216">
        <f t="shared" si="134"/>
        <v>207388.92083918001</v>
      </c>
      <c r="AE274" s="216">
        <f t="shared" si="134"/>
        <v>208376.896620757</v>
      </c>
      <c r="AF274" s="216">
        <f t="shared" si="134"/>
        <v>208510.650580349</v>
      </c>
      <c r="AG274" s="216">
        <f t="shared" si="134"/>
        <v>207772.13112225514</v>
      </c>
      <c r="AI274" s="22">
        <f>(AG274/C274)^(1/30)-1</f>
        <v>2.396123562039465E-2</v>
      </c>
      <c r="AJ274" s="490">
        <f>AG274-C274</f>
        <v>105658.94622906184</v>
      </c>
    </row>
    <row r="275" spans="1:36">
      <c r="A275" t="s">
        <v>1389</v>
      </c>
      <c r="B275" s="123"/>
      <c r="C275" s="216">
        <f>C274</f>
        <v>102113.18489319331</v>
      </c>
      <c r="D275" s="216">
        <f>C275*(1+$AI$275)</f>
        <v>103818.47508090963</v>
      </c>
      <c r="E275" s="216">
        <f t="shared" ref="E275:AG275" si="135">D275*(1+$AI$275)</f>
        <v>105552.24361476081</v>
      </c>
      <c r="F275" s="216">
        <f t="shared" si="135"/>
        <v>107314.96608312731</v>
      </c>
      <c r="G275" s="216">
        <f t="shared" si="135"/>
        <v>109107.12601671553</v>
      </c>
      <c r="H275" s="216">
        <f t="shared" si="135"/>
        <v>110929.21502119467</v>
      </c>
      <c r="I275" s="216">
        <f t="shared" si="135"/>
        <v>112781.73291204861</v>
      </c>
      <c r="J275" s="216">
        <f t="shared" si="135"/>
        <v>114665.18785167982</v>
      </c>
      <c r="K275" s="216">
        <f t="shared" si="135"/>
        <v>116580.09648880287</v>
      </c>
      <c r="L275" s="216">
        <f t="shared" si="135"/>
        <v>118526.98410016586</v>
      </c>
      <c r="M275" s="216">
        <f>L275*(1+$AI$275)</f>
        <v>120506.38473463863</v>
      </c>
      <c r="N275" s="216">
        <f t="shared" si="135"/>
        <v>122518.84135970709</v>
      </c>
      <c r="O275" s="216">
        <f t="shared" si="135"/>
        <v>124564.9060104142</v>
      </c>
      <c r="P275" s="216">
        <f t="shared" si="135"/>
        <v>126645.13994078811</v>
      </c>
      <c r="Q275" s="216">
        <f t="shared" si="135"/>
        <v>128760.11377779927</v>
      </c>
      <c r="R275" s="216">
        <f t="shared" si="135"/>
        <v>130910.40767788851</v>
      </c>
      <c r="S275" s="216">
        <f t="shared" si="135"/>
        <v>133096.61148610924</v>
      </c>
      <c r="T275" s="216">
        <f t="shared" si="135"/>
        <v>135319.32489792726</v>
      </c>
      <c r="U275" s="216">
        <f t="shared" si="135"/>
        <v>137579.15762372263</v>
      </c>
      <c r="V275" s="216">
        <f t="shared" si="135"/>
        <v>139876.72955603877</v>
      </c>
      <c r="W275" s="216">
        <f t="shared" si="135"/>
        <v>142212.6709396246</v>
      </c>
      <c r="X275" s="216">
        <f t="shared" si="135"/>
        <v>144587.62254431631</v>
      </c>
      <c r="Y275" s="216">
        <f t="shared" si="135"/>
        <v>147002.23584080639</v>
      </c>
      <c r="Z275" s="216">
        <f t="shared" si="135"/>
        <v>149457.17317934785</v>
      </c>
      <c r="AA275" s="216">
        <f t="shared" si="135"/>
        <v>151953.10797144295</v>
      </c>
      <c r="AB275" s="216">
        <f t="shared" si="135"/>
        <v>154490.72487456605</v>
      </c>
      <c r="AC275" s="216">
        <f t="shared" si="135"/>
        <v>157070.7199799713</v>
      </c>
      <c r="AD275" s="216">
        <f t="shared" si="135"/>
        <v>159693.80100363682</v>
      </c>
      <c r="AE275" s="216">
        <f t="shared" si="135"/>
        <v>162360.68748039755</v>
      </c>
      <c r="AF275" s="216">
        <f t="shared" si="135"/>
        <v>165072.11096132017</v>
      </c>
      <c r="AG275" s="216">
        <f t="shared" si="135"/>
        <v>167828.81521437422</v>
      </c>
      <c r="AI275" s="201">
        <v>1.67E-2</v>
      </c>
      <c r="AJ275" s="3" t="s">
        <v>676</v>
      </c>
    </row>
    <row r="276" spans="1:36">
      <c r="B276" s="48"/>
    </row>
    <row r="277" spans="1:36" s="55" customFormat="1">
      <c r="A277" s="55" t="s">
        <v>703</v>
      </c>
      <c r="B277" s="282"/>
      <c r="C277" s="283"/>
      <c r="D277" s="283"/>
      <c r="E277" s="283"/>
      <c r="F277" s="283"/>
      <c r="G277" s="283"/>
      <c r="H277" s="283"/>
      <c r="I277" s="283"/>
      <c r="J277" s="283"/>
      <c r="K277" s="283"/>
      <c r="L277" s="283"/>
      <c r="M277" s="283"/>
      <c r="N277" s="283"/>
      <c r="O277" s="283"/>
      <c r="P277" s="283"/>
      <c r="Q277" s="283"/>
      <c r="R277" s="283"/>
      <c r="S277" s="283"/>
      <c r="T277" s="283"/>
      <c r="U277" s="283"/>
      <c r="V277" s="283"/>
      <c r="W277" s="283"/>
      <c r="X277" s="283"/>
      <c r="Y277" s="283"/>
      <c r="Z277" s="283"/>
      <c r="AA277" s="283"/>
      <c r="AB277" s="283"/>
      <c r="AC277" s="283"/>
      <c r="AD277" s="283"/>
      <c r="AE277" s="283"/>
      <c r="AF277" s="283"/>
      <c r="AG277" s="283"/>
      <c r="AI277" s="284"/>
      <c r="AJ277" s="285"/>
    </row>
    <row r="278" spans="1:36" s="178" customFormat="1" outlineLevel="1">
      <c r="A278" s="321" t="s">
        <v>706</v>
      </c>
      <c r="B278" s="297" t="s">
        <v>126</v>
      </c>
      <c r="C278" s="678">
        <v>0.84</v>
      </c>
      <c r="D278" s="298">
        <f>-($C278-$AG278)/30+C278</f>
        <v>0.83566666666666667</v>
      </c>
      <c r="E278" s="298">
        <f t="shared" ref="E278:AF284" si="136">-($C278-$AG278)/30+D278</f>
        <v>0.83133333333333337</v>
      </c>
      <c r="F278" s="298">
        <f t="shared" si="136"/>
        <v>0.82700000000000007</v>
      </c>
      <c r="G278" s="298">
        <f t="shared" si="136"/>
        <v>0.82266666666666677</v>
      </c>
      <c r="H278" s="298">
        <f t="shared" si="136"/>
        <v>0.81833333333333347</v>
      </c>
      <c r="I278" s="298">
        <f t="shared" si="136"/>
        <v>0.81400000000000017</v>
      </c>
      <c r="J278" s="298">
        <f t="shared" si="136"/>
        <v>0.80966666666666687</v>
      </c>
      <c r="K278" s="298">
        <f t="shared" si="136"/>
        <v>0.80533333333333357</v>
      </c>
      <c r="L278" s="298">
        <f t="shared" si="136"/>
        <v>0.80100000000000027</v>
      </c>
      <c r="M278" s="298">
        <f t="shared" si="136"/>
        <v>0.79666666666666697</v>
      </c>
      <c r="N278" s="298">
        <f t="shared" si="136"/>
        <v>0.79233333333333367</v>
      </c>
      <c r="O278" s="298">
        <f t="shared" si="136"/>
        <v>0.78800000000000037</v>
      </c>
      <c r="P278" s="298">
        <f t="shared" si="136"/>
        <v>0.78366666666666707</v>
      </c>
      <c r="Q278" s="298">
        <f t="shared" si="136"/>
        <v>0.77933333333333377</v>
      </c>
      <c r="R278" s="298">
        <f t="shared" si="136"/>
        <v>0.77500000000000047</v>
      </c>
      <c r="S278" s="298">
        <f t="shared" si="136"/>
        <v>0.77066666666666717</v>
      </c>
      <c r="T278" s="298">
        <f t="shared" si="136"/>
        <v>0.76633333333333387</v>
      </c>
      <c r="U278" s="298">
        <f t="shared" si="136"/>
        <v>0.76200000000000057</v>
      </c>
      <c r="V278" s="298">
        <f t="shared" si="136"/>
        <v>0.75766666666666727</v>
      </c>
      <c r="W278" s="298">
        <f t="shared" si="136"/>
        <v>0.75333333333333397</v>
      </c>
      <c r="X278" s="298">
        <f t="shared" si="136"/>
        <v>0.74900000000000067</v>
      </c>
      <c r="Y278" s="298">
        <f t="shared" si="136"/>
        <v>0.74466666666666737</v>
      </c>
      <c r="Z278" s="298">
        <f t="shared" si="136"/>
        <v>0.74033333333333406</v>
      </c>
      <c r="AA278" s="298">
        <f t="shared" si="136"/>
        <v>0.73600000000000076</v>
      </c>
      <c r="AB278" s="298">
        <f t="shared" si="136"/>
        <v>0.73166666666666746</v>
      </c>
      <c r="AC278" s="298">
        <f t="shared" si="136"/>
        <v>0.72733333333333416</v>
      </c>
      <c r="AD278" s="298">
        <f t="shared" si="136"/>
        <v>0.72300000000000086</v>
      </c>
      <c r="AE278" s="298">
        <f t="shared" si="136"/>
        <v>0.71866666666666756</v>
      </c>
      <c r="AF278" s="298">
        <f t="shared" si="136"/>
        <v>0.71433333333333426</v>
      </c>
      <c r="AG278" s="678">
        <v>0.71</v>
      </c>
      <c r="AI278" s="299"/>
      <c r="AJ278" t="s">
        <v>1614</v>
      </c>
    </row>
    <row r="279" spans="1:36" outlineLevel="1">
      <c r="A279" s="3" t="s">
        <v>698</v>
      </c>
      <c r="B279" s="281" t="s">
        <v>126</v>
      </c>
      <c r="C279" s="275">
        <v>0.16</v>
      </c>
      <c r="D279" s="296">
        <f t="shared" ref="D279:S284" si="137">-($C279-$AG279)/30+C279</f>
        <v>0.16206666666666666</v>
      </c>
      <c r="E279" s="296">
        <f t="shared" si="137"/>
        <v>0.16413333333333333</v>
      </c>
      <c r="F279" s="296">
        <f t="shared" si="137"/>
        <v>0.16619999999999999</v>
      </c>
      <c r="G279" s="296">
        <f t="shared" si="137"/>
        <v>0.16826666666666665</v>
      </c>
      <c r="H279" s="296">
        <f t="shared" si="137"/>
        <v>0.17033333333333331</v>
      </c>
      <c r="I279" s="296">
        <f t="shared" si="137"/>
        <v>0.17239999999999997</v>
      </c>
      <c r="J279" s="296">
        <f t="shared" si="137"/>
        <v>0.17446666666666663</v>
      </c>
      <c r="K279" s="296">
        <f t="shared" si="137"/>
        <v>0.17653333333333329</v>
      </c>
      <c r="L279" s="296">
        <f t="shared" si="137"/>
        <v>0.17859999999999995</v>
      </c>
      <c r="M279" s="296">
        <f t="shared" si="137"/>
        <v>0.18066666666666661</v>
      </c>
      <c r="N279" s="296">
        <f t="shared" si="137"/>
        <v>0.18273333333333328</v>
      </c>
      <c r="O279" s="296">
        <f t="shared" si="137"/>
        <v>0.18479999999999994</v>
      </c>
      <c r="P279" s="296">
        <f t="shared" si="137"/>
        <v>0.1868666666666666</v>
      </c>
      <c r="Q279" s="296">
        <f t="shared" si="137"/>
        <v>0.18893333333333326</v>
      </c>
      <c r="R279" s="296">
        <f t="shared" si="137"/>
        <v>0.19099999999999992</v>
      </c>
      <c r="S279" s="296">
        <f t="shared" si="137"/>
        <v>0.19306666666666658</v>
      </c>
      <c r="T279" s="296">
        <f t="shared" si="136"/>
        <v>0.19513333333333324</v>
      </c>
      <c r="U279" s="296">
        <f t="shared" si="136"/>
        <v>0.1971999999999999</v>
      </c>
      <c r="V279" s="296">
        <f t="shared" si="136"/>
        <v>0.19926666666666656</v>
      </c>
      <c r="W279" s="296">
        <f t="shared" si="136"/>
        <v>0.20133333333333323</v>
      </c>
      <c r="X279" s="296">
        <f t="shared" si="136"/>
        <v>0.20339999999999989</v>
      </c>
      <c r="Y279" s="296">
        <f t="shared" si="136"/>
        <v>0.20546666666666655</v>
      </c>
      <c r="Z279" s="296">
        <f t="shared" si="136"/>
        <v>0.20753333333333321</v>
      </c>
      <c r="AA279" s="296">
        <f t="shared" si="136"/>
        <v>0.20959999999999987</v>
      </c>
      <c r="AB279" s="296">
        <f t="shared" si="136"/>
        <v>0.21166666666666653</v>
      </c>
      <c r="AC279" s="296">
        <f t="shared" si="136"/>
        <v>0.21373333333333319</v>
      </c>
      <c r="AD279" s="296">
        <f t="shared" si="136"/>
        <v>0.21579999999999985</v>
      </c>
      <c r="AE279" s="296">
        <f t="shared" si="136"/>
        <v>0.21786666666666651</v>
      </c>
      <c r="AF279" s="296">
        <f t="shared" si="136"/>
        <v>0.21993333333333318</v>
      </c>
      <c r="AG279" s="275">
        <v>0.222</v>
      </c>
      <c r="AI279" s="201"/>
      <c r="AJ279" t="s">
        <v>1614</v>
      </c>
    </row>
    <row r="280" spans="1:36" outlineLevel="1">
      <c r="A280" s="3" t="s">
        <v>697</v>
      </c>
      <c r="B280" s="281" t="s">
        <v>126</v>
      </c>
      <c r="C280" s="275">
        <v>0.37</v>
      </c>
      <c r="D280" s="296">
        <f t="shared" si="137"/>
        <v>0.36270000000000002</v>
      </c>
      <c r="E280" s="296">
        <f t="shared" si="137"/>
        <v>0.35540000000000005</v>
      </c>
      <c r="F280" s="296">
        <f t="shared" si="137"/>
        <v>0.34810000000000008</v>
      </c>
      <c r="G280" s="296">
        <f t="shared" si="137"/>
        <v>0.3408000000000001</v>
      </c>
      <c r="H280" s="296">
        <f t="shared" si="137"/>
        <v>0.33350000000000013</v>
      </c>
      <c r="I280" s="296">
        <f t="shared" si="137"/>
        <v>0.32620000000000016</v>
      </c>
      <c r="J280" s="296">
        <f t="shared" si="137"/>
        <v>0.31890000000000018</v>
      </c>
      <c r="K280" s="296">
        <f t="shared" si="137"/>
        <v>0.31160000000000021</v>
      </c>
      <c r="L280" s="296">
        <f t="shared" si="137"/>
        <v>0.30430000000000024</v>
      </c>
      <c r="M280" s="296">
        <f t="shared" si="137"/>
        <v>0.29700000000000026</v>
      </c>
      <c r="N280" s="296">
        <f t="shared" si="137"/>
        <v>0.28970000000000029</v>
      </c>
      <c r="O280" s="296">
        <f t="shared" si="137"/>
        <v>0.28240000000000032</v>
      </c>
      <c r="P280" s="296">
        <f t="shared" si="137"/>
        <v>0.27510000000000034</v>
      </c>
      <c r="Q280" s="296">
        <f t="shared" si="137"/>
        <v>0.26780000000000037</v>
      </c>
      <c r="R280" s="296">
        <f t="shared" si="137"/>
        <v>0.2605000000000004</v>
      </c>
      <c r="S280" s="296">
        <f t="shared" si="137"/>
        <v>0.25320000000000042</v>
      </c>
      <c r="T280" s="296">
        <f t="shared" si="136"/>
        <v>0.24590000000000042</v>
      </c>
      <c r="U280" s="296">
        <f t="shared" si="136"/>
        <v>0.23860000000000042</v>
      </c>
      <c r="V280" s="296">
        <f t="shared" si="136"/>
        <v>0.23130000000000042</v>
      </c>
      <c r="W280" s="296">
        <f t="shared" si="136"/>
        <v>0.22400000000000042</v>
      </c>
      <c r="X280" s="296">
        <f t="shared" si="136"/>
        <v>0.21670000000000042</v>
      </c>
      <c r="Y280" s="296">
        <f t="shared" si="136"/>
        <v>0.20940000000000042</v>
      </c>
      <c r="Z280" s="296">
        <f t="shared" si="136"/>
        <v>0.20210000000000042</v>
      </c>
      <c r="AA280" s="296">
        <f t="shared" si="136"/>
        <v>0.19480000000000042</v>
      </c>
      <c r="AB280" s="296">
        <f t="shared" si="136"/>
        <v>0.18750000000000042</v>
      </c>
      <c r="AC280" s="296">
        <f t="shared" si="136"/>
        <v>0.18020000000000042</v>
      </c>
      <c r="AD280" s="296">
        <f t="shared" si="136"/>
        <v>0.17290000000000041</v>
      </c>
      <c r="AE280" s="296">
        <f t="shared" si="136"/>
        <v>0.16560000000000041</v>
      </c>
      <c r="AF280" s="296">
        <f t="shared" si="136"/>
        <v>0.15830000000000041</v>
      </c>
      <c r="AG280" s="275">
        <v>0.151</v>
      </c>
      <c r="AI280" s="201"/>
      <c r="AJ280" t="s">
        <v>1614</v>
      </c>
    </row>
    <row r="281" spans="1:36" outlineLevel="1">
      <c r="A281" s="3" t="s">
        <v>699</v>
      </c>
      <c r="B281" s="281" t="s">
        <v>126</v>
      </c>
      <c r="C281" s="275">
        <v>0.08</v>
      </c>
      <c r="D281" s="296">
        <f t="shared" si="137"/>
        <v>8.0100000000000005E-2</v>
      </c>
      <c r="E281" s="296">
        <f t="shared" si="137"/>
        <v>8.0200000000000007E-2</v>
      </c>
      <c r="F281" s="296">
        <f t="shared" si="137"/>
        <v>8.030000000000001E-2</v>
      </c>
      <c r="G281" s="296">
        <f t="shared" si="137"/>
        <v>8.0400000000000013E-2</v>
      </c>
      <c r="H281" s="296">
        <f t="shared" si="137"/>
        <v>8.0500000000000016E-2</v>
      </c>
      <c r="I281" s="296">
        <f t="shared" si="137"/>
        <v>8.0600000000000019E-2</v>
      </c>
      <c r="J281" s="296">
        <f t="shared" si="137"/>
        <v>8.0700000000000022E-2</v>
      </c>
      <c r="K281" s="296">
        <f t="shared" si="137"/>
        <v>8.0800000000000025E-2</v>
      </c>
      <c r="L281" s="296">
        <f t="shared" si="137"/>
        <v>8.0900000000000027E-2</v>
      </c>
      <c r="M281" s="296">
        <f t="shared" si="137"/>
        <v>8.100000000000003E-2</v>
      </c>
      <c r="N281" s="296">
        <f t="shared" si="137"/>
        <v>8.1100000000000033E-2</v>
      </c>
      <c r="O281" s="296">
        <f t="shared" si="137"/>
        <v>8.1200000000000036E-2</v>
      </c>
      <c r="P281" s="296">
        <f t="shared" si="137"/>
        <v>8.1300000000000039E-2</v>
      </c>
      <c r="Q281" s="296">
        <f t="shared" si="137"/>
        <v>8.1400000000000042E-2</v>
      </c>
      <c r="R281" s="296">
        <f t="shared" si="137"/>
        <v>8.1500000000000045E-2</v>
      </c>
      <c r="S281" s="296">
        <f t="shared" si="137"/>
        <v>8.1600000000000047E-2</v>
      </c>
      <c r="T281" s="296">
        <f t="shared" si="136"/>
        <v>8.170000000000005E-2</v>
      </c>
      <c r="U281" s="296">
        <f t="shared" si="136"/>
        <v>8.1800000000000053E-2</v>
      </c>
      <c r="V281" s="296">
        <f t="shared" si="136"/>
        <v>8.1900000000000056E-2</v>
      </c>
      <c r="W281" s="296">
        <f t="shared" si="136"/>
        <v>8.2000000000000059E-2</v>
      </c>
      <c r="X281" s="296">
        <f t="shared" si="136"/>
        <v>8.2100000000000062E-2</v>
      </c>
      <c r="Y281" s="296">
        <f t="shared" si="136"/>
        <v>8.2200000000000065E-2</v>
      </c>
      <c r="Z281" s="296">
        <f t="shared" si="136"/>
        <v>8.2300000000000068E-2</v>
      </c>
      <c r="AA281" s="296">
        <f t="shared" si="136"/>
        <v>8.240000000000007E-2</v>
      </c>
      <c r="AB281" s="296">
        <f t="shared" si="136"/>
        <v>8.2500000000000073E-2</v>
      </c>
      <c r="AC281" s="296">
        <f t="shared" si="136"/>
        <v>8.2600000000000076E-2</v>
      </c>
      <c r="AD281" s="296">
        <f t="shared" si="136"/>
        <v>8.2700000000000079E-2</v>
      </c>
      <c r="AE281" s="296">
        <f t="shared" si="136"/>
        <v>8.2800000000000082E-2</v>
      </c>
      <c r="AF281" s="296">
        <f t="shared" si="136"/>
        <v>8.2900000000000085E-2</v>
      </c>
      <c r="AG281" s="275">
        <v>8.3000000000000004E-2</v>
      </c>
      <c r="AI281" s="201"/>
      <c r="AJ281" t="s">
        <v>1614</v>
      </c>
    </row>
    <row r="282" spans="1:36" outlineLevel="1">
      <c r="A282" s="3" t="s">
        <v>700</v>
      </c>
      <c r="B282" s="281" t="s">
        <v>126</v>
      </c>
      <c r="C282" s="275">
        <v>0.27</v>
      </c>
      <c r="D282" s="296">
        <f t="shared" si="137"/>
        <v>0.27313333333333334</v>
      </c>
      <c r="E282" s="296">
        <f t="shared" si="137"/>
        <v>0.27626666666666666</v>
      </c>
      <c r="F282" s="296">
        <f t="shared" si="137"/>
        <v>0.27939999999999998</v>
      </c>
      <c r="G282" s="296">
        <f t="shared" si="137"/>
        <v>0.2825333333333333</v>
      </c>
      <c r="H282" s="296">
        <f t="shared" si="137"/>
        <v>0.28566666666666662</v>
      </c>
      <c r="I282" s="296">
        <f t="shared" si="137"/>
        <v>0.28879999999999995</v>
      </c>
      <c r="J282" s="296">
        <f t="shared" si="137"/>
        <v>0.29193333333333327</v>
      </c>
      <c r="K282" s="296">
        <f t="shared" si="137"/>
        <v>0.29506666666666659</v>
      </c>
      <c r="L282" s="296">
        <f t="shared" si="137"/>
        <v>0.29819999999999991</v>
      </c>
      <c r="M282" s="296">
        <f t="shared" si="137"/>
        <v>0.30133333333333323</v>
      </c>
      <c r="N282" s="296">
        <f t="shared" si="137"/>
        <v>0.30446666666666655</v>
      </c>
      <c r="O282" s="296">
        <f t="shared" si="137"/>
        <v>0.30759999999999987</v>
      </c>
      <c r="P282" s="296">
        <f t="shared" si="137"/>
        <v>0.31073333333333319</v>
      </c>
      <c r="Q282" s="296">
        <f t="shared" si="137"/>
        <v>0.31386666666666652</v>
      </c>
      <c r="R282" s="296">
        <f t="shared" si="137"/>
        <v>0.31699999999999984</v>
      </c>
      <c r="S282" s="296">
        <f t="shared" si="137"/>
        <v>0.32013333333333316</v>
      </c>
      <c r="T282" s="296">
        <f t="shared" si="136"/>
        <v>0.32326666666666648</v>
      </c>
      <c r="U282" s="296">
        <f t="shared" si="136"/>
        <v>0.3263999999999998</v>
      </c>
      <c r="V282" s="296">
        <f t="shared" si="136"/>
        <v>0.32953333333333312</v>
      </c>
      <c r="W282" s="296">
        <f t="shared" si="136"/>
        <v>0.33266666666666644</v>
      </c>
      <c r="X282" s="296">
        <f t="shared" si="136"/>
        <v>0.33579999999999977</v>
      </c>
      <c r="Y282" s="296">
        <f t="shared" si="136"/>
        <v>0.33893333333333309</v>
      </c>
      <c r="Z282" s="296">
        <f t="shared" si="136"/>
        <v>0.34206666666666641</v>
      </c>
      <c r="AA282" s="296">
        <f t="shared" si="136"/>
        <v>0.34519999999999973</v>
      </c>
      <c r="AB282" s="296">
        <f t="shared" si="136"/>
        <v>0.34833333333333305</v>
      </c>
      <c r="AC282" s="296">
        <f t="shared" si="136"/>
        <v>0.35146666666666637</v>
      </c>
      <c r="AD282" s="296">
        <f t="shared" si="136"/>
        <v>0.35459999999999969</v>
      </c>
      <c r="AE282" s="296">
        <f t="shared" si="136"/>
        <v>0.35773333333333301</v>
      </c>
      <c r="AF282" s="296">
        <f t="shared" si="136"/>
        <v>0.36086666666666634</v>
      </c>
      <c r="AG282" s="275">
        <v>0.36399999999999999</v>
      </c>
      <c r="AI282" s="201"/>
      <c r="AJ282" t="s">
        <v>1614</v>
      </c>
    </row>
    <row r="283" spans="1:36" outlineLevel="1">
      <c r="A283" s="3" t="s">
        <v>701</v>
      </c>
      <c r="B283" s="281" t="s">
        <v>126</v>
      </c>
      <c r="C283" s="275">
        <v>7.0000000000000007E-2</v>
      </c>
      <c r="D283" s="296">
        <f t="shared" si="137"/>
        <v>7.1266666666666673E-2</v>
      </c>
      <c r="E283" s="296">
        <f t="shared" si="137"/>
        <v>7.2533333333333339E-2</v>
      </c>
      <c r="F283" s="296">
        <f t="shared" si="137"/>
        <v>7.3800000000000004E-2</v>
      </c>
      <c r="G283" s="296">
        <f t="shared" si="137"/>
        <v>7.506666666666667E-2</v>
      </c>
      <c r="H283" s="296">
        <f t="shared" si="137"/>
        <v>7.6333333333333336E-2</v>
      </c>
      <c r="I283" s="296">
        <f t="shared" si="137"/>
        <v>7.7600000000000002E-2</v>
      </c>
      <c r="J283" s="296">
        <f t="shared" si="137"/>
        <v>7.8866666666666668E-2</v>
      </c>
      <c r="K283" s="296">
        <f t="shared" si="137"/>
        <v>8.0133333333333334E-2</v>
      </c>
      <c r="L283" s="296">
        <f t="shared" si="137"/>
        <v>8.14E-2</v>
      </c>
      <c r="M283" s="296">
        <f t="shared" si="137"/>
        <v>8.2666666666666666E-2</v>
      </c>
      <c r="N283" s="296">
        <f t="shared" si="137"/>
        <v>8.3933333333333332E-2</v>
      </c>
      <c r="O283" s="296">
        <f t="shared" si="137"/>
        <v>8.5199999999999998E-2</v>
      </c>
      <c r="P283" s="296">
        <f t="shared" si="137"/>
        <v>8.6466666666666664E-2</v>
      </c>
      <c r="Q283" s="296">
        <f t="shared" si="137"/>
        <v>8.773333333333333E-2</v>
      </c>
      <c r="R283" s="296">
        <f t="shared" si="137"/>
        <v>8.8999999999999996E-2</v>
      </c>
      <c r="S283" s="296">
        <f t="shared" si="137"/>
        <v>9.0266666666666662E-2</v>
      </c>
      <c r="T283" s="296">
        <f t="shared" si="136"/>
        <v>9.1533333333333328E-2</v>
      </c>
      <c r="U283" s="296">
        <f t="shared" si="136"/>
        <v>9.2799999999999994E-2</v>
      </c>
      <c r="V283" s="296">
        <f t="shared" si="136"/>
        <v>9.406666666666666E-2</v>
      </c>
      <c r="W283" s="296">
        <f t="shared" si="136"/>
        <v>9.5333333333333325E-2</v>
      </c>
      <c r="X283" s="296">
        <f t="shared" si="136"/>
        <v>9.6599999999999991E-2</v>
      </c>
      <c r="Y283" s="296">
        <f t="shared" si="136"/>
        <v>9.7866666666666657E-2</v>
      </c>
      <c r="Z283" s="296">
        <f t="shared" si="136"/>
        <v>9.9133333333333323E-2</v>
      </c>
      <c r="AA283" s="296">
        <f t="shared" si="136"/>
        <v>0.10039999999999999</v>
      </c>
      <c r="AB283" s="296">
        <f t="shared" si="136"/>
        <v>0.10166666666666666</v>
      </c>
      <c r="AC283" s="296">
        <f t="shared" si="136"/>
        <v>0.10293333333333332</v>
      </c>
      <c r="AD283" s="296">
        <f t="shared" si="136"/>
        <v>0.10419999999999999</v>
      </c>
      <c r="AE283" s="296">
        <f t="shared" si="136"/>
        <v>0.10546666666666665</v>
      </c>
      <c r="AF283" s="296">
        <f t="shared" si="136"/>
        <v>0.10673333333333332</v>
      </c>
      <c r="AG283" s="275">
        <v>0.108</v>
      </c>
      <c r="AI283" s="201"/>
      <c r="AJ283" t="s">
        <v>1614</v>
      </c>
    </row>
    <row r="284" spans="1:36" outlineLevel="1">
      <c r="A284" s="3" t="s">
        <v>702</v>
      </c>
      <c r="B284" s="281" t="s">
        <v>126</v>
      </c>
      <c r="C284" s="275">
        <v>0.05</v>
      </c>
      <c r="D284" s="296">
        <f t="shared" si="137"/>
        <v>5.0733333333333339E-2</v>
      </c>
      <c r="E284" s="296">
        <f t="shared" si="137"/>
        <v>5.1466666666666674E-2</v>
      </c>
      <c r="F284" s="296">
        <f t="shared" si="137"/>
        <v>5.220000000000001E-2</v>
      </c>
      <c r="G284" s="296">
        <f t="shared" si="137"/>
        <v>5.2933333333333346E-2</v>
      </c>
      <c r="H284" s="296">
        <f t="shared" si="137"/>
        <v>5.3666666666666682E-2</v>
      </c>
      <c r="I284" s="296">
        <f t="shared" si="137"/>
        <v>5.4400000000000018E-2</v>
      </c>
      <c r="J284" s="296">
        <f t="shared" si="137"/>
        <v>5.5133333333333354E-2</v>
      </c>
      <c r="K284" s="296">
        <f t="shared" si="137"/>
        <v>5.5866666666666689E-2</v>
      </c>
      <c r="L284" s="296">
        <f t="shared" si="137"/>
        <v>5.6600000000000025E-2</v>
      </c>
      <c r="M284" s="296">
        <f t="shared" si="137"/>
        <v>5.7333333333333361E-2</v>
      </c>
      <c r="N284" s="296">
        <f t="shared" si="137"/>
        <v>5.8066666666666697E-2</v>
      </c>
      <c r="O284" s="296">
        <f t="shared" si="137"/>
        <v>5.8800000000000033E-2</v>
      </c>
      <c r="P284" s="296">
        <f t="shared" si="137"/>
        <v>5.9533333333333369E-2</v>
      </c>
      <c r="Q284" s="296">
        <f t="shared" si="137"/>
        <v>6.0266666666666704E-2</v>
      </c>
      <c r="R284" s="296">
        <f t="shared" si="137"/>
        <v>6.100000000000004E-2</v>
      </c>
      <c r="S284" s="296">
        <f t="shared" si="137"/>
        <v>6.1733333333333376E-2</v>
      </c>
      <c r="T284" s="296">
        <f t="shared" si="136"/>
        <v>6.2466666666666712E-2</v>
      </c>
      <c r="U284" s="296">
        <f t="shared" si="136"/>
        <v>6.3200000000000048E-2</v>
      </c>
      <c r="V284" s="296">
        <f t="shared" si="136"/>
        <v>6.3933333333333384E-2</v>
      </c>
      <c r="W284" s="296">
        <f t="shared" si="136"/>
        <v>6.4666666666666719E-2</v>
      </c>
      <c r="X284" s="296">
        <f t="shared" si="136"/>
        <v>6.5400000000000055E-2</v>
      </c>
      <c r="Y284" s="296">
        <f t="shared" si="136"/>
        <v>6.6133333333333391E-2</v>
      </c>
      <c r="Z284" s="296">
        <f t="shared" si="136"/>
        <v>6.6866666666666727E-2</v>
      </c>
      <c r="AA284" s="296">
        <f t="shared" si="136"/>
        <v>6.7600000000000063E-2</v>
      </c>
      <c r="AB284" s="296">
        <f t="shared" si="136"/>
        <v>6.8333333333333399E-2</v>
      </c>
      <c r="AC284" s="296">
        <f t="shared" si="136"/>
        <v>6.9066666666666734E-2</v>
      </c>
      <c r="AD284" s="296">
        <f t="shared" si="136"/>
        <v>6.980000000000007E-2</v>
      </c>
      <c r="AE284" s="296">
        <f t="shared" si="136"/>
        <v>7.0533333333333406E-2</v>
      </c>
      <c r="AF284" s="296">
        <f t="shared" si="136"/>
        <v>7.1266666666666742E-2</v>
      </c>
      <c r="AG284" s="275">
        <v>7.1999999999999995E-2</v>
      </c>
      <c r="AI284" s="201"/>
      <c r="AJ284" t="s">
        <v>1614</v>
      </c>
    </row>
    <row r="285" spans="1:36" s="55" customFormat="1" outlineLevel="1">
      <c r="A285" s="285" t="s">
        <v>704</v>
      </c>
      <c r="B285" s="282"/>
      <c r="C285" s="283"/>
      <c r="D285" s="283"/>
      <c r="E285" s="283"/>
      <c r="F285" s="283"/>
      <c r="G285" s="283"/>
      <c r="H285" s="283"/>
      <c r="I285" s="283"/>
      <c r="J285" s="283"/>
      <c r="K285" s="283"/>
      <c r="L285" s="283"/>
      <c r="M285" s="283"/>
      <c r="N285" s="283"/>
      <c r="O285" s="283"/>
      <c r="P285" s="283"/>
      <c r="Q285" s="283"/>
      <c r="R285" s="283"/>
      <c r="S285" s="283"/>
      <c r="T285" s="283"/>
      <c r="U285" s="283"/>
      <c r="V285" s="283"/>
      <c r="W285" s="283"/>
      <c r="X285" s="283"/>
      <c r="Y285" s="283"/>
      <c r="Z285" s="283"/>
      <c r="AA285" s="283"/>
      <c r="AB285" s="283"/>
      <c r="AC285" s="283"/>
      <c r="AD285" s="283"/>
      <c r="AE285" s="283"/>
      <c r="AF285" s="283"/>
      <c r="AG285" s="283"/>
      <c r="AI285" s="284"/>
      <c r="AJ285" s="285"/>
    </row>
    <row r="286" spans="1:36" s="55" customFormat="1" outlineLevel="1">
      <c r="A286" s="286" t="s">
        <v>732</v>
      </c>
      <c r="B286" s="287" t="s">
        <v>126</v>
      </c>
      <c r="C286" s="314">
        <v>0.84</v>
      </c>
      <c r="D286" s="315">
        <f>-($C286-$AG286)/30+C286</f>
        <v>0.84399999999999997</v>
      </c>
      <c r="E286" s="315">
        <f t="shared" ref="E286:AF287" si="138">-($C286-$AG286)/30+D286</f>
        <v>0.84799999999999998</v>
      </c>
      <c r="F286" s="315">
        <f t="shared" si="138"/>
        <v>0.85199999999999998</v>
      </c>
      <c r="G286" s="315">
        <f t="shared" si="138"/>
        <v>0.85599999999999998</v>
      </c>
      <c r="H286" s="315">
        <f t="shared" si="138"/>
        <v>0.86</v>
      </c>
      <c r="I286" s="315">
        <f t="shared" si="138"/>
        <v>0.86399999999999999</v>
      </c>
      <c r="J286" s="315">
        <f t="shared" si="138"/>
        <v>0.86799999999999999</v>
      </c>
      <c r="K286" s="315">
        <f t="shared" si="138"/>
        <v>0.872</v>
      </c>
      <c r="L286" s="315">
        <f t="shared" si="138"/>
        <v>0.876</v>
      </c>
      <c r="M286" s="315">
        <f t="shared" si="138"/>
        <v>0.88</v>
      </c>
      <c r="N286" s="315">
        <f t="shared" si="138"/>
        <v>0.88400000000000001</v>
      </c>
      <c r="O286" s="315">
        <f t="shared" si="138"/>
        <v>0.88800000000000001</v>
      </c>
      <c r="P286" s="315">
        <f t="shared" si="138"/>
        <v>0.89200000000000002</v>
      </c>
      <c r="Q286" s="315">
        <f t="shared" si="138"/>
        <v>0.89600000000000002</v>
      </c>
      <c r="R286" s="315">
        <f t="shared" si="138"/>
        <v>0.9</v>
      </c>
      <c r="S286" s="315">
        <f t="shared" si="138"/>
        <v>0.90400000000000003</v>
      </c>
      <c r="T286" s="315">
        <f t="shared" si="138"/>
        <v>0.90800000000000003</v>
      </c>
      <c r="U286" s="315">
        <f t="shared" si="138"/>
        <v>0.91200000000000003</v>
      </c>
      <c r="V286" s="315">
        <f t="shared" si="138"/>
        <v>0.91600000000000004</v>
      </c>
      <c r="W286" s="315">
        <f t="shared" si="138"/>
        <v>0.92</v>
      </c>
      <c r="X286" s="315">
        <f t="shared" si="138"/>
        <v>0.92400000000000004</v>
      </c>
      <c r="Y286" s="315">
        <f t="shared" si="138"/>
        <v>0.92800000000000005</v>
      </c>
      <c r="Z286" s="315">
        <f t="shared" si="138"/>
        <v>0.93200000000000005</v>
      </c>
      <c r="AA286" s="315">
        <f t="shared" si="138"/>
        <v>0.93600000000000005</v>
      </c>
      <c r="AB286" s="315">
        <f t="shared" si="138"/>
        <v>0.94000000000000006</v>
      </c>
      <c r="AC286" s="315">
        <f t="shared" si="138"/>
        <v>0.94400000000000006</v>
      </c>
      <c r="AD286" s="315">
        <f t="shared" si="138"/>
        <v>0.94800000000000006</v>
      </c>
      <c r="AE286" s="315">
        <f t="shared" si="138"/>
        <v>0.95200000000000007</v>
      </c>
      <c r="AF286" s="315">
        <f t="shared" si="138"/>
        <v>0.95600000000000007</v>
      </c>
      <c r="AG286" s="314">
        <v>0.96</v>
      </c>
      <c r="AI286" s="284"/>
      <c r="AJ286" s="316" t="s">
        <v>1614</v>
      </c>
    </row>
    <row r="287" spans="1:36" s="55" customFormat="1" outlineLevel="1">
      <c r="A287" s="286" t="s">
        <v>743</v>
      </c>
      <c r="B287" s="287" t="s">
        <v>126</v>
      </c>
      <c r="C287" s="314">
        <v>0.22</v>
      </c>
      <c r="D287" s="315">
        <f>-($C287-$AG287)/30+C287</f>
        <v>0.22666666666666666</v>
      </c>
      <c r="E287" s="315">
        <f t="shared" si="138"/>
        <v>0.23333333333333331</v>
      </c>
      <c r="F287" s="315">
        <f t="shared" si="138"/>
        <v>0.23999999999999996</v>
      </c>
      <c r="G287" s="315">
        <f t="shared" si="138"/>
        <v>0.24666666666666662</v>
      </c>
      <c r="H287" s="315">
        <f t="shared" si="138"/>
        <v>0.2533333333333333</v>
      </c>
      <c r="I287" s="315">
        <f t="shared" si="138"/>
        <v>0.25999999999999995</v>
      </c>
      <c r="J287" s="315">
        <f t="shared" si="138"/>
        <v>0.26666666666666661</v>
      </c>
      <c r="K287" s="315">
        <f t="shared" si="138"/>
        <v>0.27333333333333326</v>
      </c>
      <c r="L287" s="315">
        <f t="shared" si="138"/>
        <v>0.27999999999999992</v>
      </c>
      <c r="M287" s="315">
        <f t="shared" si="138"/>
        <v>0.28666666666666657</v>
      </c>
      <c r="N287" s="315">
        <f t="shared" si="138"/>
        <v>0.29333333333333322</v>
      </c>
      <c r="O287" s="315">
        <f t="shared" si="138"/>
        <v>0.29999999999999988</v>
      </c>
      <c r="P287" s="315">
        <f t="shared" si="138"/>
        <v>0.30666666666666653</v>
      </c>
      <c r="Q287" s="315">
        <f t="shared" si="138"/>
        <v>0.31333333333333319</v>
      </c>
      <c r="R287" s="315">
        <f t="shared" si="138"/>
        <v>0.31999999999999984</v>
      </c>
      <c r="S287" s="315">
        <f t="shared" si="138"/>
        <v>0.32666666666666649</v>
      </c>
      <c r="T287" s="315">
        <f t="shared" si="138"/>
        <v>0.33333333333333315</v>
      </c>
      <c r="U287" s="315">
        <f t="shared" si="138"/>
        <v>0.3399999999999998</v>
      </c>
      <c r="V287" s="315">
        <f t="shared" si="138"/>
        <v>0.34666666666666646</v>
      </c>
      <c r="W287" s="315">
        <f t="shared" si="138"/>
        <v>0.35333333333333311</v>
      </c>
      <c r="X287" s="315">
        <f t="shared" si="138"/>
        <v>0.35999999999999976</v>
      </c>
      <c r="Y287" s="315">
        <f t="shared" si="138"/>
        <v>0.36666666666666642</v>
      </c>
      <c r="Z287" s="315">
        <f t="shared" si="138"/>
        <v>0.37333333333333307</v>
      </c>
      <c r="AA287" s="315">
        <f t="shared" si="138"/>
        <v>0.37999999999999973</v>
      </c>
      <c r="AB287" s="315">
        <f t="shared" si="138"/>
        <v>0.38666666666666638</v>
      </c>
      <c r="AC287" s="315">
        <f t="shared" si="138"/>
        <v>0.39333333333333304</v>
      </c>
      <c r="AD287" s="315">
        <f t="shared" si="138"/>
        <v>0.39999999999999969</v>
      </c>
      <c r="AE287" s="315">
        <f t="shared" si="138"/>
        <v>0.40666666666666634</v>
      </c>
      <c r="AF287" s="315">
        <f t="shared" si="138"/>
        <v>0.413333333333333</v>
      </c>
      <c r="AG287" s="314">
        <v>0.42</v>
      </c>
      <c r="AI287" s="284"/>
      <c r="AJ287" s="316" t="s">
        <v>1614</v>
      </c>
    </row>
    <row r="288" spans="1:36" s="59" customFormat="1" outlineLevel="1">
      <c r="A288" s="290" t="s">
        <v>744</v>
      </c>
      <c r="B288" s="291" t="s">
        <v>126</v>
      </c>
      <c r="C288" s="317">
        <f>1-C287</f>
        <v>0.78</v>
      </c>
      <c r="D288" s="317">
        <f t="shared" ref="D288:AG288" si="139">1-D287</f>
        <v>0.77333333333333332</v>
      </c>
      <c r="E288" s="317">
        <f t="shared" si="139"/>
        <v>0.76666666666666672</v>
      </c>
      <c r="F288" s="317">
        <f t="shared" si="139"/>
        <v>0.76</v>
      </c>
      <c r="G288" s="317">
        <f t="shared" si="139"/>
        <v>0.75333333333333341</v>
      </c>
      <c r="H288" s="317">
        <f t="shared" si="139"/>
        <v>0.7466666666666667</v>
      </c>
      <c r="I288" s="317">
        <f t="shared" si="139"/>
        <v>0.74</v>
      </c>
      <c r="J288" s="317">
        <f t="shared" si="139"/>
        <v>0.73333333333333339</v>
      </c>
      <c r="K288" s="317">
        <f t="shared" si="139"/>
        <v>0.72666666666666679</v>
      </c>
      <c r="L288" s="317">
        <f t="shared" si="139"/>
        <v>0.72000000000000008</v>
      </c>
      <c r="M288" s="317">
        <f t="shared" si="139"/>
        <v>0.71333333333333337</v>
      </c>
      <c r="N288" s="317">
        <f t="shared" si="139"/>
        <v>0.70666666666666678</v>
      </c>
      <c r="O288" s="317">
        <f t="shared" si="139"/>
        <v>0.70000000000000018</v>
      </c>
      <c r="P288" s="317">
        <f t="shared" si="139"/>
        <v>0.69333333333333347</v>
      </c>
      <c r="Q288" s="317">
        <f t="shared" si="139"/>
        <v>0.68666666666666676</v>
      </c>
      <c r="R288" s="317">
        <f t="shared" si="139"/>
        <v>0.68000000000000016</v>
      </c>
      <c r="S288" s="317">
        <f t="shared" si="139"/>
        <v>0.67333333333333356</v>
      </c>
      <c r="T288" s="317">
        <f t="shared" si="139"/>
        <v>0.66666666666666685</v>
      </c>
      <c r="U288" s="317">
        <f t="shared" si="139"/>
        <v>0.66000000000000014</v>
      </c>
      <c r="V288" s="317">
        <f t="shared" si="139"/>
        <v>0.65333333333333354</v>
      </c>
      <c r="W288" s="317">
        <f t="shared" si="139"/>
        <v>0.64666666666666694</v>
      </c>
      <c r="X288" s="317">
        <f t="shared" si="139"/>
        <v>0.64000000000000024</v>
      </c>
      <c r="Y288" s="317">
        <f t="shared" si="139"/>
        <v>0.63333333333333353</v>
      </c>
      <c r="Z288" s="317">
        <f t="shared" si="139"/>
        <v>0.62666666666666693</v>
      </c>
      <c r="AA288" s="317">
        <f t="shared" si="139"/>
        <v>0.62000000000000033</v>
      </c>
      <c r="AB288" s="317">
        <f t="shared" si="139"/>
        <v>0.61333333333333362</v>
      </c>
      <c r="AC288" s="317">
        <f t="shared" si="139"/>
        <v>0.60666666666666691</v>
      </c>
      <c r="AD288" s="317">
        <f t="shared" si="139"/>
        <v>0.60000000000000031</v>
      </c>
      <c r="AE288" s="317">
        <f t="shared" si="139"/>
        <v>0.59333333333333371</v>
      </c>
      <c r="AF288" s="317">
        <f t="shared" si="139"/>
        <v>0.586666666666667</v>
      </c>
      <c r="AG288" s="317">
        <f t="shared" si="139"/>
        <v>0.58000000000000007</v>
      </c>
      <c r="AI288" s="319"/>
      <c r="AJ288" s="318" t="s">
        <v>1614</v>
      </c>
    </row>
    <row r="289" spans="1:36" s="1" customFormat="1" outlineLevel="1">
      <c r="A289" t="s">
        <v>725</v>
      </c>
      <c r="B289" s="281" t="s">
        <v>126</v>
      </c>
      <c r="C289" s="275">
        <v>0.85</v>
      </c>
      <c r="D289" s="296">
        <f t="shared" ref="D289:S304" si="140">-($C289-$AG289)/30+C289</f>
        <v>0.84833333333333327</v>
      </c>
      <c r="E289" s="296">
        <f t="shared" si="140"/>
        <v>0.84666666666666657</v>
      </c>
      <c r="F289" s="296">
        <f t="shared" si="140"/>
        <v>0.84499999999999986</v>
      </c>
      <c r="G289" s="296">
        <f t="shared" si="140"/>
        <v>0.84333333333333316</v>
      </c>
      <c r="H289" s="296">
        <f t="shared" si="140"/>
        <v>0.84166666666666645</v>
      </c>
      <c r="I289" s="296">
        <f t="shared" si="140"/>
        <v>0.83999999999999975</v>
      </c>
      <c r="J289" s="296">
        <f t="shared" si="140"/>
        <v>0.83833333333333304</v>
      </c>
      <c r="K289" s="296">
        <f t="shared" si="140"/>
        <v>0.83666666666666634</v>
      </c>
      <c r="L289" s="296">
        <f t="shared" si="140"/>
        <v>0.83499999999999963</v>
      </c>
      <c r="M289" s="296">
        <f t="shared" si="140"/>
        <v>0.83333333333333293</v>
      </c>
      <c r="N289" s="296">
        <f t="shared" si="140"/>
        <v>0.83166666666666622</v>
      </c>
      <c r="O289" s="296">
        <f t="shared" si="140"/>
        <v>0.82999999999999952</v>
      </c>
      <c r="P289" s="296">
        <f t="shared" si="140"/>
        <v>0.82833333333333281</v>
      </c>
      <c r="Q289" s="296">
        <f t="shared" si="140"/>
        <v>0.82666666666666611</v>
      </c>
      <c r="R289" s="296">
        <f t="shared" si="140"/>
        <v>0.8249999999999994</v>
      </c>
      <c r="S289" s="296">
        <f t="shared" si="140"/>
        <v>0.8233333333333327</v>
      </c>
      <c r="T289" s="296">
        <f t="shared" ref="T289:AF303" si="141">-($C289-$AG289)/30+S289</f>
        <v>0.82166666666666599</v>
      </c>
      <c r="U289" s="296">
        <f t="shared" si="141"/>
        <v>0.81999999999999929</v>
      </c>
      <c r="V289" s="296">
        <f t="shared" si="141"/>
        <v>0.81833333333333258</v>
      </c>
      <c r="W289" s="296">
        <f t="shared" si="141"/>
        <v>0.81666666666666587</v>
      </c>
      <c r="X289" s="296">
        <f t="shared" si="141"/>
        <v>0.81499999999999917</v>
      </c>
      <c r="Y289" s="296">
        <f t="shared" si="141"/>
        <v>0.81333333333333246</v>
      </c>
      <c r="Z289" s="296">
        <f t="shared" si="141"/>
        <v>0.81166666666666576</v>
      </c>
      <c r="AA289" s="296">
        <f t="shared" si="141"/>
        <v>0.80999999999999905</v>
      </c>
      <c r="AB289" s="296">
        <f t="shared" si="141"/>
        <v>0.80833333333333235</v>
      </c>
      <c r="AC289" s="296">
        <f t="shared" si="141"/>
        <v>0.80666666666666564</v>
      </c>
      <c r="AD289" s="296">
        <f t="shared" si="141"/>
        <v>0.80499999999999894</v>
      </c>
      <c r="AE289" s="296">
        <f t="shared" si="141"/>
        <v>0.80333333333333223</v>
      </c>
      <c r="AF289" s="296">
        <f t="shared" si="141"/>
        <v>0.80166666666666553</v>
      </c>
      <c r="AG289" s="275">
        <v>0.8</v>
      </c>
      <c r="AI289" s="295"/>
      <c r="AJ289" s="198" t="s">
        <v>1614</v>
      </c>
    </row>
    <row r="290" spans="1:36" s="1" customFormat="1" outlineLevel="1">
      <c r="A290" t="s">
        <v>731</v>
      </c>
      <c r="B290" s="281" t="s">
        <v>126</v>
      </c>
      <c r="C290" s="275">
        <v>0.15</v>
      </c>
      <c r="D290" s="296">
        <f t="shared" si="140"/>
        <v>0.15166666666666667</v>
      </c>
      <c r="E290" s="296">
        <f t="shared" si="140"/>
        <v>0.15333333333333335</v>
      </c>
      <c r="F290" s="296">
        <f t="shared" si="140"/>
        <v>0.15500000000000003</v>
      </c>
      <c r="G290" s="296">
        <f t="shared" si="140"/>
        <v>0.1566666666666667</v>
      </c>
      <c r="H290" s="296">
        <f t="shared" si="140"/>
        <v>0.15833333333333338</v>
      </c>
      <c r="I290" s="296">
        <f t="shared" si="140"/>
        <v>0.16000000000000006</v>
      </c>
      <c r="J290" s="296">
        <f t="shared" si="140"/>
        <v>0.16166666666666674</v>
      </c>
      <c r="K290" s="296">
        <f t="shared" si="140"/>
        <v>0.16333333333333341</v>
      </c>
      <c r="L290" s="296">
        <f t="shared" si="140"/>
        <v>0.16500000000000009</v>
      </c>
      <c r="M290" s="296">
        <f t="shared" si="140"/>
        <v>0.16666666666666677</v>
      </c>
      <c r="N290" s="296">
        <f t="shared" si="140"/>
        <v>0.16833333333333345</v>
      </c>
      <c r="O290" s="296">
        <f t="shared" si="140"/>
        <v>0.17000000000000012</v>
      </c>
      <c r="P290" s="296">
        <f t="shared" si="140"/>
        <v>0.1716666666666668</v>
      </c>
      <c r="Q290" s="296">
        <f t="shared" si="140"/>
        <v>0.17333333333333348</v>
      </c>
      <c r="R290" s="296">
        <f t="shared" si="140"/>
        <v>0.17500000000000016</v>
      </c>
      <c r="S290" s="296">
        <f t="shared" si="140"/>
        <v>0.17666666666666683</v>
      </c>
      <c r="T290" s="296">
        <f t="shared" si="141"/>
        <v>0.17833333333333351</v>
      </c>
      <c r="U290" s="296">
        <f t="shared" si="141"/>
        <v>0.18000000000000019</v>
      </c>
      <c r="V290" s="296">
        <f t="shared" si="141"/>
        <v>0.18166666666666687</v>
      </c>
      <c r="W290" s="296">
        <f t="shared" si="141"/>
        <v>0.18333333333333354</v>
      </c>
      <c r="X290" s="296">
        <f t="shared" si="141"/>
        <v>0.18500000000000022</v>
      </c>
      <c r="Y290" s="296">
        <f t="shared" si="141"/>
        <v>0.1866666666666669</v>
      </c>
      <c r="Z290" s="296">
        <f t="shared" si="141"/>
        <v>0.18833333333333357</v>
      </c>
      <c r="AA290" s="296">
        <f t="shared" si="141"/>
        <v>0.19000000000000025</v>
      </c>
      <c r="AB290" s="296">
        <f t="shared" si="141"/>
        <v>0.19166666666666693</v>
      </c>
      <c r="AC290" s="296">
        <f t="shared" si="141"/>
        <v>0.19333333333333361</v>
      </c>
      <c r="AD290" s="296">
        <f t="shared" si="141"/>
        <v>0.19500000000000028</v>
      </c>
      <c r="AE290" s="296">
        <f t="shared" si="141"/>
        <v>0.19666666666666696</v>
      </c>
      <c r="AF290" s="296">
        <f t="shared" si="141"/>
        <v>0.19833333333333364</v>
      </c>
      <c r="AG290" s="275">
        <v>0.2</v>
      </c>
      <c r="AI290" s="410" t="s">
        <v>858</v>
      </c>
      <c r="AJ290" s="198" t="s">
        <v>1614</v>
      </c>
    </row>
    <row r="291" spans="1:36" s="1" customFormat="1" outlineLevel="1">
      <c r="A291" t="s">
        <v>726</v>
      </c>
      <c r="B291" s="281" t="s">
        <v>126</v>
      </c>
      <c r="C291" s="275">
        <v>0.15</v>
      </c>
      <c r="D291" s="296">
        <f t="shared" si="140"/>
        <v>0.15633333333333332</v>
      </c>
      <c r="E291" s="296">
        <f t="shared" si="140"/>
        <v>0.16266666666666665</v>
      </c>
      <c r="F291" s="296">
        <f t="shared" si="140"/>
        <v>0.16899999999999998</v>
      </c>
      <c r="G291" s="296">
        <f t="shared" si="140"/>
        <v>0.17533333333333331</v>
      </c>
      <c r="H291" s="296">
        <f t="shared" si="140"/>
        <v>0.18166666666666664</v>
      </c>
      <c r="I291" s="296">
        <f t="shared" si="140"/>
        <v>0.18799999999999997</v>
      </c>
      <c r="J291" s="296">
        <f t="shared" si="140"/>
        <v>0.1943333333333333</v>
      </c>
      <c r="K291" s="296">
        <f t="shared" si="140"/>
        <v>0.20066666666666663</v>
      </c>
      <c r="L291" s="296">
        <f t="shared" si="140"/>
        <v>0.20699999999999996</v>
      </c>
      <c r="M291" s="296">
        <f t="shared" si="140"/>
        <v>0.21333333333333329</v>
      </c>
      <c r="N291" s="296">
        <f t="shared" si="140"/>
        <v>0.21966666666666662</v>
      </c>
      <c r="O291" s="296">
        <f t="shared" si="140"/>
        <v>0.22599999999999995</v>
      </c>
      <c r="P291" s="296">
        <f t="shared" si="140"/>
        <v>0.23233333333333328</v>
      </c>
      <c r="Q291" s="296">
        <f t="shared" si="140"/>
        <v>0.23866666666666661</v>
      </c>
      <c r="R291" s="296">
        <f t="shared" si="140"/>
        <v>0.24499999999999994</v>
      </c>
      <c r="S291" s="296">
        <f t="shared" si="140"/>
        <v>0.2513333333333333</v>
      </c>
      <c r="T291" s="296">
        <f t="shared" si="141"/>
        <v>0.25766666666666665</v>
      </c>
      <c r="U291" s="296">
        <f t="shared" si="141"/>
        <v>0.26400000000000001</v>
      </c>
      <c r="V291" s="296">
        <f t="shared" si="141"/>
        <v>0.27033333333333337</v>
      </c>
      <c r="W291" s="296">
        <f t="shared" si="141"/>
        <v>0.27666666666666673</v>
      </c>
      <c r="X291" s="296">
        <f t="shared" si="141"/>
        <v>0.28300000000000008</v>
      </c>
      <c r="Y291" s="296">
        <f t="shared" si="141"/>
        <v>0.28933333333333344</v>
      </c>
      <c r="Z291" s="296">
        <f t="shared" si="141"/>
        <v>0.2956666666666668</v>
      </c>
      <c r="AA291" s="296">
        <f t="shared" si="141"/>
        <v>0.30200000000000016</v>
      </c>
      <c r="AB291" s="296">
        <f t="shared" si="141"/>
        <v>0.30833333333333351</v>
      </c>
      <c r="AC291" s="296">
        <f t="shared" si="141"/>
        <v>0.31466666666666687</v>
      </c>
      <c r="AD291" s="296">
        <f t="shared" si="141"/>
        <v>0.32100000000000023</v>
      </c>
      <c r="AE291" s="296">
        <f t="shared" si="141"/>
        <v>0.32733333333333359</v>
      </c>
      <c r="AF291" s="296">
        <f t="shared" si="141"/>
        <v>0.33366666666666694</v>
      </c>
      <c r="AG291" s="275">
        <v>0.34</v>
      </c>
      <c r="AI291" s="295"/>
      <c r="AJ291" s="198" t="s">
        <v>1614</v>
      </c>
    </row>
    <row r="292" spans="1:36" s="1" customFormat="1" outlineLevel="1">
      <c r="A292" t="s">
        <v>727</v>
      </c>
      <c r="B292" s="281" t="s">
        <v>126</v>
      </c>
      <c r="C292" s="275">
        <v>0.85</v>
      </c>
      <c r="D292" s="296">
        <f t="shared" si="140"/>
        <v>0.84366666666666668</v>
      </c>
      <c r="E292" s="296">
        <f t="shared" si="140"/>
        <v>0.83733333333333337</v>
      </c>
      <c r="F292" s="296">
        <f t="shared" si="140"/>
        <v>0.83100000000000007</v>
      </c>
      <c r="G292" s="296">
        <f t="shared" si="140"/>
        <v>0.82466666666666677</v>
      </c>
      <c r="H292" s="296">
        <f t="shared" si="140"/>
        <v>0.81833333333333347</v>
      </c>
      <c r="I292" s="296">
        <f t="shared" si="140"/>
        <v>0.81200000000000017</v>
      </c>
      <c r="J292" s="296">
        <f t="shared" si="140"/>
        <v>0.80566666666666686</v>
      </c>
      <c r="K292" s="296">
        <f t="shared" si="140"/>
        <v>0.79933333333333356</v>
      </c>
      <c r="L292" s="296">
        <f t="shared" si="140"/>
        <v>0.79300000000000026</v>
      </c>
      <c r="M292" s="296">
        <f t="shared" si="140"/>
        <v>0.78666666666666696</v>
      </c>
      <c r="N292" s="296">
        <f t="shared" si="140"/>
        <v>0.78033333333333366</v>
      </c>
      <c r="O292" s="296">
        <f t="shared" si="140"/>
        <v>0.77400000000000035</v>
      </c>
      <c r="P292" s="296">
        <f t="shared" si="140"/>
        <v>0.76766666666666705</v>
      </c>
      <c r="Q292" s="296">
        <f t="shared" si="140"/>
        <v>0.76133333333333375</v>
      </c>
      <c r="R292" s="296">
        <f t="shared" si="140"/>
        <v>0.75500000000000045</v>
      </c>
      <c r="S292" s="296">
        <f t="shared" si="140"/>
        <v>0.74866666666666715</v>
      </c>
      <c r="T292" s="296">
        <f t="shared" si="141"/>
        <v>0.74233333333333384</v>
      </c>
      <c r="U292" s="296">
        <f t="shared" si="141"/>
        <v>0.73600000000000054</v>
      </c>
      <c r="V292" s="296">
        <f t="shared" si="141"/>
        <v>0.72966666666666724</v>
      </c>
      <c r="W292" s="296">
        <f t="shared" si="141"/>
        <v>0.72333333333333394</v>
      </c>
      <c r="X292" s="296">
        <f t="shared" si="141"/>
        <v>0.71700000000000064</v>
      </c>
      <c r="Y292" s="296">
        <f t="shared" si="141"/>
        <v>0.71066666666666733</v>
      </c>
      <c r="Z292" s="296">
        <f t="shared" si="141"/>
        <v>0.70433333333333403</v>
      </c>
      <c r="AA292" s="296">
        <f t="shared" si="141"/>
        <v>0.69800000000000073</v>
      </c>
      <c r="AB292" s="296">
        <f t="shared" si="141"/>
        <v>0.69166666666666743</v>
      </c>
      <c r="AC292" s="296">
        <f t="shared" si="141"/>
        <v>0.68533333333333413</v>
      </c>
      <c r="AD292" s="296">
        <f t="shared" si="141"/>
        <v>0.67900000000000083</v>
      </c>
      <c r="AE292" s="296">
        <f t="shared" si="141"/>
        <v>0.67266666666666752</v>
      </c>
      <c r="AF292" s="296">
        <f t="shared" si="141"/>
        <v>0.66633333333333422</v>
      </c>
      <c r="AG292" s="275">
        <v>0.66</v>
      </c>
      <c r="AI292" s="295"/>
      <c r="AJ292" s="198" t="s">
        <v>1614</v>
      </c>
    </row>
    <row r="293" spans="1:36" s="1" customFormat="1" outlineLevel="1">
      <c r="A293" t="s">
        <v>730</v>
      </c>
      <c r="B293" s="281" t="s">
        <v>126</v>
      </c>
      <c r="C293" s="275">
        <v>0</v>
      </c>
      <c r="D293" s="296">
        <f t="shared" si="140"/>
        <v>0</v>
      </c>
      <c r="E293" s="296">
        <f t="shared" si="140"/>
        <v>0</v>
      </c>
      <c r="F293" s="296">
        <f t="shared" si="140"/>
        <v>0</v>
      </c>
      <c r="G293" s="296">
        <f t="shared" si="140"/>
        <v>0</v>
      </c>
      <c r="H293" s="296">
        <f t="shared" si="140"/>
        <v>0</v>
      </c>
      <c r="I293" s="296">
        <f t="shared" si="140"/>
        <v>0</v>
      </c>
      <c r="J293" s="296">
        <f t="shared" si="140"/>
        <v>0</v>
      </c>
      <c r="K293" s="296">
        <f t="shared" si="140"/>
        <v>0</v>
      </c>
      <c r="L293" s="296">
        <f t="shared" si="140"/>
        <v>0</v>
      </c>
      <c r="M293" s="296">
        <f t="shared" si="140"/>
        <v>0</v>
      </c>
      <c r="N293" s="296">
        <f t="shared" si="140"/>
        <v>0</v>
      </c>
      <c r="O293" s="296">
        <f t="shared" si="140"/>
        <v>0</v>
      </c>
      <c r="P293" s="296">
        <f t="shared" si="140"/>
        <v>0</v>
      </c>
      <c r="Q293" s="296">
        <f t="shared" si="140"/>
        <v>0</v>
      </c>
      <c r="R293" s="296">
        <f t="shared" si="140"/>
        <v>0</v>
      </c>
      <c r="S293" s="296">
        <f t="shared" si="140"/>
        <v>0</v>
      </c>
      <c r="T293" s="296">
        <f t="shared" si="141"/>
        <v>0</v>
      </c>
      <c r="U293" s="296">
        <f t="shared" si="141"/>
        <v>0</v>
      </c>
      <c r="V293" s="296">
        <f t="shared" si="141"/>
        <v>0</v>
      </c>
      <c r="W293" s="296">
        <f t="shared" si="141"/>
        <v>0</v>
      </c>
      <c r="X293" s="296">
        <f t="shared" si="141"/>
        <v>0</v>
      </c>
      <c r="Y293" s="296">
        <f t="shared" si="141"/>
        <v>0</v>
      </c>
      <c r="Z293" s="296">
        <f t="shared" si="141"/>
        <v>0</v>
      </c>
      <c r="AA293" s="296">
        <f t="shared" si="141"/>
        <v>0</v>
      </c>
      <c r="AB293" s="296">
        <f t="shared" si="141"/>
        <v>0</v>
      </c>
      <c r="AC293" s="296">
        <f t="shared" si="141"/>
        <v>0</v>
      </c>
      <c r="AD293" s="296">
        <f t="shared" si="141"/>
        <v>0</v>
      </c>
      <c r="AE293" s="296">
        <f t="shared" si="141"/>
        <v>0</v>
      </c>
      <c r="AF293" s="296">
        <f t="shared" si="141"/>
        <v>0</v>
      </c>
      <c r="AG293" s="275">
        <v>0</v>
      </c>
      <c r="AI293" s="295"/>
      <c r="AJ293" s="198" t="s">
        <v>1615</v>
      </c>
    </row>
    <row r="294" spans="1:36" s="1" customFormat="1" outlineLevel="1">
      <c r="A294" t="s">
        <v>741</v>
      </c>
      <c r="B294" s="281" t="s">
        <v>126</v>
      </c>
      <c r="C294" s="275">
        <v>1</v>
      </c>
      <c r="D294" s="296">
        <f t="shared" si="140"/>
        <v>1</v>
      </c>
      <c r="E294" s="296">
        <f t="shared" si="140"/>
        <v>1</v>
      </c>
      <c r="F294" s="296">
        <f t="shared" si="140"/>
        <v>1</v>
      </c>
      <c r="G294" s="296">
        <f t="shared" si="140"/>
        <v>1</v>
      </c>
      <c r="H294" s="296">
        <f t="shared" si="140"/>
        <v>1</v>
      </c>
      <c r="I294" s="296">
        <f t="shared" si="140"/>
        <v>1</v>
      </c>
      <c r="J294" s="296">
        <f t="shared" si="140"/>
        <v>1</v>
      </c>
      <c r="K294" s="296">
        <f t="shared" si="140"/>
        <v>1</v>
      </c>
      <c r="L294" s="296">
        <f t="shared" si="140"/>
        <v>1</v>
      </c>
      <c r="M294" s="296">
        <f t="shared" si="140"/>
        <v>1</v>
      </c>
      <c r="N294" s="296">
        <f t="shared" si="140"/>
        <v>1</v>
      </c>
      <c r="O294" s="296">
        <f t="shared" si="140"/>
        <v>1</v>
      </c>
      <c r="P294" s="296">
        <f t="shared" si="140"/>
        <v>1</v>
      </c>
      <c r="Q294" s="296">
        <f t="shared" si="140"/>
        <v>1</v>
      </c>
      <c r="R294" s="296">
        <f t="shared" si="140"/>
        <v>1</v>
      </c>
      <c r="S294" s="296">
        <f t="shared" si="140"/>
        <v>1</v>
      </c>
      <c r="T294" s="296">
        <f t="shared" si="141"/>
        <v>1</v>
      </c>
      <c r="U294" s="296">
        <f t="shared" si="141"/>
        <v>1</v>
      </c>
      <c r="V294" s="296">
        <f t="shared" si="141"/>
        <v>1</v>
      </c>
      <c r="W294" s="296">
        <f t="shared" si="141"/>
        <v>1</v>
      </c>
      <c r="X294" s="296">
        <f t="shared" si="141"/>
        <v>1</v>
      </c>
      <c r="Y294" s="296">
        <f t="shared" si="141"/>
        <v>1</v>
      </c>
      <c r="Z294" s="296">
        <f t="shared" si="141"/>
        <v>1</v>
      </c>
      <c r="AA294" s="296">
        <f t="shared" si="141"/>
        <v>1</v>
      </c>
      <c r="AB294" s="296">
        <f t="shared" si="141"/>
        <v>1</v>
      </c>
      <c r="AC294" s="296">
        <f t="shared" si="141"/>
        <v>1</v>
      </c>
      <c r="AD294" s="296">
        <f t="shared" si="141"/>
        <v>1</v>
      </c>
      <c r="AE294" s="296">
        <f t="shared" si="141"/>
        <v>1</v>
      </c>
      <c r="AF294" s="296">
        <f t="shared" si="141"/>
        <v>1</v>
      </c>
      <c r="AG294" s="275">
        <v>1</v>
      </c>
      <c r="AI294" s="295"/>
      <c r="AJ294" s="198" t="s">
        <v>1616</v>
      </c>
    </row>
    <row r="295" spans="1:36" s="1" customFormat="1" outlineLevel="1">
      <c r="A295" t="s">
        <v>728</v>
      </c>
      <c r="B295" s="281" t="s">
        <v>126</v>
      </c>
      <c r="C295" s="275">
        <v>0.8</v>
      </c>
      <c r="D295" s="296">
        <f t="shared" si="140"/>
        <v>0.80333333333333334</v>
      </c>
      <c r="E295" s="296">
        <f t="shared" si="140"/>
        <v>0.80666666666666664</v>
      </c>
      <c r="F295" s="296">
        <f t="shared" si="140"/>
        <v>0.80999999999999994</v>
      </c>
      <c r="G295" s="296">
        <f t="shared" si="140"/>
        <v>0.81333333333333324</v>
      </c>
      <c r="H295" s="296">
        <f t="shared" si="140"/>
        <v>0.81666666666666654</v>
      </c>
      <c r="I295" s="296">
        <f t="shared" si="140"/>
        <v>0.81999999999999984</v>
      </c>
      <c r="J295" s="296">
        <f t="shared" si="140"/>
        <v>0.82333333333333314</v>
      </c>
      <c r="K295" s="296">
        <f t="shared" si="140"/>
        <v>0.82666666666666644</v>
      </c>
      <c r="L295" s="296">
        <f t="shared" si="140"/>
        <v>0.82999999999999974</v>
      </c>
      <c r="M295" s="296">
        <f t="shared" si="140"/>
        <v>0.83333333333333304</v>
      </c>
      <c r="N295" s="296">
        <f t="shared" si="140"/>
        <v>0.83666666666666634</v>
      </c>
      <c r="O295" s="296">
        <f t="shared" si="140"/>
        <v>0.83999999999999964</v>
      </c>
      <c r="P295" s="296">
        <f t="shared" si="140"/>
        <v>0.84333333333333294</v>
      </c>
      <c r="Q295" s="296">
        <f t="shared" si="140"/>
        <v>0.84666666666666623</v>
      </c>
      <c r="R295" s="296">
        <f t="shared" si="140"/>
        <v>0.84999999999999953</v>
      </c>
      <c r="S295" s="296">
        <f t="shared" si="140"/>
        <v>0.85333333333333283</v>
      </c>
      <c r="T295" s="296">
        <f t="shared" si="141"/>
        <v>0.85666666666666613</v>
      </c>
      <c r="U295" s="296">
        <f t="shared" si="141"/>
        <v>0.85999999999999943</v>
      </c>
      <c r="V295" s="296">
        <f t="shared" si="141"/>
        <v>0.86333333333333273</v>
      </c>
      <c r="W295" s="296">
        <f t="shared" si="141"/>
        <v>0.86666666666666603</v>
      </c>
      <c r="X295" s="296">
        <f t="shared" si="141"/>
        <v>0.86999999999999933</v>
      </c>
      <c r="Y295" s="296">
        <f t="shared" si="141"/>
        <v>0.87333333333333263</v>
      </c>
      <c r="Z295" s="296">
        <f t="shared" si="141"/>
        <v>0.87666666666666593</v>
      </c>
      <c r="AA295" s="296">
        <f t="shared" si="141"/>
        <v>0.87999999999999923</v>
      </c>
      <c r="AB295" s="296">
        <f t="shared" si="141"/>
        <v>0.88333333333333253</v>
      </c>
      <c r="AC295" s="296">
        <f t="shared" si="141"/>
        <v>0.88666666666666583</v>
      </c>
      <c r="AD295" s="296">
        <f t="shared" si="141"/>
        <v>0.88999999999999913</v>
      </c>
      <c r="AE295" s="296">
        <f t="shared" si="141"/>
        <v>0.89333333333333242</v>
      </c>
      <c r="AF295" s="296">
        <f t="shared" si="141"/>
        <v>0.89666666666666572</v>
      </c>
      <c r="AG295" s="275">
        <v>0.9</v>
      </c>
      <c r="AI295" s="295"/>
      <c r="AJ295" s="198" t="s">
        <v>1617</v>
      </c>
    </row>
    <row r="296" spans="1:36" s="1" customFormat="1" outlineLevel="1">
      <c r="A296" t="s">
        <v>729</v>
      </c>
      <c r="B296" s="281" t="s">
        <v>126</v>
      </c>
      <c r="C296" s="275">
        <v>0.2</v>
      </c>
      <c r="D296" s="296">
        <f t="shared" si="140"/>
        <v>0.19666666666666668</v>
      </c>
      <c r="E296" s="296">
        <f t="shared" si="140"/>
        <v>0.19333333333333336</v>
      </c>
      <c r="F296" s="296">
        <f t="shared" si="140"/>
        <v>0.19000000000000003</v>
      </c>
      <c r="G296" s="296">
        <f t="shared" si="140"/>
        <v>0.1866666666666667</v>
      </c>
      <c r="H296" s="296">
        <f t="shared" si="140"/>
        <v>0.18333333333333338</v>
      </c>
      <c r="I296" s="296">
        <f t="shared" si="140"/>
        <v>0.18000000000000005</v>
      </c>
      <c r="J296" s="296">
        <f t="shared" si="140"/>
        <v>0.17666666666666672</v>
      </c>
      <c r="K296" s="296">
        <f t="shared" si="140"/>
        <v>0.17333333333333339</v>
      </c>
      <c r="L296" s="296">
        <f t="shared" si="140"/>
        <v>0.17000000000000007</v>
      </c>
      <c r="M296" s="296">
        <f t="shared" si="140"/>
        <v>0.16666666666666674</v>
      </c>
      <c r="N296" s="296">
        <f t="shared" si="140"/>
        <v>0.16333333333333341</v>
      </c>
      <c r="O296" s="296">
        <f t="shared" si="140"/>
        <v>0.16000000000000009</v>
      </c>
      <c r="P296" s="296">
        <f t="shared" si="140"/>
        <v>0.15666666666666676</v>
      </c>
      <c r="Q296" s="296">
        <f t="shared" si="140"/>
        <v>0.15333333333333343</v>
      </c>
      <c r="R296" s="296">
        <f t="shared" si="140"/>
        <v>0.15000000000000011</v>
      </c>
      <c r="S296" s="296">
        <f t="shared" si="140"/>
        <v>0.14666666666666678</v>
      </c>
      <c r="T296" s="296">
        <f t="shared" si="141"/>
        <v>0.14333333333333345</v>
      </c>
      <c r="U296" s="296">
        <f t="shared" si="141"/>
        <v>0.14000000000000012</v>
      </c>
      <c r="V296" s="296">
        <f t="shared" si="141"/>
        <v>0.1366666666666668</v>
      </c>
      <c r="W296" s="296">
        <f t="shared" si="141"/>
        <v>0.13333333333333347</v>
      </c>
      <c r="X296" s="296">
        <f t="shared" si="141"/>
        <v>0.13000000000000014</v>
      </c>
      <c r="Y296" s="296">
        <f t="shared" si="141"/>
        <v>0.12666666666666682</v>
      </c>
      <c r="Z296" s="296">
        <f t="shared" si="141"/>
        <v>0.12333333333333349</v>
      </c>
      <c r="AA296" s="296">
        <f t="shared" si="141"/>
        <v>0.12000000000000016</v>
      </c>
      <c r="AB296" s="296">
        <f t="shared" si="141"/>
        <v>0.11666666666666684</v>
      </c>
      <c r="AC296" s="296">
        <f t="shared" si="141"/>
        <v>0.11333333333333351</v>
      </c>
      <c r="AD296" s="296">
        <f t="shared" si="141"/>
        <v>0.11000000000000018</v>
      </c>
      <c r="AE296" s="296">
        <f t="shared" si="141"/>
        <v>0.10666666666666685</v>
      </c>
      <c r="AF296" s="296">
        <f t="shared" si="141"/>
        <v>0.10333333333333353</v>
      </c>
      <c r="AG296" s="275">
        <v>0.1</v>
      </c>
      <c r="AI296" s="295"/>
      <c r="AJ296" s="198" t="s">
        <v>1618</v>
      </c>
    </row>
    <row r="297" spans="1:36" s="1" customFormat="1" outlineLevel="1">
      <c r="A297" t="s">
        <v>739</v>
      </c>
      <c r="B297" s="281" t="s">
        <v>126</v>
      </c>
      <c r="C297" s="275">
        <v>0.95</v>
      </c>
      <c r="D297" s="296">
        <f t="shared" si="140"/>
        <v>0.94866666666666666</v>
      </c>
      <c r="E297" s="296">
        <f t="shared" si="140"/>
        <v>0.94733333333333336</v>
      </c>
      <c r="F297" s="296">
        <f t="shared" si="140"/>
        <v>0.94600000000000006</v>
      </c>
      <c r="G297" s="296">
        <f t="shared" si="140"/>
        <v>0.94466666666666677</v>
      </c>
      <c r="H297" s="296">
        <f t="shared" si="140"/>
        <v>0.94333333333333347</v>
      </c>
      <c r="I297" s="296">
        <f t="shared" si="140"/>
        <v>0.94200000000000017</v>
      </c>
      <c r="J297" s="296">
        <f t="shared" si="140"/>
        <v>0.94066666666666687</v>
      </c>
      <c r="K297" s="296">
        <f t="shared" si="140"/>
        <v>0.93933333333333358</v>
      </c>
      <c r="L297" s="296">
        <f t="shared" si="140"/>
        <v>0.93800000000000028</v>
      </c>
      <c r="M297" s="296">
        <f t="shared" si="140"/>
        <v>0.93666666666666698</v>
      </c>
      <c r="N297" s="296">
        <f t="shared" si="140"/>
        <v>0.93533333333333368</v>
      </c>
      <c r="O297" s="296">
        <f t="shared" si="140"/>
        <v>0.93400000000000039</v>
      </c>
      <c r="P297" s="296">
        <f t="shared" si="140"/>
        <v>0.93266666666666709</v>
      </c>
      <c r="Q297" s="296">
        <f t="shared" si="140"/>
        <v>0.93133333333333379</v>
      </c>
      <c r="R297" s="296">
        <f t="shared" si="140"/>
        <v>0.93000000000000049</v>
      </c>
      <c r="S297" s="296">
        <f t="shared" si="140"/>
        <v>0.9286666666666672</v>
      </c>
      <c r="T297" s="296">
        <f t="shared" si="141"/>
        <v>0.9273333333333339</v>
      </c>
      <c r="U297" s="296">
        <f t="shared" si="141"/>
        <v>0.9260000000000006</v>
      </c>
      <c r="V297" s="296">
        <f t="shared" si="141"/>
        <v>0.9246666666666673</v>
      </c>
      <c r="W297" s="296">
        <f t="shared" si="141"/>
        <v>0.92333333333333401</v>
      </c>
      <c r="X297" s="296">
        <f t="shared" si="141"/>
        <v>0.92200000000000071</v>
      </c>
      <c r="Y297" s="296">
        <f t="shared" si="141"/>
        <v>0.92066666666666741</v>
      </c>
      <c r="Z297" s="296">
        <f t="shared" si="141"/>
        <v>0.91933333333333411</v>
      </c>
      <c r="AA297" s="296">
        <f t="shared" si="141"/>
        <v>0.91800000000000082</v>
      </c>
      <c r="AB297" s="296">
        <f t="shared" si="141"/>
        <v>0.91666666666666752</v>
      </c>
      <c r="AC297" s="296">
        <f t="shared" si="141"/>
        <v>0.91533333333333422</v>
      </c>
      <c r="AD297" s="296">
        <f t="shared" si="141"/>
        <v>0.91400000000000092</v>
      </c>
      <c r="AE297" s="296">
        <f t="shared" si="141"/>
        <v>0.91266666666666763</v>
      </c>
      <c r="AF297" s="296">
        <f t="shared" si="141"/>
        <v>0.91133333333333433</v>
      </c>
      <c r="AG297" s="275">
        <v>0.91</v>
      </c>
      <c r="AI297" s="295"/>
      <c r="AJ297" s="198" t="s">
        <v>1619</v>
      </c>
    </row>
    <row r="298" spans="1:36" s="1" customFormat="1" outlineLevel="1">
      <c r="A298" t="s">
        <v>740</v>
      </c>
      <c r="B298" s="281" t="s">
        <v>126</v>
      </c>
      <c r="C298" s="275">
        <v>0.05</v>
      </c>
      <c r="D298" s="296">
        <f t="shared" si="140"/>
        <v>5.1333333333333335E-2</v>
      </c>
      <c r="E298" s="296">
        <f t="shared" si="140"/>
        <v>5.2666666666666667E-2</v>
      </c>
      <c r="F298" s="296">
        <f t="shared" si="140"/>
        <v>5.3999999999999999E-2</v>
      </c>
      <c r="G298" s="296">
        <f t="shared" si="140"/>
        <v>5.5333333333333332E-2</v>
      </c>
      <c r="H298" s="296">
        <f t="shared" si="140"/>
        <v>5.6666666666666664E-2</v>
      </c>
      <c r="I298" s="296">
        <f t="shared" si="140"/>
        <v>5.7999999999999996E-2</v>
      </c>
      <c r="J298" s="296">
        <f t="shared" si="140"/>
        <v>5.9333333333333328E-2</v>
      </c>
      <c r="K298" s="296">
        <f t="shared" si="140"/>
        <v>6.066666666666666E-2</v>
      </c>
      <c r="L298" s="296">
        <f t="shared" si="140"/>
        <v>6.1999999999999993E-2</v>
      </c>
      <c r="M298" s="296">
        <f t="shared" si="140"/>
        <v>6.3333333333333325E-2</v>
      </c>
      <c r="N298" s="296">
        <f t="shared" si="140"/>
        <v>6.4666666666666664E-2</v>
      </c>
      <c r="O298" s="296">
        <f t="shared" si="140"/>
        <v>6.6000000000000003E-2</v>
      </c>
      <c r="P298" s="296">
        <f t="shared" si="140"/>
        <v>6.7333333333333342E-2</v>
      </c>
      <c r="Q298" s="296">
        <f t="shared" si="140"/>
        <v>6.8666666666666681E-2</v>
      </c>
      <c r="R298" s="296">
        <f t="shared" si="140"/>
        <v>7.0000000000000021E-2</v>
      </c>
      <c r="S298" s="296">
        <f t="shared" si="140"/>
        <v>7.133333333333336E-2</v>
      </c>
      <c r="T298" s="296">
        <f t="shared" si="141"/>
        <v>7.2666666666666699E-2</v>
      </c>
      <c r="U298" s="296">
        <f t="shared" si="141"/>
        <v>7.4000000000000038E-2</v>
      </c>
      <c r="V298" s="296">
        <f t="shared" si="141"/>
        <v>7.5333333333333377E-2</v>
      </c>
      <c r="W298" s="296">
        <f t="shared" si="141"/>
        <v>7.6666666666666716E-2</v>
      </c>
      <c r="X298" s="296">
        <f t="shared" si="141"/>
        <v>7.8000000000000055E-2</v>
      </c>
      <c r="Y298" s="296">
        <f t="shared" si="141"/>
        <v>7.9333333333333395E-2</v>
      </c>
      <c r="Z298" s="296">
        <f t="shared" si="141"/>
        <v>8.0666666666666734E-2</v>
      </c>
      <c r="AA298" s="296">
        <f t="shared" si="141"/>
        <v>8.2000000000000073E-2</v>
      </c>
      <c r="AB298" s="296">
        <f t="shared" si="141"/>
        <v>8.3333333333333412E-2</v>
      </c>
      <c r="AC298" s="296">
        <f t="shared" si="141"/>
        <v>8.4666666666666751E-2</v>
      </c>
      <c r="AD298" s="296">
        <f t="shared" si="141"/>
        <v>8.600000000000009E-2</v>
      </c>
      <c r="AE298" s="296">
        <f t="shared" si="141"/>
        <v>8.7333333333333429E-2</v>
      </c>
      <c r="AF298" s="296">
        <f t="shared" si="141"/>
        <v>8.8666666666666769E-2</v>
      </c>
      <c r="AG298" s="275">
        <v>0.09</v>
      </c>
      <c r="AI298" s="295"/>
      <c r="AJ298" s="198" t="s">
        <v>1620</v>
      </c>
    </row>
    <row r="299" spans="1:36" s="1" customFormat="1" outlineLevel="1">
      <c r="A299" t="s">
        <v>742</v>
      </c>
      <c r="B299" s="281"/>
      <c r="C299" s="275">
        <v>0.27</v>
      </c>
      <c r="D299" s="296">
        <f t="shared" si="140"/>
        <v>0.26600000000000001</v>
      </c>
      <c r="E299" s="296">
        <f t="shared" si="140"/>
        <v>0.26200000000000001</v>
      </c>
      <c r="F299" s="296">
        <f t="shared" si="140"/>
        <v>0.25800000000000001</v>
      </c>
      <c r="G299" s="296">
        <f t="shared" si="140"/>
        <v>0.254</v>
      </c>
      <c r="H299" s="296">
        <f t="shared" si="140"/>
        <v>0.25</v>
      </c>
      <c r="I299" s="296">
        <f t="shared" si="140"/>
        <v>0.246</v>
      </c>
      <c r="J299" s="296">
        <f t="shared" si="140"/>
        <v>0.24199999999999999</v>
      </c>
      <c r="K299" s="296">
        <f t="shared" si="140"/>
        <v>0.23799999999999999</v>
      </c>
      <c r="L299" s="296">
        <f t="shared" si="140"/>
        <v>0.23399999999999999</v>
      </c>
      <c r="M299" s="296">
        <f t="shared" si="140"/>
        <v>0.22999999999999998</v>
      </c>
      <c r="N299" s="296">
        <f t="shared" si="140"/>
        <v>0.22599999999999998</v>
      </c>
      <c r="O299" s="296">
        <f t="shared" si="140"/>
        <v>0.22199999999999998</v>
      </c>
      <c r="P299" s="296">
        <f t="shared" si="140"/>
        <v>0.21799999999999997</v>
      </c>
      <c r="Q299" s="296">
        <f t="shared" si="140"/>
        <v>0.21399999999999997</v>
      </c>
      <c r="R299" s="296">
        <f t="shared" si="140"/>
        <v>0.20999999999999996</v>
      </c>
      <c r="S299" s="296">
        <f t="shared" si="140"/>
        <v>0.20599999999999996</v>
      </c>
      <c r="T299" s="296">
        <f t="shared" si="141"/>
        <v>0.20199999999999996</v>
      </c>
      <c r="U299" s="296">
        <f t="shared" si="141"/>
        <v>0.19799999999999995</v>
      </c>
      <c r="V299" s="296">
        <f t="shared" si="141"/>
        <v>0.19399999999999995</v>
      </c>
      <c r="W299" s="296">
        <f t="shared" si="141"/>
        <v>0.18999999999999995</v>
      </c>
      <c r="X299" s="296">
        <f t="shared" si="141"/>
        <v>0.18599999999999994</v>
      </c>
      <c r="Y299" s="296">
        <f t="shared" si="141"/>
        <v>0.18199999999999994</v>
      </c>
      <c r="Z299" s="296">
        <f t="shared" si="141"/>
        <v>0.17799999999999994</v>
      </c>
      <c r="AA299" s="296">
        <f t="shared" si="141"/>
        <v>0.17399999999999993</v>
      </c>
      <c r="AB299" s="296">
        <f t="shared" si="141"/>
        <v>0.16999999999999993</v>
      </c>
      <c r="AC299" s="296">
        <f t="shared" si="141"/>
        <v>0.16599999999999993</v>
      </c>
      <c r="AD299" s="296">
        <f t="shared" si="141"/>
        <v>0.16199999999999992</v>
      </c>
      <c r="AE299" s="296">
        <f t="shared" si="141"/>
        <v>0.15799999999999992</v>
      </c>
      <c r="AF299" s="296">
        <f t="shared" si="141"/>
        <v>0.15399999999999991</v>
      </c>
      <c r="AG299" s="275">
        <v>0.15</v>
      </c>
      <c r="AI299" s="295"/>
      <c r="AJ299" s="198"/>
    </row>
    <row r="300" spans="1:36" s="62" customFormat="1" outlineLevel="1">
      <c r="A300" s="322" t="s">
        <v>733</v>
      </c>
      <c r="B300" s="287" t="s">
        <v>126</v>
      </c>
      <c r="C300" s="314">
        <v>0.16</v>
      </c>
      <c r="D300" s="315">
        <f t="shared" si="140"/>
        <v>0.16533333333333333</v>
      </c>
      <c r="E300" s="315">
        <f t="shared" si="140"/>
        <v>0.17066666666666666</v>
      </c>
      <c r="F300" s="315">
        <f t="shared" si="140"/>
        <v>0.17599999999999999</v>
      </c>
      <c r="G300" s="315">
        <f t="shared" si="140"/>
        <v>0.18133333333333332</v>
      </c>
      <c r="H300" s="315">
        <f t="shared" si="140"/>
        <v>0.18666666666666665</v>
      </c>
      <c r="I300" s="315">
        <f t="shared" si="140"/>
        <v>0.19199999999999998</v>
      </c>
      <c r="J300" s="315">
        <f t="shared" si="140"/>
        <v>0.19733333333333331</v>
      </c>
      <c r="K300" s="315">
        <f t="shared" si="140"/>
        <v>0.20266666666666663</v>
      </c>
      <c r="L300" s="315">
        <f t="shared" si="140"/>
        <v>0.20799999999999996</v>
      </c>
      <c r="M300" s="315">
        <f t="shared" si="140"/>
        <v>0.21333333333333329</v>
      </c>
      <c r="N300" s="315">
        <f t="shared" si="140"/>
        <v>0.21866666666666662</v>
      </c>
      <c r="O300" s="315">
        <f t="shared" si="140"/>
        <v>0.22399999999999995</v>
      </c>
      <c r="P300" s="315">
        <f t="shared" si="140"/>
        <v>0.22933333333333328</v>
      </c>
      <c r="Q300" s="315">
        <f t="shared" si="140"/>
        <v>0.23466666666666661</v>
      </c>
      <c r="R300" s="315">
        <f t="shared" si="140"/>
        <v>0.23999999999999994</v>
      </c>
      <c r="S300" s="315">
        <f t="shared" si="140"/>
        <v>0.24533333333333326</v>
      </c>
      <c r="T300" s="315">
        <f t="shared" si="141"/>
        <v>0.25066666666666659</v>
      </c>
      <c r="U300" s="315">
        <f t="shared" si="141"/>
        <v>0.25599999999999995</v>
      </c>
      <c r="V300" s="315">
        <f t="shared" si="141"/>
        <v>0.26133333333333331</v>
      </c>
      <c r="W300" s="315">
        <f t="shared" si="141"/>
        <v>0.26666666666666666</v>
      </c>
      <c r="X300" s="315">
        <f t="shared" si="141"/>
        <v>0.27200000000000002</v>
      </c>
      <c r="Y300" s="315">
        <f t="shared" si="141"/>
        <v>0.27733333333333338</v>
      </c>
      <c r="Z300" s="315">
        <f t="shared" si="141"/>
        <v>0.28266666666666673</v>
      </c>
      <c r="AA300" s="315">
        <f t="shared" si="141"/>
        <v>0.28800000000000009</v>
      </c>
      <c r="AB300" s="315">
        <f t="shared" si="141"/>
        <v>0.29333333333333345</v>
      </c>
      <c r="AC300" s="315">
        <f t="shared" si="141"/>
        <v>0.2986666666666668</v>
      </c>
      <c r="AD300" s="315">
        <f t="shared" si="141"/>
        <v>0.30400000000000016</v>
      </c>
      <c r="AE300" s="315">
        <f t="shared" si="141"/>
        <v>0.30933333333333352</v>
      </c>
      <c r="AF300" s="315">
        <f t="shared" si="141"/>
        <v>0.31466666666666687</v>
      </c>
      <c r="AG300" s="314">
        <v>0.32</v>
      </c>
      <c r="AI300" s="314"/>
      <c r="AJ300" s="316" t="s">
        <v>1620</v>
      </c>
    </row>
    <row r="301" spans="1:36" outlineLevel="1">
      <c r="A301" s="323" t="s">
        <v>734</v>
      </c>
      <c r="B301" s="281" t="s">
        <v>126</v>
      </c>
      <c r="C301" s="275">
        <v>0.37</v>
      </c>
      <c r="D301" s="296">
        <f t="shared" si="140"/>
        <v>0.37166666666666665</v>
      </c>
      <c r="E301" s="296">
        <f t="shared" si="140"/>
        <v>0.37333333333333329</v>
      </c>
      <c r="F301" s="296">
        <f t="shared" si="140"/>
        <v>0.37499999999999994</v>
      </c>
      <c r="G301" s="296">
        <f t="shared" si="140"/>
        <v>0.37666666666666659</v>
      </c>
      <c r="H301" s="296">
        <f t="shared" si="140"/>
        <v>0.37833333333333324</v>
      </c>
      <c r="I301" s="296">
        <f t="shared" si="140"/>
        <v>0.37999999999999989</v>
      </c>
      <c r="J301" s="296">
        <f t="shared" si="140"/>
        <v>0.38166666666666654</v>
      </c>
      <c r="K301" s="296">
        <f t="shared" si="140"/>
        <v>0.38333333333333319</v>
      </c>
      <c r="L301" s="296">
        <f t="shared" si="140"/>
        <v>0.38499999999999984</v>
      </c>
      <c r="M301" s="296">
        <f t="shared" si="140"/>
        <v>0.38666666666666649</v>
      </c>
      <c r="N301" s="296">
        <f t="shared" si="140"/>
        <v>0.38833333333333314</v>
      </c>
      <c r="O301" s="296">
        <f t="shared" si="140"/>
        <v>0.38999999999999979</v>
      </c>
      <c r="P301" s="296">
        <f t="shared" si="140"/>
        <v>0.39166666666666644</v>
      </c>
      <c r="Q301" s="296">
        <f t="shared" si="140"/>
        <v>0.39333333333333309</v>
      </c>
      <c r="R301" s="296">
        <f t="shared" si="140"/>
        <v>0.39499999999999974</v>
      </c>
      <c r="S301" s="296">
        <f t="shared" si="140"/>
        <v>0.39666666666666639</v>
      </c>
      <c r="T301" s="296">
        <f t="shared" si="141"/>
        <v>0.39833333333333304</v>
      </c>
      <c r="U301" s="296">
        <f t="shared" si="141"/>
        <v>0.39999999999999969</v>
      </c>
      <c r="V301" s="296">
        <f t="shared" si="141"/>
        <v>0.40166666666666634</v>
      </c>
      <c r="W301" s="296">
        <f t="shared" si="141"/>
        <v>0.40333333333333299</v>
      </c>
      <c r="X301" s="296">
        <f t="shared" si="141"/>
        <v>0.40499999999999964</v>
      </c>
      <c r="Y301" s="296">
        <f t="shared" si="141"/>
        <v>0.40666666666666629</v>
      </c>
      <c r="Z301" s="296">
        <f t="shared" si="141"/>
        <v>0.40833333333333294</v>
      </c>
      <c r="AA301" s="296">
        <f t="shared" si="141"/>
        <v>0.40999999999999959</v>
      </c>
      <c r="AB301" s="296">
        <f t="shared" si="141"/>
        <v>0.41166666666666624</v>
      </c>
      <c r="AC301" s="296">
        <f t="shared" si="141"/>
        <v>0.41333333333333289</v>
      </c>
      <c r="AD301" s="296">
        <f t="shared" si="141"/>
        <v>0.41499999999999954</v>
      </c>
      <c r="AE301" s="296">
        <f t="shared" si="141"/>
        <v>0.41666666666666619</v>
      </c>
      <c r="AF301" s="296">
        <f t="shared" si="141"/>
        <v>0.41833333333333284</v>
      </c>
      <c r="AG301" s="275">
        <v>0.42</v>
      </c>
      <c r="AI301" s="275"/>
      <c r="AJ301" s="198" t="s">
        <v>1621</v>
      </c>
    </row>
    <row r="302" spans="1:36" outlineLevel="1">
      <c r="A302" s="323" t="s">
        <v>735</v>
      </c>
      <c r="B302" s="281" t="s">
        <v>126</v>
      </c>
      <c r="C302" s="275">
        <v>0.08</v>
      </c>
      <c r="D302" s="296">
        <f t="shared" si="140"/>
        <v>7.7666666666666662E-2</v>
      </c>
      <c r="E302" s="296">
        <f t="shared" si="140"/>
        <v>7.5333333333333322E-2</v>
      </c>
      <c r="F302" s="296">
        <f t="shared" si="140"/>
        <v>7.2999999999999982E-2</v>
      </c>
      <c r="G302" s="296">
        <f t="shared" si="140"/>
        <v>7.0666666666666642E-2</v>
      </c>
      <c r="H302" s="296">
        <f t="shared" si="140"/>
        <v>6.8333333333333302E-2</v>
      </c>
      <c r="I302" s="296">
        <f t="shared" si="140"/>
        <v>6.5999999999999961E-2</v>
      </c>
      <c r="J302" s="296">
        <f t="shared" si="140"/>
        <v>6.3666666666666621E-2</v>
      </c>
      <c r="K302" s="296">
        <f t="shared" si="140"/>
        <v>6.1333333333333288E-2</v>
      </c>
      <c r="L302" s="296">
        <f t="shared" si="140"/>
        <v>5.8999999999999955E-2</v>
      </c>
      <c r="M302" s="296">
        <f t="shared" si="140"/>
        <v>5.6666666666666622E-2</v>
      </c>
      <c r="N302" s="296">
        <f t="shared" si="140"/>
        <v>5.4333333333333289E-2</v>
      </c>
      <c r="O302" s="296">
        <f t="shared" si="140"/>
        <v>5.1999999999999956E-2</v>
      </c>
      <c r="P302" s="296">
        <f t="shared" si="140"/>
        <v>4.9666666666666623E-2</v>
      </c>
      <c r="Q302" s="296">
        <f t="shared" si="140"/>
        <v>4.733333333333329E-2</v>
      </c>
      <c r="R302" s="296">
        <f t="shared" si="140"/>
        <v>4.4999999999999957E-2</v>
      </c>
      <c r="S302" s="296">
        <f t="shared" si="140"/>
        <v>4.2666666666666624E-2</v>
      </c>
      <c r="T302" s="296">
        <f t="shared" si="141"/>
        <v>4.0333333333333291E-2</v>
      </c>
      <c r="U302" s="296">
        <f t="shared" si="141"/>
        <v>3.7999999999999957E-2</v>
      </c>
      <c r="V302" s="296">
        <f t="shared" si="141"/>
        <v>3.5666666666666624E-2</v>
      </c>
      <c r="W302" s="296">
        <f t="shared" si="141"/>
        <v>3.3333333333333291E-2</v>
      </c>
      <c r="X302" s="296">
        <f t="shared" si="141"/>
        <v>3.0999999999999958E-2</v>
      </c>
      <c r="Y302" s="296">
        <f t="shared" si="141"/>
        <v>2.8666666666666625E-2</v>
      </c>
      <c r="Z302" s="296">
        <f t="shared" si="141"/>
        <v>2.6333333333333292E-2</v>
      </c>
      <c r="AA302" s="296">
        <f t="shared" si="141"/>
        <v>2.3999999999999959E-2</v>
      </c>
      <c r="AB302" s="296">
        <f t="shared" si="141"/>
        <v>2.1666666666666626E-2</v>
      </c>
      <c r="AC302" s="296">
        <f t="shared" si="141"/>
        <v>1.9333333333333293E-2</v>
      </c>
      <c r="AD302" s="296">
        <f t="shared" si="141"/>
        <v>1.699999999999996E-2</v>
      </c>
      <c r="AE302" s="296">
        <f t="shared" si="141"/>
        <v>1.4666666666666626E-2</v>
      </c>
      <c r="AF302" s="296">
        <f t="shared" si="141"/>
        <v>1.2333333333333293E-2</v>
      </c>
      <c r="AG302" s="275">
        <v>0.01</v>
      </c>
      <c r="AI302" s="275"/>
      <c r="AJ302" s="198" t="s">
        <v>1622</v>
      </c>
    </row>
    <row r="303" spans="1:36" outlineLevel="1">
      <c r="A303" s="323" t="s">
        <v>736</v>
      </c>
      <c r="B303" s="281" t="s">
        <v>126</v>
      </c>
      <c r="C303" s="275">
        <v>0.27</v>
      </c>
      <c r="D303" s="296">
        <f t="shared" si="140"/>
        <v>0.26633333333333337</v>
      </c>
      <c r="E303" s="296">
        <f t="shared" si="140"/>
        <v>0.26266666666666671</v>
      </c>
      <c r="F303" s="296">
        <f t="shared" si="140"/>
        <v>0.25900000000000006</v>
      </c>
      <c r="G303" s="296">
        <f t="shared" si="140"/>
        <v>0.25533333333333341</v>
      </c>
      <c r="H303" s="296">
        <f t="shared" si="140"/>
        <v>0.25166666666666676</v>
      </c>
      <c r="I303" s="296">
        <f t="shared" si="140"/>
        <v>0.24800000000000008</v>
      </c>
      <c r="J303" s="296">
        <f t="shared" si="140"/>
        <v>0.2443333333333334</v>
      </c>
      <c r="K303" s="296">
        <f t="shared" si="140"/>
        <v>0.24066666666666672</v>
      </c>
      <c r="L303" s="296">
        <f t="shared" si="140"/>
        <v>0.23700000000000004</v>
      </c>
      <c r="M303" s="296">
        <f t="shared" si="140"/>
        <v>0.23333333333333336</v>
      </c>
      <c r="N303" s="296">
        <f t="shared" si="140"/>
        <v>0.22966666666666669</v>
      </c>
      <c r="O303" s="296">
        <f t="shared" si="140"/>
        <v>0.22600000000000001</v>
      </c>
      <c r="P303" s="296">
        <f t="shared" si="140"/>
        <v>0.22233333333333333</v>
      </c>
      <c r="Q303" s="296">
        <f t="shared" si="140"/>
        <v>0.21866666666666665</v>
      </c>
      <c r="R303" s="296">
        <f t="shared" si="140"/>
        <v>0.21499999999999997</v>
      </c>
      <c r="S303" s="296">
        <f t="shared" si="140"/>
        <v>0.21133333333333329</v>
      </c>
      <c r="T303" s="296">
        <f t="shared" si="141"/>
        <v>0.20766666666666661</v>
      </c>
      <c r="U303" s="296">
        <f t="shared" si="141"/>
        <v>0.20399999999999993</v>
      </c>
      <c r="V303" s="296">
        <f t="shared" si="141"/>
        <v>0.20033333333333325</v>
      </c>
      <c r="W303" s="296">
        <f t="shared" si="141"/>
        <v>0.19666666666666657</v>
      </c>
      <c r="X303" s="296">
        <f t="shared" si="141"/>
        <v>0.19299999999999989</v>
      </c>
      <c r="Y303" s="296">
        <f t="shared" si="141"/>
        <v>0.18933333333333321</v>
      </c>
      <c r="Z303" s="296">
        <f t="shared" si="141"/>
        <v>0.18566666666666654</v>
      </c>
      <c r="AA303" s="296">
        <f t="shared" si="141"/>
        <v>0.18199999999999986</v>
      </c>
      <c r="AB303" s="296">
        <f t="shared" si="141"/>
        <v>0.17833333333333318</v>
      </c>
      <c r="AC303" s="296">
        <f t="shared" si="141"/>
        <v>0.1746666666666665</v>
      </c>
      <c r="AD303" s="296">
        <f t="shared" si="141"/>
        <v>0.17099999999999982</v>
      </c>
      <c r="AE303" s="296">
        <f t="shared" si="141"/>
        <v>0.16733333333333314</v>
      </c>
      <c r="AF303" s="296">
        <f t="shared" si="141"/>
        <v>0.16366666666666646</v>
      </c>
      <c r="AG303" s="275">
        <v>0.16</v>
      </c>
      <c r="AI303" s="275"/>
      <c r="AJ303" s="198" t="s">
        <v>1623</v>
      </c>
    </row>
    <row r="304" spans="1:36" outlineLevel="1">
      <c r="A304" s="323" t="s">
        <v>737</v>
      </c>
      <c r="B304" s="281" t="s">
        <v>126</v>
      </c>
      <c r="C304" s="275">
        <v>7.0000000000000007E-2</v>
      </c>
      <c r="D304" s="296">
        <f t="shared" si="140"/>
        <v>6.9666666666666668E-2</v>
      </c>
      <c r="E304" s="296">
        <f t="shared" si="140"/>
        <v>6.933333333333333E-2</v>
      </c>
      <c r="F304" s="296">
        <f t="shared" si="140"/>
        <v>6.8999999999999992E-2</v>
      </c>
      <c r="G304" s="296">
        <f t="shared" si="140"/>
        <v>6.8666666666666654E-2</v>
      </c>
      <c r="H304" s="296">
        <f t="shared" si="140"/>
        <v>6.8333333333333315E-2</v>
      </c>
      <c r="I304" s="296">
        <f t="shared" si="140"/>
        <v>6.7999999999999977E-2</v>
      </c>
      <c r="J304" s="296">
        <f t="shared" si="140"/>
        <v>6.7666666666666639E-2</v>
      </c>
      <c r="K304" s="296">
        <f t="shared" si="140"/>
        <v>6.7333333333333301E-2</v>
      </c>
      <c r="L304" s="296">
        <f t="shared" si="140"/>
        <v>6.6999999999999962E-2</v>
      </c>
      <c r="M304" s="296">
        <f t="shared" si="140"/>
        <v>6.6666666666666624E-2</v>
      </c>
      <c r="N304" s="296">
        <f t="shared" si="140"/>
        <v>6.6333333333333286E-2</v>
      </c>
      <c r="O304" s="296">
        <f t="shared" si="140"/>
        <v>6.5999999999999948E-2</v>
      </c>
      <c r="P304" s="296">
        <f t="shared" si="140"/>
        <v>6.5666666666666609E-2</v>
      </c>
      <c r="Q304" s="296">
        <f t="shared" si="140"/>
        <v>6.5333333333333271E-2</v>
      </c>
      <c r="R304" s="296">
        <f t="shared" si="140"/>
        <v>6.4999999999999933E-2</v>
      </c>
      <c r="S304" s="296">
        <f t="shared" ref="S304:AF304" si="142">-($C304-$AG304)/30+R304</f>
        <v>6.4666666666666595E-2</v>
      </c>
      <c r="T304" s="296">
        <f t="shared" si="142"/>
        <v>6.4333333333333256E-2</v>
      </c>
      <c r="U304" s="296">
        <f t="shared" si="142"/>
        <v>6.3999999999999918E-2</v>
      </c>
      <c r="V304" s="296">
        <f t="shared" si="142"/>
        <v>6.366666666666658E-2</v>
      </c>
      <c r="W304" s="296">
        <f t="shared" si="142"/>
        <v>6.3333333333333242E-2</v>
      </c>
      <c r="X304" s="296">
        <f t="shared" si="142"/>
        <v>6.2999999999999903E-2</v>
      </c>
      <c r="Y304" s="296">
        <f t="shared" si="142"/>
        <v>6.2666666666666565E-2</v>
      </c>
      <c r="Z304" s="296">
        <f t="shared" si="142"/>
        <v>6.2333333333333234E-2</v>
      </c>
      <c r="AA304" s="296">
        <f t="shared" si="142"/>
        <v>6.1999999999999902E-2</v>
      </c>
      <c r="AB304" s="296">
        <f t="shared" si="142"/>
        <v>6.1666666666666571E-2</v>
      </c>
      <c r="AC304" s="296">
        <f t="shared" si="142"/>
        <v>6.133333333333324E-2</v>
      </c>
      <c r="AD304" s="296">
        <f t="shared" si="142"/>
        <v>6.0999999999999908E-2</v>
      </c>
      <c r="AE304" s="296">
        <f t="shared" si="142"/>
        <v>6.0666666666666577E-2</v>
      </c>
      <c r="AF304" s="296">
        <f t="shared" si="142"/>
        <v>6.0333333333333246E-2</v>
      </c>
      <c r="AG304" s="275">
        <v>0.06</v>
      </c>
      <c r="AI304" s="275"/>
      <c r="AJ304" s="198" t="s">
        <v>1624</v>
      </c>
    </row>
    <row r="305" spans="1:36" s="63" customFormat="1" outlineLevel="1">
      <c r="A305" s="324" t="s">
        <v>738</v>
      </c>
      <c r="B305" s="291" t="s">
        <v>126</v>
      </c>
      <c r="C305" s="293">
        <v>0.05</v>
      </c>
      <c r="D305" s="317">
        <f t="shared" ref="D305:AF305" si="143">-($C305-$AG305)/30+C305</f>
        <v>4.9333333333333333E-2</v>
      </c>
      <c r="E305" s="317">
        <f t="shared" si="143"/>
        <v>4.8666666666666664E-2</v>
      </c>
      <c r="F305" s="317">
        <f t="shared" si="143"/>
        <v>4.7999999999999994E-2</v>
      </c>
      <c r="G305" s="317">
        <f t="shared" si="143"/>
        <v>4.7333333333333324E-2</v>
      </c>
      <c r="H305" s="317">
        <f t="shared" si="143"/>
        <v>4.6666666666666655E-2</v>
      </c>
      <c r="I305" s="317">
        <f t="shared" si="143"/>
        <v>4.5999999999999985E-2</v>
      </c>
      <c r="J305" s="317">
        <f t="shared" si="143"/>
        <v>4.5333333333333316E-2</v>
      </c>
      <c r="K305" s="317">
        <f t="shared" si="143"/>
        <v>4.4666666666666646E-2</v>
      </c>
      <c r="L305" s="317">
        <f t="shared" si="143"/>
        <v>4.3999999999999977E-2</v>
      </c>
      <c r="M305" s="317">
        <f t="shared" si="143"/>
        <v>4.3333333333333307E-2</v>
      </c>
      <c r="N305" s="317">
        <f t="shared" si="143"/>
        <v>4.2666666666666637E-2</v>
      </c>
      <c r="O305" s="317">
        <f t="shared" si="143"/>
        <v>4.1999999999999968E-2</v>
      </c>
      <c r="P305" s="317">
        <f t="shared" si="143"/>
        <v>4.1333333333333298E-2</v>
      </c>
      <c r="Q305" s="317">
        <f t="shared" si="143"/>
        <v>4.0666666666666629E-2</v>
      </c>
      <c r="R305" s="317">
        <f t="shared" si="143"/>
        <v>3.9999999999999959E-2</v>
      </c>
      <c r="S305" s="317">
        <f t="shared" si="143"/>
        <v>3.933333333333329E-2</v>
      </c>
      <c r="T305" s="317">
        <f t="shared" si="143"/>
        <v>3.866666666666662E-2</v>
      </c>
      <c r="U305" s="317">
        <f t="shared" si="143"/>
        <v>3.799999999999995E-2</v>
      </c>
      <c r="V305" s="317">
        <f t="shared" si="143"/>
        <v>3.7333333333333281E-2</v>
      </c>
      <c r="W305" s="317">
        <f t="shared" si="143"/>
        <v>3.6666666666666611E-2</v>
      </c>
      <c r="X305" s="317">
        <f t="shared" si="143"/>
        <v>3.5999999999999942E-2</v>
      </c>
      <c r="Y305" s="317">
        <f t="shared" si="143"/>
        <v>3.5333333333333272E-2</v>
      </c>
      <c r="Z305" s="317">
        <f t="shared" si="143"/>
        <v>3.4666666666666603E-2</v>
      </c>
      <c r="AA305" s="317">
        <f t="shared" si="143"/>
        <v>3.3999999999999933E-2</v>
      </c>
      <c r="AB305" s="317">
        <f t="shared" si="143"/>
        <v>3.3333333333333263E-2</v>
      </c>
      <c r="AC305" s="317">
        <f t="shared" si="143"/>
        <v>3.2666666666666594E-2</v>
      </c>
      <c r="AD305" s="317">
        <f t="shared" si="143"/>
        <v>3.1999999999999924E-2</v>
      </c>
      <c r="AE305" s="317">
        <f t="shared" si="143"/>
        <v>3.1333333333333255E-2</v>
      </c>
      <c r="AF305" s="317">
        <f t="shared" si="143"/>
        <v>3.0666666666666589E-2</v>
      </c>
      <c r="AG305" s="293">
        <v>0.03</v>
      </c>
      <c r="AI305" s="293"/>
      <c r="AJ305" s="318" t="s">
        <v>1625</v>
      </c>
    </row>
    <row r="306" spans="1:36" s="55" customFormat="1" outlineLevel="1">
      <c r="A306" s="55" t="s">
        <v>703</v>
      </c>
      <c r="B306" s="282"/>
      <c r="C306" s="283">
        <f>C29</f>
        <v>1096194.5752629088</v>
      </c>
      <c r="D306" s="283">
        <f t="shared" ref="D306:AG306" si="144">D29</f>
        <v>1096194.5752629088</v>
      </c>
      <c r="E306" s="283">
        <f t="shared" si="144"/>
        <v>1096194.5752629088</v>
      </c>
      <c r="F306" s="283">
        <f t="shared" si="144"/>
        <v>1096194.5752629088</v>
      </c>
      <c r="G306" s="283">
        <f t="shared" si="144"/>
        <v>1096194.5752629088</v>
      </c>
      <c r="H306" s="283">
        <f t="shared" si="144"/>
        <v>1096194.5752629088</v>
      </c>
      <c r="I306" s="283">
        <f t="shared" si="144"/>
        <v>1096194.5752629088</v>
      </c>
      <c r="J306" s="283">
        <f t="shared" si="144"/>
        <v>1096194.5752629088</v>
      </c>
      <c r="K306" s="283">
        <f t="shared" si="144"/>
        <v>1096194.5752629088</v>
      </c>
      <c r="L306" s="283">
        <f t="shared" si="144"/>
        <v>1096194.5752629088</v>
      </c>
      <c r="M306" s="283">
        <f t="shared" si="144"/>
        <v>1096194.5752629088</v>
      </c>
      <c r="N306" s="283">
        <f t="shared" si="144"/>
        <v>1096194.5752629088</v>
      </c>
      <c r="O306" s="283">
        <f t="shared" si="144"/>
        <v>1096194.5752629088</v>
      </c>
      <c r="P306" s="283">
        <f t="shared" si="144"/>
        <v>1096194.5752629088</v>
      </c>
      <c r="Q306" s="283">
        <f t="shared" si="144"/>
        <v>1096194.5752629088</v>
      </c>
      <c r="R306" s="283">
        <f t="shared" si="144"/>
        <v>1096194.5752629088</v>
      </c>
      <c r="S306" s="283">
        <f t="shared" si="144"/>
        <v>1096194.5752629088</v>
      </c>
      <c r="T306" s="283">
        <f t="shared" si="144"/>
        <v>1096194.5752629088</v>
      </c>
      <c r="U306" s="283">
        <f t="shared" si="144"/>
        <v>1096194.5752629088</v>
      </c>
      <c r="V306" s="283">
        <f t="shared" si="144"/>
        <v>1096194.5752629088</v>
      </c>
      <c r="W306" s="283">
        <f t="shared" si="144"/>
        <v>1096194.5752629088</v>
      </c>
      <c r="X306" s="283">
        <f t="shared" si="144"/>
        <v>1096194.5752629088</v>
      </c>
      <c r="Y306" s="283">
        <f t="shared" si="144"/>
        <v>1096194.5752629088</v>
      </c>
      <c r="Z306" s="283">
        <f t="shared" si="144"/>
        <v>1096194.5752629088</v>
      </c>
      <c r="AA306" s="283">
        <f t="shared" si="144"/>
        <v>1096194.5752629088</v>
      </c>
      <c r="AB306" s="283">
        <f t="shared" si="144"/>
        <v>1096194.5752629088</v>
      </c>
      <c r="AC306" s="283">
        <f t="shared" si="144"/>
        <v>1096194.5752629088</v>
      </c>
      <c r="AD306" s="283">
        <f t="shared" si="144"/>
        <v>1096194.5752629088</v>
      </c>
      <c r="AE306" s="283">
        <f t="shared" si="144"/>
        <v>1096194.5752629088</v>
      </c>
      <c r="AF306" s="283">
        <f t="shared" si="144"/>
        <v>1096194.5752629088</v>
      </c>
      <c r="AG306" s="283">
        <f t="shared" si="144"/>
        <v>1096194.5752629088</v>
      </c>
      <c r="AI306" s="284"/>
      <c r="AJ306" s="285"/>
    </row>
    <row r="307" spans="1:36" s="55" customFormat="1" outlineLevel="1">
      <c r="A307" s="286" t="s">
        <v>173</v>
      </c>
      <c r="B307" s="287" t="s">
        <v>127</v>
      </c>
      <c r="C307" s="288">
        <v>0</v>
      </c>
      <c r="D307" s="288">
        <v>0</v>
      </c>
      <c r="E307" s="288">
        <v>0</v>
      </c>
      <c r="F307" s="288">
        <v>0</v>
      </c>
      <c r="G307" s="288">
        <v>0</v>
      </c>
      <c r="H307" s="288">
        <v>0</v>
      </c>
      <c r="I307" s="288">
        <v>0</v>
      </c>
      <c r="J307" s="288">
        <v>0</v>
      </c>
      <c r="K307" s="288">
        <v>0</v>
      </c>
      <c r="L307" s="288">
        <v>0</v>
      </c>
      <c r="M307" s="288">
        <v>0</v>
      </c>
      <c r="N307" s="288">
        <v>0</v>
      </c>
      <c r="O307" s="288">
        <v>0</v>
      </c>
      <c r="P307" s="288">
        <v>0</v>
      </c>
      <c r="Q307" s="288">
        <v>0</v>
      </c>
      <c r="R307" s="288">
        <v>0</v>
      </c>
      <c r="S307" s="288">
        <v>0</v>
      </c>
      <c r="T307" s="288">
        <v>0</v>
      </c>
      <c r="U307" s="288">
        <v>0</v>
      </c>
      <c r="V307" s="288">
        <v>0</v>
      </c>
      <c r="W307" s="288">
        <v>0</v>
      </c>
      <c r="X307" s="288">
        <v>0</v>
      </c>
      <c r="Y307" s="288">
        <v>0</v>
      </c>
      <c r="Z307" s="288">
        <v>0</v>
      </c>
      <c r="AA307" s="288">
        <v>0</v>
      </c>
      <c r="AB307" s="288">
        <v>0</v>
      </c>
      <c r="AC307" s="288">
        <v>0</v>
      </c>
      <c r="AD307" s="288">
        <v>0</v>
      </c>
      <c r="AE307" s="288">
        <v>0</v>
      </c>
      <c r="AF307" s="288">
        <v>0</v>
      </c>
      <c r="AG307" s="288">
        <v>0</v>
      </c>
      <c r="AI307" s="284"/>
      <c r="AJ307" s="285"/>
    </row>
    <row r="308" spans="1:36" outlineLevel="1">
      <c r="A308" s="289" t="s">
        <v>696</v>
      </c>
      <c r="B308" s="281" t="s">
        <v>127</v>
      </c>
      <c r="C308" s="234">
        <f t="shared" ref="C308:AG308" si="145">C275</f>
        <v>102113.18489319331</v>
      </c>
      <c r="D308" s="234">
        <f t="shared" si="145"/>
        <v>103818.47508090963</v>
      </c>
      <c r="E308" s="234">
        <f t="shared" si="145"/>
        <v>105552.24361476081</v>
      </c>
      <c r="F308" s="234">
        <f t="shared" si="145"/>
        <v>107314.96608312731</v>
      </c>
      <c r="G308" s="234">
        <f t="shared" si="145"/>
        <v>109107.12601671553</v>
      </c>
      <c r="H308" s="234">
        <f t="shared" si="145"/>
        <v>110929.21502119467</v>
      </c>
      <c r="I308" s="234">
        <f t="shared" si="145"/>
        <v>112781.73291204861</v>
      </c>
      <c r="J308" s="234">
        <f t="shared" si="145"/>
        <v>114665.18785167982</v>
      </c>
      <c r="K308" s="234">
        <f t="shared" si="145"/>
        <v>116580.09648880287</v>
      </c>
      <c r="L308" s="234">
        <f t="shared" si="145"/>
        <v>118526.98410016586</v>
      </c>
      <c r="M308" s="234">
        <f t="shared" si="145"/>
        <v>120506.38473463863</v>
      </c>
      <c r="N308" s="234">
        <f t="shared" si="145"/>
        <v>122518.84135970709</v>
      </c>
      <c r="O308" s="234">
        <f t="shared" si="145"/>
        <v>124564.9060104142</v>
      </c>
      <c r="P308" s="234">
        <f t="shared" si="145"/>
        <v>126645.13994078811</v>
      </c>
      <c r="Q308" s="234">
        <f t="shared" si="145"/>
        <v>128760.11377779927</v>
      </c>
      <c r="R308" s="234">
        <f t="shared" si="145"/>
        <v>130910.40767788851</v>
      </c>
      <c r="S308" s="234">
        <f t="shared" si="145"/>
        <v>133096.61148610924</v>
      </c>
      <c r="T308" s="234">
        <f t="shared" si="145"/>
        <v>135319.32489792726</v>
      </c>
      <c r="U308" s="234">
        <f t="shared" si="145"/>
        <v>137579.15762372263</v>
      </c>
      <c r="V308" s="234">
        <f t="shared" si="145"/>
        <v>139876.72955603877</v>
      </c>
      <c r="W308" s="234">
        <f t="shared" si="145"/>
        <v>142212.6709396246</v>
      </c>
      <c r="X308" s="234">
        <f t="shared" si="145"/>
        <v>144587.62254431631</v>
      </c>
      <c r="Y308" s="234">
        <f t="shared" si="145"/>
        <v>147002.23584080639</v>
      </c>
      <c r="Z308" s="234">
        <f t="shared" si="145"/>
        <v>149457.17317934785</v>
      </c>
      <c r="AA308" s="234">
        <f t="shared" si="145"/>
        <v>151953.10797144295</v>
      </c>
      <c r="AB308" s="234">
        <f t="shared" si="145"/>
        <v>154490.72487456605</v>
      </c>
      <c r="AC308" s="234">
        <f t="shared" si="145"/>
        <v>157070.7199799713</v>
      </c>
      <c r="AD308" s="234">
        <f t="shared" si="145"/>
        <v>159693.80100363682</v>
      </c>
      <c r="AE308" s="234">
        <f t="shared" si="145"/>
        <v>162360.68748039755</v>
      </c>
      <c r="AF308" s="234">
        <f t="shared" si="145"/>
        <v>165072.11096132017</v>
      </c>
      <c r="AG308" s="234">
        <f t="shared" si="145"/>
        <v>167828.81521437422</v>
      </c>
      <c r="AI308" s="275"/>
    </row>
    <row r="309" spans="1:36" s="63" customFormat="1" outlineLevel="1">
      <c r="A309" s="290" t="s">
        <v>705</v>
      </c>
      <c r="B309" s="291" t="s">
        <v>127</v>
      </c>
      <c r="C309" s="292">
        <f>C306-C307-C308</f>
        <v>994081.39036971552</v>
      </c>
      <c r="D309" s="292">
        <f t="shared" ref="D309:AG309" si="146">D306-D307-D308</f>
        <v>992376.10018199915</v>
      </c>
      <c r="E309" s="292">
        <f t="shared" si="146"/>
        <v>990642.33164814801</v>
      </c>
      <c r="F309" s="292">
        <f t="shared" si="146"/>
        <v>988879.60917978152</v>
      </c>
      <c r="G309" s="292">
        <f t="shared" si="146"/>
        <v>987087.44924619328</v>
      </c>
      <c r="H309" s="292">
        <f t="shared" si="146"/>
        <v>985265.36024171417</v>
      </c>
      <c r="I309" s="292">
        <f t="shared" si="146"/>
        <v>983412.84235086024</v>
      </c>
      <c r="J309" s="292">
        <f t="shared" si="146"/>
        <v>981529.38741122896</v>
      </c>
      <c r="K309" s="292">
        <f t="shared" si="146"/>
        <v>979614.4787741059</v>
      </c>
      <c r="L309" s="292">
        <f t="shared" si="146"/>
        <v>977667.59116274293</v>
      </c>
      <c r="M309" s="292">
        <f t="shared" si="146"/>
        <v>975688.19052827021</v>
      </c>
      <c r="N309" s="292">
        <f t="shared" si="146"/>
        <v>973675.73390320176</v>
      </c>
      <c r="O309" s="292">
        <f t="shared" si="146"/>
        <v>971629.66925249458</v>
      </c>
      <c r="P309" s="292">
        <f t="shared" si="146"/>
        <v>969549.43532212067</v>
      </c>
      <c r="Q309" s="292">
        <f t="shared" si="146"/>
        <v>967434.46148510952</v>
      </c>
      <c r="R309" s="292">
        <f t="shared" si="146"/>
        <v>965284.1675850203</v>
      </c>
      <c r="S309" s="292">
        <f t="shared" si="146"/>
        <v>963097.96377679962</v>
      </c>
      <c r="T309" s="292">
        <f t="shared" si="146"/>
        <v>960875.25036498159</v>
      </c>
      <c r="U309" s="292">
        <f t="shared" si="146"/>
        <v>958615.41763918614</v>
      </c>
      <c r="V309" s="292">
        <f t="shared" si="146"/>
        <v>956317.84570687008</v>
      </c>
      <c r="W309" s="292">
        <f t="shared" si="146"/>
        <v>953981.90432328428</v>
      </c>
      <c r="X309" s="292">
        <f t="shared" si="146"/>
        <v>951606.95271859248</v>
      </c>
      <c r="Y309" s="292">
        <f t="shared" si="146"/>
        <v>949192.33942210244</v>
      </c>
      <c r="Z309" s="292">
        <f t="shared" si="146"/>
        <v>946737.40208356094</v>
      </c>
      <c r="AA309" s="292">
        <f t="shared" si="146"/>
        <v>944241.46729146584</v>
      </c>
      <c r="AB309" s="292">
        <f t="shared" si="146"/>
        <v>941703.85038834275</v>
      </c>
      <c r="AC309" s="292">
        <f t="shared" si="146"/>
        <v>939123.85528293753</v>
      </c>
      <c r="AD309" s="292">
        <f t="shared" si="146"/>
        <v>936500.77425927203</v>
      </c>
      <c r="AE309" s="292">
        <f t="shared" si="146"/>
        <v>933833.8877825113</v>
      </c>
      <c r="AF309" s="292">
        <f t="shared" si="146"/>
        <v>931122.46430158871</v>
      </c>
      <c r="AG309" s="292">
        <f t="shared" si="146"/>
        <v>928365.7600485346</v>
      </c>
      <c r="AI309" s="293"/>
      <c r="AJ309" s="294"/>
    </row>
    <row r="310" spans="1:36" outlineLevel="1">
      <c r="A310" s="106" t="s">
        <v>698</v>
      </c>
      <c r="B310" s="281" t="s">
        <v>127</v>
      </c>
      <c r="C310" s="216">
        <f>C279*C$309</f>
        <v>159053.02245915448</v>
      </c>
      <c r="D310" s="216">
        <f t="shared" ref="D310:AG310" si="147">D279*D$309</f>
        <v>160831.08663616265</v>
      </c>
      <c r="E310" s="216">
        <f t="shared" si="147"/>
        <v>162597.42803451602</v>
      </c>
      <c r="F310" s="216">
        <f t="shared" si="147"/>
        <v>164351.79104567968</v>
      </c>
      <c r="G310" s="216">
        <f t="shared" si="147"/>
        <v>166093.91479315943</v>
      </c>
      <c r="H310" s="216">
        <f t="shared" si="147"/>
        <v>167823.53302783862</v>
      </c>
      <c r="I310" s="216">
        <f t="shared" si="147"/>
        <v>169540.37402128827</v>
      </c>
      <c r="J310" s="216">
        <f t="shared" si="147"/>
        <v>171244.16045701239</v>
      </c>
      <c r="K310" s="216">
        <f t="shared" si="147"/>
        <v>172934.60931958878</v>
      </c>
      <c r="L310" s="216">
        <f t="shared" si="147"/>
        <v>174611.43178166583</v>
      </c>
      <c r="M310" s="216">
        <f t="shared" si="147"/>
        <v>176274.33308877409</v>
      </c>
      <c r="N310" s="216">
        <f t="shared" si="147"/>
        <v>177923.01244191168</v>
      </c>
      <c r="O310" s="216">
        <f t="shared" si="147"/>
        <v>179557.16287786094</v>
      </c>
      <c r="P310" s="216">
        <f t="shared" si="147"/>
        <v>181176.47114719354</v>
      </c>
      <c r="Q310" s="216">
        <f t="shared" si="147"/>
        <v>182780.61758991994</v>
      </c>
      <c r="R310" s="216">
        <f t="shared" si="147"/>
        <v>184369.27600873879</v>
      </c>
      <c r="S310" s="216">
        <f t="shared" si="147"/>
        <v>185942.11353984071</v>
      </c>
      <c r="T310" s="216">
        <f t="shared" si="147"/>
        <v>187498.79052121998</v>
      </c>
      <c r="U310" s="216">
        <f t="shared" si="147"/>
        <v>189038.96035844742</v>
      </c>
      <c r="V310" s="216">
        <f t="shared" si="147"/>
        <v>190562.26938785554</v>
      </c>
      <c r="W310" s="216">
        <f t="shared" si="147"/>
        <v>192068.3567370878</v>
      </c>
      <c r="X310" s="216">
        <f t="shared" si="147"/>
        <v>193556.8541829616</v>
      </c>
      <c r="Y310" s="216">
        <f t="shared" si="147"/>
        <v>195027.38600659455</v>
      </c>
      <c r="Z310" s="216">
        <f t="shared" si="147"/>
        <v>196479.56884574157</v>
      </c>
      <c r="AA310" s="216">
        <f t="shared" si="147"/>
        <v>197913.0115442911</v>
      </c>
      <c r="AB310" s="216">
        <f t="shared" si="147"/>
        <v>199327.31499886577</v>
      </c>
      <c r="AC310" s="216">
        <f t="shared" si="147"/>
        <v>200722.07200247305</v>
      </c>
      <c r="AD310" s="216">
        <f t="shared" si="147"/>
        <v>202096.86708515076</v>
      </c>
      <c r="AE310" s="216">
        <f t="shared" si="147"/>
        <v>203451.27635154966</v>
      </c>
      <c r="AF310" s="216">
        <f t="shared" si="147"/>
        <v>204784.86731539594</v>
      </c>
      <c r="AG310" s="216">
        <f t="shared" si="147"/>
        <v>206097.19873077469</v>
      </c>
      <c r="AI310" s="201"/>
    </row>
    <row r="311" spans="1:36" outlineLevel="1">
      <c r="A311" s="106" t="s">
        <v>697</v>
      </c>
      <c r="B311" s="281" t="s">
        <v>127</v>
      </c>
      <c r="C311" s="216">
        <f t="shared" ref="C311:AG315" si="148">C280*C$309</f>
        <v>367810.11443679471</v>
      </c>
      <c r="D311" s="216">
        <f t="shared" si="148"/>
        <v>359934.81153601111</v>
      </c>
      <c r="E311" s="216">
        <f t="shared" si="148"/>
        <v>352074.28466775187</v>
      </c>
      <c r="F311" s="216">
        <f t="shared" si="148"/>
        <v>344228.99195548199</v>
      </c>
      <c r="G311" s="216">
        <f t="shared" si="148"/>
        <v>336399.40270310279</v>
      </c>
      <c r="H311" s="216">
        <f t="shared" si="148"/>
        <v>328585.99764061178</v>
      </c>
      <c r="I311" s="216">
        <f t="shared" si="148"/>
        <v>320789.26917485078</v>
      </c>
      <c r="J311" s="216">
        <f t="shared" si="148"/>
        <v>313009.72164544108</v>
      </c>
      <c r="K311" s="216">
        <f t="shared" si="148"/>
        <v>305247.87158601161</v>
      </c>
      <c r="L311" s="216">
        <f t="shared" si="148"/>
        <v>297504.24799082289</v>
      </c>
      <c r="M311" s="216">
        <f t="shared" si="148"/>
        <v>289779.39258689649</v>
      </c>
      <c r="N311" s="216">
        <f t="shared" si="148"/>
        <v>282073.86011175782</v>
      </c>
      <c r="O311" s="216">
        <f t="shared" si="148"/>
        <v>274388.21859690477</v>
      </c>
      <c r="P311" s="216">
        <f t="shared" si="148"/>
        <v>266723.04965711571</v>
      </c>
      <c r="Q311" s="216">
        <f t="shared" si="148"/>
        <v>259078.94878571268</v>
      </c>
      <c r="R311" s="216">
        <f t="shared" si="148"/>
        <v>251456.52565589818</v>
      </c>
      <c r="S311" s="216">
        <f t="shared" si="148"/>
        <v>243856.40442828607</v>
      </c>
      <c r="T311" s="216">
        <f t="shared" si="148"/>
        <v>236279.22406474937</v>
      </c>
      <c r="U311" s="216">
        <f t="shared" si="148"/>
        <v>228725.63864871021</v>
      </c>
      <c r="V311" s="216">
        <f t="shared" si="148"/>
        <v>221196.31771199947</v>
      </c>
      <c r="W311" s="216">
        <f t="shared" si="148"/>
        <v>213691.94656841608</v>
      </c>
      <c r="X311" s="216">
        <f t="shared" si="148"/>
        <v>206213.22665411938</v>
      </c>
      <c r="Y311" s="216">
        <f t="shared" si="148"/>
        <v>198760.87587498865</v>
      </c>
      <c r="Z311" s="216">
        <f t="shared" si="148"/>
        <v>191335.62896108805</v>
      </c>
      <c r="AA311" s="216">
        <f t="shared" si="148"/>
        <v>183938.23782837795</v>
      </c>
      <c r="AB311" s="216">
        <f t="shared" si="148"/>
        <v>176569.47194781466</v>
      </c>
      <c r="AC311" s="216">
        <f t="shared" si="148"/>
        <v>169230.11872198572</v>
      </c>
      <c r="AD311" s="216">
        <f t="shared" si="148"/>
        <v>161920.98386942851</v>
      </c>
      <c r="AE311" s="216">
        <f t="shared" si="148"/>
        <v>154642.89181678425</v>
      </c>
      <c r="AF311" s="216">
        <f t="shared" si="148"/>
        <v>147396.68609894186</v>
      </c>
      <c r="AG311" s="216">
        <f t="shared" si="148"/>
        <v>140183.22976732871</v>
      </c>
      <c r="AI311" s="201"/>
    </row>
    <row r="312" spans="1:36" outlineLevel="1">
      <c r="A312" s="106" t="s">
        <v>699</v>
      </c>
      <c r="B312" s="281" t="s">
        <v>127</v>
      </c>
      <c r="C312" s="216">
        <f t="shared" si="148"/>
        <v>79526.511229577241</v>
      </c>
      <c r="D312" s="216">
        <f t="shared" si="148"/>
        <v>79489.325624578138</v>
      </c>
      <c r="E312" s="216">
        <f t="shared" si="148"/>
        <v>79449.514998181476</v>
      </c>
      <c r="F312" s="216">
        <f t="shared" si="148"/>
        <v>79407.032617136472</v>
      </c>
      <c r="G312" s="216">
        <f t="shared" si="148"/>
        <v>79361.830919393949</v>
      </c>
      <c r="H312" s="216">
        <f t="shared" si="148"/>
        <v>79313.861499458013</v>
      </c>
      <c r="I312" s="216">
        <f t="shared" si="148"/>
        <v>79263.075093479347</v>
      </c>
      <c r="J312" s="216">
        <f t="shared" si="148"/>
        <v>79209.421564086195</v>
      </c>
      <c r="K312" s="216">
        <f t="shared" si="148"/>
        <v>79152.849884947776</v>
      </c>
      <c r="L312" s="216">
        <f t="shared" si="148"/>
        <v>79093.308125065931</v>
      </c>
      <c r="M312" s="216">
        <f t="shared" si="148"/>
        <v>79030.74343278991</v>
      </c>
      <c r="N312" s="216">
        <f t="shared" si="148"/>
        <v>78965.102019549697</v>
      </c>
      <c r="O312" s="216">
        <f t="shared" si="148"/>
        <v>78896.329143302588</v>
      </c>
      <c r="P312" s="216">
        <f t="shared" si="148"/>
        <v>78824.369091688452</v>
      </c>
      <c r="Q312" s="216">
        <f t="shared" si="148"/>
        <v>78749.165164887949</v>
      </c>
      <c r="R312" s="216">
        <f t="shared" si="148"/>
        <v>78670.659658179196</v>
      </c>
      <c r="S312" s="216">
        <f t="shared" si="148"/>
        <v>78588.79384418689</v>
      </c>
      <c r="T312" s="216">
        <f t="shared" si="148"/>
        <v>78503.507954819041</v>
      </c>
      <c r="U312" s="216">
        <f t="shared" si="148"/>
        <v>78414.741162885475</v>
      </c>
      <c r="V312" s="216">
        <f t="shared" si="148"/>
        <v>78322.431563392718</v>
      </c>
      <c r="W312" s="216">
        <f t="shared" si="148"/>
        <v>78226.516154509372</v>
      </c>
      <c r="X312" s="216">
        <f t="shared" si="148"/>
        <v>78126.930818196503</v>
      </c>
      <c r="Y312" s="216">
        <f t="shared" si="148"/>
        <v>78023.610300496875</v>
      </c>
      <c r="Z312" s="216">
        <f t="shared" si="148"/>
        <v>77916.488191477125</v>
      </c>
      <c r="AA312" s="216">
        <f t="shared" si="148"/>
        <v>77805.496904816857</v>
      </c>
      <c r="AB312" s="216">
        <f t="shared" si="148"/>
        <v>77690.567657038351</v>
      </c>
      <c r="AC312" s="216">
        <f t="shared" si="148"/>
        <v>77571.630446370706</v>
      </c>
      <c r="AD312" s="216">
        <f t="shared" si="148"/>
        <v>77448.614031241872</v>
      </c>
      <c r="AE312" s="216">
        <f t="shared" si="148"/>
        <v>77321.445908392008</v>
      </c>
      <c r="AF312" s="216">
        <f t="shared" si="148"/>
        <v>77190.052290601787</v>
      </c>
      <c r="AG312" s="216">
        <f t="shared" si="148"/>
        <v>77054.358084028383</v>
      </c>
      <c r="AI312" s="201"/>
    </row>
    <row r="313" spans="1:36" outlineLevel="1">
      <c r="A313" s="106" t="s">
        <v>700</v>
      </c>
      <c r="B313" s="281" t="s">
        <v>127</v>
      </c>
      <c r="C313" s="216">
        <f t="shared" si="148"/>
        <v>268401.97539982322</v>
      </c>
      <c r="D313" s="216">
        <f t="shared" si="148"/>
        <v>271050.99216304335</v>
      </c>
      <c r="E313" s="216">
        <f t="shared" si="148"/>
        <v>273681.45482332836</v>
      </c>
      <c r="F313" s="216">
        <f t="shared" si="148"/>
        <v>276292.96280483092</v>
      </c>
      <c r="G313" s="216">
        <f t="shared" si="148"/>
        <v>278885.10732702445</v>
      </c>
      <c r="H313" s="216">
        <f t="shared" si="148"/>
        <v>281457.47124238295</v>
      </c>
      <c r="I313" s="216">
        <f t="shared" si="148"/>
        <v>284009.62887092837</v>
      </c>
      <c r="J313" s="216">
        <f t="shared" si="148"/>
        <v>286541.1458315847</v>
      </c>
      <c r="K313" s="216">
        <f t="shared" si="148"/>
        <v>289051.57887027942</v>
      </c>
      <c r="L313" s="216">
        <f t="shared" si="148"/>
        <v>291540.47568472987</v>
      </c>
      <c r="M313" s="216">
        <f t="shared" si="148"/>
        <v>294007.37474585196</v>
      </c>
      <c r="N313" s="216">
        <f t="shared" si="148"/>
        <v>296451.80511572806</v>
      </c>
      <c r="O313" s="216">
        <f t="shared" si="148"/>
        <v>298873.28626206721</v>
      </c>
      <c r="P313" s="216">
        <f t="shared" si="148"/>
        <v>301271.32786909351</v>
      </c>
      <c r="Q313" s="216">
        <f t="shared" si="148"/>
        <v>303645.42964479292</v>
      </c>
      <c r="R313" s="216">
        <f t="shared" si="148"/>
        <v>305995.0811244513</v>
      </c>
      <c r="S313" s="216">
        <f t="shared" si="148"/>
        <v>308319.7614704126</v>
      </c>
      <c r="T313" s="216">
        <f t="shared" si="148"/>
        <v>310618.93926798622</v>
      </c>
      <c r="U313" s="216">
        <f t="shared" si="148"/>
        <v>312892.07231743017</v>
      </c>
      <c r="V313" s="216">
        <f t="shared" si="148"/>
        <v>315138.60742193705</v>
      </c>
      <c r="W313" s="216">
        <f t="shared" si="148"/>
        <v>317357.9801715457</v>
      </c>
      <c r="X313" s="216">
        <f t="shared" si="148"/>
        <v>319549.61472290312</v>
      </c>
      <c r="Y313" s="216">
        <f t="shared" si="148"/>
        <v>321712.92357479769</v>
      </c>
      <c r="Z313" s="216">
        <f t="shared" si="148"/>
        <v>323847.30733938317</v>
      </c>
      <c r="AA313" s="216">
        <f t="shared" si="148"/>
        <v>325952.15450901375</v>
      </c>
      <c r="AB313" s="216">
        <f t="shared" si="148"/>
        <v>328026.84121860581</v>
      </c>
      <c r="AC313" s="216">
        <f t="shared" si="148"/>
        <v>330070.73100344284</v>
      </c>
      <c r="AD313" s="216">
        <f t="shared" si="148"/>
        <v>332083.17455233756</v>
      </c>
      <c r="AE313" s="216">
        <f t="shared" si="148"/>
        <v>334063.50945606339</v>
      </c>
      <c r="AF313" s="216">
        <f t="shared" si="148"/>
        <v>336011.05995096633</v>
      </c>
      <c r="AG313" s="216">
        <f t="shared" si="148"/>
        <v>337925.13665766659</v>
      </c>
      <c r="AI313" s="201"/>
    </row>
    <row r="314" spans="1:36" outlineLevel="1">
      <c r="A314" s="106" t="s">
        <v>701</v>
      </c>
      <c r="B314" s="281" t="s">
        <v>127</v>
      </c>
      <c r="C314" s="216">
        <f t="shared" si="148"/>
        <v>69585.697325880086</v>
      </c>
      <c r="D314" s="216">
        <f t="shared" si="148"/>
        <v>70723.336739637147</v>
      </c>
      <c r="E314" s="216">
        <f t="shared" si="148"/>
        <v>71854.59045554568</v>
      </c>
      <c r="F314" s="216">
        <f t="shared" si="148"/>
        <v>72979.315157467878</v>
      </c>
      <c r="G314" s="216">
        <f t="shared" si="148"/>
        <v>74097.364523414246</v>
      </c>
      <c r="H314" s="216">
        <f t="shared" si="148"/>
        <v>75208.589165117519</v>
      </c>
      <c r="I314" s="216">
        <f t="shared" si="148"/>
        <v>76312.836566426762</v>
      </c>
      <c r="J314" s="216">
        <f t="shared" si="148"/>
        <v>77409.95102049892</v>
      </c>
      <c r="K314" s="216">
        <f t="shared" si="148"/>
        <v>78499.773565765019</v>
      </c>
      <c r="L314" s="216">
        <f t="shared" si="148"/>
        <v>79582.141920647278</v>
      </c>
      <c r="M314" s="216">
        <f t="shared" si="148"/>
        <v>80656.890417003669</v>
      </c>
      <c r="N314" s="216">
        <f t="shared" si="148"/>
        <v>81723.849932275407</v>
      </c>
      <c r="O314" s="216">
        <f t="shared" si="148"/>
        <v>82782.847820312541</v>
      </c>
      <c r="P314" s="216">
        <f t="shared" si="148"/>
        <v>83833.707840852701</v>
      </c>
      <c r="Q314" s="216">
        <f t="shared" si="148"/>
        <v>84876.250087626933</v>
      </c>
      <c r="R314" s="216">
        <f t="shared" si="148"/>
        <v>85910.290915066798</v>
      </c>
      <c r="S314" s="216">
        <f t="shared" si="148"/>
        <v>86935.642863585774</v>
      </c>
      <c r="T314" s="216">
        <f t="shared" si="148"/>
        <v>87952.11458340798</v>
      </c>
      <c r="U314" s="216">
        <f t="shared" si="148"/>
        <v>88959.510756916468</v>
      </c>
      <c r="V314" s="216">
        <f t="shared" si="148"/>
        <v>89957.632019492899</v>
      </c>
      <c r="W314" s="216">
        <f t="shared" si="148"/>
        <v>90946.274878819764</v>
      </c>
      <c r="X314" s="216">
        <f t="shared" si="148"/>
        <v>91925.231632616022</v>
      </c>
      <c r="Y314" s="216">
        <f t="shared" si="148"/>
        <v>92894.29028477642</v>
      </c>
      <c r="Z314" s="216">
        <f t="shared" si="148"/>
        <v>93853.234459883664</v>
      </c>
      <c r="AA314" s="216">
        <f t="shared" si="148"/>
        <v>94801.843316063154</v>
      </c>
      <c r="AB314" s="216">
        <f t="shared" si="148"/>
        <v>95739.891456148165</v>
      </c>
      <c r="AC314" s="216">
        <f t="shared" si="148"/>
        <v>96667.148837123692</v>
      </c>
      <c r="AD314" s="216">
        <f t="shared" si="148"/>
        <v>97583.380677816138</v>
      </c>
      <c r="AE314" s="216">
        <f t="shared" si="148"/>
        <v>98488.347364795511</v>
      </c>
      <c r="AF314" s="216">
        <f t="shared" si="148"/>
        <v>99381.804356456225</v>
      </c>
      <c r="AG314" s="216">
        <f t="shared" si="148"/>
        <v>100263.50208524174</v>
      </c>
      <c r="AI314" s="201"/>
    </row>
    <row r="315" spans="1:36" outlineLevel="1">
      <c r="A315" s="106" t="s">
        <v>702</v>
      </c>
      <c r="B315" s="281" t="s">
        <v>127</v>
      </c>
      <c r="C315" s="216">
        <f t="shared" si="148"/>
        <v>49704.069518485776</v>
      </c>
      <c r="D315" s="216">
        <f t="shared" si="148"/>
        <v>50346.547482566762</v>
      </c>
      <c r="E315" s="216">
        <f t="shared" si="148"/>
        <v>50985.058668824691</v>
      </c>
      <c r="F315" s="216">
        <f t="shared" si="148"/>
        <v>51619.515599184604</v>
      </c>
      <c r="G315" s="216">
        <f t="shared" si="148"/>
        <v>52249.828980098508</v>
      </c>
      <c r="H315" s="216">
        <f t="shared" si="148"/>
        <v>52875.907666305342</v>
      </c>
      <c r="I315" s="216">
        <f t="shared" si="148"/>
        <v>53497.658623886811</v>
      </c>
      <c r="J315" s="216">
        <f t="shared" si="148"/>
        <v>54114.986892605775</v>
      </c>
      <c r="K315" s="216">
        <f t="shared" si="148"/>
        <v>54727.795547513408</v>
      </c>
      <c r="L315" s="216">
        <f t="shared" si="148"/>
        <v>55335.985659811275</v>
      </c>
      <c r="M315" s="216">
        <f t="shared" si="148"/>
        <v>55939.456256954189</v>
      </c>
      <c r="N315" s="216">
        <f t="shared" si="148"/>
        <v>56538.104281979278</v>
      </c>
      <c r="O315" s="216">
        <f t="shared" si="148"/>
        <v>57131.82455204671</v>
      </c>
      <c r="P315" s="216">
        <f t="shared" si="148"/>
        <v>57720.509716176952</v>
      </c>
      <c r="Q315" s="216">
        <f t="shared" si="148"/>
        <v>58304.050212169306</v>
      </c>
      <c r="R315" s="216">
        <f t="shared" si="148"/>
        <v>58882.334222686281</v>
      </c>
      <c r="S315" s="216">
        <f t="shared" si="148"/>
        <v>59455.247630487807</v>
      </c>
      <c r="T315" s="216">
        <f t="shared" si="148"/>
        <v>60022.673972799224</v>
      </c>
      <c r="U315" s="216">
        <f t="shared" si="148"/>
        <v>60584.494394796609</v>
      </c>
      <c r="V315" s="216">
        <f t="shared" si="148"/>
        <v>61140.587602192609</v>
      </c>
      <c r="W315" s="216">
        <f t="shared" si="148"/>
        <v>61690.829812905766</v>
      </c>
      <c r="X315" s="216">
        <f t="shared" si="148"/>
        <v>62235.094707796001</v>
      </c>
      <c r="Y315" s="216">
        <f t="shared" si="148"/>
        <v>62773.253380448426</v>
      </c>
      <c r="Z315" s="216">
        <f t="shared" si="148"/>
        <v>63305.174285987501</v>
      </c>
      <c r="AA315" s="216">
        <f t="shared" si="148"/>
        <v>63830.723188903154</v>
      </c>
      <c r="AB315" s="216">
        <f t="shared" si="148"/>
        <v>64349.763109870146</v>
      </c>
      <c r="AC315" s="216">
        <f t="shared" si="148"/>
        <v>64862.154271541614</v>
      </c>
      <c r="AD315" s="216">
        <f t="shared" si="148"/>
        <v>65367.754043297253</v>
      </c>
      <c r="AE315" s="216">
        <f t="shared" si="148"/>
        <v>65866.416884926526</v>
      </c>
      <c r="AF315" s="216">
        <f t="shared" si="148"/>
        <v>66357.994289226626</v>
      </c>
      <c r="AG315" s="216">
        <f t="shared" si="148"/>
        <v>66842.334723494481</v>
      </c>
      <c r="AI315" s="201"/>
    </row>
    <row r="316" spans="1:36" s="55" customFormat="1">
      <c r="A316" s="55" t="s">
        <v>704</v>
      </c>
      <c r="B316" s="282"/>
      <c r="C316" s="283">
        <f>C44</f>
        <v>1096194.5752629088</v>
      </c>
      <c r="D316" s="283">
        <f t="shared" ref="D316:AG316" si="149">D44</f>
        <v>1092988.2255996172</v>
      </c>
      <c r="E316" s="283">
        <f t="shared" si="149"/>
        <v>1087889.1264779917</v>
      </c>
      <c r="F316" s="283">
        <f t="shared" si="149"/>
        <v>1083736.4020855331</v>
      </c>
      <c r="G316" s="283">
        <f t="shared" si="149"/>
        <v>1079583.6776930746</v>
      </c>
      <c r="H316" s="283">
        <f t="shared" si="149"/>
        <v>1075430.9533006162</v>
      </c>
      <c r="I316" s="283">
        <f t="shared" si="149"/>
        <v>1065842.6960368394</v>
      </c>
      <c r="J316" s="283">
        <f t="shared" si="149"/>
        <v>1056254.4387730628</v>
      </c>
      <c r="K316" s="283">
        <f t="shared" si="149"/>
        <v>1046666.1815092859</v>
      </c>
      <c r="L316" s="283">
        <f t="shared" si="149"/>
        <v>1037077.9242455093</v>
      </c>
      <c r="M316" s="283">
        <f t="shared" si="149"/>
        <v>1027489.6669817327</v>
      </c>
      <c r="N316" s="283">
        <f t="shared" si="149"/>
        <v>1012974.8058239014</v>
      </c>
      <c r="O316" s="283">
        <f t="shared" si="149"/>
        <v>998459.94466606993</v>
      </c>
      <c r="P316" s="283">
        <f t="shared" si="149"/>
        <v>983914.96726017701</v>
      </c>
      <c r="Q316" s="283">
        <f t="shared" si="149"/>
        <v>969369.52876060817</v>
      </c>
      <c r="R316" s="283">
        <f t="shared" si="149"/>
        <v>954823.62916736316</v>
      </c>
      <c r="S316" s="283">
        <f t="shared" si="149"/>
        <v>941608.8058964652</v>
      </c>
      <c r="T316" s="283">
        <f t="shared" si="149"/>
        <v>928393.52153189108</v>
      </c>
      <c r="U316" s="283">
        <f t="shared" si="149"/>
        <v>915177.77607364114</v>
      </c>
      <c r="V316" s="283">
        <f t="shared" si="149"/>
        <v>901961.56952171505</v>
      </c>
      <c r="W316" s="283">
        <f t="shared" si="149"/>
        <v>888744.90187611291</v>
      </c>
      <c r="X316" s="283">
        <f t="shared" si="149"/>
        <v>875412.56207520468</v>
      </c>
      <c r="Y316" s="283">
        <f t="shared" si="149"/>
        <v>862079.76118062017</v>
      </c>
      <c r="Z316" s="283">
        <f t="shared" si="149"/>
        <v>848634.46623724408</v>
      </c>
      <c r="AA316" s="283">
        <f t="shared" si="149"/>
        <v>835185.71309129766</v>
      </c>
      <c r="AB316" s="283">
        <f t="shared" si="149"/>
        <v>821733.50174278114</v>
      </c>
      <c r="AC316" s="283">
        <f t="shared" si="149"/>
        <v>807591.67784852651</v>
      </c>
      <c r="AD316" s="283">
        <f t="shared" si="149"/>
        <v>793446.39575170213</v>
      </c>
      <c r="AE316" s="283">
        <f t="shared" si="149"/>
        <v>779297.6554523072</v>
      </c>
      <c r="AF316" s="283">
        <f t="shared" si="149"/>
        <v>765145.45695034228</v>
      </c>
      <c r="AG316" s="283">
        <f t="shared" si="149"/>
        <v>750989.80024580704</v>
      </c>
      <c r="AI316" s="284"/>
      <c r="AJ316" s="285"/>
    </row>
    <row r="317" spans="1:36" s="55" customFormat="1">
      <c r="A317" s="286" t="s">
        <v>173</v>
      </c>
      <c r="B317" s="287" t="s">
        <v>127</v>
      </c>
      <c r="C317" s="288">
        <f>C316-C306</f>
        <v>0</v>
      </c>
      <c r="D317" s="288">
        <f t="shared" ref="D317:AG317" si="150">D316-D306</f>
        <v>-3206.3496632915922</v>
      </c>
      <c r="E317" s="288">
        <f t="shared" si="150"/>
        <v>-8305.4487849171273</v>
      </c>
      <c r="F317" s="288">
        <f t="shared" si="150"/>
        <v>-12458.173177375691</v>
      </c>
      <c r="G317" s="288">
        <f t="shared" si="150"/>
        <v>-16610.897569834255</v>
      </c>
      <c r="H317" s="288">
        <f t="shared" si="150"/>
        <v>-20763.621962292586</v>
      </c>
      <c r="I317" s="288">
        <f t="shared" si="150"/>
        <v>-30351.879226069432</v>
      </c>
      <c r="J317" s="288">
        <f t="shared" si="150"/>
        <v>-39940.136489846045</v>
      </c>
      <c r="K317" s="288">
        <f t="shared" si="150"/>
        <v>-49528.393753622891</v>
      </c>
      <c r="L317" s="288">
        <f t="shared" si="150"/>
        <v>-59116.651017399505</v>
      </c>
      <c r="M317" s="288">
        <f t="shared" si="150"/>
        <v>-68704.908281176118</v>
      </c>
      <c r="N317" s="288">
        <f t="shared" si="150"/>
        <v>-83219.769439007388</v>
      </c>
      <c r="O317" s="288">
        <f t="shared" si="150"/>
        <v>-97734.630596838892</v>
      </c>
      <c r="P317" s="288">
        <f t="shared" si="150"/>
        <v>-112279.60800273181</v>
      </c>
      <c r="Q317" s="288">
        <f t="shared" si="150"/>
        <v>-126825.04650230065</v>
      </c>
      <c r="R317" s="288">
        <f t="shared" si="150"/>
        <v>-141370.94609554566</v>
      </c>
      <c r="S317" s="288">
        <f t="shared" si="150"/>
        <v>-154585.76936644362</v>
      </c>
      <c r="T317" s="288">
        <f t="shared" si="150"/>
        <v>-167801.05373101775</v>
      </c>
      <c r="U317" s="288">
        <f t="shared" si="150"/>
        <v>-181016.79918926768</v>
      </c>
      <c r="V317" s="288">
        <f t="shared" si="150"/>
        <v>-194233.00574119377</v>
      </c>
      <c r="W317" s="288">
        <f t="shared" si="150"/>
        <v>-207449.67338679591</v>
      </c>
      <c r="X317" s="288">
        <f t="shared" si="150"/>
        <v>-220782.01318770414</v>
      </c>
      <c r="Y317" s="288">
        <f t="shared" si="150"/>
        <v>-234114.81408228865</v>
      </c>
      <c r="Z317" s="288">
        <f t="shared" si="150"/>
        <v>-247560.10902566474</v>
      </c>
      <c r="AA317" s="288">
        <f t="shared" si="150"/>
        <v>-261008.86217161117</v>
      </c>
      <c r="AB317" s="288">
        <f t="shared" si="150"/>
        <v>-274461.07352012768</v>
      </c>
      <c r="AC317" s="288">
        <f t="shared" si="150"/>
        <v>-288602.89741438231</v>
      </c>
      <c r="AD317" s="288">
        <f t="shared" si="150"/>
        <v>-302748.17951120669</v>
      </c>
      <c r="AE317" s="288">
        <f t="shared" si="150"/>
        <v>-316896.91981060163</v>
      </c>
      <c r="AF317" s="288">
        <f t="shared" si="150"/>
        <v>-331049.11831256654</v>
      </c>
      <c r="AG317" s="288">
        <f t="shared" si="150"/>
        <v>-345204.77501710178</v>
      </c>
      <c r="AI317" s="284"/>
      <c r="AJ317" s="285"/>
    </row>
    <row r="318" spans="1:36">
      <c r="A318" s="289" t="s">
        <v>696</v>
      </c>
      <c r="B318" s="281" t="s">
        <v>127</v>
      </c>
      <c r="C318" s="234">
        <f>C274</f>
        <v>102113.18489319331</v>
      </c>
      <c r="D318" s="234">
        <f t="shared" ref="D318:AG318" si="151">D274</f>
        <v>104019.78169196579</v>
      </c>
      <c r="E318" s="234">
        <f t="shared" si="151"/>
        <v>107723.85741203249</v>
      </c>
      <c r="F318" s="234">
        <f t="shared" si="151"/>
        <v>111608.39116758168</v>
      </c>
      <c r="G318" s="234">
        <f t="shared" si="151"/>
        <v>115464.11045163577</v>
      </c>
      <c r="H318" s="234">
        <f t="shared" si="151"/>
        <v>119295.09578323126</v>
      </c>
      <c r="I318" s="234">
        <f t="shared" si="151"/>
        <v>122695.19978071147</v>
      </c>
      <c r="J318" s="234">
        <f t="shared" si="151"/>
        <v>125989.91631958704</v>
      </c>
      <c r="K318" s="234">
        <f t="shared" si="151"/>
        <v>129175.00041668498</v>
      </c>
      <c r="L318" s="234">
        <f t="shared" si="151"/>
        <v>132245.90828970668</v>
      </c>
      <c r="M318" s="234">
        <f t="shared" si="151"/>
        <v>135197.79735722768</v>
      </c>
      <c r="N318" s="234">
        <f t="shared" si="151"/>
        <v>141130.54533054438</v>
      </c>
      <c r="O318" s="234">
        <f t="shared" si="151"/>
        <v>146641.45307181377</v>
      </c>
      <c r="P318" s="234">
        <f t="shared" si="151"/>
        <v>151711.80730912241</v>
      </c>
      <c r="Q318" s="234">
        <f t="shared" si="151"/>
        <v>156346.05697868025</v>
      </c>
      <c r="R318" s="234">
        <f t="shared" si="151"/>
        <v>160537.63561110396</v>
      </c>
      <c r="S318" s="234">
        <f t="shared" si="151"/>
        <v>164565.30936281875</v>
      </c>
      <c r="T318" s="234">
        <f t="shared" si="151"/>
        <v>168196.81146363969</v>
      </c>
      <c r="U318" s="234">
        <f t="shared" si="151"/>
        <v>171429.42885314784</v>
      </c>
      <c r="V318" s="234">
        <f t="shared" si="151"/>
        <v>174260.0027217739</v>
      </c>
      <c r="W318" s="234">
        <f t="shared" si="151"/>
        <v>176684.92851079843</v>
      </c>
      <c r="X318" s="234">
        <f t="shared" si="151"/>
        <v>183390.27472899144</v>
      </c>
      <c r="Y318" s="234">
        <f t="shared" si="151"/>
        <v>189402.83936979968</v>
      </c>
      <c r="Z318" s="234">
        <f t="shared" si="151"/>
        <v>194632.9787768205</v>
      </c>
      <c r="AA318" s="234">
        <f t="shared" si="151"/>
        <v>199140.82063905144</v>
      </c>
      <c r="AB318" s="234">
        <f t="shared" si="151"/>
        <v>202917.93546475976</v>
      </c>
      <c r="AC318" s="234">
        <f t="shared" si="151"/>
        <v>205563.85988569597</v>
      </c>
      <c r="AD318" s="234">
        <f t="shared" si="151"/>
        <v>207388.92083918001</v>
      </c>
      <c r="AE318" s="234">
        <f t="shared" si="151"/>
        <v>208376.896620757</v>
      </c>
      <c r="AF318" s="234">
        <f t="shared" si="151"/>
        <v>208510.650580349</v>
      </c>
      <c r="AG318" s="234">
        <f t="shared" si="151"/>
        <v>207772.13112225514</v>
      </c>
      <c r="AI318" s="275"/>
    </row>
    <row r="319" spans="1:36" s="63" customFormat="1">
      <c r="A319" s="290" t="s">
        <v>705</v>
      </c>
      <c r="B319" s="291" t="s">
        <v>127</v>
      </c>
      <c r="C319" s="292">
        <f>C316-C318</f>
        <v>994081.39036971552</v>
      </c>
      <c r="D319" s="292">
        <f t="shared" ref="D319:AG319" si="152">D316-D318</f>
        <v>988968.44390765147</v>
      </c>
      <c r="E319" s="292">
        <f t="shared" si="152"/>
        <v>980165.26906595915</v>
      </c>
      <c r="F319" s="292">
        <f t="shared" si="152"/>
        <v>972128.01091795147</v>
      </c>
      <c r="G319" s="292">
        <f t="shared" si="152"/>
        <v>964119.56724143878</v>
      </c>
      <c r="H319" s="292">
        <f t="shared" si="152"/>
        <v>956135.85751738492</v>
      </c>
      <c r="I319" s="292">
        <f t="shared" si="152"/>
        <v>943147.49625612795</v>
      </c>
      <c r="J319" s="292">
        <f t="shared" si="152"/>
        <v>930264.52245347574</v>
      </c>
      <c r="K319" s="292">
        <f t="shared" si="152"/>
        <v>917491.18109260092</v>
      </c>
      <c r="L319" s="292">
        <f t="shared" si="152"/>
        <v>904832.01595580264</v>
      </c>
      <c r="M319" s="292">
        <f t="shared" si="152"/>
        <v>892291.86962450505</v>
      </c>
      <c r="N319" s="292">
        <f t="shared" si="152"/>
        <v>871844.26049335708</v>
      </c>
      <c r="O319" s="292">
        <f t="shared" si="152"/>
        <v>851818.49159425613</v>
      </c>
      <c r="P319" s="292">
        <f t="shared" si="152"/>
        <v>832203.15995105461</v>
      </c>
      <c r="Q319" s="292">
        <f t="shared" si="152"/>
        <v>813023.47178192786</v>
      </c>
      <c r="R319" s="292">
        <f t="shared" si="152"/>
        <v>794285.9935562592</v>
      </c>
      <c r="S319" s="292">
        <f t="shared" si="152"/>
        <v>777043.49653364648</v>
      </c>
      <c r="T319" s="292">
        <f t="shared" si="152"/>
        <v>760196.71006825136</v>
      </c>
      <c r="U319" s="292">
        <f t="shared" si="152"/>
        <v>743748.34722049325</v>
      </c>
      <c r="V319" s="292">
        <f t="shared" si="152"/>
        <v>727701.56679994112</v>
      </c>
      <c r="W319" s="292">
        <f t="shared" si="152"/>
        <v>712059.97336531454</v>
      </c>
      <c r="X319" s="292">
        <f t="shared" si="152"/>
        <v>692022.28734621324</v>
      </c>
      <c r="Y319" s="292">
        <f t="shared" si="152"/>
        <v>672676.92181082047</v>
      </c>
      <c r="Z319" s="292">
        <f t="shared" si="152"/>
        <v>654001.48746042361</v>
      </c>
      <c r="AA319" s="292">
        <f t="shared" si="152"/>
        <v>636044.89245224628</v>
      </c>
      <c r="AB319" s="292">
        <f t="shared" si="152"/>
        <v>618815.56627802132</v>
      </c>
      <c r="AC319" s="292">
        <f t="shared" si="152"/>
        <v>602027.81796283054</v>
      </c>
      <c r="AD319" s="292">
        <f t="shared" si="152"/>
        <v>586057.47491252213</v>
      </c>
      <c r="AE319" s="292">
        <f t="shared" si="152"/>
        <v>570920.75883155013</v>
      </c>
      <c r="AF319" s="292">
        <f t="shared" si="152"/>
        <v>556634.80636999325</v>
      </c>
      <c r="AG319" s="292">
        <f t="shared" si="152"/>
        <v>543217.66912355192</v>
      </c>
      <c r="AI319" s="293"/>
      <c r="AJ319" s="294"/>
    </row>
    <row r="320" spans="1:36" s="55" customFormat="1" outlineLevel="1">
      <c r="A320" s="286" t="s">
        <v>732</v>
      </c>
      <c r="B320" s="287" t="s">
        <v>126</v>
      </c>
      <c r="C320" s="288">
        <f>C316*C286</f>
        <v>920803.44322084333</v>
      </c>
      <c r="D320" s="288">
        <f t="shared" ref="D320:AG320" si="153">D316*D286</f>
        <v>922482.06240607693</v>
      </c>
      <c r="E320" s="288">
        <f t="shared" si="153"/>
        <v>922529.9792533369</v>
      </c>
      <c r="F320" s="288">
        <f t="shared" si="153"/>
        <v>923343.41457687423</v>
      </c>
      <c r="G320" s="288">
        <f t="shared" si="153"/>
        <v>924123.62810527184</v>
      </c>
      <c r="H320" s="288">
        <f t="shared" si="153"/>
        <v>924870.61983852996</v>
      </c>
      <c r="I320" s="288">
        <f t="shared" si="153"/>
        <v>920888.08937582921</v>
      </c>
      <c r="J320" s="288">
        <f t="shared" si="153"/>
        <v>916828.85285501846</v>
      </c>
      <c r="K320" s="288">
        <f t="shared" si="153"/>
        <v>912692.91027609736</v>
      </c>
      <c r="L320" s="288">
        <f t="shared" si="153"/>
        <v>908480.26163906616</v>
      </c>
      <c r="M320" s="288">
        <f t="shared" si="153"/>
        <v>904190.90694392484</v>
      </c>
      <c r="N320" s="288">
        <f t="shared" si="153"/>
        <v>895469.72834832885</v>
      </c>
      <c r="O320" s="288">
        <f t="shared" si="153"/>
        <v>886632.43086347007</v>
      </c>
      <c r="P320" s="288">
        <f t="shared" si="153"/>
        <v>877652.15079607791</v>
      </c>
      <c r="Q320" s="288">
        <f t="shared" si="153"/>
        <v>868555.097769505</v>
      </c>
      <c r="R320" s="288">
        <f t="shared" si="153"/>
        <v>859341.26625062688</v>
      </c>
      <c r="S320" s="288">
        <f t="shared" si="153"/>
        <v>851214.36053040461</v>
      </c>
      <c r="T320" s="288">
        <f t="shared" si="153"/>
        <v>842981.31755095709</v>
      </c>
      <c r="U320" s="288">
        <f t="shared" si="153"/>
        <v>834642.1317791607</v>
      </c>
      <c r="V320" s="288">
        <f t="shared" si="153"/>
        <v>826196.79768189101</v>
      </c>
      <c r="W320" s="288">
        <f t="shared" si="153"/>
        <v>817645.30972602393</v>
      </c>
      <c r="X320" s="288">
        <f t="shared" si="153"/>
        <v>808881.20735748915</v>
      </c>
      <c r="Y320" s="288">
        <f t="shared" si="153"/>
        <v>800010.01837561559</v>
      </c>
      <c r="Z320" s="288">
        <f t="shared" si="153"/>
        <v>790927.32253311155</v>
      </c>
      <c r="AA320" s="288">
        <f t="shared" si="153"/>
        <v>781733.82745345461</v>
      </c>
      <c r="AB320" s="288">
        <f t="shared" si="153"/>
        <v>772429.49163821433</v>
      </c>
      <c r="AC320" s="288">
        <f t="shared" si="153"/>
        <v>762366.54388900904</v>
      </c>
      <c r="AD320" s="288">
        <f t="shared" si="153"/>
        <v>752187.18317261373</v>
      </c>
      <c r="AE320" s="288">
        <f t="shared" si="153"/>
        <v>741891.36799059645</v>
      </c>
      <c r="AF320" s="288">
        <f t="shared" si="153"/>
        <v>731479.05684452725</v>
      </c>
      <c r="AG320" s="288">
        <f t="shared" si="153"/>
        <v>720950.20823597477</v>
      </c>
      <c r="AI320" s="284"/>
      <c r="AJ320" s="316" t="s">
        <v>1624</v>
      </c>
    </row>
    <row r="321" spans="1:36" s="55" customFormat="1" outlineLevel="1">
      <c r="A321" s="286" t="s">
        <v>743</v>
      </c>
      <c r="B321" s="287" t="s">
        <v>126</v>
      </c>
      <c r="C321" s="288">
        <f>C320*C287</f>
        <v>202576.75750858552</v>
      </c>
      <c r="D321" s="288">
        <f t="shared" ref="D321:AG321" si="154">D320*D287</f>
        <v>209095.93414537743</v>
      </c>
      <c r="E321" s="288">
        <f t="shared" si="154"/>
        <v>215256.99515911192</v>
      </c>
      <c r="F321" s="288">
        <f t="shared" si="154"/>
        <v>221602.41949844977</v>
      </c>
      <c r="G321" s="288">
        <f t="shared" si="154"/>
        <v>227950.49493263368</v>
      </c>
      <c r="H321" s="288">
        <f t="shared" si="154"/>
        <v>234300.55702576091</v>
      </c>
      <c r="I321" s="288">
        <f t="shared" si="154"/>
        <v>239430.90323771554</v>
      </c>
      <c r="J321" s="288">
        <f t="shared" si="154"/>
        <v>244487.69409467155</v>
      </c>
      <c r="K321" s="288">
        <f t="shared" si="154"/>
        <v>249469.39547546656</v>
      </c>
      <c r="L321" s="288">
        <f t="shared" si="154"/>
        <v>254374.47325893844</v>
      </c>
      <c r="M321" s="288">
        <f t="shared" si="154"/>
        <v>259201.39332392503</v>
      </c>
      <c r="N321" s="288">
        <f t="shared" si="154"/>
        <v>262671.12031550967</v>
      </c>
      <c r="O321" s="288">
        <f t="shared" si="154"/>
        <v>265989.72925904091</v>
      </c>
      <c r="P321" s="288">
        <f t="shared" si="154"/>
        <v>269146.65957746375</v>
      </c>
      <c r="Q321" s="288">
        <f t="shared" si="154"/>
        <v>272147.26396777813</v>
      </c>
      <c r="R321" s="288">
        <f t="shared" si="154"/>
        <v>274989.20520020049</v>
      </c>
      <c r="S321" s="288">
        <f t="shared" si="154"/>
        <v>278063.35777326534</v>
      </c>
      <c r="T321" s="288">
        <f t="shared" si="154"/>
        <v>280993.77251698554</v>
      </c>
      <c r="U321" s="288">
        <f t="shared" si="154"/>
        <v>283778.32480491447</v>
      </c>
      <c r="V321" s="288">
        <f t="shared" si="154"/>
        <v>286414.88986305537</v>
      </c>
      <c r="W321" s="288">
        <f t="shared" si="154"/>
        <v>288901.34276986163</v>
      </c>
      <c r="X321" s="288">
        <f t="shared" si="154"/>
        <v>291197.23464869591</v>
      </c>
      <c r="Y321" s="288">
        <f t="shared" si="154"/>
        <v>293337.00673772552</v>
      </c>
      <c r="Z321" s="288">
        <f t="shared" si="154"/>
        <v>295279.53374569479</v>
      </c>
      <c r="AA321" s="288">
        <f t="shared" si="154"/>
        <v>297058.85443231254</v>
      </c>
      <c r="AB321" s="288">
        <f t="shared" si="154"/>
        <v>298672.73676677601</v>
      </c>
      <c r="AC321" s="288">
        <f t="shared" si="154"/>
        <v>299864.17392967665</v>
      </c>
      <c r="AD321" s="288">
        <f t="shared" si="154"/>
        <v>300874.87326904526</v>
      </c>
      <c r="AE321" s="288">
        <f t="shared" si="154"/>
        <v>301702.48964950896</v>
      </c>
      <c r="AF321" s="288">
        <f t="shared" si="154"/>
        <v>302344.67682907102</v>
      </c>
      <c r="AG321" s="288">
        <f t="shared" si="154"/>
        <v>302799.08745910937</v>
      </c>
      <c r="AI321" s="284"/>
      <c r="AJ321" s="316" t="s">
        <v>1625</v>
      </c>
    </row>
    <row r="322" spans="1:36" s="59" customFormat="1" outlineLevel="1">
      <c r="A322" s="290" t="s">
        <v>744</v>
      </c>
      <c r="B322" s="291" t="s">
        <v>126</v>
      </c>
      <c r="C322" s="292">
        <f>C320*C288</f>
        <v>718226.68571225787</v>
      </c>
      <c r="D322" s="292">
        <f t="shared" ref="D322:AG322" si="155">D320*D288</f>
        <v>713386.12826069945</v>
      </c>
      <c r="E322" s="292">
        <f t="shared" si="155"/>
        <v>707272.98409422499</v>
      </c>
      <c r="F322" s="292">
        <f t="shared" si="155"/>
        <v>701740.99507842446</v>
      </c>
      <c r="G322" s="292">
        <f t="shared" si="155"/>
        <v>696173.13317263825</v>
      </c>
      <c r="H322" s="292">
        <f t="shared" si="155"/>
        <v>690570.06281276909</v>
      </c>
      <c r="I322" s="292">
        <f t="shared" si="155"/>
        <v>681457.18613811361</v>
      </c>
      <c r="J322" s="292">
        <f t="shared" si="155"/>
        <v>672341.15876034694</v>
      </c>
      <c r="K322" s="292">
        <f t="shared" si="155"/>
        <v>663223.51480063086</v>
      </c>
      <c r="L322" s="292">
        <f t="shared" si="155"/>
        <v>654105.78838012775</v>
      </c>
      <c r="M322" s="292">
        <f t="shared" si="155"/>
        <v>644989.51361999975</v>
      </c>
      <c r="N322" s="292">
        <f t="shared" si="155"/>
        <v>632798.60803281912</v>
      </c>
      <c r="O322" s="292">
        <f t="shared" si="155"/>
        <v>620642.70160442917</v>
      </c>
      <c r="P322" s="292">
        <f t="shared" si="155"/>
        <v>608505.49121861416</v>
      </c>
      <c r="Q322" s="292">
        <f t="shared" si="155"/>
        <v>596407.83380172681</v>
      </c>
      <c r="R322" s="292">
        <f t="shared" si="155"/>
        <v>584352.06105042645</v>
      </c>
      <c r="S322" s="292">
        <f t="shared" si="155"/>
        <v>573151.00275713927</v>
      </c>
      <c r="T322" s="292">
        <f t="shared" si="155"/>
        <v>561987.54503397155</v>
      </c>
      <c r="U322" s="292">
        <f t="shared" si="155"/>
        <v>550863.80697424617</v>
      </c>
      <c r="V322" s="292">
        <f t="shared" si="155"/>
        <v>539781.90781883558</v>
      </c>
      <c r="W322" s="292">
        <f t="shared" si="155"/>
        <v>528743.96695616236</v>
      </c>
      <c r="X322" s="292">
        <f t="shared" si="155"/>
        <v>517683.97270879324</v>
      </c>
      <c r="Y322" s="292">
        <f t="shared" si="155"/>
        <v>506673.01163789001</v>
      </c>
      <c r="Z322" s="292">
        <f t="shared" si="155"/>
        <v>495647.78878741676</v>
      </c>
      <c r="AA322" s="292">
        <f t="shared" si="155"/>
        <v>484674.97302114213</v>
      </c>
      <c r="AB322" s="292">
        <f t="shared" si="155"/>
        <v>473756.75487143832</v>
      </c>
      <c r="AC322" s="292">
        <f t="shared" si="155"/>
        <v>462502.36995933234</v>
      </c>
      <c r="AD322" s="292">
        <f t="shared" si="155"/>
        <v>451312.30990356847</v>
      </c>
      <c r="AE322" s="292">
        <f t="shared" si="155"/>
        <v>440188.87834108749</v>
      </c>
      <c r="AF322" s="292">
        <f t="shared" si="155"/>
        <v>429134.38001545623</v>
      </c>
      <c r="AG322" s="292">
        <f t="shared" si="155"/>
        <v>418151.1207768654</v>
      </c>
      <c r="AI322" s="319"/>
      <c r="AJ322" s="318" t="s">
        <v>1626</v>
      </c>
    </row>
    <row r="323" spans="1:36" s="1" customFormat="1" outlineLevel="1">
      <c r="A323" t="s">
        <v>725</v>
      </c>
      <c r="B323" s="281" t="s">
        <v>127</v>
      </c>
      <c r="C323" s="234">
        <f>C289*C320</f>
        <v>782682.92673771677</v>
      </c>
      <c r="D323" s="234">
        <f t="shared" ref="D323:AG323" si="156">D289*D320</f>
        <v>782572.28294115525</v>
      </c>
      <c r="E323" s="234">
        <f t="shared" si="156"/>
        <v>781075.38243449177</v>
      </c>
      <c r="F323" s="234">
        <f t="shared" si="156"/>
        <v>780225.18531745858</v>
      </c>
      <c r="G323" s="234">
        <f t="shared" si="156"/>
        <v>779344.25970211241</v>
      </c>
      <c r="H323" s="234">
        <f t="shared" si="156"/>
        <v>778432.77169742924</v>
      </c>
      <c r="I323" s="234">
        <f t="shared" si="156"/>
        <v>773545.99507569626</v>
      </c>
      <c r="J323" s="234">
        <f t="shared" si="156"/>
        <v>768608.18831012351</v>
      </c>
      <c r="K323" s="234">
        <f t="shared" si="156"/>
        <v>763619.73493100121</v>
      </c>
      <c r="L323" s="234">
        <f t="shared" si="156"/>
        <v>758581.01846861991</v>
      </c>
      <c r="M323" s="234">
        <f t="shared" si="156"/>
        <v>753492.42245327029</v>
      </c>
      <c r="N323" s="234">
        <f t="shared" si="156"/>
        <v>744732.32407635974</v>
      </c>
      <c r="O323" s="234">
        <f t="shared" si="156"/>
        <v>735904.91761667968</v>
      </c>
      <c r="P323" s="234">
        <f t="shared" si="156"/>
        <v>726988.53157608409</v>
      </c>
      <c r="Q323" s="234">
        <f t="shared" si="156"/>
        <v>718005.54748945695</v>
      </c>
      <c r="R323" s="234">
        <f t="shared" si="156"/>
        <v>708956.54465676669</v>
      </c>
      <c r="S323" s="234">
        <f t="shared" si="156"/>
        <v>700833.15683669923</v>
      </c>
      <c r="T323" s="234">
        <f t="shared" si="156"/>
        <v>692649.6492543692</v>
      </c>
      <c r="U323" s="234">
        <f t="shared" si="156"/>
        <v>684406.54805891123</v>
      </c>
      <c r="V323" s="234">
        <f t="shared" si="156"/>
        <v>676104.37943634682</v>
      </c>
      <c r="W323" s="234">
        <f t="shared" si="156"/>
        <v>667743.66960958554</v>
      </c>
      <c r="X323" s="234">
        <f t="shared" si="156"/>
        <v>659238.18399635295</v>
      </c>
      <c r="Y323" s="234">
        <f t="shared" si="156"/>
        <v>650674.81494549999</v>
      </c>
      <c r="Z323" s="234">
        <f t="shared" si="156"/>
        <v>641969.34345604153</v>
      </c>
      <c r="AA323" s="234">
        <f t="shared" si="156"/>
        <v>633204.40023729752</v>
      </c>
      <c r="AB323" s="234">
        <f t="shared" si="156"/>
        <v>624380.50574088912</v>
      </c>
      <c r="AC323" s="234">
        <f t="shared" si="156"/>
        <v>614975.67873713316</v>
      </c>
      <c r="AD323" s="234">
        <f t="shared" si="156"/>
        <v>605510.68245395331</v>
      </c>
      <c r="AE323" s="234">
        <f t="shared" si="156"/>
        <v>595986.06561911164</v>
      </c>
      <c r="AF323" s="234">
        <f t="shared" si="156"/>
        <v>586402.37723702856</v>
      </c>
      <c r="AG323" s="234">
        <f t="shared" si="156"/>
        <v>576760.16658877989</v>
      </c>
      <c r="AI323" s="295"/>
      <c r="AJ323" s="198" t="s">
        <v>1627</v>
      </c>
    </row>
    <row r="324" spans="1:36" s="1" customFormat="1" outlineLevel="1">
      <c r="A324" t="s">
        <v>731</v>
      </c>
      <c r="B324" s="281" t="s">
        <v>127</v>
      </c>
      <c r="C324" s="234">
        <f>C290*C320</f>
        <v>138120.5164831265</v>
      </c>
      <c r="D324" s="234">
        <f t="shared" ref="D324:AG324" si="157">D290*D320</f>
        <v>139909.77946492168</v>
      </c>
      <c r="E324" s="234">
        <f t="shared" si="157"/>
        <v>141454.59681884502</v>
      </c>
      <c r="F324" s="234">
        <f t="shared" si="157"/>
        <v>143118.22925941553</v>
      </c>
      <c r="G324" s="234">
        <f t="shared" si="157"/>
        <v>144779.36840315929</v>
      </c>
      <c r="H324" s="234">
        <f t="shared" si="157"/>
        <v>146437.84814110064</v>
      </c>
      <c r="I324" s="234">
        <f t="shared" si="157"/>
        <v>147342.09430013274</v>
      </c>
      <c r="J324" s="234">
        <f t="shared" si="157"/>
        <v>148220.66454489471</v>
      </c>
      <c r="K324" s="234">
        <f t="shared" si="157"/>
        <v>149073.17534509598</v>
      </c>
      <c r="L324" s="234">
        <f t="shared" si="157"/>
        <v>149899.24317044599</v>
      </c>
      <c r="M324" s="234">
        <f t="shared" si="157"/>
        <v>150698.48449065423</v>
      </c>
      <c r="N324" s="234">
        <f t="shared" si="157"/>
        <v>150737.40427196879</v>
      </c>
      <c r="O324" s="234">
        <f t="shared" si="157"/>
        <v>150727.51324679001</v>
      </c>
      <c r="P324" s="234">
        <f t="shared" si="157"/>
        <v>150663.6192199935</v>
      </c>
      <c r="Q324" s="234">
        <f t="shared" si="157"/>
        <v>150549.55028004767</v>
      </c>
      <c r="R324" s="234">
        <f t="shared" si="157"/>
        <v>150384.72159385984</v>
      </c>
      <c r="S324" s="234">
        <f t="shared" si="157"/>
        <v>150381.20369370494</v>
      </c>
      <c r="T324" s="234">
        <f t="shared" si="157"/>
        <v>150331.66829658751</v>
      </c>
      <c r="U324" s="234">
        <f t="shared" si="157"/>
        <v>150235.58372024909</v>
      </c>
      <c r="V324" s="234">
        <f t="shared" si="157"/>
        <v>150092.4182455437</v>
      </c>
      <c r="W324" s="234">
        <f t="shared" si="157"/>
        <v>149901.64011643789</v>
      </c>
      <c r="X324" s="234">
        <f t="shared" si="157"/>
        <v>149643.02336113568</v>
      </c>
      <c r="Y324" s="234">
        <f t="shared" si="157"/>
        <v>149335.2034301151</v>
      </c>
      <c r="Z324" s="234">
        <f t="shared" si="157"/>
        <v>148957.97907706953</v>
      </c>
      <c r="AA324" s="234">
        <f t="shared" si="157"/>
        <v>148529.42721615656</v>
      </c>
      <c r="AB324" s="234">
        <f t="shared" si="157"/>
        <v>148048.98589732463</v>
      </c>
      <c r="AC324" s="234">
        <f t="shared" si="157"/>
        <v>147390.8651518753</v>
      </c>
      <c r="AD324" s="234">
        <f t="shared" si="157"/>
        <v>146676.5007186599</v>
      </c>
      <c r="AE324" s="234">
        <f t="shared" si="157"/>
        <v>145905.3023714842</v>
      </c>
      <c r="AF324" s="234">
        <f t="shared" si="157"/>
        <v>145076.67960749814</v>
      </c>
      <c r="AG324" s="234">
        <f t="shared" si="157"/>
        <v>144190.04164719497</v>
      </c>
      <c r="AI324" s="295"/>
      <c r="AJ324" s="198" t="s">
        <v>1628</v>
      </c>
    </row>
    <row r="325" spans="1:36" s="1" customFormat="1" outlineLevel="1">
      <c r="A325" t="s">
        <v>726</v>
      </c>
      <c r="B325" s="281" t="s">
        <v>127</v>
      </c>
      <c r="C325" s="234">
        <f>C323*C291</f>
        <v>117402.43901065752</v>
      </c>
      <c r="D325" s="234">
        <f t="shared" ref="D325:AG325" si="158">D323*D291</f>
        <v>122342.13356646727</v>
      </c>
      <c r="E325" s="234">
        <f t="shared" si="158"/>
        <v>127054.92887601066</v>
      </c>
      <c r="F325" s="234">
        <f t="shared" si="158"/>
        <v>131858.05631865049</v>
      </c>
      <c r="G325" s="234">
        <f t="shared" si="158"/>
        <v>136645.02686777036</v>
      </c>
      <c r="H325" s="234">
        <f t="shared" si="158"/>
        <v>141415.28685836631</v>
      </c>
      <c r="I325" s="234">
        <f t="shared" si="158"/>
        <v>145426.64707423089</v>
      </c>
      <c r="J325" s="234">
        <f t="shared" si="158"/>
        <v>149366.19126160064</v>
      </c>
      <c r="K325" s="234">
        <f t="shared" si="158"/>
        <v>153233.02680948755</v>
      </c>
      <c r="L325" s="234">
        <f t="shared" si="158"/>
        <v>157026.27082300428</v>
      </c>
      <c r="M325" s="234">
        <f t="shared" si="158"/>
        <v>160745.05012336429</v>
      </c>
      <c r="N325" s="234">
        <f t="shared" si="158"/>
        <v>163592.86718877364</v>
      </c>
      <c r="O325" s="234">
        <f t="shared" si="158"/>
        <v>166314.51138136958</v>
      </c>
      <c r="P325" s="234">
        <f t="shared" si="158"/>
        <v>168903.66883617683</v>
      </c>
      <c r="Q325" s="234">
        <f t="shared" si="158"/>
        <v>171363.99066748368</v>
      </c>
      <c r="R325" s="234">
        <f t="shared" si="158"/>
        <v>173694.35344090778</v>
      </c>
      <c r="S325" s="234">
        <f t="shared" si="158"/>
        <v>176142.73341829039</v>
      </c>
      <c r="T325" s="234">
        <f t="shared" si="158"/>
        <v>178472.72629120911</v>
      </c>
      <c r="U325" s="234">
        <f t="shared" si="158"/>
        <v>180683.32868755257</v>
      </c>
      <c r="V325" s="234">
        <f t="shared" si="158"/>
        <v>182773.55057429246</v>
      </c>
      <c r="W325" s="234">
        <f t="shared" si="158"/>
        <v>184742.41525865204</v>
      </c>
      <c r="X325" s="234">
        <f t="shared" si="158"/>
        <v>186564.40607096793</v>
      </c>
      <c r="Y325" s="234">
        <f t="shared" si="158"/>
        <v>188261.91312423139</v>
      </c>
      <c r="Z325" s="234">
        <f t="shared" si="158"/>
        <v>189808.93588183637</v>
      </c>
      <c r="AA325" s="234">
        <f t="shared" si="158"/>
        <v>191227.72887166395</v>
      </c>
      <c r="AB325" s="234">
        <f t="shared" si="158"/>
        <v>192517.32260344093</v>
      </c>
      <c r="AC325" s="234">
        <f t="shared" si="158"/>
        <v>193512.34690928471</v>
      </c>
      <c r="AD325" s="234">
        <f t="shared" si="158"/>
        <v>194368.92906771915</v>
      </c>
      <c r="AE325" s="234">
        <f t="shared" si="158"/>
        <v>195086.10547932269</v>
      </c>
      <c r="AF325" s="234">
        <f t="shared" si="158"/>
        <v>195662.92653808868</v>
      </c>
      <c r="AG325" s="234">
        <f t="shared" si="158"/>
        <v>196098.45664018518</v>
      </c>
      <c r="AI325" s="295"/>
      <c r="AJ325" s="198" t="s">
        <v>1629</v>
      </c>
    </row>
    <row r="326" spans="1:36" s="1" customFormat="1" outlineLevel="1">
      <c r="A326" t="s">
        <v>727</v>
      </c>
      <c r="B326" s="281" t="s">
        <v>127</v>
      </c>
      <c r="C326" s="234">
        <f>C323*C292</f>
        <v>665280.48772705928</v>
      </c>
      <c r="D326" s="234">
        <f t="shared" ref="D326:AG326" si="159">D323*D292</f>
        <v>660230.14937468804</v>
      </c>
      <c r="E326" s="234">
        <f t="shared" si="159"/>
        <v>654020.45355848118</v>
      </c>
      <c r="F326" s="234">
        <f t="shared" si="159"/>
        <v>648367.1289988081</v>
      </c>
      <c r="G326" s="234">
        <f t="shared" si="159"/>
        <v>642699.23283434217</v>
      </c>
      <c r="H326" s="234">
        <f t="shared" si="159"/>
        <v>637017.48483906302</v>
      </c>
      <c r="I326" s="234">
        <f t="shared" si="159"/>
        <v>628119.34800146555</v>
      </c>
      <c r="J326" s="234">
        <f t="shared" si="159"/>
        <v>619241.99704852304</v>
      </c>
      <c r="K326" s="234">
        <f t="shared" si="159"/>
        <v>610386.70812151383</v>
      </c>
      <c r="L326" s="234">
        <f t="shared" si="159"/>
        <v>601554.74764561583</v>
      </c>
      <c r="M326" s="234">
        <f t="shared" si="159"/>
        <v>592747.37232990621</v>
      </c>
      <c r="N326" s="234">
        <f t="shared" si="159"/>
        <v>581139.45688758628</v>
      </c>
      <c r="O326" s="234">
        <f t="shared" si="159"/>
        <v>569590.40623531037</v>
      </c>
      <c r="P326" s="234">
        <f t="shared" si="159"/>
        <v>558084.86273990746</v>
      </c>
      <c r="Q326" s="234">
        <f t="shared" si="159"/>
        <v>546641.55682197353</v>
      </c>
      <c r="R326" s="234">
        <f t="shared" si="159"/>
        <v>535262.19121585914</v>
      </c>
      <c r="S326" s="234">
        <f t="shared" si="159"/>
        <v>524690.42341840919</v>
      </c>
      <c r="T326" s="234">
        <f t="shared" si="159"/>
        <v>514176.92296316044</v>
      </c>
      <c r="U326" s="234">
        <f t="shared" si="159"/>
        <v>503723.21937135904</v>
      </c>
      <c r="V326" s="234">
        <f t="shared" si="159"/>
        <v>493330.8288620548</v>
      </c>
      <c r="W326" s="234">
        <f t="shared" si="159"/>
        <v>483001.25435093394</v>
      </c>
      <c r="X326" s="234">
        <f t="shared" si="159"/>
        <v>472673.77792538551</v>
      </c>
      <c r="Y326" s="234">
        <f t="shared" si="159"/>
        <v>462412.90182126907</v>
      </c>
      <c r="Z326" s="234">
        <f t="shared" si="159"/>
        <v>452160.40757420572</v>
      </c>
      <c r="AA326" s="234">
        <f t="shared" si="159"/>
        <v>441976.67136563413</v>
      </c>
      <c r="AB326" s="234">
        <f t="shared" si="159"/>
        <v>431863.1831374488</v>
      </c>
      <c r="AC326" s="234">
        <f t="shared" si="159"/>
        <v>421463.33182784909</v>
      </c>
      <c r="AD326" s="234">
        <f t="shared" si="159"/>
        <v>411141.75338623481</v>
      </c>
      <c r="AE326" s="234">
        <f t="shared" si="159"/>
        <v>400899.96013978962</v>
      </c>
      <c r="AF326" s="234">
        <f t="shared" si="159"/>
        <v>390739.45069894055</v>
      </c>
      <c r="AG326" s="234">
        <f t="shared" si="159"/>
        <v>380661.70994859474</v>
      </c>
      <c r="AI326" s="295"/>
      <c r="AJ326" s="198" t="s">
        <v>1630</v>
      </c>
    </row>
    <row r="327" spans="1:36" s="1" customFormat="1" outlineLevel="1">
      <c r="A327" t="s">
        <v>730</v>
      </c>
      <c r="B327" s="281" t="s">
        <v>127</v>
      </c>
      <c r="C327" s="234">
        <f>C293*C326</f>
        <v>0</v>
      </c>
      <c r="D327" s="234">
        <f t="shared" ref="D327:AG327" si="160">D293*D326</f>
        <v>0</v>
      </c>
      <c r="E327" s="234">
        <f t="shared" si="160"/>
        <v>0</v>
      </c>
      <c r="F327" s="234">
        <f t="shared" si="160"/>
        <v>0</v>
      </c>
      <c r="G327" s="234">
        <f t="shared" si="160"/>
        <v>0</v>
      </c>
      <c r="H327" s="234">
        <f t="shared" si="160"/>
        <v>0</v>
      </c>
      <c r="I327" s="234">
        <f t="shared" si="160"/>
        <v>0</v>
      </c>
      <c r="J327" s="234">
        <f t="shared" si="160"/>
        <v>0</v>
      </c>
      <c r="K327" s="234">
        <f t="shared" si="160"/>
        <v>0</v>
      </c>
      <c r="L327" s="234">
        <f t="shared" si="160"/>
        <v>0</v>
      </c>
      <c r="M327" s="234">
        <f t="shared" si="160"/>
        <v>0</v>
      </c>
      <c r="N327" s="234">
        <f t="shared" si="160"/>
        <v>0</v>
      </c>
      <c r="O327" s="234">
        <f t="shared" si="160"/>
        <v>0</v>
      </c>
      <c r="P327" s="234">
        <f t="shared" si="160"/>
        <v>0</v>
      </c>
      <c r="Q327" s="234">
        <f t="shared" si="160"/>
        <v>0</v>
      </c>
      <c r="R327" s="234">
        <f t="shared" si="160"/>
        <v>0</v>
      </c>
      <c r="S327" s="234">
        <f t="shared" si="160"/>
        <v>0</v>
      </c>
      <c r="T327" s="234">
        <f t="shared" si="160"/>
        <v>0</v>
      </c>
      <c r="U327" s="234">
        <f t="shared" si="160"/>
        <v>0</v>
      </c>
      <c r="V327" s="234">
        <f t="shared" si="160"/>
        <v>0</v>
      </c>
      <c r="W327" s="234">
        <f t="shared" si="160"/>
        <v>0</v>
      </c>
      <c r="X327" s="234">
        <f t="shared" si="160"/>
        <v>0</v>
      </c>
      <c r="Y327" s="234">
        <f t="shared" si="160"/>
        <v>0</v>
      </c>
      <c r="Z327" s="234">
        <f t="shared" si="160"/>
        <v>0</v>
      </c>
      <c r="AA327" s="234">
        <f t="shared" si="160"/>
        <v>0</v>
      </c>
      <c r="AB327" s="234">
        <f t="shared" si="160"/>
        <v>0</v>
      </c>
      <c r="AC327" s="234">
        <f t="shared" si="160"/>
        <v>0</v>
      </c>
      <c r="AD327" s="234">
        <f t="shared" si="160"/>
        <v>0</v>
      </c>
      <c r="AE327" s="234">
        <f t="shared" si="160"/>
        <v>0</v>
      </c>
      <c r="AF327" s="234">
        <f t="shared" si="160"/>
        <v>0</v>
      </c>
      <c r="AG327" s="234">
        <f t="shared" si="160"/>
        <v>0</v>
      </c>
      <c r="AI327" s="295"/>
      <c r="AJ327" s="198" t="s">
        <v>1631</v>
      </c>
    </row>
    <row r="328" spans="1:36" s="1" customFormat="1" outlineLevel="1">
      <c r="A328" t="s">
        <v>758</v>
      </c>
      <c r="B328" s="281" t="s">
        <v>127</v>
      </c>
      <c r="C328" s="234">
        <f>C294*C326</f>
        <v>665280.48772705928</v>
      </c>
      <c r="D328" s="234">
        <f t="shared" ref="D328:AG328" si="161">D294*D326</f>
        <v>660230.14937468804</v>
      </c>
      <c r="E328" s="234">
        <f t="shared" si="161"/>
        <v>654020.45355848118</v>
      </c>
      <c r="F328" s="234">
        <f t="shared" si="161"/>
        <v>648367.1289988081</v>
      </c>
      <c r="G328" s="234">
        <f t="shared" si="161"/>
        <v>642699.23283434217</v>
      </c>
      <c r="H328" s="234">
        <f t="shared" si="161"/>
        <v>637017.48483906302</v>
      </c>
      <c r="I328" s="234">
        <f t="shared" si="161"/>
        <v>628119.34800146555</v>
      </c>
      <c r="J328" s="234">
        <f t="shared" si="161"/>
        <v>619241.99704852304</v>
      </c>
      <c r="K328" s="234">
        <f t="shared" si="161"/>
        <v>610386.70812151383</v>
      </c>
      <c r="L328" s="234">
        <f t="shared" si="161"/>
        <v>601554.74764561583</v>
      </c>
      <c r="M328" s="234">
        <f t="shared" si="161"/>
        <v>592747.37232990621</v>
      </c>
      <c r="N328" s="234">
        <f t="shared" si="161"/>
        <v>581139.45688758628</v>
      </c>
      <c r="O328" s="234">
        <f t="shared" si="161"/>
        <v>569590.40623531037</v>
      </c>
      <c r="P328" s="234">
        <f t="shared" si="161"/>
        <v>558084.86273990746</v>
      </c>
      <c r="Q328" s="234">
        <f t="shared" si="161"/>
        <v>546641.55682197353</v>
      </c>
      <c r="R328" s="234">
        <f t="shared" si="161"/>
        <v>535262.19121585914</v>
      </c>
      <c r="S328" s="234">
        <f t="shared" si="161"/>
        <v>524690.42341840919</v>
      </c>
      <c r="T328" s="234">
        <f t="shared" si="161"/>
        <v>514176.92296316044</v>
      </c>
      <c r="U328" s="234">
        <f t="shared" si="161"/>
        <v>503723.21937135904</v>
      </c>
      <c r="V328" s="234">
        <f t="shared" si="161"/>
        <v>493330.8288620548</v>
      </c>
      <c r="W328" s="234">
        <f t="shared" si="161"/>
        <v>483001.25435093394</v>
      </c>
      <c r="X328" s="234">
        <f t="shared" si="161"/>
        <v>472673.77792538551</v>
      </c>
      <c r="Y328" s="234">
        <f t="shared" si="161"/>
        <v>462412.90182126907</v>
      </c>
      <c r="Z328" s="234">
        <f t="shared" si="161"/>
        <v>452160.40757420572</v>
      </c>
      <c r="AA328" s="234">
        <f t="shared" si="161"/>
        <v>441976.67136563413</v>
      </c>
      <c r="AB328" s="234">
        <f t="shared" si="161"/>
        <v>431863.1831374488</v>
      </c>
      <c r="AC328" s="234">
        <f t="shared" si="161"/>
        <v>421463.33182784909</v>
      </c>
      <c r="AD328" s="234">
        <f t="shared" si="161"/>
        <v>411141.75338623481</v>
      </c>
      <c r="AE328" s="234">
        <f t="shared" si="161"/>
        <v>400899.96013978962</v>
      </c>
      <c r="AF328" s="234">
        <f t="shared" si="161"/>
        <v>390739.45069894055</v>
      </c>
      <c r="AG328" s="234">
        <f t="shared" si="161"/>
        <v>380661.70994859474</v>
      </c>
      <c r="AI328" s="295"/>
      <c r="AJ328" s="198" t="s">
        <v>1632</v>
      </c>
    </row>
    <row r="329" spans="1:36" s="1" customFormat="1" outlineLevel="1">
      <c r="A329" t="s">
        <v>728</v>
      </c>
      <c r="B329" s="281" t="s">
        <v>127</v>
      </c>
      <c r="C329" s="234">
        <f>C295*(C327+C325)</f>
        <v>93921.951208526021</v>
      </c>
      <c r="D329" s="234">
        <f t="shared" ref="D329:AG329" si="162">D295*(D327+D325)</f>
        <v>98281.51396506204</v>
      </c>
      <c r="E329" s="234">
        <f t="shared" si="162"/>
        <v>102490.97595998192</v>
      </c>
      <c r="F329" s="234">
        <f t="shared" si="162"/>
        <v>106805.02561810688</v>
      </c>
      <c r="G329" s="234">
        <f t="shared" si="162"/>
        <v>111137.95518578654</v>
      </c>
      <c r="H329" s="234">
        <f t="shared" si="162"/>
        <v>115489.15093433247</v>
      </c>
      <c r="I329" s="234">
        <f t="shared" si="162"/>
        <v>119249.85060086931</v>
      </c>
      <c r="J329" s="234">
        <f t="shared" si="162"/>
        <v>122978.16413871784</v>
      </c>
      <c r="K329" s="234">
        <f t="shared" si="162"/>
        <v>126672.635495843</v>
      </c>
      <c r="L329" s="234">
        <f t="shared" si="162"/>
        <v>130331.80478309351</v>
      </c>
      <c r="M329" s="234">
        <f t="shared" si="162"/>
        <v>133954.20843613686</v>
      </c>
      <c r="N329" s="234">
        <f t="shared" si="162"/>
        <v>136872.69888127389</v>
      </c>
      <c r="O329" s="234">
        <f t="shared" si="162"/>
        <v>139704.18956035038</v>
      </c>
      <c r="P329" s="234">
        <f t="shared" si="162"/>
        <v>142442.0940518424</v>
      </c>
      <c r="Q329" s="234">
        <f t="shared" si="162"/>
        <v>145088.17876513611</v>
      </c>
      <c r="R329" s="234">
        <f t="shared" si="162"/>
        <v>147640.20042477152</v>
      </c>
      <c r="S329" s="234">
        <f t="shared" si="162"/>
        <v>150308.46585027437</v>
      </c>
      <c r="T329" s="234">
        <f t="shared" si="162"/>
        <v>152891.63552280239</v>
      </c>
      <c r="U329" s="234">
        <f t="shared" si="162"/>
        <v>155387.66267129511</v>
      </c>
      <c r="V329" s="234">
        <f t="shared" si="162"/>
        <v>157794.49866247238</v>
      </c>
      <c r="W329" s="234">
        <f t="shared" si="162"/>
        <v>160110.09322416497</v>
      </c>
      <c r="X329" s="234">
        <f t="shared" si="162"/>
        <v>162311.03328174198</v>
      </c>
      <c r="Y329" s="234">
        <f t="shared" si="162"/>
        <v>164415.40412849528</v>
      </c>
      <c r="Z329" s="234">
        <f t="shared" si="162"/>
        <v>166399.16712307642</v>
      </c>
      <c r="AA329" s="234">
        <f t="shared" si="162"/>
        <v>168280.40140706411</v>
      </c>
      <c r="AB329" s="234">
        <f t="shared" si="162"/>
        <v>170056.968299706</v>
      </c>
      <c r="AC329" s="234">
        <f t="shared" si="162"/>
        <v>171580.94759289894</v>
      </c>
      <c r="AD329" s="234">
        <f t="shared" si="162"/>
        <v>172988.34687026986</v>
      </c>
      <c r="AE329" s="234">
        <f t="shared" si="162"/>
        <v>174276.92089486143</v>
      </c>
      <c r="AF329" s="234">
        <f t="shared" si="162"/>
        <v>175444.42412915267</v>
      </c>
      <c r="AG329" s="234">
        <f t="shared" si="162"/>
        <v>176488.61097616667</v>
      </c>
      <c r="AH329" s="234"/>
      <c r="AI329" s="295"/>
      <c r="AJ329" s="198" t="s">
        <v>1633</v>
      </c>
    </row>
    <row r="330" spans="1:36" s="1" customFormat="1" outlineLevel="1">
      <c r="A330" t="s">
        <v>729</v>
      </c>
      <c r="B330" s="281" t="s">
        <v>127</v>
      </c>
      <c r="C330" s="234">
        <f>C296*(C327+C325)</f>
        <v>23480.487802131505</v>
      </c>
      <c r="D330" s="234">
        <f t="shared" ref="D330:AG330" si="163">D296*(D327+D325)</f>
        <v>24060.619601405229</v>
      </c>
      <c r="E330" s="234">
        <f t="shared" si="163"/>
        <v>24563.952916028731</v>
      </c>
      <c r="F330" s="234">
        <f t="shared" si="163"/>
        <v>25053.030700543597</v>
      </c>
      <c r="G330" s="234">
        <f t="shared" si="163"/>
        <v>25507.071681983805</v>
      </c>
      <c r="H330" s="234">
        <f t="shared" si="163"/>
        <v>25926.135924033828</v>
      </c>
      <c r="I330" s="234">
        <f t="shared" si="163"/>
        <v>26176.796473361566</v>
      </c>
      <c r="J330" s="234">
        <f t="shared" si="163"/>
        <v>26388.027122882788</v>
      </c>
      <c r="K330" s="234">
        <f t="shared" si="163"/>
        <v>26560.391313644519</v>
      </c>
      <c r="L330" s="234">
        <f t="shared" si="163"/>
        <v>26694.466039910738</v>
      </c>
      <c r="M330" s="234">
        <f t="shared" si="163"/>
        <v>26790.841687227392</v>
      </c>
      <c r="N330" s="234">
        <f t="shared" si="163"/>
        <v>26720.168307499709</v>
      </c>
      <c r="O330" s="234">
        <f t="shared" si="163"/>
        <v>26610.321821019148</v>
      </c>
      <c r="P330" s="234">
        <f t="shared" si="163"/>
        <v>26461.574784334385</v>
      </c>
      <c r="Q330" s="234">
        <f t="shared" si="163"/>
        <v>26275.811902347516</v>
      </c>
      <c r="R330" s="234">
        <f t="shared" si="163"/>
        <v>26054.153016136184</v>
      </c>
      <c r="S330" s="234">
        <f t="shared" si="163"/>
        <v>25834.267568015945</v>
      </c>
      <c r="T330" s="234">
        <f t="shared" si="163"/>
        <v>25581.090768406659</v>
      </c>
      <c r="U330" s="234">
        <f t="shared" si="163"/>
        <v>25295.666016257383</v>
      </c>
      <c r="V330" s="234">
        <f t="shared" si="163"/>
        <v>24979.051911819992</v>
      </c>
      <c r="W330" s="234">
        <f t="shared" si="163"/>
        <v>24632.322034486962</v>
      </c>
      <c r="X330" s="234">
        <f t="shared" si="163"/>
        <v>24253.372789225858</v>
      </c>
      <c r="Y330" s="234">
        <f t="shared" si="163"/>
        <v>23846.508995736003</v>
      </c>
      <c r="Z330" s="234">
        <f t="shared" si="163"/>
        <v>23409.768758759848</v>
      </c>
      <c r="AA330" s="234">
        <f t="shared" si="163"/>
        <v>22947.327464599704</v>
      </c>
      <c r="AB330" s="234">
        <f t="shared" si="163"/>
        <v>22460.354303734806</v>
      </c>
      <c r="AC330" s="234">
        <f t="shared" si="163"/>
        <v>21931.399316385636</v>
      </c>
      <c r="AD330" s="234">
        <f t="shared" si="163"/>
        <v>21380.582197449141</v>
      </c>
      <c r="AE330" s="234">
        <f t="shared" si="163"/>
        <v>20809.184584461123</v>
      </c>
      <c r="AF330" s="234">
        <f t="shared" si="163"/>
        <v>20218.502408935867</v>
      </c>
      <c r="AG330" s="234">
        <f t="shared" si="163"/>
        <v>19609.845664018518</v>
      </c>
      <c r="AI330" s="295"/>
      <c r="AJ330" s="198" t="s">
        <v>1634</v>
      </c>
    </row>
    <row r="331" spans="1:36" s="1" customFormat="1" outlineLevel="1">
      <c r="A331" t="s">
        <v>739</v>
      </c>
      <c r="B331" s="281" t="s">
        <v>127</v>
      </c>
      <c r="C331" s="234">
        <f>C324*C297</f>
        <v>131214.49065897017</v>
      </c>
      <c r="D331" s="234">
        <f t="shared" ref="D331:AG331" si="164">D324*D297</f>
        <v>132727.74411905571</v>
      </c>
      <c r="E331" s="234">
        <f t="shared" si="164"/>
        <v>134004.6547197192</v>
      </c>
      <c r="F331" s="234">
        <f t="shared" si="164"/>
        <v>135389.84487940709</v>
      </c>
      <c r="G331" s="234">
        <f t="shared" si="164"/>
        <v>136768.24335151783</v>
      </c>
      <c r="H331" s="234">
        <f t="shared" si="164"/>
        <v>138139.70341310496</v>
      </c>
      <c r="I331" s="234">
        <f t="shared" si="164"/>
        <v>138796.25283072508</v>
      </c>
      <c r="J331" s="234">
        <f t="shared" si="164"/>
        <v>139426.23844856431</v>
      </c>
      <c r="K331" s="234">
        <f t="shared" si="164"/>
        <v>140029.40270749351</v>
      </c>
      <c r="L331" s="234">
        <f t="shared" si="164"/>
        <v>140605.49009387838</v>
      </c>
      <c r="M331" s="234">
        <f t="shared" si="164"/>
        <v>141154.2471395795</v>
      </c>
      <c r="N331" s="234">
        <f t="shared" si="164"/>
        <v>140989.71879571487</v>
      </c>
      <c r="O331" s="234">
        <f t="shared" si="164"/>
        <v>140779.49737250194</v>
      </c>
      <c r="P331" s="234">
        <f t="shared" si="164"/>
        <v>140518.93552584734</v>
      </c>
      <c r="Q331" s="234">
        <f t="shared" si="164"/>
        <v>140211.81449415113</v>
      </c>
      <c r="R331" s="234">
        <f t="shared" si="164"/>
        <v>139857.79108228971</v>
      </c>
      <c r="S331" s="234">
        <f t="shared" si="164"/>
        <v>139654.01116355407</v>
      </c>
      <c r="T331" s="234">
        <f t="shared" si="164"/>
        <v>139407.56706703556</v>
      </c>
      <c r="U331" s="234">
        <f t="shared" si="164"/>
        <v>139118.15052495076</v>
      </c>
      <c r="V331" s="234">
        <f t="shared" si="164"/>
        <v>138785.45607104618</v>
      </c>
      <c r="W331" s="234">
        <f t="shared" si="164"/>
        <v>138409.18104084441</v>
      </c>
      <c r="X331" s="234">
        <f t="shared" si="164"/>
        <v>137970.8675389672</v>
      </c>
      <c r="Y331" s="234">
        <f t="shared" si="164"/>
        <v>137487.94395799274</v>
      </c>
      <c r="Z331" s="234">
        <f t="shared" si="164"/>
        <v>136942.03543151935</v>
      </c>
      <c r="AA331" s="234">
        <f t="shared" si="164"/>
        <v>136350.01418443184</v>
      </c>
      <c r="AB331" s="234">
        <f t="shared" si="164"/>
        <v>135711.57040588104</v>
      </c>
      <c r="AC331" s="234">
        <f t="shared" si="164"/>
        <v>134911.77190234998</v>
      </c>
      <c r="AD331" s="234">
        <f t="shared" si="164"/>
        <v>134062.32165685529</v>
      </c>
      <c r="AE331" s="234">
        <f t="shared" si="164"/>
        <v>133162.90596437472</v>
      </c>
      <c r="AF331" s="234">
        <f t="shared" si="164"/>
        <v>132213.21401563345</v>
      </c>
      <c r="AG331" s="234">
        <f t="shared" si="164"/>
        <v>131212.93789894742</v>
      </c>
      <c r="AI331" s="295"/>
      <c r="AJ331" s="198" t="s">
        <v>1635</v>
      </c>
    </row>
    <row r="332" spans="1:36" s="1" customFormat="1" outlineLevel="1">
      <c r="A332" t="s">
        <v>759</v>
      </c>
      <c r="B332" s="281" t="s">
        <v>127</v>
      </c>
      <c r="C332" s="234">
        <f>C324*C298</f>
        <v>6906.0258241563251</v>
      </c>
      <c r="D332" s="234">
        <f t="shared" ref="D332:AG332" si="165">D324*D298</f>
        <v>7182.0353458659802</v>
      </c>
      <c r="E332" s="234">
        <f t="shared" si="165"/>
        <v>7449.9420991258376</v>
      </c>
      <c r="F332" s="234">
        <f t="shared" si="165"/>
        <v>7728.3843800084387</v>
      </c>
      <c r="G332" s="234">
        <f t="shared" si="165"/>
        <v>8011.1250516414802</v>
      </c>
      <c r="H332" s="234">
        <f t="shared" si="165"/>
        <v>8298.1447279957029</v>
      </c>
      <c r="I332" s="234">
        <f t="shared" si="165"/>
        <v>8545.8414694076982</v>
      </c>
      <c r="J332" s="234">
        <f t="shared" si="165"/>
        <v>8794.4260963304187</v>
      </c>
      <c r="K332" s="234">
        <f t="shared" si="165"/>
        <v>9043.7726376024893</v>
      </c>
      <c r="L332" s="234">
        <f t="shared" si="165"/>
        <v>9293.7530765676511</v>
      </c>
      <c r="M332" s="234">
        <f t="shared" si="165"/>
        <v>9544.2373510747657</v>
      </c>
      <c r="N332" s="234">
        <f t="shared" si="165"/>
        <v>9747.6854762539806</v>
      </c>
      <c r="O332" s="234">
        <f t="shared" si="165"/>
        <v>9948.0158742881413</v>
      </c>
      <c r="P332" s="234">
        <f t="shared" si="165"/>
        <v>10144.68369414623</v>
      </c>
      <c r="Q332" s="234">
        <f t="shared" si="165"/>
        <v>10337.735785896608</v>
      </c>
      <c r="R332" s="234">
        <f t="shared" si="165"/>
        <v>10526.930511570192</v>
      </c>
      <c r="S332" s="234">
        <f t="shared" si="165"/>
        <v>10727.192530150956</v>
      </c>
      <c r="T332" s="234">
        <f t="shared" si="165"/>
        <v>10924.10122955203</v>
      </c>
      <c r="U332" s="234">
        <f t="shared" si="165"/>
        <v>11117.433195298439</v>
      </c>
      <c r="V332" s="234">
        <f t="shared" si="165"/>
        <v>11306.962174497632</v>
      </c>
      <c r="W332" s="234">
        <f t="shared" si="165"/>
        <v>11492.459075593579</v>
      </c>
      <c r="X332" s="234">
        <f t="shared" si="165"/>
        <v>11672.155822168592</v>
      </c>
      <c r="Y332" s="234">
        <f t="shared" si="165"/>
        <v>11847.259472122474</v>
      </c>
      <c r="Z332" s="234">
        <f t="shared" si="165"/>
        <v>12015.943645550286</v>
      </c>
      <c r="AA332" s="234">
        <f t="shared" si="165"/>
        <v>12179.413031724849</v>
      </c>
      <c r="AB332" s="234">
        <f t="shared" si="165"/>
        <v>12337.415491443731</v>
      </c>
      <c r="AC332" s="234">
        <f t="shared" si="165"/>
        <v>12479.093249525455</v>
      </c>
      <c r="AD332" s="234">
        <f t="shared" si="165"/>
        <v>12614.179061804763</v>
      </c>
      <c r="AE332" s="234">
        <f t="shared" si="165"/>
        <v>12742.396407109634</v>
      </c>
      <c r="AF332" s="234">
        <f t="shared" si="165"/>
        <v>12863.46559186485</v>
      </c>
      <c r="AG332" s="234">
        <f t="shared" si="165"/>
        <v>12977.103748247548</v>
      </c>
      <c r="AI332" s="295"/>
      <c r="AJ332" s="198" t="s">
        <v>1636</v>
      </c>
    </row>
    <row r="333" spans="1:36" s="1" customFormat="1" outlineLevel="1">
      <c r="A333" t="s">
        <v>742</v>
      </c>
      <c r="B333" s="281" t="s">
        <v>127</v>
      </c>
      <c r="C333" s="234">
        <f t="shared" ref="C333:AG333" si="166">C329*C299</f>
        <v>25358.926826302028</v>
      </c>
      <c r="D333" s="234">
        <f t="shared" si="166"/>
        <v>26142.882714706506</v>
      </c>
      <c r="E333" s="234">
        <f t="shared" si="166"/>
        <v>26852.635701515264</v>
      </c>
      <c r="F333" s="234">
        <f t="shared" si="166"/>
        <v>27555.696609471575</v>
      </c>
      <c r="G333" s="234">
        <f t="shared" si="166"/>
        <v>28229.040617189781</v>
      </c>
      <c r="H333" s="234">
        <f t="shared" si="166"/>
        <v>28872.287733583118</v>
      </c>
      <c r="I333" s="234">
        <f t="shared" si="166"/>
        <v>29335.463247813848</v>
      </c>
      <c r="J333" s="234">
        <f t="shared" si="166"/>
        <v>29760.715721569715</v>
      </c>
      <c r="K333" s="234">
        <f t="shared" si="166"/>
        <v>30148.087248010634</v>
      </c>
      <c r="L333" s="234">
        <f t="shared" si="166"/>
        <v>30497.642319243878</v>
      </c>
      <c r="M333" s="234">
        <f t="shared" si="166"/>
        <v>30809.467940311475</v>
      </c>
      <c r="N333" s="234">
        <f t="shared" si="166"/>
        <v>30933.229947167896</v>
      </c>
      <c r="O333" s="234">
        <f t="shared" si="166"/>
        <v>31014.330082397781</v>
      </c>
      <c r="P333" s="234">
        <f t="shared" si="166"/>
        <v>31052.376503301639</v>
      </c>
      <c r="Q333" s="234">
        <f t="shared" si="166"/>
        <v>31048.870255739123</v>
      </c>
      <c r="R333" s="234">
        <f t="shared" si="166"/>
        <v>31004.442089202013</v>
      </c>
      <c r="S333" s="234">
        <f t="shared" si="166"/>
        <v>30963.543965156514</v>
      </c>
      <c r="T333" s="234">
        <f t="shared" si="166"/>
        <v>30884.110375606077</v>
      </c>
      <c r="U333" s="234">
        <f t="shared" si="166"/>
        <v>30766.757208916424</v>
      </c>
      <c r="V333" s="234">
        <f t="shared" si="166"/>
        <v>30612.132740519635</v>
      </c>
      <c r="W333" s="234">
        <f t="shared" si="166"/>
        <v>30420.917712591337</v>
      </c>
      <c r="X333" s="234">
        <f t="shared" si="166"/>
        <v>30189.852190403999</v>
      </c>
      <c r="Y333" s="234">
        <f t="shared" si="166"/>
        <v>29923.603551386132</v>
      </c>
      <c r="Z333" s="234">
        <f t="shared" si="166"/>
        <v>29619.051747907593</v>
      </c>
      <c r="AA333" s="234">
        <f t="shared" si="166"/>
        <v>29280.789844829145</v>
      </c>
      <c r="AB333" s="234">
        <f t="shared" si="166"/>
        <v>28909.684610950007</v>
      </c>
      <c r="AC333" s="234">
        <f t="shared" si="166"/>
        <v>28482.43730042121</v>
      </c>
      <c r="AD333" s="234">
        <f t="shared" si="166"/>
        <v>28024.112192983703</v>
      </c>
      <c r="AE333" s="234">
        <f t="shared" si="166"/>
        <v>27535.753501388092</v>
      </c>
      <c r="AF333" s="234">
        <f t="shared" si="166"/>
        <v>27018.441315889497</v>
      </c>
      <c r="AG333" s="234">
        <f t="shared" si="166"/>
        <v>26473.291646425001</v>
      </c>
      <c r="AI333" s="295"/>
      <c r="AJ333" s="198"/>
    </row>
    <row r="334" spans="1:36" s="62" customFormat="1">
      <c r="A334" s="322" t="s">
        <v>733</v>
      </c>
      <c r="B334" s="287" t="s">
        <v>127</v>
      </c>
      <c r="C334" s="288">
        <f>C300*C$319</f>
        <v>159053.02245915448</v>
      </c>
      <c r="D334" s="288">
        <f t="shared" ref="D334:AG339" si="167">D300*D$319</f>
        <v>163509.44939273171</v>
      </c>
      <c r="E334" s="288">
        <f t="shared" si="167"/>
        <v>167281.53925392369</v>
      </c>
      <c r="F334" s="288">
        <f t="shared" si="167"/>
        <v>171094.52992155944</v>
      </c>
      <c r="G334" s="288">
        <f t="shared" si="167"/>
        <v>174827.01485978087</v>
      </c>
      <c r="H334" s="288">
        <f t="shared" si="167"/>
        <v>178478.69340324515</v>
      </c>
      <c r="I334" s="288">
        <f t="shared" si="167"/>
        <v>181084.31928117655</v>
      </c>
      <c r="J334" s="288">
        <f t="shared" si="167"/>
        <v>183572.19909748586</v>
      </c>
      <c r="K334" s="288">
        <f t="shared" si="167"/>
        <v>185944.87936810043</v>
      </c>
      <c r="L334" s="288">
        <f t="shared" si="167"/>
        <v>188205.05931880692</v>
      </c>
      <c r="M334" s="288">
        <f t="shared" si="167"/>
        <v>190355.59885322771</v>
      </c>
      <c r="N334" s="288">
        <f t="shared" si="167"/>
        <v>190643.27829454737</v>
      </c>
      <c r="O334" s="288">
        <f t="shared" si="167"/>
        <v>190807.34211711332</v>
      </c>
      <c r="P334" s="288">
        <f t="shared" si="167"/>
        <v>190851.92468210848</v>
      </c>
      <c r="Q334" s="288">
        <f t="shared" si="167"/>
        <v>190789.50804482569</v>
      </c>
      <c r="R334" s="288">
        <f t="shared" si="167"/>
        <v>190628.63845350215</v>
      </c>
      <c r="S334" s="288">
        <f t="shared" si="167"/>
        <v>190634.67114958787</v>
      </c>
      <c r="T334" s="288">
        <f t="shared" si="167"/>
        <v>190555.97532377494</v>
      </c>
      <c r="U334" s="288">
        <f t="shared" si="167"/>
        <v>190399.57688844623</v>
      </c>
      <c r="V334" s="288">
        <f t="shared" si="167"/>
        <v>190172.67612371792</v>
      </c>
      <c r="W334" s="288">
        <f t="shared" si="167"/>
        <v>189882.65956408388</v>
      </c>
      <c r="X334" s="288">
        <f t="shared" si="167"/>
        <v>188230.06215817001</v>
      </c>
      <c r="Y334" s="288">
        <f t="shared" si="167"/>
        <v>186555.73298220089</v>
      </c>
      <c r="Z334" s="288">
        <f t="shared" si="167"/>
        <v>184864.42045547979</v>
      </c>
      <c r="AA334" s="288">
        <f t="shared" si="167"/>
        <v>183180.92902624697</v>
      </c>
      <c r="AB334" s="288">
        <f t="shared" si="167"/>
        <v>181519.23277488633</v>
      </c>
      <c r="AC334" s="288">
        <f t="shared" si="167"/>
        <v>179805.64163156546</v>
      </c>
      <c r="AD334" s="288">
        <f t="shared" si="167"/>
        <v>178161.47237340681</v>
      </c>
      <c r="AE334" s="288">
        <f t="shared" si="167"/>
        <v>176604.82139855961</v>
      </c>
      <c r="AF334" s="288">
        <f t="shared" si="167"/>
        <v>175154.41907109134</v>
      </c>
      <c r="AG334" s="288">
        <f t="shared" si="167"/>
        <v>173829.65411953663</v>
      </c>
      <c r="AI334" s="314"/>
      <c r="AJ334" s="325"/>
    </row>
    <row r="335" spans="1:36">
      <c r="A335" s="323" t="s">
        <v>734</v>
      </c>
      <c r="B335" s="281" t="s">
        <v>127</v>
      </c>
      <c r="C335" s="234">
        <f t="shared" ref="C335:R339" si="168">C301*C$319</f>
        <v>367810.11443679471</v>
      </c>
      <c r="D335" s="234">
        <f t="shared" si="168"/>
        <v>367566.60498567711</v>
      </c>
      <c r="E335" s="234">
        <f t="shared" si="168"/>
        <v>365928.36711795803</v>
      </c>
      <c r="F335" s="234">
        <f t="shared" si="168"/>
        <v>364548.00409423176</v>
      </c>
      <c r="G335" s="234">
        <f t="shared" si="168"/>
        <v>363151.70366094186</v>
      </c>
      <c r="H335" s="234">
        <f t="shared" si="168"/>
        <v>361738.06609407719</v>
      </c>
      <c r="I335" s="234">
        <f t="shared" si="168"/>
        <v>358396.0485773285</v>
      </c>
      <c r="J335" s="234">
        <f t="shared" si="168"/>
        <v>355050.95940307644</v>
      </c>
      <c r="K335" s="234">
        <f t="shared" si="168"/>
        <v>351704.95275216358</v>
      </c>
      <c r="L335" s="234">
        <f t="shared" si="168"/>
        <v>348360.32614298386</v>
      </c>
      <c r="M335" s="234">
        <f t="shared" si="168"/>
        <v>345019.52292147512</v>
      </c>
      <c r="N335" s="234">
        <f t="shared" si="168"/>
        <v>338566.18782492017</v>
      </c>
      <c r="O335" s="234">
        <f t="shared" si="168"/>
        <v>332209.2117217597</v>
      </c>
      <c r="P335" s="234">
        <f t="shared" si="168"/>
        <v>325946.23764749622</v>
      </c>
      <c r="Q335" s="234">
        <f t="shared" si="168"/>
        <v>319789.23223422474</v>
      </c>
      <c r="R335" s="234">
        <f t="shared" si="168"/>
        <v>313742.96745472215</v>
      </c>
      <c r="S335" s="234">
        <f t="shared" si="167"/>
        <v>308227.25362501288</v>
      </c>
      <c r="T335" s="234">
        <f t="shared" si="167"/>
        <v>302811.68951051991</v>
      </c>
      <c r="U335" s="234">
        <f t="shared" si="167"/>
        <v>297499.33888819709</v>
      </c>
      <c r="V335" s="234">
        <f t="shared" si="167"/>
        <v>292293.46266464278</v>
      </c>
      <c r="W335" s="234">
        <f t="shared" si="167"/>
        <v>287197.52259067661</v>
      </c>
      <c r="X335" s="234">
        <f t="shared" si="167"/>
        <v>280269.02637521614</v>
      </c>
      <c r="Y335" s="234">
        <f t="shared" si="167"/>
        <v>273555.28153640009</v>
      </c>
      <c r="Z335" s="234">
        <f t="shared" si="167"/>
        <v>267050.6073796727</v>
      </c>
      <c r="AA335" s="234">
        <f t="shared" si="167"/>
        <v>260778.40590542072</v>
      </c>
      <c r="AB335" s="234">
        <f t="shared" si="167"/>
        <v>254745.74145111852</v>
      </c>
      <c r="AC335" s="234">
        <f t="shared" si="167"/>
        <v>248838.16475796967</v>
      </c>
      <c r="AD335" s="234">
        <f t="shared" si="167"/>
        <v>243213.85208869641</v>
      </c>
      <c r="AE335" s="234">
        <f t="shared" si="167"/>
        <v>237883.64951314562</v>
      </c>
      <c r="AF335" s="234">
        <f t="shared" si="167"/>
        <v>232858.89399811358</v>
      </c>
      <c r="AG335" s="234">
        <f t="shared" si="167"/>
        <v>228151.4210318918</v>
      </c>
      <c r="AI335" s="275"/>
    </row>
    <row r="336" spans="1:36">
      <c r="A336" s="323" t="s">
        <v>735</v>
      </c>
      <c r="B336" s="281" t="s">
        <v>127</v>
      </c>
      <c r="C336" s="234">
        <f t="shared" si="168"/>
        <v>79526.511229577241</v>
      </c>
      <c r="D336" s="234">
        <f t="shared" si="167"/>
        <v>76809.882476827595</v>
      </c>
      <c r="E336" s="234">
        <f t="shared" si="167"/>
        <v>73839.116936302249</v>
      </c>
      <c r="F336" s="234">
        <f t="shared" si="167"/>
        <v>70965.344797010446</v>
      </c>
      <c r="G336" s="234">
        <f t="shared" si="167"/>
        <v>68131.116085061643</v>
      </c>
      <c r="H336" s="234">
        <f t="shared" si="167"/>
        <v>65335.950263687941</v>
      </c>
      <c r="I336" s="234">
        <f t="shared" si="167"/>
        <v>62247.734752904405</v>
      </c>
      <c r="J336" s="234">
        <f t="shared" si="167"/>
        <v>59226.841262871247</v>
      </c>
      <c r="K336" s="234">
        <f t="shared" si="167"/>
        <v>56272.792440346151</v>
      </c>
      <c r="L336" s="234">
        <f t="shared" si="167"/>
        <v>53385.088941392314</v>
      </c>
      <c r="M336" s="234">
        <f t="shared" si="167"/>
        <v>50563.205945388581</v>
      </c>
      <c r="N336" s="234">
        <f t="shared" si="167"/>
        <v>47370.204820139028</v>
      </c>
      <c r="O336" s="234">
        <f t="shared" si="167"/>
        <v>44294.561562901283</v>
      </c>
      <c r="P336" s="234">
        <f t="shared" si="167"/>
        <v>41332.756944235676</v>
      </c>
      <c r="Q336" s="234">
        <f t="shared" si="167"/>
        <v>38483.110997677883</v>
      </c>
      <c r="R336" s="234">
        <f t="shared" si="167"/>
        <v>35742.869710031628</v>
      </c>
      <c r="S336" s="234">
        <f t="shared" si="167"/>
        <v>33153.855852102213</v>
      </c>
      <c r="T336" s="234">
        <f t="shared" si="167"/>
        <v>30661.267306086105</v>
      </c>
      <c r="U336" s="234">
        <f t="shared" si="167"/>
        <v>28262.437194378712</v>
      </c>
      <c r="V336" s="234">
        <f t="shared" si="167"/>
        <v>25954.689215864535</v>
      </c>
      <c r="W336" s="234">
        <f t="shared" si="167"/>
        <v>23735.332445510456</v>
      </c>
      <c r="X336" s="234">
        <f t="shared" si="167"/>
        <v>21452.69090773258</v>
      </c>
      <c r="Y336" s="234">
        <f t="shared" si="167"/>
        <v>19283.405091910157</v>
      </c>
      <c r="Z336" s="234">
        <f t="shared" si="167"/>
        <v>17222.039169791129</v>
      </c>
      <c r="AA336" s="234">
        <f t="shared" si="167"/>
        <v>15265.077418853885</v>
      </c>
      <c r="AB336" s="234">
        <f t="shared" si="167"/>
        <v>13407.670602690436</v>
      </c>
      <c r="AC336" s="234">
        <f t="shared" si="167"/>
        <v>11639.204480614699</v>
      </c>
      <c r="AD336" s="234">
        <f t="shared" si="167"/>
        <v>9962.9770735128532</v>
      </c>
      <c r="AE336" s="234">
        <f t="shared" si="167"/>
        <v>8373.5044628627129</v>
      </c>
      <c r="AF336" s="234">
        <f t="shared" si="167"/>
        <v>6865.1626118965614</v>
      </c>
      <c r="AG336" s="234">
        <f t="shared" si="167"/>
        <v>5432.1766912355197</v>
      </c>
      <c r="AI336" s="275"/>
    </row>
    <row r="337" spans="1:36">
      <c r="A337" s="323" t="s">
        <v>736</v>
      </c>
      <c r="B337" s="281" t="s">
        <v>127</v>
      </c>
      <c r="C337" s="234">
        <f t="shared" si="168"/>
        <v>268401.97539982322</v>
      </c>
      <c r="D337" s="234">
        <f t="shared" si="167"/>
        <v>263395.26222740451</v>
      </c>
      <c r="E337" s="234">
        <f t="shared" si="167"/>
        <v>257456.74400799198</v>
      </c>
      <c r="F337" s="234">
        <f t="shared" si="167"/>
        <v>251781.1548277495</v>
      </c>
      <c r="G337" s="234">
        <f t="shared" si="167"/>
        <v>246171.86283564745</v>
      </c>
      <c r="H337" s="234">
        <f t="shared" si="167"/>
        <v>240627.5241418753</v>
      </c>
      <c r="I337" s="234">
        <f t="shared" si="167"/>
        <v>233900.57907151981</v>
      </c>
      <c r="J337" s="234">
        <f t="shared" si="167"/>
        <v>227294.63165279932</v>
      </c>
      <c r="K337" s="234">
        <f t="shared" si="167"/>
        <v>220809.54424961933</v>
      </c>
      <c r="L337" s="234">
        <f t="shared" si="167"/>
        <v>214445.18778152525</v>
      </c>
      <c r="M337" s="234">
        <f t="shared" si="167"/>
        <v>208201.43624571786</v>
      </c>
      <c r="N337" s="234">
        <f t="shared" si="167"/>
        <v>200233.56515997436</v>
      </c>
      <c r="O337" s="234">
        <f t="shared" si="167"/>
        <v>192510.97910030189</v>
      </c>
      <c r="P337" s="234">
        <f t="shared" si="167"/>
        <v>185026.50256245115</v>
      </c>
      <c r="Q337" s="234">
        <f t="shared" si="167"/>
        <v>177781.13249631488</v>
      </c>
      <c r="R337" s="234">
        <f t="shared" si="167"/>
        <v>170771.4886145957</v>
      </c>
      <c r="S337" s="234">
        <f t="shared" si="167"/>
        <v>164215.19226744393</v>
      </c>
      <c r="T337" s="234">
        <f t="shared" si="167"/>
        <v>157867.51679084016</v>
      </c>
      <c r="U337" s="234">
        <f t="shared" si="167"/>
        <v>151724.66283298057</v>
      </c>
      <c r="V337" s="234">
        <f t="shared" si="167"/>
        <v>145782.88054892147</v>
      </c>
      <c r="W337" s="234">
        <f t="shared" si="167"/>
        <v>140038.4614285118</v>
      </c>
      <c r="X337" s="234">
        <f t="shared" si="167"/>
        <v>133560.30145781909</v>
      </c>
      <c r="Y337" s="234">
        <f t="shared" si="167"/>
        <v>127360.1638628486</v>
      </c>
      <c r="Z337" s="234">
        <f t="shared" si="167"/>
        <v>121426.27617181856</v>
      </c>
      <c r="AA337" s="234">
        <f t="shared" si="167"/>
        <v>115760.17042630873</v>
      </c>
      <c r="AB337" s="234">
        <f t="shared" si="167"/>
        <v>110355.4426529137</v>
      </c>
      <c r="AC337" s="234">
        <f t="shared" si="167"/>
        <v>105154.19220417429</v>
      </c>
      <c r="AD337" s="234">
        <f t="shared" si="167"/>
        <v>100215.82821004117</v>
      </c>
      <c r="AE337" s="234">
        <f t="shared" si="167"/>
        <v>95534.073644479286</v>
      </c>
      <c r="AF337" s="234">
        <f t="shared" si="167"/>
        <v>91102.563309222111</v>
      </c>
      <c r="AG337" s="234">
        <f t="shared" si="167"/>
        <v>86914.827059768315</v>
      </c>
      <c r="AI337" s="275"/>
    </row>
    <row r="338" spans="1:36">
      <c r="A338" s="323" t="s">
        <v>737</v>
      </c>
      <c r="B338" s="281" t="s">
        <v>127</v>
      </c>
      <c r="C338" s="234">
        <f t="shared" si="168"/>
        <v>69585.697325880086</v>
      </c>
      <c r="D338" s="234">
        <f t="shared" si="167"/>
        <v>68898.134925566381</v>
      </c>
      <c r="E338" s="234">
        <f t="shared" si="167"/>
        <v>67958.125321906497</v>
      </c>
      <c r="F338" s="234">
        <f t="shared" si="167"/>
        <v>67076.832753338647</v>
      </c>
      <c r="G338" s="234">
        <f t="shared" si="167"/>
        <v>66202.876950578779</v>
      </c>
      <c r="H338" s="234">
        <f t="shared" si="167"/>
        <v>65335.950263687955</v>
      </c>
      <c r="I338" s="234">
        <f t="shared" si="167"/>
        <v>64134.029745416679</v>
      </c>
      <c r="J338" s="234">
        <f t="shared" si="167"/>
        <v>62947.899352685163</v>
      </c>
      <c r="K338" s="234">
        <f t="shared" si="167"/>
        <v>61777.739526901765</v>
      </c>
      <c r="L338" s="234">
        <f t="shared" si="167"/>
        <v>60623.745069038741</v>
      </c>
      <c r="M338" s="234">
        <f t="shared" si="167"/>
        <v>59486.124641633629</v>
      </c>
      <c r="N338" s="234">
        <f t="shared" si="167"/>
        <v>57832.335946059313</v>
      </c>
      <c r="O338" s="234">
        <f t="shared" si="167"/>
        <v>56220.020445220864</v>
      </c>
      <c r="P338" s="234">
        <f t="shared" si="167"/>
        <v>54648.007503452536</v>
      </c>
      <c r="Q338" s="234">
        <f t="shared" si="167"/>
        <v>53117.533489752568</v>
      </c>
      <c r="R338" s="234">
        <f t="shared" si="167"/>
        <v>51628.589581156797</v>
      </c>
      <c r="S338" s="234">
        <f t="shared" si="167"/>
        <v>50248.812775842416</v>
      </c>
      <c r="T338" s="234">
        <f t="shared" si="167"/>
        <v>48905.988347724109</v>
      </c>
      <c r="U338" s="234">
        <f t="shared" si="167"/>
        <v>47599.894222111507</v>
      </c>
      <c r="V338" s="234">
        <f t="shared" si="167"/>
        <v>46330.333086262857</v>
      </c>
      <c r="W338" s="234">
        <f t="shared" si="167"/>
        <v>45097.131646469854</v>
      </c>
      <c r="X338" s="234">
        <f t="shared" si="167"/>
        <v>43597.404102811364</v>
      </c>
      <c r="Y338" s="234">
        <f t="shared" si="167"/>
        <v>42154.420433478015</v>
      </c>
      <c r="Z338" s="234">
        <f t="shared" si="167"/>
        <v>40766.092718366337</v>
      </c>
      <c r="AA338" s="234">
        <f t="shared" si="167"/>
        <v>39434.783332039209</v>
      </c>
      <c r="AB338" s="234">
        <f t="shared" si="167"/>
        <v>38160.293253811258</v>
      </c>
      <c r="AC338" s="234">
        <f t="shared" si="167"/>
        <v>36924.372835053553</v>
      </c>
      <c r="AD338" s="234">
        <f t="shared" si="167"/>
        <v>35749.505969663798</v>
      </c>
      <c r="AE338" s="234">
        <f t="shared" si="167"/>
        <v>34635.85936911399</v>
      </c>
      <c r="AF338" s="234">
        <f t="shared" si="167"/>
        <v>33583.633317656211</v>
      </c>
      <c r="AG338" s="234">
        <f t="shared" si="167"/>
        <v>32593.060147413114</v>
      </c>
      <c r="AI338" s="275"/>
    </row>
    <row r="339" spans="1:36" s="63" customFormat="1">
      <c r="A339" s="324" t="s">
        <v>738</v>
      </c>
      <c r="B339" s="291" t="s">
        <v>127</v>
      </c>
      <c r="C339" s="292">
        <f t="shared" si="168"/>
        <v>49704.069518485776</v>
      </c>
      <c r="D339" s="292">
        <f t="shared" si="167"/>
        <v>48789.109899444142</v>
      </c>
      <c r="E339" s="292">
        <f t="shared" si="167"/>
        <v>47701.376427876676</v>
      </c>
      <c r="F339" s="292">
        <f t="shared" si="167"/>
        <v>46662.144524061667</v>
      </c>
      <c r="G339" s="292">
        <f t="shared" si="167"/>
        <v>45634.99284942809</v>
      </c>
      <c r="H339" s="292">
        <f t="shared" si="167"/>
        <v>44619.673350811288</v>
      </c>
      <c r="I339" s="292">
        <f t="shared" si="167"/>
        <v>43384.78482778187</v>
      </c>
      <c r="J339" s="292">
        <f t="shared" si="167"/>
        <v>42171.99168455755</v>
      </c>
      <c r="K339" s="292">
        <f t="shared" si="167"/>
        <v>40981.272755469487</v>
      </c>
      <c r="L339" s="292">
        <f t="shared" si="167"/>
        <v>39812.608702055295</v>
      </c>
      <c r="M339" s="292">
        <f t="shared" si="167"/>
        <v>38665.981017061866</v>
      </c>
      <c r="N339" s="292">
        <f t="shared" si="167"/>
        <v>37198.688447716544</v>
      </c>
      <c r="O339" s="292">
        <f t="shared" si="167"/>
        <v>35776.376646958728</v>
      </c>
      <c r="P339" s="292">
        <f t="shared" si="167"/>
        <v>34397.730611310231</v>
      </c>
      <c r="Q339" s="292">
        <f t="shared" si="167"/>
        <v>33062.954519131701</v>
      </c>
      <c r="R339" s="292">
        <f t="shared" si="167"/>
        <v>31771.439742250335</v>
      </c>
      <c r="S339" s="292">
        <f t="shared" si="167"/>
        <v>30563.710863656728</v>
      </c>
      <c r="T339" s="292">
        <f t="shared" si="167"/>
        <v>29394.272789305684</v>
      </c>
      <c r="U339" s="292">
        <f t="shared" si="167"/>
        <v>28262.437194378708</v>
      </c>
      <c r="V339" s="292">
        <f t="shared" si="167"/>
        <v>27167.525160531099</v>
      </c>
      <c r="W339" s="292">
        <f t="shared" si="167"/>
        <v>26108.865690061495</v>
      </c>
      <c r="X339" s="292">
        <f t="shared" si="167"/>
        <v>24912.802344463635</v>
      </c>
      <c r="Y339" s="292">
        <f t="shared" si="167"/>
        <v>23767.917903982281</v>
      </c>
      <c r="Z339" s="292">
        <f t="shared" si="167"/>
        <v>22672.051565294641</v>
      </c>
      <c r="AA339" s="292">
        <f t="shared" si="167"/>
        <v>21625.526343376332</v>
      </c>
      <c r="AB339" s="292">
        <f t="shared" si="167"/>
        <v>20627.185542600666</v>
      </c>
      <c r="AC339" s="292">
        <f t="shared" si="167"/>
        <v>19666.242053452421</v>
      </c>
      <c r="AD339" s="292">
        <f t="shared" si="167"/>
        <v>18753.839197200665</v>
      </c>
      <c r="AE339" s="292">
        <f t="shared" si="167"/>
        <v>17888.850443388525</v>
      </c>
      <c r="AF339" s="292">
        <f t="shared" si="167"/>
        <v>17070.134062013083</v>
      </c>
      <c r="AG339" s="292">
        <f t="shared" si="167"/>
        <v>16296.530073706557</v>
      </c>
      <c r="AI339" s="293"/>
      <c r="AJ339" s="294"/>
    </row>
    <row r="340" spans="1:36" s="169" customFormat="1">
      <c r="B340" s="165"/>
      <c r="C340" s="104"/>
      <c r="D340" s="104"/>
      <c r="E340" s="104"/>
      <c r="F340" s="104"/>
      <c r="G340" s="104"/>
      <c r="H340" s="104"/>
      <c r="I340" s="104"/>
      <c r="J340" s="104"/>
      <c r="K340" s="104"/>
      <c r="L340" s="104"/>
      <c r="M340" s="104"/>
      <c r="N340" s="104"/>
      <c r="O340" s="104"/>
      <c r="P340" s="104"/>
      <c r="Q340" s="104"/>
      <c r="R340" s="104"/>
      <c r="S340" s="104"/>
      <c r="T340" s="104"/>
      <c r="U340" s="104"/>
      <c r="V340" s="104"/>
      <c r="W340" s="104"/>
      <c r="X340" s="104"/>
      <c r="Y340" s="104"/>
      <c r="Z340" s="104"/>
      <c r="AA340" s="104"/>
      <c r="AB340" s="104"/>
      <c r="AC340" s="104"/>
      <c r="AD340" s="104"/>
      <c r="AE340" s="104"/>
      <c r="AF340" s="104"/>
      <c r="AG340" s="104"/>
      <c r="AJ340" s="300"/>
    </row>
    <row r="341" spans="1:36" s="169" customFormat="1">
      <c r="A341" s="169" t="s">
        <v>1390</v>
      </c>
      <c r="B341" s="327" t="s">
        <v>127</v>
      </c>
      <c r="C341" s="216">
        <f>C274</f>
        <v>102113.18489319331</v>
      </c>
      <c r="D341" s="216">
        <f t="shared" ref="D341:AG341" si="169">D274</f>
        <v>104019.78169196579</v>
      </c>
      <c r="E341" s="216">
        <f t="shared" si="169"/>
        <v>107723.85741203249</v>
      </c>
      <c r="F341" s="216">
        <f t="shared" si="169"/>
        <v>111608.39116758168</v>
      </c>
      <c r="G341" s="216">
        <f t="shared" si="169"/>
        <v>115464.11045163577</v>
      </c>
      <c r="H341" s="216">
        <f t="shared" si="169"/>
        <v>119295.09578323126</v>
      </c>
      <c r="I341" s="216">
        <f t="shared" si="169"/>
        <v>122695.19978071147</v>
      </c>
      <c r="J341" s="216">
        <f t="shared" si="169"/>
        <v>125989.91631958704</v>
      </c>
      <c r="K341" s="216">
        <f t="shared" si="169"/>
        <v>129175.00041668498</v>
      </c>
      <c r="L341" s="216">
        <f t="shared" si="169"/>
        <v>132245.90828970668</v>
      </c>
      <c r="M341" s="216">
        <f t="shared" si="169"/>
        <v>135197.79735722768</v>
      </c>
      <c r="N341" s="216">
        <f t="shared" si="169"/>
        <v>141130.54533054438</v>
      </c>
      <c r="O341" s="216">
        <f t="shared" si="169"/>
        <v>146641.45307181377</v>
      </c>
      <c r="P341" s="216">
        <f t="shared" si="169"/>
        <v>151711.80730912241</v>
      </c>
      <c r="Q341" s="216">
        <f t="shared" si="169"/>
        <v>156346.05697868025</v>
      </c>
      <c r="R341" s="216">
        <f t="shared" si="169"/>
        <v>160537.63561110396</v>
      </c>
      <c r="S341" s="216">
        <f t="shared" si="169"/>
        <v>164565.30936281875</v>
      </c>
      <c r="T341" s="216">
        <f t="shared" si="169"/>
        <v>168196.81146363969</v>
      </c>
      <c r="U341" s="216">
        <f t="shared" si="169"/>
        <v>171429.42885314784</v>
      </c>
      <c r="V341" s="216">
        <f t="shared" si="169"/>
        <v>174260.0027217739</v>
      </c>
      <c r="W341" s="216">
        <f t="shared" si="169"/>
        <v>176684.92851079843</v>
      </c>
      <c r="X341" s="216">
        <f t="shared" si="169"/>
        <v>183390.27472899144</v>
      </c>
      <c r="Y341" s="216">
        <f t="shared" si="169"/>
        <v>189402.83936979968</v>
      </c>
      <c r="Z341" s="216">
        <f t="shared" si="169"/>
        <v>194632.9787768205</v>
      </c>
      <c r="AA341" s="216">
        <f t="shared" si="169"/>
        <v>199140.82063905144</v>
      </c>
      <c r="AB341" s="216">
        <f t="shared" si="169"/>
        <v>202917.93546475976</v>
      </c>
      <c r="AC341" s="216">
        <f t="shared" si="169"/>
        <v>205563.85988569597</v>
      </c>
      <c r="AD341" s="216">
        <f t="shared" si="169"/>
        <v>207388.92083918001</v>
      </c>
      <c r="AE341" s="216">
        <f t="shared" si="169"/>
        <v>208376.896620757</v>
      </c>
      <c r="AF341" s="216">
        <f t="shared" si="169"/>
        <v>208510.650580349</v>
      </c>
      <c r="AG341" s="216">
        <f t="shared" si="169"/>
        <v>207772.13112225514</v>
      </c>
      <c r="AI341" s="698"/>
      <c r="AJ341" s="300"/>
    </row>
    <row r="342" spans="1:36" s="169" customFormat="1">
      <c r="A342" s="169" t="s">
        <v>1391</v>
      </c>
      <c r="B342" s="326" t="s">
        <v>127</v>
      </c>
      <c r="C342" s="234">
        <f>C341/(1-C299)</f>
        <v>139881.07519615523</v>
      </c>
      <c r="D342" s="234">
        <f t="shared" ref="D342:AG342" si="170">D341/(1-D299)</f>
        <v>141716.32383101608</v>
      </c>
      <c r="E342" s="234">
        <f t="shared" si="170"/>
        <v>145967.28646616868</v>
      </c>
      <c r="F342" s="234">
        <f t="shared" si="170"/>
        <v>150415.62151965185</v>
      </c>
      <c r="G342" s="234">
        <f t="shared" si="170"/>
        <v>154777.6279512544</v>
      </c>
      <c r="H342" s="234">
        <f t="shared" si="170"/>
        <v>159060.12771097501</v>
      </c>
      <c r="I342" s="234">
        <f t="shared" si="170"/>
        <v>162725.72915213721</v>
      </c>
      <c r="J342" s="234">
        <f t="shared" si="170"/>
        <v>166213.60992029952</v>
      </c>
      <c r="K342" s="234">
        <f t="shared" si="170"/>
        <v>169520.99792215877</v>
      </c>
      <c r="L342" s="234">
        <f t="shared" si="170"/>
        <v>172644.78888995652</v>
      </c>
      <c r="M342" s="234">
        <f t="shared" si="170"/>
        <v>175581.55500938659</v>
      </c>
      <c r="N342" s="234">
        <f t="shared" si="170"/>
        <v>182339.2058534165</v>
      </c>
      <c r="O342" s="234">
        <f t="shared" si="170"/>
        <v>188485.15818999198</v>
      </c>
      <c r="P342" s="234">
        <f t="shared" si="170"/>
        <v>194004.8686817422</v>
      </c>
      <c r="Q342" s="234">
        <f t="shared" si="170"/>
        <v>198913.55849704865</v>
      </c>
      <c r="R342" s="234">
        <f t="shared" si="170"/>
        <v>203212.19697608094</v>
      </c>
      <c r="S342" s="234">
        <f t="shared" si="170"/>
        <v>207261.09491538885</v>
      </c>
      <c r="T342" s="234">
        <f t="shared" si="170"/>
        <v>210772.94669629034</v>
      </c>
      <c r="U342" s="234">
        <f t="shared" si="170"/>
        <v>213752.40505380029</v>
      </c>
      <c r="V342" s="234">
        <f t="shared" si="170"/>
        <v>216203.47732230011</v>
      </c>
      <c r="W342" s="234">
        <f t="shared" si="170"/>
        <v>218129.54137135608</v>
      </c>
      <c r="X342" s="234">
        <f t="shared" si="170"/>
        <v>225295.17779974377</v>
      </c>
      <c r="Y342" s="234">
        <f t="shared" si="170"/>
        <v>231543.81341051304</v>
      </c>
      <c r="Z342" s="234">
        <f t="shared" si="170"/>
        <v>236779.77953384488</v>
      </c>
      <c r="AA342" s="234">
        <f t="shared" si="170"/>
        <v>241090.58188747146</v>
      </c>
      <c r="AB342" s="234">
        <f t="shared" si="170"/>
        <v>244479.44031898765</v>
      </c>
      <c r="AC342" s="234">
        <f t="shared" si="170"/>
        <v>246479.44830419178</v>
      </c>
      <c r="AD342" s="234">
        <f t="shared" si="170"/>
        <v>247480.81245725535</v>
      </c>
      <c r="AE342" s="234">
        <f t="shared" si="170"/>
        <v>247478.49954959261</v>
      </c>
      <c r="AF342" s="234">
        <f t="shared" si="170"/>
        <v>246466.49004769383</v>
      </c>
      <c r="AG342" s="234">
        <f t="shared" si="170"/>
        <v>244437.80132030018</v>
      </c>
      <c r="AI342" s="698"/>
      <c r="AJ342" s="300"/>
    </row>
    <row r="343" spans="1:36" s="169" customFormat="1">
      <c r="A343" s="169" t="s">
        <v>1392</v>
      </c>
      <c r="B343" s="326" t="s">
        <v>127</v>
      </c>
      <c r="C343" s="234">
        <f>C331</f>
        <v>131214.49065897017</v>
      </c>
      <c r="D343" s="234">
        <f t="shared" ref="D343:AG343" si="171">D331</f>
        <v>132727.74411905571</v>
      </c>
      <c r="E343" s="234">
        <f t="shared" si="171"/>
        <v>134004.6547197192</v>
      </c>
      <c r="F343" s="234">
        <f t="shared" si="171"/>
        <v>135389.84487940709</v>
      </c>
      <c r="G343" s="234">
        <f t="shared" si="171"/>
        <v>136768.24335151783</v>
      </c>
      <c r="H343" s="234">
        <f t="shared" si="171"/>
        <v>138139.70341310496</v>
      </c>
      <c r="I343" s="234">
        <f t="shared" si="171"/>
        <v>138796.25283072508</v>
      </c>
      <c r="J343" s="234">
        <f t="shared" si="171"/>
        <v>139426.23844856431</v>
      </c>
      <c r="K343" s="234">
        <f t="shared" si="171"/>
        <v>140029.40270749351</v>
      </c>
      <c r="L343" s="234">
        <f t="shared" si="171"/>
        <v>140605.49009387838</v>
      </c>
      <c r="M343" s="234">
        <f t="shared" si="171"/>
        <v>141154.2471395795</v>
      </c>
      <c r="N343" s="234">
        <f t="shared" si="171"/>
        <v>140989.71879571487</v>
      </c>
      <c r="O343" s="234">
        <f t="shared" si="171"/>
        <v>140779.49737250194</v>
      </c>
      <c r="P343" s="234">
        <f t="shared" si="171"/>
        <v>140518.93552584734</v>
      </c>
      <c r="Q343" s="234">
        <f t="shared" si="171"/>
        <v>140211.81449415113</v>
      </c>
      <c r="R343" s="234">
        <f t="shared" si="171"/>
        <v>139857.79108228971</v>
      </c>
      <c r="S343" s="234">
        <f t="shared" si="171"/>
        <v>139654.01116355407</v>
      </c>
      <c r="T343" s="234">
        <f t="shared" si="171"/>
        <v>139407.56706703556</v>
      </c>
      <c r="U343" s="234">
        <f t="shared" si="171"/>
        <v>139118.15052495076</v>
      </c>
      <c r="V343" s="234">
        <f t="shared" si="171"/>
        <v>138785.45607104618</v>
      </c>
      <c r="W343" s="234">
        <f t="shared" si="171"/>
        <v>138409.18104084441</v>
      </c>
      <c r="X343" s="234">
        <f t="shared" si="171"/>
        <v>137970.8675389672</v>
      </c>
      <c r="Y343" s="234">
        <f t="shared" si="171"/>
        <v>137487.94395799274</v>
      </c>
      <c r="Z343" s="234">
        <f t="shared" si="171"/>
        <v>136942.03543151935</v>
      </c>
      <c r="AA343" s="234">
        <f t="shared" si="171"/>
        <v>136350.01418443184</v>
      </c>
      <c r="AB343" s="234">
        <f t="shared" si="171"/>
        <v>135711.57040588104</v>
      </c>
      <c r="AC343" s="234">
        <f t="shared" si="171"/>
        <v>134911.77190234998</v>
      </c>
      <c r="AD343" s="234">
        <f t="shared" si="171"/>
        <v>134062.32165685529</v>
      </c>
      <c r="AE343" s="234">
        <f t="shared" si="171"/>
        <v>133162.90596437472</v>
      </c>
      <c r="AF343" s="234">
        <f t="shared" si="171"/>
        <v>132213.21401563345</v>
      </c>
      <c r="AG343" s="234">
        <f t="shared" si="171"/>
        <v>131212.93789894742</v>
      </c>
      <c r="AI343" s="698"/>
      <c r="AJ343" s="300"/>
    </row>
    <row r="344" spans="1:36" s="169" customFormat="1">
      <c r="A344" s="169" t="s">
        <v>1393</v>
      </c>
      <c r="B344" s="326" t="s">
        <v>127</v>
      </c>
      <c r="C344" s="234">
        <f>C342-C343</f>
        <v>8666.5845371850592</v>
      </c>
      <c r="D344" s="234">
        <f t="shared" ref="D344:AG344" si="172">D342-D343</f>
        <v>8988.5797119603667</v>
      </c>
      <c r="E344" s="234">
        <f t="shared" si="172"/>
        <v>11962.631746449479</v>
      </c>
      <c r="F344" s="234">
        <f t="shared" si="172"/>
        <v>15025.77664024476</v>
      </c>
      <c r="G344" s="234">
        <f t="shared" si="172"/>
        <v>18009.384599736572</v>
      </c>
      <c r="H344" s="234">
        <f t="shared" si="172"/>
        <v>20920.424297870049</v>
      </c>
      <c r="I344" s="234">
        <f t="shared" si="172"/>
        <v>23929.476321412134</v>
      </c>
      <c r="J344" s="234">
        <f t="shared" si="172"/>
        <v>26787.371471735212</v>
      </c>
      <c r="K344" s="234">
        <f t="shared" si="172"/>
        <v>29491.595214665256</v>
      </c>
      <c r="L344" s="234">
        <f t="shared" si="172"/>
        <v>32039.298796078132</v>
      </c>
      <c r="M344" s="234">
        <f t="shared" si="172"/>
        <v>34427.307869807089</v>
      </c>
      <c r="N344" s="234">
        <f t="shared" si="172"/>
        <v>41349.487057701626</v>
      </c>
      <c r="O344" s="234">
        <f t="shared" si="172"/>
        <v>47705.660817490047</v>
      </c>
      <c r="P344" s="234">
        <f t="shared" si="172"/>
        <v>53485.933155894862</v>
      </c>
      <c r="Q344" s="234">
        <f t="shared" si="172"/>
        <v>58701.744002897525</v>
      </c>
      <c r="R344" s="234">
        <f t="shared" si="172"/>
        <v>63354.405893791234</v>
      </c>
      <c r="S344" s="234">
        <f t="shared" si="172"/>
        <v>67607.083751834783</v>
      </c>
      <c r="T344" s="234">
        <f t="shared" si="172"/>
        <v>71365.379629254778</v>
      </c>
      <c r="U344" s="234">
        <f t="shared" si="172"/>
        <v>74634.254528849531</v>
      </c>
      <c r="V344" s="234">
        <f t="shared" si="172"/>
        <v>77418.021251253929</v>
      </c>
      <c r="W344" s="234">
        <f t="shared" si="172"/>
        <v>79720.36033051167</v>
      </c>
      <c r="X344" s="234">
        <f t="shared" si="172"/>
        <v>87324.310260776576</v>
      </c>
      <c r="Y344" s="234">
        <f t="shared" si="172"/>
        <v>94055.869452520303</v>
      </c>
      <c r="Z344" s="234">
        <f t="shared" si="172"/>
        <v>99837.744102325523</v>
      </c>
      <c r="AA344" s="234">
        <f t="shared" si="172"/>
        <v>104740.56770303962</v>
      </c>
      <c r="AB344" s="234">
        <f t="shared" si="172"/>
        <v>108767.86991310661</v>
      </c>
      <c r="AC344" s="234">
        <f t="shared" si="172"/>
        <v>111567.6764018418</v>
      </c>
      <c r="AD344" s="234">
        <f t="shared" si="172"/>
        <v>113418.49080040006</v>
      </c>
      <c r="AE344" s="234">
        <f t="shared" si="172"/>
        <v>114315.5935852179</v>
      </c>
      <c r="AF344" s="234">
        <f t="shared" si="172"/>
        <v>114253.27603206038</v>
      </c>
      <c r="AG344" s="234">
        <f t="shared" si="172"/>
        <v>113224.86342135275</v>
      </c>
      <c r="AI344" s="698"/>
      <c r="AJ344" s="300"/>
    </row>
    <row r="345" spans="1:36" s="169" customFormat="1">
      <c r="A345" s="169" t="s">
        <v>1394</v>
      </c>
      <c r="B345" s="326" t="s">
        <v>127</v>
      </c>
      <c r="C345" s="234">
        <f>(C344)/(1-C296)</f>
        <v>10833.230671481324</v>
      </c>
      <c r="D345" s="234">
        <f t="shared" ref="D345:AG345" si="173">(D342-D331)/(1-D296)</f>
        <v>11189.103375884273</v>
      </c>
      <c r="E345" s="234">
        <f t="shared" si="173"/>
        <v>14829.708776590263</v>
      </c>
      <c r="F345" s="234">
        <f t="shared" si="173"/>
        <v>18550.34153116637</v>
      </c>
      <c r="G345" s="234">
        <f t="shared" si="173"/>
        <v>22142.685983282674</v>
      </c>
      <c r="H345" s="234">
        <f t="shared" si="173"/>
        <v>25616.846079024552</v>
      </c>
      <c r="I345" s="234">
        <f t="shared" si="173"/>
        <v>29182.288196844067</v>
      </c>
      <c r="J345" s="234">
        <f t="shared" si="173"/>
        <v>32535.268994010381</v>
      </c>
      <c r="K345" s="234">
        <f t="shared" si="173"/>
        <v>35675.316791933779</v>
      </c>
      <c r="L345" s="234">
        <f t="shared" si="173"/>
        <v>38601.564814551966</v>
      </c>
      <c r="M345" s="234">
        <f t="shared" si="173"/>
        <v>41312.769443768513</v>
      </c>
      <c r="N345" s="234">
        <f t="shared" si="173"/>
        <v>49421.697678527846</v>
      </c>
      <c r="O345" s="234">
        <f t="shared" si="173"/>
        <v>56792.45335415483</v>
      </c>
      <c r="P345" s="234">
        <f t="shared" si="173"/>
        <v>63422.055125567036</v>
      </c>
      <c r="Q345" s="234">
        <f t="shared" si="173"/>
        <v>69332.768507359287</v>
      </c>
      <c r="R345" s="234">
        <f t="shared" si="173"/>
        <v>74534.595169166176</v>
      </c>
      <c r="S345" s="234">
        <f t="shared" si="173"/>
        <v>79227.051271681397</v>
      </c>
      <c r="T345" s="234">
        <f t="shared" si="173"/>
        <v>83305.890617807148</v>
      </c>
      <c r="U345" s="234">
        <f t="shared" si="173"/>
        <v>86784.016894011089</v>
      </c>
      <c r="V345" s="234">
        <f t="shared" si="173"/>
        <v>89673.383688711125</v>
      </c>
      <c r="W345" s="234">
        <f t="shared" si="173"/>
        <v>91985.03115059041</v>
      </c>
      <c r="X345" s="234">
        <f t="shared" si="173"/>
        <v>100372.77041468573</v>
      </c>
      <c r="Y345" s="234">
        <f t="shared" si="173"/>
        <v>107697.56044181716</v>
      </c>
      <c r="Z345" s="234">
        <f t="shared" si="173"/>
        <v>113883.35829162609</v>
      </c>
      <c r="AA345" s="234">
        <f t="shared" si="173"/>
        <v>119023.37238981776</v>
      </c>
      <c r="AB345" s="234">
        <f t="shared" si="173"/>
        <v>123133.4376374792</v>
      </c>
      <c r="AC345" s="234">
        <f t="shared" si="173"/>
        <v>125828.20646824266</v>
      </c>
      <c r="AD345" s="234">
        <f t="shared" si="173"/>
        <v>127436.50651730347</v>
      </c>
      <c r="AE345" s="234">
        <f t="shared" si="173"/>
        <v>127965.21669987081</v>
      </c>
      <c r="AF345" s="234">
        <f t="shared" si="173"/>
        <v>127420.01044467703</v>
      </c>
      <c r="AG345" s="234">
        <f t="shared" si="173"/>
        <v>125805.40380150305</v>
      </c>
      <c r="AI345" s="698"/>
      <c r="AJ345" s="300"/>
    </row>
    <row r="346" spans="1:36" s="169" customFormat="1">
      <c r="A346" s="169" t="s">
        <v>1395</v>
      </c>
      <c r="B346" s="326" t="s">
        <v>127</v>
      </c>
      <c r="C346" s="234">
        <f>IF(C325&gt;C345,C345,C325)</f>
        <v>10833.230671481324</v>
      </c>
      <c r="D346" s="234">
        <f t="shared" ref="D346:AG346" si="174">IF(D325&gt;D345,D345,D325)</f>
        <v>11189.103375884273</v>
      </c>
      <c r="E346" s="234">
        <f t="shared" si="174"/>
        <v>14829.708776590263</v>
      </c>
      <c r="F346" s="234">
        <f t="shared" si="174"/>
        <v>18550.34153116637</v>
      </c>
      <c r="G346" s="234">
        <f t="shared" si="174"/>
        <v>22142.685983282674</v>
      </c>
      <c r="H346" s="234">
        <f t="shared" si="174"/>
        <v>25616.846079024552</v>
      </c>
      <c r="I346" s="234">
        <f t="shared" si="174"/>
        <v>29182.288196844067</v>
      </c>
      <c r="J346" s="234">
        <f t="shared" si="174"/>
        <v>32535.268994010381</v>
      </c>
      <c r="K346" s="234">
        <f t="shared" si="174"/>
        <v>35675.316791933779</v>
      </c>
      <c r="L346" s="234">
        <f t="shared" si="174"/>
        <v>38601.564814551966</v>
      </c>
      <c r="M346" s="234">
        <f t="shared" si="174"/>
        <v>41312.769443768513</v>
      </c>
      <c r="N346" s="234">
        <f t="shared" si="174"/>
        <v>49421.697678527846</v>
      </c>
      <c r="O346" s="234">
        <f t="shared" si="174"/>
        <v>56792.45335415483</v>
      </c>
      <c r="P346" s="234">
        <f t="shared" si="174"/>
        <v>63422.055125567036</v>
      </c>
      <c r="Q346" s="234">
        <f t="shared" si="174"/>
        <v>69332.768507359287</v>
      </c>
      <c r="R346" s="234">
        <f t="shared" si="174"/>
        <v>74534.595169166176</v>
      </c>
      <c r="S346" s="234">
        <f t="shared" si="174"/>
        <v>79227.051271681397</v>
      </c>
      <c r="T346" s="234">
        <f t="shared" si="174"/>
        <v>83305.890617807148</v>
      </c>
      <c r="U346" s="234">
        <f t="shared" si="174"/>
        <v>86784.016894011089</v>
      </c>
      <c r="V346" s="234">
        <f t="shared" si="174"/>
        <v>89673.383688711125</v>
      </c>
      <c r="W346" s="234">
        <f t="shared" si="174"/>
        <v>91985.03115059041</v>
      </c>
      <c r="X346" s="234">
        <f t="shared" si="174"/>
        <v>100372.77041468573</v>
      </c>
      <c r="Y346" s="234">
        <f t="shared" si="174"/>
        <v>107697.56044181716</v>
      </c>
      <c r="Z346" s="234">
        <f t="shared" si="174"/>
        <v>113883.35829162609</v>
      </c>
      <c r="AA346" s="234">
        <f t="shared" si="174"/>
        <v>119023.37238981776</v>
      </c>
      <c r="AB346" s="234">
        <f t="shared" si="174"/>
        <v>123133.4376374792</v>
      </c>
      <c r="AC346" s="234">
        <f t="shared" si="174"/>
        <v>125828.20646824266</v>
      </c>
      <c r="AD346" s="234">
        <f t="shared" si="174"/>
        <v>127436.50651730347</v>
      </c>
      <c r="AE346" s="234">
        <f t="shared" si="174"/>
        <v>127965.21669987081</v>
      </c>
      <c r="AF346" s="234">
        <f t="shared" si="174"/>
        <v>127420.01044467703</v>
      </c>
      <c r="AG346" s="234">
        <f t="shared" si="174"/>
        <v>125805.40380150305</v>
      </c>
      <c r="AI346" s="698"/>
      <c r="AJ346" s="300"/>
    </row>
    <row r="347" spans="1:36" s="169" customFormat="1">
      <c r="A347" s="169" t="s">
        <v>1396</v>
      </c>
      <c r="B347" s="326" t="s">
        <v>127</v>
      </c>
      <c r="C347" s="234">
        <f>IF(C345-C346&lt;0,0,C345-C346)</f>
        <v>0</v>
      </c>
      <c r="D347" s="234">
        <f t="shared" ref="D347:AG347" si="175">IF(D345-D346&lt;0,0,D345-D346)</f>
        <v>0</v>
      </c>
      <c r="E347" s="234">
        <f t="shared" si="175"/>
        <v>0</v>
      </c>
      <c r="F347" s="234">
        <f t="shared" si="175"/>
        <v>0</v>
      </c>
      <c r="G347" s="234">
        <f t="shared" si="175"/>
        <v>0</v>
      </c>
      <c r="H347" s="234">
        <f t="shared" si="175"/>
        <v>0</v>
      </c>
      <c r="I347" s="234">
        <f t="shared" si="175"/>
        <v>0</v>
      </c>
      <c r="J347" s="234">
        <f t="shared" si="175"/>
        <v>0</v>
      </c>
      <c r="K347" s="234">
        <f t="shared" si="175"/>
        <v>0</v>
      </c>
      <c r="L347" s="234">
        <f t="shared" si="175"/>
        <v>0</v>
      </c>
      <c r="M347" s="234">
        <f t="shared" si="175"/>
        <v>0</v>
      </c>
      <c r="N347" s="234">
        <f t="shared" si="175"/>
        <v>0</v>
      </c>
      <c r="O347" s="234">
        <f t="shared" si="175"/>
        <v>0</v>
      </c>
      <c r="P347" s="234">
        <f t="shared" si="175"/>
        <v>0</v>
      </c>
      <c r="Q347" s="234">
        <f t="shared" si="175"/>
        <v>0</v>
      </c>
      <c r="R347" s="234">
        <f t="shared" si="175"/>
        <v>0</v>
      </c>
      <c r="S347" s="234">
        <f t="shared" si="175"/>
        <v>0</v>
      </c>
      <c r="T347" s="234">
        <f t="shared" si="175"/>
        <v>0</v>
      </c>
      <c r="U347" s="234">
        <f t="shared" si="175"/>
        <v>0</v>
      </c>
      <c r="V347" s="234">
        <f t="shared" si="175"/>
        <v>0</v>
      </c>
      <c r="W347" s="234">
        <f t="shared" si="175"/>
        <v>0</v>
      </c>
      <c r="X347" s="234">
        <f t="shared" si="175"/>
        <v>0</v>
      </c>
      <c r="Y347" s="234">
        <f t="shared" si="175"/>
        <v>0</v>
      </c>
      <c r="Z347" s="234">
        <f t="shared" si="175"/>
        <v>0</v>
      </c>
      <c r="AA347" s="234">
        <f t="shared" si="175"/>
        <v>0</v>
      </c>
      <c r="AB347" s="234">
        <f t="shared" si="175"/>
        <v>0</v>
      </c>
      <c r="AC347" s="234">
        <f t="shared" si="175"/>
        <v>0</v>
      </c>
      <c r="AD347" s="234">
        <f t="shared" si="175"/>
        <v>0</v>
      </c>
      <c r="AE347" s="234">
        <f t="shared" si="175"/>
        <v>0</v>
      </c>
      <c r="AF347" s="234">
        <f t="shared" si="175"/>
        <v>0</v>
      </c>
      <c r="AG347" s="234">
        <f t="shared" si="175"/>
        <v>0</v>
      </c>
      <c r="AI347" s="698"/>
      <c r="AJ347" s="300"/>
    </row>
    <row r="348" spans="1:36" s="169" customFormat="1">
      <c r="A348" s="169" t="s">
        <v>1397</v>
      </c>
      <c r="B348" s="326" t="s">
        <v>127</v>
      </c>
      <c r="C348" s="234">
        <f>C342*C299+C296*C345+C332+IF(C325&gt;C345,C325-C345,0)</f>
        <v>153409.77060059071</v>
      </c>
      <c r="D348" s="234">
        <f t="shared" ref="D348:AG348" si="176">D342*D299+D296*D345+D332+IF(D325&gt;D345,D325-D345,0)</f>
        <v>158232.13133942318</v>
      </c>
      <c r="E348" s="234">
        <f t="shared" si="176"/>
        <v>160785.6682828232</v>
      </c>
      <c r="F348" s="234">
        <f t="shared" si="176"/>
        <v>163367.89441048435</v>
      </c>
      <c r="G348" s="234">
        <f t="shared" si="176"/>
        <v>165960.28481929388</v>
      </c>
      <c r="H348" s="234">
        <f t="shared" si="176"/>
        <v>168558.03921623572</v>
      </c>
      <c r="I348" s="234">
        <f t="shared" si="176"/>
        <v>170073.54159365222</v>
      </c>
      <c r="J348" s="234">
        <f t="shared" si="176"/>
        <v>171596.93948690835</v>
      </c>
      <c r="K348" s="234">
        <f t="shared" si="176"/>
        <v>173131.20173789858</v>
      </c>
      <c r="L348" s="234">
        <f t="shared" si="176"/>
        <v>174679.60570374361</v>
      </c>
      <c r="M348" s="234">
        <f t="shared" si="176"/>
        <v>176245.73725679086</v>
      </c>
      <c r="N348" s="234">
        <f t="shared" si="176"/>
        <v>173199.72613019811</v>
      </c>
      <c r="O348" s="234">
        <f t="shared" si="176"/>
        <v>170400.57155634588</v>
      </c>
      <c r="P348" s="234">
        <f t="shared" si="176"/>
        <v>167855.48074704799</v>
      </c>
      <c r="Q348" s="234">
        <f t="shared" si="176"/>
        <v>165567.48396885116</v>
      </c>
      <c r="R348" s="234">
        <f t="shared" si="176"/>
        <v>163541.43942366372</v>
      </c>
      <c r="S348" s="234">
        <f t="shared" si="176"/>
        <v>161958.62774917664</v>
      </c>
      <c r="T348" s="234">
        <f t="shared" si="176"/>
        <v>160607.58312415698</v>
      </c>
      <c r="U348" s="234">
        <f t="shared" si="176"/>
        <v>159489.48355465394</v>
      </c>
      <c r="V348" s="234">
        <f t="shared" si="176"/>
        <v>158605.96609806237</v>
      </c>
      <c r="W348" s="234">
        <f t="shared" si="176"/>
        <v>157959.12686429158</v>
      </c>
      <c r="X348" s="234">
        <f t="shared" si="176"/>
        <v>152817.15470311226</v>
      </c>
      <c r="Y348" s="234">
        <f t="shared" si="176"/>
        <v>148194.27718454693</v>
      </c>
      <c r="Z348" s="234">
        <f t="shared" si="176"/>
        <v>144133.93618208548</v>
      </c>
      <c r="AA348" s="234">
        <f t="shared" si="176"/>
        <v>140616.33544876921</v>
      </c>
      <c r="AB348" s="234">
        <f t="shared" si="176"/>
        <v>137648.37303600594</v>
      </c>
      <c r="AC348" s="234">
        <f t="shared" si="176"/>
        <v>135339.35217546418</v>
      </c>
      <c r="AD348" s="234">
        <f t="shared" si="176"/>
        <v>133656.50894719921</v>
      </c>
      <c r="AE348" s="234">
        <f t="shared" si="176"/>
        <v>132614.51123005003</v>
      </c>
      <c r="AF348" s="234">
        <f t="shared" si="176"/>
        <v>132228.95556523796</v>
      </c>
      <c r="AG348" s="234">
        <f t="shared" si="176"/>
        <v>132516.367165125</v>
      </c>
      <c r="AI348" s="698"/>
      <c r="AJ348" s="300"/>
    </row>
    <row r="349" spans="1:36" s="169" customFormat="1">
      <c r="A349" s="169" t="s">
        <v>1398</v>
      </c>
      <c r="B349" s="326" t="s">
        <v>127</v>
      </c>
      <c r="C349" s="234">
        <f>C328-C347</f>
        <v>665280.48772705928</v>
      </c>
      <c r="D349" s="234">
        <f t="shared" ref="D349:AF349" si="177">D328-D347</f>
        <v>660230.14937468804</v>
      </c>
      <c r="E349" s="234">
        <f t="shared" si="177"/>
        <v>654020.45355848118</v>
      </c>
      <c r="F349" s="234">
        <f t="shared" si="177"/>
        <v>648367.1289988081</v>
      </c>
      <c r="G349" s="234">
        <f t="shared" si="177"/>
        <v>642699.23283434217</v>
      </c>
      <c r="H349" s="234">
        <f t="shared" si="177"/>
        <v>637017.48483906302</v>
      </c>
      <c r="I349" s="234">
        <f t="shared" si="177"/>
        <v>628119.34800146555</v>
      </c>
      <c r="J349" s="234">
        <f t="shared" si="177"/>
        <v>619241.99704852304</v>
      </c>
      <c r="K349" s="234">
        <f t="shared" si="177"/>
        <v>610386.70812151383</v>
      </c>
      <c r="L349" s="234">
        <f t="shared" si="177"/>
        <v>601554.74764561583</v>
      </c>
      <c r="M349" s="234">
        <f t="shared" si="177"/>
        <v>592747.37232990621</v>
      </c>
      <c r="N349" s="234">
        <f t="shared" si="177"/>
        <v>581139.45688758628</v>
      </c>
      <c r="O349" s="234">
        <f t="shared" si="177"/>
        <v>569590.40623531037</v>
      </c>
      <c r="P349" s="234">
        <f t="shared" si="177"/>
        <v>558084.86273990746</v>
      </c>
      <c r="Q349" s="234">
        <f t="shared" si="177"/>
        <v>546641.55682197353</v>
      </c>
      <c r="R349" s="234">
        <f t="shared" si="177"/>
        <v>535262.19121585914</v>
      </c>
      <c r="S349" s="234">
        <f t="shared" si="177"/>
        <v>524690.42341840919</v>
      </c>
      <c r="T349" s="234">
        <f t="shared" si="177"/>
        <v>514176.92296316044</v>
      </c>
      <c r="U349" s="234">
        <f t="shared" si="177"/>
        <v>503723.21937135904</v>
      </c>
      <c r="V349" s="234">
        <f t="shared" si="177"/>
        <v>493330.8288620548</v>
      </c>
      <c r="W349" s="234">
        <f t="shared" si="177"/>
        <v>483001.25435093394</v>
      </c>
      <c r="X349" s="234">
        <f t="shared" si="177"/>
        <v>472673.77792538551</v>
      </c>
      <c r="Y349" s="234">
        <f t="shared" si="177"/>
        <v>462412.90182126907</v>
      </c>
      <c r="Z349" s="234">
        <f t="shared" si="177"/>
        <v>452160.40757420572</v>
      </c>
      <c r="AA349" s="234">
        <f t="shared" si="177"/>
        <v>441976.67136563413</v>
      </c>
      <c r="AB349" s="234">
        <f t="shared" si="177"/>
        <v>431863.1831374488</v>
      </c>
      <c r="AC349" s="234">
        <f t="shared" si="177"/>
        <v>421463.33182784909</v>
      </c>
      <c r="AD349" s="234">
        <f t="shared" si="177"/>
        <v>411141.75338623481</v>
      </c>
      <c r="AE349" s="234">
        <f t="shared" si="177"/>
        <v>400899.96013978962</v>
      </c>
      <c r="AF349" s="234">
        <f t="shared" si="177"/>
        <v>390739.45069894055</v>
      </c>
      <c r="AG349" s="234">
        <f>AG328-AG347</f>
        <v>380661.70994859474</v>
      </c>
      <c r="AI349" s="698"/>
      <c r="AJ349" s="300"/>
    </row>
    <row r="350" spans="1:36" s="169" customFormat="1">
      <c r="B350" s="327"/>
      <c r="C350" s="304"/>
      <c r="D350" s="304"/>
      <c r="E350" s="304"/>
      <c r="F350" s="304"/>
      <c r="G350" s="304"/>
      <c r="H350" s="304"/>
      <c r="I350" s="304"/>
      <c r="J350" s="304"/>
      <c r="K350" s="304"/>
      <c r="L350" s="304"/>
      <c r="M350" s="304"/>
      <c r="N350" s="304"/>
      <c r="O350" s="304"/>
      <c r="P350" s="304"/>
      <c r="Q350" s="304"/>
      <c r="R350" s="304"/>
      <c r="S350" s="304"/>
      <c r="T350" s="304"/>
      <c r="U350" s="304"/>
      <c r="V350" s="304"/>
      <c r="W350" s="304"/>
      <c r="X350" s="304"/>
      <c r="Y350" s="304"/>
      <c r="Z350" s="304"/>
      <c r="AA350" s="304"/>
      <c r="AB350" s="304"/>
      <c r="AC350" s="304"/>
      <c r="AD350" s="304"/>
      <c r="AE350" s="304"/>
      <c r="AF350" s="304"/>
      <c r="AG350" s="304"/>
      <c r="AJ350" s="300"/>
    </row>
    <row r="351" spans="1:36" s="169" customFormat="1">
      <c r="A351" s="169" t="s">
        <v>753</v>
      </c>
      <c r="B351" s="327" t="s">
        <v>126</v>
      </c>
      <c r="C351" s="275">
        <v>0.8</v>
      </c>
      <c r="D351" s="296">
        <f>C351</f>
        <v>0.8</v>
      </c>
      <c r="E351" s="296">
        <f t="shared" ref="E351:AG351" si="178">D351</f>
        <v>0.8</v>
      </c>
      <c r="F351" s="296">
        <f t="shared" si="178"/>
        <v>0.8</v>
      </c>
      <c r="G351" s="296">
        <f t="shared" si="178"/>
        <v>0.8</v>
      </c>
      <c r="H351" s="296">
        <f t="shared" si="178"/>
        <v>0.8</v>
      </c>
      <c r="I351" s="296">
        <f t="shared" si="178"/>
        <v>0.8</v>
      </c>
      <c r="J351" s="296">
        <f t="shared" si="178"/>
        <v>0.8</v>
      </c>
      <c r="K351" s="296">
        <f t="shared" si="178"/>
        <v>0.8</v>
      </c>
      <c r="L351" s="296">
        <f t="shared" si="178"/>
        <v>0.8</v>
      </c>
      <c r="M351" s="296">
        <f>L351</f>
        <v>0.8</v>
      </c>
      <c r="N351" s="296">
        <f t="shared" si="178"/>
        <v>0.8</v>
      </c>
      <c r="O351" s="296">
        <f t="shared" si="178"/>
        <v>0.8</v>
      </c>
      <c r="P351" s="296">
        <f t="shared" si="178"/>
        <v>0.8</v>
      </c>
      <c r="Q351" s="296">
        <f t="shared" si="178"/>
        <v>0.8</v>
      </c>
      <c r="R351" s="296">
        <f t="shared" si="178"/>
        <v>0.8</v>
      </c>
      <c r="S351" s="296">
        <f t="shared" si="178"/>
        <v>0.8</v>
      </c>
      <c r="T351" s="296">
        <f t="shared" si="178"/>
        <v>0.8</v>
      </c>
      <c r="U351" s="296">
        <f t="shared" si="178"/>
        <v>0.8</v>
      </c>
      <c r="V351" s="296">
        <f t="shared" si="178"/>
        <v>0.8</v>
      </c>
      <c r="W351" s="296">
        <f t="shared" si="178"/>
        <v>0.8</v>
      </c>
      <c r="X351" s="296">
        <f t="shared" si="178"/>
        <v>0.8</v>
      </c>
      <c r="Y351" s="296">
        <f t="shared" si="178"/>
        <v>0.8</v>
      </c>
      <c r="Z351" s="296">
        <f t="shared" si="178"/>
        <v>0.8</v>
      </c>
      <c r="AA351" s="296">
        <f t="shared" si="178"/>
        <v>0.8</v>
      </c>
      <c r="AB351" s="296">
        <f t="shared" si="178"/>
        <v>0.8</v>
      </c>
      <c r="AC351" s="296">
        <f t="shared" si="178"/>
        <v>0.8</v>
      </c>
      <c r="AD351" s="296">
        <f t="shared" si="178"/>
        <v>0.8</v>
      </c>
      <c r="AE351" s="296">
        <f t="shared" si="178"/>
        <v>0.8</v>
      </c>
      <c r="AF351" s="296">
        <f t="shared" si="178"/>
        <v>0.8</v>
      </c>
      <c r="AG351" s="296">
        <f t="shared" si="178"/>
        <v>0.8</v>
      </c>
      <c r="AJ351" s="300" t="s">
        <v>754</v>
      </c>
    </row>
    <row r="352" spans="1:36" s="169" customFormat="1">
      <c r="B352" s="327"/>
      <c r="C352" s="304"/>
      <c r="D352" s="304"/>
      <c r="E352" s="304"/>
      <c r="F352" s="304"/>
      <c r="G352" s="304"/>
      <c r="H352" s="304"/>
      <c r="I352" s="304"/>
      <c r="J352" s="304"/>
      <c r="K352" s="304"/>
      <c r="L352" s="304"/>
      <c r="M352" s="304"/>
      <c r="N352" s="304"/>
      <c r="O352" s="304"/>
      <c r="P352" s="304"/>
      <c r="Q352" s="304"/>
      <c r="R352" s="304"/>
      <c r="S352" s="304"/>
      <c r="T352" s="304"/>
      <c r="U352" s="304"/>
      <c r="V352" s="304"/>
      <c r="W352" s="304"/>
      <c r="X352" s="304"/>
      <c r="Y352" s="304"/>
      <c r="Z352" s="304"/>
      <c r="AA352" s="304"/>
      <c r="AB352" s="304"/>
      <c r="AC352" s="304"/>
      <c r="AD352" s="304"/>
      <c r="AE352" s="304"/>
      <c r="AF352" s="304"/>
      <c r="AG352" s="304"/>
      <c r="AJ352" s="300"/>
    </row>
    <row r="353" spans="1:37" s="169" customFormat="1">
      <c r="A353" s="169" t="s">
        <v>710</v>
      </c>
      <c r="B353" s="327" t="s">
        <v>127</v>
      </c>
      <c r="C353" s="304">
        <f>C287*C348*C351</f>
        <v>27000.11962570397</v>
      </c>
      <c r="D353" s="304">
        <f t="shared" ref="D353:AG353" si="179">D287*D348*D351</f>
        <v>28692.759816215403</v>
      </c>
      <c r="E353" s="304">
        <f t="shared" si="179"/>
        <v>30013.324746126997</v>
      </c>
      <c r="F353" s="304">
        <f t="shared" si="179"/>
        <v>31366.63572681299</v>
      </c>
      <c r="G353" s="304">
        <f t="shared" si="179"/>
        <v>32749.496204340656</v>
      </c>
      <c r="H353" s="304">
        <f t="shared" si="179"/>
        <v>34161.095947823771</v>
      </c>
      <c r="I353" s="304">
        <f t="shared" si="179"/>
        <v>35375.296651479657</v>
      </c>
      <c r="J353" s="304">
        <f t="shared" si="179"/>
        <v>36607.347090540447</v>
      </c>
      <c r="K353" s="304">
        <f t="shared" si="179"/>
        <v>37858.022780020481</v>
      </c>
      <c r="L353" s="304">
        <f t="shared" si="179"/>
        <v>39128.231677638563</v>
      </c>
      <c r="M353" s="304">
        <f t="shared" si="179"/>
        <v>40419.022410890699</v>
      </c>
      <c r="N353" s="304">
        <f t="shared" si="179"/>
        <v>40644.202398553141</v>
      </c>
      <c r="O353" s="304">
        <f t="shared" si="179"/>
        <v>40896.137173522999</v>
      </c>
      <c r="P353" s="304">
        <f t="shared" si="179"/>
        <v>41180.544609942423</v>
      </c>
      <c r="Q353" s="304">
        <f t="shared" si="179"/>
        <v>41502.249314858673</v>
      </c>
      <c r="R353" s="304">
        <f t="shared" si="179"/>
        <v>41866.60849245789</v>
      </c>
      <c r="S353" s="304">
        <f t="shared" si="179"/>
        <v>42325.188051784811</v>
      </c>
      <c r="T353" s="304">
        <f t="shared" si="179"/>
        <v>42828.688833108507</v>
      </c>
      <c r="U353" s="304">
        <f t="shared" si="179"/>
        <v>43381.139526865853</v>
      </c>
      <c r="V353" s="304">
        <f t="shared" si="179"/>
        <v>43986.721264529275</v>
      </c>
      <c r="W353" s="304">
        <f t="shared" si="179"/>
        <v>44649.779860306393</v>
      </c>
      <c r="X353" s="304">
        <f t="shared" si="179"/>
        <v>44011.340554496303</v>
      </c>
      <c r="Y353" s="304">
        <f t="shared" si="179"/>
        <v>43470.321307467071</v>
      </c>
      <c r="Z353" s="304">
        <f t="shared" si="179"/>
        <v>43048.002273049504</v>
      </c>
      <c r="AA353" s="304">
        <f t="shared" si="179"/>
        <v>42747.365976425812</v>
      </c>
      <c r="AB353" s="304">
        <f t="shared" si="179"/>
        <v>42579.230059137808</v>
      </c>
      <c r="AC353" s="304">
        <f t="shared" si="179"/>
        <v>42586.782817879372</v>
      </c>
      <c r="AD353" s="304">
        <f t="shared" si="179"/>
        <v>42770.082863103715</v>
      </c>
      <c r="AE353" s="304">
        <f t="shared" si="179"/>
        <v>43143.920986842917</v>
      </c>
      <c r="AF353" s="304">
        <f t="shared" si="179"/>
        <v>43723.707973571989</v>
      </c>
      <c r="AG353" s="304">
        <f t="shared" si="179"/>
        <v>44525.499367482</v>
      </c>
      <c r="AJ353" s="300"/>
    </row>
    <row r="354" spans="1:37" s="169" customFormat="1">
      <c r="A354" s="169" t="s">
        <v>715</v>
      </c>
      <c r="B354" s="327" t="s">
        <v>127</v>
      </c>
      <c r="C354" s="304">
        <f>C348*C351-C353</f>
        <v>95727.696854768597</v>
      </c>
      <c r="D354" s="304">
        <f t="shared" ref="D354:AG354" si="180">D348*D351-D353</f>
        <v>97892.945255323153</v>
      </c>
      <c r="E354" s="304">
        <f t="shared" si="180"/>
        <v>98615.209880131573</v>
      </c>
      <c r="F354" s="304">
        <f t="shared" si="180"/>
        <v>99327.679801574501</v>
      </c>
      <c r="G354" s="304">
        <f t="shared" si="180"/>
        <v>100018.73165109445</v>
      </c>
      <c r="H354" s="304">
        <f t="shared" si="180"/>
        <v>100685.33542516481</v>
      </c>
      <c r="I354" s="304">
        <f t="shared" si="180"/>
        <v>100683.53662344212</v>
      </c>
      <c r="J354" s="304">
        <f t="shared" si="180"/>
        <v>100670.20449898622</v>
      </c>
      <c r="K354" s="304">
        <f t="shared" si="180"/>
        <v>100646.93861029838</v>
      </c>
      <c r="L354" s="304">
        <f t="shared" si="180"/>
        <v>100615.45288535632</v>
      </c>
      <c r="M354" s="304">
        <f t="shared" si="180"/>
        <v>100577.56739454198</v>
      </c>
      <c r="N354" s="304">
        <f t="shared" si="180"/>
        <v>97915.578505605343</v>
      </c>
      <c r="O354" s="304">
        <f t="shared" si="180"/>
        <v>95424.320071553724</v>
      </c>
      <c r="P354" s="304">
        <f t="shared" si="180"/>
        <v>93103.839987695974</v>
      </c>
      <c r="Q354" s="304">
        <f t="shared" si="180"/>
        <v>90951.73786022226</v>
      </c>
      <c r="R354" s="304">
        <f t="shared" si="180"/>
        <v>88966.543046473089</v>
      </c>
      <c r="S354" s="304">
        <f t="shared" si="180"/>
        <v>87241.714147556515</v>
      </c>
      <c r="T354" s="304">
        <f t="shared" si="180"/>
        <v>85657.377666217086</v>
      </c>
      <c r="U354" s="304">
        <f t="shared" si="180"/>
        <v>84210.447316857302</v>
      </c>
      <c r="V354" s="304">
        <f t="shared" si="180"/>
        <v>82898.05161392063</v>
      </c>
      <c r="W354" s="304">
        <f t="shared" si="180"/>
        <v>81717.521631126874</v>
      </c>
      <c r="X354" s="304">
        <f t="shared" si="180"/>
        <v>78242.383207993509</v>
      </c>
      <c r="Y354" s="304">
        <f t="shared" si="180"/>
        <v>75085.10044017047</v>
      </c>
      <c r="Z354" s="304">
        <f t="shared" si="180"/>
        <v>72259.146672618896</v>
      </c>
      <c r="AA354" s="304">
        <f t="shared" si="180"/>
        <v>69745.702382589574</v>
      </c>
      <c r="AB354" s="304">
        <f t="shared" si="180"/>
        <v>67539.468369666953</v>
      </c>
      <c r="AC354" s="304">
        <f t="shared" si="180"/>
        <v>65684.698922491982</v>
      </c>
      <c r="AD354" s="304">
        <f t="shared" si="180"/>
        <v>64155.124294655659</v>
      </c>
      <c r="AE354" s="304">
        <f t="shared" si="180"/>
        <v>62947.687997197121</v>
      </c>
      <c r="AF354" s="304">
        <f t="shared" si="180"/>
        <v>62059.456478618391</v>
      </c>
      <c r="AG354" s="304">
        <f t="shared" si="180"/>
        <v>61487.594364618009</v>
      </c>
      <c r="AJ354" s="300"/>
    </row>
    <row r="355" spans="1:37" s="169" customFormat="1">
      <c r="B355" s="165"/>
      <c r="C355" s="304"/>
      <c r="D355" s="304"/>
      <c r="E355" s="304"/>
      <c r="F355" s="304"/>
      <c r="G355" s="304"/>
      <c r="H355" s="304"/>
      <c r="I355" s="304"/>
      <c r="J355" s="304"/>
      <c r="K355" s="304"/>
      <c r="L355" s="304"/>
      <c r="M355" s="304"/>
      <c r="N355" s="304"/>
      <c r="O355" s="304"/>
      <c r="P355" s="304"/>
      <c r="Q355" s="304"/>
      <c r="R355" s="304"/>
      <c r="S355" s="304"/>
      <c r="T355" s="304"/>
      <c r="U355" s="304"/>
      <c r="V355" s="304"/>
      <c r="W355" s="304"/>
      <c r="X355" s="304"/>
      <c r="Y355" s="304"/>
      <c r="Z355" s="304"/>
      <c r="AA355" s="304"/>
      <c r="AB355" s="304"/>
      <c r="AC355" s="304"/>
      <c r="AD355" s="304"/>
      <c r="AE355" s="304"/>
      <c r="AF355" s="304"/>
      <c r="AG355" s="304"/>
      <c r="AJ355" s="300"/>
    </row>
    <row r="356" spans="1:37" s="169" customFormat="1">
      <c r="B356" s="197" t="s">
        <v>709</v>
      </c>
      <c r="C356" s="308">
        <v>0</v>
      </c>
      <c r="D356" s="308">
        <f>C356+1</f>
        <v>1</v>
      </c>
      <c r="E356" s="308">
        <f t="shared" ref="E356:AG356" si="181">D356+1</f>
        <v>2</v>
      </c>
      <c r="F356" s="308">
        <f t="shared" si="181"/>
        <v>3</v>
      </c>
      <c r="G356" s="308">
        <f t="shared" si="181"/>
        <v>4</v>
      </c>
      <c r="H356" s="308">
        <f t="shared" si="181"/>
        <v>5</v>
      </c>
      <c r="I356" s="308">
        <f t="shared" si="181"/>
        <v>6</v>
      </c>
      <c r="J356" s="308">
        <f t="shared" si="181"/>
        <v>7</v>
      </c>
      <c r="K356" s="308">
        <f t="shared" si="181"/>
        <v>8</v>
      </c>
      <c r="L356" s="308">
        <f t="shared" si="181"/>
        <v>9</v>
      </c>
      <c r="M356" s="308">
        <f t="shared" si="181"/>
        <v>10</v>
      </c>
      <c r="N356" s="308">
        <f t="shared" si="181"/>
        <v>11</v>
      </c>
      <c r="O356" s="308">
        <f t="shared" si="181"/>
        <v>12</v>
      </c>
      <c r="P356" s="308">
        <f t="shared" si="181"/>
        <v>13</v>
      </c>
      <c r="Q356" s="308">
        <f t="shared" si="181"/>
        <v>14</v>
      </c>
      <c r="R356" s="308">
        <f t="shared" si="181"/>
        <v>15</v>
      </c>
      <c r="S356" s="308">
        <f t="shared" si="181"/>
        <v>16</v>
      </c>
      <c r="T356" s="308">
        <f t="shared" si="181"/>
        <v>17</v>
      </c>
      <c r="U356" s="308">
        <f t="shared" si="181"/>
        <v>18</v>
      </c>
      <c r="V356" s="308">
        <f t="shared" si="181"/>
        <v>19</v>
      </c>
      <c r="W356" s="308">
        <f t="shared" si="181"/>
        <v>20</v>
      </c>
      <c r="X356" s="308">
        <f t="shared" si="181"/>
        <v>21</v>
      </c>
      <c r="Y356" s="308">
        <f t="shared" si="181"/>
        <v>22</v>
      </c>
      <c r="Z356" s="308">
        <f t="shared" si="181"/>
        <v>23</v>
      </c>
      <c r="AA356" s="308">
        <f t="shared" si="181"/>
        <v>24</v>
      </c>
      <c r="AB356" s="308">
        <f t="shared" si="181"/>
        <v>25</v>
      </c>
      <c r="AC356" s="308">
        <f t="shared" si="181"/>
        <v>26</v>
      </c>
      <c r="AD356" s="308">
        <f t="shared" si="181"/>
        <v>27</v>
      </c>
      <c r="AE356" s="308">
        <f t="shared" si="181"/>
        <v>28</v>
      </c>
      <c r="AF356" s="308">
        <f t="shared" si="181"/>
        <v>29</v>
      </c>
      <c r="AG356" s="308">
        <f t="shared" si="181"/>
        <v>30</v>
      </c>
      <c r="AJ356" s="300" t="s">
        <v>717</v>
      </c>
      <c r="AK356" s="169">
        <f>'Propylene Recycling HC'!AK196</f>
        <v>1.9</v>
      </c>
    </row>
    <row r="357" spans="1:37" s="169" customFormat="1">
      <c r="A357" s="169" t="s">
        <v>761</v>
      </c>
      <c r="B357" s="165"/>
      <c r="C357" s="310">
        <f>$AK$358/((1+EXP(-$AK$357*(C356-$AK$359)))^$AK$356)</f>
        <v>4.6088632748610021E-5</v>
      </c>
      <c r="D357" s="310">
        <f t="shared" ref="D357:AG357" si="182">$AK$358/((1+EXP(-$AK$357*(D356-$AK$359)))^$AK$356)</f>
        <v>8.924759460408035E-5</v>
      </c>
      <c r="E357" s="310">
        <f t="shared" si="182"/>
        <v>1.7252431976790472E-4</v>
      </c>
      <c r="F357" s="310">
        <f t="shared" si="182"/>
        <v>3.3269643715580369E-4</v>
      </c>
      <c r="G357" s="310">
        <f t="shared" si="182"/>
        <v>6.393827369910735E-4</v>
      </c>
      <c r="H357" s="310">
        <f t="shared" si="182"/>
        <v>1.2229053771654547E-3</v>
      </c>
      <c r="I357" s="310">
        <f t="shared" si="182"/>
        <v>2.3234018804222717E-3</v>
      </c>
      <c r="J357" s="310">
        <f t="shared" si="182"/>
        <v>4.3736281679830789E-3</v>
      </c>
      <c r="K357" s="310">
        <f t="shared" si="182"/>
        <v>8.1294184230466908E-3</v>
      </c>
      <c r="L357" s="310">
        <f t="shared" si="182"/>
        <v>1.4853985082038716E-2</v>
      </c>
      <c r="M357" s="310">
        <f t="shared" si="182"/>
        <v>2.6531412096832362E-2</v>
      </c>
      <c r="N357" s="310">
        <f t="shared" si="182"/>
        <v>4.6014759335105015E-2</v>
      </c>
      <c r="O357" s="310">
        <f t="shared" si="182"/>
        <v>7.6910635328419796E-2</v>
      </c>
      <c r="P357" s="310">
        <f t="shared" si="182"/>
        <v>0.12294065829885638</v>
      </c>
      <c r="Q357" s="310">
        <f t="shared" si="182"/>
        <v>0.18666754187878853</v>
      </c>
      <c r="R357" s="310">
        <f t="shared" si="182"/>
        <v>0.26794336563407328</v>
      </c>
      <c r="S357" s="310">
        <f t="shared" si="182"/>
        <v>0.36297326582455031</v>
      </c>
      <c r="T357" s="310">
        <f t="shared" si="182"/>
        <v>0.46484396312424381</v>
      </c>
      <c r="U357" s="310">
        <f t="shared" si="182"/>
        <v>0.56546260593861253</v>
      </c>
      <c r="V357" s="310">
        <f t="shared" si="182"/>
        <v>0.6578403022607352</v>
      </c>
      <c r="W357" s="310">
        <f t="shared" si="182"/>
        <v>0.73754668886795227</v>
      </c>
      <c r="X357" s="310">
        <f t="shared" si="182"/>
        <v>0.80293052021410605</v>
      </c>
      <c r="Y357" s="310">
        <f t="shared" si="182"/>
        <v>0.85447682949112158</v>
      </c>
      <c r="Z357" s="310">
        <f t="shared" si="182"/>
        <v>0.89389910336617451</v>
      </c>
      <c r="AA357" s="310">
        <f t="shared" si="182"/>
        <v>0.92337223319290385</v>
      </c>
      <c r="AB357" s="310">
        <f t="shared" si="182"/>
        <v>0.94504210708611314</v>
      </c>
      <c r="AC357" s="310">
        <f t="shared" si="182"/>
        <v>0.96078240575184182</v>
      </c>
      <c r="AD357" s="310">
        <f t="shared" si="182"/>
        <v>0.97211605463477313</v>
      </c>
      <c r="AE357" s="310">
        <f t="shared" si="182"/>
        <v>0.98022577885232642</v>
      </c>
      <c r="AF357" s="310">
        <f t="shared" si="182"/>
        <v>0.98600279580400285</v>
      </c>
      <c r="AG357" s="310">
        <f t="shared" si="182"/>
        <v>0.9901050637460882</v>
      </c>
      <c r="AI357" s="165" t="s">
        <v>716</v>
      </c>
      <c r="AJ357" s="300" t="s">
        <v>718</v>
      </c>
      <c r="AK357" s="169">
        <f>'Propylene Recycling HC'!AK197</f>
        <v>0.35</v>
      </c>
    </row>
    <row r="358" spans="1:37" s="169" customFormat="1">
      <c r="B358" s="165"/>
      <c r="C358" s="306">
        <v>0</v>
      </c>
      <c r="D358" s="306">
        <v>0</v>
      </c>
      <c r="E358" s="306">
        <v>0</v>
      </c>
      <c r="F358" s="306">
        <v>0</v>
      </c>
      <c r="G358" s="306">
        <v>0</v>
      </c>
      <c r="H358" s="306">
        <v>0</v>
      </c>
      <c r="I358" s="306">
        <v>0</v>
      </c>
      <c r="J358" s="306">
        <v>0</v>
      </c>
      <c r="K358" s="306">
        <v>0</v>
      </c>
      <c r="L358" s="306">
        <v>0</v>
      </c>
      <c r="M358" s="306">
        <f>C357</f>
        <v>4.6088632748610021E-5</v>
      </c>
      <c r="N358" s="306">
        <v>0</v>
      </c>
      <c r="O358" s="306">
        <v>0</v>
      </c>
      <c r="P358" s="306">
        <v>0</v>
      </c>
      <c r="Q358" s="306">
        <v>0</v>
      </c>
      <c r="R358" s="306">
        <f t="shared" ref="R358:AG358" si="183">C357</f>
        <v>4.6088632748610021E-5</v>
      </c>
      <c r="S358" s="306">
        <f t="shared" si="183"/>
        <v>8.924759460408035E-5</v>
      </c>
      <c r="T358" s="306">
        <f t="shared" si="183"/>
        <v>1.7252431976790472E-4</v>
      </c>
      <c r="U358" s="306">
        <f t="shared" si="183"/>
        <v>3.3269643715580369E-4</v>
      </c>
      <c r="V358" s="306">
        <f t="shared" si="183"/>
        <v>6.393827369910735E-4</v>
      </c>
      <c r="W358" s="306">
        <f t="shared" si="183"/>
        <v>1.2229053771654547E-3</v>
      </c>
      <c r="X358" s="306">
        <f t="shared" si="183"/>
        <v>2.3234018804222717E-3</v>
      </c>
      <c r="Y358" s="306">
        <f t="shared" si="183"/>
        <v>4.3736281679830789E-3</v>
      </c>
      <c r="Z358" s="306">
        <f t="shared" si="183"/>
        <v>8.1294184230466908E-3</v>
      </c>
      <c r="AA358" s="306">
        <f t="shared" si="183"/>
        <v>1.4853985082038716E-2</v>
      </c>
      <c r="AB358" s="306">
        <f t="shared" si="183"/>
        <v>2.6531412096832362E-2</v>
      </c>
      <c r="AC358" s="306">
        <f t="shared" si="183"/>
        <v>4.6014759335105015E-2</v>
      </c>
      <c r="AD358" s="306">
        <f t="shared" si="183"/>
        <v>7.6910635328419796E-2</v>
      </c>
      <c r="AE358" s="306">
        <f t="shared" si="183"/>
        <v>0.12294065829885638</v>
      </c>
      <c r="AF358" s="306">
        <f t="shared" si="183"/>
        <v>0.18666754187878853</v>
      </c>
      <c r="AG358" s="306">
        <f t="shared" si="183"/>
        <v>0.26794336563407328</v>
      </c>
      <c r="AI358" s="165" t="s">
        <v>762</v>
      </c>
      <c r="AJ358" s="300" t="s">
        <v>719</v>
      </c>
      <c r="AK358" s="169">
        <f>'Propylene Recycling HC'!AK198</f>
        <v>1</v>
      </c>
    </row>
    <row r="359" spans="1:37" s="169" customFormat="1">
      <c r="B359" s="165"/>
      <c r="C359" s="304"/>
      <c r="D359" s="304"/>
      <c r="E359" s="304"/>
      <c r="F359" s="304"/>
      <c r="G359" s="304"/>
      <c r="H359" s="304"/>
      <c r="I359" s="304"/>
      <c r="J359" s="304"/>
      <c r="K359" s="304"/>
      <c r="L359" s="304"/>
      <c r="M359" s="304"/>
      <c r="N359" s="304"/>
      <c r="O359" s="304"/>
      <c r="P359" s="304"/>
      <c r="Q359" s="304"/>
      <c r="R359" s="304"/>
      <c r="S359" s="304"/>
      <c r="T359" s="304"/>
      <c r="U359" s="304"/>
      <c r="V359" s="304"/>
      <c r="W359" s="304"/>
      <c r="X359" s="304"/>
      <c r="Y359" s="304"/>
      <c r="Z359" s="304"/>
      <c r="AA359" s="304"/>
      <c r="AB359" s="304"/>
      <c r="AC359" s="304"/>
      <c r="AD359" s="304"/>
      <c r="AE359" s="304"/>
      <c r="AF359" s="304"/>
      <c r="AG359" s="304"/>
      <c r="AJ359" s="300" t="s">
        <v>720</v>
      </c>
      <c r="AK359" s="169">
        <f>'Propylene Recycling HC'!AK199</f>
        <v>15</v>
      </c>
    </row>
    <row r="360" spans="1:37" s="169" customFormat="1">
      <c r="A360" s="169" t="s">
        <v>842</v>
      </c>
      <c r="B360" s="165" t="s">
        <v>126</v>
      </c>
      <c r="C360" s="305">
        <f>('Overall recycling rates'!G12+'Overall recycling rates'!G15)*'Overall recycling rates'!G57/(SUMPRODUCT('Overall recycling rates'!C57:I57,'Overall recycling rates'!C12:I12)+SUMPRODUCT('Overall recycling rates'!C15:I15,'Overall recycling rates'!C57:I57))</f>
        <v>9.3753800180177274E-2</v>
      </c>
      <c r="D360" s="305">
        <f>C360</f>
        <v>9.3753800180177274E-2</v>
      </c>
      <c r="E360" s="305">
        <f t="shared" ref="E360:AG360" si="184">D360</f>
        <v>9.3753800180177274E-2</v>
      </c>
      <c r="F360" s="305">
        <f t="shared" si="184"/>
        <v>9.3753800180177274E-2</v>
      </c>
      <c r="G360" s="305">
        <f t="shared" si="184"/>
        <v>9.3753800180177274E-2</v>
      </c>
      <c r="H360" s="305">
        <f t="shared" si="184"/>
        <v>9.3753800180177274E-2</v>
      </c>
      <c r="I360" s="305">
        <f t="shared" si="184"/>
        <v>9.3753800180177274E-2</v>
      </c>
      <c r="J360" s="305">
        <f t="shared" si="184"/>
        <v>9.3753800180177274E-2</v>
      </c>
      <c r="K360" s="305">
        <f t="shared" si="184"/>
        <v>9.3753800180177274E-2</v>
      </c>
      <c r="L360" s="305">
        <f t="shared" si="184"/>
        <v>9.3753800180177274E-2</v>
      </c>
      <c r="M360" s="305">
        <f t="shared" si="184"/>
        <v>9.3753800180177274E-2</v>
      </c>
      <c r="N360" s="305">
        <f t="shared" si="184"/>
        <v>9.3753800180177274E-2</v>
      </c>
      <c r="O360" s="305">
        <f t="shared" si="184"/>
        <v>9.3753800180177274E-2</v>
      </c>
      <c r="P360" s="305">
        <f t="shared" si="184"/>
        <v>9.3753800180177274E-2</v>
      </c>
      <c r="Q360" s="305">
        <f t="shared" si="184"/>
        <v>9.3753800180177274E-2</v>
      </c>
      <c r="R360" s="305">
        <f t="shared" si="184"/>
        <v>9.3753800180177274E-2</v>
      </c>
      <c r="S360" s="305">
        <f t="shared" si="184"/>
        <v>9.3753800180177274E-2</v>
      </c>
      <c r="T360" s="305">
        <f t="shared" si="184"/>
        <v>9.3753800180177274E-2</v>
      </c>
      <c r="U360" s="305">
        <f t="shared" si="184"/>
        <v>9.3753800180177274E-2</v>
      </c>
      <c r="V360" s="305">
        <f t="shared" si="184"/>
        <v>9.3753800180177274E-2</v>
      </c>
      <c r="W360" s="305">
        <f t="shared" si="184"/>
        <v>9.3753800180177274E-2</v>
      </c>
      <c r="X360" s="305">
        <f t="shared" si="184"/>
        <v>9.3753800180177274E-2</v>
      </c>
      <c r="Y360" s="305">
        <f t="shared" si="184"/>
        <v>9.3753800180177274E-2</v>
      </c>
      <c r="Z360" s="305">
        <f t="shared" si="184"/>
        <v>9.3753800180177274E-2</v>
      </c>
      <c r="AA360" s="305">
        <f t="shared" si="184"/>
        <v>9.3753800180177274E-2</v>
      </c>
      <c r="AB360" s="305">
        <f t="shared" si="184"/>
        <v>9.3753800180177274E-2</v>
      </c>
      <c r="AC360" s="305">
        <f t="shared" si="184"/>
        <v>9.3753800180177274E-2</v>
      </c>
      <c r="AD360" s="305">
        <f t="shared" si="184"/>
        <v>9.3753800180177274E-2</v>
      </c>
      <c r="AE360" s="305">
        <f t="shared" si="184"/>
        <v>9.3753800180177274E-2</v>
      </c>
      <c r="AF360" s="305">
        <f t="shared" si="184"/>
        <v>9.3753800180177274E-2</v>
      </c>
      <c r="AG360" s="305">
        <f t="shared" si="184"/>
        <v>9.3753800180177274E-2</v>
      </c>
      <c r="AI360" s="165" t="s">
        <v>846</v>
      </c>
      <c r="AJ360" s="300"/>
    </row>
    <row r="361" spans="1:37" s="279" customFormat="1" ht="15.5" thickBot="1">
      <c r="A361" s="311" t="s">
        <v>707</v>
      </c>
      <c r="B361" s="312" t="s">
        <v>127</v>
      </c>
      <c r="C361" s="313">
        <f>C360*(C353*C357+C354*C358)</f>
        <v>0.11666709746365898</v>
      </c>
      <c r="D361" s="313">
        <f t="shared" ref="D361:AG361" si="185">D360*(D353*D357+D354*D358)</f>
        <v>0.24008096223766354</v>
      </c>
      <c r="E361" s="313">
        <f t="shared" si="185"/>
        <v>0.48545984329715486</v>
      </c>
      <c r="F361" s="313">
        <f t="shared" si="185"/>
        <v>0.97837415252671533</v>
      </c>
      <c r="G361" s="313">
        <f t="shared" si="185"/>
        <v>1.9631541848125817</v>
      </c>
      <c r="H361" s="313">
        <f t="shared" si="185"/>
        <v>3.9166388734391653</v>
      </c>
      <c r="I361" s="313">
        <f t="shared" si="185"/>
        <v>7.7057214745268015</v>
      </c>
      <c r="J361" s="313">
        <f t="shared" si="185"/>
        <v>15.010632596752915</v>
      </c>
      <c r="K361" s="313">
        <f t="shared" si="185"/>
        <v>28.854017168293705</v>
      </c>
      <c r="L361" s="313">
        <f t="shared" si="185"/>
        <v>54.490662105821499</v>
      </c>
      <c r="M361" s="313">
        <f>M360*(M353*M357+M354*M358)</f>
        <v>100.97370745730255</v>
      </c>
      <c r="N361" s="313">
        <f t="shared" si="185"/>
        <v>175.3414689484197</v>
      </c>
      <c r="O361" s="313">
        <f t="shared" si="185"/>
        <v>294.88831781001107</v>
      </c>
      <c r="P361" s="313">
        <f t="shared" si="185"/>
        <v>474.65329536119691</v>
      </c>
      <c r="Q361" s="313">
        <f t="shared" si="185"/>
        <v>726.3222087794785</v>
      </c>
      <c r="R361" s="313">
        <f t="shared" si="185"/>
        <v>1052.1033018112091</v>
      </c>
      <c r="S361" s="313">
        <f t="shared" si="185"/>
        <v>1441.0613345710851</v>
      </c>
      <c r="T361" s="313">
        <f t="shared" si="185"/>
        <v>1867.8977845267882</v>
      </c>
      <c r="U361" s="313">
        <f t="shared" si="185"/>
        <v>2302.4460190704231</v>
      </c>
      <c r="V361" s="313">
        <f t="shared" si="185"/>
        <v>2717.8515638958379</v>
      </c>
      <c r="W361" s="313">
        <f t="shared" si="185"/>
        <v>3096.8033456817579</v>
      </c>
      <c r="X361" s="313">
        <f t="shared" si="185"/>
        <v>3330.1197068134788</v>
      </c>
      <c r="Y361" s="313">
        <f t="shared" si="185"/>
        <v>3513.2152131197595</v>
      </c>
      <c r="Z361" s="313">
        <f t="shared" si="185"/>
        <v>3662.7730409011465</v>
      </c>
      <c r="AA361" s="313">
        <f t="shared" si="185"/>
        <v>3797.75384988428</v>
      </c>
      <c r="AB361" s="313">
        <f t="shared" si="185"/>
        <v>3940.5737345602174</v>
      </c>
      <c r="AC361" s="313">
        <f t="shared" si="185"/>
        <v>4119.457344790545</v>
      </c>
      <c r="AD361" s="313">
        <f t="shared" si="185"/>
        <v>4360.6482132946494</v>
      </c>
      <c r="AE361" s="313">
        <f t="shared" si="185"/>
        <v>4690.4664108750003</v>
      </c>
      <c r="AF361" s="313">
        <f t="shared" si="185"/>
        <v>5127.9751518614476</v>
      </c>
      <c r="AG361" s="313">
        <f t="shared" si="185"/>
        <v>5677.7409551342316</v>
      </c>
      <c r="AJ361" s="303"/>
    </row>
    <row r="362" spans="1:37" s="216" customFormat="1">
      <c r="A362" s="302" t="s">
        <v>713</v>
      </c>
      <c r="B362" s="301" t="s">
        <v>126</v>
      </c>
      <c r="C362" s="307">
        <v>0.25</v>
      </c>
      <c r="D362" s="307">
        <v>0.25</v>
      </c>
      <c r="E362" s="307">
        <v>0.25</v>
      </c>
      <c r="F362" s="307">
        <v>0.25</v>
      </c>
      <c r="G362" s="307">
        <v>0.25</v>
      </c>
      <c r="H362" s="307">
        <v>0.25</v>
      </c>
      <c r="I362" s="307">
        <v>0.25</v>
      </c>
      <c r="J362" s="307">
        <v>0.25</v>
      </c>
      <c r="K362" s="307">
        <v>0.25</v>
      </c>
      <c r="L362" s="307">
        <v>0.25</v>
      </c>
      <c r="M362" s="307">
        <v>0.25</v>
      </c>
      <c r="N362" s="307">
        <v>0.25</v>
      </c>
      <c r="O362" s="307">
        <v>0.25</v>
      </c>
      <c r="P362" s="307">
        <v>0.25</v>
      </c>
      <c r="Q362" s="307">
        <v>0.25</v>
      </c>
      <c r="R362" s="307">
        <v>0.25</v>
      </c>
      <c r="S362" s="307">
        <v>0.25</v>
      </c>
      <c r="T362" s="307">
        <v>0.25</v>
      </c>
      <c r="U362" s="307">
        <v>0.25</v>
      </c>
      <c r="V362" s="307">
        <v>0.25</v>
      </c>
      <c r="W362" s="307">
        <v>0.25</v>
      </c>
      <c r="X362" s="307">
        <v>0.25</v>
      </c>
      <c r="Y362" s="307">
        <v>0.25</v>
      </c>
      <c r="Z362" s="307">
        <v>0.25</v>
      </c>
      <c r="AA362" s="307">
        <v>0.25</v>
      </c>
      <c r="AB362" s="307">
        <v>0.25</v>
      </c>
      <c r="AC362" s="307">
        <v>0.25</v>
      </c>
      <c r="AD362" s="307">
        <v>0.25</v>
      </c>
      <c r="AE362" s="307">
        <v>0.25</v>
      </c>
      <c r="AF362" s="307">
        <v>0.25</v>
      </c>
      <c r="AG362" s="307">
        <v>0.25</v>
      </c>
      <c r="AJ362" s="216" t="s">
        <v>757</v>
      </c>
    </row>
    <row r="363" spans="1:37" s="216" customFormat="1" ht="15.5" thickBot="1">
      <c r="A363" s="280" t="s">
        <v>708</v>
      </c>
      <c r="B363" s="312" t="s">
        <v>127</v>
      </c>
      <c r="C363" s="313">
        <f>C362*(C353*C357+C354*C358)</f>
        <v>0.31109964939940205</v>
      </c>
      <c r="D363" s="313">
        <f t="shared" ref="D363:AG363" si="186">D362*(D353*D357+D354*D358)</f>
        <v>0.64018994903745985</v>
      </c>
      <c r="E363" s="313">
        <f t="shared" si="186"/>
        <v>1.2945071089496953</v>
      </c>
      <c r="F363" s="313">
        <f t="shared" si="186"/>
        <v>2.6088919879686561</v>
      </c>
      <c r="G363" s="313">
        <f t="shared" si="186"/>
        <v>5.2348656295525258</v>
      </c>
      <c r="H363" s="313">
        <f t="shared" si="186"/>
        <v>10.44394698111468</v>
      </c>
      <c r="I363" s="313">
        <f t="shared" si="186"/>
        <v>20.547757690135882</v>
      </c>
      <c r="J363" s="313">
        <f t="shared" si="186"/>
        <v>40.026731097580274</v>
      </c>
      <c r="K363" s="313">
        <f t="shared" si="186"/>
        <v>76.940926962004951</v>
      </c>
      <c r="L363" s="313">
        <f t="shared" si="186"/>
        <v>145.30254240654949</v>
      </c>
      <c r="M363" s="313">
        <f t="shared" si="186"/>
        <v>269.25230567520987</v>
      </c>
      <c r="N363" s="313">
        <f t="shared" si="186"/>
        <v>467.55829793418019</v>
      </c>
      <c r="O363" s="313">
        <f t="shared" si="186"/>
        <v>786.33697312346499</v>
      </c>
      <c r="P363" s="313">
        <f t="shared" si="186"/>
        <v>1265.6908158629358</v>
      </c>
      <c r="Q363" s="313">
        <f t="shared" si="186"/>
        <v>1936.780715511326</v>
      </c>
      <c r="R363" s="313">
        <f t="shared" si="186"/>
        <v>2805.4950833706562</v>
      </c>
      <c r="S363" s="313">
        <f t="shared" si="186"/>
        <v>3842.6744617328436</v>
      </c>
      <c r="T363" s="313">
        <f t="shared" si="186"/>
        <v>4980.8588583530427</v>
      </c>
      <c r="U363" s="313">
        <f t="shared" si="186"/>
        <v>6139.6071803104314</v>
      </c>
      <c r="V363" s="313">
        <f t="shared" si="186"/>
        <v>7247.3103988121957</v>
      </c>
      <c r="W363" s="313">
        <f t="shared" si="186"/>
        <v>8257.807522815825</v>
      </c>
      <c r="X363" s="313">
        <f t="shared" si="186"/>
        <v>8879.9592667540182</v>
      </c>
      <c r="Y363" s="313">
        <f t="shared" si="186"/>
        <v>9368.1941595114458</v>
      </c>
      <c r="Z363" s="313">
        <f t="shared" si="186"/>
        <v>9766.9988679445032</v>
      </c>
      <c r="AA363" s="313">
        <f t="shared" si="186"/>
        <v>10126.93310187349</v>
      </c>
      <c r="AB363" s="313">
        <f t="shared" si="186"/>
        <v>10507.770690327143</v>
      </c>
      <c r="AC363" s="313">
        <f t="shared" si="186"/>
        <v>10984.774315477662</v>
      </c>
      <c r="AD363" s="313">
        <f t="shared" si="186"/>
        <v>11627.923894589603</v>
      </c>
      <c r="AE363" s="313">
        <f t="shared" si="186"/>
        <v>12507.40343820944</v>
      </c>
      <c r="AF363" s="313">
        <f t="shared" si="186"/>
        <v>13674.046124014276</v>
      </c>
      <c r="AG363" s="313">
        <f t="shared" si="186"/>
        <v>15140.0288420914</v>
      </c>
      <c r="AJ363" s="302"/>
    </row>
    <row r="364" spans="1:37" s="216" customFormat="1">
      <c r="A364" s="303"/>
      <c r="B364" s="301"/>
      <c r="AJ364" s="302"/>
    </row>
    <row r="365" spans="1:37" s="216" customFormat="1">
      <c r="A365" s="303" t="s">
        <v>711</v>
      </c>
      <c r="B365" s="301" t="s">
        <v>127</v>
      </c>
      <c r="C365" s="216">
        <f>SUM(C334:C335)-SUM(C361,C363)</f>
        <v>526862.70912920241</v>
      </c>
      <c r="D365" s="216">
        <f t="shared" ref="D365:AG365" si="187">SUM(D334:D335)-SUM(D361,D363)</f>
        <v>531075.17410749756</v>
      </c>
      <c r="E365" s="216">
        <f t="shared" si="187"/>
        <v>533208.12640492944</v>
      </c>
      <c r="F365" s="216">
        <f t="shared" si="187"/>
        <v>535638.94674965076</v>
      </c>
      <c r="G365" s="216">
        <f t="shared" si="187"/>
        <v>537971.52050090837</v>
      </c>
      <c r="H365" s="216">
        <f t="shared" si="187"/>
        <v>540202.39891146787</v>
      </c>
      <c r="I365" s="216">
        <f t="shared" si="187"/>
        <v>539452.11437934043</v>
      </c>
      <c r="J365" s="216">
        <f t="shared" si="187"/>
        <v>538568.12113686802</v>
      </c>
      <c r="K365" s="216">
        <f t="shared" si="187"/>
        <v>537544.0371761336</v>
      </c>
      <c r="L365" s="216">
        <f t="shared" si="187"/>
        <v>536365.59225727839</v>
      </c>
      <c r="M365" s="216">
        <f t="shared" si="187"/>
        <v>535004.89576157031</v>
      </c>
      <c r="N365" s="216">
        <f t="shared" si="187"/>
        <v>528566.56635258486</v>
      </c>
      <c r="O365" s="216">
        <f t="shared" si="187"/>
        <v>521935.3285479396</v>
      </c>
      <c r="P365" s="216">
        <f t="shared" si="187"/>
        <v>515057.81821838062</v>
      </c>
      <c r="Q365" s="216">
        <f t="shared" si="187"/>
        <v>507915.63735475962</v>
      </c>
      <c r="R365" s="216">
        <f t="shared" si="187"/>
        <v>500514.00752304244</v>
      </c>
      <c r="S365" s="216">
        <f t="shared" si="187"/>
        <v>493578.18897829682</v>
      </c>
      <c r="T365" s="216">
        <f t="shared" si="187"/>
        <v>486518.90819141502</v>
      </c>
      <c r="U365" s="216">
        <f t="shared" si="187"/>
        <v>479456.86257726245</v>
      </c>
      <c r="V365" s="216">
        <f t="shared" si="187"/>
        <v>472500.97682565264</v>
      </c>
      <c r="W365" s="216">
        <f t="shared" si="187"/>
        <v>465725.57128626289</v>
      </c>
      <c r="X365" s="216">
        <f t="shared" si="187"/>
        <v>456289.0095598186</v>
      </c>
      <c r="Y365" s="216">
        <f t="shared" si="187"/>
        <v>447229.60514596978</v>
      </c>
      <c r="Z365" s="216">
        <f t="shared" si="187"/>
        <v>438485.25592630683</v>
      </c>
      <c r="AA365" s="216">
        <f t="shared" si="187"/>
        <v>430034.6479799099</v>
      </c>
      <c r="AB365" s="216">
        <f t="shared" si="187"/>
        <v>421816.62980111747</v>
      </c>
      <c r="AC365" s="216">
        <f t="shared" si="187"/>
        <v>413539.57472926693</v>
      </c>
      <c r="AD365" s="216">
        <f t="shared" si="187"/>
        <v>405386.75235421892</v>
      </c>
      <c r="AE365" s="216">
        <f t="shared" si="187"/>
        <v>397290.60106262076</v>
      </c>
      <c r="AF365" s="216">
        <f t="shared" si="187"/>
        <v>389211.29179332918</v>
      </c>
      <c r="AG365" s="216">
        <f t="shared" si="187"/>
        <v>381163.30535420281</v>
      </c>
      <c r="AJ365" s="302"/>
    </row>
    <row r="366" spans="1:37" s="216" customFormat="1">
      <c r="A366" s="303"/>
      <c r="B366" s="301"/>
      <c r="AJ366" s="302"/>
    </row>
    <row r="367" spans="1:37" s="216" customFormat="1">
      <c r="A367" s="302" t="s">
        <v>722</v>
      </c>
      <c r="B367" s="301" t="s">
        <v>127</v>
      </c>
      <c r="C367" s="304">
        <f>C287*C286*C197</f>
        <v>1.1411399999999999E-2</v>
      </c>
      <c r="D367" s="304">
        <f t="shared" ref="D367:AG367" si="188">D287*D286*D197</f>
        <v>1.2211913118445541E-2</v>
      </c>
      <c r="E367" s="304">
        <f t="shared" si="188"/>
        <v>1.3033868575004636E-2</v>
      </c>
      <c r="F367" s="304">
        <f t="shared" si="188"/>
        <v>1.387667776234245E-2</v>
      </c>
      <c r="G367" s="304">
        <f t="shared" si="188"/>
        <v>1.4739737200808048E-2</v>
      </c>
      <c r="H367" s="304">
        <f t="shared" si="188"/>
        <v>1.5622428538434407E-2</v>
      </c>
      <c r="I367" s="304">
        <f t="shared" si="188"/>
        <v>1.652411855093841E-2</v>
      </c>
      <c r="J367" s="304">
        <f t="shared" si="188"/>
        <v>1.7444159141720841E-2</v>
      </c>
      <c r="K367" s="304">
        <f t="shared" si="188"/>
        <v>1.8381887341866382E-2</v>
      </c>
      <c r="L367" s="304">
        <f t="shared" si="188"/>
        <v>1.9336625310143647E-2</v>
      </c>
      <c r="M367" s="304">
        <f t="shared" si="188"/>
        <v>2.0307680333005135E-2</v>
      </c>
      <c r="N367" s="304">
        <f t="shared" si="188"/>
        <v>2.1981838457272966E-2</v>
      </c>
      <c r="O367" s="304">
        <f t="shared" si="188"/>
        <v>2.3694781802410692E-2</v>
      </c>
      <c r="P367" s="304">
        <f t="shared" si="188"/>
        <v>2.5445093487479479E-2</v>
      </c>
      <c r="Q367" s="304">
        <f t="shared" si="188"/>
        <v>2.7231325285274256E-2</v>
      </c>
      <c r="R367" s="304">
        <f t="shared" si="188"/>
        <v>2.905199762232372E-2</v>
      </c>
      <c r="S367" s="304">
        <f t="shared" si="188"/>
        <v>3.0905599578890351E-2</v>
      </c>
      <c r="T367" s="304">
        <f t="shared" si="188"/>
        <v>3.2790588888970414E-2</v>
      </c>
      <c r="U367" s="304">
        <f t="shared" si="188"/>
        <v>3.4705391940293893E-2</v>
      </c>
      <c r="V367" s="304">
        <f t="shared" si="188"/>
        <v>3.6648403774324587E-2</v>
      </c>
      <c r="W367" s="304">
        <f t="shared" si="188"/>
        <v>3.8617988086260047E-2</v>
      </c>
      <c r="X367" s="304">
        <f t="shared" si="188"/>
        <v>4.1632470531806902E-2</v>
      </c>
      <c r="Y367" s="304">
        <f t="shared" si="188"/>
        <v>4.4694492720111348E-2</v>
      </c>
      <c r="Z367" s="304">
        <f t="shared" si="188"/>
        <v>4.7801295593939176E-2</v>
      </c>
      <c r="AA367" s="304">
        <f t="shared" si="188"/>
        <v>5.0950067647971789E-2</v>
      </c>
      <c r="AB367" s="304">
        <f t="shared" si="188"/>
        <v>5.4137944928806254E-2</v>
      </c>
      <c r="AC367" s="304">
        <f t="shared" si="188"/>
        <v>5.7362011034955314E-2</v>
      </c>
      <c r="AD367" s="304">
        <f t="shared" si="188"/>
        <v>6.0619297116847333E-2</v>
      </c>
      <c r="AE367" s="304">
        <f t="shared" si="188"/>
        <v>6.3906781876826357E-2</v>
      </c>
      <c r="AF367" s="304">
        <f t="shared" si="188"/>
        <v>6.7221391569152106E-2</v>
      </c>
      <c r="AG367" s="304">
        <f t="shared" si="188"/>
        <v>7.0559999999999984E-2</v>
      </c>
      <c r="AJ367" s="302"/>
    </row>
    <row r="368" spans="1:37" s="216" customFormat="1">
      <c r="A368" s="216" t="s">
        <v>721</v>
      </c>
      <c r="B368" s="301" t="s">
        <v>127</v>
      </c>
      <c r="C368" s="304">
        <f>C288*C286*C197</f>
        <v>4.0458599999999997E-2</v>
      </c>
      <c r="D368" s="304">
        <f t="shared" ref="D368:AG368" si="189">D288*D286*D197</f>
        <v>4.1664174168814197E-2</v>
      </c>
      <c r="E368" s="304">
        <f t="shared" si="189"/>
        <v>4.282556817501524E-2</v>
      </c>
      <c r="F368" s="304">
        <f t="shared" si="189"/>
        <v>4.3942812914084431E-2</v>
      </c>
      <c r="G368" s="304">
        <f t="shared" si="189"/>
        <v>4.501595415381919E-2</v>
      </c>
      <c r="H368" s="304">
        <f t="shared" si="189"/>
        <v>4.6045052534332997E-2</v>
      </c>
      <c r="I368" s="304">
        <f t="shared" si="189"/>
        <v>4.7030183568055488E-2</v>
      </c>
      <c r="J368" s="304">
        <f t="shared" si="189"/>
        <v>4.7971437639732321E-2</v>
      </c>
      <c r="K368" s="304">
        <f t="shared" si="189"/>
        <v>4.886892000642528E-2</v>
      </c>
      <c r="L368" s="304">
        <f t="shared" si="189"/>
        <v>4.9722750797512254E-2</v>
      </c>
      <c r="M368" s="304">
        <f t="shared" si="189"/>
        <v>5.0533065014687212E-2</v>
      </c>
      <c r="N368" s="304">
        <f t="shared" si="189"/>
        <v>5.2956247192521268E-2</v>
      </c>
      <c r="O368" s="304">
        <f t="shared" si="189"/>
        <v>5.5287824205624975E-2</v>
      </c>
      <c r="P368" s="304">
        <f t="shared" si="189"/>
        <v>5.7528037449953634E-2</v>
      </c>
      <c r="Q368" s="304">
        <f t="shared" si="189"/>
        <v>5.9677159667728727E-2</v>
      </c>
      <c r="R368" s="304">
        <f t="shared" si="189"/>
        <v>6.1735494947437956E-2</v>
      </c>
      <c r="S368" s="304">
        <f t="shared" si="189"/>
        <v>6.3703378723835274E-2</v>
      </c>
      <c r="T368" s="304">
        <f t="shared" si="189"/>
        <v>6.5581177777940883E-2</v>
      </c>
      <c r="U368" s="304">
        <f t="shared" si="189"/>
        <v>6.7369290237041135E-2</v>
      </c>
      <c r="V368" s="304">
        <f t="shared" si="189"/>
        <v>6.9068145574688711E-2</v>
      </c>
      <c r="W368" s="304">
        <f t="shared" si="189"/>
        <v>7.0678204610702441E-2</v>
      </c>
      <c r="X368" s="304">
        <f t="shared" si="189"/>
        <v>7.4013280945434551E-2</v>
      </c>
      <c r="Y368" s="304">
        <f t="shared" si="189"/>
        <v>7.7199578334737867E-2</v>
      </c>
      <c r="Z368" s="304">
        <f t="shared" si="189"/>
        <v>8.023788903268371E-2</v>
      </c>
      <c r="AA368" s="304">
        <f t="shared" si="189"/>
        <v>8.3129057741427773E-2</v>
      </c>
      <c r="AB368" s="304">
        <f t="shared" si="189"/>
        <v>8.5873981611210029E-2</v>
      </c>
      <c r="AC368" s="304">
        <f t="shared" si="189"/>
        <v>8.8473610240354911E-2</v>
      </c>
      <c r="AD368" s="304">
        <f t="shared" si="189"/>
        <v>9.0928945675271114E-2</v>
      </c>
      <c r="AE368" s="304">
        <f t="shared" si="189"/>
        <v>9.3241042410451724E-2</v>
      </c>
      <c r="AF368" s="304">
        <f t="shared" si="189"/>
        <v>9.5411007388474092E-2</v>
      </c>
      <c r="AG368" s="304">
        <f t="shared" si="189"/>
        <v>9.7440000000000013E-2</v>
      </c>
      <c r="AJ368" s="302"/>
    </row>
    <row r="369" spans="1:36" s="216" customFormat="1">
      <c r="B369" s="301"/>
      <c r="C369" s="296"/>
      <c r="D369" s="296"/>
      <c r="E369" s="296"/>
      <c r="F369" s="296"/>
      <c r="G369" s="296"/>
      <c r="H369" s="296"/>
      <c r="I369" s="296"/>
      <c r="J369" s="296"/>
      <c r="K369" s="296"/>
      <c r="L369" s="296"/>
      <c r="M369" s="296"/>
      <c r="N369" s="296"/>
      <c r="O369" s="296"/>
      <c r="P369" s="296"/>
      <c r="Q369" s="296"/>
      <c r="R369" s="296"/>
      <c r="S369" s="296"/>
      <c r="T369" s="296"/>
      <c r="U369" s="296"/>
      <c r="V369" s="296"/>
      <c r="W369" s="296"/>
      <c r="X369" s="296"/>
      <c r="Y369" s="296"/>
      <c r="Z369" s="296"/>
      <c r="AA369" s="296"/>
      <c r="AB369" s="296"/>
      <c r="AC369" s="296"/>
      <c r="AD369" s="296"/>
      <c r="AE369" s="296"/>
      <c r="AF369" s="296"/>
      <c r="AG369" s="296"/>
      <c r="AJ369" s="302"/>
    </row>
    <row r="370" spans="1:36" s="216" customFormat="1">
      <c r="A370" s="328" t="s">
        <v>723</v>
      </c>
      <c r="B370" s="329" t="s">
        <v>127</v>
      </c>
      <c r="C370" s="283">
        <f>C348-C361-C363</f>
        <v>153409.34283384384</v>
      </c>
      <c r="D370" s="330">
        <f t="shared" ref="D370:AG370" si="190">D348-D361-D363</f>
        <v>158231.25106851189</v>
      </c>
      <c r="E370" s="330">
        <f t="shared" si="190"/>
        <v>160783.88831587095</v>
      </c>
      <c r="F370" s="330">
        <f t="shared" si="190"/>
        <v>163364.30714434385</v>
      </c>
      <c r="G370" s="330">
        <f t="shared" si="190"/>
        <v>165953.08679947953</v>
      </c>
      <c r="H370" s="330">
        <f t="shared" si="190"/>
        <v>168543.67863038118</v>
      </c>
      <c r="I370" s="330">
        <f t="shared" si="190"/>
        <v>170045.28811448757</v>
      </c>
      <c r="J370" s="330">
        <f t="shared" si="190"/>
        <v>171541.90212321401</v>
      </c>
      <c r="K370" s="330">
        <f t="shared" si="190"/>
        <v>173025.40679376828</v>
      </c>
      <c r="L370" s="330">
        <f t="shared" si="190"/>
        <v>174479.81249923125</v>
      </c>
      <c r="M370" s="330">
        <f t="shared" si="190"/>
        <v>175875.51124365834</v>
      </c>
      <c r="N370" s="330">
        <f t="shared" si="190"/>
        <v>172556.82636331551</v>
      </c>
      <c r="O370" s="330">
        <f t="shared" si="190"/>
        <v>169319.3462654124</v>
      </c>
      <c r="P370" s="330">
        <f t="shared" si="190"/>
        <v>166115.13663582384</v>
      </c>
      <c r="Q370" s="330">
        <f t="shared" si="190"/>
        <v>162904.38104456034</v>
      </c>
      <c r="R370" s="330">
        <f t="shared" si="190"/>
        <v>159683.84103848186</v>
      </c>
      <c r="S370" s="330">
        <f t="shared" si="190"/>
        <v>156674.89195287271</v>
      </c>
      <c r="T370" s="330">
        <f t="shared" si="190"/>
        <v>153758.82648127715</v>
      </c>
      <c r="U370" s="330">
        <f t="shared" si="190"/>
        <v>151047.43035527307</v>
      </c>
      <c r="V370" s="330">
        <f t="shared" si="190"/>
        <v>148640.80413535432</v>
      </c>
      <c r="W370" s="330">
        <f t="shared" si="190"/>
        <v>146604.515995794</v>
      </c>
      <c r="X370" s="330">
        <f t="shared" si="190"/>
        <v>140607.07572954477</v>
      </c>
      <c r="Y370" s="330">
        <f t="shared" si="190"/>
        <v>135312.86781191573</v>
      </c>
      <c r="Z370" s="330">
        <f t="shared" si="190"/>
        <v>130704.16427323983</v>
      </c>
      <c r="AA370" s="330">
        <f t="shared" si="190"/>
        <v>126691.64849701143</v>
      </c>
      <c r="AB370" s="330">
        <f t="shared" si="190"/>
        <v>123200.02861111857</v>
      </c>
      <c r="AC370" s="330">
        <f t="shared" si="190"/>
        <v>120235.12051519597</v>
      </c>
      <c r="AD370" s="330">
        <f t="shared" si="190"/>
        <v>117667.93683931495</v>
      </c>
      <c r="AE370" s="330">
        <f t="shared" si="190"/>
        <v>115416.64138096559</v>
      </c>
      <c r="AF370" s="330">
        <f t="shared" si="190"/>
        <v>113426.93428936224</v>
      </c>
      <c r="AG370" s="331">
        <f t="shared" si="190"/>
        <v>111698.59736789938</v>
      </c>
      <c r="AI370" s="216" t="s">
        <v>755</v>
      </c>
      <c r="AJ370" s="302"/>
    </row>
    <row r="371" spans="1:36" s="216" customFormat="1">
      <c r="A371" s="332" t="s">
        <v>724</v>
      </c>
      <c r="B371" s="333" t="s">
        <v>127</v>
      </c>
      <c r="C371" s="334">
        <f>C349+C370</f>
        <v>818689.83056090306</v>
      </c>
      <c r="D371" s="334">
        <f t="shared" ref="D371:AG371" si="191">D349+D370</f>
        <v>818461.40044319991</v>
      </c>
      <c r="E371" s="334">
        <f t="shared" si="191"/>
        <v>814804.34187435219</v>
      </c>
      <c r="F371" s="334">
        <f t="shared" si="191"/>
        <v>811731.43614315195</v>
      </c>
      <c r="G371" s="334">
        <f t="shared" si="191"/>
        <v>808652.31963382172</v>
      </c>
      <c r="H371" s="334">
        <f t="shared" si="191"/>
        <v>805561.16346944426</v>
      </c>
      <c r="I371" s="334">
        <f t="shared" si="191"/>
        <v>798164.63611595309</v>
      </c>
      <c r="J371" s="334">
        <f t="shared" si="191"/>
        <v>790783.89917173702</v>
      </c>
      <c r="K371" s="334">
        <f t="shared" si="191"/>
        <v>783412.11491528212</v>
      </c>
      <c r="L371" s="334">
        <f t="shared" si="191"/>
        <v>776034.56014484703</v>
      </c>
      <c r="M371" s="334">
        <f t="shared" si="191"/>
        <v>768622.88357356458</v>
      </c>
      <c r="N371" s="334">
        <f t="shared" si="191"/>
        <v>753696.28325090185</v>
      </c>
      <c r="O371" s="334">
        <f t="shared" si="191"/>
        <v>738909.75250072277</v>
      </c>
      <c r="P371" s="334">
        <f t="shared" si="191"/>
        <v>724199.99937573134</v>
      </c>
      <c r="Q371" s="334">
        <f t="shared" si="191"/>
        <v>709545.93786653387</v>
      </c>
      <c r="R371" s="334">
        <f t="shared" si="191"/>
        <v>694946.03225434106</v>
      </c>
      <c r="S371" s="334">
        <f t="shared" si="191"/>
        <v>681365.31537128193</v>
      </c>
      <c r="T371" s="334">
        <f t="shared" si="191"/>
        <v>667935.74944443756</v>
      </c>
      <c r="U371" s="334">
        <f t="shared" si="191"/>
        <v>654770.64972663205</v>
      </c>
      <c r="V371" s="334">
        <f t="shared" si="191"/>
        <v>641971.63299740909</v>
      </c>
      <c r="W371" s="334">
        <f t="shared" si="191"/>
        <v>629605.77034672792</v>
      </c>
      <c r="X371" s="334">
        <f t="shared" si="191"/>
        <v>613280.85365493025</v>
      </c>
      <c r="Y371" s="334">
        <f t="shared" si="191"/>
        <v>597725.76963318477</v>
      </c>
      <c r="Z371" s="334">
        <f t="shared" si="191"/>
        <v>582864.57184744556</v>
      </c>
      <c r="AA371" s="334">
        <f t="shared" si="191"/>
        <v>568668.31986264559</v>
      </c>
      <c r="AB371" s="334">
        <f t="shared" si="191"/>
        <v>555063.21174856741</v>
      </c>
      <c r="AC371" s="334">
        <f t="shared" si="191"/>
        <v>541698.45234304504</v>
      </c>
      <c r="AD371" s="334">
        <f t="shared" si="191"/>
        <v>528809.69022554974</v>
      </c>
      <c r="AE371" s="334">
        <f t="shared" si="191"/>
        <v>516316.60152075521</v>
      </c>
      <c r="AF371" s="334">
        <f t="shared" si="191"/>
        <v>504166.38498830277</v>
      </c>
      <c r="AG371" s="335">
        <f t="shared" si="191"/>
        <v>492360.30731649412</v>
      </c>
      <c r="AI371" s="216" t="s">
        <v>756</v>
      </c>
      <c r="AJ371" s="302"/>
    </row>
    <row r="372" spans="1:36" s="216" customFormat="1">
      <c r="A372" s="408"/>
      <c r="B372" s="409"/>
      <c r="C372" s="408"/>
      <c r="D372" s="408"/>
      <c r="E372" s="408"/>
      <c r="F372" s="408"/>
      <c r="G372" s="408"/>
      <c r="H372" s="408"/>
      <c r="I372" s="408"/>
      <c r="J372" s="408"/>
      <c r="K372" s="408"/>
      <c r="L372" s="408"/>
      <c r="M372" s="408"/>
      <c r="N372" s="408"/>
      <c r="O372" s="408"/>
      <c r="P372" s="408"/>
      <c r="Q372" s="408"/>
      <c r="R372" s="408"/>
      <c r="S372" s="408"/>
      <c r="T372" s="408"/>
      <c r="U372" s="408"/>
      <c r="V372" s="408"/>
      <c r="W372" s="408"/>
      <c r="X372" s="408"/>
      <c r="Y372" s="408"/>
      <c r="Z372" s="408"/>
      <c r="AA372" s="408"/>
      <c r="AB372" s="408"/>
      <c r="AC372" s="408"/>
      <c r="AD372" s="408"/>
      <c r="AE372" s="408"/>
      <c r="AF372" s="408"/>
      <c r="AG372" s="408"/>
      <c r="AJ372" s="302"/>
    </row>
    <row r="373" spans="1:36">
      <c r="B373" s="123"/>
      <c r="C373" s="216"/>
      <c r="D373" s="216"/>
      <c r="E373" s="216"/>
      <c r="F373" s="216"/>
      <c r="G373" s="216"/>
      <c r="H373" s="216"/>
      <c r="I373" s="216"/>
      <c r="J373" s="216"/>
      <c r="K373" s="216"/>
      <c r="L373" s="216"/>
      <c r="M373" s="216"/>
      <c r="N373" s="216"/>
      <c r="O373" s="216"/>
      <c r="P373" s="216"/>
      <c r="Q373" s="216"/>
      <c r="R373" s="216"/>
      <c r="S373" s="216"/>
      <c r="T373" s="216"/>
      <c r="U373" s="216"/>
      <c r="V373" s="216"/>
      <c r="W373" s="216"/>
      <c r="X373" s="216"/>
      <c r="Y373" s="216"/>
      <c r="Z373" s="216"/>
      <c r="AA373" s="216"/>
      <c r="AB373" s="216"/>
      <c r="AC373" s="216"/>
      <c r="AD373" s="216"/>
      <c r="AE373" s="216"/>
      <c r="AF373" s="216"/>
      <c r="AG373" s="216"/>
      <c r="AI373" s="22"/>
    </row>
    <row r="374" spans="1:36">
      <c r="B374" s="123"/>
      <c r="C374" s="216"/>
      <c r="D374" s="216"/>
      <c r="E374" s="216"/>
      <c r="F374" s="216"/>
      <c r="G374" s="216"/>
      <c r="H374" s="216"/>
      <c r="I374" s="216"/>
      <c r="J374" s="216"/>
      <c r="K374" s="216"/>
      <c r="L374" s="216"/>
      <c r="M374" s="216"/>
      <c r="N374" s="216"/>
      <c r="O374" s="216"/>
      <c r="P374" s="216"/>
      <c r="Q374" s="216"/>
      <c r="R374" s="216"/>
      <c r="S374" s="216"/>
      <c r="T374" s="216"/>
      <c r="U374" s="216"/>
      <c r="V374" s="216"/>
      <c r="W374" s="216"/>
      <c r="X374" s="216"/>
      <c r="Y374" s="216"/>
      <c r="Z374" s="216"/>
      <c r="AA374" s="216"/>
      <c r="AB374" s="216"/>
      <c r="AC374" s="216"/>
      <c r="AD374" s="216"/>
      <c r="AE374" s="216"/>
      <c r="AF374" s="216"/>
      <c r="AG374" s="216"/>
      <c r="AI374" s="201"/>
    </row>
  </sheetData>
  <mergeCells count="5">
    <mergeCell ref="BD123:BE123"/>
    <mergeCell ref="BD128:BE128"/>
    <mergeCell ref="BD133:BE133"/>
    <mergeCell ref="BD141:BE141"/>
    <mergeCell ref="AI341:AI349"/>
  </mergeCells>
  <hyperlinks>
    <hyperlink ref="AJ127" r:id="rId1" xr:uid="{7FBDCFDD-D05A-482A-A7FB-F4F26CD108B1}"/>
    <hyperlink ref="AJ128" r:id="rId2" xr:uid="{4E1EC22E-FD22-43FB-A79D-E924FF4C75FF}"/>
  </hyperlinks>
  <pageMargins left="0.7" right="0.7" top="0.75" bottom="0.75" header="0.3" footer="0.3"/>
  <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E35C1-BD42-4AAF-A80B-283340664C69}">
  <sheetPr>
    <tabColor theme="4"/>
  </sheetPr>
  <dimension ref="A1:BL262"/>
  <sheetViews>
    <sheetView zoomScale="70" zoomScaleNormal="70" workbookViewId="0">
      <pane xSplit="2" ySplit="3" topLeftCell="AI146" activePane="bottomRight" state="frozen"/>
      <selection pane="topRight" activeCell="C1" sqref="C1"/>
      <selection pane="bottomLeft" activeCell="A4" sqref="A4"/>
      <selection pane="bottomRight" activeCell="AJ158" sqref="AJ158:AJ160"/>
    </sheetView>
  </sheetViews>
  <sheetFormatPr defaultRowHeight="14.75" outlineLevelRow="2" outlineLevelCol="1"/>
  <cols>
    <col min="1" max="1" width="84.26953125" customWidth="1"/>
    <col min="2" max="2" width="15.36328125" style="51" bestFit="1" customWidth="1"/>
    <col min="3" max="3" width="10.7265625" style="101" customWidth="1"/>
    <col min="4" max="12" width="8.81640625" style="101" hidden="1" customWidth="1" outlineLevel="1"/>
    <col min="13" max="13" width="10.36328125" style="101" customWidth="1" collapsed="1"/>
    <col min="14" max="22" width="8.81640625" style="101" hidden="1" customWidth="1" outlineLevel="1"/>
    <col min="23" max="23" width="10.36328125" style="101" bestFit="1" customWidth="1" collapsed="1"/>
    <col min="24" max="32" width="8.81640625" style="101" hidden="1" customWidth="1" outlineLevel="1"/>
    <col min="33" max="33" width="10.36328125" style="101" bestFit="1" customWidth="1" collapsed="1"/>
    <col min="35" max="35" width="52.81640625" bestFit="1" customWidth="1"/>
    <col min="36" max="36" width="30.36328125" style="3" customWidth="1"/>
    <col min="37" max="37" width="13.26953125" customWidth="1"/>
    <col min="38" max="38" width="20.36328125" bestFit="1" customWidth="1"/>
    <col min="41" max="41" width="17.81640625" customWidth="1"/>
    <col min="42" max="42" width="18.08984375" customWidth="1"/>
    <col min="44" max="44" width="10.36328125" customWidth="1"/>
    <col min="47" max="47" width="20.08984375" bestFit="1" customWidth="1"/>
    <col min="55" max="55" width="49" bestFit="1" customWidth="1"/>
    <col min="56" max="56" width="8.81640625" customWidth="1"/>
  </cols>
  <sheetData>
    <row r="1" spans="1:47">
      <c r="C1" s="113">
        <v>2020</v>
      </c>
      <c r="D1" s="113">
        <f>C1+1</f>
        <v>2021</v>
      </c>
      <c r="E1" s="113">
        <f t="shared" ref="E1:L1" si="0">D1+1</f>
        <v>2022</v>
      </c>
      <c r="F1" s="113">
        <f t="shared" si="0"/>
        <v>2023</v>
      </c>
      <c r="G1" s="113">
        <f t="shared" si="0"/>
        <v>2024</v>
      </c>
      <c r="H1" s="113">
        <f t="shared" si="0"/>
        <v>2025</v>
      </c>
      <c r="I1" s="113">
        <f t="shared" si="0"/>
        <v>2026</v>
      </c>
      <c r="J1" s="113">
        <f t="shared" si="0"/>
        <v>2027</v>
      </c>
      <c r="K1" s="113">
        <f t="shared" si="0"/>
        <v>2028</v>
      </c>
      <c r="L1" s="113">
        <f t="shared" si="0"/>
        <v>2029</v>
      </c>
      <c r="M1" s="113">
        <v>2030</v>
      </c>
      <c r="N1" s="113">
        <f>M1+1</f>
        <v>2031</v>
      </c>
      <c r="O1" s="113">
        <f t="shared" ref="O1:V1" si="1">N1+1</f>
        <v>2032</v>
      </c>
      <c r="P1" s="113">
        <f t="shared" si="1"/>
        <v>2033</v>
      </c>
      <c r="Q1" s="113">
        <f t="shared" si="1"/>
        <v>2034</v>
      </c>
      <c r="R1" s="113">
        <f t="shared" si="1"/>
        <v>2035</v>
      </c>
      <c r="S1" s="113">
        <f t="shared" si="1"/>
        <v>2036</v>
      </c>
      <c r="T1" s="113">
        <f t="shared" si="1"/>
        <v>2037</v>
      </c>
      <c r="U1" s="113">
        <f t="shared" si="1"/>
        <v>2038</v>
      </c>
      <c r="V1" s="113">
        <f t="shared" si="1"/>
        <v>2039</v>
      </c>
      <c r="W1" s="113">
        <v>2040</v>
      </c>
      <c r="X1" s="113">
        <f>W1+1</f>
        <v>2041</v>
      </c>
      <c r="Y1" s="113">
        <f t="shared" ref="Y1:AF1" si="2">X1+1</f>
        <v>2042</v>
      </c>
      <c r="Z1" s="113">
        <f t="shared" si="2"/>
        <v>2043</v>
      </c>
      <c r="AA1" s="113">
        <f t="shared" si="2"/>
        <v>2044</v>
      </c>
      <c r="AB1" s="113">
        <f t="shared" si="2"/>
        <v>2045</v>
      </c>
      <c r="AC1" s="113">
        <f t="shared" si="2"/>
        <v>2046</v>
      </c>
      <c r="AD1" s="113">
        <f t="shared" si="2"/>
        <v>2047</v>
      </c>
      <c r="AE1" s="113">
        <f t="shared" si="2"/>
        <v>2048</v>
      </c>
      <c r="AF1" s="113">
        <f t="shared" si="2"/>
        <v>2049</v>
      </c>
      <c r="AG1" s="113">
        <v>2050</v>
      </c>
      <c r="AI1" s="1" t="s">
        <v>67</v>
      </c>
      <c r="AJ1" s="151" t="s">
        <v>60</v>
      </c>
      <c r="AO1" s="1"/>
    </row>
    <row r="2" spans="1:47" ht="15.5" thickBot="1">
      <c r="A2" s="187" t="str">
        <f>'Ethylene Recycling HC'!A2</f>
        <v>Plastic waste generation</v>
      </c>
      <c r="B2" s="187" t="str">
        <f>'Ethylene Recycling HC'!B2</f>
        <v>mT</v>
      </c>
      <c r="C2" s="203">
        <f>'Ethylene Recycling HC'!C2</f>
        <v>5301378.929236711</v>
      </c>
      <c r="D2" s="203">
        <f>'Ethylene Recycling HC'!D2</f>
        <v>5301378.929236711</v>
      </c>
      <c r="E2" s="203">
        <f>'Ethylene Recycling HC'!E2</f>
        <v>5301378.929236711</v>
      </c>
      <c r="F2" s="203">
        <f>'Ethylene Recycling HC'!F2</f>
        <v>5301378.929236711</v>
      </c>
      <c r="G2" s="203">
        <f>'Ethylene Recycling HC'!G2</f>
        <v>5301378.929236711</v>
      </c>
      <c r="H2" s="203">
        <f>'Ethylene Recycling HC'!H2</f>
        <v>5301378.929236711</v>
      </c>
      <c r="I2" s="203">
        <f>'Ethylene Recycling HC'!I2</f>
        <v>5301378.929236711</v>
      </c>
      <c r="J2" s="203">
        <f>'Ethylene Recycling HC'!J2</f>
        <v>5301378.929236711</v>
      </c>
      <c r="K2" s="203">
        <f>'Ethylene Recycling HC'!K2</f>
        <v>5301378.929236711</v>
      </c>
      <c r="L2" s="203">
        <f>'Ethylene Recycling HC'!L2</f>
        <v>5301378.929236711</v>
      </c>
      <c r="M2" s="203">
        <f>'Ethylene Recycling HC'!M2</f>
        <v>5301378.929236711</v>
      </c>
      <c r="N2" s="203">
        <f>'Ethylene Recycling HC'!N2</f>
        <v>5301378.929236711</v>
      </c>
      <c r="O2" s="203">
        <f>'Ethylene Recycling HC'!O2</f>
        <v>5301378.929236711</v>
      </c>
      <c r="P2" s="203">
        <f>'Ethylene Recycling HC'!P2</f>
        <v>5301378.929236711</v>
      </c>
      <c r="Q2" s="203">
        <f>'Ethylene Recycling HC'!Q2</f>
        <v>5301378.929236711</v>
      </c>
      <c r="R2" s="203">
        <f>'Ethylene Recycling HC'!R2</f>
        <v>5301378.929236711</v>
      </c>
      <c r="S2" s="203">
        <f>'Ethylene Recycling HC'!S2</f>
        <v>5301378.929236711</v>
      </c>
      <c r="T2" s="203">
        <f>'Ethylene Recycling HC'!T2</f>
        <v>5301378.929236711</v>
      </c>
      <c r="U2" s="203">
        <f>'Ethylene Recycling HC'!U2</f>
        <v>5301378.929236711</v>
      </c>
      <c r="V2" s="203">
        <f>'Ethylene Recycling HC'!V2</f>
        <v>5301378.929236711</v>
      </c>
      <c r="W2" s="203">
        <f>'Ethylene Recycling HC'!W2</f>
        <v>5301378.929236711</v>
      </c>
      <c r="X2" s="203">
        <f>'Ethylene Recycling HC'!X2</f>
        <v>5301378.929236711</v>
      </c>
      <c r="Y2" s="203">
        <f>'Ethylene Recycling HC'!Y2</f>
        <v>5301378.929236711</v>
      </c>
      <c r="Z2" s="203">
        <f>'Ethylene Recycling HC'!Z2</f>
        <v>5301378.929236711</v>
      </c>
      <c r="AA2" s="203">
        <f>'Ethylene Recycling HC'!AA2</f>
        <v>5301378.929236711</v>
      </c>
      <c r="AB2" s="203">
        <f>'Ethylene Recycling HC'!AB2</f>
        <v>5301378.929236711</v>
      </c>
      <c r="AC2" s="203">
        <f>'Ethylene Recycling HC'!AC2</f>
        <v>5301378.929236711</v>
      </c>
      <c r="AD2" s="203">
        <f>'Ethylene Recycling HC'!AD2</f>
        <v>5301378.929236711</v>
      </c>
      <c r="AE2" s="203">
        <f>'Ethylene Recycling HC'!AE2</f>
        <v>5301378.929236711</v>
      </c>
      <c r="AF2" s="203">
        <f>'Ethylene Recycling HC'!AF2</f>
        <v>5301378.929236711</v>
      </c>
      <c r="AG2" s="203">
        <f>'Ethylene Recycling HC'!AG2</f>
        <v>5301378.929236711</v>
      </c>
      <c r="AH2" s="80"/>
      <c r="AI2" s="349">
        <f>(AG2/C2)^(1/30)-1</f>
        <v>0</v>
      </c>
      <c r="AJ2" s="199" t="s">
        <v>397</v>
      </c>
      <c r="AR2" s="1"/>
      <c r="AU2" s="22"/>
    </row>
    <row r="3" spans="1:47" ht="15.5" outlineLevel="1" thickTop="1">
      <c r="C3" s="105"/>
      <c r="D3" s="105"/>
      <c r="E3" s="105"/>
      <c r="F3" s="105"/>
      <c r="G3" s="105"/>
      <c r="H3" s="105"/>
      <c r="I3" s="105"/>
      <c r="J3" s="105"/>
      <c r="K3" s="105"/>
      <c r="L3" s="105"/>
      <c r="N3" s="105"/>
      <c r="O3" s="105"/>
      <c r="P3" s="105"/>
      <c r="Q3" s="105"/>
      <c r="R3" s="105"/>
      <c r="S3" s="105"/>
      <c r="T3" s="105"/>
      <c r="U3" s="105"/>
      <c r="V3" s="105"/>
      <c r="X3" s="105"/>
      <c r="Y3" s="105"/>
      <c r="Z3" s="105"/>
      <c r="AA3" s="105"/>
      <c r="AB3" s="105"/>
      <c r="AC3" s="105"/>
      <c r="AD3" s="105"/>
      <c r="AE3" s="105"/>
      <c r="AF3" s="105"/>
      <c r="AI3" s="52"/>
      <c r="AJ3" s="200"/>
    </row>
    <row r="4" spans="1:47" outlineLevel="1">
      <c r="A4" t="s">
        <v>401</v>
      </c>
      <c r="B4" s="51" t="s">
        <v>126</v>
      </c>
      <c r="C4" s="104">
        <f>'Waste gen. - Industry shares'!C18+'Waste gen. - Industry shares'!C22</f>
        <v>0.52761781690498222</v>
      </c>
      <c r="D4" s="22">
        <f>C4</f>
        <v>0.52761781690498222</v>
      </c>
      <c r="E4" s="22">
        <f t="shared" ref="E4:T8" si="3">D4</f>
        <v>0.52761781690498222</v>
      </c>
      <c r="F4" s="22">
        <f t="shared" si="3"/>
        <v>0.52761781690498222</v>
      </c>
      <c r="G4" s="22">
        <f t="shared" si="3"/>
        <v>0.52761781690498222</v>
      </c>
      <c r="H4" s="22">
        <f t="shared" si="3"/>
        <v>0.52761781690498222</v>
      </c>
      <c r="I4" s="22">
        <f t="shared" si="3"/>
        <v>0.52761781690498222</v>
      </c>
      <c r="J4" s="22">
        <f t="shared" si="3"/>
        <v>0.52761781690498222</v>
      </c>
      <c r="K4" s="22">
        <f t="shared" si="3"/>
        <v>0.52761781690498222</v>
      </c>
      <c r="L4" s="22">
        <f t="shared" si="3"/>
        <v>0.52761781690498222</v>
      </c>
      <c r="M4" s="22">
        <f t="shared" si="3"/>
        <v>0.52761781690498222</v>
      </c>
      <c r="N4" s="22">
        <f t="shared" si="3"/>
        <v>0.52761781690498222</v>
      </c>
      <c r="O4" s="22">
        <f t="shared" si="3"/>
        <v>0.52761781690498222</v>
      </c>
      <c r="P4" s="22">
        <f t="shared" si="3"/>
        <v>0.52761781690498222</v>
      </c>
      <c r="Q4" s="22">
        <f t="shared" si="3"/>
        <v>0.52761781690498222</v>
      </c>
      <c r="R4" s="22">
        <f t="shared" si="3"/>
        <v>0.52761781690498222</v>
      </c>
      <c r="S4" s="22">
        <f t="shared" si="3"/>
        <v>0.52761781690498222</v>
      </c>
      <c r="T4" s="22">
        <f t="shared" si="3"/>
        <v>0.52761781690498222</v>
      </c>
      <c r="U4" s="22">
        <f t="shared" ref="T4:AG8" si="4">T4</f>
        <v>0.52761781690498222</v>
      </c>
      <c r="V4" s="22">
        <f t="shared" si="4"/>
        <v>0.52761781690498222</v>
      </c>
      <c r="W4" s="22">
        <f t="shared" si="4"/>
        <v>0.52761781690498222</v>
      </c>
      <c r="X4" s="22">
        <f t="shared" si="4"/>
        <v>0.52761781690498222</v>
      </c>
      <c r="Y4" s="22">
        <f t="shared" si="4"/>
        <v>0.52761781690498222</v>
      </c>
      <c r="Z4" s="22">
        <f t="shared" si="4"/>
        <v>0.52761781690498222</v>
      </c>
      <c r="AA4" s="22">
        <f t="shared" si="4"/>
        <v>0.52761781690498222</v>
      </c>
      <c r="AB4" s="22">
        <f t="shared" si="4"/>
        <v>0.52761781690498222</v>
      </c>
      <c r="AC4" s="22">
        <f t="shared" si="4"/>
        <v>0.52761781690498222</v>
      </c>
      <c r="AD4" s="22">
        <f t="shared" si="4"/>
        <v>0.52761781690498222</v>
      </c>
      <c r="AE4" s="22">
        <f t="shared" si="4"/>
        <v>0.52761781690498222</v>
      </c>
      <c r="AF4" s="22">
        <f t="shared" si="4"/>
        <v>0.52761781690498222</v>
      </c>
      <c r="AG4" s="22">
        <f t="shared" si="4"/>
        <v>0.52761781690498222</v>
      </c>
      <c r="AI4" s="51" t="s">
        <v>268</v>
      </c>
      <c r="AJ4" s="198"/>
    </row>
    <row r="5" spans="1:47" outlineLevel="1">
      <c r="A5" t="s">
        <v>286</v>
      </c>
      <c r="B5" s="51" t="s">
        <v>126</v>
      </c>
      <c r="C5" s="104">
        <f>'Waste gen. - Industry shares'!C20</f>
        <v>4.980376521164729E-2</v>
      </c>
      <c r="D5" s="22">
        <f>C5</f>
        <v>4.980376521164729E-2</v>
      </c>
      <c r="E5" s="22">
        <f t="shared" si="3"/>
        <v>4.980376521164729E-2</v>
      </c>
      <c r="F5" s="22">
        <f t="shared" si="3"/>
        <v>4.980376521164729E-2</v>
      </c>
      <c r="G5" s="22">
        <f t="shared" si="3"/>
        <v>4.980376521164729E-2</v>
      </c>
      <c r="H5" s="22">
        <f t="shared" si="3"/>
        <v>4.980376521164729E-2</v>
      </c>
      <c r="I5" s="22">
        <f t="shared" si="3"/>
        <v>4.980376521164729E-2</v>
      </c>
      <c r="J5" s="22">
        <f t="shared" si="3"/>
        <v>4.980376521164729E-2</v>
      </c>
      <c r="K5" s="22">
        <f t="shared" si="3"/>
        <v>4.980376521164729E-2</v>
      </c>
      <c r="L5" s="22">
        <f t="shared" si="3"/>
        <v>4.980376521164729E-2</v>
      </c>
      <c r="M5" s="22">
        <f t="shared" si="3"/>
        <v>4.980376521164729E-2</v>
      </c>
      <c r="N5" s="22">
        <f t="shared" si="3"/>
        <v>4.980376521164729E-2</v>
      </c>
      <c r="O5" s="22">
        <f t="shared" si="3"/>
        <v>4.980376521164729E-2</v>
      </c>
      <c r="P5" s="22">
        <f t="shared" si="3"/>
        <v>4.980376521164729E-2</v>
      </c>
      <c r="Q5" s="22">
        <f t="shared" si="3"/>
        <v>4.980376521164729E-2</v>
      </c>
      <c r="R5" s="22">
        <f t="shared" si="3"/>
        <v>4.980376521164729E-2</v>
      </c>
      <c r="S5" s="22">
        <f t="shared" si="3"/>
        <v>4.980376521164729E-2</v>
      </c>
      <c r="T5" s="22">
        <f t="shared" si="4"/>
        <v>4.980376521164729E-2</v>
      </c>
      <c r="U5" s="22">
        <f t="shared" si="4"/>
        <v>4.980376521164729E-2</v>
      </c>
      <c r="V5" s="22">
        <f t="shared" si="4"/>
        <v>4.980376521164729E-2</v>
      </c>
      <c r="W5" s="22">
        <f t="shared" si="4"/>
        <v>4.980376521164729E-2</v>
      </c>
      <c r="X5" s="22">
        <f t="shared" si="4"/>
        <v>4.980376521164729E-2</v>
      </c>
      <c r="Y5" s="22">
        <f t="shared" si="4"/>
        <v>4.980376521164729E-2</v>
      </c>
      <c r="Z5" s="22">
        <f t="shared" si="4"/>
        <v>4.980376521164729E-2</v>
      </c>
      <c r="AA5" s="22">
        <f t="shared" si="4"/>
        <v>4.980376521164729E-2</v>
      </c>
      <c r="AB5" s="22">
        <f t="shared" si="4"/>
        <v>4.980376521164729E-2</v>
      </c>
      <c r="AC5" s="22">
        <f t="shared" si="4"/>
        <v>4.980376521164729E-2</v>
      </c>
      <c r="AD5" s="22">
        <f t="shared" si="4"/>
        <v>4.980376521164729E-2</v>
      </c>
      <c r="AE5" s="22">
        <f t="shared" si="4"/>
        <v>4.980376521164729E-2</v>
      </c>
      <c r="AF5" s="22">
        <f t="shared" si="4"/>
        <v>4.980376521164729E-2</v>
      </c>
      <c r="AG5" s="22">
        <f>AF5</f>
        <v>4.980376521164729E-2</v>
      </c>
      <c r="AI5" s="51" t="s">
        <v>268</v>
      </c>
      <c r="AJ5" s="198"/>
    </row>
    <row r="6" spans="1:47" outlineLevel="1">
      <c r="A6" t="s">
        <v>287</v>
      </c>
      <c r="B6" s="51" t="s">
        <v>126</v>
      </c>
      <c r="C6" s="104">
        <f>'Waste gen. - Industry shares'!C19</f>
        <v>3.9181884245312638E-2</v>
      </c>
      <c r="D6" s="22">
        <f t="shared" ref="D6:D7" si="5">C6</f>
        <v>3.9181884245312638E-2</v>
      </c>
      <c r="E6" s="22">
        <f t="shared" si="3"/>
        <v>3.9181884245312638E-2</v>
      </c>
      <c r="F6" s="22">
        <f t="shared" si="3"/>
        <v>3.9181884245312638E-2</v>
      </c>
      <c r="G6" s="22">
        <f t="shared" si="3"/>
        <v>3.9181884245312638E-2</v>
      </c>
      <c r="H6" s="22">
        <f t="shared" si="3"/>
        <v>3.9181884245312638E-2</v>
      </c>
      <c r="I6" s="22">
        <f t="shared" si="3"/>
        <v>3.9181884245312638E-2</v>
      </c>
      <c r="J6" s="22">
        <f t="shared" si="3"/>
        <v>3.9181884245312638E-2</v>
      </c>
      <c r="K6" s="22">
        <f t="shared" si="3"/>
        <v>3.9181884245312638E-2</v>
      </c>
      <c r="L6" s="22">
        <f t="shared" si="3"/>
        <v>3.9181884245312638E-2</v>
      </c>
      <c r="M6" s="22">
        <f t="shared" si="3"/>
        <v>3.9181884245312638E-2</v>
      </c>
      <c r="N6" s="22">
        <f t="shared" si="3"/>
        <v>3.9181884245312638E-2</v>
      </c>
      <c r="O6" s="22">
        <f t="shared" si="3"/>
        <v>3.9181884245312638E-2</v>
      </c>
      <c r="P6" s="22">
        <f t="shared" si="3"/>
        <v>3.9181884245312638E-2</v>
      </c>
      <c r="Q6" s="22">
        <f t="shared" si="3"/>
        <v>3.9181884245312638E-2</v>
      </c>
      <c r="R6" s="22">
        <f t="shared" si="3"/>
        <v>3.9181884245312638E-2</v>
      </c>
      <c r="S6" s="22">
        <f t="shared" si="3"/>
        <v>3.9181884245312638E-2</v>
      </c>
      <c r="T6" s="22">
        <f t="shared" si="3"/>
        <v>3.9181884245312638E-2</v>
      </c>
      <c r="U6" s="22">
        <f t="shared" si="4"/>
        <v>3.9181884245312638E-2</v>
      </c>
      <c r="V6" s="22">
        <f t="shared" si="4"/>
        <v>3.9181884245312638E-2</v>
      </c>
      <c r="W6" s="22">
        <f t="shared" si="4"/>
        <v>3.9181884245312638E-2</v>
      </c>
      <c r="X6" s="22">
        <f t="shared" si="4"/>
        <v>3.9181884245312638E-2</v>
      </c>
      <c r="Y6" s="22">
        <f t="shared" si="4"/>
        <v>3.9181884245312638E-2</v>
      </c>
      <c r="Z6" s="22">
        <f t="shared" si="4"/>
        <v>3.9181884245312638E-2</v>
      </c>
      <c r="AA6" s="22">
        <f t="shared" si="4"/>
        <v>3.9181884245312638E-2</v>
      </c>
      <c r="AB6" s="22">
        <f t="shared" si="4"/>
        <v>3.9181884245312638E-2</v>
      </c>
      <c r="AC6" s="22">
        <f t="shared" si="4"/>
        <v>3.9181884245312638E-2</v>
      </c>
      <c r="AD6" s="22">
        <f t="shared" si="4"/>
        <v>3.9181884245312638E-2</v>
      </c>
      <c r="AE6" s="22">
        <f t="shared" si="4"/>
        <v>3.9181884245312638E-2</v>
      </c>
      <c r="AF6" s="22">
        <f t="shared" si="4"/>
        <v>3.9181884245312638E-2</v>
      </c>
      <c r="AG6" s="22">
        <f t="shared" si="4"/>
        <v>3.9181884245312638E-2</v>
      </c>
      <c r="AI6" s="51" t="s">
        <v>268</v>
      </c>
      <c r="AJ6" s="198"/>
      <c r="AR6" s="22"/>
    </row>
    <row r="7" spans="1:47" outlineLevel="1">
      <c r="A7" t="s">
        <v>410</v>
      </c>
      <c r="B7" s="51" t="s">
        <v>126</v>
      </c>
      <c r="C7" s="104">
        <f>'Waste gen. - Industry shares'!C23</f>
        <v>0.1</v>
      </c>
      <c r="D7" s="22">
        <f t="shared" si="5"/>
        <v>0.1</v>
      </c>
      <c r="E7" s="22">
        <f t="shared" si="3"/>
        <v>0.1</v>
      </c>
      <c r="F7" s="22">
        <f t="shared" si="3"/>
        <v>0.1</v>
      </c>
      <c r="G7" s="22">
        <f t="shared" si="3"/>
        <v>0.1</v>
      </c>
      <c r="H7" s="22">
        <f t="shared" si="3"/>
        <v>0.1</v>
      </c>
      <c r="I7" s="22">
        <f t="shared" si="3"/>
        <v>0.1</v>
      </c>
      <c r="J7" s="22">
        <f t="shared" si="3"/>
        <v>0.1</v>
      </c>
      <c r="K7" s="22">
        <f t="shared" si="3"/>
        <v>0.1</v>
      </c>
      <c r="L7" s="22">
        <f t="shared" si="3"/>
        <v>0.1</v>
      </c>
      <c r="M7" s="22">
        <f>L7</f>
        <v>0.1</v>
      </c>
      <c r="N7" s="22">
        <f t="shared" si="3"/>
        <v>0.1</v>
      </c>
      <c r="O7" s="22">
        <f t="shared" si="3"/>
        <v>0.1</v>
      </c>
      <c r="P7" s="22">
        <f t="shared" si="3"/>
        <v>0.1</v>
      </c>
      <c r="Q7" s="22">
        <f t="shared" si="3"/>
        <v>0.1</v>
      </c>
      <c r="R7" s="22">
        <f t="shared" si="3"/>
        <v>0.1</v>
      </c>
      <c r="S7" s="22">
        <f t="shared" si="3"/>
        <v>0.1</v>
      </c>
      <c r="T7" s="22">
        <f t="shared" si="3"/>
        <v>0.1</v>
      </c>
      <c r="U7" s="22">
        <f t="shared" si="4"/>
        <v>0.1</v>
      </c>
      <c r="V7" s="22">
        <f t="shared" si="4"/>
        <v>0.1</v>
      </c>
      <c r="W7" s="22">
        <f t="shared" si="4"/>
        <v>0.1</v>
      </c>
      <c r="X7" s="22">
        <f t="shared" si="4"/>
        <v>0.1</v>
      </c>
      <c r="Y7" s="22">
        <f t="shared" si="4"/>
        <v>0.1</v>
      </c>
      <c r="Z7" s="22">
        <f t="shared" si="4"/>
        <v>0.1</v>
      </c>
      <c r="AA7" s="22">
        <f t="shared" si="4"/>
        <v>0.1</v>
      </c>
      <c r="AB7" s="22">
        <f t="shared" si="4"/>
        <v>0.1</v>
      </c>
      <c r="AC7" s="22">
        <f t="shared" si="4"/>
        <v>0.1</v>
      </c>
      <c r="AD7" s="22">
        <f t="shared" si="4"/>
        <v>0.1</v>
      </c>
      <c r="AE7" s="22">
        <f t="shared" si="4"/>
        <v>0.1</v>
      </c>
      <c r="AF7" s="22">
        <f t="shared" si="4"/>
        <v>0.1</v>
      </c>
      <c r="AG7" s="22">
        <f t="shared" si="4"/>
        <v>0.1</v>
      </c>
      <c r="AI7" s="51" t="s">
        <v>268</v>
      </c>
      <c r="AJ7" s="198"/>
    </row>
    <row r="8" spans="1:47" outlineLevel="1">
      <c r="A8" t="s">
        <v>402</v>
      </c>
      <c r="B8" s="51" t="s">
        <v>126</v>
      </c>
      <c r="C8" s="104">
        <f>'Waste gen. - Industry shares'!C24+'Waste gen. - Industry shares'!C21</f>
        <v>0.28429743453895867</v>
      </c>
      <c r="D8" s="119">
        <f>C8</f>
        <v>0.28429743453895867</v>
      </c>
      <c r="E8" s="119">
        <f t="shared" si="3"/>
        <v>0.28429743453895867</v>
      </c>
      <c r="F8" s="119">
        <f t="shared" si="3"/>
        <v>0.28429743453895867</v>
      </c>
      <c r="G8" s="119">
        <f t="shared" si="3"/>
        <v>0.28429743453895867</v>
      </c>
      <c r="H8" s="119">
        <f t="shared" si="3"/>
        <v>0.28429743453895867</v>
      </c>
      <c r="I8" s="119">
        <f t="shared" si="3"/>
        <v>0.28429743453895867</v>
      </c>
      <c r="J8" s="119">
        <f t="shared" si="3"/>
        <v>0.28429743453895867</v>
      </c>
      <c r="K8" s="119">
        <f t="shared" si="3"/>
        <v>0.28429743453895867</v>
      </c>
      <c r="L8" s="119">
        <f t="shared" si="3"/>
        <v>0.28429743453895867</v>
      </c>
      <c r="M8" s="121">
        <f t="shared" si="3"/>
        <v>0.28429743453895867</v>
      </c>
      <c r="N8" s="121">
        <f t="shared" si="3"/>
        <v>0.28429743453895867</v>
      </c>
      <c r="O8" s="121">
        <f t="shared" si="3"/>
        <v>0.28429743453895867</v>
      </c>
      <c r="P8" s="121">
        <f t="shared" si="3"/>
        <v>0.28429743453895867</v>
      </c>
      <c r="Q8" s="121">
        <f t="shared" si="3"/>
        <v>0.28429743453895867</v>
      </c>
      <c r="R8" s="121">
        <f t="shared" si="3"/>
        <v>0.28429743453895867</v>
      </c>
      <c r="S8" s="121">
        <f t="shared" si="3"/>
        <v>0.28429743453895867</v>
      </c>
      <c r="T8" s="121">
        <f t="shared" si="3"/>
        <v>0.28429743453895867</v>
      </c>
      <c r="U8" s="121">
        <f t="shared" si="4"/>
        <v>0.28429743453895867</v>
      </c>
      <c r="V8" s="121">
        <f t="shared" si="4"/>
        <v>0.28429743453895867</v>
      </c>
      <c r="W8" s="121">
        <f t="shared" si="4"/>
        <v>0.28429743453895867</v>
      </c>
      <c r="X8" s="121">
        <f t="shared" si="4"/>
        <v>0.28429743453895867</v>
      </c>
      <c r="Y8" s="121">
        <f t="shared" si="4"/>
        <v>0.28429743453895867</v>
      </c>
      <c r="Z8" s="121">
        <f t="shared" si="4"/>
        <v>0.28429743453895867</v>
      </c>
      <c r="AA8" s="121">
        <f t="shared" si="4"/>
        <v>0.28429743453895867</v>
      </c>
      <c r="AB8" s="121">
        <f t="shared" si="4"/>
        <v>0.28429743453895867</v>
      </c>
      <c r="AC8" s="121">
        <f t="shared" si="4"/>
        <v>0.28429743453895867</v>
      </c>
      <c r="AD8" s="121">
        <f t="shared" si="4"/>
        <v>0.28429743453895867</v>
      </c>
      <c r="AE8" s="121">
        <f t="shared" si="4"/>
        <v>0.28429743453895867</v>
      </c>
      <c r="AF8" s="121">
        <f t="shared" si="4"/>
        <v>0.28429743453895867</v>
      </c>
      <c r="AG8" s="121">
        <f t="shared" si="4"/>
        <v>0.28429743453895867</v>
      </c>
      <c r="AI8" s="51" t="s">
        <v>268</v>
      </c>
      <c r="AJ8" s="198"/>
    </row>
    <row r="9" spans="1:47" ht="15.5" outlineLevel="1" thickBot="1">
      <c r="A9" s="182" t="s">
        <v>433</v>
      </c>
      <c r="B9" s="183"/>
      <c r="C9" s="184">
        <f>SUM(C4:C8)</f>
        <v>1.0009009009009009</v>
      </c>
      <c r="D9" s="184">
        <f t="shared" ref="D9:AG9" si="6">SUM(D4:D8)</f>
        <v>1.0009009009009009</v>
      </c>
      <c r="E9" s="184">
        <f t="shared" si="6"/>
        <v>1.0009009009009009</v>
      </c>
      <c r="F9" s="184">
        <f t="shared" si="6"/>
        <v>1.0009009009009009</v>
      </c>
      <c r="G9" s="184">
        <f t="shared" si="6"/>
        <v>1.0009009009009009</v>
      </c>
      <c r="H9" s="184">
        <f t="shared" si="6"/>
        <v>1.0009009009009009</v>
      </c>
      <c r="I9" s="184">
        <f t="shared" si="6"/>
        <v>1.0009009009009009</v>
      </c>
      <c r="J9" s="184">
        <f t="shared" si="6"/>
        <v>1.0009009009009009</v>
      </c>
      <c r="K9" s="184">
        <f t="shared" si="6"/>
        <v>1.0009009009009009</v>
      </c>
      <c r="L9" s="184">
        <f t="shared" si="6"/>
        <v>1.0009009009009009</v>
      </c>
      <c r="M9" s="184">
        <f t="shared" si="6"/>
        <v>1.0009009009009009</v>
      </c>
      <c r="N9" s="184">
        <f t="shared" si="6"/>
        <v>1.0009009009009009</v>
      </c>
      <c r="O9" s="184">
        <f t="shared" si="6"/>
        <v>1.0009009009009009</v>
      </c>
      <c r="P9" s="184">
        <f t="shared" si="6"/>
        <v>1.0009009009009009</v>
      </c>
      <c r="Q9" s="184">
        <f t="shared" si="6"/>
        <v>1.0009009009009009</v>
      </c>
      <c r="R9" s="184">
        <f t="shared" si="6"/>
        <v>1.0009009009009009</v>
      </c>
      <c r="S9" s="184">
        <f t="shared" si="6"/>
        <v>1.0009009009009009</v>
      </c>
      <c r="T9" s="184">
        <f t="shared" si="6"/>
        <v>1.0009009009009009</v>
      </c>
      <c r="U9" s="184">
        <f t="shared" si="6"/>
        <v>1.0009009009009009</v>
      </c>
      <c r="V9" s="184">
        <f t="shared" si="6"/>
        <v>1.0009009009009009</v>
      </c>
      <c r="W9" s="184">
        <f t="shared" si="6"/>
        <v>1.0009009009009009</v>
      </c>
      <c r="X9" s="184">
        <f t="shared" si="6"/>
        <v>1.0009009009009009</v>
      </c>
      <c r="Y9" s="184">
        <f t="shared" si="6"/>
        <v>1.0009009009009009</v>
      </c>
      <c r="Z9" s="184">
        <f t="shared" si="6"/>
        <v>1.0009009009009009</v>
      </c>
      <c r="AA9" s="184">
        <f t="shared" si="6"/>
        <v>1.0009009009009009</v>
      </c>
      <c r="AB9" s="184">
        <f t="shared" si="6"/>
        <v>1.0009009009009009</v>
      </c>
      <c r="AC9" s="184">
        <f t="shared" si="6"/>
        <v>1.0009009009009009</v>
      </c>
      <c r="AD9" s="184">
        <f t="shared" si="6"/>
        <v>1.0009009009009009</v>
      </c>
      <c r="AE9" s="184">
        <f t="shared" si="6"/>
        <v>1.0009009009009009</v>
      </c>
      <c r="AF9" s="184">
        <f t="shared" si="6"/>
        <v>1.0009009009009009</v>
      </c>
      <c r="AG9" s="184">
        <f t="shared" si="6"/>
        <v>1.0009009009009009</v>
      </c>
      <c r="AM9" s="24"/>
      <c r="AN9" s="2"/>
      <c r="AO9" s="24"/>
      <c r="AR9" s="2"/>
    </row>
    <row r="10" spans="1:47" ht="15.5" outlineLevel="1" thickTop="1">
      <c r="AM10" s="24"/>
      <c r="AN10" s="2"/>
      <c r="AO10" s="24"/>
      <c r="AR10" s="2"/>
    </row>
    <row r="11" spans="1:47" outlineLevel="1">
      <c r="A11" t="s">
        <v>413</v>
      </c>
      <c r="B11" s="51" t="s">
        <v>296</v>
      </c>
      <c r="C11" s="101">
        <f t="shared" ref="C11:AG15" si="7">C$2*C4</f>
        <v>2797101.9772299458</v>
      </c>
      <c r="D11" s="101">
        <f t="shared" si="7"/>
        <v>2797101.9772299458</v>
      </c>
      <c r="E11" s="101">
        <f t="shared" si="7"/>
        <v>2797101.9772299458</v>
      </c>
      <c r="F11" s="101">
        <f t="shared" si="7"/>
        <v>2797101.9772299458</v>
      </c>
      <c r="G11" s="101">
        <f t="shared" si="7"/>
        <v>2797101.9772299458</v>
      </c>
      <c r="H11" s="101">
        <f t="shared" si="7"/>
        <v>2797101.9772299458</v>
      </c>
      <c r="I11" s="101">
        <f t="shared" si="7"/>
        <v>2797101.9772299458</v>
      </c>
      <c r="J11" s="101">
        <f t="shared" si="7"/>
        <v>2797101.9772299458</v>
      </c>
      <c r="K11" s="101">
        <f t="shared" si="7"/>
        <v>2797101.9772299458</v>
      </c>
      <c r="L11" s="101">
        <f t="shared" si="7"/>
        <v>2797101.9772299458</v>
      </c>
      <c r="M11" s="101">
        <f t="shared" si="7"/>
        <v>2797101.9772299458</v>
      </c>
      <c r="N11" s="101">
        <f t="shared" si="7"/>
        <v>2797101.9772299458</v>
      </c>
      <c r="O11" s="101">
        <f t="shared" si="7"/>
        <v>2797101.9772299458</v>
      </c>
      <c r="P11" s="101">
        <f t="shared" si="7"/>
        <v>2797101.9772299458</v>
      </c>
      <c r="Q11" s="101">
        <f t="shared" si="7"/>
        <v>2797101.9772299458</v>
      </c>
      <c r="R11" s="101">
        <f t="shared" si="7"/>
        <v>2797101.9772299458</v>
      </c>
      <c r="S11" s="101">
        <f t="shared" si="7"/>
        <v>2797101.9772299458</v>
      </c>
      <c r="T11" s="101">
        <f t="shared" si="7"/>
        <v>2797101.9772299458</v>
      </c>
      <c r="U11" s="101">
        <f t="shared" si="7"/>
        <v>2797101.9772299458</v>
      </c>
      <c r="V11" s="101">
        <f t="shared" si="7"/>
        <v>2797101.9772299458</v>
      </c>
      <c r="W11" s="101">
        <f t="shared" si="7"/>
        <v>2797101.9772299458</v>
      </c>
      <c r="X11" s="101">
        <f t="shared" si="7"/>
        <v>2797101.9772299458</v>
      </c>
      <c r="Y11" s="101">
        <f t="shared" si="7"/>
        <v>2797101.9772299458</v>
      </c>
      <c r="Z11" s="101">
        <f t="shared" si="7"/>
        <v>2797101.9772299458</v>
      </c>
      <c r="AA11" s="101">
        <f t="shared" si="7"/>
        <v>2797101.9772299458</v>
      </c>
      <c r="AB11" s="101">
        <f t="shared" si="7"/>
        <v>2797101.9772299458</v>
      </c>
      <c r="AC11" s="101">
        <f t="shared" si="7"/>
        <v>2797101.9772299458</v>
      </c>
      <c r="AD11" s="101">
        <f t="shared" si="7"/>
        <v>2797101.9772299458</v>
      </c>
      <c r="AE11" s="101">
        <f t="shared" si="7"/>
        <v>2797101.9772299458</v>
      </c>
      <c r="AF11" s="101">
        <f t="shared" si="7"/>
        <v>2797101.9772299458</v>
      </c>
      <c r="AG11" s="101">
        <f t="shared" si="7"/>
        <v>2797101.9772299458</v>
      </c>
      <c r="AM11" s="24"/>
      <c r="AN11" s="2"/>
      <c r="AO11" s="24"/>
      <c r="AR11" s="2"/>
    </row>
    <row r="12" spans="1:47" outlineLevel="1">
      <c r="A12" t="s">
        <v>269</v>
      </c>
      <c r="B12" s="51" t="s">
        <v>296</v>
      </c>
      <c r="C12" s="101">
        <f t="shared" si="7"/>
        <v>264028.63148967928</v>
      </c>
      <c r="D12" s="101">
        <f t="shared" si="7"/>
        <v>264028.63148967928</v>
      </c>
      <c r="E12" s="101">
        <f t="shared" si="7"/>
        <v>264028.63148967928</v>
      </c>
      <c r="F12" s="101">
        <f t="shared" si="7"/>
        <v>264028.63148967928</v>
      </c>
      <c r="G12" s="101">
        <f t="shared" si="7"/>
        <v>264028.63148967928</v>
      </c>
      <c r="H12" s="101">
        <f t="shared" si="7"/>
        <v>264028.63148967928</v>
      </c>
      <c r="I12" s="101">
        <f t="shared" si="7"/>
        <v>264028.63148967928</v>
      </c>
      <c r="J12" s="101">
        <f t="shared" si="7"/>
        <v>264028.63148967928</v>
      </c>
      <c r="K12" s="101">
        <f t="shared" si="7"/>
        <v>264028.63148967928</v>
      </c>
      <c r="L12" s="101">
        <f t="shared" si="7"/>
        <v>264028.63148967928</v>
      </c>
      <c r="M12" s="101">
        <f t="shared" si="7"/>
        <v>264028.63148967928</v>
      </c>
      <c r="N12" s="101">
        <f t="shared" si="7"/>
        <v>264028.63148967928</v>
      </c>
      <c r="O12" s="101">
        <f t="shared" si="7"/>
        <v>264028.63148967928</v>
      </c>
      <c r="P12" s="101">
        <f t="shared" si="7"/>
        <v>264028.63148967928</v>
      </c>
      <c r="Q12" s="101">
        <f t="shared" si="7"/>
        <v>264028.63148967928</v>
      </c>
      <c r="R12" s="101">
        <f t="shared" si="7"/>
        <v>264028.63148967928</v>
      </c>
      <c r="S12" s="101">
        <f t="shared" si="7"/>
        <v>264028.63148967928</v>
      </c>
      <c r="T12" s="101">
        <f t="shared" si="7"/>
        <v>264028.63148967928</v>
      </c>
      <c r="U12" s="101">
        <f t="shared" si="7"/>
        <v>264028.63148967928</v>
      </c>
      <c r="V12" s="101">
        <f t="shared" si="7"/>
        <v>264028.63148967928</v>
      </c>
      <c r="W12" s="101">
        <f t="shared" si="7"/>
        <v>264028.63148967928</v>
      </c>
      <c r="X12" s="101">
        <f t="shared" si="7"/>
        <v>264028.63148967928</v>
      </c>
      <c r="Y12" s="101">
        <f t="shared" si="7"/>
        <v>264028.63148967928</v>
      </c>
      <c r="Z12" s="101">
        <f t="shared" si="7"/>
        <v>264028.63148967928</v>
      </c>
      <c r="AA12" s="101">
        <f t="shared" si="7"/>
        <v>264028.63148967928</v>
      </c>
      <c r="AB12" s="101">
        <f t="shared" si="7"/>
        <v>264028.63148967928</v>
      </c>
      <c r="AC12" s="101">
        <f t="shared" si="7"/>
        <v>264028.63148967928</v>
      </c>
      <c r="AD12" s="101">
        <f t="shared" si="7"/>
        <v>264028.63148967928</v>
      </c>
      <c r="AE12" s="101">
        <f t="shared" si="7"/>
        <v>264028.63148967928</v>
      </c>
      <c r="AF12" s="101">
        <f t="shared" si="7"/>
        <v>264028.63148967928</v>
      </c>
      <c r="AG12" s="101">
        <f t="shared" si="7"/>
        <v>264028.63148967928</v>
      </c>
      <c r="AM12" s="24"/>
      <c r="AN12" s="2"/>
      <c r="AO12" s="24"/>
      <c r="AR12" s="2"/>
    </row>
    <row r="13" spans="1:47" outlineLevel="1">
      <c r="A13" t="s">
        <v>270</v>
      </c>
      <c r="B13" s="51" t="s">
        <v>296</v>
      </c>
      <c r="C13" s="101">
        <f t="shared" si="7"/>
        <v>207718.01554589227</v>
      </c>
      <c r="D13" s="101">
        <f t="shared" si="7"/>
        <v>207718.01554589227</v>
      </c>
      <c r="E13" s="101">
        <f t="shared" si="7"/>
        <v>207718.01554589227</v>
      </c>
      <c r="F13" s="101">
        <f t="shared" si="7"/>
        <v>207718.01554589227</v>
      </c>
      <c r="G13" s="101">
        <f t="shared" si="7"/>
        <v>207718.01554589227</v>
      </c>
      <c r="H13" s="101">
        <f t="shared" si="7"/>
        <v>207718.01554589227</v>
      </c>
      <c r="I13" s="101">
        <f t="shared" si="7"/>
        <v>207718.01554589227</v>
      </c>
      <c r="J13" s="101">
        <f t="shared" si="7"/>
        <v>207718.01554589227</v>
      </c>
      <c r="K13" s="101">
        <f t="shared" si="7"/>
        <v>207718.01554589227</v>
      </c>
      <c r="L13" s="101">
        <f t="shared" si="7"/>
        <v>207718.01554589227</v>
      </c>
      <c r="M13" s="101">
        <f t="shared" si="7"/>
        <v>207718.01554589227</v>
      </c>
      <c r="N13" s="101">
        <f t="shared" si="7"/>
        <v>207718.01554589227</v>
      </c>
      <c r="O13" s="101">
        <f t="shared" si="7"/>
        <v>207718.01554589227</v>
      </c>
      <c r="P13" s="101">
        <f t="shared" si="7"/>
        <v>207718.01554589227</v>
      </c>
      <c r="Q13" s="101">
        <f t="shared" si="7"/>
        <v>207718.01554589227</v>
      </c>
      <c r="R13" s="101">
        <f t="shared" si="7"/>
        <v>207718.01554589227</v>
      </c>
      <c r="S13" s="101">
        <f t="shared" si="7"/>
        <v>207718.01554589227</v>
      </c>
      <c r="T13" s="101">
        <f t="shared" si="7"/>
        <v>207718.01554589227</v>
      </c>
      <c r="U13" s="101">
        <f t="shared" si="7"/>
        <v>207718.01554589227</v>
      </c>
      <c r="V13" s="101">
        <f t="shared" si="7"/>
        <v>207718.01554589227</v>
      </c>
      <c r="W13" s="101">
        <f t="shared" si="7"/>
        <v>207718.01554589227</v>
      </c>
      <c r="X13" s="101">
        <f t="shared" si="7"/>
        <v>207718.01554589227</v>
      </c>
      <c r="Y13" s="101">
        <f t="shared" si="7"/>
        <v>207718.01554589227</v>
      </c>
      <c r="Z13" s="101">
        <f t="shared" si="7"/>
        <v>207718.01554589227</v>
      </c>
      <c r="AA13" s="101">
        <f t="shared" si="7"/>
        <v>207718.01554589227</v>
      </c>
      <c r="AB13" s="101">
        <f t="shared" si="7"/>
        <v>207718.01554589227</v>
      </c>
      <c r="AC13" s="101">
        <f t="shared" si="7"/>
        <v>207718.01554589227</v>
      </c>
      <c r="AD13" s="101">
        <f t="shared" si="7"/>
        <v>207718.01554589227</v>
      </c>
      <c r="AE13" s="101">
        <f t="shared" si="7"/>
        <v>207718.01554589227</v>
      </c>
      <c r="AF13" s="101">
        <f t="shared" si="7"/>
        <v>207718.01554589227</v>
      </c>
      <c r="AG13" s="101">
        <f t="shared" si="7"/>
        <v>207718.01554589227</v>
      </c>
      <c r="AM13" s="24"/>
      <c r="AN13" s="2"/>
      <c r="AO13" s="24"/>
      <c r="AR13" s="2"/>
    </row>
    <row r="14" spans="1:47" outlineLevel="1">
      <c r="A14" t="s">
        <v>411</v>
      </c>
      <c r="B14" s="51" t="s">
        <v>296</v>
      </c>
      <c r="C14" s="101">
        <f t="shared" si="7"/>
        <v>530137.89292367117</v>
      </c>
      <c r="D14" s="101">
        <f t="shared" si="7"/>
        <v>530137.89292367117</v>
      </c>
      <c r="E14" s="101">
        <f t="shared" si="7"/>
        <v>530137.89292367117</v>
      </c>
      <c r="F14" s="101">
        <f t="shared" si="7"/>
        <v>530137.89292367117</v>
      </c>
      <c r="G14" s="101">
        <f t="shared" si="7"/>
        <v>530137.89292367117</v>
      </c>
      <c r="H14" s="101">
        <f t="shared" si="7"/>
        <v>530137.89292367117</v>
      </c>
      <c r="I14" s="101">
        <f t="shared" si="7"/>
        <v>530137.89292367117</v>
      </c>
      <c r="J14" s="101">
        <f t="shared" si="7"/>
        <v>530137.89292367117</v>
      </c>
      <c r="K14" s="101">
        <f t="shared" si="7"/>
        <v>530137.89292367117</v>
      </c>
      <c r="L14" s="101">
        <f t="shared" si="7"/>
        <v>530137.89292367117</v>
      </c>
      <c r="M14" s="101">
        <f t="shared" si="7"/>
        <v>530137.89292367117</v>
      </c>
      <c r="N14" s="101">
        <f t="shared" si="7"/>
        <v>530137.89292367117</v>
      </c>
      <c r="O14" s="101">
        <f t="shared" si="7"/>
        <v>530137.89292367117</v>
      </c>
      <c r="P14" s="101">
        <f t="shared" si="7"/>
        <v>530137.89292367117</v>
      </c>
      <c r="Q14" s="101">
        <f t="shared" si="7"/>
        <v>530137.89292367117</v>
      </c>
      <c r="R14" s="101">
        <f t="shared" si="7"/>
        <v>530137.89292367117</v>
      </c>
      <c r="S14" s="101">
        <f t="shared" si="7"/>
        <v>530137.89292367117</v>
      </c>
      <c r="T14" s="101">
        <f t="shared" si="7"/>
        <v>530137.89292367117</v>
      </c>
      <c r="U14" s="101">
        <f t="shared" si="7"/>
        <v>530137.89292367117</v>
      </c>
      <c r="V14" s="101">
        <f t="shared" si="7"/>
        <v>530137.89292367117</v>
      </c>
      <c r="W14" s="101">
        <f t="shared" si="7"/>
        <v>530137.89292367117</v>
      </c>
      <c r="X14" s="101">
        <f t="shared" si="7"/>
        <v>530137.89292367117</v>
      </c>
      <c r="Y14" s="101">
        <f t="shared" si="7"/>
        <v>530137.89292367117</v>
      </c>
      <c r="Z14" s="101">
        <f t="shared" si="7"/>
        <v>530137.89292367117</v>
      </c>
      <c r="AA14" s="101">
        <f t="shared" si="7"/>
        <v>530137.89292367117</v>
      </c>
      <c r="AB14" s="101">
        <f t="shared" si="7"/>
        <v>530137.89292367117</v>
      </c>
      <c r="AC14" s="101">
        <f t="shared" si="7"/>
        <v>530137.89292367117</v>
      </c>
      <c r="AD14" s="101">
        <f t="shared" si="7"/>
        <v>530137.89292367117</v>
      </c>
      <c r="AE14" s="101">
        <f t="shared" si="7"/>
        <v>530137.89292367117</v>
      </c>
      <c r="AF14" s="101">
        <f t="shared" si="7"/>
        <v>530137.89292367117</v>
      </c>
      <c r="AG14" s="101">
        <f t="shared" si="7"/>
        <v>530137.89292367117</v>
      </c>
      <c r="AM14" s="24"/>
      <c r="AN14" s="2"/>
      <c r="AO14" s="24"/>
      <c r="AR14" s="2"/>
    </row>
    <row r="15" spans="1:47" outlineLevel="1">
      <c r="A15" t="s">
        <v>271</v>
      </c>
      <c r="B15" s="51" t="s">
        <v>296</v>
      </c>
      <c r="C15" s="122">
        <f t="shared" si="7"/>
        <v>1507168.4291008885</v>
      </c>
      <c r="D15" s="122">
        <f t="shared" si="7"/>
        <v>1507168.4291008885</v>
      </c>
      <c r="E15" s="122">
        <f t="shared" si="7"/>
        <v>1507168.4291008885</v>
      </c>
      <c r="F15" s="122">
        <f t="shared" si="7"/>
        <v>1507168.4291008885</v>
      </c>
      <c r="G15" s="122">
        <f t="shared" si="7"/>
        <v>1507168.4291008885</v>
      </c>
      <c r="H15" s="122">
        <f t="shared" si="7"/>
        <v>1507168.4291008885</v>
      </c>
      <c r="I15" s="122">
        <f t="shared" si="7"/>
        <v>1507168.4291008885</v>
      </c>
      <c r="J15" s="122">
        <f t="shared" si="7"/>
        <v>1507168.4291008885</v>
      </c>
      <c r="K15" s="122">
        <f t="shared" si="7"/>
        <v>1507168.4291008885</v>
      </c>
      <c r="L15" s="122">
        <f t="shared" si="7"/>
        <v>1507168.4291008885</v>
      </c>
      <c r="M15" s="122">
        <f t="shared" si="7"/>
        <v>1507168.4291008885</v>
      </c>
      <c r="N15" s="122">
        <f t="shared" si="7"/>
        <v>1507168.4291008885</v>
      </c>
      <c r="O15" s="122">
        <f t="shared" si="7"/>
        <v>1507168.4291008885</v>
      </c>
      <c r="P15" s="122">
        <f t="shared" si="7"/>
        <v>1507168.4291008885</v>
      </c>
      <c r="Q15" s="122">
        <f t="shared" si="7"/>
        <v>1507168.4291008885</v>
      </c>
      <c r="R15" s="122">
        <f t="shared" si="7"/>
        <v>1507168.4291008885</v>
      </c>
      <c r="S15" s="122">
        <f t="shared" si="7"/>
        <v>1507168.4291008885</v>
      </c>
      <c r="T15" s="122">
        <f t="shared" si="7"/>
        <v>1507168.4291008885</v>
      </c>
      <c r="U15" s="122">
        <f t="shared" si="7"/>
        <v>1507168.4291008885</v>
      </c>
      <c r="V15" s="122">
        <f t="shared" si="7"/>
        <v>1507168.4291008885</v>
      </c>
      <c r="W15" s="122">
        <f t="shared" si="7"/>
        <v>1507168.4291008885</v>
      </c>
      <c r="X15" s="122">
        <f t="shared" si="7"/>
        <v>1507168.4291008885</v>
      </c>
      <c r="Y15" s="122">
        <f t="shared" si="7"/>
        <v>1507168.4291008885</v>
      </c>
      <c r="Z15" s="122">
        <f t="shared" si="7"/>
        <v>1507168.4291008885</v>
      </c>
      <c r="AA15" s="122">
        <f t="shared" si="7"/>
        <v>1507168.4291008885</v>
      </c>
      <c r="AB15" s="122">
        <f t="shared" si="7"/>
        <v>1507168.4291008885</v>
      </c>
      <c r="AC15" s="122">
        <f t="shared" si="7"/>
        <v>1507168.4291008885</v>
      </c>
      <c r="AD15" s="122">
        <f t="shared" si="7"/>
        <v>1507168.4291008885</v>
      </c>
      <c r="AE15" s="122">
        <f t="shared" si="7"/>
        <v>1507168.4291008885</v>
      </c>
      <c r="AF15" s="122">
        <f t="shared" si="7"/>
        <v>1507168.4291008885</v>
      </c>
      <c r="AG15" s="122">
        <f t="shared" si="7"/>
        <v>1507168.4291008885</v>
      </c>
    </row>
    <row r="16" spans="1:47" ht="15.5" outlineLevel="1" thickBot="1">
      <c r="A16" s="187" t="s">
        <v>432</v>
      </c>
      <c r="B16" s="185"/>
      <c r="C16" s="186">
        <f t="shared" ref="C16:AG16" si="8">SUM(C11:C15)</f>
        <v>5306154.9462900767</v>
      </c>
      <c r="D16" s="186">
        <f t="shared" si="8"/>
        <v>5306154.9462900767</v>
      </c>
      <c r="E16" s="186">
        <f t="shared" si="8"/>
        <v>5306154.9462900767</v>
      </c>
      <c r="F16" s="186">
        <f t="shared" si="8"/>
        <v>5306154.9462900767</v>
      </c>
      <c r="G16" s="186">
        <f t="shared" si="8"/>
        <v>5306154.9462900767</v>
      </c>
      <c r="H16" s="186">
        <f t="shared" si="8"/>
        <v>5306154.9462900767</v>
      </c>
      <c r="I16" s="186">
        <f t="shared" si="8"/>
        <v>5306154.9462900767</v>
      </c>
      <c r="J16" s="186">
        <f t="shared" si="8"/>
        <v>5306154.9462900767</v>
      </c>
      <c r="K16" s="186">
        <f t="shared" si="8"/>
        <v>5306154.9462900767</v>
      </c>
      <c r="L16" s="186">
        <f t="shared" si="8"/>
        <v>5306154.9462900767</v>
      </c>
      <c r="M16" s="186">
        <f t="shared" si="8"/>
        <v>5306154.9462900767</v>
      </c>
      <c r="N16" s="186">
        <f t="shared" si="8"/>
        <v>5306154.9462900767</v>
      </c>
      <c r="O16" s="186">
        <f t="shared" si="8"/>
        <v>5306154.9462900767</v>
      </c>
      <c r="P16" s="186">
        <f t="shared" si="8"/>
        <v>5306154.9462900767</v>
      </c>
      <c r="Q16" s="186">
        <f t="shared" si="8"/>
        <v>5306154.9462900767</v>
      </c>
      <c r="R16" s="186">
        <f t="shared" si="8"/>
        <v>5306154.9462900767</v>
      </c>
      <c r="S16" s="186">
        <f t="shared" si="8"/>
        <v>5306154.9462900767</v>
      </c>
      <c r="T16" s="186">
        <f t="shared" si="8"/>
        <v>5306154.9462900767</v>
      </c>
      <c r="U16" s="186">
        <f t="shared" si="8"/>
        <v>5306154.9462900767</v>
      </c>
      <c r="V16" s="186">
        <f t="shared" si="8"/>
        <v>5306154.9462900767</v>
      </c>
      <c r="W16" s="186">
        <f t="shared" si="8"/>
        <v>5306154.9462900767</v>
      </c>
      <c r="X16" s="186">
        <f t="shared" si="8"/>
        <v>5306154.9462900767</v>
      </c>
      <c r="Y16" s="186">
        <f t="shared" si="8"/>
        <v>5306154.9462900767</v>
      </c>
      <c r="Z16" s="186">
        <f t="shared" si="8"/>
        <v>5306154.9462900767</v>
      </c>
      <c r="AA16" s="186">
        <f t="shared" si="8"/>
        <v>5306154.9462900767</v>
      </c>
      <c r="AB16" s="186">
        <f t="shared" si="8"/>
        <v>5306154.9462900767</v>
      </c>
      <c r="AC16" s="186">
        <f t="shared" si="8"/>
        <v>5306154.9462900767</v>
      </c>
      <c r="AD16" s="186">
        <f t="shared" si="8"/>
        <v>5306154.9462900767</v>
      </c>
      <c r="AE16" s="186">
        <f t="shared" si="8"/>
        <v>5306154.9462900767</v>
      </c>
      <c r="AF16" s="186">
        <f t="shared" si="8"/>
        <v>5306154.9462900767</v>
      </c>
      <c r="AG16" s="186">
        <f t="shared" si="8"/>
        <v>5306154.9462900767</v>
      </c>
    </row>
    <row r="17" spans="1:64" ht="15.5" outlineLevel="1" thickTop="1">
      <c r="AL17" s="108"/>
      <c r="AM17" s="109"/>
      <c r="AN17" s="109"/>
      <c r="AO17" s="109"/>
      <c r="AP17" s="109"/>
      <c r="AQ17" s="109"/>
    </row>
    <row r="18" spans="1:64" outlineLevel="1">
      <c r="A18" t="s">
        <v>1461</v>
      </c>
      <c r="B18" s="51" t="s">
        <v>126</v>
      </c>
      <c r="C18" s="148">
        <f>'Overall recycling rates'!I76</f>
        <v>1.0591457513628045E-3</v>
      </c>
      <c r="D18" s="148">
        <f>C18</f>
        <v>1.0591457513628045E-3</v>
      </c>
      <c r="E18" s="148">
        <f t="shared" ref="E18:T18" si="9">D18</f>
        <v>1.0591457513628045E-3</v>
      </c>
      <c r="F18" s="148">
        <f t="shared" si="9"/>
        <v>1.0591457513628045E-3</v>
      </c>
      <c r="G18" s="148">
        <f t="shared" si="9"/>
        <v>1.0591457513628045E-3</v>
      </c>
      <c r="H18" s="148">
        <f t="shared" si="9"/>
        <v>1.0591457513628045E-3</v>
      </c>
      <c r="I18" s="148">
        <f t="shared" si="9"/>
        <v>1.0591457513628045E-3</v>
      </c>
      <c r="J18" s="148">
        <f t="shared" si="9"/>
        <v>1.0591457513628045E-3</v>
      </c>
      <c r="K18" s="148">
        <f t="shared" si="9"/>
        <v>1.0591457513628045E-3</v>
      </c>
      <c r="L18" s="148">
        <f t="shared" si="9"/>
        <v>1.0591457513628045E-3</v>
      </c>
      <c r="M18" s="148">
        <f t="shared" si="9"/>
        <v>1.0591457513628045E-3</v>
      </c>
      <c r="N18" s="148">
        <f t="shared" si="9"/>
        <v>1.0591457513628045E-3</v>
      </c>
      <c r="O18" s="148">
        <f t="shared" si="9"/>
        <v>1.0591457513628045E-3</v>
      </c>
      <c r="P18" s="148">
        <f t="shared" si="9"/>
        <v>1.0591457513628045E-3</v>
      </c>
      <c r="Q18" s="148">
        <f t="shared" si="9"/>
        <v>1.0591457513628045E-3</v>
      </c>
      <c r="R18" s="148">
        <f t="shared" si="9"/>
        <v>1.0591457513628045E-3</v>
      </c>
      <c r="S18" s="148">
        <f t="shared" si="9"/>
        <v>1.0591457513628045E-3</v>
      </c>
      <c r="T18" s="148">
        <f t="shared" si="9"/>
        <v>1.0591457513628045E-3</v>
      </c>
      <c r="U18" s="148">
        <f t="shared" ref="T18:AG22" si="10">T18</f>
        <v>1.0591457513628045E-3</v>
      </c>
      <c r="V18" s="148">
        <f t="shared" si="10"/>
        <v>1.0591457513628045E-3</v>
      </c>
      <c r="W18" s="148">
        <f t="shared" si="10"/>
        <v>1.0591457513628045E-3</v>
      </c>
      <c r="X18" s="148">
        <f t="shared" si="10"/>
        <v>1.0591457513628045E-3</v>
      </c>
      <c r="Y18" s="148">
        <f t="shared" si="10"/>
        <v>1.0591457513628045E-3</v>
      </c>
      <c r="Z18" s="148">
        <f t="shared" si="10"/>
        <v>1.0591457513628045E-3</v>
      </c>
      <c r="AA18" s="148">
        <f t="shared" si="10"/>
        <v>1.0591457513628045E-3</v>
      </c>
      <c r="AB18" s="148">
        <f t="shared" si="10"/>
        <v>1.0591457513628045E-3</v>
      </c>
      <c r="AC18" s="148">
        <f t="shared" si="10"/>
        <v>1.0591457513628045E-3</v>
      </c>
      <c r="AD18" s="148">
        <f t="shared" si="10"/>
        <v>1.0591457513628045E-3</v>
      </c>
      <c r="AE18" s="148">
        <f t="shared" si="10"/>
        <v>1.0591457513628045E-3</v>
      </c>
      <c r="AF18" s="148">
        <f t="shared" si="10"/>
        <v>1.0591457513628045E-3</v>
      </c>
      <c r="AG18" s="148">
        <f>AF18</f>
        <v>1.0591457513628045E-3</v>
      </c>
      <c r="AI18" s="51" t="s">
        <v>268</v>
      </c>
      <c r="AJ18" s="198"/>
      <c r="AM18" s="109"/>
      <c r="AN18" s="109"/>
      <c r="AO18" s="109"/>
      <c r="AP18" s="109"/>
      <c r="AQ18" s="109"/>
    </row>
    <row r="19" spans="1:64" outlineLevel="1">
      <c r="A19" t="s">
        <v>1462</v>
      </c>
      <c r="B19" s="51" t="s">
        <v>126</v>
      </c>
      <c r="C19" s="148">
        <f>'Overall recycling rates'!I78</f>
        <v>0.2200720488751168</v>
      </c>
      <c r="D19" s="148">
        <f t="shared" ref="D19:S22" si="11">C19</f>
        <v>0.2200720488751168</v>
      </c>
      <c r="E19" s="148">
        <f t="shared" si="11"/>
        <v>0.2200720488751168</v>
      </c>
      <c r="F19" s="148">
        <f t="shared" si="11"/>
        <v>0.2200720488751168</v>
      </c>
      <c r="G19" s="148">
        <f t="shared" si="11"/>
        <v>0.2200720488751168</v>
      </c>
      <c r="H19" s="148">
        <f t="shared" si="11"/>
        <v>0.2200720488751168</v>
      </c>
      <c r="I19" s="148">
        <f t="shared" si="11"/>
        <v>0.2200720488751168</v>
      </c>
      <c r="J19" s="148">
        <f t="shared" si="11"/>
        <v>0.2200720488751168</v>
      </c>
      <c r="K19" s="148">
        <f t="shared" si="11"/>
        <v>0.2200720488751168</v>
      </c>
      <c r="L19" s="148">
        <f t="shared" si="11"/>
        <v>0.2200720488751168</v>
      </c>
      <c r="M19" s="148">
        <f t="shared" si="11"/>
        <v>0.2200720488751168</v>
      </c>
      <c r="N19" s="148">
        <f t="shared" si="11"/>
        <v>0.2200720488751168</v>
      </c>
      <c r="O19" s="148">
        <f t="shared" si="11"/>
        <v>0.2200720488751168</v>
      </c>
      <c r="P19" s="148">
        <f t="shared" si="11"/>
        <v>0.2200720488751168</v>
      </c>
      <c r="Q19" s="148">
        <f t="shared" si="11"/>
        <v>0.2200720488751168</v>
      </c>
      <c r="R19" s="148">
        <f t="shared" si="11"/>
        <v>0.2200720488751168</v>
      </c>
      <c r="S19" s="148">
        <f t="shared" si="11"/>
        <v>0.2200720488751168</v>
      </c>
      <c r="T19" s="148">
        <f t="shared" si="10"/>
        <v>0.2200720488751168</v>
      </c>
      <c r="U19" s="148">
        <f t="shared" si="10"/>
        <v>0.2200720488751168</v>
      </c>
      <c r="V19" s="148">
        <f t="shared" si="10"/>
        <v>0.2200720488751168</v>
      </c>
      <c r="W19" s="148">
        <f t="shared" si="10"/>
        <v>0.2200720488751168</v>
      </c>
      <c r="X19" s="148">
        <f t="shared" si="10"/>
        <v>0.2200720488751168</v>
      </c>
      <c r="Y19" s="148">
        <f t="shared" si="10"/>
        <v>0.2200720488751168</v>
      </c>
      <c r="Z19" s="148">
        <f t="shared" si="10"/>
        <v>0.2200720488751168</v>
      </c>
      <c r="AA19" s="148">
        <f t="shared" si="10"/>
        <v>0.2200720488751168</v>
      </c>
      <c r="AB19" s="148">
        <f t="shared" si="10"/>
        <v>0.2200720488751168</v>
      </c>
      <c r="AC19" s="148">
        <f t="shared" si="10"/>
        <v>0.2200720488751168</v>
      </c>
      <c r="AD19" s="148">
        <f t="shared" si="10"/>
        <v>0.2200720488751168</v>
      </c>
      <c r="AE19" s="148">
        <f t="shared" si="10"/>
        <v>0.2200720488751168</v>
      </c>
      <c r="AF19" s="148">
        <f t="shared" si="10"/>
        <v>0.2200720488751168</v>
      </c>
      <c r="AG19" s="148">
        <f t="shared" si="10"/>
        <v>0.2200720488751168</v>
      </c>
      <c r="AI19" s="51" t="s">
        <v>268</v>
      </c>
      <c r="AJ19" s="198"/>
      <c r="AM19" s="114"/>
      <c r="AN19" s="109"/>
      <c r="AO19" s="110"/>
      <c r="AP19" s="111"/>
      <c r="AQ19" s="110"/>
    </row>
    <row r="20" spans="1:64" outlineLevel="1">
      <c r="A20" t="s">
        <v>1463</v>
      </c>
      <c r="B20" s="51" t="s">
        <v>126</v>
      </c>
      <c r="C20" s="148">
        <f>'Overall recycling rates'!I77</f>
        <v>5.2637927950514142E-3</v>
      </c>
      <c r="D20" s="148">
        <f t="shared" si="11"/>
        <v>5.2637927950514142E-3</v>
      </c>
      <c r="E20" s="148">
        <f t="shared" si="11"/>
        <v>5.2637927950514142E-3</v>
      </c>
      <c r="F20" s="148">
        <f t="shared" si="11"/>
        <v>5.2637927950514142E-3</v>
      </c>
      <c r="G20" s="148">
        <f t="shared" si="11"/>
        <v>5.2637927950514142E-3</v>
      </c>
      <c r="H20" s="148">
        <f t="shared" si="11"/>
        <v>5.2637927950514142E-3</v>
      </c>
      <c r="I20" s="148">
        <f t="shared" si="11"/>
        <v>5.2637927950514142E-3</v>
      </c>
      <c r="J20" s="148">
        <f t="shared" si="11"/>
        <v>5.2637927950514142E-3</v>
      </c>
      <c r="K20" s="148">
        <f t="shared" si="11"/>
        <v>5.2637927950514142E-3</v>
      </c>
      <c r="L20" s="148">
        <f t="shared" si="11"/>
        <v>5.2637927950514142E-3</v>
      </c>
      <c r="M20" s="148">
        <f t="shared" si="11"/>
        <v>5.2637927950514142E-3</v>
      </c>
      <c r="N20" s="148">
        <f t="shared" si="11"/>
        <v>5.2637927950514142E-3</v>
      </c>
      <c r="O20" s="148">
        <f t="shared" si="11"/>
        <v>5.2637927950514142E-3</v>
      </c>
      <c r="P20" s="148">
        <f t="shared" si="11"/>
        <v>5.2637927950514142E-3</v>
      </c>
      <c r="Q20" s="148">
        <f t="shared" si="11"/>
        <v>5.2637927950514142E-3</v>
      </c>
      <c r="R20" s="148">
        <f t="shared" si="11"/>
        <v>5.2637927950514142E-3</v>
      </c>
      <c r="S20" s="148">
        <f t="shared" si="11"/>
        <v>5.2637927950514142E-3</v>
      </c>
      <c r="T20" s="148">
        <f t="shared" si="10"/>
        <v>5.2637927950514142E-3</v>
      </c>
      <c r="U20" s="148">
        <f t="shared" si="10"/>
        <v>5.2637927950514142E-3</v>
      </c>
      <c r="V20" s="148">
        <f t="shared" si="10"/>
        <v>5.2637927950514142E-3</v>
      </c>
      <c r="W20" s="148">
        <f t="shared" si="10"/>
        <v>5.2637927950514142E-3</v>
      </c>
      <c r="X20" s="148">
        <f t="shared" si="10"/>
        <v>5.2637927950514142E-3</v>
      </c>
      <c r="Y20" s="148">
        <f t="shared" si="10"/>
        <v>5.2637927950514142E-3</v>
      </c>
      <c r="Z20" s="148">
        <f t="shared" si="10"/>
        <v>5.2637927950514142E-3</v>
      </c>
      <c r="AA20" s="148">
        <f t="shared" si="10"/>
        <v>5.2637927950514142E-3</v>
      </c>
      <c r="AB20" s="148">
        <f t="shared" si="10"/>
        <v>5.2637927950514142E-3</v>
      </c>
      <c r="AC20" s="148">
        <f t="shared" si="10"/>
        <v>5.2637927950514142E-3</v>
      </c>
      <c r="AD20" s="148">
        <f t="shared" si="10"/>
        <v>5.2637927950514142E-3</v>
      </c>
      <c r="AE20" s="148">
        <f t="shared" si="10"/>
        <v>5.2637927950514142E-3</v>
      </c>
      <c r="AF20" s="148">
        <f t="shared" si="10"/>
        <v>5.2637927950514142E-3</v>
      </c>
      <c r="AG20" s="148">
        <f t="shared" si="10"/>
        <v>5.2637927950514142E-3</v>
      </c>
      <c r="AI20" s="51" t="s">
        <v>268</v>
      </c>
      <c r="AJ20" s="198"/>
      <c r="AM20" s="114"/>
      <c r="AN20" s="109"/>
      <c r="AO20" s="110"/>
      <c r="AP20" s="111"/>
      <c r="AQ20" s="110"/>
    </row>
    <row r="21" spans="1:64" outlineLevel="1">
      <c r="A21" t="s">
        <v>1464</v>
      </c>
      <c r="B21" s="51" t="s">
        <v>126</v>
      </c>
      <c r="C21" s="148">
        <f>'Overall recycling rates'!I79</f>
        <v>2.8964508301971968E-6</v>
      </c>
      <c r="D21" s="148">
        <f t="shared" si="11"/>
        <v>2.8964508301971968E-6</v>
      </c>
      <c r="E21" s="148">
        <f t="shared" si="11"/>
        <v>2.8964508301971968E-6</v>
      </c>
      <c r="F21" s="148">
        <f t="shared" si="11"/>
        <v>2.8964508301971968E-6</v>
      </c>
      <c r="G21" s="148">
        <f t="shared" si="11"/>
        <v>2.8964508301971968E-6</v>
      </c>
      <c r="H21" s="148">
        <f t="shared" si="11"/>
        <v>2.8964508301971968E-6</v>
      </c>
      <c r="I21" s="148">
        <f t="shared" si="11"/>
        <v>2.8964508301971968E-6</v>
      </c>
      <c r="J21" s="148">
        <f t="shared" si="11"/>
        <v>2.8964508301971968E-6</v>
      </c>
      <c r="K21" s="148">
        <f t="shared" si="11"/>
        <v>2.8964508301971968E-6</v>
      </c>
      <c r="L21" s="148">
        <f t="shared" si="11"/>
        <v>2.8964508301971968E-6</v>
      </c>
      <c r="M21" s="148">
        <f t="shared" si="11"/>
        <v>2.8964508301971968E-6</v>
      </c>
      <c r="N21" s="148">
        <f t="shared" si="11"/>
        <v>2.8964508301971968E-6</v>
      </c>
      <c r="O21" s="148">
        <f t="shared" si="11"/>
        <v>2.8964508301971968E-6</v>
      </c>
      <c r="P21" s="148">
        <f t="shared" si="11"/>
        <v>2.8964508301971968E-6</v>
      </c>
      <c r="Q21" s="148">
        <f t="shared" si="11"/>
        <v>2.8964508301971968E-6</v>
      </c>
      <c r="R21" s="148">
        <f t="shared" si="11"/>
        <v>2.8964508301971968E-6</v>
      </c>
      <c r="S21" s="148">
        <f t="shared" si="11"/>
        <v>2.8964508301971968E-6</v>
      </c>
      <c r="T21" s="148">
        <f t="shared" si="10"/>
        <v>2.8964508301971968E-6</v>
      </c>
      <c r="U21" s="148">
        <f t="shared" si="10"/>
        <v>2.8964508301971968E-6</v>
      </c>
      <c r="V21" s="148">
        <f t="shared" si="10"/>
        <v>2.8964508301971968E-6</v>
      </c>
      <c r="W21" s="148">
        <f t="shared" si="10"/>
        <v>2.8964508301971968E-6</v>
      </c>
      <c r="X21" s="148">
        <f t="shared" si="10"/>
        <v>2.8964508301971968E-6</v>
      </c>
      <c r="Y21" s="148">
        <f t="shared" si="10"/>
        <v>2.8964508301971968E-6</v>
      </c>
      <c r="Z21" s="148">
        <f t="shared" si="10"/>
        <v>2.8964508301971968E-6</v>
      </c>
      <c r="AA21" s="148">
        <f t="shared" si="10"/>
        <v>2.8964508301971968E-6</v>
      </c>
      <c r="AB21" s="148">
        <f t="shared" si="10"/>
        <v>2.8964508301971968E-6</v>
      </c>
      <c r="AC21" s="148">
        <f t="shared" si="10"/>
        <v>2.8964508301971968E-6</v>
      </c>
      <c r="AD21" s="148">
        <f t="shared" si="10"/>
        <v>2.8964508301971968E-6</v>
      </c>
      <c r="AE21" s="148">
        <f t="shared" si="10"/>
        <v>2.8964508301971968E-6</v>
      </c>
      <c r="AF21" s="148">
        <f t="shared" si="10"/>
        <v>2.8964508301971968E-6</v>
      </c>
      <c r="AG21" s="148">
        <f t="shared" si="10"/>
        <v>2.8964508301971968E-6</v>
      </c>
      <c r="AI21" s="51" t="s">
        <v>268</v>
      </c>
      <c r="AJ21" s="198"/>
      <c r="AM21" s="114"/>
      <c r="AN21" s="109"/>
      <c r="AO21" s="450"/>
      <c r="AP21" s="451"/>
      <c r="AQ21" s="450"/>
    </row>
    <row r="22" spans="1:64" outlineLevel="1">
      <c r="A22" t="s">
        <v>1465</v>
      </c>
      <c r="B22" s="51" t="s">
        <v>126</v>
      </c>
      <c r="C22" s="148">
        <f>'Overall recycling rates'!I80</f>
        <v>2.9132587724788963E-2</v>
      </c>
      <c r="D22" s="148">
        <f>C22</f>
        <v>2.9132587724788963E-2</v>
      </c>
      <c r="E22" s="148">
        <f t="shared" si="11"/>
        <v>2.9132587724788963E-2</v>
      </c>
      <c r="F22" s="148">
        <f t="shared" si="11"/>
        <v>2.9132587724788963E-2</v>
      </c>
      <c r="G22" s="148">
        <f t="shared" si="11"/>
        <v>2.9132587724788963E-2</v>
      </c>
      <c r="H22" s="148">
        <f t="shared" si="11"/>
        <v>2.9132587724788963E-2</v>
      </c>
      <c r="I22" s="148">
        <f t="shared" si="11"/>
        <v>2.9132587724788963E-2</v>
      </c>
      <c r="J22" s="148">
        <f t="shared" si="11"/>
        <v>2.9132587724788963E-2</v>
      </c>
      <c r="K22" s="148">
        <f t="shared" si="11"/>
        <v>2.9132587724788963E-2</v>
      </c>
      <c r="L22" s="148">
        <f t="shared" si="11"/>
        <v>2.9132587724788963E-2</v>
      </c>
      <c r="M22" s="148">
        <f t="shared" si="11"/>
        <v>2.9132587724788963E-2</v>
      </c>
      <c r="N22" s="148">
        <f t="shared" si="11"/>
        <v>2.9132587724788963E-2</v>
      </c>
      <c r="O22" s="148">
        <f t="shared" si="11"/>
        <v>2.9132587724788963E-2</v>
      </c>
      <c r="P22" s="148">
        <f t="shared" si="11"/>
        <v>2.9132587724788963E-2</v>
      </c>
      <c r="Q22" s="148">
        <f t="shared" si="11"/>
        <v>2.9132587724788963E-2</v>
      </c>
      <c r="R22" s="148">
        <f t="shared" si="11"/>
        <v>2.9132587724788963E-2</v>
      </c>
      <c r="S22" s="148">
        <f t="shared" si="11"/>
        <v>2.9132587724788963E-2</v>
      </c>
      <c r="T22" s="148">
        <f t="shared" si="10"/>
        <v>2.9132587724788963E-2</v>
      </c>
      <c r="U22" s="148">
        <f t="shared" si="10"/>
        <v>2.9132587724788963E-2</v>
      </c>
      <c r="V22" s="148">
        <f t="shared" si="10"/>
        <v>2.9132587724788963E-2</v>
      </c>
      <c r="W22" s="148">
        <f t="shared" si="10"/>
        <v>2.9132587724788963E-2</v>
      </c>
      <c r="X22" s="148">
        <f t="shared" si="10"/>
        <v>2.9132587724788963E-2</v>
      </c>
      <c r="Y22" s="148">
        <f t="shared" si="10"/>
        <v>2.9132587724788963E-2</v>
      </c>
      <c r="Z22" s="148">
        <f t="shared" si="10"/>
        <v>2.9132587724788963E-2</v>
      </c>
      <c r="AA22" s="148">
        <f t="shared" si="10"/>
        <v>2.9132587724788963E-2</v>
      </c>
      <c r="AB22" s="148">
        <f t="shared" si="10"/>
        <v>2.9132587724788963E-2</v>
      </c>
      <c r="AC22" s="148">
        <f t="shared" si="10"/>
        <v>2.9132587724788963E-2</v>
      </c>
      <c r="AD22" s="148">
        <f t="shared" si="10"/>
        <v>2.9132587724788963E-2</v>
      </c>
      <c r="AE22" s="148">
        <f t="shared" si="10"/>
        <v>2.9132587724788963E-2</v>
      </c>
      <c r="AF22" s="148">
        <f t="shared" si="10"/>
        <v>2.9132587724788963E-2</v>
      </c>
      <c r="AG22" s="148">
        <f t="shared" si="10"/>
        <v>2.9132587724788963E-2</v>
      </c>
      <c r="AI22" s="51" t="s">
        <v>268</v>
      </c>
      <c r="AJ22" s="198"/>
      <c r="AM22" s="114"/>
      <c r="AN22" s="109"/>
      <c r="AO22" s="110"/>
      <c r="AP22" s="111"/>
      <c r="AQ22" s="110"/>
    </row>
    <row r="23" spans="1:64" outlineLevel="1">
      <c r="AI23" s="51"/>
      <c r="AM23" s="114"/>
      <c r="AN23" s="109"/>
      <c r="AO23" s="110"/>
      <c r="AP23" s="111"/>
      <c r="AQ23" s="110"/>
      <c r="BD23" s="22"/>
      <c r="BE23" s="22"/>
      <c r="BF23" s="22"/>
      <c r="BG23" s="22"/>
      <c r="BH23" s="22"/>
      <c r="BI23" s="22"/>
      <c r="BJ23" s="22"/>
      <c r="BK23" s="22"/>
      <c r="BL23" s="22"/>
    </row>
    <row r="24" spans="1:64" outlineLevel="1">
      <c r="A24" t="s">
        <v>1466</v>
      </c>
      <c r="B24" s="51" t="s">
        <v>1513</v>
      </c>
      <c r="C24" s="561">
        <f>C11*C18</f>
        <v>2962.5386753115972</v>
      </c>
      <c r="D24" s="561">
        <f t="shared" ref="D24:AG24" si="12">D11*D18</f>
        <v>2962.5386753115972</v>
      </c>
      <c r="E24" s="561">
        <f t="shared" si="12"/>
        <v>2962.5386753115972</v>
      </c>
      <c r="F24" s="561">
        <f t="shared" si="12"/>
        <v>2962.5386753115972</v>
      </c>
      <c r="G24" s="561">
        <f t="shared" si="12"/>
        <v>2962.5386753115972</v>
      </c>
      <c r="H24" s="561">
        <f t="shared" si="12"/>
        <v>2962.5386753115972</v>
      </c>
      <c r="I24" s="561">
        <f t="shared" si="12"/>
        <v>2962.5386753115972</v>
      </c>
      <c r="J24" s="561">
        <f t="shared" si="12"/>
        <v>2962.5386753115972</v>
      </c>
      <c r="K24" s="561">
        <f t="shared" si="12"/>
        <v>2962.5386753115972</v>
      </c>
      <c r="L24" s="561">
        <f t="shared" si="12"/>
        <v>2962.5386753115972</v>
      </c>
      <c r="M24" s="561">
        <f>M11*M18</f>
        <v>2962.5386753115972</v>
      </c>
      <c r="N24" s="561">
        <f t="shared" si="12"/>
        <v>2962.5386753115972</v>
      </c>
      <c r="O24" s="561">
        <f t="shared" si="12"/>
        <v>2962.5386753115972</v>
      </c>
      <c r="P24" s="561">
        <f t="shared" si="12"/>
        <v>2962.5386753115972</v>
      </c>
      <c r="Q24" s="561">
        <f t="shared" si="12"/>
        <v>2962.5386753115972</v>
      </c>
      <c r="R24" s="561">
        <f t="shared" si="12"/>
        <v>2962.5386753115972</v>
      </c>
      <c r="S24" s="561">
        <f t="shared" si="12"/>
        <v>2962.5386753115972</v>
      </c>
      <c r="T24" s="561">
        <f t="shared" si="12"/>
        <v>2962.5386753115972</v>
      </c>
      <c r="U24" s="561">
        <f t="shared" si="12"/>
        <v>2962.5386753115972</v>
      </c>
      <c r="V24" s="561">
        <f t="shared" si="12"/>
        <v>2962.5386753115972</v>
      </c>
      <c r="W24" s="561">
        <f t="shared" si="12"/>
        <v>2962.5386753115972</v>
      </c>
      <c r="X24" s="561">
        <f t="shared" si="12"/>
        <v>2962.5386753115972</v>
      </c>
      <c r="Y24" s="561">
        <f t="shared" si="12"/>
        <v>2962.5386753115972</v>
      </c>
      <c r="Z24" s="561">
        <f t="shared" si="12"/>
        <v>2962.5386753115972</v>
      </c>
      <c r="AA24" s="561">
        <f t="shared" si="12"/>
        <v>2962.5386753115972</v>
      </c>
      <c r="AB24" s="561">
        <f t="shared" si="12"/>
        <v>2962.5386753115972</v>
      </c>
      <c r="AC24" s="561">
        <f t="shared" si="12"/>
        <v>2962.5386753115972</v>
      </c>
      <c r="AD24" s="561">
        <f t="shared" si="12"/>
        <v>2962.5386753115972</v>
      </c>
      <c r="AE24" s="561">
        <f t="shared" si="12"/>
        <v>2962.5386753115972</v>
      </c>
      <c r="AF24" s="561">
        <f t="shared" si="12"/>
        <v>2962.5386753115972</v>
      </c>
      <c r="AG24" s="561">
        <f t="shared" si="12"/>
        <v>2962.5386753115972</v>
      </c>
      <c r="AI24" s="230"/>
      <c r="AM24" s="114"/>
      <c r="AN24" s="109"/>
      <c r="AO24" s="109"/>
      <c r="AP24" s="109"/>
      <c r="AQ24" s="109"/>
      <c r="BD24" s="192"/>
      <c r="BE24" s="192"/>
      <c r="BF24" s="192"/>
      <c r="BG24" s="192"/>
      <c r="BH24" s="192"/>
      <c r="BI24" s="192"/>
      <c r="BJ24" s="192"/>
      <c r="BK24" s="192"/>
      <c r="BL24" s="192"/>
    </row>
    <row r="25" spans="1:64" outlineLevel="1">
      <c r="A25" t="s">
        <v>1467</v>
      </c>
      <c r="B25" s="51" t="s">
        <v>1513</v>
      </c>
      <c r="C25" s="561">
        <f t="shared" ref="C25:AG28" si="13">C12*C19</f>
        <v>58105.321893626904</v>
      </c>
      <c r="D25" s="561">
        <f t="shared" si="13"/>
        <v>58105.321893626904</v>
      </c>
      <c r="E25" s="561">
        <f t="shared" si="13"/>
        <v>58105.321893626904</v>
      </c>
      <c r="F25" s="561">
        <f t="shared" si="13"/>
        <v>58105.321893626904</v>
      </c>
      <c r="G25" s="561">
        <f t="shared" si="13"/>
        <v>58105.321893626904</v>
      </c>
      <c r="H25" s="561">
        <f t="shared" si="13"/>
        <v>58105.321893626904</v>
      </c>
      <c r="I25" s="561">
        <f t="shared" si="13"/>
        <v>58105.321893626904</v>
      </c>
      <c r="J25" s="561">
        <f t="shared" si="13"/>
        <v>58105.321893626904</v>
      </c>
      <c r="K25" s="561">
        <f t="shared" si="13"/>
        <v>58105.321893626904</v>
      </c>
      <c r="L25" s="561">
        <f t="shared" si="13"/>
        <v>58105.321893626904</v>
      </c>
      <c r="M25" s="561">
        <f t="shared" si="13"/>
        <v>58105.321893626904</v>
      </c>
      <c r="N25" s="561">
        <f t="shared" si="13"/>
        <v>58105.321893626904</v>
      </c>
      <c r="O25" s="561">
        <f t="shared" si="13"/>
        <v>58105.321893626904</v>
      </c>
      <c r="P25" s="561">
        <f t="shared" si="13"/>
        <v>58105.321893626904</v>
      </c>
      <c r="Q25" s="561">
        <f t="shared" si="13"/>
        <v>58105.321893626904</v>
      </c>
      <c r="R25" s="561">
        <f t="shared" si="13"/>
        <v>58105.321893626904</v>
      </c>
      <c r="S25" s="561">
        <f t="shared" si="13"/>
        <v>58105.321893626904</v>
      </c>
      <c r="T25" s="561">
        <f t="shared" si="13"/>
        <v>58105.321893626904</v>
      </c>
      <c r="U25" s="561">
        <f t="shared" si="13"/>
        <v>58105.321893626904</v>
      </c>
      <c r="V25" s="561">
        <f t="shared" si="13"/>
        <v>58105.321893626904</v>
      </c>
      <c r="W25" s="561">
        <f t="shared" si="13"/>
        <v>58105.321893626904</v>
      </c>
      <c r="X25" s="561">
        <f t="shared" si="13"/>
        <v>58105.321893626904</v>
      </c>
      <c r="Y25" s="561">
        <f t="shared" si="13"/>
        <v>58105.321893626904</v>
      </c>
      <c r="Z25" s="561">
        <f t="shared" si="13"/>
        <v>58105.321893626904</v>
      </c>
      <c r="AA25" s="561">
        <f t="shared" si="13"/>
        <v>58105.321893626904</v>
      </c>
      <c r="AB25" s="561">
        <f t="shared" si="13"/>
        <v>58105.321893626904</v>
      </c>
      <c r="AC25" s="561">
        <f t="shared" si="13"/>
        <v>58105.321893626904</v>
      </c>
      <c r="AD25" s="561">
        <f t="shared" si="13"/>
        <v>58105.321893626904</v>
      </c>
      <c r="AE25" s="561">
        <f t="shared" si="13"/>
        <v>58105.321893626904</v>
      </c>
      <c r="AF25" s="561">
        <f t="shared" si="13"/>
        <v>58105.321893626904</v>
      </c>
      <c r="AG25" s="561">
        <f t="shared" si="13"/>
        <v>58105.321893626904</v>
      </c>
      <c r="AM25" s="193"/>
      <c r="BD25" s="192"/>
      <c r="BE25" s="192"/>
      <c r="BF25" s="192"/>
      <c r="BG25" s="192"/>
      <c r="BH25" s="192"/>
      <c r="BI25" s="192"/>
      <c r="BJ25" s="192"/>
      <c r="BK25" s="192"/>
      <c r="BL25" s="192"/>
    </row>
    <row r="26" spans="1:64" outlineLevel="1">
      <c r="A26" t="s">
        <v>1468</v>
      </c>
      <c r="B26" s="51" t="s">
        <v>1513</v>
      </c>
      <c r="C26" s="562">
        <f t="shared" si="13"/>
        <v>1093.3845936328453</v>
      </c>
      <c r="D26" s="561">
        <f t="shared" si="13"/>
        <v>1093.3845936328453</v>
      </c>
      <c r="E26" s="561">
        <f t="shared" si="13"/>
        <v>1093.3845936328453</v>
      </c>
      <c r="F26" s="561">
        <f t="shared" si="13"/>
        <v>1093.3845936328453</v>
      </c>
      <c r="G26" s="561">
        <f t="shared" si="13"/>
        <v>1093.3845936328453</v>
      </c>
      <c r="H26" s="561">
        <f t="shared" si="13"/>
        <v>1093.3845936328453</v>
      </c>
      <c r="I26" s="561">
        <f t="shared" si="13"/>
        <v>1093.3845936328453</v>
      </c>
      <c r="J26" s="561">
        <f t="shared" si="13"/>
        <v>1093.3845936328453</v>
      </c>
      <c r="K26" s="561">
        <f t="shared" si="13"/>
        <v>1093.3845936328453</v>
      </c>
      <c r="L26" s="561">
        <f t="shared" si="13"/>
        <v>1093.3845936328453</v>
      </c>
      <c r="M26" s="561">
        <f t="shared" si="13"/>
        <v>1093.3845936328453</v>
      </c>
      <c r="N26" s="561">
        <f t="shared" si="13"/>
        <v>1093.3845936328453</v>
      </c>
      <c r="O26" s="561">
        <f t="shared" si="13"/>
        <v>1093.3845936328453</v>
      </c>
      <c r="P26" s="561">
        <f t="shared" si="13"/>
        <v>1093.3845936328453</v>
      </c>
      <c r="Q26" s="561">
        <f t="shared" si="13"/>
        <v>1093.3845936328453</v>
      </c>
      <c r="R26" s="561">
        <f t="shared" si="13"/>
        <v>1093.3845936328453</v>
      </c>
      <c r="S26" s="561">
        <f t="shared" si="13"/>
        <v>1093.3845936328453</v>
      </c>
      <c r="T26" s="561">
        <f t="shared" si="13"/>
        <v>1093.3845936328453</v>
      </c>
      <c r="U26" s="561">
        <f t="shared" si="13"/>
        <v>1093.3845936328453</v>
      </c>
      <c r="V26" s="561">
        <f t="shared" si="13"/>
        <v>1093.3845936328453</v>
      </c>
      <c r="W26" s="561">
        <f t="shared" si="13"/>
        <v>1093.3845936328453</v>
      </c>
      <c r="X26" s="561">
        <f t="shared" si="13"/>
        <v>1093.3845936328453</v>
      </c>
      <c r="Y26" s="561">
        <f t="shared" si="13"/>
        <v>1093.3845936328453</v>
      </c>
      <c r="Z26" s="561">
        <f t="shared" si="13"/>
        <v>1093.3845936328453</v>
      </c>
      <c r="AA26" s="561">
        <f t="shared" si="13"/>
        <v>1093.3845936328453</v>
      </c>
      <c r="AB26" s="561">
        <f t="shared" si="13"/>
        <v>1093.3845936328453</v>
      </c>
      <c r="AC26" s="561">
        <f t="shared" si="13"/>
        <v>1093.3845936328453</v>
      </c>
      <c r="AD26" s="561">
        <f t="shared" si="13"/>
        <v>1093.3845936328453</v>
      </c>
      <c r="AE26" s="561">
        <f t="shared" si="13"/>
        <v>1093.3845936328453</v>
      </c>
      <c r="AF26" s="561">
        <f t="shared" si="13"/>
        <v>1093.3845936328453</v>
      </c>
      <c r="AG26" s="561">
        <f t="shared" si="13"/>
        <v>1093.3845936328453</v>
      </c>
      <c r="BD26" s="192"/>
      <c r="BE26" s="192"/>
      <c r="BF26" s="192"/>
      <c r="BG26" s="192"/>
      <c r="BH26" s="192"/>
      <c r="BI26" s="192"/>
      <c r="BJ26" s="192"/>
      <c r="BK26" s="192"/>
      <c r="BL26" s="192"/>
    </row>
    <row r="27" spans="1:64" outlineLevel="1">
      <c r="A27" t="s">
        <v>1469</v>
      </c>
      <c r="B27" s="51" t="s">
        <v>1513</v>
      </c>
      <c r="C27" s="562">
        <f t="shared" si="13"/>
        <v>1.5355183400777599</v>
      </c>
      <c r="D27" s="561">
        <f t="shared" si="13"/>
        <v>1.5355183400777599</v>
      </c>
      <c r="E27" s="561">
        <f t="shared" si="13"/>
        <v>1.5355183400777599</v>
      </c>
      <c r="F27" s="561">
        <f t="shared" si="13"/>
        <v>1.5355183400777599</v>
      </c>
      <c r="G27" s="561">
        <f t="shared" si="13"/>
        <v>1.5355183400777599</v>
      </c>
      <c r="H27" s="561">
        <f t="shared" si="13"/>
        <v>1.5355183400777599</v>
      </c>
      <c r="I27" s="561">
        <f t="shared" si="13"/>
        <v>1.5355183400777599</v>
      </c>
      <c r="J27" s="561">
        <f t="shared" si="13"/>
        <v>1.5355183400777599</v>
      </c>
      <c r="K27" s="561">
        <f t="shared" si="13"/>
        <v>1.5355183400777599</v>
      </c>
      <c r="L27" s="561">
        <f t="shared" si="13"/>
        <v>1.5355183400777599</v>
      </c>
      <c r="M27" s="561">
        <f t="shared" si="13"/>
        <v>1.5355183400777599</v>
      </c>
      <c r="N27" s="561">
        <f t="shared" si="13"/>
        <v>1.5355183400777599</v>
      </c>
      <c r="O27" s="561">
        <f t="shared" si="13"/>
        <v>1.5355183400777599</v>
      </c>
      <c r="P27" s="561">
        <f t="shared" si="13"/>
        <v>1.5355183400777599</v>
      </c>
      <c r="Q27" s="561">
        <f t="shared" si="13"/>
        <v>1.5355183400777599</v>
      </c>
      <c r="R27" s="561">
        <f t="shared" si="13"/>
        <v>1.5355183400777599</v>
      </c>
      <c r="S27" s="561">
        <f t="shared" si="13"/>
        <v>1.5355183400777599</v>
      </c>
      <c r="T27" s="561">
        <f t="shared" si="13"/>
        <v>1.5355183400777599</v>
      </c>
      <c r="U27" s="561">
        <f t="shared" si="13"/>
        <v>1.5355183400777599</v>
      </c>
      <c r="V27" s="561">
        <f t="shared" si="13"/>
        <v>1.5355183400777599</v>
      </c>
      <c r="W27" s="561">
        <f t="shared" si="13"/>
        <v>1.5355183400777599</v>
      </c>
      <c r="X27" s="561">
        <f t="shared" si="13"/>
        <v>1.5355183400777599</v>
      </c>
      <c r="Y27" s="561">
        <f t="shared" si="13"/>
        <v>1.5355183400777599</v>
      </c>
      <c r="Z27" s="561">
        <f t="shared" si="13"/>
        <v>1.5355183400777599</v>
      </c>
      <c r="AA27" s="561">
        <f t="shared" si="13"/>
        <v>1.5355183400777599</v>
      </c>
      <c r="AB27" s="561">
        <f t="shared" si="13"/>
        <v>1.5355183400777599</v>
      </c>
      <c r="AC27" s="561">
        <f t="shared" si="13"/>
        <v>1.5355183400777599</v>
      </c>
      <c r="AD27" s="561">
        <f t="shared" si="13"/>
        <v>1.5355183400777599</v>
      </c>
      <c r="AE27" s="561">
        <f t="shared" si="13"/>
        <v>1.5355183400777599</v>
      </c>
      <c r="AF27" s="561">
        <f t="shared" si="13"/>
        <v>1.5355183400777599</v>
      </c>
      <c r="AG27" s="561">
        <f t="shared" si="13"/>
        <v>1.5355183400777599</v>
      </c>
      <c r="BD27" s="192"/>
      <c r="BE27" s="192"/>
      <c r="BF27" s="192"/>
      <c r="BG27" s="192"/>
      <c r="BH27" s="192"/>
      <c r="BI27" s="192"/>
      <c r="BJ27" s="192"/>
      <c r="BK27" s="192"/>
      <c r="BL27" s="192"/>
    </row>
    <row r="28" spans="1:64" outlineLevel="1">
      <c r="A28" s="169" t="s">
        <v>1470</v>
      </c>
      <c r="B28" s="165" t="s">
        <v>1513</v>
      </c>
      <c r="C28" s="561">
        <f t="shared" si="13"/>
        <v>43907.716476814014</v>
      </c>
      <c r="D28" s="561">
        <f t="shared" si="13"/>
        <v>43907.716476814014</v>
      </c>
      <c r="E28" s="561">
        <f t="shared" si="13"/>
        <v>43907.716476814014</v>
      </c>
      <c r="F28" s="561">
        <f t="shared" si="13"/>
        <v>43907.716476814014</v>
      </c>
      <c r="G28" s="561">
        <f t="shared" si="13"/>
        <v>43907.716476814014</v>
      </c>
      <c r="H28" s="561">
        <f t="shared" si="13"/>
        <v>43907.716476814014</v>
      </c>
      <c r="I28" s="561">
        <f t="shared" si="13"/>
        <v>43907.716476814014</v>
      </c>
      <c r="J28" s="561">
        <f t="shared" si="13"/>
        <v>43907.716476814014</v>
      </c>
      <c r="K28" s="561">
        <f t="shared" si="13"/>
        <v>43907.716476814014</v>
      </c>
      <c r="L28" s="561">
        <f t="shared" si="13"/>
        <v>43907.716476814014</v>
      </c>
      <c r="M28" s="561">
        <f t="shared" si="13"/>
        <v>43907.716476814014</v>
      </c>
      <c r="N28" s="561">
        <f t="shared" si="13"/>
        <v>43907.716476814014</v>
      </c>
      <c r="O28" s="561">
        <f t="shared" si="13"/>
        <v>43907.716476814014</v>
      </c>
      <c r="P28" s="561">
        <f t="shared" si="13"/>
        <v>43907.716476814014</v>
      </c>
      <c r="Q28" s="561">
        <f t="shared" si="13"/>
        <v>43907.716476814014</v>
      </c>
      <c r="R28" s="561">
        <f t="shared" si="13"/>
        <v>43907.716476814014</v>
      </c>
      <c r="S28" s="561">
        <f t="shared" si="13"/>
        <v>43907.716476814014</v>
      </c>
      <c r="T28" s="561">
        <f t="shared" si="13"/>
        <v>43907.716476814014</v>
      </c>
      <c r="U28" s="561">
        <f t="shared" si="13"/>
        <v>43907.716476814014</v>
      </c>
      <c r="V28" s="561">
        <f t="shared" si="13"/>
        <v>43907.716476814014</v>
      </c>
      <c r="W28" s="561">
        <f t="shared" si="13"/>
        <v>43907.716476814014</v>
      </c>
      <c r="X28" s="561">
        <f t="shared" si="13"/>
        <v>43907.716476814014</v>
      </c>
      <c r="Y28" s="561">
        <f t="shared" si="13"/>
        <v>43907.716476814014</v>
      </c>
      <c r="Z28" s="561">
        <f t="shared" si="13"/>
        <v>43907.716476814014</v>
      </c>
      <c r="AA28" s="561">
        <f t="shared" si="13"/>
        <v>43907.716476814014</v>
      </c>
      <c r="AB28" s="561">
        <f t="shared" si="13"/>
        <v>43907.716476814014</v>
      </c>
      <c r="AC28" s="561">
        <f t="shared" si="13"/>
        <v>43907.716476814014</v>
      </c>
      <c r="AD28" s="561">
        <f t="shared" si="13"/>
        <v>43907.716476814014</v>
      </c>
      <c r="AE28" s="561">
        <f t="shared" si="13"/>
        <v>43907.716476814014</v>
      </c>
      <c r="AF28" s="561">
        <f t="shared" si="13"/>
        <v>43907.716476814014</v>
      </c>
      <c r="AG28" s="561">
        <f t="shared" si="13"/>
        <v>43907.716476814014</v>
      </c>
      <c r="AL28" s="102"/>
      <c r="AM28" s="194"/>
      <c r="AN28" s="194"/>
      <c r="AO28" s="194"/>
    </row>
    <row r="29" spans="1:64" s="1" customFormat="1" ht="15.5" thickBot="1">
      <c r="A29" s="187" t="s">
        <v>1471</v>
      </c>
      <c r="B29" s="206" t="s">
        <v>1513</v>
      </c>
      <c r="C29" s="203">
        <f>SUM(C24:C28)</f>
        <v>106070.49715772543</v>
      </c>
      <c r="D29" s="203">
        <f t="shared" ref="D29:AG29" si="14">SUM(D24:D28)</f>
        <v>106070.49715772543</v>
      </c>
      <c r="E29" s="203">
        <f t="shared" si="14"/>
        <v>106070.49715772543</v>
      </c>
      <c r="F29" s="203">
        <f t="shared" si="14"/>
        <v>106070.49715772543</v>
      </c>
      <c r="G29" s="203">
        <f t="shared" si="14"/>
        <v>106070.49715772543</v>
      </c>
      <c r="H29" s="203">
        <f t="shared" si="14"/>
        <v>106070.49715772543</v>
      </c>
      <c r="I29" s="203">
        <f t="shared" si="14"/>
        <v>106070.49715772543</v>
      </c>
      <c r="J29" s="203">
        <f t="shared" si="14"/>
        <v>106070.49715772543</v>
      </c>
      <c r="K29" s="203">
        <f t="shared" si="14"/>
        <v>106070.49715772543</v>
      </c>
      <c r="L29" s="203">
        <f t="shared" si="14"/>
        <v>106070.49715772543</v>
      </c>
      <c r="M29" s="203">
        <f t="shared" si="14"/>
        <v>106070.49715772543</v>
      </c>
      <c r="N29" s="203">
        <f t="shared" si="14"/>
        <v>106070.49715772543</v>
      </c>
      <c r="O29" s="203">
        <f t="shared" si="14"/>
        <v>106070.49715772543</v>
      </c>
      <c r="P29" s="203">
        <f t="shared" si="14"/>
        <v>106070.49715772543</v>
      </c>
      <c r="Q29" s="203">
        <f t="shared" si="14"/>
        <v>106070.49715772543</v>
      </c>
      <c r="R29" s="203">
        <f t="shared" si="14"/>
        <v>106070.49715772543</v>
      </c>
      <c r="S29" s="203">
        <f t="shared" si="14"/>
        <v>106070.49715772543</v>
      </c>
      <c r="T29" s="203">
        <f t="shared" si="14"/>
        <v>106070.49715772543</v>
      </c>
      <c r="U29" s="203">
        <f t="shared" si="14"/>
        <v>106070.49715772543</v>
      </c>
      <c r="V29" s="203">
        <f t="shared" si="14"/>
        <v>106070.49715772543</v>
      </c>
      <c r="W29" s="203">
        <f t="shared" si="14"/>
        <v>106070.49715772543</v>
      </c>
      <c r="X29" s="203">
        <f t="shared" si="14"/>
        <v>106070.49715772543</v>
      </c>
      <c r="Y29" s="203">
        <f t="shared" si="14"/>
        <v>106070.49715772543</v>
      </c>
      <c r="Z29" s="203">
        <f t="shared" si="14"/>
        <v>106070.49715772543</v>
      </c>
      <c r="AA29" s="203">
        <f t="shared" si="14"/>
        <v>106070.49715772543</v>
      </c>
      <c r="AB29" s="203">
        <f t="shared" si="14"/>
        <v>106070.49715772543</v>
      </c>
      <c r="AC29" s="203">
        <f t="shared" si="14"/>
        <v>106070.49715772543</v>
      </c>
      <c r="AD29" s="203">
        <f t="shared" si="14"/>
        <v>106070.49715772543</v>
      </c>
      <c r="AE29" s="203">
        <f t="shared" si="14"/>
        <v>106070.49715772543</v>
      </c>
      <c r="AF29" s="203">
        <f t="shared" si="14"/>
        <v>106070.49715772543</v>
      </c>
      <c r="AG29" s="203">
        <f t="shared" si="14"/>
        <v>106070.49715772543</v>
      </c>
      <c r="AJ29" s="151"/>
      <c r="AL29" s="207"/>
      <c r="AM29" s="118"/>
      <c r="AN29" s="118"/>
      <c r="AO29" s="118"/>
    </row>
    <row r="30" spans="1:64" ht="15.5" outlineLevel="1" thickTop="1">
      <c r="AL30" s="102"/>
      <c r="AM30" s="2"/>
      <c r="AN30" s="2"/>
      <c r="AO30" s="2"/>
    </row>
    <row r="31" spans="1:64" outlineLevel="1">
      <c r="A31" t="s">
        <v>1472</v>
      </c>
      <c r="B31" s="165" t="s">
        <v>1513</v>
      </c>
      <c r="C31" s="101">
        <f>C29</f>
        <v>106070.49715772543</v>
      </c>
      <c r="D31" s="101">
        <f t="shared" ref="D31:AG31" si="15">D29</f>
        <v>106070.49715772543</v>
      </c>
      <c r="E31" s="101">
        <f t="shared" si="15"/>
        <v>106070.49715772543</v>
      </c>
      <c r="F31" s="101">
        <f t="shared" si="15"/>
        <v>106070.49715772543</v>
      </c>
      <c r="G31" s="101">
        <f t="shared" si="15"/>
        <v>106070.49715772543</v>
      </c>
      <c r="H31" s="101">
        <f t="shared" si="15"/>
        <v>106070.49715772543</v>
      </c>
      <c r="I31" s="101">
        <f t="shared" si="15"/>
        <v>106070.49715772543</v>
      </c>
      <c r="J31" s="101">
        <f t="shared" si="15"/>
        <v>106070.49715772543</v>
      </c>
      <c r="K31" s="101">
        <f t="shared" si="15"/>
        <v>106070.49715772543</v>
      </c>
      <c r="L31" s="101">
        <f t="shared" si="15"/>
        <v>106070.49715772543</v>
      </c>
      <c r="M31" s="101">
        <f t="shared" si="15"/>
        <v>106070.49715772543</v>
      </c>
      <c r="N31" s="101">
        <f t="shared" si="15"/>
        <v>106070.49715772543</v>
      </c>
      <c r="O31" s="101">
        <f t="shared" si="15"/>
        <v>106070.49715772543</v>
      </c>
      <c r="P31" s="101">
        <f t="shared" si="15"/>
        <v>106070.49715772543</v>
      </c>
      <c r="Q31" s="101">
        <f t="shared" si="15"/>
        <v>106070.49715772543</v>
      </c>
      <c r="R31" s="101">
        <f t="shared" si="15"/>
        <v>106070.49715772543</v>
      </c>
      <c r="S31" s="101">
        <f t="shared" si="15"/>
        <v>106070.49715772543</v>
      </c>
      <c r="T31" s="101">
        <f t="shared" si="15"/>
        <v>106070.49715772543</v>
      </c>
      <c r="U31" s="101">
        <f t="shared" si="15"/>
        <v>106070.49715772543</v>
      </c>
      <c r="V31" s="101">
        <f t="shared" si="15"/>
        <v>106070.49715772543</v>
      </c>
      <c r="W31" s="101">
        <f t="shared" si="15"/>
        <v>106070.49715772543</v>
      </c>
      <c r="X31" s="101">
        <f t="shared" si="15"/>
        <v>106070.49715772543</v>
      </c>
      <c r="Y31" s="101">
        <f t="shared" si="15"/>
        <v>106070.49715772543</v>
      </c>
      <c r="Z31" s="101">
        <f t="shared" si="15"/>
        <v>106070.49715772543</v>
      </c>
      <c r="AA31" s="101">
        <f t="shared" si="15"/>
        <v>106070.49715772543</v>
      </c>
      <c r="AB31" s="101">
        <f t="shared" si="15"/>
        <v>106070.49715772543</v>
      </c>
      <c r="AC31" s="101">
        <f t="shared" si="15"/>
        <v>106070.49715772543</v>
      </c>
      <c r="AD31" s="101">
        <f t="shared" si="15"/>
        <v>106070.49715772543</v>
      </c>
      <c r="AE31" s="101">
        <f t="shared" si="15"/>
        <v>106070.49715772543</v>
      </c>
      <c r="AF31" s="101">
        <f t="shared" si="15"/>
        <v>106070.49715772543</v>
      </c>
      <c r="AG31" s="101">
        <f t="shared" si="15"/>
        <v>106070.49715772543</v>
      </c>
      <c r="AL31" s="102"/>
      <c r="AM31" s="2"/>
      <c r="AN31" s="2"/>
      <c r="AO31" s="2"/>
    </row>
    <row r="32" spans="1:64" outlineLevel="1">
      <c r="AL32" s="102"/>
      <c r="AM32" s="2"/>
      <c r="AN32" s="2"/>
      <c r="AO32" s="2"/>
    </row>
    <row r="33" spans="1:64" outlineLevel="1">
      <c r="A33" t="s">
        <v>1473</v>
      </c>
      <c r="B33" s="51" t="s">
        <v>126</v>
      </c>
      <c r="C33" s="192">
        <f>'Yearly Butadiene'!D25/'Yearly Butadiene'!D18</f>
        <v>1</v>
      </c>
      <c r="D33" s="192">
        <f>'Yearly Butadiene'!E25/'Yearly Butadiene'!E18</f>
        <v>0.98669999999999991</v>
      </c>
      <c r="E33" s="192">
        <f>'Yearly Butadiene'!F25/'Yearly Butadiene'!F18</f>
        <v>0.97339999999999993</v>
      </c>
      <c r="F33" s="192">
        <f>'Yearly Butadiene'!G25/'Yearly Butadiene'!G18</f>
        <v>0.96009999999999984</v>
      </c>
      <c r="G33" s="192">
        <f>'Yearly Butadiene'!H25/'Yearly Butadiene'!H18</f>
        <v>0.9468000000000002</v>
      </c>
      <c r="H33" s="192">
        <f>'Yearly Butadiene'!I25/'Yearly Butadiene'!I18</f>
        <v>0.9335</v>
      </c>
      <c r="I33" s="192">
        <f>'Yearly Butadiene'!J25/'Yearly Butadiene'!J18</f>
        <v>0.92020000000000013</v>
      </c>
      <c r="J33" s="192">
        <f>'Yearly Butadiene'!K25/'Yearly Butadiene'!K18</f>
        <v>0.90690000000000004</v>
      </c>
      <c r="K33" s="192">
        <f>'Yearly Butadiene'!L25/'Yearly Butadiene'!L18</f>
        <v>0.89359999999999995</v>
      </c>
      <c r="L33" s="192">
        <f>'Yearly Butadiene'!M25/'Yearly Butadiene'!M18</f>
        <v>0.88029999999999997</v>
      </c>
      <c r="M33" s="192">
        <f>'Yearly Butadiene'!N25/'Yearly Butadiene'!N18</f>
        <v>0.86699999999999988</v>
      </c>
      <c r="N33" s="192">
        <f>'Yearly Butadiene'!O25/'Yearly Butadiene'!O18</f>
        <v>0.84336400000000011</v>
      </c>
      <c r="O33" s="192">
        <f>'Yearly Butadiene'!P25/'Yearly Butadiene'!P18</f>
        <v>0.823237</v>
      </c>
      <c r="P33" s="192">
        <f>'Yearly Butadiene'!Q25/'Yearly Butadiene'!Q18</f>
        <v>0.79923800000000012</v>
      </c>
      <c r="Q33" s="192">
        <f>'Yearly Butadiene'!R25/'Yearly Butadiene'!R18</f>
        <v>0.7752389999999999</v>
      </c>
      <c r="R33" s="192">
        <f>'Yearly Butadiene'!S25/'Yearly Butadiene'!S18</f>
        <v>0.75124000000000013</v>
      </c>
      <c r="S33" s="192">
        <f>'Yearly Butadiene'!T25/'Yearly Butadiene'!T18</f>
        <v>0.72724100000000003</v>
      </c>
      <c r="T33" s="192">
        <f>'Yearly Butadiene'!U25/'Yearly Butadiene'!U18</f>
        <v>0.70324200000000003</v>
      </c>
      <c r="U33" s="192">
        <f>'Yearly Butadiene'!V25/'Yearly Butadiene'!V18</f>
        <v>0.67924300000000004</v>
      </c>
      <c r="V33" s="192">
        <f>'Yearly Butadiene'!W25/'Yearly Butadiene'!W18</f>
        <v>0.65524400000000005</v>
      </c>
      <c r="W33" s="192">
        <f>'Yearly Butadiene'!X25/'Yearly Butadiene'!X18</f>
        <v>0.63124500000000006</v>
      </c>
      <c r="X33" s="192">
        <f>'Yearly Butadiene'!Y25/'Yearly Butadiene'!Y18</f>
        <v>0.59561700000000006</v>
      </c>
      <c r="Y33" s="192">
        <f>'Yearly Butadiene'!Z25/'Yearly Butadiene'!Z18</f>
        <v>0.57110400000000006</v>
      </c>
      <c r="Z33" s="192">
        <f>'Yearly Butadiene'!AA25/'Yearly Butadiene'!AA18</f>
        <v>0.54659100000000005</v>
      </c>
      <c r="AA33" s="192">
        <f>'Yearly Butadiene'!AB25/'Yearly Butadiene'!AB18</f>
        <v>0.52207800000000004</v>
      </c>
      <c r="AB33" s="192">
        <f>'Yearly Butadiene'!AC25/'Yearly Butadiene'!AC18</f>
        <v>0.49756500000000009</v>
      </c>
      <c r="AC33" s="192">
        <f>'Yearly Butadiene'!AD25/'Yearly Butadiene'!AD18</f>
        <v>0.47305200000000003</v>
      </c>
      <c r="AD33" s="192">
        <f>'Yearly Butadiene'!AE25/'Yearly Butadiene'!AE18</f>
        <v>0.44853900000000002</v>
      </c>
      <c r="AE33" s="192">
        <f>'Yearly Butadiene'!AF25/'Yearly Butadiene'!AF18</f>
        <v>0.42402600000000007</v>
      </c>
      <c r="AF33" s="192">
        <f>'Yearly Butadiene'!AG25/'Yearly Butadiene'!AG18</f>
        <v>0.39951299999999995</v>
      </c>
      <c r="AG33" s="192">
        <f>'Yearly Butadiene'!AH25/'Yearly Butadiene'!AH18</f>
        <v>0.375</v>
      </c>
      <c r="AL33" s="102"/>
      <c r="AM33" s="194"/>
      <c r="AN33" s="194"/>
      <c r="AO33" s="194"/>
      <c r="BC33" s="1"/>
      <c r="BD33" s="550"/>
      <c r="BE33" s="550"/>
      <c r="BF33" s="550"/>
      <c r="BG33" s="550"/>
      <c r="BH33" s="550"/>
      <c r="BI33" s="550"/>
      <c r="BJ33" s="550"/>
      <c r="BK33" s="550"/>
    </row>
    <row r="34" spans="1:64" outlineLevel="1">
      <c r="A34" t="s">
        <v>1474</v>
      </c>
      <c r="B34" s="51" t="s">
        <v>126</v>
      </c>
      <c r="C34" s="192">
        <f>'Yearly Butadiene'!D17/'Yearly Butadiene'!D10</f>
        <v>1</v>
      </c>
      <c r="D34" s="192">
        <f>'Yearly Butadiene'!E17/'Yearly Butadiene'!E10</f>
        <v>0.99460000000000004</v>
      </c>
      <c r="E34" s="192">
        <f>'Yearly Butadiene'!F17/'Yearly Butadiene'!F10</f>
        <v>0.98919999999999997</v>
      </c>
      <c r="F34" s="192">
        <f>'Yearly Butadiene'!G17/'Yearly Butadiene'!G10</f>
        <v>0.98380000000000001</v>
      </c>
      <c r="G34" s="192">
        <f>'Yearly Butadiene'!H17/'Yearly Butadiene'!H10</f>
        <v>0.97839999999999994</v>
      </c>
      <c r="H34" s="192">
        <f>'Yearly Butadiene'!I17/'Yearly Butadiene'!I10</f>
        <v>0.97299999999999998</v>
      </c>
      <c r="I34" s="192">
        <f>'Yearly Butadiene'!J17/'Yearly Butadiene'!J10</f>
        <v>0.96760000000000013</v>
      </c>
      <c r="J34" s="192">
        <f>'Yearly Butadiene'!K17/'Yearly Butadiene'!K10</f>
        <v>0.96220000000000006</v>
      </c>
      <c r="K34" s="192">
        <f>'Yearly Butadiene'!L17/'Yearly Butadiene'!L10</f>
        <v>0.95680000000000009</v>
      </c>
      <c r="L34" s="192">
        <f>'Yearly Butadiene'!M17/'Yearly Butadiene'!M10</f>
        <v>0.95140000000000002</v>
      </c>
      <c r="M34" s="192">
        <f>'Yearly Butadiene'!N17/'Yearly Butadiene'!N10</f>
        <v>0.94600000000000006</v>
      </c>
      <c r="N34" s="192">
        <f>'Yearly Butadiene'!O17/'Yearly Butadiene'!O10</f>
        <v>0.92979999999999996</v>
      </c>
      <c r="O34" s="192">
        <f>'Yearly Butadiene'!P17/'Yearly Butadiene'!P10</f>
        <v>0.91359999999999997</v>
      </c>
      <c r="P34" s="192">
        <f>'Yearly Butadiene'!Q17/'Yearly Butadiene'!Q10</f>
        <v>0.89740000000000009</v>
      </c>
      <c r="Q34" s="192">
        <f>'Yearly Butadiene'!R17/'Yearly Butadiene'!R10</f>
        <v>0.88119999999999998</v>
      </c>
      <c r="R34" s="192">
        <f>'Yearly Butadiene'!S17/'Yearly Butadiene'!S10</f>
        <v>0.86499999999999999</v>
      </c>
      <c r="S34" s="192">
        <f>'Yearly Butadiene'!T17/'Yearly Butadiene'!T10</f>
        <v>0.84879999999999989</v>
      </c>
      <c r="T34" s="192">
        <f>'Yearly Butadiene'!U17/'Yearly Butadiene'!U10</f>
        <v>0.83260000000000001</v>
      </c>
      <c r="U34" s="192">
        <f>'Yearly Butadiene'!V17/'Yearly Butadiene'!V10</f>
        <v>0.81640000000000001</v>
      </c>
      <c r="V34" s="192">
        <f>'Yearly Butadiene'!W17/'Yearly Butadiene'!W10</f>
        <v>0.80019999999999991</v>
      </c>
      <c r="W34" s="192">
        <f>'Yearly Butadiene'!X17/'Yearly Butadiene'!X10</f>
        <v>0.78399999999999992</v>
      </c>
      <c r="X34" s="192">
        <f>'Yearly Butadiene'!Y17/'Yearly Butadiene'!Y10</f>
        <v>0.75160000000000005</v>
      </c>
      <c r="Y34" s="192">
        <f>'Yearly Butadiene'!Z17/'Yearly Butadiene'!Z10</f>
        <v>0.71919999999999995</v>
      </c>
      <c r="Z34" s="192">
        <f>'Yearly Butadiene'!AA17/'Yearly Butadiene'!AA10</f>
        <v>0.68679999999999997</v>
      </c>
      <c r="AA34" s="192">
        <f>'Yearly Butadiene'!AB17/'Yearly Butadiene'!AB10</f>
        <v>0.65439999999999998</v>
      </c>
      <c r="AB34" s="192">
        <f>'Yearly Butadiene'!AC17/'Yearly Butadiene'!AC10</f>
        <v>0.62200000000000011</v>
      </c>
      <c r="AC34" s="192">
        <f>'Yearly Butadiene'!AD17/'Yearly Butadiene'!AD10</f>
        <v>0.58960000000000001</v>
      </c>
      <c r="AD34" s="192">
        <f>'Yearly Butadiene'!AE17/'Yearly Butadiene'!AE10</f>
        <v>0.55720000000000003</v>
      </c>
      <c r="AE34" s="192">
        <f>'Yearly Butadiene'!AF17/'Yearly Butadiene'!AF10</f>
        <v>0.52480000000000004</v>
      </c>
      <c r="AF34" s="192">
        <f>'Yearly Butadiene'!AG17/'Yearly Butadiene'!AG10</f>
        <v>0.49240000000000006</v>
      </c>
      <c r="AG34" s="192">
        <f>'Yearly Butadiene'!AH17/'Yearly Butadiene'!AH10</f>
        <v>0.45999999999999996</v>
      </c>
      <c r="AL34" s="102"/>
      <c r="AM34" s="194"/>
      <c r="AN34" s="194"/>
      <c r="AO34" s="194"/>
      <c r="BL34" s="1"/>
    </row>
    <row r="35" spans="1:64" outlineLevel="1">
      <c r="A35" t="s">
        <v>1475</v>
      </c>
      <c r="B35" s="51" t="s">
        <v>126</v>
      </c>
      <c r="C35" s="192">
        <f>'Yearly Butadiene'!D29/'Yearly Butadiene'!D26</f>
        <v>1</v>
      </c>
      <c r="D35" s="192">
        <f>'Yearly Butadiene'!E29/'Yearly Butadiene'!E26</f>
        <v>0.98185</v>
      </c>
      <c r="E35" s="192">
        <f>'Yearly Butadiene'!F29/'Yearly Butadiene'!F26</f>
        <v>0.96369999999999989</v>
      </c>
      <c r="F35" s="192">
        <f>'Yearly Butadiene'!G29/'Yearly Butadiene'!G26</f>
        <v>0.94555000000000011</v>
      </c>
      <c r="G35" s="192">
        <f>'Yearly Butadiene'!H29/'Yearly Butadiene'!H26</f>
        <v>0.9274</v>
      </c>
      <c r="H35" s="192">
        <f>'Yearly Butadiene'!I29/'Yearly Butadiene'!I26</f>
        <v>0.90925</v>
      </c>
      <c r="I35" s="192">
        <f>'Yearly Butadiene'!J29/'Yearly Butadiene'!J26</f>
        <v>0.8911</v>
      </c>
      <c r="J35" s="192">
        <f>'Yearly Butadiene'!K29/'Yearly Butadiene'!K26</f>
        <v>0.87295</v>
      </c>
      <c r="K35" s="192">
        <f>'Yearly Butadiene'!L29/'Yearly Butadiene'!L26</f>
        <v>0.85479999999999989</v>
      </c>
      <c r="L35" s="192">
        <f>'Yearly Butadiene'!M29/'Yearly Butadiene'!M26</f>
        <v>0.83664999999999989</v>
      </c>
      <c r="M35" s="192">
        <f>'Yearly Butadiene'!N29/'Yearly Butadiene'!N26</f>
        <v>0.81850000000000001</v>
      </c>
      <c r="N35" s="192">
        <f>'Yearly Butadiene'!O29/'Yearly Butadiene'!O26</f>
        <v>0.80035000000000001</v>
      </c>
      <c r="O35" s="192">
        <f>'Yearly Butadiene'!P29/'Yearly Butadiene'!P26</f>
        <v>0.78220000000000001</v>
      </c>
      <c r="P35" s="192">
        <f>'Yearly Butadiene'!Q29/'Yearly Butadiene'!Q26</f>
        <v>0.76405000000000001</v>
      </c>
      <c r="Q35" s="192">
        <f>'Yearly Butadiene'!R29/'Yearly Butadiene'!R26</f>
        <v>0.7458999999999999</v>
      </c>
      <c r="R35" s="192">
        <f>'Yearly Butadiene'!S29/'Yearly Butadiene'!S26</f>
        <v>0.72775000000000001</v>
      </c>
      <c r="S35" s="192">
        <f>'Yearly Butadiene'!T29/'Yearly Butadiene'!T26</f>
        <v>0.7095999999999999</v>
      </c>
      <c r="T35" s="192">
        <f>'Yearly Butadiene'!U29/'Yearly Butadiene'!U26</f>
        <v>0.69145000000000001</v>
      </c>
      <c r="U35" s="192">
        <f>'Yearly Butadiene'!V29/'Yearly Butadiene'!V26</f>
        <v>0.67330000000000001</v>
      </c>
      <c r="V35" s="192">
        <f>'Yearly Butadiene'!W29/'Yearly Butadiene'!W26</f>
        <v>0.6551499999999999</v>
      </c>
      <c r="W35" s="192">
        <f>'Yearly Butadiene'!X29/'Yearly Butadiene'!X26</f>
        <v>0.6369999999999999</v>
      </c>
      <c r="X35" s="192">
        <f>'Yearly Butadiene'!Y29/'Yearly Butadiene'!Y26</f>
        <v>0.61829999999999996</v>
      </c>
      <c r="Y35" s="192">
        <f>'Yearly Butadiene'!Z29/'Yearly Butadiene'!Z26</f>
        <v>0.59959999999999991</v>
      </c>
      <c r="Z35" s="192">
        <f>'Yearly Butadiene'!AA29/'Yearly Butadiene'!AA26</f>
        <v>0.58089999999999997</v>
      </c>
      <c r="AA35" s="192">
        <f>'Yearly Butadiene'!AB29/'Yearly Butadiene'!AB26</f>
        <v>0.56219999999999992</v>
      </c>
      <c r="AB35" s="192">
        <f>'Yearly Butadiene'!AC29/'Yearly Butadiene'!AC26</f>
        <v>0.54349999999999987</v>
      </c>
      <c r="AC35" s="192">
        <f>'Yearly Butadiene'!AD29/'Yearly Butadiene'!AD26</f>
        <v>0.52479999999999993</v>
      </c>
      <c r="AD35" s="192">
        <f>'Yearly Butadiene'!AE29/'Yearly Butadiene'!AE26</f>
        <v>0.50609999999999988</v>
      </c>
      <c r="AE35" s="192">
        <f>'Yearly Butadiene'!AF29/'Yearly Butadiene'!AF26</f>
        <v>0.4874</v>
      </c>
      <c r="AF35" s="192">
        <f>'Yearly Butadiene'!AG29/'Yearly Butadiene'!AG26</f>
        <v>0.46869999999999995</v>
      </c>
      <c r="AG35" s="192">
        <f>'Yearly Butadiene'!AH29/'Yearly Butadiene'!AH26</f>
        <v>0.44999999999999996</v>
      </c>
      <c r="AL35" s="102"/>
      <c r="AM35" s="194"/>
      <c r="AN35" s="194"/>
      <c r="AO35" s="194"/>
      <c r="BD35" s="38"/>
      <c r="BE35" s="38"/>
      <c r="BF35" s="38"/>
      <c r="BG35" s="38"/>
      <c r="BH35" s="38"/>
      <c r="BI35" s="38"/>
      <c r="BJ35" s="38"/>
      <c r="BK35" s="38"/>
      <c r="BL35" s="112"/>
    </row>
    <row r="36" spans="1:64" outlineLevel="1">
      <c r="A36" t="s">
        <v>1476</v>
      </c>
      <c r="B36" s="51" t="s">
        <v>126</v>
      </c>
      <c r="C36" s="192">
        <f>'Yearly Butadiene'!D35/'Yearly Butadiene'!D30</f>
        <v>1</v>
      </c>
      <c r="D36" s="192">
        <f>'Yearly Butadiene'!E35/'Yearly Butadiene'!E30</f>
        <v>0.96909999999999996</v>
      </c>
      <c r="E36" s="192">
        <f>'Yearly Butadiene'!F35/'Yearly Butadiene'!F30</f>
        <v>0.93819999999999992</v>
      </c>
      <c r="F36" s="192">
        <f>'Yearly Butadiene'!G35/'Yearly Butadiene'!G30</f>
        <v>0.90729999999999988</v>
      </c>
      <c r="G36" s="192">
        <f>'Yearly Butadiene'!H35/'Yearly Butadiene'!H30</f>
        <v>0.87640000000000007</v>
      </c>
      <c r="H36" s="192">
        <f>'Yearly Butadiene'!I35/'Yearly Butadiene'!I30</f>
        <v>0.84550000000000003</v>
      </c>
      <c r="I36" s="192">
        <f>'Yearly Butadiene'!J35/'Yearly Butadiene'!J30</f>
        <v>0.8146000000000001</v>
      </c>
      <c r="J36" s="192">
        <f>'Yearly Butadiene'!K35/'Yearly Butadiene'!K30</f>
        <v>0.78370000000000006</v>
      </c>
      <c r="K36" s="192">
        <f>'Yearly Butadiene'!L35/'Yearly Butadiene'!L30</f>
        <v>0.75280000000000002</v>
      </c>
      <c r="L36" s="192">
        <f>'Yearly Butadiene'!M35/'Yearly Butadiene'!M30</f>
        <v>0.7219000000000001</v>
      </c>
      <c r="M36" s="192">
        <f>'Yearly Butadiene'!N35/'Yearly Butadiene'!N30</f>
        <v>0.69100000000000006</v>
      </c>
      <c r="N36" s="192">
        <f>'Yearly Butadiene'!O35/'Yearly Butadiene'!O30</f>
        <v>0.66919999999999991</v>
      </c>
      <c r="O36" s="192">
        <f>'Yearly Butadiene'!P35/'Yearly Butadiene'!P30</f>
        <v>0.64739999999999998</v>
      </c>
      <c r="P36" s="192">
        <f>'Yearly Butadiene'!Q35/'Yearly Butadiene'!Q30</f>
        <v>0.62560000000000004</v>
      </c>
      <c r="Q36" s="192">
        <f>'Yearly Butadiene'!R35/'Yearly Butadiene'!R30</f>
        <v>0.6038</v>
      </c>
      <c r="R36" s="192">
        <f>'Yearly Butadiene'!S35/'Yearly Butadiene'!S30</f>
        <v>0.58200000000000007</v>
      </c>
      <c r="S36" s="192">
        <f>'Yearly Butadiene'!T35/'Yearly Butadiene'!T30</f>
        <v>0.56019999999999992</v>
      </c>
      <c r="T36" s="192">
        <f>'Yearly Butadiene'!U35/'Yearly Butadiene'!U30</f>
        <v>0.53839999999999999</v>
      </c>
      <c r="U36" s="192">
        <f>'Yearly Butadiene'!V35/'Yearly Butadiene'!V30</f>
        <v>0.51659999999999995</v>
      </c>
      <c r="V36" s="192">
        <f>'Yearly Butadiene'!W35/'Yearly Butadiene'!W30</f>
        <v>0.49479999999999996</v>
      </c>
      <c r="W36" s="192">
        <f>'Yearly Butadiene'!X35/'Yearly Butadiene'!X30</f>
        <v>0.47299999999999998</v>
      </c>
      <c r="X36" s="192">
        <f>'Yearly Butadiene'!Y35/'Yearly Butadiene'!Y30</f>
        <v>0.44669999999999987</v>
      </c>
      <c r="Y36" s="192">
        <f>'Yearly Butadiene'!Z35/'Yearly Butadiene'!Z30</f>
        <v>0.4204</v>
      </c>
      <c r="Z36" s="192">
        <f>'Yearly Butadiene'!AA35/'Yearly Butadiene'!AA30</f>
        <v>0.39409999999999995</v>
      </c>
      <c r="AA36" s="192">
        <f>'Yearly Butadiene'!AB35/'Yearly Butadiene'!AB30</f>
        <v>0.3677999999999999</v>
      </c>
      <c r="AB36" s="192">
        <f>'Yearly Butadiene'!AC35/'Yearly Butadiene'!AC30</f>
        <v>0.34150000000000003</v>
      </c>
      <c r="AC36" s="192">
        <f>'Yearly Butadiene'!AD35/'Yearly Butadiene'!AD30</f>
        <v>0.31519999999999987</v>
      </c>
      <c r="AD36" s="192">
        <f>'Yearly Butadiene'!AE35/'Yearly Butadiene'!AE30</f>
        <v>0.28889999999999993</v>
      </c>
      <c r="AE36" s="192">
        <f>'Yearly Butadiene'!AF35/'Yearly Butadiene'!AF30</f>
        <v>0.26259999999999989</v>
      </c>
      <c r="AF36" s="192">
        <f>'Yearly Butadiene'!AG35/'Yearly Butadiene'!AG30</f>
        <v>0.23629999999999995</v>
      </c>
      <c r="AG36" s="192">
        <f>'Yearly Butadiene'!AH35/'Yearly Butadiene'!AH30</f>
        <v>0.21</v>
      </c>
      <c r="AL36" s="102"/>
      <c r="AM36" s="194"/>
      <c r="AN36" s="194"/>
      <c r="AO36" s="194"/>
      <c r="BD36" s="38"/>
      <c r="BE36" s="38"/>
      <c r="BF36" s="38"/>
      <c r="BG36" s="38"/>
      <c r="BH36" s="38"/>
      <c r="BI36" s="38"/>
      <c r="BJ36" s="38"/>
      <c r="BK36" s="38"/>
      <c r="BL36" s="112"/>
    </row>
    <row r="37" spans="1:64" outlineLevel="1">
      <c r="A37" t="s">
        <v>1477</v>
      </c>
      <c r="B37" s="165" t="s">
        <v>126</v>
      </c>
      <c r="C37" s="148">
        <f>'Yearly Butadiene'!D39/'Yearly Butadiene'!D36</f>
        <v>1</v>
      </c>
      <c r="D37" s="148">
        <f>'Yearly Butadiene'!E39/'Yearly Butadiene'!E36</f>
        <v>0.99340000000000017</v>
      </c>
      <c r="E37" s="148">
        <f>'Yearly Butadiene'!F39/'Yearly Butadiene'!F36</f>
        <v>0.98680000000000001</v>
      </c>
      <c r="F37" s="148">
        <f>'Yearly Butadiene'!G39/'Yearly Butadiene'!G36</f>
        <v>0.98020000000000007</v>
      </c>
      <c r="G37" s="148">
        <f>'Yearly Butadiene'!H39/'Yearly Butadiene'!H36</f>
        <v>0.97360000000000002</v>
      </c>
      <c r="H37" s="148">
        <f>'Yearly Butadiene'!I39/'Yearly Butadiene'!I36</f>
        <v>0.96700000000000008</v>
      </c>
      <c r="I37" s="148">
        <f>'Yearly Butadiene'!J39/'Yearly Butadiene'!J36</f>
        <v>0.96039999999999992</v>
      </c>
      <c r="J37" s="148">
        <f>'Yearly Butadiene'!K39/'Yearly Butadiene'!K36</f>
        <v>0.95380000000000009</v>
      </c>
      <c r="K37" s="148">
        <f>'Yearly Butadiene'!L39/'Yearly Butadiene'!L36</f>
        <v>0.94719999999999993</v>
      </c>
      <c r="L37" s="148">
        <f>'Yearly Butadiene'!M39/'Yearly Butadiene'!M36</f>
        <v>0.9406000000000001</v>
      </c>
      <c r="M37" s="148">
        <f>'Yearly Butadiene'!N39/'Yearly Butadiene'!N36</f>
        <v>0.93399999999999994</v>
      </c>
      <c r="N37" s="148">
        <f>'Yearly Butadiene'!O39/'Yearly Butadiene'!O36</f>
        <v>0.9274</v>
      </c>
      <c r="O37" s="148">
        <f>'Yearly Butadiene'!P39/'Yearly Butadiene'!P36</f>
        <v>0.92079999999999995</v>
      </c>
      <c r="P37" s="148">
        <f>'Yearly Butadiene'!Q39/'Yearly Butadiene'!Q36</f>
        <v>0.91420000000000001</v>
      </c>
      <c r="Q37" s="148">
        <f>'Yearly Butadiene'!R39/'Yearly Butadiene'!R36</f>
        <v>0.90760000000000007</v>
      </c>
      <c r="R37" s="148">
        <f>'Yearly Butadiene'!S39/'Yearly Butadiene'!S36</f>
        <v>0.90100000000000002</v>
      </c>
      <c r="S37" s="148">
        <f>'Yearly Butadiene'!T39/'Yearly Butadiene'!T36</f>
        <v>0.89439999999999997</v>
      </c>
      <c r="T37" s="148">
        <f>'Yearly Butadiene'!U39/'Yearly Butadiene'!U36</f>
        <v>0.88780000000000003</v>
      </c>
      <c r="U37" s="148">
        <f>'Yearly Butadiene'!V39/'Yearly Butadiene'!V36</f>
        <v>0.88119999999999998</v>
      </c>
      <c r="V37" s="148">
        <f>'Yearly Butadiene'!W39/'Yearly Butadiene'!W36</f>
        <v>0.87459999999999993</v>
      </c>
      <c r="W37" s="148">
        <f>'Yearly Butadiene'!X39/'Yearly Butadiene'!X36</f>
        <v>0.86799999999999999</v>
      </c>
      <c r="X37" s="148">
        <f>'Yearly Butadiene'!Y39/'Yearly Butadiene'!Y36</f>
        <v>0.86120000000000008</v>
      </c>
      <c r="Y37" s="148">
        <f>'Yearly Butadiene'!Z39/'Yearly Butadiene'!Z36</f>
        <v>0.85439999999999994</v>
      </c>
      <c r="Z37" s="148">
        <f>'Yearly Butadiene'!AA39/'Yearly Butadiene'!AA36</f>
        <v>0.84760000000000002</v>
      </c>
      <c r="AA37" s="148">
        <f>'Yearly Butadiene'!AB39/'Yearly Butadiene'!AB36</f>
        <v>0.84079999999999999</v>
      </c>
      <c r="AB37" s="148">
        <f>'Yearly Butadiene'!AC39/'Yearly Butadiene'!AC36</f>
        <v>0.83399999999999996</v>
      </c>
      <c r="AC37" s="148">
        <f>'Yearly Butadiene'!AD39/'Yearly Butadiene'!AD36</f>
        <v>0.82720000000000005</v>
      </c>
      <c r="AD37" s="148">
        <f>'Yearly Butadiene'!AE39/'Yearly Butadiene'!AE36</f>
        <v>0.82040000000000002</v>
      </c>
      <c r="AE37" s="148">
        <f>'Yearly Butadiene'!AF39/'Yearly Butadiene'!AF36</f>
        <v>0.81359999999999999</v>
      </c>
      <c r="AF37" s="148">
        <f>'Yearly Butadiene'!AG39/'Yearly Butadiene'!AG36</f>
        <v>0.80679999999999996</v>
      </c>
      <c r="AG37" s="148">
        <f>'Yearly Butadiene'!AH39/'Yearly Butadiene'!AH36</f>
        <v>0.8</v>
      </c>
      <c r="AI37" s="124"/>
      <c r="AL37" s="102"/>
      <c r="AM37" s="194"/>
      <c r="AN37" s="194"/>
      <c r="AO37" s="194"/>
      <c r="BD37" s="38"/>
      <c r="BE37" s="38"/>
      <c r="BF37" s="38"/>
      <c r="BG37" s="38"/>
      <c r="BH37" s="38"/>
      <c r="BI37" s="38"/>
      <c r="BJ37" s="38"/>
      <c r="BK37" s="38"/>
      <c r="BL37" s="112"/>
    </row>
    <row r="38" spans="1:64" outlineLevel="1">
      <c r="AI38" t="s">
        <v>421</v>
      </c>
      <c r="BD38" s="38"/>
      <c r="BE38" s="38"/>
      <c r="BF38" s="38"/>
      <c r="BG38" s="38"/>
      <c r="BH38" s="38"/>
      <c r="BI38" s="38"/>
      <c r="BJ38" s="38"/>
      <c r="BK38" s="38"/>
      <c r="BL38" s="112"/>
    </row>
    <row r="39" spans="1:64" outlineLevel="1">
      <c r="A39" t="s">
        <v>1478</v>
      </c>
      <c r="B39" s="51" t="s">
        <v>1513</v>
      </c>
      <c r="C39" s="101">
        <f>C24*C33</f>
        <v>2962.5386753115972</v>
      </c>
      <c r="D39" s="101">
        <f t="shared" ref="D39:AF39" si="16">D24*D33</f>
        <v>2923.1369109299526</v>
      </c>
      <c r="E39" s="101">
        <f t="shared" si="16"/>
        <v>2883.7351465483084</v>
      </c>
      <c r="F39" s="101">
        <f t="shared" si="16"/>
        <v>2844.3333821666638</v>
      </c>
      <c r="G39" s="101">
        <f t="shared" si="16"/>
        <v>2804.931617785021</v>
      </c>
      <c r="H39" s="101">
        <f t="shared" si="16"/>
        <v>2765.5298534033759</v>
      </c>
      <c r="I39" s="101">
        <f t="shared" si="16"/>
        <v>2726.1280890217322</v>
      </c>
      <c r="J39" s="101">
        <f t="shared" si="16"/>
        <v>2686.7263246400876</v>
      </c>
      <c r="K39" s="101">
        <f t="shared" si="16"/>
        <v>2647.3245602584429</v>
      </c>
      <c r="L39" s="101">
        <f t="shared" si="16"/>
        <v>2607.9227958767988</v>
      </c>
      <c r="M39" s="101">
        <f t="shared" si="16"/>
        <v>2568.5210314951546</v>
      </c>
      <c r="N39" s="101">
        <f t="shared" si="16"/>
        <v>2498.4984673654903</v>
      </c>
      <c r="O39" s="101">
        <f t="shared" si="16"/>
        <v>2438.8714514474932</v>
      </c>
      <c r="P39" s="101">
        <f t="shared" si="16"/>
        <v>2367.7734857786909</v>
      </c>
      <c r="Q39" s="101">
        <f t="shared" si="16"/>
        <v>2296.6755201098872</v>
      </c>
      <c r="R39" s="101">
        <f t="shared" si="16"/>
        <v>2225.5775544410849</v>
      </c>
      <c r="S39" s="101">
        <f t="shared" si="16"/>
        <v>2154.4795887722812</v>
      </c>
      <c r="T39" s="101">
        <f t="shared" si="16"/>
        <v>2083.3816231034784</v>
      </c>
      <c r="U39" s="101">
        <f t="shared" si="16"/>
        <v>2012.2836574346754</v>
      </c>
      <c r="V39" s="101">
        <f t="shared" si="16"/>
        <v>1941.1856917658724</v>
      </c>
      <c r="W39" s="101">
        <f t="shared" si="16"/>
        <v>1870.0877260970694</v>
      </c>
      <c r="X39" s="101">
        <f t="shared" si="16"/>
        <v>1764.5383981730679</v>
      </c>
      <c r="Y39" s="101">
        <f t="shared" si="16"/>
        <v>1691.9176876251545</v>
      </c>
      <c r="Z39" s="101">
        <f t="shared" si="16"/>
        <v>1619.2969770772413</v>
      </c>
      <c r="AA39" s="101">
        <f t="shared" si="16"/>
        <v>1546.6762665293281</v>
      </c>
      <c r="AB39" s="101">
        <f t="shared" si="16"/>
        <v>1474.0555559814152</v>
      </c>
      <c r="AC39" s="101">
        <f t="shared" si="16"/>
        <v>1401.4348454335018</v>
      </c>
      <c r="AD39" s="101">
        <f t="shared" si="16"/>
        <v>1328.8141348855886</v>
      </c>
      <c r="AE39" s="101">
        <f t="shared" si="16"/>
        <v>1256.1934243376754</v>
      </c>
      <c r="AF39" s="101">
        <f t="shared" si="16"/>
        <v>1183.572713789762</v>
      </c>
      <c r="AG39" s="101">
        <f>AG24*AG33</f>
        <v>1110.9520032418491</v>
      </c>
      <c r="AI39" s="197" t="s">
        <v>281</v>
      </c>
      <c r="AJ39" s="198" t="s">
        <v>422</v>
      </c>
      <c r="BD39" s="38"/>
      <c r="BE39" s="38"/>
      <c r="BF39" s="38"/>
      <c r="BG39" s="38"/>
      <c r="BH39" s="38"/>
      <c r="BI39" s="38"/>
      <c r="BJ39" s="38"/>
      <c r="BK39" s="38"/>
      <c r="BL39" s="112"/>
    </row>
    <row r="40" spans="1:64" outlineLevel="1">
      <c r="A40" t="s">
        <v>1479</v>
      </c>
      <c r="B40" s="51" t="s">
        <v>1513</v>
      </c>
      <c r="C40" s="101">
        <f>C25*$C$34</f>
        <v>58105.321893626904</v>
      </c>
      <c r="D40" s="101">
        <f t="shared" ref="D40:O40" si="17">D25*$C$34</f>
        <v>58105.321893626904</v>
      </c>
      <c r="E40" s="101">
        <f t="shared" si="17"/>
        <v>58105.321893626904</v>
      </c>
      <c r="F40" s="101">
        <f t="shared" si="17"/>
        <v>58105.321893626904</v>
      </c>
      <c r="G40" s="101">
        <f t="shared" si="17"/>
        <v>58105.321893626904</v>
      </c>
      <c r="H40" s="101">
        <f t="shared" si="17"/>
        <v>58105.321893626904</v>
      </c>
      <c r="I40" s="101">
        <f t="shared" si="17"/>
        <v>58105.321893626904</v>
      </c>
      <c r="J40" s="101">
        <f t="shared" si="17"/>
        <v>58105.321893626904</v>
      </c>
      <c r="K40" s="101">
        <f t="shared" si="17"/>
        <v>58105.321893626904</v>
      </c>
      <c r="L40" s="101">
        <f t="shared" si="17"/>
        <v>58105.321893626904</v>
      </c>
      <c r="M40" s="101">
        <f t="shared" si="17"/>
        <v>58105.321893626904</v>
      </c>
      <c r="N40" s="101">
        <f t="shared" si="17"/>
        <v>58105.321893626904</v>
      </c>
      <c r="O40" s="101">
        <f t="shared" si="17"/>
        <v>58105.321893626904</v>
      </c>
      <c r="P40" s="101">
        <f t="shared" ref="P40:AG40" si="18">D34*P25</f>
        <v>57791.553155401321</v>
      </c>
      <c r="Q40" s="101">
        <f t="shared" si="18"/>
        <v>57477.784417175732</v>
      </c>
      <c r="R40" s="101">
        <f t="shared" si="18"/>
        <v>57164.015678950149</v>
      </c>
      <c r="S40" s="101">
        <f t="shared" si="18"/>
        <v>56850.246940724559</v>
      </c>
      <c r="T40" s="101">
        <f t="shared" si="18"/>
        <v>56536.478202498976</v>
      </c>
      <c r="U40" s="101">
        <f t="shared" si="18"/>
        <v>56222.709464273401</v>
      </c>
      <c r="V40" s="101">
        <f t="shared" si="18"/>
        <v>55908.940726047811</v>
      </c>
      <c r="W40" s="101">
        <f t="shared" si="18"/>
        <v>55595.171987822228</v>
      </c>
      <c r="X40" s="101">
        <f t="shared" si="18"/>
        <v>55281.403249596638</v>
      </c>
      <c r="Y40" s="101">
        <f t="shared" si="18"/>
        <v>54967.634511371056</v>
      </c>
      <c r="Z40" s="101">
        <f t="shared" si="18"/>
        <v>54026.328296694293</v>
      </c>
      <c r="AA40" s="101">
        <f t="shared" si="18"/>
        <v>53085.022082017538</v>
      </c>
      <c r="AB40" s="101">
        <f t="shared" si="18"/>
        <v>52143.71586734079</v>
      </c>
      <c r="AC40" s="101">
        <f t="shared" si="18"/>
        <v>51202.409652664028</v>
      </c>
      <c r="AD40" s="101">
        <f t="shared" si="18"/>
        <v>50261.103437987273</v>
      </c>
      <c r="AE40" s="101">
        <f t="shared" si="18"/>
        <v>49319.79722331051</v>
      </c>
      <c r="AF40" s="101">
        <f t="shared" si="18"/>
        <v>48378.491008633762</v>
      </c>
      <c r="AG40" s="101">
        <f t="shared" si="18"/>
        <v>47437.184793957007</v>
      </c>
      <c r="AI40" s="197" t="s">
        <v>282</v>
      </c>
      <c r="AJ40" s="198" t="s">
        <v>422</v>
      </c>
      <c r="BD40" s="38"/>
      <c r="BE40" s="38"/>
      <c r="BF40" s="38"/>
      <c r="BG40" s="38"/>
      <c r="BH40" s="38"/>
      <c r="BI40" s="38"/>
      <c r="BJ40" s="38"/>
      <c r="BK40" s="38"/>
      <c r="BL40" s="112"/>
    </row>
    <row r="41" spans="1:64" outlineLevel="1">
      <c r="A41" t="s">
        <v>1480</v>
      </c>
      <c r="B41" s="51" t="s">
        <v>1513</v>
      </c>
      <c r="C41" s="101">
        <f t="shared" ref="C41:AG41" si="19">C26</f>
        <v>1093.3845936328453</v>
      </c>
      <c r="D41" s="101">
        <f t="shared" si="19"/>
        <v>1093.3845936328453</v>
      </c>
      <c r="E41" s="101">
        <f t="shared" si="19"/>
        <v>1093.3845936328453</v>
      </c>
      <c r="F41" s="101">
        <f t="shared" si="19"/>
        <v>1093.3845936328453</v>
      </c>
      <c r="G41" s="101">
        <f t="shared" si="19"/>
        <v>1093.3845936328453</v>
      </c>
      <c r="H41" s="101">
        <f t="shared" si="19"/>
        <v>1093.3845936328453</v>
      </c>
      <c r="I41" s="101">
        <f t="shared" si="19"/>
        <v>1093.3845936328453</v>
      </c>
      <c r="J41" s="101">
        <f t="shared" si="19"/>
        <v>1093.3845936328453</v>
      </c>
      <c r="K41" s="101">
        <f t="shared" si="19"/>
        <v>1093.3845936328453</v>
      </c>
      <c r="L41" s="101">
        <f t="shared" si="19"/>
        <v>1093.3845936328453</v>
      </c>
      <c r="M41" s="101">
        <f t="shared" si="19"/>
        <v>1093.3845936328453</v>
      </c>
      <c r="N41" s="101">
        <f t="shared" si="19"/>
        <v>1093.3845936328453</v>
      </c>
      <c r="O41" s="101">
        <f t="shared" si="19"/>
        <v>1093.3845936328453</v>
      </c>
      <c r="P41" s="101">
        <f t="shared" si="19"/>
        <v>1093.3845936328453</v>
      </c>
      <c r="Q41" s="101">
        <f t="shared" si="19"/>
        <v>1093.3845936328453</v>
      </c>
      <c r="R41" s="101">
        <f t="shared" si="19"/>
        <v>1093.3845936328453</v>
      </c>
      <c r="S41" s="101">
        <f t="shared" si="19"/>
        <v>1093.3845936328453</v>
      </c>
      <c r="T41" s="101">
        <f t="shared" si="19"/>
        <v>1093.3845936328453</v>
      </c>
      <c r="U41" s="101">
        <f t="shared" si="19"/>
        <v>1093.3845936328453</v>
      </c>
      <c r="V41" s="101">
        <f t="shared" si="19"/>
        <v>1093.3845936328453</v>
      </c>
      <c r="W41" s="101">
        <f t="shared" si="19"/>
        <v>1093.3845936328453</v>
      </c>
      <c r="X41" s="101">
        <f t="shared" si="19"/>
        <v>1093.3845936328453</v>
      </c>
      <c r="Y41" s="101">
        <f t="shared" si="19"/>
        <v>1093.3845936328453</v>
      </c>
      <c r="Z41" s="101">
        <f t="shared" si="19"/>
        <v>1093.3845936328453</v>
      </c>
      <c r="AA41" s="101">
        <f t="shared" si="19"/>
        <v>1093.3845936328453</v>
      </c>
      <c r="AB41" s="101">
        <f t="shared" si="19"/>
        <v>1093.3845936328453</v>
      </c>
      <c r="AC41" s="101">
        <f t="shared" si="19"/>
        <v>1093.3845936328453</v>
      </c>
      <c r="AD41" s="101">
        <f t="shared" si="19"/>
        <v>1093.3845936328453</v>
      </c>
      <c r="AE41" s="101">
        <f t="shared" si="19"/>
        <v>1093.3845936328453</v>
      </c>
      <c r="AF41" s="101">
        <f t="shared" si="19"/>
        <v>1093.3845936328453</v>
      </c>
      <c r="AG41" s="101">
        <f t="shared" si="19"/>
        <v>1093.3845936328453</v>
      </c>
      <c r="AI41" s="197" t="s">
        <v>283</v>
      </c>
      <c r="AJ41" s="198" t="s">
        <v>422</v>
      </c>
      <c r="BD41" s="38"/>
      <c r="BE41" s="38"/>
      <c r="BF41" s="38"/>
      <c r="BG41" s="38"/>
      <c r="BH41" s="38"/>
      <c r="BI41" s="38"/>
      <c r="BJ41" s="38"/>
      <c r="BK41" s="38"/>
      <c r="BL41" s="112"/>
    </row>
    <row r="42" spans="1:64" outlineLevel="1">
      <c r="A42" t="s">
        <v>1481</v>
      </c>
      <c r="B42" s="51" t="s">
        <v>1513</v>
      </c>
      <c r="C42" s="246">
        <f t="shared" ref="C42:H42" si="20">C27*$C$36</f>
        <v>1.5355183400777599</v>
      </c>
      <c r="D42" s="246">
        <f t="shared" si="20"/>
        <v>1.5355183400777599</v>
      </c>
      <c r="E42" s="246">
        <f t="shared" si="20"/>
        <v>1.5355183400777599</v>
      </c>
      <c r="F42" s="246">
        <f t="shared" si="20"/>
        <v>1.5355183400777599</v>
      </c>
      <c r="G42" s="246">
        <f t="shared" si="20"/>
        <v>1.5355183400777599</v>
      </c>
      <c r="H42" s="246">
        <f t="shared" si="20"/>
        <v>1.5355183400777599</v>
      </c>
      <c r="I42" s="246">
        <f t="shared" ref="I42:AG43" si="21">I27*D36</f>
        <v>1.4880708233693571</v>
      </c>
      <c r="J42" s="246">
        <f t="shared" si="21"/>
        <v>1.4406233066609542</v>
      </c>
      <c r="K42" s="246">
        <f t="shared" si="21"/>
        <v>1.3931757899525514</v>
      </c>
      <c r="L42" s="246">
        <f t="shared" si="21"/>
        <v>1.3457282732441489</v>
      </c>
      <c r="M42" s="246">
        <f t="shared" si="21"/>
        <v>1.2982807565357459</v>
      </c>
      <c r="N42" s="246">
        <f t="shared" si="21"/>
        <v>1.2508332398273434</v>
      </c>
      <c r="O42" s="246">
        <f t="shared" si="21"/>
        <v>1.2033857231189404</v>
      </c>
      <c r="P42" s="246">
        <f t="shared" si="21"/>
        <v>1.1559382064105377</v>
      </c>
      <c r="Q42" s="246">
        <f t="shared" si="21"/>
        <v>1.1084906897021349</v>
      </c>
      <c r="R42" s="246">
        <f t="shared" si="21"/>
        <v>1.0610431729937322</v>
      </c>
      <c r="S42" s="246">
        <f t="shared" si="21"/>
        <v>1.0275688731800368</v>
      </c>
      <c r="T42" s="246">
        <f t="shared" si="21"/>
        <v>0.99409457336634166</v>
      </c>
      <c r="U42" s="246">
        <f t="shared" si="21"/>
        <v>0.96062027355264668</v>
      </c>
      <c r="V42" s="246">
        <f t="shared" si="21"/>
        <v>0.92714597373895147</v>
      </c>
      <c r="W42" s="246">
        <f t="shared" si="21"/>
        <v>0.89367167392525637</v>
      </c>
      <c r="X42" s="246">
        <f t="shared" si="21"/>
        <v>0.86019737411156094</v>
      </c>
      <c r="Y42" s="246">
        <f t="shared" si="21"/>
        <v>0.82672307429786596</v>
      </c>
      <c r="Z42" s="246">
        <f t="shared" si="21"/>
        <v>0.79324877448417064</v>
      </c>
      <c r="AA42" s="246">
        <f t="shared" si="21"/>
        <v>0.75977447467047554</v>
      </c>
      <c r="AB42" s="246">
        <f t="shared" si="21"/>
        <v>0.72630017485678044</v>
      </c>
      <c r="AC42" s="246">
        <f t="shared" si="21"/>
        <v>0.68591604251273519</v>
      </c>
      <c r="AD42" s="246">
        <f t="shared" si="21"/>
        <v>0.64553191016869027</v>
      </c>
      <c r="AE42" s="246">
        <f t="shared" si="21"/>
        <v>0.60514777782464513</v>
      </c>
      <c r="AF42" s="246">
        <f t="shared" si="21"/>
        <v>0.56476364548059999</v>
      </c>
      <c r="AG42" s="246">
        <f t="shared" si="21"/>
        <v>0.52437951313655506</v>
      </c>
      <c r="AI42" s="197" t="s">
        <v>284</v>
      </c>
      <c r="AJ42" s="198" t="s">
        <v>422</v>
      </c>
      <c r="AL42" s="5"/>
      <c r="AM42" s="103"/>
      <c r="AN42" s="103"/>
      <c r="AO42" s="103"/>
      <c r="BC42" s="1"/>
      <c r="BD42" s="112"/>
      <c r="BE42" s="112"/>
      <c r="BF42" s="112"/>
      <c r="BG42" s="112"/>
      <c r="BH42" s="112"/>
      <c r="BI42" s="112"/>
      <c r="BJ42" s="112"/>
      <c r="BK42" s="112"/>
      <c r="BL42" s="112"/>
    </row>
    <row r="43" spans="1:64" outlineLevel="1">
      <c r="A43" s="169" t="s">
        <v>1482</v>
      </c>
      <c r="B43" s="165" t="s">
        <v>1513</v>
      </c>
      <c r="C43" s="101">
        <f t="shared" ref="C43:H43" si="22">C28*$C$37</f>
        <v>43907.716476814014</v>
      </c>
      <c r="D43" s="101">
        <f t="shared" si="22"/>
        <v>43907.716476814014</v>
      </c>
      <c r="E43" s="101">
        <f t="shared" si="22"/>
        <v>43907.716476814014</v>
      </c>
      <c r="F43" s="101">
        <f t="shared" si="22"/>
        <v>43907.716476814014</v>
      </c>
      <c r="G43" s="101">
        <f t="shared" si="22"/>
        <v>43907.716476814014</v>
      </c>
      <c r="H43" s="101">
        <f t="shared" si="22"/>
        <v>43907.716476814014</v>
      </c>
      <c r="I43" s="101">
        <f t="shared" si="21"/>
        <v>43617.925548067047</v>
      </c>
      <c r="J43" s="101">
        <f t="shared" si="21"/>
        <v>43328.134619320066</v>
      </c>
      <c r="K43" s="101">
        <f t="shared" si="21"/>
        <v>43038.3436905731</v>
      </c>
      <c r="L43" s="101">
        <f t="shared" si="21"/>
        <v>42748.552761826126</v>
      </c>
      <c r="M43" s="101">
        <f t="shared" si="21"/>
        <v>42458.761833079152</v>
      </c>
      <c r="N43" s="101">
        <f t="shared" si="21"/>
        <v>42168.970904332178</v>
      </c>
      <c r="O43" s="101">
        <f t="shared" si="21"/>
        <v>41879.179975585212</v>
      </c>
      <c r="P43" s="101">
        <f t="shared" si="21"/>
        <v>41589.389046838231</v>
      </c>
      <c r="Q43" s="101">
        <f t="shared" si="21"/>
        <v>41299.598118091264</v>
      </c>
      <c r="R43" s="101">
        <f t="shared" si="21"/>
        <v>41009.807189344283</v>
      </c>
      <c r="S43" s="101">
        <f t="shared" si="21"/>
        <v>40720.016260597316</v>
      </c>
      <c r="T43" s="101">
        <f t="shared" si="21"/>
        <v>40430.225331850343</v>
      </c>
      <c r="U43" s="101">
        <f t="shared" si="21"/>
        <v>40140.434403103369</v>
      </c>
      <c r="V43" s="101">
        <f t="shared" si="21"/>
        <v>39850.643474356402</v>
      </c>
      <c r="W43" s="101">
        <f t="shared" si="21"/>
        <v>39560.852545609428</v>
      </c>
      <c r="X43" s="101">
        <f t="shared" si="21"/>
        <v>39271.061616862455</v>
      </c>
      <c r="Y43" s="101">
        <f t="shared" si="21"/>
        <v>38981.270688115481</v>
      </c>
      <c r="Z43" s="101">
        <f t="shared" si="21"/>
        <v>38691.479759368507</v>
      </c>
      <c r="AA43" s="101">
        <f t="shared" si="21"/>
        <v>38401.688830621533</v>
      </c>
      <c r="AB43" s="101">
        <f t="shared" si="21"/>
        <v>38111.897901874567</v>
      </c>
      <c r="AC43" s="101">
        <f t="shared" si="21"/>
        <v>37813.325429832235</v>
      </c>
      <c r="AD43" s="101">
        <f t="shared" si="21"/>
        <v>37514.752957789889</v>
      </c>
      <c r="AE43" s="101">
        <f t="shared" si="21"/>
        <v>37216.180485747558</v>
      </c>
      <c r="AF43" s="101">
        <f t="shared" si="21"/>
        <v>36917.608013705219</v>
      </c>
      <c r="AG43" s="101">
        <f t="shared" si="21"/>
        <v>36619.035541662888</v>
      </c>
      <c r="AI43" s="197" t="s">
        <v>284</v>
      </c>
      <c r="AJ43" s="198" t="s">
        <v>422</v>
      </c>
      <c r="AL43" s="102"/>
      <c r="AM43" s="2"/>
      <c r="AN43" s="2"/>
      <c r="AO43" s="2"/>
    </row>
    <row r="44" spans="1:64" s="1" customFormat="1" ht="15.5" thickBot="1">
      <c r="A44" s="187" t="s">
        <v>1483</v>
      </c>
      <c r="B44" s="202" t="s">
        <v>1513</v>
      </c>
      <c r="C44" s="203">
        <f>SUM(C39:C43)</f>
        <v>106070.49715772543</v>
      </c>
      <c r="D44" s="203">
        <f t="shared" ref="D44:AF44" si="23">SUM(D39:D43)</f>
        <v>106031.0953933438</v>
      </c>
      <c r="E44" s="203">
        <f t="shared" si="23"/>
        <v>105991.69362896215</v>
      </c>
      <c r="F44" s="203">
        <f t="shared" si="23"/>
        <v>105952.2918645805</v>
      </c>
      <c r="G44" s="203">
        <f t="shared" si="23"/>
        <v>105912.89010019886</v>
      </c>
      <c r="H44" s="203">
        <f t="shared" si="23"/>
        <v>105873.48833581721</v>
      </c>
      <c r="I44" s="203">
        <f t="shared" si="23"/>
        <v>105544.24819517189</v>
      </c>
      <c r="J44" s="203">
        <f t="shared" si="23"/>
        <v>105215.00805452657</v>
      </c>
      <c r="K44" s="203">
        <f t="shared" si="23"/>
        <v>104885.76791388125</v>
      </c>
      <c r="L44" s="203">
        <f t="shared" si="23"/>
        <v>104556.52777323591</v>
      </c>
      <c r="M44" s="203">
        <f t="shared" si="23"/>
        <v>104227.2876325906</v>
      </c>
      <c r="N44" s="203">
        <f t="shared" si="23"/>
        <v>103867.42669219724</v>
      </c>
      <c r="O44" s="203">
        <f t="shared" si="23"/>
        <v>103517.96130001557</v>
      </c>
      <c r="P44" s="203">
        <f t="shared" si="23"/>
        <v>102843.25621985749</v>
      </c>
      <c r="Q44" s="203">
        <f t="shared" si="23"/>
        <v>102168.55113969943</v>
      </c>
      <c r="R44" s="203">
        <f t="shared" si="23"/>
        <v>101493.84605954136</v>
      </c>
      <c r="S44" s="203">
        <f t="shared" si="23"/>
        <v>100819.15495260018</v>
      </c>
      <c r="T44" s="203">
        <f t="shared" si="23"/>
        <v>100144.46384565902</v>
      </c>
      <c r="U44" s="203">
        <f t="shared" si="23"/>
        <v>99469.772738717846</v>
      </c>
      <c r="V44" s="203">
        <f t="shared" si="23"/>
        <v>98795.081631776673</v>
      </c>
      <c r="W44" s="203">
        <f t="shared" si="23"/>
        <v>98120.3905248355</v>
      </c>
      <c r="X44" s="203">
        <f t="shared" si="23"/>
        <v>97411.248055639124</v>
      </c>
      <c r="Y44" s="203">
        <f t="shared" si="23"/>
        <v>96735.034203818825</v>
      </c>
      <c r="Z44" s="203">
        <f t="shared" si="23"/>
        <v>95431.28287554736</v>
      </c>
      <c r="AA44" s="203">
        <f t="shared" si="23"/>
        <v>94127.53154727591</v>
      </c>
      <c r="AB44" s="203">
        <f t="shared" si="23"/>
        <v>92823.780219004475</v>
      </c>
      <c r="AC44" s="203">
        <f t="shared" si="23"/>
        <v>91511.240437605127</v>
      </c>
      <c r="AD44" s="203">
        <f t="shared" si="23"/>
        <v>90198.700656205765</v>
      </c>
      <c r="AE44" s="203">
        <f t="shared" si="23"/>
        <v>88886.160874806403</v>
      </c>
      <c r="AF44" s="203">
        <f t="shared" si="23"/>
        <v>87573.62109340707</v>
      </c>
      <c r="AG44" s="203">
        <f>SUM(AG39:AG43)</f>
        <v>86261.081312007736</v>
      </c>
      <c r="AJ44" s="151"/>
      <c r="AL44" s="207"/>
      <c r="AM44" s="118"/>
      <c r="AN44" s="118"/>
      <c r="AO44" s="118"/>
    </row>
    <row r="45" spans="1:64" ht="15.5" thickTop="1">
      <c r="B45" s="165"/>
      <c r="C45" s="196"/>
      <c r="D45" s="196"/>
      <c r="E45" s="196"/>
      <c r="F45" s="196"/>
      <c r="G45" s="196"/>
      <c r="H45" s="196"/>
      <c r="I45" s="196"/>
      <c r="J45" s="196"/>
      <c r="K45" s="196"/>
      <c r="L45" s="196"/>
      <c r="M45" s="196"/>
      <c r="N45" s="196"/>
      <c r="O45" s="196"/>
      <c r="P45" s="196"/>
      <c r="Q45" s="196"/>
      <c r="R45" s="196"/>
      <c r="S45" s="196"/>
      <c r="T45" s="196"/>
      <c r="U45" s="196"/>
      <c r="V45" s="196"/>
      <c r="W45" s="196"/>
      <c r="X45" s="196"/>
      <c r="Y45" s="196"/>
      <c r="Z45" s="196"/>
      <c r="AA45" s="196"/>
      <c r="AB45" s="196"/>
      <c r="AC45" s="196"/>
      <c r="AD45" s="196"/>
      <c r="AE45" s="196"/>
      <c r="AF45" s="196"/>
      <c r="AG45" s="196"/>
      <c r="AL45" s="102"/>
      <c r="AM45" s="2"/>
      <c r="AN45" s="2"/>
      <c r="AO45" s="2"/>
    </row>
    <row r="46" spans="1:64" s="187" customFormat="1" ht="15.5" thickBot="1">
      <c r="A46" s="187" t="s">
        <v>431</v>
      </c>
      <c r="B46" s="202" t="s">
        <v>126</v>
      </c>
      <c r="C46" s="208">
        <f>C49</f>
        <v>0</v>
      </c>
      <c r="D46" s="208">
        <f t="shared" ref="D46:AG46" si="24">D49</f>
        <v>0</v>
      </c>
      <c r="E46" s="208">
        <f t="shared" si="24"/>
        <v>0</v>
      </c>
      <c r="F46" s="208">
        <f t="shared" si="24"/>
        <v>0</v>
      </c>
      <c r="G46" s="208">
        <f t="shared" si="24"/>
        <v>0</v>
      </c>
      <c r="H46" s="208">
        <f t="shared" si="24"/>
        <v>0</v>
      </c>
      <c r="I46" s="208">
        <f t="shared" si="24"/>
        <v>0</v>
      </c>
      <c r="J46" s="208">
        <f t="shared" si="24"/>
        <v>0</v>
      </c>
      <c r="K46" s="208">
        <f t="shared" si="24"/>
        <v>0</v>
      </c>
      <c r="L46" s="208">
        <f t="shared" si="24"/>
        <v>0</v>
      </c>
      <c r="M46" s="208">
        <f t="shared" si="24"/>
        <v>0</v>
      </c>
      <c r="N46" s="208">
        <f t="shared" si="24"/>
        <v>0</v>
      </c>
      <c r="O46" s="208">
        <f t="shared" si="24"/>
        <v>0</v>
      </c>
      <c r="P46" s="208">
        <f t="shared" si="24"/>
        <v>0</v>
      </c>
      <c r="Q46" s="208">
        <f t="shared" si="24"/>
        <v>0</v>
      </c>
      <c r="R46" s="208">
        <f t="shared" si="24"/>
        <v>0</v>
      </c>
      <c r="S46" s="208">
        <f t="shared" si="24"/>
        <v>0</v>
      </c>
      <c r="T46" s="208">
        <f t="shared" si="24"/>
        <v>0</v>
      </c>
      <c r="U46" s="208">
        <f t="shared" si="24"/>
        <v>0</v>
      </c>
      <c r="V46" s="208">
        <f t="shared" si="24"/>
        <v>0</v>
      </c>
      <c r="W46" s="208">
        <f t="shared" si="24"/>
        <v>0</v>
      </c>
      <c r="X46" s="208">
        <f t="shared" si="24"/>
        <v>0</v>
      </c>
      <c r="Y46" s="208">
        <f t="shared" si="24"/>
        <v>0</v>
      </c>
      <c r="Z46" s="208">
        <f t="shared" si="24"/>
        <v>0</v>
      </c>
      <c r="AA46" s="208">
        <f t="shared" si="24"/>
        <v>0</v>
      </c>
      <c r="AB46" s="208">
        <f t="shared" si="24"/>
        <v>0</v>
      </c>
      <c r="AC46" s="208">
        <f t="shared" si="24"/>
        <v>0</v>
      </c>
      <c r="AD46" s="208">
        <f t="shared" si="24"/>
        <v>0</v>
      </c>
      <c r="AE46" s="208">
        <f t="shared" si="24"/>
        <v>0</v>
      </c>
      <c r="AF46" s="208">
        <f t="shared" si="24"/>
        <v>0</v>
      </c>
      <c r="AG46" s="208">
        <f t="shared" si="24"/>
        <v>0</v>
      </c>
      <c r="AJ46" s="217" t="s">
        <v>473</v>
      </c>
      <c r="AL46" s="204"/>
      <c r="AM46" s="205"/>
      <c r="AN46" s="205"/>
      <c r="AO46" s="205"/>
    </row>
    <row r="47" spans="1:64" ht="15.5" outlineLevel="1" thickTop="1">
      <c r="A47" t="s">
        <v>423</v>
      </c>
      <c r="B47" s="51" t="s">
        <v>126</v>
      </c>
      <c r="C47" s="107">
        <v>0</v>
      </c>
      <c r="D47" s="104">
        <f>$C47+($M47-$C47)/10*(D$1-$C$1)</f>
        <v>0</v>
      </c>
      <c r="E47" s="104">
        <f t="shared" ref="E47:L48" si="25">$C47+($M47-$C47)/10*(E$1-$C$1)</f>
        <v>0</v>
      </c>
      <c r="F47" s="104">
        <f t="shared" si="25"/>
        <v>0</v>
      </c>
      <c r="G47" s="104">
        <f t="shared" si="25"/>
        <v>0</v>
      </c>
      <c r="H47" s="104">
        <f t="shared" si="25"/>
        <v>0</v>
      </c>
      <c r="I47" s="104">
        <f t="shared" si="25"/>
        <v>0</v>
      </c>
      <c r="J47" s="104">
        <f t="shared" si="25"/>
        <v>0</v>
      </c>
      <c r="K47" s="104">
        <f t="shared" si="25"/>
        <v>0</v>
      </c>
      <c r="L47" s="104">
        <f t="shared" si="25"/>
        <v>0</v>
      </c>
      <c r="M47" s="107">
        <v>0</v>
      </c>
      <c r="N47" s="104">
        <f>$M47+($W47-$M47)/10*(N$1-$M$1)</f>
        <v>0</v>
      </c>
      <c r="O47" s="104">
        <f t="shared" ref="O47:U48" si="26">$M47+($W47-$M47)/10*(O$1-$M$1)</f>
        <v>0</v>
      </c>
      <c r="P47" s="104">
        <f t="shared" si="26"/>
        <v>0</v>
      </c>
      <c r="Q47" s="104">
        <f t="shared" si="26"/>
        <v>0</v>
      </c>
      <c r="R47" s="104">
        <f t="shared" si="26"/>
        <v>0</v>
      </c>
      <c r="S47" s="104">
        <f t="shared" si="26"/>
        <v>0</v>
      </c>
      <c r="T47" s="104">
        <f t="shared" si="26"/>
        <v>0</v>
      </c>
      <c r="U47" s="104">
        <f t="shared" si="26"/>
        <v>0</v>
      </c>
      <c r="V47" s="104">
        <f>$M47+($W47-$M47)/10*(V$1-$M$1)</f>
        <v>0</v>
      </c>
      <c r="W47" s="107">
        <v>0</v>
      </c>
      <c r="X47" s="104">
        <f>$W47+($AG47-$W47)/10*(X$1-$W$1)</f>
        <v>0</v>
      </c>
      <c r="Y47" s="104">
        <f t="shared" ref="Y47:AF48" si="27">$W47+($AG47-$W47)/10*(Y$1-$W$1)</f>
        <v>0</v>
      </c>
      <c r="Z47" s="104">
        <f t="shared" si="27"/>
        <v>0</v>
      </c>
      <c r="AA47" s="104">
        <f t="shared" si="27"/>
        <v>0</v>
      </c>
      <c r="AB47" s="104">
        <f t="shared" si="27"/>
        <v>0</v>
      </c>
      <c r="AC47" s="104">
        <f t="shared" si="27"/>
        <v>0</v>
      </c>
      <c r="AD47" s="104">
        <f t="shared" si="27"/>
        <v>0</v>
      </c>
      <c r="AE47" s="104">
        <f t="shared" si="27"/>
        <v>0</v>
      </c>
      <c r="AF47" s="104">
        <f t="shared" si="27"/>
        <v>0</v>
      </c>
      <c r="AG47" s="104">
        <v>0</v>
      </c>
      <c r="AI47" s="126"/>
      <c r="AJ47" s="198" t="s">
        <v>484</v>
      </c>
      <c r="AL47" s="102"/>
      <c r="AM47" s="2"/>
      <c r="AN47" s="2"/>
      <c r="AO47" s="2"/>
      <c r="AV47" s="38"/>
    </row>
    <row r="48" spans="1:64" outlineLevel="1">
      <c r="A48" t="s">
        <v>425</v>
      </c>
      <c r="B48" s="51" t="s">
        <v>126</v>
      </c>
      <c r="C48" s="107">
        <v>0</v>
      </c>
      <c r="D48" s="104">
        <f>$C48+($M48-$C48)/10*(D$1-$C$1)</f>
        <v>0</v>
      </c>
      <c r="E48" s="104">
        <f t="shared" si="25"/>
        <v>0</v>
      </c>
      <c r="F48" s="104">
        <f t="shared" si="25"/>
        <v>0</v>
      </c>
      <c r="G48" s="104">
        <f t="shared" si="25"/>
        <v>0</v>
      </c>
      <c r="H48" s="104">
        <f t="shared" si="25"/>
        <v>0</v>
      </c>
      <c r="I48" s="104">
        <f t="shared" si="25"/>
        <v>0</v>
      </c>
      <c r="J48" s="104">
        <f t="shared" si="25"/>
        <v>0</v>
      </c>
      <c r="K48" s="104">
        <f t="shared" si="25"/>
        <v>0</v>
      </c>
      <c r="L48" s="104">
        <f t="shared" si="25"/>
        <v>0</v>
      </c>
      <c r="M48" s="107">
        <v>0</v>
      </c>
      <c r="N48" s="104">
        <f>$M48+($W48-$M48)/10*(N$1-$M$1)</f>
        <v>0</v>
      </c>
      <c r="O48" s="104">
        <f t="shared" si="26"/>
        <v>0</v>
      </c>
      <c r="P48" s="104">
        <f t="shared" si="26"/>
        <v>0</v>
      </c>
      <c r="Q48" s="104">
        <f t="shared" si="26"/>
        <v>0</v>
      </c>
      <c r="R48" s="104">
        <f t="shared" si="26"/>
        <v>0</v>
      </c>
      <c r="S48" s="104">
        <f t="shared" si="26"/>
        <v>0</v>
      </c>
      <c r="T48" s="104">
        <f t="shared" si="26"/>
        <v>0</v>
      </c>
      <c r="U48" s="104">
        <f t="shared" si="26"/>
        <v>0</v>
      </c>
      <c r="V48" s="104">
        <f>$M48+($W48-$M48)/10*(V$1-$M$1)</f>
        <v>0</v>
      </c>
      <c r="W48" s="107">
        <v>0</v>
      </c>
      <c r="X48" s="104">
        <f>$W48+($AG48-$W48)/10*(X$1-$W$1)</f>
        <v>0</v>
      </c>
      <c r="Y48" s="104">
        <f t="shared" si="27"/>
        <v>0</v>
      </c>
      <c r="Z48" s="104">
        <f t="shared" si="27"/>
        <v>0</v>
      </c>
      <c r="AA48" s="104">
        <f t="shared" si="27"/>
        <v>0</v>
      </c>
      <c r="AB48" s="104">
        <f t="shared" si="27"/>
        <v>0</v>
      </c>
      <c r="AC48" s="104">
        <f t="shared" si="27"/>
        <v>0</v>
      </c>
      <c r="AD48" s="104">
        <f t="shared" si="27"/>
        <v>0</v>
      </c>
      <c r="AE48" s="104">
        <f t="shared" si="27"/>
        <v>0</v>
      </c>
      <c r="AF48" s="104">
        <f t="shared" si="27"/>
        <v>0</v>
      </c>
      <c r="AG48" s="104">
        <v>0</v>
      </c>
      <c r="AI48" s="126"/>
      <c r="AJ48" s="198" t="s">
        <v>484</v>
      </c>
      <c r="AL48" s="102"/>
      <c r="AM48" s="2"/>
      <c r="AN48" s="2"/>
      <c r="AO48" s="2"/>
      <c r="AV48" s="38"/>
    </row>
    <row r="49" spans="1:63" outlineLevel="1">
      <c r="A49" t="s">
        <v>424</v>
      </c>
      <c r="B49" s="165" t="s">
        <v>126</v>
      </c>
      <c r="C49" s="104">
        <f>C47+C48</f>
        <v>0</v>
      </c>
      <c r="D49" s="104">
        <f t="shared" ref="D49:AF49" si="28">D47+D48</f>
        <v>0</v>
      </c>
      <c r="E49" s="104">
        <f t="shared" si="28"/>
        <v>0</v>
      </c>
      <c r="F49" s="104">
        <f t="shared" si="28"/>
        <v>0</v>
      </c>
      <c r="G49" s="104">
        <f t="shared" si="28"/>
        <v>0</v>
      </c>
      <c r="H49" s="104">
        <f t="shared" si="28"/>
        <v>0</v>
      </c>
      <c r="I49" s="104">
        <f t="shared" si="28"/>
        <v>0</v>
      </c>
      <c r="J49" s="104">
        <f t="shared" si="28"/>
        <v>0</v>
      </c>
      <c r="K49" s="104">
        <f t="shared" si="28"/>
        <v>0</v>
      </c>
      <c r="L49" s="104">
        <f t="shared" si="28"/>
        <v>0</v>
      </c>
      <c r="M49" s="104">
        <f t="shared" si="28"/>
        <v>0</v>
      </c>
      <c r="N49" s="104">
        <f t="shared" si="28"/>
        <v>0</v>
      </c>
      <c r="O49" s="104">
        <f t="shared" si="28"/>
        <v>0</v>
      </c>
      <c r="P49" s="104">
        <f t="shared" si="28"/>
        <v>0</v>
      </c>
      <c r="Q49" s="104">
        <f t="shared" si="28"/>
        <v>0</v>
      </c>
      <c r="R49" s="104">
        <f t="shared" si="28"/>
        <v>0</v>
      </c>
      <c r="S49" s="104">
        <f t="shared" si="28"/>
        <v>0</v>
      </c>
      <c r="T49" s="104">
        <f t="shared" si="28"/>
        <v>0</v>
      </c>
      <c r="U49" s="104">
        <f t="shared" si="28"/>
        <v>0</v>
      </c>
      <c r="V49" s="104">
        <f t="shared" si="28"/>
        <v>0</v>
      </c>
      <c r="W49" s="104">
        <f t="shared" si="28"/>
        <v>0</v>
      </c>
      <c r="X49" s="104">
        <f t="shared" si="28"/>
        <v>0</v>
      </c>
      <c r="Y49" s="104">
        <f t="shared" si="28"/>
        <v>0</v>
      </c>
      <c r="Z49" s="104">
        <f t="shared" si="28"/>
        <v>0</v>
      </c>
      <c r="AA49" s="104">
        <f t="shared" si="28"/>
        <v>0</v>
      </c>
      <c r="AB49" s="104">
        <f t="shared" si="28"/>
        <v>0</v>
      </c>
      <c r="AC49" s="104">
        <f t="shared" si="28"/>
        <v>0</v>
      </c>
      <c r="AD49" s="104">
        <f t="shared" si="28"/>
        <v>0</v>
      </c>
      <c r="AE49" s="104">
        <f t="shared" si="28"/>
        <v>0</v>
      </c>
      <c r="AF49" s="104">
        <f t="shared" si="28"/>
        <v>0</v>
      </c>
      <c r="AG49" s="104">
        <f>AG47+AG48</f>
        <v>0</v>
      </c>
      <c r="AI49" s="126"/>
      <c r="AJ49" s="198"/>
      <c r="AL49" s="102"/>
      <c r="AM49" s="2"/>
      <c r="AN49" s="2"/>
      <c r="AO49" s="2"/>
    </row>
    <row r="50" spans="1:63" outlineLevel="1">
      <c r="C50" s="107"/>
      <c r="D50" s="104"/>
      <c r="E50" s="104"/>
      <c r="F50" s="104"/>
      <c r="G50" s="104"/>
      <c r="H50" s="104"/>
      <c r="I50" s="104"/>
      <c r="J50" s="104"/>
      <c r="K50" s="104"/>
      <c r="L50" s="104"/>
      <c r="M50" s="107"/>
      <c r="N50" s="104"/>
      <c r="O50" s="104"/>
      <c r="P50" s="104"/>
      <c r="Q50" s="104"/>
      <c r="R50" s="104"/>
      <c r="S50" s="104"/>
      <c r="T50" s="104"/>
      <c r="U50" s="104"/>
      <c r="V50" s="104"/>
      <c r="W50" s="107"/>
      <c r="X50" s="104"/>
      <c r="Y50" s="104"/>
      <c r="Z50" s="104"/>
      <c r="AA50" s="104"/>
      <c r="AB50" s="104"/>
      <c r="AC50" s="104"/>
      <c r="AD50" s="104"/>
      <c r="AE50" s="104"/>
      <c r="AF50" s="104"/>
      <c r="AG50" s="107"/>
      <c r="AI50" s="126"/>
      <c r="AJ50" s="198"/>
      <c r="AL50" s="102"/>
      <c r="AM50" s="2"/>
      <c r="AN50" s="2"/>
      <c r="AO50" s="2"/>
      <c r="AV50" s="38"/>
    </row>
    <row r="51" spans="1:63" outlineLevel="1">
      <c r="A51" t="s">
        <v>438</v>
      </c>
      <c r="B51" s="51" t="s">
        <v>126</v>
      </c>
      <c r="C51" s="104">
        <f>'Ethylene Recycling HC'!C567</f>
        <v>0</v>
      </c>
      <c r="D51" s="104">
        <f>'Ethylene Recycling HC'!D567</f>
        <v>0</v>
      </c>
      <c r="E51" s="104">
        <f>'Ethylene Recycling HC'!E567</f>
        <v>0</v>
      </c>
      <c r="F51" s="104">
        <f>'Ethylene Recycling HC'!F567</f>
        <v>0</v>
      </c>
      <c r="G51" s="104">
        <f>'Ethylene Recycling HC'!G567</f>
        <v>0</v>
      </c>
      <c r="H51" s="104">
        <f>'Ethylene Recycling HC'!H567</f>
        <v>0</v>
      </c>
      <c r="I51" s="104">
        <f>'Ethylene Recycling HC'!I567</f>
        <v>0</v>
      </c>
      <c r="J51" s="104">
        <f>'Ethylene Recycling HC'!J567</f>
        <v>0</v>
      </c>
      <c r="K51" s="104">
        <f>'Ethylene Recycling HC'!K567</f>
        <v>0</v>
      </c>
      <c r="L51" s="104">
        <f>'Ethylene Recycling HC'!L567</f>
        <v>0</v>
      </c>
      <c r="M51" s="104">
        <f>'Ethylene Recycling HC'!M567</f>
        <v>0</v>
      </c>
      <c r="N51" s="104">
        <f>'Ethylene Recycling HC'!N567</f>
        <v>0</v>
      </c>
      <c r="O51" s="104">
        <f>'Ethylene Recycling HC'!O567</f>
        <v>0</v>
      </c>
      <c r="P51" s="104">
        <f>'Ethylene Recycling HC'!P567</f>
        <v>0</v>
      </c>
      <c r="Q51" s="104">
        <f>'Ethylene Recycling HC'!Q567</f>
        <v>0</v>
      </c>
      <c r="R51" s="104">
        <f>'Ethylene Recycling HC'!R567</f>
        <v>0</v>
      </c>
      <c r="S51" s="104">
        <f>'Ethylene Recycling HC'!S567</f>
        <v>0</v>
      </c>
      <c r="T51" s="104">
        <f>'Ethylene Recycling HC'!T567</f>
        <v>0</v>
      </c>
      <c r="U51" s="104">
        <f>'Ethylene Recycling HC'!U567</f>
        <v>0</v>
      </c>
      <c r="V51" s="104">
        <f>'Ethylene Recycling HC'!V567</f>
        <v>0</v>
      </c>
      <c r="W51" s="104">
        <f>'Ethylene Recycling HC'!W567</f>
        <v>0</v>
      </c>
      <c r="X51" s="104">
        <f>'Ethylene Recycling HC'!X567</f>
        <v>0</v>
      </c>
      <c r="Y51" s="104">
        <f>'Ethylene Recycling HC'!Y567</f>
        <v>0</v>
      </c>
      <c r="Z51" s="104">
        <f>'Ethylene Recycling HC'!Z567</f>
        <v>0</v>
      </c>
      <c r="AA51" s="104">
        <f>'Ethylene Recycling HC'!AA567</f>
        <v>0</v>
      </c>
      <c r="AB51" s="104">
        <f>'Ethylene Recycling HC'!AB567</f>
        <v>0</v>
      </c>
      <c r="AC51" s="104">
        <f>'Ethylene Recycling HC'!AC567</f>
        <v>0</v>
      </c>
      <c r="AD51" s="104">
        <f>'Ethylene Recycling HC'!AD567</f>
        <v>0</v>
      </c>
      <c r="AE51" s="104">
        <f>'Ethylene Recycling HC'!AE567</f>
        <v>0</v>
      </c>
      <c r="AF51" s="104">
        <f>'Ethylene Recycling HC'!AF567</f>
        <v>0</v>
      </c>
      <c r="AG51" s="104">
        <f>'Ethylene Recycling HC'!AG567</f>
        <v>0</v>
      </c>
      <c r="AI51" s="126"/>
      <c r="AJ51" s="198" t="s">
        <v>832</v>
      </c>
      <c r="AL51" s="102"/>
      <c r="AM51" s="2"/>
      <c r="AN51" s="2"/>
      <c r="AO51" s="2"/>
      <c r="AV51" s="38"/>
    </row>
    <row r="52" spans="1:63" outlineLevel="1">
      <c r="A52" t="s">
        <v>439</v>
      </c>
      <c r="C52" s="104">
        <v>0</v>
      </c>
      <c r="D52" s="104">
        <v>0</v>
      </c>
      <c r="E52" s="104">
        <v>0</v>
      </c>
      <c r="F52" s="104">
        <v>0</v>
      </c>
      <c r="G52" s="104">
        <v>0</v>
      </c>
      <c r="H52" s="104">
        <v>0</v>
      </c>
      <c r="I52" s="104">
        <v>0</v>
      </c>
      <c r="J52" s="104">
        <v>0</v>
      </c>
      <c r="K52" s="104">
        <v>0</v>
      </c>
      <c r="L52" s="104">
        <v>0</v>
      </c>
      <c r="M52" s="104">
        <v>0</v>
      </c>
      <c r="N52" s="104">
        <v>0</v>
      </c>
      <c r="O52" s="104">
        <v>0</v>
      </c>
      <c r="P52" s="104">
        <v>0</v>
      </c>
      <c r="Q52" s="104">
        <v>0</v>
      </c>
      <c r="R52" s="104">
        <v>0</v>
      </c>
      <c r="S52" s="104">
        <v>0</v>
      </c>
      <c r="T52" s="104">
        <v>0</v>
      </c>
      <c r="U52" s="104">
        <v>0</v>
      </c>
      <c r="V52" s="104">
        <v>0</v>
      </c>
      <c r="W52" s="104">
        <v>0</v>
      </c>
      <c r="X52" s="104">
        <v>0</v>
      </c>
      <c r="Y52" s="104">
        <v>0</v>
      </c>
      <c r="Z52" s="104">
        <v>0</v>
      </c>
      <c r="AA52" s="104">
        <v>0</v>
      </c>
      <c r="AB52" s="104">
        <v>0</v>
      </c>
      <c r="AC52" s="104">
        <v>0</v>
      </c>
      <c r="AD52" s="104">
        <v>0</v>
      </c>
      <c r="AE52" s="104">
        <v>0</v>
      </c>
      <c r="AF52" s="104">
        <v>0</v>
      </c>
      <c r="AG52" s="104">
        <v>0</v>
      </c>
      <c r="AI52" s="126"/>
      <c r="AJ52" s="198" t="s">
        <v>832</v>
      </c>
      <c r="AL52" s="102"/>
      <c r="AM52" s="2"/>
      <c r="AN52" s="2"/>
      <c r="AO52" s="2"/>
      <c r="AV52" s="38"/>
    </row>
    <row r="53" spans="1:63" outlineLevel="1">
      <c r="A53" t="s">
        <v>831</v>
      </c>
      <c r="B53" s="51" t="s">
        <v>126</v>
      </c>
      <c r="C53" s="104">
        <v>0</v>
      </c>
      <c r="D53" s="104">
        <v>0</v>
      </c>
      <c r="E53" s="104">
        <v>0</v>
      </c>
      <c r="F53" s="104">
        <v>0</v>
      </c>
      <c r="G53" s="104">
        <v>0</v>
      </c>
      <c r="H53" s="104">
        <v>0</v>
      </c>
      <c r="I53" s="104">
        <v>0</v>
      </c>
      <c r="J53" s="104">
        <v>0</v>
      </c>
      <c r="K53" s="104">
        <v>0</v>
      </c>
      <c r="L53" s="104">
        <v>0</v>
      </c>
      <c r="M53" s="104">
        <v>0</v>
      </c>
      <c r="N53" s="104">
        <v>0</v>
      </c>
      <c r="O53" s="104">
        <v>0</v>
      </c>
      <c r="P53" s="104">
        <v>0</v>
      </c>
      <c r="Q53" s="104">
        <v>0</v>
      </c>
      <c r="R53" s="104">
        <v>0</v>
      </c>
      <c r="S53" s="104">
        <v>0</v>
      </c>
      <c r="T53" s="104">
        <v>0</v>
      </c>
      <c r="U53" s="104">
        <v>0</v>
      </c>
      <c r="V53" s="104">
        <v>0</v>
      </c>
      <c r="W53" s="104">
        <v>0</v>
      </c>
      <c r="X53" s="104">
        <v>0</v>
      </c>
      <c r="Y53" s="104">
        <v>0</v>
      </c>
      <c r="Z53" s="104">
        <v>0</v>
      </c>
      <c r="AA53" s="104">
        <v>0</v>
      </c>
      <c r="AB53" s="104">
        <v>0</v>
      </c>
      <c r="AC53" s="104">
        <v>0</v>
      </c>
      <c r="AD53" s="104">
        <v>0</v>
      </c>
      <c r="AE53" s="104">
        <v>0</v>
      </c>
      <c r="AF53" s="104">
        <v>0</v>
      </c>
      <c r="AG53" s="104">
        <v>0</v>
      </c>
      <c r="AI53" s="126"/>
      <c r="AJ53" s="198" t="s">
        <v>832</v>
      </c>
      <c r="AL53" s="102"/>
      <c r="AM53" s="2"/>
      <c r="AN53" s="2"/>
      <c r="AO53" s="2"/>
      <c r="AV53" s="38"/>
    </row>
    <row r="54" spans="1:63" outlineLevel="1">
      <c r="A54" t="s">
        <v>440</v>
      </c>
      <c r="B54" s="51" t="s">
        <v>126</v>
      </c>
      <c r="C54" s="104">
        <v>0</v>
      </c>
      <c r="D54" s="104">
        <v>0</v>
      </c>
      <c r="E54" s="104">
        <v>0</v>
      </c>
      <c r="F54" s="104">
        <v>0</v>
      </c>
      <c r="G54" s="104">
        <v>0</v>
      </c>
      <c r="H54" s="104">
        <v>0</v>
      </c>
      <c r="I54" s="104">
        <v>0</v>
      </c>
      <c r="J54" s="104">
        <v>0</v>
      </c>
      <c r="K54" s="104">
        <v>0</v>
      </c>
      <c r="L54" s="104">
        <v>0</v>
      </c>
      <c r="M54" s="104">
        <v>0</v>
      </c>
      <c r="N54" s="104">
        <v>0</v>
      </c>
      <c r="O54" s="104">
        <v>0</v>
      </c>
      <c r="P54" s="104">
        <v>0</v>
      </c>
      <c r="Q54" s="104">
        <v>0</v>
      </c>
      <c r="R54" s="104">
        <v>0</v>
      </c>
      <c r="S54" s="104">
        <v>0</v>
      </c>
      <c r="T54" s="104">
        <v>0</v>
      </c>
      <c r="U54" s="104">
        <v>0</v>
      </c>
      <c r="V54" s="104">
        <v>0</v>
      </c>
      <c r="W54" s="104">
        <v>0</v>
      </c>
      <c r="X54" s="104">
        <v>0</v>
      </c>
      <c r="Y54" s="104">
        <v>0</v>
      </c>
      <c r="Z54" s="104">
        <v>0</v>
      </c>
      <c r="AA54" s="104">
        <v>0</v>
      </c>
      <c r="AB54" s="104">
        <v>0</v>
      </c>
      <c r="AC54" s="104">
        <v>0</v>
      </c>
      <c r="AD54" s="104">
        <v>0</v>
      </c>
      <c r="AE54" s="104">
        <v>0</v>
      </c>
      <c r="AF54" s="104">
        <v>0</v>
      </c>
      <c r="AG54" s="104">
        <v>0</v>
      </c>
      <c r="AI54" s="126"/>
      <c r="AJ54" s="198" t="s">
        <v>832</v>
      </c>
      <c r="AL54" s="102"/>
      <c r="AM54" s="2"/>
      <c r="AN54" s="2"/>
      <c r="AO54" s="2"/>
      <c r="AV54" s="38"/>
    </row>
    <row r="55" spans="1:63" outlineLevel="1">
      <c r="A55" t="s">
        <v>438</v>
      </c>
      <c r="B55" s="51" t="s">
        <v>126</v>
      </c>
      <c r="C55" s="104">
        <v>0</v>
      </c>
      <c r="D55" s="104">
        <v>0</v>
      </c>
      <c r="E55" s="104">
        <v>0</v>
      </c>
      <c r="F55" s="104">
        <v>0</v>
      </c>
      <c r="G55" s="104">
        <v>0</v>
      </c>
      <c r="H55" s="104">
        <v>0</v>
      </c>
      <c r="I55" s="104">
        <v>0</v>
      </c>
      <c r="J55" s="104">
        <v>0</v>
      </c>
      <c r="K55" s="104">
        <v>0</v>
      </c>
      <c r="L55" s="104">
        <v>0</v>
      </c>
      <c r="M55" s="104">
        <v>0</v>
      </c>
      <c r="N55" s="104">
        <v>0</v>
      </c>
      <c r="O55" s="104">
        <v>0</v>
      </c>
      <c r="P55" s="104">
        <v>0</v>
      </c>
      <c r="Q55" s="104">
        <v>0</v>
      </c>
      <c r="R55" s="104">
        <v>0</v>
      </c>
      <c r="S55" s="104">
        <v>0</v>
      </c>
      <c r="T55" s="104">
        <v>0</v>
      </c>
      <c r="U55" s="104">
        <v>0</v>
      </c>
      <c r="V55" s="104">
        <v>0</v>
      </c>
      <c r="W55" s="104">
        <v>0</v>
      </c>
      <c r="X55" s="104">
        <v>0</v>
      </c>
      <c r="Y55" s="104">
        <v>0</v>
      </c>
      <c r="Z55" s="104">
        <v>0</v>
      </c>
      <c r="AA55" s="104">
        <v>0</v>
      </c>
      <c r="AB55" s="104">
        <v>0</v>
      </c>
      <c r="AC55" s="104">
        <v>0</v>
      </c>
      <c r="AD55" s="104">
        <v>0</v>
      </c>
      <c r="AE55" s="104">
        <v>0</v>
      </c>
      <c r="AF55" s="104">
        <v>0</v>
      </c>
      <c r="AG55" s="104">
        <v>0</v>
      </c>
      <c r="AH55" s="252"/>
      <c r="AI55" s="126"/>
      <c r="AJ55" s="198"/>
      <c r="AL55" s="102"/>
      <c r="AM55" s="2"/>
      <c r="AN55" s="2"/>
      <c r="AO55" s="2"/>
    </row>
    <row r="56" spans="1:63" outlineLevel="1">
      <c r="A56" t="s">
        <v>439</v>
      </c>
      <c r="B56" s="51" t="s">
        <v>126</v>
      </c>
      <c r="C56" s="104">
        <v>0</v>
      </c>
      <c r="D56" s="104">
        <v>0</v>
      </c>
      <c r="E56" s="104">
        <v>0</v>
      </c>
      <c r="F56" s="104">
        <v>0</v>
      </c>
      <c r="G56" s="104">
        <v>0</v>
      </c>
      <c r="H56" s="104">
        <v>0</v>
      </c>
      <c r="I56" s="104">
        <v>0</v>
      </c>
      <c r="J56" s="104">
        <v>0</v>
      </c>
      <c r="K56" s="104">
        <v>0</v>
      </c>
      <c r="L56" s="104">
        <v>0</v>
      </c>
      <c r="M56" s="104">
        <v>0</v>
      </c>
      <c r="N56" s="104">
        <v>0</v>
      </c>
      <c r="O56" s="104">
        <v>0</v>
      </c>
      <c r="P56" s="104">
        <v>0</v>
      </c>
      <c r="Q56" s="104">
        <v>0</v>
      </c>
      <c r="R56" s="104">
        <v>0</v>
      </c>
      <c r="S56" s="104">
        <v>0</v>
      </c>
      <c r="T56" s="104">
        <v>0</v>
      </c>
      <c r="U56" s="104">
        <v>0</v>
      </c>
      <c r="V56" s="104">
        <v>0</v>
      </c>
      <c r="W56" s="104">
        <v>0</v>
      </c>
      <c r="X56" s="104">
        <v>0</v>
      </c>
      <c r="Y56" s="104">
        <v>0</v>
      </c>
      <c r="Z56" s="104">
        <v>0</v>
      </c>
      <c r="AA56" s="104">
        <v>0</v>
      </c>
      <c r="AB56" s="104">
        <v>0</v>
      </c>
      <c r="AC56" s="104">
        <v>0</v>
      </c>
      <c r="AD56" s="104">
        <v>0</v>
      </c>
      <c r="AE56" s="104">
        <v>0</v>
      </c>
      <c r="AF56" s="104">
        <v>0</v>
      </c>
      <c r="AG56" s="104">
        <v>0</v>
      </c>
      <c r="AH56" s="252"/>
      <c r="AJ56" s="198"/>
      <c r="AL56" s="102"/>
      <c r="AM56" s="2"/>
      <c r="AN56" s="2"/>
      <c r="AO56" s="2"/>
      <c r="BC56" s="1"/>
      <c r="BD56" s="2"/>
      <c r="BE56" s="2"/>
      <c r="BF56" s="2"/>
      <c r="BG56" s="2"/>
      <c r="BH56" s="2"/>
      <c r="BI56" s="2"/>
      <c r="BJ56" s="2"/>
      <c r="BK56" s="2"/>
    </row>
    <row r="57" spans="1:63" outlineLevel="1">
      <c r="A57" t="s">
        <v>831</v>
      </c>
      <c r="C57" s="104">
        <v>0</v>
      </c>
      <c r="D57" s="104">
        <v>0</v>
      </c>
      <c r="E57" s="104">
        <v>0</v>
      </c>
      <c r="F57" s="104">
        <v>0</v>
      </c>
      <c r="G57" s="104">
        <v>0</v>
      </c>
      <c r="H57" s="104">
        <v>0</v>
      </c>
      <c r="I57" s="104">
        <v>0</v>
      </c>
      <c r="J57" s="104">
        <v>0</v>
      </c>
      <c r="K57" s="104">
        <v>0</v>
      </c>
      <c r="L57" s="104">
        <v>0</v>
      </c>
      <c r="M57" s="104">
        <v>0</v>
      </c>
      <c r="N57" s="104">
        <v>0</v>
      </c>
      <c r="O57" s="104">
        <v>0</v>
      </c>
      <c r="P57" s="104">
        <v>0</v>
      </c>
      <c r="Q57" s="104">
        <v>0</v>
      </c>
      <c r="R57" s="104">
        <v>0</v>
      </c>
      <c r="S57" s="104">
        <v>0</v>
      </c>
      <c r="T57" s="104">
        <v>0</v>
      </c>
      <c r="U57" s="104">
        <v>0</v>
      </c>
      <c r="V57" s="104">
        <v>0</v>
      </c>
      <c r="W57" s="104">
        <v>0</v>
      </c>
      <c r="X57" s="104">
        <v>0</v>
      </c>
      <c r="Y57" s="104">
        <v>0</v>
      </c>
      <c r="Z57" s="104">
        <v>0</v>
      </c>
      <c r="AA57" s="104">
        <v>0</v>
      </c>
      <c r="AB57" s="104">
        <v>0</v>
      </c>
      <c r="AC57" s="104">
        <v>0</v>
      </c>
      <c r="AD57" s="104">
        <v>0</v>
      </c>
      <c r="AE57" s="104">
        <v>0</v>
      </c>
      <c r="AF57" s="104">
        <v>0</v>
      </c>
      <c r="AG57" s="104">
        <v>0</v>
      </c>
      <c r="AH57" s="252"/>
      <c r="AJ57" s="198"/>
      <c r="AL57" s="102"/>
      <c r="AM57" s="2"/>
      <c r="AN57" s="2"/>
      <c r="AO57" s="2"/>
      <c r="BC57" s="1"/>
      <c r="BD57" s="2"/>
      <c r="BE57" s="2"/>
      <c r="BF57" s="2"/>
      <c r="BG57" s="2"/>
      <c r="BH57" s="2"/>
      <c r="BI57" s="2"/>
      <c r="BJ57" s="2"/>
      <c r="BK57" s="2"/>
    </row>
    <row r="58" spans="1:63" outlineLevel="1">
      <c r="A58" t="s">
        <v>440</v>
      </c>
      <c r="B58" s="51" t="s">
        <v>126</v>
      </c>
      <c r="C58" s="104">
        <v>0</v>
      </c>
      <c r="D58" s="104">
        <v>0</v>
      </c>
      <c r="E58" s="104">
        <v>0</v>
      </c>
      <c r="F58" s="104">
        <v>0</v>
      </c>
      <c r="G58" s="104">
        <v>0</v>
      </c>
      <c r="H58" s="104">
        <v>0</v>
      </c>
      <c r="I58" s="104">
        <v>0</v>
      </c>
      <c r="J58" s="104">
        <v>0</v>
      </c>
      <c r="K58" s="104">
        <v>0</v>
      </c>
      <c r="L58" s="104">
        <v>0</v>
      </c>
      <c r="M58" s="104">
        <v>0</v>
      </c>
      <c r="N58" s="104">
        <v>0</v>
      </c>
      <c r="O58" s="104">
        <v>0</v>
      </c>
      <c r="P58" s="104">
        <v>0</v>
      </c>
      <c r="Q58" s="104">
        <v>0</v>
      </c>
      <c r="R58" s="104">
        <v>0</v>
      </c>
      <c r="S58" s="104">
        <v>0</v>
      </c>
      <c r="T58" s="104">
        <v>0</v>
      </c>
      <c r="U58" s="104">
        <v>0</v>
      </c>
      <c r="V58" s="104">
        <v>0</v>
      </c>
      <c r="W58" s="104">
        <v>0</v>
      </c>
      <c r="X58" s="104">
        <v>0</v>
      </c>
      <c r="Y58" s="104">
        <v>0</v>
      </c>
      <c r="Z58" s="104">
        <v>0</v>
      </c>
      <c r="AA58" s="104">
        <v>0</v>
      </c>
      <c r="AB58" s="104">
        <v>0</v>
      </c>
      <c r="AC58" s="104">
        <v>0</v>
      </c>
      <c r="AD58" s="104">
        <v>0</v>
      </c>
      <c r="AE58" s="104">
        <v>0</v>
      </c>
      <c r="AF58" s="104">
        <v>0</v>
      </c>
      <c r="AG58" s="104">
        <v>0</v>
      </c>
      <c r="AH58" s="252"/>
      <c r="AI58" s="126"/>
      <c r="AJ58" s="198"/>
      <c r="AL58" s="102"/>
      <c r="AM58" s="2"/>
      <c r="AN58" s="2"/>
      <c r="AO58" s="2"/>
      <c r="BC58" s="1"/>
      <c r="BD58" s="2"/>
      <c r="BE58" s="2"/>
      <c r="BF58" s="2"/>
      <c r="BG58" s="2"/>
      <c r="BH58" s="2"/>
      <c r="BI58" s="2"/>
      <c r="BJ58" s="2"/>
      <c r="BK58" s="2"/>
    </row>
    <row r="59" spans="1:63" outlineLevel="1">
      <c r="C59" s="104"/>
      <c r="D59" s="104"/>
      <c r="E59" s="104"/>
      <c r="F59" s="104"/>
      <c r="G59" s="104"/>
      <c r="H59" s="104"/>
      <c r="I59" s="104"/>
      <c r="J59" s="104"/>
      <c r="K59" s="104"/>
      <c r="L59" s="104"/>
      <c r="M59" s="104"/>
      <c r="N59" s="104"/>
      <c r="O59" s="104"/>
      <c r="P59" s="104"/>
      <c r="Q59" s="104"/>
      <c r="R59" s="104"/>
      <c r="S59" s="104"/>
      <c r="T59" s="104"/>
      <c r="U59" s="104"/>
      <c r="V59" s="104"/>
      <c r="W59" s="104"/>
      <c r="X59" s="104"/>
      <c r="Y59" s="104"/>
      <c r="Z59" s="104"/>
      <c r="AA59" s="104"/>
      <c r="AB59" s="104"/>
      <c r="AC59" s="104"/>
      <c r="AD59" s="104"/>
      <c r="AE59" s="104"/>
      <c r="AF59" s="104"/>
      <c r="AG59" s="104"/>
      <c r="AI59" s="126"/>
      <c r="AJ59" s="198"/>
      <c r="AL59" s="102"/>
      <c r="AM59" s="2"/>
      <c r="AN59" s="2"/>
      <c r="AO59" s="2"/>
      <c r="BC59" s="1"/>
      <c r="BD59" s="2"/>
      <c r="BE59" s="2"/>
      <c r="BF59" s="2"/>
      <c r="BG59" s="2"/>
      <c r="BH59" s="2"/>
      <c r="BI59" s="2"/>
      <c r="BJ59" s="2"/>
      <c r="BK59" s="2"/>
    </row>
    <row r="60" spans="1:63" outlineLevel="1">
      <c r="A60" t="s">
        <v>1484</v>
      </c>
      <c r="C60" s="357">
        <f>('Overall recycling rates'!F84*'Yearly BTX'!D5+'Overall recycling rates'!G84*'Yearly BTX'!D6+'Overall recycling rates'!H84*'Yearly BTX'!D7)/'Yearly BTX'!D4</f>
        <v>1.3486413897778087</v>
      </c>
      <c r="D60" s="357">
        <f>C60-($C60-$AG60)/($AG$1-$C$1)</f>
        <v>1.3403533434518817</v>
      </c>
      <c r="E60" s="357">
        <f t="shared" ref="E60:AF60" si="29">D60-($C60-$AG60)/($AG$1-$C$1)</f>
        <v>1.3320652971259548</v>
      </c>
      <c r="F60" s="357">
        <f t="shared" si="29"/>
        <v>1.3237772508000278</v>
      </c>
      <c r="G60" s="357">
        <f t="shared" si="29"/>
        <v>1.3154892044741009</v>
      </c>
      <c r="H60" s="357">
        <f t="shared" si="29"/>
        <v>1.3072011581481739</v>
      </c>
      <c r="I60" s="357">
        <f t="shared" si="29"/>
        <v>1.298913111822247</v>
      </c>
      <c r="J60" s="357">
        <f t="shared" si="29"/>
        <v>1.2906250654963201</v>
      </c>
      <c r="K60" s="357">
        <f t="shared" si="29"/>
        <v>1.2823370191703931</v>
      </c>
      <c r="L60" s="357">
        <f t="shared" si="29"/>
        <v>1.2740489728444662</v>
      </c>
      <c r="M60" s="357">
        <f t="shared" si="29"/>
        <v>1.2657609265185392</v>
      </c>
      <c r="N60" s="357">
        <f t="shared" si="29"/>
        <v>1.2574728801926123</v>
      </c>
      <c r="O60" s="357">
        <f t="shared" si="29"/>
        <v>1.2491848338666853</v>
      </c>
      <c r="P60" s="357">
        <f t="shared" si="29"/>
        <v>1.2408967875407584</v>
      </c>
      <c r="Q60" s="357">
        <f t="shared" si="29"/>
        <v>1.2326087412148314</v>
      </c>
      <c r="R60" s="357">
        <f t="shared" si="29"/>
        <v>1.2243206948889045</v>
      </c>
      <c r="S60" s="357">
        <f t="shared" si="29"/>
        <v>1.2160326485629775</v>
      </c>
      <c r="T60" s="357">
        <f t="shared" si="29"/>
        <v>1.2077446022370506</v>
      </c>
      <c r="U60" s="357">
        <f t="shared" si="29"/>
        <v>1.1994565559111237</v>
      </c>
      <c r="V60" s="357">
        <f t="shared" si="29"/>
        <v>1.1911685095851967</v>
      </c>
      <c r="W60" s="357">
        <f t="shared" si="29"/>
        <v>1.1828804632592698</v>
      </c>
      <c r="X60" s="357">
        <f t="shared" si="29"/>
        <v>1.1745924169333428</v>
      </c>
      <c r="Y60" s="357">
        <f t="shared" si="29"/>
        <v>1.1663043706074159</v>
      </c>
      <c r="Z60" s="357">
        <f t="shared" si="29"/>
        <v>1.1580163242814889</v>
      </c>
      <c r="AA60" s="357">
        <f t="shared" si="29"/>
        <v>1.149728277955562</v>
      </c>
      <c r="AB60" s="357">
        <f t="shared" si="29"/>
        <v>1.141440231629635</v>
      </c>
      <c r="AC60" s="357">
        <f t="shared" si="29"/>
        <v>1.1331521853037081</v>
      </c>
      <c r="AD60" s="357">
        <f t="shared" si="29"/>
        <v>1.1248641389777811</v>
      </c>
      <c r="AE60" s="357">
        <f t="shared" si="29"/>
        <v>1.1165760926518542</v>
      </c>
      <c r="AF60" s="357">
        <f t="shared" si="29"/>
        <v>1.1082880463259273</v>
      </c>
      <c r="AG60" s="357">
        <f>'Overall recycling rates'!G93</f>
        <v>1.1000000000000001</v>
      </c>
      <c r="AI60" s="126"/>
      <c r="AJ60" s="198"/>
      <c r="AL60" s="102"/>
      <c r="AM60" s="2"/>
      <c r="AN60" s="2"/>
      <c r="AO60" s="2"/>
      <c r="BC60" s="1"/>
      <c r="BD60" s="2"/>
      <c r="BE60" s="2"/>
      <c r="BF60" s="2"/>
      <c r="BG60" s="2"/>
      <c r="BH60" s="2"/>
      <c r="BI60" s="2"/>
      <c r="BJ60" s="2"/>
      <c r="BK60" s="2"/>
    </row>
    <row r="61" spans="1:63" outlineLevel="1">
      <c r="A61" t="s">
        <v>1485</v>
      </c>
      <c r="B61" s="51" t="s">
        <v>126</v>
      </c>
      <c r="C61" s="104">
        <f>C47*C$60</f>
        <v>0</v>
      </c>
      <c r="D61" s="104">
        <f t="shared" ref="D61:AG62" si="30">D47*D$60</f>
        <v>0</v>
      </c>
      <c r="E61" s="104">
        <f t="shared" si="30"/>
        <v>0</v>
      </c>
      <c r="F61" s="104">
        <f t="shared" si="30"/>
        <v>0</v>
      </c>
      <c r="G61" s="104">
        <f t="shared" si="30"/>
        <v>0</v>
      </c>
      <c r="H61" s="104">
        <f t="shared" si="30"/>
        <v>0</v>
      </c>
      <c r="I61" s="104">
        <f t="shared" si="30"/>
        <v>0</v>
      </c>
      <c r="J61" s="104">
        <f t="shared" si="30"/>
        <v>0</v>
      </c>
      <c r="K61" s="104">
        <f t="shared" si="30"/>
        <v>0</v>
      </c>
      <c r="L61" s="104">
        <f t="shared" si="30"/>
        <v>0</v>
      </c>
      <c r="M61" s="104">
        <f>M47*M$60</f>
        <v>0</v>
      </c>
      <c r="N61" s="104">
        <f t="shared" si="30"/>
        <v>0</v>
      </c>
      <c r="O61" s="104">
        <f t="shared" si="30"/>
        <v>0</v>
      </c>
      <c r="P61" s="104">
        <f t="shared" si="30"/>
        <v>0</v>
      </c>
      <c r="Q61" s="104">
        <f t="shared" si="30"/>
        <v>0</v>
      </c>
      <c r="R61" s="104">
        <f t="shared" si="30"/>
        <v>0</v>
      </c>
      <c r="S61" s="104">
        <f t="shared" si="30"/>
        <v>0</v>
      </c>
      <c r="T61" s="104">
        <f t="shared" si="30"/>
        <v>0</v>
      </c>
      <c r="U61" s="104">
        <f t="shared" si="30"/>
        <v>0</v>
      </c>
      <c r="V61" s="104">
        <f t="shared" si="30"/>
        <v>0</v>
      </c>
      <c r="W61" s="104">
        <f t="shared" si="30"/>
        <v>0</v>
      </c>
      <c r="X61" s="104">
        <f t="shared" si="30"/>
        <v>0</v>
      </c>
      <c r="Y61" s="104">
        <f t="shared" si="30"/>
        <v>0</v>
      </c>
      <c r="Z61" s="104">
        <f t="shared" si="30"/>
        <v>0</v>
      </c>
      <c r="AA61" s="104">
        <f t="shared" si="30"/>
        <v>0</v>
      </c>
      <c r="AB61" s="104">
        <f t="shared" si="30"/>
        <v>0</v>
      </c>
      <c r="AC61" s="104">
        <f t="shared" si="30"/>
        <v>0</v>
      </c>
      <c r="AD61" s="104">
        <f t="shared" si="30"/>
        <v>0</v>
      </c>
      <c r="AE61" s="104">
        <f t="shared" si="30"/>
        <v>0</v>
      </c>
      <c r="AF61" s="104">
        <f t="shared" si="30"/>
        <v>0</v>
      </c>
      <c r="AG61" s="104">
        <f t="shared" si="30"/>
        <v>0</v>
      </c>
      <c r="AI61" s="126"/>
      <c r="AJ61" s="198"/>
      <c r="AL61" s="102"/>
      <c r="AM61" s="2"/>
      <c r="AN61" s="2"/>
      <c r="AO61" s="2"/>
      <c r="AV61" s="38"/>
    </row>
    <row r="62" spans="1:63" outlineLevel="1">
      <c r="A62" t="s">
        <v>1486</v>
      </c>
      <c r="B62" s="51" t="s">
        <v>126</v>
      </c>
      <c r="C62" s="104">
        <f>C48*C$60</f>
        <v>0</v>
      </c>
      <c r="D62" s="104">
        <f t="shared" si="30"/>
        <v>0</v>
      </c>
      <c r="E62" s="104">
        <f t="shared" si="30"/>
        <v>0</v>
      </c>
      <c r="F62" s="104">
        <f t="shared" si="30"/>
        <v>0</v>
      </c>
      <c r="G62" s="104">
        <f t="shared" si="30"/>
        <v>0</v>
      </c>
      <c r="H62" s="104">
        <f t="shared" si="30"/>
        <v>0</v>
      </c>
      <c r="I62" s="104">
        <f t="shared" si="30"/>
        <v>0</v>
      </c>
      <c r="J62" s="104">
        <f t="shared" si="30"/>
        <v>0</v>
      </c>
      <c r="K62" s="104">
        <f t="shared" si="30"/>
        <v>0</v>
      </c>
      <c r="L62" s="104">
        <f t="shared" si="30"/>
        <v>0</v>
      </c>
      <c r="M62" s="104">
        <f t="shared" si="30"/>
        <v>0</v>
      </c>
      <c r="N62" s="104">
        <f t="shared" si="30"/>
        <v>0</v>
      </c>
      <c r="O62" s="104">
        <f t="shared" si="30"/>
        <v>0</v>
      </c>
      <c r="P62" s="104">
        <f t="shared" si="30"/>
        <v>0</v>
      </c>
      <c r="Q62" s="104">
        <f t="shared" si="30"/>
        <v>0</v>
      </c>
      <c r="R62" s="104">
        <f t="shared" si="30"/>
        <v>0</v>
      </c>
      <c r="S62" s="104">
        <f t="shared" si="30"/>
        <v>0</v>
      </c>
      <c r="T62" s="104">
        <f t="shared" si="30"/>
        <v>0</v>
      </c>
      <c r="U62" s="104">
        <f t="shared" si="30"/>
        <v>0</v>
      </c>
      <c r="V62" s="104">
        <f t="shared" si="30"/>
        <v>0</v>
      </c>
      <c r="W62" s="104">
        <f t="shared" si="30"/>
        <v>0</v>
      </c>
      <c r="X62" s="104">
        <f t="shared" si="30"/>
        <v>0</v>
      </c>
      <c r="Y62" s="104">
        <f t="shared" si="30"/>
        <v>0</v>
      </c>
      <c r="Z62" s="104">
        <f t="shared" si="30"/>
        <v>0</v>
      </c>
      <c r="AA62" s="104">
        <f t="shared" si="30"/>
        <v>0</v>
      </c>
      <c r="AB62" s="104">
        <f t="shared" si="30"/>
        <v>0</v>
      </c>
      <c r="AC62" s="104">
        <f t="shared" si="30"/>
        <v>0</v>
      </c>
      <c r="AD62" s="104">
        <f t="shared" si="30"/>
        <v>0</v>
      </c>
      <c r="AE62" s="104">
        <f t="shared" si="30"/>
        <v>0</v>
      </c>
      <c r="AF62" s="104">
        <f t="shared" si="30"/>
        <v>0</v>
      </c>
      <c r="AG62" s="104">
        <f t="shared" si="30"/>
        <v>0</v>
      </c>
      <c r="AH62" s="230"/>
      <c r="AI62" s="126"/>
      <c r="AJ62" s="198"/>
      <c r="AL62" s="102"/>
      <c r="AM62" s="2"/>
      <c r="AN62" s="2"/>
      <c r="AO62" s="2"/>
      <c r="AV62" s="38"/>
    </row>
    <row r="63" spans="1:63" outlineLevel="1">
      <c r="A63" t="s">
        <v>1487</v>
      </c>
      <c r="B63" s="165" t="s">
        <v>126</v>
      </c>
      <c r="C63" s="104">
        <f>SUM(C61:C62)</f>
        <v>0</v>
      </c>
      <c r="D63" s="104">
        <f t="shared" ref="D63:AG63" si="31">SUM(D61:D62)</f>
        <v>0</v>
      </c>
      <c r="E63" s="104">
        <f t="shared" si="31"/>
        <v>0</v>
      </c>
      <c r="F63" s="104">
        <f t="shared" si="31"/>
        <v>0</v>
      </c>
      <c r="G63" s="104">
        <f t="shared" si="31"/>
        <v>0</v>
      </c>
      <c r="H63" s="104">
        <f t="shared" si="31"/>
        <v>0</v>
      </c>
      <c r="I63" s="104">
        <f t="shared" si="31"/>
        <v>0</v>
      </c>
      <c r="J63" s="104">
        <f t="shared" si="31"/>
        <v>0</v>
      </c>
      <c r="K63" s="104">
        <f t="shared" si="31"/>
        <v>0</v>
      </c>
      <c r="L63" s="104">
        <f t="shared" si="31"/>
        <v>0</v>
      </c>
      <c r="M63" s="104">
        <f t="shared" si="31"/>
        <v>0</v>
      </c>
      <c r="N63" s="104">
        <f t="shared" si="31"/>
        <v>0</v>
      </c>
      <c r="O63" s="104">
        <f t="shared" si="31"/>
        <v>0</v>
      </c>
      <c r="P63" s="104">
        <f t="shared" si="31"/>
        <v>0</v>
      </c>
      <c r="Q63" s="104">
        <f t="shared" si="31"/>
        <v>0</v>
      </c>
      <c r="R63" s="104">
        <f t="shared" si="31"/>
        <v>0</v>
      </c>
      <c r="S63" s="104">
        <f t="shared" si="31"/>
        <v>0</v>
      </c>
      <c r="T63" s="104">
        <f t="shared" si="31"/>
        <v>0</v>
      </c>
      <c r="U63" s="104">
        <f t="shared" si="31"/>
        <v>0</v>
      </c>
      <c r="V63" s="104">
        <f t="shared" si="31"/>
        <v>0</v>
      </c>
      <c r="W63" s="104">
        <f t="shared" si="31"/>
        <v>0</v>
      </c>
      <c r="X63" s="104">
        <f t="shared" si="31"/>
        <v>0</v>
      </c>
      <c r="Y63" s="104">
        <f t="shared" si="31"/>
        <v>0</v>
      </c>
      <c r="Z63" s="104">
        <f t="shared" si="31"/>
        <v>0</v>
      </c>
      <c r="AA63" s="104">
        <f t="shared" si="31"/>
        <v>0</v>
      </c>
      <c r="AB63" s="104">
        <f t="shared" si="31"/>
        <v>0</v>
      </c>
      <c r="AC63" s="104">
        <f t="shared" si="31"/>
        <v>0</v>
      </c>
      <c r="AD63" s="104">
        <f t="shared" si="31"/>
        <v>0</v>
      </c>
      <c r="AE63" s="104">
        <f t="shared" si="31"/>
        <v>0</v>
      </c>
      <c r="AF63" s="104">
        <f t="shared" si="31"/>
        <v>0</v>
      </c>
      <c r="AG63" s="104">
        <f t="shared" si="31"/>
        <v>0</v>
      </c>
      <c r="AI63" s="126"/>
      <c r="AJ63" s="198"/>
      <c r="AL63" s="102"/>
      <c r="AM63" s="2"/>
      <c r="AN63" s="2"/>
      <c r="AO63" s="2"/>
    </row>
    <row r="64" spans="1:63" outlineLevel="1">
      <c r="A64" t="s">
        <v>1488</v>
      </c>
      <c r="B64" s="51" t="s">
        <v>126</v>
      </c>
      <c r="C64" s="104">
        <f>C$60*C55</f>
        <v>0</v>
      </c>
      <c r="D64" s="104">
        <f t="shared" ref="D64:AG67" si="32">D$60*D55</f>
        <v>0</v>
      </c>
      <c r="E64" s="104">
        <f t="shared" si="32"/>
        <v>0</v>
      </c>
      <c r="F64" s="104">
        <f t="shared" si="32"/>
        <v>0</v>
      </c>
      <c r="G64" s="104">
        <f t="shared" si="32"/>
        <v>0</v>
      </c>
      <c r="H64" s="104">
        <f t="shared" si="32"/>
        <v>0</v>
      </c>
      <c r="I64" s="104">
        <f t="shared" si="32"/>
        <v>0</v>
      </c>
      <c r="J64" s="104">
        <f t="shared" si="32"/>
        <v>0</v>
      </c>
      <c r="K64" s="104">
        <f t="shared" si="32"/>
        <v>0</v>
      </c>
      <c r="L64" s="104">
        <f t="shared" si="32"/>
        <v>0</v>
      </c>
      <c r="M64" s="104">
        <f t="shared" si="32"/>
        <v>0</v>
      </c>
      <c r="N64" s="104">
        <f t="shared" si="32"/>
        <v>0</v>
      </c>
      <c r="O64" s="104">
        <f t="shared" si="32"/>
        <v>0</v>
      </c>
      <c r="P64" s="104">
        <f t="shared" si="32"/>
        <v>0</v>
      </c>
      <c r="Q64" s="104">
        <f t="shared" si="32"/>
        <v>0</v>
      </c>
      <c r="R64" s="104">
        <f t="shared" si="32"/>
        <v>0</v>
      </c>
      <c r="S64" s="104">
        <f t="shared" si="32"/>
        <v>0</v>
      </c>
      <c r="T64" s="104">
        <f t="shared" si="32"/>
        <v>0</v>
      </c>
      <c r="U64" s="104">
        <f t="shared" si="32"/>
        <v>0</v>
      </c>
      <c r="V64" s="104">
        <f t="shared" si="32"/>
        <v>0</v>
      </c>
      <c r="W64" s="104">
        <f t="shared" si="32"/>
        <v>0</v>
      </c>
      <c r="X64" s="104">
        <f t="shared" si="32"/>
        <v>0</v>
      </c>
      <c r="Y64" s="104">
        <f t="shared" si="32"/>
        <v>0</v>
      </c>
      <c r="Z64" s="104">
        <f t="shared" si="32"/>
        <v>0</v>
      </c>
      <c r="AA64" s="104">
        <f t="shared" si="32"/>
        <v>0</v>
      </c>
      <c r="AB64" s="104">
        <f t="shared" si="32"/>
        <v>0</v>
      </c>
      <c r="AC64" s="104">
        <f t="shared" si="32"/>
        <v>0</v>
      </c>
      <c r="AD64" s="104">
        <f t="shared" si="32"/>
        <v>0</v>
      </c>
      <c r="AE64" s="104">
        <f t="shared" si="32"/>
        <v>0</v>
      </c>
      <c r="AF64" s="104">
        <f t="shared" si="32"/>
        <v>0</v>
      </c>
      <c r="AG64" s="104">
        <f t="shared" si="32"/>
        <v>0</v>
      </c>
      <c r="AI64" s="126"/>
      <c r="AJ64" s="198"/>
      <c r="AL64" s="102"/>
      <c r="AM64" s="2"/>
      <c r="AN64" s="2"/>
      <c r="AO64" s="2"/>
    </row>
    <row r="65" spans="1:63" outlineLevel="1">
      <c r="A65" t="s">
        <v>1489</v>
      </c>
      <c r="B65" s="51" t="s">
        <v>126</v>
      </c>
      <c r="C65" s="104">
        <f t="shared" ref="C65:R67" si="33">C$60*C56</f>
        <v>0</v>
      </c>
      <c r="D65" s="104">
        <f t="shared" si="33"/>
        <v>0</v>
      </c>
      <c r="E65" s="104">
        <f t="shared" si="33"/>
        <v>0</v>
      </c>
      <c r="F65" s="104">
        <f t="shared" si="33"/>
        <v>0</v>
      </c>
      <c r="G65" s="104">
        <f t="shared" si="33"/>
        <v>0</v>
      </c>
      <c r="H65" s="104">
        <f t="shared" si="33"/>
        <v>0</v>
      </c>
      <c r="I65" s="104">
        <f t="shared" si="33"/>
        <v>0</v>
      </c>
      <c r="J65" s="104">
        <f t="shared" si="33"/>
        <v>0</v>
      </c>
      <c r="K65" s="104">
        <f t="shared" si="33"/>
        <v>0</v>
      </c>
      <c r="L65" s="104">
        <f t="shared" si="33"/>
        <v>0</v>
      </c>
      <c r="M65" s="104">
        <f t="shared" si="33"/>
        <v>0</v>
      </c>
      <c r="N65" s="104">
        <f t="shared" si="33"/>
        <v>0</v>
      </c>
      <c r="O65" s="104">
        <f t="shared" si="33"/>
        <v>0</v>
      </c>
      <c r="P65" s="104">
        <f t="shared" si="33"/>
        <v>0</v>
      </c>
      <c r="Q65" s="104">
        <f t="shared" si="33"/>
        <v>0</v>
      </c>
      <c r="R65" s="104">
        <f t="shared" si="33"/>
        <v>0</v>
      </c>
      <c r="S65" s="104">
        <f t="shared" si="32"/>
        <v>0</v>
      </c>
      <c r="T65" s="104">
        <f t="shared" si="32"/>
        <v>0</v>
      </c>
      <c r="U65" s="104">
        <f t="shared" si="32"/>
        <v>0</v>
      </c>
      <c r="V65" s="104">
        <f t="shared" si="32"/>
        <v>0</v>
      </c>
      <c r="W65" s="104">
        <f t="shared" si="32"/>
        <v>0</v>
      </c>
      <c r="X65" s="104">
        <f t="shared" si="32"/>
        <v>0</v>
      </c>
      <c r="Y65" s="104">
        <f t="shared" si="32"/>
        <v>0</v>
      </c>
      <c r="Z65" s="104">
        <f t="shared" si="32"/>
        <v>0</v>
      </c>
      <c r="AA65" s="104">
        <f t="shared" si="32"/>
        <v>0</v>
      </c>
      <c r="AB65" s="104">
        <f t="shared" si="32"/>
        <v>0</v>
      </c>
      <c r="AC65" s="104">
        <f t="shared" si="32"/>
        <v>0</v>
      </c>
      <c r="AD65" s="104">
        <f t="shared" si="32"/>
        <v>0</v>
      </c>
      <c r="AE65" s="104">
        <f t="shared" si="32"/>
        <v>0</v>
      </c>
      <c r="AF65" s="104">
        <f t="shared" si="32"/>
        <v>0</v>
      </c>
      <c r="AG65" s="104">
        <f t="shared" si="32"/>
        <v>0</v>
      </c>
      <c r="AI65" s="126"/>
      <c r="AJ65" s="198"/>
      <c r="AL65" s="102"/>
      <c r="AM65" s="2"/>
      <c r="AN65" s="2"/>
      <c r="AO65" s="2"/>
      <c r="BC65" s="1"/>
      <c r="BD65" s="2"/>
      <c r="BE65" s="2"/>
      <c r="BF65" s="2"/>
      <c r="BG65" s="2"/>
      <c r="BH65" s="2"/>
      <c r="BI65" s="2"/>
      <c r="BJ65" s="2"/>
      <c r="BK65" s="2"/>
    </row>
    <row r="66" spans="1:63" outlineLevel="1">
      <c r="A66" t="s">
        <v>1490</v>
      </c>
      <c r="C66" s="104">
        <f t="shared" si="33"/>
        <v>0</v>
      </c>
      <c r="D66" s="104">
        <f t="shared" si="32"/>
        <v>0</v>
      </c>
      <c r="E66" s="104">
        <f t="shared" si="32"/>
        <v>0</v>
      </c>
      <c r="F66" s="104">
        <f t="shared" si="32"/>
        <v>0</v>
      </c>
      <c r="G66" s="104">
        <f t="shared" si="32"/>
        <v>0</v>
      </c>
      <c r="H66" s="104">
        <f t="shared" si="32"/>
        <v>0</v>
      </c>
      <c r="I66" s="104">
        <f t="shared" si="32"/>
        <v>0</v>
      </c>
      <c r="J66" s="104">
        <f t="shared" si="32"/>
        <v>0</v>
      </c>
      <c r="K66" s="104">
        <f t="shared" si="32"/>
        <v>0</v>
      </c>
      <c r="L66" s="104">
        <f t="shared" si="32"/>
        <v>0</v>
      </c>
      <c r="M66" s="104">
        <f t="shared" si="32"/>
        <v>0</v>
      </c>
      <c r="N66" s="104">
        <f t="shared" si="32"/>
        <v>0</v>
      </c>
      <c r="O66" s="104">
        <f t="shared" si="32"/>
        <v>0</v>
      </c>
      <c r="P66" s="104">
        <f t="shared" si="32"/>
        <v>0</v>
      </c>
      <c r="Q66" s="104">
        <f t="shared" si="32"/>
        <v>0</v>
      </c>
      <c r="R66" s="104">
        <f t="shared" si="32"/>
        <v>0</v>
      </c>
      <c r="S66" s="104">
        <f t="shared" si="32"/>
        <v>0</v>
      </c>
      <c r="T66" s="104">
        <f t="shared" si="32"/>
        <v>0</v>
      </c>
      <c r="U66" s="104">
        <f t="shared" si="32"/>
        <v>0</v>
      </c>
      <c r="V66" s="104">
        <f t="shared" si="32"/>
        <v>0</v>
      </c>
      <c r="W66" s="104">
        <f t="shared" si="32"/>
        <v>0</v>
      </c>
      <c r="X66" s="104">
        <f t="shared" si="32"/>
        <v>0</v>
      </c>
      <c r="Y66" s="104">
        <f t="shared" si="32"/>
        <v>0</v>
      </c>
      <c r="Z66" s="104">
        <f t="shared" si="32"/>
        <v>0</v>
      </c>
      <c r="AA66" s="104">
        <f t="shared" si="32"/>
        <v>0</v>
      </c>
      <c r="AB66" s="104">
        <f t="shared" si="32"/>
        <v>0</v>
      </c>
      <c r="AC66" s="104">
        <f t="shared" si="32"/>
        <v>0</v>
      </c>
      <c r="AD66" s="104">
        <f t="shared" si="32"/>
        <v>0</v>
      </c>
      <c r="AE66" s="104">
        <f t="shared" si="32"/>
        <v>0</v>
      </c>
      <c r="AF66" s="104">
        <f t="shared" si="32"/>
        <v>0</v>
      </c>
      <c r="AG66" s="104">
        <f t="shared" si="32"/>
        <v>0</v>
      </c>
      <c r="AI66" s="126"/>
      <c r="AJ66" s="198"/>
      <c r="AL66" s="102"/>
      <c r="AM66" s="2"/>
      <c r="AN66" s="2"/>
      <c r="AO66" s="2"/>
      <c r="BC66" s="1"/>
      <c r="BD66" s="2"/>
      <c r="BE66" s="2"/>
      <c r="BF66" s="2"/>
      <c r="BG66" s="2"/>
      <c r="BH66" s="2"/>
      <c r="BI66" s="2"/>
      <c r="BJ66" s="2"/>
      <c r="BK66" s="2"/>
    </row>
    <row r="67" spans="1:63" outlineLevel="1">
      <c r="A67" t="s">
        <v>1491</v>
      </c>
      <c r="B67" s="51" t="s">
        <v>126</v>
      </c>
      <c r="C67" s="104">
        <f t="shared" si="33"/>
        <v>0</v>
      </c>
      <c r="D67" s="104">
        <f t="shared" si="32"/>
        <v>0</v>
      </c>
      <c r="E67" s="104">
        <f t="shared" si="32"/>
        <v>0</v>
      </c>
      <c r="F67" s="104">
        <f t="shared" si="32"/>
        <v>0</v>
      </c>
      <c r="G67" s="104">
        <f t="shared" si="32"/>
        <v>0</v>
      </c>
      <c r="H67" s="104">
        <f t="shared" si="32"/>
        <v>0</v>
      </c>
      <c r="I67" s="104">
        <f t="shared" si="32"/>
        <v>0</v>
      </c>
      <c r="J67" s="104">
        <f t="shared" si="32"/>
        <v>0</v>
      </c>
      <c r="K67" s="104">
        <f t="shared" si="32"/>
        <v>0</v>
      </c>
      <c r="L67" s="104">
        <f t="shared" si="32"/>
        <v>0</v>
      </c>
      <c r="M67" s="104">
        <f t="shared" si="32"/>
        <v>0</v>
      </c>
      <c r="N67" s="104">
        <f t="shared" si="32"/>
        <v>0</v>
      </c>
      <c r="O67" s="104">
        <f t="shared" si="32"/>
        <v>0</v>
      </c>
      <c r="P67" s="104">
        <f t="shared" si="32"/>
        <v>0</v>
      </c>
      <c r="Q67" s="104">
        <f t="shared" si="32"/>
        <v>0</v>
      </c>
      <c r="R67" s="104">
        <f t="shared" si="32"/>
        <v>0</v>
      </c>
      <c r="S67" s="104">
        <f t="shared" si="32"/>
        <v>0</v>
      </c>
      <c r="T67" s="104">
        <f t="shared" si="32"/>
        <v>0</v>
      </c>
      <c r="U67" s="104">
        <f t="shared" si="32"/>
        <v>0</v>
      </c>
      <c r="V67" s="104">
        <f t="shared" si="32"/>
        <v>0</v>
      </c>
      <c r="W67" s="104">
        <f t="shared" si="32"/>
        <v>0</v>
      </c>
      <c r="X67" s="104">
        <f t="shared" si="32"/>
        <v>0</v>
      </c>
      <c r="Y67" s="104">
        <f t="shared" si="32"/>
        <v>0</v>
      </c>
      <c r="Z67" s="104">
        <f t="shared" si="32"/>
        <v>0</v>
      </c>
      <c r="AA67" s="104">
        <f t="shared" si="32"/>
        <v>0</v>
      </c>
      <c r="AB67" s="104">
        <f t="shared" si="32"/>
        <v>0</v>
      </c>
      <c r="AC67" s="104">
        <f t="shared" si="32"/>
        <v>0</v>
      </c>
      <c r="AD67" s="104">
        <f t="shared" si="32"/>
        <v>0</v>
      </c>
      <c r="AE67" s="104">
        <f t="shared" si="32"/>
        <v>0</v>
      </c>
      <c r="AF67" s="104">
        <f t="shared" si="32"/>
        <v>0</v>
      </c>
      <c r="AG67" s="104">
        <f t="shared" si="32"/>
        <v>0</v>
      </c>
      <c r="AH67" s="230"/>
      <c r="AI67" s="126"/>
      <c r="AJ67" s="198"/>
      <c r="AL67" s="102"/>
      <c r="AM67" s="2"/>
      <c r="AN67" s="2"/>
      <c r="AO67" s="2"/>
      <c r="BC67" s="1"/>
      <c r="BD67" s="2"/>
      <c r="BE67" s="2"/>
      <c r="BF67" s="2"/>
      <c r="BG67" s="2"/>
      <c r="BH67" s="2"/>
      <c r="BI67" s="2"/>
      <c r="BJ67" s="2"/>
      <c r="BK67" s="2"/>
    </row>
    <row r="68" spans="1:63" outlineLevel="1">
      <c r="C68" s="104"/>
      <c r="D68" s="104"/>
      <c r="E68" s="104"/>
      <c r="F68" s="104"/>
      <c r="G68" s="104"/>
      <c r="H68" s="104"/>
      <c r="I68" s="104"/>
      <c r="J68" s="104"/>
      <c r="K68" s="104"/>
      <c r="L68" s="104"/>
      <c r="M68" s="104"/>
      <c r="N68" s="104"/>
      <c r="O68" s="104"/>
      <c r="P68" s="104"/>
      <c r="Q68" s="104"/>
      <c r="R68" s="104"/>
      <c r="S68" s="104"/>
      <c r="T68" s="104"/>
      <c r="U68" s="104"/>
      <c r="V68" s="104"/>
      <c r="W68" s="104"/>
      <c r="X68" s="104"/>
      <c r="Y68" s="104"/>
      <c r="Z68" s="104"/>
      <c r="AA68" s="104"/>
      <c r="AB68" s="104"/>
      <c r="AC68" s="104"/>
      <c r="AD68" s="104"/>
      <c r="AE68" s="104"/>
      <c r="AF68" s="104"/>
      <c r="AG68" s="104"/>
      <c r="AI68" s="127"/>
      <c r="AJ68" s="198"/>
      <c r="BC68" s="1"/>
      <c r="BD68" s="38"/>
      <c r="BF68" s="6"/>
      <c r="BG68" s="6"/>
      <c r="BH68" s="6"/>
      <c r="BI68" s="6"/>
      <c r="BJ68" s="6"/>
    </row>
    <row r="69" spans="1:63" s="1" customFormat="1" outlineLevel="1">
      <c r="A69" s="1" t="s">
        <v>261</v>
      </c>
      <c r="B69" s="61"/>
      <c r="C69" s="279">
        <f>C39*C61</f>
        <v>0</v>
      </c>
      <c r="D69" s="279">
        <f t="shared" ref="D69:AG69" si="34">D39*D61</f>
        <v>0</v>
      </c>
      <c r="E69" s="279">
        <f t="shared" si="34"/>
        <v>0</v>
      </c>
      <c r="F69" s="279">
        <f t="shared" si="34"/>
        <v>0</v>
      </c>
      <c r="G69" s="279">
        <f t="shared" si="34"/>
        <v>0</v>
      </c>
      <c r="H69" s="279">
        <f t="shared" si="34"/>
        <v>0</v>
      </c>
      <c r="I69" s="279">
        <f t="shared" si="34"/>
        <v>0</v>
      </c>
      <c r="J69" s="279">
        <f t="shared" si="34"/>
        <v>0</v>
      </c>
      <c r="K69" s="279">
        <f t="shared" si="34"/>
        <v>0</v>
      </c>
      <c r="L69" s="279">
        <f t="shared" si="34"/>
        <v>0</v>
      </c>
      <c r="M69" s="279">
        <f t="shared" si="34"/>
        <v>0</v>
      </c>
      <c r="N69" s="279">
        <f t="shared" si="34"/>
        <v>0</v>
      </c>
      <c r="O69" s="279">
        <f t="shared" si="34"/>
        <v>0</v>
      </c>
      <c r="P69" s="279">
        <f t="shared" si="34"/>
        <v>0</v>
      </c>
      <c r="Q69" s="279">
        <f t="shared" si="34"/>
        <v>0</v>
      </c>
      <c r="R69" s="279">
        <f t="shared" si="34"/>
        <v>0</v>
      </c>
      <c r="S69" s="279">
        <f t="shared" si="34"/>
        <v>0</v>
      </c>
      <c r="T69" s="279">
        <f t="shared" si="34"/>
        <v>0</v>
      </c>
      <c r="U69" s="279">
        <f t="shared" si="34"/>
        <v>0</v>
      </c>
      <c r="V69" s="279">
        <f t="shared" si="34"/>
        <v>0</v>
      </c>
      <c r="W69" s="279">
        <f t="shared" si="34"/>
        <v>0</v>
      </c>
      <c r="X69" s="279">
        <f t="shared" si="34"/>
        <v>0</v>
      </c>
      <c r="Y69" s="279">
        <f t="shared" si="34"/>
        <v>0</v>
      </c>
      <c r="Z69" s="279">
        <f t="shared" si="34"/>
        <v>0</v>
      </c>
      <c r="AA69" s="279">
        <f t="shared" si="34"/>
        <v>0</v>
      </c>
      <c r="AB69" s="279">
        <f t="shared" si="34"/>
        <v>0</v>
      </c>
      <c r="AC69" s="279">
        <f t="shared" si="34"/>
        <v>0</v>
      </c>
      <c r="AD69" s="279">
        <f t="shared" si="34"/>
        <v>0</v>
      </c>
      <c r="AE69" s="279">
        <f t="shared" si="34"/>
        <v>0</v>
      </c>
      <c r="AF69" s="279">
        <f t="shared" si="34"/>
        <v>0</v>
      </c>
      <c r="AG69" s="279">
        <f t="shared" si="34"/>
        <v>0</v>
      </c>
      <c r="AH69" s="230"/>
      <c r="AI69" s="398"/>
      <c r="AJ69" s="399"/>
      <c r="AL69" s="207"/>
      <c r="AM69" s="118"/>
      <c r="AN69" s="118"/>
      <c r="AO69" s="118"/>
      <c r="BD69" s="118"/>
      <c r="BE69" s="118"/>
      <c r="BF69" s="118"/>
      <c r="BG69" s="118"/>
      <c r="BH69" s="118"/>
      <c r="BI69" s="118"/>
      <c r="BJ69" s="118"/>
      <c r="BK69" s="118"/>
    </row>
    <row r="70" spans="1:63" s="1" customFormat="1" outlineLevel="1">
      <c r="A70" s="1" t="s">
        <v>1160</v>
      </c>
      <c r="B70" s="61"/>
      <c r="C70" s="279">
        <f t="shared" ref="C70:AG70" si="35">C69-$C69</f>
        <v>0</v>
      </c>
      <c r="D70" s="279">
        <f t="shared" si="35"/>
        <v>0</v>
      </c>
      <c r="E70" s="279">
        <f t="shared" si="35"/>
        <v>0</v>
      </c>
      <c r="F70" s="279">
        <f t="shared" si="35"/>
        <v>0</v>
      </c>
      <c r="G70" s="279">
        <f t="shared" si="35"/>
        <v>0</v>
      </c>
      <c r="H70" s="279">
        <f t="shared" si="35"/>
        <v>0</v>
      </c>
      <c r="I70" s="279">
        <f t="shared" si="35"/>
        <v>0</v>
      </c>
      <c r="J70" s="279">
        <f t="shared" si="35"/>
        <v>0</v>
      </c>
      <c r="K70" s="279">
        <f t="shared" si="35"/>
        <v>0</v>
      </c>
      <c r="L70" s="279">
        <f t="shared" si="35"/>
        <v>0</v>
      </c>
      <c r="M70" s="279">
        <f t="shared" si="35"/>
        <v>0</v>
      </c>
      <c r="N70" s="279">
        <f t="shared" si="35"/>
        <v>0</v>
      </c>
      <c r="O70" s="279">
        <f t="shared" si="35"/>
        <v>0</v>
      </c>
      <c r="P70" s="279">
        <f t="shared" si="35"/>
        <v>0</v>
      </c>
      <c r="Q70" s="279">
        <f t="shared" si="35"/>
        <v>0</v>
      </c>
      <c r="R70" s="279">
        <f t="shared" si="35"/>
        <v>0</v>
      </c>
      <c r="S70" s="279">
        <f t="shared" si="35"/>
        <v>0</v>
      </c>
      <c r="T70" s="279">
        <f t="shared" si="35"/>
        <v>0</v>
      </c>
      <c r="U70" s="279">
        <f t="shared" si="35"/>
        <v>0</v>
      </c>
      <c r="V70" s="279">
        <f t="shared" si="35"/>
        <v>0</v>
      </c>
      <c r="W70" s="279">
        <f t="shared" si="35"/>
        <v>0</v>
      </c>
      <c r="X70" s="279">
        <f t="shared" si="35"/>
        <v>0</v>
      </c>
      <c r="Y70" s="279">
        <f t="shared" si="35"/>
        <v>0</v>
      </c>
      <c r="Z70" s="279">
        <f t="shared" si="35"/>
        <v>0</v>
      </c>
      <c r="AA70" s="279">
        <f t="shared" si="35"/>
        <v>0</v>
      </c>
      <c r="AB70" s="279">
        <f t="shared" si="35"/>
        <v>0</v>
      </c>
      <c r="AC70" s="279">
        <f t="shared" si="35"/>
        <v>0</v>
      </c>
      <c r="AD70" s="279">
        <f t="shared" si="35"/>
        <v>0</v>
      </c>
      <c r="AE70" s="279">
        <f t="shared" si="35"/>
        <v>0</v>
      </c>
      <c r="AF70" s="279">
        <f t="shared" si="35"/>
        <v>0</v>
      </c>
      <c r="AG70" s="279">
        <f t="shared" si="35"/>
        <v>0</v>
      </c>
      <c r="AH70" s="230"/>
      <c r="AI70" s="398"/>
      <c r="AJ70" s="399"/>
      <c r="AL70" s="207"/>
      <c r="AM70" s="118"/>
      <c r="AN70" s="118"/>
      <c r="AO70" s="118"/>
      <c r="BD70" s="118"/>
      <c r="BE70" s="118"/>
      <c r="BF70" s="118"/>
      <c r="BG70" s="118"/>
      <c r="BH70" s="118"/>
      <c r="BI70" s="118"/>
      <c r="BJ70" s="118"/>
      <c r="BK70" s="118"/>
    </row>
    <row r="71" spans="1:63" s="1" customFormat="1" outlineLevel="1">
      <c r="A71" s="1" t="s">
        <v>1161</v>
      </c>
      <c r="B71" s="61"/>
      <c r="C71" s="279">
        <f t="shared" ref="C71:AG71" si="36">C39*C64</f>
        <v>0</v>
      </c>
      <c r="D71" s="279">
        <f t="shared" si="36"/>
        <v>0</v>
      </c>
      <c r="E71" s="279">
        <f t="shared" si="36"/>
        <v>0</v>
      </c>
      <c r="F71" s="279">
        <f t="shared" si="36"/>
        <v>0</v>
      </c>
      <c r="G71" s="279">
        <f t="shared" si="36"/>
        <v>0</v>
      </c>
      <c r="H71" s="279">
        <f t="shared" si="36"/>
        <v>0</v>
      </c>
      <c r="I71" s="279">
        <f t="shared" si="36"/>
        <v>0</v>
      </c>
      <c r="J71" s="279">
        <f t="shared" si="36"/>
        <v>0</v>
      </c>
      <c r="K71" s="279">
        <f t="shared" si="36"/>
        <v>0</v>
      </c>
      <c r="L71" s="279">
        <f t="shared" si="36"/>
        <v>0</v>
      </c>
      <c r="M71" s="279">
        <f t="shared" si="36"/>
        <v>0</v>
      </c>
      <c r="N71" s="279">
        <f t="shared" si="36"/>
        <v>0</v>
      </c>
      <c r="O71" s="279">
        <f t="shared" si="36"/>
        <v>0</v>
      </c>
      <c r="P71" s="279">
        <f t="shared" si="36"/>
        <v>0</v>
      </c>
      <c r="Q71" s="279">
        <f t="shared" si="36"/>
        <v>0</v>
      </c>
      <c r="R71" s="279">
        <f t="shared" si="36"/>
        <v>0</v>
      </c>
      <c r="S71" s="279">
        <f t="shared" si="36"/>
        <v>0</v>
      </c>
      <c r="T71" s="279">
        <f t="shared" si="36"/>
        <v>0</v>
      </c>
      <c r="U71" s="279">
        <f t="shared" si="36"/>
        <v>0</v>
      </c>
      <c r="V71" s="279">
        <f t="shared" si="36"/>
        <v>0</v>
      </c>
      <c r="W71" s="279">
        <f t="shared" si="36"/>
        <v>0</v>
      </c>
      <c r="X71" s="279">
        <f t="shared" si="36"/>
        <v>0</v>
      </c>
      <c r="Y71" s="279">
        <f t="shared" si="36"/>
        <v>0</v>
      </c>
      <c r="Z71" s="279">
        <f t="shared" si="36"/>
        <v>0</v>
      </c>
      <c r="AA71" s="279">
        <f t="shared" si="36"/>
        <v>0</v>
      </c>
      <c r="AB71" s="279">
        <f t="shared" si="36"/>
        <v>0</v>
      </c>
      <c r="AC71" s="279">
        <f t="shared" si="36"/>
        <v>0</v>
      </c>
      <c r="AD71" s="279">
        <f t="shared" si="36"/>
        <v>0</v>
      </c>
      <c r="AE71" s="279">
        <f t="shared" si="36"/>
        <v>0</v>
      </c>
      <c r="AF71" s="279">
        <f t="shared" si="36"/>
        <v>0</v>
      </c>
      <c r="AG71" s="279">
        <f t="shared" si="36"/>
        <v>0</v>
      </c>
      <c r="AH71" s="230"/>
      <c r="AI71" s="398"/>
      <c r="AJ71" s="399"/>
      <c r="AL71" s="207"/>
      <c r="AM71" s="118"/>
      <c r="AN71" s="118"/>
      <c r="AO71" s="118"/>
      <c r="BD71" s="118"/>
      <c r="BE71" s="118"/>
      <c r="BF71" s="118"/>
      <c r="BG71" s="118"/>
      <c r="BH71" s="118"/>
      <c r="BI71" s="118"/>
      <c r="BJ71" s="118"/>
      <c r="BK71" s="118"/>
    </row>
    <row r="72" spans="1:63" s="1" customFormat="1" outlineLevel="1">
      <c r="A72" s="1" t="s">
        <v>1164</v>
      </c>
      <c r="B72" s="61"/>
      <c r="C72" s="279">
        <f t="shared" ref="C72:AG72" si="37">C71-$C71</f>
        <v>0</v>
      </c>
      <c r="D72" s="279">
        <f t="shared" si="37"/>
        <v>0</v>
      </c>
      <c r="E72" s="279">
        <f t="shared" si="37"/>
        <v>0</v>
      </c>
      <c r="F72" s="279">
        <f t="shared" si="37"/>
        <v>0</v>
      </c>
      <c r="G72" s="279">
        <f t="shared" si="37"/>
        <v>0</v>
      </c>
      <c r="H72" s="279">
        <f t="shared" si="37"/>
        <v>0</v>
      </c>
      <c r="I72" s="279">
        <f t="shared" si="37"/>
        <v>0</v>
      </c>
      <c r="J72" s="279">
        <f t="shared" si="37"/>
        <v>0</v>
      </c>
      <c r="K72" s="279">
        <f t="shared" si="37"/>
        <v>0</v>
      </c>
      <c r="L72" s="279">
        <f t="shared" si="37"/>
        <v>0</v>
      </c>
      <c r="M72" s="279">
        <f t="shared" si="37"/>
        <v>0</v>
      </c>
      <c r="N72" s="279">
        <f t="shared" si="37"/>
        <v>0</v>
      </c>
      <c r="O72" s="279">
        <f t="shared" si="37"/>
        <v>0</v>
      </c>
      <c r="P72" s="279">
        <f t="shared" si="37"/>
        <v>0</v>
      </c>
      <c r="Q72" s="279">
        <f t="shared" si="37"/>
        <v>0</v>
      </c>
      <c r="R72" s="279">
        <f t="shared" si="37"/>
        <v>0</v>
      </c>
      <c r="S72" s="279">
        <f t="shared" si="37"/>
        <v>0</v>
      </c>
      <c r="T72" s="279">
        <f t="shared" si="37"/>
        <v>0</v>
      </c>
      <c r="U72" s="279">
        <f t="shared" si="37"/>
        <v>0</v>
      </c>
      <c r="V72" s="279">
        <f t="shared" si="37"/>
        <v>0</v>
      </c>
      <c r="W72" s="279">
        <f t="shared" si="37"/>
        <v>0</v>
      </c>
      <c r="X72" s="279">
        <f t="shared" si="37"/>
        <v>0</v>
      </c>
      <c r="Y72" s="279">
        <f t="shared" si="37"/>
        <v>0</v>
      </c>
      <c r="Z72" s="279">
        <f t="shared" si="37"/>
        <v>0</v>
      </c>
      <c r="AA72" s="279">
        <f t="shared" si="37"/>
        <v>0</v>
      </c>
      <c r="AB72" s="279">
        <f t="shared" si="37"/>
        <v>0</v>
      </c>
      <c r="AC72" s="279">
        <f t="shared" si="37"/>
        <v>0</v>
      </c>
      <c r="AD72" s="279">
        <f t="shared" si="37"/>
        <v>0</v>
      </c>
      <c r="AE72" s="279">
        <f t="shared" si="37"/>
        <v>0</v>
      </c>
      <c r="AF72" s="279">
        <f t="shared" si="37"/>
        <v>0</v>
      </c>
      <c r="AG72" s="279">
        <f t="shared" si="37"/>
        <v>0</v>
      </c>
      <c r="AH72" s="230"/>
      <c r="AI72" s="398"/>
      <c r="AJ72" s="399"/>
      <c r="AL72" s="207"/>
      <c r="AM72" s="118"/>
      <c r="AN72" s="118"/>
      <c r="AO72" s="118"/>
      <c r="BD72" s="118"/>
      <c r="BE72" s="118"/>
      <c r="BF72" s="118"/>
      <c r="BG72" s="118"/>
      <c r="BH72" s="118"/>
      <c r="BI72" s="118"/>
      <c r="BJ72" s="118"/>
      <c r="BK72" s="118"/>
    </row>
    <row r="73" spans="1:63" s="1" customFormat="1" outlineLevel="1">
      <c r="A73" s="1" t="s">
        <v>1169</v>
      </c>
      <c r="B73" s="61"/>
      <c r="C73" s="279">
        <f t="shared" ref="C73:AG73" si="38">C47*C66</f>
        <v>0</v>
      </c>
      <c r="D73" s="279">
        <f t="shared" si="38"/>
        <v>0</v>
      </c>
      <c r="E73" s="279">
        <f t="shared" si="38"/>
        <v>0</v>
      </c>
      <c r="F73" s="279">
        <f t="shared" si="38"/>
        <v>0</v>
      </c>
      <c r="G73" s="279">
        <f t="shared" si="38"/>
        <v>0</v>
      </c>
      <c r="H73" s="279">
        <f t="shared" si="38"/>
        <v>0</v>
      </c>
      <c r="I73" s="279">
        <f t="shared" si="38"/>
        <v>0</v>
      </c>
      <c r="J73" s="279">
        <f t="shared" si="38"/>
        <v>0</v>
      </c>
      <c r="K73" s="279">
        <f t="shared" si="38"/>
        <v>0</v>
      </c>
      <c r="L73" s="279">
        <f t="shared" si="38"/>
        <v>0</v>
      </c>
      <c r="M73" s="279">
        <f t="shared" si="38"/>
        <v>0</v>
      </c>
      <c r="N73" s="279">
        <f t="shared" si="38"/>
        <v>0</v>
      </c>
      <c r="O73" s="279">
        <f t="shared" si="38"/>
        <v>0</v>
      </c>
      <c r="P73" s="279">
        <f t="shared" si="38"/>
        <v>0</v>
      </c>
      <c r="Q73" s="279">
        <f t="shared" si="38"/>
        <v>0</v>
      </c>
      <c r="R73" s="279">
        <f t="shared" si="38"/>
        <v>0</v>
      </c>
      <c r="S73" s="279">
        <f t="shared" si="38"/>
        <v>0</v>
      </c>
      <c r="T73" s="279">
        <f t="shared" si="38"/>
        <v>0</v>
      </c>
      <c r="U73" s="279">
        <f t="shared" si="38"/>
        <v>0</v>
      </c>
      <c r="V73" s="279">
        <f t="shared" si="38"/>
        <v>0</v>
      </c>
      <c r="W73" s="279">
        <f t="shared" si="38"/>
        <v>0</v>
      </c>
      <c r="X73" s="279">
        <f t="shared" si="38"/>
        <v>0</v>
      </c>
      <c r="Y73" s="279">
        <f t="shared" si="38"/>
        <v>0</v>
      </c>
      <c r="Z73" s="279">
        <f t="shared" si="38"/>
        <v>0</v>
      </c>
      <c r="AA73" s="279">
        <f t="shared" si="38"/>
        <v>0</v>
      </c>
      <c r="AB73" s="279">
        <f t="shared" si="38"/>
        <v>0</v>
      </c>
      <c r="AC73" s="279">
        <f t="shared" si="38"/>
        <v>0</v>
      </c>
      <c r="AD73" s="279">
        <f t="shared" si="38"/>
        <v>0</v>
      </c>
      <c r="AE73" s="279">
        <f t="shared" si="38"/>
        <v>0</v>
      </c>
      <c r="AF73" s="279">
        <f t="shared" si="38"/>
        <v>0</v>
      </c>
      <c r="AG73" s="279">
        <f t="shared" si="38"/>
        <v>0</v>
      </c>
      <c r="AH73" s="230"/>
      <c r="AI73" s="398"/>
      <c r="AJ73" s="399"/>
      <c r="AL73" s="207"/>
      <c r="AM73" s="118"/>
      <c r="AN73" s="118"/>
      <c r="AO73" s="118"/>
      <c r="BD73" s="118"/>
      <c r="BE73" s="118"/>
      <c r="BF73" s="118"/>
      <c r="BG73" s="118"/>
      <c r="BH73" s="118"/>
      <c r="BI73" s="118"/>
      <c r="BJ73" s="118"/>
      <c r="BK73" s="118"/>
    </row>
    <row r="74" spans="1:63" s="1" customFormat="1" outlineLevel="1">
      <c r="A74" s="1" t="s">
        <v>1170</v>
      </c>
      <c r="B74" s="61"/>
      <c r="C74" s="279">
        <f t="shared" ref="C74:AG74" si="39">C73-$C73</f>
        <v>0</v>
      </c>
      <c r="D74" s="279">
        <f t="shared" si="39"/>
        <v>0</v>
      </c>
      <c r="E74" s="279">
        <f t="shared" si="39"/>
        <v>0</v>
      </c>
      <c r="F74" s="279">
        <f t="shared" si="39"/>
        <v>0</v>
      </c>
      <c r="G74" s="279">
        <f t="shared" si="39"/>
        <v>0</v>
      </c>
      <c r="H74" s="279">
        <f t="shared" si="39"/>
        <v>0</v>
      </c>
      <c r="I74" s="279">
        <f t="shared" si="39"/>
        <v>0</v>
      </c>
      <c r="J74" s="279">
        <f t="shared" si="39"/>
        <v>0</v>
      </c>
      <c r="K74" s="279">
        <f t="shared" si="39"/>
        <v>0</v>
      </c>
      <c r="L74" s="279">
        <f t="shared" si="39"/>
        <v>0</v>
      </c>
      <c r="M74" s="279">
        <f t="shared" si="39"/>
        <v>0</v>
      </c>
      <c r="N74" s="279">
        <f t="shared" si="39"/>
        <v>0</v>
      </c>
      <c r="O74" s="279">
        <f t="shared" si="39"/>
        <v>0</v>
      </c>
      <c r="P74" s="279">
        <f t="shared" si="39"/>
        <v>0</v>
      </c>
      <c r="Q74" s="279">
        <f t="shared" si="39"/>
        <v>0</v>
      </c>
      <c r="R74" s="279">
        <f t="shared" si="39"/>
        <v>0</v>
      </c>
      <c r="S74" s="279">
        <f t="shared" si="39"/>
        <v>0</v>
      </c>
      <c r="T74" s="279">
        <f t="shared" si="39"/>
        <v>0</v>
      </c>
      <c r="U74" s="279">
        <f t="shared" si="39"/>
        <v>0</v>
      </c>
      <c r="V74" s="279">
        <f t="shared" si="39"/>
        <v>0</v>
      </c>
      <c r="W74" s="279">
        <f t="shared" si="39"/>
        <v>0</v>
      </c>
      <c r="X74" s="279">
        <f t="shared" si="39"/>
        <v>0</v>
      </c>
      <c r="Y74" s="279">
        <f t="shared" si="39"/>
        <v>0</v>
      </c>
      <c r="Z74" s="279">
        <f t="shared" si="39"/>
        <v>0</v>
      </c>
      <c r="AA74" s="279">
        <f t="shared" si="39"/>
        <v>0</v>
      </c>
      <c r="AB74" s="279">
        <f t="shared" si="39"/>
        <v>0</v>
      </c>
      <c r="AC74" s="279">
        <f t="shared" si="39"/>
        <v>0</v>
      </c>
      <c r="AD74" s="279">
        <f t="shared" si="39"/>
        <v>0</v>
      </c>
      <c r="AE74" s="279">
        <f t="shared" si="39"/>
        <v>0</v>
      </c>
      <c r="AF74" s="279">
        <f t="shared" si="39"/>
        <v>0</v>
      </c>
      <c r="AG74" s="279">
        <f t="shared" si="39"/>
        <v>0</v>
      </c>
      <c r="AH74" s="230"/>
      <c r="AI74" s="398"/>
      <c r="AJ74" s="399"/>
      <c r="AL74" s="207"/>
      <c r="AM74" s="118"/>
      <c r="AN74" s="118"/>
      <c r="AO74" s="118"/>
      <c r="BD74" s="118"/>
      <c r="BE74" s="118"/>
      <c r="BF74" s="118"/>
      <c r="BG74" s="118"/>
      <c r="BH74" s="118"/>
      <c r="BI74" s="118"/>
      <c r="BJ74" s="118"/>
      <c r="BK74" s="118"/>
    </row>
    <row r="75" spans="1:63" s="1" customFormat="1" outlineLevel="1">
      <c r="A75" s="1" t="s">
        <v>1162</v>
      </c>
      <c r="B75" s="61"/>
      <c r="C75" s="279">
        <f t="shared" ref="C75:AG75" si="40">C39*C65</f>
        <v>0</v>
      </c>
      <c r="D75" s="279">
        <f t="shared" si="40"/>
        <v>0</v>
      </c>
      <c r="E75" s="279">
        <f t="shared" si="40"/>
        <v>0</v>
      </c>
      <c r="F75" s="279">
        <f t="shared" si="40"/>
        <v>0</v>
      </c>
      <c r="G75" s="279">
        <f t="shared" si="40"/>
        <v>0</v>
      </c>
      <c r="H75" s="279">
        <f t="shared" si="40"/>
        <v>0</v>
      </c>
      <c r="I75" s="279">
        <f t="shared" si="40"/>
        <v>0</v>
      </c>
      <c r="J75" s="279">
        <f t="shared" si="40"/>
        <v>0</v>
      </c>
      <c r="K75" s="279">
        <f t="shared" si="40"/>
        <v>0</v>
      </c>
      <c r="L75" s="279">
        <f t="shared" si="40"/>
        <v>0</v>
      </c>
      <c r="M75" s="279">
        <f t="shared" si="40"/>
        <v>0</v>
      </c>
      <c r="N75" s="279">
        <f t="shared" si="40"/>
        <v>0</v>
      </c>
      <c r="O75" s="279">
        <f t="shared" si="40"/>
        <v>0</v>
      </c>
      <c r="P75" s="279">
        <f t="shared" si="40"/>
        <v>0</v>
      </c>
      <c r="Q75" s="279">
        <f t="shared" si="40"/>
        <v>0</v>
      </c>
      <c r="R75" s="279">
        <f t="shared" si="40"/>
        <v>0</v>
      </c>
      <c r="S75" s="279">
        <f t="shared" si="40"/>
        <v>0</v>
      </c>
      <c r="T75" s="279">
        <f t="shared" si="40"/>
        <v>0</v>
      </c>
      <c r="U75" s="279">
        <f t="shared" si="40"/>
        <v>0</v>
      </c>
      <c r="V75" s="279">
        <f t="shared" si="40"/>
        <v>0</v>
      </c>
      <c r="W75" s="279">
        <f t="shared" si="40"/>
        <v>0</v>
      </c>
      <c r="X75" s="279">
        <f t="shared" si="40"/>
        <v>0</v>
      </c>
      <c r="Y75" s="279">
        <f t="shared" si="40"/>
        <v>0</v>
      </c>
      <c r="Z75" s="279">
        <f t="shared" si="40"/>
        <v>0</v>
      </c>
      <c r="AA75" s="279">
        <f t="shared" si="40"/>
        <v>0</v>
      </c>
      <c r="AB75" s="279">
        <f t="shared" si="40"/>
        <v>0</v>
      </c>
      <c r="AC75" s="279">
        <f t="shared" si="40"/>
        <v>0</v>
      </c>
      <c r="AD75" s="279">
        <f t="shared" si="40"/>
        <v>0</v>
      </c>
      <c r="AE75" s="279">
        <f t="shared" si="40"/>
        <v>0</v>
      </c>
      <c r="AF75" s="279">
        <f t="shared" si="40"/>
        <v>0</v>
      </c>
      <c r="AG75" s="279">
        <f t="shared" si="40"/>
        <v>0</v>
      </c>
      <c r="AH75" s="230"/>
      <c r="AI75" s="398"/>
      <c r="AJ75" s="399"/>
      <c r="AL75" s="207"/>
      <c r="AM75" s="118"/>
      <c r="AN75" s="118"/>
      <c r="AO75" s="118"/>
      <c r="BD75" s="118"/>
      <c r="BE75" s="118"/>
      <c r="BF75" s="118"/>
      <c r="BG75" s="118"/>
      <c r="BH75" s="118"/>
      <c r="BI75" s="118"/>
      <c r="BJ75" s="118"/>
      <c r="BK75" s="118"/>
    </row>
    <row r="76" spans="1:63" s="1" customFormat="1" outlineLevel="1">
      <c r="A76" s="1" t="s">
        <v>1165</v>
      </c>
      <c r="B76" s="61"/>
      <c r="C76" s="279">
        <f t="shared" ref="C76:AG76" si="41">C75-$C75</f>
        <v>0</v>
      </c>
      <c r="D76" s="279">
        <f t="shared" si="41"/>
        <v>0</v>
      </c>
      <c r="E76" s="279">
        <f t="shared" si="41"/>
        <v>0</v>
      </c>
      <c r="F76" s="279">
        <f t="shared" si="41"/>
        <v>0</v>
      </c>
      <c r="G76" s="279">
        <f t="shared" si="41"/>
        <v>0</v>
      </c>
      <c r="H76" s="279">
        <f t="shared" si="41"/>
        <v>0</v>
      </c>
      <c r="I76" s="279">
        <f t="shared" si="41"/>
        <v>0</v>
      </c>
      <c r="J76" s="279">
        <f t="shared" si="41"/>
        <v>0</v>
      </c>
      <c r="K76" s="279">
        <f t="shared" si="41"/>
        <v>0</v>
      </c>
      <c r="L76" s="279">
        <f t="shared" si="41"/>
        <v>0</v>
      </c>
      <c r="M76" s="279">
        <f t="shared" si="41"/>
        <v>0</v>
      </c>
      <c r="N76" s="279">
        <f t="shared" si="41"/>
        <v>0</v>
      </c>
      <c r="O76" s="279">
        <f t="shared" si="41"/>
        <v>0</v>
      </c>
      <c r="P76" s="279">
        <f t="shared" si="41"/>
        <v>0</v>
      </c>
      <c r="Q76" s="279">
        <f t="shared" si="41"/>
        <v>0</v>
      </c>
      <c r="R76" s="279">
        <f t="shared" si="41"/>
        <v>0</v>
      </c>
      <c r="S76" s="279">
        <f t="shared" si="41"/>
        <v>0</v>
      </c>
      <c r="T76" s="279">
        <f t="shared" si="41"/>
        <v>0</v>
      </c>
      <c r="U76" s="279">
        <f t="shared" si="41"/>
        <v>0</v>
      </c>
      <c r="V76" s="279">
        <f t="shared" si="41"/>
        <v>0</v>
      </c>
      <c r="W76" s="279">
        <f t="shared" si="41"/>
        <v>0</v>
      </c>
      <c r="X76" s="279">
        <f t="shared" si="41"/>
        <v>0</v>
      </c>
      <c r="Y76" s="279">
        <f t="shared" si="41"/>
        <v>0</v>
      </c>
      <c r="Z76" s="279">
        <f t="shared" si="41"/>
        <v>0</v>
      </c>
      <c r="AA76" s="279">
        <f t="shared" si="41"/>
        <v>0</v>
      </c>
      <c r="AB76" s="279">
        <f t="shared" si="41"/>
        <v>0</v>
      </c>
      <c r="AC76" s="279">
        <f t="shared" si="41"/>
        <v>0</v>
      </c>
      <c r="AD76" s="279">
        <f t="shared" si="41"/>
        <v>0</v>
      </c>
      <c r="AE76" s="279">
        <f t="shared" si="41"/>
        <v>0</v>
      </c>
      <c r="AF76" s="279">
        <f t="shared" si="41"/>
        <v>0</v>
      </c>
      <c r="AG76" s="279">
        <f t="shared" si="41"/>
        <v>0</v>
      </c>
      <c r="AH76" s="230"/>
      <c r="AI76" s="398"/>
      <c r="AJ76" s="399"/>
      <c r="AL76" s="207"/>
      <c r="AM76" s="118"/>
      <c r="AN76" s="118"/>
      <c r="AO76" s="118"/>
      <c r="BD76" s="118"/>
      <c r="BE76" s="118"/>
      <c r="BF76" s="118"/>
      <c r="BG76" s="118"/>
      <c r="BH76" s="118"/>
      <c r="BI76" s="118"/>
      <c r="BJ76" s="118"/>
      <c r="BK76" s="118"/>
    </row>
    <row r="77" spans="1:63" s="1" customFormat="1" outlineLevel="1">
      <c r="A77" s="1" t="s">
        <v>1163</v>
      </c>
      <c r="B77" s="61"/>
      <c r="C77" s="279">
        <f t="shared" ref="C77:AG77" si="42">C39*C67</f>
        <v>0</v>
      </c>
      <c r="D77" s="279">
        <f t="shared" si="42"/>
        <v>0</v>
      </c>
      <c r="E77" s="279">
        <f t="shared" si="42"/>
        <v>0</v>
      </c>
      <c r="F77" s="279">
        <f t="shared" si="42"/>
        <v>0</v>
      </c>
      <c r="G77" s="279">
        <f t="shared" si="42"/>
        <v>0</v>
      </c>
      <c r="H77" s="279">
        <f t="shared" si="42"/>
        <v>0</v>
      </c>
      <c r="I77" s="279">
        <f t="shared" si="42"/>
        <v>0</v>
      </c>
      <c r="J77" s="279">
        <f t="shared" si="42"/>
        <v>0</v>
      </c>
      <c r="K77" s="279">
        <f t="shared" si="42"/>
        <v>0</v>
      </c>
      <c r="L77" s="279">
        <f t="shared" si="42"/>
        <v>0</v>
      </c>
      <c r="M77" s="279">
        <f t="shared" si="42"/>
        <v>0</v>
      </c>
      <c r="N77" s="279">
        <f t="shared" si="42"/>
        <v>0</v>
      </c>
      <c r="O77" s="279">
        <f t="shared" si="42"/>
        <v>0</v>
      </c>
      <c r="P77" s="279">
        <f t="shared" si="42"/>
        <v>0</v>
      </c>
      <c r="Q77" s="279">
        <f t="shared" si="42"/>
        <v>0</v>
      </c>
      <c r="R77" s="279">
        <f t="shared" si="42"/>
        <v>0</v>
      </c>
      <c r="S77" s="279">
        <f t="shared" si="42"/>
        <v>0</v>
      </c>
      <c r="T77" s="279">
        <f t="shared" si="42"/>
        <v>0</v>
      </c>
      <c r="U77" s="279">
        <f t="shared" si="42"/>
        <v>0</v>
      </c>
      <c r="V77" s="279">
        <f t="shared" si="42"/>
        <v>0</v>
      </c>
      <c r="W77" s="279">
        <f t="shared" si="42"/>
        <v>0</v>
      </c>
      <c r="X77" s="279">
        <f t="shared" si="42"/>
        <v>0</v>
      </c>
      <c r="Y77" s="279">
        <f t="shared" si="42"/>
        <v>0</v>
      </c>
      <c r="Z77" s="279">
        <f t="shared" si="42"/>
        <v>0</v>
      </c>
      <c r="AA77" s="279">
        <f t="shared" si="42"/>
        <v>0</v>
      </c>
      <c r="AB77" s="279">
        <f t="shared" si="42"/>
        <v>0</v>
      </c>
      <c r="AC77" s="279">
        <f t="shared" si="42"/>
        <v>0</v>
      </c>
      <c r="AD77" s="279">
        <f t="shared" si="42"/>
        <v>0</v>
      </c>
      <c r="AE77" s="279">
        <f t="shared" si="42"/>
        <v>0</v>
      </c>
      <c r="AF77" s="279">
        <f t="shared" si="42"/>
        <v>0</v>
      </c>
      <c r="AG77" s="279">
        <f t="shared" si="42"/>
        <v>0</v>
      </c>
      <c r="AH77" s="230"/>
      <c r="AI77" s="398"/>
      <c r="AJ77" s="399"/>
      <c r="AL77" s="207"/>
      <c r="AM77" s="118"/>
      <c r="AN77" s="118"/>
      <c r="AO77" s="118"/>
      <c r="BD77" s="118"/>
      <c r="BE77" s="118"/>
      <c r="BF77" s="118"/>
      <c r="BG77" s="118"/>
      <c r="BH77" s="118"/>
      <c r="BI77" s="118"/>
      <c r="BJ77" s="118"/>
      <c r="BK77" s="118"/>
    </row>
    <row r="78" spans="1:63" s="1" customFormat="1" outlineLevel="1">
      <c r="A78" s="1" t="s">
        <v>1166</v>
      </c>
      <c r="B78" s="61"/>
      <c r="C78" s="279">
        <f t="shared" ref="C78:AG78" si="43">C77-$C77</f>
        <v>0</v>
      </c>
      <c r="D78" s="279">
        <f t="shared" si="43"/>
        <v>0</v>
      </c>
      <c r="E78" s="279">
        <f t="shared" si="43"/>
        <v>0</v>
      </c>
      <c r="F78" s="279">
        <f t="shared" si="43"/>
        <v>0</v>
      </c>
      <c r="G78" s="279">
        <f t="shared" si="43"/>
        <v>0</v>
      </c>
      <c r="H78" s="279">
        <f t="shared" si="43"/>
        <v>0</v>
      </c>
      <c r="I78" s="279">
        <f t="shared" si="43"/>
        <v>0</v>
      </c>
      <c r="J78" s="279">
        <f t="shared" si="43"/>
        <v>0</v>
      </c>
      <c r="K78" s="279">
        <f t="shared" si="43"/>
        <v>0</v>
      </c>
      <c r="L78" s="279">
        <f t="shared" si="43"/>
        <v>0</v>
      </c>
      <c r="M78" s="279">
        <f t="shared" si="43"/>
        <v>0</v>
      </c>
      <c r="N78" s="279">
        <f t="shared" si="43"/>
        <v>0</v>
      </c>
      <c r="O78" s="279">
        <f t="shared" si="43"/>
        <v>0</v>
      </c>
      <c r="P78" s="279">
        <f t="shared" si="43"/>
        <v>0</v>
      </c>
      <c r="Q78" s="279">
        <f t="shared" si="43"/>
        <v>0</v>
      </c>
      <c r="R78" s="279">
        <f t="shared" si="43"/>
        <v>0</v>
      </c>
      <c r="S78" s="279">
        <f t="shared" si="43"/>
        <v>0</v>
      </c>
      <c r="T78" s="279">
        <f t="shared" si="43"/>
        <v>0</v>
      </c>
      <c r="U78" s="279">
        <f t="shared" si="43"/>
        <v>0</v>
      </c>
      <c r="V78" s="279">
        <f t="shared" si="43"/>
        <v>0</v>
      </c>
      <c r="W78" s="279">
        <f t="shared" si="43"/>
        <v>0</v>
      </c>
      <c r="X78" s="279">
        <f t="shared" si="43"/>
        <v>0</v>
      </c>
      <c r="Y78" s="279">
        <f t="shared" si="43"/>
        <v>0</v>
      </c>
      <c r="Z78" s="279">
        <f t="shared" si="43"/>
        <v>0</v>
      </c>
      <c r="AA78" s="279">
        <f t="shared" si="43"/>
        <v>0</v>
      </c>
      <c r="AB78" s="279">
        <f t="shared" si="43"/>
        <v>0</v>
      </c>
      <c r="AC78" s="279">
        <f t="shared" si="43"/>
        <v>0</v>
      </c>
      <c r="AD78" s="279">
        <f t="shared" si="43"/>
        <v>0</v>
      </c>
      <c r="AE78" s="279">
        <f t="shared" si="43"/>
        <v>0</v>
      </c>
      <c r="AF78" s="279">
        <f t="shared" si="43"/>
        <v>0</v>
      </c>
      <c r="AG78" s="279">
        <f t="shared" si="43"/>
        <v>0</v>
      </c>
      <c r="AH78" s="230"/>
      <c r="AI78" s="398"/>
      <c r="AJ78" s="399"/>
      <c r="AL78" s="207"/>
      <c r="AM78" s="118"/>
      <c r="AN78" s="118"/>
      <c r="AO78" s="118"/>
      <c r="BD78" s="118"/>
      <c r="BE78" s="118"/>
      <c r="BF78" s="118"/>
      <c r="BG78" s="118"/>
      <c r="BH78" s="118"/>
      <c r="BI78" s="118"/>
      <c r="BJ78" s="118"/>
      <c r="BK78" s="118"/>
    </row>
    <row r="79" spans="1:63" outlineLevel="1"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2"/>
      <c r="AI79" s="127"/>
      <c r="AJ79" s="198"/>
      <c r="AL79" s="102"/>
      <c r="AM79" s="125"/>
      <c r="AN79" s="2"/>
      <c r="AO79" s="2"/>
    </row>
    <row r="80" spans="1:63" s="187" customFormat="1" ht="15.5" thickBot="1">
      <c r="A80" s="187" t="s">
        <v>436</v>
      </c>
      <c r="B80" s="202"/>
      <c r="C80" s="208">
        <f>C81</f>
        <v>0.1</v>
      </c>
      <c r="D80" s="208">
        <f t="shared" ref="D80:AG80" si="44">D81</f>
        <v>0.11333333333333334</v>
      </c>
      <c r="E80" s="208">
        <f t="shared" si="44"/>
        <v>0.12666666666666668</v>
      </c>
      <c r="F80" s="208">
        <f t="shared" si="44"/>
        <v>0.14000000000000001</v>
      </c>
      <c r="G80" s="208">
        <f t="shared" si="44"/>
        <v>0.15333333333333332</v>
      </c>
      <c r="H80" s="208">
        <f t="shared" si="44"/>
        <v>0.16666666666666669</v>
      </c>
      <c r="I80" s="208">
        <f t="shared" si="44"/>
        <v>0.18</v>
      </c>
      <c r="J80" s="208">
        <f t="shared" si="44"/>
        <v>0.19333333333333333</v>
      </c>
      <c r="K80" s="208">
        <f t="shared" si="44"/>
        <v>0.20666666666666667</v>
      </c>
      <c r="L80" s="208">
        <f t="shared" si="44"/>
        <v>0.22</v>
      </c>
      <c r="M80" s="208">
        <f t="shared" si="44"/>
        <v>0.23333333333333334</v>
      </c>
      <c r="N80" s="208">
        <f t="shared" si="44"/>
        <v>0.24666666666666667</v>
      </c>
      <c r="O80" s="208">
        <f t="shared" si="44"/>
        <v>0.26</v>
      </c>
      <c r="P80" s="208">
        <f t="shared" si="44"/>
        <v>0.27333333333333332</v>
      </c>
      <c r="Q80" s="208">
        <f t="shared" si="44"/>
        <v>0.28666666666666668</v>
      </c>
      <c r="R80" s="208">
        <f t="shared" si="44"/>
        <v>0.30000000000000004</v>
      </c>
      <c r="S80" s="208">
        <f t="shared" si="44"/>
        <v>0.31333333333333335</v>
      </c>
      <c r="T80" s="208">
        <f t="shared" si="44"/>
        <v>0.32666666666666666</v>
      </c>
      <c r="U80" s="208">
        <f t="shared" si="44"/>
        <v>0.34</v>
      </c>
      <c r="V80" s="208">
        <f t="shared" si="44"/>
        <v>0.35333333333333339</v>
      </c>
      <c r="W80" s="208">
        <f t="shared" si="44"/>
        <v>0.3666666666666667</v>
      </c>
      <c r="X80" s="208">
        <f t="shared" si="44"/>
        <v>0.38</v>
      </c>
      <c r="Y80" s="208">
        <f t="shared" si="44"/>
        <v>0.39333333333333337</v>
      </c>
      <c r="Z80" s="208">
        <f t="shared" si="44"/>
        <v>0.40666666666666668</v>
      </c>
      <c r="AA80" s="208">
        <f t="shared" si="44"/>
        <v>0.42000000000000004</v>
      </c>
      <c r="AB80" s="208">
        <f t="shared" si="44"/>
        <v>0.43333333333333335</v>
      </c>
      <c r="AC80" s="208">
        <f t="shared" si="44"/>
        <v>0.44666666666666666</v>
      </c>
      <c r="AD80" s="208">
        <f t="shared" si="44"/>
        <v>0.46</v>
      </c>
      <c r="AE80" s="208">
        <f t="shared" si="44"/>
        <v>0.47333333333333333</v>
      </c>
      <c r="AF80" s="208">
        <f t="shared" si="44"/>
        <v>0.48666666666666669</v>
      </c>
      <c r="AG80" s="208">
        <f t="shared" si="44"/>
        <v>0.5</v>
      </c>
      <c r="AJ80" s="217" t="s">
        <v>472</v>
      </c>
      <c r="AL80" s="204"/>
      <c r="AM80" s="205"/>
      <c r="AN80" s="205"/>
      <c r="AO80" s="205"/>
    </row>
    <row r="81" spans="1:63" ht="15.5" outlineLevel="1" thickTop="1">
      <c r="A81" t="s">
        <v>428</v>
      </c>
      <c r="B81" s="51" t="s">
        <v>126</v>
      </c>
      <c r="C81" s="201">
        <v>0.1</v>
      </c>
      <c r="D81" s="104">
        <f>$C81+($M81-$C81)/10*(D$1-$C$1)</f>
        <v>0.11333333333333334</v>
      </c>
      <c r="E81" s="104">
        <f t="shared" ref="E81:L81" si="45">$C81+($M81-$C81)/10*(E$1-$C$1)</f>
        <v>0.12666666666666668</v>
      </c>
      <c r="F81" s="104">
        <f t="shared" si="45"/>
        <v>0.14000000000000001</v>
      </c>
      <c r="G81" s="104">
        <f t="shared" si="45"/>
        <v>0.15333333333333332</v>
      </c>
      <c r="H81" s="104">
        <f t="shared" si="45"/>
        <v>0.16666666666666669</v>
      </c>
      <c r="I81" s="104">
        <f t="shared" si="45"/>
        <v>0.18</v>
      </c>
      <c r="J81" s="104">
        <f t="shared" si="45"/>
        <v>0.19333333333333333</v>
      </c>
      <c r="K81" s="104">
        <f t="shared" si="45"/>
        <v>0.20666666666666667</v>
      </c>
      <c r="L81" s="104">
        <f t="shared" si="45"/>
        <v>0.22</v>
      </c>
      <c r="M81" s="115">
        <f>C81+(AG81-C81)/3</f>
        <v>0.23333333333333334</v>
      </c>
      <c r="N81" s="115">
        <f>$M81+($W81-$M81)/10*(N$1-$M$1)</f>
        <v>0.24666666666666667</v>
      </c>
      <c r="O81" s="115">
        <f t="shared" ref="O81:U81" si="46">$M81+($W81-$M81)/10*(O$1-$M$1)</f>
        <v>0.26</v>
      </c>
      <c r="P81" s="115">
        <f t="shared" si="46"/>
        <v>0.27333333333333332</v>
      </c>
      <c r="Q81" s="115">
        <f t="shared" si="46"/>
        <v>0.28666666666666668</v>
      </c>
      <c r="R81" s="115">
        <f t="shared" si="46"/>
        <v>0.30000000000000004</v>
      </c>
      <c r="S81" s="115">
        <f t="shared" si="46"/>
        <v>0.31333333333333335</v>
      </c>
      <c r="T81" s="115">
        <f t="shared" si="46"/>
        <v>0.32666666666666666</v>
      </c>
      <c r="U81" s="115">
        <f t="shared" si="46"/>
        <v>0.34</v>
      </c>
      <c r="V81" s="115">
        <f>$M81+($W81-$M81)/10*(V$1-$M$1)</f>
        <v>0.35333333333333339</v>
      </c>
      <c r="W81" s="115">
        <f>C81+(AG81-C81)*2/3</f>
        <v>0.3666666666666667</v>
      </c>
      <c r="X81" s="104">
        <f>$W81+($AG81-$W81)/10*(X$1-$W$1)</f>
        <v>0.38</v>
      </c>
      <c r="Y81" s="104">
        <f t="shared" ref="Y81:AF81" si="47">$W81+($AG81-$W81)/10*(Y$1-$W$1)</f>
        <v>0.39333333333333337</v>
      </c>
      <c r="Z81" s="104">
        <f t="shared" si="47"/>
        <v>0.40666666666666668</v>
      </c>
      <c r="AA81" s="104">
        <f t="shared" si="47"/>
        <v>0.42000000000000004</v>
      </c>
      <c r="AB81" s="104">
        <f t="shared" si="47"/>
        <v>0.43333333333333335</v>
      </c>
      <c r="AC81" s="104">
        <f t="shared" si="47"/>
        <v>0.44666666666666666</v>
      </c>
      <c r="AD81" s="104">
        <f t="shared" si="47"/>
        <v>0.46</v>
      </c>
      <c r="AE81" s="104">
        <f t="shared" si="47"/>
        <v>0.47333333333333333</v>
      </c>
      <c r="AF81" s="104">
        <f t="shared" si="47"/>
        <v>0.48666666666666669</v>
      </c>
      <c r="AG81" s="201">
        <v>0.5</v>
      </c>
      <c r="AJ81" s="198" t="s">
        <v>1525</v>
      </c>
    </row>
    <row r="82" spans="1:63" outlineLevel="1">
      <c r="A82" t="s">
        <v>429</v>
      </c>
      <c r="B82" s="51" t="s">
        <v>126</v>
      </c>
      <c r="C82" s="201">
        <v>0</v>
      </c>
      <c r="D82" s="104">
        <f t="shared" ref="D82:AF82" si="48">C82-($C$82-$AG$82)/($AG$1-$C$1)</f>
        <v>0.01</v>
      </c>
      <c r="E82" s="104">
        <f t="shared" si="48"/>
        <v>0.02</v>
      </c>
      <c r="F82" s="104">
        <f t="shared" si="48"/>
        <v>0.03</v>
      </c>
      <c r="G82" s="104">
        <f t="shared" si="48"/>
        <v>0.04</v>
      </c>
      <c r="H82" s="104">
        <f t="shared" si="48"/>
        <v>0.05</v>
      </c>
      <c r="I82" s="104">
        <f t="shared" si="48"/>
        <v>6.0000000000000005E-2</v>
      </c>
      <c r="J82" s="104">
        <f t="shared" si="48"/>
        <v>7.0000000000000007E-2</v>
      </c>
      <c r="K82" s="104">
        <f t="shared" si="48"/>
        <v>0.08</v>
      </c>
      <c r="L82" s="104">
        <f t="shared" si="48"/>
        <v>0.09</v>
      </c>
      <c r="M82" s="104">
        <f t="shared" si="48"/>
        <v>9.9999999999999992E-2</v>
      </c>
      <c r="N82" s="104">
        <f t="shared" si="48"/>
        <v>0.10999999999999999</v>
      </c>
      <c r="O82" s="104">
        <f t="shared" si="48"/>
        <v>0.11999999999999998</v>
      </c>
      <c r="P82" s="104">
        <f t="shared" si="48"/>
        <v>0.12999999999999998</v>
      </c>
      <c r="Q82" s="104">
        <f t="shared" si="48"/>
        <v>0.13999999999999999</v>
      </c>
      <c r="R82" s="104">
        <f t="shared" si="48"/>
        <v>0.15</v>
      </c>
      <c r="S82" s="104">
        <f t="shared" si="48"/>
        <v>0.16</v>
      </c>
      <c r="T82" s="104">
        <f t="shared" si="48"/>
        <v>0.17</v>
      </c>
      <c r="U82" s="104">
        <f t="shared" si="48"/>
        <v>0.18000000000000002</v>
      </c>
      <c r="V82" s="104">
        <f t="shared" si="48"/>
        <v>0.19000000000000003</v>
      </c>
      <c r="W82" s="104">
        <f t="shared" si="48"/>
        <v>0.20000000000000004</v>
      </c>
      <c r="X82" s="104">
        <f t="shared" si="48"/>
        <v>0.21000000000000005</v>
      </c>
      <c r="Y82" s="104">
        <f t="shared" si="48"/>
        <v>0.22000000000000006</v>
      </c>
      <c r="Z82" s="104">
        <f t="shared" si="48"/>
        <v>0.23000000000000007</v>
      </c>
      <c r="AA82" s="104">
        <f t="shared" si="48"/>
        <v>0.24000000000000007</v>
      </c>
      <c r="AB82" s="104">
        <f t="shared" si="48"/>
        <v>0.25000000000000006</v>
      </c>
      <c r="AC82" s="104">
        <f t="shared" si="48"/>
        <v>0.26000000000000006</v>
      </c>
      <c r="AD82" s="104">
        <f t="shared" si="48"/>
        <v>0.27000000000000007</v>
      </c>
      <c r="AE82" s="104">
        <f t="shared" si="48"/>
        <v>0.28000000000000008</v>
      </c>
      <c r="AF82" s="104">
        <f t="shared" si="48"/>
        <v>0.29000000000000009</v>
      </c>
      <c r="AG82" s="201">
        <v>0.3</v>
      </c>
      <c r="AI82" s="127"/>
      <c r="AJ82" s="198" t="s">
        <v>870</v>
      </c>
      <c r="AL82" s="51" t="s">
        <v>294</v>
      </c>
    </row>
    <row r="83" spans="1:63" outlineLevel="1">
      <c r="A83" t="s">
        <v>430</v>
      </c>
      <c r="B83" s="165" t="s">
        <v>126</v>
      </c>
      <c r="C83" s="104">
        <f>1-C82</f>
        <v>1</v>
      </c>
      <c r="D83" s="104">
        <f t="shared" ref="D83:AG83" si="49">1-D82</f>
        <v>0.99</v>
      </c>
      <c r="E83" s="104">
        <f t="shared" si="49"/>
        <v>0.98</v>
      </c>
      <c r="F83" s="104">
        <f t="shared" si="49"/>
        <v>0.97</v>
      </c>
      <c r="G83" s="104">
        <f t="shared" si="49"/>
        <v>0.96</v>
      </c>
      <c r="H83" s="104">
        <f t="shared" si="49"/>
        <v>0.95</v>
      </c>
      <c r="I83" s="104">
        <f t="shared" si="49"/>
        <v>0.94</v>
      </c>
      <c r="J83" s="104">
        <f t="shared" si="49"/>
        <v>0.92999999999999994</v>
      </c>
      <c r="K83" s="104">
        <f t="shared" si="49"/>
        <v>0.92</v>
      </c>
      <c r="L83" s="104">
        <f t="shared" si="49"/>
        <v>0.91</v>
      </c>
      <c r="M83" s="104">
        <f t="shared" si="49"/>
        <v>0.9</v>
      </c>
      <c r="N83" s="104">
        <f t="shared" si="49"/>
        <v>0.89</v>
      </c>
      <c r="O83" s="104">
        <f t="shared" si="49"/>
        <v>0.88</v>
      </c>
      <c r="P83" s="104">
        <f t="shared" si="49"/>
        <v>0.87</v>
      </c>
      <c r="Q83" s="104">
        <f t="shared" si="49"/>
        <v>0.86</v>
      </c>
      <c r="R83" s="104">
        <f t="shared" si="49"/>
        <v>0.85</v>
      </c>
      <c r="S83" s="104">
        <f t="shared" si="49"/>
        <v>0.84</v>
      </c>
      <c r="T83" s="104">
        <f t="shared" si="49"/>
        <v>0.83</v>
      </c>
      <c r="U83" s="104">
        <f t="shared" si="49"/>
        <v>0.82</v>
      </c>
      <c r="V83" s="104">
        <f t="shared" si="49"/>
        <v>0.80999999999999994</v>
      </c>
      <c r="W83" s="104">
        <f t="shared" si="49"/>
        <v>0.79999999999999993</v>
      </c>
      <c r="X83" s="104">
        <f t="shared" si="49"/>
        <v>0.78999999999999992</v>
      </c>
      <c r="Y83" s="104">
        <f t="shared" si="49"/>
        <v>0.77999999999999992</v>
      </c>
      <c r="Z83" s="104">
        <f t="shared" si="49"/>
        <v>0.76999999999999991</v>
      </c>
      <c r="AA83" s="104">
        <f t="shared" si="49"/>
        <v>0.7599999999999999</v>
      </c>
      <c r="AB83" s="104">
        <f t="shared" si="49"/>
        <v>0.75</v>
      </c>
      <c r="AC83" s="104">
        <f t="shared" si="49"/>
        <v>0.74</v>
      </c>
      <c r="AD83" s="104">
        <f t="shared" si="49"/>
        <v>0.73</v>
      </c>
      <c r="AE83" s="104">
        <f t="shared" si="49"/>
        <v>0.72</v>
      </c>
      <c r="AF83" s="104">
        <f t="shared" si="49"/>
        <v>0.71</v>
      </c>
      <c r="AG83" s="104">
        <f t="shared" si="49"/>
        <v>0.7</v>
      </c>
      <c r="AI83" s="127"/>
      <c r="AJ83" s="198"/>
      <c r="BD83" s="687"/>
      <c r="BE83" s="687"/>
    </row>
    <row r="84" spans="1:63" outlineLevel="1">
      <c r="A84" t="s">
        <v>493</v>
      </c>
      <c r="B84" s="51" t="s">
        <v>126</v>
      </c>
      <c r="C84" s="104">
        <f>C81*C82</f>
        <v>0</v>
      </c>
      <c r="D84" s="104">
        <f t="shared" ref="D84:AG84" si="50">D81*D82</f>
        <v>1.1333333333333334E-3</v>
      </c>
      <c r="E84" s="104">
        <f t="shared" si="50"/>
        <v>2.5333333333333336E-3</v>
      </c>
      <c r="F84" s="104">
        <f t="shared" si="50"/>
        <v>4.2000000000000006E-3</v>
      </c>
      <c r="G84" s="104">
        <f t="shared" si="50"/>
        <v>6.1333333333333327E-3</v>
      </c>
      <c r="H84" s="104">
        <f t="shared" si="50"/>
        <v>8.333333333333335E-3</v>
      </c>
      <c r="I84" s="104">
        <f t="shared" si="50"/>
        <v>1.0800000000000001E-2</v>
      </c>
      <c r="J84" s="104">
        <f t="shared" si="50"/>
        <v>1.3533333333333335E-2</v>
      </c>
      <c r="K84" s="104">
        <f t="shared" si="50"/>
        <v>1.6533333333333334E-2</v>
      </c>
      <c r="L84" s="104">
        <f t="shared" si="50"/>
        <v>1.9799999999999998E-2</v>
      </c>
      <c r="M84" s="104">
        <f t="shared" si="50"/>
        <v>2.3333333333333331E-2</v>
      </c>
      <c r="N84" s="104">
        <f t="shared" si="50"/>
        <v>2.7133333333333332E-2</v>
      </c>
      <c r="O84" s="104">
        <f t="shared" si="50"/>
        <v>3.1199999999999995E-2</v>
      </c>
      <c r="P84" s="104">
        <f t="shared" si="50"/>
        <v>3.5533333333333326E-2</v>
      </c>
      <c r="Q84" s="104">
        <f t="shared" si="50"/>
        <v>4.0133333333333333E-2</v>
      </c>
      <c r="R84" s="104">
        <f t="shared" si="50"/>
        <v>4.5000000000000005E-2</v>
      </c>
      <c r="S84" s="104">
        <f t="shared" si="50"/>
        <v>5.0133333333333335E-2</v>
      </c>
      <c r="T84" s="104">
        <f t="shared" si="50"/>
        <v>5.5533333333333337E-2</v>
      </c>
      <c r="U84" s="104">
        <f t="shared" si="50"/>
        <v>6.1200000000000011E-2</v>
      </c>
      <c r="V84" s="104">
        <f t="shared" si="50"/>
        <v>6.713333333333335E-2</v>
      </c>
      <c r="W84" s="104">
        <f t="shared" si="50"/>
        <v>7.3333333333333348E-2</v>
      </c>
      <c r="X84" s="104">
        <f t="shared" si="50"/>
        <v>7.9800000000000024E-2</v>
      </c>
      <c r="Y84" s="104">
        <f t="shared" si="50"/>
        <v>8.6533333333333365E-2</v>
      </c>
      <c r="Z84" s="104">
        <f t="shared" si="50"/>
        <v>9.3533333333333357E-2</v>
      </c>
      <c r="AA84" s="104">
        <f t="shared" si="50"/>
        <v>0.10080000000000004</v>
      </c>
      <c r="AB84" s="104">
        <f t="shared" si="50"/>
        <v>0.10833333333333336</v>
      </c>
      <c r="AC84" s="104">
        <f t="shared" si="50"/>
        <v>0.11613333333333337</v>
      </c>
      <c r="AD84" s="104">
        <f t="shared" si="50"/>
        <v>0.12420000000000003</v>
      </c>
      <c r="AE84" s="104">
        <f t="shared" si="50"/>
        <v>0.13253333333333336</v>
      </c>
      <c r="AF84" s="104">
        <f t="shared" si="50"/>
        <v>0.14113333333333339</v>
      </c>
      <c r="AG84" s="104">
        <f t="shared" si="50"/>
        <v>0.15</v>
      </c>
      <c r="AI84" s="127"/>
      <c r="AJ84" s="198"/>
      <c r="BD84" s="190"/>
      <c r="BE84" s="190"/>
    </row>
    <row r="85" spans="1:63" outlineLevel="1">
      <c r="A85" t="s">
        <v>494</v>
      </c>
      <c r="B85" s="51" t="s">
        <v>126</v>
      </c>
      <c r="C85" s="104">
        <f>C81*C83</f>
        <v>0.1</v>
      </c>
      <c r="D85" s="104">
        <f t="shared" ref="D85:AG85" si="51">D81*D83</f>
        <v>0.11220000000000001</v>
      </c>
      <c r="E85" s="104">
        <f t="shared" si="51"/>
        <v>0.12413333333333335</v>
      </c>
      <c r="F85" s="104">
        <f t="shared" si="51"/>
        <v>0.1358</v>
      </c>
      <c r="G85" s="104">
        <f t="shared" si="51"/>
        <v>0.14719999999999997</v>
      </c>
      <c r="H85" s="104">
        <f t="shared" si="51"/>
        <v>0.15833333333333335</v>
      </c>
      <c r="I85" s="104">
        <f t="shared" si="51"/>
        <v>0.16919999999999999</v>
      </c>
      <c r="J85" s="104">
        <f t="shared" si="51"/>
        <v>0.17979999999999999</v>
      </c>
      <c r="K85" s="104">
        <f t="shared" si="51"/>
        <v>0.19013333333333335</v>
      </c>
      <c r="L85" s="104">
        <f t="shared" si="51"/>
        <v>0.20020000000000002</v>
      </c>
      <c r="M85" s="104">
        <f t="shared" si="51"/>
        <v>0.21000000000000002</v>
      </c>
      <c r="N85" s="104">
        <f t="shared" si="51"/>
        <v>0.21953333333333333</v>
      </c>
      <c r="O85" s="104">
        <f t="shared" si="51"/>
        <v>0.2288</v>
      </c>
      <c r="P85" s="104">
        <f t="shared" si="51"/>
        <v>0.23779999999999998</v>
      </c>
      <c r="Q85" s="104">
        <f t="shared" si="51"/>
        <v>0.24653333333333335</v>
      </c>
      <c r="R85" s="104">
        <f t="shared" si="51"/>
        <v>0.255</v>
      </c>
      <c r="S85" s="104">
        <f t="shared" si="51"/>
        <v>0.26319999999999999</v>
      </c>
      <c r="T85" s="104">
        <f t="shared" si="51"/>
        <v>0.27113333333333334</v>
      </c>
      <c r="U85" s="104">
        <f t="shared" si="51"/>
        <v>0.27879999999999999</v>
      </c>
      <c r="V85" s="104">
        <f t="shared" si="51"/>
        <v>0.28620000000000001</v>
      </c>
      <c r="W85" s="104">
        <f t="shared" si="51"/>
        <v>0.29333333333333333</v>
      </c>
      <c r="X85" s="104">
        <f t="shared" si="51"/>
        <v>0.30019999999999997</v>
      </c>
      <c r="Y85" s="104">
        <f t="shared" si="51"/>
        <v>0.30680000000000002</v>
      </c>
      <c r="Z85" s="104">
        <f t="shared" si="51"/>
        <v>0.31313333333333332</v>
      </c>
      <c r="AA85" s="104">
        <f t="shared" si="51"/>
        <v>0.31919999999999998</v>
      </c>
      <c r="AB85" s="104">
        <f t="shared" si="51"/>
        <v>0.32500000000000001</v>
      </c>
      <c r="AC85" s="104">
        <f t="shared" si="51"/>
        <v>0.33053333333333335</v>
      </c>
      <c r="AD85" s="104">
        <f t="shared" si="51"/>
        <v>0.33579999999999999</v>
      </c>
      <c r="AE85" s="104">
        <f t="shared" si="51"/>
        <v>0.34079999999999999</v>
      </c>
      <c r="AF85" s="104">
        <f t="shared" si="51"/>
        <v>0.34553333333333336</v>
      </c>
      <c r="AG85" s="104">
        <f t="shared" si="51"/>
        <v>0.35</v>
      </c>
      <c r="AI85" s="127"/>
      <c r="AJ85" s="198"/>
      <c r="BD85" s="190"/>
      <c r="BE85" s="190"/>
    </row>
    <row r="86" spans="1:63" outlineLevel="1">
      <c r="B86" s="165"/>
      <c r="C86" s="104"/>
      <c r="D86" s="104"/>
      <c r="E86" s="104"/>
      <c r="F86" s="104"/>
      <c r="G86" s="104"/>
      <c r="H86" s="104"/>
      <c r="I86" s="104"/>
      <c r="J86" s="104"/>
      <c r="K86" s="104"/>
      <c r="L86" s="104"/>
      <c r="M86" s="104"/>
      <c r="N86" s="104"/>
      <c r="O86" s="104"/>
      <c r="P86" s="104"/>
      <c r="Q86" s="104"/>
      <c r="R86" s="104"/>
      <c r="S86" s="104"/>
      <c r="T86" s="104"/>
      <c r="U86" s="104"/>
      <c r="V86" s="104"/>
      <c r="W86" s="104"/>
      <c r="X86" s="104"/>
      <c r="Y86" s="104"/>
      <c r="Z86" s="104"/>
      <c r="AA86" s="104"/>
      <c r="AB86" s="104"/>
      <c r="AC86" s="104"/>
      <c r="AD86" s="104"/>
      <c r="AE86" s="104"/>
      <c r="AF86" s="104"/>
      <c r="AG86" s="104"/>
      <c r="AI86" s="127"/>
      <c r="AJ86" s="198"/>
      <c r="BD86" s="190"/>
      <c r="BE86" s="190"/>
    </row>
    <row r="87" spans="1:63" outlineLevel="1">
      <c r="A87" t="s">
        <v>437</v>
      </c>
      <c r="B87" s="51" t="s">
        <v>126</v>
      </c>
      <c r="C87" s="201">
        <v>0.9</v>
      </c>
      <c r="D87" s="104">
        <f>C87</f>
        <v>0.9</v>
      </c>
      <c r="E87" s="104">
        <f t="shared" ref="E87:AG89" si="52">D87</f>
        <v>0.9</v>
      </c>
      <c r="F87" s="104">
        <f t="shared" si="52"/>
        <v>0.9</v>
      </c>
      <c r="G87" s="104">
        <f t="shared" si="52"/>
        <v>0.9</v>
      </c>
      <c r="H87" s="104">
        <f t="shared" si="52"/>
        <v>0.9</v>
      </c>
      <c r="I87" s="104">
        <f t="shared" si="52"/>
        <v>0.9</v>
      </c>
      <c r="J87" s="104">
        <f t="shared" si="52"/>
        <v>0.9</v>
      </c>
      <c r="K87" s="104">
        <f t="shared" si="52"/>
        <v>0.9</v>
      </c>
      <c r="L87" s="104">
        <f t="shared" si="52"/>
        <v>0.9</v>
      </c>
      <c r="M87" s="104">
        <f t="shared" si="52"/>
        <v>0.9</v>
      </c>
      <c r="N87" s="104">
        <f t="shared" si="52"/>
        <v>0.9</v>
      </c>
      <c r="O87" s="104">
        <f t="shared" si="52"/>
        <v>0.9</v>
      </c>
      <c r="P87" s="104">
        <f t="shared" si="52"/>
        <v>0.9</v>
      </c>
      <c r="Q87" s="104">
        <f t="shared" si="52"/>
        <v>0.9</v>
      </c>
      <c r="R87" s="104">
        <f t="shared" si="52"/>
        <v>0.9</v>
      </c>
      <c r="S87" s="104">
        <f t="shared" si="52"/>
        <v>0.9</v>
      </c>
      <c r="T87" s="104">
        <f t="shared" si="52"/>
        <v>0.9</v>
      </c>
      <c r="U87" s="104">
        <f t="shared" si="52"/>
        <v>0.9</v>
      </c>
      <c r="V87" s="104">
        <f t="shared" si="52"/>
        <v>0.9</v>
      </c>
      <c r="W87" s="104">
        <f t="shared" si="52"/>
        <v>0.9</v>
      </c>
      <c r="X87" s="104">
        <f t="shared" si="52"/>
        <v>0.9</v>
      </c>
      <c r="Y87" s="104">
        <f t="shared" si="52"/>
        <v>0.9</v>
      </c>
      <c r="Z87" s="104">
        <f t="shared" si="52"/>
        <v>0.9</v>
      </c>
      <c r="AA87" s="104">
        <f t="shared" si="52"/>
        <v>0.9</v>
      </c>
      <c r="AB87" s="104">
        <f t="shared" si="52"/>
        <v>0.9</v>
      </c>
      <c r="AC87" s="104">
        <f t="shared" si="52"/>
        <v>0.9</v>
      </c>
      <c r="AD87" s="104">
        <f t="shared" si="52"/>
        <v>0.9</v>
      </c>
      <c r="AE87" s="104">
        <f t="shared" si="52"/>
        <v>0.9</v>
      </c>
      <c r="AF87" s="104">
        <f t="shared" si="52"/>
        <v>0.9</v>
      </c>
      <c r="AG87" s="104">
        <f t="shared" si="52"/>
        <v>0.9</v>
      </c>
      <c r="AI87" s="126" t="s">
        <v>446</v>
      </c>
      <c r="AJ87" s="560" t="s">
        <v>1526</v>
      </c>
      <c r="BD87" s="190"/>
      <c r="BE87" s="190"/>
    </row>
    <row r="88" spans="1:63" outlineLevel="1">
      <c r="A88" t="s">
        <v>444</v>
      </c>
      <c r="B88" s="51" t="s">
        <v>126</v>
      </c>
      <c r="C88" s="201">
        <v>0</v>
      </c>
      <c r="D88" s="104">
        <f t="shared" ref="D88:S89" si="53">C88</f>
        <v>0</v>
      </c>
      <c r="E88" s="104">
        <f t="shared" si="53"/>
        <v>0</v>
      </c>
      <c r="F88" s="104">
        <f t="shared" si="53"/>
        <v>0</v>
      </c>
      <c r="G88" s="104">
        <f t="shared" si="53"/>
        <v>0</v>
      </c>
      <c r="H88" s="104">
        <f t="shared" si="53"/>
        <v>0</v>
      </c>
      <c r="I88" s="104">
        <f t="shared" si="53"/>
        <v>0</v>
      </c>
      <c r="J88" s="104">
        <f t="shared" si="53"/>
        <v>0</v>
      </c>
      <c r="K88" s="104">
        <f t="shared" si="53"/>
        <v>0</v>
      </c>
      <c r="L88" s="104">
        <f t="shared" si="53"/>
        <v>0</v>
      </c>
      <c r="M88" s="104">
        <f t="shared" si="53"/>
        <v>0</v>
      </c>
      <c r="N88" s="104">
        <f t="shared" si="53"/>
        <v>0</v>
      </c>
      <c r="O88" s="104">
        <f t="shared" si="53"/>
        <v>0</v>
      </c>
      <c r="P88" s="104">
        <f t="shared" si="53"/>
        <v>0</v>
      </c>
      <c r="Q88" s="104">
        <f t="shared" si="53"/>
        <v>0</v>
      </c>
      <c r="R88" s="104">
        <f t="shared" si="53"/>
        <v>0</v>
      </c>
      <c r="S88" s="104">
        <f t="shared" si="53"/>
        <v>0</v>
      </c>
      <c r="T88" s="104">
        <f t="shared" si="52"/>
        <v>0</v>
      </c>
      <c r="U88" s="104">
        <f t="shared" si="52"/>
        <v>0</v>
      </c>
      <c r="V88" s="104">
        <f t="shared" si="52"/>
        <v>0</v>
      </c>
      <c r="W88" s="104">
        <f t="shared" si="52"/>
        <v>0</v>
      </c>
      <c r="X88" s="104">
        <f t="shared" si="52"/>
        <v>0</v>
      </c>
      <c r="Y88" s="104">
        <f t="shared" si="52"/>
        <v>0</v>
      </c>
      <c r="Z88" s="104">
        <f t="shared" si="52"/>
        <v>0</v>
      </c>
      <c r="AA88" s="104">
        <f t="shared" si="52"/>
        <v>0</v>
      </c>
      <c r="AB88" s="104">
        <f t="shared" si="52"/>
        <v>0</v>
      </c>
      <c r="AC88" s="104">
        <f t="shared" si="52"/>
        <v>0</v>
      </c>
      <c r="AD88" s="104">
        <f t="shared" si="52"/>
        <v>0</v>
      </c>
      <c r="AE88" s="104">
        <f t="shared" si="52"/>
        <v>0</v>
      </c>
      <c r="AF88" s="104">
        <f t="shared" si="52"/>
        <v>0</v>
      </c>
      <c r="AG88" s="104">
        <f t="shared" si="52"/>
        <v>0</v>
      </c>
      <c r="AI88" s="126" t="s">
        <v>446</v>
      </c>
      <c r="AJ88" s="218"/>
      <c r="AL88" s="1"/>
      <c r="BC88" s="1"/>
      <c r="BD88" s="697"/>
      <c r="BE88" s="687"/>
      <c r="BF88" s="6"/>
      <c r="BG88" s="6"/>
      <c r="BH88" s="6"/>
      <c r="BI88" s="6"/>
      <c r="BJ88" s="6"/>
    </row>
    <row r="89" spans="1:63" outlineLevel="1">
      <c r="A89" t="s">
        <v>445</v>
      </c>
      <c r="B89" s="51" t="s">
        <v>126</v>
      </c>
      <c r="C89" s="115">
        <f>1-C87-C88</f>
        <v>9.9999999999999978E-2</v>
      </c>
      <c r="D89" s="104">
        <f t="shared" si="53"/>
        <v>9.9999999999999978E-2</v>
      </c>
      <c r="E89" s="104">
        <f t="shared" si="53"/>
        <v>9.9999999999999978E-2</v>
      </c>
      <c r="F89" s="104">
        <f t="shared" si="53"/>
        <v>9.9999999999999978E-2</v>
      </c>
      <c r="G89" s="104">
        <f t="shared" si="53"/>
        <v>9.9999999999999978E-2</v>
      </c>
      <c r="H89" s="104">
        <f t="shared" si="53"/>
        <v>9.9999999999999978E-2</v>
      </c>
      <c r="I89" s="104">
        <f t="shared" si="53"/>
        <v>9.9999999999999978E-2</v>
      </c>
      <c r="J89" s="104">
        <f t="shared" si="53"/>
        <v>9.9999999999999978E-2</v>
      </c>
      <c r="K89" s="104">
        <f t="shared" si="53"/>
        <v>9.9999999999999978E-2</v>
      </c>
      <c r="L89" s="104">
        <f t="shared" si="53"/>
        <v>9.9999999999999978E-2</v>
      </c>
      <c r="M89" s="104">
        <f t="shared" si="53"/>
        <v>9.9999999999999978E-2</v>
      </c>
      <c r="N89" s="104">
        <f t="shared" si="53"/>
        <v>9.9999999999999978E-2</v>
      </c>
      <c r="O89" s="104">
        <f t="shared" si="53"/>
        <v>9.9999999999999978E-2</v>
      </c>
      <c r="P89" s="104">
        <f t="shared" si="53"/>
        <v>9.9999999999999978E-2</v>
      </c>
      <c r="Q89" s="104">
        <f t="shared" si="53"/>
        <v>9.9999999999999978E-2</v>
      </c>
      <c r="R89" s="104">
        <f t="shared" si="53"/>
        <v>9.9999999999999978E-2</v>
      </c>
      <c r="S89" s="104">
        <f t="shared" si="53"/>
        <v>9.9999999999999978E-2</v>
      </c>
      <c r="T89" s="104">
        <f t="shared" si="52"/>
        <v>9.9999999999999978E-2</v>
      </c>
      <c r="U89" s="104">
        <f t="shared" si="52"/>
        <v>9.9999999999999978E-2</v>
      </c>
      <c r="V89" s="104">
        <f t="shared" si="52"/>
        <v>9.9999999999999978E-2</v>
      </c>
      <c r="W89" s="104">
        <f t="shared" si="52"/>
        <v>9.9999999999999978E-2</v>
      </c>
      <c r="X89" s="104">
        <f t="shared" si="52"/>
        <v>9.9999999999999978E-2</v>
      </c>
      <c r="Y89" s="104">
        <f t="shared" si="52"/>
        <v>9.9999999999999978E-2</v>
      </c>
      <c r="Z89" s="104">
        <f t="shared" si="52"/>
        <v>9.9999999999999978E-2</v>
      </c>
      <c r="AA89" s="104">
        <f t="shared" si="52"/>
        <v>9.9999999999999978E-2</v>
      </c>
      <c r="AB89" s="104">
        <f t="shared" si="52"/>
        <v>9.9999999999999978E-2</v>
      </c>
      <c r="AC89" s="104">
        <f t="shared" si="52"/>
        <v>9.9999999999999978E-2</v>
      </c>
      <c r="AD89" s="104">
        <f t="shared" si="52"/>
        <v>9.9999999999999978E-2</v>
      </c>
      <c r="AE89" s="104">
        <f t="shared" si="52"/>
        <v>9.9999999999999978E-2</v>
      </c>
      <c r="AF89" s="104">
        <f t="shared" si="52"/>
        <v>9.9999999999999978E-2</v>
      </c>
      <c r="AG89" s="104">
        <f t="shared" si="52"/>
        <v>9.9999999999999978E-2</v>
      </c>
      <c r="AI89" s="126"/>
      <c r="AJ89" s="209"/>
      <c r="BC89" s="1"/>
      <c r="BD89" s="38"/>
      <c r="BF89" s="6"/>
      <c r="BG89" s="6"/>
      <c r="BH89" s="6"/>
      <c r="BI89" s="6"/>
      <c r="BJ89" s="6"/>
    </row>
    <row r="90" spans="1:63" outlineLevel="1">
      <c r="A90" t="s">
        <v>433</v>
      </c>
      <c r="B90" s="51" t="s">
        <v>126</v>
      </c>
      <c r="C90" s="104">
        <f>SUM(C87:C89)</f>
        <v>1</v>
      </c>
      <c r="D90" s="104">
        <f t="shared" ref="D90:AG90" si="54">SUM(D87:D89)</f>
        <v>1</v>
      </c>
      <c r="E90" s="104">
        <f t="shared" si="54"/>
        <v>1</v>
      </c>
      <c r="F90" s="104">
        <f t="shared" si="54"/>
        <v>1</v>
      </c>
      <c r="G90" s="104">
        <f t="shared" si="54"/>
        <v>1</v>
      </c>
      <c r="H90" s="104">
        <f t="shared" si="54"/>
        <v>1</v>
      </c>
      <c r="I90" s="104">
        <f t="shared" si="54"/>
        <v>1</v>
      </c>
      <c r="J90" s="104">
        <f t="shared" si="54"/>
        <v>1</v>
      </c>
      <c r="K90" s="104">
        <f t="shared" si="54"/>
        <v>1</v>
      </c>
      <c r="L90" s="104">
        <f t="shared" si="54"/>
        <v>1</v>
      </c>
      <c r="M90" s="104">
        <f t="shared" si="54"/>
        <v>1</v>
      </c>
      <c r="N90" s="104">
        <f t="shared" si="54"/>
        <v>1</v>
      </c>
      <c r="O90" s="104">
        <f t="shared" si="54"/>
        <v>1</v>
      </c>
      <c r="P90" s="104">
        <f t="shared" si="54"/>
        <v>1</v>
      </c>
      <c r="Q90" s="104">
        <f t="shared" si="54"/>
        <v>1</v>
      </c>
      <c r="R90" s="104">
        <f t="shared" si="54"/>
        <v>1</v>
      </c>
      <c r="S90" s="104">
        <f t="shared" si="54"/>
        <v>1</v>
      </c>
      <c r="T90" s="104">
        <f t="shared" si="54"/>
        <v>1</v>
      </c>
      <c r="U90" s="104">
        <f t="shared" si="54"/>
        <v>1</v>
      </c>
      <c r="V90" s="104">
        <f t="shared" si="54"/>
        <v>1</v>
      </c>
      <c r="W90" s="104">
        <f t="shared" si="54"/>
        <v>1</v>
      </c>
      <c r="X90" s="104">
        <f t="shared" si="54"/>
        <v>1</v>
      </c>
      <c r="Y90" s="104">
        <f t="shared" si="54"/>
        <v>1</v>
      </c>
      <c r="Z90" s="104">
        <f t="shared" si="54"/>
        <v>1</v>
      </c>
      <c r="AA90" s="104">
        <f t="shared" si="54"/>
        <v>1</v>
      </c>
      <c r="AB90" s="104">
        <f t="shared" si="54"/>
        <v>1</v>
      </c>
      <c r="AC90" s="104">
        <f t="shared" si="54"/>
        <v>1</v>
      </c>
      <c r="AD90" s="104">
        <f t="shared" si="54"/>
        <v>1</v>
      </c>
      <c r="AE90" s="104">
        <f t="shared" si="54"/>
        <v>1</v>
      </c>
      <c r="AF90" s="104">
        <f t="shared" si="54"/>
        <v>1</v>
      </c>
      <c r="AG90" s="104">
        <f t="shared" si="54"/>
        <v>1</v>
      </c>
      <c r="AI90" s="126"/>
      <c r="AJ90" s="198"/>
      <c r="BC90" s="1"/>
      <c r="BD90" s="38"/>
      <c r="BF90" s="6"/>
      <c r="BG90" s="6"/>
      <c r="BH90" s="6"/>
      <c r="BI90" s="6"/>
      <c r="BJ90" s="6"/>
    </row>
    <row r="91" spans="1:63" outlineLevel="1">
      <c r="C91" s="201"/>
      <c r="D91" s="104"/>
      <c r="E91" s="104"/>
      <c r="F91" s="104"/>
      <c r="G91" s="104"/>
      <c r="H91" s="104"/>
      <c r="I91" s="104"/>
      <c r="J91" s="104"/>
      <c r="K91" s="104"/>
      <c r="L91" s="104"/>
      <c r="M91" s="104"/>
      <c r="N91" s="104"/>
      <c r="O91" s="104"/>
      <c r="P91" s="104"/>
      <c r="Q91" s="104"/>
      <c r="R91" s="104"/>
      <c r="S91" s="104"/>
      <c r="T91" s="104"/>
      <c r="U91" s="104"/>
      <c r="V91" s="104"/>
      <c r="W91" s="104"/>
      <c r="X91" s="104"/>
      <c r="Y91" s="104"/>
      <c r="Z91" s="104"/>
      <c r="AA91" s="104"/>
      <c r="AB91" s="104"/>
      <c r="AC91" s="104"/>
      <c r="AD91" s="104"/>
      <c r="AE91" s="104"/>
      <c r="AF91" s="104"/>
      <c r="AG91" s="104"/>
      <c r="AI91" s="126"/>
      <c r="AJ91" s="198"/>
      <c r="BC91" s="1"/>
      <c r="BD91" s="38"/>
      <c r="BF91" s="6"/>
      <c r="BG91" s="6"/>
      <c r="BH91" s="6"/>
      <c r="BI91" s="6"/>
      <c r="BJ91" s="6"/>
    </row>
    <row r="92" spans="1:63" outlineLevel="1">
      <c r="A92" t="s">
        <v>441</v>
      </c>
      <c r="B92" s="51" t="s">
        <v>126</v>
      </c>
      <c r="C92" s="104">
        <f>C87*C85</f>
        <v>9.0000000000000011E-2</v>
      </c>
      <c r="D92" s="104">
        <f t="shared" ref="D92:AG92" si="55">D87*D85</f>
        <v>0.10098000000000001</v>
      </c>
      <c r="E92" s="104">
        <f t="shared" si="55"/>
        <v>0.11172000000000001</v>
      </c>
      <c r="F92" s="104">
        <f t="shared" si="55"/>
        <v>0.12222000000000001</v>
      </c>
      <c r="G92" s="104">
        <f t="shared" si="55"/>
        <v>0.13247999999999999</v>
      </c>
      <c r="H92" s="104">
        <f t="shared" si="55"/>
        <v>0.14250000000000002</v>
      </c>
      <c r="I92" s="104">
        <f t="shared" si="55"/>
        <v>0.15228</v>
      </c>
      <c r="J92" s="104">
        <f t="shared" si="55"/>
        <v>0.16181999999999999</v>
      </c>
      <c r="K92" s="104">
        <f t="shared" si="55"/>
        <v>0.17112000000000002</v>
      </c>
      <c r="L92" s="104">
        <f t="shared" si="55"/>
        <v>0.18018000000000001</v>
      </c>
      <c r="M92" s="104">
        <f t="shared" si="55"/>
        <v>0.18900000000000003</v>
      </c>
      <c r="N92" s="104">
        <f t="shared" si="55"/>
        <v>0.19758000000000001</v>
      </c>
      <c r="O92" s="104">
        <f t="shared" si="55"/>
        <v>0.20592000000000002</v>
      </c>
      <c r="P92" s="104">
        <f t="shared" si="55"/>
        <v>0.21401999999999999</v>
      </c>
      <c r="Q92" s="104">
        <f t="shared" si="55"/>
        <v>0.22188000000000002</v>
      </c>
      <c r="R92" s="104">
        <f t="shared" si="55"/>
        <v>0.22950000000000001</v>
      </c>
      <c r="S92" s="104">
        <f t="shared" si="55"/>
        <v>0.23688000000000001</v>
      </c>
      <c r="T92" s="104">
        <f t="shared" si="55"/>
        <v>0.24402000000000001</v>
      </c>
      <c r="U92" s="104">
        <f t="shared" si="55"/>
        <v>0.25091999999999998</v>
      </c>
      <c r="V92" s="104">
        <f t="shared" si="55"/>
        <v>0.25758000000000003</v>
      </c>
      <c r="W92" s="104">
        <f t="shared" si="55"/>
        <v>0.26400000000000001</v>
      </c>
      <c r="X92" s="104">
        <f t="shared" si="55"/>
        <v>0.27017999999999998</v>
      </c>
      <c r="Y92" s="104">
        <f t="shared" si="55"/>
        <v>0.27612000000000003</v>
      </c>
      <c r="Z92" s="104">
        <f t="shared" si="55"/>
        <v>0.28182000000000001</v>
      </c>
      <c r="AA92" s="104">
        <f t="shared" si="55"/>
        <v>0.28727999999999998</v>
      </c>
      <c r="AB92" s="104">
        <f t="shared" si="55"/>
        <v>0.29250000000000004</v>
      </c>
      <c r="AC92" s="104">
        <f t="shared" si="55"/>
        <v>0.29748000000000002</v>
      </c>
      <c r="AD92" s="104">
        <f t="shared" si="55"/>
        <v>0.30221999999999999</v>
      </c>
      <c r="AE92" s="104">
        <f t="shared" si="55"/>
        <v>0.30671999999999999</v>
      </c>
      <c r="AF92" s="104">
        <f t="shared" si="55"/>
        <v>0.31098000000000003</v>
      </c>
      <c r="AG92" s="104">
        <f t="shared" si="55"/>
        <v>0.315</v>
      </c>
      <c r="AI92" s="126"/>
      <c r="AJ92" s="198"/>
      <c r="BD92" s="190"/>
      <c r="BE92" s="190"/>
    </row>
    <row r="93" spans="1:63" outlineLevel="1">
      <c r="A93" t="s">
        <v>442</v>
      </c>
      <c r="B93" s="51" t="s">
        <v>126</v>
      </c>
      <c r="C93" s="104">
        <f>C85*C88</f>
        <v>0</v>
      </c>
      <c r="D93" s="104">
        <f t="shared" ref="D93:AG93" si="56">D85*D88</f>
        <v>0</v>
      </c>
      <c r="E93" s="104">
        <f t="shared" si="56"/>
        <v>0</v>
      </c>
      <c r="F93" s="104">
        <f t="shared" si="56"/>
        <v>0</v>
      </c>
      <c r="G93" s="104">
        <f t="shared" si="56"/>
        <v>0</v>
      </c>
      <c r="H93" s="104">
        <f t="shared" si="56"/>
        <v>0</v>
      </c>
      <c r="I93" s="104">
        <f t="shared" si="56"/>
        <v>0</v>
      </c>
      <c r="J93" s="104">
        <f t="shared" si="56"/>
        <v>0</v>
      </c>
      <c r="K93" s="104">
        <f t="shared" si="56"/>
        <v>0</v>
      </c>
      <c r="L93" s="104">
        <f t="shared" si="56"/>
        <v>0</v>
      </c>
      <c r="M93" s="104">
        <f t="shared" si="56"/>
        <v>0</v>
      </c>
      <c r="N93" s="104">
        <f t="shared" si="56"/>
        <v>0</v>
      </c>
      <c r="O93" s="104">
        <f t="shared" si="56"/>
        <v>0</v>
      </c>
      <c r="P93" s="104">
        <f t="shared" si="56"/>
        <v>0</v>
      </c>
      <c r="Q93" s="104">
        <f t="shared" si="56"/>
        <v>0</v>
      </c>
      <c r="R93" s="104">
        <f t="shared" si="56"/>
        <v>0</v>
      </c>
      <c r="S93" s="104">
        <f t="shared" si="56"/>
        <v>0</v>
      </c>
      <c r="T93" s="104">
        <f t="shared" si="56"/>
        <v>0</v>
      </c>
      <c r="U93" s="104">
        <f t="shared" si="56"/>
        <v>0</v>
      </c>
      <c r="V93" s="104">
        <f t="shared" si="56"/>
        <v>0</v>
      </c>
      <c r="W93" s="104">
        <f t="shared" si="56"/>
        <v>0</v>
      </c>
      <c r="X93" s="104">
        <f t="shared" si="56"/>
        <v>0</v>
      </c>
      <c r="Y93" s="104">
        <f t="shared" si="56"/>
        <v>0</v>
      </c>
      <c r="Z93" s="104">
        <f t="shared" si="56"/>
        <v>0</v>
      </c>
      <c r="AA93" s="104">
        <f t="shared" si="56"/>
        <v>0</v>
      </c>
      <c r="AB93" s="104">
        <f t="shared" si="56"/>
        <v>0</v>
      </c>
      <c r="AC93" s="104">
        <f t="shared" si="56"/>
        <v>0</v>
      </c>
      <c r="AD93" s="104">
        <f t="shared" si="56"/>
        <v>0</v>
      </c>
      <c r="AE93" s="104">
        <f t="shared" si="56"/>
        <v>0</v>
      </c>
      <c r="AF93" s="104">
        <f t="shared" si="56"/>
        <v>0</v>
      </c>
      <c r="AG93" s="104">
        <f t="shared" si="56"/>
        <v>0</v>
      </c>
      <c r="AI93" s="126"/>
      <c r="AJ93" s="198"/>
      <c r="AL93" s="1"/>
      <c r="BC93" s="1"/>
      <c r="BD93" s="697"/>
      <c r="BE93" s="687"/>
      <c r="BF93" s="6"/>
      <c r="BG93" s="6"/>
      <c r="BH93" s="6"/>
      <c r="BI93" s="6"/>
      <c r="BJ93" s="6"/>
    </row>
    <row r="94" spans="1:63" outlineLevel="1">
      <c r="A94" t="s">
        <v>443</v>
      </c>
      <c r="B94" s="51" t="s">
        <v>126</v>
      </c>
      <c r="C94" s="104">
        <f>C85*C89</f>
        <v>9.9999999999999985E-3</v>
      </c>
      <c r="D94" s="104">
        <f t="shared" ref="D94:AG94" si="57">D85*D89</f>
        <v>1.1219999999999999E-2</v>
      </c>
      <c r="E94" s="104">
        <f t="shared" si="57"/>
        <v>1.2413333333333332E-2</v>
      </c>
      <c r="F94" s="104">
        <f t="shared" si="57"/>
        <v>1.3579999999999997E-2</v>
      </c>
      <c r="G94" s="104">
        <f t="shared" si="57"/>
        <v>1.4719999999999994E-2</v>
      </c>
      <c r="H94" s="104">
        <f t="shared" si="57"/>
        <v>1.5833333333333331E-2</v>
      </c>
      <c r="I94" s="104">
        <f t="shared" si="57"/>
        <v>1.6919999999999994E-2</v>
      </c>
      <c r="J94" s="104">
        <f t="shared" si="57"/>
        <v>1.7979999999999996E-2</v>
      </c>
      <c r="K94" s="104">
        <f t="shared" si="57"/>
        <v>1.901333333333333E-2</v>
      </c>
      <c r="L94" s="104">
        <f t="shared" si="57"/>
        <v>2.0019999999999996E-2</v>
      </c>
      <c r="M94" s="104">
        <f t="shared" si="57"/>
        <v>2.0999999999999998E-2</v>
      </c>
      <c r="N94" s="104">
        <f t="shared" si="57"/>
        <v>2.1953333333333328E-2</v>
      </c>
      <c r="O94" s="104">
        <f t="shared" si="57"/>
        <v>2.2879999999999994E-2</v>
      </c>
      <c r="P94" s="104">
        <f t="shared" si="57"/>
        <v>2.3779999999999992E-2</v>
      </c>
      <c r="Q94" s="104">
        <f t="shared" si="57"/>
        <v>2.4653333333333329E-2</v>
      </c>
      <c r="R94" s="104">
        <f t="shared" si="57"/>
        <v>2.5499999999999995E-2</v>
      </c>
      <c r="S94" s="104">
        <f t="shared" si="57"/>
        <v>2.6319999999999993E-2</v>
      </c>
      <c r="T94" s="104">
        <f t="shared" si="57"/>
        <v>2.7113333333333326E-2</v>
      </c>
      <c r="U94" s="104">
        <f t="shared" si="57"/>
        <v>2.7879999999999992E-2</v>
      </c>
      <c r="V94" s="104">
        <f t="shared" si="57"/>
        <v>2.8619999999999996E-2</v>
      </c>
      <c r="W94" s="104">
        <f t="shared" si="57"/>
        <v>2.9333333333333326E-2</v>
      </c>
      <c r="X94" s="104">
        <f t="shared" si="57"/>
        <v>3.0019999999999991E-2</v>
      </c>
      <c r="Y94" s="104">
        <f t="shared" si="57"/>
        <v>3.0679999999999995E-2</v>
      </c>
      <c r="Z94" s="104">
        <f t="shared" si="57"/>
        <v>3.1313333333333325E-2</v>
      </c>
      <c r="AA94" s="104">
        <f t="shared" si="57"/>
        <v>3.191999999999999E-2</v>
      </c>
      <c r="AB94" s="104">
        <f t="shared" si="57"/>
        <v>3.2499999999999994E-2</v>
      </c>
      <c r="AC94" s="104">
        <f t="shared" si="57"/>
        <v>3.305333333333333E-2</v>
      </c>
      <c r="AD94" s="104">
        <f t="shared" si="57"/>
        <v>3.3579999999999992E-2</v>
      </c>
      <c r="AE94" s="104">
        <f t="shared" si="57"/>
        <v>3.4079999999999992E-2</v>
      </c>
      <c r="AF94" s="104">
        <f t="shared" si="57"/>
        <v>3.4553333333333325E-2</v>
      </c>
      <c r="AG94" s="104">
        <f t="shared" si="57"/>
        <v>3.4999999999999989E-2</v>
      </c>
      <c r="AI94" s="127"/>
      <c r="AJ94" s="198"/>
      <c r="BC94" s="1"/>
      <c r="BD94" s="38"/>
      <c r="BF94" s="6"/>
      <c r="BG94" s="6"/>
      <c r="BH94" s="6"/>
      <c r="BI94" s="6"/>
      <c r="BJ94" s="6"/>
    </row>
    <row r="95" spans="1:63" outlineLevel="1">
      <c r="C95" s="104"/>
      <c r="D95" s="104"/>
      <c r="E95" s="104"/>
      <c r="F95" s="104"/>
      <c r="G95" s="104"/>
      <c r="H95" s="104"/>
      <c r="I95" s="104"/>
      <c r="J95" s="104"/>
      <c r="K95" s="104"/>
      <c r="L95" s="104"/>
      <c r="M95" s="104"/>
      <c r="N95" s="104"/>
      <c r="O95" s="104"/>
      <c r="P95" s="104"/>
      <c r="Q95" s="104"/>
      <c r="R95" s="104"/>
      <c r="S95" s="104"/>
      <c r="T95" s="104"/>
      <c r="U95" s="104"/>
      <c r="V95" s="104"/>
      <c r="W95" s="104"/>
      <c r="X95" s="104"/>
      <c r="Y95" s="104"/>
      <c r="Z95" s="104"/>
      <c r="AA95" s="104"/>
      <c r="AB95" s="104"/>
      <c r="AC95" s="104"/>
      <c r="AD95" s="104"/>
      <c r="AE95" s="104"/>
      <c r="AF95" s="104"/>
      <c r="AG95" s="104"/>
      <c r="AI95" s="127"/>
      <c r="AJ95" s="198"/>
      <c r="BC95" s="1"/>
      <c r="BD95" s="38"/>
      <c r="BF95" s="6"/>
      <c r="BG95" s="6"/>
      <c r="BH95" s="6"/>
      <c r="BI95" s="6"/>
      <c r="BJ95" s="6"/>
    </row>
    <row r="96" spans="1:63" outlineLevel="1">
      <c r="A96" t="s">
        <v>1484</v>
      </c>
      <c r="C96" s="216">
        <v>1</v>
      </c>
      <c r="D96" s="216">
        <v>1</v>
      </c>
      <c r="E96" s="216">
        <v>1</v>
      </c>
      <c r="F96" s="216">
        <v>1</v>
      </c>
      <c r="G96" s="216">
        <v>1</v>
      </c>
      <c r="H96" s="216">
        <v>1</v>
      </c>
      <c r="I96" s="216">
        <v>1</v>
      </c>
      <c r="J96" s="216">
        <v>1</v>
      </c>
      <c r="K96" s="216">
        <v>1</v>
      </c>
      <c r="L96" s="216">
        <v>1</v>
      </c>
      <c r="M96" s="216">
        <v>1</v>
      </c>
      <c r="N96" s="216">
        <v>1</v>
      </c>
      <c r="O96" s="216">
        <v>1</v>
      </c>
      <c r="P96" s="216">
        <v>1</v>
      </c>
      <c r="Q96" s="216">
        <v>1</v>
      </c>
      <c r="R96" s="216">
        <v>1</v>
      </c>
      <c r="S96" s="216">
        <v>1</v>
      </c>
      <c r="T96" s="216">
        <v>1</v>
      </c>
      <c r="U96" s="216">
        <v>1</v>
      </c>
      <c r="V96" s="216">
        <v>1</v>
      </c>
      <c r="W96" s="216">
        <v>1</v>
      </c>
      <c r="X96" s="216">
        <v>1</v>
      </c>
      <c r="Y96" s="216">
        <v>1</v>
      </c>
      <c r="Z96" s="216">
        <v>1</v>
      </c>
      <c r="AA96" s="216">
        <v>1</v>
      </c>
      <c r="AB96" s="216">
        <v>1</v>
      </c>
      <c r="AC96" s="216">
        <v>1</v>
      </c>
      <c r="AD96" s="216">
        <v>1</v>
      </c>
      <c r="AE96" s="216">
        <v>1</v>
      </c>
      <c r="AF96" s="216">
        <v>1</v>
      </c>
      <c r="AG96" s="216">
        <v>1</v>
      </c>
      <c r="AI96" s="126"/>
      <c r="AJ96" s="198" t="s">
        <v>1527</v>
      </c>
      <c r="AL96" s="102"/>
      <c r="AM96" s="194"/>
      <c r="AN96" s="194"/>
      <c r="AO96" s="194"/>
      <c r="BC96" s="1"/>
      <c r="BD96" s="194"/>
      <c r="BE96" s="194"/>
      <c r="BF96" s="194"/>
      <c r="BG96" s="194"/>
      <c r="BH96" s="194"/>
      <c r="BI96" s="194"/>
      <c r="BJ96" s="194"/>
      <c r="BK96" s="194"/>
    </row>
    <row r="97" spans="1:63" outlineLevel="1">
      <c r="A97" t="s">
        <v>1492</v>
      </c>
      <c r="B97" s="51" t="s">
        <v>126</v>
      </c>
      <c r="C97" s="104">
        <f>C84*C$96</f>
        <v>0</v>
      </c>
      <c r="D97" s="104">
        <f t="shared" ref="D97:AG98" si="58">D84*D$96</f>
        <v>1.1333333333333334E-3</v>
      </c>
      <c r="E97" s="104">
        <f t="shared" si="58"/>
        <v>2.5333333333333336E-3</v>
      </c>
      <c r="F97" s="104">
        <f t="shared" si="58"/>
        <v>4.2000000000000006E-3</v>
      </c>
      <c r="G97" s="104">
        <f t="shared" si="58"/>
        <v>6.1333333333333327E-3</v>
      </c>
      <c r="H97" s="104">
        <f t="shared" si="58"/>
        <v>8.333333333333335E-3</v>
      </c>
      <c r="I97" s="104">
        <f t="shared" si="58"/>
        <v>1.0800000000000001E-2</v>
      </c>
      <c r="J97" s="104">
        <f t="shared" si="58"/>
        <v>1.3533333333333335E-2</v>
      </c>
      <c r="K97" s="104">
        <f t="shared" si="58"/>
        <v>1.6533333333333334E-2</v>
      </c>
      <c r="L97" s="104">
        <f t="shared" si="58"/>
        <v>1.9799999999999998E-2</v>
      </c>
      <c r="M97" s="104">
        <f t="shared" si="58"/>
        <v>2.3333333333333331E-2</v>
      </c>
      <c r="N97" s="104">
        <f t="shared" si="58"/>
        <v>2.7133333333333332E-2</v>
      </c>
      <c r="O97" s="104">
        <f t="shared" si="58"/>
        <v>3.1199999999999995E-2</v>
      </c>
      <c r="P97" s="104">
        <f t="shared" si="58"/>
        <v>3.5533333333333326E-2</v>
      </c>
      <c r="Q97" s="104">
        <f t="shared" si="58"/>
        <v>4.0133333333333333E-2</v>
      </c>
      <c r="R97" s="104">
        <f t="shared" si="58"/>
        <v>4.5000000000000005E-2</v>
      </c>
      <c r="S97" s="104">
        <f t="shared" si="58"/>
        <v>5.0133333333333335E-2</v>
      </c>
      <c r="T97" s="104">
        <f t="shared" si="58"/>
        <v>5.5533333333333337E-2</v>
      </c>
      <c r="U97" s="104">
        <f t="shared" si="58"/>
        <v>6.1200000000000011E-2</v>
      </c>
      <c r="V97" s="104">
        <f t="shared" si="58"/>
        <v>6.713333333333335E-2</v>
      </c>
      <c r="W97" s="104">
        <f t="shared" si="58"/>
        <v>7.3333333333333348E-2</v>
      </c>
      <c r="X97" s="104">
        <f t="shared" si="58"/>
        <v>7.9800000000000024E-2</v>
      </c>
      <c r="Y97" s="104">
        <f t="shared" si="58"/>
        <v>8.6533333333333365E-2</v>
      </c>
      <c r="Z97" s="104">
        <f t="shared" si="58"/>
        <v>9.3533333333333357E-2</v>
      </c>
      <c r="AA97" s="104">
        <f t="shared" si="58"/>
        <v>0.10080000000000004</v>
      </c>
      <c r="AB97" s="104">
        <f t="shared" si="58"/>
        <v>0.10833333333333336</v>
      </c>
      <c r="AC97" s="104">
        <f t="shared" si="58"/>
        <v>0.11613333333333337</v>
      </c>
      <c r="AD97" s="104">
        <f t="shared" si="58"/>
        <v>0.12420000000000003</v>
      </c>
      <c r="AE97" s="104">
        <f t="shared" si="58"/>
        <v>0.13253333333333336</v>
      </c>
      <c r="AF97" s="104">
        <f t="shared" si="58"/>
        <v>0.14113333333333339</v>
      </c>
      <c r="AG97" s="104">
        <f t="shared" si="58"/>
        <v>0.15</v>
      </c>
      <c r="AI97" s="126"/>
      <c r="AJ97"/>
      <c r="AL97" s="102"/>
      <c r="AM97" s="2"/>
      <c r="AN97" s="2"/>
      <c r="AO97" s="2"/>
      <c r="AV97" s="38"/>
    </row>
    <row r="98" spans="1:63" outlineLevel="1">
      <c r="A98" t="s">
        <v>1493</v>
      </c>
      <c r="B98" s="51" t="s">
        <v>126</v>
      </c>
      <c r="C98" s="104">
        <f>C85*C$96</f>
        <v>0.1</v>
      </c>
      <c r="D98" s="104">
        <f t="shared" si="58"/>
        <v>0.11220000000000001</v>
      </c>
      <c r="E98" s="104">
        <f t="shared" si="58"/>
        <v>0.12413333333333335</v>
      </c>
      <c r="F98" s="104">
        <f t="shared" si="58"/>
        <v>0.1358</v>
      </c>
      <c r="G98" s="104">
        <f t="shared" si="58"/>
        <v>0.14719999999999997</v>
      </c>
      <c r="H98" s="104">
        <f t="shared" si="58"/>
        <v>0.15833333333333335</v>
      </c>
      <c r="I98" s="104">
        <f t="shared" si="58"/>
        <v>0.16919999999999999</v>
      </c>
      <c r="J98" s="104">
        <f t="shared" si="58"/>
        <v>0.17979999999999999</v>
      </c>
      <c r="K98" s="104">
        <f t="shared" si="58"/>
        <v>0.19013333333333335</v>
      </c>
      <c r="L98" s="104">
        <f t="shared" si="58"/>
        <v>0.20020000000000002</v>
      </c>
      <c r="M98" s="104">
        <f t="shared" si="58"/>
        <v>0.21000000000000002</v>
      </c>
      <c r="N98" s="104">
        <f t="shared" si="58"/>
        <v>0.21953333333333333</v>
      </c>
      <c r="O98" s="104">
        <f t="shared" si="58"/>
        <v>0.2288</v>
      </c>
      <c r="P98" s="104">
        <f t="shared" si="58"/>
        <v>0.23779999999999998</v>
      </c>
      <c r="Q98" s="104">
        <f t="shared" si="58"/>
        <v>0.24653333333333335</v>
      </c>
      <c r="R98" s="104">
        <f t="shared" si="58"/>
        <v>0.255</v>
      </c>
      <c r="S98" s="104">
        <f t="shared" si="58"/>
        <v>0.26319999999999999</v>
      </c>
      <c r="T98" s="104">
        <f t="shared" si="58"/>
        <v>0.27113333333333334</v>
      </c>
      <c r="U98" s="104">
        <f t="shared" si="58"/>
        <v>0.27879999999999999</v>
      </c>
      <c r="V98" s="104">
        <f t="shared" si="58"/>
        <v>0.28620000000000001</v>
      </c>
      <c r="W98" s="104">
        <f t="shared" si="58"/>
        <v>0.29333333333333333</v>
      </c>
      <c r="X98" s="104">
        <f t="shared" si="58"/>
        <v>0.30019999999999997</v>
      </c>
      <c r="Y98" s="104">
        <f t="shared" si="58"/>
        <v>0.30680000000000002</v>
      </c>
      <c r="Z98" s="104">
        <f t="shared" si="58"/>
        <v>0.31313333333333332</v>
      </c>
      <c r="AA98" s="104">
        <f t="shared" si="58"/>
        <v>0.31919999999999998</v>
      </c>
      <c r="AB98" s="104">
        <f t="shared" si="58"/>
        <v>0.32500000000000001</v>
      </c>
      <c r="AC98" s="104">
        <f t="shared" si="58"/>
        <v>0.33053333333333335</v>
      </c>
      <c r="AD98" s="104">
        <f t="shared" si="58"/>
        <v>0.33579999999999999</v>
      </c>
      <c r="AE98" s="104">
        <f t="shared" si="58"/>
        <v>0.34079999999999999</v>
      </c>
      <c r="AF98" s="104">
        <f t="shared" si="58"/>
        <v>0.34553333333333336</v>
      </c>
      <c r="AG98" s="104">
        <f t="shared" si="58"/>
        <v>0.35</v>
      </c>
      <c r="AH98" s="230"/>
      <c r="AI98" s="126"/>
      <c r="AJ98" s="198"/>
      <c r="AL98" s="102"/>
      <c r="AM98" s="2"/>
      <c r="AN98" s="2"/>
      <c r="AO98" s="2"/>
      <c r="AV98" s="38"/>
    </row>
    <row r="99" spans="1:63" outlineLevel="1">
      <c r="A99" t="s">
        <v>1494</v>
      </c>
      <c r="B99" s="165" t="s">
        <v>126</v>
      </c>
      <c r="C99" s="104">
        <f>SUM(C97:C98)</f>
        <v>0.1</v>
      </c>
      <c r="D99" s="104">
        <f t="shared" ref="D99:AG99" si="59">SUM(D97:D98)</f>
        <v>0.11333333333333334</v>
      </c>
      <c r="E99" s="104">
        <f t="shared" si="59"/>
        <v>0.12666666666666668</v>
      </c>
      <c r="F99" s="104">
        <f t="shared" si="59"/>
        <v>0.14000000000000001</v>
      </c>
      <c r="G99" s="104">
        <f t="shared" si="59"/>
        <v>0.15333333333333329</v>
      </c>
      <c r="H99" s="104">
        <f t="shared" si="59"/>
        <v>0.16666666666666669</v>
      </c>
      <c r="I99" s="104">
        <f t="shared" si="59"/>
        <v>0.18</v>
      </c>
      <c r="J99" s="104">
        <f t="shared" si="59"/>
        <v>0.19333333333333333</v>
      </c>
      <c r="K99" s="104">
        <f t="shared" si="59"/>
        <v>0.20666666666666669</v>
      </c>
      <c r="L99" s="104">
        <f t="shared" si="59"/>
        <v>0.22000000000000003</v>
      </c>
      <c r="M99" s="104">
        <f t="shared" si="59"/>
        <v>0.23333333333333334</v>
      </c>
      <c r="N99" s="104">
        <f t="shared" si="59"/>
        <v>0.24666666666666667</v>
      </c>
      <c r="O99" s="104">
        <f t="shared" si="59"/>
        <v>0.26</v>
      </c>
      <c r="P99" s="104">
        <f t="shared" si="59"/>
        <v>0.27333333333333332</v>
      </c>
      <c r="Q99" s="104">
        <f t="shared" si="59"/>
        <v>0.28666666666666668</v>
      </c>
      <c r="R99" s="104">
        <f t="shared" si="59"/>
        <v>0.3</v>
      </c>
      <c r="S99" s="104">
        <f t="shared" si="59"/>
        <v>0.31333333333333335</v>
      </c>
      <c r="T99" s="104">
        <f t="shared" si="59"/>
        <v>0.32666666666666666</v>
      </c>
      <c r="U99" s="104">
        <f t="shared" si="59"/>
        <v>0.34</v>
      </c>
      <c r="V99" s="104">
        <f t="shared" si="59"/>
        <v>0.35333333333333339</v>
      </c>
      <c r="W99" s="104">
        <f t="shared" si="59"/>
        <v>0.3666666666666667</v>
      </c>
      <c r="X99" s="104">
        <f t="shared" si="59"/>
        <v>0.38</v>
      </c>
      <c r="Y99" s="104">
        <f t="shared" si="59"/>
        <v>0.39333333333333337</v>
      </c>
      <c r="Z99" s="104">
        <f t="shared" si="59"/>
        <v>0.40666666666666668</v>
      </c>
      <c r="AA99" s="104">
        <f t="shared" si="59"/>
        <v>0.42000000000000004</v>
      </c>
      <c r="AB99" s="104">
        <f t="shared" si="59"/>
        <v>0.43333333333333335</v>
      </c>
      <c r="AC99" s="104">
        <f t="shared" si="59"/>
        <v>0.44666666666666671</v>
      </c>
      <c r="AD99" s="104">
        <f t="shared" si="59"/>
        <v>0.46</v>
      </c>
      <c r="AE99" s="104">
        <f t="shared" si="59"/>
        <v>0.47333333333333338</v>
      </c>
      <c r="AF99" s="104">
        <f t="shared" si="59"/>
        <v>0.48666666666666675</v>
      </c>
      <c r="AG99" s="104">
        <f t="shared" si="59"/>
        <v>0.5</v>
      </c>
      <c r="AI99" s="126"/>
      <c r="AJ99" s="198"/>
      <c r="AL99" s="102"/>
      <c r="AM99" s="2"/>
      <c r="AN99" s="2"/>
      <c r="AO99" s="2"/>
    </row>
    <row r="100" spans="1:63" outlineLevel="1">
      <c r="A100" t="s">
        <v>1495</v>
      </c>
      <c r="B100" s="51" t="s">
        <v>126</v>
      </c>
      <c r="C100" s="104">
        <f>C87*C98</f>
        <v>9.0000000000000011E-2</v>
      </c>
      <c r="D100" s="104">
        <f t="shared" ref="D100:AG100" si="60">D87*D98</f>
        <v>0.10098000000000001</v>
      </c>
      <c r="E100" s="104">
        <f t="shared" si="60"/>
        <v>0.11172000000000001</v>
      </c>
      <c r="F100" s="104">
        <f t="shared" si="60"/>
        <v>0.12222000000000001</v>
      </c>
      <c r="G100" s="104">
        <f t="shared" si="60"/>
        <v>0.13247999999999999</v>
      </c>
      <c r="H100" s="104">
        <f t="shared" si="60"/>
        <v>0.14250000000000002</v>
      </c>
      <c r="I100" s="104">
        <f t="shared" si="60"/>
        <v>0.15228</v>
      </c>
      <c r="J100" s="104">
        <f t="shared" si="60"/>
        <v>0.16181999999999999</v>
      </c>
      <c r="K100" s="104">
        <f t="shared" si="60"/>
        <v>0.17112000000000002</v>
      </c>
      <c r="L100" s="104">
        <f t="shared" si="60"/>
        <v>0.18018000000000001</v>
      </c>
      <c r="M100" s="104">
        <f t="shared" si="60"/>
        <v>0.18900000000000003</v>
      </c>
      <c r="N100" s="104">
        <f t="shared" si="60"/>
        <v>0.19758000000000001</v>
      </c>
      <c r="O100" s="104">
        <f t="shared" si="60"/>
        <v>0.20592000000000002</v>
      </c>
      <c r="P100" s="104">
        <f t="shared" si="60"/>
        <v>0.21401999999999999</v>
      </c>
      <c r="Q100" s="104">
        <f t="shared" si="60"/>
        <v>0.22188000000000002</v>
      </c>
      <c r="R100" s="104">
        <f t="shared" si="60"/>
        <v>0.22950000000000001</v>
      </c>
      <c r="S100" s="104">
        <f t="shared" si="60"/>
        <v>0.23688000000000001</v>
      </c>
      <c r="T100" s="104">
        <f t="shared" si="60"/>
        <v>0.24402000000000001</v>
      </c>
      <c r="U100" s="104">
        <f t="shared" si="60"/>
        <v>0.25091999999999998</v>
      </c>
      <c r="V100" s="104">
        <f t="shared" si="60"/>
        <v>0.25758000000000003</v>
      </c>
      <c r="W100" s="104">
        <f t="shared" si="60"/>
        <v>0.26400000000000001</v>
      </c>
      <c r="X100" s="104">
        <f t="shared" si="60"/>
        <v>0.27017999999999998</v>
      </c>
      <c r="Y100" s="104">
        <f t="shared" si="60"/>
        <v>0.27612000000000003</v>
      </c>
      <c r="Z100" s="104">
        <f t="shared" si="60"/>
        <v>0.28182000000000001</v>
      </c>
      <c r="AA100" s="104">
        <f t="shared" si="60"/>
        <v>0.28727999999999998</v>
      </c>
      <c r="AB100" s="104">
        <f t="shared" si="60"/>
        <v>0.29250000000000004</v>
      </c>
      <c r="AC100" s="104">
        <f t="shared" si="60"/>
        <v>0.29748000000000002</v>
      </c>
      <c r="AD100" s="104">
        <f t="shared" si="60"/>
        <v>0.30221999999999999</v>
      </c>
      <c r="AE100" s="104">
        <f t="shared" si="60"/>
        <v>0.30671999999999999</v>
      </c>
      <c r="AF100" s="104">
        <f t="shared" si="60"/>
        <v>0.31098000000000003</v>
      </c>
      <c r="AG100" s="104">
        <f t="shared" si="60"/>
        <v>0.315</v>
      </c>
      <c r="AI100" s="126"/>
      <c r="AJ100" s="198"/>
      <c r="BD100" s="190"/>
      <c r="BE100" s="190"/>
    </row>
    <row r="101" spans="1:63" outlineLevel="1">
      <c r="A101" t="s">
        <v>1496</v>
      </c>
      <c r="B101" s="51" t="s">
        <v>126</v>
      </c>
      <c r="C101" s="104">
        <f>C88*C98</f>
        <v>0</v>
      </c>
      <c r="D101" s="104">
        <f t="shared" ref="D101:AG101" si="61">D88*D98</f>
        <v>0</v>
      </c>
      <c r="E101" s="104">
        <f t="shared" si="61"/>
        <v>0</v>
      </c>
      <c r="F101" s="104">
        <f t="shared" si="61"/>
        <v>0</v>
      </c>
      <c r="G101" s="104">
        <f t="shared" si="61"/>
        <v>0</v>
      </c>
      <c r="H101" s="104">
        <f t="shared" si="61"/>
        <v>0</v>
      </c>
      <c r="I101" s="104">
        <f t="shared" si="61"/>
        <v>0</v>
      </c>
      <c r="J101" s="104">
        <f t="shared" si="61"/>
        <v>0</v>
      </c>
      <c r="K101" s="104">
        <f t="shared" si="61"/>
        <v>0</v>
      </c>
      <c r="L101" s="104">
        <f t="shared" si="61"/>
        <v>0</v>
      </c>
      <c r="M101" s="104">
        <f t="shared" si="61"/>
        <v>0</v>
      </c>
      <c r="N101" s="104">
        <f t="shared" si="61"/>
        <v>0</v>
      </c>
      <c r="O101" s="104">
        <f t="shared" si="61"/>
        <v>0</v>
      </c>
      <c r="P101" s="104">
        <f t="shared" si="61"/>
        <v>0</v>
      </c>
      <c r="Q101" s="104">
        <f t="shared" si="61"/>
        <v>0</v>
      </c>
      <c r="R101" s="104">
        <f t="shared" si="61"/>
        <v>0</v>
      </c>
      <c r="S101" s="104">
        <f t="shared" si="61"/>
        <v>0</v>
      </c>
      <c r="T101" s="104">
        <f t="shared" si="61"/>
        <v>0</v>
      </c>
      <c r="U101" s="104">
        <f t="shared" si="61"/>
        <v>0</v>
      </c>
      <c r="V101" s="104">
        <f t="shared" si="61"/>
        <v>0</v>
      </c>
      <c r="W101" s="104">
        <f t="shared" si="61"/>
        <v>0</v>
      </c>
      <c r="X101" s="104">
        <f t="shared" si="61"/>
        <v>0</v>
      </c>
      <c r="Y101" s="104">
        <f t="shared" si="61"/>
        <v>0</v>
      </c>
      <c r="Z101" s="104">
        <f t="shared" si="61"/>
        <v>0</v>
      </c>
      <c r="AA101" s="104">
        <f t="shared" si="61"/>
        <v>0</v>
      </c>
      <c r="AB101" s="104">
        <f t="shared" si="61"/>
        <v>0</v>
      </c>
      <c r="AC101" s="104">
        <f t="shared" si="61"/>
        <v>0</v>
      </c>
      <c r="AD101" s="104">
        <f t="shared" si="61"/>
        <v>0</v>
      </c>
      <c r="AE101" s="104">
        <f t="shared" si="61"/>
        <v>0</v>
      </c>
      <c r="AF101" s="104">
        <f t="shared" si="61"/>
        <v>0</v>
      </c>
      <c r="AG101" s="104">
        <f t="shared" si="61"/>
        <v>0</v>
      </c>
      <c r="AI101" s="126"/>
      <c r="AJ101" s="198"/>
      <c r="AL101" s="1"/>
      <c r="BC101" s="1"/>
      <c r="BD101" s="697"/>
      <c r="BE101" s="687"/>
      <c r="BF101" s="6"/>
      <c r="BG101" s="6"/>
      <c r="BH101" s="6"/>
      <c r="BI101" s="6"/>
      <c r="BJ101" s="6"/>
    </row>
    <row r="102" spans="1:63" outlineLevel="1">
      <c r="A102" t="s">
        <v>1497</v>
      </c>
      <c r="B102" s="51" t="s">
        <v>126</v>
      </c>
      <c r="C102" s="104">
        <f>C89*C98</f>
        <v>9.9999999999999985E-3</v>
      </c>
      <c r="D102" s="104">
        <f t="shared" ref="D102:AG102" si="62">D89*D98</f>
        <v>1.1219999999999999E-2</v>
      </c>
      <c r="E102" s="104">
        <f t="shared" si="62"/>
        <v>1.2413333333333332E-2</v>
      </c>
      <c r="F102" s="104">
        <f t="shared" si="62"/>
        <v>1.3579999999999997E-2</v>
      </c>
      <c r="G102" s="104">
        <f t="shared" si="62"/>
        <v>1.4719999999999994E-2</v>
      </c>
      <c r="H102" s="104">
        <f t="shared" si="62"/>
        <v>1.5833333333333331E-2</v>
      </c>
      <c r="I102" s="104">
        <f t="shared" si="62"/>
        <v>1.6919999999999994E-2</v>
      </c>
      <c r="J102" s="104">
        <f t="shared" si="62"/>
        <v>1.7979999999999996E-2</v>
      </c>
      <c r="K102" s="104">
        <f t="shared" si="62"/>
        <v>1.901333333333333E-2</v>
      </c>
      <c r="L102" s="104">
        <f t="shared" si="62"/>
        <v>2.0019999999999996E-2</v>
      </c>
      <c r="M102" s="104">
        <f t="shared" si="62"/>
        <v>2.0999999999999998E-2</v>
      </c>
      <c r="N102" s="104">
        <f t="shared" si="62"/>
        <v>2.1953333333333328E-2</v>
      </c>
      <c r="O102" s="104">
        <f t="shared" si="62"/>
        <v>2.2879999999999994E-2</v>
      </c>
      <c r="P102" s="104">
        <f t="shared" si="62"/>
        <v>2.3779999999999992E-2</v>
      </c>
      <c r="Q102" s="104">
        <f t="shared" si="62"/>
        <v>2.4653333333333329E-2</v>
      </c>
      <c r="R102" s="104">
        <f t="shared" si="62"/>
        <v>2.5499999999999995E-2</v>
      </c>
      <c r="S102" s="104">
        <f t="shared" si="62"/>
        <v>2.6319999999999993E-2</v>
      </c>
      <c r="T102" s="104">
        <f t="shared" si="62"/>
        <v>2.7113333333333326E-2</v>
      </c>
      <c r="U102" s="104">
        <f t="shared" si="62"/>
        <v>2.7879999999999992E-2</v>
      </c>
      <c r="V102" s="104">
        <f t="shared" si="62"/>
        <v>2.8619999999999996E-2</v>
      </c>
      <c r="W102" s="104">
        <f t="shared" si="62"/>
        <v>2.9333333333333326E-2</v>
      </c>
      <c r="X102" s="104">
        <f t="shared" si="62"/>
        <v>3.0019999999999991E-2</v>
      </c>
      <c r="Y102" s="104">
        <f t="shared" si="62"/>
        <v>3.0679999999999995E-2</v>
      </c>
      <c r="Z102" s="104">
        <f t="shared" si="62"/>
        <v>3.1313333333333325E-2</v>
      </c>
      <c r="AA102" s="104">
        <f t="shared" si="62"/>
        <v>3.191999999999999E-2</v>
      </c>
      <c r="AB102" s="104">
        <f t="shared" si="62"/>
        <v>3.2499999999999994E-2</v>
      </c>
      <c r="AC102" s="104">
        <f t="shared" si="62"/>
        <v>3.305333333333333E-2</v>
      </c>
      <c r="AD102" s="104">
        <f t="shared" si="62"/>
        <v>3.3579999999999992E-2</v>
      </c>
      <c r="AE102" s="104">
        <f t="shared" si="62"/>
        <v>3.4079999999999992E-2</v>
      </c>
      <c r="AF102" s="104">
        <f t="shared" si="62"/>
        <v>3.4553333333333325E-2</v>
      </c>
      <c r="AG102" s="104">
        <f t="shared" si="62"/>
        <v>3.4999999999999989E-2</v>
      </c>
      <c r="AI102" s="127"/>
      <c r="AJ102" s="198"/>
      <c r="BC102" s="1"/>
      <c r="BD102" s="38"/>
      <c r="BF102" s="6"/>
      <c r="BG102" s="6"/>
      <c r="BH102" s="6"/>
      <c r="BI102" s="6"/>
      <c r="BJ102" s="6"/>
    </row>
    <row r="103" spans="1:63" outlineLevel="1">
      <c r="C103" s="104"/>
      <c r="D103" s="104"/>
      <c r="E103" s="104"/>
      <c r="F103" s="104"/>
      <c r="G103" s="104"/>
      <c r="H103" s="104"/>
      <c r="I103" s="104"/>
      <c r="J103" s="104"/>
      <c r="K103" s="104"/>
      <c r="L103" s="104"/>
      <c r="M103" s="104"/>
      <c r="N103" s="104"/>
      <c r="O103" s="104"/>
      <c r="P103" s="104"/>
      <c r="Q103" s="104"/>
      <c r="R103" s="104"/>
      <c r="S103" s="104"/>
      <c r="T103" s="104"/>
      <c r="U103" s="104"/>
      <c r="V103" s="104"/>
      <c r="W103" s="104"/>
      <c r="X103" s="104"/>
      <c r="Y103" s="104"/>
      <c r="Z103" s="104"/>
      <c r="AA103" s="104"/>
      <c r="AB103" s="104"/>
      <c r="AC103" s="104"/>
      <c r="AD103" s="104"/>
      <c r="AE103" s="104"/>
      <c r="AF103" s="104"/>
      <c r="AG103" s="104"/>
      <c r="AI103" s="127"/>
      <c r="AJ103" s="198"/>
      <c r="BC103" s="1"/>
      <c r="BD103" s="38"/>
      <c r="BF103" s="6"/>
      <c r="BG103" s="6"/>
      <c r="BH103" s="6"/>
      <c r="BI103" s="6"/>
      <c r="BJ103" s="6"/>
    </row>
    <row r="104" spans="1:63" s="1" customFormat="1" outlineLevel="1">
      <c r="A104" s="1" t="s">
        <v>261</v>
      </c>
      <c r="B104" s="61"/>
      <c r="C104" s="279">
        <f t="shared" ref="C104:AG104" si="63">C40*C97</f>
        <v>0</v>
      </c>
      <c r="D104" s="279">
        <f t="shared" si="63"/>
        <v>65.852698146110498</v>
      </c>
      <c r="E104" s="279">
        <f t="shared" si="63"/>
        <v>147.20014879718818</v>
      </c>
      <c r="F104" s="279">
        <f t="shared" si="63"/>
        <v>244.04235195323304</v>
      </c>
      <c r="G104" s="279">
        <f t="shared" si="63"/>
        <v>356.37930761424496</v>
      </c>
      <c r="H104" s="279">
        <f t="shared" si="63"/>
        <v>484.21101578022427</v>
      </c>
      <c r="I104" s="279">
        <f t="shared" si="63"/>
        <v>627.53747645117062</v>
      </c>
      <c r="J104" s="279">
        <f t="shared" si="63"/>
        <v>786.35868962708423</v>
      </c>
      <c r="K104" s="279">
        <f t="shared" si="63"/>
        <v>960.67465530796483</v>
      </c>
      <c r="L104" s="279">
        <f t="shared" si="63"/>
        <v>1150.4853734938126</v>
      </c>
      <c r="M104" s="279">
        <f t="shared" si="63"/>
        <v>1355.7908441846275</v>
      </c>
      <c r="N104" s="279">
        <f t="shared" si="63"/>
        <v>1576.5910673804099</v>
      </c>
      <c r="O104" s="279">
        <f t="shared" si="63"/>
        <v>1812.8860430811592</v>
      </c>
      <c r="P104" s="279">
        <f t="shared" si="63"/>
        <v>2053.5265221219265</v>
      </c>
      <c r="Q104" s="279">
        <f t="shared" si="63"/>
        <v>2306.7750812759859</v>
      </c>
      <c r="R104" s="279">
        <f t="shared" si="63"/>
        <v>2572.3807055527568</v>
      </c>
      <c r="S104" s="279">
        <f t="shared" si="63"/>
        <v>2850.092379961658</v>
      </c>
      <c r="T104" s="279">
        <f t="shared" si="63"/>
        <v>3139.6590895121099</v>
      </c>
      <c r="U104" s="279">
        <f t="shared" si="63"/>
        <v>3440.8298192135326</v>
      </c>
      <c r="V104" s="279">
        <f t="shared" si="63"/>
        <v>3753.3535540753442</v>
      </c>
      <c r="W104" s="279">
        <f t="shared" si="63"/>
        <v>4076.979279106964</v>
      </c>
      <c r="X104" s="279">
        <f t="shared" si="63"/>
        <v>4411.4559793178132</v>
      </c>
      <c r="Y104" s="279">
        <f t="shared" si="63"/>
        <v>4756.5326397173103</v>
      </c>
      <c r="Z104" s="279">
        <f t="shared" si="63"/>
        <v>5053.2625733508075</v>
      </c>
      <c r="AA104" s="279">
        <f t="shared" si="63"/>
        <v>5350.9702258673697</v>
      </c>
      <c r="AB104" s="279">
        <f t="shared" si="63"/>
        <v>5648.9025522952543</v>
      </c>
      <c r="AC104" s="279">
        <f t="shared" si="63"/>
        <v>5946.3065076627172</v>
      </c>
      <c r="AD104" s="279">
        <f t="shared" si="63"/>
        <v>6242.4290469980206</v>
      </c>
      <c r="AE104" s="279">
        <f t="shared" si="63"/>
        <v>6536.5171253294211</v>
      </c>
      <c r="AF104" s="279">
        <f t="shared" si="63"/>
        <v>6827.817697685181</v>
      </c>
      <c r="AG104" s="279">
        <f t="shared" si="63"/>
        <v>7115.5777190935505</v>
      </c>
      <c r="AH104" s="230"/>
      <c r="AI104" s="398"/>
      <c r="AJ104" s="399"/>
      <c r="AL104" s="207"/>
      <c r="AM104" s="118"/>
      <c r="AN104" s="118"/>
      <c r="AO104" s="118"/>
      <c r="BD104" s="118"/>
      <c r="BE104" s="118"/>
      <c r="BF104" s="118"/>
      <c r="BG104" s="118"/>
      <c r="BH104" s="118"/>
      <c r="BI104" s="118"/>
      <c r="BJ104" s="118"/>
      <c r="BK104" s="118"/>
    </row>
    <row r="105" spans="1:63" s="1" customFormat="1" outlineLevel="1">
      <c r="A105" s="1" t="s">
        <v>1160</v>
      </c>
      <c r="B105" s="61"/>
      <c r="C105" s="279">
        <f t="shared" ref="C105:AG105" si="64">C104-$C104</f>
        <v>0</v>
      </c>
      <c r="D105" s="279">
        <f t="shared" si="64"/>
        <v>65.852698146110498</v>
      </c>
      <c r="E105" s="279">
        <f t="shared" si="64"/>
        <v>147.20014879718818</v>
      </c>
      <c r="F105" s="279">
        <f t="shared" si="64"/>
        <v>244.04235195323304</v>
      </c>
      <c r="G105" s="279">
        <f t="shared" si="64"/>
        <v>356.37930761424496</v>
      </c>
      <c r="H105" s="279">
        <f t="shared" si="64"/>
        <v>484.21101578022427</v>
      </c>
      <c r="I105" s="279">
        <f t="shared" si="64"/>
        <v>627.53747645117062</v>
      </c>
      <c r="J105" s="279">
        <f t="shared" si="64"/>
        <v>786.35868962708423</v>
      </c>
      <c r="K105" s="279">
        <f t="shared" si="64"/>
        <v>960.67465530796483</v>
      </c>
      <c r="L105" s="279">
        <f t="shared" si="64"/>
        <v>1150.4853734938126</v>
      </c>
      <c r="M105" s="279">
        <f t="shared" si="64"/>
        <v>1355.7908441846275</v>
      </c>
      <c r="N105" s="279">
        <f t="shared" si="64"/>
        <v>1576.5910673804099</v>
      </c>
      <c r="O105" s="279">
        <f t="shared" si="64"/>
        <v>1812.8860430811592</v>
      </c>
      <c r="P105" s="279">
        <f t="shared" si="64"/>
        <v>2053.5265221219265</v>
      </c>
      <c r="Q105" s="279">
        <f t="shared" si="64"/>
        <v>2306.7750812759859</v>
      </c>
      <c r="R105" s="279">
        <f t="shared" si="64"/>
        <v>2572.3807055527568</v>
      </c>
      <c r="S105" s="279">
        <f t="shared" si="64"/>
        <v>2850.092379961658</v>
      </c>
      <c r="T105" s="279">
        <f t="shared" si="64"/>
        <v>3139.6590895121099</v>
      </c>
      <c r="U105" s="279">
        <f t="shared" si="64"/>
        <v>3440.8298192135326</v>
      </c>
      <c r="V105" s="279">
        <f t="shared" si="64"/>
        <v>3753.3535540753442</v>
      </c>
      <c r="W105" s="279">
        <f t="shared" si="64"/>
        <v>4076.979279106964</v>
      </c>
      <c r="X105" s="279">
        <f t="shared" si="64"/>
        <v>4411.4559793178132</v>
      </c>
      <c r="Y105" s="279">
        <f t="shared" si="64"/>
        <v>4756.5326397173103</v>
      </c>
      <c r="Z105" s="279">
        <f t="shared" si="64"/>
        <v>5053.2625733508075</v>
      </c>
      <c r="AA105" s="279">
        <f t="shared" si="64"/>
        <v>5350.9702258673697</v>
      </c>
      <c r="AB105" s="279">
        <f t="shared" si="64"/>
        <v>5648.9025522952543</v>
      </c>
      <c r="AC105" s="279">
        <f t="shared" si="64"/>
        <v>5946.3065076627172</v>
      </c>
      <c r="AD105" s="279">
        <f t="shared" si="64"/>
        <v>6242.4290469980206</v>
      </c>
      <c r="AE105" s="279">
        <f t="shared" si="64"/>
        <v>6536.5171253294211</v>
      </c>
      <c r="AF105" s="279">
        <f t="shared" si="64"/>
        <v>6827.817697685181</v>
      </c>
      <c r="AG105" s="279">
        <f t="shared" si="64"/>
        <v>7115.5777190935505</v>
      </c>
      <c r="AH105" s="230"/>
      <c r="AI105" s="398"/>
      <c r="AJ105" s="399"/>
      <c r="AL105" s="207"/>
      <c r="AM105" s="118"/>
      <c r="AN105" s="118"/>
      <c r="AO105" s="118"/>
      <c r="BD105" s="118"/>
      <c r="BE105" s="118"/>
      <c r="BF105" s="118"/>
      <c r="BG105" s="118"/>
      <c r="BH105" s="118"/>
      <c r="BI105" s="118"/>
      <c r="BJ105" s="118"/>
      <c r="BK105" s="118"/>
    </row>
    <row r="106" spans="1:63" s="1" customFormat="1" outlineLevel="1">
      <c r="A106" s="1" t="s">
        <v>1163</v>
      </c>
      <c r="B106" s="61"/>
      <c r="C106" s="279">
        <f t="shared" ref="C106:AG106" si="65">C40*C100</f>
        <v>5229.4789704264222</v>
      </c>
      <c r="D106" s="279">
        <f t="shared" si="65"/>
        <v>5867.4754048184459</v>
      </c>
      <c r="E106" s="279">
        <f t="shared" si="65"/>
        <v>6491.5265619559987</v>
      </c>
      <c r="F106" s="279">
        <f t="shared" si="65"/>
        <v>7101.6324418390805</v>
      </c>
      <c r="G106" s="279">
        <f t="shared" si="65"/>
        <v>7697.7930444676913</v>
      </c>
      <c r="H106" s="279">
        <f t="shared" si="65"/>
        <v>8280.0083698418348</v>
      </c>
      <c r="I106" s="279">
        <f t="shared" si="65"/>
        <v>8848.2784179615046</v>
      </c>
      <c r="J106" s="279">
        <f t="shared" si="65"/>
        <v>9402.6031888267044</v>
      </c>
      <c r="K106" s="279">
        <f t="shared" si="65"/>
        <v>9942.9826824374377</v>
      </c>
      <c r="L106" s="279">
        <f t="shared" si="65"/>
        <v>10469.416898793696</v>
      </c>
      <c r="M106" s="279">
        <f t="shared" si="65"/>
        <v>10981.905837895487</v>
      </c>
      <c r="N106" s="279">
        <f t="shared" si="65"/>
        <v>11480.449499742805</v>
      </c>
      <c r="O106" s="279">
        <f t="shared" si="65"/>
        <v>11965.047884335654</v>
      </c>
      <c r="P106" s="279">
        <f t="shared" si="65"/>
        <v>12368.54820631899</v>
      </c>
      <c r="Q106" s="279">
        <f t="shared" si="65"/>
        <v>12753.170806482953</v>
      </c>
      <c r="R106" s="279">
        <f t="shared" si="65"/>
        <v>13119.14159831906</v>
      </c>
      <c r="S106" s="279">
        <f t="shared" si="65"/>
        <v>13466.686495318834</v>
      </c>
      <c r="T106" s="279">
        <f t="shared" si="65"/>
        <v>13796.031410973801</v>
      </c>
      <c r="U106" s="279">
        <f t="shared" si="65"/>
        <v>14107.402258775481</v>
      </c>
      <c r="V106" s="279">
        <f t="shared" si="65"/>
        <v>14401.024952215397</v>
      </c>
      <c r="W106" s="279">
        <f t="shared" si="65"/>
        <v>14677.125404785069</v>
      </c>
      <c r="X106" s="279">
        <f t="shared" si="65"/>
        <v>14935.929529976018</v>
      </c>
      <c r="Y106" s="279">
        <f t="shared" si="65"/>
        <v>15177.663241279777</v>
      </c>
      <c r="Z106" s="279">
        <f t="shared" si="65"/>
        <v>15225.699840574387</v>
      </c>
      <c r="AA106" s="279">
        <f t="shared" si="65"/>
        <v>15250.265143721997</v>
      </c>
      <c r="AB106" s="279">
        <f t="shared" si="65"/>
        <v>15252.036891197184</v>
      </c>
      <c r="AC106" s="279">
        <f t="shared" si="65"/>
        <v>15231.692823474496</v>
      </c>
      <c r="AD106" s="279">
        <f t="shared" si="65"/>
        <v>15189.910681028514</v>
      </c>
      <c r="AE106" s="279">
        <f t="shared" si="65"/>
        <v>15127.368204333799</v>
      </c>
      <c r="AF106" s="279">
        <f t="shared" si="65"/>
        <v>15044.743133864929</v>
      </c>
      <c r="AG106" s="279">
        <f t="shared" si="65"/>
        <v>14942.713210096457</v>
      </c>
      <c r="AH106" s="230"/>
      <c r="AI106" s="398"/>
      <c r="AJ106" s="399"/>
      <c r="AL106" s="207"/>
      <c r="AM106" s="118"/>
      <c r="AN106" s="118"/>
      <c r="AO106" s="118"/>
      <c r="BD106" s="118"/>
      <c r="BE106" s="118"/>
      <c r="BF106" s="118"/>
      <c r="BG106" s="118"/>
      <c r="BH106" s="118"/>
      <c r="BI106" s="118"/>
      <c r="BJ106" s="118"/>
      <c r="BK106" s="118"/>
    </row>
    <row r="107" spans="1:63" s="1" customFormat="1" outlineLevel="1">
      <c r="A107" s="1" t="s">
        <v>1166</v>
      </c>
      <c r="B107" s="61"/>
      <c r="C107" s="279">
        <f t="shared" ref="C107:AG107" si="66">C106-$C106</f>
        <v>0</v>
      </c>
      <c r="D107" s="279">
        <f t="shared" si="66"/>
        <v>637.99643439202373</v>
      </c>
      <c r="E107" s="279">
        <f t="shared" si="66"/>
        <v>1262.0475915295765</v>
      </c>
      <c r="F107" s="279">
        <f t="shared" si="66"/>
        <v>1872.1534714126583</v>
      </c>
      <c r="G107" s="279">
        <f t="shared" si="66"/>
        <v>2468.3140740412691</v>
      </c>
      <c r="H107" s="279">
        <f t="shared" si="66"/>
        <v>3050.5293994154126</v>
      </c>
      <c r="I107" s="279">
        <f t="shared" si="66"/>
        <v>3618.7994475350824</v>
      </c>
      <c r="J107" s="279">
        <f t="shared" si="66"/>
        <v>4173.1242184002822</v>
      </c>
      <c r="K107" s="279">
        <f t="shared" si="66"/>
        <v>4713.5037120110155</v>
      </c>
      <c r="L107" s="279">
        <f t="shared" si="66"/>
        <v>5239.9379283672733</v>
      </c>
      <c r="M107" s="279">
        <f t="shared" si="66"/>
        <v>5752.4268674690647</v>
      </c>
      <c r="N107" s="279">
        <f t="shared" si="66"/>
        <v>6250.9705293163825</v>
      </c>
      <c r="O107" s="279">
        <f t="shared" si="66"/>
        <v>6735.5689139092319</v>
      </c>
      <c r="P107" s="279">
        <f t="shared" si="66"/>
        <v>7139.069235892568</v>
      </c>
      <c r="Q107" s="279">
        <f t="shared" si="66"/>
        <v>7523.6918360565305</v>
      </c>
      <c r="R107" s="279">
        <f t="shared" si="66"/>
        <v>7889.6626278926378</v>
      </c>
      <c r="S107" s="279">
        <f t="shared" si="66"/>
        <v>8237.207524892412</v>
      </c>
      <c r="T107" s="279">
        <f t="shared" si="66"/>
        <v>8566.5524405473789</v>
      </c>
      <c r="U107" s="279">
        <f t="shared" si="66"/>
        <v>8877.9232883490586</v>
      </c>
      <c r="V107" s="279">
        <f t="shared" si="66"/>
        <v>9171.545981788975</v>
      </c>
      <c r="W107" s="279">
        <f t="shared" si="66"/>
        <v>9447.6464343586467</v>
      </c>
      <c r="X107" s="279">
        <f t="shared" si="66"/>
        <v>9706.4505595495957</v>
      </c>
      <c r="Y107" s="279">
        <f t="shared" si="66"/>
        <v>9948.184270853355</v>
      </c>
      <c r="Z107" s="279">
        <f t="shared" si="66"/>
        <v>9996.2208701479649</v>
      </c>
      <c r="AA107" s="279">
        <f t="shared" si="66"/>
        <v>10020.786173295575</v>
      </c>
      <c r="AB107" s="279">
        <f t="shared" si="66"/>
        <v>10022.557920770761</v>
      </c>
      <c r="AC107" s="279">
        <f t="shared" si="66"/>
        <v>10002.213853048073</v>
      </c>
      <c r="AD107" s="279">
        <f t="shared" si="66"/>
        <v>9960.4317106020917</v>
      </c>
      <c r="AE107" s="279">
        <f t="shared" si="66"/>
        <v>9897.8892339073773</v>
      </c>
      <c r="AF107" s="279">
        <f t="shared" si="66"/>
        <v>9815.2641634385072</v>
      </c>
      <c r="AG107" s="279">
        <f t="shared" si="66"/>
        <v>9713.2342396700351</v>
      </c>
      <c r="AH107" s="230"/>
      <c r="AI107" s="398"/>
      <c r="AJ107" s="399"/>
      <c r="AL107" s="207"/>
      <c r="AM107" s="118"/>
      <c r="AN107" s="118"/>
      <c r="AO107" s="118"/>
      <c r="BD107" s="118"/>
      <c r="BE107" s="118"/>
      <c r="BF107" s="118"/>
      <c r="BG107" s="118"/>
      <c r="BH107" s="118"/>
      <c r="BI107" s="118"/>
      <c r="BJ107" s="118"/>
      <c r="BK107" s="118"/>
    </row>
    <row r="108" spans="1:63" s="1" customFormat="1" outlineLevel="1">
      <c r="A108" s="1" t="s">
        <v>1167</v>
      </c>
      <c r="B108" s="61"/>
      <c r="C108" s="279">
        <f t="shared" ref="C108:AG108" si="67">C40*C101</f>
        <v>0</v>
      </c>
      <c r="D108" s="279">
        <f t="shared" si="67"/>
        <v>0</v>
      </c>
      <c r="E108" s="279">
        <f t="shared" si="67"/>
        <v>0</v>
      </c>
      <c r="F108" s="279">
        <f t="shared" si="67"/>
        <v>0</v>
      </c>
      <c r="G108" s="279">
        <f t="shared" si="67"/>
        <v>0</v>
      </c>
      <c r="H108" s="279">
        <f t="shared" si="67"/>
        <v>0</v>
      </c>
      <c r="I108" s="279">
        <f t="shared" si="67"/>
        <v>0</v>
      </c>
      <c r="J108" s="279">
        <f t="shared" si="67"/>
        <v>0</v>
      </c>
      <c r="K108" s="279">
        <f t="shared" si="67"/>
        <v>0</v>
      </c>
      <c r="L108" s="279">
        <f t="shared" si="67"/>
        <v>0</v>
      </c>
      <c r="M108" s="279">
        <f t="shared" si="67"/>
        <v>0</v>
      </c>
      <c r="N108" s="279">
        <f t="shared" si="67"/>
        <v>0</v>
      </c>
      <c r="O108" s="279">
        <f t="shared" si="67"/>
        <v>0</v>
      </c>
      <c r="P108" s="279">
        <f t="shared" si="67"/>
        <v>0</v>
      </c>
      <c r="Q108" s="279">
        <f t="shared" si="67"/>
        <v>0</v>
      </c>
      <c r="R108" s="279">
        <f t="shared" si="67"/>
        <v>0</v>
      </c>
      <c r="S108" s="279">
        <f t="shared" si="67"/>
        <v>0</v>
      </c>
      <c r="T108" s="279">
        <f t="shared" si="67"/>
        <v>0</v>
      </c>
      <c r="U108" s="279">
        <f t="shared" si="67"/>
        <v>0</v>
      </c>
      <c r="V108" s="279">
        <f t="shared" si="67"/>
        <v>0</v>
      </c>
      <c r="W108" s="279">
        <f t="shared" si="67"/>
        <v>0</v>
      </c>
      <c r="X108" s="279">
        <f t="shared" si="67"/>
        <v>0</v>
      </c>
      <c r="Y108" s="279">
        <f t="shared" si="67"/>
        <v>0</v>
      </c>
      <c r="Z108" s="279">
        <f t="shared" si="67"/>
        <v>0</v>
      </c>
      <c r="AA108" s="279">
        <f t="shared" si="67"/>
        <v>0</v>
      </c>
      <c r="AB108" s="279">
        <f t="shared" si="67"/>
        <v>0</v>
      </c>
      <c r="AC108" s="279">
        <f t="shared" si="67"/>
        <v>0</v>
      </c>
      <c r="AD108" s="279">
        <f t="shared" si="67"/>
        <v>0</v>
      </c>
      <c r="AE108" s="279">
        <f t="shared" si="67"/>
        <v>0</v>
      </c>
      <c r="AF108" s="279">
        <f t="shared" si="67"/>
        <v>0</v>
      </c>
      <c r="AG108" s="279">
        <f t="shared" si="67"/>
        <v>0</v>
      </c>
      <c r="AH108" s="230"/>
      <c r="AI108" s="398"/>
      <c r="AJ108" s="399"/>
      <c r="AL108" s="207"/>
      <c r="AM108" s="118"/>
      <c r="AN108" s="118"/>
      <c r="AO108" s="118"/>
      <c r="BD108" s="118"/>
      <c r="BE108" s="118"/>
      <c r="BF108" s="118"/>
      <c r="BG108" s="118"/>
      <c r="BH108" s="118"/>
      <c r="BI108" s="118"/>
      <c r="BJ108" s="118"/>
      <c r="BK108" s="118"/>
    </row>
    <row r="109" spans="1:63" s="1" customFormat="1" outlineLevel="1">
      <c r="A109" s="1" t="s">
        <v>1168</v>
      </c>
      <c r="B109" s="61"/>
      <c r="C109" s="279">
        <f t="shared" ref="C109:AG109" si="68">C108-$C108</f>
        <v>0</v>
      </c>
      <c r="D109" s="279">
        <f t="shared" si="68"/>
        <v>0</v>
      </c>
      <c r="E109" s="279">
        <f t="shared" si="68"/>
        <v>0</v>
      </c>
      <c r="F109" s="279">
        <f t="shared" si="68"/>
        <v>0</v>
      </c>
      <c r="G109" s="279">
        <f t="shared" si="68"/>
        <v>0</v>
      </c>
      <c r="H109" s="279">
        <f t="shared" si="68"/>
        <v>0</v>
      </c>
      <c r="I109" s="279">
        <f t="shared" si="68"/>
        <v>0</v>
      </c>
      <c r="J109" s="279">
        <f t="shared" si="68"/>
        <v>0</v>
      </c>
      <c r="K109" s="279">
        <f t="shared" si="68"/>
        <v>0</v>
      </c>
      <c r="L109" s="279">
        <f t="shared" si="68"/>
        <v>0</v>
      </c>
      <c r="M109" s="279">
        <f t="shared" si="68"/>
        <v>0</v>
      </c>
      <c r="N109" s="279">
        <f t="shared" si="68"/>
        <v>0</v>
      </c>
      <c r="O109" s="279">
        <f t="shared" si="68"/>
        <v>0</v>
      </c>
      <c r="P109" s="279">
        <f t="shared" si="68"/>
        <v>0</v>
      </c>
      <c r="Q109" s="279">
        <f t="shared" si="68"/>
        <v>0</v>
      </c>
      <c r="R109" s="279">
        <f t="shared" si="68"/>
        <v>0</v>
      </c>
      <c r="S109" s="279">
        <f t="shared" si="68"/>
        <v>0</v>
      </c>
      <c r="T109" s="279">
        <f t="shared" si="68"/>
        <v>0</v>
      </c>
      <c r="U109" s="279">
        <f t="shared" si="68"/>
        <v>0</v>
      </c>
      <c r="V109" s="279">
        <f t="shared" si="68"/>
        <v>0</v>
      </c>
      <c r="W109" s="279">
        <f t="shared" si="68"/>
        <v>0</v>
      </c>
      <c r="X109" s="279">
        <f t="shared" si="68"/>
        <v>0</v>
      </c>
      <c r="Y109" s="279">
        <f t="shared" si="68"/>
        <v>0</v>
      </c>
      <c r="Z109" s="279">
        <f t="shared" si="68"/>
        <v>0</v>
      </c>
      <c r="AA109" s="279">
        <f t="shared" si="68"/>
        <v>0</v>
      </c>
      <c r="AB109" s="279">
        <f t="shared" si="68"/>
        <v>0</v>
      </c>
      <c r="AC109" s="279">
        <f t="shared" si="68"/>
        <v>0</v>
      </c>
      <c r="AD109" s="279">
        <f t="shared" si="68"/>
        <v>0</v>
      </c>
      <c r="AE109" s="279">
        <f t="shared" si="68"/>
        <v>0</v>
      </c>
      <c r="AF109" s="279">
        <f t="shared" si="68"/>
        <v>0</v>
      </c>
      <c r="AG109" s="279">
        <f t="shared" si="68"/>
        <v>0</v>
      </c>
      <c r="AH109" s="230"/>
      <c r="AI109" s="398"/>
      <c r="AJ109" s="399"/>
      <c r="AL109" s="207"/>
      <c r="AM109" s="118"/>
      <c r="AN109" s="118"/>
      <c r="AO109" s="118"/>
      <c r="BD109" s="118"/>
      <c r="BE109" s="118"/>
      <c r="BF109" s="118"/>
      <c r="BG109" s="118"/>
      <c r="BH109" s="118"/>
      <c r="BI109" s="118"/>
      <c r="BJ109" s="118"/>
      <c r="BK109" s="118"/>
    </row>
    <row r="110" spans="1:63" s="1" customFormat="1" outlineLevel="1">
      <c r="A110" s="1" t="s">
        <v>1162</v>
      </c>
      <c r="B110" s="61"/>
      <c r="C110" s="279">
        <f t="shared" ref="C110:AG110" si="69">C40*C102</f>
        <v>581.05321893626899</v>
      </c>
      <c r="D110" s="279">
        <f t="shared" si="69"/>
        <v>651.94171164649379</v>
      </c>
      <c r="E110" s="279">
        <f t="shared" si="69"/>
        <v>721.28072910622188</v>
      </c>
      <c r="F110" s="279">
        <f t="shared" si="69"/>
        <v>789.07027131545317</v>
      </c>
      <c r="G110" s="279">
        <f t="shared" si="69"/>
        <v>855.31033827418764</v>
      </c>
      <c r="H110" s="279">
        <f t="shared" si="69"/>
        <v>920.00092998242587</v>
      </c>
      <c r="I110" s="279">
        <f t="shared" si="69"/>
        <v>983.14204644016684</v>
      </c>
      <c r="J110" s="279">
        <f t="shared" si="69"/>
        <v>1044.7336876474114</v>
      </c>
      <c r="K110" s="279">
        <f t="shared" si="69"/>
        <v>1104.7758536041592</v>
      </c>
      <c r="L110" s="279">
        <f t="shared" si="69"/>
        <v>1163.2685443104103</v>
      </c>
      <c r="M110" s="279">
        <f t="shared" si="69"/>
        <v>1220.211759766165</v>
      </c>
      <c r="N110" s="279">
        <f t="shared" si="69"/>
        <v>1275.6054999714224</v>
      </c>
      <c r="O110" s="279">
        <f t="shared" si="69"/>
        <v>1329.4497649261832</v>
      </c>
      <c r="P110" s="279">
        <f t="shared" si="69"/>
        <v>1374.283134035443</v>
      </c>
      <c r="Q110" s="279">
        <f t="shared" si="69"/>
        <v>1417.0189784981055</v>
      </c>
      <c r="R110" s="279">
        <f t="shared" si="69"/>
        <v>1457.6823998132286</v>
      </c>
      <c r="S110" s="279">
        <f t="shared" si="69"/>
        <v>1496.2984994798701</v>
      </c>
      <c r="T110" s="279">
        <f t="shared" si="69"/>
        <v>1532.8923789970886</v>
      </c>
      <c r="U110" s="279">
        <f t="shared" si="69"/>
        <v>1567.489139863942</v>
      </c>
      <c r="V110" s="279">
        <f t="shared" si="69"/>
        <v>1600.1138835794882</v>
      </c>
      <c r="W110" s="279">
        <f t="shared" si="69"/>
        <v>1630.791711642785</v>
      </c>
      <c r="X110" s="279">
        <f t="shared" si="69"/>
        <v>1659.5477255528906</v>
      </c>
      <c r="Y110" s="279">
        <f t="shared" si="69"/>
        <v>1686.4070268088637</v>
      </c>
      <c r="Z110" s="279">
        <f t="shared" si="69"/>
        <v>1691.7444267304868</v>
      </c>
      <c r="AA110" s="279">
        <f t="shared" si="69"/>
        <v>1694.4739048579993</v>
      </c>
      <c r="AB110" s="279">
        <f t="shared" si="69"/>
        <v>1694.6707656885753</v>
      </c>
      <c r="AC110" s="279">
        <f t="shared" si="69"/>
        <v>1692.4103137193881</v>
      </c>
      <c r="AD110" s="279">
        <f t="shared" si="69"/>
        <v>1687.7678534476122</v>
      </c>
      <c r="AE110" s="279">
        <f t="shared" si="69"/>
        <v>1680.8186893704219</v>
      </c>
      <c r="AF110" s="279">
        <f t="shared" si="69"/>
        <v>1671.6381259849916</v>
      </c>
      <c r="AG110" s="279">
        <f t="shared" si="69"/>
        <v>1660.3014677884948</v>
      </c>
      <c r="AH110" s="230"/>
      <c r="AI110" s="398"/>
      <c r="AJ110" s="399"/>
      <c r="AL110" s="207"/>
      <c r="AM110" s="118"/>
      <c r="AN110" s="118"/>
      <c r="AO110" s="118"/>
      <c r="BD110" s="118"/>
      <c r="BE110" s="118"/>
      <c r="BF110" s="118"/>
      <c r="BG110" s="118"/>
      <c r="BH110" s="118"/>
      <c r="BI110" s="118"/>
      <c r="BJ110" s="118"/>
      <c r="BK110" s="118"/>
    </row>
    <row r="111" spans="1:63" s="1" customFormat="1" outlineLevel="1">
      <c r="A111" s="1" t="s">
        <v>1165</v>
      </c>
      <c r="B111" s="61"/>
      <c r="C111" s="279">
        <f t="shared" ref="C111:AG111" si="70">C110-$C110</f>
        <v>0</v>
      </c>
      <c r="D111" s="279">
        <f t="shared" si="70"/>
        <v>70.888492710224796</v>
      </c>
      <c r="E111" s="279">
        <f t="shared" si="70"/>
        <v>140.22751016995289</v>
      </c>
      <c r="F111" s="279">
        <f t="shared" si="70"/>
        <v>208.01705237918418</v>
      </c>
      <c r="G111" s="279">
        <f t="shared" si="70"/>
        <v>274.25711933791865</v>
      </c>
      <c r="H111" s="279">
        <f t="shared" si="70"/>
        <v>338.94771104615688</v>
      </c>
      <c r="I111" s="279">
        <f t="shared" si="70"/>
        <v>402.08882750389785</v>
      </c>
      <c r="J111" s="279">
        <f t="shared" si="70"/>
        <v>463.68046871114245</v>
      </c>
      <c r="K111" s="279">
        <f t="shared" si="70"/>
        <v>523.72263466789025</v>
      </c>
      <c r="L111" s="279">
        <f t="shared" si="70"/>
        <v>582.21532537414134</v>
      </c>
      <c r="M111" s="279">
        <f t="shared" si="70"/>
        <v>639.15854082989597</v>
      </c>
      <c r="N111" s="279">
        <f t="shared" si="70"/>
        <v>694.55228103515344</v>
      </c>
      <c r="O111" s="279">
        <f t="shared" si="70"/>
        <v>748.39654598991422</v>
      </c>
      <c r="P111" s="279">
        <f t="shared" si="70"/>
        <v>793.22991509917404</v>
      </c>
      <c r="Q111" s="279">
        <f t="shared" si="70"/>
        <v>835.96575956183653</v>
      </c>
      <c r="R111" s="279">
        <f t="shared" si="70"/>
        <v>876.62918087695959</v>
      </c>
      <c r="S111" s="279">
        <f t="shared" si="70"/>
        <v>915.2452805436011</v>
      </c>
      <c r="T111" s="279">
        <f t="shared" si="70"/>
        <v>951.83916006081961</v>
      </c>
      <c r="U111" s="279">
        <f t="shared" si="70"/>
        <v>986.43592092767301</v>
      </c>
      <c r="V111" s="279">
        <f t="shared" si="70"/>
        <v>1019.0606646432192</v>
      </c>
      <c r="W111" s="279">
        <f t="shared" si="70"/>
        <v>1049.7384927065159</v>
      </c>
      <c r="X111" s="279">
        <f t="shared" si="70"/>
        <v>1078.4945066166215</v>
      </c>
      <c r="Y111" s="279">
        <f t="shared" si="70"/>
        <v>1105.3538078725946</v>
      </c>
      <c r="Z111" s="279">
        <f t="shared" si="70"/>
        <v>1110.6912077942179</v>
      </c>
      <c r="AA111" s="279">
        <f t="shared" si="70"/>
        <v>1113.4206859217302</v>
      </c>
      <c r="AB111" s="279">
        <f t="shared" si="70"/>
        <v>1113.6175467523062</v>
      </c>
      <c r="AC111" s="279">
        <f t="shared" si="70"/>
        <v>1111.357094783119</v>
      </c>
      <c r="AD111" s="279">
        <f t="shared" si="70"/>
        <v>1106.7146345113433</v>
      </c>
      <c r="AE111" s="279">
        <f t="shared" si="70"/>
        <v>1099.765470434153</v>
      </c>
      <c r="AF111" s="279">
        <f t="shared" si="70"/>
        <v>1090.5849070487225</v>
      </c>
      <c r="AG111" s="279">
        <f t="shared" si="70"/>
        <v>1079.248248852226</v>
      </c>
      <c r="AH111" s="230"/>
      <c r="AI111" s="398"/>
      <c r="AJ111" s="399"/>
      <c r="AL111" s="207"/>
      <c r="AM111" s="118"/>
      <c r="AN111" s="118"/>
      <c r="AO111" s="118"/>
      <c r="BD111" s="118"/>
      <c r="BE111" s="118"/>
      <c r="BF111" s="118"/>
      <c r="BG111" s="118"/>
      <c r="BH111" s="118"/>
      <c r="BI111" s="118"/>
      <c r="BJ111" s="118"/>
      <c r="BK111" s="118"/>
    </row>
    <row r="112" spans="1:63" outlineLevel="1">
      <c r="C112" s="104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  <c r="AA112" s="22"/>
      <c r="AB112" s="22"/>
      <c r="AC112" s="22"/>
      <c r="AD112" s="22"/>
      <c r="AE112" s="22"/>
      <c r="AF112" s="22"/>
      <c r="AG112" s="22"/>
      <c r="AJ112" s="198"/>
      <c r="AM112" s="117"/>
      <c r="AN112" s="117"/>
    </row>
    <row r="113" spans="1:63" s="187" customFormat="1" ht="15.5" thickBot="1">
      <c r="A113" s="187" t="s">
        <v>447</v>
      </c>
      <c r="B113" s="202"/>
      <c r="C113" s="210">
        <f>C114</f>
        <v>0</v>
      </c>
      <c r="D113" s="210">
        <f t="shared" ref="D113:AG113" si="71">D114</f>
        <v>0</v>
      </c>
      <c r="E113" s="210">
        <f t="shared" si="71"/>
        <v>0</v>
      </c>
      <c r="F113" s="210">
        <f t="shared" si="71"/>
        <v>0</v>
      </c>
      <c r="G113" s="210">
        <f t="shared" si="71"/>
        <v>0</v>
      </c>
      <c r="H113" s="210">
        <f t="shared" si="71"/>
        <v>0</v>
      </c>
      <c r="I113" s="210">
        <f t="shared" si="71"/>
        <v>0</v>
      </c>
      <c r="J113" s="210">
        <f t="shared" si="71"/>
        <v>0</v>
      </c>
      <c r="K113" s="210">
        <f t="shared" si="71"/>
        <v>0</v>
      </c>
      <c r="L113" s="210">
        <f t="shared" si="71"/>
        <v>0</v>
      </c>
      <c r="M113" s="210">
        <f t="shared" si="71"/>
        <v>0</v>
      </c>
      <c r="N113" s="210">
        <f t="shared" si="71"/>
        <v>0</v>
      </c>
      <c r="O113" s="210">
        <f t="shared" si="71"/>
        <v>0</v>
      </c>
      <c r="P113" s="210">
        <f t="shared" si="71"/>
        <v>0</v>
      </c>
      <c r="Q113" s="210">
        <f t="shared" si="71"/>
        <v>0</v>
      </c>
      <c r="R113" s="210">
        <f t="shared" si="71"/>
        <v>0</v>
      </c>
      <c r="S113" s="210">
        <f t="shared" si="71"/>
        <v>0</v>
      </c>
      <c r="T113" s="210">
        <f t="shared" si="71"/>
        <v>0</v>
      </c>
      <c r="U113" s="210">
        <f t="shared" si="71"/>
        <v>0</v>
      </c>
      <c r="V113" s="210">
        <f t="shared" si="71"/>
        <v>0</v>
      </c>
      <c r="W113" s="210">
        <f t="shared" si="71"/>
        <v>0</v>
      </c>
      <c r="X113" s="210">
        <f t="shared" si="71"/>
        <v>0</v>
      </c>
      <c r="Y113" s="210">
        <f t="shared" si="71"/>
        <v>0</v>
      </c>
      <c r="Z113" s="210">
        <f t="shared" si="71"/>
        <v>0</v>
      </c>
      <c r="AA113" s="210">
        <f t="shared" si="71"/>
        <v>0</v>
      </c>
      <c r="AB113" s="210">
        <f t="shared" si="71"/>
        <v>0</v>
      </c>
      <c r="AC113" s="210">
        <f t="shared" si="71"/>
        <v>0</v>
      </c>
      <c r="AD113" s="210">
        <f t="shared" si="71"/>
        <v>0</v>
      </c>
      <c r="AE113" s="210">
        <f t="shared" si="71"/>
        <v>0</v>
      </c>
      <c r="AF113" s="210">
        <f t="shared" si="71"/>
        <v>0</v>
      </c>
      <c r="AG113" s="210">
        <f t="shared" si="71"/>
        <v>0</v>
      </c>
      <c r="AJ113" s="217" t="s">
        <v>471</v>
      </c>
      <c r="AL113" s="204"/>
      <c r="AM113" s="211"/>
      <c r="AN113" s="211"/>
      <c r="AO113" s="211"/>
    </row>
    <row r="114" spans="1:63" ht="15.5" outlineLevel="1" thickTop="1">
      <c r="A114" t="s">
        <v>448</v>
      </c>
      <c r="B114" s="51" t="s">
        <v>126</v>
      </c>
      <c r="C114" s="201">
        <v>0</v>
      </c>
      <c r="D114" s="104">
        <f>$C114+($M114-$C114)/10*(D$1-$C$1)</f>
        <v>0</v>
      </c>
      <c r="E114" s="104">
        <f t="shared" ref="E114:L114" si="72">$C114+($M114-$C114)/10*(E$1-$C$1)</f>
        <v>0</v>
      </c>
      <c r="F114" s="104">
        <f t="shared" si="72"/>
        <v>0</v>
      </c>
      <c r="G114" s="104">
        <f t="shared" si="72"/>
        <v>0</v>
      </c>
      <c r="H114" s="104">
        <f t="shared" si="72"/>
        <v>0</v>
      </c>
      <c r="I114" s="104">
        <f t="shared" si="72"/>
        <v>0</v>
      </c>
      <c r="J114" s="104">
        <f t="shared" si="72"/>
        <v>0</v>
      </c>
      <c r="K114" s="104">
        <f t="shared" si="72"/>
        <v>0</v>
      </c>
      <c r="L114" s="104">
        <f t="shared" si="72"/>
        <v>0</v>
      </c>
      <c r="M114" s="115">
        <v>0</v>
      </c>
      <c r="N114" s="115">
        <f>$M114+($W114-$M114)/10*(N$1-$M$1)</f>
        <v>0</v>
      </c>
      <c r="O114" s="115">
        <f t="shared" ref="O114:U114" si="73">$M114+($W114-$M114)/10*(O$1-$M$1)</f>
        <v>0</v>
      </c>
      <c r="P114" s="115">
        <f t="shared" si="73"/>
        <v>0</v>
      </c>
      <c r="Q114" s="115">
        <f t="shared" si="73"/>
        <v>0</v>
      </c>
      <c r="R114" s="115">
        <f t="shared" si="73"/>
        <v>0</v>
      </c>
      <c r="S114" s="115">
        <f t="shared" si="73"/>
        <v>0</v>
      </c>
      <c r="T114" s="115">
        <f t="shared" si="73"/>
        <v>0</v>
      </c>
      <c r="U114" s="115">
        <f t="shared" si="73"/>
        <v>0</v>
      </c>
      <c r="V114" s="115">
        <f>$M114+($W114-$M114)/10*(V$1-$M$1)</f>
        <v>0</v>
      </c>
      <c r="W114" s="115">
        <v>0</v>
      </c>
      <c r="X114" s="104">
        <f>$W114+($AG114-$W114)/10*(X$1-$W$1)</f>
        <v>0</v>
      </c>
      <c r="Y114" s="104">
        <f t="shared" ref="Y114:AF114" si="74">$W114+($AG114-$W114)/10*(Y$1-$W$1)</f>
        <v>0</v>
      </c>
      <c r="Z114" s="104">
        <f t="shared" si="74"/>
        <v>0</v>
      </c>
      <c r="AA114" s="104">
        <f t="shared" si="74"/>
        <v>0</v>
      </c>
      <c r="AB114" s="104">
        <f t="shared" si="74"/>
        <v>0</v>
      </c>
      <c r="AC114" s="104">
        <f t="shared" si="74"/>
        <v>0</v>
      </c>
      <c r="AD114" s="104">
        <f t="shared" si="74"/>
        <v>0</v>
      </c>
      <c r="AE114" s="104">
        <f t="shared" si="74"/>
        <v>0</v>
      </c>
      <c r="AF114" s="104">
        <f t="shared" si="74"/>
        <v>0</v>
      </c>
      <c r="AG114" s="201">
        <v>0</v>
      </c>
      <c r="AJ114" s="198" t="s">
        <v>453</v>
      </c>
    </row>
    <row r="115" spans="1:63" outlineLevel="1">
      <c r="A115" t="s">
        <v>449</v>
      </c>
      <c r="B115" s="51" t="s">
        <v>126</v>
      </c>
      <c r="C115" s="201">
        <v>0</v>
      </c>
      <c r="D115" s="104">
        <f t="shared" ref="D115:L115" si="75">C115-($C$115-$AG$115)/($AG$1-$C$1)</f>
        <v>0</v>
      </c>
      <c r="E115" s="104">
        <f t="shared" si="75"/>
        <v>0</v>
      </c>
      <c r="F115" s="104">
        <f t="shared" si="75"/>
        <v>0</v>
      </c>
      <c r="G115" s="104">
        <f t="shared" si="75"/>
        <v>0</v>
      </c>
      <c r="H115" s="104">
        <f t="shared" si="75"/>
        <v>0</v>
      </c>
      <c r="I115" s="104">
        <f t="shared" si="75"/>
        <v>0</v>
      </c>
      <c r="J115" s="104">
        <f t="shared" si="75"/>
        <v>0</v>
      </c>
      <c r="K115" s="104">
        <f t="shared" si="75"/>
        <v>0</v>
      </c>
      <c r="L115" s="104">
        <f t="shared" si="75"/>
        <v>0</v>
      </c>
      <c r="M115" s="104">
        <v>0</v>
      </c>
      <c r="N115" s="104">
        <f t="shared" ref="N115:V115" si="76">M115-($C$115-$AG$115)/($AG$1-$C$1)</f>
        <v>0</v>
      </c>
      <c r="O115" s="104">
        <f t="shared" si="76"/>
        <v>0</v>
      </c>
      <c r="P115" s="104">
        <f t="shared" si="76"/>
        <v>0</v>
      </c>
      <c r="Q115" s="104">
        <f t="shared" si="76"/>
        <v>0</v>
      </c>
      <c r="R115" s="104">
        <f t="shared" si="76"/>
        <v>0</v>
      </c>
      <c r="S115" s="104">
        <f t="shared" si="76"/>
        <v>0</v>
      </c>
      <c r="T115" s="104">
        <f t="shared" si="76"/>
        <v>0</v>
      </c>
      <c r="U115" s="104">
        <f t="shared" si="76"/>
        <v>0</v>
      </c>
      <c r="V115" s="104">
        <f t="shared" si="76"/>
        <v>0</v>
      </c>
      <c r="W115" s="104">
        <v>0</v>
      </c>
      <c r="X115" s="104">
        <f t="shared" ref="X115:AF115" si="77">W115-($C$115-$AG$115)/($AG$1-$C$1)</f>
        <v>0</v>
      </c>
      <c r="Y115" s="104">
        <f t="shared" si="77"/>
        <v>0</v>
      </c>
      <c r="Z115" s="104">
        <f t="shared" si="77"/>
        <v>0</v>
      </c>
      <c r="AA115" s="104">
        <f t="shared" si="77"/>
        <v>0</v>
      </c>
      <c r="AB115" s="104">
        <f t="shared" si="77"/>
        <v>0</v>
      </c>
      <c r="AC115" s="104">
        <f t="shared" si="77"/>
        <v>0</v>
      </c>
      <c r="AD115" s="104">
        <f t="shared" si="77"/>
        <v>0</v>
      </c>
      <c r="AE115" s="104">
        <f t="shared" si="77"/>
        <v>0</v>
      </c>
      <c r="AF115" s="104">
        <f t="shared" si="77"/>
        <v>0</v>
      </c>
      <c r="AG115" s="201">
        <v>0</v>
      </c>
      <c r="AI115" s="128"/>
      <c r="AJ115" s="198" t="s">
        <v>645</v>
      </c>
      <c r="AM115" s="117"/>
      <c r="AN115" s="117"/>
    </row>
    <row r="116" spans="1:63" ht="14.5" customHeight="1" outlineLevel="1">
      <c r="A116" t="s">
        <v>450</v>
      </c>
      <c r="B116" s="165" t="s">
        <v>126</v>
      </c>
      <c r="C116" s="104">
        <v>0</v>
      </c>
      <c r="D116" s="104">
        <f t="shared" ref="D116:AF116" si="78">1-D115</f>
        <v>1</v>
      </c>
      <c r="E116" s="104">
        <f t="shared" si="78"/>
        <v>1</v>
      </c>
      <c r="F116" s="104">
        <f t="shared" si="78"/>
        <v>1</v>
      </c>
      <c r="G116" s="104">
        <f t="shared" si="78"/>
        <v>1</v>
      </c>
      <c r="H116" s="104">
        <f t="shared" si="78"/>
        <v>1</v>
      </c>
      <c r="I116" s="104">
        <f t="shared" si="78"/>
        <v>1</v>
      </c>
      <c r="J116" s="104">
        <f t="shared" si="78"/>
        <v>1</v>
      </c>
      <c r="K116" s="104">
        <f t="shared" si="78"/>
        <v>1</v>
      </c>
      <c r="L116" s="104">
        <f t="shared" si="78"/>
        <v>1</v>
      </c>
      <c r="M116" s="104">
        <v>0</v>
      </c>
      <c r="N116" s="104">
        <f t="shared" si="78"/>
        <v>1</v>
      </c>
      <c r="O116" s="104">
        <f t="shared" si="78"/>
        <v>1</v>
      </c>
      <c r="P116" s="104">
        <f t="shared" si="78"/>
        <v>1</v>
      </c>
      <c r="Q116" s="104">
        <f t="shared" si="78"/>
        <v>1</v>
      </c>
      <c r="R116" s="104">
        <f t="shared" si="78"/>
        <v>1</v>
      </c>
      <c r="S116" s="104">
        <f t="shared" si="78"/>
        <v>1</v>
      </c>
      <c r="T116" s="104">
        <f t="shared" si="78"/>
        <v>1</v>
      </c>
      <c r="U116" s="104">
        <f t="shared" si="78"/>
        <v>1</v>
      </c>
      <c r="V116" s="104">
        <f t="shared" si="78"/>
        <v>1</v>
      </c>
      <c r="W116" s="104">
        <v>0</v>
      </c>
      <c r="X116" s="104">
        <f t="shared" si="78"/>
        <v>1</v>
      </c>
      <c r="Y116" s="104">
        <f t="shared" si="78"/>
        <v>1</v>
      </c>
      <c r="Z116" s="104">
        <f t="shared" si="78"/>
        <v>1</v>
      </c>
      <c r="AA116" s="104">
        <f t="shared" si="78"/>
        <v>1</v>
      </c>
      <c r="AB116" s="104">
        <f t="shared" si="78"/>
        <v>1</v>
      </c>
      <c r="AC116" s="104">
        <f t="shared" si="78"/>
        <v>1</v>
      </c>
      <c r="AD116" s="104">
        <f t="shared" si="78"/>
        <v>1</v>
      </c>
      <c r="AE116" s="104">
        <f t="shared" si="78"/>
        <v>1</v>
      </c>
      <c r="AF116" s="104">
        <f t="shared" si="78"/>
        <v>1</v>
      </c>
      <c r="AG116" s="104">
        <v>0</v>
      </c>
      <c r="AI116" s="128" t="s">
        <v>285</v>
      </c>
      <c r="AJ116" s="198"/>
    </row>
    <row r="117" spans="1:63" outlineLevel="1">
      <c r="A117" t="s">
        <v>451</v>
      </c>
      <c r="B117" s="51" t="s">
        <v>126</v>
      </c>
      <c r="C117" s="104">
        <f>C114*C115</f>
        <v>0</v>
      </c>
      <c r="D117" s="104">
        <f t="shared" ref="D117:AG117" si="79">D114*D115</f>
        <v>0</v>
      </c>
      <c r="E117" s="104">
        <f t="shared" si="79"/>
        <v>0</v>
      </c>
      <c r="F117" s="104">
        <f t="shared" si="79"/>
        <v>0</v>
      </c>
      <c r="G117" s="104">
        <f t="shared" si="79"/>
        <v>0</v>
      </c>
      <c r="H117" s="104">
        <f t="shared" si="79"/>
        <v>0</v>
      </c>
      <c r="I117" s="104">
        <f t="shared" si="79"/>
        <v>0</v>
      </c>
      <c r="J117" s="104">
        <f t="shared" si="79"/>
        <v>0</v>
      </c>
      <c r="K117" s="104">
        <f t="shared" si="79"/>
        <v>0</v>
      </c>
      <c r="L117" s="104">
        <f t="shared" si="79"/>
        <v>0</v>
      </c>
      <c r="M117" s="104">
        <f t="shared" si="79"/>
        <v>0</v>
      </c>
      <c r="N117" s="104">
        <f t="shared" si="79"/>
        <v>0</v>
      </c>
      <c r="O117" s="104">
        <f t="shared" si="79"/>
        <v>0</v>
      </c>
      <c r="P117" s="104">
        <f t="shared" si="79"/>
        <v>0</v>
      </c>
      <c r="Q117" s="104">
        <f t="shared" si="79"/>
        <v>0</v>
      </c>
      <c r="R117" s="104">
        <f t="shared" si="79"/>
        <v>0</v>
      </c>
      <c r="S117" s="104">
        <f t="shared" si="79"/>
        <v>0</v>
      </c>
      <c r="T117" s="104">
        <f t="shared" si="79"/>
        <v>0</v>
      </c>
      <c r="U117" s="104">
        <f t="shared" si="79"/>
        <v>0</v>
      </c>
      <c r="V117" s="104">
        <f t="shared" si="79"/>
        <v>0</v>
      </c>
      <c r="W117" s="104">
        <f t="shared" si="79"/>
        <v>0</v>
      </c>
      <c r="X117" s="104">
        <f t="shared" si="79"/>
        <v>0</v>
      </c>
      <c r="Y117" s="104">
        <f t="shared" si="79"/>
        <v>0</v>
      </c>
      <c r="Z117" s="104">
        <f t="shared" si="79"/>
        <v>0</v>
      </c>
      <c r="AA117" s="104">
        <f t="shared" si="79"/>
        <v>0</v>
      </c>
      <c r="AB117" s="104">
        <f t="shared" si="79"/>
        <v>0</v>
      </c>
      <c r="AC117" s="104">
        <f t="shared" si="79"/>
        <v>0</v>
      </c>
      <c r="AD117" s="104">
        <f t="shared" si="79"/>
        <v>0</v>
      </c>
      <c r="AE117" s="104">
        <f t="shared" si="79"/>
        <v>0</v>
      </c>
      <c r="AF117" s="104">
        <f t="shared" si="79"/>
        <v>0</v>
      </c>
      <c r="AG117" s="104">
        <f t="shared" si="79"/>
        <v>0</v>
      </c>
      <c r="AI117" s="127"/>
      <c r="AJ117" s="198"/>
      <c r="BD117" s="190"/>
      <c r="BE117" s="190"/>
    </row>
    <row r="118" spans="1:63" outlineLevel="1">
      <c r="A118" t="s">
        <v>452</v>
      </c>
      <c r="B118" s="51" t="s">
        <v>126</v>
      </c>
      <c r="C118" s="104">
        <f>C114*C116</f>
        <v>0</v>
      </c>
      <c r="D118" s="104">
        <f t="shared" ref="D118:AG118" si="80">D114*D116</f>
        <v>0</v>
      </c>
      <c r="E118" s="104">
        <f t="shared" si="80"/>
        <v>0</v>
      </c>
      <c r="F118" s="104">
        <f t="shared" si="80"/>
        <v>0</v>
      </c>
      <c r="G118" s="104">
        <f t="shared" si="80"/>
        <v>0</v>
      </c>
      <c r="H118" s="104">
        <f t="shared" si="80"/>
        <v>0</v>
      </c>
      <c r="I118" s="104">
        <f t="shared" si="80"/>
        <v>0</v>
      </c>
      <c r="J118" s="104">
        <f t="shared" si="80"/>
        <v>0</v>
      </c>
      <c r="K118" s="104">
        <f t="shared" si="80"/>
        <v>0</v>
      </c>
      <c r="L118" s="104">
        <f t="shared" si="80"/>
        <v>0</v>
      </c>
      <c r="M118" s="104">
        <f t="shared" si="80"/>
        <v>0</v>
      </c>
      <c r="N118" s="104">
        <f t="shared" si="80"/>
        <v>0</v>
      </c>
      <c r="O118" s="104">
        <f t="shared" si="80"/>
        <v>0</v>
      </c>
      <c r="P118" s="104">
        <f t="shared" si="80"/>
        <v>0</v>
      </c>
      <c r="Q118" s="104">
        <f t="shared" si="80"/>
        <v>0</v>
      </c>
      <c r="R118" s="104">
        <f t="shared" si="80"/>
        <v>0</v>
      </c>
      <c r="S118" s="104">
        <f t="shared" si="80"/>
        <v>0</v>
      </c>
      <c r="T118" s="104">
        <f t="shared" si="80"/>
        <v>0</v>
      </c>
      <c r="U118" s="104">
        <f t="shared" si="80"/>
        <v>0</v>
      </c>
      <c r="V118" s="104">
        <f t="shared" si="80"/>
        <v>0</v>
      </c>
      <c r="W118" s="104">
        <f t="shared" si="80"/>
        <v>0</v>
      </c>
      <c r="X118" s="104">
        <f t="shared" si="80"/>
        <v>0</v>
      </c>
      <c r="Y118" s="104">
        <f t="shared" si="80"/>
        <v>0</v>
      </c>
      <c r="Z118" s="104">
        <f t="shared" si="80"/>
        <v>0</v>
      </c>
      <c r="AA118" s="104">
        <f t="shared" si="80"/>
        <v>0</v>
      </c>
      <c r="AB118" s="104">
        <f t="shared" si="80"/>
        <v>0</v>
      </c>
      <c r="AC118" s="104">
        <f t="shared" si="80"/>
        <v>0</v>
      </c>
      <c r="AD118" s="104">
        <f t="shared" si="80"/>
        <v>0</v>
      </c>
      <c r="AE118" s="104">
        <f t="shared" si="80"/>
        <v>0</v>
      </c>
      <c r="AF118" s="104">
        <f t="shared" si="80"/>
        <v>0</v>
      </c>
      <c r="AG118" s="104">
        <f t="shared" si="80"/>
        <v>0</v>
      </c>
      <c r="AI118" s="127"/>
      <c r="AJ118" s="198"/>
      <c r="BD118" s="190"/>
      <c r="BE118" s="190"/>
    </row>
    <row r="119" spans="1:63" outlineLevel="1">
      <c r="C119" s="104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J119" s="198"/>
    </row>
    <row r="120" spans="1:63" outlineLevel="1">
      <c r="A120" t="s">
        <v>437</v>
      </c>
      <c r="B120" s="51" t="s">
        <v>126</v>
      </c>
      <c r="C120" s="201">
        <v>0.5</v>
      </c>
      <c r="D120" s="104">
        <f>C120</f>
        <v>0.5</v>
      </c>
      <c r="E120" s="104">
        <f t="shared" ref="E120:AG120" si="81">D120</f>
        <v>0.5</v>
      </c>
      <c r="F120" s="104">
        <f t="shared" si="81"/>
        <v>0.5</v>
      </c>
      <c r="G120" s="104">
        <f t="shared" si="81"/>
        <v>0.5</v>
      </c>
      <c r="H120" s="104">
        <f t="shared" si="81"/>
        <v>0.5</v>
      </c>
      <c r="I120" s="104">
        <f t="shared" si="81"/>
        <v>0.5</v>
      </c>
      <c r="J120" s="104">
        <f t="shared" si="81"/>
        <v>0.5</v>
      </c>
      <c r="K120" s="104">
        <f t="shared" si="81"/>
        <v>0.5</v>
      </c>
      <c r="L120" s="104">
        <f t="shared" si="81"/>
        <v>0.5</v>
      </c>
      <c r="M120" s="104">
        <f t="shared" si="81"/>
        <v>0.5</v>
      </c>
      <c r="N120" s="104">
        <f t="shared" si="81"/>
        <v>0.5</v>
      </c>
      <c r="O120" s="104">
        <f t="shared" si="81"/>
        <v>0.5</v>
      </c>
      <c r="P120" s="104">
        <f t="shared" si="81"/>
        <v>0.5</v>
      </c>
      <c r="Q120" s="104">
        <f t="shared" si="81"/>
        <v>0.5</v>
      </c>
      <c r="R120" s="104">
        <f t="shared" si="81"/>
        <v>0.5</v>
      </c>
      <c r="S120" s="104">
        <f t="shared" si="81"/>
        <v>0.5</v>
      </c>
      <c r="T120" s="104">
        <f t="shared" si="81"/>
        <v>0.5</v>
      </c>
      <c r="U120" s="104">
        <f t="shared" si="81"/>
        <v>0.5</v>
      </c>
      <c r="V120" s="104">
        <f t="shared" si="81"/>
        <v>0.5</v>
      </c>
      <c r="W120" s="104">
        <f t="shared" si="81"/>
        <v>0.5</v>
      </c>
      <c r="X120" s="104">
        <f t="shared" si="81"/>
        <v>0.5</v>
      </c>
      <c r="Y120" s="104">
        <f t="shared" si="81"/>
        <v>0.5</v>
      </c>
      <c r="Z120" s="104">
        <f t="shared" si="81"/>
        <v>0.5</v>
      </c>
      <c r="AA120" s="104">
        <f t="shared" si="81"/>
        <v>0.5</v>
      </c>
      <c r="AB120" s="104">
        <f t="shared" si="81"/>
        <v>0.5</v>
      </c>
      <c r="AC120" s="104">
        <f t="shared" si="81"/>
        <v>0.5</v>
      </c>
      <c r="AD120" s="104">
        <f t="shared" si="81"/>
        <v>0.5</v>
      </c>
      <c r="AE120" s="104">
        <f t="shared" si="81"/>
        <v>0.5</v>
      </c>
      <c r="AF120" s="104">
        <f t="shared" si="81"/>
        <v>0.5</v>
      </c>
      <c r="AG120" s="104">
        <f t="shared" si="81"/>
        <v>0.5</v>
      </c>
      <c r="AI120" s="51"/>
      <c r="AJ120" s="198" t="s">
        <v>460</v>
      </c>
    </row>
    <row r="121" spans="1:63" outlineLevel="1">
      <c r="A121" t="s">
        <v>445</v>
      </c>
      <c r="B121" s="51" t="s">
        <v>126</v>
      </c>
      <c r="C121" s="115">
        <f>1-C120</f>
        <v>0.5</v>
      </c>
      <c r="D121" s="104">
        <f t="shared" ref="D121:AG121" si="82">C121</f>
        <v>0.5</v>
      </c>
      <c r="E121" s="104">
        <f t="shared" si="82"/>
        <v>0.5</v>
      </c>
      <c r="F121" s="104">
        <f t="shared" si="82"/>
        <v>0.5</v>
      </c>
      <c r="G121" s="104">
        <f t="shared" si="82"/>
        <v>0.5</v>
      </c>
      <c r="H121" s="104">
        <f t="shared" si="82"/>
        <v>0.5</v>
      </c>
      <c r="I121" s="104">
        <f t="shared" si="82"/>
        <v>0.5</v>
      </c>
      <c r="J121" s="104">
        <f t="shared" si="82"/>
        <v>0.5</v>
      </c>
      <c r="K121" s="104">
        <f t="shared" si="82"/>
        <v>0.5</v>
      </c>
      <c r="L121" s="104">
        <f t="shared" si="82"/>
        <v>0.5</v>
      </c>
      <c r="M121" s="104">
        <f t="shared" si="82"/>
        <v>0.5</v>
      </c>
      <c r="N121" s="104">
        <f t="shared" si="82"/>
        <v>0.5</v>
      </c>
      <c r="O121" s="104">
        <f t="shared" si="82"/>
        <v>0.5</v>
      </c>
      <c r="P121" s="104">
        <f t="shared" si="82"/>
        <v>0.5</v>
      </c>
      <c r="Q121" s="104">
        <f t="shared" si="82"/>
        <v>0.5</v>
      </c>
      <c r="R121" s="104">
        <f t="shared" si="82"/>
        <v>0.5</v>
      </c>
      <c r="S121" s="104">
        <f t="shared" si="82"/>
        <v>0.5</v>
      </c>
      <c r="T121" s="104">
        <f t="shared" si="82"/>
        <v>0.5</v>
      </c>
      <c r="U121" s="104">
        <f t="shared" si="82"/>
        <v>0.5</v>
      </c>
      <c r="V121" s="104">
        <f t="shared" si="82"/>
        <v>0.5</v>
      </c>
      <c r="W121" s="104">
        <f t="shared" si="82"/>
        <v>0.5</v>
      </c>
      <c r="X121" s="104">
        <f t="shared" si="82"/>
        <v>0.5</v>
      </c>
      <c r="Y121" s="104">
        <f t="shared" si="82"/>
        <v>0.5</v>
      </c>
      <c r="Z121" s="104">
        <f t="shared" si="82"/>
        <v>0.5</v>
      </c>
      <c r="AA121" s="104">
        <f t="shared" si="82"/>
        <v>0.5</v>
      </c>
      <c r="AB121" s="104">
        <f t="shared" si="82"/>
        <v>0.5</v>
      </c>
      <c r="AC121" s="104">
        <f t="shared" si="82"/>
        <v>0.5</v>
      </c>
      <c r="AD121" s="104">
        <f t="shared" si="82"/>
        <v>0.5</v>
      </c>
      <c r="AE121" s="104">
        <f t="shared" si="82"/>
        <v>0.5</v>
      </c>
      <c r="AF121" s="104">
        <f t="shared" si="82"/>
        <v>0.5</v>
      </c>
      <c r="AG121" s="104">
        <f t="shared" si="82"/>
        <v>0.5</v>
      </c>
      <c r="AJ121" s="209"/>
    </row>
    <row r="122" spans="1:63" outlineLevel="1">
      <c r="A122" t="s">
        <v>433</v>
      </c>
      <c r="B122" s="51" t="s">
        <v>126</v>
      </c>
      <c r="C122" s="104">
        <f t="shared" ref="C122:AG122" si="83">SUM(C120:C121)</f>
        <v>1</v>
      </c>
      <c r="D122" s="104">
        <f t="shared" si="83"/>
        <v>1</v>
      </c>
      <c r="E122" s="104">
        <f t="shared" si="83"/>
        <v>1</v>
      </c>
      <c r="F122" s="104">
        <f t="shared" si="83"/>
        <v>1</v>
      </c>
      <c r="G122" s="104">
        <f t="shared" si="83"/>
        <v>1</v>
      </c>
      <c r="H122" s="104">
        <f t="shared" si="83"/>
        <v>1</v>
      </c>
      <c r="I122" s="104">
        <f t="shared" si="83"/>
        <v>1</v>
      </c>
      <c r="J122" s="104">
        <f t="shared" si="83"/>
        <v>1</v>
      </c>
      <c r="K122" s="104">
        <f t="shared" si="83"/>
        <v>1</v>
      </c>
      <c r="L122" s="104">
        <f t="shared" si="83"/>
        <v>1</v>
      </c>
      <c r="M122" s="104">
        <f t="shared" si="83"/>
        <v>1</v>
      </c>
      <c r="N122" s="104">
        <f t="shared" si="83"/>
        <v>1</v>
      </c>
      <c r="O122" s="104">
        <f t="shared" si="83"/>
        <v>1</v>
      </c>
      <c r="P122" s="104">
        <f t="shared" si="83"/>
        <v>1</v>
      </c>
      <c r="Q122" s="104">
        <f t="shared" si="83"/>
        <v>1</v>
      </c>
      <c r="R122" s="104">
        <f t="shared" si="83"/>
        <v>1</v>
      </c>
      <c r="S122" s="104">
        <f t="shared" si="83"/>
        <v>1</v>
      </c>
      <c r="T122" s="104">
        <f t="shared" si="83"/>
        <v>1</v>
      </c>
      <c r="U122" s="104">
        <f t="shared" si="83"/>
        <v>1</v>
      </c>
      <c r="V122" s="104">
        <f t="shared" si="83"/>
        <v>1</v>
      </c>
      <c r="W122" s="104">
        <f t="shared" si="83"/>
        <v>1</v>
      </c>
      <c r="X122" s="104">
        <f t="shared" si="83"/>
        <v>1</v>
      </c>
      <c r="Y122" s="104">
        <f t="shared" si="83"/>
        <v>1</v>
      </c>
      <c r="Z122" s="104">
        <f t="shared" si="83"/>
        <v>1</v>
      </c>
      <c r="AA122" s="104">
        <f t="shared" si="83"/>
        <v>1</v>
      </c>
      <c r="AB122" s="104">
        <f t="shared" si="83"/>
        <v>1</v>
      </c>
      <c r="AC122" s="104">
        <f t="shared" si="83"/>
        <v>1</v>
      </c>
      <c r="AD122" s="104">
        <f t="shared" si="83"/>
        <v>1</v>
      </c>
      <c r="AE122" s="104">
        <f t="shared" si="83"/>
        <v>1</v>
      </c>
      <c r="AF122" s="104">
        <f t="shared" si="83"/>
        <v>1</v>
      </c>
      <c r="AG122" s="104">
        <f t="shared" si="83"/>
        <v>1</v>
      </c>
      <c r="AH122" s="124"/>
      <c r="AI122" s="51"/>
      <c r="AJ122" s="209"/>
    </row>
    <row r="123" spans="1:63" outlineLevel="1">
      <c r="C123" s="201"/>
      <c r="D123" s="104"/>
      <c r="E123" s="104"/>
      <c r="F123" s="104"/>
      <c r="G123" s="104"/>
      <c r="H123" s="104"/>
      <c r="I123" s="104"/>
      <c r="J123" s="104"/>
      <c r="K123" s="104"/>
      <c r="L123" s="104"/>
      <c r="M123" s="104"/>
      <c r="N123" s="104"/>
      <c r="O123" s="104"/>
      <c r="P123" s="104"/>
      <c r="Q123" s="104"/>
      <c r="R123" s="104"/>
      <c r="S123" s="104"/>
      <c r="T123" s="104"/>
      <c r="U123" s="104"/>
      <c r="V123" s="104"/>
      <c r="W123" s="104"/>
      <c r="X123" s="104"/>
      <c r="Y123" s="104"/>
      <c r="Z123" s="104"/>
      <c r="AA123" s="104"/>
      <c r="AB123" s="104"/>
      <c r="AC123" s="104"/>
      <c r="AD123" s="104"/>
      <c r="AE123" s="104"/>
      <c r="AF123" s="104"/>
      <c r="AG123" s="104"/>
      <c r="AH123" s="124"/>
      <c r="AI123" s="124"/>
      <c r="AJ123" s="209"/>
    </row>
    <row r="124" spans="1:63" outlineLevel="1">
      <c r="A124" t="s">
        <v>455</v>
      </c>
      <c r="B124" s="51" t="s">
        <v>126</v>
      </c>
      <c r="C124" s="104">
        <f>C120*C118</f>
        <v>0</v>
      </c>
      <c r="D124" s="104">
        <f t="shared" ref="D124:AG124" si="84">D120*D118</f>
        <v>0</v>
      </c>
      <c r="E124" s="104">
        <f t="shared" si="84"/>
        <v>0</v>
      </c>
      <c r="F124" s="104">
        <f t="shared" si="84"/>
        <v>0</v>
      </c>
      <c r="G124" s="104">
        <f t="shared" si="84"/>
        <v>0</v>
      </c>
      <c r="H124" s="104">
        <f t="shared" si="84"/>
        <v>0</v>
      </c>
      <c r="I124" s="104">
        <f t="shared" si="84"/>
        <v>0</v>
      </c>
      <c r="J124" s="104">
        <f t="shared" si="84"/>
        <v>0</v>
      </c>
      <c r="K124" s="104">
        <f t="shared" si="84"/>
        <v>0</v>
      </c>
      <c r="L124" s="104">
        <f t="shared" si="84"/>
        <v>0</v>
      </c>
      <c r="M124" s="104">
        <f t="shared" si="84"/>
        <v>0</v>
      </c>
      <c r="N124" s="104">
        <f t="shared" si="84"/>
        <v>0</v>
      </c>
      <c r="O124" s="104">
        <f t="shared" si="84"/>
        <v>0</v>
      </c>
      <c r="P124" s="104">
        <f t="shared" si="84"/>
        <v>0</v>
      </c>
      <c r="Q124" s="104">
        <f t="shared" si="84"/>
        <v>0</v>
      </c>
      <c r="R124" s="104">
        <f t="shared" si="84"/>
        <v>0</v>
      </c>
      <c r="S124" s="104">
        <f t="shared" si="84"/>
        <v>0</v>
      </c>
      <c r="T124" s="104">
        <f t="shared" si="84"/>
        <v>0</v>
      </c>
      <c r="U124" s="104">
        <f t="shared" si="84"/>
        <v>0</v>
      </c>
      <c r="V124" s="104">
        <f t="shared" si="84"/>
        <v>0</v>
      </c>
      <c r="W124" s="104">
        <f t="shared" si="84"/>
        <v>0</v>
      </c>
      <c r="X124" s="104">
        <f t="shared" si="84"/>
        <v>0</v>
      </c>
      <c r="Y124" s="104">
        <f t="shared" si="84"/>
        <v>0</v>
      </c>
      <c r="Z124" s="104">
        <f t="shared" si="84"/>
        <v>0</v>
      </c>
      <c r="AA124" s="104">
        <f t="shared" si="84"/>
        <v>0</v>
      </c>
      <c r="AB124" s="104">
        <f t="shared" si="84"/>
        <v>0</v>
      </c>
      <c r="AC124" s="104">
        <f t="shared" si="84"/>
        <v>0</v>
      </c>
      <c r="AD124" s="104">
        <f t="shared" si="84"/>
        <v>0</v>
      </c>
      <c r="AE124" s="104">
        <f t="shared" si="84"/>
        <v>0</v>
      </c>
      <c r="AF124" s="104">
        <f t="shared" si="84"/>
        <v>0</v>
      </c>
      <c r="AG124" s="104">
        <f t="shared" si="84"/>
        <v>0</v>
      </c>
      <c r="AH124" s="124"/>
      <c r="AI124" s="124"/>
      <c r="AJ124" s="198"/>
    </row>
    <row r="125" spans="1:63" outlineLevel="1">
      <c r="A125" t="s">
        <v>531</v>
      </c>
      <c r="B125" s="51" t="s">
        <v>126</v>
      </c>
      <c r="C125" s="104">
        <f>C118*C121</f>
        <v>0</v>
      </c>
      <c r="D125" s="104">
        <f t="shared" ref="D125:AG125" si="85">D118*D121</f>
        <v>0</v>
      </c>
      <c r="E125" s="104">
        <f t="shared" si="85"/>
        <v>0</v>
      </c>
      <c r="F125" s="104">
        <f t="shared" si="85"/>
        <v>0</v>
      </c>
      <c r="G125" s="104">
        <f t="shared" si="85"/>
        <v>0</v>
      </c>
      <c r="H125" s="104">
        <f t="shared" si="85"/>
        <v>0</v>
      </c>
      <c r="I125" s="104">
        <f t="shared" si="85"/>
        <v>0</v>
      </c>
      <c r="J125" s="104">
        <f t="shared" si="85"/>
        <v>0</v>
      </c>
      <c r="K125" s="104">
        <f t="shared" si="85"/>
        <v>0</v>
      </c>
      <c r="L125" s="104">
        <f t="shared" si="85"/>
        <v>0</v>
      </c>
      <c r="M125" s="104">
        <f t="shared" si="85"/>
        <v>0</v>
      </c>
      <c r="N125" s="104">
        <f t="shared" si="85"/>
        <v>0</v>
      </c>
      <c r="O125" s="104">
        <f t="shared" si="85"/>
        <v>0</v>
      </c>
      <c r="P125" s="104">
        <f t="shared" si="85"/>
        <v>0</v>
      </c>
      <c r="Q125" s="104">
        <f t="shared" si="85"/>
        <v>0</v>
      </c>
      <c r="R125" s="104">
        <f t="shared" si="85"/>
        <v>0</v>
      </c>
      <c r="S125" s="104">
        <f t="shared" si="85"/>
        <v>0</v>
      </c>
      <c r="T125" s="104">
        <f t="shared" si="85"/>
        <v>0</v>
      </c>
      <c r="U125" s="104">
        <f t="shared" si="85"/>
        <v>0</v>
      </c>
      <c r="V125" s="104">
        <f t="shared" si="85"/>
        <v>0</v>
      </c>
      <c r="W125" s="104">
        <f t="shared" si="85"/>
        <v>0</v>
      </c>
      <c r="X125" s="104">
        <f t="shared" si="85"/>
        <v>0</v>
      </c>
      <c r="Y125" s="104">
        <f t="shared" si="85"/>
        <v>0</v>
      </c>
      <c r="Z125" s="104">
        <f t="shared" si="85"/>
        <v>0</v>
      </c>
      <c r="AA125" s="104">
        <f t="shared" si="85"/>
        <v>0</v>
      </c>
      <c r="AB125" s="104">
        <f t="shared" si="85"/>
        <v>0</v>
      </c>
      <c r="AC125" s="104">
        <f t="shared" si="85"/>
        <v>0</v>
      </c>
      <c r="AD125" s="104">
        <f t="shared" si="85"/>
        <v>0</v>
      </c>
      <c r="AE125" s="104">
        <f t="shared" si="85"/>
        <v>0</v>
      </c>
      <c r="AF125" s="104">
        <f t="shared" si="85"/>
        <v>0</v>
      </c>
      <c r="AG125" s="104">
        <f t="shared" si="85"/>
        <v>0</v>
      </c>
      <c r="AJ125" s="198"/>
    </row>
    <row r="126" spans="1:63" outlineLevel="1">
      <c r="C126" s="104"/>
      <c r="D126" s="104"/>
      <c r="E126" s="104"/>
      <c r="F126" s="104"/>
      <c r="G126" s="104"/>
      <c r="H126" s="104"/>
      <c r="I126" s="104"/>
      <c r="J126" s="104"/>
      <c r="K126" s="104"/>
      <c r="L126" s="104"/>
      <c r="M126" s="104"/>
      <c r="N126" s="104"/>
      <c r="O126" s="104"/>
      <c r="P126" s="104"/>
      <c r="Q126" s="104"/>
      <c r="R126" s="104"/>
      <c r="S126" s="104"/>
      <c r="T126" s="104"/>
      <c r="U126" s="104"/>
      <c r="V126" s="104"/>
      <c r="W126" s="104"/>
      <c r="X126" s="104"/>
      <c r="Y126" s="104"/>
      <c r="Z126" s="104"/>
      <c r="AA126" s="104"/>
      <c r="AB126" s="104"/>
      <c r="AC126" s="104"/>
      <c r="AD126" s="104"/>
      <c r="AE126" s="104"/>
      <c r="AF126" s="104"/>
      <c r="AG126" s="104"/>
      <c r="AJ126" s="198"/>
    </row>
    <row r="127" spans="1:63" outlineLevel="1">
      <c r="A127" t="s">
        <v>1484</v>
      </c>
      <c r="C127" s="216">
        <f>('Overall recycling rates'!F87*'Yearly BTX'!D5+'Overall recycling rates'!G87*'Yearly BTX'!D6+'Overall recycling rates'!H87*'Yearly BTX'!D7)/'Yearly BTX'!D4</f>
        <v>1</v>
      </c>
      <c r="D127" s="216">
        <f>C127-($C127-$AG127)/($AG$1-$C$1)</f>
        <v>1</v>
      </c>
      <c r="E127" s="216">
        <f t="shared" ref="E127:AF127" si="86">D127-($C127-$AG127)/($AG$1-$C$1)</f>
        <v>1</v>
      </c>
      <c r="F127" s="216">
        <f t="shared" si="86"/>
        <v>1</v>
      </c>
      <c r="G127" s="216">
        <f t="shared" si="86"/>
        <v>1</v>
      </c>
      <c r="H127" s="216">
        <f t="shared" si="86"/>
        <v>1</v>
      </c>
      <c r="I127" s="216">
        <f t="shared" si="86"/>
        <v>1</v>
      </c>
      <c r="J127" s="216">
        <f t="shared" si="86"/>
        <v>1</v>
      </c>
      <c r="K127" s="216">
        <f t="shared" si="86"/>
        <v>1</v>
      </c>
      <c r="L127" s="216">
        <f t="shared" si="86"/>
        <v>1</v>
      </c>
      <c r="M127" s="216">
        <f t="shared" si="86"/>
        <v>1</v>
      </c>
      <c r="N127" s="216">
        <f t="shared" si="86"/>
        <v>1</v>
      </c>
      <c r="O127" s="216">
        <f t="shared" si="86"/>
        <v>1</v>
      </c>
      <c r="P127" s="216">
        <f t="shared" si="86"/>
        <v>1</v>
      </c>
      <c r="Q127" s="216">
        <f t="shared" si="86"/>
        <v>1</v>
      </c>
      <c r="R127" s="216">
        <f t="shared" si="86"/>
        <v>1</v>
      </c>
      <c r="S127" s="216">
        <f t="shared" si="86"/>
        <v>1</v>
      </c>
      <c r="T127" s="216">
        <f t="shared" si="86"/>
        <v>1</v>
      </c>
      <c r="U127" s="216">
        <f t="shared" si="86"/>
        <v>1</v>
      </c>
      <c r="V127" s="216">
        <f t="shared" si="86"/>
        <v>1</v>
      </c>
      <c r="W127" s="216">
        <f t="shared" si="86"/>
        <v>1</v>
      </c>
      <c r="X127" s="216">
        <f t="shared" si="86"/>
        <v>1</v>
      </c>
      <c r="Y127" s="216">
        <f t="shared" si="86"/>
        <v>1</v>
      </c>
      <c r="Z127" s="216">
        <f t="shared" si="86"/>
        <v>1</v>
      </c>
      <c r="AA127" s="216">
        <f t="shared" si="86"/>
        <v>1</v>
      </c>
      <c r="AB127" s="216">
        <f t="shared" si="86"/>
        <v>1</v>
      </c>
      <c r="AC127" s="216">
        <f t="shared" si="86"/>
        <v>1</v>
      </c>
      <c r="AD127" s="216">
        <f t="shared" si="86"/>
        <v>1</v>
      </c>
      <c r="AE127" s="216">
        <f t="shared" si="86"/>
        <v>1</v>
      </c>
      <c r="AF127" s="216">
        <f t="shared" si="86"/>
        <v>1</v>
      </c>
      <c r="AG127" s="216">
        <f>'Overall recycling rates'!F96</f>
        <v>1</v>
      </c>
      <c r="AI127" s="126"/>
      <c r="AJ127" s="198" t="s">
        <v>1081</v>
      </c>
      <c r="AL127" s="102"/>
      <c r="AM127" s="194"/>
      <c r="AN127" s="194"/>
      <c r="AO127" s="194"/>
      <c r="BC127" s="1"/>
      <c r="BD127" s="194"/>
      <c r="BE127" s="194"/>
      <c r="BF127" s="194"/>
      <c r="BG127" s="194"/>
      <c r="BH127" s="194"/>
      <c r="BI127" s="194"/>
      <c r="BJ127" s="194"/>
      <c r="BK127" s="194"/>
    </row>
    <row r="128" spans="1:63" outlineLevel="1">
      <c r="A128" t="s">
        <v>1492</v>
      </c>
      <c r="B128" s="51" t="s">
        <v>126</v>
      </c>
      <c r="C128" s="104">
        <f>C117*C$127</f>
        <v>0</v>
      </c>
      <c r="D128" s="104">
        <f>D117*D$96</f>
        <v>0</v>
      </c>
      <c r="E128" s="104">
        <f t="shared" ref="E128:AG128" si="87">E117*E$96</f>
        <v>0</v>
      </c>
      <c r="F128" s="104">
        <f t="shared" si="87"/>
        <v>0</v>
      </c>
      <c r="G128" s="104">
        <f t="shared" si="87"/>
        <v>0</v>
      </c>
      <c r="H128" s="104">
        <f t="shared" si="87"/>
        <v>0</v>
      </c>
      <c r="I128" s="104">
        <f t="shared" si="87"/>
        <v>0</v>
      </c>
      <c r="J128" s="104">
        <f t="shared" si="87"/>
        <v>0</v>
      </c>
      <c r="K128" s="104">
        <f t="shared" si="87"/>
        <v>0</v>
      </c>
      <c r="L128" s="104">
        <f t="shared" si="87"/>
        <v>0</v>
      </c>
      <c r="M128" s="104">
        <f t="shared" si="87"/>
        <v>0</v>
      </c>
      <c r="N128" s="104">
        <f t="shared" si="87"/>
        <v>0</v>
      </c>
      <c r="O128" s="104">
        <f t="shared" si="87"/>
        <v>0</v>
      </c>
      <c r="P128" s="104">
        <f t="shared" si="87"/>
        <v>0</v>
      </c>
      <c r="Q128" s="104">
        <f t="shared" si="87"/>
        <v>0</v>
      </c>
      <c r="R128" s="104">
        <f t="shared" si="87"/>
        <v>0</v>
      </c>
      <c r="S128" s="104">
        <f t="shared" si="87"/>
        <v>0</v>
      </c>
      <c r="T128" s="104">
        <f t="shared" si="87"/>
        <v>0</v>
      </c>
      <c r="U128" s="104">
        <f t="shared" si="87"/>
        <v>0</v>
      </c>
      <c r="V128" s="104">
        <f t="shared" si="87"/>
        <v>0</v>
      </c>
      <c r="W128" s="104">
        <f t="shared" si="87"/>
        <v>0</v>
      </c>
      <c r="X128" s="104">
        <f t="shared" si="87"/>
        <v>0</v>
      </c>
      <c r="Y128" s="104">
        <f t="shared" si="87"/>
        <v>0</v>
      </c>
      <c r="Z128" s="104">
        <f t="shared" si="87"/>
        <v>0</v>
      </c>
      <c r="AA128" s="104">
        <f t="shared" si="87"/>
        <v>0</v>
      </c>
      <c r="AB128" s="104">
        <f t="shared" si="87"/>
        <v>0</v>
      </c>
      <c r="AC128" s="104">
        <f t="shared" si="87"/>
        <v>0</v>
      </c>
      <c r="AD128" s="104">
        <f t="shared" si="87"/>
        <v>0</v>
      </c>
      <c r="AE128" s="104">
        <f t="shared" si="87"/>
        <v>0</v>
      </c>
      <c r="AF128" s="104">
        <f t="shared" si="87"/>
        <v>0</v>
      </c>
      <c r="AG128" s="104">
        <f t="shared" si="87"/>
        <v>0</v>
      </c>
      <c r="AI128" s="126"/>
      <c r="AJ128"/>
      <c r="AL128" s="102"/>
      <c r="AM128" s="2"/>
      <c r="AN128" s="2"/>
      <c r="AO128" s="2"/>
      <c r="AV128" s="38"/>
    </row>
    <row r="129" spans="1:63" outlineLevel="1">
      <c r="A129" t="s">
        <v>1493</v>
      </c>
      <c r="B129" s="51" t="s">
        <v>126</v>
      </c>
      <c r="C129" s="104">
        <f>C118*C$127</f>
        <v>0</v>
      </c>
      <c r="D129" s="104">
        <f t="shared" ref="D129:AG129" si="88">D115*D$96</f>
        <v>0</v>
      </c>
      <c r="E129" s="104">
        <f t="shared" si="88"/>
        <v>0</v>
      </c>
      <c r="F129" s="104">
        <f t="shared" si="88"/>
        <v>0</v>
      </c>
      <c r="G129" s="104">
        <f t="shared" si="88"/>
        <v>0</v>
      </c>
      <c r="H129" s="104">
        <f t="shared" si="88"/>
        <v>0</v>
      </c>
      <c r="I129" s="104">
        <f t="shared" si="88"/>
        <v>0</v>
      </c>
      <c r="J129" s="104">
        <f t="shared" si="88"/>
        <v>0</v>
      </c>
      <c r="K129" s="104">
        <f t="shared" si="88"/>
        <v>0</v>
      </c>
      <c r="L129" s="104">
        <f t="shared" si="88"/>
        <v>0</v>
      </c>
      <c r="M129" s="104">
        <f t="shared" si="88"/>
        <v>0</v>
      </c>
      <c r="N129" s="104">
        <f t="shared" si="88"/>
        <v>0</v>
      </c>
      <c r="O129" s="104">
        <f t="shared" si="88"/>
        <v>0</v>
      </c>
      <c r="P129" s="104">
        <f t="shared" si="88"/>
        <v>0</v>
      </c>
      <c r="Q129" s="104">
        <f t="shared" si="88"/>
        <v>0</v>
      </c>
      <c r="R129" s="104">
        <f t="shared" si="88"/>
        <v>0</v>
      </c>
      <c r="S129" s="104">
        <f t="shared" si="88"/>
        <v>0</v>
      </c>
      <c r="T129" s="104">
        <f t="shared" si="88"/>
        <v>0</v>
      </c>
      <c r="U129" s="104">
        <f t="shared" si="88"/>
        <v>0</v>
      </c>
      <c r="V129" s="104">
        <f t="shared" si="88"/>
        <v>0</v>
      </c>
      <c r="W129" s="104">
        <f t="shared" si="88"/>
        <v>0</v>
      </c>
      <c r="X129" s="104">
        <f t="shared" si="88"/>
        <v>0</v>
      </c>
      <c r="Y129" s="104">
        <f t="shared" si="88"/>
        <v>0</v>
      </c>
      <c r="Z129" s="104">
        <f t="shared" si="88"/>
        <v>0</v>
      </c>
      <c r="AA129" s="104">
        <f t="shared" si="88"/>
        <v>0</v>
      </c>
      <c r="AB129" s="104">
        <f t="shared" si="88"/>
        <v>0</v>
      </c>
      <c r="AC129" s="104">
        <f t="shared" si="88"/>
        <v>0</v>
      </c>
      <c r="AD129" s="104">
        <f t="shared" si="88"/>
        <v>0</v>
      </c>
      <c r="AE129" s="104">
        <f t="shared" si="88"/>
        <v>0</v>
      </c>
      <c r="AF129" s="104">
        <f t="shared" si="88"/>
        <v>0</v>
      </c>
      <c r="AG129" s="104">
        <f t="shared" si="88"/>
        <v>0</v>
      </c>
      <c r="AH129" s="230"/>
      <c r="AI129" s="126"/>
      <c r="AJ129" s="198"/>
      <c r="AL129" s="102"/>
      <c r="AM129" s="2"/>
      <c r="AN129" s="2"/>
      <c r="AO129" s="2"/>
      <c r="AV129" s="38"/>
    </row>
    <row r="130" spans="1:63" outlineLevel="1">
      <c r="A130" t="s">
        <v>1494</v>
      </c>
      <c r="B130" s="165" t="s">
        <v>126</v>
      </c>
      <c r="C130" s="104">
        <f>SUM(C128:C129)</f>
        <v>0</v>
      </c>
      <c r="D130" s="104">
        <f t="shared" ref="D130:AG130" si="89">SUM(D128:D129)</f>
        <v>0</v>
      </c>
      <c r="E130" s="104">
        <f t="shared" si="89"/>
        <v>0</v>
      </c>
      <c r="F130" s="104">
        <f t="shared" si="89"/>
        <v>0</v>
      </c>
      <c r="G130" s="104">
        <f t="shared" si="89"/>
        <v>0</v>
      </c>
      <c r="H130" s="104">
        <f t="shared" si="89"/>
        <v>0</v>
      </c>
      <c r="I130" s="104">
        <f t="shared" si="89"/>
        <v>0</v>
      </c>
      <c r="J130" s="104">
        <f t="shared" si="89"/>
        <v>0</v>
      </c>
      <c r="K130" s="104">
        <f t="shared" si="89"/>
        <v>0</v>
      </c>
      <c r="L130" s="104">
        <f t="shared" si="89"/>
        <v>0</v>
      </c>
      <c r="M130" s="104">
        <f t="shared" si="89"/>
        <v>0</v>
      </c>
      <c r="N130" s="104">
        <f t="shared" si="89"/>
        <v>0</v>
      </c>
      <c r="O130" s="104">
        <f t="shared" si="89"/>
        <v>0</v>
      </c>
      <c r="P130" s="104">
        <f t="shared" si="89"/>
        <v>0</v>
      </c>
      <c r="Q130" s="104">
        <f t="shared" si="89"/>
        <v>0</v>
      </c>
      <c r="R130" s="104">
        <f t="shared" si="89"/>
        <v>0</v>
      </c>
      <c r="S130" s="104">
        <f t="shared" si="89"/>
        <v>0</v>
      </c>
      <c r="T130" s="104">
        <f t="shared" si="89"/>
        <v>0</v>
      </c>
      <c r="U130" s="104">
        <f t="shared" si="89"/>
        <v>0</v>
      </c>
      <c r="V130" s="104">
        <f t="shared" si="89"/>
        <v>0</v>
      </c>
      <c r="W130" s="104">
        <f t="shared" si="89"/>
        <v>0</v>
      </c>
      <c r="X130" s="104">
        <f t="shared" si="89"/>
        <v>0</v>
      </c>
      <c r="Y130" s="104">
        <f t="shared" si="89"/>
        <v>0</v>
      </c>
      <c r="Z130" s="104">
        <f t="shared" si="89"/>
        <v>0</v>
      </c>
      <c r="AA130" s="104">
        <f t="shared" si="89"/>
        <v>0</v>
      </c>
      <c r="AB130" s="104">
        <f t="shared" si="89"/>
        <v>0</v>
      </c>
      <c r="AC130" s="104">
        <f t="shared" si="89"/>
        <v>0</v>
      </c>
      <c r="AD130" s="104">
        <f t="shared" si="89"/>
        <v>0</v>
      </c>
      <c r="AE130" s="104">
        <f t="shared" si="89"/>
        <v>0</v>
      </c>
      <c r="AF130" s="104">
        <f t="shared" si="89"/>
        <v>0</v>
      </c>
      <c r="AG130" s="104">
        <f t="shared" si="89"/>
        <v>0</v>
      </c>
      <c r="AI130" s="126"/>
      <c r="AJ130" s="198"/>
      <c r="AL130" s="102"/>
      <c r="AM130" s="2"/>
      <c r="AN130" s="2"/>
      <c r="AO130" s="2"/>
    </row>
    <row r="131" spans="1:63" outlineLevel="1">
      <c r="A131" t="s">
        <v>1498</v>
      </c>
      <c r="B131" s="51" t="s">
        <v>126</v>
      </c>
      <c r="C131" s="104">
        <f>C120*C129</f>
        <v>0</v>
      </c>
      <c r="D131" s="104">
        <f t="shared" ref="D131:AG131" si="90">D117*D129</f>
        <v>0</v>
      </c>
      <c r="E131" s="104">
        <f t="shared" si="90"/>
        <v>0</v>
      </c>
      <c r="F131" s="104">
        <f t="shared" si="90"/>
        <v>0</v>
      </c>
      <c r="G131" s="104">
        <f t="shared" si="90"/>
        <v>0</v>
      </c>
      <c r="H131" s="104">
        <f t="shared" si="90"/>
        <v>0</v>
      </c>
      <c r="I131" s="104">
        <f t="shared" si="90"/>
        <v>0</v>
      </c>
      <c r="J131" s="104">
        <f t="shared" si="90"/>
        <v>0</v>
      </c>
      <c r="K131" s="104">
        <f t="shared" si="90"/>
        <v>0</v>
      </c>
      <c r="L131" s="104">
        <f t="shared" si="90"/>
        <v>0</v>
      </c>
      <c r="M131" s="104">
        <f t="shared" si="90"/>
        <v>0</v>
      </c>
      <c r="N131" s="104">
        <f t="shared" si="90"/>
        <v>0</v>
      </c>
      <c r="O131" s="104">
        <f t="shared" si="90"/>
        <v>0</v>
      </c>
      <c r="P131" s="104">
        <f t="shared" si="90"/>
        <v>0</v>
      </c>
      <c r="Q131" s="104">
        <f t="shared" si="90"/>
        <v>0</v>
      </c>
      <c r="R131" s="104">
        <f t="shared" si="90"/>
        <v>0</v>
      </c>
      <c r="S131" s="104">
        <f t="shared" si="90"/>
        <v>0</v>
      </c>
      <c r="T131" s="104">
        <f t="shared" si="90"/>
        <v>0</v>
      </c>
      <c r="U131" s="104">
        <f t="shared" si="90"/>
        <v>0</v>
      </c>
      <c r="V131" s="104">
        <f t="shared" si="90"/>
        <v>0</v>
      </c>
      <c r="W131" s="104">
        <f t="shared" si="90"/>
        <v>0</v>
      </c>
      <c r="X131" s="104">
        <f t="shared" si="90"/>
        <v>0</v>
      </c>
      <c r="Y131" s="104">
        <f t="shared" si="90"/>
        <v>0</v>
      </c>
      <c r="Z131" s="104">
        <f t="shared" si="90"/>
        <v>0</v>
      </c>
      <c r="AA131" s="104">
        <f t="shared" si="90"/>
        <v>0</v>
      </c>
      <c r="AB131" s="104">
        <f t="shared" si="90"/>
        <v>0</v>
      </c>
      <c r="AC131" s="104">
        <f t="shared" si="90"/>
        <v>0</v>
      </c>
      <c r="AD131" s="104">
        <f t="shared" si="90"/>
        <v>0</v>
      </c>
      <c r="AE131" s="104">
        <f t="shared" si="90"/>
        <v>0</v>
      </c>
      <c r="AF131" s="104">
        <f t="shared" si="90"/>
        <v>0</v>
      </c>
      <c r="AG131" s="104">
        <f t="shared" si="90"/>
        <v>0</v>
      </c>
      <c r="AI131" s="126"/>
      <c r="AJ131" s="198"/>
      <c r="BD131" s="190"/>
      <c r="BE131" s="190"/>
    </row>
    <row r="132" spans="1:63" outlineLevel="1">
      <c r="A132" t="s">
        <v>1499</v>
      </c>
      <c r="B132" s="51" t="s">
        <v>126</v>
      </c>
      <c r="C132" s="104">
        <f>C121*C129</f>
        <v>0</v>
      </c>
      <c r="D132" s="104">
        <f t="shared" ref="D132:AG132" si="91">D119*D129</f>
        <v>0</v>
      </c>
      <c r="E132" s="104">
        <f t="shared" si="91"/>
        <v>0</v>
      </c>
      <c r="F132" s="104">
        <f t="shared" si="91"/>
        <v>0</v>
      </c>
      <c r="G132" s="104">
        <f t="shared" si="91"/>
        <v>0</v>
      </c>
      <c r="H132" s="104">
        <f t="shared" si="91"/>
        <v>0</v>
      </c>
      <c r="I132" s="104">
        <f t="shared" si="91"/>
        <v>0</v>
      </c>
      <c r="J132" s="104">
        <f t="shared" si="91"/>
        <v>0</v>
      </c>
      <c r="K132" s="104">
        <f t="shared" si="91"/>
        <v>0</v>
      </c>
      <c r="L132" s="104">
        <f t="shared" si="91"/>
        <v>0</v>
      </c>
      <c r="M132" s="104">
        <f t="shared" si="91"/>
        <v>0</v>
      </c>
      <c r="N132" s="104">
        <f t="shared" si="91"/>
        <v>0</v>
      </c>
      <c r="O132" s="104">
        <f t="shared" si="91"/>
        <v>0</v>
      </c>
      <c r="P132" s="104">
        <f t="shared" si="91"/>
        <v>0</v>
      </c>
      <c r="Q132" s="104">
        <f t="shared" si="91"/>
        <v>0</v>
      </c>
      <c r="R132" s="104">
        <f t="shared" si="91"/>
        <v>0</v>
      </c>
      <c r="S132" s="104">
        <f t="shared" si="91"/>
        <v>0</v>
      </c>
      <c r="T132" s="104">
        <f t="shared" si="91"/>
        <v>0</v>
      </c>
      <c r="U132" s="104">
        <f t="shared" si="91"/>
        <v>0</v>
      </c>
      <c r="V132" s="104">
        <f t="shared" si="91"/>
        <v>0</v>
      </c>
      <c r="W132" s="104">
        <f t="shared" si="91"/>
        <v>0</v>
      </c>
      <c r="X132" s="104">
        <f t="shared" si="91"/>
        <v>0</v>
      </c>
      <c r="Y132" s="104">
        <f t="shared" si="91"/>
        <v>0</v>
      </c>
      <c r="Z132" s="104">
        <f t="shared" si="91"/>
        <v>0</v>
      </c>
      <c r="AA132" s="104">
        <f t="shared" si="91"/>
        <v>0</v>
      </c>
      <c r="AB132" s="104">
        <f t="shared" si="91"/>
        <v>0</v>
      </c>
      <c r="AC132" s="104">
        <f t="shared" si="91"/>
        <v>0</v>
      </c>
      <c r="AD132" s="104">
        <f t="shared" si="91"/>
        <v>0</v>
      </c>
      <c r="AE132" s="104">
        <f t="shared" si="91"/>
        <v>0</v>
      </c>
      <c r="AF132" s="104">
        <f t="shared" si="91"/>
        <v>0</v>
      </c>
      <c r="AG132" s="104">
        <f t="shared" si="91"/>
        <v>0</v>
      </c>
      <c r="AI132" s="127"/>
      <c r="AJ132" s="198"/>
      <c r="BC132" s="1"/>
      <c r="BD132" s="38"/>
      <c r="BF132" s="6"/>
      <c r="BG132" s="6"/>
      <c r="BH132" s="6"/>
      <c r="BI132" s="6"/>
      <c r="BJ132" s="6"/>
    </row>
    <row r="133" spans="1:63" outlineLevel="1">
      <c r="C133" s="104"/>
      <c r="D133" s="104"/>
      <c r="E133" s="104"/>
      <c r="F133" s="104"/>
      <c r="G133" s="104"/>
      <c r="H133" s="104"/>
      <c r="I133" s="104"/>
      <c r="J133" s="104"/>
      <c r="K133" s="104"/>
      <c r="L133" s="104"/>
      <c r="M133" s="104"/>
      <c r="N133" s="104"/>
      <c r="O133" s="104"/>
      <c r="P133" s="104"/>
      <c r="Q133" s="104"/>
      <c r="R133" s="104"/>
      <c r="S133" s="104"/>
      <c r="T133" s="104"/>
      <c r="U133" s="104"/>
      <c r="V133" s="104"/>
      <c r="W133" s="104"/>
      <c r="X133" s="104"/>
      <c r="Y133" s="104"/>
      <c r="Z133" s="104"/>
      <c r="AA133" s="104"/>
      <c r="AB133" s="104"/>
      <c r="AC133" s="104"/>
      <c r="AD133" s="104"/>
      <c r="AE133" s="104"/>
      <c r="AF133" s="104"/>
      <c r="AG133" s="104"/>
      <c r="AI133" s="127"/>
      <c r="AJ133" s="198"/>
      <c r="BC133" s="1"/>
      <c r="BD133" s="38"/>
      <c r="BF133" s="6"/>
      <c r="BG133" s="6"/>
      <c r="BH133" s="6"/>
      <c r="BI133" s="6"/>
      <c r="BJ133" s="6"/>
    </row>
    <row r="134" spans="1:63" s="1" customFormat="1" outlineLevel="1">
      <c r="A134" s="1" t="s">
        <v>261</v>
      </c>
      <c r="B134" s="61"/>
      <c r="C134" s="279">
        <f t="shared" ref="C134:AG134" si="92">C128*C42</f>
        <v>0</v>
      </c>
      <c r="D134" s="279">
        <f t="shared" si="92"/>
        <v>0</v>
      </c>
      <c r="E134" s="279">
        <f t="shared" si="92"/>
        <v>0</v>
      </c>
      <c r="F134" s="279">
        <f t="shared" si="92"/>
        <v>0</v>
      </c>
      <c r="G134" s="279">
        <f t="shared" si="92"/>
        <v>0</v>
      </c>
      <c r="H134" s="279">
        <f t="shared" si="92"/>
        <v>0</v>
      </c>
      <c r="I134" s="279">
        <f t="shared" si="92"/>
        <v>0</v>
      </c>
      <c r="J134" s="279">
        <f t="shared" si="92"/>
        <v>0</v>
      </c>
      <c r="K134" s="279">
        <f t="shared" si="92"/>
        <v>0</v>
      </c>
      <c r="L134" s="279">
        <f t="shared" si="92"/>
        <v>0</v>
      </c>
      <c r="M134" s="279">
        <f t="shared" si="92"/>
        <v>0</v>
      </c>
      <c r="N134" s="279">
        <f t="shared" si="92"/>
        <v>0</v>
      </c>
      <c r="O134" s="279">
        <f t="shared" si="92"/>
        <v>0</v>
      </c>
      <c r="P134" s="279">
        <f t="shared" si="92"/>
        <v>0</v>
      </c>
      <c r="Q134" s="279">
        <f t="shared" si="92"/>
        <v>0</v>
      </c>
      <c r="R134" s="279">
        <f t="shared" si="92"/>
        <v>0</v>
      </c>
      <c r="S134" s="279">
        <f t="shared" si="92"/>
        <v>0</v>
      </c>
      <c r="T134" s="279">
        <f t="shared" si="92"/>
        <v>0</v>
      </c>
      <c r="U134" s="279">
        <f t="shared" si="92"/>
        <v>0</v>
      </c>
      <c r="V134" s="279">
        <f t="shared" si="92"/>
        <v>0</v>
      </c>
      <c r="W134" s="279">
        <f t="shared" si="92"/>
        <v>0</v>
      </c>
      <c r="X134" s="279">
        <f t="shared" si="92"/>
        <v>0</v>
      </c>
      <c r="Y134" s="279">
        <f t="shared" si="92"/>
        <v>0</v>
      </c>
      <c r="Z134" s="279">
        <f t="shared" si="92"/>
        <v>0</v>
      </c>
      <c r="AA134" s="279">
        <f t="shared" si="92"/>
        <v>0</v>
      </c>
      <c r="AB134" s="279">
        <f t="shared" si="92"/>
        <v>0</v>
      </c>
      <c r="AC134" s="279">
        <f t="shared" si="92"/>
        <v>0</v>
      </c>
      <c r="AD134" s="279">
        <f t="shared" si="92"/>
        <v>0</v>
      </c>
      <c r="AE134" s="279">
        <f t="shared" si="92"/>
        <v>0</v>
      </c>
      <c r="AF134" s="279">
        <f t="shared" si="92"/>
        <v>0</v>
      </c>
      <c r="AG134" s="279">
        <f t="shared" si="92"/>
        <v>0</v>
      </c>
      <c r="AH134" s="230"/>
      <c r="AI134" s="398"/>
      <c r="AJ134" s="399"/>
      <c r="AL134" s="207"/>
      <c r="AM134" s="118"/>
      <c r="AN134" s="118"/>
      <c r="AO134" s="118"/>
      <c r="BD134" s="118"/>
      <c r="BE134" s="118"/>
      <c r="BF134" s="118"/>
      <c r="BG134" s="118"/>
      <c r="BH134" s="118"/>
      <c r="BI134" s="118"/>
      <c r="BJ134" s="118"/>
      <c r="BK134" s="118"/>
    </row>
    <row r="135" spans="1:63" s="1" customFormat="1" outlineLevel="1">
      <c r="A135" s="1" t="s">
        <v>1160</v>
      </c>
      <c r="B135" s="61"/>
      <c r="C135" s="279">
        <f t="shared" ref="C135:AG135" si="93">C134-$C134</f>
        <v>0</v>
      </c>
      <c r="D135" s="279">
        <f t="shared" si="93"/>
        <v>0</v>
      </c>
      <c r="E135" s="279">
        <f t="shared" si="93"/>
        <v>0</v>
      </c>
      <c r="F135" s="279">
        <f t="shared" si="93"/>
        <v>0</v>
      </c>
      <c r="G135" s="279">
        <f t="shared" si="93"/>
        <v>0</v>
      </c>
      <c r="H135" s="279">
        <f t="shared" si="93"/>
        <v>0</v>
      </c>
      <c r="I135" s="279">
        <f t="shared" si="93"/>
        <v>0</v>
      </c>
      <c r="J135" s="279">
        <f t="shared" si="93"/>
        <v>0</v>
      </c>
      <c r="K135" s="279">
        <f t="shared" si="93"/>
        <v>0</v>
      </c>
      <c r="L135" s="279">
        <f t="shared" si="93"/>
        <v>0</v>
      </c>
      <c r="M135" s="279">
        <f t="shared" si="93"/>
        <v>0</v>
      </c>
      <c r="N135" s="279">
        <f t="shared" si="93"/>
        <v>0</v>
      </c>
      <c r="O135" s="279">
        <f t="shared" si="93"/>
        <v>0</v>
      </c>
      <c r="P135" s="279">
        <f t="shared" si="93"/>
        <v>0</v>
      </c>
      <c r="Q135" s="279">
        <f t="shared" si="93"/>
        <v>0</v>
      </c>
      <c r="R135" s="279">
        <f t="shared" si="93"/>
        <v>0</v>
      </c>
      <c r="S135" s="279">
        <f t="shared" si="93"/>
        <v>0</v>
      </c>
      <c r="T135" s="279">
        <f t="shared" si="93"/>
        <v>0</v>
      </c>
      <c r="U135" s="279">
        <f t="shared" si="93"/>
        <v>0</v>
      </c>
      <c r="V135" s="279">
        <f t="shared" si="93"/>
        <v>0</v>
      </c>
      <c r="W135" s="279">
        <f t="shared" si="93"/>
        <v>0</v>
      </c>
      <c r="X135" s="279">
        <f t="shared" si="93"/>
        <v>0</v>
      </c>
      <c r="Y135" s="279">
        <f t="shared" si="93"/>
        <v>0</v>
      </c>
      <c r="Z135" s="279">
        <f t="shared" si="93"/>
        <v>0</v>
      </c>
      <c r="AA135" s="279">
        <f t="shared" si="93"/>
        <v>0</v>
      </c>
      <c r="AB135" s="279">
        <f t="shared" si="93"/>
        <v>0</v>
      </c>
      <c r="AC135" s="279">
        <f t="shared" si="93"/>
        <v>0</v>
      </c>
      <c r="AD135" s="279">
        <f t="shared" si="93"/>
        <v>0</v>
      </c>
      <c r="AE135" s="279">
        <f t="shared" si="93"/>
        <v>0</v>
      </c>
      <c r="AF135" s="279">
        <f t="shared" si="93"/>
        <v>0</v>
      </c>
      <c r="AG135" s="279">
        <f t="shared" si="93"/>
        <v>0</v>
      </c>
      <c r="AH135" s="230"/>
      <c r="AI135" s="398"/>
      <c r="AJ135" s="399"/>
      <c r="AL135" s="207"/>
      <c r="AM135" s="118"/>
      <c r="AN135" s="118"/>
      <c r="AO135" s="118"/>
      <c r="BD135" s="118"/>
      <c r="BE135" s="118"/>
      <c r="BF135" s="118"/>
      <c r="BG135" s="118"/>
      <c r="BH135" s="118"/>
      <c r="BI135" s="118"/>
      <c r="BJ135" s="118"/>
      <c r="BK135" s="118"/>
    </row>
    <row r="136" spans="1:63" s="1" customFormat="1" outlineLevel="1">
      <c r="A136" s="1" t="s">
        <v>1163</v>
      </c>
      <c r="B136" s="61"/>
      <c r="C136" s="279">
        <f t="shared" ref="C136:AG136" si="94">C128*C42</f>
        <v>0</v>
      </c>
      <c r="D136" s="279">
        <f t="shared" si="94"/>
        <v>0</v>
      </c>
      <c r="E136" s="279">
        <f t="shared" si="94"/>
        <v>0</v>
      </c>
      <c r="F136" s="279">
        <f t="shared" si="94"/>
        <v>0</v>
      </c>
      <c r="G136" s="279">
        <f t="shared" si="94"/>
        <v>0</v>
      </c>
      <c r="H136" s="279">
        <f t="shared" si="94"/>
        <v>0</v>
      </c>
      <c r="I136" s="279">
        <f t="shared" si="94"/>
        <v>0</v>
      </c>
      <c r="J136" s="279">
        <f t="shared" si="94"/>
        <v>0</v>
      </c>
      <c r="K136" s="279">
        <f t="shared" si="94"/>
        <v>0</v>
      </c>
      <c r="L136" s="279">
        <f t="shared" si="94"/>
        <v>0</v>
      </c>
      <c r="M136" s="279">
        <f t="shared" si="94"/>
        <v>0</v>
      </c>
      <c r="N136" s="279">
        <f t="shared" si="94"/>
        <v>0</v>
      </c>
      <c r="O136" s="279">
        <f t="shared" si="94"/>
        <v>0</v>
      </c>
      <c r="P136" s="279">
        <f t="shared" si="94"/>
        <v>0</v>
      </c>
      <c r="Q136" s="279">
        <f t="shared" si="94"/>
        <v>0</v>
      </c>
      <c r="R136" s="279">
        <f t="shared" si="94"/>
        <v>0</v>
      </c>
      <c r="S136" s="279">
        <f t="shared" si="94"/>
        <v>0</v>
      </c>
      <c r="T136" s="279">
        <f t="shared" si="94"/>
        <v>0</v>
      </c>
      <c r="U136" s="279">
        <f t="shared" si="94"/>
        <v>0</v>
      </c>
      <c r="V136" s="279">
        <f t="shared" si="94"/>
        <v>0</v>
      </c>
      <c r="W136" s="279">
        <f t="shared" si="94"/>
        <v>0</v>
      </c>
      <c r="X136" s="279">
        <f t="shared" si="94"/>
        <v>0</v>
      </c>
      <c r="Y136" s="279">
        <f t="shared" si="94"/>
        <v>0</v>
      </c>
      <c r="Z136" s="279">
        <f t="shared" si="94"/>
        <v>0</v>
      </c>
      <c r="AA136" s="279">
        <f t="shared" si="94"/>
        <v>0</v>
      </c>
      <c r="AB136" s="279">
        <f t="shared" si="94"/>
        <v>0</v>
      </c>
      <c r="AC136" s="279">
        <f t="shared" si="94"/>
        <v>0</v>
      </c>
      <c r="AD136" s="279">
        <f t="shared" si="94"/>
        <v>0</v>
      </c>
      <c r="AE136" s="279">
        <f t="shared" si="94"/>
        <v>0</v>
      </c>
      <c r="AF136" s="279">
        <f t="shared" si="94"/>
        <v>0</v>
      </c>
      <c r="AG136" s="279">
        <f t="shared" si="94"/>
        <v>0</v>
      </c>
      <c r="AH136" s="230"/>
      <c r="AI136" s="398"/>
      <c r="AJ136" s="399"/>
      <c r="AL136" s="207"/>
      <c r="AM136" s="118"/>
      <c r="AN136" s="118"/>
      <c r="AO136" s="118"/>
      <c r="BD136" s="118"/>
      <c r="BE136" s="118"/>
      <c r="BF136" s="118"/>
      <c r="BG136" s="118"/>
      <c r="BH136" s="118"/>
      <c r="BI136" s="118"/>
      <c r="BJ136" s="118"/>
      <c r="BK136" s="118"/>
    </row>
    <row r="137" spans="1:63" s="1" customFormat="1" outlineLevel="1">
      <c r="A137" s="1" t="s">
        <v>1166</v>
      </c>
      <c r="B137" s="61"/>
      <c r="C137" s="279">
        <f t="shared" ref="C137:AG137" si="95">C136-$C136</f>
        <v>0</v>
      </c>
      <c r="D137" s="279">
        <f t="shared" si="95"/>
        <v>0</v>
      </c>
      <c r="E137" s="279">
        <f t="shared" si="95"/>
        <v>0</v>
      </c>
      <c r="F137" s="279">
        <f t="shared" si="95"/>
        <v>0</v>
      </c>
      <c r="G137" s="279">
        <f t="shared" si="95"/>
        <v>0</v>
      </c>
      <c r="H137" s="279">
        <f t="shared" si="95"/>
        <v>0</v>
      </c>
      <c r="I137" s="279">
        <f t="shared" si="95"/>
        <v>0</v>
      </c>
      <c r="J137" s="279">
        <f t="shared" si="95"/>
        <v>0</v>
      </c>
      <c r="K137" s="279">
        <f t="shared" si="95"/>
        <v>0</v>
      </c>
      <c r="L137" s="279">
        <f t="shared" si="95"/>
        <v>0</v>
      </c>
      <c r="M137" s="279">
        <f t="shared" si="95"/>
        <v>0</v>
      </c>
      <c r="N137" s="279">
        <f t="shared" si="95"/>
        <v>0</v>
      </c>
      <c r="O137" s="279">
        <f t="shared" si="95"/>
        <v>0</v>
      </c>
      <c r="P137" s="279">
        <f t="shared" si="95"/>
        <v>0</v>
      </c>
      <c r="Q137" s="279">
        <f t="shared" si="95"/>
        <v>0</v>
      </c>
      <c r="R137" s="279">
        <f t="shared" si="95"/>
        <v>0</v>
      </c>
      <c r="S137" s="279">
        <f t="shared" si="95"/>
        <v>0</v>
      </c>
      <c r="T137" s="279">
        <f t="shared" si="95"/>
        <v>0</v>
      </c>
      <c r="U137" s="279">
        <f t="shared" si="95"/>
        <v>0</v>
      </c>
      <c r="V137" s="279">
        <f t="shared" si="95"/>
        <v>0</v>
      </c>
      <c r="W137" s="279">
        <f t="shared" si="95"/>
        <v>0</v>
      </c>
      <c r="X137" s="279">
        <f t="shared" si="95"/>
        <v>0</v>
      </c>
      <c r="Y137" s="279">
        <f t="shared" si="95"/>
        <v>0</v>
      </c>
      <c r="Z137" s="279">
        <f t="shared" si="95"/>
        <v>0</v>
      </c>
      <c r="AA137" s="279">
        <f t="shared" si="95"/>
        <v>0</v>
      </c>
      <c r="AB137" s="279">
        <f t="shared" si="95"/>
        <v>0</v>
      </c>
      <c r="AC137" s="279">
        <f t="shared" si="95"/>
        <v>0</v>
      </c>
      <c r="AD137" s="279">
        <f t="shared" si="95"/>
        <v>0</v>
      </c>
      <c r="AE137" s="279">
        <f t="shared" si="95"/>
        <v>0</v>
      </c>
      <c r="AF137" s="279">
        <f t="shared" si="95"/>
        <v>0</v>
      </c>
      <c r="AG137" s="279">
        <f t="shared" si="95"/>
        <v>0</v>
      </c>
      <c r="AH137" s="230"/>
      <c r="AI137" s="398"/>
      <c r="AJ137" s="399"/>
      <c r="AL137" s="207"/>
      <c r="AM137" s="118"/>
      <c r="AN137" s="118"/>
      <c r="AO137" s="118"/>
      <c r="BD137" s="118"/>
      <c r="BE137" s="118"/>
      <c r="BF137" s="118"/>
      <c r="BG137" s="118"/>
      <c r="BH137" s="118"/>
      <c r="BI137" s="118"/>
      <c r="BJ137" s="118"/>
      <c r="BK137" s="118"/>
    </row>
    <row r="138" spans="1:63" s="1" customFormat="1" outlineLevel="1">
      <c r="A138" s="1" t="s">
        <v>1400</v>
      </c>
      <c r="B138" s="61"/>
      <c r="C138" s="279">
        <f t="shared" ref="C138:AG138" si="96">C128*C42</f>
        <v>0</v>
      </c>
      <c r="D138" s="279">
        <f t="shared" si="96"/>
        <v>0</v>
      </c>
      <c r="E138" s="279">
        <f t="shared" si="96"/>
        <v>0</v>
      </c>
      <c r="F138" s="279">
        <f t="shared" si="96"/>
        <v>0</v>
      </c>
      <c r="G138" s="279">
        <f t="shared" si="96"/>
        <v>0</v>
      </c>
      <c r="H138" s="279">
        <f t="shared" si="96"/>
        <v>0</v>
      </c>
      <c r="I138" s="279">
        <f t="shared" si="96"/>
        <v>0</v>
      </c>
      <c r="J138" s="279">
        <f t="shared" si="96"/>
        <v>0</v>
      </c>
      <c r="K138" s="279">
        <f t="shared" si="96"/>
        <v>0</v>
      </c>
      <c r="L138" s="279">
        <f t="shared" si="96"/>
        <v>0</v>
      </c>
      <c r="M138" s="279">
        <f t="shared" si="96"/>
        <v>0</v>
      </c>
      <c r="N138" s="279">
        <f t="shared" si="96"/>
        <v>0</v>
      </c>
      <c r="O138" s="279">
        <f t="shared" si="96"/>
        <v>0</v>
      </c>
      <c r="P138" s="279">
        <f t="shared" si="96"/>
        <v>0</v>
      </c>
      <c r="Q138" s="279">
        <f t="shared" si="96"/>
        <v>0</v>
      </c>
      <c r="R138" s="279">
        <f t="shared" si="96"/>
        <v>0</v>
      </c>
      <c r="S138" s="279">
        <f t="shared" si="96"/>
        <v>0</v>
      </c>
      <c r="T138" s="279">
        <f t="shared" si="96"/>
        <v>0</v>
      </c>
      <c r="U138" s="279">
        <f t="shared" si="96"/>
        <v>0</v>
      </c>
      <c r="V138" s="279">
        <f t="shared" si="96"/>
        <v>0</v>
      </c>
      <c r="W138" s="279">
        <f t="shared" si="96"/>
        <v>0</v>
      </c>
      <c r="X138" s="279">
        <f t="shared" si="96"/>
        <v>0</v>
      </c>
      <c r="Y138" s="279">
        <f t="shared" si="96"/>
        <v>0</v>
      </c>
      <c r="Z138" s="279">
        <f t="shared" si="96"/>
        <v>0</v>
      </c>
      <c r="AA138" s="279">
        <f t="shared" si="96"/>
        <v>0</v>
      </c>
      <c r="AB138" s="279">
        <f t="shared" si="96"/>
        <v>0</v>
      </c>
      <c r="AC138" s="279">
        <f t="shared" si="96"/>
        <v>0</v>
      </c>
      <c r="AD138" s="279">
        <f t="shared" si="96"/>
        <v>0</v>
      </c>
      <c r="AE138" s="279">
        <f t="shared" si="96"/>
        <v>0</v>
      </c>
      <c r="AF138" s="279">
        <f t="shared" si="96"/>
        <v>0</v>
      </c>
      <c r="AG138" s="279">
        <f t="shared" si="96"/>
        <v>0</v>
      </c>
      <c r="AH138" s="230"/>
      <c r="AI138" s="398"/>
      <c r="AJ138" s="399"/>
      <c r="AL138" s="207"/>
      <c r="AM138" s="118"/>
      <c r="AN138" s="118"/>
      <c r="AO138" s="118"/>
      <c r="BD138" s="118"/>
      <c r="BE138" s="118"/>
      <c r="BF138" s="118"/>
      <c r="BG138" s="118"/>
      <c r="BH138" s="118"/>
      <c r="BI138" s="118"/>
      <c r="BJ138" s="118"/>
      <c r="BK138" s="118"/>
    </row>
    <row r="139" spans="1:63" s="1" customFormat="1" outlineLevel="1">
      <c r="A139" s="1" t="s">
        <v>1401</v>
      </c>
      <c r="B139" s="61"/>
      <c r="C139" s="279">
        <f t="shared" ref="C139:AG139" si="97">C138-$C138</f>
        <v>0</v>
      </c>
      <c r="D139" s="279">
        <f t="shared" si="97"/>
        <v>0</v>
      </c>
      <c r="E139" s="279">
        <f t="shared" si="97"/>
        <v>0</v>
      </c>
      <c r="F139" s="279">
        <f t="shared" si="97"/>
        <v>0</v>
      </c>
      <c r="G139" s="279">
        <f t="shared" si="97"/>
        <v>0</v>
      </c>
      <c r="H139" s="279">
        <f t="shared" si="97"/>
        <v>0</v>
      </c>
      <c r="I139" s="279">
        <f t="shared" si="97"/>
        <v>0</v>
      </c>
      <c r="J139" s="279">
        <f t="shared" si="97"/>
        <v>0</v>
      </c>
      <c r="K139" s="279">
        <f t="shared" si="97"/>
        <v>0</v>
      </c>
      <c r="L139" s="279">
        <f t="shared" si="97"/>
        <v>0</v>
      </c>
      <c r="M139" s="279">
        <f t="shared" si="97"/>
        <v>0</v>
      </c>
      <c r="N139" s="279">
        <f t="shared" si="97"/>
        <v>0</v>
      </c>
      <c r="O139" s="279">
        <f t="shared" si="97"/>
        <v>0</v>
      </c>
      <c r="P139" s="279">
        <f t="shared" si="97"/>
        <v>0</v>
      </c>
      <c r="Q139" s="279">
        <f t="shared" si="97"/>
        <v>0</v>
      </c>
      <c r="R139" s="279">
        <f t="shared" si="97"/>
        <v>0</v>
      </c>
      <c r="S139" s="279">
        <f t="shared" si="97"/>
        <v>0</v>
      </c>
      <c r="T139" s="279">
        <f t="shared" si="97"/>
        <v>0</v>
      </c>
      <c r="U139" s="279">
        <f t="shared" si="97"/>
        <v>0</v>
      </c>
      <c r="V139" s="279">
        <f t="shared" si="97"/>
        <v>0</v>
      </c>
      <c r="W139" s="279">
        <f t="shared" si="97"/>
        <v>0</v>
      </c>
      <c r="X139" s="279">
        <f t="shared" si="97"/>
        <v>0</v>
      </c>
      <c r="Y139" s="279">
        <f t="shared" si="97"/>
        <v>0</v>
      </c>
      <c r="Z139" s="279">
        <f t="shared" si="97"/>
        <v>0</v>
      </c>
      <c r="AA139" s="279">
        <f t="shared" si="97"/>
        <v>0</v>
      </c>
      <c r="AB139" s="279">
        <f t="shared" si="97"/>
        <v>0</v>
      </c>
      <c r="AC139" s="279">
        <f t="shared" si="97"/>
        <v>0</v>
      </c>
      <c r="AD139" s="279">
        <f t="shared" si="97"/>
        <v>0</v>
      </c>
      <c r="AE139" s="279">
        <f t="shared" si="97"/>
        <v>0</v>
      </c>
      <c r="AF139" s="279">
        <f t="shared" si="97"/>
        <v>0</v>
      </c>
      <c r="AG139" s="279">
        <f t="shared" si="97"/>
        <v>0</v>
      </c>
      <c r="AH139" s="230"/>
      <c r="AI139" s="398"/>
      <c r="AJ139" s="399"/>
      <c r="AL139" s="207"/>
      <c r="AM139" s="118"/>
      <c r="AN139" s="118"/>
      <c r="AO139" s="118"/>
      <c r="BD139" s="118"/>
      <c r="BE139" s="118"/>
      <c r="BF139" s="118"/>
      <c r="BG139" s="118"/>
      <c r="BH139" s="118"/>
      <c r="BI139" s="118"/>
      <c r="BJ139" s="118"/>
      <c r="BK139" s="118"/>
    </row>
    <row r="140" spans="1:63" outlineLevel="1">
      <c r="C140" s="104"/>
      <c r="D140" s="104"/>
      <c r="E140" s="104"/>
      <c r="F140" s="104"/>
      <c r="G140" s="104"/>
      <c r="H140" s="104"/>
      <c r="I140" s="104"/>
      <c r="J140" s="104"/>
      <c r="K140" s="104"/>
      <c r="L140" s="104"/>
      <c r="M140" s="104"/>
      <c r="N140" s="104"/>
      <c r="O140" s="104"/>
      <c r="P140" s="104"/>
      <c r="Q140" s="104"/>
      <c r="R140" s="104"/>
      <c r="S140" s="104"/>
      <c r="T140" s="104"/>
      <c r="U140" s="104"/>
      <c r="V140" s="104"/>
      <c r="W140" s="104"/>
      <c r="X140" s="104"/>
      <c r="Y140" s="104"/>
      <c r="Z140" s="104"/>
      <c r="AA140" s="104"/>
      <c r="AB140" s="104"/>
      <c r="AC140" s="104"/>
      <c r="AD140" s="104"/>
      <c r="AE140" s="104"/>
      <c r="AF140" s="104"/>
      <c r="AG140" s="104"/>
      <c r="AJ140" s="198"/>
    </row>
    <row r="141" spans="1:63" s="187" customFormat="1" ht="15.5" thickBot="1">
      <c r="A141" s="187" t="s">
        <v>461</v>
      </c>
      <c r="B141" s="202"/>
      <c r="C141" s="210">
        <f>C142</f>
        <v>0</v>
      </c>
      <c r="D141" s="210">
        <f t="shared" ref="D141:AG141" si="98">D142</f>
        <v>9.9999999999999985E-3</v>
      </c>
      <c r="E141" s="210">
        <f t="shared" si="98"/>
        <v>1.9999999999999997E-2</v>
      </c>
      <c r="F141" s="210">
        <f t="shared" si="98"/>
        <v>2.9999999999999995E-2</v>
      </c>
      <c r="G141" s="210">
        <f t="shared" si="98"/>
        <v>3.9999999999999994E-2</v>
      </c>
      <c r="H141" s="210">
        <f t="shared" si="98"/>
        <v>4.9999999999999989E-2</v>
      </c>
      <c r="I141" s="210">
        <f t="shared" si="98"/>
        <v>5.9999999999999991E-2</v>
      </c>
      <c r="J141" s="210">
        <f t="shared" si="98"/>
        <v>6.9999999999999993E-2</v>
      </c>
      <c r="K141" s="210">
        <f t="shared" si="98"/>
        <v>7.9999999999999988E-2</v>
      </c>
      <c r="L141" s="210">
        <f t="shared" si="98"/>
        <v>8.9999999999999983E-2</v>
      </c>
      <c r="M141" s="210">
        <f t="shared" si="98"/>
        <v>9.9999999999999992E-2</v>
      </c>
      <c r="N141" s="210">
        <f t="shared" si="98"/>
        <v>0.10999999999999999</v>
      </c>
      <c r="O141" s="210">
        <f t="shared" si="98"/>
        <v>0.12</v>
      </c>
      <c r="P141" s="210">
        <f t="shared" si="98"/>
        <v>0.12999999999999998</v>
      </c>
      <c r="Q141" s="210">
        <f t="shared" si="98"/>
        <v>0.13999999999999999</v>
      </c>
      <c r="R141" s="210">
        <f t="shared" si="98"/>
        <v>0.14999999999999997</v>
      </c>
      <c r="S141" s="210">
        <f t="shared" si="98"/>
        <v>0.15999999999999998</v>
      </c>
      <c r="T141" s="210">
        <f t="shared" si="98"/>
        <v>0.16999999999999998</v>
      </c>
      <c r="U141" s="210">
        <f t="shared" si="98"/>
        <v>0.18</v>
      </c>
      <c r="V141" s="210">
        <f t="shared" si="98"/>
        <v>0.18999999999999997</v>
      </c>
      <c r="W141" s="210">
        <f t="shared" si="98"/>
        <v>0.19999999999999998</v>
      </c>
      <c r="X141" s="210">
        <f t="shared" si="98"/>
        <v>0.21</v>
      </c>
      <c r="Y141" s="210">
        <f t="shared" si="98"/>
        <v>0.21999999999999997</v>
      </c>
      <c r="Z141" s="210">
        <f t="shared" si="98"/>
        <v>0.22999999999999998</v>
      </c>
      <c r="AA141" s="210">
        <f t="shared" si="98"/>
        <v>0.24</v>
      </c>
      <c r="AB141" s="210">
        <f t="shared" si="98"/>
        <v>0.25</v>
      </c>
      <c r="AC141" s="210">
        <f t="shared" si="98"/>
        <v>0.26</v>
      </c>
      <c r="AD141" s="210">
        <f t="shared" si="98"/>
        <v>0.27</v>
      </c>
      <c r="AE141" s="210">
        <f t="shared" si="98"/>
        <v>0.27999999999999997</v>
      </c>
      <c r="AF141" s="210">
        <f t="shared" si="98"/>
        <v>0.28999999999999998</v>
      </c>
      <c r="AG141" s="210">
        <f t="shared" si="98"/>
        <v>0.3</v>
      </c>
      <c r="AJ141" s="217" t="s">
        <v>473</v>
      </c>
      <c r="AL141" s="204"/>
      <c r="AM141" s="211"/>
      <c r="AN141" s="211"/>
      <c r="AO141" s="211"/>
    </row>
    <row r="142" spans="1:63" ht="15.5" outlineLevel="1" thickTop="1">
      <c r="A142" t="s">
        <v>469</v>
      </c>
      <c r="B142" s="51" t="s">
        <v>126</v>
      </c>
      <c r="C142" s="107">
        <v>0</v>
      </c>
      <c r="D142" s="104">
        <f>$C142+($M142-$C142)/10*(D$1-$C$1)</f>
        <v>9.9999999999999985E-3</v>
      </c>
      <c r="E142" s="104">
        <f t="shared" ref="E142:L142" si="99">$C142+($M142-$C142)/10*(E$1-$C$1)</f>
        <v>1.9999999999999997E-2</v>
      </c>
      <c r="F142" s="104">
        <f t="shared" si="99"/>
        <v>2.9999999999999995E-2</v>
      </c>
      <c r="G142" s="104">
        <f t="shared" si="99"/>
        <v>3.9999999999999994E-2</v>
      </c>
      <c r="H142" s="104">
        <f t="shared" si="99"/>
        <v>4.9999999999999989E-2</v>
      </c>
      <c r="I142" s="104">
        <f t="shared" si="99"/>
        <v>5.9999999999999991E-2</v>
      </c>
      <c r="J142" s="104">
        <f t="shared" si="99"/>
        <v>6.9999999999999993E-2</v>
      </c>
      <c r="K142" s="104">
        <f t="shared" si="99"/>
        <v>7.9999999999999988E-2</v>
      </c>
      <c r="L142" s="104">
        <f t="shared" si="99"/>
        <v>8.9999999999999983E-2</v>
      </c>
      <c r="M142" s="115">
        <f>C142+(AG142-C142)/3</f>
        <v>9.9999999999999992E-2</v>
      </c>
      <c r="N142" s="115">
        <f>$M142+($W142-$M142)/10*(N$1-$M$1)</f>
        <v>0.10999999999999999</v>
      </c>
      <c r="O142" s="115">
        <f t="shared" ref="O142:U142" si="100">$M142+($W142-$M142)/10*(O$1-$M$1)</f>
        <v>0.12</v>
      </c>
      <c r="P142" s="115">
        <f t="shared" si="100"/>
        <v>0.12999999999999998</v>
      </c>
      <c r="Q142" s="115">
        <f t="shared" si="100"/>
        <v>0.13999999999999999</v>
      </c>
      <c r="R142" s="115">
        <f t="shared" si="100"/>
        <v>0.14999999999999997</v>
      </c>
      <c r="S142" s="115">
        <f t="shared" si="100"/>
        <v>0.15999999999999998</v>
      </c>
      <c r="T142" s="115">
        <f t="shared" si="100"/>
        <v>0.16999999999999998</v>
      </c>
      <c r="U142" s="115">
        <f t="shared" si="100"/>
        <v>0.18</v>
      </c>
      <c r="V142" s="115">
        <f>$M142+($W142-$M142)/10*(V$1-$M$1)</f>
        <v>0.18999999999999997</v>
      </c>
      <c r="W142" s="115">
        <f>C142+(AG142-C142)*2/3</f>
        <v>0.19999999999999998</v>
      </c>
      <c r="X142" s="22">
        <f t="shared" ref="X142:AF142" si="101">$W142+($AG142-$W142)/10*(X$1-$W$1)</f>
        <v>0.21</v>
      </c>
      <c r="Y142" s="22">
        <f t="shared" si="101"/>
        <v>0.21999999999999997</v>
      </c>
      <c r="Z142" s="22">
        <f t="shared" si="101"/>
        <v>0.22999999999999998</v>
      </c>
      <c r="AA142" s="22">
        <f t="shared" si="101"/>
        <v>0.24</v>
      </c>
      <c r="AB142" s="22">
        <f t="shared" si="101"/>
        <v>0.25</v>
      </c>
      <c r="AC142" s="22">
        <f t="shared" si="101"/>
        <v>0.26</v>
      </c>
      <c r="AD142" s="22">
        <f t="shared" si="101"/>
        <v>0.27</v>
      </c>
      <c r="AE142" s="22">
        <f t="shared" si="101"/>
        <v>0.27999999999999997</v>
      </c>
      <c r="AF142" s="22">
        <f t="shared" si="101"/>
        <v>0.28999999999999998</v>
      </c>
      <c r="AG142" s="201">
        <v>0.3</v>
      </c>
      <c r="AJ142" s="198" t="s">
        <v>870</v>
      </c>
    </row>
    <row r="143" spans="1:63" outlineLevel="1">
      <c r="C143" s="107"/>
      <c r="D143" s="104"/>
      <c r="E143" s="104"/>
      <c r="F143" s="104"/>
      <c r="G143" s="104"/>
      <c r="H143" s="104"/>
      <c r="I143" s="104"/>
      <c r="J143" s="104"/>
      <c r="K143" s="104"/>
      <c r="L143" s="104"/>
      <c r="M143" s="115"/>
      <c r="N143" s="115"/>
      <c r="O143" s="115"/>
      <c r="P143" s="115"/>
      <c r="Q143" s="115"/>
      <c r="R143" s="115"/>
      <c r="S143" s="115"/>
      <c r="T143" s="115"/>
      <c r="U143" s="115"/>
      <c r="V143" s="115"/>
      <c r="W143" s="115"/>
      <c r="X143" s="22"/>
      <c r="Y143" s="22"/>
      <c r="Z143" s="22"/>
      <c r="AA143" s="22"/>
      <c r="AB143" s="22"/>
      <c r="AC143" s="22"/>
      <c r="AD143" s="22"/>
      <c r="AE143" s="22"/>
      <c r="AF143" s="22"/>
      <c r="AG143" s="100"/>
      <c r="AJ143" s="198"/>
    </row>
    <row r="144" spans="1:63" outlineLevel="1">
      <c r="A144" t="s">
        <v>1484</v>
      </c>
      <c r="C144" s="477">
        <v>1</v>
      </c>
      <c r="D144" s="477">
        <f>C144-($C144-$AG144)/($AG$1-$C$1)</f>
        <v>1</v>
      </c>
      <c r="E144" s="477">
        <f t="shared" ref="E144:AF144" si="102">D144-($C144-$AG144)/($AG$1-$C$1)</f>
        <v>1</v>
      </c>
      <c r="F144" s="477">
        <f t="shared" si="102"/>
        <v>1</v>
      </c>
      <c r="G144" s="477">
        <f t="shared" si="102"/>
        <v>1</v>
      </c>
      <c r="H144" s="477">
        <f t="shared" si="102"/>
        <v>1</v>
      </c>
      <c r="I144" s="477">
        <f t="shared" si="102"/>
        <v>1</v>
      </c>
      <c r="J144" s="477">
        <f t="shared" si="102"/>
        <v>1</v>
      </c>
      <c r="K144" s="477">
        <f t="shared" si="102"/>
        <v>1</v>
      </c>
      <c r="L144" s="477">
        <f t="shared" si="102"/>
        <v>1</v>
      </c>
      <c r="M144" s="477">
        <f t="shared" si="102"/>
        <v>1</v>
      </c>
      <c r="N144" s="477">
        <f t="shared" si="102"/>
        <v>1</v>
      </c>
      <c r="O144" s="477">
        <f t="shared" si="102"/>
        <v>1</v>
      </c>
      <c r="P144" s="477">
        <f t="shared" si="102"/>
        <v>1</v>
      </c>
      <c r="Q144" s="477">
        <f t="shared" si="102"/>
        <v>1</v>
      </c>
      <c r="R144" s="477">
        <f t="shared" si="102"/>
        <v>1</v>
      </c>
      <c r="S144" s="477">
        <f t="shared" si="102"/>
        <v>1</v>
      </c>
      <c r="T144" s="477">
        <f t="shared" si="102"/>
        <v>1</v>
      </c>
      <c r="U144" s="477">
        <f t="shared" si="102"/>
        <v>1</v>
      </c>
      <c r="V144" s="477">
        <f t="shared" si="102"/>
        <v>1</v>
      </c>
      <c r="W144" s="477">
        <f t="shared" si="102"/>
        <v>1</v>
      </c>
      <c r="X144" s="477">
        <f t="shared" si="102"/>
        <v>1</v>
      </c>
      <c r="Y144" s="477">
        <f t="shared" si="102"/>
        <v>1</v>
      </c>
      <c r="Z144" s="477">
        <f t="shared" si="102"/>
        <v>1</v>
      </c>
      <c r="AA144" s="477">
        <f t="shared" si="102"/>
        <v>1</v>
      </c>
      <c r="AB144" s="477">
        <f t="shared" si="102"/>
        <v>1</v>
      </c>
      <c r="AC144" s="477">
        <f t="shared" si="102"/>
        <v>1</v>
      </c>
      <c r="AD144" s="477">
        <f t="shared" si="102"/>
        <v>1</v>
      </c>
      <c r="AE144" s="477">
        <f t="shared" si="102"/>
        <v>1</v>
      </c>
      <c r="AF144" s="477">
        <f t="shared" si="102"/>
        <v>1</v>
      </c>
      <c r="AG144" s="477">
        <v>1</v>
      </c>
      <c r="AI144" s="126"/>
      <c r="AJ144" s="198"/>
      <c r="AL144" s="102"/>
      <c r="AM144" s="194"/>
      <c r="AN144" s="194"/>
      <c r="AO144" s="194"/>
      <c r="BC144" s="1"/>
      <c r="BD144" s="194"/>
      <c r="BE144" s="194"/>
      <c r="BF144" s="194"/>
      <c r="BG144" s="194"/>
      <c r="BH144" s="194"/>
      <c r="BI144" s="194"/>
      <c r="BJ144" s="194"/>
      <c r="BK144" s="194"/>
    </row>
    <row r="145" spans="1:63" outlineLevel="1">
      <c r="A145" t="s">
        <v>1500</v>
      </c>
      <c r="B145" s="51" t="s">
        <v>126</v>
      </c>
      <c r="C145" s="104">
        <f>C142*C144</f>
        <v>0</v>
      </c>
      <c r="D145" s="104">
        <f t="shared" ref="D145:AG145" si="103">D142*D144</f>
        <v>9.9999999999999985E-3</v>
      </c>
      <c r="E145" s="104">
        <f t="shared" si="103"/>
        <v>1.9999999999999997E-2</v>
      </c>
      <c r="F145" s="104">
        <f t="shared" si="103"/>
        <v>2.9999999999999995E-2</v>
      </c>
      <c r="G145" s="104">
        <f t="shared" si="103"/>
        <v>3.9999999999999994E-2</v>
      </c>
      <c r="H145" s="104">
        <f t="shared" si="103"/>
        <v>4.9999999999999989E-2</v>
      </c>
      <c r="I145" s="104">
        <f t="shared" si="103"/>
        <v>5.9999999999999991E-2</v>
      </c>
      <c r="J145" s="104">
        <f t="shared" si="103"/>
        <v>6.9999999999999993E-2</v>
      </c>
      <c r="K145" s="104">
        <f t="shared" si="103"/>
        <v>7.9999999999999988E-2</v>
      </c>
      <c r="L145" s="104">
        <f t="shared" si="103"/>
        <v>8.9999999999999983E-2</v>
      </c>
      <c r="M145" s="104">
        <f t="shared" si="103"/>
        <v>9.9999999999999992E-2</v>
      </c>
      <c r="N145" s="104">
        <f t="shared" si="103"/>
        <v>0.10999999999999999</v>
      </c>
      <c r="O145" s="104">
        <f t="shared" si="103"/>
        <v>0.12</v>
      </c>
      <c r="P145" s="104">
        <f t="shared" si="103"/>
        <v>0.12999999999999998</v>
      </c>
      <c r="Q145" s="104">
        <f t="shared" si="103"/>
        <v>0.13999999999999999</v>
      </c>
      <c r="R145" s="104">
        <f t="shared" si="103"/>
        <v>0.14999999999999997</v>
      </c>
      <c r="S145" s="104">
        <f t="shared" si="103"/>
        <v>0.15999999999999998</v>
      </c>
      <c r="T145" s="104">
        <f t="shared" si="103"/>
        <v>0.16999999999999998</v>
      </c>
      <c r="U145" s="104">
        <f t="shared" si="103"/>
        <v>0.18</v>
      </c>
      <c r="V145" s="104">
        <f t="shared" si="103"/>
        <v>0.18999999999999997</v>
      </c>
      <c r="W145" s="104">
        <f t="shared" si="103"/>
        <v>0.19999999999999998</v>
      </c>
      <c r="X145" s="104">
        <f t="shared" si="103"/>
        <v>0.21</v>
      </c>
      <c r="Y145" s="104">
        <f t="shared" si="103"/>
        <v>0.21999999999999997</v>
      </c>
      <c r="Z145" s="104">
        <f t="shared" si="103"/>
        <v>0.22999999999999998</v>
      </c>
      <c r="AA145" s="104">
        <f t="shared" si="103"/>
        <v>0.24</v>
      </c>
      <c r="AB145" s="104">
        <f t="shared" si="103"/>
        <v>0.25</v>
      </c>
      <c r="AC145" s="104">
        <f t="shared" si="103"/>
        <v>0.26</v>
      </c>
      <c r="AD145" s="104">
        <f t="shared" si="103"/>
        <v>0.27</v>
      </c>
      <c r="AE145" s="104">
        <f t="shared" si="103"/>
        <v>0.27999999999999997</v>
      </c>
      <c r="AF145" s="104">
        <f t="shared" si="103"/>
        <v>0.28999999999999998</v>
      </c>
      <c r="AG145" s="104">
        <f t="shared" si="103"/>
        <v>0.3</v>
      </c>
      <c r="AJ145" s="198"/>
    </row>
    <row r="146" spans="1:63" outlineLevel="1">
      <c r="C146" s="104"/>
      <c r="D146" s="104"/>
      <c r="E146" s="104"/>
      <c r="F146" s="104"/>
      <c r="G146" s="104"/>
      <c r="H146" s="104"/>
      <c r="I146" s="104"/>
      <c r="J146" s="104"/>
      <c r="K146" s="104"/>
      <c r="L146" s="104"/>
      <c r="M146" s="104"/>
      <c r="N146" s="104"/>
      <c r="O146" s="104"/>
      <c r="P146" s="104"/>
      <c r="Q146" s="104"/>
      <c r="R146" s="104"/>
      <c r="S146" s="104"/>
      <c r="T146" s="104"/>
      <c r="U146" s="104"/>
      <c r="V146" s="104"/>
      <c r="W146" s="104"/>
      <c r="X146" s="104"/>
      <c r="Y146" s="104"/>
      <c r="Z146" s="104"/>
      <c r="AA146" s="104"/>
      <c r="AB146" s="104"/>
      <c r="AC146" s="104"/>
      <c r="AD146" s="104"/>
      <c r="AE146" s="104"/>
      <c r="AF146" s="104"/>
      <c r="AG146" s="104"/>
      <c r="AI146" s="127"/>
      <c r="AJ146" s="198"/>
      <c r="BC146" s="1"/>
      <c r="BD146" s="38"/>
      <c r="BF146" s="6"/>
      <c r="BG146" s="6"/>
      <c r="BH146" s="6"/>
      <c r="BI146" s="6"/>
      <c r="BJ146" s="6"/>
    </row>
    <row r="147" spans="1:63" s="1" customFormat="1" outlineLevel="1">
      <c r="A147" s="1" t="s">
        <v>261</v>
      </c>
      <c r="B147" s="61"/>
      <c r="C147" s="279">
        <f t="shared" ref="C147:AG147" si="104">C145*C41</f>
        <v>0</v>
      </c>
      <c r="D147" s="279">
        <f t="shared" si="104"/>
        <v>10.933845936328451</v>
      </c>
      <c r="E147" s="279">
        <f t="shared" si="104"/>
        <v>21.867691872656902</v>
      </c>
      <c r="F147" s="279">
        <f t="shared" si="104"/>
        <v>32.801537808985351</v>
      </c>
      <c r="G147" s="279">
        <f t="shared" si="104"/>
        <v>43.735383745313804</v>
      </c>
      <c r="H147" s="279">
        <f t="shared" si="104"/>
        <v>54.66922968164225</v>
      </c>
      <c r="I147" s="279">
        <f t="shared" si="104"/>
        <v>65.603075617970703</v>
      </c>
      <c r="J147" s="279">
        <f t="shared" si="104"/>
        <v>76.536921554299155</v>
      </c>
      <c r="K147" s="279">
        <f t="shared" si="104"/>
        <v>87.470767490627608</v>
      </c>
      <c r="L147" s="279">
        <f t="shared" si="104"/>
        <v>98.404613426956061</v>
      </c>
      <c r="M147" s="279">
        <f t="shared" si="104"/>
        <v>109.33845936328451</v>
      </c>
      <c r="N147" s="279">
        <f t="shared" si="104"/>
        <v>120.27230529961297</v>
      </c>
      <c r="O147" s="279">
        <f t="shared" si="104"/>
        <v>131.20615123594143</v>
      </c>
      <c r="P147" s="279">
        <f t="shared" si="104"/>
        <v>142.13999717226986</v>
      </c>
      <c r="Q147" s="279">
        <f t="shared" si="104"/>
        <v>153.07384310859831</v>
      </c>
      <c r="R147" s="279">
        <f t="shared" si="104"/>
        <v>164.00768904492676</v>
      </c>
      <c r="S147" s="279">
        <f t="shared" si="104"/>
        <v>174.94153498125522</v>
      </c>
      <c r="T147" s="279">
        <f t="shared" si="104"/>
        <v>185.87538091758367</v>
      </c>
      <c r="U147" s="279">
        <f t="shared" si="104"/>
        <v>196.80922685391215</v>
      </c>
      <c r="V147" s="279">
        <f t="shared" si="104"/>
        <v>207.74307279024057</v>
      </c>
      <c r="W147" s="279">
        <f t="shared" si="104"/>
        <v>218.67691872656903</v>
      </c>
      <c r="X147" s="279">
        <f t="shared" si="104"/>
        <v>229.61076466289751</v>
      </c>
      <c r="Y147" s="279">
        <f t="shared" si="104"/>
        <v>240.54461059922593</v>
      </c>
      <c r="Z147" s="279">
        <f t="shared" si="104"/>
        <v>251.47845653555439</v>
      </c>
      <c r="AA147" s="279">
        <f t="shared" si="104"/>
        <v>262.41230247188287</v>
      </c>
      <c r="AB147" s="279">
        <f t="shared" si="104"/>
        <v>273.34614840821132</v>
      </c>
      <c r="AC147" s="279">
        <f t="shared" si="104"/>
        <v>284.27999434453977</v>
      </c>
      <c r="AD147" s="279">
        <f t="shared" si="104"/>
        <v>295.21384028086823</v>
      </c>
      <c r="AE147" s="279">
        <f t="shared" si="104"/>
        <v>306.14768621719662</v>
      </c>
      <c r="AF147" s="279">
        <f t="shared" si="104"/>
        <v>317.08153215352513</v>
      </c>
      <c r="AG147" s="279">
        <f t="shared" si="104"/>
        <v>328.01537808985358</v>
      </c>
      <c r="AH147" s="230"/>
      <c r="AI147" s="398"/>
      <c r="AJ147" s="399"/>
      <c r="AL147" s="207"/>
      <c r="AM147" s="118"/>
      <c r="AN147" s="118"/>
      <c r="AO147" s="118"/>
      <c r="BD147" s="118"/>
      <c r="BE147" s="118"/>
      <c r="BF147" s="118"/>
      <c r="BG147" s="118"/>
      <c r="BH147" s="118"/>
      <c r="BI147" s="118"/>
      <c r="BJ147" s="118"/>
      <c r="BK147" s="118"/>
    </row>
    <row r="148" spans="1:63" s="1" customFormat="1" outlineLevel="1">
      <c r="A148" s="1" t="s">
        <v>1160</v>
      </c>
      <c r="B148" s="61"/>
      <c r="C148" s="279">
        <f t="shared" ref="C148:AG148" si="105">C147-$C147</f>
        <v>0</v>
      </c>
      <c r="D148" s="279">
        <f t="shared" si="105"/>
        <v>10.933845936328451</v>
      </c>
      <c r="E148" s="279">
        <f t="shared" si="105"/>
        <v>21.867691872656902</v>
      </c>
      <c r="F148" s="279">
        <f t="shared" si="105"/>
        <v>32.801537808985351</v>
      </c>
      <c r="G148" s="279">
        <f t="shared" si="105"/>
        <v>43.735383745313804</v>
      </c>
      <c r="H148" s="279">
        <f t="shared" si="105"/>
        <v>54.66922968164225</v>
      </c>
      <c r="I148" s="279">
        <f t="shared" si="105"/>
        <v>65.603075617970703</v>
      </c>
      <c r="J148" s="279">
        <f t="shared" si="105"/>
        <v>76.536921554299155</v>
      </c>
      <c r="K148" s="279">
        <f t="shared" si="105"/>
        <v>87.470767490627608</v>
      </c>
      <c r="L148" s="279">
        <f t="shared" si="105"/>
        <v>98.404613426956061</v>
      </c>
      <c r="M148" s="279">
        <f t="shared" si="105"/>
        <v>109.33845936328451</v>
      </c>
      <c r="N148" s="279">
        <f t="shared" si="105"/>
        <v>120.27230529961297</v>
      </c>
      <c r="O148" s="279">
        <f t="shared" si="105"/>
        <v>131.20615123594143</v>
      </c>
      <c r="P148" s="279">
        <f t="shared" si="105"/>
        <v>142.13999717226986</v>
      </c>
      <c r="Q148" s="279">
        <f t="shared" si="105"/>
        <v>153.07384310859831</v>
      </c>
      <c r="R148" s="279">
        <f t="shared" si="105"/>
        <v>164.00768904492676</v>
      </c>
      <c r="S148" s="279">
        <f t="shared" si="105"/>
        <v>174.94153498125522</v>
      </c>
      <c r="T148" s="279">
        <f t="shared" si="105"/>
        <v>185.87538091758367</v>
      </c>
      <c r="U148" s="279">
        <f t="shared" si="105"/>
        <v>196.80922685391215</v>
      </c>
      <c r="V148" s="279">
        <f t="shared" si="105"/>
        <v>207.74307279024057</v>
      </c>
      <c r="W148" s="279">
        <f t="shared" si="105"/>
        <v>218.67691872656903</v>
      </c>
      <c r="X148" s="279">
        <f t="shared" si="105"/>
        <v>229.61076466289751</v>
      </c>
      <c r="Y148" s="279">
        <f t="shared" si="105"/>
        <v>240.54461059922593</v>
      </c>
      <c r="Z148" s="279">
        <f t="shared" si="105"/>
        <v>251.47845653555439</v>
      </c>
      <c r="AA148" s="279">
        <f t="shared" si="105"/>
        <v>262.41230247188287</v>
      </c>
      <c r="AB148" s="279">
        <f t="shared" si="105"/>
        <v>273.34614840821132</v>
      </c>
      <c r="AC148" s="279">
        <f t="shared" si="105"/>
        <v>284.27999434453977</v>
      </c>
      <c r="AD148" s="279">
        <f t="shared" si="105"/>
        <v>295.21384028086823</v>
      </c>
      <c r="AE148" s="279">
        <f t="shared" si="105"/>
        <v>306.14768621719662</v>
      </c>
      <c r="AF148" s="279">
        <f t="shared" si="105"/>
        <v>317.08153215352513</v>
      </c>
      <c r="AG148" s="279">
        <f t="shared" si="105"/>
        <v>328.01537808985358</v>
      </c>
      <c r="AH148" s="230"/>
      <c r="AI148" s="398"/>
      <c r="AJ148" s="399"/>
      <c r="AL148" s="207"/>
      <c r="AM148" s="118"/>
      <c r="AN148" s="118"/>
      <c r="AO148" s="118"/>
      <c r="BD148" s="118"/>
      <c r="BE148" s="118"/>
      <c r="BF148" s="118"/>
      <c r="BG148" s="118"/>
      <c r="BH148" s="118"/>
      <c r="BI148" s="118"/>
      <c r="BJ148" s="118"/>
      <c r="BK148" s="118"/>
    </row>
    <row r="149" spans="1:63" outlineLevel="1">
      <c r="AJ149" s="198"/>
    </row>
    <row r="150" spans="1:63" s="187" customFormat="1" ht="15.5" thickBot="1">
      <c r="A150" s="187" t="s">
        <v>463</v>
      </c>
      <c r="B150" s="202"/>
      <c r="C150" s="210">
        <f>C151</f>
        <v>0</v>
      </c>
      <c r="D150" s="210">
        <f t="shared" ref="D150:AG150" si="106">D151</f>
        <v>0</v>
      </c>
      <c r="E150" s="210">
        <f t="shared" si="106"/>
        <v>0</v>
      </c>
      <c r="F150" s="210">
        <f t="shared" si="106"/>
        <v>0</v>
      </c>
      <c r="G150" s="210">
        <f t="shared" si="106"/>
        <v>0</v>
      </c>
      <c r="H150" s="210">
        <f t="shared" si="106"/>
        <v>0</v>
      </c>
      <c r="I150" s="210">
        <f t="shared" si="106"/>
        <v>0</v>
      </c>
      <c r="J150" s="210">
        <f t="shared" si="106"/>
        <v>0</v>
      </c>
      <c r="K150" s="210">
        <f t="shared" si="106"/>
        <v>0</v>
      </c>
      <c r="L150" s="210">
        <f t="shared" si="106"/>
        <v>0</v>
      </c>
      <c r="M150" s="210">
        <f t="shared" si="106"/>
        <v>0</v>
      </c>
      <c r="N150" s="210">
        <f t="shared" si="106"/>
        <v>0</v>
      </c>
      <c r="O150" s="210">
        <f t="shared" si="106"/>
        <v>0</v>
      </c>
      <c r="P150" s="210">
        <f t="shared" si="106"/>
        <v>0</v>
      </c>
      <c r="Q150" s="210">
        <f t="shared" si="106"/>
        <v>0</v>
      </c>
      <c r="R150" s="210">
        <f t="shared" si="106"/>
        <v>0</v>
      </c>
      <c r="S150" s="210">
        <f t="shared" si="106"/>
        <v>0</v>
      </c>
      <c r="T150" s="210">
        <f t="shared" si="106"/>
        <v>0</v>
      </c>
      <c r="U150" s="210">
        <f t="shared" si="106"/>
        <v>0</v>
      </c>
      <c r="V150" s="210">
        <f t="shared" si="106"/>
        <v>0</v>
      </c>
      <c r="W150" s="210">
        <f t="shared" si="106"/>
        <v>0</v>
      </c>
      <c r="X150" s="210">
        <f t="shared" si="106"/>
        <v>0</v>
      </c>
      <c r="Y150" s="210">
        <f t="shared" si="106"/>
        <v>0</v>
      </c>
      <c r="Z150" s="210">
        <f t="shared" si="106"/>
        <v>0</v>
      </c>
      <c r="AA150" s="210">
        <f t="shared" si="106"/>
        <v>0</v>
      </c>
      <c r="AB150" s="210">
        <f t="shared" si="106"/>
        <v>0</v>
      </c>
      <c r="AC150" s="210">
        <f t="shared" si="106"/>
        <v>0</v>
      </c>
      <c r="AD150" s="210">
        <f t="shared" si="106"/>
        <v>0</v>
      </c>
      <c r="AE150" s="210">
        <f t="shared" si="106"/>
        <v>0</v>
      </c>
      <c r="AF150" s="210">
        <f t="shared" si="106"/>
        <v>0</v>
      </c>
      <c r="AG150" s="210">
        <f t="shared" si="106"/>
        <v>0</v>
      </c>
      <c r="AJ150" s="217" t="s">
        <v>472</v>
      </c>
      <c r="AL150" s="204"/>
      <c r="AM150" s="211"/>
      <c r="AN150" s="211"/>
      <c r="AO150" s="211"/>
    </row>
    <row r="151" spans="1:63" ht="15.5" outlineLevel="2" thickTop="1">
      <c r="A151" t="s">
        <v>464</v>
      </c>
      <c r="B151" s="51" t="s">
        <v>126</v>
      </c>
      <c r="C151" s="107">
        <v>0</v>
      </c>
      <c r="D151" s="104">
        <f>$C151+($M151-$C151)/10*(D$1-$C$1)</f>
        <v>0</v>
      </c>
      <c r="E151" s="104">
        <f t="shared" ref="E151:L151" si="107">$C151+($M151-$C151)/10*(E$1-$C$1)</f>
        <v>0</v>
      </c>
      <c r="F151" s="104">
        <f t="shared" si="107"/>
        <v>0</v>
      </c>
      <c r="G151" s="104">
        <f t="shared" si="107"/>
        <v>0</v>
      </c>
      <c r="H151" s="104">
        <f t="shared" si="107"/>
        <v>0</v>
      </c>
      <c r="I151" s="104">
        <f t="shared" si="107"/>
        <v>0</v>
      </c>
      <c r="J151" s="104">
        <f t="shared" si="107"/>
        <v>0</v>
      </c>
      <c r="K151" s="104">
        <f t="shared" si="107"/>
        <v>0</v>
      </c>
      <c r="L151" s="104">
        <f t="shared" si="107"/>
        <v>0</v>
      </c>
      <c r="M151" s="115">
        <v>0</v>
      </c>
      <c r="N151" s="115">
        <f>$M151+($W151-$M151)/10*(N$1-$M$1)</f>
        <v>0</v>
      </c>
      <c r="O151" s="115">
        <f t="shared" ref="O151:U151" si="108">$M151+($W151-$M151)/10*(O$1-$M$1)</f>
        <v>0</v>
      </c>
      <c r="P151" s="115">
        <f t="shared" si="108"/>
        <v>0</v>
      </c>
      <c r="Q151" s="115">
        <f t="shared" si="108"/>
        <v>0</v>
      </c>
      <c r="R151" s="115">
        <f t="shared" si="108"/>
        <v>0</v>
      </c>
      <c r="S151" s="115">
        <f t="shared" si="108"/>
        <v>0</v>
      </c>
      <c r="T151" s="115">
        <f t="shared" si="108"/>
        <v>0</v>
      </c>
      <c r="U151" s="115">
        <f t="shared" si="108"/>
        <v>0</v>
      </c>
      <c r="V151" s="115">
        <f>$M151+($W151-$M151)/10*(V$1-$M$1)</f>
        <v>0</v>
      </c>
      <c r="W151" s="115">
        <v>0</v>
      </c>
      <c r="X151" s="22">
        <f t="shared" ref="X151:AF151" si="109">$W151+($AG151-$W151)/10*(X$1-$W$1)</f>
        <v>0</v>
      </c>
      <c r="Y151" s="22">
        <f t="shared" si="109"/>
        <v>0</v>
      </c>
      <c r="Z151" s="22">
        <f t="shared" si="109"/>
        <v>0</v>
      </c>
      <c r="AA151" s="22">
        <f t="shared" si="109"/>
        <v>0</v>
      </c>
      <c r="AB151" s="22">
        <f t="shared" si="109"/>
        <v>0</v>
      </c>
      <c r="AC151" s="22">
        <f t="shared" si="109"/>
        <v>0</v>
      </c>
      <c r="AD151" s="22">
        <f t="shared" si="109"/>
        <v>0</v>
      </c>
      <c r="AE151" s="22">
        <f t="shared" si="109"/>
        <v>0</v>
      </c>
      <c r="AF151" s="22">
        <f t="shared" si="109"/>
        <v>0</v>
      </c>
      <c r="AG151" s="201">
        <v>0</v>
      </c>
      <c r="AJ151" s="198" t="s">
        <v>870</v>
      </c>
    </row>
    <row r="152" spans="1:63" outlineLevel="2">
      <c r="C152" s="107"/>
      <c r="D152" s="104"/>
      <c r="E152" s="104"/>
      <c r="F152" s="104"/>
      <c r="G152" s="104"/>
      <c r="H152" s="104"/>
      <c r="I152" s="104"/>
      <c r="J152" s="104"/>
      <c r="K152" s="104"/>
      <c r="L152" s="104"/>
      <c r="M152" s="115"/>
      <c r="N152" s="115"/>
      <c r="O152" s="115"/>
      <c r="P152" s="115"/>
      <c r="Q152" s="115"/>
      <c r="R152" s="115"/>
      <c r="S152" s="115"/>
      <c r="T152" s="115"/>
      <c r="U152" s="115"/>
      <c r="V152" s="115"/>
      <c r="W152" s="115"/>
      <c r="X152" s="22"/>
      <c r="Y152" s="22"/>
      <c r="Z152" s="22"/>
      <c r="AA152" s="22"/>
      <c r="AB152" s="22"/>
      <c r="AC152" s="22"/>
      <c r="AD152" s="22"/>
      <c r="AE152" s="22"/>
      <c r="AF152" s="22"/>
      <c r="AG152" s="100"/>
      <c r="AJ152" s="198"/>
    </row>
    <row r="153" spans="1:63" outlineLevel="1">
      <c r="A153" t="s">
        <v>1484</v>
      </c>
      <c r="C153" s="477">
        <f>('Overall recycling rates'!F88*'Yearly BTX'!D5+'Overall recycling rates'!G88*'Yearly BTX'!D6+'Overall recycling rates'!H88*'Yearly BTX'!D7)/'Yearly BTX'!D4</f>
        <v>1.0000000000000002</v>
      </c>
      <c r="D153" s="477">
        <f>C153-($C153-$AG153)/($AG$1-$C$1)</f>
        <v>1.0000000000000002</v>
      </c>
      <c r="E153" s="477">
        <f t="shared" ref="E153:AF153" si="110">D153-($C153-$AG153)/($AG$1-$C$1)</f>
        <v>1.0000000000000002</v>
      </c>
      <c r="F153" s="477">
        <f t="shared" si="110"/>
        <v>1.0000000000000002</v>
      </c>
      <c r="G153" s="477">
        <f t="shared" si="110"/>
        <v>1.0000000000000002</v>
      </c>
      <c r="H153" s="477">
        <f t="shared" si="110"/>
        <v>1.0000000000000002</v>
      </c>
      <c r="I153" s="477">
        <f t="shared" si="110"/>
        <v>1.0000000000000002</v>
      </c>
      <c r="J153" s="477">
        <f t="shared" si="110"/>
        <v>1.0000000000000002</v>
      </c>
      <c r="K153" s="477">
        <f t="shared" si="110"/>
        <v>1.0000000000000002</v>
      </c>
      <c r="L153" s="477">
        <f t="shared" si="110"/>
        <v>1.0000000000000002</v>
      </c>
      <c r="M153" s="477">
        <f t="shared" si="110"/>
        <v>1.0000000000000002</v>
      </c>
      <c r="N153" s="477">
        <f t="shared" si="110"/>
        <v>1.0000000000000002</v>
      </c>
      <c r="O153" s="477">
        <f t="shared" si="110"/>
        <v>1.0000000000000002</v>
      </c>
      <c r="P153" s="477">
        <f t="shared" si="110"/>
        <v>1.0000000000000002</v>
      </c>
      <c r="Q153" s="477">
        <f t="shared" si="110"/>
        <v>1.0000000000000002</v>
      </c>
      <c r="R153" s="477">
        <f t="shared" si="110"/>
        <v>1.0000000000000002</v>
      </c>
      <c r="S153" s="477">
        <f t="shared" si="110"/>
        <v>1.0000000000000002</v>
      </c>
      <c r="T153" s="477">
        <f t="shared" si="110"/>
        <v>1.0000000000000002</v>
      </c>
      <c r="U153" s="477">
        <f t="shared" si="110"/>
        <v>1.0000000000000002</v>
      </c>
      <c r="V153" s="477">
        <f t="shared" si="110"/>
        <v>1.0000000000000002</v>
      </c>
      <c r="W153" s="477">
        <f t="shared" si="110"/>
        <v>1.0000000000000002</v>
      </c>
      <c r="X153" s="477">
        <f t="shared" si="110"/>
        <v>1.0000000000000002</v>
      </c>
      <c r="Y153" s="477">
        <f t="shared" si="110"/>
        <v>1.0000000000000002</v>
      </c>
      <c r="Z153" s="477">
        <f t="shared" si="110"/>
        <v>1.0000000000000002</v>
      </c>
      <c r="AA153" s="477">
        <f t="shared" si="110"/>
        <v>1.0000000000000002</v>
      </c>
      <c r="AB153" s="477">
        <f t="shared" si="110"/>
        <v>1.0000000000000002</v>
      </c>
      <c r="AC153" s="477">
        <f t="shared" si="110"/>
        <v>1.0000000000000002</v>
      </c>
      <c r="AD153" s="477">
        <f t="shared" si="110"/>
        <v>1.0000000000000002</v>
      </c>
      <c r="AE153" s="477">
        <f t="shared" si="110"/>
        <v>1.0000000000000002</v>
      </c>
      <c r="AF153" s="477">
        <f t="shared" si="110"/>
        <v>1.0000000000000002</v>
      </c>
      <c r="AG153" s="477">
        <f>'Overall recycling rates'!F97</f>
        <v>1</v>
      </c>
      <c r="AI153" s="126"/>
      <c r="AJ153" s="198"/>
      <c r="AL153" s="102"/>
      <c r="AM153" s="194"/>
      <c r="AN153" s="194"/>
      <c r="AO153" s="194"/>
      <c r="BC153" s="1"/>
      <c r="BD153" s="194"/>
      <c r="BE153" s="194"/>
      <c r="BF153" s="194"/>
      <c r="BG153" s="194"/>
      <c r="BH153" s="194"/>
      <c r="BI153" s="194"/>
      <c r="BJ153" s="194"/>
      <c r="BK153" s="194"/>
    </row>
    <row r="154" spans="1:63" outlineLevel="1">
      <c r="A154" t="s">
        <v>1500</v>
      </c>
      <c r="B154" s="51" t="s">
        <v>126</v>
      </c>
      <c r="C154" s="104">
        <f>C151*C153</f>
        <v>0</v>
      </c>
      <c r="D154" s="104">
        <f t="shared" ref="D154:AG154" si="111">D151*D153</f>
        <v>0</v>
      </c>
      <c r="E154" s="104">
        <f t="shared" si="111"/>
        <v>0</v>
      </c>
      <c r="F154" s="104">
        <f t="shared" si="111"/>
        <v>0</v>
      </c>
      <c r="G154" s="104">
        <f t="shared" si="111"/>
        <v>0</v>
      </c>
      <c r="H154" s="104">
        <f t="shared" si="111"/>
        <v>0</v>
      </c>
      <c r="I154" s="104">
        <f t="shared" si="111"/>
        <v>0</v>
      </c>
      <c r="J154" s="104">
        <f t="shared" si="111"/>
        <v>0</v>
      </c>
      <c r="K154" s="104">
        <f t="shared" si="111"/>
        <v>0</v>
      </c>
      <c r="L154" s="104">
        <f t="shared" si="111"/>
        <v>0</v>
      </c>
      <c r="M154" s="104">
        <f t="shared" si="111"/>
        <v>0</v>
      </c>
      <c r="N154" s="104">
        <f t="shared" si="111"/>
        <v>0</v>
      </c>
      <c r="O154" s="104">
        <f t="shared" si="111"/>
        <v>0</v>
      </c>
      <c r="P154" s="104">
        <f t="shared" si="111"/>
        <v>0</v>
      </c>
      <c r="Q154" s="104">
        <f t="shared" si="111"/>
        <v>0</v>
      </c>
      <c r="R154" s="104">
        <f t="shared" si="111"/>
        <v>0</v>
      </c>
      <c r="S154" s="104">
        <f t="shared" si="111"/>
        <v>0</v>
      </c>
      <c r="T154" s="104">
        <f t="shared" si="111"/>
        <v>0</v>
      </c>
      <c r="U154" s="104">
        <f t="shared" si="111"/>
        <v>0</v>
      </c>
      <c r="V154" s="104">
        <f t="shared" si="111"/>
        <v>0</v>
      </c>
      <c r="W154" s="104">
        <f t="shared" si="111"/>
        <v>0</v>
      </c>
      <c r="X154" s="104">
        <f t="shared" si="111"/>
        <v>0</v>
      </c>
      <c r="Y154" s="104">
        <f t="shared" si="111"/>
        <v>0</v>
      </c>
      <c r="Z154" s="104">
        <f t="shared" si="111"/>
        <v>0</v>
      </c>
      <c r="AA154" s="104">
        <f t="shared" si="111"/>
        <v>0</v>
      </c>
      <c r="AB154" s="104">
        <f t="shared" si="111"/>
        <v>0</v>
      </c>
      <c r="AC154" s="104">
        <f t="shared" si="111"/>
        <v>0</v>
      </c>
      <c r="AD154" s="104">
        <f t="shared" si="111"/>
        <v>0</v>
      </c>
      <c r="AE154" s="104">
        <f t="shared" si="111"/>
        <v>0</v>
      </c>
      <c r="AF154" s="104">
        <f t="shared" si="111"/>
        <v>0</v>
      </c>
      <c r="AG154" s="104">
        <f t="shared" si="111"/>
        <v>0</v>
      </c>
      <c r="AJ154" s="198"/>
    </row>
    <row r="155" spans="1:63" outlineLevel="1">
      <c r="C155" s="104"/>
      <c r="D155" s="104"/>
      <c r="E155" s="104"/>
      <c r="F155" s="104"/>
      <c r="G155" s="104"/>
      <c r="H155" s="104"/>
      <c r="I155" s="104"/>
      <c r="J155" s="104"/>
      <c r="K155" s="104"/>
      <c r="L155" s="104"/>
      <c r="M155" s="104"/>
      <c r="N155" s="104"/>
      <c r="O155" s="104"/>
      <c r="P155" s="104"/>
      <c r="Q155" s="104"/>
      <c r="R155" s="104"/>
      <c r="S155" s="104"/>
      <c r="T155" s="104"/>
      <c r="U155" s="104"/>
      <c r="V155" s="104"/>
      <c r="W155" s="104"/>
      <c r="X155" s="104"/>
      <c r="Y155" s="104"/>
      <c r="Z155" s="104"/>
      <c r="AA155" s="104"/>
      <c r="AB155" s="104"/>
      <c r="AC155" s="104"/>
      <c r="AD155" s="104"/>
      <c r="AE155" s="104"/>
      <c r="AF155" s="104"/>
      <c r="AG155" s="104"/>
      <c r="AJ155" s="198"/>
    </row>
    <row r="156" spans="1:63" s="1" customFormat="1" outlineLevel="1">
      <c r="A156" s="1" t="s">
        <v>261</v>
      </c>
      <c r="B156" s="61"/>
      <c r="C156" s="279">
        <f t="shared" ref="C156:AG156" si="112">C154*C43</f>
        <v>0</v>
      </c>
      <c r="D156" s="279">
        <f t="shared" si="112"/>
        <v>0</v>
      </c>
      <c r="E156" s="279">
        <f t="shared" si="112"/>
        <v>0</v>
      </c>
      <c r="F156" s="279">
        <f t="shared" si="112"/>
        <v>0</v>
      </c>
      <c r="G156" s="279">
        <f t="shared" si="112"/>
        <v>0</v>
      </c>
      <c r="H156" s="279">
        <f t="shared" si="112"/>
        <v>0</v>
      </c>
      <c r="I156" s="279">
        <f t="shared" si="112"/>
        <v>0</v>
      </c>
      <c r="J156" s="279">
        <f t="shared" si="112"/>
        <v>0</v>
      </c>
      <c r="K156" s="279">
        <f t="shared" si="112"/>
        <v>0</v>
      </c>
      <c r="L156" s="279">
        <f t="shared" si="112"/>
        <v>0</v>
      </c>
      <c r="M156" s="279">
        <f t="shared" si="112"/>
        <v>0</v>
      </c>
      <c r="N156" s="279">
        <f t="shared" si="112"/>
        <v>0</v>
      </c>
      <c r="O156" s="279">
        <f t="shared" si="112"/>
        <v>0</v>
      </c>
      <c r="P156" s="279">
        <f t="shared" si="112"/>
        <v>0</v>
      </c>
      <c r="Q156" s="279">
        <f t="shared" si="112"/>
        <v>0</v>
      </c>
      <c r="R156" s="279">
        <f t="shared" si="112"/>
        <v>0</v>
      </c>
      <c r="S156" s="279">
        <f t="shared" si="112"/>
        <v>0</v>
      </c>
      <c r="T156" s="279">
        <f t="shared" si="112"/>
        <v>0</v>
      </c>
      <c r="U156" s="279">
        <f t="shared" si="112"/>
        <v>0</v>
      </c>
      <c r="V156" s="279">
        <f t="shared" si="112"/>
        <v>0</v>
      </c>
      <c r="W156" s="279">
        <f t="shared" si="112"/>
        <v>0</v>
      </c>
      <c r="X156" s="279">
        <f t="shared" si="112"/>
        <v>0</v>
      </c>
      <c r="Y156" s="279">
        <f t="shared" si="112"/>
        <v>0</v>
      </c>
      <c r="Z156" s="279">
        <f t="shared" si="112"/>
        <v>0</v>
      </c>
      <c r="AA156" s="279">
        <f t="shared" si="112"/>
        <v>0</v>
      </c>
      <c r="AB156" s="279">
        <f t="shared" si="112"/>
        <v>0</v>
      </c>
      <c r="AC156" s="279">
        <f t="shared" si="112"/>
        <v>0</v>
      </c>
      <c r="AD156" s="279">
        <f t="shared" si="112"/>
        <v>0</v>
      </c>
      <c r="AE156" s="279">
        <f t="shared" si="112"/>
        <v>0</v>
      </c>
      <c r="AF156" s="279">
        <f t="shared" si="112"/>
        <v>0</v>
      </c>
      <c r="AG156" s="279">
        <f t="shared" si="112"/>
        <v>0</v>
      </c>
      <c r="AH156" s="230"/>
      <c r="AI156" s="398"/>
      <c r="AJ156" s="399"/>
      <c r="AL156" s="207"/>
      <c r="AM156" s="118"/>
      <c r="AN156" s="118"/>
      <c r="AO156" s="118"/>
      <c r="BD156" s="118"/>
      <c r="BE156" s="118"/>
      <c r="BF156" s="118"/>
      <c r="BG156" s="118"/>
      <c r="BH156" s="118"/>
      <c r="BI156" s="118"/>
      <c r="BJ156" s="118"/>
      <c r="BK156" s="118"/>
    </row>
    <row r="157" spans="1:63" s="1" customFormat="1" outlineLevel="1">
      <c r="A157" s="1" t="s">
        <v>1160</v>
      </c>
      <c r="B157" s="61"/>
      <c r="C157" s="279">
        <f t="shared" ref="C157:AG157" si="113">C156-$C156</f>
        <v>0</v>
      </c>
      <c r="D157" s="279">
        <f t="shared" si="113"/>
        <v>0</v>
      </c>
      <c r="E157" s="279">
        <f t="shared" si="113"/>
        <v>0</v>
      </c>
      <c r="F157" s="279">
        <f t="shared" si="113"/>
        <v>0</v>
      </c>
      <c r="G157" s="279">
        <f t="shared" si="113"/>
        <v>0</v>
      </c>
      <c r="H157" s="279">
        <f t="shared" si="113"/>
        <v>0</v>
      </c>
      <c r="I157" s="279">
        <f t="shared" si="113"/>
        <v>0</v>
      </c>
      <c r="J157" s="279">
        <f t="shared" si="113"/>
        <v>0</v>
      </c>
      <c r="K157" s="279">
        <f t="shared" si="113"/>
        <v>0</v>
      </c>
      <c r="L157" s="279">
        <f t="shared" si="113"/>
        <v>0</v>
      </c>
      <c r="M157" s="279">
        <f t="shared" si="113"/>
        <v>0</v>
      </c>
      <c r="N157" s="279">
        <f t="shared" si="113"/>
        <v>0</v>
      </c>
      <c r="O157" s="279">
        <f t="shared" si="113"/>
        <v>0</v>
      </c>
      <c r="P157" s="279">
        <f t="shared" si="113"/>
        <v>0</v>
      </c>
      <c r="Q157" s="279">
        <f t="shared" si="113"/>
        <v>0</v>
      </c>
      <c r="R157" s="279">
        <f t="shared" si="113"/>
        <v>0</v>
      </c>
      <c r="S157" s="279">
        <f t="shared" si="113"/>
        <v>0</v>
      </c>
      <c r="T157" s="279">
        <f t="shared" si="113"/>
        <v>0</v>
      </c>
      <c r="U157" s="279">
        <f t="shared" si="113"/>
        <v>0</v>
      </c>
      <c r="V157" s="279">
        <f t="shared" si="113"/>
        <v>0</v>
      </c>
      <c r="W157" s="279">
        <f t="shared" si="113"/>
        <v>0</v>
      </c>
      <c r="X157" s="279">
        <f t="shared" si="113"/>
        <v>0</v>
      </c>
      <c r="Y157" s="279">
        <f t="shared" si="113"/>
        <v>0</v>
      </c>
      <c r="Z157" s="279">
        <f t="shared" si="113"/>
        <v>0</v>
      </c>
      <c r="AA157" s="279">
        <f t="shared" si="113"/>
        <v>0</v>
      </c>
      <c r="AB157" s="279">
        <f t="shared" si="113"/>
        <v>0</v>
      </c>
      <c r="AC157" s="279">
        <f t="shared" si="113"/>
        <v>0</v>
      </c>
      <c r="AD157" s="279">
        <f t="shared" si="113"/>
        <v>0</v>
      </c>
      <c r="AE157" s="279">
        <f t="shared" si="113"/>
        <v>0</v>
      </c>
      <c r="AF157" s="279">
        <f t="shared" si="113"/>
        <v>0</v>
      </c>
      <c r="AG157" s="279">
        <f t="shared" si="113"/>
        <v>0</v>
      </c>
      <c r="AH157" s="230"/>
      <c r="AI157" s="398"/>
      <c r="AJ157" s="399"/>
      <c r="AL157" s="207"/>
      <c r="AM157" s="118"/>
      <c r="AN157" s="118"/>
      <c r="AO157" s="118"/>
      <c r="BD157" s="118"/>
      <c r="BE157" s="118"/>
      <c r="BF157" s="118"/>
      <c r="BG157" s="118"/>
      <c r="BH157" s="118"/>
      <c r="BI157" s="118"/>
      <c r="BJ157" s="118"/>
      <c r="BK157" s="118"/>
    </row>
    <row r="158" spans="1:63" outlineLevel="2">
      <c r="C158" s="107"/>
      <c r="D158" s="104"/>
      <c r="E158" s="104"/>
      <c r="F158" s="104"/>
      <c r="G158" s="104"/>
      <c r="H158" s="104"/>
      <c r="I158" s="104"/>
      <c r="J158" s="104"/>
      <c r="K158" s="104"/>
      <c r="L158" s="104"/>
      <c r="M158" s="115"/>
      <c r="N158" s="115"/>
      <c r="O158" s="115"/>
      <c r="P158" s="115"/>
      <c r="Q158" s="115"/>
      <c r="R158" s="115"/>
      <c r="S158" s="115"/>
      <c r="T158" s="115"/>
      <c r="U158" s="115"/>
      <c r="V158" s="115"/>
      <c r="W158" s="115"/>
      <c r="X158" s="22"/>
      <c r="Y158" s="22"/>
      <c r="Z158" s="22"/>
      <c r="AA158" s="22"/>
      <c r="AB158" s="22"/>
      <c r="AC158" s="22"/>
      <c r="AD158" s="22"/>
      <c r="AE158" s="22"/>
      <c r="AF158" s="22"/>
      <c r="AG158" s="100"/>
      <c r="AJ158" s="198"/>
    </row>
    <row r="159" spans="1:63" s="187" customFormat="1" ht="15.5" thickBot="1">
      <c r="A159" s="213" t="s">
        <v>1501</v>
      </c>
      <c r="B159" s="214"/>
      <c r="C159" s="215">
        <f t="shared" ref="C159:AG159" si="114">(C39*C63+C40*C99+C42*C130+C41*C145+C43*C154)/C44</f>
        <v>5.4779909070497762E-2</v>
      </c>
      <c r="D159" s="215">
        <f t="shared" si="114"/>
        <v>6.2210086919100717E-2</v>
      </c>
      <c r="E159" s="215">
        <f t="shared" si="114"/>
        <v>6.9645789014121134E-2</v>
      </c>
      <c r="F159" s="215">
        <f t="shared" si="114"/>
        <v>7.7087021518664617E-2</v>
      </c>
      <c r="G159" s="215">
        <f t="shared" si="114"/>
        <v>8.4533790605008013E-2</v>
      </c>
      <c r="H159" s="215">
        <f t="shared" si="114"/>
        <v>9.1986102454616497E-2</v>
      </c>
      <c r="I159" s="215">
        <f t="shared" si="114"/>
        <v>9.9717049450282189E-2</v>
      </c>
      <c r="J159" s="215">
        <f t="shared" si="114"/>
        <v>0.10749638000116954</v>
      </c>
      <c r="K159" s="215">
        <f t="shared" si="114"/>
        <v>0.1153245497403594</v>
      </c>
      <c r="L159" s="215">
        <f t="shared" si="114"/>
        <v>0.12320202003994117</v>
      </c>
      <c r="M159" s="215">
        <f t="shared" si="114"/>
        <v>0.13112925810165649</v>
      </c>
      <c r="N159" s="215">
        <f t="shared" si="114"/>
        <v>0.13914774662921331</v>
      </c>
      <c r="O159" s="215">
        <f t="shared" si="114"/>
        <v>0.14720720590134578</v>
      </c>
      <c r="P159" s="215">
        <f t="shared" si="114"/>
        <v>0.15497854157374633</v>
      </c>
      <c r="Q159" s="215">
        <f t="shared" si="114"/>
        <v>0.1627706228957547</v>
      </c>
      <c r="R159" s="215">
        <f t="shared" si="114"/>
        <v>0.17058386360265801</v>
      </c>
      <c r="S159" s="215">
        <f t="shared" si="114"/>
        <v>0.17841866377672608</v>
      </c>
      <c r="T159" s="215">
        <f t="shared" si="114"/>
        <v>0.18627548187936302</v>
      </c>
      <c r="U159" s="215">
        <f t="shared" si="114"/>
        <v>0.19415476594518866</v>
      </c>
      <c r="V159" s="215">
        <f t="shared" si="114"/>
        <v>0.20205697624768973</v>
      </c>
      <c r="W159" s="215">
        <f t="shared" si="114"/>
        <v>0.20998258572000245</v>
      </c>
      <c r="X159" s="215">
        <f t="shared" si="114"/>
        <v>0.21800915626683873</v>
      </c>
      <c r="Y159" s="215">
        <f t="shared" si="114"/>
        <v>0.22598997042110067</v>
      </c>
      <c r="Z159" s="215">
        <f t="shared" si="114"/>
        <v>0.23286059484468369</v>
      </c>
      <c r="AA159" s="215">
        <f t="shared" si="114"/>
        <v>0.239654872555426</v>
      </c>
      <c r="AB159" s="215">
        <f t="shared" si="114"/>
        <v>0.24636958658258884</v>
      </c>
      <c r="AC159" s="215">
        <f t="shared" si="114"/>
        <v>0.25302563410216961</v>
      </c>
      <c r="AD159" s="215">
        <f t="shared" si="114"/>
        <v>0.25959710341064668</v>
      </c>
      <c r="AE159" s="215">
        <f t="shared" si="114"/>
        <v>0.26608024772902933</v>
      </c>
      <c r="AF159" s="215">
        <f t="shared" si="114"/>
        <v>0.27247109565376887</v>
      </c>
      <c r="AG159" s="215">
        <f t="shared" si="114"/>
        <v>0.27876543406743748</v>
      </c>
      <c r="AJ159" s="452"/>
      <c r="AL159" s="204"/>
      <c r="AM159" s="211"/>
      <c r="AN159" s="211"/>
      <c r="AO159" s="211"/>
    </row>
    <row r="160" spans="1:63" s="187" customFormat="1" ht="16.25" thickTop="1" thickBot="1">
      <c r="A160" s="213"/>
      <c r="B160" s="214"/>
      <c r="C160" s="215"/>
      <c r="D160" s="215"/>
      <c r="E160" s="215"/>
      <c r="F160" s="215"/>
      <c r="G160" s="215"/>
      <c r="H160" s="215"/>
      <c r="I160" s="215"/>
      <c r="J160" s="215"/>
      <c r="K160" s="215"/>
      <c r="L160" s="215"/>
      <c r="M160" s="215"/>
      <c r="N160" s="215"/>
      <c r="O160" s="215"/>
      <c r="P160" s="215"/>
      <c r="Q160" s="215"/>
      <c r="R160" s="215"/>
      <c r="S160" s="215"/>
      <c r="T160" s="215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  <c r="AE160" s="215"/>
      <c r="AF160" s="215"/>
      <c r="AG160" s="215"/>
      <c r="AJ160" s="212"/>
      <c r="AL160" s="204"/>
      <c r="AM160" s="211"/>
      <c r="AN160" s="211"/>
      <c r="AO160" s="211"/>
    </row>
    <row r="161" spans="1:36" ht="15.5" thickTop="1">
      <c r="B161" s="123"/>
      <c r="C161" s="107"/>
      <c r="D161" s="22"/>
      <c r="E161" s="22"/>
      <c r="F161" s="22"/>
      <c r="G161" s="22"/>
      <c r="H161" s="22"/>
      <c r="I161" s="22"/>
      <c r="J161" s="22"/>
      <c r="K161" s="22"/>
      <c r="L161" s="22"/>
      <c r="M161" s="120"/>
      <c r="N161" s="104"/>
      <c r="O161" s="104"/>
      <c r="P161" s="104"/>
      <c r="Q161" s="104"/>
      <c r="R161" s="104"/>
      <c r="S161" s="104"/>
      <c r="T161" s="104"/>
      <c r="U161" s="104"/>
      <c r="V161" s="104"/>
      <c r="W161" s="120"/>
      <c r="X161" s="104"/>
      <c r="Y161" s="104"/>
      <c r="Z161" s="104"/>
      <c r="AA161" s="104"/>
      <c r="AB161" s="104"/>
      <c r="AC161" s="104"/>
      <c r="AD161" s="104"/>
      <c r="AE161" s="104"/>
      <c r="AF161" s="104"/>
      <c r="AG161" s="107"/>
    </row>
    <row r="162" spans="1:36">
      <c r="A162" t="s">
        <v>1502</v>
      </c>
      <c r="B162" s="123"/>
      <c r="C162" s="216">
        <f t="shared" ref="C162:AG162" si="115">C156+C147+C138+C136+C134+C110+C108+C106+C104+C77+C75+C73+C71+C69</f>
        <v>5810.5321893626915</v>
      </c>
      <c r="D162" s="216">
        <f t="shared" si="115"/>
        <v>6596.2036605473786</v>
      </c>
      <c r="E162" s="216">
        <f t="shared" si="115"/>
        <v>7381.8751317320657</v>
      </c>
      <c r="F162" s="216">
        <f t="shared" si="115"/>
        <v>8167.5466029167519</v>
      </c>
      <c r="G162" s="216">
        <f t="shared" si="115"/>
        <v>8953.2180741014381</v>
      </c>
      <c r="H162" s="216">
        <f t="shared" si="115"/>
        <v>9738.889545286127</v>
      </c>
      <c r="I162" s="216">
        <f t="shared" si="115"/>
        <v>10524.561016470812</v>
      </c>
      <c r="J162" s="216">
        <f t="shared" si="115"/>
        <v>11310.232487655499</v>
      </c>
      <c r="K162" s="216">
        <f t="shared" si="115"/>
        <v>12095.90395884019</v>
      </c>
      <c r="L162" s="216">
        <f t="shared" si="115"/>
        <v>12881.575430024875</v>
      </c>
      <c r="M162" s="216">
        <f t="shared" si="115"/>
        <v>13667.246901209564</v>
      </c>
      <c r="N162" s="216">
        <f t="shared" si="115"/>
        <v>14452.91837239425</v>
      </c>
      <c r="O162" s="216">
        <f t="shared" si="115"/>
        <v>15238.589843578939</v>
      </c>
      <c r="P162" s="216">
        <f t="shared" si="115"/>
        <v>15938.497859648631</v>
      </c>
      <c r="Q162" s="216">
        <f t="shared" si="115"/>
        <v>16630.038709365643</v>
      </c>
      <c r="R162" s="216">
        <f t="shared" si="115"/>
        <v>17313.212392729973</v>
      </c>
      <c r="S162" s="216">
        <f t="shared" si="115"/>
        <v>17988.018909741619</v>
      </c>
      <c r="T162" s="216">
        <f t="shared" si="115"/>
        <v>18654.458260400585</v>
      </c>
      <c r="U162" s="216">
        <f t="shared" si="115"/>
        <v>19312.530444706867</v>
      </c>
      <c r="V162" s="216">
        <f t="shared" si="115"/>
        <v>19962.235462660472</v>
      </c>
      <c r="W162" s="216">
        <f t="shared" si="115"/>
        <v>20603.573314261386</v>
      </c>
      <c r="X162" s="216">
        <f t="shared" si="115"/>
        <v>21236.543999509617</v>
      </c>
      <c r="Y162" s="216">
        <f t="shared" si="115"/>
        <v>21861.147518405174</v>
      </c>
      <c r="Z162" s="216">
        <f t="shared" si="115"/>
        <v>22222.185297191234</v>
      </c>
      <c r="AA162" s="216">
        <f t="shared" si="115"/>
        <v>22558.121576919249</v>
      </c>
      <c r="AB162" s="216">
        <f t="shared" si="115"/>
        <v>22868.956357589224</v>
      </c>
      <c r="AC162" s="216">
        <f t="shared" si="115"/>
        <v>23154.68963920114</v>
      </c>
      <c r="AD162" s="216">
        <f t="shared" si="115"/>
        <v>23415.321421755012</v>
      </c>
      <c r="AE162" s="216">
        <f t="shared" si="115"/>
        <v>23650.85170525084</v>
      </c>
      <c r="AF162" s="216">
        <f t="shared" si="115"/>
        <v>23861.28048968863</v>
      </c>
      <c r="AG162" s="216">
        <f t="shared" si="115"/>
        <v>24046.607775068358</v>
      </c>
      <c r="AH162" s="230"/>
      <c r="AI162" s="22">
        <f>(AG162/C162)^(1/30)-1</f>
        <v>4.8482687011351056E-2</v>
      </c>
      <c r="AJ162" s="490">
        <f>AG162-C162</f>
        <v>18236.075585705665</v>
      </c>
    </row>
    <row r="163" spans="1:36">
      <c r="A163" t="s">
        <v>1503</v>
      </c>
      <c r="B163" s="123"/>
      <c r="C163" s="216">
        <f>C162</f>
        <v>5810.5321893626915</v>
      </c>
      <c r="D163" s="216">
        <f>C163*(1+$AI$163)</f>
        <v>5907.5680769250484</v>
      </c>
      <c r="E163" s="216">
        <f t="shared" ref="E163:AG163" si="116">D163*(1+$AI$163)</f>
        <v>6006.2244638096963</v>
      </c>
      <c r="F163" s="216">
        <f t="shared" si="116"/>
        <v>6106.5284123553174</v>
      </c>
      <c r="G163" s="216">
        <f t="shared" si="116"/>
        <v>6208.5074368416508</v>
      </c>
      <c r="H163" s="216">
        <f t="shared" si="116"/>
        <v>6312.189511036906</v>
      </c>
      <c r="I163" s="216">
        <f t="shared" si="116"/>
        <v>6417.6030758712222</v>
      </c>
      <c r="J163" s="216">
        <f t="shared" si="116"/>
        <v>6524.7770472382708</v>
      </c>
      <c r="K163" s="216">
        <f t="shared" si="116"/>
        <v>6633.7408239271499</v>
      </c>
      <c r="L163" s="216">
        <f t="shared" si="116"/>
        <v>6744.5242956867332</v>
      </c>
      <c r="M163" s="216">
        <f>L163*(1+$AI$163)</f>
        <v>6857.1578514247012</v>
      </c>
      <c r="N163" s="216">
        <f t="shared" si="116"/>
        <v>6971.6723875434936</v>
      </c>
      <c r="O163" s="216">
        <f t="shared" si="116"/>
        <v>7088.0993164154697</v>
      </c>
      <c r="P163" s="216">
        <f t="shared" si="116"/>
        <v>7206.4705749996074</v>
      </c>
      <c r="Q163" s="216">
        <f t="shared" si="116"/>
        <v>7326.8186336021008</v>
      </c>
      <c r="R163" s="216">
        <f t="shared" si="116"/>
        <v>7449.176504783255</v>
      </c>
      <c r="S163" s="216">
        <f t="shared" si="116"/>
        <v>7573.5777524131354</v>
      </c>
      <c r="T163" s="216">
        <f t="shared" si="116"/>
        <v>7700.0565008784342</v>
      </c>
      <c r="U163" s="216">
        <f t="shared" si="116"/>
        <v>7828.6474444431033</v>
      </c>
      <c r="V163" s="216">
        <f t="shared" si="116"/>
        <v>7959.3858567653024</v>
      </c>
      <c r="W163" s="216">
        <f t="shared" si="116"/>
        <v>8092.3076005732828</v>
      </c>
      <c r="X163" s="216">
        <f t="shared" si="116"/>
        <v>8227.4491375028556</v>
      </c>
      <c r="Y163" s="216">
        <f t="shared" si="116"/>
        <v>8364.8475380991531</v>
      </c>
      <c r="Z163" s="216">
        <f t="shared" si="116"/>
        <v>8504.5404919854082</v>
      </c>
      <c r="AA163" s="216">
        <f t="shared" si="116"/>
        <v>8646.5663182015633</v>
      </c>
      <c r="AB163" s="216">
        <f t="shared" si="116"/>
        <v>8790.9639757155292</v>
      </c>
      <c r="AC163" s="216">
        <f t="shared" si="116"/>
        <v>8937.7730741099786</v>
      </c>
      <c r="AD163" s="216">
        <f t="shared" si="116"/>
        <v>9087.0338844476155</v>
      </c>
      <c r="AE163" s="216">
        <f t="shared" si="116"/>
        <v>9238.7873503178907</v>
      </c>
      <c r="AF163" s="216">
        <f t="shared" si="116"/>
        <v>9393.0750990681991</v>
      </c>
      <c r="AG163" s="216">
        <f t="shared" si="116"/>
        <v>9549.9394532226379</v>
      </c>
      <c r="AI163" s="201">
        <v>1.67E-2</v>
      </c>
      <c r="AJ163" s="3" t="s">
        <v>676</v>
      </c>
    </row>
    <row r="164" spans="1:36">
      <c r="B164" s="48"/>
    </row>
    <row r="165" spans="1:36" s="55" customFormat="1">
      <c r="A165" s="55" t="s">
        <v>703</v>
      </c>
      <c r="B165" s="282"/>
      <c r="C165" s="283"/>
      <c r="D165" s="283"/>
      <c r="E165" s="283"/>
      <c r="F165" s="283"/>
      <c r="G165" s="283"/>
      <c r="H165" s="283"/>
      <c r="I165" s="283"/>
      <c r="J165" s="283"/>
      <c r="K165" s="283"/>
      <c r="L165" s="283"/>
      <c r="M165" s="283"/>
      <c r="N165" s="283"/>
      <c r="O165" s="283"/>
      <c r="P165" s="283"/>
      <c r="Q165" s="283"/>
      <c r="R165" s="283"/>
      <c r="S165" s="283"/>
      <c r="T165" s="283"/>
      <c r="U165" s="283"/>
      <c r="V165" s="283"/>
      <c r="W165" s="283"/>
      <c r="X165" s="283"/>
      <c r="Y165" s="283"/>
      <c r="Z165" s="283"/>
      <c r="AA165" s="283"/>
      <c r="AB165" s="283"/>
      <c r="AC165" s="283"/>
      <c r="AD165" s="283"/>
      <c r="AE165" s="283"/>
      <c r="AF165" s="283"/>
      <c r="AG165" s="283"/>
      <c r="AI165" s="284"/>
      <c r="AJ165" s="285"/>
    </row>
    <row r="166" spans="1:36" s="178" customFormat="1" outlineLevel="1">
      <c r="A166" s="321" t="s">
        <v>706</v>
      </c>
      <c r="B166" s="297" t="s">
        <v>126</v>
      </c>
      <c r="C166" s="678">
        <v>0.84</v>
      </c>
      <c r="D166" s="298">
        <f>-($C166-$AG166)/30+C166</f>
        <v>0.83566666666666667</v>
      </c>
      <c r="E166" s="298">
        <f t="shared" ref="E166:AF172" si="117">-($C166-$AG166)/30+D166</f>
        <v>0.83133333333333337</v>
      </c>
      <c r="F166" s="298">
        <f t="shared" si="117"/>
        <v>0.82700000000000007</v>
      </c>
      <c r="G166" s="298">
        <f t="shared" si="117"/>
        <v>0.82266666666666677</v>
      </c>
      <c r="H166" s="298">
        <f t="shared" si="117"/>
        <v>0.81833333333333347</v>
      </c>
      <c r="I166" s="298">
        <f t="shared" si="117"/>
        <v>0.81400000000000017</v>
      </c>
      <c r="J166" s="298">
        <f t="shared" si="117"/>
        <v>0.80966666666666687</v>
      </c>
      <c r="K166" s="298">
        <f t="shared" si="117"/>
        <v>0.80533333333333357</v>
      </c>
      <c r="L166" s="298">
        <f t="shared" si="117"/>
        <v>0.80100000000000027</v>
      </c>
      <c r="M166" s="298">
        <f t="shared" si="117"/>
        <v>0.79666666666666697</v>
      </c>
      <c r="N166" s="298">
        <f t="shared" si="117"/>
        <v>0.79233333333333367</v>
      </c>
      <c r="O166" s="298">
        <f t="shared" si="117"/>
        <v>0.78800000000000037</v>
      </c>
      <c r="P166" s="298">
        <f t="shared" si="117"/>
        <v>0.78366666666666707</v>
      </c>
      <c r="Q166" s="298">
        <f t="shared" si="117"/>
        <v>0.77933333333333377</v>
      </c>
      <c r="R166" s="298">
        <f t="shared" si="117"/>
        <v>0.77500000000000047</v>
      </c>
      <c r="S166" s="298">
        <f t="shared" si="117"/>
        <v>0.77066666666666717</v>
      </c>
      <c r="T166" s="298">
        <f t="shared" si="117"/>
        <v>0.76633333333333387</v>
      </c>
      <c r="U166" s="298">
        <f t="shared" si="117"/>
        <v>0.76200000000000057</v>
      </c>
      <c r="V166" s="298">
        <f t="shared" si="117"/>
        <v>0.75766666666666727</v>
      </c>
      <c r="W166" s="298">
        <f t="shared" si="117"/>
        <v>0.75333333333333397</v>
      </c>
      <c r="X166" s="298">
        <f t="shared" si="117"/>
        <v>0.74900000000000067</v>
      </c>
      <c r="Y166" s="298">
        <f t="shared" si="117"/>
        <v>0.74466666666666737</v>
      </c>
      <c r="Z166" s="298">
        <f t="shared" si="117"/>
        <v>0.74033333333333406</v>
      </c>
      <c r="AA166" s="298">
        <f t="shared" si="117"/>
        <v>0.73600000000000076</v>
      </c>
      <c r="AB166" s="298">
        <f t="shared" si="117"/>
        <v>0.73166666666666746</v>
      </c>
      <c r="AC166" s="298">
        <f t="shared" si="117"/>
        <v>0.72733333333333416</v>
      </c>
      <c r="AD166" s="298">
        <f t="shared" si="117"/>
        <v>0.72300000000000086</v>
      </c>
      <c r="AE166" s="298">
        <f t="shared" si="117"/>
        <v>0.71866666666666756</v>
      </c>
      <c r="AF166" s="298">
        <f t="shared" si="117"/>
        <v>0.71433333333333426</v>
      </c>
      <c r="AG166" s="678">
        <v>0.71</v>
      </c>
      <c r="AI166" s="299"/>
      <c r="AJ166" t="s">
        <v>1614</v>
      </c>
    </row>
    <row r="167" spans="1:36" outlineLevel="1">
      <c r="A167" s="3" t="s">
        <v>698</v>
      </c>
      <c r="B167" s="281" t="s">
        <v>126</v>
      </c>
      <c r="C167" s="275">
        <v>0.16</v>
      </c>
      <c r="D167" s="296">
        <f t="shared" ref="D167:S172" si="118">-($C167-$AG167)/30+C167</f>
        <v>0.16206666666666666</v>
      </c>
      <c r="E167" s="296">
        <f t="shared" si="118"/>
        <v>0.16413333333333333</v>
      </c>
      <c r="F167" s="296">
        <f t="shared" si="118"/>
        <v>0.16619999999999999</v>
      </c>
      <c r="G167" s="296">
        <f t="shared" si="118"/>
        <v>0.16826666666666665</v>
      </c>
      <c r="H167" s="296">
        <f t="shared" si="118"/>
        <v>0.17033333333333331</v>
      </c>
      <c r="I167" s="296">
        <f t="shared" si="118"/>
        <v>0.17239999999999997</v>
      </c>
      <c r="J167" s="296">
        <f t="shared" si="118"/>
        <v>0.17446666666666663</v>
      </c>
      <c r="K167" s="296">
        <f t="shared" si="118"/>
        <v>0.17653333333333329</v>
      </c>
      <c r="L167" s="296">
        <f t="shared" si="118"/>
        <v>0.17859999999999995</v>
      </c>
      <c r="M167" s="296">
        <f t="shared" si="118"/>
        <v>0.18066666666666661</v>
      </c>
      <c r="N167" s="296">
        <f t="shared" si="118"/>
        <v>0.18273333333333328</v>
      </c>
      <c r="O167" s="296">
        <f t="shared" si="118"/>
        <v>0.18479999999999994</v>
      </c>
      <c r="P167" s="296">
        <f t="shared" si="118"/>
        <v>0.1868666666666666</v>
      </c>
      <c r="Q167" s="296">
        <f t="shared" si="118"/>
        <v>0.18893333333333326</v>
      </c>
      <c r="R167" s="296">
        <f t="shared" si="118"/>
        <v>0.19099999999999992</v>
      </c>
      <c r="S167" s="296">
        <f t="shared" si="118"/>
        <v>0.19306666666666658</v>
      </c>
      <c r="T167" s="296">
        <f t="shared" si="117"/>
        <v>0.19513333333333324</v>
      </c>
      <c r="U167" s="296">
        <f t="shared" si="117"/>
        <v>0.1971999999999999</v>
      </c>
      <c r="V167" s="296">
        <f t="shared" si="117"/>
        <v>0.19926666666666656</v>
      </c>
      <c r="W167" s="296">
        <f t="shared" si="117"/>
        <v>0.20133333333333323</v>
      </c>
      <c r="X167" s="296">
        <f t="shared" si="117"/>
        <v>0.20339999999999989</v>
      </c>
      <c r="Y167" s="296">
        <f t="shared" si="117"/>
        <v>0.20546666666666655</v>
      </c>
      <c r="Z167" s="296">
        <f t="shared" si="117"/>
        <v>0.20753333333333321</v>
      </c>
      <c r="AA167" s="296">
        <f t="shared" si="117"/>
        <v>0.20959999999999987</v>
      </c>
      <c r="AB167" s="296">
        <f t="shared" si="117"/>
        <v>0.21166666666666653</v>
      </c>
      <c r="AC167" s="296">
        <f t="shared" si="117"/>
        <v>0.21373333333333319</v>
      </c>
      <c r="AD167" s="296">
        <f t="shared" si="117"/>
        <v>0.21579999999999985</v>
      </c>
      <c r="AE167" s="296">
        <f t="shared" si="117"/>
        <v>0.21786666666666651</v>
      </c>
      <c r="AF167" s="296">
        <f t="shared" si="117"/>
        <v>0.21993333333333318</v>
      </c>
      <c r="AG167" s="275">
        <v>0.222</v>
      </c>
      <c r="AI167" s="201"/>
      <c r="AJ167" t="s">
        <v>1614</v>
      </c>
    </row>
    <row r="168" spans="1:36" outlineLevel="1">
      <c r="A168" s="3" t="s">
        <v>697</v>
      </c>
      <c r="B168" s="281" t="s">
        <v>126</v>
      </c>
      <c r="C168" s="275">
        <v>0.37</v>
      </c>
      <c r="D168" s="296">
        <f t="shared" si="118"/>
        <v>0.36270000000000002</v>
      </c>
      <c r="E168" s="296">
        <f t="shared" si="118"/>
        <v>0.35540000000000005</v>
      </c>
      <c r="F168" s="296">
        <f t="shared" si="118"/>
        <v>0.34810000000000008</v>
      </c>
      <c r="G168" s="296">
        <f t="shared" si="118"/>
        <v>0.3408000000000001</v>
      </c>
      <c r="H168" s="296">
        <f t="shared" si="118"/>
        <v>0.33350000000000013</v>
      </c>
      <c r="I168" s="296">
        <f t="shared" si="118"/>
        <v>0.32620000000000016</v>
      </c>
      <c r="J168" s="296">
        <f t="shared" si="118"/>
        <v>0.31890000000000018</v>
      </c>
      <c r="K168" s="296">
        <f t="shared" si="118"/>
        <v>0.31160000000000021</v>
      </c>
      <c r="L168" s="296">
        <f t="shared" si="118"/>
        <v>0.30430000000000024</v>
      </c>
      <c r="M168" s="296">
        <f t="shared" si="118"/>
        <v>0.29700000000000026</v>
      </c>
      <c r="N168" s="296">
        <f t="shared" si="118"/>
        <v>0.28970000000000029</v>
      </c>
      <c r="O168" s="296">
        <f t="shared" si="118"/>
        <v>0.28240000000000032</v>
      </c>
      <c r="P168" s="296">
        <f t="shared" si="118"/>
        <v>0.27510000000000034</v>
      </c>
      <c r="Q168" s="296">
        <f t="shared" si="118"/>
        <v>0.26780000000000037</v>
      </c>
      <c r="R168" s="296">
        <f t="shared" si="118"/>
        <v>0.2605000000000004</v>
      </c>
      <c r="S168" s="296">
        <f t="shared" si="118"/>
        <v>0.25320000000000042</v>
      </c>
      <c r="T168" s="296">
        <f t="shared" si="117"/>
        <v>0.24590000000000042</v>
      </c>
      <c r="U168" s="296">
        <f t="shared" si="117"/>
        <v>0.23860000000000042</v>
      </c>
      <c r="V168" s="296">
        <f t="shared" si="117"/>
        <v>0.23130000000000042</v>
      </c>
      <c r="W168" s="296">
        <f t="shared" si="117"/>
        <v>0.22400000000000042</v>
      </c>
      <c r="X168" s="296">
        <f t="shared" si="117"/>
        <v>0.21670000000000042</v>
      </c>
      <c r="Y168" s="296">
        <f t="shared" si="117"/>
        <v>0.20940000000000042</v>
      </c>
      <c r="Z168" s="296">
        <f t="shared" si="117"/>
        <v>0.20210000000000042</v>
      </c>
      <c r="AA168" s="296">
        <f t="shared" si="117"/>
        <v>0.19480000000000042</v>
      </c>
      <c r="AB168" s="296">
        <f t="shared" si="117"/>
        <v>0.18750000000000042</v>
      </c>
      <c r="AC168" s="296">
        <f t="shared" si="117"/>
        <v>0.18020000000000042</v>
      </c>
      <c r="AD168" s="296">
        <f t="shared" si="117"/>
        <v>0.17290000000000041</v>
      </c>
      <c r="AE168" s="296">
        <f t="shared" si="117"/>
        <v>0.16560000000000041</v>
      </c>
      <c r="AF168" s="296">
        <f t="shared" si="117"/>
        <v>0.15830000000000041</v>
      </c>
      <c r="AG168" s="275">
        <v>0.151</v>
      </c>
      <c r="AI168" s="201"/>
      <c r="AJ168" t="s">
        <v>1614</v>
      </c>
    </row>
    <row r="169" spans="1:36" outlineLevel="1">
      <c r="A169" s="3" t="s">
        <v>699</v>
      </c>
      <c r="B169" s="281" t="s">
        <v>126</v>
      </c>
      <c r="C169" s="275">
        <v>0.08</v>
      </c>
      <c r="D169" s="296">
        <f t="shared" si="118"/>
        <v>8.0100000000000005E-2</v>
      </c>
      <c r="E169" s="296">
        <f t="shared" si="118"/>
        <v>8.0200000000000007E-2</v>
      </c>
      <c r="F169" s="296">
        <f t="shared" si="118"/>
        <v>8.030000000000001E-2</v>
      </c>
      <c r="G169" s="296">
        <f t="shared" si="118"/>
        <v>8.0400000000000013E-2</v>
      </c>
      <c r="H169" s="296">
        <f t="shared" si="118"/>
        <v>8.0500000000000016E-2</v>
      </c>
      <c r="I169" s="296">
        <f t="shared" si="118"/>
        <v>8.0600000000000019E-2</v>
      </c>
      <c r="J169" s="296">
        <f t="shared" si="118"/>
        <v>8.0700000000000022E-2</v>
      </c>
      <c r="K169" s="296">
        <f t="shared" si="118"/>
        <v>8.0800000000000025E-2</v>
      </c>
      <c r="L169" s="296">
        <f t="shared" si="118"/>
        <v>8.0900000000000027E-2</v>
      </c>
      <c r="M169" s="296">
        <f t="shared" si="118"/>
        <v>8.100000000000003E-2</v>
      </c>
      <c r="N169" s="296">
        <f t="shared" si="118"/>
        <v>8.1100000000000033E-2</v>
      </c>
      <c r="O169" s="296">
        <f t="shared" si="118"/>
        <v>8.1200000000000036E-2</v>
      </c>
      <c r="P169" s="296">
        <f t="shared" si="118"/>
        <v>8.1300000000000039E-2</v>
      </c>
      <c r="Q169" s="296">
        <f t="shared" si="118"/>
        <v>8.1400000000000042E-2</v>
      </c>
      <c r="R169" s="296">
        <f t="shared" si="118"/>
        <v>8.1500000000000045E-2</v>
      </c>
      <c r="S169" s="296">
        <f t="shared" si="118"/>
        <v>8.1600000000000047E-2</v>
      </c>
      <c r="T169" s="296">
        <f t="shared" si="117"/>
        <v>8.170000000000005E-2</v>
      </c>
      <c r="U169" s="296">
        <f t="shared" si="117"/>
        <v>8.1800000000000053E-2</v>
      </c>
      <c r="V169" s="296">
        <f t="shared" si="117"/>
        <v>8.1900000000000056E-2</v>
      </c>
      <c r="W169" s="296">
        <f t="shared" si="117"/>
        <v>8.2000000000000059E-2</v>
      </c>
      <c r="X169" s="296">
        <f t="shared" si="117"/>
        <v>8.2100000000000062E-2</v>
      </c>
      <c r="Y169" s="296">
        <f t="shared" si="117"/>
        <v>8.2200000000000065E-2</v>
      </c>
      <c r="Z169" s="296">
        <f t="shared" si="117"/>
        <v>8.2300000000000068E-2</v>
      </c>
      <c r="AA169" s="296">
        <f t="shared" si="117"/>
        <v>8.240000000000007E-2</v>
      </c>
      <c r="AB169" s="296">
        <f t="shared" si="117"/>
        <v>8.2500000000000073E-2</v>
      </c>
      <c r="AC169" s="296">
        <f t="shared" si="117"/>
        <v>8.2600000000000076E-2</v>
      </c>
      <c r="AD169" s="296">
        <f t="shared" si="117"/>
        <v>8.2700000000000079E-2</v>
      </c>
      <c r="AE169" s="296">
        <f t="shared" si="117"/>
        <v>8.2800000000000082E-2</v>
      </c>
      <c r="AF169" s="296">
        <f t="shared" si="117"/>
        <v>8.2900000000000085E-2</v>
      </c>
      <c r="AG169" s="275">
        <v>8.3000000000000004E-2</v>
      </c>
      <c r="AI169" s="201"/>
      <c r="AJ169" t="s">
        <v>1614</v>
      </c>
    </row>
    <row r="170" spans="1:36" outlineLevel="1">
      <c r="A170" s="3" t="s">
        <v>700</v>
      </c>
      <c r="B170" s="281" t="s">
        <v>126</v>
      </c>
      <c r="C170" s="275">
        <v>0.27</v>
      </c>
      <c r="D170" s="296">
        <f t="shared" si="118"/>
        <v>0.27313333333333334</v>
      </c>
      <c r="E170" s="296">
        <f t="shared" si="118"/>
        <v>0.27626666666666666</v>
      </c>
      <c r="F170" s="296">
        <f t="shared" si="118"/>
        <v>0.27939999999999998</v>
      </c>
      <c r="G170" s="296">
        <f t="shared" si="118"/>
        <v>0.2825333333333333</v>
      </c>
      <c r="H170" s="296">
        <f t="shared" si="118"/>
        <v>0.28566666666666662</v>
      </c>
      <c r="I170" s="296">
        <f t="shared" si="118"/>
        <v>0.28879999999999995</v>
      </c>
      <c r="J170" s="296">
        <f t="shared" si="118"/>
        <v>0.29193333333333327</v>
      </c>
      <c r="K170" s="296">
        <f t="shared" si="118"/>
        <v>0.29506666666666659</v>
      </c>
      <c r="L170" s="296">
        <f t="shared" si="118"/>
        <v>0.29819999999999991</v>
      </c>
      <c r="M170" s="296">
        <f t="shared" si="118"/>
        <v>0.30133333333333323</v>
      </c>
      <c r="N170" s="296">
        <f t="shared" si="118"/>
        <v>0.30446666666666655</v>
      </c>
      <c r="O170" s="296">
        <f t="shared" si="118"/>
        <v>0.30759999999999987</v>
      </c>
      <c r="P170" s="296">
        <f t="shared" si="118"/>
        <v>0.31073333333333319</v>
      </c>
      <c r="Q170" s="296">
        <f t="shared" si="118"/>
        <v>0.31386666666666652</v>
      </c>
      <c r="R170" s="296">
        <f t="shared" si="118"/>
        <v>0.31699999999999984</v>
      </c>
      <c r="S170" s="296">
        <f t="shared" si="118"/>
        <v>0.32013333333333316</v>
      </c>
      <c r="T170" s="296">
        <f t="shared" si="117"/>
        <v>0.32326666666666648</v>
      </c>
      <c r="U170" s="296">
        <f t="shared" si="117"/>
        <v>0.3263999999999998</v>
      </c>
      <c r="V170" s="296">
        <f t="shared" si="117"/>
        <v>0.32953333333333312</v>
      </c>
      <c r="W170" s="296">
        <f t="shared" si="117"/>
        <v>0.33266666666666644</v>
      </c>
      <c r="X170" s="296">
        <f t="shared" si="117"/>
        <v>0.33579999999999977</v>
      </c>
      <c r="Y170" s="296">
        <f t="shared" si="117"/>
        <v>0.33893333333333309</v>
      </c>
      <c r="Z170" s="296">
        <f t="shared" si="117"/>
        <v>0.34206666666666641</v>
      </c>
      <c r="AA170" s="296">
        <f t="shared" si="117"/>
        <v>0.34519999999999973</v>
      </c>
      <c r="AB170" s="296">
        <f t="shared" si="117"/>
        <v>0.34833333333333305</v>
      </c>
      <c r="AC170" s="296">
        <f t="shared" si="117"/>
        <v>0.35146666666666637</v>
      </c>
      <c r="AD170" s="296">
        <f t="shared" si="117"/>
        <v>0.35459999999999969</v>
      </c>
      <c r="AE170" s="296">
        <f t="shared" si="117"/>
        <v>0.35773333333333301</v>
      </c>
      <c r="AF170" s="296">
        <f t="shared" si="117"/>
        <v>0.36086666666666634</v>
      </c>
      <c r="AG170" s="275">
        <v>0.36399999999999999</v>
      </c>
      <c r="AI170" s="201"/>
      <c r="AJ170" t="s">
        <v>1614</v>
      </c>
    </row>
    <row r="171" spans="1:36" outlineLevel="1">
      <c r="A171" s="3" t="s">
        <v>701</v>
      </c>
      <c r="B171" s="281" t="s">
        <v>126</v>
      </c>
      <c r="C171" s="275">
        <v>7.0000000000000007E-2</v>
      </c>
      <c r="D171" s="296">
        <f t="shared" si="118"/>
        <v>7.1266666666666673E-2</v>
      </c>
      <c r="E171" s="296">
        <f t="shared" si="118"/>
        <v>7.2533333333333339E-2</v>
      </c>
      <c r="F171" s="296">
        <f t="shared" si="118"/>
        <v>7.3800000000000004E-2</v>
      </c>
      <c r="G171" s="296">
        <f t="shared" si="118"/>
        <v>7.506666666666667E-2</v>
      </c>
      <c r="H171" s="296">
        <f t="shared" si="118"/>
        <v>7.6333333333333336E-2</v>
      </c>
      <c r="I171" s="296">
        <f t="shared" si="118"/>
        <v>7.7600000000000002E-2</v>
      </c>
      <c r="J171" s="296">
        <f t="shared" si="118"/>
        <v>7.8866666666666668E-2</v>
      </c>
      <c r="K171" s="296">
        <f t="shared" si="118"/>
        <v>8.0133333333333334E-2</v>
      </c>
      <c r="L171" s="296">
        <f t="shared" si="118"/>
        <v>8.14E-2</v>
      </c>
      <c r="M171" s="296">
        <f t="shared" si="118"/>
        <v>8.2666666666666666E-2</v>
      </c>
      <c r="N171" s="296">
        <f t="shared" si="118"/>
        <v>8.3933333333333332E-2</v>
      </c>
      <c r="O171" s="296">
        <f t="shared" si="118"/>
        <v>8.5199999999999998E-2</v>
      </c>
      <c r="P171" s="296">
        <f t="shared" si="118"/>
        <v>8.6466666666666664E-2</v>
      </c>
      <c r="Q171" s="296">
        <f t="shared" si="118"/>
        <v>8.773333333333333E-2</v>
      </c>
      <c r="R171" s="296">
        <f t="shared" si="118"/>
        <v>8.8999999999999996E-2</v>
      </c>
      <c r="S171" s="296">
        <f t="shared" si="118"/>
        <v>9.0266666666666662E-2</v>
      </c>
      <c r="T171" s="296">
        <f t="shared" si="117"/>
        <v>9.1533333333333328E-2</v>
      </c>
      <c r="U171" s="296">
        <f t="shared" si="117"/>
        <v>9.2799999999999994E-2</v>
      </c>
      <c r="V171" s="296">
        <f t="shared" si="117"/>
        <v>9.406666666666666E-2</v>
      </c>
      <c r="W171" s="296">
        <f t="shared" si="117"/>
        <v>9.5333333333333325E-2</v>
      </c>
      <c r="X171" s="296">
        <f t="shared" si="117"/>
        <v>9.6599999999999991E-2</v>
      </c>
      <c r="Y171" s="296">
        <f t="shared" si="117"/>
        <v>9.7866666666666657E-2</v>
      </c>
      <c r="Z171" s="296">
        <f t="shared" si="117"/>
        <v>9.9133333333333323E-2</v>
      </c>
      <c r="AA171" s="296">
        <f t="shared" si="117"/>
        <v>0.10039999999999999</v>
      </c>
      <c r="AB171" s="296">
        <f t="shared" si="117"/>
        <v>0.10166666666666666</v>
      </c>
      <c r="AC171" s="296">
        <f t="shared" si="117"/>
        <v>0.10293333333333332</v>
      </c>
      <c r="AD171" s="296">
        <f t="shared" si="117"/>
        <v>0.10419999999999999</v>
      </c>
      <c r="AE171" s="296">
        <f t="shared" si="117"/>
        <v>0.10546666666666665</v>
      </c>
      <c r="AF171" s="296">
        <f t="shared" si="117"/>
        <v>0.10673333333333332</v>
      </c>
      <c r="AG171" s="275">
        <v>0.108</v>
      </c>
      <c r="AI171" s="201"/>
      <c r="AJ171" t="s">
        <v>1614</v>
      </c>
    </row>
    <row r="172" spans="1:36" outlineLevel="1">
      <c r="A172" s="3" t="s">
        <v>702</v>
      </c>
      <c r="B172" s="281" t="s">
        <v>126</v>
      </c>
      <c r="C172" s="275">
        <v>0.05</v>
      </c>
      <c r="D172" s="296">
        <f t="shared" si="118"/>
        <v>5.0733333333333339E-2</v>
      </c>
      <c r="E172" s="296">
        <f t="shared" si="118"/>
        <v>5.1466666666666674E-2</v>
      </c>
      <c r="F172" s="296">
        <f t="shared" si="118"/>
        <v>5.220000000000001E-2</v>
      </c>
      <c r="G172" s="296">
        <f t="shared" si="118"/>
        <v>5.2933333333333346E-2</v>
      </c>
      <c r="H172" s="296">
        <f t="shared" si="118"/>
        <v>5.3666666666666682E-2</v>
      </c>
      <c r="I172" s="296">
        <f t="shared" si="118"/>
        <v>5.4400000000000018E-2</v>
      </c>
      <c r="J172" s="296">
        <f t="shared" si="118"/>
        <v>5.5133333333333354E-2</v>
      </c>
      <c r="K172" s="296">
        <f t="shared" si="118"/>
        <v>5.5866666666666689E-2</v>
      </c>
      <c r="L172" s="296">
        <f t="shared" si="118"/>
        <v>5.6600000000000025E-2</v>
      </c>
      <c r="M172" s="296">
        <f t="shared" si="118"/>
        <v>5.7333333333333361E-2</v>
      </c>
      <c r="N172" s="296">
        <f t="shared" si="118"/>
        <v>5.8066666666666697E-2</v>
      </c>
      <c r="O172" s="296">
        <f t="shared" si="118"/>
        <v>5.8800000000000033E-2</v>
      </c>
      <c r="P172" s="296">
        <f t="shared" si="118"/>
        <v>5.9533333333333369E-2</v>
      </c>
      <c r="Q172" s="296">
        <f t="shared" si="118"/>
        <v>6.0266666666666704E-2</v>
      </c>
      <c r="R172" s="296">
        <f t="shared" si="118"/>
        <v>6.100000000000004E-2</v>
      </c>
      <c r="S172" s="296">
        <f t="shared" si="118"/>
        <v>6.1733333333333376E-2</v>
      </c>
      <c r="T172" s="296">
        <f t="shared" si="117"/>
        <v>6.2466666666666712E-2</v>
      </c>
      <c r="U172" s="296">
        <f t="shared" si="117"/>
        <v>6.3200000000000048E-2</v>
      </c>
      <c r="V172" s="296">
        <f t="shared" si="117"/>
        <v>6.3933333333333384E-2</v>
      </c>
      <c r="W172" s="296">
        <f t="shared" si="117"/>
        <v>6.4666666666666719E-2</v>
      </c>
      <c r="X172" s="296">
        <f t="shared" si="117"/>
        <v>6.5400000000000055E-2</v>
      </c>
      <c r="Y172" s="296">
        <f t="shared" si="117"/>
        <v>6.6133333333333391E-2</v>
      </c>
      <c r="Z172" s="296">
        <f t="shared" si="117"/>
        <v>6.6866666666666727E-2</v>
      </c>
      <c r="AA172" s="296">
        <f t="shared" si="117"/>
        <v>6.7600000000000063E-2</v>
      </c>
      <c r="AB172" s="296">
        <f t="shared" si="117"/>
        <v>6.8333333333333399E-2</v>
      </c>
      <c r="AC172" s="296">
        <f t="shared" si="117"/>
        <v>6.9066666666666734E-2</v>
      </c>
      <c r="AD172" s="296">
        <f t="shared" si="117"/>
        <v>6.980000000000007E-2</v>
      </c>
      <c r="AE172" s="296">
        <f t="shared" si="117"/>
        <v>7.0533333333333406E-2</v>
      </c>
      <c r="AF172" s="296">
        <f t="shared" si="117"/>
        <v>7.1266666666666742E-2</v>
      </c>
      <c r="AG172" s="275">
        <v>7.1999999999999995E-2</v>
      </c>
      <c r="AI172" s="201"/>
      <c r="AJ172" t="s">
        <v>1614</v>
      </c>
    </row>
    <row r="173" spans="1:36" s="55" customFormat="1" outlineLevel="1">
      <c r="A173" s="285" t="s">
        <v>704</v>
      </c>
      <c r="B173" s="282"/>
      <c r="C173" s="283"/>
      <c r="D173" s="283"/>
      <c r="E173" s="283"/>
      <c r="F173" s="283"/>
      <c r="G173" s="283"/>
      <c r="H173" s="283"/>
      <c r="I173" s="283"/>
      <c r="J173" s="283"/>
      <c r="K173" s="283"/>
      <c r="L173" s="283"/>
      <c r="M173" s="283"/>
      <c r="N173" s="283"/>
      <c r="O173" s="283"/>
      <c r="P173" s="283"/>
      <c r="Q173" s="283"/>
      <c r="R173" s="283"/>
      <c r="S173" s="283"/>
      <c r="T173" s="283"/>
      <c r="U173" s="283"/>
      <c r="V173" s="283"/>
      <c r="W173" s="283"/>
      <c r="X173" s="283"/>
      <c r="Y173" s="283"/>
      <c r="Z173" s="283"/>
      <c r="AA173" s="283"/>
      <c r="AB173" s="283"/>
      <c r="AC173" s="283"/>
      <c r="AD173" s="283"/>
      <c r="AE173" s="283"/>
      <c r="AF173" s="283"/>
      <c r="AG173" s="283"/>
      <c r="AI173" s="284"/>
      <c r="AJ173" s="285"/>
    </row>
    <row r="174" spans="1:36" s="55" customFormat="1" outlineLevel="1">
      <c r="A174" s="286" t="s">
        <v>732</v>
      </c>
      <c r="B174" s="287" t="s">
        <v>126</v>
      </c>
      <c r="C174" s="314">
        <v>0.84</v>
      </c>
      <c r="D174" s="315">
        <f>-($C174-$AG174)/30+C174</f>
        <v>0.84399999999999997</v>
      </c>
      <c r="E174" s="315">
        <f t="shared" ref="E174:AF175" si="119">-($C174-$AG174)/30+D174</f>
        <v>0.84799999999999998</v>
      </c>
      <c r="F174" s="315">
        <f t="shared" si="119"/>
        <v>0.85199999999999998</v>
      </c>
      <c r="G174" s="315">
        <f t="shared" si="119"/>
        <v>0.85599999999999998</v>
      </c>
      <c r="H174" s="315">
        <f t="shared" si="119"/>
        <v>0.86</v>
      </c>
      <c r="I174" s="315">
        <f t="shared" si="119"/>
        <v>0.86399999999999999</v>
      </c>
      <c r="J174" s="315">
        <f t="shared" si="119"/>
        <v>0.86799999999999999</v>
      </c>
      <c r="K174" s="315">
        <f t="shared" si="119"/>
        <v>0.872</v>
      </c>
      <c r="L174" s="315">
        <f t="shared" si="119"/>
        <v>0.876</v>
      </c>
      <c r="M174" s="315">
        <f t="shared" si="119"/>
        <v>0.88</v>
      </c>
      <c r="N174" s="315">
        <f t="shared" si="119"/>
        <v>0.88400000000000001</v>
      </c>
      <c r="O174" s="315">
        <f t="shared" si="119"/>
        <v>0.88800000000000001</v>
      </c>
      <c r="P174" s="315">
        <f t="shared" si="119"/>
        <v>0.89200000000000002</v>
      </c>
      <c r="Q174" s="315">
        <f t="shared" si="119"/>
        <v>0.89600000000000002</v>
      </c>
      <c r="R174" s="315">
        <f t="shared" si="119"/>
        <v>0.9</v>
      </c>
      <c r="S174" s="315">
        <f t="shared" si="119"/>
        <v>0.90400000000000003</v>
      </c>
      <c r="T174" s="315">
        <f t="shared" si="119"/>
        <v>0.90800000000000003</v>
      </c>
      <c r="U174" s="315">
        <f t="shared" si="119"/>
        <v>0.91200000000000003</v>
      </c>
      <c r="V174" s="315">
        <f t="shared" si="119"/>
        <v>0.91600000000000004</v>
      </c>
      <c r="W174" s="315">
        <f t="shared" si="119"/>
        <v>0.92</v>
      </c>
      <c r="X174" s="315">
        <f t="shared" si="119"/>
        <v>0.92400000000000004</v>
      </c>
      <c r="Y174" s="315">
        <f t="shared" si="119"/>
        <v>0.92800000000000005</v>
      </c>
      <c r="Z174" s="315">
        <f t="shared" si="119"/>
        <v>0.93200000000000005</v>
      </c>
      <c r="AA174" s="315">
        <f t="shared" si="119"/>
        <v>0.93600000000000005</v>
      </c>
      <c r="AB174" s="315">
        <f t="shared" si="119"/>
        <v>0.94000000000000006</v>
      </c>
      <c r="AC174" s="315">
        <f t="shared" si="119"/>
        <v>0.94400000000000006</v>
      </c>
      <c r="AD174" s="315">
        <f t="shared" si="119"/>
        <v>0.94800000000000006</v>
      </c>
      <c r="AE174" s="315">
        <f t="shared" si="119"/>
        <v>0.95200000000000007</v>
      </c>
      <c r="AF174" s="315">
        <f t="shared" si="119"/>
        <v>0.95600000000000007</v>
      </c>
      <c r="AG174" s="314">
        <v>0.96</v>
      </c>
      <c r="AI174" s="284"/>
      <c r="AJ174" s="316" t="s">
        <v>1614</v>
      </c>
    </row>
    <row r="175" spans="1:36" s="55" customFormat="1" outlineLevel="1">
      <c r="A175" s="286" t="s">
        <v>743</v>
      </c>
      <c r="B175" s="287" t="s">
        <v>126</v>
      </c>
      <c r="C175" s="314">
        <v>0.22</v>
      </c>
      <c r="D175" s="315">
        <f>-($C175-$AG175)/30+C175</f>
        <v>0.22666666666666666</v>
      </c>
      <c r="E175" s="315">
        <f t="shared" si="119"/>
        <v>0.23333333333333331</v>
      </c>
      <c r="F175" s="315">
        <f t="shared" si="119"/>
        <v>0.23999999999999996</v>
      </c>
      <c r="G175" s="315">
        <f t="shared" si="119"/>
        <v>0.24666666666666662</v>
      </c>
      <c r="H175" s="315">
        <f t="shared" si="119"/>
        <v>0.2533333333333333</v>
      </c>
      <c r="I175" s="315">
        <f t="shared" si="119"/>
        <v>0.25999999999999995</v>
      </c>
      <c r="J175" s="315">
        <f t="shared" si="119"/>
        <v>0.26666666666666661</v>
      </c>
      <c r="K175" s="315">
        <f t="shared" si="119"/>
        <v>0.27333333333333326</v>
      </c>
      <c r="L175" s="315">
        <f t="shared" si="119"/>
        <v>0.27999999999999992</v>
      </c>
      <c r="M175" s="315">
        <f t="shared" si="119"/>
        <v>0.28666666666666657</v>
      </c>
      <c r="N175" s="315">
        <f t="shared" si="119"/>
        <v>0.29333333333333322</v>
      </c>
      <c r="O175" s="315">
        <f t="shared" si="119"/>
        <v>0.29999999999999988</v>
      </c>
      <c r="P175" s="315">
        <f t="shared" si="119"/>
        <v>0.30666666666666653</v>
      </c>
      <c r="Q175" s="315">
        <f t="shared" si="119"/>
        <v>0.31333333333333319</v>
      </c>
      <c r="R175" s="315">
        <f t="shared" si="119"/>
        <v>0.31999999999999984</v>
      </c>
      <c r="S175" s="315">
        <f t="shared" si="119"/>
        <v>0.32666666666666649</v>
      </c>
      <c r="T175" s="315">
        <f t="shared" si="119"/>
        <v>0.33333333333333315</v>
      </c>
      <c r="U175" s="315">
        <f t="shared" si="119"/>
        <v>0.3399999999999998</v>
      </c>
      <c r="V175" s="315">
        <f t="shared" si="119"/>
        <v>0.34666666666666646</v>
      </c>
      <c r="W175" s="315">
        <f t="shared" si="119"/>
        <v>0.35333333333333311</v>
      </c>
      <c r="X175" s="315">
        <f t="shared" si="119"/>
        <v>0.35999999999999976</v>
      </c>
      <c r="Y175" s="315">
        <f t="shared" si="119"/>
        <v>0.36666666666666642</v>
      </c>
      <c r="Z175" s="315">
        <f t="shared" si="119"/>
        <v>0.37333333333333307</v>
      </c>
      <c r="AA175" s="315">
        <f t="shared" si="119"/>
        <v>0.37999999999999973</v>
      </c>
      <c r="AB175" s="315">
        <f t="shared" si="119"/>
        <v>0.38666666666666638</v>
      </c>
      <c r="AC175" s="315">
        <f t="shared" si="119"/>
        <v>0.39333333333333304</v>
      </c>
      <c r="AD175" s="315">
        <f t="shared" si="119"/>
        <v>0.39999999999999969</v>
      </c>
      <c r="AE175" s="315">
        <f t="shared" si="119"/>
        <v>0.40666666666666634</v>
      </c>
      <c r="AF175" s="315">
        <f t="shared" si="119"/>
        <v>0.413333333333333</v>
      </c>
      <c r="AG175" s="314">
        <v>0.42</v>
      </c>
      <c r="AI175" s="284"/>
      <c r="AJ175" s="316" t="s">
        <v>1614</v>
      </c>
    </row>
    <row r="176" spans="1:36" s="59" customFormat="1" outlineLevel="1">
      <c r="A176" s="290" t="s">
        <v>744</v>
      </c>
      <c r="B176" s="291" t="s">
        <v>126</v>
      </c>
      <c r="C176" s="317">
        <f>1-C175</f>
        <v>0.78</v>
      </c>
      <c r="D176" s="317">
        <f t="shared" ref="D176:AG176" si="120">1-D175</f>
        <v>0.77333333333333332</v>
      </c>
      <c r="E176" s="317">
        <f t="shared" si="120"/>
        <v>0.76666666666666672</v>
      </c>
      <c r="F176" s="317">
        <f t="shared" si="120"/>
        <v>0.76</v>
      </c>
      <c r="G176" s="317">
        <f t="shared" si="120"/>
        <v>0.75333333333333341</v>
      </c>
      <c r="H176" s="317">
        <f t="shared" si="120"/>
        <v>0.7466666666666667</v>
      </c>
      <c r="I176" s="317">
        <f t="shared" si="120"/>
        <v>0.74</v>
      </c>
      <c r="J176" s="317">
        <f t="shared" si="120"/>
        <v>0.73333333333333339</v>
      </c>
      <c r="K176" s="317">
        <f t="shared" si="120"/>
        <v>0.72666666666666679</v>
      </c>
      <c r="L176" s="317">
        <f t="shared" si="120"/>
        <v>0.72000000000000008</v>
      </c>
      <c r="M176" s="317">
        <f t="shared" si="120"/>
        <v>0.71333333333333337</v>
      </c>
      <c r="N176" s="317">
        <f t="shared" si="120"/>
        <v>0.70666666666666678</v>
      </c>
      <c r="O176" s="317">
        <f t="shared" si="120"/>
        <v>0.70000000000000018</v>
      </c>
      <c r="P176" s="317">
        <f t="shared" si="120"/>
        <v>0.69333333333333347</v>
      </c>
      <c r="Q176" s="317">
        <f t="shared" si="120"/>
        <v>0.68666666666666676</v>
      </c>
      <c r="R176" s="317">
        <f t="shared" si="120"/>
        <v>0.68000000000000016</v>
      </c>
      <c r="S176" s="317">
        <f t="shared" si="120"/>
        <v>0.67333333333333356</v>
      </c>
      <c r="T176" s="317">
        <f t="shared" si="120"/>
        <v>0.66666666666666685</v>
      </c>
      <c r="U176" s="317">
        <f t="shared" si="120"/>
        <v>0.66000000000000014</v>
      </c>
      <c r="V176" s="317">
        <f t="shared" si="120"/>
        <v>0.65333333333333354</v>
      </c>
      <c r="W176" s="317">
        <f t="shared" si="120"/>
        <v>0.64666666666666694</v>
      </c>
      <c r="X176" s="317">
        <f t="shared" si="120"/>
        <v>0.64000000000000024</v>
      </c>
      <c r="Y176" s="317">
        <f t="shared" si="120"/>
        <v>0.63333333333333353</v>
      </c>
      <c r="Z176" s="317">
        <f t="shared" si="120"/>
        <v>0.62666666666666693</v>
      </c>
      <c r="AA176" s="317">
        <f t="shared" si="120"/>
        <v>0.62000000000000033</v>
      </c>
      <c r="AB176" s="317">
        <f t="shared" si="120"/>
        <v>0.61333333333333362</v>
      </c>
      <c r="AC176" s="317">
        <f t="shared" si="120"/>
        <v>0.60666666666666691</v>
      </c>
      <c r="AD176" s="317">
        <f t="shared" si="120"/>
        <v>0.60000000000000031</v>
      </c>
      <c r="AE176" s="317">
        <f t="shared" si="120"/>
        <v>0.59333333333333371</v>
      </c>
      <c r="AF176" s="317">
        <f t="shared" si="120"/>
        <v>0.586666666666667</v>
      </c>
      <c r="AG176" s="317">
        <f t="shared" si="120"/>
        <v>0.58000000000000007</v>
      </c>
      <c r="AI176" s="319"/>
      <c r="AJ176" s="318" t="s">
        <v>1614</v>
      </c>
    </row>
    <row r="177" spans="1:36" s="1" customFormat="1" outlineLevel="1">
      <c r="A177" t="s">
        <v>725</v>
      </c>
      <c r="B177" s="281" t="s">
        <v>126</v>
      </c>
      <c r="C177" s="275">
        <v>0.85</v>
      </c>
      <c r="D177" s="296">
        <f t="shared" ref="D177:S192" si="121">-($C177-$AG177)/30+C177</f>
        <v>0.84833333333333327</v>
      </c>
      <c r="E177" s="296">
        <f t="shared" si="121"/>
        <v>0.84666666666666657</v>
      </c>
      <c r="F177" s="296">
        <f t="shared" si="121"/>
        <v>0.84499999999999986</v>
      </c>
      <c r="G177" s="296">
        <f t="shared" si="121"/>
        <v>0.84333333333333316</v>
      </c>
      <c r="H177" s="296">
        <f t="shared" si="121"/>
        <v>0.84166666666666645</v>
      </c>
      <c r="I177" s="296">
        <f t="shared" si="121"/>
        <v>0.83999999999999975</v>
      </c>
      <c r="J177" s="296">
        <f t="shared" si="121"/>
        <v>0.83833333333333304</v>
      </c>
      <c r="K177" s="296">
        <f t="shared" si="121"/>
        <v>0.83666666666666634</v>
      </c>
      <c r="L177" s="296">
        <f t="shared" si="121"/>
        <v>0.83499999999999963</v>
      </c>
      <c r="M177" s="296">
        <f t="shared" si="121"/>
        <v>0.83333333333333293</v>
      </c>
      <c r="N177" s="296">
        <f t="shared" si="121"/>
        <v>0.83166666666666622</v>
      </c>
      <c r="O177" s="296">
        <f t="shared" si="121"/>
        <v>0.82999999999999952</v>
      </c>
      <c r="P177" s="296">
        <f t="shared" si="121"/>
        <v>0.82833333333333281</v>
      </c>
      <c r="Q177" s="296">
        <f t="shared" si="121"/>
        <v>0.82666666666666611</v>
      </c>
      <c r="R177" s="296">
        <f t="shared" si="121"/>
        <v>0.8249999999999994</v>
      </c>
      <c r="S177" s="296">
        <f t="shared" si="121"/>
        <v>0.8233333333333327</v>
      </c>
      <c r="T177" s="296">
        <f t="shared" ref="T177:AF191" si="122">-($C177-$AG177)/30+S177</f>
        <v>0.82166666666666599</v>
      </c>
      <c r="U177" s="296">
        <f t="shared" si="122"/>
        <v>0.81999999999999929</v>
      </c>
      <c r="V177" s="296">
        <f t="shared" si="122"/>
        <v>0.81833333333333258</v>
      </c>
      <c r="W177" s="296">
        <f t="shared" si="122"/>
        <v>0.81666666666666587</v>
      </c>
      <c r="X177" s="296">
        <f t="shared" si="122"/>
        <v>0.81499999999999917</v>
      </c>
      <c r="Y177" s="296">
        <f t="shared" si="122"/>
        <v>0.81333333333333246</v>
      </c>
      <c r="Z177" s="296">
        <f t="shared" si="122"/>
        <v>0.81166666666666576</v>
      </c>
      <c r="AA177" s="296">
        <f t="shared" si="122"/>
        <v>0.80999999999999905</v>
      </c>
      <c r="AB177" s="296">
        <f t="shared" si="122"/>
        <v>0.80833333333333235</v>
      </c>
      <c r="AC177" s="296">
        <f t="shared" si="122"/>
        <v>0.80666666666666564</v>
      </c>
      <c r="AD177" s="296">
        <f t="shared" si="122"/>
        <v>0.80499999999999894</v>
      </c>
      <c r="AE177" s="296">
        <f t="shared" si="122"/>
        <v>0.80333333333333223</v>
      </c>
      <c r="AF177" s="296">
        <f t="shared" si="122"/>
        <v>0.80166666666666553</v>
      </c>
      <c r="AG177" s="275">
        <v>0.8</v>
      </c>
      <c r="AI177" s="295"/>
      <c r="AJ177" s="198" t="s">
        <v>1614</v>
      </c>
    </row>
    <row r="178" spans="1:36" s="1" customFormat="1" outlineLevel="1">
      <c r="A178" t="s">
        <v>731</v>
      </c>
      <c r="B178" s="281" t="s">
        <v>126</v>
      </c>
      <c r="C178" s="275">
        <v>0.15</v>
      </c>
      <c r="D178" s="296">
        <f t="shared" si="121"/>
        <v>0.15166666666666667</v>
      </c>
      <c r="E178" s="296">
        <f t="shared" si="121"/>
        <v>0.15333333333333335</v>
      </c>
      <c r="F178" s="296">
        <f t="shared" si="121"/>
        <v>0.15500000000000003</v>
      </c>
      <c r="G178" s="296">
        <f t="shared" si="121"/>
        <v>0.1566666666666667</v>
      </c>
      <c r="H178" s="296">
        <f t="shared" si="121"/>
        <v>0.15833333333333338</v>
      </c>
      <c r="I178" s="296">
        <f t="shared" si="121"/>
        <v>0.16000000000000006</v>
      </c>
      <c r="J178" s="296">
        <f t="shared" si="121"/>
        <v>0.16166666666666674</v>
      </c>
      <c r="K178" s="296">
        <f t="shared" si="121"/>
        <v>0.16333333333333341</v>
      </c>
      <c r="L178" s="296">
        <f t="shared" si="121"/>
        <v>0.16500000000000009</v>
      </c>
      <c r="M178" s="296">
        <f t="shared" si="121"/>
        <v>0.16666666666666677</v>
      </c>
      <c r="N178" s="296">
        <f t="shared" si="121"/>
        <v>0.16833333333333345</v>
      </c>
      <c r="O178" s="296">
        <f t="shared" si="121"/>
        <v>0.17000000000000012</v>
      </c>
      <c r="P178" s="296">
        <f t="shared" si="121"/>
        <v>0.1716666666666668</v>
      </c>
      <c r="Q178" s="296">
        <f t="shared" si="121"/>
        <v>0.17333333333333348</v>
      </c>
      <c r="R178" s="296">
        <f t="shared" si="121"/>
        <v>0.17500000000000016</v>
      </c>
      <c r="S178" s="296">
        <f t="shared" si="121"/>
        <v>0.17666666666666683</v>
      </c>
      <c r="T178" s="296">
        <f t="shared" si="122"/>
        <v>0.17833333333333351</v>
      </c>
      <c r="U178" s="296">
        <f t="shared" si="122"/>
        <v>0.18000000000000019</v>
      </c>
      <c r="V178" s="296">
        <f t="shared" si="122"/>
        <v>0.18166666666666687</v>
      </c>
      <c r="W178" s="296">
        <f t="shared" si="122"/>
        <v>0.18333333333333354</v>
      </c>
      <c r="X178" s="296">
        <f t="shared" si="122"/>
        <v>0.18500000000000022</v>
      </c>
      <c r="Y178" s="296">
        <f t="shared" si="122"/>
        <v>0.1866666666666669</v>
      </c>
      <c r="Z178" s="296">
        <f t="shared" si="122"/>
        <v>0.18833333333333357</v>
      </c>
      <c r="AA178" s="296">
        <f t="shared" si="122"/>
        <v>0.19000000000000025</v>
      </c>
      <c r="AB178" s="296">
        <f t="shared" si="122"/>
        <v>0.19166666666666693</v>
      </c>
      <c r="AC178" s="296">
        <f t="shared" si="122"/>
        <v>0.19333333333333361</v>
      </c>
      <c r="AD178" s="296">
        <f t="shared" si="122"/>
        <v>0.19500000000000028</v>
      </c>
      <c r="AE178" s="296">
        <f t="shared" si="122"/>
        <v>0.19666666666666696</v>
      </c>
      <c r="AF178" s="296">
        <f t="shared" si="122"/>
        <v>0.19833333333333364</v>
      </c>
      <c r="AG178" s="275">
        <v>0.2</v>
      </c>
      <c r="AI178" s="410" t="s">
        <v>858</v>
      </c>
      <c r="AJ178" s="198" t="s">
        <v>1614</v>
      </c>
    </row>
    <row r="179" spans="1:36" s="1" customFormat="1" outlineLevel="1">
      <c r="A179" t="s">
        <v>726</v>
      </c>
      <c r="B179" s="281" t="s">
        <v>126</v>
      </c>
      <c r="C179" s="275">
        <v>0.15</v>
      </c>
      <c r="D179" s="296">
        <f t="shared" si="121"/>
        <v>0.15633333333333332</v>
      </c>
      <c r="E179" s="296">
        <f t="shared" si="121"/>
        <v>0.16266666666666665</v>
      </c>
      <c r="F179" s="296">
        <f t="shared" si="121"/>
        <v>0.16899999999999998</v>
      </c>
      <c r="G179" s="296">
        <f t="shared" si="121"/>
        <v>0.17533333333333331</v>
      </c>
      <c r="H179" s="296">
        <f t="shared" si="121"/>
        <v>0.18166666666666664</v>
      </c>
      <c r="I179" s="296">
        <f t="shared" si="121"/>
        <v>0.18799999999999997</v>
      </c>
      <c r="J179" s="296">
        <f t="shared" si="121"/>
        <v>0.1943333333333333</v>
      </c>
      <c r="K179" s="296">
        <f t="shared" si="121"/>
        <v>0.20066666666666663</v>
      </c>
      <c r="L179" s="296">
        <f t="shared" si="121"/>
        <v>0.20699999999999996</v>
      </c>
      <c r="M179" s="296">
        <f t="shared" si="121"/>
        <v>0.21333333333333329</v>
      </c>
      <c r="N179" s="296">
        <f t="shared" si="121"/>
        <v>0.21966666666666662</v>
      </c>
      <c r="O179" s="296">
        <f t="shared" si="121"/>
        <v>0.22599999999999995</v>
      </c>
      <c r="P179" s="296">
        <f t="shared" si="121"/>
        <v>0.23233333333333328</v>
      </c>
      <c r="Q179" s="296">
        <f t="shared" si="121"/>
        <v>0.23866666666666661</v>
      </c>
      <c r="R179" s="296">
        <f t="shared" si="121"/>
        <v>0.24499999999999994</v>
      </c>
      <c r="S179" s="296">
        <f t="shared" si="121"/>
        <v>0.2513333333333333</v>
      </c>
      <c r="T179" s="296">
        <f t="shared" si="122"/>
        <v>0.25766666666666665</v>
      </c>
      <c r="U179" s="296">
        <f t="shared" si="122"/>
        <v>0.26400000000000001</v>
      </c>
      <c r="V179" s="296">
        <f t="shared" si="122"/>
        <v>0.27033333333333337</v>
      </c>
      <c r="W179" s="296">
        <f t="shared" si="122"/>
        <v>0.27666666666666673</v>
      </c>
      <c r="X179" s="296">
        <f t="shared" si="122"/>
        <v>0.28300000000000008</v>
      </c>
      <c r="Y179" s="296">
        <f t="shared" si="122"/>
        <v>0.28933333333333344</v>
      </c>
      <c r="Z179" s="296">
        <f t="shared" si="122"/>
        <v>0.2956666666666668</v>
      </c>
      <c r="AA179" s="296">
        <f t="shared" si="122"/>
        <v>0.30200000000000016</v>
      </c>
      <c r="AB179" s="296">
        <f t="shared" si="122"/>
        <v>0.30833333333333351</v>
      </c>
      <c r="AC179" s="296">
        <f t="shared" si="122"/>
        <v>0.31466666666666687</v>
      </c>
      <c r="AD179" s="296">
        <f t="shared" si="122"/>
        <v>0.32100000000000023</v>
      </c>
      <c r="AE179" s="296">
        <f t="shared" si="122"/>
        <v>0.32733333333333359</v>
      </c>
      <c r="AF179" s="296">
        <f t="shared" si="122"/>
        <v>0.33366666666666694</v>
      </c>
      <c r="AG179" s="275">
        <v>0.34</v>
      </c>
      <c r="AI179" s="295"/>
      <c r="AJ179" s="198" t="s">
        <v>1614</v>
      </c>
    </row>
    <row r="180" spans="1:36" s="1" customFormat="1" outlineLevel="1">
      <c r="A180" t="s">
        <v>727</v>
      </c>
      <c r="B180" s="281" t="s">
        <v>126</v>
      </c>
      <c r="C180" s="275">
        <v>0.85</v>
      </c>
      <c r="D180" s="296">
        <f t="shared" si="121"/>
        <v>0.84366666666666668</v>
      </c>
      <c r="E180" s="296">
        <f t="shared" si="121"/>
        <v>0.83733333333333337</v>
      </c>
      <c r="F180" s="296">
        <f t="shared" si="121"/>
        <v>0.83100000000000007</v>
      </c>
      <c r="G180" s="296">
        <f t="shared" si="121"/>
        <v>0.82466666666666677</v>
      </c>
      <c r="H180" s="296">
        <f t="shared" si="121"/>
        <v>0.81833333333333347</v>
      </c>
      <c r="I180" s="296">
        <f t="shared" si="121"/>
        <v>0.81200000000000017</v>
      </c>
      <c r="J180" s="296">
        <f t="shared" si="121"/>
        <v>0.80566666666666686</v>
      </c>
      <c r="K180" s="296">
        <f t="shared" si="121"/>
        <v>0.79933333333333356</v>
      </c>
      <c r="L180" s="296">
        <f t="shared" si="121"/>
        <v>0.79300000000000026</v>
      </c>
      <c r="M180" s="296">
        <f t="shared" si="121"/>
        <v>0.78666666666666696</v>
      </c>
      <c r="N180" s="296">
        <f t="shared" si="121"/>
        <v>0.78033333333333366</v>
      </c>
      <c r="O180" s="296">
        <f t="shared" si="121"/>
        <v>0.77400000000000035</v>
      </c>
      <c r="P180" s="296">
        <f t="shared" si="121"/>
        <v>0.76766666666666705</v>
      </c>
      <c r="Q180" s="296">
        <f t="shared" si="121"/>
        <v>0.76133333333333375</v>
      </c>
      <c r="R180" s="296">
        <f t="shared" si="121"/>
        <v>0.75500000000000045</v>
      </c>
      <c r="S180" s="296">
        <f t="shared" si="121"/>
        <v>0.74866666666666715</v>
      </c>
      <c r="T180" s="296">
        <f t="shared" si="122"/>
        <v>0.74233333333333384</v>
      </c>
      <c r="U180" s="296">
        <f t="shared" si="122"/>
        <v>0.73600000000000054</v>
      </c>
      <c r="V180" s="296">
        <f t="shared" si="122"/>
        <v>0.72966666666666724</v>
      </c>
      <c r="W180" s="296">
        <f t="shared" si="122"/>
        <v>0.72333333333333394</v>
      </c>
      <c r="X180" s="296">
        <f t="shared" si="122"/>
        <v>0.71700000000000064</v>
      </c>
      <c r="Y180" s="296">
        <f t="shared" si="122"/>
        <v>0.71066666666666733</v>
      </c>
      <c r="Z180" s="296">
        <f t="shared" si="122"/>
        <v>0.70433333333333403</v>
      </c>
      <c r="AA180" s="296">
        <f t="shared" si="122"/>
        <v>0.69800000000000073</v>
      </c>
      <c r="AB180" s="296">
        <f t="shared" si="122"/>
        <v>0.69166666666666743</v>
      </c>
      <c r="AC180" s="296">
        <f t="shared" si="122"/>
        <v>0.68533333333333413</v>
      </c>
      <c r="AD180" s="296">
        <f t="shared" si="122"/>
        <v>0.67900000000000083</v>
      </c>
      <c r="AE180" s="296">
        <f t="shared" si="122"/>
        <v>0.67266666666666752</v>
      </c>
      <c r="AF180" s="296">
        <f t="shared" si="122"/>
        <v>0.66633333333333422</v>
      </c>
      <c r="AG180" s="275">
        <v>0.66</v>
      </c>
      <c r="AI180" s="295"/>
      <c r="AJ180" s="198" t="s">
        <v>1614</v>
      </c>
    </row>
    <row r="181" spans="1:36" s="1" customFormat="1" outlineLevel="1">
      <c r="A181" t="s">
        <v>730</v>
      </c>
      <c r="B181" s="281" t="s">
        <v>126</v>
      </c>
      <c r="C181" s="275">
        <v>0</v>
      </c>
      <c r="D181" s="296">
        <f t="shared" si="121"/>
        <v>0</v>
      </c>
      <c r="E181" s="296">
        <f t="shared" si="121"/>
        <v>0</v>
      </c>
      <c r="F181" s="296">
        <f t="shared" si="121"/>
        <v>0</v>
      </c>
      <c r="G181" s="296">
        <f t="shared" si="121"/>
        <v>0</v>
      </c>
      <c r="H181" s="296">
        <f t="shared" si="121"/>
        <v>0</v>
      </c>
      <c r="I181" s="296">
        <f t="shared" si="121"/>
        <v>0</v>
      </c>
      <c r="J181" s="296">
        <f t="shared" si="121"/>
        <v>0</v>
      </c>
      <c r="K181" s="296">
        <f t="shared" si="121"/>
        <v>0</v>
      </c>
      <c r="L181" s="296">
        <f t="shared" si="121"/>
        <v>0</v>
      </c>
      <c r="M181" s="296">
        <f t="shared" si="121"/>
        <v>0</v>
      </c>
      <c r="N181" s="296">
        <f t="shared" si="121"/>
        <v>0</v>
      </c>
      <c r="O181" s="296">
        <f t="shared" si="121"/>
        <v>0</v>
      </c>
      <c r="P181" s="296">
        <f t="shared" si="121"/>
        <v>0</v>
      </c>
      <c r="Q181" s="296">
        <f t="shared" si="121"/>
        <v>0</v>
      </c>
      <c r="R181" s="296">
        <f t="shared" si="121"/>
        <v>0</v>
      </c>
      <c r="S181" s="296">
        <f t="shared" si="121"/>
        <v>0</v>
      </c>
      <c r="T181" s="296">
        <f t="shared" si="122"/>
        <v>0</v>
      </c>
      <c r="U181" s="296">
        <f t="shared" si="122"/>
        <v>0</v>
      </c>
      <c r="V181" s="296">
        <f t="shared" si="122"/>
        <v>0</v>
      </c>
      <c r="W181" s="296">
        <f t="shared" si="122"/>
        <v>0</v>
      </c>
      <c r="X181" s="296">
        <f t="shared" si="122"/>
        <v>0</v>
      </c>
      <c r="Y181" s="296">
        <f t="shared" si="122"/>
        <v>0</v>
      </c>
      <c r="Z181" s="296">
        <f t="shared" si="122"/>
        <v>0</v>
      </c>
      <c r="AA181" s="296">
        <f t="shared" si="122"/>
        <v>0</v>
      </c>
      <c r="AB181" s="296">
        <f t="shared" si="122"/>
        <v>0</v>
      </c>
      <c r="AC181" s="296">
        <f t="shared" si="122"/>
        <v>0</v>
      </c>
      <c r="AD181" s="296">
        <f t="shared" si="122"/>
        <v>0</v>
      </c>
      <c r="AE181" s="296">
        <f t="shared" si="122"/>
        <v>0</v>
      </c>
      <c r="AF181" s="296">
        <f t="shared" si="122"/>
        <v>0</v>
      </c>
      <c r="AG181" s="275">
        <v>0</v>
      </c>
      <c r="AI181" s="295"/>
      <c r="AJ181" s="198" t="s">
        <v>1615</v>
      </c>
    </row>
    <row r="182" spans="1:36" s="1" customFormat="1" outlineLevel="1">
      <c r="A182" t="s">
        <v>741</v>
      </c>
      <c r="B182" s="281" t="s">
        <v>126</v>
      </c>
      <c r="C182" s="275">
        <v>1</v>
      </c>
      <c r="D182" s="296">
        <f t="shared" si="121"/>
        <v>1</v>
      </c>
      <c r="E182" s="296">
        <f t="shared" si="121"/>
        <v>1</v>
      </c>
      <c r="F182" s="296">
        <f t="shared" si="121"/>
        <v>1</v>
      </c>
      <c r="G182" s="296">
        <f t="shared" si="121"/>
        <v>1</v>
      </c>
      <c r="H182" s="296">
        <f t="shared" si="121"/>
        <v>1</v>
      </c>
      <c r="I182" s="296">
        <f t="shared" si="121"/>
        <v>1</v>
      </c>
      <c r="J182" s="296">
        <f t="shared" si="121"/>
        <v>1</v>
      </c>
      <c r="K182" s="296">
        <f t="shared" si="121"/>
        <v>1</v>
      </c>
      <c r="L182" s="296">
        <f t="shared" si="121"/>
        <v>1</v>
      </c>
      <c r="M182" s="296">
        <f t="shared" si="121"/>
        <v>1</v>
      </c>
      <c r="N182" s="296">
        <f t="shared" si="121"/>
        <v>1</v>
      </c>
      <c r="O182" s="296">
        <f t="shared" si="121"/>
        <v>1</v>
      </c>
      <c r="P182" s="296">
        <f t="shared" si="121"/>
        <v>1</v>
      </c>
      <c r="Q182" s="296">
        <f t="shared" si="121"/>
        <v>1</v>
      </c>
      <c r="R182" s="296">
        <f t="shared" si="121"/>
        <v>1</v>
      </c>
      <c r="S182" s="296">
        <f t="shared" si="121"/>
        <v>1</v>
      </c>
      <c r="T182" s="296">
        <f t="shared" si="122"/>
        <v>1</v>
      </c>
      <c r="U182" s="296">
        <f t="shared" si="122"/>
        <v>1</v>
      </c>
      <c r="V182" s="296">
        <f t="shared" si="122"/>
        <v>1</v>
      </c>
      <c r="W182" s="296">
        <f t="shared" si="122"/>
        <v>1</v>
      </c>
      <c r="X182" s="296">
        <f t="shared" si="122"/>
        <v>1</v>
      </c>
      <c r="Y182" s="296">
        <f t="shared" si="122"/>
        <v>1</v>
      </c>
      <c r="Z182" s="296">
        <f t="shared" si="122"/>
        <v>1</v>
      </c>
      <c r="AA182" s="296">
        <f t="shared" si="122"/>
        <v>1</v>
      </c>
      <c r="AB182" s="296">
        <f t="shared" si="122"/>
        <v>1</v>
      </c>
      <c r="AC182" s="296">
        <f t="shared" si="122"/>
        <v>1</v>
      </c>
      <c r="AD182" s="296">
        <f t="shared" si="122"/>
        <v>1</v>
      </c>
      <c r="AE182" s="296">
        <f t="shared" si="122"/>
        <v>1</v>
      </c>
      <c r="AF182" s="296">
        <f t="shared" si="122"/>
        <v>1</v>
      </c>
      <c r="AG182" s="275">
        <v>1</v>
      </c>
      <c r="AI182" s="295"/>
      <c r="AJ182" s="198" t="s">
        <v>1616</v>
      </c>
    </row>
    <row r="183" spans="1:36" s="1" customFormat="1" outlineLevel="1">
      <c r="A183" t="s">
        <v>728</v>
      </c>
      <c r="B183" s="281" t="s">
        <v>126</v>
      </c>
      <c r="C183" s="275">
        <v>0.8</v>
      </c>
      <c r="D183" s="296">
        <f t="shared" si="121"/>
        <v>0.80333333333333334</v>
      </c>
      <c r="E183" s="296">
        <f t="shared" si="121"/>
        <v>0.80666666666666664</v>
      </c>
      <c r="F183" s="296">
        <f t="shared" si="121"/>
        <v>0.80999999999999994</v>
      </c>
      <c r="G183" s="296">
        <f t="shared" si="121"/>
        <v>0.81333333333333324</v>
      </c>
      <c r="H183" s="296">
        <f t="shared" si="121"/>
        <v>0.81666666666666654</v>
      </c>
      <c r="I183" s="296">
        <f t="shared" si="121"/>
        <v>0.81999999999999984</v>
      </c>
      <c r="J183" s="296">
        <f t="shared" si="121"/>
        <v>0.82333333333333314</v>
      </c>
      <c r="K183" s="296">
        <f t="shared" si="121"/>
        <v>0.82666666666666644</v>
      </c>
      <c r="L183" s="296">
        <f t="shared" si="121"/>
        <v>0.82999999999999974</v>
      </c>
      <c r="M183" s="296">
        <f t="shared" si="121"/>
        <v>0.83333333333333304</v>
      </c>
      <c r="N183" s="296">
        <f t="shared" si="121"/>
        <v>0.83666666666666634</v>
      </c>
      <c r="O183" s="296">
        <f t="shared" si="121"/>
        <v>0.83999999999999964</v>
      </c>
      <c r="P183" s="296">
        <f t="shared" si="121"/>
        <v>0.84333333333333294</v>
      </c>
      <c r="Q183" s="296">
        <f t="shared" si="121"/>
        <v>0.84666666666666623</v>
      </c>
      <c r="R183" s="296">
        <f t="shared" si="121"/>
        <v>0.84999999999999953</v>
      </c>
      <c r="S183" s="296">
        <f t="shared" si="121"/>
        <v>0.85333333333333283</v>
      </c>
      <c r="T183" s="296">
        <f t="shared" si="122"/>
        <v>0.85666666666666613</v>
      </c>
      <c r="U183" s="296">
        <f t="shared" si="122"/>
        <v>0.85999999999999943</v>
      </c>
      <c r="V183" s="296">
        <f t="shared" si="122"/>
        <v>0.86333333333333273</v>
      </c>
      <c r="W183" s="296">
        <f t="shared" si="122"/>
        <v>0.86666666666666603</v>
      </c>
      <c r="X183" s="296">
        <f t="shared" si="122"/>
        <v>0.86999999999999933</v>
      </c>
      <c r="Y183" s="296">
        <f t="shared" si="122"/>
        <v>0.87333333333333263</v>
      </c>
      <c r="Z183" s="296">
        <f t="shared" si="122"/>
        <v>0.87666666666666593</v>
      </c>
      <c r="AA183" s="296">
        <f t="shared" si="122"/>
        <v>0.87999999999999923</v>
      </c>
      <c r="AB183" s="296">
        <f t="shared" si="122"/>
        <v>0.88333333333333253</v>
      </c>
      <c r="AC183" s="296">
        <f t="shared" si="122"/>
        <v>0.88666666666666583</v>
      </c>
      <c r="AD183" s="296">
        <f t="shared" si="122"/>
        <v>0.88999999999999913</v>
      </c>
      <c r="AE183" s="296">
        <f t="shared" si="122"/>
        <v>0.89333333333333242</v>
      </c>
      <c r="AF183" s="296">
        <f t="shared" si="122"/>
        <v>0.89666666666666572</v>
      </c>
      <c r="AG183" s="275">
        <v>0.9</v>
      </c>
      <c r="AI183" s="295"/>
      <c r="AJ183" s="198" t="s">
        <v>1617</v>
      </c>
    </row>
    <row r="184" spans="1:36" s="1" customFormat="1" outlineLevel="1">
      <c r="A184" t="s">
        <v>729</v>
      </c>
      <c r="B184" s="281" t="s">
        <v>126</v>
      </c>
      <c r="C184" s="275">
        <v>0.2</v>
      </c>
      <c r="D184" s="296">
        <f t="shared" si="121"/>
        <v>0.19666666666666668</v>
      </c>
      <c r="E184" s="296">
        <f t="shared" si="121"/>
        <v>0.19333333333333336</v>
      </c>
      <c r="F184" s="296">
        <f t="shared" si="121"/>
        <v>0.19000000000000003</v>
      </c>
      <c r="G184" s="296">
        <f t="shared" si="121"/>
        <v>0.1866666666666667</v>
      </c>
      <c r="H184" s="296">
        <f t="shared" si="121"/>
        <v>0.18333333333333338</v>
      </c>
      <c r="I184" s="296">
        <f t="shared" si="121"/>
        <v>0.18000000000000005</v>
      </c>
      <c r="J184" s="296">
        <f t="shared" si="121"/>
        <v>0.17666666666666672</v>
      </c>
      <c r="K184" s="296">
        <f t="shared" si="121"/>
        <v>0.17333333333333339</v>
      </c>
      <c r="L184" s="296">
        <f t="shared" si="121"/>
        <v>0.17000000000000007</v>
      </c>
      <c r="M184" s="296">
        <f t="shared" si="121"/>
        <v>0.16666666666666674</v>
      </c>
      <c r="N184" s="296">
        <f t="shared" si="121"/>
        <v>0.16333333333333341</v>
      </c>
      <c r="O184" s="296">
        <f t="shared" si="121"/>
        <v>0.16000000000000009</v>
      </c>
      <c r="P184" s="296">
        <f t="shared" si="121"/>
        <v>0.15666666666666676</v>
      </c>
      <c r="Q184" s="296">
        <f t="shared" si="121"/>
        <v>0.15333333333333343</v>
      </c>
      <c r="R184" s="296">
        <f t="shared" si="121"/>
        <v>0.15000000000000011</v>
      </c>
      <c r="S184" s="296">
        <f t="shared" si="121"/>
        <v>0.14666666666666678</v>
      </c>
      <c r="T184" s="296">
        <f t="shared" si="122"/>
        <v>0.14333333333333345</v>
      </c>
      <c r="U184" s="296">
        <f t="shared" si="122"/>
        <v>0.14000000000000012</v>
      </c>
      <c r="V184" s="296">
        <f t="shared" si="122"/>
        <v>0.1366666666666668</v>
      </c>
      <c r="W184" s="296">
        <f t="shared" si="122"/>
        <v>0.13333333333333347</v>
      </c>
      <c r="X184" s="296">
        <f t="shared" si="122"/>
        <v>0.13000000000000014</v>
      </c>
      <c r="Y184" s="296">
        <f t="shared" si="122"/>
        <v>0.12666666666666682</v>
      </c>
      <c r="Z184" s="296">
        <f t="shared" si="122"/>
        <v>0.12333333333333349</v>
      </c>
      <c r="AA184" s="296">
        <f t="shared" si="122"/>
        <v>0.12000000000000016</v>
      </c>
      <c r="AB184" s="296">
        <f t="shared" si="122"/>
        <v>0.11666666666666684</v>
      </c>
      <c r="AC184" s="296">
        <f t="shared" si="122"/>
        <v>0.11333333333333351</v>
      </c>
      <c r="AD184" s="296">
        <f t="shared" si="122"/>
        <v>0.11000000000000018</v>
      </c>
      <c r="AE184" s="296">
        <f t="shared" si="122"/>
        <v>0.10666666666666685</v>
      </c>
      <c r="AF184" s="296">
        <f t="shared" si="122"/>
        <v>0.10333333333333353</v>
      </c>
      <c r="AG184" s="275">
        <v>0.1</v>
      </c>
      <c r="AI184" s="295"/>
      <c r="AJ184" s="198" t="s">
        <v>1618</v>
      </c>
    </row>
    <row r="185" spans="1:36" s="1" customFormat="1" outlineLevel="1">
      <c r="A185" t="s">
        <v>739</v>
      </c>
      <c r="B185" s="281" t="s">
        <v>126</v>
      </c>
      <c r="C185" s="275">
        <v>0.95</v>
      </c>
      <c r="D185" s="296">
        <f t="shared" si="121"/>
        <v>0.94866666666666666</v>
      </c>
      <c r="E185" s="296">
        <f t="shared" si="121"/>
        <v>0.94733333333333336</v>
      </c>
      <c r="F185" s="296">
        <f t="shared" si="121"/>
        <v>0.94600000000000006</v>
      </c>
      <c r="G185" s="296">
        <f t="shared" si="121"/>
        <v>0.94466666666666677</v>
      </c>
      <c r="H185" s="296">
        <f t="shared" si="121"/>
        <v>0.94333333333333347</v>
      </c>
      <c r="I185" s="296">
        <f t="shared" si="121"/>
        <v>0.94200000000000017</v>
      </c>
      <c r="J185" s="296">
        <f t="shared" si="121"/>
        <v>0.94066666666666687</v>
      </c>
      <c r="K185" s="296">
        <f t="shared" si="121"/>
        <v>0.93933333333333358</v>
      </c>
      <c r="L185" s="296">
        <f t="shared" si="121"/>
        <v>0.93800000000000028</v>
      </c>
      <c r="M185" s="296">
        <f t="shared" si="121"/>
        <v>0.93666666666666698</v>
      </c>
      <c r="N185" s="296">
        <f t="shared" si="121"/>
        <v>0.93533333333333368</v>
      </c>
      <c r="O185" s="296">
        <f t="shared" si="121"/>
        <v>0.93400000000000039</v>
      </c>
      <c r="P185" s="296">
        <f t="shared" si="121"/>
        <v>0.93266666666666709</v>
      </c>
      <c r="Q185" s="296">
        <f t="shared" si="121"/>
        <v>0.93133333333333379</v>
      </c>
      <c r="R185" s="296">
        <f t="shared" si="121"/>
        <v>0.93000000000000049</v>
      </c>
      <c r="S185" s="296">
        <f t="shared" si="121"/>
        <v>0.9286666666666672</v>
      </c>
      <c r="T185" s="296">
        <f t="shared" si="122"/>
        <v>0.9273333333333339</v>
      </c>
      <c r="U185" s="296">
        <f t="shared" si="122"/>
        <v>0.9260000000000006</v>
      </c>
      <c r="V185" s="296">
        <f t="shared" si="122"/>
        <v>0.9246666666666673</v>
      </c>
      <c r="W185" s="296">
        <f t="shared" si="122"/>
        <v>0.92333333333333401</v>
      </c>
      <c r="X185" s="296">
        <f t="shared" si="122"/>
        <v>0.92200000000000071</v>
      </c>
      <c r="Y185" s="296">
        <f t="shared" si="122"/>
        <v>0.92066666666666741</v>
      </c>
      <c r="Z185" s="296">
        <f t="shared" si="122"/>
        <v>0.91933333333333411</v>
      </c>
      <c r="AA185" s="296">
        <f t="shared" si="122"/>
        <v>0.91800000000000082</v>
      </c>
      <c r="AB185" s="296">
        <f t="shared" si="122"/>
        <v>0.91666666666666752</v>
      </c>
      <c r="AC185" s="296">
        <f t="shared" si="122"/>
        <v>0.91533333333333422</v>
      </c>
      <c r="AD185" s="296">
        <f t="shared" si="122"/>
        <v>0.91400000000000092</v>
      </c>
      <c r="AE185" s="296">
        <f t="shared" si="122"/>
        <v>0.91266666666666763</v>
      </c>
      <c r="AF185" s="296">
        <f t="shared" si="122"/>
        <v>0.91133333333333433</v>
      </c>
      <c r="AG185" s="275">
        <v>0.91</v>
      </c>
      <c r="AI185" s="295"/>
      <c r="AJ185" s="198" t="s">
        <v>1619</v>
      </c>
    </row>
    <row r="186" spans="1:36" s="1" customFormat="1" outlineLevel="1">
      <c r="A186" t="s">
        <v>740</v>
      </c>
      <c r="B186" s="281" t="s">
        <v>126</v>
      </c>
      <c r="C186" s="275">
        <v>0.05</v>
      </c>
      <c r="D186" s="296">
        <f t="shared" si="121"/>
        <v>5.1333333333333335E-2</v>
      </c>
      <c r="E186" s="296">
        <f t="shared" si="121"/>
        <v>5.2666666666666667E-2</v>
      </c>
      <c r="F186" s="296">
        <f t="shared" si="121"/>
        <v>5.3999999999999999E-2</v>
      </c>
      <c r="G186" s="296">
        <f t="shared" si="121"/>
        <v>5.5333333333333332E-2</v>
      </c>
      <c r="H186" s="296">
        <f t="shared" si="121"/>
        <v>5.6666666666666664E-2</v>
      </c>
      <c r="I186" s="296">
        <f t="shared" si="121"/>
        <v>5.7999999999999996E-2</v>
      </c>
      <c r="J186" s="296">
        <f t="shared" si="121"/>
        <v>5.9333333333333328E-2</v>
      </c>
      <c r="K186" s="296">
        <f t="shared" si="121"/>
        <v>6.066666666666666E-2</v>
      </c>
      <c r="L186" s="296">
        <f t="shared" si="121"/>
        <v>6.1999999999999993E-2</v>
      </c>
      <c r="M186" s="296">
        <f t="shared" si="121"/>
        <v>6.3333333333333325E-2</v>
      </c>
      <c r="N186" s="296">
        <f t="shared" si="121"/>
        <v>6.4666666666666664E-2</v>
      </c>
      <c r="O186" s="296">
        <f t="shared" si="121"/>
        <v>6.6000000000000003E-2</v>
      </c>
      <c r="P186" s="296">
        <f t="shared" si="121"/>
        <v>6.7333333333333342E-2</v>
      </c>
      <c r="Q186" s="296">
        <f t="shared" si="121"/>
        <v>6.8666666666666681E-2</v>
      </c>
      <c r="R186" s="296">
        <f t="shared" si="121"/>
        <v>7.0000000000000021E-2</v>
      </c>
      <c r="S186" s="296">
        <f t="shared" si="121"/>
        <v>7.133333333333336E-2</v>
      </c>
      <c r="T186" s="296">
        <f t="shared" si="122"/>
        <v>7.2666666666666699E-2</v>
      </c>
      <c r="U186" s="296">
        <f t="shared" si="122"/>
        <v>7.4000000000000038E-2</v>
      </c>
      <c r="V186" s="296">
        <f t="shared" si="122"/>
        <v>7.5333333333333377E-2</v>
      </c>
      <c r="W186" s="296">
        <f t="shared" si="122"/>
        <v>7.6666666666666716E-2</v>
      </c>
      <c r="X186" s="296">
        <f t="shared" si="122"/>
        <v>7.8000000000000055E-2</v>
      </c>
      <c r="Y186" s="296">
        <f t="shared" si="122"/>
        <v>7.9333333333333395E-2</v>
      </c>
      <c r="Z186" s="296">
        <f t="shared" si="122"/>
        <v>8.0666666666666734E-2</v>
      </c>
      <c r="AA186" s="296">
        <f t="shared" si="122"/>
        <v>8.2000000000000073E-2</v>
      </c>
      <c r="AB186" s="296">
        <f t="shared" si="122"/>
        <v>8.3333333333333412E-2</v>
      </c>
      <c r="AC186" s="296">
        <f t="shared" si="122"/>
        <v>8.4666666666666751E-2</v>
      </c>
      <c r="AD186" s="296">
        <f t="shared" si="122"/>
        <v>8.600000000000009E-2</v>
      </c>
      <c r="AE186" s="296">
        <f t="shared" si="122"/>
        <v>8.7333333333333429E-2</v>
      </c>
      <c r="AF186" s="296">
        <f t="shared" si="122"/>
        <v>8.8666666666666769E-2</v>
      </c>
      <c r="AG186" s="275">
        <v>0.09</v>
      </c>
      <c r="AI186" s="295"/>
      <c r="AJ186" s="198" t="s">
        <v>1620</v>
      </c>
    </row>
    <row r="187" spans="1:36" s="1" customFormat="1" outlineLevel="1">
      <c r="A187" t="s">
        <v>742</v>
      </c>
      <c r="B187" s="281"/>
      <c r="C187" s="275">
        <v>0.27</v>
      </c>
      <c r="D187" s="296">
        <f t="shared" si="121"/>
        <v>0.26600000000000001</v>
      </c>
      <c r="E187" s="296">
        <f t="shared" si="121"/>
        <v>0.26200000000000001</v>
      </c>
      <c r="F187" s="296">
        <f t="shared" si="121"/>
        <v>0.25800000000000001</v>
      </c>
      <c r="G187" s="296">
        <f t="shared" si="121"/>
        <v>0.254</v>
      </c>
      <c r="H187" s="296">
        <f t="shared" si="121"/>
        <v>0.25</v>
      </c>
      <c r="I187" s="296">
        <f t="shared" si="121"/>
        <v>0.246</v>
      </c>
      <c r="J187" s="296">
        <f t="shared" si="121"/>
        <v>0.24199999999999999</v>
      </c>
      <c r="K187" s="296">
        <f t="shared" si="121"/>
        <v>0.23799999999999999</v>
      </c>
      <c r="L187" s="296">
        <f t="shared" si="121"/>
        <v>0.23399999999999999</v>
      </c>
      <c r="M187" s="296">
        <f t="shared" si="121"/>
        <v>0.22999999999999998</v>
      </c>
      <c r="N187" s="296">
        <f t="shared" si="121"/>
        <v>0.22599999999999998</v>
      </c>
      <c r="O187" s="296">
        <f t="shared" si="121"/>
        <v>0.22199999999999998</v>
      </c>
      <c r="P187" s="296">
        <f t="shared" si="121"/>
        <v>0.21799999999999997</v>
      </c>
      <c r="Q187" s="296">
        <f t="shared" si="121"/>
        <v>0.21399999999999997</v>
      </c>
      <c r="R187" s="296">
        <f t="shared" si="121"/>
        <v>0.20999999999999996</v>
      </c>
      <c r="S187" s="296">
        <f t="shared" si="121"/>
        <v>0.20599999999999996</v>
      </c>
      <c r="T187" s="296">
        <f t="shared" si="122"/>
        <v>0.20199999999999996</v>
      </c>
      <c r="U187" s="296">
        <f t="shared" si="122"/>
        <v>0.19799999999999995</v>
      </c>
      <c r="V187" s="296">
        <f t="shared" si="122"/>
        <v>0.19399999999999995</v>
      </c>
      <c r="W187" s="296">
        <f t="shared" si="122"/>
        <v>0.18999999999999995</v>
      </c>
      <c r="X187" s="296">
        <f t="shared" si="122"/>
        <v>0.18599999999999994</v>
      </c>
      <c r="Y187" s="296">
        <f t="shared" si="122"/>
        <v>0.18199999999999994</v>
      </c>
      <c r="Z187" s="296">
        <f t="shared" si="122"/>
        <v>0.17799999999999994</v>
      </c>
      <c r="AA187" s="296">
        <f t="shared" si="122"/>
        <v>0.17399999999999993</v>
      </c>
      <c r="AB187" s="296">
        <f t="shared" si="122"/>
        <v>0.16999999999999993</v>
      </c>
      <c r="AC187" s="296">
        <f t="shared" si="122"/>
        <v>0.16599999999999993</v>
      </c>
      <c r="AD187" s="296">
        <f t="shared" si="122"/>
        <v>0.16199999999999992</v>
      </c>
      <c r="AE187" s="296">
        <f t="shared" si="122"/>
        <v>0.15799999999999992</v>
      </c>
      <c r="AF187" s="296">
        <f t="shared" si="122"/>
        <v>0.15399999999999991</v>
      </c>
      <c r="AG187" s="275">
        <v>0.15</v>
      </c>
      <c r="AI187" s="295"/>
      <c r="AJ187" s="198"/>
    </row>
    <row r="188" spans="1:36" s="62" customFormat="1" outlineLevel="1">
      <c r="A188" s="322" t="s">
        <v>733</v>
      </c>
      <c r="B188" s="287" t="s">
        <v>126</v>
      </c>
      <c r="C188" s="314">
        <v>0.16</v>
      </c>
      <c r="D188" s="315">
        <f t="shared" si="121"/>
        <v>0.16533333333333333</v>
      </c>
      <c r="E188" s="315">
        <f t="shared" si="121"/>
        <v>0.17066666666666666</v>
      </c>
      <c r="F188" s="315">
        <f t="shared" si="121"/>
        <v>0.17599999999999999</v>
      </c>
      <c r="G188" s="315">
        <f t="shared" si="121"/>
        <v>0.18133333333333332</v>
      </c>
      <c r="H188" s="315">
        <f t="shared" si="121"/>
        <v>0.18666666666666665</v>
      </c>
      <c r="I188" s="315">
        <f t="shared" si="121"/>
        <v>0.19199999999999998</v>
      </c>
      <c r="J188" s="315">
        <f t="shared" si="121"/>
        <v>0.19733333333333331</v>
      </c>
      <c r="K188" s="315">
        <f t="shared" si="121"/>
        <v>0.20266666666666663</v>
      </c>
      <c r="L188" s="315">
        <f t="shared" si="121"/>
        <v>0.20799999999999996</v>
      </c>
      <c r="M188" s="315">
        <f t="shared" si="121"/>
        <v>0.21333333333333329</v>
      </c>
      <c r="N188" s="315">
        <f t="shared" si="121"/>
        <v>0.21866666666666662</v>
      </c>
      <c r="O188" s="315">
        <f t="shared" si="121"/>
        <v>0.22399999999999995</v>
      </c>
      <c r="P188" s="315">
        <f t="shared" si="121"/>
        <v>0.22933333333333328</v>
      </c>
      <c r="Q188" s="315">
        <f t="shared" si="121"/>
        <v>0.23466666666666661</v>
      </c>
      <c r="R188" s="315">
        <f t="shared" si="121"/>
        <v>0.23999999999999994</v>
      </c>
      <c r="S188" s="315">
        <f t="shared" si="121"/>
        <v>0.24533333333333326</v>
      </c>
      <c r="T188" s="315">
        <f t="shared" si="122"/>
        <v>0.25066666666666659</v>
      </c>
      <c r="U188" s="315">
        <f t="shared" si="122"/>
        <v>0.25599999999999995</v>
      </c>
      <c r="V188" s="315">
        <f t="shared" si="122"/>
        <v>0.26133333333333331</v>
      </c>
      <c r="W188" s="315">
        <f t="shared" si="122"/>
        <v>0.26666666666666666</v>
      </c>
      <c r="X188" s="315">
        <f t="shared" si="122"/>
        <v>0.27200000000000002</v>
      </c>
      <c r="Y188" s="315">
        <f t="shared" si="122"/>
        <v>0.27733333333333338</v>
      </c>
      <c r="Z188" s="315">
        <f t="shared" si="122"/>
        <v>0.28266666666666673</v>
      </c>
      <c r="AA188" s="315">
        <f t="shared" si="122"/>
        <v>0.28800000000000009</v>
      </c>
      <c r="AB188" s="315">
        <f t="shared" si="122"/>
        <v>0.29333333333333345</v>
      </c>
      <c r="AC188" s="315">
        <f t="shared" si="122"/>
        <v>0.2986666666666668</v>
      </c>
      <c r="AD188" s="315">
        <f t="shared" si="122"/>
        <v>0.30400000000000016</v>
      </c>
      <c r="AE188" s="315">
        <f t="shared" si="122"/>
        <v>0.30933333333333352</v>
      </c>
      <c r="AF188" s="315">
        <f t="shared" si="122"/>
        <v>0.31466666666666687</v>
      </c>
      <c r="AG188" s="314">
        <v>0.32</v>
      </c>
      <c r="AI188" s="314"/>
      <c r="AJ188" s="316" t="s">
        <v>1620</v>
      </c>
    </row>
    <row r="189" spans="1:36" outlineLevel="1">
      <c r="A189" s="323" t="s">
        <v>734</v>
      </c>
      <c r="B189" s="281" t="s">
        <v>126</v>
      </c>
      <c r="C189" s="275">
        <v>0.37</v>
      </c>
      <c r="D189" s="296">
        <f t="shared" si="121"/>
        <v>0.37166666666666665</v>
      </c>
      <c r="E189" s="296">
        <f t="shared" si="121"/>
        <v>0.37333333333333329</v>
      </c>
      <c r="F189" s="296">
        <f t="shared" si="121"/>
        <v>0.37499999999999994</v>
      </c>
      <c r="G189" s="296">
        <f t="shared" si="121"/>
        <v>0.37666666666666659</v>
      </c>
      <c r="H189" s="296">
        <f t="shared" si="121"/>
        <v>0.37833333333333324</v>
      </c>
      <c r="I189" s="296">
        <f t="shared" si="121"/>
        <v>0.37999999999999989</v>
      </c>
      <c r="J189" s="296">
        <f t="shared" si="121"/>
        <v>0.38166666666666654</v>
      </c>
      <c r="K189" s="296">
        <f t="shared" si="121"/>
        <v>0.38333333333333319</v>
      </c>
      <c r="L189" s="296">
        <f t="shared" si="121"/>
        <v>0.38499999999999984</v>
      </c>
      <c r="M189" s="296">
        <f t="shared" si="121"/>
        <v>0.38666666666666649</v>
      </c>
      <c r="N189" s="296">
        <f t="shared" si="121"/>
        <v>0.38833333333333314</v>
      </c>
      <c r="O189" s="296">
        <f t="shared" si="121"/>
        <v>0.38999999999999979</v>
      </c>
      <c r="P189" s="296">
        <f t="shared" si="121"/>
        <v>0.39166666666666644</v>
      </c>
      <c r="Q189" s="296">
        <f t="shared" si="121"/>
        <v>0.39333333333333309</v>
      </c>
      <c r="R189" s="296">
        <f t="shared" si="121"/>
        <v>0.39499999999999974</v>
      </c>
      <c r="S189" s="296">
        <f t="shared" si="121"/>
        <v>0.39666666666666639</v>
      </c>
      <c r="T189" s="296">
        <f t="shared" si="122"/>
        <v>0.39833333333333304</v>
      </c>
      <c r="U189" s="296">
        <f t="shared" si="122"/>
        <v>0.39999999999999969</v>
      </c>
      <c r="V189" s="296">
        <f t="shared" si="122"/>
        <v>0.40166666666666634</v>
      </c>
      <c r="W189" s="296">
        <f t="shared" si="122"/>
        <v>0.40333333333333299</v>
      </c>
      <c r="X189" s="296">
        <f t="shared" si="122"/>
        <v>0.40499999999999964</v>
      </c>
      <c r="Y189" s="296">
        <f t="shared" si="122"/>
        <v>0.40666666666666629</v>
      </c>
      <c r="Z189" s="296">
        <f t="shared" si="122"/>
        <v>0.40833333333333294</v>
      </c>
      <c r="AA189" s="296">
        <f t="shared" si="122"/>
        <v>0.40999999999999959</v>
      </c>
      <c r="AB189" s="296">
        <f t="shared" si="122"/>
        <v>0.41166666666666624</v>
      </c>
      <c r="AC189" s="296">
        <f t="shared" si="122"/>
        <v>0.41333333333333289</v>
      </c>
      <c r="AD189" s="296">
        <f t="shared" si="122"/>
        <v>0.41499999999999954</v>
      </c>
      <c r="AE189" s="296">
        <f t="shared" si="122"/>
        <v>0.41666666666666619</v>
      </c>
      <c r="AF189" s="296">
        <f t="shared" si="122"/>
        <v>0.41833333333333284</v>
      </c>
      <c r="AG189" s="275">
        <v>0.42</v>
      </c>
      <c r="AI189" s="275"/>
      <c r="AJ189" s="198" t="s">
        <v>1621</v>
      </c>
    </row>
    <row r="190" spans="1:36" outlineLevel="1">
      <c r="A190" s="323" t="s">
        <v>735</v>
      </c>
      <c r="B190" s="281" t="s">
        <v>126</v>
      </c>
      <c r="C190" s="275">
        <v>0.08</v>
      </c>
      <c r="D190" s="296">
        <f t="shared" si="121"/>
        <v>7.7666666666666662E-2</v>
      </c>
      <c r="E190" s="296">
        <f t="shared" si="121"/>
        <v>7.5333333333333322E-2</v>
      </c>
      <c r="F190" s="296">
        <f t="shared" si="121"/>
        <v>7.2999999999999982E-2</v>
      </c>
      <c r="G190" s="296">
        <f t="shared" si="121"/>
        <v>7.0666666666666642E-2</v>
      </c>
      <c r="H190" s="296">
        <f t="shared" si="121"/>
        <v>6.8333333333333302E-2</v>
      </c>
      <c r="I190" s="296">
        <f t="shared" si="121"/>
        <v>6.5999999999999961E-2</v>
      </c>
      <c r="J190" s="296">
        <f t="shared" si="121"/>
        <v>6.3666666666666621E-2</v>
      </c>
      <c r="K190" s="296">
        <f t="shared" si="121"/>
        <v>6.1333333333333288E-2</v>
      </c>
      <c r="L190" s="296">
        <f t="shared" si="121"/>
        <v>5.8999999999999955E-2</v>
      </c>
      <c r="M190" s="296">
        <f t="shared" si="121"/>
        <v>5.6666666666666622E-2</v>
      </c>
      <c r="N190" s="296">
        <f t="shared" si="121"/>
        <v>5.4333333333333289E-2</v>
      </c>
      <c r="O190" s="296">
        <f t="shared" si="121"/>
        <v>5.1999999999999956E-2</v>
      </c>
      <c r="P190" s="296">
        <f t="shared" si="121"/>
        <v>4.9666666666666623E-2</v>
      </c>
      <c r="Q190" s="296">
        <f t="shared" si="121"/>
        <v>4.733333333333329E-2</v>
      </c>
      <c r="R190" s="296">
        <f t="shared" si="121"/>
        <v>4.4999999999999957E-2</v>
      </c>
      <c r="S190" s="296">
        <f t="shared" si="121"/>
        <v>4.2666666666666624E-2</v>
      </c>
      <c r="T190" s="296">
        <f t="shared" si="122"/>
        <v>4.0333333333333291E-2</v>
      </c>
      <c r="U190" s="296">
        <f t="shared" si="122"/>
        <v>3.7999999999999957E-2</v>
      </c>
      <c r="V190" s="296">
        <f t="shared" si="122"/>
        <v>3.5666666666666624E-2</v>
      </c>
      <c r="W190" s="296">
        <f t="shared" si="122"/>
        <v>3.3333333333333291E-2</v>
      </c>
      <c r="X190" s="296">
        <f t="shared" si="122"/>
        <v>3.0999999999999958E-2</v>
      </c>
      <c r="Y190" s="296">
        <f t="shared" si="122"/>
        <v>2.8666666666666625E-2</v>
      </c>
      <c r="Z190" s="296">
        <f t="shared" si="122"/>
        <v>2.6333333333333292E-2</v>
      </c>
      <c r="AA190" s="296">
        <f t="shared" si="122"/>
        <v>2.3999999999999959E-2</v>
      </c>
      <c r="AB190" s="296">
        <f t="shared" si="122"/>
        <v>2.1666666666666626E-2</v>
      </c>
      <c r="AC190" s="296">
        <f t="shared" si="122"/>
        <v>1.9333333333333293E-2</v>
      </c>
      <c r="AD190" s="296">
        <f t="shared" si="122"/>
        <v>1.699999999999996E-2</v>
      </c>
      <c r="AE190" s="296">
        <f t="shared" si="122"/>
        <v>1.4666666666666626E-2</v>
      </c>
      <c r="AF190" s="296">
        <f t="shared" si="122"/>
        <v>1.2333333333333293E-2</v>
      </c>
      <c r="AG190" s="275">
        <v>0.01</v>
      </c>
      <c r="AI190" s="275"/>
      <c r="AJ190" s="198" t="s">
        <v>1622</v>
      </c>
    </row>
    <row r="191" spans="1:36" outlineLevel="1">
      <c r="A191" s="323" t="s">
        <v>736</v>
      </c>
      <c r="B191" s="281" t="s">
        <v>126</v>
      </c>
      <c r="C191" s="275">
        <v>0.27</v>
      </c>
      <c r="D191" s="296">
        <f t="shared" si="121"/>
        <v>0.26633333333333337</v>
      </c>
      <c r="E191" s="296">
        <f t="shared" si="121"/>
        <v>0.26266666666666671</v>
      </c>
      <c r="F191" s="296">
        <f t="shared" si="121"/>
        <v>0.25900000000000006</v>
      </c>
      <c r="G191" s="296">
        <f t="shared" si="121"/>
        <v>0.25533333333333341</v>
      </c>
      <c r="H191" s="296">
        <f t="shared" si="121"/>
        <v>0.25166666666666676</v>
      </c>
      <c r="I191" s="296">
        <f t="shared" si="121"/>
        <v>0.24800000000000008</v>
      </c>
      <c r="J191" s="296">
        <f t="shared" si="121"/>
        <v>0.2443333333333334</v>
      </c>
      <c r="K191" s="296">
        <f t="shared" si="121"/>
        <v>0.24066666666666672</v>
      </c>
      <c r="L191" s="296">
        <f t="shared" si="121"/>
        <v>0.23700000000000004</v>
      </c>
      <c r="M191" s="296">
        <f t="shared" si="121"/>
        <v>0.23333333333333336</v>
      </c>
      <c r="N191" s="296">
        <f t="shared" si="121"/>
        <v>0.22966666666666669</v>
      </c>
      <c r="O191" s="296">
        <f t="shared" si="121"/>
        <v>0.22600000000000001</v>
      </c>
      <c r="P191" s="296">
        <f t="shared" si="121"/>
        <v>0.22233333333333333</v>
      </c>
      <c r="Q191" s="296">
        <f t="shared" si="121"/>
        <v>0.21866666666666665</v>
      </c>
      <c r="R191" s="296">
        <f t="shared" si="121"/>
        <v>0.21499999999999997</v>
      </c>
      <c r="S191" s="296">
        <f t="shared" si="121"/>
        <v>0.21133333333333329</v>
      </c>
      <c r="T191" s="296">
        <f t="shared" si="122"/>
        <v>0.20766666666666661</v>
      </c>
      <c r="U191" s="296">
        <f t="shared" si="122"/>
        <v>0.20399999999999993</v>
      </c>
      <c r="V191" s="296">
        <f t="shared" si="122"/>
        <v>0.20033333333333325</v>
      </c>
      <c r="W191" s="296">
        <f t="shared" si="122"/>
        <v>0.19666666666666657</v>
      </c>
      <c r="X191" s="296">
        <f t="shared" si="122"/>
        <v>0.19299999999999989</v>
      </c>
      <c r="Y191" s="296">
        <f t="shared" si="122"/>
        <v>0.18933333333333321</v>
      </c>
      <c r="Z191" s="296">
        <f t="shared" si="122"/>
        <v>0.18566666666666654</v>
      </c>
      <c r="AA191" s="296">
        <f t="shared" si="122"/>
        <v>0.18199999999999986</v>
      </c>
      <c r="AB191" s="296">
        <f t="shared" si="122"/>
        <v>0.17833333333333318</v>
      </c>
      <c r="AC191" s="296">
        <f t="shared" si="122"/>
        <v>0.1746666666666665</v>
      </c>
      <c r="AD191" s="296">
        <f t="shared" si="122"/>
        <v>0.17099999999999982</v>
      </c>
      <c r="AE191" s="296">
        <f t="shared" si="122"/>
        <v>0.16733333333333314</v>
      </c>
      <c r="AF191" s="296">
        <f t="shared" si="122"/>
        <v>0.16366666666666646</v>
      </c>
      <c r="AG191" s="275">
        <v>0.16</v>
      </c>
      <c r="AI191" s="275"/>
      <c r="AJ191" s="198" t="s">
        <v>1623</v>
      </c>
    </row>
    <row r="192" spans="1:36" outlineLevel="1">
      <c r="A192" s="323" t="s">
        <v>737</v>
      </c>
      <c r="B192" s="281" t="s">
        <v>126</v>
      </c>
      <c r="C192" s="275">
        <v>7.0000000000000007E-2</v>
      </c>
      <c r="D192" s="296">
        <f t="shared" si="121"/>
        <v>6.9666666666666668E-2</v>
      </c>
      <c r="E192" s="296">
        <f t="shared" si="121"/>
        <v>6.933333333333333E-2</v>
      </c>
      <c r="F192" s="296">
        <f t="shared" si="121"/>
        <v>6.8999999999999992E-2</v>
      </c>
      <c r="G192" s="296">
        <f t="shared" si="121"/>
        <v>6.8666666666666654E-2</v>
      </c>
      <c r="H192" s="296">
        <f t="shared" si="121"/>
        <v>6.8333333333333315E-2</v>
      </c>
      <c r="I192" s="296">
        <f t="shared" si="121"/>
        <v>6.7999999999999977E-2</v>
      </c>
      <c r="J192" s="296">
        <f t="shared" si="121"/>
        <v>6.7666666666666639E-2</v>
      </c>
      <c r="K192" s="296">
        <f t="shared" si="121"/>
        <v>6.7333333333333301E-2</v>
      </c>
      <c r="L192" s="296">
        <f t="shared" si="121"/>
        <v>6.6999999999999962E-2</v>
      </c>
      <c r="M192" s="296">
        <f t="shared" si="121"/>
        <v>6.6666666666666624E-2</v>
      </c>
      <c r="N192" s="296">
        <f t="shared" si="121"/>
        <v>6.6333333333333286E-2</v>
      </c>
      <c r="O192" s="296">
        <f t="shared" si="121"/>
        <v>6.5999999999999948E-2</v>
      </c>
      <c r="P192" s="296">
        <f t="shared" si="121"/>
        <v>6.5666666666666609E-2</v>
      </c>
      <c r="Q192" s="296">
        <f t="shared" si="121"/>
        <v>6.5333333333333271E-2</v>
      </c>
      <c r="R192" s="296">
        <f t="shared" si="121"/>
        <v>6.4999999999999933E-2</v>
      </c>
      <c r="S192" s="296">
        <f t="shared" ref="S192:AF192" si="123">-($C192-$AG192)/30+R192</f>
        <v>6.4666666666666595E-2</v>
      </c>
      <c r="T192" s="296">
        <f t="shared" si="123"/>
        <v>6.4333333333333256E-2</v>
      </c>
      <c r="U192" s="296">
        <f t="shared" si="123"/>
        <v>6.3999999999999918E-2</v>
      </c>
      <c r="V192" s="296">
        <f t="shared" si="123"/>
        <v>6.366666666666658E-2</v>
      </c>
      <c r="W192" s="296">
        <f t="shared" si="123"/>
        <v>6.3333333333333242E-2</v>
      </c>
      <c r="X192" s="296">
        <f t="shared" si="123"/>
        <v>6.2999999999999903E-2</v>
      </c>
      <c r="Y192" s="296">
        <f t="shared" si="123"/>
        <v>6.2666666666666565E-2</v>
      </c>
      <c r="Z192" s="296">
        <f t="shared" si="123"/>
        <v>6.2333333333333234E-2</v>
      </c>
      <c r="AA192" s="296">
        <f t="shared" si="123"/>
        <v>6.1999999999999902E-2</v>
      </c>
      <c r="AB192" s="296">
        <f t="shared" si="123"/>
        <v>6.1666666666666571E-2</v>
      </c>
      <c r="AC192" s="296">
        <f t="shared" si="123"/>
        <v>6.133333333333324E-2</v>
      </c>
      <c r="AD192" s="296">
        <f t="shared" si="123"/>
        <v>6.0999999999999908E-2</v>
      </c>
      <c r="AE192" s="296">
        <f t="shared" si="123"/>
        <v>6.0666666666666577E-2</v>
      </c>
      <c r="AF192" s="296">
        <f t="shared" si="123"/>
        <v>6.0333333333333246E-2</v>
      </c>
      <c r="AG192" s="275">
        <v>0.06</v>
      </c>
      <c r="AI192" s="275"/>
      <c r="AJ192" s="198" t="s">
        <v>1624</v>
      </c>
    </row>
    <row r="193" spans="1:36" s="63" customFormat="1" outlineLevel="1">
      <c r="A193" s="324" t="s">
        <v>738</v>
      </c>
      <c r="B193" s="291" t="s">
        <v>126</v>
      </c>
      <c r="C193" s="293">
        <v>0.05</v>
      </c>
      <c r="D193" s="317">
        <f t="shared" ref="D193:AF193" si="124">-($C193-$AG193)/30+C193</f>
        <v>4.9333333333333333E-2</v>
      </c>
      <c r="E193" s="317">
        <f t="shared" si="124"/>
        <v>4.8666666666666664E-2</v>
      </c>
      <c r="F193" s="317">
        <f t="shared" si="124"/>
        <v>4.7999999999999994E-2</v>
      </c>
      <c r="G193" s="317">
        <f t="shared" si="124"/>
        <v>4.7333333333333324E-2</v>
      </c>
      <c r="H193" s="317">
        <f t="shared" si="124"/>
        <v>4.6666666666666655E-2</v>
      </c>
      <c r="I193" s="317">
        <f t="shared" si="124"/>
        <v>4.5999999999999985E-2</v>
      </c>
      <c r="J193" s="317">
        <f t="shared" si="124"/>
        <v>4.5333333333333316E-2</v>
      </c>
      <c r="K193" s="317">
        <f t="shared" si="124"/>
        <v>4.4666666666666646E-2</v>
      </c>
      <c r="L193" s="317">
        <f t="shared" si="124"/>
        <v>4.3999999999999977E-2</v>
      </c>
      <c r="M193" s="317">
        <f t="shared" si="124"/>
        <v>4.3333333333333307E-2</v>
      </c>
      <c r="N193" s="317">
        <f t="shared" si="124"/>
        <v>4.2666666666666637E-2</v>
      </c>
      <c r="O193" s="317">
        <f t="shared" si="124"/>
        <v>4.1999999999999968E-2</v>
      </c>
      <c r="P193" s="317">
        <f t="shared" si="124"/>
        <v>4.1333333333333298E-2</v>
      </c>
      <c r="Q193" s="317">
        <f t="shared" si="124"/>
        <v>4.0666666666666629E-2</v>
      </c>
      <c r="R193" s="317">
        <f t="shared" si="124"/>
        <v>3.9999999999999959E-2</v>
      </c>
      <c r="S193" s="317">
        <f t="shared" si="124"/>
        <v>3.933333333333329E-2</v>
      </c>
      <c r="T193" s="317">
        <f t="shared" si="124"/>
        <v>3.866666666666662E-2</v>
      </c>
      <c r="U193" s="317">
        <f t="shared" si="124"/>
        <v>3.799999999999995E-2</v>
      </c>
      <c r="V193" s="317">
        <f t="shared" si="124"/>
        <v>3.7333333333333281E-2</v>
      </c>
      <c r="W193" s="317">
        <f t="shared" si="124"/>
        <v>3.6666666666666611E-2</v>
      </c>
      <c r="X193" s="317">
        <f t="shared" si="124"/>
        <v>3.5999999999999942E-2</v>
      </c>
      <c r="Y193" s="317">
        <f t="shared" si="124"/>
        <v>3.5333333333333272E-2</v>
      </c>
      <c r="Z193" s="317">
        <f t="shared" si="124"/>
        <v>3.4666666666666603E-2</v>
      </c>
      <c r="AA193" s="317">
        <f t="shared" si="124"/>
        <v>3.3999999999999933E-2</v>
      </c>
      <c r="AB193" s="317">
        <f t="shared" si="124"/>
        <v>3.3333333333333263E-2</v>
      </c>
      <c r="AC193" s="317">
        <f t="shared" si="124"/>
        <v>3.2666666666666594E-2</v>
      </c>
      <c r="AD193" s="317">
        <f t="shared" si="124"/>
        <v>3.1999999999999924E-2</v>
      </c>
      <c r="AE193" s="317">
        <f t="shared" si="124"/>
        <v>3.1333333333333255E-2</v>
      </c>
      <c r="AF193" s="317">
        <f t="shared" si="124"/>
        <v>3.0666666666666589E-2</v>
      </c>
      <c r="AG193" s="293">
        <v>0.03</v>
      </c>
      <c r="AI193" s="293"/>
      <c r="AJ193" s="318" t="s">
        <v>1625</v>
      </c>
    </row>
    <row r="194" spans="1:36" s="55" customFormat="1" outlineLevel="1">
      <c r="A194" s="55" t="s">
        <v>703</v>
      </c>
      <c r="B194" s="282"/>
      <c r="C194" s="283">
        <f t="shared" ref="C194:AG194" si="125">C29</f>
        <v>106070.49715772543</v>
      </c>
      <c r="D194" s="283">
        <f t="shared" si="125"/>
        <v>106070.49715772543</v>
      </c>
      <c r="E194" s="283">
        <f t="shared" si="125"/>
        <v>106070.49715772543</v>
      </c>
      <c r="F194" s="283">
        <f t="shared" si="125"/>
        <v>106070.49715772543</v>
      </c>
      <c r="G194" s="283">
        <f t="shared" si="125"/>
        <v>106070.49715772543</v>
      </c>
      <c r="H194" s="283">
        <f t="shared" si="125"/>
        <v>106070.49715772543</v>
      </c>
      <c r="I194" s="283">
        <f t="shared" si="125"/>
        <v>106070.49715772543</v>
      </c>
      <c r="J194" s="283">
        <f t="shared" si="125"/>
        <v>106070.49715772543</v>
      </c>
      <c r="K194" s="283">
        <f t="shared" si="125"/>
        <v>106070.49715772543</v>
      </c>
      <c r="L194" s="283">
        <f t="shared" si="125"/>
        <v>106070.49715772543</v>
      </c>
      <c r="M194" s="283">
        <f t="shared" si="125"/>
        <v>106070.49715772543</v>
      </c>
      <c r="N194" s="283">
        <f t="shared" si="125"/>
        <v>106070.49715772543</v>
      </c>
      <c r="O194" s="283">
        <f t="shared" si="125"/>
        <v>106070.49715772543</v>
      </c>
      <c r="P194" s="283">
        <f t="shared" si="125"/>
        <v>106070.49715772543</v>
      </c>
      <c r="Q194" s="283">
        <f t="shared" si="125"/>
        <v>106070.49715772543</v>
      </c>
      <c r="R194" s="283">
        <f t="shared" si="125"/>
        <v>106070.49715772543</v>
      </c>
      <c r="S194" s="283">
        <f t="shared" si="125"/>
        <v>106070.49715772543</v>
      </c>
      <c r="T194" s="283">
        <f t="shared" si="125"/>
        <v>106070.49715772543</v>
      </c>
      <c r="U194" s="283">
        <f t="shared" si="125"/>
        <v>106070.49715772543</v>
      </c>
      <c r="V194" s="283">
        <f t="shared" si="125"/>
        <v>106070.49715772543</v>
      </c>
      <c r="W194" s="283">
        <f t="shared" si="125"/>
        <v>106070.49715772543</v>
      </c>
      <c r="X194" s="283">
        <f t="shared" si="125"/>
        <v>106070.49715772543</v>
      </c>
      <c r="Y194" s="283">
        <f t="shared" si="125"/>
        <v>106070.49715772543</v>
      </c>
      <c r="Z194" s="283">
        <f t="shared" si="125"/>
        <v>106070.49715772543</v>
      </c>
      <c r="AA194" s="283">
        <f t="shared" si="125"/>
        <v>106070.49715772543</v>
      </c>
      <c r="AB194" s="283">
        <f t="shared" si="125"/>
        <v>106070.49715772543</v>
      </c>
      <c r="AC194" s="283">
        <f t="shared" si="125"/>
        <v>106070.49715772543</v>
      </c>
      <c r="AD194" s="283">
        <f t="shared" si="125"/>
        <v>106070.49715772543</v>
      </c>
      <c r="AE194" s="283">
        <f t="shared" si="125"/>
        <v>106070.49715772543</v>
      </c>
      <c r="AF194" s="283">
        <f t="shared" si="125"/>
        <v>106070.49715772543</v>
      </c>
      <c r="AG194" s="283">
        <f t="shared" si="125"/>
        <v>106070.49715772543</v>
      </c>
      <c r="AI194" s="284"/>
      <c r="AJ194" s="285"/>
    </row>
    <row r="195" spans="1:36" s="55" customFormat="1" outlineLevel="1">
      <c r="A195" s="286" t="s">
        <v>173</v>
      </c>
      <c r="B195" s="287" t="s">
        <v>127</v>
      </c>
      <c r="C195" s="288">
        <v>0</v>
      </c>
      <c r="D195" s="288">
        <v>0</v>
      </c>
      <c r="E195" s="288">
        <v>0</v>
      </c>
      <c r="F195" s="288">
        <v>0</v>
      </c>
      <c r="G195" s="288">
        <v>0</v>
      </c>
      <c r="H195" s="288">
        <v>0</v>
      </c>
      <c r="I195" s="288">
        <v>0</v>
      </c>
      <c r="J195" s="288">
        <v>0</v>
      </c>
      <c r="K195" s="288">
        <v>0</v>
      </c>
      <c r="L195" s="288">
        <v>0</v>
      </c>
      <c r="M195" s="288">
        <v>0</v>
      </c>
      <c r="N195" s="288">
        <v>0</v>
      </c>
      <c r="O195" s="288">
        <v>0</v>
      </c>
      <c r="P195" s="288">
        <v>0</v>
      </c>
      <c r="Q195" s="288">
        <v>0</v>
      </c>
      <c r="R195" s="288">
        <v>0</v>
      </c>
      <c r="S195" s="288">
        <v>0</v>
      </c>
      <c r="T195" s="288">
        <v>0</v>
      </c>
      <c r="U195" s="288">
        <v>0</v>
      </c>
      <c r="V195" s="288">
        <v>0</v>
      </c>
      <c r="W195" s="288">
        <v>0</v>
      </c>
      <c r="X195" s="288">
        <v>0</v>
      </c>
      <c r="Y195" s="288">
        <v>0</v>
      </c>
      <c r="Z195" s="288">
        <v>0</v>
      </c>
      <c r="AA195" s="288">
        <v>0</v>
      </c>
      <c r="AB195" s="288">
        <v>0</v>
      </c>
      <c r="AC195" s="288">
        <v>0</v>
      </c>
      <c r="AD195" s="288">
        <v>0</v>
      </c>
      <c r="AE195" s="288">
        <v>0</v>
      </c>
      <c r="AF195" s="288">
        <v>0</v>
      </c>
      <c r="AG195" s="288">
        <v>0</v>
      </c>
      <c r="AI195" s="284"/>
      <c r="AJ195" s="285"/>
    </row>
    <row r="196" spans="1:36" outlineLevel="1">
      <c r="A196" s="289" t="s">
        <v>696</v>
      </c>
      <c r="B196" s="281" t="s">
        <v>127</v>
      </c>
      <c r="C196" s="234">
        <f t="shared" ref="C196:AG196" si="126">C163</f>
        <v>5810.5321893626915</v>
      </c>
      <c r="D196" s="234">
        <f t="shared" si="126"/>
        <v>5907.5680769250484</v>
      </c>
      <c r="E196" s="234">
        <f t="shared" si="126"/>
        <v>6006.2244638096963</v>
      </c>
      <c r="F196" s="234">
        <f t="shared" si="126"/>
        <v>6106.5284123553174</v>
      </c>
      <c r="G196" s="234">
        <f t="shared" si="126"/>
        <v>6208.5074368416508</v>
      </c>
      <c r="H196" s="234">
        <f t="shared" si="126"/>
        <v>6312.189511036906</v>
      </c>
      <c r="I196" s="234">
        <f t="shared" si="126"/>
        <v>6417.6030758712222</v>
      </c>
      <c r="J196" s="234">
        <f t="shared" si="126"/>
        <v>6524.7770472382708</v>
      </c>
      <c r="K196" s="234">
        <f t="shared" si="126"/>
        <v>6633.7408239271499</v>
      </c>
      <c r="L196" s="234">
        <f t="shared" si="126"/>
        <v>6744.5242956867332</v>
      </c>
      <c r="M196" s="234">
        <f t="shared" si="126"/>
        <v>6857.1578514247012</v>
      </c>
      <c r="N196" s="234">
        <f t="shared" si="126"/>
        <v>6971.6723875434936</v>
      </c>
      <c r="O196" s="234">
        <f t="shared" si="126"/>
        <v>7088.0993164154697</v>
      </c>
      <c r="P196" s="234">
        <f t="shared" si="126"/>
        <v>7206.4705749996074</v>
      </c>
      <c r="Q196" s="234">
        <f t="shared" si="126"/>
        <v>7326.8186336021008</v>
      </c>
      <c r="R196" s="234">
        <f t="shared" si="126"/>
        <v>7449.176504783255</v>
      </c>
      <c r="S196" s="234">
        <f t="shared" si="126"/>
        <v>7573.5777524131354</v>
      </c>
      <c r="T196" s="234">
        <f t="shared" si="126"/>
        <v>7700.0565008784342</v>
      </c>
      <c r="U196" s="234">
        <f t="shared" si="126"/>
        <v>7828.6474444431033</v>
      </c>
      <c r="V196" s="234">
        <f t="shared" si="126"/>
        <v>7959.3858567653024</v>
      </c>
      <c r="W196" s="234">
        <f t="shared" si="126"/>
        <v>8092.3076005732828</v>
      </c>
      <c r="X196" s="234">
        <f t="shared" si="126"/>
        <v>8227.4491375028556</v>
      </c>
      <c r="Y196" s="234">
        <f t="shared" si="126"/>
        <v>8364.8475380991531</v>
      </c>
      <c r="Z196" s="234">
        <f t="shared" si="126"/>
        <v>8504.5404919854082</v>
      </c>
      <c r="AA196" s="234">
        <f t="shared" si="126"/>
        <v>8646.5663182015633</v>
      </c>
      <c r="AB196" s="234">
        <f t="shared" si="126"/>
        <v>8790.9639757155292</v>
      </c>
      <c r="AC196" s="234">
        <f t="shared" si="126"/>
        <v>8937.7730741099786</v>
      </c>
      <c r="AD196" s="234">
        <f t="shared" si="126"/>
        <v>9087.0338844476155</v>
      </c>
      <c r="AE196" s="234">
        <f t="shared" si="126"/>
        <v>9238.7873503178907</v>
      </c>
      <c r="AF196" s="234">
        <f t="shared" si="126"/>
        <v>9393.0750990681991</v>
      </c>
      <c r="AG196" s="234">
        <f t="shared" si="126"/>
        <v>9549.9394532226379</v>
      </c>
      <c r="AI196" s="275"/>
    </row>
    <row r="197" spans="1:36" s="63" customFormat="1" outlineLevel="1">
      <c r="A197" s="290" t="s">
        <v>705</v>
      </c>
      <c r="B197" s="291" t="s">
        <v>127</v>
      </c>
      <c r="C197" s="292">
        <f>C194-C195-C196</f>
        <v>100259.96496836274</v>
      </c>
      <c r="D197" s="292">
        <f t="shared" ref="D197:AG197" si="127">D194-D195-D196</f>
        <v>100162.92908080039</v>
      </c>
      <c r="E197" s="292">
        <f t="shared" si="127"/>
        <v>100064.27269391573</v>
      </c>
      <c r="F197" s="292">
        <f t="shared" si="127"/>
        <v>99963.968745370119</v>
      </c>
      <c r="G197" s="292">
        <f t="shared" si="127"/>
        <v>99861.989720883779</v>
      </c>
      <c r="H197" s="292">
        <f t="shared" si="127"/>
        <v>99758.307646688525</v>
      </c>
      <c r="I197" s="292">
        <f t="shared" si="127"/>
        <v>99652.894081854203</v>
      </c>
      <c r="J197" s="292">
        <f t="shared" si="127"/>
        <v>99545.720110487164</v>
      </c>
      <c r="K197" s="292">
        <f t="shared" si="127"/>
        <v>99436.756333798287</v>
      </c>
      <c r="L197" s="292">
        <f t="shared" si="127"/>
        <v>99325.972862038703</v>
      </c>
      <c r="M197" s="292">
        <f t="shared" si="127"/>
        <v>99213.339306300739</v>
      </c>
      <c r="N197" s="292">
        <f t="shared" si="127"/>
        <v>99098.824770181935</v>
      </c>
      <c r="O197" s="292">
        <f t="shared" si="127"/>
        <v>98982.397841309968</v>
      </c>
      <c r="P197" s="292">
        <f t="shared" si="127"/>
        <v>98864.026582725826</v>
      </c>
      <c r="Q197" s="292">
        <f t="shared" si="127"/>
        <v>98743.67852412333</v>
      </c>
      <c r="R197" s="292">
        <f t="shared" si="127"/>
        <v>98621.320652942173</v>
      </c>
      <c r="S197" s="292">
        <f t="shared" si="127"/>
        <v>98496.919405312292</v>
      </c>
      <c r="T197" s="292">
        <f t="shared" si="127"/>
        <v>98370.440656847</v>
      </c>
      <c r="U197" s="292">
        <f t="shared" si="127"/>
        <v>98241.849713282325</v>
      </c>
      <c r="V197" s="292">
        <f t="shared" si="127"/>
        <v>98111.111300960125</v>
      </c>
      <c r="W197" s="292">
        <f t="shared" si="127"/>
        <v>97978.189557152145</v>
      </c>
      <c r="X197" s="292">
        <f t="shared" si="127"/>
        <v>97843.048020222574</v>
      </c>
      <c r="Y197" s="292">
        <f t="shared" si="127"/>
        <v>97705.649619626274</v>
      </c>
      <c r="Z197" s="292">
        <f t="shared" si="127"/>
        <v>97565.956665740028</v>
      </c>
      <c r="AA197" s="292">
        <f t="shared" si="127"/>
        <v>97423.930839523877</v>
      </c>
      <c r="AB197" s="292">
        <f t="shared" si="127"/>
        <v>97279.533182009909</v>
      </c>
      <c r="AC197" s="292">
        <f t="shared" si="127"/>
        <v>97132.724083615452</v>
      </c>
      <c r="AD197" s="292">
        <f t="shared" si="127"/>
        <v>96983.463273277812</v>
      </c>
      <c r="AE197" s="292">
        <f t="shared" si="127"/>
        <v>96831.709807407547</v>
      </c>
      <c r="AF197" s="292">
        <f t="shared" si="127"/>
        <v>96677.422058657234</v>
      </c>
      <c r="AG197" s="292">
        <f t="shared" si="127"/>
        <v>96520.557704502789</v>
      </c>
      <c r="AI197" s="293"/>
      <c r="AJ197" s="294"/>
    </row>
    <row r="198" spans="1:36" outlineLevel="1">
      <c r="A198" s="106" t="s">
        <v>698</v>
      </c>
      <c r="B198" s="281" t="s">
        <v>127</v>
      </c>
      <c r="C198" s="216">
        <f>C167*C$197</f>
        <v>16041.594394938038</v>
      </c>
      <c r="D198" s="216">
        <f t="shared" ref="D198:AG198" si="128">D167*D$197</f>
        <v>16233.072039695049</v>
      </c>
      <c r="E198" s="216">
        <f t="shared" si="128"/>
        <v>16423.882624828035</v>
      </c>
      <c r="F198" s="216">
        <f t="shared" si="128"/>
        <v>16614.011605480511</v>
      </c>
      <c r="G198" s="216">
        <f t="shared" si="128"/>
        <v>16803.444137034043</v>
      </c>
      <c r="H198" s="216">
        <f t="shared" si="128"/>
        <v>16992.165069152608</v>
      </c>
      <c r="I198" s="216">
        <f t="shared" si="128"/>
        <v>17180.158939711662</v>
      </c>
      <c r="J198" s="216">
        <f t="shared" si="128"/>
        <v>17367.409968609656</v>
      </c>
      <c r="K198" s="216">
        <f t="shared" si="128"/>
        <v>17553.902051459852</v>
      </c>
      <c r="L198" s="216">
        <f t="shared" si="128"/>
        <v>17739.618753160106</v>
      </c>
      <c r="M198" s="216">
        <f t="shared" si="128"/>
        <v>17924.54330133833</v>
      </c>
      <c r="N198" s="216">
        <f t="shared" si="128"/>
        <v>18108.658579671239</v>
      </c>
      <c r="O198" s="216">
        <f t="shared" si="128"/>
        <v>18291.947121074078</v>
      </c>
      <c r="P198" s="216">
        <f t="shared" si="128"/>
        <v>18474.391100758694</v>
      </c>
      <c r="Q198" s="216">
        <f t="shared" si="128"/>
        <v>18655.972329157692</v>
      </c>
      <c r="R198" s="216">
        <f t="shared" si="128"/>
        <v>18836.672244711946</v>
      </c>
      <c r="S198" s="216">
        <f t="shared" si="128"/>
        <v>19016.471906518953</v>
      </c>
      <c r="T198" s="216">
        <f t="shared" si="128"/>
        <v>19195.351986839403</v>
      </c>
      <c r="U198" s="216">
        <f t="shared" si="128"/>
        <v>19373.292763459263</v>
      </c>
      <c r="V198" s="216">
        <f t="shared" si="128"/>
        <v>19550.274111904644</v>
      </c>
      <c r="W198" s="216">
        <f t="shared" si="128"/>
        <v>19726.27549750662</v>
      </c>
      <c r="X198" s="216">
        <f t="shared" si="128"/>
        <v>19901.27596731326</v>
      </c>
      <c r="Y198" s="216">
        <f t="shared" si="128"/>
        <v>20075.254141845868</v>
      </c>
      <c r="Z198" s="216">
        <f t="shared" si="128"/>
        <v>20248.18820669657</v>
      </c>
      <c r="AA198" s="216">
        <f t="shared" si="128"/>
        <v>20420.055903964192</v>
      </c>
      <c r="AB198" s="216">
        <f t="shared" si="128"/>
        <v>20590.834523525416</v>
      </c>
      <c r="AC198" s="216">
        <f t="shared" si="128"/>
        <v>20760.500894138062</v>
      </c>
      <c r="AD198" s="216">
        <f t="shared" si="128"/>
        <v>20929.031374373339</v>
      </c>
      <c r="AE198" s="216">
        <f t="shared" si="128"/>
        <v>21096.401843373842</v>
      </c>
      <c r="AF198" s="216">
        <f t="shared" si="128"/>
        <v>21262.587691434001</v>
      </c>
      <c r="AG198" s="216">
        <f t="shared" si="128"/>
        <v>21427.563810399621</v>
      </c>
      <c r="AI198" s="201"/>
    </row>
    <row r="199" spans="1:36" outlineLevel="1">
      <c r="A199" s="106" t="s">
        <v>697</v>
      </c>
      <c r="B199" s="281" t="s">
        <v>127</v>
      </c>
      <c r="C199" s="216">
        <f t="shared" ref="C199:AG203" si="129">C168*C$197</f>
        <v>37096.187038294214</v>
      </c>
      <c r="D199" s="216">
        <f t="shared" si="129"/>
        <v>36329.0943776063</v>
      </c>
      <c r="E199" s="216">
        <f t="shared" si="129"/>
        <v>35562.842515417658</v>
      </c>
      <c r="F199" s="216">
        <f t="shared" si="129"/>
        <v>34797.45752026335</v>
      </c>
      <c r="G199" s="216">
        <f t="shared" si="129"/>
        <v>34032.9660968772</v>
      </c>
      <c r="H199" s="216">
        <f t="shared" si="129"/>
        <v>33269.395600170639</v>
      </c>
      <c r="I199" s="216">
        <f t="shared" si="129"/>
        <v>32506.774049500858</v>
      </c>
      <c r="J199" s="216">
        <f t="shared" si="129"/>
        <v>31745.130143234375</v>
      </c>
      <c r="K199" s="216">
        <f t="shared" si="129"/>
        <v>30984.493273611566</v>
      </c>
      <c r="L199" s="216">
        <f t="shared" si="129"/>
        <v>30224.893541918402</v>
      </c>
      <c r="M199" s="216">
        <f t="shared" si="129"/>
        <v>29466.361773971345</v>
      </c>
      <c r="N199" s="216">
        <f t="shared" si="129"/>
        <v>28708.929535921736</v>
      </c>
      <c r="O199" s="216">
        <f t="shared" si="129"/>
        <v>27952.629150385965</v>
      </c>
      <c r="P199" s="216">
        <f t="shared" si="129"/>
        <v>27197.493712907908</v>
      </c>
      <c r="Q199" s="216">
        <f t="shared" si="129"/>
        <v>26443.557108760266</v>
      </c>
      <c r="R199" s="216">
        <f t="shared" si="129"/>
        <v>25690.854030091476</v>
      </c>
      <c r="S199" s="216">
        <f t="shared" si="129"/>
        <v>24939.419993425116</v>
      </c>
      <c r="T199" s="216">
        <f t="shared" si="129"/>
        <v>24189.291357518719</v>
      </c>
      <c r="U199" s="216">
        <f t="shared" si="129"/>
        <v>23440.505341589203</v>
      </c>
      <c r="V199" s="216">
        <f t="shared" si="129"/>
        <v>22693.10004391212</v>
      </c>
      <c r="W199" s="216">
        <f t="shared" si="129"/>
        <v>21947.11446080212</v>
      </c>
      <c r="X199" s="216">
        <f t="shared" si="129"/>
        <v>21202.588505982272</v>
      </c>
      <c r="Y199" s="216">
        <f t="shared" si="129"/>
        <v>20459.563030349782</v>
      </c>
      <c r="Z199" s="216">
        <f t="shared" si="129"/>
        <v>19718.0798421461</v>
      </c>
      <c r="AA199" s="216">
        <f t="shared" si="129"/>
        <v>18978.181727539293</v>
      </c>
      <c r="AB199" s="216">
        <f t="shared" si="129"/>
        <v>18239.9124716269</v>
      </c>
      <c r="AC199" s="216">
        <f t="shared" si="129"/>
        <v>17503.316879867543</v>
      </c>
      <c r="AD199" s="216">
        <f t="shared" si="129"/>
        <v>16768.440799949774</v>
      </c>
      <c r="AE199" s="216">
        <f t="shared" si="129"/>
        <v>16035.331144106731</v>
      </c>
      <c r="AF199" s="216">
        <f t="shared" si="129"/>
        <v>15304.035911885479</v>
      </c>
      <c r="AG199" s="216">
        <f t="shared" si="129"/>
        <v>14574.60421337992</v>
      </c>
      <c r="AI199" s="201"/>
    </row>
    <row r="200" spans="1:36" outlineLevel="1">
      <c r="A200" s="106" t="s">
        <v>699</v>
      </c>
      <c r="B200" s="281" t="s">
        <v>127</v>
      </c>
      <c r="C200" s="216">
        <f t="shared" si="129"/>
        <v>8020.797197469019</v>
      </c>
      <c r="D200" s="216">
        <f t="shared" si="129"/>
        <v>8023.0506193721112</v>
      </c>
      <c r="E200" s="216">
        <f t="shared" si="129"/>
        <v>8025.1546700520421</v>
      </c>
      <c r="F200" s="216">
        <f t="shared" si="129"/>
        <v>8027.1066902532211</v>
      </c>
      <c r="G200" s="216">
        <f t="shared" si="129"/>
        <v>8028.9039735590568</v>
      </c>
      <c r="H200" s="216">
        <f t="shared" si="129"/>
        <v>8030.5437655584283</v>
      </c>
      <c r="I200" s="216">
        <f t="shared" si="129"/>
        <v>8032.0232629974507</v>
      </c>
      <c r="J200" s="216">
        <f t="shared" si="129"/>
        <v>8033.3396129163166</v>
      </c>
      <c r="K200" s="216">
        <f t="shared" si="129"/>
        <v>8034.4899117709037</v>
      </c>
      <c r="L200" s="216">
        <f t="shared" si="129"/>
        <v>8035.4712045389342</v>
      </c>
      <c r="M200" s="216">
        <f t="shared" si="129"/>
        <v>8036.280483810363</v>
      </c>
      <c r="N200" s="216">
        <f t="shared" si="129"/>
        <v>8036.9146888617579</v>
      </c>
      <c r="O200" s="216">
        <f t="shared" si="129"/>
        <v>8037.3707047143735</v>
      </c>
      <c r="P200" s="216">
        <f t="shared" si="129"/>
        <v>8037.6453611756133</v>
      </c>
      <c r="Q200" s="216">
        <f t="shared" si="129"/>
        <v>8037.7354318636435</v>
      </c>
      <c r="R200" s="216">
        <f t="shared" si="129"/>
        <v>8037.6376332147911</v>
      </c>
      <c r="S200" s="216">
        <f t="shared" si="129"/>
        <v>8037.3486234734874</v>
      </c>
      <c r="T200" s="216">
        <f t="shared" si="129"/>
        <v>8036.8650016644051</v>
      </c>
      <c r="U200" s="216">
        <f t="shared" si="129"/>
        <v>8036.1833065464998</v>
      </c>
      <c r="V200" s="216">
        <f t="shared" si="129"/>
        <v>8035.3000155486397</v>
      </c>
      <c r="W200" s="216">
        <f t="shared" si="129"/>
        <v>8034.2115436864815</v>
      </c>
      <c r="X200" s="216">
        <f t="shared" si="129"/>
        <v>8032.9142424602796</v>
      </c>
      <c r="Y200" s="216">
        <f t="shared" si="129"/>
        <v>8031.4043987332861</v>
      </c>
      <c r="Z200" s="216">
        <f t="shared" si="129"/>
        <v>8029.6782335904109</v>
      </c>
      <c r="AA200" s="216">
        <f t="shared" si="129"/>
        <v>8027.731901176774</v>
      </c>
      <c r="AB200" s="216">
        <f t="shared" si="129"/>
        <v>8025.5614875158244</v>
      </c>
      <c r="AC200" s="216">
        <f t="shared" si="129"/>
        <v>8023.1630093066442</v>
      </c>
      <c r="AD200" s="216">
        <f t="shared" si="129"/>
        <v>8020.5324127000831</v>
      </c>
      <c r="AE200" s="216">
        <f t="shared" si="129"/>
        <v>8017.6655720533527</v>
      </c>
      <c r="AF200" s="216">
        <f t="shared" si="129"/>
        <v>8014.5582886626926</v>
      </c>
      <c r="AG200" s="216">
        <f t="shared" si="129"/>
        <v>8011.2062894737319</v>
      </c>
      <c r="AI200" s="201"/>
    </row>
    <row r="201" spans="1:36" outlineLevel="1">
      <c r="A201" s="106" t="s">
        <v>700</v>
      </c>
      <c r="B201" s="281" t="s">
        <v>127</v>
      </c>
      <c r="C201" s="216">
        <f t="shared" si="129"/>
        <v>27070.190541457941</v>
      </c>
      <c r="D201" s="216">
        <f t="shared" si="129"/>
        <v>27357.834696269278</v>
      </c>
      <c r="E201" s="216">
        <f t="shared" si="129"/>
        <v>27644.423069572451</v>
      </c>
      <c r="F201" s="216">
        <f t="shared" si="129"/>
        <v>27929.932867456409</v>
      </c>
      <c r="G201" s="216">
        <f t="shared" si="129"/>
        <v>28214.340829140361</v>
      </c>
      <c r="H201" s="216">
        <f t="shared" si="129"/>
        <v>28497.623217737349</v>
      </c>
      <c r="I201" s="216">
        <f t="shared" si="129"/>
        <v>28779.755810839488</v>
      </c>
      <c r="J201" s="216">
        <f t="shared" si="129"/>
        <v>29060.713890921546</v>
      </c>
      <c r="K201" s="216">
        <f t="shared" si="129"/>
        <v>29340.472235559406</v>
      </c>
      <c r="L201" s="216">
        <f t="shared" si="129"/>
        <v>29619.005107459932</v>
      </c>
      <c r="M201" s="216">
        <f t="shared" si="129"/>
        <v>29896.286244298612</v>
      </c>
      <c r="N201" s="216">
        <f t="shared" si="129"/>
        <v>30172.288848361382</v>
      </c>
      <c r="O201" s="216">
        <f t="shared" si="129"/>
        <v>30446.985575986935</v>
      </c>
      <c r="P201" s="216">
        <f t="shared" si="129"/>
        <v>30720.348526805657</v>
      </c>
      <c r="Q201" s="216">
        <f t="shared" si="129"/>
        <v>30992.349232771496</v>
      </c>
      <c r="R201" s="216">
        <f t="shared" si="129"/>
        <v>31262.958646982654</v>
      </c>
      <c r="S201" s="216">
        <f t="shared" si="129"/>
        <v>31532.147132287289</v>
      </c>
      <c r="T201" s="216">
        <f t="shared" si="129"/>
        <v>31799.884449670055</v>
      </c>
      <c r="U201" s="216">
        <f t="shared" si="129"/>
        <v>32066.139746415331</v>
      </c>
      <c r="V201" s="216">
        <f t="shared" si="129"/>
        <v>32330.881544043041</v>
      </c>
      <c r="W201" s="216">
        <f t="shared" si="129"/>
        <v>32594.077726012591</v>
      </c>
      <c r="X201" s="216">
        <f t="shared" si="129"/>
        <v>32855.69552519072</v>
      </c>
      <c r="Y201" s="216">
        <f t="shared" si="129"/>
        <v>33115.701511078638</v>
      </c>
      <c r="Z201" s="216">
        <f t="shared" si="129"/>
        <v>33374.061576794113</v>
      </c>
      <c r="AA201" s="216">
        <f t="shared" si="129"/>
        <v>33630.740925803613</v>
      </c>
      <c r="AB201" s="216">
        <f t="shared" si="129"/>
        <v>33885.704058400093</v>
      </c>
      <c r="AC201" s="216">
        <f t="shared" si="129"/>
        <v>34138.914757921346</v>
      </c>
      <c r="AD201" s="216">
        <f t="shared" si="129"/>
        <v>34390.336076704283</v>
      </c>
      <c r="AE201" s="216">
        <f t="shared" si="129"/>
        <v>34639.930321769898</v>
      </c>
      <c r="AF201" s="216">
        <f t="shared" si="129"/>
        <v>34887.659040234073</v>
      </c>
      <c r="AG201" s="216">
        <f t="shared" si="129"/>
        <v>35133.483004439011</v>
      </c>
      <c r="AI201" s="201"/>
    </row>
    <row r="202" spans="1:36" outlineLevel="1">
      <c r="A202" s="106" t="s">
        <v>701</v>
      </c>
      <c r="B202" s="281" t="s">
        <v>127</v>
      </c>
      <c r="C202" s="216">
        <f t="shared" si="129"/>
        <v>7018.1975477853921</v>
      </c>
      <c r="D202" s="216">
        <f t="shared" si="129"/>
        <v>7138.2780791583746</v>
      </c>
      <c r="E202" s="216">
        <f t="shared" si="129"/>
        <v>7257.9952460653549</v>
      </c>
      <c r="F202" s="216">
        <f t="shared" si="129"/>
        <v>7377.3408934083154</v>
      </c>
      <c r="G202" s="216">
        <f t="shared" si="129"/>
        <v>7496.3066950476759</v>
      </c>
      <c r="H202" s="216">
        <f t="shared" si="129"/>
        <v>7614.8841503638914</v>
      </c>
      <c r="I202" s="216">
        <f t="shared" si="129"/>
        <v>7733.0645807518868</v>
      </c>
      <c r="J202" s="216">
        <f t="shared" si="129"/>
        <v>7850.839126047088</v>
      </c>
      <c r="K202" s="216">
        <f t="shared" si="129"/>
        <v>7968.1987408817031</v>
      </c>
      <c r="L202" s="216">
        <f t="shared" si="129"/>
        <v>8085.1341909699504</v>
      </c>
      <c r="M202" s="216">
        <f t="shared" si="129"/>
        <v>8201.6360493208613</v>
      </c>
      <c r="N202" s="216">
        <f t="shared" si="129"/>
        <v>8317.6946923772703</v>
      </c>
      <c r="O202" s="216">
        <f t="shared" si="129"/>
        <v>8433.3002960796093</v>
      </c>
      <c r="P202" s="216">
        <f t="shared" si="129"/>
        <v>8548.4428318530263</v>
      </c>
      <c r="Q202" s="216">
        <f t="shared" si="129"/>
        <v>8663.1120625164203</v>
      </c>
      <c r="R202" s="216">
        <f t="shared" si="129"/>
        <v>8777.2975381118522</v>
      </c>
      <c r="S202" s="216">
        <f t="shared" si="129"/>
        <v>8890.9885916528565</v>
      </c>
      <c r="T202" s="216">
        <f t="shared" si="129"/>
        <v>9004.174334790061</v>
      </c>
      <c r="U202" s="216">
        <f t="shared" si="129"/>
        <v>9116.8436533925997</v>
      </c>
      <c r="V202" s="216">
        <f t="shared" si="129"/>
        <v>9228.9852030436487</v>
      </c>
      <c r="W202" s="216">
        <f t="shared" si="129"/>
        <v>9340.5874044485045</v>
      </c>
      <c r="X202" s="216">
        <f t="shared" si="129"/>
        <v>9451.6384387534999</v>
      </c>
      <c r="Y202" s="216">
        <f t="shared" si="129"/>
        <v>9562.1262427740912</v>
      </c>
      <c r="Z202" s="216">
        <f t="shared" si="129"/>
        <v>9672.0385041303598</v>
      </c>
      <c r="AA202" s="216">
        <f t="shared" si="129"/>
        <v>9781.3626562881964</v>
      </c>
      <c r="AB202" s="216">
        <f t="shared" si="129"/>
        <v>9890.0858735043403</v>
      </c>
      <c r="AC202" s="216">
        <f t="shared" si="129"/>
        <v>9998.1950656734825</v>
      </c>
      <c r="AD202" s="216">
        <f t="shared" si="129"/>
        <v>10105.676873075547</v>
      </c>
      <c r="AE202" s="216">
        <f t="shared" si="129"/>
        <v>10212.517661021247</v>
      </c>
      <c r="AF202" s="216">
        <f t="shared" si="129"/>
        <v>10318.703514394014</v>
      </c>
      <c r="AG202" s="216">
        <f t="shared" si="129"/>
        <v>10424.220232086302</v>
      </c>
      <c r="AI202" s="201"/>
    </row>
    <row r="203" spans="1:36" outlineLevel="1">
      <c r="A203" s="106" t="s">
        <v>702</v>
      </c>
      <c r="B203" s="281" t="s">
        <v>127</v>
      </c>
      <c r="C203" s="216">
        <f t="shared" si="129"/>
        <v>5012.9982484181373</v>
      </c>
      <c r="D203" s="216">
        <f t="shared" si="129"/>
        <v>5081.5992686992731</v>
      </c>
      <c r="E203" s="216">
        <f t="shared" si="129"/>
        <v>5149.9745679801972</v>
      </c>
      <c r="F203" s="216">
        <f t="shared" si="129"/>
        <v>5218.1191685083213</v>
      </c>
      <c r="G203" s="216">
        <f t="shared" si="129"/>
        <v>5286.0279892254493</v>
      </c>
      <c r="H203" s="216">
        <f t="shared" si="129"/>
        <v>5353.6958437056192</v>
      </c>
      <c r="I203" s="216">
        <f t="shared" si="129"/>
        <v>5421.1174380528701</v>
      </c>
      <c r="J203" s="216">
        <f t="shared" si="129"/>
        <v>5488.2873687581941</v>
      </c>
      <c r="K203" s="216">
        <f t="shared" si="129"/>
        <v>5555.2001205148663</v>
      </c>
      <c r="L203" s="216">
        <f t="shared" si="129"/>
        <v>5621.8500639913927</v>
      </c>
      <c r="M203" s="216">
        <f t="shared" si="129"/>
        <v>5688.231453561245</v>
      </c>
      <c r="N203" s="216">
        <f t="shared" si="129"/>
        <v>5754.3384249885676</v>
      </c>
      <c r="O203" s="216">
        <f t="shared" si="129"/>
        <v>5820.1649930690292</v>
      </c>
      <c r="P203" s="216">
        <f t="shared" si="129"/>
        <v>5885.7050492249473</v>
      </c>
      <c r="Q203" s="216">
        <f t="shared" si="129"/>
        <v>5950.9523590538365</v>
      </c>
      <c r="R203" s="216">
        <f t="shared" si="129"/>
        <v>6015.9005598294762</v>
      </c>
      <c r="S203" s="216">
        <f t="shared" si="129"/>
        <v>6080.5431579546166</v>
      </c>
      <c r="T203" s="216">
        <f t="shared" si="129"/>
        <v>6144.8735263643803</v>
      </c>
      <c r="U203" s="216">
        <f t="shared" si="129"/>
        <v>6208.8849018794481</v>
      </c>
      <c r="V203" s="216">
        <f t="shared" si="129"/>
        <v>6272.5703825080554</v>
      </c>
      <c r="W203" s="216">
        <f t="shared" si="129"/>
        <v>6335.9229246958439</v>
      </c>
      <c r="X203" s="216">
        <f t="shared" si="129"/>
        <v>6398.935340522562</v>
      </c>
      <c r="Y203" s="216">
        <f t="shared" si="129"/>
        <v>6461.600294844623</v>
      </c>
      <c r="Z203" s="216">
        <f t="shared" si="129"/>
        <v>6523.9103023824891</v>
      </c>
      <c r="AA203" s="216">
        <f t="shared" si="129"/>
        <v>6585.8577247518206</v>
      </c>
      <c r="AB203" s="216">
        <f t="shared" si="129"/>
        <v>6647.4347674373503</v>
      </c>
      <c r="AC203" s="216">
        <f t="shared" si="129"/>
        <v>6708.6334767083808</v>
      </c>
      <c r="AD203" s="216">
        <f t="shared" si="129"/>
        <v>6769.4457364747977</v>
      </c>
      <c r="AE203" s="216">
        <f t="shared" si="129"/>
        <v>6829.8632650824857</v>
      </c>
      <c r="AF203" s="216">
        <f t="shared" si="129"/>
        <v>6889.8776120469793</v>
      </c>
      <c r="AG203" s="216">
        <f t="shared" si="129"/>
        <v>6949.4801547242005</v>
      </c>
      <c r="AI203" s="201"/>
    </row>
    <row r="204" spans="1:36" s="55" customFormat="1">
      <c r="A204" s="55" t="s">
        <v>704</v>
      </c>
      <c r="B204" s="282"/>
      <c r="C204" s="283">
        <f t="shared" ref="C204:AG204" si="130">C44</f>
        <v>106070.49715772543</v>
      </c>
      <c r="D204" s="283">
        <f t="shared" si="130"/>
        <v>106031.0953933438</v>
      </c>
      <c r="E204" s="283">
        <f t="shared" si="130"/>
        <v>105991.69362896215</v>
      </c>
      <c r="F204" s="283">
        <f t="shared" si="130"/>
        <v>105952.2918645805</v>
      </c>
      <c r="G204" s="283">
        <f t="shared" si="130"/>
        <v>105912.89010019886</v>
      </c>
      <c r="H204" s="283">
        <f t="shared" si="130"/>
        <v>105873.48833581721</v>
      </c>
      <c r="I204" s="283">
        <f t="shared" si="130"/>
        <v>105544.24819517189</v>
      </c>
      <c r="J204" s="283">
        <f t="shared" si="130"/>
        <v>105215.00805452657</v>
      </c>
      <c r="K204" s="283">
        <f t="shared" si="130"/>
        <v>104885.76791388125</v>
      </c>
      <c r="L204" s="283">
        <f t="shared" si="130"/>
        <v>104556.52777323591</v>
      </c>
      <c r="M204" s="283">
        <f t="shared" si="130"/>
        <v>104227.2876325906</v>
      </c>
      <c r="N204" s="283">
        <f t="shared" si="130"/>
        <v>103867.42669219724</v>
      </c>
      <c r="O204" s="283">
        <f t="shared" si="130"/>
        <v>103517.96130001557</v>
      </c>
      <c r="P204" s="283">
        <f t="shared" si="130"/>
        <v>102843.25621985749</v>
      </c>
      <c r="Q204" s="283">
        <f t="shared" si="130"/>
        <v>102168.55113969943</v>
      </c>
      <c r="R204" s="283">
        <f t="shared" si="130"/>
        <v>101493.84605954136</v>
      </c>
      <c r="S204" s="283">
        <f t="shared" si="130"/>
        <v>100819.15495260018</v>
      </c>
      <c r="T204" s="283">
        <f t="shared" si="130"/>
        <v>100144.46384565902</v>
      </c>
      <c r="U204" s="283">
        <f t="shared" si="130"/>
        <v>99469.772738717846</v>
      </c>
      <c r="V204" s="283">
        <f t="shared" si="130"/>
        <v>98795.081631776673</v>
      </c>
      <c r="W204" s="283">
        <f t="shared" si="130"/>
        <v>98120.3905248355</v>
      </c>
      <c r="X204" s="283">
        <f t="shared" si="130"/>
        <v>97411.248055639124</v>
      </c>
      <c r="Y204" s="283">
        <f t="shared" si="130"/>
        <v>96735.034203818825</v>
      </c>
      <c r="Z204" s="283">
        <f t="shared" si="130"/>
        <v>95431.28287554736</v>
      </c>
      <c r="AA204" s="283">
        <f t="shared" si="130"/>
        <v>94127.53154727591</v>
      </c>
      <c r="AB204" s="283">
        <f t="shared" si="130"/>
        <v>92823.780219004475</v>
      </c>
      <c r="AC204" s="283">
        <f t="shared" si="130"/>
        <v>91511.240437605127</v>
      </c>
      <c r="AD204" s="283">
        <f t="shared" si="130"/>
        <v>90198.700656205765</v>
      </c>
      <c r="AE204" s="283">
        <f t="shared" si="130"/>
        <v>88886.160874806403</v>
      </c>
      <c r="AF204" s="283">
        <f t="shared" si="130"/>
        <v>87573.62109340707</v>
      </c>
      <c r="AG204" s="283">
        <f t="shared" si="130"/>
        <v>86261.081312007736</v>
      </c>
      <c r="AI204" s="284"/>
      <c r="AJ204" s="285"/>
    </row>
    <row r="205" spans="1:36" s="55" customFormat="1">
      <c r="A205" s="286" t="s">
        <v>173</v>
      </c>
      <c r="B205" s="287" t="s">
        <v>127</v>
      </c>
      <c r="C205" s="288">
        <f>C204-C194</f>
        <v>0</v>
      </c>
      <c r="D205" s="288">
        <f t="shared" ref="D205:AG205" si="131">D204-D194</f>
        <v>-39.401764381633257</v>
      </c>
      <c r="E205" s="288">
        <f t="shared" si="131"/>
        <v>-78.803528763281065</v>
      </c>
      <c r="F205" s="288">
        <f t="shared" si="131"/>
        <v>-118.20529314492887</v>
      </c>
      <c r="G205" s="288">
        <f t="shared" si="131"/>
        <v>-157.60705752657668</v>
      </c>
      <c r="H205" s="288">
        <f t="shared" si="131"/>
        <v>-197.00882190822449</v>
      </c>
      <c r="I205" s="288">
        <f t="shared" si="131"/>
        <v>-526.24896255353815</v>
      </c>
      <c r="J205" s="288">
        <f t="shared" si="131"/>
        <v>-855.48910319886636</v>
      </c>
      <c r="K205" s="288">
        <f t="shared" si="131"/>
        <v>-1184.72924384418</v>
      </c>
      <c r="L205" s="288">
        <f t="shared" si="131"/>
        <v>-1513.9693844895228</v>
      </c>
      <c r="M205" s="288">
        <f t="shared" si="131"/>
        <v>-1843.2095251348364</v>
      </c>
      <c r="N205" s="288">
        <f t="shared" si="131"/>
        <v>-2203.0704655281879</v>
      </c>
      <c r="O205" s="288">
        <f t="shared" si="131"/>
        <v>-2552.5358577098668</v>
      </c>
      <c r="P205" s="288">
        <f t="shared" si="131"/>
        <v>-3227.240937867944</v>
      </c>
      <c r="Q205" s="288">
        <f t="shared" si="131"/>
        <v>-3901.9460180260066</v>
      </c>
      <c r="R205" s="288">
        <f t="shared" si="131"/>
        <v>-4576.6510981840693</v>
      </c>
      <c r="S205" s="288">
        <f t="shared" si="131"/>
        <v>-5251.3422051252564</v>
      </c>
      <c r="T205" s="288">
        <f t="shared" si="131"/>
        <v>-5926.0333120664145</v>
      </c>
      <c r="U205" s="288">
        <f t="shared" si="131"/>
        <v>-6600.7244190075871</v>
      </c>
      <c r="V205" s="288">
        <f t="shared" si="131"/>
        <v>-7275.4155259487598</v>
      </c>
      <c r="W205" s="288">
        <f t="shared" si="131"/>
        <v>-7950.1066328899324</v>
      </c>
      <c r="X205" s="288">
        <f t="shared" si="131"/>
        <v>-8659.249102086309</v>
      </c>
      <c r="Y205" s="288">
        <f t="shared" si="131"/>
        <v>-9335.4629539066082</v>
      </c>
      <c r="Z205" s="288">
        <f t="shared" si="131"/>
        <v>-10639.214282178073</v>
      </c>
      <c r="AA205" s="288">
        <f t="shared" si="131"/>
        <v>-11942.965610449523</v>
      </c>
      <c r="AB205" s="288">
        <f t="shared" si="131"/>
        <v>-13246.716938720958</v>
      </c>
      <c r="AC205" s="288">
        <f t="shared" si="131"/>
        <v>-14559.256720120306</v>
      </c>
      <c r="AD205" s="288">
        <f t="shared" si="131"/>
        <v>-15871.796501519668</v>
      </c>
      <c r="AE205" s="288">
        <f t="shared" si="131"/>
        <v>-17184.33628291903</v>
      </c>
      <c r="AF205" s="288">
        <f t="shared" si="131"/>
        <v>-18496.876064318363</v>
      </c>
      <c r="AG205" s="288">
        <f t="shared" si="131"/>
        <v>-19809.415845717696</v>
      </c>
      <c r="AI205" s="284"/>
      <c r="AJ205" s="285"/>
    </row>
    <row r="206" spans="1:36">
      <c r="A206" s="289" t="s">
        <v>696</v>
      </c>
      <c r="B206" s="281" t="s">
        <v>127</v>
      </c>
      <c r="C206" s="234">
        <f>C162</f>
        <v>5810.5321893626915</v>
      </c>
      <c r="D206" s="234">
        <f t="shared" ref="D206:AG206" si="132">D162</f>
        <v>6596.2036605473786</v>
      </c>
      <c r="E206" s="234">
        <f t="shared" si="132"/>
        <v>7381.8751317320657</v>
      </c>
      <c r="F206" s="234">
        <f t="shared" si="132"/>
        <v>8167.5466029167519</v>
      </c>
      <c r="G206" s="234">
        <f t="shared" si="132"/>
        <v>8953.2180741014381</v>
      </c>
      <c r="H206" s="234">
        <f t="shared" si="132"/>
        <v>9738.889545286127</v>
      </c>
      <c r="I206" s="234">
        <f t="shared" si="132"/>
        <v>10524.561016470812</v>
      </c>
      <c r="J206" s="234">
        <f t="shared" si="132"/>
        <v>11310.232487655499</v>
      </c>
      <c r="K206" s="234">
        <f t="shared" si="132"/>
        <v>12095.90395884019</v>
      </c>
      <c r="L206" s="234">
        <f t="shared" si="132"/>
        <v>12881.575430024875</v>
      </c>
      <c r="M206" s="234">
        <f t="shared" si="132"/>
        <v>13667.246901209564</v>
      </c>
      <c r="N206" s="234">
        <f t="shared" si="132"/>
        <v>14452.91837239425</v>
      </c>
      <c r="O206" s="234">
        <f t="shared" si="132"/>
        <v>15238.589843578939</v>
      </c>
      <c r="P206" s="234">
        <f t="shared" si="132"/>
        <v>15938.497859648631</v>
      </c>
      <c r="Q206" s="234">
        <f t="shared" si="132"/>
        <v>16630.038709365643</v>
      </c>
      <c r="R206" s="234">
        <f t="shared" si="132"/>
        <v>17313.212392729973</v>
      </c>
      <c r="S206" s="234">
        <f t="shared" si="132"/>
        <v>17988.018909741619</v>
      </c>
      <c r="T206" s="234">
        <f t="shared" si="132"/>
        <v>18654.458260400585</v>
      </c>
      <c r="U206" s="234">
        <f t="shared" si="132"/>
        <v>19312.530444706867</v>
      </c>
      <c r="V206" s="234">
        <f t="shared" si="132"/>
        <v>19962.235462660472</v>
      </c>
      <c r="W206" s="234">
        <f t="shared" si="132"/>
        <v>20603.573314261386</v>
      </c>
      <c r="X206" s="234">
        <f t="shared" si="132"/>
        <v>21236.543999509617</v>
      </c>
      <c r="Y206" s="234">
        <f t="shared" si="132"/>
        <v>21861.147518405174</v>
      </c>
      <c r="Z206" s="234">
        <f t="shared" si="132"/>
        <v>22222.185297191234</v>
      </c>
      <c r="AA206" s="234">
        <f t="shared" si="132"/>
        <v>22558.121576919249</v>
      </c>
      <c r="AB206" s="234">
        <f t="shared" si="132"/>
        <v>22868.956357589224</v>
      </c>
      <c r="AC206" s="234">
        <f t="shared" si="132"/>
        <v>23154.68963920114</v>
      </c>
      <c r="AD206" s="234">
        <f t="shared" si="132"/>
        <v>23415.321421755012</v>
      </c>
      <c r="AE206" s="234">
        <f t="shared" si="132"/>
        <v>23650.85170525084</v>
      </c>
      <c r="AF206" s="234">
        <f t="shared" si="132"/>
        <v>23861.28048968863</v>
      </c>
      <c r="AG206" s="234">
        <f t="shared" si="132"/>
        <v>24046.607775068358</v>
      </c>
      <c r="AI206" s="275"/>
    </row>
    <row r="207" spans="1:36" s="63" customFormat="1">
      <c r="A207" s="290" t="s">
        <v>705</v>
      </c>
      <c r="B207" s="291" t="s">
        <v>127</v>
      </c>
      <c r="C207" s="292">
        <f>C204-C206</f>
        <v>100259.96496836274</v>
      </c>
      <c r="D207" s="292">
        <f t="shared" ref="D207:AG207" si="133">D204-D206</f>
        <v>99434.891732796415</v>
      </c>
      <c r="E207" s="292">
        <f t="shared" si="133"/>
        <v>98609.818497230081</v>
      </c>
      <c r="F207" s="292">
        <f t="shared" si="133"/>
        <v>97784.745261663746</v>
      </c>
      <c r="G207" s="292">
        <f t="shared" si="133"/>
        <v>96959.672026097425</v>
      </c>
      <c r="H207" s="292">
        <f t="shared" si="133"/>
        <v>96134.598790531076</v>
      </c>
      <c r="I207" s="292">
        <f t="shared" si="133"/>
        <v>95019.687178701075</v>
      </c>
      <c r="J207" s="292">
        <f t="shared" si="133"/>
        <v>93904.775566871074</v>
      </c>
      <c r="K207" s="292">
        <f t="shared" si="133"/>
        <v>92789.863955041059</v>
      </c>
      <c r="L207" s="292">
        <f t="shared" si="133"/>
        <v>91674.952343211029</v>
      </c>
      <c r="M207" s="292">
        <f t="shared" si="133"/>
        <v>90560.040731381028</v>
      </c>
      <c r="N207" s="292">
        <f t="shared" si="133"/>
        <v>89414.50831980299</v>
      </c>
      <c r="O207" s="292">
        <f t="shared" si="133"/>
        <v>88279.371456436624</v>
      </c>
      <c r="P207" s="292">
        <f t="shared" si="133"/>
        <v>86904.758360208856</v>
      </c>
      <c r="Q207" s="292">
        <f t="shared" si="133"/>
        <v>85538.51243033378</v>
      </c>
      <c r="R207" s="292">
        <f t="shared" si="133"/>
        <v>84180.633666811395</v>
      </c>
      <c r="S207" s="292">
        <f t="shared" si="133"/>
        <v>82831.136042858561</v>
      </c>
      <c r="T207" s="292">
        <f t="shared" si="133"/>
        <v>81490.005585258434</v>
      </c>
      <c r="U207" s="292">
        <f t="shared" si="133"/>
        <v>80157.242294010983</v>
      </c>
      <c r="V207" s="292">
        <f t="shared" si="133"/>
        <v>78832.846169116208</v>
      </c>
      <c r="W207" s="292">
        <f t="shared" si="133"/>
        <v>77516.817210574111</v>
      </c>
      <c r="X207" s="292">
        <f t="shared" si="133"/>
        <v>76174.7040561295</v>
      </c>
      <c r="Y207" s="292">
        <f t="shared" si="133"/>
        <v>74873.886685413658</v>
      </c>
      <c r="Z207" s="292">
        <f t="shared" si="133"/>
        <v>73209.09757835613</v>
      </c>
      <c r="AA207" s="292">
        <f t="shared" si="133"/>
        <v>71569.409970356661</v>
      </c>
      <c r="AB207" s="292">
        <f t="shared" si="133"/>
        <v>69954.823861415251</v>
      </c>
      <c r="AC207" s="292">
        <f t="shared" si="133"/>
        <v>68356.550798403987</v>
      </c>
      <c r="AD207" s="292">
        <f t="shared" si="133"/>
        <v>66783.379234450753</v>
      </c>
      <c r="AE207" s="292">
        <f t="shared" si="133"/>
        <v>65235.309169555563</v>
      </c>
      <c r="AF207" s="292">
        <f t="shared" si="133"/>
        <v>63712.34060371844</v>
      </c>
      <c r="AG207" s="292">
        <f t="shared" si="133"/>
        <v>62214.473536939375</v>
      </c>
      <c r="AI207" s="293"/>
      <c r="AJ207" s="294"/>
    </row>
    <row r="208" spans="1:36" s="55" customFormat="1" outlineLevel="1">
      <c r="A208" s="286" t="s">
        <v>732</v>
      </c>
      <c r="B208" s="287" t="s">
        <v>126</v>
      </c>
      <c r="C208" s="288">
        <f>C204*C174</f>
        <v>89099.217612489359</v>
      </c>
      <c r="D208" s="288">
        <f t="shared" ref="D208:AG208" si="134">D204*D174</f>
        <v>89490.244511982164</v>
      </c>
      <c r="E208" s="288">
        <f t="shared" si="134"/>
        <v>89880.956197359905</v>
      </c>
      <c r="F208" s="288">
        <f t="shared" si="134"/>
        <v>90271.352668622581</v>
      </c>
      <c r="G208" s="288">
        <f t="shared" si="134"/>
        <v>90661.433925770223</v>
      </c>
      <c r="H208" s="288">
        <f t="shared" si="134"/>
        <v>91051.199968802801</v>
      </c>
      <c r="I208" s="288">
        <f t="shared" si="134"/>
        <v>91190.230440628511</v>
      </c>
      <c r="J208" s="288">
        <f t="shared" si="134"/>
        <v>91326.62699132906</v>
      </c>
      <c r="K208" s="288">
        <f t="shared" si="134"/>
        <v>91460.389620904447</v>
      </c>
      <c r="L208" s="288">
        <f t="shared" si="134"/>
        <v>91591.518329354658</v>
      </c>
      <c r="M208" s="288">
        <f t="shared" si="134"/>
        <v>91720.013116679722</v>
      </c>
      <c r="N208" s="288">
        <f t="shared" si="134"/>
        <v>91818.805195902372</v>
      </c>
      <c r="O208" s="288">
        <f t="shared" si="134"/>
        <v>91923.949634413817</v>
      </c>
      <c r="P208" s="288">
        <f t="shared" si="134"/>
        <v>91736.184548112884</v>
      </c>
      <c r="Q208" s="288">
        <f t="shared" si="134"/>
        <v>91543.021821170682</v>
      </c>
      <c r="R208" s="288">
        <f t="shared" si="134"/>
        <v>91344.461453587224</v>
      </c>
      <c r="S208" s="288">
        <f t="shared" si="134"/>
        <v>91140.516077150562</v>
      </c>
      <c r="T208" s="288">
        <f t="shared" si="134"/>
        <v>90931.173171858391</v>
      </c>
      <c r="U208" s="288">
        <f t="shared" si="134"/>
        <v>90716.432737710682</v>
      </c>
      <c r="V208" s="288">
        <f t="shared" si="134"/>
        <v>90496.294774707436</v>
      </c>
      <c r="W208" s="288">
        <f t="shared" si="134"/>
        <v>90270.759282848667</v>
      </c>
      <c r="X208" s="288">
        <f t="shared" si="134"/>
        <v>90007.993203410559</v>
      </c>
      <c r="Y208" s="288">
        <f t="shared" si="134"/>
        <v>89770.111741143875</v>
      </c>
      <c r="Z208" s="288">
        <f t="shared" si="134"/>
        <v>88941.955640010143</v>
      </c>
      <c r="AA208" s="288">
        <f t="shared" si="134"/>
        <v>88103.369528250259</v>
      </c>
      <c r="AB208" s="288">
        <f t="shared" si="134"/>
        <v>87254.353405864211</v>
      </c>
      <c r="AC208" s="288">
        <f t="shared" si="134"/>
        <v>86386.610973099247</v>
      </c>
      <c r="AD208" s="288">
        <f t="shared" si="134"/>
        <v>85508.368222083067</v>
      </c>
      <c r="AE208" s="288">
        <f t="shared" si="134"/>
        <v>84619.625152815701</v>
      </c>
      <c r="AF208" s="288">
        <f t="shared" si="134"/>
        <v>83720.381765297163</v>
      </c>
      <c r="AG208" s="288">
        <f t="shared" si="134"/>
        <v>82810.638059527424</v>
      </c>
      <c r="AI208" s="284"/>
      <c r="AJ208" s="316" t="s">
        <v>1624</v>
      </c>
    </row>
    <row r="209" spans="1:36" s="55" customFormat="1" outlineLevel="1">
      <c r="A209" s="286" t="s">
        <v>743</v>
      </c>
      <c r="B209" s="287" t="s">
        <v>126</v>
      </c>
      <c r="C209" s="288">
        <f>C208*C175</f>
        <v>19601.827874747658</v>
      </c>
      <c r="D209" s="288">
        <f t="shared" ref="D209:AG209" si="135">D208*D175</f>
        <v>20284.455422715957</v>
      </c>
      <c r="E209" s="288">
        <f t="shared" si="135"/>
        <v>20972.223112717307</v>
      </c>
      <c r="F209" s="288">
        <f t="shared" si="135"/>
        <v>21665.124640469417</v>
      </c>
      <c r="G209" s="288">
        <f t="shared" si="135"/>
        <v>22363.153701689986</v>
      </c>
      <c r="H209" s="288">
        <f t="shared" si="135"/>
        <v>23066.303992096706</v>
      </c>
      <c r="I209" s="288">
        <f t="shared" si="135"/>
        <v>23709.459914563409</v>
      </c>
      <c r="J209" s="288">
        <f t="shared" si="135"/>
        <v>24353.767197687743</v>
      </c>
      <c r="K209" s="288">
        <f t="shared" si="135"/>
        <v>24999.17316304721</v>
      </c>
      <c r="L209" s="288">
        <f t="shared" si="135"/>
        <v>25645.625132219295</v>
      </c>
      <c r="M209" s="288">
        <f t="shared" si="135"/>
        <v>26293.070426781513</v>
      </c>
      <c r="N209" s="288">
        <f t="shared" si="135"/>
        <v>26933.516190798018</v>
      </c>
      <c r="O209" s="288">
        <f t="shared" si="135"/>
        <v>27577.184890324133</v>
      </c>
      <c r="P209" s="288">
        <f t="shared" si="135"/>
        <v>28132.429928087939</v>
      </c>
      <c r="Q209" s="288">
        <f t="shared" si="135"/>
        <v>28683.480170633466</v>
      </c>
      <c r="R209" s="288">
        <f t="shared" si="135"/>
        <v>29230.227665147897</v>
      </c>
      <c r="S209" s="288">
        <f t="shared" si="135"/>
        <v>29772.568585202502</v>
      </c>
      <c r="T209" s="288">
        <f t="shared" si="135"/>
        <v>30310.391057286113</v>
      </c>
      <c r="U209" s="288">
        <f t="shared" si="135"/>
        <v>30843.587130821616</v>
      </c>
      <c r="V209" s="288">
        <f t="shared" si="135"/>
        <v>31372.048855231893</v>
      </c>
      <c r="W209" s="288">
        <f t="shared" si="135"/>
        <v>31895.66827993984</v>
      </c>
      <c r="X209" s="288">
        <f t="shared" si="135"/>
        <v>32402.87755322778</v>
      </c>
      <c r="Y209" s="288">
        <f t="shared" si="135"/>
        <v>32915.707638419401</v>
      </c>
      <c r="Z209" s="288">
        <f t="shared" si="135"/>
        <v>33204.996772270431</v>
      </c>
      <c r="AA209" s="288">
        <f t="shared" si="135"/>
        <v>33479.280420735071</v>
      </c>
      <c r="AB209" s="288">
        <f t="shared" si="135"/>
        <v>33738.349983600805</v>
      </c>
      <c r="AC209" s="288">
        <f t="shared" si="135"/>
        <v>33978.733649419009</v>
      </c>
      <c r="AD209" s="288">
        <f t="shared" si="135"/>
        <v>34203.347288833203</v>
      </c>
      <c r="AE209" s="288">
        <f t="shared" si="135"/>
        <v>34411.980895478358</v>
      </c>
      <c r="AF209" s="288">
        <f t="shared" si="135"/>
        <v>34604.424462989467</v>
      </c>
      <c r="AG209" s="288">
        <f t="shared" si="135"/>
        <v>34780.467985001516</v>
      </c>
      <c r="AI209" s="284"/>
      <c r="AJ209" s="316" t="s">
        <v>1625</v>
      </c>
    </row>
    <row r="210" spans="1:36" s="59" customFormat="1" outlineLevel="1">
      <c r="A210" s="290" t="s">
        <v>744</v>
      </c>
      <c r="B210" s="291" t="s">
        <v>126</v>
      </c>
      <c r="C210" s="292">
        <f>C208*C176</f>
        <v>69497.389737741702</v>
      </c>
      <c r="D210" s="292">
        <f t="shared" ref="D210:AG210" si="136">D208*D176</f>
        <v>69205.789089266211</v>
      </c>
      <c r="E210" s="292">
        <f t="shared" si="136"/>
        <v>68908.733084642605</v>
      </c>
      <c r="F210" s="292">
        <f t="shared" si="136"/>
        <v>68606.228028153157</v>
      </c>
      <c r="G210" s="292">
        <f t="shared" si="136"/>
        <v>68298.280224080241</v>
      </c>
      <c r="H210" s="292">
        <f t="shared" si="136"/>
        <v>67984.895976706088</v>
      </c>
      <c r="I210" s="292">
        <f t="shared" si="136"/>
        <v>67480.770526065098</v>
      </c>
      <c r="J210" s="292">
        <f t="shared" si="136"/>
        <v>66972.859793641313</v>
      </c>
      <c r="K210" s="292">
        <f t="shared" si="136"/>
        <v>66461.216457857241</v>
      </c>
      <c r="L210" s="292">
        <f t="shared" si="136"/>
        <v>65945.89319713536</v>
      </c>
      <c r="M210" s="292">
        <f t="shared" si="136"/>
        <v>65426.942689898206</v>
      </c>
      <c r="N210" s="292">
        <f t="shared" si="136"/>
        <v>64885.289005104351</v>
      </c>
      <c r="O210" s="292">
        <f t="shared" si="136"/>
        <v>64346.764744089691</v>
      </c>
      <c r="P210" s="292">
        <f t="shared" si="136"/>
        <v>63603.754620024942</v>
      </c>
      <c r="Q210" s="292">
        <f t="shared" si="136"/>
        <v>62859.541650537212</v>
      </c>
      <c r="R210" s="292">
        <f t="shared" si="136"/>
        <v>62114.233788439327</v>
      </c>
      <c r="S210" s="292">
        <f t="shared" si="136"/>
        <v>61367.947491948064</v>
      </c>
      <c r="T210" s="292">
        <f t="shared" si="136"/>
        <v>60620.782114572277</v>
      </c>
      <c r="U210" s="292">
        <f t="shared" si="136"/>
        <v>59872.845606889066</v>
      </c>
      <c r="V210" s="292">
        <f t="shared" si="136"/>
        <v>59124.245919475543</v>
      </c>
      <c r="W210" s="292">
        <f t="shared" si="136"/>
        <v>58375.091002908826</v>
      </c>
      <c r="X210" s="292">
        <f t="shared" si="136"/>
        <v>57605.115650182779</v>
      </c>
      <c r="Y210" s="292">
        <f t="shared" si="136"/>
        <v>56854.404102724475</v>
      </c>
      <c r="Z210" s="292">
        <f t="shared" si="136"/>
        <v>55736.958867739711</v>
      </c>
      <c r="AA210" s="292">
        <f t="shared" si="136"/>
        <v>54624.089107515189</v>
      </c>
      <c r="AB210" s="292">
        <f t="shared" si="136"/>
        <v>53516.003422263406</v>
      </c>
      <c r="AC210" s="292">
        <f t="shared" si="136"/>
        <v>52407.87732368023</v>
      </c>
      <c r="AD210" s="292">
        <f t="shared" si="136"/>
        <v>51305.020933249863</v>
      </c>
      <c r="AE210" s="292">
        <f t="shared" si="136"/>
        <v>50207.64425733735</v>
      </c>
      <c r="AF210" s="292">
        <f t="shared" si="136"/>
        <v>49115.957302307695</v>
      </c>
      <c r="AG210" s="292">
        <f t="shared" si="136"/>
        <v>48030.170074525915</v>
      </c>
      <c r="AI210" s="319"/>
      <c r="AJ210" s="318" t="s">
        <v>1626</v>
      </c>
    </row>
    <row r="211" spans="1:36" s="1" customFormat="1" outlineLevel="1">
      <c r="A211" t="s">
        <v>725</v>
      </c>
      <c r="B211" s="281" t="s">
        <v>127</v>
      </c>
      <c r="C211" s="234">
        <f>C177*C208</f>
        <v>75734.33497061595</v>
      </c>
      <c r="D211" s="234">
        <f t="shared" ref="D211:AG211" si="137">D177*D208</f>
        <v>75917.557427664869</v>
      </c>
      <c r="E211" s="234">
        <f t="shared" si="137"/>
        <v>76099.209580431372</v>
      </c>
      <c r="F211" s="234">
        <f t="shared" si="137"/>
        <v>76279.293004986073</v>
      </c>
      <c r="G211" s="234">
        <f t="shared" si="137"/>
        <v>76457.809277399545</v>
      </c>
      <c r="H211" s="234">
        <f t="shared" si="137"/>
        <v>76634.759973742344</v>
      </c>
      <c r="I211" s="234">
        <f t="shared" si="137"/>
        <v>76599.79357012792</v>
      </c>
      <c r="J211" s="234">
        <f t="shared" si="137"/>
        <v>76562.155627730841</v>
      </c>
      <c r="K211" s="234">
        <f t="shared" si="137"/>
        <v>76521.859316156697</v>
      </c>
      <c r="L211" s="234">
        <f t="shared" si="137"/>
        <v>76478.917805011108</v>
      </c>
      <c r="M211" s="234">
        <f t="shared" si="137"/>
        <v>76433.344263899737</v>
      </c>
      <c r="N211" s="234">
        <f t="shared" si="137"/>
        <v>76362.639654592102</v>
      </c>
      <c r="O211" s="234">
        <f t="shared" si="137"/>
        <v>76296.878196563426</v>
      </c>
      <c r="P211" s="234">
        <f t="shared" si="137"/>
        <v>75988.139534020127</v>
      </c>
      <c r="Q211" s="234">
        <f t="shared" si="137"/>
        <v>75675.564705501049</v>
      </c>
      <c r="R211" s="234">
        <f t="shared" si="137"/>
        <v>75359.180699209406</v>
      </c>
      <c r="S211" s="234">
        <f t="shared" si="137"/>
        <v>75039.024903520578</v>
      </c>
      <c r="T211" s="234">
        <f t="shared" si="137"/>
        <v>74715.113956210247</v>
      </c>
      <c r="U211" s="234">
        <f t="shared" si="137"/>
        <v>74387.47484492269</v>
      </c>
      <c r="V211" s="234">
        <f t="shared" si="137"/>
        <v>74056.134557302183</v>
      </c>
      <c r="W211" s="234">
        <f t="shared" si="137"/>
        <v>73721.120080993001</v>
      </c>
      <c r="X211" s="234">
        <f t="shared" si="137"/>
        <v>73356.514460779537</v>
      </c>
      <c r="Y211" s="234">
        <f t="shared" si="137"/>
        <v>73013.024216130274</v>
      </c>
      <c r="Z211" s="234">
        <f t="shared" si="137"/>
        <v>72191.220661141488</v>
      </c>
      <c r="AA211" s="234">
        <f t="shared" si="137"/>
        <v>71363.729317882622</v>
      </c>
      <c r="AB211" s="234">
        <f t="shared" si="137"/>
        <v>70530.602336406824</v>
      </c>
      <c r="AC211" s="234">
        <f t="shared" si="137"/>
        <v>69685.199518299967</v>
      </c>
      <c r="AD211" s="234">
        <f t="shared" si="137"/>
        <v>68834.236418776782</v>
      </c>
      <c r="AE211" s="234">
        <f t="shared" si="137"/>
        <v>67977.765539428525</v>
      </c>
      <c r="AF211" s="234">
        <f t="shared" si="137"/>
        <v>67115.839381846468</v>
      </c>
      <c r="AG211" s="234">
        <f t="shared" si="137"/>
        <v>66248.510447621942</v>
      </c>
      <c r="AI211" s="295"/>
      <c r="AJ211" s="198" t="s">
        <v>1627</v>
      </c>
    </row>
    <row r="212" spans="1:36" s="1" customFormat="1" outlineLevel="1">
      <c r="A212" t="s">
        <v>731</v>
      </c>
      <c r="B212" s="281" t="s">
        <v>127</v>
      </c>
      <c r="C212" s="234">
        <f>C178*C208</f>
        <v>13364.882641873404</v>
      </c>
      <c r="D212" s="234">
        <f t="shared" ref="D212:AG212" si="138">D178*D208</f>
        <v>13572.687084317295</v>
      </c>
      <c r="E212" s="234">
        <f t="shared" si="138"/>
        <v>13781.74661692852</v>
      </c>
      <c r="F212" s="234">
        <f t="shared" si="138"/>
        <v>13992.059663636503</v>
      </c>
      <c r="G212" s="234">
        <f t="shared" si="138"/>
        <v>14203.624648370671</v>
      </c>
      <c r="H212" s="234">
        <f t="shared" si="138"/>
        <v>14416.439995060447</v>
      </c>
      <c r="I212" s="234">
        <f t="shared" si="138"/>
        <v>14590.436870500567</v>
      </c>
      <c r="J212" s="234">
        <f t="shared" si="138"/>
        <v>14764.471363598204</v>
      </c>
      <c r="K212" s="234">
        <f t="shared" si="138"/>
        <v>14938.530304747734</v>
      </c>
      <c r="L212" s="234">
        <f t="shared" si="138"/>
        <v>15112.600524343527</v>
      </c>
      <c r="M212" s="234">
        <f t="shared" si="138"/>
        <v>15286.668852779963</v>
      </c>
      <c r="N212" s="234">
        <f t="shared" si="138"/>
        <v>15456.165541310243</v>
      </c>
      <c r="O212" s="234">
        <f t="shared" si="138"/>
        <v>15627.07143785036</v>
      </c>
      <c r="P212" s="234">
        <f t="shared" si="138"/>
        <v>15748.045014092724</v>
      </c>
      <c r="Q212" s="234">
        <f t="shared" si="138"/>
        <v>15867.457115669598</v>
      </c>
      <c r="R212" s="234">
        <f t="shared" si="138"/>
        <v>15985.280754377778</v>
      </c>
      <c r="S212" s="234">
        <f t="shared" si="138"/>
        <v>16101.491173629947</v>
      </c>
      <c r="T212" s="234">
        <f t="shared" si="138"/>
        <v>16216.059215648096</v>
      </c>
      <c r="U212" s="234">
        <f t="shared" si="138"/>
        <v>16328.957892787939</v>
      </c>
      <c r="V212" s="234">
        <f t="shared" si="138"/>
        <v>16440.160217405202</v>
      </c>
      <c r="W212" s="234">
        <f t="shared" si="138"/>
        <v>16549.639201855607</v>
      </c>
      <c r="X212" s="234">
        <f t="shared" si="138"/>
        <v>16651.478742630974</v>
      </c>
      <c r="Y212" s="234">
        <f t="shared" si="138"/>
        <v>16757.087525013543</v>
      </c>
      <c r="Z212" s="234">
        <f t="shared" si="138"/>
        <v>16750.734978868597</v>
      </c>
      <c r="AA212" s="234">
        <f t="shared" si="138"/>
        <v>16739.640210367572</v>
      </c>
      <c r="AB212" s="234">
        <f t="shared" si="138"/>
        <v>16723.751069457328</v>
      </c>
      <c r="AC212" s="234">
        <f t="shared" si="138"/>
        <v>16701.41145479921</v>
      </c>
      <c r="AD212" s="234">
        <f t="shared" si="138"/>
        <v>16674.131803306223</v>
      </c>
      <c r="AE212" s="234">
        <f t="shared" si="138"/>
        <v>16641.859613387114</v>
      </c>
      <c r="AF212" s="234">
        <f t="shared" si="138"/>
        <v>16604.542383450629</v>
      </c>
      <c r="AG212" s="234">
        <f t="shared" si="138"/>
        <v>16562.127611905486</v>
      </c>
      <c r="AI212" s="295"/>
      <c r="AJ212" s="198" t="s">
        <v>1628</v>
      </c>
    </row>
    <row r="213" spans="1:36" s="1" customFormat="1" outlineLevel="1">
      <c r="A213" t="s">
        <v>726</v>
      </c>
      <c r="B213" s="281" t="s">
        <v>127</v>
      </c>
      <c r="C213" s="234">
        <f>C211*C179</f>
        <v>11360.150245592393</v>
      </c>
      <c r="D213" s="234">
        <f t="shared" ref="D213:AG213" si="139">D211*D179</f>
        <v>11868.444811191608</v>
      </c>
      <c r="E213" s="234">
        <f t="shared" si="139"/>
        <v>12378.804758416836</v>
      </c>
      <c r="F213" s="234">
        <f t="shared" si="139"/>
        <v>12891.200517842644</v>
      </c>
      <c r="G213" s="234">
        <f t="shared" si="139"/>
        <v>13405.602559970719</v>
      </c>
      <c r="H213" s="234">
        <f t="shared" si="139"/>
        <v>13921.981395229857</v>
      </c>
      <c r="I213" s="234">
        <f t="shared" si="139"/>
        <v>14400.761191184047</v>
      </c>
      <c r="J213" s="234">
        <f t="shared" si="139"/>
        <v>14878.578910322358</v>
      </c>
      <c r="K213" s="234">
        <f t="shared" si="139"/>
        <v>15355.386436108774</v>
      </c>
      <c r="L213" s="234">
        <f t="shared" si="139"/>
        <v>15831.135985637296</v>
      </c>
      <c r="M213" s="234">
        <f t="shared" si="139"/>
        <v>16305.78010963194</v>
      </c>
      <c r="N213" s="234">
        <f t="shared" si="139"/>
        <v>16774.32651079206</v>
      </c>
      <c r="O213" s="234">
        <f t="shared" si="139"/>
        <v>17243.09447242333</v>
      </c>
      <c r="P213" s="234">
        <f t="shared" si="139"/>
        <v>17654.577751737339</v>
      </c>
      <c r="Q213" s="234">
        <f t="shared" si="139"/>
        <v>18061.234776379581</v>
      </c>
      <c r="R213" s="234">
        <f t="shared" si="139"/>
        <v>18462.9992713063</v>
      </c>
      <c r="S213" s="234">
        <f t="shared" si="139"/>
        <v>18859.808259084835</v>
      </c>
      <c r="T213" s="234">
        <f t="shared" si="139"/>
        <v>19251.594362716838</v>
      </c>
      <c r="U213" s="234">
        <f t="shared" si="139"/>
        <v>19638.293359059589</v>
      </c>
      <c r="V213" s="234">
        <f t="shared" si="139"/>
        <v>20019.841708657361</v>
      </c>
      <c r="W213" s="234">
        <f t="shared" si="139"/>
        <v>20396.1765557414</v>
      </c>
      <c r="X213" s="234">
        <f t="shared" si="139"/>
        <v>20759.893592400615</v>
      </c>
      <c r="Y213" s="234">
        <f t="shared" si="139"/>
        <v>21125.101673200366</v>
      </c>
      <c r="Z213" s="234">
        <f t="shared" si="139"/>
        <v>21344.537575477509</v>
      </c>
      <c r="AA213" s="234">
        <f t="shared" si="139"/>
        <v>21551.846254000564</v>
      </c>
      <c r="AB213" s="234">
        <f t="shared" si="139"/>
        <v>21746.935720392117</v>
      </c>
      <c r="AC213" s="234">
        <f t="shared" si="139"/>
        <v>21927.609448425072</v>
      </c>
      <c r="AD213" s="234">
        <f t="shared" si="139"/>
        <v>22095.789890427364</v>
      </c>
      <c r="AE213" s="234">
        <f t="shared" si="139"/>
        <v>22251.388586572953</v>
      </c>
      <c r="AF213" s="234">
        <f t="shared" si="139"/>
        <v>22394.318407076124</v>
      </c>
      <c r="AG213" s="234">
        <f t="shared" si="139"/>
        <v>22524.493552191463</v>
      </c>
      <c r="AI213" s="295"/>
      <c r="AJ213" s="198" t="s">
        <v>1629</v>
      </c>
    </row>
    <row r="214" spans="1:36" s="1" customFormat="1" outlineLevel="1">
      <c r="A214" t="s">
        <v>727</v>
      </c>
      <c r="B214" s="281" t="s">
        <v>127</v>
      </c>
      <c r="C214" s="234">
        <f>C211*C180</f>
        <v>64374.184725023559</v>
      </c>
      <c r="D214" s="234">
        <f t="shared" ref="D214:AG214" si="140">D211*D180</f>
        <v>64049.112616473263</v>
      </c>
      <c r="E214" s="234">
        <f t="shared" si="140"/>
        <v>63720.404822014541</v>
      </c>
      <c r="F214" s="234">
        <f t="shared" si="140"/>
        <v>63388.092487143433</v>
      </c>
      <c r="G214" s="234">
        <f t="shared" si="140"/>
        <v>63052.206717428831</v>
      </c>
      <c r="H214" s="234">
        <f t="shared" si="140"/>
        <v>62712.778578512494</v>
      </c>
      <c r="I214" s="234">
        <f t="shared" si="140"/>
        <v>62199.032378943884</v>
      </c>
      <c r="J214" s="234">
        <f t="shared" si="140"/>
        <v>61683.576717408498</v>
      </c>
      <c r="K214" s="234">
        <f t="shared" si="140"/>
        <v>61166.472880047935</v>
      </c>
      <c r="L214" s="234">
        <f t="shared" si="140"/>
        <v>60647.781819373828</v>
      </c>
      <c r="M214" s="234">
        <f t="shared" si="140"/>
        <v>60127.564154267813</v>
      </c>
      <c r="N214" s="234">
        <f t="shared" si="140"/>
        <v>59588.313143800064</v>
      </c>
      <c r="O214" s="234">
        <f t="shared" si="140"/>
        <v>59053.783724140121</v>
      </c>
      <c r="P214" s="234">
        <f t="shared" si="140"/>
        <v>58333.561782282814</v>
      </c>
      <c r="Q214" s="234">
        <f t="shared" si="140"/>
        <v>57614.329929121493</v>
      </c>
      <c r="R214" s="234">
        <f t="shared" si="140"/>
        <v>56896.181427903139</v>
      </c>
      <c r="S214" s="234">
        <f t="shared" si="140"/>
        <v>56179.216644435772</v>
      </c>
      <c r="T214" s="234">
        <f t="shared" si="140"/>
        <v>55463.519593493445</v>
      </c>
      <c r="U214" s="234">
        <f t="shared" si="140"/>
        <v>54749.181485863141</v>
      </c>
      <c r="V214" s="234">
        <f t="shared" si="140"/>
        <v>54036.292848644865</v>
      </c>
      <c r="W214" s="234">
        <f t="shared" si="140"/>
        <v>53324.943525251649</v>
      </c>
      <c r="X214" s="234">
        <f t="shared" si="140"/>
        <v>52596.620868378974</v>
      </c>
      <c r="Y214" s="234">
        <f t="shared" si="140"/>
        <v>51887.922542929962</v>
      </c>
      <c r="Z214" s="234">
        <f t="shared" si="140"/>
        <v>50846.683085664037</v>
      </c>
      <c r="AA214" s="234">
        <f t="shared" si="140"/>
        <v>49811.883063882124</v>
      </c>
      <c r="AB214" s="234">
        <f t="shared" si="140"/>
        <v>48783.666616014772</v>
      </c>
      <c r="AC214" s="234">
        <f t="shared" si="140"/>
        <v>47757.590069874968</v>
      </c>
      <c r="AD214" s="234">
        <f t="shared" si="140"/>
        <v>46738.446528349494</v>
      </c>
      <c r="AE214" s="234">
        <f t="shared" si="140"/>
        <v>45726.376952855644</v>
      </c>
      <c r="AF214" s="234">
        <f t="shared" si="140"/>
        <v>44721.520974770421</v>
      </c>
      <c r="AG214" s="234">
        <f t="shared" si="140"/>
        <v>43724.016895430483</v>
      </c>
      <c r="AI214" s="295"/>
      <c r="AJ214" s="198" t="s">
        <v>1630</v>
      </c>
    </row>
    <row r="215" spans="1:36" s="1" customFormat="1" outlineLevel="1">
      <c r="A215" t="s">
        <v>730</v>
      </c>
      <c r="B215" s="281" t="s">
        <v>127</v>
      </c>
      <c r="C215" s="234">
        <f>C181*C214</f>
        <v>0</v>
      </c>
      <c r="D215" s="234">
        <f t="shared" ref="D215:AG215" si="141">D181*D214</f>
        <v>0</v>
      </c>
      <c r="E215" s="234">
        <f t="shared" si="141"/>
        <v>0</v>
      </c>
      <c r="F215" s="234">
        <f t="shared" si="141"/>
        <v>0</v>
      </c>
      <c r="G215" s="234">
        <f t="shared" si="141"/>
        <v>0</v>
      </c>
      <c r="H215" s="234">
        <f t="shared" si="141"/>
        <v>0</v>
      </c>
      <c r="I215" s="234">
        <f t="shared" si="141"/>
        <v>0</v>
      </c>
      <c r="J215" s="234">
        <f t="shared" si="141"/>
        <v>0</v>
      </c>
      <c r="K215" s="234">
        <f t="shared" si="141"/>
        <v>0</v>
      </c>
      <c r="L215" s="234">
        <f t="shared" si="141"/>
        <v>0</v>
      </c>
      <c r="M215" s="234">
        <f t="shared" si="141"/>
        <v>0</v>
      </c>
      <c r="N215" s="234">
        <f t="shared" si="141"/>
        <v>0</v>
      </c>
      <c r="O215" s="234">
        <f t="shared" si="141"/>
        <v>0</v>
      </c>
      <c r="P215" s="234">
        <f t="shared" si="141"/>
        <v>0</v>
      </c>
      <c r="Q215" s="234">
        <f t="shared" si="141"/>
        <v>0</v>
      </c>
      <c r="R215" s="234">
        <f t="shared" si="141"/>
        <v>0</v>
      </c>
      <c r="S215" s="234">
        <f t="shared" si="141"/>
        <v>0</v>
      </c>
      <c r="T215" s="234">
        <f t="shared" si="141"/>
        <v>0</v>
      </c>
      <c r="U215" s="234">
        <f t="shared" si="141"/>
        <v>0</v>
      </c>
      <c r="V215" s="234">
        <f t="shared" si="141"/>
        <v>0</v>
      </c>
      <c r="W215" s="234">
        <f t="shared" si="141"/>
        <v>0</v>
      </c>
      <c r="X215" s="234">
        <f t="shared" si="141"/>
        <v>0</v>
      </c>
      <c r="Y215" s="234">
        <f t="shared" si="141"/>
        <v>0</v>
      </c>
      <c r="Z215" s="234">
        <f t="shared" si="141"/>
        <v>0</v>
      </c>
      <c r="AA215" s="234">
        <f t="shared" si="141"/>
        <v>0</v>
      </c>
      <c r="AB215" s="234">
        <f t="shared" si="141"/>
        <v>0</v>
      </c>
      <c r="AC215" s="234">
        <f t="shared" si="141"/>
        <v>0</v>
      </c>
      <c r="AD215" s="234">
        <f t="shared" si="141"/>
        <v>0</v>
      </c>
      <c r="AE215" s="234">
        <f t="shared" si="141"/>
        <v>0</v>
      </c>
      <c r="AF215" s="234">
        <f t="shared" si="141"/>
        <v>0</v>
      </c>
      <c r="AG215" s="234">
        <f t="shared" si="141"/>
        <v>0</v>
      </c>
      <c r="AI215" s="295"/>
      <c r="AJ215" s="198" t="s">
        <v>1631</v>
      </c>
    </row>
    <row r="216" spans="1:36" s="1" customFormat="1" outlineLevel="1">
      <c r="A216" t="s">
        <v>758</v>
      </c>
      <c r="B216" s="281" t="s">
        <v>127</v>
      </c>
      <c r="C216" s="234">
        <f>C182*C214</f>
        <v>64374.184725023559</v>
      </c>
      <c r="D216" s="234">
        <f t="shared" ref="D216:AG216" si="142">D182*D214</f>
        <v>64049.112616473263</v>
      </c>
      <c r="E216" s="234">
        <f t="shared" si="142"/>
        <v>63720.404822014541</v>
      </c>
      <c r="F216" s="234">
        <f t="shared" si="142"/>
        <v>63388.092487143433</v>
      </c>
      <c r="G216" s="234">
        <f t="shared" si="142"/>
        <v>63052.206717428831</v>
      </c>
      <c r="H216" s="234">
        <f t="shared" si="142"/>
        <v>62712.778578512494</v>
      </c>
      <c r="I216" s="234">
        <f t="shared" si="142"/>
        <v>62199.032378943884</v>
      </c>
      <c r="J216" s="234">
        <f t="shared" si="142"/>
        <v>61683.576717408498</v>
      </c>
      <c r="K216" s="234">
        <f t="shared" si="142"/>
        <v>61166.472880047935</v>
      </c>
      <c r="L216" s="234">
        <f t="shared" si="142"/>
        <v>60647.781819373828</v>
      </c>
      <c r="M216" s="234">
        <f t="shared" si="142"/>
        <v>60127.564154267813</v>
      </c>
      <c r="N216" s="234">
        <f t="shared" si="142"/>
        <v>59588.313143800064</v>
      </c>
      <c r="O216" s="234">
        <f t="shared" si="142"/>
        <v>59053.783724140121</v>
      </c>
      <c r="P216" s="234">
        <f t="shared" si="142"/>
        <v>58333.561782282814</v>
      </c>
      <c r="Q216" s="234">
        <f t="shared" si="142"/>
        <v>57614.329929121493</v>
      </c>
      <c r="R216" s="234">
        <f t="shared" si="142"/>
        <v>56896.181427903139</v>
      </c>
      <c r="S216" s="234">
        <f t="shared" si="142"/>
        <v>56179.216644435772</v>
      </c>
      <c r="T216" s="234">
        <f t="shared" si="142"/>
        <v>55463.519593493445</v>
      </c>
      <c r="U216" s="234">
        <f t="shared" si="142"/>
        <v>54749.181485863141</v>
      </c>
      <c r="V216" s="234">
        <f t="shared" si="142"/>
        <v>54036.292848644865</v>
      </c>
      <c r="W216" s="234">
        <f t="shared" si="142"/>
        <v>53324.943525251649</v>
      </c>
      <c r="X216" s="234">
        <f t="shared" si="142"/>
        <v>52596.620868378974</v>
      </c>
      <c r="Y216" s="234">
        <f t="shared" si="142"/>
        <v>51887.922542929962</v>
      </c>
      <c r="Z216" s="234">
        <f t="shared" si="142"/>
        <v>50846.683085664037</v>
      </c>
      <c r="AA216" s="234">
        <f t="shared" si="142"/>
        <v>49811.883063882124</v>
      </c>
      <c r="AB216" s="234">
        <f t="shared" si="142"/>
        <v>48783.666616014772</v>
      </c>
      <c r="AC216" s="234">
        <f t="shared" si="142"/>
        <v>47757.590069874968</v>
      </c>
      <c r="AD216" s="234">
        <f t="shared" si="142"/>
        <v>46738.446528349494</v>
      </c>
      <c r="AE216" s="234">
        <f t="shared" si="142"/>
        <v>45726.376952855644</v>
      </c>
      <c r="AF216" s="234">
        <f t="shared" si="142"/>
        <v>44721.520974770421</v>
      </c>
      <c r="AG216" s="234">
        <f t="shared" si="142"/>
        <v>43724.016895430483</v>
      </c>
      <c r="AI216" s="295"/>
      <c r="AJ216" s="198" t="s">
        <v>1632</v>
      </c>
    </row>
    <row r="217" spans="1:36" s="1" customFormat="1" outlineLevel="1">
      <c r="A217" t="s">
        <v>728</v>
      </c>
      <c r="B217" s="281" t="s">
        <v>127</v>
      </c>
      <c r="C217" s="234">
        <f>C183*(C215+C213)</f>
        <v>9088.1201964739139</v>
      </c>
      <c r="D217" s="234">
        <f t="shared" ref="D217:AG217" si="143">D183*(D215+D213)</f>
        <v>9534.3173316572593</v>
      </c>
      <c r="E217" s="234">
        <f t="shared" si="143"/>
        <v>9985.5691717895807</v>
      </c>
      <c r="F217" s="234">
        <f t="shared" si="143"/>
        <v>10441.87241945254</v>
      </c>
      <c r="G217" s="234">
        <f t="shared" si="143"/>
        <v>10903.22341544285</v>
      </c>
      <c r="H217" s="234">
        <f t="shared" si="143"/>
        <v>11369.618139437714</v>
      </c>
      <c r="I217" s="234">
        <f t="shared" si="143"/>
        <v>11808.624176770916</v>
      </c>
      <c r="J217" s="234">
        <f t="shared" si="143"/>
        <v>12250.029969498739</v>
      </c>
      <c r="K217" s="234">
        <f t="shared" si="143"/>
        <v>12693.786120516583</v>
      </c>
      <c r="L217" s="234">
        <f t="shared" si="143"/>
        <v>13139.842868078951</v>
      </c>
      <c r="M217" s="234">
        <f t="shared" si="143"/>
        <v>13588.150091359945</v>
      </c>
      <c r="N217" s="234">
        <f t="shared" si="143"/>
        <v>14034.519847362684</v>
      </c>
      <c r="O217" s="234">
        <f t="shared" si="143"/>
        <v>14484.199356835592</v>
      </c>
      <c r="P217" s="234">
        <f t="shared" si="143"/>
        <v>14888.69390396515</v>
      </c>
      <c r="Q217" s="234">
        <f t="shared" si="143"/>
        <v>15291.84544400137</v>
      </c>
      <c r="R217" s="234">
        <f t="shared" si="143"/>
        <v>15693.549380610346</v>
      </c>
      <c r="S217" s="234">
        <f t="shared" si="143"/>
        <v>16093.703047752384</v>
      </c>
      <c r="T217" s="234">
        <f t="shared" si="143"/>
        <v>16492.199170727414</v>
      </c>
      <c r="U217" s="234">
        <f t="shared" si="143"/>
        <v>16888.932288791235</v>
      </c>
      <c r="V217" s="234">
        <f t="shared" si="143"/>
        <v>17283.796675140842</v>
      </c>
      <c r="W217" s="234">
        <f t="shared" si="143"/>
        <v>17676.686348309202</v>
      </c>
      <c r="X217" s="234">
        <f t="shared" si="143"/>
        <v>18061.10742538852</v>
      </c>
      <c r="Y217" s="234">
        <f t="shared" si="143"/>
        <v>18449.255461261637</v>
      </c>
      <c r="Z217" s="234">
        <f t="shared" si="143"/>
        <v>18712.044607835265</v>
      </c>
      <c r="AA217" s="234">
        <f t="shared" si="143"/>
        <v>18965.62470352048</v>
      </c>
      <c r="AB217" s="234">
        <f t="shared" si="143"/>
        <v>19209.793219679686</v>
      </c>
      <c r="AC217" s="234">
        <f t="shared" si="143"/>
        <v>19442.480377603544</v>
      </c>
      <c r="AD217" s="234">
        <f t="shared" si="143"/>
        <v>19665.253002480335</v>
      </c>
      <c r="AE217" s="234">
        <f t="shared" si="143"/>
        <v>19877.907137338483</v>
      </c>
      <c r="AF217" s="234">
        <f t="shared" si="143"/>
        <v>20080.238838344903</v>
      </c>
      <c r="AG217" s="234">
        <f t="shared" si="143"/>
        <v>20272.044196972318</v>
      </c>
      <c r="AH217" s="234"/>
      <c r="AI217" s="295"/>
      <c r="AJ217" s="198" t="s">
        <v>1633</v>
      </c>
    </row>
    <row r="218" spans="1:36" s="1" customFormat="1" outlineLevel="1">
      <c r="A218" t="s">
        <v>729</v>
      </c>
      <c r="B218" s="281" t="s">
        <v>127</v>
      </c>
      <c r="C218" s="234">
        <f>C184*(C215+C213)</f>
        <v>2272.0300491184785</v>
      </c>
      <c r="D218" s="234">
        <f t="shared" ref="D218:AG218" si="144">D184*(D215+D213)</f>
        <v>2334.1274795343497</v>
      </c>
      <c r="E218" s="234">
        <f t="shared" si="144"/>
        <v>2393.2355866272551</v>
      </c>
      <c r="F218" s="234">
        <f t="shared" si="144"/>
        <v>2449.3280983901027</v>
      </c>
      <c r="G218" s="234">
        <f t="shared" si="144"/>
        <v>2502.379144527868</v>
      </c>
      <c r="H218" s="234">
        <f t="shared" si="144"/>
        <v>2552.363255792141</v>
      </c>
      <c r="I218" s="234">
        <f t="shared" si="144"/>
        <v>2592.1370144131292</v>
      </c>
      <c r="J218" s="234">
        <f t="shared" si="144"/>
        <v>2628.5489408236172</v>
      </c>
      <c r="K218" s="234">
        <f t="shared" si="144"/>
        <v>2661.6003155921885</v>
      </c>
      <c r="L218" s="234">
        <f t="shared" si="144"/>
        <v>2691.2931175583417</v>
      </c>
      <c r="M218" s="234">
        <f t="shared" si="144"/>
        <v>2717.630018271991</v>
      </c>
      <c r="N218" s="234">
        <f t="shared" si="144"/>
        <v>2739.8066634293709</v>
      </c>
      <c r="O218" s="234">
        <f t="shared" si="144"/>
        <v>2758.8951155877344</v>
      </c>
      <c r="P218" s="234">
        <f t="shared" si="144"/>
        <v>2765.8838477721847</v>
      </c>
      <c r="Q218" s="234">
        <f t="shared" si="144"/>
        <v>2769.389332378204</v>
      </c>
      <c r="R218" s="234">
        <f t="shared" si="144"/>
        <v>2769.449890695947</v>
      </c>
      <c r="S218" s="234">
        <f t="shared" si="144"/>
        <v>2766.1052113324445</v>
      </c>
      <c r="T218" s="234">
        <f t="shared" si="144"/>
        <v>2759.3951919894157</v>
      </c>
      <c r="U218" s="234">
        <f t="shared" si="144"/>
        <v>2749.361070268345</v>
      </c>
      <c r="V218" s="234">
        <f t="shared" si="144"/>
        <v>2736.0450335165087</v>
      </c>
      <c r="W218" s="234">
        <f t="shared" si="144"/>
        <v>2719.4902074321894</v>
      </c>
      <c r="X218" s="234">
        <f t="shared" si="144"/>
        <v>2698.7861670120828</v>
      </c>
      <c r="Y218" s="234">
        <f t="shared" si="144"/>
        <v>2675.8462119387164</v>
      </c>
      <c r="Z218" s="234">
        <f t="shared" si="144"/>
        <v>2632.4929676422294</v>
      </c>
      <c r="AA218" s="234">
        <f t="shared" si="144"/>
        <v>2586.2215504800711</v>
      </c>
      <c r="AB218" s="234">
        <f t="shared" si="144"/>
        <v>2537.1425007124171</v>
      </c>
      <c r="AC218" s="234">
        <f t="shared" si="144"/>
        <v>2485.129070821512</v>
      </c>
      <c r="AD218" s="234">
        <f t="shared" si="144"/>
        <v>2430.5368879470143</v>
      </c>
      <c r="AE218" s="234">
        <f t="shared" si="144"/>
        <v>2373.4814492344526</v>
      </c>
      <c r="AF218" s="234">
        <f t="shared" si="144"/>
        <v>2314.0795687312038</v>
      </c>
      <c r="AG218" s="234">
        <f t="shared" si="144"/>
        <v>2252.4493552191466</v>
      </c>
      <c r="AI218" s="295"/>
      <c r="AJ218" s="198" t="s">
        <v>1634</v>
      </c>
    </row>
    <row r="219" spans="1:36" s="1" customFormat="1" outlineLevel="1">
      <c r="A219" t="s">
        <v>739</v>
      </c>
      <c r="B219" s="281" t="s">
        <v>127</v>
      </c>
      <c r="C219" s="234">
        <f>C212*C185</f>
        <v>12696.638509779734</v>
      </c>
      <c r="D219" s="234">
        <f t="shared" ref="D219:AG219" si="145">D212*D185</f>
        <v>12875.955813989007</v>
      </c>
      <c r="E219" s="234">
        <f t="shared" si="145"/>
        <v>13055.907961770285</v>
      </c>
      <c r="F219" s="234">
        <f t="shared" si="145"/>
        <v>13236.488441800133</v>
      </c>
      <c r="G219" s="234">
        <f t="shared" si="145"/>
        <v>13417.690751160828</v>
      </c>
      <c r="H219" s="234">
        <f t="shared" si="145"/>
        <v>13599.508395340357</v>
      </c>
      <c r="I219" s="234">
        <f t="shared" si="145"/>
        <v>13744.191532011537</v>
      </c>
      <c r="J219" s="234">
        <f t="shared" si="145"/>
        <v>13888.446062691381</v>
      </c>
      <c r="K219" s="234">
        <f t="shared" si="145"/>
        <v>14032.259466259708</v>
      </c>
      <c r="L219" s="234">
        <f t="shared" si="145"/>
        <v>14175.619291834231</v>
      </c>
      <c r="M219" s="234">
        <f t="shared" si="145"/>
        <v>14318.513158770571</v>
      </c>
      <c r="N219" s="234">
        <f t="shared" si="145"/>
        <v>14456.66683630552</v>
      </c>
      <c r="O219" s="234">
        <f t="shared" si="145"/>
        <v>14595.684722952243</v>
      </c>
      <c r="P219" s="234">
        <f t="shared" si="145"/>
        <v>14687.676649810488</v>
      </c>
      <c r="Q219" s="234">
        <f t="shared" si="145"/>
        <v>14777.891727060292</v>
      </c>
      <c r="R219" s="234">
        <f t="shared" si="145"/>
        <v>14866.311101571342</v>
      </c>
      <c r="S219" s="234">
        <f t="shared" si="145"/>
        <v>14952.918136577686</v>
      </c>
      <c r="T219" s="234">
        <f t="shared" si="145"/>
        <v>15037.692245977678</v>
      </c>
      <c r="U219" s="234">
        <f t="shared" si="145"/>
        <v>15120.615008721641</v>
      </c>
      <c r="V219" s="234">
        <f t="shared" si="145"/>
        <v>15201.668147694021</v>
      </c>
      <c r="W219" s="234">
        <f t="shared" si="145"/>
        <v>15280.833529713354</v>
      </c>
      <c r="X219" s="234">
        <f t="shared" si="145"/>
        <v>15352.663400705769</v>
      </c>
      <c r="Y219" s="234">
        <f t="shared" si="145"/>
        <v>15427.691914695815</v>
      </c>
      <c r="Z219" s="234">
        <f t="shared" si="145"/>
        <v>15399.509023906543</v>
      </c>
      <c r="AA219" s="234">
        <f t="shared" si="145"/>
        <v>15366.989713117444</v>
      </c>
      <c r="AB219" s="234">
        <f t="shared" si="145"/>
        <v>15330.105147002565</v>
      </c>
      <c r="AC219" s="234">
        <f t="shared" si="145"/>
        <v>15287.358618292892</v>
      </c>
      <c r="AD219" s="234">
        <f t="shared" si="145"/>
        <v>15240.156468221903</v>
      </c>
      <c r="AE219" s="234">
        <f t="shared" si="145"/>
        <v>15188.470540484655</v>
      </c>
      <c r="AF219" s="234">
        <f t="shared" si="145"/>
        <v>15132.27295878469</v>
      </c>
      <c r="AG219" s="234">
        <f t="shared" si="145"/>
        <v>15071.536126833993</v>
      </c>
      <c r="AI219" s="295"/>
      <c r="AJ219" s="198" t="s">
        <v>1635</v>
      </c>
    </row>
    <row r="220" spans="1:36" s="1" customFormat="1" outlineLevel="1">
      <c r="A220" t="s">
        <v>759</v>
      </c>
      <c r="B220" s="281" t="s">
        <v>127</v>
      </c>
      <c r="C220" s="234">
        <f>C212*C186</f>
        <v>668.24413209367026</v>
      </c>
      <c r="D220" s="234">
        <f t="shared" ref="D220:AG220" si="146">D212*D186</f>
        <v>696.73127032828779</v>
      </c>
      <c r="E220" s="234">
        <f t="shared" si="146"/>
        <v>725.83865515823538</v>
      </c>
      <c r="F220" s="234">
        <f t="shared" si="146"/>
        <v>755.57122183637114</v>
      </c>
      <c r="G220" s="234">
        <f t="shared" si="146"/>
        <v>785.93389720984374</v>
      </c>
      <c r="H220" s="234">
        <f t="shared" si="146"/>
        <v>816.93159972009198</v>
      </c>
      <c r="I220" s="234">
        <f t="shared" si="146"/>
        <v>846.24533848903286</v>
      </c>
      <c r="J220" s="234">
        <f t="shared" si="146"/>
        <v>876.02530090682671</v>
      </c>
      <c r="K220" s="234">
        <f t="shared" si="146"/>
        <v>906.27083848802909</v>
      </c>
      <c r="L220" s="234">
        <f t="shared" si="146"/>
        <v>936.98123250929848</v>
      </c>
      <c r="M220" s="234">
        <f t="shared" si="146"/>
        <v>968.15569400939751</v>
      </c>
      <c r="N220" s="234">
        <f t="shared" si="146"/>
        <v>999.498705004729</v>
      </c>
      <c r="O220" s="234">
        <f t="shared" si="146"/>
        <v>1031.3867148981237</v>
      </c>
      <c r="P220" s="234">
        <f t="shared" si="146"/>
        <v>1060.3683642822436</v>
      </c>
      <c r="Q220" s="234">
        <f t="shared" si="146"/>
        <v>1089.5653886093125</v>
      </c>
      <c r="R220" s="234">
        <f t="shared" si="146"/>
        <v>1118.9696528064449</v>
      </c>
      <c r="S220" s="234">
        <f t="shared" si="146"/>
        <v>1148.5730370522699</v>
      </c>
      <c r="T220" s="234">
        <f t="shared" si="146"/>
        <v>1178.3669696704289</v>
      </c>
      <c r="U220" s="234">
        <f t="shared" si="146"/>
        <v>1208.3428840663082</v>
      </c>
      <c r="V220" s="234">
        <f t="shared" si="146"/>
        <v>1238.4920697111927</v>
      </c>
      <c r="W220" s="234">
        <f t="shared" si="146"/>
        <v>1268.805672142264</v>
      </c>
      <c r="X220" s="234">
        <f t="shared" si="146"/>
        <v>1298.8153419252169</v>
      </c>
      <c r="Y220" s="234">
        <f t="shared" si="146"/>
        <v>1329.395610317742</v>
      </c>
      <c r="Z220" s="234">
        <f t="shared" si="146"/>
        <v>1351.225954962068</v>
      </c>
      <c r="AA220" s="234">
        <f t="shared" si="146"/>
        <v>1372.6504972501421</v>
      </c>
      <c r="AB220" s="234">
        <f t="shared" si="146"/>
        <v>1393.6459224547787</v>
      </c>
      <c r="AC220" s="234">
        <f t="shared" si="146"/>
        <v>1414.0528365063346</v>
      </c>
      <c r="AD220" s="234">
        <f t="shared" si="146"/>
        <v>1433.9753350843366</v>
      </c>
      <c r="AE220" s="234">
        <f t="shared" si="146"/>
        <v>1453.3890729024763</v>
      </c>
      <c r="AF220" s="234">
        <f t="shared" si="146"/>
        <v>1472.2694246659576</v>
      </c>
      <c r="AG220" s="234">
        <f t="shared" si="146"/>
        <v>1490.5914850714937</v>
      </c>
      <c r="AI220" s="295"/>
      <c r="AJ220" s="198" t="s">
        <v>1636</v>
      </c>
    </row>
    <row r="221" spans="1:36" s="1" customFormat="1" outlineLevel="1">
      <c r="A221" t="s">
        <v>742</v>
      </c>
      <c r="B221" s="281" t="s">
        <v>127</v>
      </c>
      <c r="C221" s="234">
        <f t="shared" ref="C221:AG221" si="147">C217*C187</f>
        <v>2453.7924530479568</v>
      </c>
      <c r="D221" s="234">
        <f t="shared" si="147"/>
        <v>2536.128410220831</v>
      </c>
      <c r="E221" s="234">
        <f t="shared" si="147"/>
        <v>2616.2191230088702</v>
      </c>
      <c r="F221" s="234">
        <f t="shared" si="147"/>
        <v>2694.0030842187552</v>
      </c>
      <c r="G221" s="234">
        <f t="shared" si="147"/>
        <v>2769.418747522484</v>
      </c>
      <c r="H221" s="234">
        <f t="shared" si="147"/>
        <v>2842.4045348594286</v>
      </c>
      <c r="I221" s="234">
        <f t="shared" si="147"/>
        <v>2904.9215474856455</v>
      </c>
      <c r="J221" s="234">
        <f t="shared" si="147"/>
        <v>2964.5072526186946</v>
      </c>
      <c r="K221" s="234">
        <f t="shared" si="147"/>
        <v>3021.1210966829467</v>
      </c>
      <c r="L221" s="234">
        <f t="shared" si="147"/>
        <v>3074.7232311304742</v>
      </c>
      <c r="M221" s="234">
        <f t="shared" si="147"/>
        <v>3125.2745210127869</v>
      </c>
      <c r="N221" s="234">
        <f t="shared" si="147"/>
        <v>3171.8014855039664</v>
      </c>
      <c r="O221" s="234">
        <f t="shared" si="147"/>
        <v>3215.492257217501</v>
      </c>
      <c r="P221" s="234">
        <f t="shared" si="147"/>
        <v>3245.7352710644022</v>
      </c>
      <c r="Q221" s="234">
        <f t="shared" si="147"/>
        <v>3272.4549250162927</v>
      </c>
      <c r="R221" s="234">
        <f t="shared" si="147"/>
        <v>3295.6453699281719</v>
      </c>
      <c r="S221" s="234">
        <f t="shared" si="147"/>
        <v>3315.3028278369907</v>
      </c>
      <c r="T221" s="234">
        <f t="shared" si="147"/>
        <v>3331.4242324869369</v>
      </c>
      <c r="U221" s="234">
        <f t="shared" si="147"/>
        <v>3344.0085931806639</v>
      </c>
      <c r="V221" s="234">
        <f t="shared" si="147"/>
        <v>3353.0565549773223</v>
      </c>
      <c r="W221" s="234">
        <f t="shared" si="147"/>
        <v>3358.5704061787474</v>
      </c>
      <c r="X221" s="234">
        <f t="shared" si="147"/>
        <v>3359.3659811222637</v>
      </c>
      <c r="Y221" s="234">
        <f t="shared" si="147"/>
        <v>3357.7644939496167</v>
      </c>
      <c r="Z221" s="234">
        <f t="shared" si="147"/>
        <v>3330.7439401946758</v>
      </c>
      <c r="AA221" s="234">
        <f t="shared" si="147"/>
        <v>3300.0186984125621</v>
      </c>
      <c r="AB221" s="234">
        <f t="shared" si="147"/>
        <v>3265.6648473455452</v>
      </c>
      <c r="AC221" s="234">
        <f t="shared" si="147"/>
        <v>3227.4517426821867</v>
      </c>
      <c r="AD221" s="234">
        <f t="shared" si="147"/>
        <v>3185.7709864018125</v>
      </c>
      <c r="AE221" s="234">
        <f t="shared" si="147"/>
        <v>3140.7093276994788</v>
      </c>
      <c r="AF221" s="234">
        <f t="shared" si="147"/>
        <v>3092.3567811051134</v>
      </c>
      <c r="AG221" s="234">
        <f t="shared" si="147"/>
        <v>3040.8066295458475</v>
      </c>
      <c r="AI221" s="295"/>
      <c r="AJ221" s="198"/>
    </row>
    <row r="222" spans="1:36" s="62" customFormat="1">
      <c r="A222" s="322" t="s">
        <v>733</v>
      </c>
      <c r="B222" s="287" t="s">
        <v>127</v>
      </c>
      <c r="C222" s="288">
        <f>C188*C$207</f>
        <v>16041.594394938038</v>
      </c>
      <c r="D222" s="288">
        <f t="shared" ref="D222:AG227" si="148">D188*D$207</f>
        <v>16439.902099822342</v>
      </c>
      <c r="E222" s="288">
        <f t="shared" si="148"/>
        <v>16829.409023527267</v>
      </c>
      <c r="F222" s="288">
        <f t="shared" si="148"/>
        <v>17210.115166052819</v>
      </c>
      <c r="G222" s="288">
        <f t="shared" si="148"/>
        <v>17582.020527399</v>
      </c>
      <c r="H222" s="288">
        <f t="shared" si="148"/>
        <v>17945.1251075658</v>
      </c>
      <c r="I222" s="288">
        <f t="shared" si="148"/>
        <v>18243.779938310603</v>
      </c>
      <c r="J222" s="288">
        <f t="shared" si="148"/>
        <v>18530.542378529222</v>
      </c>
      <c r="K222" s="288">
        <f t="shared" si="148"/>
        <v>18805.412428221651</v>
      </c>
      <c r="L222" s="288">
        <f t="shared" si="148"/>
        <v>19068.390087387892</v>
      </c>
      <c r="M222" s="288">
        <f t="shared" si="148"/>
        <v>19319.47535602795</v>
      </c>
      <c r="N222" s="288">
        <f t="shared" si="148"/>
        <v>19551.972485930251</v>
      </c>
      <c r="O222" s="288">
        <f t="shared" si="148"/>
        <v>19774.5792062418</v>
      </c>
      <c r="P222" s="288">
        <f t="shared" si="148"/>
        <v>19930.157917274559</v>
      </c>
      <c r="Q222" s="288">
        <f t="shared" si="148"/>
        <v>20073.037583651654</v>
      </c>
      <c r="R222" s="288">
        <f t="shared" si="148"/>
        <v>20203.352080034729</v>
      </c>
      <c r="S222" s="288">
        <f t="shared" si="148"/>
        <v>20321.238709181296</v>
      </c>
      <c r="T222" s="288">
        <f t="shared" si="148"/>
        <v>20426.828066704773</v>
      </c>
      <c r="U222" s="288">
        <f t="shared" si="148"/>
        <v>20520.254027266808</v>
      </c>
      <c r="V222" s="288">
        <f t="shared" si="148"/>
        <v>20601.650465529034</v>
      </c>
      <c r="W222" s="288">
        <f t="shared" si="148"/>
        <v>20671.151256153094</v>
      </c>
      <c r="X222" s="288">
        <f t="shared" si="148"/>
        <v>20719.519503267224</v>
      </c>
      <c r="Y222" s="288">
        <f t="shared" si="148"/>
        <v>20765.024574088056</v>
      </c>
      <c r="Z222" s="288">
        <f t="shared" si="148"/>
        <v>20693.771582148671</v>
      </c>
      <c r="AA222" s="288">
        <f t="shared" si="148"/>
        <v>20611.990071462726</v>
      </c>
      <c r="AB222" s="288">
        <f t="shared" si="148"/>
        <v>20520.081666015147</v>
      </c>
      <c r="AC222" s="288">
        <f t="shared" si="148"/>
        <v>20415.823171790002</v>
      </c>
      <c r="AD222" s="288">
        <f t="shared" si="148"/>
        <v>20302.147287273041</v>
      </c>
      <c r="AE222" s="288">
        <f t="shared" si="148"/>
        <v>20179.455636449198</v>
      </c>
      <c r="AF222" s="288">
        <f t="shared" si="148"/>
        <v>20048.149843303414</v>
      </c>
      <c r="AG222" s="288">
        <f t="shared" si="148"/>
        <v>19908.6315318206</v>
      </c>
      <c r="AI222" s="314"/>
      <c r="AJ222" s="325"/>
    </row>
    <row r="223" spans="1:36">
      <c r="A223" s="323" t="s">
        <v>734</v>
      </c>
      <c r="B223" s="281" t="s">
        <v>127</v>
      </c>
      <c r="C223" s="234">
        <f t="shared" ref="C223:R227" si="149">C189*C$207</f>
        <v>37096.187038294214</v>
      </c>
      <c r="D223" s="234">
        <f t="shared" si="149"/>
        <v>36956.634760689332</v>
      </c>
      <c r="E223" s="234">
        <f t="shared" si="149"/>
        <v>36814.332238965893</v>
      </c>
      <c r="F223" s="234">
        <f t="shared" si="149"/>
        <v>36669.279473123897</v>
      </c>
      <c r="G223" s="234">
        <f t="shared" si="149"/>
        <v>36521.476463163359</v>
      </c>
      <c r="H223" s="234">
        <f t="shared" si="149"/>
        <v>36370.923209084249</v>
      </c>
      <c r="I223" s="234">
        <f t="shared" si="149"/>
        <v>36107.481127906402</v>
      </c>
      <c r="J223" s="234">
        <f t="shared" si="149"/>
        <v>35840.322674689116</v>
      </c>
      <c r="K223" s="234">
        <f t="shared" si="149"/>
        <v>35569.447849432392</v>
      </c>
      <c r="L223" s="234">
        <f t="shared" si="149"/>
        <v>35294.85665213623</v>
      </c>
      <c r="M223" s="234">
        <f t="shared" si="149"/>
        <v>35016.549082800651</v>
      </c>
      <c r="N223" s="234">
        <f t="shared" si="149"/>
        <v>34722.634064190141</v>
      </c>
      <c r="O223" s="234">
        <f t="shared" si="149"/>
        <v>34428.954868010267</v>
      </c>
      <c r="P223" s="234">
        <f t="shared" si="149"/>
        <v>34037.697024415116</v>
      </c>
      <c r="Q223" s="234">
        <f t="shared" si="149"/>
        <v>33645.148222597934</v>
      </c>
      <c r="R223" s="234">
        <f t="shared" si="149"/>
        <v>33251.350298390476</v>
      </c>
      <c r="S223" s="234">
        <f t="shared" si="148"/>
        <v>32856.350630333873</v>
      </c>
      <c r="T223" s="234">
        <f t="shared" si="148"/>
        <v>32460.18555812792</v>
      </c>
      <c r="U223" s="234">
        <f t="shared" si="148"/>
        <v>32062.896917604368</v>
      </c>
      <c r="V223" s="234">
        <f t="shared" si="148"/>
        <v>31664.526544594984</v>
      </c>
      <c r="W223" s="234">
        <f t="shared" si="148"/>
        <v>31265.11627493153</v>
      </c>
      <c r="X223" s="234">
        <f t="shared" si="148"/>
        <v>30850.755142732422</v>
      </c>
      <c r="Y223" s="234">
        <f t="shared" si="148"/>
        <v>30448.713918734858</v>
      </c>
      <c r="Z223" s="234">
        <f t="shared" si="148"/>
        <v>29893.714844495389</v>
      </c>
      <c r="AA223" s="234">
        <f t="shared" si="148"/>
        <v>29343.4580878462</v>
      </c>
      <c r="AB223" s="234">
        <f t="shared" si="148"/>
        <v>28798.069156282581</v>
      </c>
      <c r="AC223" s="234">
        <f t="shared" si="148"/>
        <v>28254.040996673619</v>
      </c>
      <c r="AD223" s="234">
        <f t="shared" si="148"/>
        <v>27715.102382297031</v>
      </c>
      <c r="AE223" s="234">
        <f t="shared" si="148"/>
        <v>27181.378820648119</v>
      </c>
      <c r="AF223" s="234">
        <f t="shared" si="148"/>
        <v>26652.995819222182</v>
      </c>
      <c r="AG223" s="234">
        <f t="shared" si="148"/>
        <v>26130.078885514537</v>
      </c>
      <c r="AI223" s="275"/>
    </row>
    <row r="224" spans="1:36">
      <c r="A224" s="323" t="s">
        <v>735</v>
      </c>
      <c r="B224" s="281" t="s">
        <v>127</v>
      </c>
      <c r="C224" s="234">
        <f t="shared" si="149"/>
        <v>8020.797197469019</v>
      </c>
      <c r="D224" s="234">
        <f t="shared" si="148"/>
        <v>7722.7765912471878</v>
      </c>
      <c r="E224" s="234">
        <f t="shared" si="148"/>
        <v>7428.6063267913314</v>
      </c>
      <c r="F224" s="234">
        <f t="shared" si="148"/>
        <v>7138.2864041014518</v>
      </c>
      <c r="G224" s="234">
        <f t="shared" si="148"/>
        <v>6851.8168231775489</v>
      </c>
      <c r="H224" s="234">
        <f t="shared" si="148"/>
        <v>6569.1975840196201</v>
      </c>
      <c r="I224" s="234">
        <f t="shared" si="148"/>
        <v>6271.2993537942675</v>
      </c>
      <c r="J224" s="234">
        <f t="shared" si="148"/>
        <v>5978.6040444241207</v>
      </c>
      <c r="K224" s="234">
        <f t="shared" si="148"/>
        <v>5691.1116559091806</v>
      </c>
      <c r="L224" s="234">
        <f t="shared" si="148"/>
        <v>5408.8221882494463</v>
      </c>
      <c r="M224" s="234">
        <f t="shared" si="148"/>
        <v>5131.7356414449205</v>
      </c>
      <c r="N224" s="234">
        <f t="shared" si="148"/>
        <v>4858.1882853759589</v>
      </c>
      <c r="O224" s="234">
        <f t="shared" si="148"/>
        <v>4590.5273157347001</v>
      </c>
      <c r="P224" s="234">
        <f t="shared" si="148"/>
        <v>4316.2696652237028</v>
      </c>
      <c r="Q224" s="234">
        <f t="shared" si="148"/>
        <v>4048.8229217024618</v>
      </c>
      <c r="R224" s="234">
        <f t="shared" si="148"/>
        <v>3788.1285150065091</v>
      </c>
      <c r="S224" s="234">
        <f t="shared" si="148"/>
        <v>3534.1284711619619</v>
      </c>
      <c r="T224" s="234">
        <f t="shared" si="148"/>
        <v>3286.7635586054198</v>
      </c>
      <c r="U224" s="234">
        <f t="shared" si="148"/>
        <v>3045.9752071724138</v>
      </c>
      <c r="V224" s="234">
        <f t="shared" si="148"/>
        <v>2811.7048466984747</v>
      </c>
      <c r="W224" s="234">
        <f t="shared" si="148"/>
        <v>2583.8939070191336</v>
      </c>
      <c r="X224" s="234">
        <f t="shared" si="148"/>
        <v>2361.4158257400113</v>
      </c>
      <c r="Y224" s="234">
        <f t="shared" si="148"/>
        <v>2146.3847516485216</v>
      </c>
      <c r="Z224" s="234">
        <f t="shared" si="148"/>
        <v>1927.8395695633751</v>
      </c>
      <c r="AA224" s="234">
        <f t="shared" si="148"/>
        <v>1717.665839288557</v>
      </c>
      <c r="AB224" s="234">
        <f t="shared" si="148"/>
        <v>1515.6878503306609</v>
      </c>
      <c r="AC224" s="234">
        <f t="shared" si="148"/>
        <v>1321.5599821024744</v>
      </c>
      <c r="AD224" s="234">
        <f t="shared" si="148"/>
        <v>1135.3174469856601</v>
      </c>
      <c r="AE224" s="234">
        <f t="shared" si="148"/>
        <v>956.78453448681228</v>
      </c>
      <c r="AF224" s="234">
        <f t="shared" si="148"/>
        <v>785.78553411252483</v>
      </c>
      <c r="AG224" s="234">
        <f t="shared" si="148"/>
        <v>622.14473536939374</v>
      </c>
      <c r="AI224" s="275"/>
    </row>
    <row r="225" spans="1:36">
      <c r="A225" s="323" t="s">
        <v>736</v>
      </c>
      <c r="B225" s="281" t="s">
        <v>127</v>
      </c>
      <c r="C225" s="234">
        <f t="shared" si="149"/>
        <v>27070.190541457941</v>
      </c>
      <c r="D225" s="234">
        <f t="shared" si="148"/>
        <v>26482.826164834783</v>
      </c>
      <c r="E225" s="234">
        <f t="shared" si="148"/>
        <v>25901.512325272441</v>
      </c>
      <c r="F225" s="234">
        <f t="shared" si="148"/>
        <v>25326.249022770917</v>
      </c>
      <c r="G225" s="234">
        <f t="shared" si="148"/>
        <v>24757.036257330215</v>
      </c>
      <c r="H225" s="234">
        <f t="shared" si="148"/>
        <v>24193.874028950329</v>
      </c>
      <c r="I225" s="234">
        <f t="shared" si="148"/>
        <v>23564.882420317874</v>
      </c>
      <c r="J225" s="234">
        <f t="shared" si="148"/>
        <v>22944.066830172171</v>
      </c>
      <c r="K225" s="234">
        <f t="shared" si="148"/>
        <v>22331.42725851322</v>
      </c>
      <c r="L225" s="234">
        <f t="shared" si="148"/>
        <v>21726.963705341019</v>
      </c>
      <c r="M225" s="234">
        <f t="shared" si="148"/>
        <v>21130.676170655577</v>
      </c>
      <c r="N225" s="234">
        <f t="shared" si="148"/>
        <v>20535.53207744809</v>
      </c>
      <c r="O225" s="234">
        <f t="shared" si="148"/>
        <v>19951.137949154676</v>
      </c>
      <c r="P225" s="234">
        <f t="shared" si="148"/>
        <v>19321.824608753101</v>
      </c>
      <c r="Q225" s="234">
        <f t="shared" si="148"/>
        <v>18704.42138476632</v>
      </c>
      <c r="R225" s="234">
        <f t="shared" si="148"/>
        <v>18098.836238364449</v>
      </c>
      <c r="S225" s="234">
        <f t="shared" si="148"/>
        <v>17504.980083724105</v>
      </c>
      <c r="T225" s="234">
        <f t="shared" si="148"/>
        <v>16922.757826538662</v>
      </c>
      <c r="U225" s="234">
        <f t="shared" si="148"/>
        <v>16352.077427978234</v>
      </c>
      <c r="V225" s="234">
        <f t="shared" si="148"/>
        <v>15792.846849212941</v>
      </c>
      <c r="W225" s="234">
        <f t="shared" si="148"/>
        <v>15244.974051412901</v>
      </c>
      <c r="X225" s="234">
        <f t="shared" si="148"/>
        <v>14701.717882832985</v>
      </c>
      <c r="Y225" s="234">
        <f t="shared" si="148"/>
        <v>14176.122545771643</v>
      </c>
      <c r="Z225" s="234">
        <f t="shared" si="148"/>
        <v>13592.489117048111</v>
      </c>
      <c r="AA225" s="234">
        <f t="shared" si="148"/>
        <v>13025.632614604901</v>
      </c>
      <c r="AB225" s="234">
        <f t="shared" si="148"/>
        <v>12475.276921952376</v>
      </c>
      <c r="AC225" s="234">
        <f t="shared" si="148"/>
        <v>11939.610872787885</v>
      </c>
      <c r="AD225" s="234">
        <f t="shared" si="148"/>
        <v>11419.957849091066</v>
      </c>
      <c r="AE225" s="234">
        <f t="shared" si="148"/>
        <v>10916.041734372286</v>
      </c>
      <c r="AF225" s="234">
        <f t="shared" si="148"/>
        <v>10427.586412141905</v>
      </c>
      <c r="AG225" s="234">
        <f t="shared" si="148"/>
        <v>9954.3157659102999</v>
      </c>
      <c r="AI225" s="275"/>
    </row>
    <row r="226" spans="1:36">
      <c r="A226" s="323" t="s">
        <v>737</v>
      </c>
      <c r="B226" s="281" t="s">
        <v>127</v>
      </c>
      <c r="C226" s="234">
        <f t="shared" si="149"/>
        <v>7018.1975477853921</v>
      </c>
      <c r="D226" s="234">
        <f t="shared" si="148"/>
        <v>6927.2974573848169</v>
      </c>
      <c r="E226" s="234">
        <f t="shared" si="148"/>
        <v>6836.947415807952</v>
      </c>
      <c r="F226" s="234">
        <f t="shared" si="148"/>
        <v>6747.1474230547974</v>
      </c>
      <c r="G226" s="234">
        <f t="shared" si="148"/>
        <v>6657.8974791253549</v>
      </c>
      <c r="H226" s="234">
        <f t="shared" si="148"/>
        <v>6569.1975840196219</v>
      </c>
      <c r="I226" s="234">
        <f t="shared" si="148"/>
        <v>6461.3387281516707</v>
      </c>
      <c r="J226" s="234">
        <f t="shared" si="148"/>
        <v>6354.2231466916064</v>
      </c>
      <c r="K226" s="234">
        <f t="shared" si="148"/>
        <v>6247.8508396394282</v>
      </c>
      <c r="L226" s="234">
        <f t="shared" si="148"/>
        <v>6142.2218069951359</v>
      </c>
      <c r="M226" s="234">
        <f t="shared" si="148"/>
        <v>6037.3360487587315</v>
      </c>
      <c r="N226" s="234">
        <f t="shared" si="148"/>
        <v>5931.1623852135945</v>
      </c>
      <c r="O226" s="234">
        <f t="shared" si="148"/>
        <v>5826.4385161248128</v>
      </c>
      <c r="P226" s="234">
        <f t="shared" si="148"/>
        <v>5706.7457989870436</v>
      </c>
      <c r="Q226" s="234">
        <f t="shared" si="148"/>
        <v>5588.5161454484687</v>
      </c>
      <c r="R226" s="234">
        <f t="shared" si="148"/>
        <v>5471.7411883427349</v>
      </c>
      <c r="S226" s="234">
        <f t="shared" si="148"/>
        <v>5356.4134641048477</v>
      </c>
      <c r="T226" s="234">
        <f t="shared" si="148"/>
        <v>5242.52369265162</v>
      </c>
      <c r="U226" s="234">
        <f t="shared" si="148"/>
        <v>5130.0635068166966</v>
      </c>
      <c r="V226" s="234">
        <f t="shared" si="148"/>
        <v>5019.0245394337253</v>
      </c>
      <c r="W226" s="234">
        <f t="shared" si="148"/>
        <v>4909.3984233363535</v>
      </c>
      <c r="X226" s="234">
        <f t="shared" si="148"/>
        <v>4799.0063555361512</v>
      </c>
      <c r="Y226" s="234">
        <f t="shared" si="148"/>
        <v>4692.0968989525818</v>
      </c>
      <c r="Z226" s="234">
        <f t="shared" si="148"/>
        <v>4563.3670823841912</v>
      </c>
      <c r="AA226" s="234">
        <f t="shared" si="148"/>
        <v>4437.303418162106</v>
      </c>
      <c r="AB226" s="234">
        <f t="shared" si="148"/>
        <v>4313.8808047872672</v>
      </c>
      <c r="AC226" s="234">
        <f t="shared" si="148"/>
        <v>4192.5351156354382</v>
      </c>
      <c r="AD226" s="234">
        <f t="shared" si="148"/>
        <v>4073.7861333014898</v>
      </c>
      <c r="AE226" s="234">
        <f t="shared" si="148"/>
        <v>3957.608756286365</v>
      </c>
      <c r="AF226" s="234">
        <f t="shared" si="148"/>
        <v>3843.9778830910068</v>
      </c>
      <c r="AG226" s="234">
        <f t="shared" si="148"/>
        <v>3732.8684122163622</v>
      </c>
      <c r="AI226" s="275"/>
    </row>
    <row r="227" spans="1:36" s="63" customFormat="1">
      <c r="A227" s="324" t="s">
        <v>738</v>
      </c>
      <c r="B227" s="291" t="s">
        <v>127</v>
      </c>
      <c r="C227" s="292">
        <f t="shared" si="149"/>
        <v>5012.9982484181373</v>
      </c>
      <c r="D227" s="292">
        <f t="shared" si="148"/>
        <v>4905.4546588179564</v>
      </c>
      <c r="E227" s="292">
        <f t="shared" si="148"/>
        <v>4799.0111668651971</v>
      </c>
      <c r="F227" s="292">
        <f t="shared" si="148"/>
        <v>4693.6677725598593</v>
      </c>
      <c r="G227" s="292">
        <f t="shared" si="148"/>
        <v>4589.4244759019439</v>
      </c>
      <c r="H227" s="292">
        <f t="shared" si="148"/>
        <v>4486.2812768914491</v>
      </c>
      <c r="I227" s="292">
        <f t="shared" si="148"/>
        <v>4370.9056102202485</v>
      </c>
      <c r="J227" s="292">
        <f t="shared" si="148"/>
        <v>4257.0164923648208</v>
      </c>
      <c r="K227" s="292">
        <f t="shared" si="148"/>
        <v>4144.6139233251652</v>
      </c>
      <c r="L227" s="292">
        <f t="shared" si="148"/>
        <v>4033.6979031012829</v>
      </c>
      <c r="M227" s="292">
        <f t="shared" si="148"/>
        <v>3924.2684316931754</v>
      </c>
      <c r="N227" s="292">
        <f t="shared" si="148"/>
        <v>3815.019021644925</v>
      </c>
      <c r="O227" s="292">
        <f t="shared" si="148"/>
        <v>3707.7336011703355</v>
      </c>
      <c r="P227" s="292">
        <f t="shared" si="148"/>
        <v>3592.0633455552966</v>
      </c>
      <c r="Q227" s="292">
        <f t="shared" si="148"/>
        <v>3478.5661721669039</v>
      </c>
      <c r="R227" s="292">
        <f t="shared" si="148"/>
        <v>3367.2253466724524</v>
      </c>
      <c r="S227" s="292">
        <f t="shared" si="148"/>
        <v>3258.0246843524333</v>
      </c>
      <c r="T227" s="292">
        <f t="shared" si="148"/>
        <v>3150.946882629989</v>
      </c>
      <c r="U227" s="292">
        <f t="shared" si="148"/>
        <v>3045.9752071724133</v>
      </c>
      <c r="V227" s="292">
        <f t="shared" si="148"/>
        <v>2943.092923647001</v>
      </c>
      <c r="W227" s="292">
        <f t="shared" si="148"/>
        <v>2842.2832977210464</v>
      </c>
      <c r="X227" s="292">
        <f t="shared" si="148"/>
        <v>2742.2893460206574</v>
      </c>
      <c r="Y227" s="292">
        <f t="shared" si="148"/>
        <v>2645.5439962179448</v>
      </c>
      <c r="Z227" s="292">
        <f t="shared" si="148"/>
        <v>2537.9153827163414</v>
      </c>
      <c r="AA227" s="292">
        <f t="shared" si="148"/>
        <v>2433.3599389921219</v>
      </c>
      <c r="AB227" s="292">
        <f t="shared" si="148"/>
        <v>2331.8274620471702</v>
      </c>
      <c r="AC227" s="292">
        <f t="shared" si="148"/>
        <v>2232.9806594145252</v>
      </c>
      <c r="AD227" s="292">
        <f t="shared" si="148"/>
        <v>2137.068135502419</v>
      </c>
      <c r="AE227" s="292">
        <f t="shared" si="148"/>
        <v>2044.0396873127359</v>
      </c>
      <c r="AF227" s="292">
        <f t="shared" si="148"/>
        <v>1953.8451118473606</v>
      </c>
      <c r="AG227" s="292">
        <f t="shared" si="148"/>
        <v>1866.4342061081811</v>
      </c>
      <c r="AI227" s="293"/>
      <c r="AJ227" s="294"/>
    </row>
    <row r="228" spans="1:36" s="169" customFormat="1">
      <c r="B228" s="165"/>
      <c r="C228" s="104"/>
      <c r="D228" s="104"/>
      <c r="E228" s="104"/>
      <c r="F228" s="104"/>
      <c r="G228" s="104"/>
      <c r="H228" s="104"/>
      <c r="I228" s="104"/>
      <c r="J228" s="104"/>
      <c r="K228" s="104"/>
      <c r="L228" s="104"/>
      <c r="M228" s="104"/>
      <c r="N228" s="104"/>
      <c r="O228" s="104"/>
      <c r="P228" s="104"/>
      <c r="Q228" s="104"/>
      <c r="R228" s="104"/>
      <c r="S228" s="104"/>
      <c r="T228" s="104"/>
      <c r="U228" s="104"/>
      <c r="V228" s="104"/>
      <c r="W228" s="104"/>
      <c r="X228" s="104"/>
      <c r="Y228" s="104"/>
      <c r="Z228" s="104"/>
      <c r="AA228" s="104"/>
      <c r="AB228" s="104"/>
      <c r="AC228" s="104"/>
      <c r="AD228" s="104"/>
      <c r="AE228" s="104"/>
      <c r="AF228" s="104"/>
      <c r="AG228" s="104"/>
      <c r="AJ228" s="300"/>
    </row>
    <row r="229" spans="1:36" s="169" customFormat="1">
      <c r="A229" s="169" t="s">
        <v>1504</v>
      </c>
      <c r="B229" s="327" t="s">
        <v>127</v>
      </c>
      <c r="C229" s="216">
        <f>C162</f>
        <v>5810.5321893626915</v>
      </c>
      <c r="D229" s="216">
        <f t="shared" ref="D229:AG229" si="150">D162</f>
        <v>6596.2036605473786</v>
      </c>
      <c r="E229" s="216">
        <f t="shared" si="150"/>
        <v>7381.8751317320657</v>
      </c>
      <c r="F229" s="216">
        <f t="shared" si="150"/>
        <v>8167.5466029167519</v>
      </c>
      <c r="G229" s="216">
        <f t="shared" si="150"/>
        <v>8953.2180741014381</v>
      </c>
      <c r="H229" s="216">
        <f t="shared" si="150"/>
        <v>9738.889545286127</v>
      </c>
      <c r="I229" s="216">
        <f t="shared" si="150"/>
        <v>10524.561016470812</v>
      </c>
      <c r="J229" s="216">
        <f t="shared" si="150"/>
        <v>11310.232487655499</v>
      </c>
      <c r="K229" s="216">
        <f t="shared" si="150"/>
        <v>12095.90395884019</v>
      </c>
      <c r="L229" s="216">
        <f t="shared" si="150"/>
        <v>12881.575430024875</v>
      </c>
      <c r="M229" s="216">
        <f t="shared" si="150"/>
        <v>13667.246901209564</v>
      </c>
      <c r="N229" s="216">
        <f t="shared" si="150"/>
        <v>14452.91837239425</v>
      </c>
      <c r="O229" s="216">
        <f t="shared" si="150"/>
        <v>15238.589843578939</v>
      </c>
      <c r="P229" s="216">
        <f t="shared" si="150"/>
        <v>15938.497859648631</v>
      </c>
      <c r="Q229" s="216">
        <f t="shared" si="150"/>
        <v>16630.038709365643</v>
      </c>
      <c r="R229" s="216">
        <f t="shared" si="150"/>
        <v>17313.212392729973</v>
      </c>
      <c r="S229" s="216">
        <f t="shared" si="150"/>
        <v>17988.018909741619</v>
      </c>
      <c r="T229" s="216">
        <f t="shared" si="150"/>
        <v>18654.458260400585</v>
      </c>
      <c r="U229" s="216">
        <f t="shared" si="150"/>
        <v>19312.530444706867</v>
      </c>
      <c r="V229" s="216">
        <f t="shared" si="150"/>
        <v>19962.235462660472</v>
      </c>
      <c r="W229" s="216">
        <f t="shared" si="150"/>
        <v>20603.573314261386</v>
      </c>
      <c r="X229" s="216">
        <f t="shared" si="150"/>
        <v>21236.543999509617</v>
      </c>
      <c r="Y229" s="216">
        <f t="shared" si="150"/>
        <v>21861.147518405174</v>
      </c>
      <c r="Z229" s="216">
        <f t="shared" si="150"/>
        <v>22222.185297191234</v>
      </c>
      <c r="AA229" s="216">
        <f t="shared" si="150"/>
        <v>22558.121576919249</v>
      </c>
      <c r="AB229" s="216">
        <f t="shared" si="150"/>
        <v>22868.956357589224</v>
      </c>
      <c r="AC229" s="216">
        <f t="shared" si="150"/>
        <v>23154.68963920114</v>
      </c>
      <c r="AD229" s="216">
        <f t="shared" si="150"/>
        <v>23415.321421755012</v>
      </c>
      <c r="AE229" s="216">
        <f t="shared" si="150"/>
        <v>23650.85170525084</v>
      </c>
      <c r="AF229" s="216">
        <f t="shared" si="150"/>
        <v>23861.28048968863</v>
      </c>
      <c r="AG229" s="216">
        <f t="shared" si="150"/>
        <v>24046.607775068358</v>
      </c>
      <c r="AI229" s="698"/>
      <c r="AJ229" s="300"/>
    </row>
    <row r="230" spans="1:36" s="169" customFormat="1">
      <c r="A230" s="169" t="s">
        <v>1505</v>
      </c>
      <c r="B230" s="326" t="s">
        <v>127</v>
      </c>
      <c r="C230" s="234">
        <f>C229/(1-C187)</f>
        <v>7959.6331361132761</v>
      </c>
      <c r="D230" s="234">
        <f t="shared" ref="D230:AG230" si="151">D229/(1-D187)</f>
        <v>8986.6534884841676</v>
      </c>
      <c r="E230" s="234">
        <f t="shared" si="151"/>
        <v>10002.540828905238</v>
      </c>
      <c r="F230" s="234">
        <f t="shared" si="151"/>
        <v>11007.475206087267</v>
      </c>
      <c r="G230" s="234">
        <f t="shared" si="151"/>
        <v>12001.632807106485</v>
      </c>
      <c r="H230" s="234">
        <f t="shared" si="151"/>
        <v>12985.186060381502</v>
      </c>
      <c r="I230" s="234">
        <f t="shared" si="151"/>
        <v>13958.30373537243</v>
      </c>
      <c r="J230" s="234">
        <f t="shared" si="151"/>
        <v>14921.15103912335</v>
      </c>
      <c r="K230" s="234">
        <f t="shared" si="151"/>
        <v>15873.889709764029</v>
      </c>
      <c r="L230" s="234">
        <f t="shared" si="151"/>
        <v>16816.678107082083</v>
      </c>
      <c r="M230" s="234">
        <f t="shared" si="151"/>
        <v>17749.671300272163</v>
      </c>
      <c r="N230" s="234">
        <f t="shared" si="151"/>
        <v>18673.021152964146</v>
      </c>
      <c r="O230" s="234">
        <f t="shared" si="151"/>
        <v>19586.876405628456</v>
      </c>
      <c r="P230" s="234">
        <f t="shared" si="151"/>
        <v>20381.710817964999</v>
      </c>
      <c r="Q230" s="234">
        <f t="shared" si="151"/>
        <v>21157.810062806162</v>
      </c>
      <c r="R230" s="234">
        <f t="shared" si="151"/>
        <v>21915.458724974647</v>
      </c>
      <c r="S230" s="234">
        <f t="shared" si="151"/>
        <v>22654.935654586421</v>
      </c>
      <c r="T230" s="234">
        <f t="shared" si="151"/>
        <v>23376.514110777673</v>
      </c>
      <c r="U230" s="234">
        <f t="shared" si="151"/>
        <v>24080.461901130755</v>
      </c>
      <c r="V230" s="234">
        <f t="shared" si="151"/>
        <v>24767.041516948473</v>
      </c>
      <c r="W230" s="234">
        <f t="shared" si="151"/>
        <v>25436.510264520228</v>
      </c>
      <c r="X230" s="234">
        <f t="shared" si="151"/>
        <v>26089.120392517954</v>
      </c>
      <c r="Y230" s="234">
        <f t="shared" si="151"/>
        <v>26725.119215654246</v>
      </c>
      <c r="Z230" s="234">
        <f t="shared" si="151"/>
        <v>27034.288682714396</v>
      </c>
      <c r="AA230" s="234">
        <f t="shared" si="151"/>
        <v>27310.074548328386</v>
      </c>
      <c r="AB230" s="234">
        <f t="shared" si="151"/>
        <v>27552.959466974968</v>
      </c>
      <c r="AC230" s="234">
        <f t="shared" si="151"/>
        <v>27763.416833574505</v>
      </c>
      <c r="AD230" s="234">
        <f t="shared" si="151"/>
        <v>27941.91100448092</v>
      </c>
      <c r="AE230" s="234">
        <f t="shared" si="151"/>
        <v>28088.89751217439</v>
      </c>
      <c r="AF230" s="234">
        <f t="shared" si="151"/>
        <v>28204.823273863625</v>
      </c>
      <c r="AG230" s="234">
        <f t="shared" si="151"/>
        <v>28290.12679419807</v>
      </c>
      <c r="AI230" s="698"/>
      <c r="AJ230" s="300"/>
    </row>
    <row r="231" spans="1:36" s="169" customFormat="1">
      <c r="A231" s="169" t="s">
        <v>1506</v>
      </c>
      <c r="B231" s="326" t="s">
        <v>127</v>
      </c>
      <c r="C231" s="234">
        <f>C219</f>
        <v>12696.638509779734</v>
      </c>
      <c r="D231" s="234">
        <f t="shared" ref="D231:AG231" si="152">D219</f>
        <v>12875.955813989007</v>
      </c>
      <c r="E231" s="234">
        <f t="shared" si="152"/>
        <v>13055.907961770285</v>
      </c>
      <c r="F231" s="234">
        <f t="shared" si="152"/>
        <v>13236.488441800133</v>
      </c>
      <c r="G231" s="234">
        <f t="shared" si="152"/>
        <v>13417.690751160828</v>
      </c>
      <c r="H231" s="234">
        <f t="shared" si="152"/>
        <v>13599.508395340357</v>
      </c>
      <c r="I231" s="234">
        <f t="shared" si="152"/>
        <v>13744.191532011537</v>
      </c>
      <c r="J231" s="234">
        <f t="shared" si="152"/>
        <v>13888.446062691381</v>
      </c>
      <c r="K231" s="234">
        <f t="shared" si="152"/>
        <v>14032.259466259708</v>
      </c>
      <c r="L231" s="234">
        <f t="shared" si="152"/>
        <v>14175.619291834231</v>
      </c>
      <c r="M231" s="234">
        <f t="shared" si="152"/>
        <v>14318.513158770571</v>
      </c>
      <c r="N231" s="234">
        <f t="shared" si="152"/>
        <v>14456.66683630552</v>
      </c>
      <c r="O231" s="234">
        <f t="shared" si="152"/>
        <v>14595.684722952243</v>
      </c>
      <c r="P231" s="234">
        <f t="shared" si="152"/>
        <v>14687.676649810488</v>
      </c>
      <c r="Q231" s="234">
        <f t="shared" si="152"/>
        <v>14777.891727060292</v>
      </c>
      <c r="R231" s="234">
        <f t="shared" si="152"/>
        <v>14866.311101571342</v>
      </c>
      <c r="S231" s="234">
        <f t="shared" si="152"/>
        <v>14952.918136577686</v>
      </c>
      <c r="T231" s="234">
        <f t="shared" si="152"/>
        <v>15037.692245977678</v>
      </c>
      <c r="U231" s="234">
        <f t="shared" si="152"/>
        <v>15120.615008721641</v>
      </c>
      <c r="V231" s="234">
        <f t="shared" si="152"/>
        <v>15201.668147694021</v>
      </c>
      <c r="W231" s="234">
        <f t="shared" si="152"/>
        <v>15280.833529713354</v>
      </c>
      <c r="X231" s="234">
        <f t="shared" si="152"/>
        <v>15352.663400705769</v>
      </c>
      <c r="Y231" s="234">
        <f t="shared" si="152"/>
        <v>15427.691914695815</v>
      </c>
      <c r="Z231" s="234">
        <f t="shared" si="152"/>
        <v>15399.509023906543</v>
      </c>
      <c r="AA231" s="234">
        <f t="shared" si="152"/>
        <v>15366.989713117444</v>
      </c>
      <c r="AB231" s="234">
        <f t="shared" si="152"/>
        <v>15330.105147002565</v>
      </c>
      <c r="AC231" s="234">
        <f t="shared" si="152"/>
        <v>15287.358618292892</v>
      </c>
      <c r="AD231" s="234">
        <f t="shared" si="152"/>
        <v>15240.156468221903</v>
      </c>
      <c r="AE231" s="234">
        <f t="shared" si="152"/>
        <v>15188.470540484655</v>
      </c>
      <c r="AF231" s="234">
        <f t="shared" si="152"/>
        <v>15132.27295878469</v>
      </c>
      <c r="AG231" s="234">
        <f t="shared" si="152"/>
        <v>15071.536126833993</v>
      </c>
      <c r="AI231" s="698"/>
      <c r="AJ231" s="300"/>
    </row>
    <row r="232" spans="1:36" s="169" customFormat="1">
      <c r="A232" s="169" t="s">
        <v>1507</v>
      </c>
      <c r="B232" s="326" t="s">
        <v>127</v>
      </c>
      <c r="C232" s="234">
        <f>C230-C231</f>
        <v>-4737.0053736664577</v>
      </c>
      <c r="D232" s="234">
        <f t="shared" ref="D232:AG232" si="153">D230-D231</f>
        <v>-3889.3023255048392</v>
      </c>
      <c r="E232" s="234">
        <f t="shared" si="153"/>
        <v>-3053.3671328650471</v>
      </c>
      <c r="F232" s="234">
        <f t="shared" si="153"/>
        <v>-2229.0132357128659</v>
      </c>
      <c r="G232" s="234">
        <f t="shared" si="153"/>
        <v>-1416.0579440543424</v>
      </c>
      <c r="H232" s="234">
        <f t="shared" si="153"/>
        <v>-614.32233495885521</v>
      </c>
      <c r="I232" s="234">
        <f t="shared" si="153"/>
        <v>214.11220336089355</v>
      </c>
      <c r="J232" s="234">
        <f t="shared" si="153"/>
        <v>1032.704976431969</v>
      </c>
      <c r="K232" s="234">
        <f t="shared" si="153"/>
        <v>1841.6302435043217</v>
      </c>
      <c r="L232" s="234">
        <f t="shared" si="153"/>
        <v>2641.0588152478522</v>
      </c>
      <c r="M232" s="234">
        <f t="shared" si="153"/>
        <v>3431.1581415015917</v>
      </c>
      <c r="N232" s="234">
        <f t="shared" si="153"/>
        <v>4216.354316658626</v>
      </c>
      <c r="O232" s="234">
        <f t="shared" si="153"/>
        <v>4991.1916826762135</v>
      </c>
      <c r="P232" s="234">
        <f t="shared" si="153"/>
        <v>5694.0341681545106</v>
      </c>
      <c r="Q232" s="234">
        <f t="shared" si="153"/>
        <v>6379.9183357458696</v>
      </c>
      <c r="R232" s="234">
        <f t="shared" si="153"/>
        <v>7049.1476234033053</v>
      </c>
      <c r="S232" s="234">
        <f t="shared" si="153"/>
        <v>7702.0175180087354</v>
      </c>
      <c r="T232" s="234">
        <f t="shared" si="153"/>
        <v>8338.8218647999947</v>
      </c>
      <c r="U232" s="234">
        <f t="shared" si="153"/>
        <v>8959.8468924091139</v>
      </c>
      <c r="V232" s="234">
        <f t="shared" si="153"/>
        <v>9565.373369254452</v>
      </c>
      <c r="W232" s="234">
        <f t="shared" si="153"/>
        <v>10155.676734806873</v>
      </c>
      <c r="X232" s="234">
        <f t="shared" si="153"/>
        <v>10736.456991812185</v>
      </c>
      <c r="Y232" s="234">
        <f t="shared" si="153"/>
        <v>11297.42730095843</v>
      </c>
      <c r="Z232" s="234">
        <f t="shared" si="153"/>
        <v>11634.779658807853</v>
      </c>
      <c r="AA232" s="234">
        <f t="shared" si="153"/>
        <v>11943.084835210942</v>
      </c>
      <c r="AB232" s="234">
        <f t="shared" si="153"/>
        <v>12222.854319972403</v>
      </c>
      <c r="AC232" s="234">
        <f t="shared" si="153"/>
        <v>12476.058215281613</v>
      </c>
      <c r="AD232" s="234">
        <f t="shared" si="153"/>
        <v>12701.754536259017</v>
      </c>
      <c r="AE232" s="234">
        <f t="shared" si="153"/>
        <v>12900.426971689734</v>
      </c>
      <c r="AF232" s="234">
        <f t="shared" si="153"/>
        <v>13072.550315078935</v>
      </c>
      <c r="AG232" s="234">
        <f t="shared" si="153"/>
        <v>13218.590667364077</v>
      </c>
      <c r="AI232" s="698"/>
      <c r="AJ232" s="300"/>
    </row>
    <row r="233" spans="1:36" s="169" customFormat="1">
      <c r="A233" s="169" t="s">
        <v>1508</v>
      </c>
      <c r="B233" s="326" t="s">
        <v>127</v>
      </c>
      <c r="C233" s="234">
        <f>(C232)/(1-C184)</f>
        <v>-5921.2567170830716</v>
      </c>
      <c r="D233" s="234">
        <f t="shared" ref="D233:AG233" si="154">(D230-D219)/(1-D184)</f>
        <v>-4841.4551769769787</v>
      </c>
      <c r="E233" s="234">
        <f t="shared" si="154"/>
        <v>-3785.165867188075</v>
      </c>
      <c r="F233" s="234">
        <f t="shared" si="154"/>
        <v>-2751.8681922381061</v>
      </c>
      <c r="G233" s="234">
        <f t="shared" si="154"/>
        <v>-1741.0548492471426</v>
      </c>
      <c r="H233" s="234">
        <f t="shared" si="154"/>
        <v>-752.23143056186359</v>
      </c>
      <c r="I233" s="234">
        <f t="shared" si="154"/>
        <v>261.11244312304092</v>
      </c>
      <c r="J233" s="234">
        <f t="shared" si="154"/>
        <v>1254.2975422250638</v>
      </c>
      <c r="K233" s="234">
        <f t="shared" si="154"/>
        <v>2227.778520368131</v>
      </c>
      <c r="L233" s="234">
        <f t="shared" si="154"/>
        <v>3181.9985725877737</v>
      </c>
      <c r="M233" s="234">
        <f t="shared" si="154"/>
        <v>4117.38976980191</v>
      </c>
      <c r="N233" s="234">
        <f t="shared" si="154"/>
        <v>5039.4673107473627</v>
      </c>
      <c r="O233" s="234">
        <f t="shared" si="154"/>
        <v>5941.8948603288263</v>
      </c>
      <c r="P233" s="234">
        <f t="shared" si="154"/>
        <v>6751.8191717247164</v>
      </c>
      <c r="Q233" s="234">
        <f t="shared" si="154"/>
        <v>7535.3366170226818</v>
      </c>
      <c r="R233" s="234">
        <f t="shared" si="154"/>
        <v>8293.1148510627136</v>
      </c>
      <c r="S233" s="234">
        <f t="shared" si="154"/>
        <v>9025.8017789164878</v>
      </c>
      <c r="T233" s="234">
        <f t="shared" si="154"/>
        <v>9734.0333052140031</v>
      </c>
      <c r="U233" s="234">
        <f t="shared" si="154"/>
        <v>10418.426619080366</v>
      </c>
      <c r="V233" s="234">
        <f t="shared" si="154"/>
        <v>11079.583053190487</v>
      </c>
      <c r="W233" s="234">
        <f t="shared" si="154"/>
        <v>11718.08854016178</v>
      </c>
      <c r="X233" s="234">
        <f t="shared" si="154"/>
        <v>12340.755163002514</v>
      </c>
      <c r="Y233" s="234">
        <f t="shared" si="154"/>
        <v>12935.98545911271</v>
      </c>
      <c r="Z233" s="234">
        <f t="shared" si="154"/>
        <v>13271.611778107819</v>
      </c>
      <c r="AA233" s="234">
        <f t="shared" si="154"/>
        <v>13571.687312739708</v>
      </c>
      <c r="AB233" s="234">
        <f t="shared" si="154"/>
        <v>13837.19356978008</v>
      </c>
      <c r="AC233" s="234">
        <f t="shared" si="154"/>
        <v>14070.742348061973</v>
      </c>
      <c r="AD233" s="234">
        <f t="shared" si="154"/>
        <v>14271.634310403393</v>
      </c>
      <c r="AE233" s="234">
        <f t="shared" si="154"/>
        <v>14440.776460846721</v>
      </c>
      <c r="AF233" s="234">
        <f t="shared" si="154"/>
        <v>14579.052395998815</v>
      </c>
      <c r="AG233" s="234">
        <f t="shared" si="154"/>
        <v>14687.322963737863</v>
      </c>
      <c r="AI233" s="698"/>
      <c r="AJ233" s="300"/>
    </row>
    <row r="234" spans="1:36" s="169" customFormat="1">
      <c r="A234" s="169" t="s">
        <v>1509</v>
      </c>
      <c r="B234" s="326" t="s">
        <v>127</v>
      </c>
      <c r="C234" s="234">
        <f>IF(C213&gt;C233,C233,C213)</f>
        <v>-5921.2567170830716</v>
      </c>
      <c r="D234" s="234">
        <f t="shared" ref="D234:AG234" si="155">IF(D213&gt;D233,D233,D213)</f>
        <v>-4841.4551769769787</v>
      </c>
      <c r="E234" s="234">
        <f t="shared" si="155"/>
        <v>-3785.165867188075</v>
      </c>
      <c r="F234" s="234">
        <f t="shared" si="155"/>
        <v>-2751.8681922381061</v>
      </c>
      <c r="G234" s="234">
        <f t="shared" si="155"/>
        <v>-1741.0548492471426</v>
      </c>
      <c r="H234" s="234">
        <f t="shared" si="155"/>
        <v>-752.23143056186359</v>
      </c>
      <c r="I234" s="234">
        <f t="shared" si="155"/>
        <v>261.11244312304092</v>
      </c>
      <c r="J234" s="234">
        <f t="shared" si="155"/>
        <v>1254.2975422250638</v>
      </c>
      <c r="K234" s="234">
        <f t="shared" si="155"/>
        <v>2227.778520368131</v>
      </c>
      <c r="L234" s="234">
        <f t="shared" si="155"/>
        <v>3181.9985725877737</v>
      </c>
      <c r="M234" s="234">
        <f t="shared" si="155"/>
        <v>4117.38976980191</v>
      </c>
      <c r="N234" s="234">
        <f t="shared" si="155"/>
        <v>5039.4673107473627</v>
      </c>
      <c r="O234" s="234">
        <f t="shared" si="155"/>
        <v>5941.8948603288263</v>
      </c>
      <c r="P234" s="234">
        <f t="shared" si="155"/>
        <v>6751.8191717247164</v>
      </c>
      <c r="Q234" s="234">
        <f t="shared" si="155"/>
        <v>7535.3366170226818</v>
      </c>
      <c r="R234" s="234">
        <f t="shared" si="155"/>
        <v>8293.1148510627136</v>
      </c>
      <c r="S234" s="234">
        <f t="shared" si="155"/>
        <v>9025.8017789164878</v>
      </c>
      <c r="T234" s="234">
        <f t="shared" si="155"/>
        <v>9734.0333052140031</v>
      </c>
      <c r="U234" s="234">
        <f t="shared" si="155"/>
        <v>10418.426619080366</v>
      </c>
      <c r="V234" s="234">
        <f t="shared" si="155"/>
        <v>11079.583053190487</v>
      </c>
      <c r="W234" s="234">
        <f t="shared" si="155"/>
        <v>11718.08854016178</v>
      </c>
      <c r="X234" s="234">
        <f t="shared" si="155"/>
        <v>12340.755163002514</v>
      </c>
      <c r="Y234" s="234">
        <f t="shared" si="155"/>
        <v>12935.98545911271</v>
      </c>
      <c r="Z234" s="234">
        <f t="shared" si="155"/>
        <v>13271.611778107819</v>
      </c>
      <c r="AA234" s="234">
        <f t="shared" si="155"/>
        <v>13571.687312739708</v>
      </c>
      <c r="AB234" s="234">
        <f t="shared" si="155"/>
        <v>13837.19356978008</v>
      </c>
      <c r="AC234" s="234">
        <f t="shared" si="155"/>
        <v>14070.742348061973</v>
      </c>
      <c r="AD234" s="234">
        <f t="shared" si="155"/>
        <v>14271.634310403393</v>
      </c>
      <c r="AE234" s="234">
        <f t="shared" si="155"/>
        <v>14440.776460846721</v>
      </c>
      <c r="AF234" s="234">
        <f t="shared" si="155"/>
        <v>14579.052395998815</v>
      </c>
      <c r="AG234" s="234">
        <f t="shared" si="155"/>
        <v>14687.322963737863</v>
      </c>
      <c r="AI234" s="698"/>
      <c r="AJ234" s="300"/>
    </row>
    <row r="235" spans="1:36" s="169" customFormat="1">
      <c r="A235" s="169" t="s">
        <v>1510</v>
      </c>
      <c r="B235" s="326" t="s">
        <v>127</v>
      </c>
      <c r="C235" s="234">
        <f>IF(C233-C234&lt;0,0,C233-C234)</f>
        <v>0</v>
      </c>
      <c r="D235" s="234">
        <f t="shared" ref="D235:AG235" si="156">IF(D233-D234&lt;0,0,D233-D234)</f>
        <v>0</v>
      </c>
      <c r="E235" s="234">
        <f t="shared" si="156"/>
        <v>0</v>
      </c>
      <c r="F235" s="234">
        <f t="shared" si="156"/>
        <v>0</v>
      </c>
      <c r="G235" s="234">
        <f t="shared" si="156"/>
        <v>0</v>
      </c>
      <c r="H235" s="234">
        <f t="shared" si="156"/>
        <v>0</v>
      </c>
      <c r="I235" s="234">
        <f t="shared" si="156"/>
        <v>0</v>
      </c>
      <c r="J235" s="234">
        <f t="shared" si="156"/>
        <v>0</v>
      </c>
      <c r="K235" s="234">
        <f t="shared" si="156"/>
        <v>0</v>
      </c>
      <c r="L235" s="234">
        <f t="shared" si="156"/>
        <v>0</v>
      </c>
      <c r="M235" s="234">
        <f t="shared" si="156"/>
        <v>0</v>
      </c>
      <c r="N235" s="234">
        <f t="shared" si="156"/>
        <v>0</v>
      </c>
      <c r="O235" s="234">
        <f t="shared" si="156"/>
        <v>0</v>
      </c>
      <c r="P235" s="234">
        <f t="shared" si="156"/>
        <v>0</v>
      </c>
      <c r="Q235" s="234">
        <f t="shared" si="156"/>
        <v>0</v>
      </c>
      <c r="R235" s="234">
        <f t="shared" si="156"/>
        <v>0</v>
      </c>
      <c r="S235" s="234">
        <f t="shared" si="156"/>
        <v>0</v>
      </c>
      <c r="T235" s="234">
        <f t="shared" si="156"/>
        <v>0</v>
      </c>
      <c r="U235" s="234">
        <f t="shared" si="156"/>
        <v>0</v>
      </c>
      <c r="V235" s="234">
        <f t="shared" si="156"/>
        <v>0</v>
      </c>
      <c r="W235" s="234">
        <f t="shared" si="156"/>
        <v>0</v>
      </c>
      <c r="X235" s="234">
        <f t="shared" si="156"/>
        <v>0</v>
      </c>
      <c r="Y235" s="234">
        <f t="shared" si="156"/>
        <v>0</v>
      </c>
      <c r="Z235" s="234">
        <f t="shared" si="156"/>
        <v>0</v>
      </c>
      <c r="AA235" s="234">
        <f t="shared" si="156"/>
        <v>0</v>
      </c>
      <c r="AB235" s="234">
        <f t="shared" si="156"/>
        <v>0</v>
      </c>
      <c r="AC235" s="234">
        <f t="shared" si="156"/>
        <v>0</v>
      </c>
      <c r="AD235" s="234">
        <f t="shared" si="156"/>
        <v>0</v>
      </c>
      <c r="AE235" s="234">
        <f t="shared" si="156"/>
        <v>0</v>
      </c>
      <c r="AF235" s="234">
        <f t="shared" si="156"/>
        <v>0</v>
      </c>
      <c r="AG235" s="234">
        <f t="shared" si="156"/>
        <v>0</v>
      </c>
      <c r="AI235" s="698"/>
      <c r="AJ235" s="300"/>
    </row>
    <row r="236" spans="1:36" s="169" customFormat="1">
      <c r="A236" s="169" t="s">
        <v>1511</v>
      </c>
      <c r="B236" s="326" t="s">
        <v>127</v>
      </c>
      <c r="C236" s="234">
        <f>C230*C187+C184*C233+C220+IF(C213&gt;C233,C213-C233,0)</f>
        <v>18914.500698103104</v>
      </c>
      <c r="D236" s="234">
        <f t="shared" ref="D236:AG236" si="157">D230*D187+D184*D233+D220+IF(D213&gt;D233,D213-D233,0)</f>
        <v>18844.928234961524</v>
      </c>
      <c r="E236" s="234">
        <f t="shared" si="157"/>
        <v>18778.676243613289</v>
      </c>
      <c r="F236" s="234">
        <f t="shared" si="157"/>
        <v>18715.713578562398</v>
      </c>
      <c r="G236" s="234">
        <f t="shared" si="157"/>
        <v>18656.009134239954</v>
      </c>
      <c r="H236" s="234">
        <f t="shared" si="157"/>
        <v>18599.531845004181</v>
      </c>
      <c r="I236" s="234">
        <f t="shared" si="157"/>
        <v>18466.637045213807</v>
      </c>
      <c r="J236" s="234">
        <f t="shared" si="157"/>
        <v>18332.817786265066</v>
      </c>
      <c r="K236" s="234">
        <f t="shared" si="157"/>
        <v>18198.012782016322</v>
      </c>
      <c r="L236" s="234">
        <f t="shared" si="157"/>
        <v>18062.161079955949</v>
      </c>
      <c r="M236" s="234">
        <f t="shared" si="157"/>
        <v>17925.202061202344</v>
      </c>
      <c r="N236" s="234">
        <f t="shared" si="157"/>
        <v>17777.573679708061</v>
      </c>
      <c r="O236" s="234">
        <f t="shared" si="157"/>
        <v>17631.576066694757</v>
      </c>
      <c r="P236" s="234">
        <f t="shared" si="157"/>
        <v>17464.124906181438</v>
      </c>
      <c r="Q236" s="234">
        <f t="shared" si="157"/>
        <v>17298.653182683542</v>
      </c>
      <c r="R236" s="234">
        <f t="shared" si="157"/>
        <v>17135.067632954117</v>
      </c>
      <c r="S236" s="234">
        <f t="shared" si="157"/>
        <v>16973.280522973171</v>
      </c>
      <c r="T236" s="234">
        <f t="shared" si="157"/>
        <v>16813.195317964361</v>
      </c>
      <c r="U236" s="234">
        <f t="shared" si="157"/>
        <v>16654.720807140671</v>
      </c>
      <c r="V236" s="234">
        <f t="shared" si="157"/>
        <v>16497.766463402106</v>
      </c>
      <c r="W236" s="234">
        <f t="shared" si="157"/>
        <v>16342.242443335632</v>
      </c>
      <c r="X236" s="234">
        <f t="shared" si="157"/>
        <v>16174.828335521983</v>
      </c>
      <c r="Y236" s="234">
        <f t="shared" si="157"/>
        <v>16021.041679808748</v>
      </c>
      <c r="Z236" s="234">
        <f t="shared" si="157"/>
        <v>15873.087257154884</v>
      </c>
      <c r="AA236" s="234">
        <f t="shared" si="157"/>
        <v>15733.364887448903</v>
      </c>
      <c r="AB236" s="234">
        <f t="shared" si="157"/>
        <v>15601.730432260236</v>
      </c>
      <c r="AC236" s="234">
        <f t="shared" si="157"/>
        <v>15474.33126402316</v>
      </c>
      <c r="AD236" s="234">
        <f t="shared" si="157"/>
        <v>15354.60027197859</v>
      </c>
      <c r="AE236" s="234">
        <f t="shared" si="157"/>
        <v>15242.396494709246</v>
      </c>
      <c r="AF236" s="234">
        <f t="shared" si="157"/>
        <v>15137.580300838143</v>
      </c>
      <c r="AG236" s="234">
        <f t="shared" si="157"/>
        <v>15040.013389028591</v>
      </c>
      <c r="AI236" s="698"/>
      <c r="AJ236" s="300"/>
    </row>
    <row r="237" spans="1:36" s="169" customFormat="1">
      <c r="A237" s="169" t="s">
        <v>1512</v>
      </c>
      <c r="B237" s="326" t="s">
        <v>127</v>
      </c>
      <c r="C237" s="234">
        <f>C216-C235</f>
        <v>64374.184725023559</v>
      </c>
      <c r="D237" s="234">
        <f t="shared" ref="D237:AF237" si="158">D216-D235</f>
        <v>64049.112616473263</v>
      </c>
      <c r="E237" s="234">
        <f t="shared" si="158"/>
        <v>63720.404822014541</v>
      </c>
      <c r="F237" s="234">
        <f t="shared" si="158"/>
        <v>63388.092487143433</v>
      </c>
      <c r="G237" s="234">
        <f t="shared" si="158"/>
        <v>63052.206717428831</v>
      </c>
      <c r="H237" s="234">
        <f t="shared" si="158"/>
        <v>62712.778578512494</v>
      </c>
      <c r="I237" s="234">
        <f t="shared" si="158"/>
        <v>62199.032378943884</v>
      </c>
      <c r="J237" s="234">
        <f t="shared" si="158"/>
        <v>61683.576717408498</v>
      </c>
      <c r="K237" s="234">
        <f t="shared" si="158"/>
        <v>61166.472880047935</v>
      </c>
      <c r="L237" s="234">
        <f t="shared" si="158"/>
        <v>60647.781819373828</v>
      </c>
      <c r="M237" s="234">
        <f t="shared" si="158"/>
        <v>60127.564154267813</v>
      </c>
      <c r="N237" s="234">
        <f t="shared" si="158"/>
        <v>59588.313143800064</v>
      </c>
      <c r="O237" s="234">
        <f t="shared" si="158"/>
        <v>59053.783724140121</v>
      </c>
      <c r="P237" s="234">
        <f t="shared" si="158"/>
        <v>58333.561782282814</v>
      </c>
      <c r="Q237" s="234">
        <f t="shared" si="158"/>
        <v>57614.329929121493</v>
      </c>
      <c r="R237" s="234">
        <f t="shared" si="158"/>
        <v>56896.181427903139</v>
      </c>
      <c r="S237" s="234">
        <f t="shared" si="158"/>
        <v>56179.216644435772</v>
      </c>
      <c r="T237" s="234">
        <f t="shared" si="158"/>
        <v>55463.519593493445</v>
      </c>
      <c r="U237" s="234">
        <f t="shared" si="158"/>
        <v>54749.181485863141</v>
      </c>
      <c r="V237" s="234">
        <f t="shared" si="158"/>
        <v>54036.292848644865</v>
      </c>
      <c r="W237" s="234">
        <f t="shared" si="158"/>
        <v>53324.943525251649</v>
      </c>
      <c r="X237" s="234">
        <f t="shared" si="158"/>
        <v>52596.620868378974</v>
      </c>
      <c r="Y237" s="234">
        <f t="shared" si="158"/>
        <v>51887.922542929962</v>
      </c>
      <c r="Z237" s="234">
        <f t="shared" si="158"/>
        <v>50846.683085664037</v>
      </c>
      <c r="AA237" s="234">
        <f t="shared" si="158"/>
        <v>49811.883063882124</v>
      </c>
      <c r="AB237" s="234">
        <f t="shared" si="158"/>
        <v>48783.666616014772</v>
      </c>
      <c r="AC237" s="234">
        <f t="shared" si="158"/>
        <v>47757.590069874968</v>
      </c>
      <c r="AD237" s="234">
        <f t="shared" si="158"/>
        <v>46738.446528349494</v>
      </c>
      <c r="AE237" s="234">
        <f t="shared" si="158"/>
        <v>45726.376952855644</v>
      </c>
      <c r="AF237" s="234">
        <f t="shared" si="158"/>
        <v>44721.520974770421</v>
      </c>
      <c r="AG237" s="234">
        <f>AG216-AG235</f>
        <v>43724.016895430483</v>
      </c>
      <c r="AI237" s="698"/>
      <c r="AJ237" s="300"/>
    </row>
    <row r="238" spans="1:36" s="169" customFormat="1">
      <c r="B238" s="327"/>
      <c r="C238" s="304"/>
      <c r="D238" s="304"/>
      <c r="E238" s="304"/>
      <c r="F238" s="304"/>
      <c r="G238" s="304"/>
      <c r="H238" s="304"/>
      <c r="I238" s="304"/>
      <c r="J238" s="304"/>
      <c r="K238" s="304"/>
      <c r="L238" s="304"/>
      <c r="M238" s="304"/>
      <c r="N238" s="304"/>
      <c r="O238" s="304"/>
      <c r="P238" s="304"/>
      <c r="Q238" s="304"/>
      <c r="R238" s="304"/>
      <c r="S238" s="304"/>
      <c r="T238" s="304"/>
      <c r="U238" s="304"/>
      <c r="V238" s="304"/>
      <c r="W238" s="304"/>
      <c r="X238" s="304"/>
      <c r="Y238" s="304"/>
      <c r="Z238" s="304"/>
      <c r="AA238" s="304"/>
      <c r="AB238" s="304"/>
      <c r="AC238" s="304"/>
      <c r="AD238" s="304"/>
      <c r="AE238" s="304"/>
      <c r="AF238" s="304"/>
      <c r="AG238" s="304"/>
      <c r="AJ238" s="300"/>
    </row>
    <row r="239" spans="1:36" s="169" customFormat="1">
      <c r="A239" s="169" t="s">
        <v>753</v>
      </c>
      <c r="B239" s="327" t="s">
        <v>126</v>
      </c>
      <c r="C239" s="275">
        <v>0.8</v>
      </c>
      <c r="D239" s="296">
        <f>C239</f>
        <v>0.8</v>
      </c>
      <c r="E239" s="296">
        <f t="shared" ref="E239:AG239" si="159">D239</f>
        <v>0.8</v>
      </c>
      <c r="F239" s="296">
        <f t="shared" si="159"/>
        <v>0.8</v>
      </c>
      <c r="G239" s="296">
        <f t="shared" si="159"/>
        <v>0.8</v>
      </c>
      <c r="H239" s="296">
        <f t="shared" si="159"/>
        <v>0.8</v>
      </c>
      <c r="I239" s="296">
        <f t="shared" si="159"/>
        <v>0.8</v>
      </c>
      <c r="J239" s="296">
        <f t="shared" si="159"/>
        <v>0.8</v>
      </c>
      <c r="K239" s="296">
        <f t="shared" si="159"/>
        <v>0.8</v>
      </c>
      <c r="L239" s="296">
        <f t="shared" si="159"/>
        <v>0.8</v>
      </c>
      <c r="M239" s="296">
        <f>L239</f>
        <v>0.8</v>
      </c>
      <c r="N239" s="296">
        <f t="shared" si="159"/>
        <v>0.8</v>
      </c>
      <c r="O239" s="296">
        <f t="shared" si="159"/>
        <v>0.8</v>
      </c>
      <c r="P239" s="296">
        <f t="shared" si="159"/>
        <v>0.8</v>
      </c>
      <c r="Q239" s="296">
        <f t="shared" si="159"/>
        <v>0.8</v>
      </c>
      <c r="R239" s="296">
        <f t="shared" si="159"/>
        <v>0.8</v>
      </c>
      <c r="S239" s="296">
        <f t="shared" si="159"/>
        <v>0.8</v>
      </c>
      <c r="T239" s="296">
        <f t="shared" si="159"/>
        <v>0.8</v>
      </c>
      <c r="U239" s="296">
        <f t="shared" si="159"/>
        <v>0.8</v>
      </c>
      <c r="V239" s="296">
        <f t="shared" si="159"/>
        <v>0.8</v>
      </c>
      <c r="W239" s="296">
        <f t="shared" si="159"/>
        <v>0.8</v>
      </c>
      <c r="X239" s="296">
        <f t="shared" si="159"/>
        <v>0.8</v>
      </c>
      <c r="Y239" s="296">
        <f t="shared" si="159"/>
        <v>0.8</v>
      </c>
      <c r="Z239" s="296">
        <f t="shared" si="159"/>
        <v>0.8</v>
      </c>
      <c r="AA239" s="296">
        <f t="shared" si="159"/>
        <v>0.8</v>
      </c>
      <c r="AB239" s="296">
        <f t="shared" si="159"/>
        <v>0.8</v>
      </c>
      <c r="AC239" s="296">
        <f t="shared" si="159"/>
        <v>0.8</v>
      </c>
      <c r="AD239" s="296">
        <f t="shared" si="159"/>
        <v>0.8</v>
      </c>
      <c r="AE239" s="296">
        <f t="shared" si="159"/>
        <v>0.8</v>
      </c>
      <c r="AF239" s="296">
        <f t="shared" si="159"/>
        <v>0.8</v>
      </c>
      <c r="AG239" s="296">
        <f t="shared" si="159"/>
        <v>0.8</v>
      </c>
      <c r="AJ239" s="300" t="s">
        <v>754</v>
      </c>
    </row>
    <row r="240" spans="1:36" s="169" customFormat="1">
      <c r="B240" s="327"/>
      <c r="C240" s="304"/>
      <c r="D240" s="304"/>
      <c r="E240" s="304"/>
      <c r="F240" s="304"/>
      <c r="G240" s="304"/>
      <c r="H240" s="304"/>
      <c r="I240" s="304"/>
      <c r="J240" s="304"/>
      <c r="K240" s="304"/>
      <c r="L240" s="304"/>
      <c r="M240" s="304"/>
      <c r="N240" s="304"/>
      <c r="O240" s="304"/>
      <c r="P240" s="304"/>
      <c r="Q240" s="304"/>
      <c r="R240" s="304"/>
      <c r="S240" s="304"/>
      <c r="T240" s="304"/>
      <c r="U240" s="304"/>
      <c r="V240" s="304"/>
      <c r="W240" s="304"/>
      <c r="X240" s="304"/>
      <c r="Y240" s="304"/>
      <c r="Z240" s="304"/>
      <c r="AA240" s="304"/>
      <c r="AB240" s="304"/>
      <c r="AC240" s="304"/>
      <c r="AD240" s="304"/>
      <c r="AE240" s="304"/>
      <c r="AF240" s="304"/>
      <c r="AG240" s="304"/>
      <c r="AJ240" s="300"/>
    </row>
    <row r="241" spans="1:37" s="169" customFormat="1">
      <c r="A241" s="169" t="s">
        <v>710</v>
      </c>
      <c r="B241" s="327" t="s">
        <v>127</v>
      </c>
      <c r="C241" s="304">
        <f>C175*C236*C239</f>
        <v>3328.9521228661465</v>
      </c>
      <c r="D241" s="304">
        <f t="shared" ref="D241:AG241" si="160">D175*D236*D239</f>
        <v>3417.2136532730228</v>
      </c>
      <c r="E241" s="304">
        <f t="shared" si="160"/>
        <v>3505.3528988078137</v>
      </c>
      <c r="F241" s="304">
        <f t="shared" si="160"/>
        <v>3593.41700708398</v>
      </c>
      <c r="G241" s="304">
        <f t="shared" si="160"/>
        <v>3681.4524691566835</v>
      </c>
      <c r="H241" s="304">
        <f t="shared" si="160"/>
        <v>3769.5051205875134</v>
      </c>
      <c r="I241" s="304">
        <f t="shared" si="160"/>
        <v>3841.0605054044713</v>
      </c>
      <c r="J241" s="304">
        <f t="shared" si="160"/>
        <v>3911.001127736547</v>
      </c>
      <c r="K241" s="304">
        <f t="shared" si="160"/>
        <v>3979.298795000901</v>
      </c>
      <c r="L241" s="304">
        <f t="shared" si="160"/>
        <v>4045.9240819101319</v>
      </c>
      <c r="M241" s="304">
        <f t="shared" si="160"/>
        <v>4110.8463393690699</v>
      </c>
      <c r="N241" s="304">
        <f t="shared" si="160"/>
        <v>4171.8039568381564</v>
      </c>
      <c r="O241" s="304">
        <f t="shared" si="160"/>
        <v>4231.57825600674</v>
      </c>
      <c r="P241" s="304">
        <f t="shared" si="160"/>
        <v>4284.5319769831776</v>
      </c>
      <c r="Q241" s="304">
        <f t="shared" si="160"/>
        <v>4336.1957311260057</v>
      </c>
      <c r="R241" s="304">
        <f t="shared" si="160"/>
        <v>4386.5773140362517</v>
      </c>
      <c r="S241" s="304">
        <f t="shared" si="160"/>
        <v>4435.6839766703197</v>
      </c>
      <c r="T241" s="304">
        <f t="shared" si="160"/>
        <v>4483.5187514571608</v>
      </c>
      <c r="U241" s="304">
        <f t="shared" si="160"/>
        <v>4530.0840595422596</v>
      </c>
      <c r="V241" s="304">
        <f t="shared" si="160"/>
        <v>4575.3805658501815</v>
      </c>
      <c r="W241" s="304">
        <f t="shared" si="160"/>
        <v>4619.4071973162027</v>
      </c>
      <c r="X241" s="304">
        <f t="shared" si="160"/>
        <v>4658.3505606303288</v>
      </c>
      <c r="Y241" s="304">
        <f t="shared" si="160"/>
        <v>4699.5055594105634</v>
      </c>
      <c r="Z241" s="304">
        <f t="shared" si="160"/>
        <v>4740.7620608035895</v>
      </c>
      <c r="AA241" s="304">
        <f t="shared" si="160"/>
        <v>4782.9429257844631</v>
      </c>
      <c r="AB241" s="304">
        <f t="shared" si="160"/>
        <v>4826.1352803791624</v>
      </c>
      <c r="AC241" s="304">
        <f t="shared" si="160"/>
        <v>4869.2562377459508</v>
      </c>
      <c r="AD241" s="304">
        <f t="shared" si="160"/>
        <v>4913.4720870331457</v>
      </c>
      <c r="AE241" s="304">
        <f t="shared" si="160"/>
        <v>4958.8596596120715</v>
      </c>
      <c r="AF241" s="304">
        <f t="shared" si="160"/>
        <v>5005.4932194771427</v>
      </c>
      <c r="AG241" s="304">
        <f t="shared" si="160"/>
        <v>5053.4444987136067</v>
      </c>
      <c r="AJ241" s="300"/>
    </row>
    <row r="242" spans="1:37" s="169" customFormat="1">
      <c r="A242" s="169" t="s">
        <v>715</v>
      </c>
      <c r="B242" s="327" t="s">
        <v>127</v>
      </c>
      <c r="C242" s="304">
        <f>C236*C239-C241</f>
        <v>11802.648435616336</v>
      </c>
      <c r="D242" s="304">
        <f t="shared" ref="D242:AG242" si="161">D236*D239-D241</f>
        <v>11658.728934696199</v>
      </c>
      <c r="E242" s="304">
        <f t="shared" si="161"/>
        <v>11517.588096082818</v>
      </c>
      <c r="F242" s="304">
        <f t="shared" si="161"/>
        <v>11379.153855765941</v>
      </c>
      <c r="G242" s="304">
        <f t="shared" si="161"/>
        <v>11243.35483823528</v>
      </c>
      <c r="H242" s="304">
        <f t="shared" si="161"/>
        <v>11110.120355415833</v>
      </c>
      <c r="I242" s="304">
        <f t="shared" si="161"/>
        <v>10932.249130766575</v>
      </c>
      <c r="J242" s="304">
        <f t="shared" si="161"/>
        <v>10755.253101275508</v>
      </c>
      <c r="K242" s="304">
        <f t="shared" si="161"/>
        <v>10579.111430612156</v>
      </c>
      <c r="L242" s="304">
        <f t="shared" si="161"/>
        <v>10403.804782054627</v>
      </c>
      <c r="M242" s="304">
        <f t="shared" si="161"/>
        <v>10229.315309592806</v>
      </c>
      <c r="N242" s="304">
        <f t="shared" si="161"/>
        <v>10050.254986928292</v>
      </c>
      <c r="O242" s="304">
        <f t="shared" si="161"/>
        <v>9873.6825973490668</v>
      </c>
      <c r="P242" s="304">
        <f t="shared" si="161"/>
        <v>9686.7679479619728</v>
      </c>
      <c r="Q242" s="304">
        <f t="shared" si="161"/>
        <v>9502.7268150208292</v>
      </c>
      <c r="R242" s="304">
        <f t="shared" si="161"/>
        <v>9321.476792327041</v>
      </c>
      <c r="S242" s="304">
        <f t="shared" si="161"/>
        <v>9142.9404417082187</v>
      </c>
      <c r="T242" s="304">
        <f t="shared" si="161"/>
        <v>8967.0375029143288</v>
      </c>
      <c r="U242" s="304">
        <f t="shared" si="161"/>
        <v>8793.6925861702784</v>
      </c>
      <c r="V242" s="304">
        <f t="shared" si="161"/>
        <v>8622.8326048715026</v>
      </c>
      <c r="W242" s="304">
        <f t="shared" si="161"/>
        <v>8454.3867573523039</v>
      </c>
      <c r="X242" s="304">
        <f t="shared" si="161"/>
        <v>8281.5121077872573</v>
      </c>
      <c r="Y242" s="304">
        <f t="shared" si="161"/>
        <v>8117.3277844364366</v>
      </c>
      <c r="Z242" s="304">
        <f t="shared" si="161"/>
        <v>7957.707744920318</v>
      </c>
      <c r="AA242" s="304">
        <f t="shared" si="161"/>
        <v>7803.7489841746601</v>
      </c>
      <c r="AB242" s="304">
        <f t="shared" si="161"/>
        <v>7655.2490654290277</v>
      </c>
      <c r="AC242" s="304">
        <f t="shared" si="161"/>
        <v>7510.2087734725774</v>
      </c>
      <c r="AD242" s="304">
        <f t="shared" si="161"/>
        <v>7370.2081305497268</v>
      </c>
      <c r="AE242" s="304">
        <f t="shared" si="161"/>
        <v>7235.0575361553256</v>
      </c>
      <c r="AF242" s="304">
        <f t="shared" si="161"/>
        <v>7104.5710211933729</v>
      </c>
      <c r="AG242" s="304">
        <f t="shared" si="161"/>
        <v>6978.5662125092658</v>
      </c>
      <c r="AJ242" s="300"/>
    </row>
    <row r="243" spans="1:37" s="169" customFormat="1">
      <c r="B243" s="165"/>
      <c r="C243" s="304"/>
      <c r="D243" s="304"/>
      <c r="E243" s="304"/>
      <c r="F243" s="304"/>
      <c r="G243" s="304"/>
      <c r="H243" s="304"/>
      <c r="I243" s="304"/>
      <c r="J243" s="304"/>
      <c r="K243" s="304"/>
      <c r="L243" s="304"/>
      <c r="M243" s="304"/>
      <c r="N243" s="304"/>
      <c r="O243" s="304"/>
      <c r="P243" s="304"/>
      <c r="Q243" s="304"/>
      <c r="R243" s="304"/>
      <c r="S243" s="304"/>
      <c r="T243" s="304"/>
      <c r="U243" s="304"/>
      <c r="V243" s="304"/>
      <c r="W243" s="304"/>
      <c r="X243" s="304"/>
      <c r="Y243" s="304"/>
      <c r="Z243" s="304"/>
      <c r="AA243" s="304"/>
      <c r="AB243" s="304"/>
      <c r="AC243" s="304"/>
      <c r="AD243" s="304"/>
      <c r="AE243" s="304"/>
      <c r="AF243" s="304"/>
      <c r="AG243" s="304"/>
      <c r="AJ243" s="300"/>
    </row>
    <row r="244" spans="1:37" s="169" customFormat="1">
      <c r="B244" s="197" t="s">
        <v>709</v>
      </c>
      <c r="C244" s="308">
        <v>0</v>
      </c>
      <c r="D244" s="308">
        <f>C244+1</f>
        <v>1</v>
      </c>
      <c r="E244" s="308">
        <f t="shared" ref="E244:AG244" si="162">D244+1</f>
        <v>2</v>
      </c>
      <c r="F244" s="308">
        <f t="shared" si="162"/>
        <v>3</v>
      </c>
      <c r="G244" s="308">
        <f t="shared" si="162"/>
        <v>4</v>
      </c>
      <c r="H244" s="308">
        <f t="shared" si="162"/>
        <v>5</v>
      </c>
      <c r="I244" s="308">
        <f t="shared" si="162"/>
        <v>6</v>
      </c>
      <c r="J244" s="308">
        <f t="shared" si="162"/>
        <v>7</v>
      </c>
      <c r="K244" s="308">
        <f t="shared" si="162"/>
        <v>8</v>
      </c>
      <c r="L244" s="308">
        <f t="shared" si="162"/>
        <v>9</v>
      </c>
      <c r="M244" s="308">
        <f t="shared" si="162"/>
        <v>10</v>
      </c>
      <c r="N244" s="308">
        <f t="shared" si="162"/>
        <v>11</v>
      </c>
      <c r="O244" s="308">
        <f t="shared" si="162"/>
        <v>12</v>
      </c>
      <c r="P244" s="308">
        <f t="shared" si="162"/>
        <v>13</v>
      </c>
      <c r="Q244" s="308">
        <f t="shared" si="162"/>
        <v>14</v>
      </c>
      <c r="R244" s="308">
        <f t="shared" si="162"/>
        <v>15</v>
      </c>
      <c r="S244" s="308">
        <f t="shared" si="162"/>
        <v>16</v>
      </c>
      <c r="T244" s="308">
        <f t="shared" si="162"/>
        <v>17</v>
      </c>
      <c r="U244" s="308">
        <f t="shared" si="162"/>
        <v>18</v>
      </c>
      <c r="V244" s="308">
        <f t="shared" si="162"/>
        <v>19</v>
      </c>
      <c r="W244" s="308">
        <f t="shared" si="162"/>
        <v>20</v>
      </c>
      <c r="X244" s="308">
        <f t="shared" si="162"/>
        <v>21</v>
      </c>
      <c r="Y244" s="308">
        <f t="shared" si="162"/>
        <v>22</v>
      </c>
      <c r="Z244" s="308">
        <f t="shared" si="162"/>
        <v>23</v>
      </c>
      <c r="AA244" s="308">
        <f t="shared" si="162"/>
        <v>24</v>
      </c>
      <c r="AB244" s="308">
        <f t="shared" si="162"/>
        <v>25</v>
      </c>
      <c r="AC244" s="308">
        <f t="shared" si="162"/>
        <v>26</v>
      </c>
      <c r="AD244" s="308">
        <f t="shared" si="162"/>
        <v>27</v>
      </c>
      <c r="AE244" s="308">
        <f t="shared" si="162"/>
        <v>28</v>
      </c>
      <c r="AF244" s="308">
        <f t="shared" si="162"/>
        <v>29</v>
      </c>
      <c r="AG244" s="308">
        <f t="shared" si="162"/>
        <v>30</v>
      </c>
      <c r="AJ244" s="300" t="s">
        <v>717</v>
      </c>
      <c r="AK244" s="169">
        <f>'Propylene Recycling HC'!AK196</f>
        <v>1.9</v>
      </c>
    </row>
    <row r="245" spans="1:37" s="169" customFormat="1">
      <c r="A245" s="169" t="s">
        <v>761</v>
      </c>
      <c r="B245" s="165"/>
      <c r="C245" s="310">
        <f>$AK$246/((1+EXP(-$AK$245*(C244-$AK$247)))^$AK$244)</f>
        <v>4.6088632748610021E-5</v>
      </c>
      <c r="D245" s="310">
        <f t="shared" ref="D245:AG245" si="163">$AK$246/((1+EXP(-$AK$245*(D244-$AK$247)))^$AK$244)</f>
        <v>8.924759460408035E-5</v>
      </c>
      <c r="E245" s="310">
        <f t="shared" si="163"/>
        <v>1.7252431976790472E-4</v>
      </c>
      <c r="F245" s="310">
        <f t="shared" si="163"/>
        <v>3.3269643715580369E-4</v>
      </c>
      <c r="G245" s="310">
        <f t="shared" si="163"/>
        <v>6.393827369910735E-4</v>
      </c>
      <c r="H245" s="310">
        <f t="shared" si="163"/>
        <v>1.2229053771654547E-3</v>
      </c>
      <c r="I245" s="310">
        <f t="shared" si="163"/>
        <v>2.3234018804222717E-3</v>
      </c>
      <c r="J245" s="310">
        <f t="shared" si="163"/>
        <v>4.3736281679830789E-3</v>
      </c>
      <c r="K245" s="310">
        <f t="shared" si="163"/>
        <v>8.1294184230466908E-3</v>
      </c>
      <c r="L245" s="310">
        <f t="shared" si="163"/>
        <v>1.4853985082038716E-2</v>
      </c>
      <c r="M245" s="310">
        <f t="shared" si="163"/>
        <v>2.6531412096832362E-2</v>
      </c>
      <c r="N245" s="310">
        <f t="shared" si="163"/>
        <v>4.6014759335105015E-2</v>
      </c>
      <c r="O245" s="310">
        <f t="shared" si="163"/>
        <v>7.6910635328419796E-2</v>
      </c>
      <c r="P245" s="310">
        <f t="shared" si="163"/>
        <v>0.12294065829885638</v>
      </c>
      <c r="Q245" s="310">
        <f t="shared" si="163"/>
        <v>0.18666754187878853</v>
      </c>
      <c r="R245" s="310">
        <f t="shared" si="163"/>
        <v>0.26794336563407328</v>
      </c>
      <c r="S245" s="310">
        <f t="shared" si="163"/>
        <v>0.36297326582455031</v>
      </c>
      <c r="T245" s="310">
        <f t="shared" si="163"/>
        <v>0.46484396312424381</v>
      </c>
      <c r="U245" s="310">
        <f t="shared" si="163"/>
        <v>0.56546260593861253</v>
      </c>
      <c r="V245" s="310">
        <f t="shared" si="163"/>
        <v>0.6578403022607352</v>
      </c>
      <c r="W245" s="310">
        <f t="shared" si="163"/>
        <v>0.73754668886795227</v>
      </c>
      <c r="X245" s="310">
        <f t="shared" si="163"/>
        <v>0.80293052021410605</v>
      </c>
      <c r="Y245" s="310">
        <f t="shared" si="163"/>
        <v>0.85447682949112158</v>
      </c>
      <c r="Z245" s="310">
        <f t="shared" si="163"/>
        <v>0.89389910336617451</v>
      </c>
      <c r="AA245" s="310">
        <f t="shared" si="163"/>
        <v>0.92337223319290385</v>
      </c>
      <c r="AB245" s="310">
        <f t="shared" si="163"/>
        <v>0.94504210708611314</v>
      </c>
      <c r="AC245" s="310">
        <f t="shared" si="163"/>
        <v>0.96078240575184182</v>
      </c>
      <c r="AD245" s="310">
        <f t="shared" si="163"/>
        <v>0.97211605463477313</v>
      </c>
      <c r="AE245" s="310">
        <f t="shared" si="163"/>
        <v>0.98022577885232642</v>
      </c>
      <c r="AF245" s="310">
        <f t="shared" si="163"/>
        <v>0.98600279580400285</v>
      </c>
      <c r="AG245" s="310">
        <f t="shared" si="163"/>
        <v>0.9901050637460882</v>
      </c>
      <c r="AI245" s="165" t="s">
        <v>716</v>
      </c>
      <c r="AJ245" s="300" t="s">
        <v>718</v>
      </c>
      <c r="AK245" s="169">
        <f>'Propylene Recycling HC'!AK197</f>
        <v>0.35</v>
      </c>
    </row>
    <row r="246" spans="1:37" s="169" customFormat="1">
      <c r="B246" s="165"/>
      <c r="C246" s="306">
        <v>0</v>
      </c>
      <c r="D246" s="306">
        <v>0</v>
      </c>
      <c r="E246" s="306">
        <v>0</v>
      </c>
      <c r="F246" s="306">
        <v>0</v>
      </c>
      <c r="G246" s="306">
        <v>0</v>
      </c>
      <c r="H246" s="306">
        <v>0</v>
      </c>
      <c r="I246" s="306">
        <v>0</v>
      </c>
      <c r="J246" s="306">
        <v>0</v>
      </c>
      <c r="K246" s="306">
        <v>0</v>
      </c>
      <c r="L246" s="306">
        <v>0</v>
      </c>
      <c r="M246" s="306">
        <f>C245</f>
        <v>4.6088632748610021E-5</v>
      </c>
      <c r="N246" s="306">
        <v>0</v>
      </c>
      <c r="O246" s="306">
        <v>0</v>
      </c>
      <c r="P246" s="306">
        <v>0</v>
      </c>
      <c r="Q246" s="306">
        <v>0</v>
      </c>
      <c r="R246" s="306">
        <f t="shared" ref="R246:AG246" si="164">C245</f>
        <v>4.6088632748610021E-5</v>
      </c>
      <c r="S246" s="306">
        <f t="shared" si="164"/>
        <v>8.924759460408035E-5</v>
      </c>
      <c r="T246" s="306">
        <f t="shared" si="164"/>
        <v>1.7252431976790472E-4</v>
      </c>
      <c r="U246" s="306">
        <f t="shared" si="164"/>
        <v>3.3269643715580369E-4</v>
      </c>
      <c r="V246" s="306">
        <f t="shared" si="164"/>
        <v>6.393827369910735E-4</v>
      </c>
      <c r="W246" s="306">
        <f t="shared" si="164"/>
        <v>1.2229053771654547E-3</v>
      </c>
      <c r="X246" s="306">
        <f t="shared" si="164"/>
        <v>2.3234018804222717E-3</v>
      </c>
      <c r="Y246" s="306">
        <f t="shared" si="164"/>
        <v>4.3736281679830789E-3</v>
      </c>
      <c r="Z246" s="306">
        <f t="shared" si="164"/>
        <v>8.1294184230466908E-3</v>
      </c>
      <c r="AA246" s="306">
        <f t="shared" si="164"/>
        <v>1.4853985082038716E-2</v>
      </c>
      <c r="AB246" s="306">
        <f t="shared" si="164"/>
        <v>2.6531412096832362E-2</v>
      </c>
      <c r="AC246" s="306">
        <f t="shared" si="164"/>
        <v>4.6014759335105015E-2</v>
      </c>
      <c r="AD246" s="306">
        <f t="shared" si="164"/>
        <v>7.6910635328419796E-2</v>
      </c>
      <c r="AE246" s="306">
        <f t="shared" si="164"/>
        <v>0.12294065829885638</v>
      </c>
      <c r="AF246" s="306">
        <f t="shared" si="164"/>
        <v>0.18666754187878853</v>
      </c>
      <c r="AG246" s="306">
        <f t="shared" si="164"/>
        <v>0.26794336563407328</v>
      </c>
      <c r="AI246" s="165" t="s">
        <v>762</v>
      </c>
      <c r="AJ246" s="300" t="s">
        <v>719</v>
      </c>
      <c r="AK246" s="169">
        <f>'Propylene Recycling HC'!AK198</f>
        <v>1</v>
      </c>
    </row>
    <row r="247" spans="1:37" s="169" customFormat="1">
      <c r="B247" s="165"/>
      <c r="C247" s="304"/>
      <c r="D247" s="304"/>
      <c r="E247" s="304"/>
      <c r="F247" s="304"/>
      <c r="G247" s="304"/>
      <c r="H247" s="304"/>
      <c r="I247" s="304"/>
      <c r="J247" s="304"/>
      <c r="K247" s="304"/>
      <c r="L247" s="304"/>
      <c r="M247" s="304"/>
      <c r="N247" s="304"/>
      <c r="O247" s="304"/>
      <c r="P247" s="304"/>
      <c r="Q247" s="304"/>
      <c r="R247" s="304"/>
      <c r="S247" s="304"/>
      <c r="T247" s="304"/>
      <c r="U247" s="304"/>
      <c r="V247" s="304"/>
      <c r="W247" s="304"/>
      <c r="X247" s="304"/>
      <c r="Y247" s="304"/>
      <c r="Z247" s="304"/>
      <c r="AA247" s="304"/>
      <c r="AB247" s="304"/>
      <c r="AC247" s="304"/>
      <c r="AD247" s="304"/>
      <c r="AE247" s="304"/>
      <c r="AF247" s="304"/>
      <c r="AG247" s="304"/>
      <c r="AJ247" s="300" t="s">
        <v>720</v>
      </c>
      <c r="AK247" s="169">
        <f>'Propylene Recycling HC'!AK199</f>
        <v>15</v>
      </c>
    </row>
    <row r="248" spans="1:37" s="169" customFormat="1">
      <c r="A248" s="169" t="s">
        <v>842</v>
      </c>
      <c r="B248" s="165" t="s">
        <v>126</v>
      </c>
      <c r="C248" s="305">
        <v>0</v>
      </c>
      <c r="D248" s="305">
        <f>C248</f>
        <v>0</v>
      </c>
      <c r="E248" s="305">
        <f t="shared" ref="E248:AG248" si="165">D248</f>
        <v>0</v>
      </c>
      <c r="F248" s="305">
        <f t="shared" si="165"/>
        <v>0</v>
      </c>
      <c r="G248" s="305">
        <f t="shared" si="165"/>
        <v>0</v>
      </c>
      <c r="H248" s="305">
        <f t="shared" si="165"/>
        <v>0</v>
      </c>
      <c r="I248" s="305">
        <f t="shared" si="165"/>
        <v>0</v>
      </c>
      <c r="J248" s="305">
        <f t="shared" si="165"/>
        <v>0</v>
      </c>
      <c r="K248" s="305">
        <f t="shared" si="165"/>
        <v>0</v>
      </c>
      <c r="L248" s="305">
        <f t="shared" si="165"/>
        <v>0</v>
      </c>
      <c r="M248" s="305">
        <v>0</v>
      </c>
      <c r="N248" s="305">
        <f t="shared" si="165"/>
        <v>0</v>
      </c>
      <c r="O248" s="305">
        <f t="shared" si="165"/>
        <v>0</v>
      </c>
      <c r="P248" s="305">
        <f t="shared" si="165"/>
        <v>0</v>
      </c>
      <c r="Q248" s="305">
        <f t="shared" si="165"/>
        <v>0</v>
      </c>
      <c r="R248" s="305">
        <f t="shared" si="165"/>
        <v>0</v>
      </c>
      <c r="S248" s="305">
        <f t="shared" si="165"/>
        <v>0</v>
      </c>
      <c r="T248" s="305">
        <f t="shared" si="165"/>
        <v>0</v>
      </c>
      <c r="U248" s="305">
        <f t="shared" si="165"/>
        <v>0</v>
      </c>
      <c r="V248" s="305">
        <f t="shared" si="165"/>
        <v>0</v>
      </c>
      <c r="W248" s="305">
        <f t="shared" si="165"/>
        <v>0</v>
      </c>
      <c r="X248" s="305">
        <f t="shared" si="165"/>
        <v>0</v>
      </c>
      <c r="Y248" s="305">
        <f t="shared" si="165"/>
        <v>0</v>
      </c>
      <c r="Z248" s="305">
        <f t="shared" si="165"/>
        <v>0</v>
      </c>
      <c r="AA248" s="305">
        <f t="shared" si="165"/>
        <v>0</v>
      </c>
      <c r="AB248" s="305">
        <f t="shared" si="165"/>
        <v>0</v>
      </c>
      <c r="AC248" s="305">
        <f t="shared" si="165"/>
        <v>0</v>
      </c>
      <c r="AD248" s="305">
        <f t="shared" si="165"/>
        <v>0</v>
      </c>
      <c r="AE248" s="305">
        <f t="shared" si="165"/>
        <v>0</v>
      </c>
      <c r="AF248" s="305">
        <f t="shared" si="165"/>
        <v>0</v>
      </c>
      <c r="AG248" s="305">
        <f t="shared" si="165"/>
        <v>0</v>
      </c>
      <c r="AI248" s="165" t="s">
        <v>846</v>
      </c>
      <c r="AJ248" s="300"/>
    </row>
    <row r="249" spans="1:37" s="279" customFormat="1" ht="15.5" thickBot="1">
      <c r="A249" s="311" t="s">
        <v>707</v>
      </c>
      <c r="B249" s="312" t="s">
        <v>127</v>
      </c>
      <c r="C249" s="313">
        <f>C248*(C241*C245+C242*C246)</f>
        <v>0</v>
      </c>
      <c r="D249" s="313">
        <f t="shared" ref="D249:AG249" si="166">D248*(D241*D245+D242*D246)</f>
        <v>0</v>
      </c>
      <c r="E249" s="313">
        <f t="shared" si="166"/>
        <v>0</v>
      </c>
      <c r="F249" s="313">
        <f t="shared" si="166"/>
        <v>0</v>
      </c>
      <c r="G249" s="313">
        <f t="shared" si="166"/>
        <v>0</v>
      </c>
      <c r="H249" s="313">
        <f t="shared" si="166"/>
        <v>0</v>
      </c>
      <c r="I249" s="313">
        <f t="shared" si="166"/>
        <v>0</v>
      </c>
      <c r="J249" s="313">
        <f t="shared" si="166"/>
        <v>0</v>
      </c>
      <c r="K249" s="313">
        <f t="shared" si="166"/>
        <v>0</v>
      </c>
      <c r="L249" s="313">
        <f t="shared" si="166"/>
        <v>0</v>
      </c>
      <c r="M249" s="313">
        <f>M248*(M241*M245+M242*M246)</f>
        <v>0</v>
      </c>
      <c r="N249" s="313">
        <f t="shared" si="166"/>
        <v>0</v>
      </c>
      <c r="O249" s="313">
        <f t="shared" si="166"/>
        <v>0</v>
      </c>
      <c r="P249" s="313">
        <f t="shared" si="166"/>
        <v>0</v>
      </c>
      <c r="Q249" s="313">
        <f t="shared" si="166"/>
        <v>0</v>
      </c>
      <c r="R249" s="313">
        <f t="shared" si="166"/>
        <v>0</v>
      </c>
      <c r="S249" s="313">
        <f t="shared" si="166"/>
        <v>0</v>
      </c>
      <c r="T249" s="313">
        <f t="shared" si="166"/>
        <v>0</v>
      </c>
      <c r="U249" s="313">
        <f t="shared" si="166"/>
        <v>0</v>
      </c>
      <c r="V249" s="313">
        <f t="shared" si="166"/>
        <v>0</v>
      </c>
      <c r="W249" s="313">
        <f t="shared" si="166"/>
        <v>0</v>
      </c>
      <c r="X249" s="313">
        <f t="shared" si="166"/>
        <v>0</v>
      </c>
      <c r="Y249" s="313">
        <f t="shared" si="166"/>
        <v>0</v>
      </c>
      <c r="Z249" s="313">
        <f t="shared" si="166"/>
        <v>0</v>
      </c>
      <c r="AA249" s="313">
        <f t="shared" si="166"/>
        <v>0</v>
      </c>
      <c r="AB249" s="313">
        <f t="shared" si="166"/>
        <v>0</v>
      </c>
      <c r="AC249" s="313">
        <f t="shared" si="166"/>
        <v>0</v>
      </c>
      <c r="AD249" s="313">
        <f t="shared" si="166"/>
        <v>0</v>
      </c>
      <c r="AE249" s="313">
        <f t="shared" si="166"/>
        <v>0</v>
      </c>
      <c r="AF249" s="313">
        <f t="shared" si="166"/>
        <v>0</v>
      </c>
      <c r="AG249" s="313">
        <f t="shared" si="166"/>
        <v>0</v>
      </c>
      <c r="AJ249" s="303"/>
    </row>
    <row r="250" spans="1:37" s="216" customFormat="1">
      <c r="A250" s="302" t="s">
        <v>713</v>
      </c>
      <c r="B250" s="301" t="s">
        <v>126</v>
      </c>
      <c r="C250" s="307">
        <v>0</v>
      </c>
      <c r="D250" s="307">
        <v>0.5</v>
      </c>
      <c r="E250" s="307">
        <v>0.5</v>
      </c>
      <c r="F250" s="307">
        <v>0.5</v>
      </c>
      <c r="G250" s="307">
        <v>0.5</v>
      </c>
      <c r="H250" s="307">
        <v>0.5</v>
      </c>
      <c r="I250" s="307">
        <v>0.5</v>
      </c>
      <c r="J250" s="307">
        <v>0.5</v>
      </c>
      <c r="K250" s="307">
        <v>0.5</v>
      </c>
      <c r="L250" s="307">
        <v>0.5</v>
      </c>
      <c r="M250" s="307">
        <v>0</v>
      </c>
      <c r="N250" s="307">
        <v>0.5</v>
      </c>
      <c r="O250" s="307">
        <v>0.5</v>
      </c>
      <c r="P250" s="307">
        <v>0.5</v>
      </c>
      <c r="Q250" s="307">
        <v>0.5</v>
      </c>
      <c r="R250" s="307">
        <v>0.5</v>
      </c>
      <c r="S250" s="307">
        <v>0.5</v>
      </c>
      <c r="T250" s="307">
        <v>0.5</v>
      </c>
      <c r="U250" s="307">
        <v>0.5</v>
      </c>
      <c r="V250" s="307">
        <v>0.5</v>
      </c>
      <c r="W250" s="307">
        <v>0</v>
      </c>
      <c r="X250" s="307">
        <v>0.5</v>
      </c>
      <c r="Y250" s="307">
        <v>0.5</v>
      </c>
      <c r="Z250" s="307">
        <v>0.5</v>
      </c>
      <c r="AA250" s="307">
        <v>0.5</v>
      </c>
      <c r="AB250" s="307">
        <v>0.5</v>
      </c>
      <c r="AC250" s="307">
        <v>0.5</v>
      </c>
      <c r="AD250" s="307">
        <v>0.5</v>
      </c>
      <c r="AE250" s="307">
        <v>0.5</v>
      </c>
      <c r="AF250" s="307">
        <v>0.5</v>
      </c>
      <c r="AG250" s="307">
        <v>0</v>
      </c>
      <c r="AJ250" s="216" t="s">
        <v>757</v>
      </c>
    </row>
    <row r="251" spans="1:37" s="216" customFormat="1" ht="15.5" thickBot="1">
      <c r="A251" s="280" t="s">
        <v>708</v>
      </c>
      <c r="B251" s="312" t="s">
        <v>127</v>
      </c>
      <c r="C251" s="313">
        <f>C250*(C241*C245+C242*C246)</f>
        <v>0</v>
      </c>
      <c r="D251" s="313">
        <f t="shared" ref="D251:AG251" si="167">D250*(D241*D245+D242*D246)</f>
        <v>0.15248904940141958</v>
      </c>
      <c r="E251" s="313">
        <f t="shared" si="167"/>
        <v>0.3023793122066355</v>
      </c>
      <c r="F251" s="313">
        <f t="shared" si="167"/>
        <v>0.59775851773595579</v>
      </c>
      <c r="G251" s="313">
        <f t="shared" si="167"/>
        <v>1.1769285779159731</v>
      </c>
      <c r="H251" s="313">
        <f t="shared" si="167"/>
        <v>2.3048740406095929</v>
      </c>
      <c r="I251" s="313">
        <f t="shared" si="167"/>
        <v>4.4621636005362353</v>
      </c>
      <c r="J251" s="313">
        <f t="shared" si="167"/>
        <v>8.5526323486410742</v>
      </c>
      <c r="K251" s="313">
        <f t="shared" si="167"/>
        <v>16.174692467443911</v>
      </c>
      <c r="L251" s="313">
        <f t="shared" si="167"/>
        <v>30.049047977877144</v>
      </c>
      <c r="M251" s="313">
        <f t="shared" si="167"/>
        <v>0</v>
      </c>
      <c r="N251" s="313">
        <f t="shared" si="167"/>
        <v>95.982277533573296</v>
      </c>
      <c r="O251" s="313">
        <f t="shared" si="167"/>
        <v>162.72668605570252</v>
      </c>
      <c r="P251" s="313">
        <f t="shared" si="167"/>
        <v>263.37159087640623</v>
      </c>
      <c r="Q251" s="313">
        <f t="shared" si="167"/>
        <v>404.71349911729385</v>
      </c>
      <c r="R251" s="313">
        <f t="shared" si="167"/>
        <v>587.89195162875137</v>
      </c>
      <c r="S251" s="313">
        <f t="shared" si="167"/>
        <v>805.42534230984256</v>
      </c>
      <c r="T251" s="313">
        <f t="shared" si="167"/>
        <v>1042.8418286073659</v>
      </c>
      <c r="U251" s="313">
        <f t="shared" si="167"/>
        <v>1282.2593838112984</v>
      </c>
      <c r="V251" s="313">
        <f t="shared" si="167"/>
        <v>1507.6915123541478</v>
      </c>
      <c r="W251" s="313">
        <f t="shared" si="167"/>
        <v>0</v>
      </c>
      <c r="X251" s="313">
        <f t="shared" si="167"/>
        <v>1879.7865598952776</v>
      </c>
      <c r="Y251" s="313">
        <f t="shared" si="167"/>
        <v>2025.5603920139004</v>
      </c>
      <c r="Z251" s="313">
        <f t="shared" si="167"/>
        <v>2151.2272456857413</v>
      </c>
      <c r="AA251" s="313">
        <f t="shared" si="167"/>
        <v>2266.1767308053531</v>
      </c>
      <c r="AB251" s="313">
        <f t="shared" si="167"/>
        <v>2382.0028110554708</v>
      </c>
      <c r="AC251" s="313">
        <f t="shared" si="167"/>
        <v>2511.9380857957262</v>
      </c>
      <c r="AD251" s="313">
        <f t="shared" si="167"/>
        <v>2671.6562448140057</v>
      </c>
      <c r="AE251" s="313">
        <f t="shared" si="167"/>
        <v>2875.1424041938317</v>
      </c>
      <c r="AF251" s="313">
        <f t="shared" si="167"/>
        <v>3130.8115587059415</v>
      </c>
      <c r="AG251" s="313">
        <f t="shared" si="167"/>
        <v>0</v>
      </c>
      <c r="AJ251" s="302"/>
    </row>
    <row r="252" spans="1:37" s="216" customFormat="1">
      <c r="A252" s="303"/>
      <c r="B252" s="301"/>
      <c r="AJ252" s="302"/>
    </row>
    <row r="253" spans="1:37" s="216" customFormat="1">
      <c r="A253" s="303" t="s">
        <v>711</v>
      </c>
      <c r="B253" s="301" t="s">
        <v>127</v>
      </c>
      <c r="C253" s="216">
        <f>SUM(C222:C223)-SUM(C249,C251)</f>
        <v>53137.781433232252</v>
      </c>
      <c r="D253" s="216">
        <f t="shared" ref="D253:AG253" si="168">SUM(D222:D223)-SUM(D249,D251)</f>
        <v>53396.384371462271</v>
      </c>
      <c r="E253" s="216">
        <f t="shared" si="168"/>
        <v>53643.438883180956</v>
      </c>
      <c r="F253" s="216">
        <f t="shared" si="168"/>
        <v>53878.796880658978</v>
      </c>
      <c r="G253" s="216">
        <f t="shared" si="168"/>
        <v>54102.320061984443</v>
      </c>
      <c r="H253" s="216">
        <f t="shared" si="168"/>
        <v>54313.743442609441</v>
      </c>
      <c r="I253" s="216">
        <f t="shared" si="168"/>
        <v>54346.798902616465</v>
      </c>
      <c r="J253" s="216">
        <f t="shared" si="168"/>
        <v>54362.312420869697</v>
      </c>
      <c r="K253" s="216">
        <f t="shared" si="168"/>
        <v>54358.685585186598</v>
      </c>
      <c r="L253" s="216">
        <f t="shared" si="168"/>
        <v>54333.197691546251</v>
      </c>
      <c r="M253" s="216">
        <f t="shared" si="168"/>
        <v>54336.024438828601</v>
      </c>
      <c r="N253" s="216">
        <f t="shared" si="168"/>
        <v>54178.624272586821</v>
      </c>
      <c r="O253" s="216">
        <f t="shared" si="168"/>
        <v>54040.807388196365</v>
      </c>
      <c r="P253" s="216">
        <f t="shared" si="168"/>
        <v>53704.483350813265</v>
      </c>
      <c r="Q253" s="216">
        <f t="shared" si="168"/>
        <v>53313.472307132295</v>
      </c>
      <c r="R253" s="216">
        <f t="shared" si="168"/>
        <v>52866.810426796459</v>
      </c>
      <c r="S253" s="216">
        <f t="shared" si="168"/>
        <v>52372.163997205324</v>
      </c>
      <c r="T253" s="216">
        <f t="shared" si="168"/>
        <v>51844.171796225324</v>
      </c>
      <c r="U253" s="216">
        <f t="shared" si="168"/>
        <v>51300.891561059878</v>
      </c>
      <c r="V253" s="216">
        <f t="shared" si="168"/>
        <v>50758.485497769871</v>
      </c>
      <c r="W253" s="216">
        <f t="shared" si="168"/>
        <v>51936.267531084624</v>
      </c>
      <c r="X253" s="216">
        <f t="shared" si="168"/>
        <v>49690.488086104364</v>
      </c>
      <c r="Y253" s="216">
        <f t="shared" si="168"/>
        <v>49188.178100809011</v>
      </c>
      <c r="Z253" s="216">
        <f t="shared" si="168"/>
        <v>48436.259180958317</v>
      </c>
      <c r="AA253" s="216">
        <f t="shared" si="168"/>
        <v>47689.271428503576</v>
      </c>
      <c r="AB253" s="216">
        <f t="shared" si="168"/>
        <v>46936.148011242258</v>
      </c>
      <c r="AC253" s="216">
        <f t="shared" si="168"/>
        <v>46157.926082667895</v>
      </c>
      <c r="AD253" s="216">
        <f t="shared" si="168"/>
        <v>45345.593424756065</v>
      </c>
      <c r="AE253" s="216">
        <f t="shared" si="168"/>
        <v>44485.692052903483</v>
      </c>
      <c r="AF253" s="216">
        <f t="shared" si="168"/>
        <v>43570.334103819652</v>
      </c>
      <c r="AG253" s="216">
        <f t="shared" si="168"/>
        <v>46038.71041733514</v>
      </c>
      <c r="AJ253" s="302"/>
    </row>
    <row r="254" spans="1:37" s="216" customFormat="1">
      <c r="A254" s="303"/>
      <c r="B254" s="301"/>
      <c r="AJ254" s="302"/>
    </row>
    <row r="255" spans="1:37" s="216" customFormat="1">
      <c r="A255" s="302" t="s">
        <v>722</v>
      </c>
      <c r="B255" s="301" t="s">
        <v>127</v>
      </c>
      <c r="C255" s="304">
        <f t="shared" ref="C255:AG255" si="169">C175*C174*C125</f>
        <v>0</v>
      </c>
      <c r="D255" s="304">
        <f t="shared" si="169"/>
        <v>0</v>
      </c>
      <c r="E255" s="304">
        <f t="shared" si="169"/>
        <v>0</v>
      </c>
      <c r="F255" s="304">
        <f t="shared" si="169"/>
        <v>0</v>
      </c>
      <c r="G255" s="304">
        <f t="shared" si="169"/>
        <v>0</v>
      </c>
      <c r="H255" s="304">
        <f t="shared" si="169"/>
        <v>0</v>
      </c>
      <c r="I255" s="304">
        <f t="shared" si="169"/>
        <v>0</v>
      </c>
      <c r="J255" s="304">
        <f t="shared" si="169"/>
        <v>0</v>
      </c>
      <c r="K255" s="304">
        <f t="shared" si="169"/>
        <v>0</v>
      </c>
      <c r="L255" s="304">
        <f t="shared" si="169"/>
        <v>0</v>
      </c>
      <c r="M255" s="304">
        <f t="shared" si="169"/>
        <v>0</v>
      </c>
      <c r="N255" s="304">
        <f t="shared" si="169"/>
        <v>0</v>
      </c>
      <c r="O255" s="304">
        <f t="shared" si="169"/>
        <v>0</v>
      </c>
      <c r="P255" s="304">
        <f t="shared" si="169"/>
        <v>0</v>
      </c>
      <c r="Q255" s="304">
        <f t="shared" si="169"/>
        <v>0</v>
      </c>
      <c r="R255" s="304">
        <f t="shared" si="169"/>
        <v>0</v>
      </c>
      <c r="S255" s="304">
        <f t="shared" si="169"/>
        <v>0</v>
      </c>
      <c r="T255" s="304">
        <f t="shared" si="169"/>
        <v>0</v>
      </c>
      <c r="U255" s="304">
        <f t="shared" si="169"/>
        <v>0</v>
      </c>
      <c r="V255" s="304">
        <f t="shared" si="169"/>
        <v>0</v>
      </c>
      <c r="W255" s="304">
        <f t="shared" si="169"/>
        <v>0</v>
      </c>
      <c r="X255" s="304">
        <f t="shared" si="169"/>
        <v>0</v>
      </c>
      <c r="Y255" s="304">
        <f t="shared" si="169"/>
        <v>0</v>
      </c>
      <c r="Z255" s="304">
        <f t="shared" si="169"/>
        <v>0</v>
      </c>
      <c r="AA255" s="304">
        <f t="shared" si="169"/>
        <v>0</v>
      </c>
      <c r="AB255" s="304">
        <f t="shared" si="169"/>
        <v>0</v>
      </c>
      <c r="AC255" s="304">
        <f t="shared" si="169"/>
        <v>0</v>
      </c>
      <c r="AD255" s="304">
        <f t="shared" si="169"/>
        <v>0</v>
      </c>
      <c r="AE255" s="304">
        <f t="shared" si="169"/>
        <v>0</v>
      </c>
      <c r="AF255" s="304">
        <f t="shared" si="169"/>
        <v>0</v>
      </c>
      <c r="AG255" s="304">
        <f t="shared" si="169"/>
        <v>0</v>
      </c>
      <c r="AJ255" s="302"/>
    </row>
    <row r="256" spans="1:37" s="216" customFormat="1">
      <c r="A256" s="216" t="s">
        <v>721</v>
      </c>
      <c r="B256" s="301" t="s">
        <v>127</v>
      </c>
      <c r="C256" s="304">
        <f t="shared" ref="C256:AG256" si="170">C176*C174*C125</f>
        <v>0</v>
      </c>
      <c r="D256" s="304">
        <f t="shared" si="170"/>
        <v>0</v>
      </c>
      <c r="E256" s="304">
        <f t="shared" si="170"/>
        <v>0</v>
      </c>
      <c r="F256" s="304">
        <f t="shared" si="170"/>
        <v>0</v>
      </c>
      <c r="G256" s="304">
        <f t="shared" si="170"/>
        <v>0</v>
      </c>
      <c r="H256" s="304">
        <f t="shared" si="170"/>
        <v>0</v>
      </c>
      <c r="I256" s="304">
        <f t="shared" si="170"/>
        <v>0</v>
      </c>
      <c r="J256" s="304">
        <f t="shared" si="170"/>
        <v>0</v>
      </c>
      <c r="K256" s="304">
        <f t="shared" si="170"/>
        <v>0</v>
      </c>
      <c r="L256" s="304">
        <f t="shared" si="170"/>
        <v>0</v>
      </c>
      <c r="M256" s="304">
        <f t="shared" si="170"/>
        <v>0</v>
      </c>
      <c r="N256" s="304">
        <f t="shared" si="170"/>
        <v>0</v>
      </c>
      <c r="O256" s="304">
        <f t="shared" si="170"/>
        <v>0</v>
      </c>
      <c r="P256" s="304">
        <f t="shared" si="170"/>
        <v>0</v>
      </c>
      <c r="Q256" s="304">
        <f t="shared" si="170"/>
        <v>0</v>
      </c>
      <c r="R256" s="304">
        <f t="shared" si="170"/>
        <v>0</v>
      </c>
      <c r="S256" s="304">
        <f t="shared" si="170"/>
        <v>0</v>
      </c>
      <c r="T256" s="304">
        <f t="shared" si="170"/>
        <v>0</v>
      </c>
      <c r="U256" s="304">
        <f t="shared" si="170"/>
        <v>0</v>
      </c>
      <c r="V256" s="304">
        <f t="shared" si="170"/>
        <v>0</v>
      </c>
      <c r="W256" s="304">
        <f t="shared" si="170"/>
        <v>0</v>
      </c>
      <c r="X256" s="304">
        <f t="shared" si="170"/>
        <v>0</v>
      </c>
      <c r="Y256" s="304">
        <f t="shared" si="170"/>
        <v>0</v>
      </c>
      <c r="Z256" s="304">
        <f t="shared" si="170"/>
        <v>0</v>
      </c>
      <c r="AA256" s="304">
        <f t="shared" si="170"/>
        <v>0</v>
      </c>
      <c r="AB256" s="304">
        <f t="shared" si="170"/>
        <v>0</v>
      </c>
      <c r="AC256" s="304">
        <f t="shared" si="170"/>
        <v>0</v>
      </c>
      <c r="AD256" s="304">
        <f t="shared" si="170"/>
        <v>0</v>
      </c>
      <c r="AE256" s="304">
        <f t="shared" si="170"/>
        <v>0</v>
      </c>
      <c r="AF256" s="304">
        <f t="shared" si="170"/>
        <v>0</v>
      </c>
      <c r="AG256" s="304">
        <f t="shared" si="170"/>
        <v>0</v>
      </c>
      <c r="AJ256" s="302"/>
    </row>
    <row r="257" spans="1:36" s="216" customFormat="1">
      <c r="B257" s="301"/>
      <c r="C257" s="296"/>
      <c r="D257" s="296"/>
      <c r="E257" s="296"/>
      <c r="F257" s="296"/>
      <c r="G257" s="296"/>
      <c r="H257" s="296"/>
      <c r="I257" s="296"/>
      <c r="J257" s="296"/>
      <c r="K257" s="296"/>
      <c r="L257" s="296"/>
      <c r="M257" s="296"/>
      <c r="N257" s="296"/>
      <c r="O257" s="296"/>
      <c r="P257" s="296"/>
      <c r="Q257" s="296"/>
      <c r="R257" s="296"/>
      <c r="S257" s="296"/>
      <c r="T257" s="296"/>
      <c r="U257" s="296"/>
      <c r="V257" s="296"/>
      <c r="W257" s="296"/>
      <c r="X257" s="296"/>
      <c r="Y257" s="296"/>
      <c r="Z257" s="296"/>
      <c r="AA257" s="296"/>
      <c r="AB257" s="296"/>
      <c r="AC257" s="296"/>
      <c r="AD257" s="296"/>
      <c r="AE257" s="296"/>
      <c r="AF257" s="296"/>
      <c r="AG257" s="296"/>
      <c r="AJ257" s="302"/>
    </row>
    <row r="258" spans="1:36" s="216" customFormat="1">
      <c r="A258" s="328" t="s">
        <v>723</v>
      </c>
      <c r="B258" s="329" t="s">
        <v>127</v>
      </c>
      <c r="C258" s="283">
        <f>C236+C237</f>
        <v>83288.685423126662</v>
      </c>
      <c r="D258" s="283">
        <f t="shared" ref="D258:AG258" si="171">D236+D237</f>
        <v>82894.04085143478</v>
      </c>
      <c r="E258" s="283">
        <f t="shared" si="171"/>
        <v>82499.081065627834</v>
      </c>
      <c r="F258" s="283">
        <f t="shared" si="171"/>
        <v>82103.806065705838</v>
      </c>
      <c r="G258" s="283">
        <f t="shared" si="171"/>
        <v>81708.215851668792</v>
      </c>
      <c r="H258" s="283">
        <f t="shared" si="171"/>
        <v>81312.310423516668</v>
      </c>
      <c r="I258" s="283">
        <f t="shared" si="171"/>
        <v>80665.669424157692</v>
      </c>
      <c r="J258" s="283">
        <f t="shared" si="171"/>
        <v>80016.394503673568</v>
      </c>
      <c r="K258" s="283">
        <f t="shared" si="171"/>
        <v>79364.485662064253</v>
      </c>
      <c r="L258" s="283">
        <f t="shared" si="171"/>
        <v>78709.942899329777</v>
      </c>
      <c r="M258" s="283">
        <f t="shared" si="171"/>
        <v>78052.766215470154</v>
      </c>
      <c r="N258" s="283">
        <f t="shared" si="171"/>
        <v>77365.886823508132</v>
      </c>
      <c r="O258" s="283">
        <f t="shared" si="171"/>
        <v>76685.359790834875</v>
      </c>
      <c r="P258" s="283">
        <f t="shared" si="171"/>
        <v>75797.686688464251</v>
      </c>
      <c r="Q258" s="283">
        <f t="shared" si="171"/>
        <v>74912.983111805035</v>
      </c>
      <c r="R258" s="283">
        <f t="shared" si="171"/>
        <v>74031.249060857255</v>
      </c>
      <c r="S258" s="283">
        <f t="shared" si="171"/>
        <v>73152.497167408947</v>
      </c>
      <c r="T258" s="283">
        <f t="shared" si="171"/>
        <v>72276.714911457806</v>
      </c>
      <c r="U258" s="283">
        <f t="shared" si="171"/>
        <v>71403.902293003805</v>
      </c>
      <c r="V258" s="283">
        <f t="shared" si="171"/>
        <v>70534.059312046971</v>
      </c>
      <c r="W258" s="283">
        <f t="shared" si="171"/>
        <v>69667.185968587277</v>
      </c>
      <c r="X258" s="283">
        <f t="shared" si="171"/>
        <v>68771.449203900964</v>
      </c>
      <c r="Y258" s="283">
        <f t="shared" si="171"/>
        <v>67908.964222738708</v>
      </c>
      <c r="Z258" s="283">
        <f t="shared" si="171"/>
        <v>66719.770342818927</v>
      </c>
      <c r="AA258" s="283">
        <f t="shared" si="171"/>
        <v>65545.247951331025</v>
      </c>
      <c r="AB258" s="283">
        <f t="shared" si="171"/>
        <v>64385.397048275008</v>
      </c>
      <c r="AC258" s="283">
        <f t="shared" si="171"/>
        <v>63231.921333898128</v>
      </c>
      <c r="AD258" s="283">
        <f t="shared" si="171"/>
        <v>62093.046800328084</v>
      </c>
      <c r="AE258" s="283">
        <f t="shared" si="171"/>
        <v>60968.77344756489</v>
      </c>
      <c r="AF258" s="283">
        <f t="shared" si="171"/>
        <v>59859.101275608562</v>
      </c>
      <c r="AG258" s="283">
        <f t="shared" si="171"/>
        <v>58764.030284459077</v>
      </c>
      <c r="AI258" s="216" t="s">
        <v>755</v>
      </c>
      <c r="AJ258" s="302"/>
    </row>
    <row r="259" spans="1:36" s="216" customFormat="1">
      <c r="A259" s="332" t="s">
        <v>724</v>
      </c>
      <c r="B259" s="333" t="s">
        <v>127</v>
      </c>
      <c r="C259" s="334">
        <f>C258</f>
        <v>83288.685423126662</v>
      </c>
      <c r="D259" s="334">
        <f t="shared" ref="D259:AG259" si="172">D258</f>
        <v>82894.04085143478</v>
      </c>
      <c r="E259" s="334">
        <f t="shared" si="172"/>
        <v>82499.081065627834</v>
      </c>
      <c r="F259" s="334">
        <f t="shared" si="172"/>
        <v>82103.806065705838</v>
      </c>
      <c r="G259" s="334">
        <f t="shared" si="172"/>
        <v>81708.215851668792</v>
      </c>
      <c r="H259" s="334">
        <f t="shared" si="172"/>
        <v>81312.310423516668</v>
      </c>
      <c r="I259" s="334">
        <f t="shared" si="172"/>
        <v>80665.669424157692</v>
      </c>
      <c r="J259" s="334">
        <f t="shared" si="172"/>
        <v>80016.394503673568</v>
      </c>
      <c r="K259" s="334">
        <f t="shared" si="172"/>
        <v>79364.485662064253</v>
      </c>
      <c r="L259" s="334">
        <f t="shared" si="172"/>
        <v>78709.942899329777</v>
      </c>
      <c r="M259" s="334">
        <f t="shared" si="172"/>
        <v>78052.766215470154</v>
      </c>
      <c r="N259" s="334">
        <f t="shared" si="172"/>
        <v>77365.886823508132</v>
      </c>
      <c r="O259" s="334">
        <f t="shared" si="172"/>
        <v>76685.359790834875</v>
      </c>
      <c r="P259" s="334">
        <f t="shared" si="172"/>
        <v>75797.686688464251</v>
      </c>
      <c r="Q259" s="334">
        <f t="shared" si="172"/>
        <v>74912.983111805035</v>
      </c>
      <c r="R259" s="334">
        <f t="shared" si="172"/>
        <v>74031.249060857255</v>
      </c>
      <c r="S259" s="334">
        <f t="shared" si="172"/>
        <v>73152.497167408947</v>
      </c>
      <c r="T259" s="334">
        <f t="shared" si="172"/>
        <v>72276.714911457806</v>
      </c>
      <c r="U259" s="334">
        <f t="shared" si="172"/>
        <v>71403.902293003805</v>
      </c>
      <c r="V259" s="334">
        <f t="shared" si="172"/>
        <v>70534.059312046971</v>
      </c>
      <c r="W259" s="334">
        <f t="shared" si="172"/>
        <v>69667.185968587277</v>
      </c>
      <c r="X259" s="334">
        <f t="shared" si="172"/>
        <v>68771.449203900964</v>
      </c>
      <c r="Y259" s="334">
        <f t="shared" si="172"/>
        <v>67908.964222738708</v>
      </c>
      <c r="Z259" s="334">
        <f t="shared" si="172"/>
        <v>66719.770342818927</v>
      </c>
      <c r="AA259" s="334">
        <f t="shared" si="172"/>
        <v>65545.247951331025</v>
      </c>
      <c r="AB259" s="334">
        <f t="shared" si="172"/>
        <v>64385.397048275008</v>
      </c>
      <c r="AC259" s="334">
        <f t="shared" si="172"/>
        <v>63231.921333898128</v>
      </c>
      <c r="AD259" s="334">
        <f t="shared" si="172"/>
        <v>62093.046800328084</v>
      </c>
      <c r="AE259" s="334">
        <f t="shared" si="172"/>
        <v>60968.77344756489</v>
      </c>
      <c r="AF259" s="334">
        <f t="shared" si="172"/>
        <v>59859.101275608562</v>
      </c>
      <c r="AG259" s="334">
        <f t="shared" si="172"/>
        <v>58764.030284459077</v>
      </c>
      <c r="AI259" s="216" t="s">
        <v>756</v>
      </c>
      <c r="AJ259" s="302"/>
    </row>
    <row r="260" spans="1:36" s="216" customFormat="1">
      <c r="A260" s="408"/>
      <c r="B260" s="409"/>
      <c r="C260" s="408"/>
      <c r="D260" s="408"/>
      <c r="E260" s="408"/>
      <c r="F260" s="408"/>
      <c r="G260" s="408"/>
      <c r="H260" s="408"/>
      <c r="I260" s="408"/>
      <c r="J260" s="408"/>
      <c r="K260" s="408"/>
      <c r="L260" s="408"/>
      <c r="M260" s="408"/>
      <c r="N260" s="408"/>
      <c r="O260" s="408"/>
      <c r="P260" s="408"/>
      <c r="Q260" s="408"/>
      <c r="R260" s="408"/>
      <c r="S260" s="408"/>
      <c r="T260" s="408"/>
      <c r="U260" s="408"/>
      <c r="V260" s="408"/>
      <c r="W260" s="408"/>
      <c r="X260" s="408"/>
      <c r="Y260" s="408"/>
      <c r="Z260" s="408"/>
      <c r="AA260" s="408"/>
      <c r="AB260" s="408"/>
      <c r="AC260" s="408"/>
      <c r="AD260" s="408"/>
      <c r="AE260" s="408"/>
      <c r="AF260" s="408"/>
      <c r="AG260" s="408"/>
      <c r="AJ260" s="302"/>
    </row>
    <row r="261" spans="1:36">
      <c r="B261" s="123"/>
      <c r="C261" s="216"/>
      <c r="D261" s="216"/>
      <c r="E261" s="216"/>
      <c r="F261" s="216"/>
      <c r="G261" s="216"/>
      <c r="H261" s="216"/>
      <c r="I261" s="216"/>
      <c r="J261" s="216"/>
      <c r="K261" s="216"/>
      <c r="L261" s="216"/>
      <c r="M261" s="216"/>
      <c r="N261" s="216"/>
      <c r="O261" s="216"/>
      <c r="P261" s="216"/>
      <c r="Q261" s="216"/>
      <c r="R261" s="216"/>
      <c r="S261" s="216"/>
      <c r="T261" s="216"/>
      <c r="U261" s="216"/>
      <c r="V261" s="216"/>
      <c r="W261" s="216"/>
      <c r="X261" s="216"/>
      <c r="Y261" s="216"/>
      <c r="Z261" s="216"/>
      <c r="AA261" s="216"/>
      <c r="AB261" s="216"/>
      <c r="AC261" s="216"/>
      <c r="AD261" s="216"/>
      <c r="AE261" s="216"/>
      <c r="AF261" s="216"/>
      <c r="AG261" s="216"/>
      <c r="AI261" s="22"/>
    </row>
    <row r="262" spans="1:36">
      <c r="B262" s="123"/>
      <c r="C262" s="216"/>
      <c r="D262" s="216"/>
      <c r="E262" s="216"/>
      <c r="F262" s="216"/>
      <c r="G262" s="216"/>
      <c r="H262" s="216"/>
      <c r="I262" s="216"/>
      <c r="J262" s="216"/>
      <c r="K262" s="216"/>
      <c r="L262" s="216"/>
      <c r="M262" s="216"/>
      <c r="N262" s="216"/>
      <c r="O262" s="216"/>
      <c r="P262" s="216"/>
      <c r="Q262" s="216"/>
      <c r="R262" s="216"/>
      <c r="S262" s="216"/>
      <c r="T262" s="216"/>
      <c r="U262" s="216"/>
      <c r="V262" s="216"/>
      <c r="W262" s="216"/>
      <c r="X262" s="216"/>
      <c r="Y262" s="216"/>
      <c r="Z262" s="216"/>
      <c r="AA262" s="216"/>
      <c r="AB262" s="216"/>
      <c r="AC262" s="216"/>
      <c r="AD262" s="216"/>
      <c r="AE262" s="216"/>
      <c r="AF262" s="216"/>
      <c r="AG262" s="216"/>
      <c r="AI262" s="201"/>
    </row>
  </sheetData>
  <mergeCells count="5">
    <mergeCell ref="BD83:BE83"/>
    <mergeCell ref="BD88:BE88"/>
    <mergeCell ref="BD93:BE93"/>
    <mergeCell ref="BD101:BE101"/>
    <mergeCell ref="AI229:AI237"/>
  </mergeCells>
  <hyperlinks>
    <hyperlink ref="AJ87" r:id="rId1" xr:uid="{81369AAE-59BD-4365-8598-F5C02CAB7FC6}"/>
  </hyperlinks>
  <pageMargins left="0.7" right="0.7" top="0.75" bottom="0.75" header="0.3" footer="0.3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22ECF-7E8F-4C61-8BE1-3057FBEBDEC7}">
  <sheetPr>
    <tabColor theme="4"/>
  </sheetPr>
  <dimension ref="A1:BL262"/>
  <sheetViews>
    <sheetView zoomScale="70" zoomScaleNormal="70" workbookViewId="0">
      <pane xSplit="2" ySplit="3" topLeftCell="M4" activePane="bottomRight" state="frozen"/>
      <selection pane="topRight" activeCell="C1" sqref="C1"/>
      <selection pane="bottomLeft" activeCell="A4" sqref="A4"/>
      <selection pane="bottomRight" activeCell="AJ156" sqref="AJ156:AJ160"/>
    </sheetView>
  </sheetViews>
  <sheetFormatPr defaultRowHeight="14.75" outlineLevelRow="2" outlineLevelCol="1"/>
  <cols>
    <col min="1" max="1" width="84.26953125" customWidth="1"/>
    <col min="2" max="2" width="15.36328125" style="51" bestFit="1" customWidth="1"/>
    <col min="3" max="3" width="11.453125" style="101" customWidth="1"/>
    <col min="4" max="12" width="8.81640625" style="101" hidden="1" customWidth="1" outlineLevel="1"/>
    <col min="13" max="13" width="10.36328125" style="101" customWidth="1" collapsed="1"/>
    <col min="14" max="22" width="8.81640625" style="101" hidden="1" customWidth="1" outlineLevel="1"/>
    <col min="23" max="23" width="10.36328125" style="101" bestFit="1" customWidth="1" collapsed="1"/>
    <col min="24" max="32" width="8.81640625" style="101" hidden="1" customWidth="1" outlineLevel="1"/>
    <col min="33" max="33" width="10.36328125" style="101" bestFit="1" customWidth="1" collapsed="1"/>
    <col min="35" max="35" width="52.81640625" bestFit="1" customWidth="1"/>
    <col min="36" max="36" width="30.36328125" style="3" customWidth="1"/>
    <col min="37" max="37" width="13.26953125" customWidth="1"/>
    <col min="38" max="38" width="20.36328125" bestFit="1" customWidth="1"/>
    <col min="41" max="41" width="17.81640625" customWidth="1"/>
    <col min="42" max="42" width="18.08984375" customWidth="1"/>
    <col min="44" max="44" width="10.36328125" customWidth="1"/>
    <col min="47" max="47" width="20.08984375" bestFit="1" customWidth="1"/>
    <col min="55" max="55" width="49" bestFit="1" customWidth="1"/>
    <col min="56" max="56" width="8.81640625" customWidth="1"/>
  </cols>
  <sheetData>
    <row r="1" spans="1:47">
      <c r="C1" s="113">
        <v>2020</v>
      </c>
      <c r="D1" s="113">
        <f>C1+1</f>
        <v>2021</v>
      </c>
      <c r="E1" s="113">
        <f t="shared" ref="E1:L1" si="0">D1+1</f>
        <v>2022</v>
      </c>
      <c r="F1" s="113">
        <f t="shared" si="0"/>
        <v>2023</v>
      </c>
      <c r="G1" s="113">
        <f t="shared" si="0"/>
        <v>2024</v>
      </c>
      <c r="H1" s="113">
        <f t="shared" si="0"/>
        <v>2025</v>
      </c>
      <c r="I1" s="113">
        <f t="shared" si="0"/>
        <v>2026</v>
      </c>
      <c r="J1" s="113">
        <f t="shared" si="0"/>
        <v>2027</v>
      </c>
      <c r="K1" s="113">
        <f t="shared" si="0"/>
        <v>2028</v>
      </c>
      <c r="L1" s="113">
        <f t="shared" si="0"/>
        <v>2029</v>
      </c>
      <c r="M1" s="113">
        <v>2030</v>
      </c>
      <c r="N1" s="113">
        <f>M1+1</f>
        <v>2031</v>
      </c>
      <c r="O1" s="113">
        <f t="shared" ref="O1:V1" si="1">N1+1</f>
        <v>2032</v>
      </c>
      <c r="P1" s="113">
        <f t="shared" si="1"/>
        <v>2033</v>
      </c>
      <c r="Q1" s="113">
        <f t="shared" si="1"/>
        <v>2034</v>
      </c>
      <c r="R1" s="113">
        <f t="shared" si="1"/>
        <v>2035</v>
      </c>
      <c r="S1" s="113">
        <f t="shared" si="1"/>
        <v>2036</v>
      </c>
      <c r="T1" s="113">
        <f t="shared" si="1"/>
        <v>2037</v>
      </c>
      <c r="U1" s="113">
        <f t="shared" si="1"/>
        <v>2038</v>
      </c>
      <c r="V1" s="113">
        <f t="shared" si="1"/>
        <v>2039</v>
      </c>
      <c r="W1" s="113">
        <v>2040</v>
      </c>
      <c r="X1" s="113">
        <f>W1+1</f>
        <v>2041</v>
      </c>
      <c r="Y1" s="113">
        <f t="shared" ref="Y1:AF1" si="2">X1+1</f>
        <v>2042</v>
      </c>
      <c r="Z1" s="113">
        <f t="shared" si="2"/>
        <v>2043</v>
      </c>
      <c r="AA1" s="113">
        <f t="shared" si="2"/>
        <v>2044</v>
      </c>
      <c r="AB1" s="113">
        <f t="shared" si="2"/>
        <v>2045</v>
      </c>
      <c r="AC1" s="113">
        <f t="shared" si="2"/>
        <v>2046</v>
      </c>
      <c r="AD1" s="113">
        <f t="shared" si="2"/>
        <v>2047</v>
      </c>
      <c r="AE1" s="113">
        <f t="shared" si="2"/>
        <v>2048</v>
      </c>
      <c r="AF1" s="113">
        <f t="shared" si="2"/>
        <v>2049</v>
      </c>
      <c r="AG1" s="113">
        <v>2050</v>
      </c>
      <c r="AI1" s="1" t="s">
        <v>67</v>
      </c>
      <c r="AJ1" s="151" t="s">
        <v>60</v>
      </c>
      <c r="AO1" s="1"/>
    </row>
    <row r="2" spans="1:47" ht="15.5" thickBot="1">
      <c r="A2" s="187" t="str">
        <f>'Ethylene Recycling HC'!A2</f>
        <v>Plastic waste generation</v>
      </c>
      <c r="B2" s="187" t="str">
        <f>'Ethylene Recycling HC'!B2</f>
        <v>mT</v>
      </c>
      <c r="C2" s="203">
        <f>'Ethylene Recycling HC'!C2</f>
        <v>5301378.929236711</v>
      </c>
      <c r="D2" s="203">
        <f>'Ethylene Recycling HC'!D2</f>
        <v>5301378.929236711</v>
      </c>
      <c r="E2" s="203">
        <f>'Ethylene Recycling HC'!E2</f>
        <v>5301378.929236711</v>
      </c>
      <c r="F2" s="203">
        <f>'Ethylene Recycling HC'!F2</f>
        <v>5301378.929236711</v>
      </c>
      <c r="G2" s="203">
        <f>'Ethylene Recycling HC'!G2</f>
        <v>5301378.929236711</v>
      </c>
      <c r="H2" s="203">
        <f>'Ethylene Recycling HC'!H2</f>
        <v>5301378.929236711</v>
      </c>
      <c r="I2" s="203">
        <f>'Ethylene Recycling HC'!I2</f>
        <v>5301378.929236711</v>
      </c>
      <c r="J2" s="203">
        <f>'Ethylene Recycling HC'!J2</f>
        <v>5301378.929236711</v>
      </c>
      <c r="K2" s="203">
        <f>'Ethylene Recycling HC'!K2</f>
        <v>5301378.929236711</v>
      </c>
      <c r="L2" s="203">
        <f>'Ethylene Recycling HC'!L2</f>
        <v>5301378.929236711</v>
      </c>
      <c r="M2" s="203">
        <f>'Ethylene Recycling HC'!M2</f>
        <v>5301378.929236711</v>
      </c>
      <c r="N2" s="203">
        <f>'Ethylene Recycling HC'!N2</f>
        <v>5301378.929236711</v>
      </c>
      <c r="O2" s="203">
        <f>'Ethylene Recycling HC'!O2</f>
        <v>5301378.929236711</v>
      </c>
      <c r="P2" s="203">
        <f>'Ethylene Recycling HC'!P2</f>
        <v>5301378.929236711</v>
      </c>
      <c r="Q2" s="203">
        <f>'Ethylene Recycling HC'!Q2</f>
        <v>5301378.929236711</v>
      </c>
      <c r="R2" s="203">
        <f>'Ethylene Recycling HC'!R2</f>
        <v>5301378.929236711</v>
      </c>
      <c r="S2" s="203">
        <f>'Ethylene Recycling HC'!S2</f>
        <v>5301378.929236711</v>
      </c>
      <c r="T2" s="203">
        <f>'Ethylene Recycling HC'!T2</f>
        <v>5301378.929236711</v>
      </c>
      <c r="U2" s="203">
        <f>'Ethylene Recycling HC'!U2</f>
        <v>5301378.929236711</v>
      </c>
      <c r="V2" s="203">
        <f>'Ethylene Recycling HC'!V2</f>
        <v>5301378.929236711</v>
      </c>
      <c r="W2" s="203">
        <f>'Ethylene Recycling HC'!W2</f>
        <v>5301378.929236711</v>
      </c>
      <c r="X2" s="203">
        <f>'Ethylene Recycling HC'!X2</f>
        <v>5301378.929236711</v>
      </c>
      <c r="Y2" s="203">
        <f>'Ethylene Recycling HC'!Y2</f>
        <v>5301378.929236711</v>
      </c>
      <c r="Z2" s="203">
        <f>'Ethylene Recycling HC'!Z2</f>
        <v>5301378.929236711</v>
      </c>
      <c r="AA2" s="203">
        <f>'Ethylene Recycling HC'!AA2</f>
        <v>5301378.929236711</v>
      </c>
      <c r="AB2" s="203">
        <f>'Ethylene Recycling HC'!AB2</f>
        <v>5301378.929236711</v>
      </c>
      <c r="AC2" s="203">
        <f>'Ethylene Recycling HC'!AC2</f>
        <v>5301378.929236711</v>
      </c>
      <c r="AD2" s="203">
        <f>'Ethylene Recycling HC'!AD2</f>
        <v>5301378.929236711</v>
      </c>
      <c r="AE2" s="203">
        <f>'Ethylene Recycling HC'!AE2</f>
        <v>5301378.929236711</v>
      </c>
      <c r="AF2" s="203">
        <f>'Ethylene Recycling HC'!AF2</f>
        <v>5301378.929236711</v>
      </c>
      <c r="AG2" s="203">
        <f>'Ethylene Recycling HC'!AG2</f>
        <v>5301378.929236711</v>
      </c>
      <c r="AH2" s="80"/>
      <c r="AI2" s="349">
        <f>(AG2/C2)^(1/30)-1</f>
        <v>0</v>
      </c>
      <c r="AJ2" s="199" t="s">
        <v>397</v>
      </c>
      <c r="AR2" s="1"/>
      <c r="AU2" s="22"/>
    </row>
    <row r="3" spans="1:47" ht="15.5" outlineLevel="1" thickTop="1">
      <c r="C3" s="105"/>
      <c r="D3" s="105"/>
      <c r="E3" s="105"/>
      <c r="F3" s="105"/>
      <c r="G3" s="105"/>
      <c r="H3" s="105"/>
      <c r="I3" s="105"/>
      <c r="J3" s="105"/>
      <c r="K3" s="105"/>
      <c r="L3" s="105"/>
      <c r="N3" s="105"/>
      <c r="O3" s="105"/>
      <c r="P3" s="105"/>
      <c r="Q3" s="105"/>
      <c r="R3" s="105"/>
      <c r="S3" s="105"/>
      <c r="T3" s="105"/>
      <c r="U3" s="105"/>
      <c r="V3" s="105"/>
      <c r="X3" s="105"/>
      <c r="Y3" s="105"/>
      <c r="Z3" s="105"/>
      <c r="AA3" s="105"/>
      <c r="AB3" s="105"/>
      <c r="AC3" s="105"/>
      <c r="AD3" s="105"/>
      <c r="AE3" s="105"/>
      <c r="AF3" s="105"/>
      <c r="AI3" s="52"/>
      <c r="AJ3" s="200"/>
    </row>
    <row r="4" spans="1:47" outlineLevel="1">
      <c r="A4" t="s">
        <v>401</v>
      </c>
      <c r="B4" s="51" t="s">
        <v>126</v>
      </c>
      <c r="C4" s="104">
        <f>'Waste gen. - Industry shares'!C18+'Waste gen. - Industry shares'!C22</f>
        <v>0.52761781690498222</v>
      </c>
      <c r="D4" s="22">
        <f>C4</f>
        <v>0.52761781690498222</v>
      </c>
      <c r="E4" s="22">
        <f t="shared" ref="E4:T8" si="3">D4</f>
        <v>0.52761781690498222</v>
      </c>
      <c r="F4" s="22">
        <f t="shared" si="3"/>
        <v>0.52761781690498222</v>
      </c>
      <c r="G4" s="22">
        <f t="shared" si="3"/>
        <v>0.52761781690498222</v>
      </c>
      <c r="H4" s="22">
        <f t="shared" si="3"/>
        <v>0.52761781690498222</v>
      </c>
      <c r="I4" s="22">
        <f t="shared" si="3"/>
        <v>0.52761781690498222</v>
      </c>
      <c r="J4" s="22">
        <f t="shared" si="3"/>
        <v>0.52761781690498222</v>
      </c>
      <c r="K4" s="22">
        <f t="shared" si="3"/>
        <v>0.52761781690498222</v>
      </c>
      <c r="L4" s="22">
        <f t="shared" si="3"/>
        <v>0.52761781690498222</v>
      </c>
      <c r="M4" s="22">
        <f t="shared" si="3"/>
        <v>0.52761781690498222</v>
      </c>
      <c r="N4" s="22">
        <f t="shared" si="3"/>
        <v>0.52761781690498222</v>
      </c>
      <c r="O4" s="22">
        <f t="shared" si="3"/>
        <v>0.52761781690498222</v>
      </c>
      <c r="P4" s="22">
        <f t="shared" si="3"/>
        <v>0.52761781690498222</v>
      </c>
      <c r="Q4" s="22">
        <f t="shared" si="3"/>
        <v>0.52761781690498222</v>
      </c>
      <c r="R4" s="22">
        <f t="shared" si="3"/>
        <v>0.52761781690498222</v>
      </c>
      <c r="S4" s="22">
        <f t="shared" si="3"/>
        <v>0.52761781690498222</v>
      </c>
      <c r="T4" s="22">
        <f t="shared" si="3"/>
        <v>0.52761781690498222</v>
      </c>
      <c r="U4" s="22">
        <f t="shared" ref="T4:AG8" si="4">T4</f>
        <v>0.52761781690498222</v>
      </c>
      <c r="V4" s="22">
        <f t="shared" si="4"/>
        <v>0.52761781690498222</v>
      </c>
      <c r="W4" s="22">
        <f t="shared" si="4"/>
        <v>0.52761781690498222</v>
      </c>
      <c r="X4" s="22">
        <f t="shared" si="4"/>
        <v>0.52761781690498222</v>
      </c>
      <c r="Y4" s="22">
        <f t="shared" si="4"/>
        <v>0.52761781690498222</v>
      </c>
      <c r="Z4" s="22">
        <f t="shared" si="4"/>
        <v>0.52761781690498222</v>
      </c>
      <c r="AA4" s="22">
        <f t="shared" si="4"/>
        <v>0.52761781690498222</v>
      </c>
      <c r="AB4" s="22">
        <f t="shared" si="4"/>
        <v>0.52761781690498222</v>
      </c>
      <c r="AC4" s="22">
        <f t="shared" si="4"/>
        <v>0.52761781690498222</v>
      </c>
      <c r="AD4" s="22">
        <f t="shared" si="4"/>
        <v>0.52761781690498222</v>
      </c>
      <c r="AE4" s="22">
        <f t="shared" si="4"/>
        <v>0.52761781690498222</v>
      </c>
      <c r="AF4" s="22">
        <f t="shared" si="4"/>
        <v>0.52761781690498222</v>
      </c>
      <c r="AG4" s="22">
        <f t="shared" si="4"/>
        <v>0.52761781690498222</v>
      </c>
      <c r="AI4" s="51" t="s">
        <v>268</v>
      </c>
      <c r="AJ4" s="198"/>
    </row>
    <row r="5" spans="1:47" outlineLevel="1">
      <c r="A5" t="s">
        <v>286</v>
      </c>
      <c r="B5" s="51" t="s">
        <v>126</v>
      </c>
      <c r="C5" s="104">
        <f>'Waste gen. - Industry shares'!C20</f>
        <v>4.980376521164729E-2</v>
      </c>
      <c r="D5" s="22">
        <f>C5</f>
        <v>4.980376521164729E-2</v>
      </c>
      <c r="E5" s="22">
        <f t="shared" si="3"/>
        <v>4.980376521164729E-2</v>
      </c>
      <c r="F5" s="22">
        <f t="shared" si="3"/>
        <v>4.980376521164729E-2</v>
      </c>
      <c r="G5" s="22">
        <f t="shared" si="3"/>
        <v>4.980376521164729E-2</v>
      </c>
      <c r="H5" s="22">
        <f t="shared" si="3"/>
        <v>4.980376521164729E-2</v>
      </c>
      <c r="I5" s="22">
        <f t="shared" si="3"/>
        <v>4.980376521164729E-2</v>
      </c>
      <c r="J5" s="22">
        <f t="shared" si="3"/>
        <v>4.980376521164729E-2</v>
      </c>
      <c r="K5" s="22">
        <f t="shared" si="3"/>
        <v>4.980376521164729E-2</v>
      </c>
      <c r="L5" s="22">
        <f t="shared" si="3"/>
        <v>4.980376521164729E-2</v>
      </c>
      <c r="M5" s="22">
        <f t="shared" si="3"/>
        <v>4.980376521164729E-2</v>
      </c>
      <c r="N5" s="22">
        <f t="shared" si="3"/>
        <v>4.980376521164729E-2</v>
      </c>
      <c r="O5" s="22">
        <f t="shared" si="3"/>
        <v>4.980376521164729E-2</v>
      </c>
      <c r="P5" s="22">
        <f t="shared" si="3"/>
        <v>4.980376521164729E-2</v>
      </c>
      <c r="Q5" s="22">
        <f t="shared" si="3"/>
        <v>4.980376521164729E-2</v>
      </c>
      <c r="R5" s="22">
        <f t="shared" si="3"/>
        <v>4.980376521164729E-2</v>
      </c>
      <c r="S5" s="22">
        <f t="shared" si="3"/>
        <v>4.980376521164729E-2</v>
      </c>
      <c r="T5" s="22">
        <f t="shared" si="4"/>
        <v>4.980376521164729E-2</v>
      </c>
      <c r="U5" s="22">
        <f t="shared" si="4"/>
        <v>4.980376521164729E-2</v>
      </c>
      <c r="V5" s="22">
        <f t="shared" si="4"/>
        <v>4.980376521164729E-2</v>
      </c>
      <c r="W5" s="22">
        <f t="shared" si="4"/>
        <v>4.980376521164729E-2</v>
      </c>
      <c r="X5" s="22">
        <f t="shared" si="4"/>
        <v>4.980376521164729E-2</v>
      </c>
      <c r="Y5" s="22">
        <f t="shared" si="4"/>
        <v>4.980376521164729E-2</v>
      </c>
      <c r="Z5" s="22">
        <f t="shared" si="4"/>
        <v>4.980376521164729E-2</v>
      </c>
      <c r="AA5" s="22">
        <f t="shared" si="4"/>
        <v>4.980376521164729E-2</v>
      </c>
      <c r="AB5" s="22">
        <f t="shared" si="4"/>
        <v>4.980376521164729E-2</v>
      </c>
      <c r="AC5" s="22">
        <f t="shared" si="4"/>
        <v>4.980376521164729E-2</v>
      </c>
      <c r="AD5" s="22">
        <f t="shared" si="4"/>
        <v>4.980376521164729E-2</v>
      </c>
      <c r="AE5" s="22">
        <f t="shared" si="4"/>
        <v>4.980376521164729E-2</v>
      </c>
      <c r="AF5" s="22">
        <f t="shared" si="4"/>
        <v>4.980376521164729E-2</v>
      </c>
      <c r="AG5" s="22">
        <f>AF5</f>
        <v>4.980376521164729E-2</v>
      </c>
      <c r="AI5" s="51" t="s">
        <v>268</v>
      </c>
      <c r="AJ5" s="198"/>
    </row>
    <row r="6" spans="1:47" outlineLevel="1">
      <c r="A6" t="s">
        <v>287</v>
      </c>
      <c r="B6" s="51" t="s">
        <v>126</v>
      </c>
      <c r="C6" s="104">
        <f>'Waste gen. - Industry shares'!C19</f>
        <v>3.9181884245312638E-2</v>
      </c>
      <c r="D6" s="22">
        <f t="shared" ref="D6:D7" si="5">C6</f>
        <v>3.9181884245312638E-2</v>
      </c>
      <c r="E6" s="22">
        <f t="shared" si="3"/>
        <v>3.9181884245312638E-2</v>
      </c>
      <c r="F6" s="22">
        <f t="shared" si="3"/>
        <v>3.9181884245312638E-2</v>
      </c>
      <c r="G6" s="22">
        <f t="shared" si="3"/>
        <v>3.9181884245312638E-2</v>
      </c>
      <c r="H6" s="22">
        <f t="shared" si="3"/>
        <v>3.9181884245312638E-2</v>
      </c>
      <c r="I6" s="22">
        <f t="shared" si="3"/>
        <v>3.9181884245312638E-2</v>
      </c>
      <c r="J6" s="22">
        <f t="shared" si="3"/>
        <v>3.9181884245312638E-2</v>
      </c>
      <c r="K6" s="22">
        <f t="shared" si="3"/>
        <v>3.9181884245312638E-2</v>
      </c>
      <c r="L6" s="22">
        <f t="shared" si="3"/>
        <v>3.9181884245312638E-2</v>
      </c>
      <c r="M6" s="22">
        <f t="shared" si="3"/>
        <v>3.9181884245312638E-2</v>
      </c>
      <c r="N6" s="22">
        <f t="shared" si="3"/>
        <v>3.9181884245312638E-2</v>
      </c>
      <c r="O6" s="22">
        <f t="shared" si="3"/>
        <v>3.9181884245312638E-2</v>
      </c>
      <c r="P6" s="22">
        <f t="shared" si="3"/>
        <v>3.9181884245312638E-2</v>
      </c>
      <c r="Q6" s="22">
        <f t="shared" si="3"/>
        <v>3.9181884245312638E-2</v>
      </c>
      <c r="R6" s="22">
        <f t="shared" si="3"/>
        <v>3.9181884245312638E-2</v>
      </c>
      <c r="S6" s="22">
        <f t="shared" si="3"/>
        <v>3.9181884245312638E-2</v>
      </c>
      <c r="T6" s="22">
        <f t="shared" si="3"/>
        <v>3.9181884245312638E-2</v>
      </c>
      <c r="U6" s="22">
        <f t="shared" si="4"/>
        <v>3.9181884245312638E-2</v>
      </c>
      <c r="V6" s="22">
        <f t="shared" si="4"/>
        <v>3.9181884245312638E-2</v>
      </c>
      <c r="W6" s="22">
        <f t="shared" si="4"/>
        <v>3.9181884245312638E-2</v>
      </c>
      <c r="X6" s="22">
        <f t="shared" si="4"/>
        <v>3.9181884245312638E-2</v>
      </c>
      <c r="Y6" s="22">
        <f t="shared" si="4"/>
        <v>3.9181884245312638E-2</v>
      </c>
      <c r="Z6" s="22">
        <f t="shared" si="4"/>
        <v>3.9181884245312638E-2</v>
      </c>
      <c r="AA6" s="22">
        <f t="shared" si="4"/>
        <v>3.9181884245312638E-2</v>
      </c>
      <c r="AB6" s="22">
        <f t="shared" si="4"/>
        <v>3.9181884245312638E-2</v>
      </c>
      <c r="AC6" s="22">
        <f t="shared" si="4"/>
        <v>3.9181884245312638E-2</v>
      </c>
      <c r="AD6" s="22">
        <f t="shared" si="4"/>
        <v>3.9181884245312638E-2</v>
      </c>
      <c r="AE6" s="22">
        <f t="shared" si="4"/>
        <v>3.9181884245312638E-2</v>
      </c>
      <c r="AF6" s="22">
        <f t="shared" si="4"/>
        <v>3.9181884245312638E-2</v>
      </c>
      <c r="AG6" s="22">
        <f t="shared" si="4"/>
        <v>3.9181884245312638E-2</v>
      </c>
      <c r="AI6" s="51" t="s">
        <v>268</v>
      </c>
      <c r="AJ6" s="198"/>
      <c r="AR6" s="22"/>
    </row>
    <row r="7" spans="1:47" outlineLevel="1">
      <c r="A7" t="s">
        <v>410</v>
      </c>
      <c r="B7" s="51" t="s">
        <v>126</v>
      </c>
      <c r="C7" s="104">
        <f>'Waste gen. - Industry shares'!C23</f>
        <v>0.1</v>
      </c>
      <c r="D7" s="22">
        <f t="shared" si="5"/>
        <v>0.1</v>
      </c>
      <c r="E7" s="22">
        <f t="shared" si="3"/>
        <v>0.1</v>
      </c>
      <c r="F7" s="22">
        <f t="shared" si="3"/>
        <v>0.1</v>
      </c>
      <c r="G7" s="22">
        <f t="shared" si="3"/>
        <v>0.1</v>
      </c>
      <c r="H7" s="22">
        <f t="shared" si="3"/>
        <v>0.1</v>
      </c>
      <c r="I7" s="22">
        <f t="shared" si="3"/>
        <v>0.1</v>
      </c>
      <c r="J7" s="22">
        <f t="shared" si="3"/>
        <v>0.1</v>
      </c>
      <c r="K7" s="22">
        <f t="shared" si="3"/>
        <v>0.1</v>
      </c>
      <c r="L7" s="22">
        <f t="shared" si="3"/>
        <v>0.1</v>
      </c>
      <c r="M7" s="22">
        <f>L7</f>
        <v>0.1</v>
      </c>
      <c r="N7" s="22">
        <f t="shared" si="3"/>
        <v>0.1</v>
      </c>
      <c r="O7" s="22">
        <f t="shared" si="3"/>
        <v>0.1</v>
      </c>
      <c r="P7" s="22">
        <f t="shared" si="3"/>
        <v>0.1</v>
      </c>
      <c r="Q7" s="22">
        <f t="shared" si="3"/>
        <v>0.1</v>
      </c>
      <c r="R7" s="22">
        <f t="shared" si="3"/>
        <v>0.1</v>
      </c>
      <c r="S7" s="22">
        <f t="shared" si="3"/>
        <v>0.1</v>
      </c>
      <c r="T7" s="22">
        <f t="shared" si="3"/>
        <v>0.1</v>
      </c>
      <c r="U7" s="22">
        <f t="shared" si="4"/>
        <v>0.1</v>
      </c>
      <c r="V7" s="22">
        <f t="shared" si="4"/>
        <v>0.1</v>
      </c>
      <c r="W7" s="22">
        <f t="shared" si="4"/>
        <v>0.1</v>
      </c>
      <c r="X7" s="22">
        <f t="shared" si="4"/>
        <v>0.1</v>
      </c>
      <c r="Y7" s="22">
        <f t="shared" si="4"/>
        <v>0.1</v>
      </c>
      <c r="Z7" s="22">
        <f t="shared" si="4"/>
        <v>0.1</v>
      </c>
      <c r="AA7" s="22">
        <f t="shared" si="4"/>
        <v>0.1</v>
      </c>
      <c r="AB7" s="22">
        <f t="shared" si="4"/>
        <v>0.1</v>
      </c>
      <c r="AC7" s="22">
        <f t="shared" si="4"/>
        <v>0.1</v>
      </c>
      <c r="AD7" s="22">
        <f t="shared" si="4"/>
        <v>0.1</v>
      </c>
      <c r="AE7" s="22">
        <f t="shared" si="4"/>
        <v>0.1</v>
      </c>
      <c r="AF7" s="22">
        <f t="shared" si="4"/>
        <v>0.1</v>
      </c>
      <c r="AG7" s="22">
        <f t="shared" si="4"/>
        <v>0.1</v>
      </c>
      <c r="AI7" s="51" t="s">
        <v>268</v>
      </c>
      <c r="AJ7" s="198"/>
    </row>
    <row r="8" spans="1:47" outlineLevel="1">
      <c r="A8" t="s">
        <v>402</v>
      </c>
      <c r="B8" s="51" t="s">
        <v>126</v>
      </c>
      <c r="C8" s="104">
        <f>'Waste gen. - Industry shares'!C24+'Waste gen. - Industry shares'!C21</f>
        <v>0.28429743453895867</v>
      </c>
      <c r="D8" s="119">
        <f>C8</f>
        <v>0.28429743453895867</v>
      </c>
      <c r="E8" s="119">
        <f t="shared" si="3"/>
        <v>0.28429743453895867</v>
      </c>
      <c r="F8" s="119">
        <f t="shared" si="3"/>
        <v>0.28429743453895867</v>
      </c>
      <c r="G8" s="119">
        <f t="shared" si="3"/>
        <v>0.28429743453895867</v>
      </c>
      <c r="H8" s="119">
        <f t="shared" si="3"/>
        <v>0.28429743453895867</v>
      </c>
      <c r="I8" s="119">
        <f t="shared" si="3"/>
        <v>0.28429743453895867</v>
      </c>
      <c r="J8" s="119">
        <f t="shared" si="3"/>
        <v>0.28429743453895867</v>
      </c>
      <c r="K8" s="119">
        <f t="shared" si="3"/>
        <v>0.28429743453895867</v>
      </c>
      <c r="L8" s="119">
        <f t="shared" si="3"/>
        <v>0.28429743453895867</v>
      </c>
      <c r="M8" s="121">
        <f t="shared" si="3"/>
        <v>0.28429743453895867</v>
      </c>
      <c r="N8" s="121">
        <f t="shared" si="3"/>
        <v>0.28429743453895867</v>
      </c>
      <c r="O8" s="121">
        <f t="shared" si="3"/>
        <v>0.28429743453895867</v>
      </c>
      <c r="P8" s="121">
        <f t="shared" si="3"/>
        <v>0.28429743453895867</v>
      </c>
      <c r="Q8" s="121">
        <f t="shared" si="3"/>
        <v>0.28429743453895867</v>
      </c>
      <c r="R8" s="121">
        <f t="shared" si="3"/>
        <v>0.28429743453895867</v>
      </c>
      <c r="S8" s="121">
        <f t="shared" si="3"/>
        <v>0.28429743453895867</v>
      </c>
      <c r="T8" s="121">
        <f t="shared" si="3"/>
        <v>0.28429743453895867</v>
      </c>
      <c r="U8" s="121">
        <f t="shared" si="4"/>
        <v>0.28429743453895867</v>
      </c>
      <c r="V8" s="121">
        <f t="shared" si="4"/>
        <v>0.28429743453895867</v>
      </c>
      <c r="W8" s="121">
        <f t="shared" si="4"/>
        <v>0.28429743453895867</v>
      </c>
      <c r="X8" s="121">
        <f t="shared" si="4"/>
        <v>0.28429743453895867</v>
      </c>
      <c r="Y8" s="121">
        <f t="shared" si="4"/>
        <v>0.28429743453895867</v>
      </c>
      <c r="Z8" s="121">
        <f t="shared" si="4"/>
        <v>0.28429743453895867</v>
      </c>
      <c r="AA8" s="121">
        <f t="shared" si="4"/>
        <v>0.28429743453895867</v>
      </c>
      <c r="AB8" s="121">
        <f t="shared" si="4"/>
        <v>0.28429743453895867</v>
      </c>
      <c r="AC8" s="121">
        <f t="shared" si="4"/>
        <v>0.28429743453895867</v>
      </c>
      <c r="AD8" s="121">
        <f t="shared" si="4"/>
        <v>0.28429743453895867</v>
      </c>
      <c r="AE8" s="121">
        <f t="shared" si="4"/>
        <v>0.28429743453895867</v>
      </c>
      <c r="AF8" s="121">
        <f t="shared" si="4"/>
        <v>0.28429743453895867</v>
      </c>
      <c r="AG8" s="121">
        <f t="shared" si="4"/>
        <v>0.28429743453895867</v>
      </c>
      <c r="AI8" s="51" t="s">
        <v>268</v>
      </c>
      <c r="AJ8" s="198"/>
    </row>
    <row r="9" spans="1:47" ht="15.5" outlineLevel="1" thickBot="1">
      <c r="A9" s="182" t="s">
        <v>433</v>
      </c>
      <c r="B9" s="183"/>
      <c r="C9" s="184">
        <f>SUM(C4:C8)</f>
        <v>1.0009009009009009</v>
      </c>
      <c r="D9" s="184">
        <f t="shared" ref="D9:AG9" si="6">SUM(D4:D8)</f>
        <v>1.0009009009009009</v>
      </c>
      <c r="E9" s="184">
        <f t="shared" si="6"/>
        <v>1.0009009009009009</v>
      </c>
      <c r="F9" s="184">
        <f t="shared" si="6"/>
        <v>1.0009009009009009</v>
      </c>
      <c r="G9" s="184">
        <f t="shared" si="6"/>
        <v>1.0009009009009009</v>
      </c>
      <c r="H9" s="184">
        <f t="shared" si="6"/>
        <v>1.0009009009009009</v>
      </c>
      <c r="I9" s="184">
        <f t="shared" si="6"/>
        <v>1.0009009009009009</v>
      </c>
      <c r="J9" s="184">
        <f t="shared" si="6"/>
        <v>1.0009009009009009</v>
      </c>
      <c r="K9" s="184">
        <f t="shared" si="6"/>
        <v>1.0009009009009009</v>
      </c>
      <c r="L9" s="184">
        <f t="shared" si="6"/>
        <v>1.0009009009009009</v>
      </c>
      <c r="M9" s="184">
        <f t="shared" si="6"/>
        <v>1.0009009009009009</v>
      </c>
      <c r="N9" s="184">
        <f t="shared" si="6"/>
        <v>1.0009009009009009</v>
      </c>
      <c r="O9" s="184">
        <f t="shared" si="6"/>
        <v>1.0009009009009009</v>
      </c>
      <c r="P9" s="184">
        <f t="shared" si="6"/>
        <v>1.0009009009009009</v>
      </c>
      <c r="Q9" s="184">
        <f t="shared" si="6"/>
        <v>1.0009009009009009</v>
      </c>
      <c r="R9" s="184">
        <f t="shared" si="6"/>
        <v>1.0009009009009009</v>
      </c>
      <c r="S9" s="184">
        <f t="shared" si="6"/>
        <v>1.0009009009009009</v>
      </c>
      <c r="T9" s="184">
        <f t="shared" si="6"/>
        <v>1.0009009009009009</v>
      </c>
      <c r="U9" s="184">
        <f t="shared" si="6"/>
        <v>1.0009009009009009</v>
      </c>
      <c r="V9" s="184">
        <f t="shared" si="6"/>
        <v>1.0009009009009009</v>
      </c>
      <c r="W9" s="184">
        <f t="shared" si="6"/>
        <v>1.0009009009009009</v>
      </c>
      <c r="X9" s="184">
        <f t="shared" si="6"/>
        <v>1.0009009009009009</v>
      </c>
      <c r="Y9" s="184">
        <f t="shared" si="6"/>
        <v>1.0009009009009009</v>
      </c>
      <c r="Z9" s="184">
        <f t="shared" si="6"/>
        <v>1.0009009009009009</v>
      </c>
      <c r="AA9" s="184">
        <f t="shared" si="6"/>
        <v>1.0009009009009009</v>
      </c>
      <c r="AB9" s="184">
        <f t="shared" si="6"/>
        <v>1.0009009009009009</v>
      </c>
      <c r="AC9" s="184">
        <f t="shared" si="6"/>
        <v>1.0009009009009009</v>
      </c>
      <c r="AD9" s="184">
        <f t="shared" si="6"/>
        <v>1.0009009009009009</v>
      </c>
      <c r="AE9" s="184">
        <f t="shared" si="6"/>
        <v>1.0009009009009009</v>
      </c>
      <c r="AF9" s="184">
        <f t="shared" si="6"/>
        <v>1.0009009009009009</v>
      </c>
      <c r="AG9" s="184">
        <f t="shared" si="6"/>
        <v>1.0009009009009009</v>
      </c>
      <c r="AM9" s="24"/>
      <c r="AN9" s="2"/>
      <c r="AO9" s="24"/>
      <c r="AR9" s="2"/>
    </row>
    <row r="10" spans="1:47" ht="15.5" outlineLevel="1" thickTop="1">
      <c r="AM10" s="24"/>
      <c r="AN10" s="2"/>
      <c r="AO10" s="24"/>
      <c r="AR10" s="2"/>
    </row>
    <row r="11" spans="1:47" outlineLevel="1">
      <c r="A11" t="s">
        <v>413</v>
      </c>
      <c r="B11" s="51" t="s">
        <v>296</v>
      </c>
      <c r="C11" s="101">
        <f t="shared" ref="C11:AG15" si="7">C$2*C4</f>
        <v>2797101.9772299458</v>
      </c>
      <c r="D11" s="101">
        <f t="shared" si="7"/>
        <v>2797101.9772299458</v>
      </c>
      <c r="E11" s="101">
        <f t="shared" si="7"/>
        <v>2797101.9772299458</v>
      </c>
      <c r="F11" s="101">
        <f t="shared" si="7"/>
        <v>2797101.9772299458</v>
      </c>
      <c r="G11" s="101">
        <f t="shared" si="7"/>
        <v>2797101.9772299458</v>
      </c>
      <c r="H11" s="101">
        <f t="shared" si="7"/>
        <v>2797101.9772299458</v>
      </c>
      <c r="I11" s="101">
        <f t="shared" si="7"/>
        <v>2797101.9772299458</v>
      </c>
      <c r="J11" s="101">
        <f t="shared" si="7"/>
        <v>2797101.9772299458</v>
      </c>
      <c r="K11" s="101">
        <f t="shared" si="7"/>
        <v>2797101.9772299458</v>
      </c>
      <c r="L11" s="101">
        <f t="shared" si="7"/>
        <v>2797101.9772299458</v>
      </c>
      <c r="M11" s="101">
        <f t="shared" si="7"/>
        <v>2797101.9772299458</v>
      </c>
      <c r="N11" s="101">
        <f t="shared" si="7"/>
        <v>2797101.9772299458</v>
      </c>
      <c r="O11" s="101">
        <f t="shared" si="7"/>
        <v>2797101.9772299458</v>
      </c>
      <c r="P11" s="101">
        <f t="shared" si="7"/>
        <v>2797101.9772299458</v>
      </c>
      <c r="Q11" s="101">
        <f t="shared" si="7"/>
        <v>2797101.9772299458</v>
      </c>
      <c r="R11" s="101">
        <f t="shared" si="7"/>
        <v>2797101.9772299458</v>
      </c>
      <c r="S11" s="101">
        <f t="shared" si="7"/>
        <v>2797101.9772299458</v>
      </c>
      <c r="T11" s="101">
        <f t="shared" si="7"/>
        <v>2797101.9772299458</v>
      </c>
      <c r="U11" s="101">
        <f t="shared" si="7"/>
        <v>2797101.9772299458</v>
      </c>
      <c r="V11" s="101">
        <f t="shared" si="7"/>
        <v>2797101.9772299458</v>
      </c>
      <c r="W11" s="101">
        <f t="shared" si="7"/>
        <v>2797101.9772299458</v>
      </c>
      <c r="X11" s="101">
        <f t="shared" si="7"/>
        <v>2797101.9772299458</v>
      </c>
      <c r="Y11" s="101">
        <f t="shared" si="7"/>
        <v>2797101.9772299458</v>
      </c>
      <c r="Z11" s="101">
        <f t="shared" si="7"/>
        <v>2797101.9772299458</v>
      </c>
      <c r="AA11" s="101">
        <f t="shared" si="7"/>
        <v>2797101.9772299458</v>
      </c>
      <c r="AB11" s="101">
        <f t="shared" si="7"/>
        <v>2797101.9772299458</v>
      </c>
      <c r="AC11" s="101">
        <f t="shared" si="7"/>
        <v>2797101.9772299458</v>
      </c>
      <c r="AD11" s="101">
        <f t="shared" si="7"/>
        <v>2797101.9772299458</v>
      </c>
      <c r="AE11" s="101">
        <f t="shared" si="7"/>
        <v>2797101.9772299458</v>
      </c>
      <c r="AF11" s="101">
        <f t="shared" si="7"/>
        <v>2797101.9772299458</v>
      </c>
      <c r="AG11" s="101">
        <f t="shared" si="7"/>
        <v>2797101.9772299458</v>
      </c>
      <c r="AM11" s="24"/>
      <c r="AN11" s="2"/>
      <c r="AO11" s="24"/>
      <c r="AR11" s="2"/>
    </row>
    <row r="12" spans="1:47" outlineLevel="1">
      <c r="A12" t="s">
        <v>269</v>
      </c>
      <c r="B12" s="51" t="s">
        <v>296</v>
      </c>
      <c r="C12" s="101">
        <f t="shared" si="7"/>
        <v>264028.63148967928</v>
      </c>
      <c r="D12" s="101">
        <f t="shared" si="7"/>
        <v>264028.63148967928</v>
      </c>
      <c r="E12" s="101">
        <f t="shared" si="7"/>
        <v>264028.63148967928</v>
      </c>
      <c r="F12" s="101">
        <f t="shared" si="7"/>
        <v>264028.63148967928</v>
      </c>
      <c r="G12" s="101">
        <f t="shared" si="7"/>
        <v>264028.63148967928</v>
      </c>
      <c r="H12" s="101">
        <f t="shared" si="7"/>
        <v>264028.63148967928</v>
      </c>
      <c r="I12" s="101">
        <f t="shared" si="7"/>
        <v>264028.63148967928</v>
      </c>
      <c r="J12" s="101">
        <f t="shared" si="7"/>
        <v>264028.63148967928</v>
      </c>
      <c r="K12" s="101">
        <f t="shared" si="7"/>
        <v>264028.63148967928</v>
      </c>
      <c r="L12" s="101">
        <f t="shared" si="7"/>
        <v>264028.63148967928</v>
      </c>
      <c r="M12" s="101">
        <f t="shared" si="7"/>
        <v>264028.63148967928</v>
      </c>
      <c r="N12" s="101">
        <f t="shared" si="7"/>
        <v>264028.63148967928</v>
      </c>
      <c r="O12" s="101">
        <f t="shared" si="7"/>
        <v>264028.63148967928</v>
      </c>
      <c r="P12" s="101">
        <f t="shared" si="7"/>
        <v>264028.63148967928</v>
      </c>
      <c r="Q12" s="101">
        <f t="shared" si="7"/>
        <v>264028.63148967928</v>
      </c>
      <c r="R12" s="101">
        <f t="shared" si="7"/>
        <v>264028.63148967928</v>
      </c>
      <c r="S12" s="101">
        <f t="shared" si="7"/>
        <v>264028.63148967928</v>
      </c>
      <c r="T12" s="101">
        <f t="shared" si="7"/>
        <v>264028.63148967928</v>
      </c>
      <c r="U12" s="101">
        <f t="shared" si="7"/>
        <v>264028.63148967928</v>
      </c>
      <c r="V12" s="101">
        <f t="shared" si="7"/>
        <v>264028.63148967928</v>
      </c>
      <c r="W12" s="101">
        <f t="shared" si="7"/>
        <v>264028.63148967928</v>
      </c>
      <c r="X12" s="101">
        <f t="shared" si="7"/>
        <v>264028.63148967928</v>
      </c>
      <c r="Y12" s="101">
        <f t="shared" si="7"/>
        <v>264028.63148967928</v>
      </c>
      <c r="Z12" s="101">
        <f t="shared" si="7"/>
        <v>264028.63148967928</v>
      </c>
      <c r="AA12" s="101">
        <f t="shared" si="7"/>
        <v>264028.63148967928</v>
      </c>
      <c r="AB12" s="101">
        <f t="shared" si="7"/>
        <v>264028.63148967928</v>
      </c>
      <c r="AC12" s="101">
        <f t="shared" si="7"/>
        <v>264028.63148967928</v>
      </c>
      <c r="AD12" s="101">
        <f t="shared" si="7"/>
        <v>264028.63148967928</v>
      </c>
      <c r="AE12" s="101">
        <f t="shared" si="7"/>
        <v>264028.63148967928</v>
      </c>
      <c r="AF12" s="101">
        <f t="shared" si="7"/>
        <v>264028.63148967928</v>
      </c>
      <c r="AG12" s="101">
        <f t="shared" si="7"/>
        <v>264028.63148967928</v>
      </c>
      <c r="AM12" s="24"/>
      <c r="AN12" s="2"/>
      <c r="AO12" s="24"/>
      <c r="AR12" s="2"/>
    </row>
    <row r="13" spans="1:47" outlineLevel="1">
      <c r="A13" t="s">
        <v>270</v>
      </c>
      <c r="B13" s="51" t="s">
        <v>296</v>
      </c>
      <c r="C13" s="101">
        <f t="shared" si="7"/>
        <v>207718.01554589227</v>
      </c>
      <c r="D13" s="101">
        <f t="shared" si="7"/>
        <v>207718.01554589227</v>
      </c>
      <c r="E13" s="101">
        <f t="shared" si="7"/>
        <v>207718.01554589227</v>
      </c>
      <c r="F13" s="101">
        <f t="shared" si="7"/>
        <v>207718.01554589227</v>
      </c>
      <c r="G13" s="101">
        <f t="shared" si="7"/>
        <v>207718.01554589227</v>
      </c>
      <c r="H13" s="101">
        <f t="shared" si="7"/>
        <v>207718.01554589227</v>
      </c>
      <c r="I13" s="101">
        <f t="shared" si="7"/>
        <v>207718.01554589227</v>
      </c>
      <c r="J13" s="101">
        <f t="shared" si="7"/>
        <v>207718.01554589227</v>
      </c>
      <c r="K13" s="101">
        <f t="shared" si="7"/>
        <v>207718.01554589227</v>
      </c>
      <c r="L13" s="101">
        <f t="shared" si="7"/>
        <v>207718.01554589227</v>
      </c>
      <c r="M13" s="101">
        <f t="shared" si="7"/>
        <v>207718.01554589227</v>
      </c>
      <c r="N13" s="101">
        <f t="shared" si="7"/>
        <v>207718.01554589227</v>
      </c>
      <c r="O13" s="101">
        <f t="shared" si="7"/>
        <v>207718.01554589227</v>
      </c>
      <c r="P13" s="101">
        <f t="shared" si="7"/>
        <v>207718.01554589227</v>
      </c>
      <c r="Q13" s="101">
        <f t="shared" si="7"/>
        <v>207718.01554589227</v>
      </c>
      <c r="R13" s="101">
        <f t="shared" si="7"/>
        <v>207718.01554589227</v>
      </c>
      <c r="S13" s="101">
        <f t="shared" si="7"/>
        <v>207718.01554589227</v>
      </c>
      <c r="T13" s="101">
        <f t="shared" si="7"/>
        <v>207718.01554589227</v>
      </c>
      <c r="U13" s="101">
        <f t="shared" si="7"/>
        <v>207718.01554589227</v>
      </c>
      <c r="V13" s="101">
        <f t="shared" si="7"/>
        <v>207718.01554589227</v>
      </c>
      <c r="W13" s="101">
        <f t="shared" si="7"/>
        <v>207718.01554589227</v>
      </c>
      <c r="X13" s="101">
        <f t="shared" si="7"/>
        <v>207718.01554589227</v>
      </c>
      <c r="Y13" s="101">
        <f t="shared" si="7"/>
        <v>207718.01554589227</v>
      </c>
      <c r="Z13" s="101">
        <f t="shared" si="7"/>
        <v>207718.01554589227</v>
      </c>
      <c r="AA13" s="101">
        <f t="shared" si="7"/>
        <v>207718.01554589227</v>
      </c>
      <c r="AB13" s="101">
        <f t="shared" si="7"/>
        <v>207718.01554589227</v>
      </c>
      <c r="AC13" s="101">
        <f t="shared" si="7"/>
        <v>207718.01554589227</v>
      </c>
      <c r="AD13" s="101">
        <f t="shared" si="7"/>
        <v>207718.01554589227</v>
      </c>
      <c r="AE13" s="101">
        <f t="shared" si="7"/>
        <v>207718.01554589227</v>
      </c>
      <c r="AF13" s="101">
        <f t="shared" si="7"/>
        <v>207718.01554589227</v>
      </c>
      <c r="AG13" s="101">
        <f t="shared" si="7"/>
        <v>207718.01554589227</v>
      </c>
      <c r="AM13" s="24"/>
      <c r="AN13" s="2"/>
      <c r="AO13" s="24"/>
      <c r="AR13" s="2"/>
    </row>
    <row r="14" spans="1:47" outlineLevel="1">
      <c r="A14" t="s">
        <v>411</v>
      </c>
      <c r="B14" s="51" t="s">
        <v>296</v>
      </c>
      <c r="C14" s="101">
        <f t="shared" si="7"/>
        <v>530137.89292367117</v>
      </c>
      <c r="D14" s="101">
        <f t="shared" si="7"/>
        <v>530137.89292367117</v>
      </c>
      <c r="E14" s="101">
        <f t="shared" si="7"/>
        <v>530137.89292367117</v>
      </c>
      <c r="F14" s="101">
        <f t="shared" si="7"/>
        <v>530137.89292367117</v>
      </c>
      <c r="G14" s="101">
        <f t="shared" si="7"/>
        <v>530137.89292367117</v>
      </c>
      <c r="H14" s="101">
        <f t="shared" si="7"/>
        <v>530137.89292367117</v>
      </c>
      <c r="I14" s="101">
        <f t="shared" si="7"/>
        <v>530137.89292367117</v>
      </c>
      <c r="J14" s="101">
        <f t="shared" si="7"/>
        <v>530137.89292367117</v>
      </c>
      <c r="K14" s="101">
        <f t="shared" si="7"/>
        <v>530137.89292367117</v>
      </c>
      <c r="L14" s="101">
        <f t="shared" si="7"/>
        <v>530137.89292367117</v>
      </c>
      <c r="M14" s="101">
        <f t="shared" si="7"/>
        <v>530137.89292367117</v>
      </c>
      <c r="N14" s="101">
        <f t="shared" si="7"/>
        <v>530137.89292367117</v>
      </c>
      <c r="O14" s="101">
        <f t="shared" si="7"/>
        <v>530137.89292367117</v>
      </c>
      <c r="P14" s="101">
        <f t="shared" si="7"/>
        <v>530137.89292367117</v>
      </c>
      <c r="Q14" s="101">
        <f t="shared" si="7"/>
        <v>530137.89292367117</v>
      </c>
      <c r="R14" s="101">
        <f t="shared" si="7"/>
        <v>530137.89292367117</v>
      </c>
      <c r="S14" s="101">
        <f t="shared" si="7"/>
        <v>530137.89292367117</v>
      </c>
      <c r="T14" s="101">
        <f t="shared" si="7"/>
        <v>530137.89292367117</v>
      </c>
      <c r="U14" s="101">
        <f t="shared" si="7"/>
        <v>530137.89292367117</v>
      </c>
      <c r="V14" s="101">
        <f t="shared" si="7"/>
        <v>530137.89292367117</v>
      </c>
      <c r="W14" s="101">
        <f t="shared" si="7"/>
        <v>530137.89292367117</v>
      </c>
      <c r="X14" s="101">
        <f t="shared" si="7"/>
        <v>530137.89292367117</v>
      </c>
      <c r="Y14" s="101">
        <f t="shared" si="7"/>
        <v>530137.89292367117</v>
      </c>
      <c r="Z14" s="101">
        <f t="shared" si="7"/>
        <v>530137.89292367117</v>
      </c>
      <c r="AA14" s="101">
        <f t="shared" si="7"/>
        <v>530137.89292367117</v>
      </c>
      <c r="AB14" s="101">
        <f t="shared" si="7"/>
        <v>530137.89292367117</v>
      </c>
      <c r="AC14" s="101">
        <f t="shared" si="7"/>
        <v>530137.89292367117</v>
      </c>
      <c r="AD14" s="101">
        <f t="shared" si="7"/>
        <v>530137.89292367117</v>
      </c>
      <c r="AE14" s="101">
        <f t="shared" si="7"/>
        <v>530137.89292367117</v>
      </c>
      <c r="AF14" s="101">
        <f t="shared" si="7"/>
        <v>530137.89292367117</v>
      </c>
      <c r="AG14" s="101">
        <f t="shared" si="7"/>
        <v>530137.89292367117</v>
      </c>
      <c r="AM14" s="24"/>
      <c r="AN14" s="2"/>
      <c r="AO14" s="24"/>
      <c r="AR14" s="2"/>
    </row>
    <row r="15" spans="1:47" outlineLevel="1">
      <c r="A15" t="s">
        <v>271</v>
      </c>
      <c r="B15" s="51" t="s">
        <v>296</v>
      </c>
      <c r="C15" s="122">
        <f t="shared" si="7"/>
        <v>1507168.4291008885</v>
      </c>
      <c r="D15" s="122">
        <f t="shared" si="7"/>
        <v>1507168.4291008885</v>
      </c>
      <c r="E15" s="122">
        <f t="shared" si="7"/>
        <v>1507168.4291008885</v>
      </c>
      <c r="F15" s="122">
        <f t="shared" si="7"/>
        <v>1507168.4291008885</v>
      </c>
      <c r="G15" s="122">
        <f t="shared" si="7"/>
        <v>1507168.4291008885</v>
      </c>
      <c r="H15" s="122">
        <f t="shared" si="7"/>
        <v>1507168.4291008885</v>
      </c>
      <c r="I15" s="122">
        <f t="shared" si="7"/>
        <v>1507168.4291008885</v>
      </c>
      <c r="J15" s="122">
        <f t="shared" si="7"/>
        <v>1507168.4291008885</v>
      </c>
      <c r="K15" s="122">
        <f t="shared" si="7"/>
        <v>1507168.4291008885</v>
      </c>
      <c r="L15" s="122">
        <f t="shared" si="7"/>
        <v>1507168.4291008885</v>
      </c>
      <c r="M15" s="122">
        <f t="shared" si="7"/>
        <v>1507168.4291008885</v>
      </c>
      <c r="N15" s="122">
        <f t="shared" si="7"/>
        <v>1507168.4291008885</v>
      </c>
      <c r="O15" s="122">
        <f t="shared" si="7"/>
        <v>1507168.4291008885</v>
      </c>
      <c r="P15" s="122">
        <f t="shared" si="7"/>
        <v>1507168.4291008885</v>
      </c>
      <c r="Q15" s="122">
        <f t="shared" si="7"/>
        <v>1507168.4291008885</v>
      </c>
      <c r="R15" s="122">
        <f t="shared" si="7"/>
        <v>1507168.4291008885</v>
      </c>
      <c r="S15" s="122">
        <f t="shared" si="7"/>
        <v>1507168.4291008885</v>
      </c>
      <c r="T15" s="122">
        <f t="shared" si="7"/>
        <v>1507168.4291008885</v>
      </c>
      <c r="U15" s="122">
        <f t="shared" si="7"/>
        <v>1507168.4291008885</v>
      </c>
      <c r="V15" s="122">
        <f t="shared" si="7"/>
        <v>1507168.4291008885</v>
      </c>
      <c r="W15" s="122">
        <f t="shared" si="7"/>
        <v>1507168.4291008885</v>
      </c>
      <c r="X15" s="122">
        <f t="shared" si="7"/>
        <v>1507168.4291008885</v>
      </c>
      <c r="Y15" s="122">
        <f t="shared" si="7"/>
        <v>1507168.4291008885</v>
      </c>
      <c r="Z15" s="122">
        <f t="shared" si="7"/>
        <v>1507168.4291008885</v>
      </c>
      <c r="AA15" s="122">
        <f t="shared" si="7"/>
        <v>1507168.4291008885</v>
      </c>
      <c r="AB15" s="122">
        <f t="shared" si="7"/>
        <v>1507168.4291008885</v>
      </c>
      <c r="AC15" s="122">
        <f t="shared" si="7"/>
        <v>1507168.4291008885</v>
      </c>
      <c r="AD15" s="122">
        <f t="shared" si="7"/>
        <v>1507168.4291008885</v>
      </c>
      <c r="AE15" s="122">
        <f t="shared" si="7"/>
        <v>1507168.4291008885</v>
      </c>
      <c r="AF15" s="122">
        <f t="shared" si="7"/>
        <v>1507168.4291008885</v>
      </c>
      <c r="AG15" s="122">
        <f t="shared" si="7"/>
        <v>1507168.4291008885</v>
      </c>
    </row>
    <row r="16" spans="1:47" ht="15.5" outlineLevel="1" thickBot="1">
      <c r="A16" s="187" t="s">
        <v>432</v>
      </c>
      <c r="B16" s="185"/>
      <c r="C16" s="186">
        <f t="shared" ref="C16:AG16" si="8">SUM(C11:C15)</f>
        <v>5306154.9462900767</v>
      </c>
      <c r="D16" s="186">
        <f t="shared" si="8"/>
        <v>5306154.9462900767</v>
      </c>
      <c r="E16" s="186">
        <f t="shared" si="8"/>
        <v>5306154.9462900767</v>
      </c>
      <c r="F16" s="186">
        <f t="shared" si="8"/>
        <v>5306154.9462900767</v>
      </c>
      <c r="G16" s="186">
        <f t="shared" si="8"/>
        <v>5306154.9462900767</v>
      </c>
      <c r="H16" s="186">
        <f t="shared" si="8"/>
        <v>5306154.9462900767</v>
      </c>
      <c r="I16" s="186">
        <f t="shared" si="8"/>
        <v>5306154.9462900767</v>
      </c>
      <c r="J16" s="186">
        <f t="shared" si="8"/>
        <v>5306154.9462900767</v>
      </c>
      <c r="K16" s="186">
        <f t="shared" si="8"/>
        <v>5306154.9462900767</v>
      </c>
      <c r="L16" s="186">
        <f t="shared" si="8"/>
        <v>5306154.9462900767</v>
      </c>
      <c r="M16" s="186">
        <f t="shared" si="8"/>
        <v>5306154.9462900767</v>
      </c>
      <c r="N16" s="186">
        <f t="shared" si="8"/>
        <v>5306154.9462900767</v>
      </c>
      <c r="O16" s="186">
        <f t="shared" si="8"/>
        <v>5306154.9462900767</v>
      </c>
      <c r="P16" s="186">
        <f t="shared" si="8"/>
        <v>5306154.9462900767</v>
      </c>
      <c r="Q16" s="186">
        <f t="shared" si="8"/>
        <v>5306154.9462900767</v>
      </c>
      <c r="R16" s="186">
        <f t="shared" si="8"/>
        <v>5306154.9462900767</v>
      </c>
      <c r="S16" s="186">
        <f t="shared" si="8"/>
        <v>5306154.9462900767</v>
      </c>
      <c r="T16" s="186">
        <f t="shared" si="8"/>
        <v>5306154.9462900767</v>
      </c>
      <c r="U16" s="186">
        <f t="shared" si="8"/>
        <v>5306154.9462900767</v>
      </c>
      <c r="V16" s="186">
        <f t="shared" si="8"/>
        <v>5306154.9462900767</v>
      </c>
      <c r="W16" s="186">
        <f t="shared" si="8"/>
        <v>5306154.9462900767</v>
      </c>
      <c r="X16" s="186">
        <f t="shared" si="8"/>
        <v>5306154.9462900767</v>
      </c>
      <c r="Y16" s="186">
        <f t="shared" si="8"/>
        <v>5306154.9462900767</v>
      </c>
      <c r="Z16" s="186">
        <f t="shared" si="8"/>
        <v>5306154.9462900767</v>
      </c>
      <c r="AA16" s="186">
        <f t="shared" si="8"/>
        <v>5306154.9462900767</v>
      </c>
      <c r="AB16" s="186">
        <f t="shared" si="8"/>
        <v>5306154.9462900767</v>
      </c>
      <c r="AC16" s="186">
        <f t="shared" si="8"/>
        <v>5306154.9462900767</v>
      </c>
      <c r="AD16" s="186">
        <f t="shared" si="8"/>
        <v>5306154.9462900767</v>
      </c>
      <c r="AE16" s="186">
        <f t="shared" si="8"/>
        <v>5306154.9462900767</v>
      </c>
      <c r="AF16" s="186">
        <f t="shared" si="8"/>
        <v>5306154.9462900767</v>
      </c>
      <c r="AG16" s="186">
        <f t="shared" si="8"/>
        <v>5306154.9462900767</v>
      </c>
    </row>
    <row r="17" spans="1:64" ht="15.5" outlineLevel="1" thickTop="1">
      <c r="AL17" s="108"/>
      <c r="AM17" s="109"/>
      <c r="AN17" s="109"/>
      <c r="AO17" s="109"/>
      <c r="AP17" s="109"/>
      <c r="AQ17" s="109"/>
    </row>
    <row r="18" spans="1:64" outlineLevel="1">
      <c r="A18" t="s">
        <v>1461</v>
      </c>
      <c r="B18" s="51" t="s">
        <v>126</v>
      </c>
      <c r="C18" s="148">
        <f>'Overall recycling rates'!I76</f>
        <v>1.0591457513628045E-3</v>
      </c>
      <c r="D18" s="148">
        <f>C18</f>
        <v>1.0591457513628045E-3</v>
      </c>
      <c r="E18" s="148">
        <f t="shared" ref="E18:T18" si="9">D18</f>
        <v>1.0591457513628045E-3</v>
      </c>
      <c r="F18" s="148">
        <f t="shared" si="9"/>
        <v>1.0591457513628045E-3</v>
      </c>
      <c r="G18" s="148">
        <f t="shared" si="9"/>
        <v>1.0591457513628045E-3</v>
      </c>
      <c r="H18" s="148">
        <f t="shared" si="9"/>
        <v>1.0591457513628045E-3</v>
      </c>
      <c r="I18" s="148">
        <f t="shared" si="9"/>
        <v>1.0591457513628045E-3</v>
      </c>
      <c r="J18" s="148">
        <f t="shared" si="9"/>
        <v>1.0591457513628045E-3</v>
      </c>
      <c r="K18" s="148">
        <f t="shared" si="9"/>
        <v>1.0591457513628045E-3</v>
      </c>
      <c r="L18" s="148">
        <f t="shared" si="9"/>
        <v>1.0591457513628045E-3</v>
      </c>
      <c r="M18" s="148">
        <f t="shared" si="9"/>
        <v>1.0591457513628045E-3</v>
      </c>
      <c r="N18" s="148">
        <f t="shared" si="9"/>
        <v>1.0591457513628045E-3</v>
      </c>
      <c r="O18" s="148">
        <f t="shared" si="9"/>
        <v>1.0591457513628045E-3</v>
      </c>
      <c r="P18" s="148">
        <f t="shared" si="9"/>
        <v>1.0591457513628045E-3</v>
      </c>
      <c r="Q18" s="148">
        <f t="shared" si="9"/>
        <v>1.0591457513628045E-3</v>
      </c>
      <c r="R18" s="148">
        <f t="shared" si="9"/>
        <v>1.0591457513628045E-3</v>
      </c>
      <c r="S18" s="148">
        <f t="shared" si="9"/>
        <v>1.0591457513628045E-3</v>
      </c>
      <c r="T18" s="148">
        <f t="shared" si="9"/>
        <v>1.0591457513628045E-3</v>
      </c>
      <c r="U18" s="148">
        <f t="shared" ref="T18:AG22" si="10">T18</f>
        <v>1.0591457513628045E-3</v>
      </c>
      <c r="V18" s="148">
        <f t="shared" si="10"/>
        <v>1.0591457513628045E-3</v>
      </c>
      <c r="W18" s="148">
        <f t="shared" si="10"/>
        <v>1.0591457513628045E-3</v>
      </c>
      <c r="X18" s="148">
        <f t="shared" si="10"/>
        <v>1.0591457513628045E-3</v>
      </c>
      <c r="Y18" s="148">
        <f t="shared" si="10"/>
        <v>1.0591457513628045E-3</v>
      </c>
      <c r="Z18" s="148">
        <f t="shared" si="10"/>
        <v>1.0591457513628045E-3</v>
      </c>
      <c r="AA18" s="148">
        <f t="shared" si="10"/>
        <v>1.0591457513628045E-3</v>
      </c>
      <c r="AB18" s="148">
        <f t="shared" si="10"/>
        <v>1.0591457513628045E-3</v>
      </c>
      <c r="AC18" s="148">
        <f t="shared" si="10"/>
        <v>1.0591457513628045E-3</v>
      </c>
      <c r="AD18" s="148">
        <f t="shared" si="10"/>
        <v>1.0591457513628045E-3</v>
      </c>
      <c r="AE18" s="148">
        <f t="shared" si="10"/>
        <v>1.0591457513628045E-3</v>
      </c>
      <c r="AF18" s="148">
        <f t="shared" si="10"/>
        <v>1.0591457513628045E-3</v>
      </c>
      <c r="AG18" s="148">
        <f>AF18</f>
        <v>1.0591457513628045E-3</v>
      </c>
      <c r="AI18" s="51" t="s">
        <v>268</v>
      </c>
      <c r="AJ18" s="198"/>
      <c r="AM18" s="109"/>
      <c r="AN18" s="109"/>
      <c r="AO18" s="109"/>
      <c r="AP18" s="109"/>
      <c r="AQ18" s="109"/>
    </row>
    <row r="19" spans="1:64" outlineLevel="1">
      <c r="A19" t="s">
        <v>1462</v>
      </c>
      <c r="B19" s="51" t="s">
        <v>126</v>
      </c>
      <c r="C19" s="148">
        <f>'Overall recycling rates'!I78</f>
        <v>0.2200720488751168</v>
      </c>
      <c r="D19" s="148">
        <f t="shared" ref="D19:S22" si="11">C19</f>
        <v>0.2200720488751168</v>
      </c>
      <c r="E19" s="148">
        <f t="shared" si="11"/>
        <v>0.2200720488751168</v>
      </c>
      <c r="F19" s="148">
        <f t="shared" si="11"/>
        <v>0.2200720488751168</v>
      </c>
      <c r="G19" s="148">
        <f t="shared" si="11"/>
        <v>0.2200720488751168</v>
      </c>
      <c r="H19" s="148">
        <f t="shared" si="11"/>
        <v>0.2200720488751168</v>
      </c>
      <c r="I19" s="148">
        <f t="shared" si="11"/>
        <v>0.2200720488751168</v>
      </c>
      <c r="J19" s="148">
        <f t="shared" si="11"/>
        <v>0.2200720488751168</v>
      </c>
      <c r="K19" s="148">
        <f t="shared" si="11"/>
        <v>0.2200720488751168</v>
      </c>
      <c r="L19" s="148">
        <f t="shared" si="11"/>
        <v>0.2200720488751168</v>
      </c>
      <c r="M19" s="148">
        <f t="shared" si="11"/>
        <v>0.2200720488751168</v>
      </c>
      <c r="N19" s="148">
        <f t="shared" si="11"/>
        <v>0.2200720488751168</v>
      </c>
      <c r="O19" s="148">
        <f t="shared" si="11"/>
        <v>0.2200720488751168</v>
      </c>
      <c r="P19" s="148">
        <f t="shared" si="11"/>
        <v>0.2200720488751168</v>
      </c>
      <c r="Q19" s="148">
        <f t="shared" si="11"/>
        <v>0.2200720488751168</v>
      </c>
      <c r="R19" s="148">
        <f t="shared" si="11"/>
        <v>0.2200720488751168</v>
      </c>
      <c r="S19" s="148">
        <f t="shared" si="11"/>
        <v>0.2200720488751168</v>
      </c>
      <c r="T19" s="148">
        <f t="shared" si="10"/>
        <v>0.2200720488751168</v>
      </c>
      <c r="U19" s="148">
        <f t="shared" si="10"/>
        <v>0.2200720488751168</v>
      </c>
      <c r="V19" s="148">
        <f t="shared" si="10"/>
        <v>0.2200720488751168</v>
      </c>
      <c r="W19" s="148">
        <f t="shared" si="10"/>
        <v>0.2200720488751168</v>
      </c>
      <c r="X19" s="148">
        <f t="shared" si="10"/>
        <v>0.2200720488751168</v>
      </c>
      <c r="Y19" s="148">
        <f t="shared" si="10"/>
        <v>0.2200720488751168</v>
      </c>
      <c r="Z19" s="148">
        <f t="shared" si="10"/>
        <v>0.2200720488751168</v>
      </c>
      <c r="AA19" s="148">
        <f t="shared" si="10"/>
        <v>0.2200720488751168</v>
      </c>
      <c r="AB19" s="148">
        <f t="shared" si="10"/>
        <v>0.2200720488751168</v>
      </c>
      <c r="AC19" s="148">
        <f t="shared" si="10"/>
        <v>0.2200720488751168</v>
      </c>
      <c r="AD19" s="148">
        <f t="shared" si="10"/>
        <v>0.2200720488751168</v>
      </c>
      <c r="AE19" s="148">
        <f t="shared" si="10"/>
        <v>0.2200720488751168</v>
      </c>
      <c r="AF19" s="148">
        <f t="shared" si="10"/>
        <v>0.2200720488751168</v>
      </c>
      <c r="AG19" s="148">
        <f t="shared" si="10"/>
        <v>0.2200720488751168</v>
      </c>
      <c r="AI19" s="51" t="s">
        <v>268</v>
      </c>
      <c r="AJ19" s="198"/>
      <c r="AM19" s="114"/>
      <c r="AN19" s="109"/>
      <c r="AO19" s="110"/>
      <c r="AP19" s="111"/>
      <c r="AQ19" s="110"/>
    </row>
    <row r="20" spans="1:64" outlineLevel="1">
      <c r="A20" t="s">
        <v>1463</v>
      </c>
      <c r="B20" s="51" t="s">
        <v>126</v>
      </c>
      <c r="C20" s="148">
        <f>'Overall recycling rates'!I77</f>
        <v>5.2637927950514142E-3</v>
      </c>
      <c r="D20" s="148">
        <f t="shared" si="11"/>
        <v>5.2637927950514142E-3</v>
      </c>
      <c r="E20" s="148">
        <f t="shared" si="11"/>
        <v>5.2637927950514142E-3</v>
      </c>
      <c r="F20" s="148">
        <f t="shared" si="11"/>
        <v>5.2637927950514142E-3</v>
      </c>
      <c r="G20" s="148">
        <f t="shared" si="11"/>
        <v>5.2637927950514142E-3</v>
      </c>
      <c r="H20" s="148">
        <f t="shared" si="11"/>
        <v>5.2637927950514142E-3</v>
      </c>
      <c r="I20" s="148">
        <f t="shared" si="11"/>
        <v>5.2637927950514142E-3</v>
      </c>
      <c r="J20" s="148">
        <f t="shared" si="11"/>
        <v>5.2637927950514142E-3</v>
      </c>
      <c r="K20" s="148">
        <f t="shared" si="11"/>
        <v>5.2637927950514142E-3</v>
      </c>
      <c r="L20" s="148">
        <f t="shared" si="11"/>
        <v>5.2637927950514142E-3</v>
      </c>
      <c r="M20" s="148">
        <f t="shared" si="11"/>
        <v>5.2637927950514142E-3</v>
      </c>
      <c r="N20" s="148">
        <f t="shared" si="11"/>
        <v>5.2637927950514142E-3</v>
      </c>
      <c r="O20" s="148">
        <f t="shared" si="11"/>
        <v>5.2637927950514142E-3</v>
      </c>
      <c r="P20" s="148">
        <f t="shared" si="11"/>
        <v>5.2637927950514142E-3</v>
      </c>
      <c r="Q20" s="148">
        <f t="shared" si="11"/>
        <v>5.2637927950514142E-3</v>
      </c>
      <c r="R20" s="148">
        <f t="shared" si="11"/>
        <v>5.2637927950514142E-3</v>
      </c>
      <c r="S20" s="148">
        <f t="shared" si="11"/>
        <v>5.2637927950514142E-3</v>
      </c>
      <c r="T20" s="148">
        <f t="shared" si="10"/>
        <v>5.2637927950514142E-3</v>
      </c>
      <c r="U20" s="148">
        <f t="shared" si="10"/>
        <v>5.2637927950514142E-3</v>
      </c>
      <c r="V20" s="148">
        <f t="shared" si="10"/>
        <v>5.2637927950514142E-3</v>
      </c>
      <c r="W20" s="148">
        <f t="shared" si="10"/>
        <v>5.2637927950514142E-3</v>
      </c>
      <c r="X20" s="148">
        <f t="shared" si="10"/>
        <v>5.2637927950514142E-3</v>
      </c>
      <c r="Y20" s="148">
        <f t="shared" si="10"/>
        <v>5.2637927950514142E-3</v>
      </c>
      <c r="Z20" s="148">
        <f t="shared" si="10"/>
        <v>5.2637927950514142E-3</v>
      </c>
      <c r="AA20" s="148">
        <f t="shared" si="10"/>
        <v>5.2637927950514142E-3</v>
      </c>
      <c r="AB20" s="148">
        <f t="shared" si="10"/>
        <v>5.2637927950514142E-3</v>
      </c>
      <c r="AC20" s="148">
        <f t="shared" si="10"/>
        <v>5.2637927950514142E-3</v>
      </c>
      <c r="AD20" s="148">
        <f t="shared" si="10"/>
        <v>5.2637927950514142E-3</v>
      </c>
      <c r="AE20" s="148">
        <f t="shared" si="10"/>
        <v>5.2637927950514142E-3</v>
      </c>
      <c r="AF20" s="148">
        <f t="shared" si="10"/>
        <v>5.2637927950514142E-3</v>
      </c>
      <c r="AG20" s="148">
        <f t="shared" si="10"/>
        <v>5.2637927950514142E-3</v>
      </c>
      <c r="AI20" s="51" t="s">
        <v>268</v>
      </c>
      <c r="AJ20" s="198"/>
      <c r="AM20" s="114"/>
      <c r="AN20" s="109"/>
      <c r="AO20" s="110"/>
      <c r="AP20" s="111"/>
      <c r="AQ20" s="110"/>
    </row>
    <row r="21" spans="1:64" outlineLevel="1">
      <c r="A21" t="s">
        <v>1464</v>
      </c>
      <c r="B21" s="51" t="s">
        <v>126</v>
      </c>
      <c r="C21" s="148">
        <f>'Overall recycling rates'!I79</f>
        <v>2.8964508301971968E-6</v>
      </c>
      <c r="D21" s="148">
        <f t="shared" si="11"/>
        <v>2.8964508301971968E-6</v>
      </c>
      <c r="E21" s="148">
        <f t="shared" si="11"/>
        <v>2.8964508301971968E-6</v>
      </c>
      <c r="F21" s="148">
        <f t="shared" si="11"/>
        <v>2.8964508301971968E-6</v>
      </c>
      <c r="G21" s="148">
        <f t="shared" si="11"/>
        <v>2.8964508301971968E-6</v>
      </c>
      <c r="H21" s="148">
        <f t="shared" si="11"/>
        <v>2.8964508301971968E-6</v>
      </c>
      <c r="I21" s="148">
        <f t="shared" si="11"/>
        <v>2.8964508301971968E-6</v>
      </c>
      <c r="J21" s="148">
        <f t="shared" si="11"/>
        <v>2.8964508301971968E-6</v>
      </c>
      <c r="K21" s="148">
        <f t="shared" si="11"/>
        <v>2.8964508301971968E-6</v>
      </c>
      <c r="L21" s="148">
        <f t="shared" si="11"/>
        <v>2.8964508301971968E-6</v>
      </c>
      <c r="M21" s="148">
        <f t="shared" si="11"/>
        <v>2.8964508301971968E-6</v>
      </c>
      <c r="N21" s="148">
        <f t="shared" si="11"/>
        <v>2.8964508301971968E-6</v>
      </c>
      <c r="O21" s="148">
        <f t="shared" si="11"/>
        <v>2.8964508301971968E-6</v>
      </c>
      <c r="P21" s="148">
        <f t="shared" si="11"/>
        <v>2.8964508301971968E-6</v>
      </c>
      <c r="Q21" s="148">
        <f t="shared" si="11"/>
        <v>2.8964508301971968E-6</v>
      </c>
      <c r="R21" s="148">
        <f t="shared" si="11"/>
        <v>2.8964508301971968E-6</v>
      </c>
      <c r="S21" s="148">
        <f t="shared" si="11"/>
        <v>2.8964508301971968E-6</v>
      </c>
      <c r="T21" s="148">
        <f t="shared" si="10"/>
        <v>2.8964508301971968E-6</v>
      </c>
      <c r="U21" s="148">
        <f t="shared" si="10"/>
        <v>2.8964508301971968E-6</v>
      </c>
      <c r="V21" s="148">
        <f t="shared" si="10"/>
        <v>2.8964508301971968E-6</v>
      </c>
      <c r="W21" s="148">
        <f t="shared" si="10"/>
        <v>2.8964508301971968E-6</v>
      </c>
      <c r="X21" s="148">
        <f t="shared" si="10"/>
        <v>2.8964508301971968E-6</v>
      </c>
      <c r="Y21" s="148">
        <f t="shared" si="10"/>
        <v>2.8964508301971968E-6</v>
      </c>
      <c r="Z21" s="148">
        <f t="shared" si="10"/>
        <v>2.8964508301971968E-6</v>
      </c>
      <c r="AA21" s="148">
        <f t="shared" si="10"/>
        <v>2.8964508301971968E-6</v>
      </c>
      <c r="AB21" s="148">
        <f t="shared" si="10"/>
        <v>2.8964508301971968E-6</v>
      </c>
      <c r="AC21" s="148">
        <f t="shared" si="10"/>
        <v>2.8964508301971968E-6</v>
      </c>
      <c r="AD21" s="148">
        <f t="shared" si="10"/>
        <v>2.8964508301971968E-6</v>
      </c>
      <c r="AE21" s="148">
        <f t="shared" si="10"/>
        <v>2.8964508301971968E-6</v>
      </c>
      <c r="AF21" s="148">
        <f t="shared" si="10"/>
        <v>2.8964508301971968E-6</v>
      </c>
      <c r="AG21" s="148">
        <f t="shared" si="10"/>
        <v>2.8964508301971968E-6</v>
      </c>
      <c r="AI21" s="51" t="s">
        <v>268</v>
      </c>
      <c r="AJ21" s="198"/>
      <c r="AM21" s="114"/>
      <c r="AN21" s="109"/>
      <c r="AO21" s="450"/>
      <c r="AP21" s="451"/>
      <c r="AQ21" s="450"/>
    </row>
    <row r="22" spans="1:64" outlineLevel="1">
      <c r="A22" t="s">
        <v>1465</v>
      </c>
      <c r="B22" s="51" t="s">
        <v>126</v>
      </c>
      <c r="C22" s="148">
        <f>'Overall recycling rates'!I80</f>
        <v>2.9132587724788963E-2</v>
      </c>
      <c r="D22" s="148">
        <f>C22</f>
        <v>2.9132587724788963E-2</v>
      </c>
      <c r="E22" s="148">
        <f t="shared" si="11"/>
        <v>2.9132587724788963E-2</v>
      </c>
      <c r="F22" s="148">
        <f t="shared" si="11"/>
        <v>2.9132587724788963E-2</v>
      </c>
      <c r="G22" s="148">
        <f t="shared" si="11"/>
        <v>2.9132587724788963E-2</v>
      </c>
      <c r="H22" s="148">
        <f t="shared" si="11"/>
        <v>2.9132587724788963E-2</v>
      </c>
      <c r="I22" s="148">
        <f t="shared" si="11"/>
        <v>2.9132587724788963E-2</v>
      </c>
      <c r="J22" s="148">
        <f t="shared" si="11"/>
        <v>2.9132587724788963E-2</v>
      </c>
      <c r="K22" s="148">
        <f t="shared" si="11"/>
        <v>2.9132587724788963E-2</v>
      </c>
      <c r="L22" s="148">
        <f t="shared" si="11"/>
        <v>2.9132587724788963E-2</v>
      </c>
      <c r="M22" s="148">
        <f t="shared" si="11"/>
        <v>2.9132587724788963E-2</v>
      </c>
      <c r="N22" s="148">
        <f t="shared" si="11"/>
        <v>2.9132587724788963E-2</v>
      </c>
      <c r="O22" s="148">
        <f t="shared" si="11"/>
        <v>2.9132587724788963E-2</v>
      </c>
      <c r="P22" s="148">
        <f t="shared" si="11"/>
        <v>2.9132587724788963E-2</v>
      </c>
      <c r="Q22" s="148">
        <f t="shared" si="11"/>
        <v>2.9132587724788963E-2</v>
      </c>
      <c r="R22" s="148">
        <f t="shared" si="11"/>
        <v>2.9132587724788963E-2</v>
      </c>
      <c r="S22" s="148">
        <f t="shared" si="11"/>
        <v>2.9132587724788963E-2</v>
      </c>
      <c r="T22" s="148">
        <f t="shared" si="10"/>
        <v>2.9132587724788963E-2</v>
      </c>
      <c r="U22" s="148">
        <f t="shared" si="10"/>
        <v>2.9132587724788963E-2</v>
      </c>
      <c r="V22" s="148">
        <f t="shared" si="10"/>
        <v>2.9132587724788963E-2</v>
      </c>
      <c r="W22" s="148">
        <f t="shared" si="10"/>
        <v>2.9132587724788963E-2</v>
      </c>
      <c r="X22" s="148">
        <f t="shared" si="10"/>
        <v>2.9132587724788963E-2</v>
      </c>
      <c r="Y22" s="148">
        <f t="shared" si="10"/>
        <v>2.9132587724788963E-2</v>
      </c>
      <c r="Z22" s="148">
        <f t="shared" si="10"/>
        <v>2.9132587724788963E-2</v>
      </c>
      <c r="AA22" s="148">
        <f t="shared" si="10"/>
        <v>2.9132587724788963E-2</v>
      </c>
      <c r="AB22" s="148">
        <f t="shared" si="10"/>
        <v>2.9132587724788963E-2</v>
      </c>
      <c r="AC22" s="148">
        <f t="shared" si="10"/>
        <v>2.9132587724788963E-2</v>
      </c>
      <c r="AD22" s="148">
        <f t="shared" si="10"/>
        <v>2.9132587724788963E-2</v>
      </c>
      <c r="AE22" s="148">
        <f t="shared" si="10"/>
        <v>2.9132587724788963E-2</v>
      </c>
      <c r="AF22" s="148">
        <f t="shared" si="10"/>
        <v>2.9132587724788963E-2</v>
      </c>
      <c r="AG22" s="148">
        <f t="shared" si="10"/>
        <v>2.9132587724788963E-2</v>
      </c>
      <c r="AI22" s="51" t="s">
        <v>268</v>
      </c>
      <c r="AJ22" s="198"/>
      <c r="AM22" s="114"/>
      <c r="AN22" s="109"/>
      <c r="AO22" s="110"/>
      <c r="AP22" s="111"/>
      <c r="AQ22" s="110"/>
    </row>
    <row r="23" spans="1:64" outlineLevel="1">
      <c r="AI23" s="51"/>
      <c r="AM23" s="114"/>
      <c r="AN23" s="109"/>
      <c r="AO23" s="110"/>
      <c r="AP23" s="111"/>
      <c r="AQ23" s="110"/>
      <c r="BD23" s="22"/>
      <c r="BE23" s="22"/>
      <c r="BF23" s="22"/>
      <c r="BG23" s="22"/>
      <c r="BH23" s="22"/>
      <c r="BI23" s="22"/>
      <c r="BJ23" s="22"/>
      <c r="BK23" s="22"/>
      <c r="BL23" s="22"/>
    </row>
    <row r="24" spans="1:64" outlineLevel="1">
      <c r="A24" t="s">
        <v>1466</v>
      </c>
      <c r="B24" s="51" t="s">
        <v>1513</v>
      </c>
      <c r="C24" s="191">
        <f>C11*C18</f>
        <v>2962.5386753115972</v>
      </c>
      <c r="D24" s="191">
        <f t="shared" ref="D24:AG24" si="12">D11*D18</f>
        <v>2962.5386753115972</v>
      </c>
      <c r="E24" s="191">
        <f t="shared" si="12"/>
        <v>2962.5386753115972</v>
      </c>
      <c r="F24" s="191">
        <f t="shared" si="12"/>
        <v>2962.5386753115972</v>
      </c>
      <c r="G24" s="191">
        <f t="shared" si="12"/>
        <v>2962.5386753115972</v>
      </c>
      <c r="H24" s="191">
        <f t="shared" si="12"/>
        <v>2962.5386753115972</v>
      </c>
      <c r="I24" s="191">
        <f t="shared" si="12"/>
        <v>2962.5386753115972</v>
      </c>
      <c r="J24" s="191">
        <f t="shared" si="12"/>
        <v>2962.5386753115972</v>
      </c>
      <c r="K24" s="191">
        <f t="shared" si="12"/>
        <v>2962.5386753115972</v>
      </c>
      <c r="L24" s="191">
        <f t="shared" si="12"/>
        <v>2962.5386753115972</v>
      </c>
      <c r="M24" s="191">
        <f>M11*M18</f>
        <v>2962.5386753115972</v>
      </c>
      <c r="N24" s="191">
        <f t="shared" si="12"/>
        <v>2962.5386753115972</v>
      </c>
      <c r="O24" s="191">
        <f t="shared" si="12"/>
        <v>2962.5386753115972</v>
      </c>
      <c r="P24" s="191">
        <f t="shared" si="12"/>
        <v>2962.5386753115972</v>
      </c>
      <c r="Q24" s="191">
        <f t="shared" si="12"/>
        <v>2962.5386753115972</v>
      </c>
      <c r="R24" s="191">
        <f t="shared" si="12"/>
        <v>2962.5386753115972</v>
      </c>
      <c r="S24" s="191">
        <f t="shared" si="12"/>
        <v>2962.5386753115972</v>
      </c>
      <c r="T24" s="191">
        <f t="shared" si="12"/>
        <v>2962.5386753115972</v>
      </c>
      <c r="U24" s="191">
        <f t="shared" si="12"/>
        <v>2962.5386753115972</v>
      </c>
      <c r="V24" s="191">
        <f t="shared" si="12"/>
        <v>2962.5386753115972</v>
      </c>
      <c r="W24" s="191">
        <f t="shared" si="12"/>
        <v>2962.5386753115972</v>
      </c>
      <c r="X24" s="191">
        <f t="shared" si="12"/>
        <v>2962.5386753115972</v>
      </c>
      <c r="Y24" s="191">
        <f t="shared" si="12"/>
        <v>2962.5386753115972</v>
      </c>
      <c r="Z24" s="191">
        <f t="shared" si="12"/>
        <v>2962.5386753115972</v>
      </c>
      <c r="AA24" s="191">
        <f t="shared" si="12"/>
        <v>2962.5386753115972</v>
      </c>
      <c r="AB24" s="191">
        <f t="shared" si="12"/>
        <v>2962.5386753115972</v>
      </c>
      <c r="AC24" s="191">
        <f t="shared" si="12"/>
        <v>2962.5386753115972</v>
      </c>
      <c r="AD24" s="191">
        <f t="shared" si="12"/>
        <v>2962.5386753115972</v>
      </c>
      <c r="AE24" s="191">
        <f t="shared" si="12"/>
        <v>2962.5386753115972</v>
      </c>
      <c r="AF24" s="191">
        <f t="shared" si="12"/>
        <v>2962.5386753115972</v>
      </c>
      <c r="AG24" s="191">
        <f t="shared" si="12"/>
        <v>2962.5386753115972</v>
      </c>
      <c r="AI24" s="230"/>
      <c r="AM24" s="114"/>
      <c r="AN24" s="109"/>
      <c r="AO24" s="109"/>
      <c r="AP24" s="109"/>
      <c r="AQ24" s="109"/>
      <c r="BD24" s="192"/>
      <c r="BE24" s="192"/>
      <c r="BF24" s="192"/>
      <c r="BG24" s="192"/>
      <c r="BH24" s="192"/>
      <c r="BI24" s="192"/>
      <c r="BJ24" s="192"/>
      <c r="BK24" s="192"/>
      <c r="BL24" s="192"/>
    </row>
    <row r="25" spans="1:64" outlineLevel="1">
      <c r="A25" t="s">
        <v>1467</v>
      </c>
      <c r="B25" s="51" t="s">
        <v>1513</v>
      </c>
      <c r="C25" s="191">
        <f t="shared" ref="C25:AG28" si="13">C12*C19</f>
        <v>58105.321893626904</v>
      </c>
      <c r="D25" s="191">
        <f t="shared" si="13"/>
        <v>58105.321893626904</v>
      </c>
      <c r="E25" s="191">
        <f t="shared" si="13"/>
        <v>58105.321893626904</v>
      </c>
      <c r="F25" s="191">
        <f t="shared" si="13"/>
        <v>58105.321893626904</v>
      </c>
      <c r="G25" s="191">
        <f t="shared" si="13"/>
        <v>58105.321893626904</v>
      </c>
      <c r="H25" s="191">
        <f t="shared" si="13"/>
        <v>58105.321893626904</v>
      </c>
      <c r="I25" s="191">
        <f t="shared" si="13"/>
        <v>58105.321893626904</v>
      </c>
      <c r="J25" s="191">
        <f t="shared" si="13"/>
        <v>58105.321893626904</v>
      </c>
      <c r="K25" s="191">
        <f t="shared" si="13"/>
        <v>58105.321893626904</v>
      </c>
      <c r="L25" s="191">
        <f t="shared" si="13"/>
        <v>58105.321893626904</v>
      </c>
      <c r="M25" s="191">
        <f t="shared" si="13"/>
        <v>58105.321893626904</v>
      </c>
      <c r="N25" s="191">
        <f t="shared" si="13"/>
        <v>58105.321893626904</v>
      </c>
      <c r="O25" s="191">
        <f t="shared" si="13"/>
        <v>58105.321893626904</v>
      </c>
      <c r="P25" s="191">
        <f t="shared" si="13"/>
        <v>58105.321893626904</v>
      </c>
      <c r="Q25" s="191">
        <f t="shared" si="13"/>
        <v>58105.321893626904</v>
      </c>
      <c r="R25" s="191">
        <f t="shared" si="13"/>
        <v>58105.321893626904</v>
      </c>
      <c r="S25" s="191">
        <f t="shared" si="13"/>
        <v>58105.321893626904</v>
      </c>
      <c r="T25" s="191">
        <f t="shared" si="13"/>
        <v>58105.321893626904</v>
      </c>
      <c r="U25" s="191">
        <f t="shared" si="13"/>
        <v>58105.321893626904</v>
      </c>
      <c r="V25" s="191">
        <f t="shared" si="13"/>
        <v>58105.321893626904</v>
      </c>
      <c r="W25" s="191">
        <f t="shared" si="13"/>
        <v>58105.321893626904</v>
      </c>
      <c r="X25" s="191">
        <f t="shared" si="13"/>
        <v>58105.321893626904</v>
      </c>
      <c r="Y25" s="191">
        <f t="shared" si="13"/>
        <v>58105.321893626904</v>
      </c>
      <c r="Z25" s="191">
        <f t="shared" si="13"/>
        <v>58105.321893626904</v>
      </c>
      <c r="AA25" s="191">
        <f t="shared" si="13"/>
        <v>58105.321893626904</v>
      </c>
      <c r="AB25" s="191">
        <f t="shared" si="13"/>
        <v>58105.321893626904</v>
      </c>
      <c r="AC25" s="191">
        <f t="shared" si="13"/>
        <v>58105.321893626904</v>
      </c>
      <c r="AD25" s="191">
        <f t="shared" si="13"/>
        <v>58105.321893626904</v>
      </c>
      <c r="AE25" s="191">
        <f t="shared" si="13"/>
        <v>58105.321893626904</v>
      </c>
      <c r="AF25" s="191">
        <f t="shared" si="13"/>
        <v>58105.321893626904</v>
      </c>
      <c r="AG25" s="191">
        <f t="shared" si="13"/>
        <v>58105.321893626904</v>
      </c>
      <c r="AM25" s="193"/>
      <c r="BD25" s="192"/>
      <c r="BE25" s="192"/>
      <c r="BF25" s="192"/>
      <c r="BG25" s="192"/>
      <c r="BH25" s="192"/>
      <c r="BI25" s="192"/>
      <c r="BJ25" s="192"/>
      <c r="BK25" s="192"/>
      <c r="BL25" s="192"/>
    </row>
    <row r="26" spans="1:64" outlineLevel="1">
      <c r="A26" t="s">
        <v>1468</v>
      </c>
      <c r="B26" s="51" t="s">
        <v>1513</v>
      </c>
      <c r="C26" s="191">
        <f t="shared" si="13"/>
        <v>1093.3845936328453</v>
      </c>
      <c r="D26" s="191">
        <f t="shared" si="13"/>
        <v>1093.3845936328453</v>
      </c>
      <c r="E26" s="191">
        <f t="shared" si="13"/>
        <v>1093.3845936328453</v>
      </c>
      <c r="F26" s="191">
        <f t="shared" si="13"/>
        <v>1093.3845936328453</v>
      </c>
      <c r="G26" s="191">
        <f t="shared" si="13"/>
        <v>1093.3845936328453</v>
      </c>
      <c r="H26" s="191">
        <f t="shared" si="13"/>
        <v>1093.3845936328453</v>
      </c>
      <c r="I26" s="191">
        <f t="shared" si="13"/>
        <v>1093.3845936328453</v>
      </c>
      <c r="J26" s="191">
        <f t="shared" si="13"/>
        <v>1093.3845936328453</v>
      </c>
      <c r="K26" s="191">
        <f t="shared" si="13"/>
        <v>1093.3845936328453</v>
      </c>
      <c r="L26" s="191">
        <f t="shared" si="13"/>
        <v>1093.3845936328453</v>
      </c>
      <c r="M26" s="191">
        <f t="shared" si="13"/>
        <v>1093.3845936328453</v>
      </c>
      <c r="N26" s="191">
        <f t="shared" si="13"/>
        <v>1093.3845936328453</v>
      </c>
      <c r="O26" s="191">
        <f t="shared" si="13"/>
        <v>1093.3845936328453</v>
      </c>
      <c r="P26" s="191">
        <f t="shared" si="13"/>
        <v>1093.3845936328453</v>
      </c>
      <c r="Q26" s="191">
        <f t="shared" si="13"/>
        <v>1093.3845936328453</v>
      </c>
      <c r="R26" s="191">
        <f t="shared" si="13"/>
        <v>1093.3845936328453</v>
      </c>
      <c r="S26" s="191">
        <f t="shared" si="13"/>
        <v>1093.3845936328453</v>
      </c>
      <c r="T26" s="191">
        <f t="shared" si="13"/>
        <v>1093.3845936328453</v>
      </c>
      <c r="U26" s="191">
        <f t="shared" si="13"/>
        <v>1093.3845936328453</v>
      </c>
      <c r="V26" s="191">
        <f t="shared" si="13"/>
        <v>1093.3845936328453</v>
      </c>
      <c r="W26" s="191">
        <f t="shared" si="13"/>
        <v>1093.3845936328453</v>
      </c>
      <c r="X26" s="191">
        <f t="shared" si="13"/>
        <v>1093.3845936328453</v>
      </c>
      <c r="Y26" s="191">
        <f t="shared" si="13"/>
        <v>1093.3845936328453</v>
      </c>
      <c r="Z26" s="191">
        <f t="shared" si="13"/>
        <v>1093.3845936328453</v>
      </c>
      <c r="AA26" s="191">
        <f t="shared" si="13"/>
        <v>1093.3845936328453</v>
      </c>
      <c r="AB26" s="191">
        <f t="shared" si="13"/>
        <v>1093.3845936328453</v>
      </c>
      <c r="AC26" s="191">
        <f t="shared" si="13"/>
        <v>1093.3845936328453</v>
      </c>
      <c r="AD26" s="191">
        <f t="shared" si="13"/>
        <v>1093.3845936328453</v>
      </c>
      <c r="AE26" s="191">
        <f t="shared" si="13"/>
        <v>1093.3845936328453</v>
      </c>
      <c r="AF26" s="191">
        <f t="shared" si="13"/>
        <v>1093.3845936328453</v>
      </c>
      <c r="AG26" s="191">
        <f t="shared" si="13"/>
        <v>1093.3845936328453</v>
      </c>
      <c r="BD26" s="192"/>
      <c r="BE26" s="192"/>
      <c r="BF26" s="192"/>
      <c r="BG26" s="192"/>
      <c r="BH26" s="192"/>
      <c r="BI26" s="192"/>
      <c r="BJ26" s="192"/>
      <c r="BK26" s="192"/>
      <c r="BL26" s="192"/>
    </row>
    <row r="27" spans="1:64" outlineLevel="1">
      <c r="A27" t="s">
        <v>1469</v>
      </c>
      <c r="B27" s="51" t="s">
        <v>1513</v>
      </c>
      <c r="C27" s="191">
        <f t="shared" si="13"/>
        <v>1.5355183400777599</v>
      </c>
      <c r="D27" s="191">
        <f t="shared" si="13"/>
        <v>1.5355183400777599</v>
      </c>
      <c r="E27" s="191">
        <f t="shared" si="13"/>
        <v>1.5355183400777599</v>
      </c>
      <c r="F27" s="191">
        <f t="shared" si="13"/>
        <v>1.5355183400777599</v>
      </c>
      <c r="G27" s="191">
        <f t="shared" si="13"/>
        <v>1.5355183400777599</v>
      </c>
      <c r="H27" s="191">
        <f t="shared" si="13"/>
        <v>1.5355183400777599</v>
      </c>
      <c r="I27" s="191">
        <f t="shared" si="13"/>
        <v>1.5355183400777599</v>
      </c>
      <c r="J27" s="191">
        <f t="shared" si="13"/>
        <v>1.5355183400777599</v>
      </c>
      <c r="K27" s="191">
        <f t="shared" si="13"/>
        <v>1.5355183400777599</v>
      </c>
      <c r="L27" s="191">
        <f t="shared" si="13"/>
        <v>1.5355183400777599</v>
      </c>
      <c r="M27" s="191">
        <f t="shared" si="13"/>
        <v>1.5355183400777599</v>
      </c>
      <c r="N27" s="191">
        <f t="shared" si="13"/>
        <v>1.5355183400777599</v>
      </c>
      <c r="O27" s="191">
        <f t="shared" si="13"/>
        <v>1.5355183400777599</v>
      </c>
      <c r="P27" s="191">
        <f t="shared" si="13"/>
        <v>1.5355183400777599</v>
      </c>
      <c r="Q27" s="191">
        <f t="shared" si="13"/>
        <v>1.5355183400777599</v>
      </c>
      <c r="R27" s="191">
        <f t="shared" si="13"/>
        <v>1.5355183400777599</v>
      </c>
      <c r="S27" s="191">
        <f t="shared" si="13"/>
        <v>1.5355183400777599</v>
      </c>
      <c r="T27" s="191">
        <f t="shared" si="13"/>
        <v>1.5355183400777599</v>
      </c>
      <c r="U27" s="191">
        <f t="shared" si="13"/>
        <v>1.5355183400777599</v>
      </c>
      <c r="V27" s="191">
        <f t="shared" si="13"/>
        <v>1.5355183400777599</v>
      </c>
      <c r="W27" s="191">
        <f t="shared" si="13"/>
        <v>1.5355183400777599</v>
      </c>
      <c r="X27" s="191">
        <f t="shared" si="13"/>
        <v>1.5355183400777599</v>
      </c>
      <c r="Y27" s="191">
        <f t="shared" si="13"/>
        <v>1.5355183400777599</v>
      </c>
      <c r="Z27" s="191">
        <f t="shared" si="13"/>
        <v>1.5355183400777599</v>
      </c>
      <c r="AA27" s="191">
        <f t="shared" si="13"/>
        <v>1.5355183400777599</v>
      </c>
      <c r="AB27" s="191">
        <f t="shared" si="13"/>
        <v>1.5355183400777599</v>
      </c>
      <c r="AC27" s="191">
        <f t="shared" si="13"/>
        <v>1.5355183400777599</v>
      </c>
      <c r="AD27" s="191">
        <f t="shared" si="13"/>
        <v>1.5355183400777599</v>
      </c>
      <c r="AE27" s="191">
        <f t="shared" si="13"/>
        <v>1.5355183400777599</v>
      </c>
      <c r="AF27" s="191">
        <f t="shared" si="13"/>
        <v>1.5355183400777599</v>
      </c>
      <c r="AG27" s="191">
        <f t="shared" si="13"/>
        <v>1.5355183400777599</v>
      </c>
      <c r="BD27" s="192"/>
      <c r="BE27" s="192"/>
      <c r="BF27" s="192"/>
      <c r="BG27" s="192"/>
      <c r="BH27" s="192"/>
      <c r="BI27" s="192"/>
      <c r="BJ27" s="192"/>
      <c r="BK27" s="192"/>
      <c r="BL27" s="192"/>
    </row>
    <row r="28" spans="1:64" outlineLevel="1">
      <c r="A28" s="169" t="s">
        <v>1470</v>
      </c>
      <c r="B28" s="165" t="s">
        <v>1513</v>
      </c>
      <c r="C28" s="191">
        <f t="shared" si="13"/>
        <v>43907.716476814014</v>
      </c>
      <c r="D28" s="191">
        <f t="shared" si="13"/>
        <v>43907.716476814014</v>
      </c>
      <c r="E28" s="191">
        <f t="shared" si="13"/>
        <v>43907.716476814014</v>
      </c>
      <c r="F28" s="191">
        <f t="shared" si="13"/>
        <v>43907.716476814014</v>
      </c>
      <c r="G28" s="191">
        <f t="shared" si="13"/>
        <v>43907.716476814014</v>
      </c>
      <c r="H28" s="191">
        <f t="shared" si="13"/>
        <v>43907.716476814014</v>
      </c>
      <c r="I28" s="191">
        <f t="shared" si="13"/>
        <v>43907.716476814014</v>
      </c>
      <c r="J28" s="191">
        <f t="shared" si="13"/>
        <v>43907.716476814014</v>
      </c>
      <c r="K28" s="191">
        <f t="shared" si="13"/>
        <v>43907.716476814014</v>
      </c>
      <c r="L28" s="191">
        <f t="shared" si="13"/>
        <v>43907.716476814014</v>
      </c>
      <c r="M28" s="191">
        <f t="shared" si="13"/>
        <v>43907.716476814014</v>
      </c>
      <c r="N28" s="191">
        <f t="shared" si="13"/>
        <v>43907.716476814014</v>
      </c>
      <c r="O28" s="191">
        <f t="shared" si="13"/>
        <v>43907.716476814014</v>
      </c>
      <c r="P28" s="191">
        <f t="shared" si="13"/>
        <v>43907.716476814014</v>
      </c>
      <c r="Q28" s="191">
        <f t="shared" si="13"/>
        <v>43907.716476814014</v>
      </c>
      <c r="R28" s="191">
        <f t="shared" si="13"/>
        <v>43907.716476814014</v>
      </c>
      <c r="S28" s="191">
        <f t="shared" si="13"/>
        <v>43907.716476814014</v>
      </c>
      <c r="T28" s="191">
        <f t="shared" si="13"/>
        <v>43907.716476814014</v>
      </c>
      <c r="U28" s="191">
        <f t="shared" si="13"/>
        <v>43907.716476814014</v>
      </c>
      <c r="V28" s="191">
        <f t="shared" si="13"/>
        <v>43907.716476814014</v>
      </c>
      <c r="W28" s="191">
        <f t="shared" si="13"/>
        <v>43907.716476814014</v>
      </c>
      <c r="X28" s="191">
        <f t="shared" si="13"/>
        <v>43907.716476814014</v>
      </c>
      <c r="Y28" s="191">
        <f t="shared" si="13"/>
        <v>43907.716476814014</v>
      </c>
      <c r="Z28" s="191">
        <f t="shared" si="13"/>
        <v>43907.716476814014</v>
      </c>
      <c r="AA28" s="191">
        <f t="shared" si="13"/>
        <v>43907.716476814014</v>
      </c>
      <c r="AB28" s="191">
        <f t="shared" si="13"/>
        <v>43907.716476814014</v>
      </c>
      <c r="AC28" s="191">
        <f t="shared" si="13"/>
        <v>43907.716476814014</v>
      </c>
      <c r="AD28" s="191">
        <f t="shared" si="13"/>
        <v>43907.716476814014</v>
      </c>
      <c r="AE28" s="191">
        <f t="shared" si="13"/>
        <v>43907.716476814014</v>
      </c>
      <c r="AF28" s="191">
        <f t="shared" si="13"/>
        <v>43907.716476814014</v>
      </c>
      <c r="AG28" s="191">
        <f t="shared" si="13"/>
        <v>43907.716476814014</v>
      </c>
      <c r="AL28" s="102"/>
      <c r="AM28" s="194"/>
      <c r="AN28" s="194"/>
      <c r="AO28" s="194"/>
    </row>
    <row r="29" spans="1:64" s="1" customFormat="1" ht="15.5" thickBot="1">
      <c r="A29" s="187" t="s">
        <v>1471</v>
      </c>
      <c r="B29" s="206" t="s">
        <v>1513</v>
      </c>
      <c r="C29" s="203">
        <f>SUM(C24:C28)</f>
        <v>106070.49715772543</v>
      </c>
      <c r="D29" s="203">
        <f t="shared" ref="D29:AG29" si="14">SUM(D24:D28)</f>
        <v>106070.49715772543</v>
      </c>
      <c r="E29" s="203">
        <f t="shared" si="14"/>
        <v>106070.49715772543</v>
      </c>
      <c r="F29" s="203">
        <f t="shared" si="14"/>
        <v>106070.49715772543</v>
      </c>
      <c r="G29" s="203">
        <f t="shared" si="14"/>
        <v>106070.49715772543</v>
      </c>
      <c r="H29" s="203">
        <f t="shared" si="14"/>
        <v>106070.49715772543</v>
      </c>
      <c r="I29" s="203">
        <f t="shared" si="14"/>
        <v>106070.49715772543</v>
      </c>
      <c r="J29" s="203">
        <f t="shared" si="14"/>
        <v>106070.49715772543</v>
      </c>
      <c r="K29" s="203">
        <f t="shared" si="14"/>
        <v>106070.49715772543</v>
      </c>
      <c r="L29" s="203">
        <f t="shared" si="14"/>
        <v>106070.49715772543</v>
      </c>
      <c r="M29" s="203">
        <f t="shared" si="14"/>
        <v>106070.49715772543</v>
      </c>
      <c r="N29" s="203">
        <f t="shared" si="14"/>
        <v>106070.49715772543</v>
      </c>
      <c r="O29" s="203">
        <f t="shared" si="14"/>
        <v>106070.49715772543</v>
      </c>
      <c r="P29" s="203">
        <f t="shared" si="14"/>
        <v>106070.49715772543</v>
      </c>
      <c r="Q29" s="203">
        <f t="shared" si="14"/>
        <v>106070.49715772543</v>
      </c>
      <c r="R29" s="203">
        <f t="shared" si="14"/>
        <v>106070.49715772543</v>
      </c>
      <c r="S29" s="203">
        <f t="shared" si="14"/>
        <v>106070.49715772543</v>
      </c>
      <c r="T29" s="203">
        <f t="shared" si="14"/>
        <v>106070.49715772543</v>
      </c>
      <c r="U29" s="203">
        <f t="shared" si="14"/>
        <v>106070.49715772543</v>
      </c>
      <c r="V29" s="203">
        <f t="shared" si="14"/>
        <v>106070.49715772543</v>
      </c>
      <c r="W29" s="203">
        <f t="shared" si="14"/>
        <v>106070.49715772543</v>
      </c>
      <c r="X29" s="203">
        <f t="shared" si="14"/>
        <v>106070.49715772543</v>
      </c>
      <c r="Y29" s="203">
        <f t="shared" si="14"/>
        <v>106070.49715772543</v>
      </c>
      <c r="Z29" s="203">
        <f t="shared" si="14"/>
        <v>106070.49715772543</v>
      </c>
      <c r="AA29" s="203">
        <f t="shared" si="14"/>
        <v>106070.49715772543</v>
      </c>
      <c r="AB29" s="203">
        <f t="shared" si="14"/>
        <v>106070.49715772543</v>
      </c>
      <c r="AC29" s="203">
        <f t="shared" si="14"/>
        <v>106070.49715772543</v>
      </c>
      <c r="AD29" s="203">
        <f t="shared" si="14"/>
        <v>106070.49715772543</v>
      </c>
      <c r="AE29" s="203">
        <f t="shared" si="14"/>
        <v>106070.49715772543</v>
      </c>
      <c r="AF29" s="203">
        <f t="shared" si="14"/>
        <v>106070.49715772543</v>
      </c>
      <c r="AG29" s="203">
        <f t="shared" si="14"/>
        <v>106070.49715772543</v>
      </c>
      <c r="AJ29" s="151"/>
      <c r="AL29" s="207"/>
      <c r="AM29" s="118"/>
      <c r="AN29" s="118"/>
      <c r="AO29" s="118"/>
    </row>
    <row r="30" spans="1:64" ht="15.5" outlineLevel="1" thickTop="1">
      <c r="AL30" s="102"/>
      <c r="AM30" s="2"/>
      <c r="AN30" s="2"/>
      <c r="AO30" s="2"/>
    </row>
    <row r="31" spans="1:64" outlineLevel="1">
      <c r="A31" t="s">
        <v>1472</v>
      </c>
      <c r="B31" s="165" t="s">
        <v>1513</v>
      </c>
      <c r="C31" s="101">
        <f>C29</f>
        <v>106070.49715772543</v>
      </c>
      <c r="D31" s="101">
        <f t="shared" ref="D31:AG31" si="15">D29</f>
        <v>106070.49715772543</v>
      </c>
      <c r="E31" s="101">
        <f t="shared" si="15"/>
        <v>106070.49715772543</v>
      </c>
      <c r="F31" s="101">
        <f t="shared" si="15"/>
        <v>106070.49715772543</v>
      </c>
      <c r="G31" s="101">
        <f t="shared" si="15"/>
        <v>106070.49715772543</v>
      </c>
      <c r="H31" s="101">
        <f t="shared" si="15"/>
        <v>106070.49715772543</v>
      </c>
      <c r="I31" s="101">
        <f t="shared" si="15"/>
        <v>106070.49715772543</v>
      </c>
      <c r="J31" s="101">
        <f t="shared" si="15"/>
        <v>106070.49715772543</v>
      </c>
      <c r="K31" s="101">
        <f t="shared" si="15"/>
        <v>106070.49715772543</v>
      </c>
      <c r="L31" s="101">
        <f t="shared" si="15"/>
        <v>106070.49715772543</v>
      </c>
      <c r="M31" s="101">
        <f t="shared" si="15"/>
        <v>106070.49715772543</v>
      </c>
      <c r="N31" s="101">
        <f t="shared" si="15"/>
        <v>106070.49715772543</v>
      </c>
      <c r="O31" s="101">
        <f t="shared" si="15"/>
        <v>106070.49715772543</v>
      </c>
      <c r="P31" s="101">
        <f t="shared" si="15"/>
        <v>106070.49715772543</v>
      </c>
      <c r="Q31" s="101">
        <f t="shared" si="15"/>
        <v>106070.49715772543</v>
      </c>
      <c r="R31" s="101">
        <f t="shared" si="15"/>
        <v>106070.49715772543</v>
      </c>
      <c r="S31" s="101">
        <f t="shared" si="15"/>
        <v>106070.49715772543</v>
      </c>
      <c r="T31" s="101">
        <f t="shared" si="15"/>
        <v>106070.49715772543</v>
      </c>
      <c r="U31" s="101">
        <f t="shared" si="15"/>
        <v>106070.49715772543</v>
      </c>
      <c r="V31" s="101">
        <f t="shared" si="15"/>
        <v>106070.49715772543</v>
      </c>
      <c r="W31" s="101">
        <f t="shared" si="15"/>
        <v>106070.49715772543</v>
      </c>
      <c r="X31" s="101">
        <f t="shared" si="15"/>
        <v>106070.49715772543</v>
      </c>
      <c r="Y31" s="101">
        <f t="shared" si="15"/>
        <v>106070.49715772543</v>
      </c>
      <c r="Z31" s="101">
        <f t="shared" si="15"/>
        <v>106070.49715772543</v>
      </c>
      <c r="AA31" s="101">
        <f t="shared" si="15"/>
        <v>106070.49715772543</v>
      </c>
      <c r="AB31" s="101">
        <f t="shared" si="15"/>
        <v>106070.49715772543</v>
      </c>
      <c r="AC31" s="101">
        <f t="shared" si="15"/>
        <v>106070.49715772543</v>
      </c>
      <c r="AD31" s="101">
        <f t="shared" si="15"/>
        <v>106070.49715772543</v>
      </c>
      <c r="AE31" s="101">
        <f t="shared" si="15"/>
        <v>106070.49715772543</v>
      </c>
      <c r="AF31" s="101">
        <f t="shared" si="15"/>
        <v>106070.49715772543</v>
      </c>
      <c r="AG31" s="101">
        <f t="shared" si="15"/>
        <v>106070.49715772543</v>
      </c>
      <c r="AL31" s="102"/>
      <c r="AM31" s="2"/>
      <c r="AN31" s="2"/>
      <c r="AO31" s="2"/>
    </row>
    <row r="32" spans="1:64" outlineLevel="1">
      <c r="AL32" s="102"/>
      <c r="AM32" s="2"/>
      <c r="AN32" s="2"/>
      <c r="AO32" s="2"/>
    </row>
    <row r="33" spans="1:64" outlineLevel="1">
      <c r="A33" t="s">
        <v>1473</v>
      </c>
      <c r="B33" s="51" t="s">
        <v>126</v>
      </c>
      <c r="C33" s="192">
        <f>'Yearly Butadiene'!AJ25/'Yearly Butadiene'!AJ18</f>
        <v>1</v>
      </c>
      <c r="D33" s="192">
        <f>'Yearly Butadiene'!AK25/'Yearly Butadiene'!AK18</f>
        <v>0.98931924000000004</v>
      </c>
      <c r="E33" s="192">
        <f>'Yearly Butadiene'!AL25/'Yearly Butadiene'!AL18</f>
        <v>0.97863847999999987</v>
      </c>
      <c r="F33" s="192">
        <f>'Yearly Butadiene'!AM25/'Yearly Butadiene'!AM18</f>
        <v>0.96795772000000002</v>
      </c>
      <c r="G33" s="192">
        <f>'Yearly Butadiene'!AN25/'Yearly Butadiene'!AN18</f>
        <v>0.95727696000000007</v>
      </c>
      <c r="H33" s="192">
        <f>'Yearly Butadiene'!AO25/'Yearly Butadiene'!AO18</f>
        <v>0.9465962</v>
      </c>
      <c r="I33" s="192">
        <f>'Yearly Butadiene'!AP25/'Yearly Butadiene'!AP18</f>
        <v>0.93591543999999982</v>
      </c>
      <c r="J33" s="192">
        <f>'Yearly Butadiene'!AQ25/'Yearly Butadiene'!AQ18</f>
        <v>0.92523468000000009</v>
      </c>
      <c r="K33" s="192">
        <f>'Yearly Butadiene'!AR25/'Yearly Butadiene'!AR18</f>
        <v>0.91455392000000002</v>
      </c>
      <c r="L33" s="192">
        <f>'Yearly Butadiene'!AS25/'Yearly Butadiene'!AS18</f>
        <v>0.90387316000000006</v>
      </c>
      <c r="M33" s="192">
        <f>'Yearly Butadiene'!AT25/'Yearly Butadiene'!AT18</f>
        <v>0.89319239999999989</v>
      </c>
      <c r="N33" s="192">
        <f>'Yearly Butadiene'!AU25/'Yearly Butadiene'!AU18</f>
        <v>0.87486299999999995</v>
      </c>
      <c r="O33" s="192">
        <f>'Yearly Butadiene'!AV25/'Yearly Butadiene'!AV18</f>
        <v>0.85958643000000001</v>
      </c>
      <c r="P33" s="192">
        <f>'Yearly Butadiene'!AW25/'Yearly Butadiene'!AW18</f>
        <v>0.84094121999999993</v>
      </c>
      <c r="Q33" s="192">
        <f>'Yearly Butadiene'!AX25/'Yearly Butadiene'!AX18</f>
        <v>0.82229600999999986</v>
      </c>
      <c r="R33" s="192">
        <f>'Yearly Butadiene'!AY25/'Yearly Butadiene'!AY18</f>
        <v>0.80365080000000011</v>
      </c>
      <c r="S33" s="192">
        <f>'Yearly Butadiene'!AZ25/'Yearly Butadiene'!AZ18</f>
        <v>0.78500559000000003</v>
      </c>
      <c r="T33" s="192">
        <f>'Yearly Butadiene'!BA25/'Yearly Butadiene'!BA18</f>
        <v>0.76636037999999995</v>
      </c>
      <c r="U33" s="192">
        <f>'Yearly Butadiene'!BB25/'Yearly Butadiene'!BB18</f>
        <v>0.74771516999999987</v>
      </c>
      <c r="V33" s="192">
        <f>'Yearly Butadiene'!BC25/'Yearly Butadiene'!BC18</f>
        <v>0.72906996000000002</v>
      </c>
      <c r="W33" s="192">
        <f>'Yearly Butadiene'!BD25/'Yearly Butadiene'!BD18</f>
        <v>0.71042475000000005</v>
      </c>
      <c r="X33" s="192">
        <f>'Yearly Butadiene'!BE25/'Yearly Butadiene'!BE18</f>
        <v>0.68173823</v>
      </c>
      <c r="Y33" s="192">
        <f>'Yearly Butadiene'!BF25/'Yearly Butadiene'!BF18</f>
        <v>0.66272176000000005</v>
      </c>
      <c r="Z33" s="192">
        <f>'Yearly Butadiene'!BG25/'Yearly Butadiene'!BG18</f>
        <v>0.6437052900000001</v>
      </c>
      <c r="AA33" s="192">
        <f>'Yearly Butadiene'!BH25/'Yearly Butadiene'!BH18</f>
        <v>0.62468881999999992</v>
      </c>
      <c r="AB33" s="192">
        <f>'Yearly Butadiene'!BI25/'Yearly Butadiene'!BI18</f>
        <v>0.60567235000000008</v>
      </c>
      <c r="AC33" s="192">
        <f>'Yearly Butadiene'!BJ25/'Yearly Butadiene'!BJ18</f>
        <v>0.58665588000000013</v>
      </c>
      <c r="AD33" s="192">
        <f>'Yearly Butadiene'!BK25/'Yearly Butadiene'!BK18</f>
        <v>0.56763940999999996</v>
      </c>
      <c r="AE33" s="192">
        <f>'Yearly Butadiene'!BL25/'Yearly Butadiene'!BL18</f>
        <v>0.54862294</v>
      </c>
      <c r="AF33" s="192">
        <f>'Yearly Butadiene'!BM25/'Yearly Butadiene'!BM18</f>
        <v>0.52960647000000005</v>
      </c>
      <c r="AG33" s="192">
        <f>'Yearly Butadiene'!BN25/'Yearly Butadiene'!BN18</f>
        <v>0.5105900000000001</v>
      </c>
      <c r="AL33" s="102"/>
      <c r="AM33" s="194"/>
      <c r="AN33" s="194"/>
      <c r="AO33" s="194"/>
      <c r="BC33" s="1"/>
      <c r="BD33" s="550"/>
      <c r="BE33" s="550"/>
      <c r="BF33" s="550"/>
      <c r="BG33" s="550"/>
      <c r="BH33" s="550"/>
      <c r="BI33" s="550"/>
      <c r="BJ33" s="550"/>
      <c r="BK33" s="550"/>
    </row>
    <row r="34" spans="1:64" outlineLevel="1">
      <c r="A34" t="s">
        <v>1474</v>
      </c>
      <c r="B34" s="51" t="s">
        <v>126</v>
      </c>
      <c r="C34" s="192">
        <f>'Yearly Butadiene'!AJ17/'Yearly Butadiene'!AJ10</f>
        <v>1</v>
      </c>
      <c r="D34" s="192">
        <f>'Yearly Butadiene'!AK17/'Yearly Butadiene'!AK10</f>
        <v>0.99729999999999996</v>
      </c>
      <c r="E34" s="192">
        <f>'Yearly Butadiene'!AL17/'Yearly Butadiene'!AL10</f>
        <v>0.99460000000000004</v>
      </c>
      <c r="F34" s="192">
        <f>'Yearly Butadiene'!AM17/'Yearly Butadiene'!AM10</f>
        <v>0.9919</v>
      </c>
      <c r="G34" s="192">
        <f>'Yearly Butadiene'!AN17/'Yearly Butadiene'!AN10</f>
        <v>0.98919999999999997</v>
      </c>
      <c r="H34" s="192">
        <f>'Yearly Butadiene'!AO17/'Yearly Butadiene'!AO10</f>
        <v>0.98649999999999993</v>
      </c>
      <c r="I34" s="192">
        <f>'Yearly Butadiene'!AP17/'Yearly Butadiene'!AP10</f>
        <v>0.98380000000000001</v>
      </c>
      <c r="J34" s="192">
        <f>'Yearly Butadiene'!AQ17/'Yearly Butadiene'!AQ10</f>
        <v>0.98109999999999997</v>
      </c>
      <c r="K34" s="192">
        <f>'Yearly Butadiene'!AR17/'Yearly Butadiene'!AR10</f>
        <v>0.97839999999999994</v>
      </c>
      <c r="L34" s="192">
        <f>'Yearly Butadiene'!AS17/'Yearly Butadiene'!AS10</f>
        <v>0.9756999999999999</v>
      </c>
      <c r="M34" s="192">
        <f>'Yearly Butadiene'!AT17/'Yearly Butadiene'!AT10</f>
        <v>0.97299999999999998</v>
      </c>
      <c r="N34" s="192">
        <f>'Yearly Butadiene'!AU17/'Yearly Butadiene'!AU10</f>
        <v>0.96490000000000009</v>
      </c>
      <c r="O34" s="192">
        <f>'Yearly Butadiene'!AV17/'Yearly Butadiene'!AV10</f>
        <v>0.95680000000000009</v>
      </c>
      <c r="P34" s="192">
        <f>'Yearly Butadiene'!AW17/'Yearly Butadiene'!AW10</f>
        <v>0.94869999999999999</v>
      </c>
      <c r="Q34" s="192">
        <f>'Yearly Butadiene'!AX17/'Yearly Butadiene'!AX10</f>
        <v>0.94059999999999999</v>
      </c>
      <c r="R34" s="192">
        <f>'Yearly Butadiene'!AY17/'Yearly Butadiene'!AY10</f>
        <v>0.9325</v>
      </c>
      <c r="S34" s="192">
        <f>'Yearly Butadiene'!AZ17/'Yearly Butadiene'!AZ10</f>
        <v>0.9244</v>
      </c>
      <c r="T34" s="192">
        <f>'Yearly Butadiene'!BA17/'Yearly Butadiene'!BA10</f>
        <v>0.91629999999999989</v>
      </c>
      <c r="U34" s="192">
        <f>'Yearly Butadiene'!BB17/'Yearly Butadiene'!BB10</f>
        <v>0.9081999999999999</v>
      </c>
      <c r="V34" s="192">
        <f>'Yearly Butadiene'!BC17/'Yearly Butadiene'!BC10</f>
        <v>0.90010000000000001</v>
      </c>
      <c r="W34" s="192">
        <f>'Yearly Butadiene'!BD17/'Yearly Butadiene'!BD10</f>
        <v>0.89200000000000002</v>
      </c>
      <c r="X34" s="192">
        <f>'Yearly Butadiene'!BE17/'Yearly Butadiene'!BE10</f>
        <v>0.87580000000000002</v>
      </c>
      <c r="Y34" s="192">
        <f>'Yearly Butadiene'!BF17/'Yearly Butadiene'!BF10</f>
        <v>0.85959999999999992</v>
      </c>
      <c r="Z34" s="192">
        <f>'Yearly Butadiene'!BG17/'Yearly Butadiene'!BG10</f>
        <v>0.84340000000000004</v>
      </c>
      <c r="AA34" s="192">
        <f>'Yearly Butadiene'!BH17/'Yearly Butadiene'!BH10</f>
        <v>0.82720000000000005</v>
      </c>
      <c r="AB34" s="192">
        <f>'Yearly Butadiene'!BI17/'Yearly Butadiene'!BI10</f>
        <v>0.81099999999999994</v>
      </c>
      <c r="AC34" s="192">
        <f>'Yearly Butadiene'!BJ17/'Yearly Butadiene'!BJ10</f>
        <v>0.79479999999999995</v>
      </c>
      <c r="AD34" s="192">
        <f>'Yearly Butadiene'!BK17/'Yearly Butadiene'!BK10</f>
        <v>0.77859999999999996</v>
      </c>
      <c r="AE34" s="192">
        <f>'Yearly Butadiene'!BL17/'Yearly Butadiene'!BL10</f>
        <v>0.76240000000000008</v>
      </c>
      <c r="AF34" s="192">
        <f>'Yearly Butadiene'!BM17/'Yearly Butadiene'!BM10</f>
        <v>0.74619999999999997</v>
      </c>
      <c r="AG34" s="192">
        <f>'Yearly Butadiene'!BN17/'Yearly Butadiene'!BN10</f>
        <v>0.73</v>
      </c>
      <c r="AL34" s="102"/>
      <c r="AM34" s="194"/>
      <c r="AN34" s="194"/>
      <c r="AO34" s="194"/>
      <c r="BL34" s="1"/>
    </row>
    <row r="35" spans="1:64" outlineLevel="1">
      <c r="A35" t="s">
        <v>1475</v>
      </c>
      <c r="B35" s="51" t="s">
        <v>126</v>
      </c>
      <c r="C35" s="192">
        <f>'Yearly Butadiene'!AJ29/'Yearly Butadiene'!AJ26</f>
        <v>1</v>
      </c>
      <c r="D35" s="192">
        <f>'Yearly Butadiene'!AK29/'Yearly Butadiene'!AK26</f>
        <v>0.99273999999999996</v>
      </c>
      <c r="E35" s="192">
        <f>'Yearly Butadiene'!AL29/'Yearly Butadiene'!AL26</f>
        <v>0.98548000000000013</v>
      </c>
      <c r="F35" s="192">
        <f>'Yearly Butadiene'!AM29/'Yearly Butadiene'!AM26</f>
        <v>0.97822000000000009</v>
      </c>
      <c r="G35" s="192">
        <f>'Yearly Butadiene'!AN29/'Yearly Butadiene'!AN26</f>
        <v>0.97095999999999993</v>
      </c>
      <c r="H35" s="192">
        <f>'Yearly Butadiene'!AO29/'Yearly Butadiene'!AO26</f>
        <v>0.96369999999999989</v>
      </c>
      <c r="I35" s="192">
        <f>'Yearly Butadiene'!AP29/'Yearly Butadiene'!AP26</f>
        <v>0.95644000000000007</v>
      </c>
      <c r="J35" s="192">
        <f>'Yearly Butadiene'!AQ29/'Yearly Butadiene'!AQ26</f>
        <v>0.94918000000000002</v>
      </c>
      <c r="K35" s="192">
        <f>'Yearly Butadiene'!AR29/'Yearly Butadiene'!AR26</f>
        <v>0.94191999999999998</v>
      </c>
      <c r="L35" s="192">
        <f>'Yearly Butadiene'!AS29/'Yearly Butadiene'!AS26</f>
        <v>0.93465999999999994</v>
      </c>
      <c r="M35" s="192">
        <f>'Yearly Butadiene'!AT29/'Yearly Butadiene'!AT26</f>
        <v>0.9274</v>
      </c>
      <c r="N35" s="192">
        <f>'Yearly Butadiene'!AU29/'Yearly Butadiene'!AU26</f>
        <v>0.92013999999999996</v>
      </c>
      <c r="O35" s="192">
        <f>'Yearly Butadiene'!AV29/'Yearly Butadiene'!AV26</f>
        <v>0.91287999999999991</v>
      </c>
      <c r="P35" s="192">
        <f>'Yearly Butadiene'!AW29/'Yearly Butadiene'!AW26</f>
        <v>0.90561999999999987</v>
      </c>
      <c r="Q35" s="192">
        <f>'Yearly Butadiene'!AX29/'Yearly Butadiene'!AX26</f>
        <v>0.89836000000000005</v>
      </c>
      <c r="R35" s="192">
        <f>'Yearly Butadiene'!AY29/'Yearly Butadiene'!AY26</f>
        <v>0.8911</v>
      </c>
      <c r="S35" s="192">
        <f>'Yearly Butadiene'!AZ29/'Yearly Butadiene'!AZ26</f>
        <v>0.88383999999999996</v>
      </c>
      <c r="T35" s="192">
        <f>'Yearly Butadiene'!BA29/'Yearly Butadiene'!BA26</f>
        <v>0.87658000000000003</v>
      </c>
      <c r="U35" s="192">
        <f>'Yearly Butadiene'!BB29/'Yearly Butadiene'!BB26</f>
        <v>0.86931999999999998</v>
      </c>
      <c r="V35" s="192">
        <f>'Yearly Butadiene'!BC29/'Yearly Butadiene'!BC26</f>
        <v>0.86205999999999994</v>
      </c>
      <c r="W35" s="192">
        <f>'Yearly Butadiene'!BD29/'Yearly Butadiene'!BD26</f>
        <v>0.85479999999999989</v>
      </c>
      <c r="X35" s="192">
        <f>'Yearly Butadiene'!BE29/'Yearly Butadiene'!BE26</f>
        <v>0.84732000000000007</v>
      </c>
      <c r="Y35" s="192">
        <f>'Yearly Butadiene'!BF29/'Yearly Butadiene'!BF26</f>
        <v>0.83984000000000003</v>
      </c>
      <c r="Z35" s="192">
        <f>'Yearly Butadiene'!BG29/'Yearly Butadiene'!BG26</f>
        <v>0.8323600000000001</v>
      </c>
      <c r="AA35" s="192">
        <f>'Yearly Butadiene'!BH29/'Yearly Butadiene'!BH26</f>
        <v>0.82488000000000006</v>
      </c>
      <c r="AB35" s="192">
        <f>'Yearly Butadiene'!BI29/'Yearly Butadiene'!BI26</f>
        <v>0.8173999999999999</v>
      </c>
      <c r="AC35" s="192">
        <f>'Yearly Butadiene'!BJ29/'Yearly Butadiene'!BJ26</f>
        <v>0.80991999999999997</v>
      </c>
      <c r="AD35" s="192">
        <f>'Yearly Butadiene'!BK29/'Yearly Butadiene'!BK26</f>
        <v>0.80244000000000004</v>
      </c>
      <c r="AE35" s="192">
        <f>'Yearly Butadiene'!BL29/'Yearly Butadiene'!BL26</f>
        <v>0.79496</v>
      </c>
      <c r="AF35" s="192">
        <f>'Yearly Butadiene'!BM29/'Yearly Butadiene'!BM26</f>
        <v>0.78748000000000007</v>
      </c>
      <c r="AG35" s="192">
        <f>'Yearly Butadiene'!BN29/'Yearly Butadiene'!BN26</f>
        <v>0.78</v>
      </c>
      <c r="AL35" s="102"/>
      <c r="AM35" s="194"/>
      <c r="AN35" s="194"/>
      <c r="AO35" s="194"/>
      <c r="BD35" s="38"/>
      <c r="BE35" s="38"/>
      <c r="BF35" s="38"/>
      <c r="BG35" s="38"/>
      <c r="BH35" s="38"/>
      <c r="BI35" s="38"/>
      <c r="BJ35" s="38"/>
      <c r="BK35" s="38"/>
      <c r="BL35" s="112"/>
    </row>
    <row r="36" spans="1:64" outlineLevel="1">
      <c r="A36" t="s">
        <v>1476</v>
      </c>
      <c r="B36" s="51" t="s">
        <v>126</v>
      </c>
      <c r="C36" s="192">
        <f>'Yearly Butadiene'!AJ35/'Yearly Butadiene'!AJ30</f>
        <v>1</v>
      </c>
      <c r="D36" s="192">
        <f>'Yearly Butadiene'!AK35/'Yearly Butadiene'!AK30</f>
        <v>0.98455000000000004</v>
      </c>
      <c r="E36" s="192">
        <f>'Yearly Butadiene'!AL35/'Yearly Butadiene'!AL30</f>
        <v>0.96909999999999996</v>
      </c>
      <c r="F36" s="192">
        <f>'Yearly Butadiene'!AM35/'Yearly Butadiene'!AM30</f>
        <v>0.95365</v>
      </c>
      <c r="G36" s="192">
        <f>'Yearly Butadiene'!AN35/'Yearly Butadiene'!AN30</f>
        <v>0.93819999999999992</v>
      </c>
      <c r="H36" s="192">
        <f>'Yearly Butadiene'!AO35/'Yearly Butadiene'!AO30</f>
        <v>0.92274999999999996</v>
      </c>
      <c r="I36" s="192">
        <f>'Yearly Butadiene'!AP35/'Yearly Butadiene'!AP30</f>
        <v>0.90729999999999988</v>
      </c>
      <c r="J36" s="192">
        <f>'Yearly Butadiene'!AQ35/'Yearly Butadiene'!AQ30</f>
        <v>0.89185000000000003</v>
      </c>
      <c r="K36" s="192">
        <f>'Yearly Butadiene'!AR35/'Yearly Butadiene'!AR30</f>
        <v>0.87640000000000007</v>
      </c>
      <c r="L36" s="192">
        <f>'Yearly Butadiene'!AS35/'Yearly Butadiene'!AS30</f>
        <v>0.86094999999999999</v>
      </c>
      <c r="M36" s="192">
        <f>'Yearly Butadiene'!AT35/'Yearly Butadiene'!AT30</f>
        <v>0.84550000000000003</v>
      </c>
      <c r="N36" s="192">
        <f>'Yearly Butadiene'!AU35/'Yearly Butadiene'!AU30</f>
        <v>0.83460000000000001</v>
      </c>
      <c r="O36" s="192">
        <f>'Yearly Butadiene'!AV35/'Yearly Butadiene'!AV30</f>
        <v>0.8237000000000001</v>
      </c>
      <c r="P36" s="192">
        <f>'Yearly Butadiene'!AW35/'Yearly Butadiene'!AW30</f>
        <v>0.81279999999999986</v>
      </c>
      <c r="Q36" s="192">
        <f>'Yearly Butadiene'!AX35/'Yearly Butadiene'!AX30</f>
        <v>0.80189999999999995</v>
      </c>
      <c r="R36" s="192">
        <f>'Yearly Butadiene'!AY35/'Yearly Butadiene'!AY30</f>
        <v>0.79099999999999993</v>
      </c>
      <c r="S36" s="192">
        <f>'Yearly Butadiene'!AZ35/'Yearly Butadiene'!AZ30</f>
        <v>0.78010000000000002</v>
      </c>
      <c r="T36" s="192">
        <f>'Yearly Butadiene'!BA35/'Yearly Butadiene'!BA30</f>
        <v>0.76919999999999999</v>
      </c>
      <c r="U36" s="192">
        <f>'Yearly Butadiene'!BB35/'Yearly Butadiene'!BB30</f>
        <v>0.75829999999999997</v>
      </c>
      <c r="V36" s="192">
        <f>'Yearly Butadiene'!BC35/'Yearly Butadiene'!BC30</f>
        <v>0.74740000000000006</v>
      </c>
      <c r="W36" s="192">
        <f>'Yearly Butadiene'!BD35/'Yearly Butadiene'!BD30</f>
        <v>0.73649999999999993</v>
      </c>
      <c r="X36" s="192">
        <f>'Yearly Butadiene'!BE35/'Yearly Butadiene'!BE30</f>
        <v>0.72334999999999994</v>
      </c>
      <c r="Y36" s="192">
        <f>'Yearly Butadiene'!BF35/'Yearly Butadiene'!BF30</f>
        <v>0.71019999999999994</v>
      </c>
      <c r="Z36" s="192">
        <f>'Yearly Butadiene'!BG35/'Yearly Butadiene'!BG30</f>
        <v>0.69705000000000006</v>
      </c>
      <c r="AA36" s="192">
        <f>'Yearly Butadiene'!BH35/'Yearly Butadiene'!BH30</f>
        <v>0.68389999999999995</v>
      </c>
      <c r="AB36" s="192">
        <f>'Yearly Butadiene'!BI35/'Yearly Butadiene'!BI30</f>
        <v>0.67074999999999996</v>
      </c>
      <c r="AC36" s="192">
        <f>'Yearly Butadiene'!BJ35/'Yearly Butadiene'!BJ30</f>
        <v>0.65759999999999996</v>
      </c>
      <c r="AD36" s="192">
        <f>'Yearly Butadiene'!BK35/'Yearly Butadiene'!BK30</f>
        <v>0.64444999999999997</v>
      </c>
      <c r="AE36" s="192">
        <f>'Yearly Butadiene'!BL35/'Yearly Butadiene'!BL30</f>
        <v>0.63129999999999986</v>
      </c>
      <c r="AF36" s="192">
        <f>'Yearly Butadiene'!BM35/'Yearly Butadiene'!BM30</f>
        <v>0.61814999999999998</v>
      </c>
      <c r="AG36" s="192">
        <f>'Yearly Butadiene'!BN35/'Yearly Butadiene'!BN30</f>
        <v>0.60499999999999998</v>
      </c>
      <c r="AL36" s="102"/>
      <c r="AM36" s="194"/>
      <c r="AN36" s="194"/>
      <c r="AO36" s="194"/>
      <c r="BD36" s="38"/>
      <c r="BE36" s="38"/>
      <c r="BF36" s="38"/>
      <c r="BG36" s="38"/>
      <c r="BH36" s="38"/>
      <c r="BI36" s="38"/>
      <c r="BJ36" s="38"/>
      <c r="BK36" s="38"/>
      <c r="BL36" s="112"/>
    </row>
    <row r="37" spans="1:64" outlineLevel="1">
      <c r="A37" t="s">
        <v>1477</v>
      </c>
      <c r="B37" s="165" t="s">
        <v>126</v>
      </c>
      <c r="C37" s="148">
        <f>'Yearly Butadiene'!AJ39/'Yearly Butadiene'!AJ36</f>
        <v>1</v>
      </c>
      <c r="D37" s="148">
        <f>'Yearly Butadiene'!AK39/'Yearly Butadiene'!AK36</f>
        <v>0.99670000000000003</v>
      </c>
      <c r="E37" s="148">
        <f>'Yearly Butadiene'!AL39/'Yearly Butadiene'!AL36</f>
        <v>0.99340000000000017</v>
      </c>
      <c r="F37" s="148">
        <f>'Yearly Butadiene'!AM39/'Yearly Butadiene'!AM36</f>
        <v>0.99009999999999998</v>
      </c>
      <c r="G37" s="148">
        <f>'Yearly Butadiene'!AN39/'Yearly Butadiene'!AN36</f>
        <v>0.98680000000000001</v>
      </c>
      <c r="H37" s="148">
        <f>'Yearly Butadiene'!AO39/'Yearly Butadiene'!AO36</f>
        <v>0.98349999999999993</v>
      </c>
      <c r="I37" s="148">
        <f>'Yearly Butadiene'!AP39/'Yearly Butadiene'!AP36</f>
        <v>0.98020000000000007</v>
      </c>
      <c r="J37" s="148">
        <f>'Yearly Butadiene'!AQ39/'Yearly Butadiene'!AQ36</f>
        <v>0.97689999999999999</v>
      </c>
      <c r="K37" s="148">
        <f>'Yearly Butadiene'!AR39/'Yearly Butadiene'!AR36</f>
        <v>0.97360000000000002</v>
      </c>
      <c r="L37" s="148">
        <f>'Yearly Butadiene'!AS39/'Yearly Butadiene'!AS36</f>
        <v>0.97029999999999994</v>
      </c>
      <c r="M37" s="148">
        <f>'Yearly Butadiene'!AT39/'Yearly Butadiene'!AT36</f>
        <v>0.96700000000000008</v>
      </c>
      <c r="N37" s="148">
        <f>'Yearly Butadiene'!AU39/'Yearly Butadiene'!AU36</f>
        <v>0.9637</v>
      </c>
      <c r="O37" s="148">
        <f>'Yearly Butadiene'!AV39/'Yearly Butadiene'!AV36</f>
        <v>0.96039999999999992</v>
      </c>
      <c r="P37" s="148">
        <f>'Yearly Butadiene'!AW39/'Yearly Butadiene'!AW36</f>
        <v>0.95710000000000006</v>
      </c>
      <c r="Q37" s="148">
        <f>'Yearly Butadiene'!AX39/'Yearly Butadiene'!AX36</f>
        <v>0.95380000000000009</v>
      </c>
      <c r="R37" s="148">
        <f>'Yearly Butadiene'!AY39/'Yearly Butadiene'!AY36</f>
        <v>0.9504999999999999</v>
      </c>
      <c r="S37" s="148">
        <f>'Yearly Butadiene'!AZ39/'Yearly Butadiene'!AZ36</f>
        <v>0.94719999999999993</v>
      </c>
      <c r="T37" s="148">
        <f>'Yearly Butadiene'!BA39/'Yearly Butadiene'!BA36</f>
        <v>0.94390000000000007</v>
      </c>
      <c r="U37" s="148">
        <f>'Yearly Butadiene'!BB39/'Yearly Butadiene'!BB36</f>
        <v>0.9406000000000001</v>
      </c>
      <c r="V37" s="148">
        <f>'Yearly Butadiene'!BC39/'Yearly Butadiene'!BC36</f>
        <v>0.93729999999999991</v>
      </c>
      <c r="W37" s="148">
        <f>'Yearly Butadiene'!BD39/'Yearly Butadiene'!BD36</f>
        <v>0.93399999999999994</v>
      </c>
      <c r="X37" s="148">
        <f>'Yearly Butadiene'!BE39/'Yearly Butadiene'!BE36</f>
        <v>0.93060000000000009</v>
      </c>
      <c r="Y37" s="148">
        <f>'Yearly Butadiene'!BF39/'Yearly Butadiene'!BF36</f>
        <v>0.92720000000000002</v>
      </c>
      <c r="Z37" s="148">
        <f>'Yearly Butadiene'!BG39/'Yearly Butadiene'!BG36</f>
        <v>0.92379999999999984</v>
      </c>
      <c r="AA37" s="148">
        <f>'Yearly Butadiene'!BH39/'Yearly Butadiene'!BH36</f>
        <v>0.9204</v>
      </c>
      <c r="AB37" s="148">
        <f>'Yearly Butadiene'!BI39/'Yearly Butadiene'!BI36</f>
        <v>0.91699999999999993</v>
      </c>
      <c r="AC37" s="148">
        <f>'Yearly Butadiene'!BJ39/'Yearly Butadiene'!BJ36</f>
        <v>0.91359999999999997</v>
      </c>
      <c r="AD37" s="148">
        <f>'Yearly Butadiene'!BK39/'Yearly Butadiene'!BK36</f>
        <v>0.91020000000000012</v>
      </c>
      <c r="AE37" s="148">
        <f>'Yearly Butadiene'!BL39/'Yearly Butadiene'!BL36</f>
        <v>0.90679999999999994</v>
      </c>
      <c r="AF37" s="148">
        <f>'Yearly Butadiene'!BM39/'Yearly Butadiene'!BM36</f>
        <v>0.90340000000000009</v>
      </c>
      <c r="AG37" s="148">
        <f>'Yearly Butadiene'!BN39/'Yearly Butadiene'!BN36</f>
        <v>0.9</v>
      </c>
      <c r="AI37" s="124"/>
      <c r="AL37" s="102"/>
      <c r="AM37" s="194"/>
      <c r="AN37" s="194"/>
      <c r="AO37" s="194"/>
      <c r="BD37" s="38"/>
      <c r="BE37" s="38"/>
      <c r="BF37" s="38"/>
      <c r="BG37" s="38"/>
      <c r="BH37" s="38"/>
      <c r="BI37" s="38"/>
      <c r="BJ37" s="38"/>
      <c r="BK37" s="38"/>
      <c r="BL37" s="112"/>
    </row>
    <row r="38" spans="1:64" outlineLevel="1">
      <c r="AI38" t="s">
        <v>421</v>
      </c>
      <c r="BD38" s="38"/>
      <c r="BE38" s="38"/>
      <c r="BF38" s="38"/>
      <c r="BG38" s="38"/>
      <c r="BH38" s="38"/>
      <c r="BI38" s="38"/>
      <c r="BJ38" s="38"/>
      <c r="BK38" s="38"/>
      <c r="BL38" s="112"/>
    </row>
    <row r="39" spans="1:64" outlineLevel="1">
      <c r="A39" t="s">
        <v>1478</v>
      </c>
      <c r="B39" s="51" t="s">
        <v>1513</v>
      </c>
      <c r="C39" s="101">
        <f>C24*C33</f>
        <v>2962.5386753115972</v>
      </c>
      <c r="D39" s="101">
        <f t="shared" ref="D39:AF39" si="16">D24*D33</f>
        <v>2930.8965107298764</v>
      </c>
      <c r="E39" s="101">
        <f t="shared" si="16"/>
        <v>2899.2543461481546</v>
      </c>
      <c r="F39" s="101">
        <f t="shared" si="16"/>
        <v>2867.6121815664342</v>
      </c>
      <c r="G39" s="101">
        <f t="shared" si="16"/>
        <v>2835.9700169847129</v>
      </c>
      <c r="H39" s="101">
        <f t="shared" si="16"/>
        <v>2804.3278524029915</v>
      </c>
      <c r="I39" s="101">
        <f t="shared" si="16"/>
        <v>2772.6856878212702</v>
      </c>
      <c r="J39" s="101">
        <f t="shared" si="16"/>
        <v>2741.0435232395498</v>
      </c>
      <c r="K39" s="101">
        <f t="shared" si="16"/>
        <v>2709.4013586578285</v>
      </c>
      <c r="L39" s="101">
        <f t="shared" si="16"/>
        <v>2677.7591940761076</v>
      </c>
      <c r="M39" s="101">
        <f t="shared" si="16"/>
        <v>2646.1170294943859</v>
      </c>
      <c r="N39" s="101">
        <f t="shared" si="16"/>
        <v>2591.8154730991296</v>
      </c>
      <c r="O39" s="101">
        <f t="shared" si="16"/>
        <v>2546.558043648025</v>
      </c>
      <c r="P39" s="101">
        <f t="shared" si="16"/>
        <v>2491.3208879137183</v>
      </c>
      <c r="Q39" s="101">
        <f t="shared" si="16"/>
        <v>2436.0837321794115</v>
      </c>
      <c r="R39" s="101">
        <f t="shared" si="16"/>
        <v>2380.8465764451057</v>
      </c>
      <c r="S39" s="101">
        <f t="shared" si="16"/>
        <v>2325.609420710799</v>
      </c>
      <c r="T39" s="101">
        <f t="shared" si="16"/>
        <v>2270.3722649764923</v>
      </c>
      <c r="U39" s="101">
        <f t="shared" si="16"/>
        <v>2215.1351092421855</v>
      </c>
      <c r="V39" s="101">
        <f t="shared" si="16"/>
        <v>2159.8979535078793</v>
      </c>
      <c r="W39" s="101">
        <f t="shared" si="16"/>
        <v>2104.660797773573</v>
      </c>
      <c r="X39" s="101">
        <f t="shared" si="16"/>
        <v>2019.675872813473</v>
      </c>
      <c r="Y39" s="101">
        <f t="shared" si="16"/>
        <v>1963.3388449705703</v>
      </c>
      <c r="Z39" s="101">
        <f t="shared" si="16"/>
        <v>1907.0018171276679</v>
      </c>
      <c r="AA39" s="101">
        <f t="shared" si="16"/>
        <v>1850.6647892847645</v>
      </c>
      <c r="AB39" s="101">
        <f t="shared" si="16"/>
        <v>1794.3277614418623</v>
      </c>
      <c r="AC39" s="101">
        <f t="shared" si="16"/>
        <v>1737.9907335989597</v>
      </c>
      <c r="AD39" s="101">
        <f t="shared" si="16"/>
        <v>1681.6537057560565</v>
      </c>
      <c r="AE39" s="101">
        <f t="shared" si="16"/>
        <v>1625.3166779131539</v>
      </c>
      <c r="AF39" s="101">
        <f t="shared" si="16"/>
        <v>1568.9796500702514</v>
      </c>
      <c r="AG39" s="101">
        <f>AG24*AG33</f>
        <v>1512.6426222273487</v>
      </c>
      <c r="AI39" s="197" t="s">
        <v>281</v>
      </c>
      <c r="AJ39" s="198" t="s">
        <v>422</v>
      </c>
      <c r="BD39" s="38"/>
      <c r="BE39" s="38"/>
      <c r="BF39" s="38"/>
      <c r="BG39" s="38"/>
      <c r="BH39" s="38"/>
      <c r="BI39" s="38"/>
      <c r="BJ39" s="38"/>
      <c r="BK39" s="38"/>
      <c r="BL39" s="112"/>
    </row>
    <row r="40" spans="1:64" outlineLevel="1">
      <c r="A40" t="s">
        <v>1479</v>
      </c>
      <c r="B40" s="51" t="s">
        <v>1513</v>
      </c>
      <c r="C40" s="101">
        <f>C25*$C$34</f>
        <v>58105.321893626904</v>
      </c>
      <c r="D40" s="101">
        <f t="shared" ref="D40:O40" si="17">D25*$C$34</f>
        <v>58105.321893626904</v>
      </c>
      <c r="E40" s="101">
        <f t="shared" si="17"/>
        <v>58105.321893626904</v>
      </c>
      <c r="F40" s="101">
        <f t="shared" si="17"/>
        <v>58105.321893626904</v>
      </c>
      <c r="G40" s="101">
        <f t="shared" si="17"/>
        <v>58105.321893626904</v>
      </c>
      <c r="H40" s="101">
        <f t="shared" si="17"/>
        <v>58105.321893626904</v>
      </c>
      <c r="I40" s="101">
        <f t="shared" si="17"/>
        <v>58105.321893626904</v>
      </c>
      <c r="J40" s="101">
        <f t="shared" si="17"/>
        <v>58105.321893626904</v>
      </c>
      <c r="K40" s="101">
        <f t="shared" si="17"/>
        <v>58105.321893626904</v>
      </c>
      <c r="L40" s="101">
        <f t="shared" si="17"/>
        <v>58105.321893626904</v>
      </c>
      <c r="M40" s="101">
        <f t="shared" si="17"/>
        <v>58105.321893626904</v>
      </c>
      <c r="N40" s="101">
        <f t="shared" si="17"/>
        <v>58105.321893626904</v>
      </c>
      <c r="O40" s="101">
        <f t="shared" si="17"/>
        <v>58105.321893626904</v>
      </c>
      <c r="P40" s="101">
        <f t="shared" ref="P40:AG40" si="18">D34*P25</f>
        <v>57948.437524514113</v>
      </c>
      <c r="Q40" s="101">
        <f t="shared" si="18"/>
        <v>57791.553155401321</v>
      </c>
      <c r="R40" s="101">
        <f t="shared" si="18"/>
        <v>57634.668786288523</v>
      </c>
      <c r="S40" s="101">
        <f t="shared" si="18"/>
        <v>57477.784417175732</v>
      </c>
      <c r="T40" s="101">
        <f t="shared" si="18"/>
        <v>57320.90004806294</v>
      </c>
      <c r="U40" s="101">
        <f t="shared" si="18"/>
        <v>57164.015678950149</v>
      </c>
      <c r="V40" s="101">
        <f t="shared" si="18"/>
        <v>57007.131309837358</v>
      </c>
      <c r="W40" s="101">
        <f t="shared" si="18"/>
        <v>56850.246940724559</v>
      </c>
      <c r="X40" s="101">
        <f t="shared" si="18"/>
        <v>56693.362571611768</v>
      </c>
      <c r="Y40" s="101">
        <f t="shared" si="18"/>
        <v>56536.478202498976</v>
      </c>
      <c r="Z40" s="101">
        <f t="shared" si="18"/>
        <v>56065.825095160602</v>
      </c>
      <c r="AA40" s="101">
        <f t="shared" si="18"/>
        <v>55595.171987822228</v>
      </c>
      <c r="AB40" s="101">
        <f t="shared" si="18"/>
        <v>55124.51888048384</v>
      </c>
      <c r="AC40" s="101">
        <f t="shared" si="18"/>
        <v>54653.865773145466</v>
      </c>
      <c r="AD40" s="101">
        <f t="shared" si="18"/>
        <v>54183.212665807085</v>
      </c>
      <c r="AE40" s="101">
        <f t="shared" si="18"/>
        <v>53712.559558468711</v>
      </c>
      <c r="AF40" s="101">
        <f t="shared" si="18"/>
        <v>53241.90645113033</v>
      </c>
      <c r="AG40" s="101">
        <f t="shared" si="18"/>
        <v>52771.253343791948</v>
      </c>
      <c r="AI40" s="197" t="s">
        <v>282</v>
      </c>
      <c r="AJ40" s="198" t="s">
        <v>422</v>
      </c>
      <c r="BD40" s="38"/>
      <c r="BE40" s="38"/>
      <c r="BF40" s="38"/>
      <c r="BG40" s="38"/>
      <c r="BH40" s="38"/>
      <c r="BI40" s="38"/>
      <c r="BJ40" s="38"/>
      <c r="BK40" s="38"/>
      <c r="BL40" s="112"/>
    </row>
    <row r="41" spans="1:64" outlineLevel="1">
      <c r="A41" t="s">
        <v>1480</v>
      </c>
      <c r="B41" s="51" t="s">
        <v>1513</v>
      </c>
      <c r="C41" s="101">
        <f t="shared" ref="C41:AG41" si="19">C26</f>
        <v>1093.3845936328453</v>
      </c>
      <c r="D41" s="101">
        <f t="shared" si="19"/>
        <v>1093.3845936328453</v>
      </c>
      <c r="E41" s="101">
        <f t="shared" si="19"/>
        <v>1093.3845936328453</v>
      </c>
      <c r="F41" s="101">
        <f t="shared" si="19"/>
        <v>1093.3845936328453</v>
      </c>
      <c r="G41" s="101">
        <f t="shared" si="19"/>
        <v>1093.3845936328453</v>
      </c>
      <c r="H41" s="101">
        <f t="shared" si="19"/>
        <v>1093.3845936328453</v>
      </c>
      <c r="I41" s="101">
        <f t="shared" si="19"/>
        <v>1093.3845936328453</v>
      </c>
      <c r="J41" s="101">
        <f t="shared" si="19"/>
        <v>1093.3845936328453</v>
      </c>
      <c r="K41" s="101">
        <f t="shared" si="19"/>
        <v>1093.3845936328453</v>
      </c>
      <c r="L41" s="101">
        <f t="shared" si="19"/>
        <v>1093.3845936328453</v>
      </c>
      <c r="M41" s="101">
        <f t="shared" si="19"/>
        <v>1093.3845936328453</v>
      </c>
      <c r="N41" s="101">
        <f t="shared" si="19"/>
        <v>1093.3845936328453</v>
      </c>
      <c r="O41" s="101">
        <f t="shared" si="19"/>
        <v>1093.3845936328453</v>
      </c>
      <c r="P41" s="101">
        <f t="shared" si="19"/>
        <v>1093.3845936328453</v>
      </c>
      <c r="Q41" s="101">
        <f t="shared" si="19"/>
        <v>1093.3845936328453</v>
      </c>
      <c r="R41" s="101">
        <f t="shared" si="19"/>
        <v>1093.3845936328453</v>
      </c>
      <c r="S41" s="101">
        <f t="shared" si="19"/>
        <v>1093.3845936328453</v>
      </c>
      <c r="T41" s="101">
        <f t="shared" si="19"/>
        <v>1093.3845936328453</v>
      </c>
      <c r="U41" s="101">
        <f t="shared" si="19"/>
        <v>1093.3845936328453</v>
      </c>
      <c r="V41" s="101">
        <f t="shared" si="19"/>
        <v>1093.3845936328453</v>
      </c>
      <c r="W41" s="101">
        <f t="shared" si="19"/>
        <v>1093.3845936328453</v>
      </c>
      <c r="X41" s="101">
        <f t="shared" si="19"/>
        <v>1093.3845936328453</v>
      </c>
      <c r="Y41" s="101">
        <f t="shared" si="19"/>
        <v>1093.3845936328453</v>
      </c>
      <c r="Z41" s="101">
        <f t="shared" si="19"/>
        <v>1093.3845936328453</v>
      </c>
      <c r="AA41" s="101">
        <f t="shared" si="19"/>
        <v>1093.3845936328453</v>
      </c>
      <c r="AB41" s="101">
        <f t="shared" si="19"/>
        <v>1093.3845936328453</v>
      </c>
      <c r="AC41" s="101">
        <f t="shared" si="19"/>
        <v>1093.3845936328453</v>
      </c>
      <c r="AD41" s="101">
        <f t="shared" si="19"/>
        <v>1093.3845936328453</v>
      </c>
      <c r="AE41" s="101">
        <f t="shared" si="19"/>
        <v>1093.3845936328453</v>
      </c>
      <c r="AF41" s="101">
        <f t="shared" si="19"/>
        <v>1093.3845936328453</v>
      </c>
      <c r="AG41" s="101">
        <f t="shared" si="19"/>
        <v>1093.3845936328453</v>
      </c>
      <c r="AI41" s="197" t="s">
        <v>283</v>
      </c>
      <c r="AJ41" s="198" t="s">
        <v>422</v>
      </c>
      <c r="BD41" s="38"/>
      <c r="BE41" s="38"/>
      <c r="BF41" s="38"/>
      <c r="BG41" s="38"/>
      <c r="BH41" s="38"/>
      <c r="BI41" s="38"/>
      <c r="BJ41" s="38"/>
      <c r="BK41" s="38"/>
      <c r="BL41" s="112"/>
    </row>
    <row r="42" spans="1:64" outlineLevel="1">
      <c r="A42" t="s">
        <v>1481</v>
      </c>
      <c r="B42" s="51" t="s">
        <v>1513</v>
      </c>
      <c r="C42" s="246">
        <f t="shared" ref="C42:H42" si="20">C27*$C$36</f>
        <v>1.5355183400777599</v>
      </c>
      <c r="D42" s="246">
        <f t="shared" si="20"/>
        <v>1.5355183400777599</v>
      </c>
      <c r="E42" s="246">
        <f t="shared" si="20"/>
        <v>1.5355183400777599</v>
      </c>
      <c r="F42" s="246">
        <f t="shared" si="20"/>
        <v>1.5355183400777599</v>
      </c>
      <c r="G42" s="246">
        <f t="shared" si="20"/>
        <v>1.5355183400777599</v>
      </c>
      <c r="H42" s="246">
        <f t="shared" si="20"/>
        <v>1.5355183400777599</v>
      </c>
      <c r="I42" s="246">
        <f t="shared" ref="I42:AG43" si="21">I27*D36</f>
        <v>1.5117945817235585</v>
      </c>
      <c r="J42" s="246">
        <f t="shared" si="21"/>
        <v>1.4880708233693571</v>
      </c>
      <c r="K42" s="246">
        <f t="shared" si="21"/>
        <v>1.4643470650151558</v>
      </c>
      <c r="L42" s="246">
        <f t="shared" si="21"/>
        <v>1.4406233066609542</v>
      </c>
      <c r="M42" s="246">
        <f t="shared" si="21"/>
        <v>1.4168995483067528</v>
      </c>
      <c r="N42" s="246">
        <f t="shared" si="21"/>
        <v>1.3931757899525514</v>
      </c>
      <c r="O42" s="246">
        <f t="shared" si="21"/>
        <v>1.3694520315983503</v>
      </c>
      <c r="P42" s="246">
        <f t="shared" si="21"/>
        <v>1.3457282732441489</v>
      </c>
      <c r="Q42" s="246">
        <f t="shared" si="21"/>
        <v>1.3220045148899473</v>
      </c>
      <c r="R42" s="246">
        <f t="shared" si="21"/>
        <v>1.2982807565357459</v>
      </c>
      <c r="S42" s="246">
        <f t="shared" si="21"/>
        <v>1.2815436066288983</v>
      </c>
      <c r="T42" s="246">
        <f t="shared" si="21"/>
        <v>1.2648064567220509</v>
      </c>
      <c r="U42" s="246">
        <f t="shared" si="21"/>
        <v>1.2480693068152031</v>
      </c>
      <c r="V42" s="246">
        <f t="shared" si="21"/>
        <v>1.2313321569083555</v>
      </c>
      <c r="W42" s="246">
        <f t="shared" si="21"/>
        <v>1.2145950070015079</v>
      </c>
      <c r="X42" s="246">
        <f t="shared" si="21"/>
        <v>1.1978578570946605</v>
      </c>
      <c r="Y42" s="246">
        <f t="shared" si="21"/>
        <v>1.1811207071878129</v>
      </c>
      <c r="Z42" s="246">
        <f t="shared" si="21"/>
        <v>1.1643835572809653</v>
      </c>
      <c r="AA42" s="246">
        <f t="shared" si="21"/>
        <v>1.1476464073741179</v>
      </c>
      <c r="AB42" s="246">
        <f t="shared" si="21"/>
        <v>1.1309092574672701</v>
      </c>
      <c r="AC42" s="246">
        <f t="shared" si="21"/>
        <v>1.1107171912952476</v>
      </c>
      <c r="AD42" s="246">
        <f t="shared" si="21"/>
        <v>1.0905251251232251</v>
      </c>
      <c r="AE42" s="246">
        <f t="shared" si="21"/>
        <v>1.0703330589512026</v>
      </c>
      <c r="AF42" s="246">
        <f t="shared" si="21"/>
        <v>1.0501409927791798</v>
      </c>
      <c r="AG42" s="246">
        <f t="shared" si="21"/>
        <v>1.0299489266071573</v>
      </c>
      <c r="AI42" s="197" t="s">
        <v>284</v>
      </c>
      <c r="AJ42" s="198" t="s">
        <v>422</v>
      </c>
      <c r="AL42" s="5"/>
      <c r="AM42" s="103"/>
      <c r="AN42" s="103"/>
      <c r="AO42" s="103"/>
      <c r="BC42" s="1"/>
      <c r="BD42" s="112"/>
      <c r="BE42" s="112"/>
      <c r="BF42" s="112"/>
      <c r="BG42" s="112"/>
      <c r="BH42" s="112"/>
      <c r="BI42" s="112"/>
      <c r="BJ42" s="112"/>
      <c r="BK42" s="112"/>
      <c r="BL42" s="112"/>
    </row>
    <row r="43" spans="1:64" outlineLevel="1">
      <c r="A43" s="169" t="s">
        <v>1482</v>
      </c>
      <c r="B43" s="165" t="s">
        <v>1513</v>
      </c>
      <c r="C43" s="101">
        <f t="shared" ref="C43:H43" si="22">C28*$C$37</f>
        <v>43907.716476814014</v>
      </c>
      <c r="D43" s="101">
        <f t="shared" si="22"/>
        <v>43907.716476814014</v>
      </c>
      <c r="E43" s="101">
        <f t="shared" si="22"/>
        <v>43907.716476814014</v>
      </c>
      <c r="F43" s="101">
        <f t="shared" si="22"/>
        <v>43907.716476814014</v>
      </c>
      <c r="G43" s="101">
        <f t="shared" si="22"/>
        <v>43907.716476814014</v>
      </c>
      <c r="H43" s="101">
        <f t="shared" si="22"/>
        <v>43907.716476814014</v>
      </c>
      <c r="I43" s="101">
        <f t="shared" si="21"/>
        <v>43762.82101244053</v>
      </c>
      <c r="J43" s="101">
        <f t="shared" si="21"/>
        <v>43617.925548067047</v>
      </c>
      <c r="K43" s="101">
        <f t="shared" si="21"/>
        <v>43473.030083693557</v>
      </c>
      <c r="L43" s="101">
        <f t="shared" si="21"/>
        <v>43328.134619320066</v>
      </c>
      <c r="M43" s="101">
        <f t="shared" si="21"/>
        <v>43183.239154946583</v>
      </c>
      <c r="N43" s="101">
        <f t="shared" si="21"/>
        <v>43038.3436905731</v>
      </c>
      <c r="O43" s="101">
        <f t="shared" si="21"/>
        <v>42893.448226199609</v>
      </c>
      <c r="P43" s="101">
        <f t="shared" si="21"/>
        <v>42748.552761826126</v>
      </c>
      <c r="Q43" s="101">
        <f t="shared" si="21"/>
        <v>42603.657297452635</v>
      </c>
      <c r="R43" s="101">
        <f t="shared" si="21"/>
        <v>42458.761833079152</v>
      </c>
      <c r="S43" s="101">
        <f t="shared" si="21"/>
        <v>42313.866368705661</v>
      </c>
      <c r="T43" s="101">
        <f t="shared" si="21"/>
        <v>42168.970904332178</v>
      </c>
      <c r="U43" s="101">
        <f t="shared" si="21"/>
        <v>42024.075439958695</v>
      </c>
      <c r="V43" s="101">
        <f t="shared" si="21"/>
        <v>41879.179975585212</v>
      </c>
      <c r="W43" s="101">
        <f t="shared" si="21"/>
        <v>41734.284511211714</v>
      </c>
      <c r="X43" s="101">
        <f t="shared" si="21"/>
        <v>41589.389046838231</v>
      </c>
      <c r="Y43" s="101">
        <f t="shared" si="21"/>
        <v>41444.493582464747</v>
      </c>
      <c r="Z43" s="101">
        <f t="shared" si="21"/>
        <v>41299.598118091264</v>
      </c>
      <c r="AA43" s="101">
        <f t="shared" si="21"/>
        <v>41154.702653717774</v>
      </c>
      <c r="AB43" s="101">
        <f t="shared" si="21"/>
        <v>41009.807189344283</v>
      </c>
      <c r="AC43" s="101">
        <f t="shared" si="21"/>
        <v>40860.520953323125</v>
      </c>
      <c r="AD43" s="101">
        <f t="shared" si="21"/>
        <v>40711.234717301952</v>
      </c>
      <c r="AE43" s="101">
        <f t="shared" si="21"/>
        <v>40561.948481280779</v>
      </c>
      <c r="AF43" s="101">
        <f t="shared" si="21"/>
        <v>40412.66224525962</v>
      </c>
      <c r="AG43" s="101">
        <f t="shared" si="21"/>
        <v>40263.376009238447</v>
      </c>
      <c r="AI43" s="197" t="s">
        <v>284</v>
      </c>
      <c r="AJ43" s="198" t="s">
        <v>422</v>
      </c>
      <c r="AL43" s="102"/>
      <c r="AM43" s="2"/>
      <c r="AN43" s="2"/>
      <c r="AO43" s="2"/>
    </row>
    <row r="44" spans="1:64" s="1" customFormat="1" ht="15.5" thickBot="1">
      <c r="A44" s="187" t="s">
        <v>1483</v>
      </c>
      <c r="B44" s="202" t="s">
        <v>1513</v>
      </c>
      <c r="C44" s="203">
        <f>SUM(C39:C43)</f>
        <v>106070.49715772543</v>
      </c>
      <c r="D44" s="203">
        <f t="shared" ref="D44:AF44" si="23">SUM(D39:D43)</f>
        <v>106038.85499314372</v>
      </c>
      <c r="E44" s="203">
        <f t="shared" si="23"/>
        <v>106007.21282856198</v>
      </c>
      <c r="F44" s="203">
        <f t="shared" si="23"/>
        <v>105975.57066398027</v>
      </c>
      <c r="G44" s="203">
        <f t="shared" si="23"/>
        <v>105943.92849939855</v>
      </c>
      <c r="H44" s="203">
        <f t="shared" si="23"/>
        <v>105912.28633481683</v>
      </c>
      <c r="I44" s="203">
        <f t="shared" si="23"/>
        <v>105735.72498210327</v>
      </c>
      <c r="J44" s="203">
        <f t="shared" si="23"/>
        <v>105559.16362938972</v>
      </c>
      <c r="K44" s="203">
        <f t="shared" si="23"/>
        <v>105382.60227667615</v>
      </c>
      <c r="L44" s="203">
        <f t="shared" si="23"/>
        <v>105206.04092396257</v>
      </c>
      <c r="M44" s="203">
        <f t="shared" si="23"/>
        <v>105029.47957124902</v>
      </c>
      <c r="N44" s="203">
        <f t="shared" si="23"/>
        <v>104830.25882672193</v>
      </c>
      <c r="O44" s="203">
        <f t="shared" si="23"/>
        <v>104640.08220913899</v>
      </c>
      <c r="P44" s="203">
        <f t="shared" si="23"/>
        <v>104283.04149616003</v>
      </c>
      <c r="Q44" s="203">
        <f t="shared" si="23"/>
        <v>103926.00078318111</v>
      </c>
      <c r="R44" s="203">
        <f t="shared" si="23"/>
        <v>103568.96007020216</v>
      </c>
      <c r="S44" s="203">
        <f t="shared" si="23"/>
        <v>103211.92634383167</v>
      </c>
      <c r="T44" s="203">
        <f t="shared" si="23"/>
        <v>102854.89261746118</v>
      </c>
      <c r="U44" s="203">
        <f t="shared" si="23"/>
        <v>102497.85889109068</v>
      </c>
      <c r="V44" s="203">
        <f t="shared" si="23"/>
        <v>102140.8251647202</v>
      </c>
      <c r="W44" s="203">
        <f t="shared" si="23"/>
        <v>101783.7914383497</v>
      </c>
      <c r="X44" s="203">
        <f t="shared" si="23"/>
        <v>101397.00994275342</v>
      </c>
      <c r="Y44" s="203">
        <f t="shared" si="23"/>
        <v>101038.87634427432</v>
      </c>
      <c r="Z44" s="203">
        <f t="shared" si="23"/>
        <v>100366.97400756966</v>
      </c>
      <c r="AA44" s="203">
        <f t="shared" si="23"/>
        <v>99695.071670864971</v>
      </c>
      <c r="AB44" s="203">
        <f t="shared" si="23"/>
        <v>99023.169334160295</v>
      </c>
      <c r="AC44" s="203">
        <f t="shared" si="23"/>
        <v>98346.872770891699</v>
      </c>
      <c r="AD44" s="203">
        <f t="shared" si="23"/>
        <v>97670.57620762306</v>
      </c>
      <c r="AE44" s="203">
        <f t="shared" si="23"/>
        <v>96994.27964435445</v>
      </c>
      <c r="AF44" s="203">
        <f t="shared" si="23"/>
        <v>96317.983081085826</v>
      </c>
      <c r="AG44" s="203">
        <f>SUM(AG39:AG43)</f>
        <v>95641.686517817201</v>
      </c>
      <c r="AJ44" s="151"/>
      <c r="AL44" s="207"/>
      <c r="AM44" s="118"/>
      <c r="AN44" s="118"/>
      <c r="AO44" s="118"/>
    </row>
    <row r="45" spans="1:64" ht="15.5" thickTop="1">
      <c r="B45" s="165"/>
      <c r="C45" s="196"/>
      <c r="D45" s="196"/>
      <c r="E45" s="196"/>
      <c r="F45" s="196"/>
      <c r="G45" s="196"/>
      <c r="H45" s="196"/>
      <c r="I45" s="196"/>
      <c r="J45" s="196"/>
      <c r="K45" s="196"/>
      <c r="L45" s="196"/>
      <c r="M45" s="196"/>
      <c r="N45" s="196"/>
      <c r="O45" s="196"/>
      <c r="P45" s="196"/>
      <c r="Q45" s="196"/>
      <c r="R45" s="196"/>
      <c r="S45" s="196"/>
      <c r="T45" s="196"/>
      <c r="U45" s="196"/>
      <c r="V45" s="196"/>
      <c r="W45" s="196"/>
      <c r="X45" s="196"/>
      <c r="Y45" s="196"/>
      <c r="Z45" s="196"/>
      <c r="AA45" s="196"/>
      <c r="AB45" s="196"/>
      <c r="AC45" s="196"/>
      <c r="AD45" s="196"/>
      <c r="AE45" s="196"/>
      <c r="AF45" s="196"/>
      <c r="AG45" s="196"/>
      <c r="AL45" s="102"/>
      <c r="AM45" s="2"/>
      <c r="AN45" s="2"/>
      <c r="AO45" s="2"/>
    </row>
    <row r="46" spans="1:64" s="187" customFormat="1" ht="15.5" thickBot="1">
      <c r="A46" s="187" t="s">
        <v>431</v>
      </c>
      <c r="B46" s="202" t="s">
        <v>126</v>
      </c>
      <c r="C46" s="208">
        <f>C49</f>
        <v>0</v>
      </c>
      <c r="D46" s="208">
        <f t="shared" ref="D46:AG46" si="24">D49</f>
        <v>0</v>
      </c>
      <c r="E46" s="208">
        <f t="shared" si="24"/>
        <v>0</v>
      </c>
      <c r="F46" s="208">
        <f t="shared" si="24"/>
        <v>0</v>
      </c>
      <c r="G46" s="208">
        <f t="shared" si="24"/>
        <v>0</v>
      </c>
      <c r="H46" s="208">
        <f t="shared" si="24"/>
        <v>0</v>
      </c>
      <c r="I46" s="208">
        <f t="shared" si="24"/>
        <v>0</v>
      </c>
      <c r="J46" s="208">
        <f t="shared" si="24"/>
        <v>0</v>
      </c>
      <c r="K46" s="208">
        <f t="shared" si="24"/>
        <v>0</v>
      </c>
      <c r="L46" s="208">
        <f t="shared" si="24"/>
        <v>0</v>
      </c>
      <c r="M46" s="208">
        <f t="shared" si="24"/>
        <v>0</v>
      </c>
      <c r="N46" s="208">
        <f t="shared" si="24"/>
        <v>0</v>
      </c>
      <c r="O46" s="208">
        <f t="shared" si="24"/>
        <v>0</v>
      </c>
      <c r="P46" s="208">
        <f t="shared" si="24"/>
        <v>0</v>
      </c>
      <c r="Q46" s="208">
        <f t="shared" si="24"/>
        <v>0</v>
      </c>
      <c r="R46" s="208">
        <f t="shared" si="24"/>
        <v>0</v>
      </c>
      <c r="S46" s="208">
        <f t="shared" si="24"/>
        <v>0</v>
      </c>
      <c r="T46" s="208">
        <f t="shared" si="24"/>
        <v>0</v>
      </c>
      <c r="U46" s="208">
        <f t="shared" si="24"/>
        <v>0</v>
      </c>
      <c r="V46" s="208">
        <f t="shared" si="24"/>
        <v>0</v>
      </c>
      <c r="W46" s="208">
        <f t="shared" si="24"/>
        <v>0</v>
      </c>
      <c r="X46" s="208">
        <f t="shared" si="24"/>
        <v>0</v>
      </c>
      <c r="Y46" s="208">
        <f t="shared" si="24"/>
        <v>0</v>
      </c>
      <c r="Z46" s="208">
        <f t="shared" si="24"/>
        <v>0</v>
      </c>
      <c r="AA46" s="208">
        <f t="shared" si="24"/>
        <v>0</v>
      </c>
      <c r="AB46" s="208">
        <f t="shared" si="24"/>
        <v>0</v>
      </c>
      <c r="AC46" s="208">
        <f t="shared" si="24"/>
        <v>0</v>
      </c>
      <c r="AD46" s="208">
        <f t="shared" si="24"/>
        <v>0</v>
      </c>
      <c r="AE46" s="208">
        <f t="shared" si="24"/>
        <v>0</v>
      </c>
      <c r="AF46" s="208">
        <f t="shared" si="24"/>
        <v>0</v>
      </c>
      <c r="AG46" s="208">
        <f t="shared" si="24"/>
        <v>0</v>
      </c>
      <c r="AJ46" s="217" t="s">
        <v>473</v>
      </c>
      <c r="AL46" s="204"/>
      <c r="AM46" s="205"/>
      <c r="AN46" s="205"/>
      <c r="AO46" s="205"/>
    </row>
    <row r="47" spans="1:64" ht="15.5" outlineLevel="1" thickTop="1">
      <c r="A47" t="s">
        <v>423</v>
      </c>
      <c r="B47" s="51" t="s">
        <v>126</v>
      </c>
      <c r="C47" s="107">
        <v>0</v>
      </c>
      <c r="D47" s="104">
        <f>$C47+($M47-$C47)/10*(D$1-$C$1)</f>
        <v>0</v>
      </c>
      <c r="E47" s="104">
        <f t="shared" ref="E47:L48" si="25">$C47+($M47-$C47)/10*(E$1-$C$1)</f>
        <v>0</v>
      </c>
      <c r="F47" s="104">
        <f t="shared" si="25"/>
        <v>0</v>
      </c>
      <c r="G47" s="104">
        <f t="shared" si="25"/>
        <v>0</v>
      </c>
      <c r="H47" s="104">
        <f t="shared" si="25"/>
        <v>0</v>
      </c>
      <c r="I47" s="104">
        <f t="shared" si="25"/>
        <v>0</v>
      </c>
      <c r="J47" s="104">
        <f t="shared" si="25"/>
        <v>0</v>
      </c>
      <c r="K47" s="104">
        <f t="shared" si="25"/>
        <v>0</v>
      </c>
      <c r="L47" s="104">
        <f t="shared" si="25"/>
        <v>0</v>
      </c>
      <c r="M47" s="107">
        <v>0</v>
      </c>
      <c r="N47" s="104">
        <f>$M47+($W47-$M47)/10*(N$1-$M$1)</f>
        <v>0</v>
      </c>
      <c r="O47" s="104">
        <f t="shared" ref="O47:U48" si="26">$M47+($W47-$M47)/10*(O$1-$M$1)</f>
        <v>0</v>
      </c>
      <c r="P47" s="104">
        <f t="shared" si="26"/>
        <v>0</v>
      </c>
      <c r="Q47" s="104">
        <f t="shared" si="26"/>
        <v>0</v>
      </c>
      <c r="R47" s="104">
        <f t="shared" si="26"/>
        <v>0</v>
      </c>
      <c r="S47" s="104">
        <f t="shared" si="26"/>
        <v>0</v>
      </c>
      <c r="T47" s="104">
        <f t="shared" si="26"/>
        <v>0</v>
      </c>
      <c r="U47" s="104">
        <f t="shared" si="26"/>
        <v>0</v>
      </c>
      <c r="V47" s="104">
        <f>$M47+($W47-$M47)/10*(V$1-$M$1)</f>
        <v>0</v>
      </c>
      <c r="W47" s="107">
        <v>0</v>
      </c>
      <c r="X47" s="104">
        <f>$W47+($AG47-$W47)/10*(X$1-$W$1)</f>
        <v>0</v>
      </c>
      <c r="Y47" s="104">
        <f t="shared" ref="Y47:AF48" si="27">$W47+($AG47-$W47)/10*(Y$1-$W$1)</f>
        <v>0</v>
      </c>
      <c r="Z47" s="104">
        <f t="shared" si="27"/>
        <v>0</v>
      </c>
      <c r="AA47" s="104">
        <f t="shared" si="27"/>
        <v>0</v>
      </c>
      <c r="AB47" s="104">
        <f t="shared" si="27"/>
        <v>0</v>
      </c>
      <c r="AC47" s="104">
        <f t="shared" si="27"/>
        <v>0</v>
      </c>
      <c r="AD47" s="104">
        <f t="shared" si="27"/>
        <v>0</v>
      </c>
      <c r="AE47" s="104">
        <f t="shared" si="27"/>
        <v>0</v>
      </c>
      <c r="AF47" s="104">
        <f t="shared" si="27"/>
        <v>0</v>
      </c>
      <c r="AG47" s="104">
        <v>0</v>
      </c>
      <c r="AI47" s="126"/>
      <c r="AJ47" s="198" t="s">
        <v>484</v>
      </c>
      <c r="AL47" s="102"/>
      <c r="AM47" s="2"/>
      <c r="AN47" s="2"/>
      <c r="AO47" s="2"/>
      <c r="AV47" s="38"/>
    </row>
    <row r="48" spans="1:64" outlineLevel="1">
      <c r="A48" t="s">
        <v>425</v>
      </c>
      <c r="B48" s="51" t="s">
        <v>126</v>
      </c>
      <c r="C48" s="107">
        <v>0</v>
      </c>
      <c r="D48" s="104">
        <f>$C48+($M48-$C48)/10*(D$1-$C$1)</f>
        <v>0</v>
      </c>
      <c r="E48" s="104">
        <f t="shared" si="25"/>
        <v>0</v>
      </c>
      <c r="F48" s="104">
        <f t="shared" si="25"/>
        <v>0</v>
      </c>
      <c r="G48" s="104">
        <f t="shared" si="25"/>
        <v>0</v>
      </c>
      <c r="H48" s="104">
        <f t="shared" si="25"/>
        <v>0</v>
      </c>
      <c r="I48" s="104">
        <f t="shared" si="25"/>
        <v>0</v>
      </c>
      <c r="J48" s="104">
        <f t="shared" si="25"/>
        <v>0</v>
      </c>
      <c r="K48" s="104">
        <f t="shared" si="25"/>
        <v>0</v>
      </c>
      <c r="L48" s="104">
        <f t="shared" si="25"/>
        <v>0</v>
      </c>
      <c r="M48" s="107">
        <v>0</v>
      </c>
      <c r="N48" s="104">
        <f>$M48+($W48-$M48)/10*(N$1-$M$1)</f>
        <v>0</v>
      </c>
      <c r="O48" s="104">
        <f t="shared" si="26"/>
        <v>0</v>
      </c>
      <c r="P48" s="104">
        <f t="shared" si="26"/>
        <v>0</v>
      </c>
      <c r="Q48" s="104">
        <f t="shared" si="26"/>
        <v>0</v>
      </c>
      <c r="R48" s="104">
        <f t="shared" si="26"/>
        <v>0</v>
      </c>
      <c r="S48" s="104">
        <f t="shared" si="26"/>
        <v>0</v>
      </c>
      <c r="T48" s="104">
        <f t="shared" si="26"/>
        <v>0</v>
      </c>
      <c r="U48" s="104">
        <f t="shared" si="26"/>
        <v>0</v>
      </c>
      <c r="V48" s="104">
        <f>$M48+($W48-$M48)/10*(V$1-$M$1)</f>
        <v>0</v>
      </c>
      <c r="W48" s="107">
        <v>0</v>
      </c>
      <c r="X48" s="104">
        <f>$W48+($AG48-$W48)/10*(X$1-$W$1)</f>
        <v>0</v>
      </c>
      <c r="Y48" s="104">
        <f t="shared" si="27"/>
        <v>0</v>
      </c>
      <c r="Z48" s="104">
        <f t="shared" si="27"/>
        <v>0</v>
      </c>
      <c r="AA48" s="104">
        <f t="shared" si="27"/>
        <v>0</v>
      </c>
      <c r="AB48" s="104">
        <f t="shared" si="27"/>
        <v>0</v>
      </c>
      <c r="AC48" s="104">
        <f t="shared" si="27"/>
        <v>0</v>
      </c>
      <c r="AD48" s="104">
        <f t="shared" si="27"/>
        <v>0</v>
      </c>
      <c r="AE48" s="104">
        <f t="shared" si="27"/>
        <v>0</v>
      </c>
      <c r="AF48" s="104">
        <f t="shared" si="27"/>
        <v>0</v>
      </c>
      <c r="AG48" s="104">
        <v>0</v>
      </c>
      <c r="AI48" s="126"/>
      <c r="AJ48" s="198" t="s">
        <v>484</v>
      </c>
      <c r="AL48" s="102"/>
      <c r="AM48" s="2"/>
      <c r="AN48" s="2"/>
      <c r="AO48" s="2"/>
      <c r="AV48" s="38"/>
    </row>
    <row r="49" spans="1:63" outlineLevel="1">
      <c r="A49" t="s">
        <v>424</v>
      </c>
      <c r="B49" s="165" t="s">
        <v>126</v>
      </c>
      <c r="C49" s="104">
        <f>C47+C48</f>
        <v>0</v>
      </c>
      <c r="D49" s="104">
        <f t="shared" ref="D49:AF49" si="28">D47+D48</f>
        <v>0</v>
      </c>
      <c r="E49" s="104">
        <f t="shared" si="28"/>
        <v>0</v>
      </c>
      <c r="F49" s="104">
        <f t="shared" si="28"/>
        <v>0</v>
      </c>
      <c r="G49" s="104">
        <f t="shared" si="28"/>
        <v>0</v>
      </c>
      <c r="H49" s="104">
        <f t="shared" si="28"/>
        <v>0</v>
      </c>
      <c r="I49" s="104">
        <f t="shared" si="28"/>
        <v>0</v>
      </c>
      <c r="J49" s="104">
        <f t="shared" si="28"/>
        <v>0</v>
      </c>
      <c r="K49" s="104">
        <f t="shared" si="28"/>
        <v>0</v>
      </c>
      <c r="L49" s="104">
        <f t="shared" si="28"/>
        <v>0</v>
      </c>
      <c r="M49" s="104">
        <f t="shared" si="28"/>
        <v>0</v>
      </c>
      <c r="N49" s="104">
        <f t="shared" si="28"/>
        <v>0</v>
      </c>
      <c r="O49" s="104">
        <f t="shared" si="28"/>
        <v>0</v>
      </c>
      <c r="P49" s="104">
        <f t="shared" si="28"/>
        <v>0</v>
      </c>
      <c r="Q49" s="104">
        <f t="shared" si="28"/>
        <v>0</v>
      </c>
      <c r="R49" s="104">
        <f t="shared" si="28"/>
        <v>0</v>
      </c>
      <c r="S49" s="104">
        <f t="shared" si="28"/>
        <v>0</v>
      </c>
      <c r="T49" s="104">
        <f t="shared" si="28"/>
        <v>0</v>
      </c>
      <c r="U49" s="104">
        <f t="shared" si="28"/>
        <v>0</v>
      </c>
      <c r="V49" s="104">
        <f t="shared" si="28"/>
        <v>0</v>
      </c>
      <c r="W49" s="104">
        <f t="shared" si="28"/>
        <v>0</v>
      </c>
      <c r="X49" s="104">
        <f t="shared" si="28"/>
        <v>0</v>
      </c>
      <c r="Y49" s="104">
        <f t="shared" si="28"/>
        <v>0</v>
      </c>
      <c r="Z49" s="104">
        <f t="shared" si="28"/>
        <v>0</v>
      </c>
      <c r="AA49" s="104">
        <f t="shared" si="28"/>
        <v>0</v>
      </c>
      <c r="AB49" s="104">
        <f t="shared" si="28"/>
        <v>0</v>
      </c>
      <c r="AC49" s="104">
        <f t="shared" si="28"/>
        <v>0</v>
      </c>
      <c r="AD49" s="104">
        <f t="shared" si="28"/>
        <v>0</v>
      </c>
      <c r="AE49" s="104">
        <f t="shared" si="28"/>
        <v>0</v>
      </c>
      <c r="AF49" s="104">
        <f t="shared" si="28"/>
        <v>0</v>
      </c>
      <c r="AG49" s="104">
        <f>AG47+AG48</f>
        <v>0</v>
      </c>
      <c r="AI49" s="126"/>
      <c r="AJ49" s="198"/>
      <c r="AL49" s="102"/>
      <c r="AM49" s="2"/>
      <c r="AN49" s="2"/>
      <c r="AO49" s="2"/>
    </row>
    <row r="50" spans="1:63" outlineLevel="1">
      <c r="C50" s="107"/>
      <c r="D50" s="104"/>
      <c r="E50" s="104"/>
      <c r="F50" s="104"/>
      <c r="G50" s="104"/>
      <c r="H50" s="104"/>
      <c r="I50" s="104"/>
      <c r="J50" s="104"/>
      <c r="K50" s="104"/>
      <c r="L50" s="104"/>
      <c r="M50" s="107"/>
      <c r="N50" s="104"/>
      <c r="O50" s="104"/>
      <c r="P50" s="104"/>
      <c r="Q50" s="104"/>
      <c r="R50" s="104"/>
      <c r="S50" s="104"/>
      <c r="T50" s="104"/>
      <c r="U50" s="104"/>
      <c r="V50" s="104"/>
      <c r="W50" s="107"/>
      <c r="X50" s="104"/>
      <c r="Y50" s="104"/>
      <c r="Z50" s="104"/>
      <c r="AA50" s="104"/>
      <c r="AB50" s="104"/>
      <c r="AC50" s="104"/>
      <c r="AD50" s="104"/>
      <c r="AE50" s="104"/>
      <c r="AF50" s="104"/>
      <c r="AG50" s="107"/>
      <c r="AI50" s="126"/>
      <c r="AJ50" s="198"/>
      <c r="AL50" s="102"/>
      <c r="AM50" s="2"/>
      <c r="AN50" s="2"/>
      <c r="AO50" s="2"/>
      <c r="AV50" s="38"/>
    </row>
    <row r="51" spans="1:63" outlineLevel="1">
      <c r="A51" t="s">
        <v>438</v>
      </c>
      <c r="B51" s="51" t="s">
        <v>126</v>
      </c>
      <c r="C51" s="104">
        <f>'Ethylene Recycling HC'!C567</f>
        <v>0</v>
      </c>
      <c r="D51" s="104">
        <f>'Ethylene Recycling HC'!D567</f>
        <v>0</v>
      </c>
      <c r="E51" s="104">
        <f>'Ethylene Recycling HC'!E567</f>
        <v>0</v>
      </c>
      <c r="F51" s="104">
        <f>'Ethylene Recycling HC'!F567</f>
        <v>0</v>
      </c>
      <c r="G51" s="104">
        <f>'Ethylene Recycling HC'!G567</f>
        <v>0</v>
      </c>
      <c r="H51" s="104">
        <f>'Ethylene Recycling HC'!H567</f>
        <v>0</v>
      </c>
      <c r="I51" s="104">
        <f>'Ethylene Recycling HC'!I567</f>
        <v>0</v>
      </c>
      <c r="J51" s="104">
        <f>'Ethylene Recycling HC'!J567</f>
        <v>0</v>
      </c>
      <c r="K51" s="104">
        <f>'Ethylene Recycling HC'!K567</f>
        <v>0</v>
      </c>
      <c r="L51" s="104">
        <f>'Ethylene Recycling HC'!L567</f>
        <v>0</v>
      </c>
      <c r="M51" s="104">
        <f>'Ethylene Recycling HC'!M567</f>
        <v>0</v>
      </c>
      <c r="N51" s="104">
        <f>'Ethylene Recycling HC'!N567</f>
        <v>0</v>
      </c>
      <c r="O51" s="104">
        <f>'Ethylene Recycling HC'!O567</f>
        <v>0</v>
      </c>
      <c r="P51" s="104">
        <f>'Ethylene Recycling HC'!P567</f>
        <v>0</v>
      </c>
      <c r="Q51" s="104">
        <f>'Ethylene Recycling HC'!Q567</f>
        <v>0</v>
      </c>
      <c r="R51" s="104">
        <f>'Ethylene Recycling HC'!R567</f>
        <v>0</v>
      </c>
      <c r="S51" s="104">
        <f>'Ethylene Recycling HC'!S567</f>
        <v>0</v>
      </c>
      <c r="T51" s="104">
        <f>'Ethylene Recycling HC'!T567</f>
        <v>0</v>
      </c>
      <c r="U51" s="104">
        <f>'Ethylene Recycling HC'!U567</f>
        <v>0</v>
      </c>
      <c r="V51" s="104">
        <f>'Ethylene Recycling HC'!V567</f>
        <v>0</v>
      </c>
      <c r="W51" s="104">
        <f>'Ethylene Recycling HC'!W567</f>
        <v>0</v>
      </c>
      <c r="X51" s="104">
        <f>'Ethylene Recycling HC'!X567</f>
        <v>0</v>
      </c>
      <c r="Y51" s="104">
        <f>'Ethylene Recycling HC'!Y567</f>
        <v>0</v>
      </c>
      <c r="Z51" s="104">
        <f>'Ethylene Recycling HC'!Z567</f>
        <v>0</v>
      </c>
      <c r="AA51" s="104">
        <f>'Ethylene Recycling HC'!AA567</f>
        <v>0</v>
      </c>
      <c r="AB51" s="104">
        <f>'Ethylene Recycling HC'!AB567</f>
        <v>0</v>
      </c>
      <c r="AC51" s="104">
        <f>'Ethylene Recycling HC'!AC567</f>
        <v>0</v>
      </c>
      <c r="AD51" s="104">
        <f>'Ethylene Recycling HC'!AD567</f>
        <v>0</v>
      </c>
      <c r="AE51" s="104">
        <f>'Ethylene Recycling HC'!AE567</f>
        <v>0</v>
      </c>
      <c r="AF51" s="104">
        <f>'Ethylene Recycling HC'!AF567</f>
        <v>0</v>
      </c>
      <c r="AG51" s="104">
        <f>'Ethylene Recycling HC'!AG567</f>
        <v>0</v>
      </c>
      <c r="AI51" s="126"/>
      <c r="AJ51" s="198" t="s">
        <v>832</v>
      </c>
      <c r="AL51" s="102"/>
      <c r="AM51" s="2"/>
      <c r="AN51" s="2"/>
      <c r="AO51" s="2"/>
      <c r="AV51" s="38"/>
    </row>
    <row r="52" spans="1:63" outlineLevel="1">
      <c r="A52" t="s">
        <v>439</v>
      </c>
      <c r="C52" s="104">
        <v>0</v>
      </c>
      <c r="D52" s="104">
        <v>0</v>
      </c>
      <c r="E52" s="104">
        <v>0</v>
      </c>
      <c r="F52" s="104">
        <v>0</v>
      </c>
      <c r="G52" s="104">
        <v>0</v>
      </c>
      <c r="H52" s="104">
        <v>0</v>
      </c>
      <c r="I52" s="104">
        <v>0</v>
      </c>
      <c r="J52" s="104">
        <v>0</v>
      </c>
      <c r="K52" s="104">
        <v>0</v>
      </c>
      <c r="L52" s="104">
        <v>0</v>
      </c>
      <c r="M52" s="104">
        <v>0</v>
      </c>
      <c r="N52" s="104">
        <v>0</v>
      </c>
      <c r="O52" s="104">
        <v>0</v>
      </c>
      <c r="P52" s="104">
        <v>0</v>
      </c>
      <c r="Q52" s="104">
        <v>0</v>
      </c>
      <c r="R52" s="104">
        <v>0</v>
      </c>
      <c r="S52" s="104">
        <v>0</v>
      </c>
      <c r="T52" s="104">
        <v>0</v>
      </c>
      <c r="U52" s="104">
        <v>0</v>
      </c>
      <c r="V52" s="104">
        <v>0</v>
      </c>
      <c r="W52" s="104">
        <v>0</v>
      </c>
      <c r="X52" s="104">
        <v>0</v>
      </c>
      <c r="Y52" s="104">
        <v>0</v>
      </c>
      <c r="Z52" s="104">
        <v>0</v>
      </c>
      <c r="AA52" s="104">
        <v>0</v>
      </c>
      <c r="AB52" s="104">
        <v>0</v>
      </c>
      <c r="AC52" s="104">
        <v>0</v>
      </c>
      <c r="AD52" s="104">
        <v>0</v>
      </c>
      <c r="AE52" s="104">
        <v>0</v>
      </c>
      <c r="AF52" s="104">
        <v>0</v>
      </c>
      <c r="AG52" s="104">
        <v>0</v>
      </c>
      <c r="AI52" s="126"/>
      <c r="AJ52" s="198" t="s">
        <v>832</v>
      </c>
      <c r="AL52" s="102"/>
      <c r="AM52" s="2"/>
      <c r="AN52" s="2"/>
      <c r="AO52" s="2"/>
      <c r="AV52" s="38"/>
    </row>
    <row r="53" spans="1:63" outlineLevel="1">
      <c r="A53" t="s">
        <v>831</v>
      </c>
      <c r="B53" s="51" t="s">
        <v>126</v>
      </c>
      <c r="C53" s="104">
        <v>0</v>
      </c>
      <c r="D53" s="104">
        <v>0</v>
      </c>
      <c r="E53" s="104">
        <v>0</v>
      </c>
      <c r="F53" s="104">
        <v>0</v>
      </c>
      <c r="G53" s="104">
        <v>0</v>
      </c>
      <c r="H53" s="104">
        <v>0</v>
      </c>
      <c r="I53" s="104">
        <v>0</v>
      </c>
      <c r="J53" s="104">
        <v>0</v>
      </c>
      <c r="K53" s="104">
        <v>0</v>
      </c>
      <c r="L53" s="104">
        <v>0</v>
      </c>
      <c r="M53" s="104">
        <v>0</v>
      </c>
      <c r="N53" s="104">
        <v>0</v>
      </c>
      <c r="O53" s="104">
        <v>0</v>
      </c>
      <c r="P53" s="104">
        <v>0</v>
      </c>
      <c r="Q53" s="104">
        <v>0</v>
      </c>
      <c r="R53" s="104">
        <v>0</v>
      </c>
      <c r="S53" s="104">
        <v>0</v>
      </c>
      <c r="T53" s="104">
        <v>0</v>
      </c>
      <c r="U53" s="104">
        <v>0</v>
      </c>
      <c r="V53" s="104">
        <v>0</v>
      </c>
      <c r="W53" s="104">
        <v>0</v>
      </c>
      <c r="X53" s="104">
        <v>0</v>
      </c>
      <c r="Y53" s="104">
        <v>0</v>
      </c>
      <c r="Z53" s="104">
        <v>0</v>
      </c>
      <c r="AA53" s="104">
        <v>0</v>
      </c>
      <c r="AB53" s="104">
        <v>0</v>
      </c>
      <c r="AC53" s="104">
        <v>0</v>
      </c>
      <c r="AD53" s="104">
        <v>0</v>
      </c>
      <c r="AE53" s="104">
        <v>0</v>
      </c>
      <c r="AF53" s="104">
        <v>0</v>
      </c>
      <c r="AG53" s="104">
        <v>0</v>
      </c>
      <c r="AI53" s="126"/>
      <c r="AJ53" s="198" t="s">
        <v>832</v>
      </c>
      <c r="AL53" s="102"/>
      <c r="AM53" s="2"/>
      <c r="AN53" s="2"/>
      <c r="AO53" s="2"/>
      <c r="AV53" s="38"/>
    </row>
    <row r="54" spans="1:63" outlineLevel="1">
      <c r="A54" t="s">
        <v>440</v>
      </c>
      <c r="B54" s="51" t="s">
        <v>126</v>
      </c>
      <c r="C54" s="104">
        <v>0</v>
      </c>
      <c r="D54" s="104">
        <v>0</v>
      </c>
      <c r="E54" s="104">
        <v>0</v>
      </c>
      <c r="F54" s="104">
        <v>0</v>
      </c>
      <c r="G54" s="104">
        <v>0</v>
      </c>
      <c r="H54" s="104">
        <v>0</v>
      </c>
      <c r="I54" s="104">
        <v>0</v>
      </c>
      <c r="J54" s="104">
        <v>0</v>
      </c>
      <c r="K54" s="104">
        <v>0</v>
      </c>
      <c r="L54" s="104">
        <v>0</v>
      </c>
      <c r="M54" s="104">
        <v>0</v>
      </c>
      <c r="N54" s="104">
        <v>0</v>
      </c>
      <c r="O54" s="104">
        <v>0</v>
      </c>
      <c r="P54" s="104">
        <v>0</v>
      </c>
      <c r="Q54" s="104">
        <v>0</v>
      </c>
      <c r="R54" s="104">
        <v>0</v>
      </c>
      <c r="S54" s="104">
        <v>0</v>
      </c>
      <c r="T54" s="104">
        <v>0</v>
      </c>
      <c r="U54" s="104">
        <v>0</v>
      </c>
      <c r="V54" s="104">
        <v>0</v>
      </c>
      <c r="W54" s="104">
        <v>0</v>
      </c>
      <c r="X54" s="104">
        <v>0</v>
      </c>
      <c r="Y54" s="104">
        <v>0</v>
      </c>
      <c r="Z54" s="104">
        <v>0</v>
      </c>
      <c r="AA54" s="104">
        <v>0</v>
      </c>
      <c r="AB54" s="104">
        <v>0</v>
      </c>
      <c r="AC54" s="104">
        <v>0</v>
      </c>
      <c r="AD54" s="104">
        <v>0</v>
      </c>
      <c r="AE54" s="104">
        <v>0</v>
      </c>
      <c r="AF54" s="104">
        <v>0</v>
      </c>
      <c r="AG54" s="104">
        <v>0</v>
      </c>
      <c r="AI54" s="126"/>
      <c r="AJ54" s="198" t="s">
        <v>832</v>
      </c>
      <c r="AL54" s="102"/>
      <c r="AM54" s="2"/>
      <c r="AN54" s="2"/>
      <c r="AO54" s="2"/>
      <c r="AV54" s="38"/>
    </row>
    <row r="55" spans="1:63" outlineLevel="1">
      <c r="A55" t="s">
        <v>438</v>
      </c>
      <c r="B55" s="51" t="s">
        <v>126</v>
      </c>
      <c r="C55" s="104">
        <v>0</v>
      </c>
      <c r="D55" s="104">
        <v>0</v>
      </c>
      <c r="E55" s="104">
        <v>0</v>
      </c>
      <c r="F55" s="104">
        <v>0</v>
      </c>
      <c r="G55" s="104">
        <v>0</v>
      </c>
      <c r="H55" s="104">
        <v>0</v>
      </c>
      <c r="I55" s="104">
        <v>0</v>
      </c>
      <c r="J55" s="104">
        <v>0</v>
      </c>
      <c r="K55" s="104">
        <v>0</v>
      </c>
      <c r="L55" s="104">
        <v>0</v>
      </c>
      <c r="M55" s="104">
        <v>0</v>
      </c>
      <c r="N55" s="104">
        <v>0</v>
      </c>
      <c r="O55" s="104">
        <v>0</v>
      </c>
      <c r="P55" s="104">
        <v>0</v>
      </c>
      <c r="Q55" s="104">
        <v>0</v>
      </c>
      <c r="R55" s="104">
        <v>0</v>
      </c>
      <c r="S55" s="104">
        <v>0</v>
      </c>
      <c r="T55" s="104">
        <v>0</v>
      </c>
      <c r="U55" s="104">
        <v>0</v>
      </c>
      <c r="V55" s="104">
        <v>0</v>
      </c>
      <c r="W55" s="104">
        <v>0</v>
      </c>
      <c r="X55" s="104">
        <v>0</v>
      </c>
      <c r="Y55" s="104">
        <v>0</v>
      </c>
      <c r="Z55" s="104">
        <v>0</v>
      </c>
      <c r="AA55" s="104">
        <v>0</v>
      </c>
      <c r="AB55" s="104">
        <v>0</v>
      </c>
      <c r="AC55" s="104">
        <v>0</v>
      </c>
      <c r="AD55" s="104">
        <v>0</v>
      </c>
      <c r="AE55" s="104">
        <v>0</v>
      </c>
      <c r="AF55" s="104">
        <v>0</v>
      </c>
      <c r="AG55" s="104">
        <v>0</v>
      </c>
      <c r="AH55" s="252"/>
      <c r="AI55" s="126"/>
      <c r="AJ55" s="198"/>
      <c r="AL55" s="102"/>
      <c r="AM55" s="2"/>
      <c r="AN55" s="2"/>
      <c r="AO55" s="2"/>
    </row>
    <row r="56" spans="1:63" outlineLevel="1">
      <c r="A56" t="s">
        <v>439</v>
      </c>
      <c r="B56" s="51" t="s">
        <v>126</v>
      </c>
      <c r="C56" s="104">
        <v>0</v>
      </c>
      <c r="D56" s="104">
        <v>0</v>
      </c>
      <c r="E56" s="104">
        <v>0</v>
      </c>
      <c r="F56" s="104">
        <v>0</v>
      </c>
      <c r="G56" s="104">
        <v>0</v>
      </c>
      <c r="H56" s="104">
        <v>0</v>
      </c>
      <c r="I56" s="104">
        <v>0</v>
      </c>
      <c r="J56" s="104">
        <v>0</v>
      </c>
      <c r="K56" s="104">
        <v>0</v>
      </c>
      <c r="L56" s="104">
        <v>0</v>
      </c>
      <c r="M56" s="104">
        <v>0</v>
      </c>
      <c r="N56" s="104">
        <v>0</v>
      </c>
      <c r="O56" s="104">
        <v>0</v>
      </c>
      <c r="P56" s="104">
        <v>0</v>
      </c>
      <c r="Q56" s="104">
        <v>0</v>
      </c>
      <c r="R56" s="104">
        <v>0</v>
      </c>
      <c r="S56" s="104">
        <v>0</v>
      </c>
      <c r="T56" s="104">
        <v>0</v>
      </c>
      <c r="U56" s="104">
        <v>0</v>
      </c>
      <c r="V56" s="104">
        <v>0</v>
      </c>
      <c r="W56" s="104">
        <v>0</v>
      </c>
      <c r="X56" s="104">
        <v>0</v>
      </c>
      <c r="Y56" s="104">
        <v>0</v>
      </c>
      <c r="Z56" s="104">
        <v>0</v>
      </c>
      <c r="AA56" s="104">
        <v>0</v>
      </c>
      <c r="AB56" s="104">
        <v>0</v>
      </c>
      <c r="AC56" s="104">
        <v>0</v>
      </c>
      <c r="AD56" s="104">
        <v>0</v>
      </c>
      <c r="AE56" s="104">
        <v>0</v>
      </c>
      <c r="AF56" s="104">
        <v>0</v>
      </c>
      <c r="AG56" s="104">
        <v>0</v>
      </c>
      <c r="AH56" s="252"/>
      <c r="AJ56" s="198"/>
      <c r="AL56" s="102"/>
      <c r="AM56" s="2"/>
      <c r="AN56" s="2"/>
      <c r="AO56" s="2"/>
      <c r="BC56" s="1"/>
      <c r="BD56" s="2"/>
      <c r="BE56" s="2"/>
      <c r="BF56" s="2"/>
      <c r="BG56" s="2"/>
      <c r="BH56" s="2"/>
      <c r="BI56" s="2"/>
      <c r="BJ56" s="2"/>
      <c r="BK56" s="2"/>
    </row>
    <row r="57" spans="1:63" outlineLevel="1">
      <c r="A57" t="s">
        <v>831</v>
      </c>
      <c r="C57" s="104">
        <v>0</v>
      </c>
      <c r="D57" s="104">
        <v>0</v>
      </c>
      <c r="E57" s="104">
        <v>0</v>
      </c>
      <c r="F57" s="104">
        <v>0</v>
      </c>
      <c r="G57" s="104">
        <v>0</v>
      </c>
      <c r="H57" s="104">
        <v>0</v>
      </c>
      <c r="I57" s="104">
        <v>0</v>
      </c>
      <c r="J57" s="104">
        <v>0</v>
      </c>
      <c r="K57" s="104">
        <v>0</v>
      </c>
      <c r="L57" s="104">
        <v>0</v>
      </c>
      <c r="M57" s="104">
        <v>0</v>
      </c>
      <c r="N57" s="104">
        <v>0</v>
      </c>
      <c r="O57" s="104">
        <v>0</v>
      </c>
      <c r="P57" s="104">
        <v>0</v>
      </c>
      <c r="Q57" s="104">
        <v>0</v>
      </c>
      <c r="R57" s="104">
        <v>0</v>
      </c>
      <c r="S57" s="104">
        <v>0</v>
      </c>
      <c r="T57" s="104">
        <v>0</v>
      </c>
      <c r="U57" s="104">
        <v>0</v>
      </c>
      <c r="V57" s="104">
        <v>0</v>
      </c>
      <c r="W57" s="104">
        <v>0</v>
      </c>
      <c r="X57" s="104">
        <v>0</v>
      </c>
      <c r="Y57" s="104">
        <v>0</v>
      </c>
      <c r="Z57" s="104">
        <v>0</v>
      </c>
      <c r="AA57" s="104">
        <v>0</v>
      </c>
      <c r="AB57" s="104">
        <v>0</v>
      </c>
      <c r="AC57" s="104">
        <v>0</v>
      </c>
      <c r="AD57" s="104">
        <v>0</v>
      </c>
      <c r="AE57" s="104">
        <v>0</v>
      </c>
      <c r="AF57" s="104">
        <v>0</v>
      </c>
      <c r="AG57" s="104">
        <v>0</v>
      </c>
      <c r="AH57" s="252"/>
      <c r="AJ57" s="198"/>
      <c r="AL57" s="102"/>
      <c r="AM57" s="2"/>
      <c r="AN57" s="2"/>
      <c r="AO57" s="2"/>
      <c r="BC57" s="1"/>
      <c r="BD57" s="2"/>
      <c r="BE57" s="2"/>
      <c r="BF57" s="2"/>
      <c r="BG57" s="2"/>
      <c r="BH57" s="2"/>
      <c r="BI57" s="2"/>
      <c r="BJ57" s="2"/>
      <c r="BK57" s="2"/>
    </row>
    <row r="58" spans="1:63" outlineLevel="1">
      <c r="A58" t="s">
        <v>440</v>
      </c>
      <c r="B58" s="51" t="s">
        <v>126</v>
      </c>
      <c r="C58" s="104">
        <v>0</v>
      </c>
      <c r="D58" s="104">
        <v>0</v>
      </c>
      <c r="E58" s="104">
        <v>0</v>
      </c>
      <c r="F58" s="104">
        <v>0</v>
      </c>
      <c r="G58" s="104">
        <v>0</v>
      </c>
      <c r="H58" s="104">
        <v>0</v>
      </c>
      <c r="I58" s="104">
        <v>0</v>
      </c>
      <c r="J58" s="104">
        <v>0</v>
      </c>
      <c r="K58" s="104">
        <v>0</v>
      </c>
      <c r="L58" s="104">
        <v>0</v>
      </c>
      <c r="M58" s="104">
        <v>0</v>
      </c>
      <c r="N58" s="104">
        <v>0</v>
      </c>
      <c r="O58" s="104">
        <v>0</v>
      </c>
      <c r="P58" s="104">
        <v>0</v>
      </c>
      <c r="Q58" s="104">
        <v>0</v>
      </c>
      <c r="R58" s="104">
        <v>0</v>
      </c>
      <c r="S58" s="104">
        <v>0</v>
      </c>
      <c r="T58" s="104">
        <v>0</v>
      </c>
      <c r="U58" s="104">
        <v>0</v>
      </c>
      <c r="V58" s="104">
        <v>0</v>
      </c>
      <c r="W58" s="104">
        <v>0</v>
      </c>
      <c r="X58" s="104">
        <v>0</v>
      </c>
      <c r="Y58" s="104">
        <v>0</v>
      </c>
      <c r="Z58" s="104">
        <v>0</v>
      </c>
      <c r="AA58" s="104">
        <v>0</v>
      </c>
      <c r="AB58" s="104">
        <v>0</v>
      </c>
      <c r="AC58" s="104">
        <v>0</v>
      </c>
      <c r="AD58" s="104">
        <v>0</v>
      </c>
      <c r="AE58" s="104">
        <v>0</v>
      </c>
      <c r="AF58" s="104">
        <v>0</v>
      </c>
      <c r="AG58" s="104">
        <v>0</v>
      </c>
      <c r="AH58" s="252"/>
      <c r="AI58" s="126"/>
      <c r="AJ58" s="198"/>
      <c r="AL58" s="102"/>
      <c r="AM58" s="2"/>
      <c r="AN58" s="2"/>
      <c r="AO58" s="2"/>
      <c r="BC58" s="1"/>
      <c r="BD58" s="2"/>
      <c r="BE58" s="2"/>
      <c r="BF58" s="2"/>
      <c r="BG58" s="2"/>
      <c r="BH58" s="2"/>
      <c r="BI58" s="2"/>
      <c r="BJ58" s="2"/>
      <c r="BK58" s="2"/>
    </row>
    <row r="59" spans="1:63" outlineLevel="1">
      <c r="C59" s="104"/>
      <c r="D59" s="104"/>
      <c r="E59" s="104"/>
      <c r="F59" s="104"/>
      <c r="G59" s="104"/>
      <c r="H59" s="104"/>
      <c r="I59" s="104"/>
      <c r="J59" s="104"/>
      <c r="K59" s="104"/>
      <c r="L59" s="104"/>
      <c r="M59" s="104"/>
      <c r="N59" s="104"/>
      <c r="O59" s="104"/>
      <c r="P59" s="104"/>
      <c r="Q59" s="104"/>
      <c r="R59" s="104"/>
      <c r="S59" s="104"/>
      <c r="T59" s="104"/>
      <c r="U59" s="104"/>
      <c r="V59" s="104"/>
      <c r="W59" s="104"/>
      <c r="X59" s="104"/>
      <c r="Y59" s="104"/>
      <c r="Z59" s="104"/>
      <c r="AA59" s="104"/>
      <c r="AB59" s="104"/>
      <c r="AC59" s="104"/>
      <c r="AD59" s="104"/>
      <c r="AE59" s="104"/>
      <c r="AF59" s="104"/>
      <c r="AG59" s="104"/>
      <c r="AI59" s="126"/>
      <c r="AJ59" s="198"/>
      <c r="AL59" s="102"/>
      <c r="AM59" s="2"/>
      <c r="AN59" s="2"/>
      <c r="AO59" s="2"/>
      <c r="BC59" s="1"/>
      <c r="BD59" s="2"/>
      <c r="BE59" s="2"/>
      <c r="BF59" s="2"/>
      <c r="BG59" s="2"/>
      <c r="BH59" s="2"/>
      <c r="BI59" s="2"/>
      <c r="BJ59" s="2"/>
      <c r="BK59" s="2"/>
    </row>
    <row r="60" spans="1:63" outlineLevel="1">
      <c r="A60" t="s">
        <v>1484</v>
      </c>
      <c r="C60" s="357">
        <f>('Overall recycling rates'!F84*'Yearly BTX'!D5+'Overall recycling rates'!G84*'Yearly BTX'!D6+'Overall recycling rates'!H84*'Yearly BTX'!D7)/'Yearly BTX'!D4</f>
        <v>1.3486413897778087</v>
      </c>
      <c r="D60" s="357">
        <f>C60-($C60-$AG60)/($AG$1-$C$1)</f>
        <v>1.3403533434518817</v>
      </c>
      <c r="E60" s="357">
        <f t="shared" ref="E60:AF60" si="29">D60-($C60-$AG60)/($AG$1-$C$1)</f>
        <v>1.3320652971259548</v>
      </c>
      <c r="F60" s="357">
        <f t="shared" si="29"/>
        <v>1.3237772508000278</v>
      </c>
      <c r="G60" s="357">
        <f t="shared" si="29"/>
        <v>1.3154892044741009</v>
      </c>
      <c r="H60" s="357">
        <f t="shared" si="29"/>
        <v>1.3072011581481739</v>
      </c>
      <c r="I60" s="357">
        <f t="shared" si="29"/>
        <v>1.298913111822247</v>
      </c>
      <c r="J60" s="357">
        <f t="shared" si="29"/>
        <v>1.2906250654963201</v>
      </c>
      <c r="K60" s="357">
        <f t="shared" si="29"/>
        <v>1.2823370191703931</v>
      </c>
      <c r="L60" s="357">
        <f t="shared" si="29"/>
        <v>1.2740489728444662</v>
      </c>
      <c r="M60" s="357">
        <f t="shared" si="29"/>
        <v>1.2657609265185392</v>
      </c>
      <c r="N60" s="357">
        <f t="shared" si="29"/>
        <v>1.2574728801926123</v>
      </c>
      <c r="O60" s="357">
        <f t="shared" si="29"/>
        <v>1.2491848338666853</v>
      </c>
      <c r="P60" s="357">
        <f t="shared" si="29"/>
        <v>1.2408967875407584</v>
      </c>
      <c r="Q60" s="357">
        <f t="shared" si="29"/>
        <v>1.2326087412148314</v>
      </c>
      <c r="R60" s="357">
        <f t="shared" si="29"/>
        <v>1.2243206948889045</v>
      </c>
      <c r="S60" s="357">
        <f t="shared" si="29"/>
        <v>1.2160326485629775</v>
      </c>
      <c r="T60" s="357">
        <f t="shared" si="29"/>
        <v>1.2077446022370506</v>
      </c>
      <c r="U60" s="357">
        <f t="shared" si="29"/>
        <v>1.1994565559111237</v>
      </c>
      <c r="V60" s="357">
        <f t="shared" si="29"/>
        <v>1.1911685095851967</v>
      </c>
      <c r="W60" s="357">
        <f t="shared" si="29"/>
        <v>1.1828804632592698</v>
      </c>
      <c r="X60" s="357">
        <f t="shared" si="29"/>
        <v>1.1745924169333428</v>
      </c>
      <c r="Y60" s="357">
        <f t="shared" si="29"/>
        <v>1.1663043706074159</v>
      </c>
      <c r="Z60" s="357">
        <f t="shared" si="29"/>
        <v>1.1580163242814889</v>
      </c>
      <c r="AA60" s="357">
        <f t="shared" si="29"/>
        <v>1.149728277955562</v>
      </c>
      <c r="AB60" s="357">
        <f t="shared" si="29"/>
        <v>1.141440231629635</v>
      </c>
      <c r="AC60" s="357">
        <f t="shared" si="29"/>
        <v>1.1331521853037081</v>
      </c>
      <c r="AD60" s="357">
        <f t="shared" si="29"/>
        <v>1.1248641389777811</v>
      </c>
      <c r="AE60" s="357">
        <f t="shared" si="29"/>
        <v>1.1165760926518542</v>
      </c>
      <c r="AF60" s="357">
        <f t="shared" si="29"/>
        <v>1.1082880463259273</v>
      </c>
      <c r="AG60" s="357">
        <f>'Overall recycling rates'!G93</f>
        <v>1.1000000000000001</v>
      </c>
      <c r="AI60" s="126"/>
      <c r="AJ60" s="198"/>
      <c r="AL60" s="102"/>
      <c r="AM60" s="2"/>
      <c r="AN60" s="2"/>
      <c r="AO60" s="2"/>
      <c r="BC60" s="1"/>
      <c r="BD60" s="2"/>
      <c r="BE60" s="2"/>
      <c r="BF60" s="2"/>
      <c r="BG60" s="2"/>
      <c r="BH60" s="2"/>
      <c r="BI60" s="2"/>
      <c r="BJ60" s="2"/>
      <c r="BK60" s="2"/>
    </row>
    <row r="61" spans="1:63" outlineLevel="1">
      <c r="A61" t="s">
        <v>1485</v>
      </c>
      <c r="B61" s="51" t="s">
        <v>126</v>
      </c>
      <c r="C61" s="104">
        <f>C47*C$60</f>
        <v>0</v>
      </c>
      <c r="D61" s="104">
        <f t="shared" ref="D61:AG62" si="30">D47*D$60</f>
        <v>0</v>
      </c>
      <c r="E61" s="104">
        <f t="shared" si="30"/>
        <v>0</v>
      </c>
      <c r="F61" s="104">
        <f t="shared" si="30"/>
        <v>0</v>
      </c>
      <c r="G61" s="104">
        <f t="shared" si="30"/>
        <v>0</v>
      </c>
      <c r="H61" s="104">
        <f t="shared" si="30"/>
        <v>0</v>
      </c>
      <c r="I61" s="104">
        <f t="shared" si="30"/>
        <v>0</v>
      </c>
      <c r="J61" s="104">
        <f t="shared" si="30"/>
        <v>0</v>
      </c>
      <c r="K61" s="104">
        <f t="shared" si="30"/>
        <v>0</v>
      </c>
      <c r="L61" s="104">
        <f t="shared" si="30"/>
        <v>0</v>
      </c>
      <c r="M61" s="104">
        <f>M47*M$60</f>
        <v>0</v>
      </c>
      <c r="N61" s="104">
        <f t="shared" si="30"/>
        <v>0</v>
      </c>
      <c r="O61" s="104">
        <f t="shared" si="30"/>
        <v>0</v>
      </c>
      <c r="P61" s="104">
        <f t="shared" si="30"/>
        <v>0</v>
      </c>
      <c r="Q61" s="104">
        <f t="shared" si="30"/>
        <v>0</v>
      </c>
      <c r="R61" s="104">
        <f t="shared" si="30"/>
        <v>0</v>
      </c>
      <c r="S61" s="104">
        <f t="shared" si="30"/>
        <v>0</v>
      </c>
      <c r="T61" s="104">
        <f t="shared" si="30"/>
        <v>0</v>
      </c>
      <c r="U61" s="104">
        <f t="shared" si="30"/>
        <v>0</v>
      </c>
      <c r="V61" s="104">
        <f t="shared" si="30"/>
        <v>0</v>
      </c>
      <c r="W61" s="104">
        <f t="shared" si="30"/>
        <v>0</v>
      </c>
      <c r="X61" s="104">
        <f t="shared" si="30"/>
        <v>0</v>
      </c>
      <c r="Y61" s="104">
        <f t="shared" si="30"/>
        <v>0</v>
      </c>
      <c r="Z61" s="104">
        <f t="shared" si="30"/>
        <v>0</v>
      </c>
      <c r="AA61" s="104">
        <f t="shared" si="30"/>
        <v>0</v>
      </c>
      <c r="AB61" s="104">
        <f t="shared" si="30"/>
        <v>0</v>
      </c>
      <c r="AC61" s="104">
        <f t="shared" si="30"/>
        <v>0</v>
      </c>
      <c r="AD61" s="104">
        <f t="shared" si="30"/>
        <v>0</v>
      </c>
      <c r="AE61" s="104">
        <f t="shared" si="30"/>
        <v>0</v>
      </c>
      <c r="AF61" s="104">
        <f t="shared" si="30"/>
        <v>0</v>
      </c>
      <c r="AG61" s="104">
        <f t="shared" si="30"/>
        <v>0</v>
      </c>
      <c r="AI61" s="126"/>
      <c r="AJ61" s="198"/>
      <c r="AL61" s="102"/>
      <c r="AM61" s="2"/>
      <c r="AN61" s="2"/>
      <c r="AO61" s="2"/>
      <c r="AV61" s="38"/>
    </row>
    <row r="62" spans="1:63" outlineLevel="1">
      <c r="A62" t="s">
        <v>1486</v>
      </c>
      <c r="B62" s="51" t="s">
        <v>126</v>
      </c>
      <c r="C62" s="104">
        <f>C48*C$60</f>
        <v>0</v>
      </c>
      <c r="D62" s="104">
        <f t="shared" si="30"/>
        <v>0</v>
      </c>
      <c r="E62" s="104">
        <f t="shared" si="30"/>
        <v>0</v>
      </c>
      <c r="F62" s="104">
        <f t="shared" si="30"/>
        <v>0</v>
      </c>
      <c r="G62" s="104">
        <f t="shared" si="30"/>
        <v>0</v>
      </c>
      <c r="H62" s="104">
        <f t="shared" si="30"/>
        <v>0</v>
      </c>
      <c r="I62" s="104">
        <f t="shared" si="30"/>
        <v>0</v>
      </c>
      <c r="J62" s="104">
        <f t="shared" si="30"/>
        <v>0</v>
      </c>
      <c r="K62" s="104">
        <f t="shared" si="30"/>
        <v>0</v>
      </c>
      <c r="L62" s="104">
        <f t="shared" si="30"/>
        <v>0</v>
      </c>
      <c r="M62" s="104">
        <f t="shared" si="30"/>
        <v>0</v>
      </c>
      <c r="N62" s="104">
        <f t="shared" si="30"/>
        <v>0</v>
      </c>
      <c r="O62" s="104">
        <f t="shared" si="30"/>
        <v>0</v>
      </c>
      <c r="P62" s="104">
        <f t="shared" si="30"/>
        <v>0</v>
      </c>
      <c r="Q62" s="104">
        <f t="shared" si="30"/>
        <v>0</v>
      </c>
      <c r="R62" s="104">
        <f t="shared" si="30"/>
        <v>0</v>
      </c>
      <c r="S62" s="104">
        <f t="shared" si="30"/>
        <v>0</v>
      </c>
      <c r="T62" s="104">
        <f t="shared" si="30"/>
        <v>0</v>
      </c>
      <c r="U62" s="104">
        <f t="shared" si="30"/>
        <v>0</v>
      </c>
      <c r="V62" s="104">
        <f t="shared" si="30"/>
        <v>0</v>
      </c>
      <c r="W62" s="104">
        <f t="shared" si="30"/>
        <v>0</v>
      </c>
      <c r="X62" s="104">
        <f t="shared" si="30"/>
        <v>0</v>
      </c>
      <c r="Y62" s="104">
        <f t="shared" si="30"/>
        <v>0</v>
      </c>
      <c r="Z62" s="104">
        <f t="shared" si="30"/>
        <v>0</v>
      </c>
      <c r="AA62" s="104">
        <f t="shared" si="30"/>
        <v>0</v>
      </c>
      <c r="AB62" s="104">
        <f t="shared" si="30"/>
        <v>0</v>
      </c>
      <c r="AC62" s="104">
        <f t="shared" si="30"/>
        <v>0</v>
      </c>
      <c r="AD62" s="104">
        <f t="shared" si="30"/>
        <v>0</v>
      </c>
      <c r="AE62" s="104">
        <f t="shared" si="30"/>
        <v>0</v>
      </c>
      <c r="AF62" s="104">
        <f t="shared" si="30"/>
        <v>0</v>
      </c>
      <c r="AG62" s="104">
        <f t="shared" si="30"/>
        <v>0</v>
      </c>
      <c r="AH62" s="230"/>
      <c r="AI62" s="126"/>
      <c r="AJ62" s="198"/>
      <c r="AL62" s="102"/>
      <c r="AM62" s="2"/>
      <c r="AN62" s="2"/>
      <c r="AO62" s="2"/>
      <c r="AV62" s="38"/>
    </row>
    <row r="63" spans="1:63" outlineLevel="1">
      <c r="A63" t="s">
        <v>1487</v>
      </c>
      <c r="B63" s="165" t="s">
        <v>126</v>
      </c>
      <c r="C63" s="104">
        <f>SUM(C61:C62)</f>
        <v>0</v>
      </c>
      <c r="D63" s="104">
        <f t="shared" ref="D63:AG63" si="31">SUM(D61:D62)</f>
        <v>0</v>
      </c>
      <c r="E63" s="104">
        <f t="shared" si="31"/>
        <v>0</v>
      </c>
      <c r="F63" s="104">
        <f t="shared" si="31"/>
        <v>0</v>
      </c>
      <c r="G63" s="104">
        <f t="shared" si="31"/>
        <v>0</v>
      </c>
      <c r="H63" s="104">
        <f t="shared" si="31"/>
        <v>0</v>
      </c>
      <c r="I63" s="104">
        <f t="shared" si="31"/>
        <v>0</v>
      </c>
      <c r="J63" s="104">
        <f t="shared" si="31"/>
        <v>0</v>
      </c>
      <c r="K63" s="104">
        <f t="shared" si="31"/>
        <v>0</v>
      </c>
      <c r="L63" s="104">
        <f t="shared" si="31"/>
        <v>0</v>
      </c>
      <c r="M63" s="104">
        <f t="shared" si="31"/>
        <v>0</v>
      </c>
      <c r="N63" s="104">
        <f t="shared" si="31"/>
        <v>0</v>
      </c>
      <c r="O63" s="104">
        <f t="shared" si="31"/>
        <v>0</v>
      </c>
      <c r="P63" s="104">
        <f t="shared" si="31"/>
        <v>0</v>
      </c>
      <c r="Q63" s="104">
        <f t="shared" si="31"/>
        <v>0</v>
      </c>
      <c r="R63" s="104">
        <f t="shared" si="31"/>
        <v>0</v>
      </c>
      <c r="S63" s="104">
        <f t="shared" si="31"/>
        <v>0</v>
      </c>
      <c r="T63" s="104">
        <f t="shared" si="31"/>
        <v>0</v>
      </c>
      <c r="U63" s="104">
        <f t="shared" si="31"/>
        <v>0</v>
      </c>
      <c r="V63" s="104">
        <f t="shared" si="31"/>
        <v>0</v>
      </c>
      <c r="W63" s="104">
        <f t="shared" si="31"/>
        <v>0</v>
      </c>
      <c r="X63" s="104">
        <f t="shared" si="31"/>
        <v>0</v>
      </c>
      <c r="Y63" s="104">
        <f t="shared" si="31"/>
        <v>0</v>
      </c>
      <c r="Z63" s="104">
        <f t="shared" si="31"/>
        <v>0</v>
      </c>
      <c r="AA63" s="104">
        <f t="shared" si="31"/>
        <v>0</v>
      </c>
      <c r="AB63" s="104">
        <f t="shared" si="31"/>
        <v>0</v>
      </c>
      <c r="AC63" s="104">
        <f t="shared" si="31"/>
        <v>0</v>
      </c>
      <c r="AD63" s="104">
        <f t="shared" si="31"/>
        <v>0</v>
      </c>
      <c r="AE63" s="104">
        <f t="shared" si="31"/>
        <v>0</v>
      </c>
      <c r="AF63" s="104">
        <f t="shared" si="31"/>
        <v>0</v>
      </c>
      <c r="AG63" s="104">
        <f t="shared" si="31"/>
        <v>0</v>
      </c>
      <c r="AI63" s="126"/>
      <c r="AJ63" s="198"/>
      <c r="AL63" s="102"/>
      <c r="AM63" s="2"/>
      <c r="AN63" s="2"/>
      <c r="AO63" s="2"/>
    </row>
    <row r="64" spans="1:63" outlineLevel="1">
      <c r="A64" t="s">
        <v>1488</v>
      </c>
      <c r="B64" s="51" t="s">
        <v>126</v>
      </c>
      <c r="C64" s="104">
        <f>C$60*C55</f>
        <v>0</v>
      </c>
      <c r="D64" s="104">
        <f t="shared" ref="D64:AG67" si="32">D$60*D55</f>
        <v>0</v>
      </c>
      <c r="E64" s="104">
        <f t="shared" si="32"/>
        <v>0</v>
      </c>
      <c r="F64" s="104">
        <f t="shared" si="32"/>
        <v>0</v>
      </c>
      <c r="G64" s="104">
        <f t="shared" si="32"/>
        <v>0</v>
      </c>
      <c r="H64" s="104">
        <f t="shared" si="32"/>
        <v>0</v>
      </c>
      <c r="I64" s="104">
        <f t="shared" si="32"/>
        <v>0</v>
      </c>
      <c r="J64" s="104">
        <f t="shared" si="32"/>
        <v>0</v>
      </c>
      <c r="K64" s="104">
        <f t="shared" si="32"/>
        <v>0</v>
      </c>
      <c r="L64" s="104">
        <f t="shared" si="32"/>
        <v>0</v>
      </c>
      <c r="M64" s="104">
        <f t="shared" si="32"/>
        <v>0</v>
      </c>
      <c r="N64" s="104">
        <f t="shared" si="32"/>
        <v>0</v>
      </c>
      <c r="O64" s="104">
        <f t="shared" si="32"/>
        <v>0</v>
      </c>
      <c r="P64" s="104">
        <f t="shared" si="32"/>
        <v>0</v>
      </c>
      <c r="Q64" s="104">
        <f t="shared" si="32"/>
        <v>0</v>
      </c>
      <c r="R64" s="104">
        <f t="shared" si="32"/>
        <v>0</v>
      </c>
      <c r="S64" s="104">
        <f t="shared" si="32"/>
        <v>0</v>
      </c>
      <c r="T64" s="104">
        <f t="shared" si="32"/>
        <v>0</v>
      </c>
      <c r="U64" s="104">
        <f t="shared" si="32"/>
        <v>0</v>
      </c>
      <c r="V64" s="104">
        <f t="shared" si="32"/>
        <v>0</v>
      </c>
      <c r="W64" s="104">
        <f t="shared" si="32"/>
        <v>0</v>
      </c>
      <c r="X64" s="104">
        <f t="shared" si="32"/>
        <v>0</v>
      </c>
      <c r="Y64" s="104">
        <f t="shared" si="32"/>
        <v>0</v>
      </c>
      <c r="Z64" s="104">
        <f t="shared" si="32"/>
        <v>0</v>
      </c>
      <c r="AA64" s="104">
        <f t="shared" si="32"/>
        <v>0</v>
      </c>
      <c r="AB64" s="104">
        <f t="shared" si="32"/>
        <v>0</v>
      </c>
      <c r="AC64" s="104">
        <f t="shared" si="32"/>
        <v>0</v>
      </c>
      <c r="AD64" s="104">
        <f t="shared" si="32"/>
        <v>0</v>
      </c>
      <c r="AE64" s="104">
        <f t="shared" si="32"/>
        <v>0</v>
      </c>
      <c r="AF64" s="104">
        <f t="shared" si="32"/>
        <v>0</v>
      </c>
      <c r="AG64" s="104">
        <f t="shared" si="32"/>
        <v>0</v>
      </c>
      <c r="AI64" s="126"/>
      <c r="AJ64" s="198"/>
      <c r="AL64" s="102"/>
      <c r="AM64" s="2"/>
      <c r="AN64" s="2"/>
      <c r="AO64" s="2"/>
    </row>
    <row r="65" spans="1:63" outlineLevel="1">
      <c r="A65" t="s">
        <v>1489</v>
      </c>
      <c r="B65" s="51" t="s">
        <v>126</v>
      </c>
      <c r="C65" s="104">
        <f t="shared" ref="C65:R67" si="33">C$60*C56</f>
        <v>0</v>
      </c>
      <c r="D65" s="104">
        <f t="shared" si="33"/>
        <v>0</v>
      </c>
      <c r="E65" s="104">
        <f t="shared" si="33"/>
        <v>0</v>
      </c>
      <c r="F65" s="104">
        <f t="shared" si="33"/>
        <v>0</v>
      </c>
      <c r="G65" s="104">
        <f t="shared" si="33"/>
        <v>0</v>
      </c>
      <c r="H65" s="104">
        <f t="shared" si="33"/>
        <v>0</v>
      </c>
      <c r="I65" s="104">
        <f t="shared" si="33"/>
        <v>0</v>
      </c>
      <c r="J65" s="104">
        <f t="shared" si="33"/>
        <v>0</v>
      </c>
      <c r="K65" s="104">
        <f t="shared" si="33"/>
        <v>0</v>
      </c>
      <c r="L65" s="104">
        <f t="shared" si="33"/>
        <v>0</v>
      </c>
      <c r="M65" s="104">
        <f t="shared" si="33"/>
        <v>0</v>
      </c>
      <c r="N65" s="104">
        <f t="shared" si="33"/>
        <v>0</v>
      </c>
      <c r="O65" s="104">
        <f t="shared" si="33"/>
        <v>0</v>
      </c>
      <c r="P65" s="104">
        <f t="shared" si="33"/>
        <v>0</v>
      </c>
      <c r="Q65" s="104">
        <f t="shared" si="33"/>
        <v>0</v>
      </c>
      <c r="R65" s="104">
        <f t="shared" si="33"/>
        <v>0</v>
      </c>
      <c r="S65" s="104">
        <f t="shared" si="32"/>
        <v>0</v>
      </c>
      <c r="T65" s="104">
        <f t="shared" si="32"/>
        <v>0</v>
      </c>
      <c r="U65" s="104">
        <f t="shared" si="32"/>
        <v>0</v>
      </c>
      <c r="V65" s="104">
        <f t="shared" si="32"/>
        <v>0</v>
      </c>
      <c r="W65" s="104">
        <f t="shared" si="32"/>
        <v>0</v>
      </c>
      <c r="X65" s="104">
        <f t="shared" si="32"/>
        <v>0</v>
      </c>
      <c r="Y65" s="104">
        <f t="shared" si="32"/>
        <v>0</v>
      </c>
      <c r="Z65" s="104">
        <f t="shared" si="32"/>
        <v>0</v>
      </c>
      <c r="AA65" s="104">
        <f t="shared" si="32"/>
        <v>0</v>
      </c>
      <c r="AB65" s="104">
        <f t="shared" si="32"/>
        <v>0</v>
      </c>
      <c r="AC65" s="104">
        <f t="shared" si="32"/>
        <v>0</v>
      </c>
      <c r="AD65" s="104">
        <f t="shared" si="32"/>
        <v>0</v>
      </c>
      <c r="AE65" s="104">
        <f t="shared" si="32"/>
        <v>0</v>
      </c>
      <c r="AF65" s="104">
        <f t="shared" si="32"/>
        <v>0</v>
      </c>
      <c r="AG65" s="104">
        <f t="shared" si="32"/>
        <v>0</v>
      </c>
      <c r="AI65" s="126"/>
      <c r="AJ65" s="198"/>
      <c r="AL65" s="102"/>
      <c r="AM65" s="2"/>
      <c r="AN65" s="2"/>
      <c r="AO65" s="2"/>
      <c r="BC65" s="1"/>
      <c r="BD65" s="2"/>
      <c r="BE65" s="2"/>
      <c r="BF65" s="2"/>
      <c r="BG65" s="2"/>
      <c r="BH65" s="2"/>
      <c r="BI65" s="2"/>
      <c r="BJ65" s="2"/>
      <c r="BK65" s="2"/>
    </row>
    <row r="66" spans="1:63" outlineLevel="1">
      <c r="A66" t="s">
        <v>1490</v>
      </c>
      <c r="C66" s="104">
        <f t="shared" si="33"/>
        <v>0</v>
      </c>
      <c r="D66" s="104">
        <f t="shared" si="32"/>
        <v>0</v>
      </c>
      <c r="E66" s="104">
        <f t="shared" si="32"/>
        <v>0</v>
      </c>
      <c r="F66" s="104">
        <f t="shared" si="32"/>
        <v>0</v>
      </c>
      <c r="G66" s="104">
        <f t="shared" si="32"/>
        <v>0</v>
      </c>
      <c r="H66" s="104">
        <f t="shared" si="32"/>
        <v>0</v>
      </c>
      <c r="I66" s="104">
        <f t="shared" si="32"/>
        <v>0</v>
      </c>
      <c r="J66" s="104">
        <f t="shared" si="32"/>
        <v>0</v>
      </c>
      <c r="K66" s="104">
        <f t="shared" si="32"/>
        <v>0</v>
      </c>
      <c r="L66" s="104">
        <f t="shared" si="32"/>
        <v>0</v>
      </c>
      <c r="M66" s="104">
        <f t="shared" si="32"/>
        <v>0</v>
      </c>
      <c r="N66" s="104">
        <f t="shared" si="32"/>
        <v>0</v>
      </c>
      <c r="O66" s="104">
        <f t="shared" si="32"/>
        <v>0</v>
      </c>
      <c r="P66" s="104">
        <f t="shared" si="32"/>
        <v>0</v>
      </c>
      <c r="Q66" s="104">
        <f t="shared" si="32"/>
        <v>0</v>
      </c>
      <c r="R66" s="104">
        <f t="shared" si="32"/>
        <v>0</v>
      </c>
      <c r="S66" s="104">
        <f t="shared" si="32"/>
        <v>0</v>
      </c>
      <c r="T66" s="104">
        <f t="shared" si="32"/>
        <v>0</v>
      </c>
      <c r="U66" s="104">
        <f t="shared" si="32"/>
        <v>0</v>
      </c>
      <c r="V66" s="104">
        <f t="shared" si="32"/>
        <v>0</v>
      </c>
      <c r="W66" s="104">
        <f t="shared" si="32"/>
        <v>0</v>
      </c>
      <c r="X66" s="104">
        <f t="shared" si="32"/>
        <v>0</v>
      </c>
      <c r="Y66" s="104">
        <f t="shared" si="32"/>
        <v>0</v>
      </c>
      <c r="Z66" s="104">
        <f t="shared" si="32"/>
        <v>0</v>
      </c>
      <c r="AA66" s="104">
        <f t="shared" si="32"/>
        <v>0</v>
      </c>
      <c r="AB66" s="104">
        <f t="shared" si="32"/>
        <v>0</v>
      </c>
      <c r="AC66" s="104">
        <f t="shared" si="32"/>
        <v>0</v>
      </c>
      <c r="AD66" s="104">
        <f t="shared" si="32"/>
        <v>0</v>
      </c>
      <c r="AE66" s="104">
        <f t="shared" si="32"/>
        <v>0</v>
      </c>
      <c r="AF66" s="104">
        <f t="shared" si="32"/>
        <v>0</v>
      </c>
      <c r="AG66" s="104">
        <f t="shared" si="32"/>
        <v>0</v>
      </c>
      <c r="AI66" s="126"/>
      <c r="AJ66" s="198"/>
      <c r="AL66" s="102"/>
      <c r="AM66" s="2"/>
      <c r="AN66" s="2"/>
      <c r="AO66" s="2"/>
      <c r="BC66" s="1"/>
      <c r="BD66" s="2"/>
      <c r="BE66" s="2"/>
      <c r="BF66" s="2"/>
      <c r="BG66" s="2"/>
      <c r="BH66" s="2"/>
      <c r="BI66" s="2"/>
      <c r="BJ66" s="2"/>
      <c r="BK66" s="2"/>
    </row>
    <row r="67" spans="1:63" outlineLevel="1">
      <c r="A67" t="s">
        <v>1491</v>
      </c>
      <c r="B67" s="51" t="s">
        <v>126</v>
      </c>
      <c r="C67" s="104">
        <f t="shared" si="33"/>
        <v>0</v>
      </c>
      <c r="D67" s="104">
        <f t="shared" si="32"/>
        <v>0</v>
      </c>
      <c r="E67" s="104">
        <f t="shared" si="32"/>
        <v>0</v>
      </c>
      <c r="F67" s="104">
        <f t="shared" si="32"/>
        <v>0</v>
      </c>
      <c r="G67" s="104">
        <f t="shared" si="32"/>
        <v>0</v>
      </c>
      <c r="H67" s="104">
        <f t="shared" si="32"/>
        <v>0</v>
      </c>
      <c r="I67" s="104">
        <f t="shared" si="32"/>
        <v>0</v>
      </c>
      <c r="J67" s="104">
        <f t="shared" si="32"/>
        <v>0</v>
      </c>
      <c r="K67" s="104">
        <f t="shared" si="32"/>
        <v>0</v>
      </c>
      <c r="L67" s="104">
        <f t="shared" si="32"/>
        <v>0</v>
      </c>
      <c r="M67" s="104">
        <f t="shared" si="32"/>
        <v>0</v>
      </c>
      <c r="N67" s="104">
        <f t="shared" si="32"/>
        <v>0</v>
      </c>
      <c r="O67" s="104">
        <f t="shared" si="32"/>
        <v>0</v>
      </c>
      <c r="P67" s="104">
        <f t="shared" si="32"/>
        <v>0</v>
      </c>
      <c r="Q67" s="104">
        <f t="shared" si="32"/>
        <v>0</v>
      </c>
      <c r="R67" s="104">
        <f t="shared" si="32"/>
        <v>0</v>
      </c>
      <c r="S67" s="104">
        <f t="shared" si="32"/>
        <v>0</v>
      </c>
      <c r="T67" s="104">
        <f t="shared" si="32"/>
        <v>0</v>
      </c>
      <c r="U67" s="104">
        <f t="shared" si="32"/>
        <v>0</v>
      </c>
      <c r="V67" s="104">
        <f t="shared" si="32"/>
        <v>0</v>
      </c>
      <c r="W67" s="104">
        <f t="shared" si="32"/>
        <v>0</v>
      </c>
      <c r="X67" s="104">
        <f t="shared" si="32"/>
        <v>0</v>
      </c>
      <c r="Y67" s="104">
        <f t="shared" si="32"/>
        <v>0</v>
      </c>
      <c r="Z67" s="104">
        <f t="shared" si="32"/>
        <v>0</v>
      </c>
      <c r="AA67" s="104">
        <f t="shared" si="32"/>
        <v>0</v>
      </c>
      <c r="AB67" s="104">
        <f t="shared" si="32"/>
        <v>0</v>
      </c>
      <c r="AC67" s="104">
        <f t="shared" si="32"/>
        <v>0</v>
      </c>
      <c r="AD67" s="104">
        <f t="shared" si="32"/>
        <v>0</v>
      </c>
      <c r="AE67" s="104">
        <f t="shared" si="32"/>
        <v>0</v>
      </c>
      <c r="AF67" s="104">
        <f t="shared" si="32"/>
        <v>0</v>
      </c>
      <c r="AG67" s="104">
        <f t="shared" si="32"/>
        <v>0</v>
      </c>
      <c r="AH67" s="230"/>
      <c r="AI67" s="126"/>
      <c r="AJ67" s="198"/>
      <c r="AL67" s="102"/>
      <c r="AM67" s="2"/>
      <c r="AN67" s="2"/>
      <c r="AO67" s="2"/>
      <c r="BC67" s="1"/>
      <c r="BD67" s="2"/>
      <c r="BE67" s="2"/>
      <c r="BF67" s="2"/>
      <c r="BG67" s="2"/>
      <c r="BH67" s="2"/>
      <c r="BI67" s="2"/>
      <c r="BJ67" s="2"/>
      <c r="BK67" s="2"/>
    </row>
    <row r="68" spans="1:63" outlineLevel="1">
      <c r="C68" s="104"/>
      <c r="D68" s="104"/>
      <c r="E68" s="104"/>
      <c r="F68" s="104"/>
      <c r="G68" s="104"/>
      <c r="H68" s="104"/>
      <c r="I68" s="104"/>
      <c r="J68" s="104"/>
      <c r="K68" s="104"/>
      <c r="L68" s="104"/>
      <c r="M68" s="104"/>
      <c r="N68" s="104"/>
      <c r="O68" s="104"/>
      <c r="P68" s="104"/>
      <c r="Q68" s="104"/>
      <c r="R68" s="104"/>
      <c r="S68" s="104"/>
      <c r="T68" s="104"/>
      <c r="U68" s="104"/>
      <c r="V68" s="104"/>
      <c r="W68" s="104"/>
      <c r="X68" s="104"/>
      <c r="Y68" s="104"/>
      <c r="Z68" s="104"/>
      <c r="AA68" s="104"/>
      <c r="AB68" s="104"/>
      <c r="AC68" s="104"/>
      <c r="AD68" s="104"/>
      <c r="AE68" s="104"/>
      <c r="AF68" s="104"/>
      <c r="AG68" s="104"/>
      <c r="AI68" s="127"/>
      <c r="AJ68" s="198"/>
      <c r="BC68" s="1"/>
      <c r="BD68" s="38"/>
      <c r="BF68" s="6"/>
      <c r="BG68" s="6"/>
      <c r="BH68" s="6"/>
      <c r="BI68" s="6"/>
      <c r="BJ68" s="6"/>
    </row>
    <row r="69" spans="1:63" s="1" customFormat="1" outlineLevel="1">
      <c r="A69" s="1" t="s">
        <v>261</v>
      </c>
      <c r="B69" s="61"/>
      <c r="C69" s="279">
        <f>C39*C61</f>
        <v>0</v>
      </c>
      <c r="D69" s="279">
        <f t="shared" ref="D69:AG69" si="34">D39*D61</f>
        <v>0</v>
      </c>
      <c r="E69" s="279">
        <f t="shared" si="34"/>
        <v>0</v>
      </c>
      <c r="F69" s="279">
        <f t="shared" si="34"/>
        <v>0</v>
      </c>
      <c r="G69" s="279">
        <f t="shared" si="34"/>
        <v>0</v>
      </c>
      <c r="H69" s="279">
        <f t="shared" si="34"/>
        <v>0</v>
      </c>
      <c r="I69" s="279">
        <f t="shared" si="34"/>
        <v>0</v>
      </c>
      <c r="J69" s="279">
        <f t="shared" si="34"/>
        <v>0</v>
      </c>
      <c r="K69" s="279">
        <f t="shared" si="34"/>
        <v>0</v>
      </c>
      <c r="L69" s="279">
        <f t="shared" si="34"/>
        <v>0</v>
      </c>
      <c r="M69" s="279">
        <f t="shared" si="34"/>
        <v>0</v>
      </c>
      <c r="N69" s="279">
        <f t="shared" si="34"/>
        <v>0</v>
      </c>
      <c r="O69" s="279">
        <f t="shared" si="34"/>
        <v>0</v>
      </c>
      <c r="P69" s="279">
        <f t="shared" si="34"/>
        <v>0</v>
      </c>
      <c r="Q69" s="279">
        <f t="shared" si="34"/>
        <v>0</v>
      </c>
      <c r="R69" s="279">
        <f t="shared" si="34"/>
        <v>0</v>
      </c>
      <c r="S69" s="279">
        <f t="shared" si="34"/>
        <v>0</v>
      </c>
      <c r="T69" s="279">
        <f t="shared" si="34"/>
        <v>0</v>
      </c>
      <c r="U69" s="279">
        <f t="shared" si="34"/>
        <v>0</v>
      </c>
      <c r="V69" s="279">
        <f t="shared" si="34"/>
        <v>0</v>
      </c>
      <c r="W69" s="279">
        <f t="shared" si="34"/>
        <v>0</v>
      </c>
      <c r="X69" s="279">
        <f t="shared" si="34"/>
        <v>0</v>
      </c>
      <c r="Y69" s="279">
        <f t="shared" si="34"/>
        <v>0</v>
      </c>
      <c r="Z69" s="279">
        <f t="shared" si="34"/>
        <v>0</v>
      </c>
      <c r="AA69" s="279">
        <f t="shared" si="34"/>
        <v>0</v>
      </c>
      <c r="AB69" s="279">
        <f t="shared" si="34"/>
        <v>0</v>
      </c>
      <c r="AC69" s="279">
        <f t="shared" si="34"/>
        <v>0</v>
      </c>
      <c r="AD69" s="279">
        <f t="shared" si="34"/>
        <v>0</v>
      </c>
      <c r="AE69" s="279">
        <f t="shared" si="34"/>
        <v>0</v>
      </c>
      <c r="AF69" s="279">
        <f t="shared" si="34"/>
        <v>0</v>
      </c>
      <c r="AG69" s="279">
        <f t="shared" si="34"/>
        <v>0</v>
      </c>
      <c r="AH69" s="230"/>
      <c r="AI69" s="398"/>
      <c r="AJ69" s="399"/>
      <c r="AL69" s="207"/>
      <c r="AM69" s="118"/>
      <c r="AN69" s="118"/>
      <c r="AO69" s="118"/>
      <c r="BD69" s="118"/>
      <c r="BE69" s="118"/>
      <c r="BF69" s="118"/>
      <c r="BG69" s="118"/>
      <c r="BH69" s="118"/>
      <c r="BI69" s="118"/>
      <c r="BJ69" s="118"/>
      <c r="BK69" s="118"/>
    </row>
    <row r="70" spans="1:63" s="1" customFormat="1" outlineLevel="1">
      <c r="A70" s="1" t="s">
        <v>1160</v>
      </c>
      <c r="B70" s="61"/>
      <c r="C70" s="279">
        <f t="shared" ref="C70:AG70" si="35">C69-$C69</f>
        <v>0</v>
      </c>
      <c r="D70" s="279">
        <f t="shared" si="35"/>
        <v>0</v>
      </c>
      <c r="E70" s="279">
        <f t="shared" si="35"/>
        <v>0</v>
      </c>
      <c r="F70" s="279">
        <f t="shared" si="35"/>
        <v>0</v>
      </c>
      <c r="G70" s="279">
        <f t="shared" si="35"/>
        <v>0</v>
      </c>
      <c r="H70" s="279">
        <f t="shared" si="35"/>
        <v>0</v>
      </c>
      <c r="I70" s="279">
        <f t="shared" si="35"/>
        <v>0</v>
      </c>
      <c r="J70" s="279">
        <f t="shared" si="35"/>
        <v>0</v>
      </c>
      <c r="K70" s="279">
        <f t="shared" si="35"/>
        <v>0</v>
      </c>
      <c r="L70" s="279">
        <f t="shared" si="35"/>
        <v>0</v>
      </c>
      <c r="M70" s="279">
        <f t="shared" si="35"/>
        <v>0</v>
      </c>
      <c r="N70" s="279">
        <f t="shared" si="35"/>
        <v>0</v>
      </c>
      <c r="O70" s="279">
        <f t="shared" si="35"/>
        <v>0</v>
      </c>
      <c r="P70" s="279">
        <f t="shared" si="35"/>
        <v>0</v>
      </c>
      <c r="Q70" s="279">
        <f t="shared" si="35"/>
        <v>0</v>
      </c>
      <c r="R70" s="279">
        <f t="shared" si="35"/>
        <v>0</v>
      </c>
      <c r="S70" s="279">
        <f t="shared" si="35"/>
        <v>0</v>
      </c>
      <c r="T70" s="279">
        <f t="shared" si="35"/>
        <v>0</v>
      </c>
      <c r="U70" s="279">
        <f t="shared" si="35"/>
        <v>0</v>
      </c>
      <c r="V70" s="279">
        <f t="shared" si="35"/>
        <v>0</v>
      </c>
      <c r="W70" s="279">
        <f t="shared" si="35"/>
        <v>0</v>
      </c>
      <c r="X70" s="279">
        <f t="shared" si="35"/>
        <v>0</v>
      </c>
      <c r="Y70" s="279">
        <f t="shared" si="35"/>
        <v>0</v>
      </c>
      <c r="Z70" s="279">
        <f t="shared" si="35"/>
        <v>0</v>
      </c>
      <c r="AA70" s="279">
        <f t="shared" si="35"/>
        <v>0</v>
      </c>
      <c r="AB70" s="279">
        <f t="shared" si="35"/>
        <v>0</v>
      </c>
      <c r="AC70" s="279">
        <f t="shared" si="35"/>
        <v>0</v>
      </c>
      <c r="AD70" s="279">
        <f t="shared" si="35"/>
        <v>0</v>
      </c>
      <c r="AE70" s="279">
        <f t="shared" si="35"/>
        <v>0</v>
      </c>
      <c r="AF70" s="279">
        <f t="shared" si="35"/>
        <v>0</v>
      </c>
      <c r="AG70" s="279">
        <f t="shared" si="35"/>
        <v>0</v>
      </c>
      <c r="AH70" s="230"/>
      <c r="AI70" s="398"/>
      <c r="AJ70" s="399"/>
      <c r="AL70" s="207"/>
      <c r="AM70" s="118"/>
      <c r="AN70" s="118"/>
      <c r="AO70" s="118"/>
      <c r="BD70" s="118"/>
      <c r="BE70" s="118"/>
      <c r="BF70" s="118"/>
      <c r="BG70" s="118"/>
      <c r="BH70" s="118"/>
      <c r="BI70" s="118"/>
      <c r="BJ70" s="118"/>
      <c r="BK70" s="118"/>
    </row>
    <row r="71" spans="1:63" s="1" customFormat="1" outlineLevel="1">
      <c r="A71" s="1" t="s">
        <v>1161</v>
      </c>
      <c r="B71" s="61"/>
      <c r="C71" s="279">
        <f t="shared" ref="C71:AG71" si="36">C39*C64</f>
        <v>0</v>
      </c>
      <c r="D71" s="279">
        <f t="shared" si="36"/>
        <v>0</v>
      </c>
      <c r="E71" s="279">
        <f t="shared" si="36"/>
        <v>0</v>
      </c>
      <c r="F71" s="279">
        <f t="shared" si="36"/>
        <v>0</v>
      </c>
      <c r="G71" s="279">
        <f t="shared" si="36"/>
        <v>0</v>
      </c>
      <c r="H71" s="279">
        <f t="shared" si="36"/>
        <v>0</v>
      </c>
      <c r="I71" s="279">
        <f t="shared" si="36"/>
        <v>0</v>
      </c>
      <c r="J71" s="279">
        <f t="shared" si="36"/>
        <v>0</v>
      </c>
      <c r="K71" s="279">
        <f t="shared" si="36"/>
        <v>0</v>
      </c>
      <c r="L71" s="279">
        <f t="shared" si="36"/>
        <v>0</v>
      </c>
      <c r="M71" s="279">
        <f t="shared" si="36"/>
        <v>0</v>
      </c>
      <c r="N71" s="279">
        <f t="shared" si="36"/>
        <v>0</v>
      </c>
      <c r="O71" s="279">
        <f t="shared" si="36"/>
        <v>0</v>
      </c>
      <c r="P71" s="279">
        <f t="shared" si="36"/>
        <v>0</v>
      </c>
      <c r="Q71" s="279">
        <f t="shared" si="36"/>
        <v>0</v>
      </c>
      <c r="R71" s="279">
        <f t="shared" si="36"/>
        <v>0</v>
      </c>
      <c r="S71" s="279">
        <f t="shared" si="36"/>
        <v>0</v>
      </c>
      <c r="T71" s="279">
        <f t="shared" si="36"/>
        <v>0</v>
      </c>
      <c r="U71" s="279">
        <f t="shared" si="36"/>
        <v>0</v>
      </c>
      <c r="V71" s="279">
        <f t="shared" si="36"/>
        <v>0</v>
      </c>
      <c r="W71" s="279">
        <f t="shared" si="36"/>
        <v>0</v>
      </c>
      <c r="X71" s="279">
        <f t="shared" si="36"/>
        <v>0</v>
      </c>
      <c r="Y71" s="279">
        <f t="shared" si="36"/>
        <v>0</v>
      </c>
      <c r="Z71" s="279">
        <f t="shared" si="36"/>
        <v>0</v>
      </c>
      <c r="AA71" s="279">
        <f t="shared" si="36"/>
        <v>0</v>
      </c>
      <c r="AB71" s="279">
        <f t="shared" si="36"/>
        <v>0</v>
      </c>
      <c r="AC71" s="279">
        <f t="shared" si="36"/>
        <v>0</v>
      </c>
      <c r="AD71" s="279">
        <f t="shared" si="36"/>
        <v>0</v>
      </c>
      <c r="AE71" s="279">
        <f t="shared" si="36"/>
        <v>0</v>
      </c>
      <c r="AF71" s="279">
        <f t="shared" si="36"/>
        <v>0</v>
      </c>
      <c r="AG71" s="279">
        <f t="shared" si="36"/>
        <v>0</v>
      </c>
      <c r="AH71" s="230"/>
      <c r="AI71" s="398"/>
      <c r="AJ71" s="399"/>
      <c r="AL71" s="207"/>
      <c r="AM71" s="118"/>
      <c r="AN71" s="118"/>
      <c r="AO71" s="118"/>
      <c r="BD71" s="118"/>
      <c r="BE71" s="118"/>
      <c r="BF71" s="118"/>
      <c r="BG71" s="118"/>
      <c r="BH71" s="118"/>
      <c r="BI71" s="118"/>
      <c r="BJ71" s="118"/>
      <c r="BK71" s="118"/>
    </row>
    <row r="72" spans="1:63" s="1" customFormat="1" outlineLevel="1">
      <c r="A72" s="1" t="s">
        <v>1164</v>
      </c>
      <c r="B72" s="61"/>
      <c r="C72" s="279">
        <f t="shared" ref="C72:AG72" si="37">C71-$C71</f>
        <v>0</v>
      </c>
      <c r="D72" s="279">
        <f t="shared" si="37"/>
        <v>0</v>
      </c>
      <c r="E72" s="279">
        <f t="shared" si="37"/>
        <v>0</v>
      </c>
      <c r="F72" s="279">
        <f t="shared" si="37"/>
        <v>0</v>
      </c>
      <c r="G72" s="279">
        <f t="shared" si="37"/>
        <v>0</v>
      </c>
      <c r="H72" s="279">
        <f t="shared" si="37"/>
        <v>0</v>
      </c>
      <c r="I72" s="279">
        <f t="shared" si="37"/>
        <v>0</v>
      </c>
      <c r="J72" s="279">
        <f t="shared" si="37"/>
        <v>0</v>
      </c>
      <c r="K72" s="279">
        <f t="shared" si="37"/>
        <v>0</v>
      </c>
      <c r="L72" s="279">
        <f t="shared" si="37"/>
        <v>0</v>
      </c>
      <c r="M72" s="279">
        <f t="shared" si="37"/>
        <v>0</v>
      </c>
      <c r="N72" s="279">
        <f t="shared" si="37"/>
        <v>0</v>
      </c>
      <c r="O72" s="279">
        <f t="shared" si="37"/>
        <v>0</v>
      </c>
      <c r="P72" s="279">
        <f t="shared" si="37"/>
        <v>0</v>
      </c>
      <c r="Q72" s="279">
        <f t="shared" si="37"/>
        <v>0</v>
      </c>
      <c r="R72" s="279">
        <f t="shared" si="37"/>
        <v>0</v>
      </c>
      <c r="S72" s="279">
        <f t="shared" si="37"/>
        <v>0</v>
      </c>
      <c r="T72" s="279">
        <f t="shared" si="37"/>
        <v>0</v>
      </c>
      <c r="U72" s="279">
        <f t="shared" si="37"/>
        <v>0</v>
      </c>
      <c r="V72" s="279">
        <f t="shared" si="37"/>
        <v>0</v>
      </c>
      <c r="W72" s="279">
        <f t="shared" si="37"/>
        <v>0</v>
      </c>
      <c r="X72" s="279">
        <f t="shared" si="37"/>
        <v>0</v>
      </c>
      <c r="Y72" s="279">
        <f t="shared" si="37"/>
        <v>0</v>
      </c>
      <c r="Z72" s="279">
        <f t="shared" si="37"/>
        <v>0</v>
      </c>
      <c r="AA72" s="279">
        <f t="shared" si="37"/>
        <v>0</v>
      </c>
      <c r="AB72" s="279">
        <f t="shared" si="37"/>
        <v>0</v>
      </c>
      <c r="AC72" s="279">
        <f t="shared" si="37"/>
        <v>0</v>
      </c>
      <c r="AD72" s="279">
        <f t="shared" si="37"/>
        <v>0</v>
      </c>
      <c r="AE72" s="279">
        <f t="shared" si="37"/>
        <v>0</v>
      </c>
      <c r="AF72" s="279">
        <f t="shared" si="37"/>
        <v>0</v>
      </c>
      <c r="AG72" s="279">
        <f t="shared" si="37"/>
        <v>0</v>
      </c>
      <c r="AH72" s="230"/>
      <c r="AI72" s="398"/>
      <c r="AJ72" s="399"/>
      <c r="AL72" s="207"/>
      <c r="AM72" s="118"/>
      <c r="AN72" s="118"/>
      <c r="AO72" s="118"/>
      <c r="BD72" s="118"/>
      <c r="BE72" s="118"/>
      <c r="BF72" s="118"/>
      <c r="BG72" s="118"/>
      <c r="BH72" s="118"/>
      <c r="BI72" s="118"/>
      <c r="BJ72" s="118"/>
      <c r="BK72" s="118"/>
    </row>
    <row r="73" spans="1:63" s="1" customFormat="1" outlineLevel="1">
      <c r="A73" s="1" t="s">
        <v>1169</v>
      </c>
      <c r="B73" s="61"/>
      <c r="C73" s="279">
        <f t="shared" ref="C73:AG73" si="38">C47*C66</f>
        <v>0</v>
      </c>
      <c r="D73" s="279">
        <f t="shared" si="38"/>
        <v>0</v>
      </c>
      <c r="E73" s="279">
        <f t="shared" si="38"/>
        <v>0</v>
      </c>
      <c r="F73" s="279">
        <f t="shared" si="38"/>
        <v>0</v>
      </c>
      <c r="G73" s="279">
        <f t="shared" si="38"/>
        <v>0</v>
      </c>
      <c r="H73" s="279">
        <f t="shared" si="38"/>
        <v>0</v>
      </c>
      <c r="I73" s="279">
        <f t="shared" si="38"/>
        <v>0</v>
      </c>
      <c r="J73" s="279">
        <f t="shared" si="38"/>
        <v>0</v>
      </c>
      <c r="K73" s="279">
        <f t="shared" si="38"/>
        <v>0</v>
      </c>
      <c r="L73" s="279">
        <f t="shared" si="38"/>
        <v>0</v>
      </c>
      <c r="M73" s="279">
        <f t="shared" si="38"/>
        <v>0</v>
      </c>
      <c r="N73" s="279">
        <f t="shared" si="38"/>
        <v>0</v>
      </c>
      <c r="O73" s="279">
        <f t="shared" si="38"/>
        <v>0</v>
      </c>
      <c r="P73" s="279">
        <f t="shared" si="38"/>
        <v>0</v>
      </c>
      <c r="Q73" s="279">
        <f t="shared" si="38"/>
        <v>0</v>
      </c>
      <c r="R73" s="279">
        <f t="shared" si="38"/>
        <v>0</v>
      </c>
      <c r="S73" s="279">
        <f t="shared" si="38"/>
        <v>0</v>
      </c>
      <c r="T73" s="279">
        <f t="shared" si="38"/>
        <v>0</v>
      </c>
      <c r="U73" s="279">
        <f t="shared" si="38"/>
        <v>0</v>
      </c>
      <c r="V73" s="279">
        <f t="shared" si="38"/>
        <v>0</v>
      </c>
      <c r="W73" s="279">
        <f t="shared" si="38"/>
        <v>0</v>
      </c>
      <c r="X73" s="279">
        <f t="shared" si="38"/>
        <v>0</v>
      </c>
      <c r="Y73" s="279">
        <f t="shared" si="38"/>
        <v>0</v>
      </c>
      <c r="Z73" s="279">
        <f t="shared" si="38"/>
        <v>0</v>
      </c>
      <c r="AA73" s="279">
        <f t="shared" si="38"/>
        <v>0</v>
      </c>
      <c r="AB73" s="279">
        <f t="shared" si="38"/>
        <v>0</v>
      </c>
      <c r="AC73" s="279">
        <f t="shared" si="38"/>
        <v>0</v>
      </c>
      <c r="AD73" s="279">
        <f t="shared" si="38"/>
        <v>0</v>
      </c>
      <c r="AE73" s="279">
        <f t="shared" si="38"/>
        <v>0</v>
      </c>
      <c r="AF73" s="279">
        <f t="shared" si="38"/>
        <v>0</v>
      </c>
      <c r="AG73" s="279">
        <f t="shared" si="38"/>
        <v>0</v>
      </c>
      <c r="AH73" s="230"/>
      <c r="AI73" s="398"/>
      <c r="AJ73" s="399"/>
      <c r="AL73" s="207"/>
      <c r="AM73" s="118"/>
      <c r="AN73" s="118"/>
      <c r="AO73" s="118"/>
      <c r="BD73" s="118"/>
      <c r="BE73" s="118"/>
      <c r="BF73" s="118"/>
      <c r="BG73" s="118"/>
      <c r="BH73" s="118"/>
      <c r="BI73" s="118"/>
      <c r="BJ73" s="118"/>
      <c r="BK73" s="118"/>
    </row>
    <row r="74" spans="1:63" s="1" customFormat="1" outlineLevel="1">
      <c r="A74" s="1" t="s">
        <v>1170</v>
      </c>
      <c r="B74" s="61"/>
      <c r="C74" s="279">
        <f t="shared" ref="C74:AG74" si="39">C73-$C73</f>
        <v>0</v>
      </c>
      <c r="D74" s="279">
        <f t="shared" si="39"/>
        <v>0</v>
      </c>
      <c r="E74" s="279">
        <f t="shared" si="39"/>
        <v>0</v>
      </c>
      <c r="F74" s="279">
        <f t="shared" si="39"/>
        <v>0</v>
      </c>
      <c r="G74" s="279">
        <f t="shared" si="39"/>
        <v>0</v>
      </c>
      <c r="H74" s="279">
        <f t="shared" si="39"/>
        <v>0</v>
      </c>
      <c r="I74" s="279">
        <f t="shared" si="39"/>
        <v>0</v>
      </c>
      <c r="J74" s="279">
        <f t="shared" si="39"/>
        <v>0</v>
      </c>
      <c r="K74" s="279">
        <f t="shared" si="39"/>
        <v>0</v>
      </c>
      <c r="L74" s="279">
        <f t="shared" si="39"/>
        <v>0</v>
      </c>
      <c r="M74" s="279">
        <f t="shared" si="39"/>
        <v>0</v>
      </c>
      <c r="N74" s="279">
        <f t="shared" si="39"/>
        <v>0</v>
      </c>
      <c r="O74" s="279">
        <f t="shared" si="39"/>
        <v>0</v>
      </c>
      <c r="P74" s="279">
        <f t="shared" si="39"/>
        <v>0</v>
      </c>
      <c r="Q74" s="279">
        <f t="shared" si="39"/>
        <v>0</v>
      </c>
      <c r="R74" s="279">
        <f t="shared" si="39"/>
        <v>0</v>
      </c>
      <c r="S74" s="279">
        <f t="shared" si="39"/>
        <v>0</v>
      </c>
      <c r="T74" s="279">
        <f t="shared" si="39"/>
        <v>0</v>
      </c>
      <c r="U74" s="279">
        <f t="shared" si="39"/>
        <v>0</v>
      </c>
      <c r="V74" s="279">
        <f t="shared" si="39"/>
        <v>0</v>
      </c>
      <c r="W74" s="279">
        <f t="shared" si="39"/>
        <v>0</v>
      </c>
      <c r="X74" s="279">
        <f t="shared" si="39"/>
        <v>0</v>
      </c>
      <c r="Y74" s="279">
        <f t="shared" si="39"/>
        <v>0</v>
      </c>
      <c r="Z74" s="279">
        <f t="shared" si="39"/>
        <v>0</v>
      </c>
      <c r="AA74" s="279">
        <f t="shared" si="39"/>
        <v>0</v>
      </c>
      <c r="AB74" s="279">
        <f t="shared" si="39"/>
        <v>0</v>
      </c>
      <c r="AC74" s="279">
        <f t="shared" si="39"/>
        <v>0</v>
      </c>
      <c r="AD74" s="279">
        <f t="shared" si="39"/>
        <v>0</v>
      </c>
      <c r="AE74" s="279">
        <f t="shared" si="39"/>
        <v>0</v>
      </c>
      <c r="AF74" s="279">
        <f t="shared" si="39"/>
        <v>0</v>
      </c>
      <c r="AG74" s="279">
        <f t="shared" si="39"/>
        <v>0</v>
      </c>
      <c r="AH74" s="230"/>
      <c r="AI74" s="398"/>
      <c r="AJ74" s="399"/>
      <c r="AL74" s="207"/>
      <c r="AM74" s="118"/>
      <c r="AN74" s="118"/>
      <c r="AO74" s="118"/>
      <c r="BD74" s="118"/>
      <c r="BE74" s="118"/>
      <c r="BF74" s="118"/>
      <c r="BG74" s="118"/>
      <c r="BH74" s="118"/>
      <c r="BI74" s="118"/>
      <c r="BJ74" s="118"/>
      <c r="BK74" s="118"/>
    </row>
    <row r="75" spans="1:63" s="1" customFormat="1" outlineLevel="1">
      <c r="A75" s="1" t="s">
        <v>1162</v>
      </c>
      <c r="B75" s="61"/>
      <c r="C75" s="279">
        <f t="shared" ref="C75:AG75" si="40">C39*C65</f>
        <v>0</v>
      </c>
      <c r="D75" s="279">
        <f t="shared" si="40"/>
        <v>0</v>
      </c>
      <c r="E75" s="279">
        <f t="shared" si="40"/>
        <v>0</v>
      </c>
      <c r="F75" s="279">
        <f t="shared" si="40"/>
        <v>0</v>
      </c>
      <c r="G75" s="279">
        <f t="shared" si="40"/>
        <v>0</v>
      </c>
      <c r="H75" s="279">
        <f t="shared" si="40"/>
        <v>0</v>
      </c>
      <c r="I75" s="279">
        <f t="shared" si="40"/>
        <v>0</v>
      </c>
      <c r="J75" s="279">
        <f t="shared" si="40"/>
        <v>0</v>
      </c>
      <c r="K75" s="279">
        <f t="shared" si="40"/>
        <v>0</v>
      </c>
      <c r="L75" s="279">
        <f t="shared" si="40"/>
        <v>0</v>
      </c>
      <c r="M75" s="279">
        <f t="shared" si="40"/>
        <v>0</v>
      </c>
      <c r="N75" s="279">
        <f t="shared" si="40"/>
        <v>0</v>
      </c>
      <c r="O75" s="279">
        <f t="shared" si="40"/>
        <v>0</v>
      </c>
      <c r="P75" s="279">
        <f t="shared" si="40"/>
        <v>0</v>
      </c>
      <c r="Q75" s="279">
        <f t="shared" si="40"/>
        <v>0</v>
      </c>
      <c r="R75" s="279">
        <f t="shared" si="40"/>
        <v>0</v>
      </c>
      <c r="S75" s="279">
        <f t="shared" si="40"/>
        <v>0</v>
      </c>
      <c r="T75" s="279">
        <f t="shared" si="40"/>
        <v>0</v>
      </c>
      <c r="U75" s="279">
        <f t="shared" si="40"/>
        <v>0</v>
      </c>
      <c r="V75" s="279">
        <f t="shared" si="40"/>
        <v>0</v>
      </c>
      <c r="W75" s="279">
        <f t="shared" si="40"/>
        <v>0</v>
      </c>
      <c r="X75" s="279">
        <f t="shared" si="40"/>
        <v>0</v>
      </c>
      <c r="Y75" s="279">
        <f t="shared" si="40"/>
        <v>0</v>
      </c>
      <c r="Z75" s="279">
        <f t="shared" si="40"/>
        <v>0</v>
      </c>
      <c r="AA75" s="279">
        <f t="shared" si="40"/>
        <v>0</v>
      </c>
      <c r="AB75" s="279">
        <f t="shared" si="40"/>
        <v>0</v>
      </c>
      <c r="AC75" s="279">
        <f t="shared" si="40"/>
        <v>0</v>
      </c>
      <c r="AD75" s="279">
        <f t="shared" si="40"/>
        <v>0</v>
      </c>
      <c r="AE75" s="279">
        <f t="shared" si="40"/>
        <v>0</v>
      </c>
      <c r="AF75" s="279">
        <f t="shared" si="40"/>
        <v>0</v>
      </c>
      <c r="AG75" s="279">
        <f t="shared" si="40"/>
        <v>0</v>
      </c>
      <c r="AH75" s="230"/>
      <c r="AI75" s="398"/>
      <c r="AJ75" s="399"/>
      <c r="AL75" s="207"/>
      <c r="AM75" s="118"/>
      <c r="AN75" s="118"/>
      <c r="AO75" s="118"/>
      <c r="BD75" s="118"/>
      <c r="BE75" s="118"/>
      <c r="BF75" s="118"/>
      <c r="BG75" s="118"/>
      <c r="BH75" s="118"/>
      <c r="BI75" s="118"/>
      <c r="BJ75" s="118"/>
      <c r="BK75" s="118"/>
    </row>
    <row r="76" spans="1:63" s="1" customFormat="1" outlineLevel="1">
      <c r="A76" s="1" t="s">
        <v>1165</v>
      </c>
      <c r="B76" s="61"/>
      <c r="C76" s="279">
        <f t="shared" ref="C76:AG76" si="41">C75-$C75</f>
        <v>0</v>
      </c>
      <c r="D76" s="279">
        <f t="shared" si="41"/>
        <v>0</v>
      </c>
      <c r="E76" s="279">
        <f t="shared" si="41"/>
        <v>0</v>
      </c>
      <c r="F76" s="279">
        <f t="shared" si="41"/>
        <v>0</v>
      </c>
      <c r="G76" s="279">
        <f t="shared" si="41"/>
        <v>0</v>
      </c>
      <c r="H76" s="279">
        <f t="shared" si="41"/>
        <v>0</v>
      </c>
      <c r="I76" s="279">
        <f t="shared" si="41"/>
        <v>0</v>
      </c>
      <c r="J76" s="279">
        <f t="shared" si="41"/>
        <v>0</v>
      </c>
      <c r="K76" s="279">
        <f t="shared" si="41"/>
        <v>0</v>
      </c>
      <c r="L76" s="279">
        <f t="shared" si="41"/>
        <v>0</v>
      </c>
      <c r="M76" s="279">
        <f t="shared" si="41"/>
        <v>0</v>
      </c>
      <c r="N76" s="279">
        <f t="shared" si="41"/>
        <v>0</v>
      </c>
      <c r="O76" s="279">
        <f t="shared" si="41"/>
        <v>0</v>
      </c>
      <c r="P76" s="279">
        <f t="shared" si="41"/>
        <v>0</v>
      </c>
      <c r="Q76" s="279">
        <f t="shared" si="41"/>
        <v>0</v>
      </c>
      <c r="R76" s="279">
        <f t="shared" si="41"/>
        <v>0</v>
      </c>
      <c r="S76" s="279">
        <f t="shared" si="41"/>
        <v>0</v>
      </c>
      <c r="T76" s="279">
        <f t="shared" si="41"/>
        <v>0</v>
      </c>
      <c r="U76" s="279">
        <f t="shared" si="41"/>
        <v>0</v>
      </c>
      <c r="V76" s="279">
        <f t="shared" si="41"/>
        <v>0</v>
      </c>
      <c r="W76" s="279">
        <f t="shared" si="41"/>
        <v>0</v>
      </c>
      <c r="X76" s="279">
        <f t="shared" si="41"/>
        <v>0</v>
      </c>
      <c r="Y76" s="279">
        <f t="shared" si="41"/>
        <v>0</v>
      </c>
      <c r="Z76" s="279">
        <f t="shared" si="41"/>
        <v>0</v>
      </c>
      <c r="AA76" s="279">
        <f t="shared" si="41"/>
        <v>0</v>
      </c>
      <c r="AB76" s="279">
        <f t="shared" si="41"/>
        <v>0</v>
      </c>
      <c r="AC76" s="279">
        <f t="shared" si="41"/>
        <v>0</v>
      </c>
      <c r="AD76" s="279">
        <f t="shared" si="41"/>
        <v>0</v>
      </c>
      <c r="AE76" s="279">
        <f t="shared" si="41"/>
        <v>0</v>
      </c>
      <c r="AF76" s="279">
        <f t="shared" si="41"/>
        <v>0</v>
      </c>
      <c r="AG76" s="279">
        <f t="shared" si="41"/>
        <v>0</v>
      </c>
      <c r="AH76" s="230"/>
      <c r="AI76" s="398"/>
      <c r="AJ76" s="399"/>
      <c r="AL76" s="207"/>
      <c r="AM76" s="118"/>
      <c r="AN76" s="118"/>
      <c r="AO76" s="118"/>
      <c r="BD76" s="118"/>
      <c r="BE76" s="118"/>
      <c r="BF76" s="118"/>
      <c r="BG76" s="118"/>
      <c r="BH76" s="118"/>
      <c r="BI76" s="118"/>
      <c r="BJ76" s="118"/>
      <c r="BK76" s="118"/>
    </row>
    <row r="77" spans="1:63" s="1" customFormat="1" outlineLevel="1">
      <c r="A77" s="1" t="s">
        <v>1163</v>
      </c>
      <c r="B77" s="61"/>
      <c r="C77" s="279">
        <f t="shared" ref="C77:AG77" si="42">C39*C67</f>
        <v>0</v>
      </c>
      <c r="D77" s="279">
        <f t="shared" si="42"/>
        <v>0</v>
      </c>
      <c r="E77" s="279">
        <f t="shared" si="42"/>
        <v>0</v>
      </c>
      <c r="F77" s="279">
        <f t="shared" si="42"/>
        <v>0</v>
      </c>
      <c r="G77" s="279">
        <f t="shared" si="42"/>
        <v>0</v>
      </c>
      <c r="H77" s="279">
        <f t="shared" si="42"/>
        <v>0</v>
      </c>
      <c r="I77" s="279">
        <f t="shared" si="42"/>
        <v>0</v>
      </c>
      <c r="J77" s="279">
        <f t="shared" si="42"/>
        <v>0</v>
      </c>
      <c r="K77" s="279">
        <f t="shared" si="42"/>
        <v>0</v>
      </c>
      <c r="L77" s="279">
        <f t="shared" si="42"/>
        <v>0</v>
      </c>
      <c r="M77" s="279">
        <f t="shared" si="42"/>
        <v>0</v>
      </c>
      <c r="N77" s="279">
        <f t="shared" si="42"/>
        <v>0</v>
      </c>
      <c r="O77" s="279">
        <f t="shared" si="42"/>
        <v>0</v>
      </c>
      <c r="P77" s="279">
        <f t="shared" si="42"/>
        <v>0</v>
      </c>
      <c r="Q77" s="279">
        <f t="shared" si="42"/>
        <v>0</v>
      </c>
      <c r="R77" s="279">
        <f t="shared" si="42"/>
        <v>0</v>
      </c>
      <c r="S77" s="279">
        <f t="shared" si="42"/>
        <v>0</v>
      </c>
      <c r="T77" s="279">
        <f t="shared" si="42"/>
        <v>0</v>
      </c>
      <c r="U77" s="279">
        <f t="shared" si="42"/>
        <v>0</v>
      </c>
      <c r="V77" s="279">
        <f t="shared" si="42"/>
        <v>0</v>
      </c>
      <c r="W77" s="279">
        <f t="shared" si="42"/>
        <v>0</v>
      </c>
      <c r="X77" s="279">
        <f t="shared" si="42"/>
        <v>0</v>
      </c>
      <c r="Y77" s="279">
        <f t="shared" si="42"/>
        <v>0</v>
      </c>
      <c r="Z77" s="279">
        <f t="shared" si="42"/>
        <v>0</v>
      </c>
      <c r="AA77" s="279">
        <f t="shared" si="42"/>
        <v>0</v>
      </c>
      <c r="AB77" s="279">
        <f t="shared" si="42"/>
        <v>0</v>
      </c>
      <c r="AC77" s="279">
        <f t="shared" si="42"/>
        <v>0</v>
      </c>
      <c r="AD77" s="279">
        <f t="shared" si="42"/>
        <v>0</v>
      </c>
      <c r="AE77" s="279">
        <f t="shared" si="42"/>
        <v>0</v>
      </c>
      <c r="AF77" s="279">
        <f t="shared" si="42"/>
        <v>0</v>
      </c>
      <c r="AG77" s="279">
        <f t="shared" si="42"/>
        <v>0</v>
      </c>
      <c r="AH77" s="230"/>
      <c r="AI77" s="398"/>
      <c r="AJ77" s="399"/>
      <c r="AL77" s="207"/>
      <c r="AM77" s="118"/>
      <c r="AN77" s="118"/>
      <c r="AO77" s="118"/>
      <c r="BD77" s="118"/>
      <c r="BE77" s="118"/>
      <c r="BF77" s="118"/>
      <c r="BG77" s="118"/>
      <c r="BH77" s="118"/>
      <c r="BI77" s="118"/>
      <c r="BJ77" s="118"/>
      <c r="BK77" s="118"/>
    </row>
    <row r="78" spans="1:63" s="1" customFormat="1" outlineLevel="1">
      <c r="A78" s="1" t="s">
        <v>1166</v>
      </c>
      <c r="B78" s="61"/>
      <c r="C78" s="279">
        <f t="shared" ref="C78:AG78" si="43">C77-$C77</f>
        <v>0</v>
      </c>
      <c r="D78" s="279">
        <f t="shared" si="43"/>
        <v>0</v>
      </c>
      <c r="E78" s="279">
        <f t="shared" si="43"/>
        <v>0</v>
      </c>
      <c r="F78" s="279">
        <f t="shared" si="43"/>
        <v>0</v>
      </c>
      <c r="G78" s="279">
        <f t="shared" si="43"/>
        <v>0</v>
      </c>
      <c r="H78" s="279">
        <f t="shared" si="43"/>
        <v>0</v>
      </c>
      <c r="I78" s="279">
        <f t="shared" si="43"/>
        <v>0</v>
      </c>
      <c r="J78" s="279">
        <f t="shared" si="43"/>
        <v>0</v>
      </c>
      <c r="K78" s="279">
        <f t="shared" si="43"/>
        <v>0</v>
      </c>
      <c r="L78" s="279">
        <f t="shared" si="43"/>
        <v>0</v>
      </c>
      <c r="M78" s="279">
        <f t="shared" si="43"/>
        <v>0</v>
      </c>
      <c r="N78" s="279">
        <f t="shared" si="43"/>
        <v>0</v>
      </c>
      <c r="O78" s="279">
        <f t="shared" si="43"/>
        <v>0</v>
      </c>
      <c r="P78" s="279">
        <f t="shared" si="43"/>
        <v>0</v>
      </c>
      <c r="Q78" s="279">
        <f t="shared" si="43"/>
        <v>0</v>
      </c>
      <c r="R78" s="279">
        <f t="shared" si="43"/>
        <v>0</v>
      </c>
      <c r="S78" s="279">
        <f t="shared" si="43"/>
        <v>0</v>
      </c>
      <c r="T78" s="279">
        <f t="shared" si="43"/>
        <v>0</v>
      </c>
      <c r="U78" s="279">
        <f t="shared" si="43"/>
        <v>0</v>
      </c>
      <c r="V78" s="279">
        <f t="shared" si="43"/>
        <v>0</v>
      </c>
      <c r="W78" s="279">
        <f t="shared" si="43"/>
        <v>0</v>
      </c>
      <c r="X78" s="279">
        <f t="shared" si="43"/>
        <v>0</v>
      </c>
      <c r="Y78" s="279">
        <f t="shared" si="43"/>
        <v>0</v>
      </c>
      <c r="Z78" s="279">
        <f t="shared" si="43"/>
        <v>0</v>
      </c>
      <c r="AA78" s="279">
        <f t="shared" si="43"/>
        <v>0</v>
      </c>
      <c r="AB78" s="279">
        <f t="shared" si="43"/>
        <v>0</v>
      </c>
      <c r="AC78" s="279">
        <f t="shared" si="43"/>
        <v>0</v>
      </c>
      <c r="AD78" s="279">
        <f t="shared" si="43"/>
        <v>0</v>
      </c>
      <c r="AE78" s="279">
        <f t="shared" si="43"/>
        <v>0</v>
      </c>
      <c r="AF78" s="279">
        <f t="shared" si="43"/>
        <v>0</v>
      </c>
      <c r="AG78" s="279">
        <f t="shared" si="43"/>
        <v>0</v>
      </c>
      <c r="AH78" s="230"/>
      <c r="AI78" s="398"/>
      <c r="AJ78" s="399"/>
      <c r="AL78" s="207"/>
      <c r="AM78" s="118"/>
      <c r="AN78" s="118"/>
      <c r="AO78" s="118"/>
      <c r="BD78" s="118"/>
      <c r="BE78" s="118"/>
      <c r="BF78" s="118"/>
      <c r="BG78" s="118"/>
      <c r="BH78" s="118"/>
      <c r="BI78" s="118"/>
      <c r="BJ78" s="118"/>
      <c r="BK78" s="118"/>
    </row>
    <row r="79" spans="1:63" outlineLevel="1"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2"/>
      <c r="AI79" s="127"/>
      <c r="AJ79" s="198"/>
      <c r="AL79" s="102"/>
      <c r="AM79" s="125"/>
      <c r="AN79" s="2"/>
      <c r="AO79" s="2"/>
    </row>
    <row r="80" spans="1:63" s="187" customFormat="1" ht="15.5" thickBot="1">
      <c r="A80" s="187" t="s">
        <v>436</v>
      </c>
      <c r="B80" s="202"/>
      <c r="C80" s="208">
        <f>C81</f>
        <v>0.1</v>
      </c>
      <c r="D80" s="208">
        <f t="shared" ref="D80:AG80" si="44">D81</f>
        <v>0.11333333333333334</v>
      </c>
      <c r="E80" s="208">
        <f t="shared" si="44"/>
        <v>0.12666666666666668</v>
      </c>
      <c r="F80" s="208">
        <f t="shared" si="44"/>
        <v>0.14000000000000001</v>
      </c>
      <c r="G80" s="208">
        <f t="shared" si="44"/>
        <v>0.15333333333333332</v>
      </c>
      <c r="H80" s="208">
        <f t="shared" si="44"/>
        <v>0.16666666666666669</v>
      </c>
      <c r="I80" s="208">
        <f t="shared" si="44"/>
        <v>0.18</v>
      </c>
      <c r="J80" s="208">
        <f t="shared" si="44"/>
        <v>0.19333333333333333</v>
      </c>
      <c r="K80" s="208">
        <f t="shared" si="44"/>
        <v>0.20666666666666667</v>
      </c>
      <c r="L80" s="208">
        <f t="shared" si="44"/>
        <v>0.22</v>
      </c>
      <c r="M80" s="208">
        <f t="shared" si="44"/>
        <v>0.23333333333333334</v>
      </c>
      <c r="N80" s="208">
        <f t="shared" si="44"/>
        <v>0.24666666666666667</v>
      </c>
      <c r="O80" s="208">
        <f t="shared" si="44"/>
        <v>0.26</v>
      </c>
      <c r="P80" s="208">
        <f t="shared" si="44"/>
        <v>0.27333333333333332</v>
      </c>
      <c r="Q80" s="208">
        <f t="shared" si="44"/>
        <v>0.28666666666666668</v>
      </c>
      <c r="R80" s="208">
        <f t="shared" si="44"/>
        <v>0.30000000000000004</v>
      </c>
      <c r="S80" s="208">
        <f t="shared" si="44"/>
        <v>0.31333333333333335</v>
      </c>
      <c r="T80" s="208">
        <f t="shared" si="44"/>
        <v>0.32666666666666666</v>
      </c>
      <c r="U80" s="208">
        <f t="shared" si="44"/>
        <v>0.34</v>
      </c>
      <c r="V80" s="208">
        <f t="shared" si="44"/>
        <v>0.35333333333333339</v>
      </c>
      <c r="W80" s="208">
        <f t="shared" si="44"/>
        <v>0.3666666666666667</v>
      </c>
      <c r="X80" s="208">
        <f t="shared" si="44"/>
        <v>0.38</v>
      </c>
      <c r="Y80" s="208">
        <f t="shared" si="44"/>
        <v>0.39333333333333337</v>
      </c>
      <c r="Z80" s="208">
        <f t="shared" si="44"/>
        <v>0.40666666666666668</v>
      </c>
      <c r="AA80" s="208">
        <f t="shared" si="44"/>
        <v>0.42000000000000004</v>
      </c>
      <c r="AB80" s="208">
        <f t="shared" si="44"/>
        <v>0.43333333333333335</v>
      </c>
      <c r="AC80" s="208">
        <f t="shared" si="44"/>
        <v>0.44666666666666666</v>
      </c>
      <c r="AD80" s="208">
        <f t="shared" si="44"/>
        <v>0.46</v>
      </c>
      <c r="AE80" s="208">
        <f t="shared" si="44"/>
        <v>0.47333333333333333</v>
      </c>
      <c r="AF80" s="208">
        <f t="shared" si="44"/>
        <v>0.48666666666666669</v>
      </c>
      <c r="AG80" s="208">
        <f t="shared" si="44"/>
        <v>0.5</v>
      </c>
      <c r="AJ80" s="217" t="s">
        <v>472</v>
      </c>
      <c r="AL80" s="204"/>
      <c r="AM80" s="205"/>
      <c r="AN80" s="205"/>
      <c r="AO80" s="205"/>
    </row>
    <row r="81" spans="1:63" ht="15.5" outlineLevel="1" thickTop="1">
      <c r="A81" t="s">
        <v>428</v>
      </c>
      <c r="B81" s="51" t="s">
        <v>126</v>
      </c>
      <c r="C81" s="201">
        <v>0.1</v>
      </c>
      <c r="D81" s="104">
        <f>$C81+($M81-$C81)/10*(D$1-$C$1)</f>
        <v>0.11333333333333334</v>
      </c>
      <c r="E81" s="104">
        <f t="shared" ref="E81:L81" si="45">$C81+($M81-$C81)/10*(E$1-$C$1)</f>
        <v>0.12666666666666668</v>
      </c>
      <c r="F81" s="104">
        <f t="shared" si="45"/>
        <v>0.14000000000000001</v>
      </c>
      <c r="G81" s="104">
        <f t="shared" si="45"/>
        <v>0.15333333333333332</v>
      </c>
      <c r="H81" s="104">
        <f t="shared" si="45"/>
        <v>0.16666666666666669</v>
      </c>
      <c r="I81" s="104">
        <f t="shared" si="45"/>
        <v>0.18</v>
      </c>
      <c r="J81" s="104">
        <f t="shared" si="45"/>
        <v>0.19333333333333333</v>
      </c>
      <c r="K81" s="104">
        <f t="shared" si="45"/>
        <v>0.20666666666666667</v>
      </c>
      <c r="L81" s="104">
        <f t="shared" si="45"/>
        <v>0.22</v>
      </c>
      <c r="M81" s="115">
        <f>C81+(AG81-C81)/3</f>
        <v>0.23333333333333334</v>
      </c>
      <c r="N81" s="115">
        <f>$M81+($W81-$M81)/10*(N$1-$M$1)</f>
        <v>0.24666666666666667</v>
      </c>
      <c r="O81" s="115">
        <f t="shared" ref="O81:U81" si="46">$M81+($W81-$M81)/10*(O$1-$M$1)</f>
        <v>0.26</v>
      </c>
      <c r="P81" s="115">
        <f t="shared" si="46"/>
        <v>0.27333333333333332</v>
      </c>
      <c r="Q81" s="115">
        <f t="shared" si="46"/>
        <v>0.28666666666666668</v>
      </c>
      <c r="R81" s="115">
        <f t="shared" si="46"/>
        <v>0.30000000000000004</v>
      </c>
      <c r="S81" s="115">
        <f t="shared" si="46"/>
        <v>0.31333333333333335</v>
      </c>
      <c r="T81" s="115">
        <f t="shared" si="46"/>
        <v>0.32666666666666666</v>
      </c>
      <c r="U81" s="115">
        <f t="shared" si="46"/>
        <v>0.34</v>
      </c>
      <c r="V81" s="115">
        <f>$M81+($W81-$M81)/10*(V$1-$M$1)</f>
        <v>0.35333333333333339</v>
      </c>
      <c r="W81" s="115">
        <f>C81+(AG81-C81)*2/3</f>
        <v>0.3666666666666667</v>
      </c>
      <c r="X81" s="104">
        <f>$W81+($AG81-$W81)/10*(X$1-$W$1)</f>
        <v>0.38</v>
      </c>
      <c r="Y81" s="104">
        <f t="shared" ref="Y81:AF81" si="47">$W81+($AG81-$W81)/10*(Y$1-$W$1)</f>
        <v>0.39333333333333337</v>
      </c>
      <c r="Z81" s="104">
        <f t="shared" si="47"/>
        <v>0.40666666666666668</v>
      </c>
      <c r="AA81" s="104">
        <f t="shared" si="47"/>
        <v>0.42000000000000004</v>
      </c>
      <c r="AB81" s="104">
        <f t="shared" si="47"/>
        <v>0.43333333333333335</v>
      </c>
      <c r="AC81" s="104">
        <f t="shared" si="47"/>
        <v>0.44666666666666666</v>
      </c>
      <c r="AD81" s="104">
        <f t="shared" si="47"/>
        <v>0.46</v>
      </c>
      <c r="AE81" s="104">
        <f t="shared" si="47"/>
        <v>0.47333333333333333</v>
      </c>
      <c r="AF81" s="104">
        <f t="shared" si="47"/>
        <v>0.48666666666666669</v>
      </c>
      <c r="AG81" s="201">
        <v>0.5</v>
      </c>
      <c r="AJ81" s="198" t="s">
        <v>1525</v>
      </c>
    </row>
    <row r="82" spans="1:63" outlineLevel="1">
      <c r="A82" t="s">
        <v>429</v>
      </c>
      <c r="B82" s="51" t="s">
        <v>126</v>
      </c>
      <c r="C82" s="201">
        <v>0</v>
      </c>
      <c r="D82" s="104">
        <f t="shared" ref="D82:AF82" si="48">C82-($C$82-$AG$82)/($AG$1-$C$1)</f>
        <v>0.01</v>
      </c>
      <c r="E82" s="104">
        <f t="shared" si="48"/>
        <v>0.02</v>
      </c>
      <c r="F82" s="104">
        <f t="shared" si="48"/>
        <v>0.03</v>
      </c>
      <c r="G82" s="104">
        <f t="shared" si="48"/>
        <v>0.04</v>
      </c>
      <c r="H82" s="104">
        <f t="shared" si="48"/>
        <v>0.05</v>
      </c>
      <c r="I82" s="104">
        <f t="shared" si="48"/>
        <v>6.0000000000000005E-2</v>
      </c>
      <c r="J82" s="104">
        <f t="shared" si="48"/>
        <v>7.0000000000000007E-2</v>
      </c>
      <c r="K82" s="104">
        <f t="shared" si="48"/>
        <v>0.08</v>
      </c>
      <c r="L82" s="104">
        <f t="shared" si="48"/>
        <v>0.09</v>
      </c>
      <c r="M82" s="104">
        <f t="shared" si="48"/>
        <v>9.9999999999999992E-2</v>
      </c>
      <c r="N82" s="104">
        <f t="shared" si="48"/>
        <v>0.10999999999999999</v>
      </c>
      <c r="O82" s="104">
        <f t="shared" si="48"/>
        <v>0.11999999999999998</v>
      </c>
      <c r="P82" s="104">
        <f t="shared" si="48"/>
        <v>0.12999999999999998</v>
      </c>
      <c r="Q82" s="104">
        <f t="shared" si="48"/>
        <v>0.13999999999999999</v>
      </c>
      <c r="R82" s="104">
        <f t="shared" si="48"/>
        <v>0.15</v>
      </c>
      <c r="S82" s="104">
        <f t="shared" si="48"/>
        <v>0.16</v>
      </c>
      <c r="T82" s="104">
        <f t="shared" si="48"/>
        <v>0.17</v>
      </c>
      <c r="U82" s="104">
        <f t="shared" si="48"/>
        <v>0.18000000000000002</v>
      </c>
      <c r="V82" s="104">
        <f t="shared" si="48"/>
        <v>0.19000000000000003</v>
      </c>
      <c r="W82" s="104">
        <f t="shared" si="48"/>
        <v>0.20000000000000004</v>
      </c>
      <c r="X82" s="104">
        <f t="shared" si="48"/>
        <v>0.21000000000000005</v>
      </c>
      <c r="Y82" s="104">
        <f t="shared" si="48"/>
        <v>0.22000000000000006</v>
      </c>
      <c r="Z82" s="104">
        <f t="shared" si="48"/>
        <v>0.23000000000000007</v>
      </c>
      <c r="AA82" s="104">
        <f t="shared" si="48"/>
        <v>0.24000000000000007</v>
      </c>
      <c r="AB82" s="104">
        <f t="shared" si="48"/>
        <v>0.25000000000000006</v>
      </c>
      <c r="AC82" s="104">
        <f t="shared" si="48"/>
        <v>0.26000000000000006</v>
      </c>
      <c r="AD82" s="104">
        <f t="shared" si="48"/>
        <v>0.27000000000000007</v>
      </c>
      <c r="AE82" s="104">
        <f t="shared" si="48"/>
        <v>0.28000000000000008</v>
      </c>
      <c r="AF82" s="104">
        <f t="shared" si="48"/>
        <v>0.29000000000000009</v>
      </c>
      <c r="AG82" s="201">
        <v>0.3</v>
      </c>
      <c r="AI82" s="127"/>
      <c r="AJ82" s="198" t="s">
        <v>870</v>
      </c>
      <c r="AL82" s="51" t="s">
        <v>294</v>
      </c>
    </row>
    <row r="83" spans="1:63" outlineLevel="1">
      <c r="A83" t="s">
        <v>430</v>
      </c>
      <c r="B83" s="165" t="s">
        <v>126</v>
      </c>
      <c r="C83" s="104">
        <f>1-C82</f>
        <v>1</v>
      </c>
      <c r="D83" s="104">
        <f t="shared" ref="D83:AG83" si="49">1-D82</f>
        <v>0.99</v>
      </c>
      <c r="E83" s="104">
        <f t="shared" si="49"/>
        <v>0.98</v>
      </c>
      <c r="F83" s="104">
        <f t="shared" si="49"/>
        <v>0.97</v>
      </c>
      <c r="G83" s="104">
        <f t="shared" si="49"/>
        <v>0.96</v>
      </c>
      <c r="H83" s="104">
        <f t="shared" si="49"/>
        <v>0.95</v>
      </c>
      <c r="I83" s="104">
        <f t="shared" si="49"/>
        <v>0.94</v>
      </c>
      <c r="J83" s="104">
        <f t="shared" si="49"/>
        <v>0.92999999999999994</v>
      </c>
      <c r="K83" s="104">
        <f t="shared" si="49"/>
        <v>0.92</v>
      </c>
      <c r="L83" s="104">
        <f t="shared" si="49"/>
        <v>0.91</v>
      </c>
      <c r="M83" s="104">
        <f t="shared" si="49"/>
        <v>0.9</v>
      </c>
      <c r="N83" s="104">
        <f t="shared" si="49"/>
        <v>0.89</v>
      </c>
      <c r="O83" s="104">
        <f t="shared" si="49"/>
        <v>0.88</v>
      </c>
      <c r="P83" s="104">
        <f t="shared" si="49"/>
        <v>0.87</v>
      </c>
      <c r="Q83" s="104">
        <f t="shared" si="49"/>
        <v>0.86</v>
      </c>
      <c r="R83" s="104">
        <f t="shared" si="49"/>
        <v>0.85</v>
      </c>
      <c r="S83" s="104">
        <f t="shared" si="49"/>
        <v>0.84</v>
      </c>
      <c r="T83" s="104">
        <f t="shared" si="49"/>
        <v>0.83</v>
      </c>
      <c r="U83" s="104">
        <f t="shared" si="49"/>
        <v>0.82</v>
      </c>
      <c r="V83" s="104">
        <f t="shared" si="49"/>
        <v>0.80999999999999994</v>
      </c>
      <c r="W83" s="104">
        <f t="shared" si="49"/>
        <v>0.79999999999999993</v>
      </c>
      <c r="X83" s="104">
        <f t="shared" si="49"/>
        <v>0.78999999999999992</v>
      </c>
      <c r="Y83" s="104">
        <f t="shared" si="49"/>
        <v>0.77999999999999992</v>
      </c>
      <c r="Z83" s="104">
        <f t="shared" si="49"/>
        <v>0.76999999999999991</v>
      </c>
      <c r="AA83" s="104">
        <f t="shared" si="49"/>
        <v>0.7599999999999999</v>
      </c>
      <c r="AB83" s="104">
        <f t="shared" si="49"/>
        <v>0.75</v>
      </c>
      <c r="AC83" s="104">
        <f t="shared" si="49"/>
        <v>0.74</v>
      </c>
      <c r="AD83" s="104">
        <f t="shared" si="49"/>
        <v>0.73</v>
      </c>
      <c r="AE83" s="104">
        <f t="shared" si="49"/>
        <v>0.72</v>
      </c>
      <c r="AF83" s="104">
        <f t="shared" si="49"/>
        <v>0.71</v>
      </c>
      <c r="AG83" s="104">
        <f t="shared" si="49"/>
        <v>0.7</v>
      </c>
      <c r="AI83" s="127"/>
      <c r="AJ83" s="198"/>
      <c r="BD83" s="687"/>
      <c r="BE83" s="687"/>
    </row>
    <row r="84" spans="1:63" outlineLevel="1">
      <c r="A84" t="s">
        <v>493</v>
      </c>
      <c r="B84" s="51" t="s">
        <v>126</v>
      </c>
      <c r="C84" s="104">
        <f>C81*C82</f>
        <v>0</v>
      </c>
      <c r="D84" s="104">
        <f t="shared" ref="D84:AG84" si="50">D81*D82</f>
        <v>1.1333333333333334E-3</v>
      </c>
      <c r="E84" s="104">
        <f t="shared" si="50"/>
        <v>2.5333333333333336E-3</v>
      </c>
      <c r="F84" s="104">
        <f t="shared" si="50"/>
        <v>4.2000000000000006E-3</v>
      </c>
      <c r="G84" s="104">
        <f t="shared" si="50"/>
        <v>6.1333333333333327E-3</v>
      </c>
      <c r="H84" s="104">
        <f t="shared" si="50"/>
        <v>8.333333333333335E-3</v>
      </c>
      <c r="I84" s="104">
        <f t="shared" si="50"/>
        <v>1.0800000000000001E-2</v>
      </c>
      <c r="J84" s="104">
        <f t="shared" si="50"/>
        <v>1.3533333333333335E-2</v>
      </c>
      <c r="K84" s="104">
        <f t="shared" si="50"/>
        <v>1.6533333333333334E-2</v>
      </c>
      <c r="L84" s="104">
        <f t="shared" si="50"/>
        <v>1.9799999999999998E-2</v>
      </c>
      <c r="M84" s="104">
        <f t="shared" si="50"/>
        <v>2.3333333333333331E-2</v>
      </c>
      <c r="N84" s="104">
        <f t="shared" si="50"/>
        <v>2.7133333333333332E-2</v>
      </c>
      <c r="O84" s="104">
        <f t="shared" si="50"/>
        <v>3.1199999999999995E-2</v>
      </c>
      <c r="P84" s="104">
        <f t="shared" si="50"/>
        <v>3.5533333333333326E-2</v>
      </c>
      <c r="Q84" s="104">
        <f t="shared" si="50"/>
        <v>4.0133333333333333E-2</v>
      </c>
      <c r="R84" s="104">
        <f t="shared" si="50"/>
        <v>4.5000000000000005E-2</v>
      </c>
      <c r="S84" s="104">
        <f t="shared" si="50"/>
        <v>5.0133333333333335E-2</v>
      </c>
      <c r="T84" s="104">
        <f t="shared" si="50"/>
        <v>5.5533333333333337E-2</v>
      </c>
      <c r="U84" s="104">
        <f t="shared" si="50"/>
        <v>6.1200000000000011E-2</v>
      </c>
      <c r="V84" s="104">
        <f t="shared" si="50"/>
        <v>6.713333333333335E-2</v>
      </c>
      <c r="W84" s="104">
        <f t="shared" si="50"/>
        <v>7.3333333333333348E-2</v>
      </c>
      <c r="X84" s="104">
        <f t="shared" si="50"/>
        <v>7.9800000000000024E-2</v>
      </c>
      <c r="Y84" s="104">
        <f t="shared" si="50"/>
        <v>8.6533333333333365E-2</v>
      </c>
      <c r="Z84" s="104">
        <f t="shared" si="50"/>
        <v>9.3533333333333357E-2</v>
      </c>
      <c r="AA84" s="104">
        <f t="shared" si="50"/>
        <v>0.10080000000000004</v>
      </c>
      <c r="AB84" s="104">
        <f t="shared" si="50"/>
        <v>0.10833333333333336</v>
      </c>
      <c r="AC84" s="104">
        <f t="shared" si="50"/>
        <v>0.11613333333333337</v>
      </c>
      <c r="AD84" s="104">
        <f t="shared" si="50"/>
        <v>0.12420000000000003</v>
      </c>
      <c r="AE84" s="104">
        <f t="shared" si="50"/>
        <v>0.13253333333333336</v>
      </c>
      <c r="AF84" s="104">
        <f t="shared" si="50"/>
        <v>0.14113333333333339</v>
      </c>
      <c r="AG84" s="104">
        <f t="shared" si="50"/>
        <v>0.15</v>
      </c>
      <c r="AI84" s="127"/>
      <c r="AJ84" s="198"/>
      <c r="BD84" s="190"/>
      <c r="BE84" s="190"/>
    </row>
    <row r="85" spans="1:63" outlineLevel="1">
      <c r="A85" t="s">
        <v>494</v>
      </c>
      <c r="B85" s="51" t="s">
        <v>126</v>
      </c>
      <c r="C85" s="104">
        <f>C81*C83</f>
        <v>0.1</v>
      </c>
      <c r="D85" s="104">
        <f t="shared" ref="D85:AG85" si="51">D81*D83</f>
        <v>0.11220000000000001</v>
      </c>
      <c r="E85" s="104">
        <f t="shared" si="51"/>
        <v>0.12413333333333335</v>
      </c>
      <c r="F85" s="104">
        <f t="shared" si="51"/>
        <v>0.1358</v>
      </c>
      <c r="G85" s="104">
        <f t="shared" si="51"/>
        <v>0.14719999999999997</v>
      </c>
      <c r="H85" s="104">
        <f t="shared" si="51"/>
        <v>0.15833333333333335</v>
      </c>
      <c r="I85" s="104">
        <f t="shared" si="51"/>
        <v>0.16919999999999999</v>
      </c>
      <c r="J85" s="104">
        <f t="shared" si="51"/>
        <v>0.17979999999999999</v>
      </c>
      <c r="K85" s="104">
        <f t="shared" si="51"/>
        <v>0.19013333333333335</v>
      </c>
      <c r="L85" s="104">
        <f t="shared" si="51"/>
        <v>0.20020000000000002</v>
      </c>
      <c r="M85" s="104">
        <f t="shared" si="51"/>
        <v>0.21000000000000002</v>
      </c>
      <c r="N85" s="104">
        <f t="shared" si="51"/>
        <v>0.21953333333333333</v>
      </c>
      <c r="O85" s="104">
        <f t="shared" si="51"/>
        <v>0.2288</v>
      </c>
      <c r="P85" s="104">
        <f t="shared" si="51"/>
        <v>0.23779999999999998</v>
      </c>
      <c r="Q85" s="104">
        <f t="shared" si="51"/>
        <v>0.24653333333333335</v>
      </c>
      <c r="R85" s="104">
        <f t="shared" si="51"/>
        <v>0.255</v>
      </c>
      <c r="S85" s="104">
        <f t="shared" si="51"/>
        <v>0.26319999999999999</v>
      </c>
      <c r="T85" s="104">
        <f t="shared" si="51"/>
        <v>0.27113333333333334</v>
      </c>
      <c r="U85" s="104">
        <f t="shared" si="51"/>
        <v>0.27879999999999999</v>
      </c>
      <c r="V85" s="104">
        <f t="shared" si="51"/>
        <v>0.28620000000000001</v>
      </c>
      <c r="W85" s="104">
        <f t="shared" si="51"/>
        <v>0.29333333333333333</v>
      </c>
      <c r="X85" s="104">
        <f t="shared" si="51"/>
        <v>0.30019999999999997</v>
      </c>
      <c r="Y85" s="104">
        <f t="shared" si="51"/>
        <v>0.30680000000000002</v>
      </c>
      <c r="Z85" s="104">
        <f t="shared" si="51"/>
        <v>0.31313333333333332</v>
      </c>
      <c r="AA85" s="104">
        <f t="shared" si="51"/>
        <v>0.31919999999999998</v>
      </c>
      <c r="AB85" s="104">
        <f t="shared" si="51"/>
        <v>0.32500000000000001</v>
      </c>
      <c r="AC85" s="104">
        <f t="shared" si="51"/>
        <v>0.33053333333333335</v>
      </c>
      <c r="AD85" s="104">
        <f t="shared" si="51"/>
        <v>0.33579999999999999</v>
      </c>
      <c r="AE85" s="104">
        <f t="shared" si="51"/>
        <v>0.34079999999999999</v>
      </c>
      <c r="AF85" s="104">
        <f t="shared" si="51"/>
        <v>0.34553333333333336</v>
      </c>
      <c r="AG85" s="104">
        <f t="shared" si="51"/>
        <v>0.35</v>
      </c>
      <c r="AI85" s="127"/>
      <c r="AJ85" s="198"/>
      <c r="BD85" s="190"/>
      <c r="BE85" s="190"/>
    </row>
    <row r="86" spans="1:63" outlineLevel="1">
      <c r="B86" s="165"/>
      <c r="C86" s="104"/>
      <c r="D86" s="104"/>
      <c r="E86" s="104"/>
      <c r="F86" s="104"/>
      <c r="G86" s="104"/>
      <c r="H86" s="104"/>
      <c r="I86" s="104"/>
      <c r="J86" s="104"/>
      <c r="K86" s="104"/>
      <c r="L86" s="104"/>
      <c r="M86" s="104"/>
      <c r="N86" s="104"/>
      <c r="O86" s="104"/>
      <c r="P86" s="104"/>
      <c r="Q86" s="104"/>
      <c r="R86" s="104"/>
      <c r="S86" s="104"/>
      <c r="T86" s="104"/>
      <c r="U86" s="104"/>
      <c r="V86" s="104"/>
      <c r="W86" s="104"/>
      <c r="X86" s="104"/>
      <c r="Y86" s="104"/>
      <c r="Z86" s="104"/>
      <c r="AA86" s="104"/>
      <c r="AB86" s="104"/>
      <c r="AC86" s="104"/>
      <c r="AD86" s="104"/>
      <c r="AE86" s="104"/>
      <c r="AF86" s="104"/>
      <c r="AG86" s="104"/>
      <c r="AI86" s="127"/>
      <c r="AJ86" s="198"/>
      <c r="BD86" s="190"/>
      <c r="BE86" s="190"/>
    </row>
    <row r="87" spans="1:63" outlineLevel="1">
      <c r="A87" t="s">
        <v>437</v>
      </c>
      <c r="B87" s="51" t="s">
        <v>126</v>
      </c>
      <c r="C87" s="201">
        <v>0.9</v>
      </c>
      <c r="D87" s="104">
        <f>C87</f>
        <v>0.9</v>
      </c>
      <c r="E87" s="104">
        <f t="shared" ref="E87:T87" si="52">D87</f>
        <v>0.9</v>
      </c>
      <c r="F87" s="104">
        <f t="shared" si="52"/>
        <v>0.9</v>
      </c>
      <c r="G87" s="104">
        <f t="shared" si="52"/>
        <v>0.9</v>
      </c>
      <c r="H87" s="104">
        <f t="shared" si="52"/>
        <v>0.9</v>
      </c>
      <c r="I87" s="104">
        <f t="shared" si="52"/>
        <v>0.9</v>
      </c>
      <c r="J87" s="104">
        <f t="shared" si="52"/>
        <v>0.9</v>
      </c>
      <c r="K87" s="104">
        <f t="shared" si="52"/>
        <v>0.9</v>
      </c>
      <c r="L87" s="104">
        <f t="shared" si="52"/>
        <v>0.9</v>
      </c>
      <c r="M87" s="104">
        <f t="shared" si="52"/>
        <v>0.9</v>
      </c>
      <c r="N87" s="104">
        <f t="shared" si="52"/>
        <v>0.9</v>
      </c>
      <c r="O87" s="104">
        <f t="shared" si="52"/>
        <v>0.9</v>
      </c>
      <c r="P87" s="104">
        <f t="shared" si="52"/>
        <v>0.9</v>
      </c>
      <c r="Q87" s="104">
        <f t="shared" si="52"/>
        <v>0.9</v>
      </c>
      <c r="R87" s="104">
        <f t="shared" si="52"/>
        <v>0.9</v>
      </c>
      <c r="S87" s="104">
        <f t="shared" si="52"/>
        <v>0.9</v>
      </c>
      <c r="T87" s="104">
        <f t="shared" si="52"/>
        <v>0.9</v>
      </c>
      <c r="U87" s="104">
        <f t="shared" ref="T87:AG89" si="53">T87</f>
        <v>0.9</v>
      </c>
      <c r="V87" s="104">
        <f t="shared" si="53"/>
        <v>0.9</v>
      </c>
      <c r="W87" s="104">
        <f t="shared" si="53"/>
        <v>0.9</v>
      </c>
      <c r="X87" s="104">
        <f t="shared" si="53"/>
        <v>0.9</v>
      </c>
      <c r="Y87" s="104">
        <f t="shared" si="53"/>
        <v>0.9</v>
      </c>
      <c r="Z87" s="104">
        <f t="shared" si="53"/>
        <v>0.9</v>
      </c>
      <c r="AA87" s="104">
        <f t="shared" si="53"/>
        <v>0.9</v>
      </c>
      <c r="AB87" s="104">
        <f t="shared" si="53"/>
        <v>0.9</v>
      </c>
      <c r="AC87" s="104">
        <f t="shared" si="53"/>
        <v>0.9</v>
      </c>
      <c r="AD87" s="104">
        <f t="shared" si="53"/>
        <v>0.9</v>
      </c>
      <c r="AE87" s="104">
        <f t="shared" si="53"/>
        <v>0.9</v>
      </c>
      <c r="AF87" s="104">
        <f t="shared" si="53"/>
        <v>0.9</v>
      </c>
      <c r="AG87" s="104">
        <f t="shared" si="53"/>
        <v>0.9</v>
      </c>
      <c r="AI87" s="126" t="s">
        <v>446</v>
      </c>
      <c r="AJ87" s="560" t="s">
        <v>1526</v>
      </c>
      <c r="BD87" s="190"/>
      <c r="BE87" s="190"/>
    </row>
    <row r="88" spans="1:63" outlineLevel="1">
      <c r="A88" t="s">
        <v>444</v>
      </c>
      <c r="B88" s="51" t="s">
        <v>126</v>
      </c>
      <c r="C88" s="201">
        <v>0</v>
      </c>
      <c r="D88" s="104">
        <f t="shared" ref="D88:S89" si="54">C88</f>
        <v>0</v>
      </c>
      <c r="E88" s="104">
        <f t="shared" si="54"/>
        <v>0</v>
      </c>
      <c r="F88" s="104">
        <f t="shared" si="54"/>
        <v>0</v>
      </c>
      <c r="G88" s="104">
        <f t="shared" si="54"/>
        <v>0</v>
      </c>
      <c r="H88" s="104">
        <f t="shared" si="54"/>
        <v>0</v>
      </c>
      <c r="I88" s="104">
        <f t="shared" si="54"/>
        <v>0</v>
      </c>
      <c r="J88" s="104">
        <f t="shared" si="54"/>
        <v>0</v>
      </c>
      <c r="K88" s="104">
        <f t="shared" si="54"/>
        <v>0</v>
      </c>
      <c r="L88" s="104">
        <f t="shared" si="54"/>
        <v>0</v>
      </c>
      <c r="M88" s="104">
        <f t="shared" si="54"/>
        <v>0</v>
      </c>
      <c r="N88" s="104">
        <f t="shared" si="54"/>
        <v>0</v>
      </c>
      <c r="O88" s="104">
        <f t="shared" si="54"/>
        <v>0</v>
      </c>
      <c r="P88" s="104">
        <f t="shared" si="54"/>
        <v>0</v>
      </c>
      <c r="Q88" s="104">
        <f t="shared" si="54"/>
        <v>0</v>
      </c>
      <c r="R88" s="104">
        <f t="shared" si="54"/>
        <v>0</v>
      </c>
      <c r="S88" s="104">
        <f t="shared" si="54"/>
        <v>0</v>
      </c>
      <c r="T88" s="104">
        <f t="shared" si="53"/>
        <v>0</v>
      </c>
      <c r="U88" s="104">
        <f t="shared" si="53"/>
        <v>0</v>
      </c>
      <c r="V88" s="104">
        <f t="shared" si="53"/>
        <v>0</v>
      </c>
      <c r="W88" s="104">
        <f t="shared" si="53"/>
        <v>0</v>
      </c>
      <c r="X88" s="104">
        <f t="shared" si="53"/>
        <v>0</v>
      </c>
      <c r="Y88" s="104">
        <f t="shared" si="53"/>
        <v>0</v>
      </c>
      <c r="Z88" s="104">
        <f t="shared" si="53"/>
        <v>0</v>
      </c>
      <c r="AA88" s="104">
        <f t="shared" si="53"/>
        <v>0</v>
      </c>
      <c r="AB88" s="104">
        <f t="shared" si="53"/>
        <v>0</v>
      </c>
      <c r="AC88" s="104">
        <f t="shared" si="53"/>
        <v>0</v>
      </c>
      <c r="AD88" s="104">
        <f t="shared" si="53"/>
        <v>0</v>
      </c>
      <c r="AE88" s="104">
        <f t="shared" si="53"/>
        <v>0</v>
      </c>
      <c r="AF88" s="104">
        <f t="shared" si="53"/>
        <v>0</v>
      </c>
      <c r="AG88" s="104">
        <f t="shared" si="53"/>
        <v>0</v>
      </c>
      <c r="AI88" s="126" t="s">
        <v>446</v>
      </c>
      <c r="AJ88" s="218"/>
      <c r="AL88" s="1"/>
      <c r="BC88" s="1"/>
      <c r="BD88" s="697"/>
      <c r="BE88" s="687"/>
      <c r="BF88" s="6"/>
      <c r="BG88" s="6"/>
      <c r="BH88" s="6"/>
      <c r="BI88" s="6"/>
      <c r="BJ88" s="6"/>
    </row>
    <row r="89" spans="1:63" outlineLevel="1">
      <c r="A89" t="s">
        <v>445</v>
      </c>
      <c r="B89" s="51" t="s">
        <v>126</v>
      </c>
      <c r="C89" s="115">
        <f>1-C87-C88</f>
        <v>9.9999999999999978E-2</v>
      </c>
      <c r="D89" s="104">
        <f t="shared" si="54"/>
        <v>9.9999999999999978E-2</v>
      </c>
      <c r="E89" s="104">
        <f t="shared" si="54"/>
        <v>9.9999999999999978E-2</v>
      </c>
      <c r="F89" s="104">
        <f t="shared" si="54"/>
        <v>9.9999999999999978E-2</v>
      </c>
      <c r="G89" s="104">
        <f t="shared" si="54"/>
        <v>9.9999999999999978E-2</v>
      </c>
      <c r="H89" s="104">
        <f t="shared" si="54"/>
        <v>9.9999999999999978E-2</v>
      </c>
      <c r="I89" s="104">
        <f t="shared" si="54"/>
        <v>9.9999999999999978E-2</v>
      </c>
      <c r="J89" s="104">
        <f t="shared" si="54"/>
        <v>9.9999999999999978E-2</v>
      </c>
      <c r="K89" s="104">
        <f t="shared" si="54"/>
        <v>9.9999999999999978E-2</v>
      </c>
      <c r="L89" s="104">
        <f t="shared" si="54"/>
        <v>9.9999999999999978E-2</v>
      </c>
      <c r="M89" s="104">
        <f t="shared" si="54"/>
        <v>9.9999999999999978E-2</v>
      </c>
      <c r="N89" s="104">
        <f t="shared" si="54"/>
        <v>9.9999999999999978E-2</v>
      </c>
      <c r="O89" s="104">
        <f t="shared" si="54"/>
        <v>9.9999999999999978E-2</v>
      </c>
      <c r="P89" s="104">
        <f t="shared" si="54"/>
        <v>9.9999999999999978E-2</v>
      </c>
      <c r="Q89" s="104">
        <f t="shared" si="54"/>
        <v>9.9999999999999978E-2</v>
      </c>
      <c r="R89" s="104">
        <f t="shared" si="54"/>
        <v>9.9999999999999978E-2</v>
      </c>
      <c r="S89" s="104">
        <f t="shared" si="54"/>
        <v>9.9999999999999978E-2</v>
      </c>
      <c r="T89" s="104">
        <f t="shared" si="53"/>
        <v>9.9999999999999978E-2</v>
      </c>
      <c r="U89" s="104">
        <f t="shared" si="53"/>
        <v>9.9999999999999978E-2</v>
      </c>
      <c r="V89" s="104">
        <f t="shared" si="53"/>
        <v>9.9999999999999978E-2</v>
      </c>
      <c r="W89" s="104">
        <f t="shared" si="53"/>
        <v>9.9999999999999978E-2</v>
      </c>
      <c r="X89" s="104">
        <f t="shared" si="53"/>
        <v>9.9999999999999978E-2</v>
      </c>
      <c r="Y89" s="104">
        <f t="shared" si="53"/>
        <v>9.9999999999999978E-2</v>
      </c>
      <c r="Z89" s="104">
        <f t="shared" si="53"/>
        <v>9.9999999999999978E-2</v>
      </c>
      <c r="AA89" s="104">
        <f t="shared" si="53"/>
        <v>9.9999999999999978E-2</v>
      </c>
      <c r="AB89" s="104">
        <f t="shared" si="53"/>
        <v>9.9999999999999978E-2</v>
      </c>
      <c r="AC89" s="104">
        <f t="shared" si="53"/>
        <v>9.9999999999999978E-2</v>
      </c>
      <c r="AD89" s="104">
        <f t="shared" si="53"/>
        <v>9.9999999999999978E-2</v>
      </c>
      <c r="AE89" s="104">
        <f t="shared" si="53"/>
        <v>9.9999999999999978E-2</v>
      </c>
      <c r="AF89" s="104">
        <f t="shared" si="53"/>
        <v>9.9999999999999978E-2</v>
      </c>
      <c r="AG89" s="104">
        <f t="shared" si="53"/>
        <v>9.9999999999999978E-2</v>
      </c>
      <c r="AI89" s="126"/>
      <c r="AJ89" s="209"/>
      <c r="BC89" s="1"/>
      <c r="BD89" s="38"/>
      <c r="BF89" s="6"/>
      <c r="BG89" s="6"/>
      <c r="BH89" s="6"/>
      <c r="BI89" s="6"/>
      <c r="BJ89" s="6"/>
    </row>
    <row r="90" spans="1:63" outlineLevel="1">
      <c r="A90" t="s">
        <v>433</v>
      </c>
      <c r="B90" s="51" t="s">
        <v>126</v>
      </c>
      <c r="C90" s="104">
        <f>SUM(C87:C89)</f>
        <v>1</v>
      </c>
      <c r="D90" s="104">
        <f t="shared" ref="D90:AG90" si="55">SUM(D87:D89)</f>
        <v>1</v>
      </c>
      <c r="E90" s="104">
        <f t="shared" si="55"/>
        <v>1</v>
      </c>
      <c r="F90" s="104">
        <f t="shared" si="55"/>
        <v>1</v>
      </c>
      <c r="G90" s="104">
        <f t="shared" si="55"/>
        <v>1</v>
      </c>
      <c r="H90" s="104">
        <f t="shared" si="55"/>
        <v>1</v>
      </c>
      <c r="I90" s="104">
        <f t="shared" si="55"/>
        <v>1</v>
      </c>
      <c r="J90" s="104">
        <f t="shared" si="55"/>
        <v>1</v>
      </c>
      <c r="K90" s="104">
        <f t="shared" si="55"/>
        <v>1</v>
      </c>
      <c r="L90" s="104">
        <f t="shared" si="55"/>
        <v>1</v>
      </c>
      <c r="M90" s="104">
        <f t="shared" si="55"/>
        <v>1</v>
      </c>
      <c r="N90" s="104">
        <f t="shared" si="55"/>
        <v>1</v>
      </c>
      <c r="O90" s="104">
        <f t="shared" si="55"/>
        <v>1</v>
      </c>
      <c r="P90" s="104">
        <f t="shared" si="55"/>
        <v>1</v>
      </c>
      <c r="Q90" s="104">
        <f t="shared" si="55"/>
        <v>1</v>
      </c>
      <c r="R90" s="104">
        <f t="shared" si="55"/>
        <v>1</v>
      </c>
      <c r="S90" s="104">
        <f t="shared" si="55"/>
        <v>1</v>
      </c>
      <c r="T90" s="104">
        <f t="shared" si="55"/>
        <v>1</v>
      </c>
      <c r="U90" s="104">
        <f t="shared" si="55"/>
        <v>1</v>
      </c>
      <c r="V90" s="104">
        <f t="shared" si="55"/>
        <v>1</v>
      </c>
      <c r="W90" s="104">
        <f t="shared" si="55"/>
        <v>1</v>
      </c>
      <c r="X90" s="104">
        <f t="shared" si="55"/>
        <v>1</v>
      </c>
      <c r="Y90" s="104">
        <f t="shared" si="55"/>
        <v>1</v>
      </c>
      <c r="Z90" s="104">
        <f t="shared" si="55"/>
        <v>1</v>
      </c>
      <c r="AA90" s="104">
        <f t="shared" si="55"/>
        <v>1</v>
      </c>
      <c r="AB90" s="104">
        <f t="shared" si="55"/>
        <v>1</v>
      </c>
      <c r="AC90" s="104">
        <f t="shared" si="55"/>
        <v>1</v>
      </c>
      <c r="AD90" s="104">
        <f t="shared" si="55"/>
        <v>1</v>
      </c>
      <c r="AE90" s="104">
        <f t="shared" si="55"/>
        <v>1</v>
      </c>
      <c r="AF90" s="104">
        <f t="shared" si="55"/>
        <v>1</v>
      </c>
      <c r="AG90" s="104">
        <f t="shared" si="55"/>
        <v>1</v>
      </c>
      <c r="AI90" s="126"/>
      <c r="AJ90" s="198"/>
      <c r="BC90" s="1"/>
      <c r="BD90" s="38"/>
      <c r="BF90" s="6"/>
      <c r="BG90" s="6"/>
      <c r="BH90" s="6"/>
      <c r="BI90" s="6"/>
      <c r="BJ90" s="6"/>
    </row>
    <row r="91" spans="1:63" outlineLevel="1">
      <c r="C91" s="201"/>
      <c r="D91" s="104"/>
      <c r="E91" s="104"/>
      <c r="F91" s="104"/>
      <c r="G91" s="104"/>
      <c r="H91" s="104"/>
      <c r="I91" s="104"/>
      <c r="J91" s="104"/>
      <c r="K91" s="104"/>
      <c r="L91" s="104"/>
      <c r="M91" s="104"/>
      <c r="N91" s="104"/>
      <c r="O91" s="104"/>
      <c r="P91" s="104"/>
      <c r="Q91" s="104"/>
      <c r="R91" s="104"/>
      <c r="S91" s="104"/>
      <c r="T91" s="104"/>
      <c r="U91" s="104"/>
      <c r="V91" s="104"/>
      <c r="W91" s="104"/>
      <c r="X91" s="104"/>
      <c r="Y91" s="104"/>
      <c r="Z91" s="104"/>
      <c r="AA91" s="104"/>
      <c r="AB91" s="104"/>
      <c r="AC91" s="104"/>
      <c r="AD91" s="104"/>
      <c r="AE91" s="104"/>
      <c r="AF91" s="104"/>
      <c r="AG91" s="104"/>
      <c r="AI91" s="126"/>
      <c r="AJ91" s="198"/>
      <c r="BC91" s="1"/>
      <c r="BD91" s="38"/>
      <c r="BF91" s="6"/>
      <c r="BG91" s="6"/>
      <c r="BH91" s="6"/>
      <c r="BI91" s="6"/>
      <c r="BJ91" s="6"/>
    </row>
    <row r="92" spans="1:63" outlineLevel="1">
      <c r="A92" t="s">
        <v>441</v>
      </c>
      <c r="B92" s="51" t="s">
        <v>126</v>
      </c>
      <c r="C92" s="104">
        <f>C87*C85</f>
        <v>9.0000000000000011E-2</v>
      </c>
      <c r="D92" s="104">
        <f t="shared" ref="D92:AG92" si="56">D87*D85</f>
        <v>0.10098000000000001</v>
      </c>
      <c r="E92" s="104">
        <f t="shared" si="56"/>
        <v>0.11172000000000001</v>
      </c>
      <c r="F92" s="104">
        <f t="shared" si="56"/>
        <v>0.12222000000000001</v>
      </c>
      <c r="G92" s="104">
        <f t="shared" si="56"/>
        <v>0.13247999999999999</v>
      </c>
      <c r="H92" s="104">
        <f t="shared" si="56"/>
        <v>0.14250000000000002</v>
      </c>
      <c r="I92" s="104">
        <f t="shared" si="56"/>
        <v>0.15228</v>
      </c>
      <c r="J92" s="104">
        <f t="shared" si="56"/>
        <v>0.16181999999999999</v>
      </c>
      <c r="K92" s="104">
        <f t="shared" si="56"/>
        <v>0.17112000000000002</v>
      </c>
      <c r="L92" s="104">
        <f t="shared" si="56"/>
        <v>0.18018000000000001</v>
      </c>
      <c r="M92" s="104">
        <f t="shared" si="56"/>
        <v>0.18900000000000003</v>
      </c>
      <c r="N92" s="104">
        <f t="shared" si="56"/>
        <v>0.19758000000000001</v>
      </c>
      <c r="O92" s="104">
        <f t="shared" si="56"/>
        <v>0.20592000000000002</v>
      </c>
      <c r="P92" s="104">
        <f t="shared" si="56"/>
        <v>0.21401999999999999</v>
      </c>
      <c r="Q92" s="104">
        <f t="shared" si="56"/>
        <v>0.22188000000000002</v>
      </c>
      <c r="R92" s="104">
        <f t="shared" si="56"/>
        <v>0.22950000000000001</v>
      </c>
      <c r="S92" s="104">
        <f t="shared" si="56"/>
        <v>0.23688000000000001</v>
      </c>
      <c r="T92" s="104">
        <f t="shared" si="56"/>
        <v>0.24402000000000001</v>
      </c>
      <c r="U92" s="104">
        <f t="shared" si="56"/>
        <v>0.25091999999999998</v>
      </c>
      <c r="V92" s="104">
        <f t="shared" si="56"/>
        <v>0.25758000000000003</v>
      </c>
      <c r="W92" s="104">
        <f t="shared" si="56"/>
        <v>0.26400000000000001</v>
      </c>
      <c r="X92" s="104">
        <f t="shared" si="56"/>
        <v>0.27017999999999998</v>
      </c>
      <c r="Y92" s="104">
        <f t="shared" si="56"/>
        <v>0.27612000000000003</v>
      </c>
      <c r="Z92" s="104">
        <f t="shared" si="56"/>
        <v>0.28182000000000001</v>
      </c>
      <c r="AA92" s="104">
        <f t="shared" si="56"/>
        <v>0.28727999999999998</v>
      </c>
      <c r="AB92" s="104">
        <f t="shared" si="56"/>
        <v>0.29250000000000004</v>
      </c>
      <c r="AC92" s="104">
        <f t="shared" si="56"/>
        <v>0.29748000000000002</v>
      </c>
      <c r="AD92" s="104">
        <f t="shared" si="56"/>
        <v>0.30221999999999999</v>
      </c>
      <c r="AE92" s="104">
        <f t="shared" si="56"/>
        <v>0.30671999999999999</v>
      </c>
      <c r="AF92" s="104">
        <f t="shared" si="56"/>
        <v>0.31098000000000003</v>
      </c>
      <c r="AG92" s="104">
        <f t="shared" si="56"/>
        <v>0.315</v>
      </c>
      <c r="AI92" s="126"/>
      <c r="AJ92" s="198"/>
      <c r="BD92" s="190"/>
      <c r="BE92" s="190"/>
    </row>
    <row r="93" spans="1:63" outlineLevel="1">
      <c r="A93" t="s">
        <v>442</v>
      </c>
      <c r="B93" s="51" t="s">
        <v>126</v>
      </c>
      <c r="C93" s="104">
        <f>C85*C88</f>
        <v>0</v>
      </c>
      <c r="D93" s="104">
        <f t="shared" ref="D93:AG93" si="57">D85*D88</f>
        <v>0</v>
      </c>
      <c r="E93" s="104">
        <f t="shared" si="57"/>
        <v>0</v>
      </c>
      <c r="F93" s="104">
        <f t="shared" si="57"/>
        <v>0</v>
      </c>
      <c r="G93" s="104">
        <f t="shared" si="57"/>
        <v>0</v>
      </c>
      <c r="H93" s="104">
        <f t="shared" si="57"/>
        <v>0</v>
      </c>
      <c r="I93" s="104">
        <f t="shared" si="57"/>
        <v>0</v>
      </c>
      <c r="J93" s="104">
        <f t="shared" si="57"/>
        <v>0</v>
      </c>
      <c r="K93" s="104">
        <f t="shared" si="57"/>
        <v>0</v>
      </c>
      <c r="L93" s="104">
        <f t="shared" si="57"/>
        <v>0</v>
      </c>
      <c r="M93" s="104">
        <f t="shared" si="57"/>
        <v>0</v>
      </c>
      <c r="N93" s="104">
        <f t="shared" si="57"/>
        <v>0</v>
      </c>
      <c r="O93" s="104">
        <f t="shared" si="57"/>
        <v>0</v>
      </c>
      <c r="P93" s="104">
        <f t="shared" si="57"/>
        <v>0</v>
      </c>
      <c r="Q93" s="104">
        <f t="shared" si="57"/>
        <v>0</v>
      </c>
      <c r="R93" s="104">
        <f t="shared" si="57"/>
        <v>0</v>
      </c>
      <c r="S93" s="104">
        <f t="shared" si="57"/>
        <v>0</v>
      </c>
      <c r="T93" s="104">
        <f t="shared" si="57"/>
        <v>0</v>
      </c>
      <c r="U93" s="104">
        <f t="shared" si="57"/>
        <v>0</v>
      </c>
      <c r="V93" s="104">
        <f t="shared" si="57"/>
        <v>0</v>
      </c>
      <c r="W93" s="104">
        <f t="shared" si="57"/>
        <v>0</v>
      </c>
      <c r="X93" s="104">
        <f t="shared" si="57"/>
        <v>0</v>
      </c>
      <c r="Y93" s="104">
        <f t="shared" si="57"/>
        <v>0</v>
      </c>
      <c r="Z93" s="104">
        <f t="shared" si="57"/>
        <v>0</v>
      </c>
      <c r="AA93" s="104">
        <f t="shared" si="57"/>
        <v>0</v>
      </c>
      <c r="AB93" s="104">
        <f t="shared" si="57"/>
        <v>0</v>
      </c>
      <c r="AC93" s="104">
        <f t="shared" si="57"/>
        <v>0</v>
      </c>
      <c r="AD93" s="104">
        <f t="shared" si="57"/>
        <v>0</v>
      </c>
      <c r="AE93" s="104">
        <f t="shared" si="57"/>
        <v>0</v>
      </c>
      <c r="AF93" s="104">
        <f t="shared" si="57"/>
        <v>0</v>
      </c>
      <c r="AG93" s="104">
        <f t="shared" si="57"/>
        <v>0</v>
      </c>
      <c r="AI93" s="126"/>
      <c r="AJ93" s="198"/>
      <c r="AL93" s="1"/>
      <c r="BC93" s="1"/>
      <c r="BD93" s="697"/>
      <c r="BE93" s="687"/>
      <c r="BF93" s="6"/>
      <c r="BG93" s="6"/>
      <c r="BH93" s="6"/>
      <c r="BI93" s="6"/>
      <c r="BJ93" s="6"/>
    </row>
    <row r="94" spans="1:63" outlineLevel="1">
      <c r="A94" t="s">
        <v>443</v>
      </c>
      <c r="B94" s="51" t="s">
        <v>126</v>
      </c>
      <c r="C94" s="104">
        <f>C85*C89</f>
        <v>9.9999999999999985E-3</v>
      </c>
      <c r="D94" s="104">
        <f t="shared" ref="D94:AG94" si="58">D85*D89</f>
        <v>1.1219999999999999E-2</v>
      </c>
      <c r="E94" s="104">
        <f t="shared" si="58"/>
        <v>1.2413333333333332E-2</v>
      </c>
      <c r="F94" s="104">
        <f t="shared" si="58"/>
        <v>1.3579999999999997E-2</v>
      </c>
      <c r="G94" s="104">
        <f t="shared" si="58"/>
        <v>1.4719999999999994E-2</v>
      </c>
      <c r="H94" s="104">
        <f t="shared" si="58"/>
        <v>1.5833333333333331E-2</v>
      </c>
      <c r="I94" s="104">
        <f t="shared" si="58"/>
        <v>1.6919999999999994E-2</v>
      </c>
      <c r="J94" s="104">
        <f t="shared" si="58"/>
        <v>1.7979999999999996E-2</v>
      </c>
      <c r="K94" s="104">
        <f t="shared" si="58"/>
        <v>1.901333333333333E-2</v>
      </c>
      <c r="L94" s="104">
        <f t="shared" si="58"/>
        <v>2.0019999999999996E-2</v>
      </c>
      <c r="M94" s="104">
        <f t="shared" si="58"/>
        <v>2.0999999999999998E-2</v>
      </c>
      <c r="N94" s="104">
        <f t="shared" si="58"/>
        <v>2.1953333333333328E-2</v>
      </c>
      <c r="O94" s="104">
        <f t="shared" si="58"/>
        <v>2.2879999999999994E-2</v>
      </c>
      <c r="P94" s="104">
        <f t="shared" si="58"/>
        <v>2.3779999999999992E-2</v>
      </c>
      <c r="Q94" s="104">
        <f t="shared" si="58"/>
        <v>2.4653333333333329E-2</v>
      </c>
      <c r="R94" s="104">
        <f t="shared" si="58"/>
        <v>2.5499999999999995E-2</v>
      </c>
      <c r="S94" s="104">
        <f t="shared" si="58"/>
        <v>2.6319999999999993E-2</v>
      </c>
      <c r="T94" s="104">
        <f t="shared" si="58"/>
        <v>2.7113333333333326E-2</v>
      </c>
      <c r="U94" s="104">
        <f t="shared" si="58"/>
        <v>2.7879999999999992E-2</v>
      </c>
      <c r="V94" s="104">
        <f t="shared" si="58"/>
        <v>2.8619999999999996E-2</v>
      </c>
      <c r="W94" s="104">
        <f t="shared" si="58"/>
        <v>2.9333333333333326E-2</v>
      </c>
      <c r="X94" s="104">
        <f t="shared" si="58"/>
        <v>3.0019999999999991E-2</v>
      </c>
      <c r="Y94" s="104">
        <f t="shared" si="58"/>
        <v>3.0679999999999995E-2</v>
      </c>
      <c r="Z94" s="104">
        <f t="shared" si="58"/>
        <v>3.1313333333333325E-2</v>
      </c>
      <c r="AA94" s="104">
        <f t="shared" si="58"/>
        <v>3.191999999999999E-2</v>
      </c>
      <c r="AB94" s="104">
        <f t="shared" si="58"/>
        <v>3.2499999999999994E-2</v>
      </c>
      <c r="AC94" s="104">
        <f t="shared" si="58"/>
        <v>3.305333333333333E-2</v>
      </c>
      <c r="AD94" s="104">
        <f t="shared" si="58"/>
        <v>3.3579999999999992E-2</v>
      </c>
      <c r="AE94" s="104">
        <f t="shared" si="58"/>
        <v>3.4079999999999992E-2</v>
      </c>
      <c r="AF94" s="104">
        <f t="shared" si="58"/>
        <v>3.4553333333333325E-2</v>
      </c>
      <c r="AG94" s="104">
        <f t="shared" si="58"/>
        <v>3.4999999999999989E-2</v>
      </c>
      <c r="AI94" s="127"/>
      <c r="AJ94" s="198"/>
      <c r="BC94" s="1"/>
      <c r="BD94" s="38"/>
      <c r="BF94" s="6"/>
      <c r="BG94" s="6"/>
      <c r="BH94" s="6"/>
      <c r="BI94" s="6"/>
      <c r="BJ94" s="6"/>
    </row>
    <row r="95" spans="1:63" outlineLevel="1">
      <c r="C95" s="104"/>
      <c r="D95" s="104"/>
      <c r="E95" s="104"/>
      <c r="F95" s="104"/>
      <c r="G95" s="104"/>
      <c r="H95" s="104"/>
      <c r="I95" s="104"/>
      <c r="J95" s="104"/>
      <c r="K95" s="104"/>
      <c r="L95" s="104"/>
      <c r="M95" s="104"/>
      <c r="N95" s="104"/>
      <c r="O95" s="104"/>
      <c r="P95" s="104"/>
      <c r="Q95" s="104"/>
      <c r="R95" s="104"/>
      <c r="S95" s="104"/>
      <c r="T95" s="104"/>
      <c r="U95" s="104"/>
      <c r="V95" s="104"/>
      <c r="W95" s="104"/>
      <c r="X95" s="104"/>
      <c r="Y95" s="104"/>
      <c r="Z95" s="104"/>
      <c r="AA95" s="104"/>
      <c r="AB95" s="104"/>
      <c r="AC95" s="104"/>
      <c r="AD95" s="104"/>
      <c r="AE95" s="104"/>
      <c r="AF95" s="104"/>
      <c r="AG95" s="104"/>
      <c r="AI95" s="127"/>
      <c r="AJ95" s="198"/>
      <c r="BC95" s="1"/>
      <c r="BD95" s="38"/>
      <c r="BF95" s="6"/>
      <c r="BG95" s="6"/>
      <c r="BH95" s="6"/>
      <c r="BI95" s="6"/>
      <c r="BJ95" s="6"/>
    </row>
    <row r="96" spans="1:63" outlineLevel="1">
      <c r="A96" t="s">
        <v>1484</v>
      </c>
      <c r="C96" s="216">
        <v>1</v>
      </c>
      <c r="D96" s="216">
        <v>1</v>
      </c>
      <c r="E96" s="216">
        <v>1</v>
      </c>
      <c r="F96" s="216">
        <v>1</v>
      </c>
      <c r="G96" s="216">
        <v>1</v>
      </c>
      <c r="H96" s="216">
        <v>1</v>
      </c>
      <c r="I96" s="216">
        <v>1</v>
      </c>
      <c r="J96" s="216">
        <v>1</v>
      </c>
      <c r="K96" s="216">
        <v>1</v>
      </c>
      <c r="L96" s="216">
        <v>1</v>
      </c>
      <c r="M96" s="216">
        <v>1</v>
      </c>
      <c r="N96" s="216">
        <v>1</v>
      </c>
      <c r="O96" s="216">
        <v>1</v>
      </c>
      <c r="P96" s="216">
        <v>1</v>
      </c>
      <c r="Q96" s="216">
        <v>1</v>
      </c>
      <c r="R96" s="216">
        <v>1</v>
      </c>
      <c r="S96" s="216">
        <v>1</v>
      </c>
      <c r="T96" s="216">
        <v>1</v>
      </c>
      <c r="U96" s="216">
        <v>1</v>
      </c>
      <c r="V96" s="216">
        <v>1</v>
      </c>
      <c r="W96" s="216">
        <v>1</v>
      </c>
      <c r="X96" s="216">
        <v>1</v>
      </c>
      <c r="Y96" s="216">
        <v>1</v>
      </c>
      <c r="Z96" s="216">
        <v>1</v>
      </c>
      <c r="AA96" s="216">
        <v>1</v>
      </c>
      <c r="AB96" s="216">
        <v>1</v>
      </c>
      <c r="AC96" s="216">
        <v>1</v>
      </c>
      <c r="AD96" s="216">
        <v>1</v>
      </c>
      <c r="AE96" s="216">
        <v>1</v>
      </c>
      <c r="AF96" s="216">
        <v>1</v>
      </c>
      <c r="AG96" s="216">
        <v>1</v>
      </c>
      <c r="AI96" s="126"/>
      <c r="AJ96" s="198" t="s">
        <v>1527</v>
      </c>
      <c r="AL96" s="102"/>
      <c r="AM96" s="194"/>
      <c r="AN96" s="194"/>
      <c r="AO96" s="194"/>
      <c r="BC96" s="1"/>
      <c r="BD96" s="194"/>
      <c r="BE96" s="194"/>
      <c r="BF96" s="194"/>
      <c r="BG96" s="194"/>
      <c r="BH96" s="194"/>
      <c r="BI96" s="194"/>
      <c r="BJ96" s="194"/>
      <c r="BK96" s="194"/>
    </row>
    <row r="97" spans="1:63" outlineLevel="1">
      <c r="A97" t="s">
        <v>1492</v>
      </c>
      <c r="B97" s="51" t="s">
        <v>126</v>
      </c>
      <c r="C97" s="104">
        <f>C84*C$96</f>
        <v>0</v>
      </c>
      <c r="D97" s="104">
        <f t="shared" ref="D97:AG98" si="59">D84*D$96</f>
        <v>1.1333333333333334E-3</v>
      </c>
      <c r="E97" s="104">
        <f t="shared" si="59"/>
        <v>2.5333333333333336E-3</v>
      </c>
      <c r="F97" s="104">
        <f t="shared" si="59"/>
        <v>4.2000000000000006E-3</v>
      </c>
      <c r="G97" s="104">
        <f t="shared" si="59"/>
        <v>6.1333333333333327E-3</v>
      </c>
      <c r="H97" s="104">
        <f t="shared" si="59"/>
        <v>8.333333333333335E-3</v>
      </c>
      <c r="I97" s="104">
        <f t="shared" si="59"/>
        <v>1.0800000000000001E-2</v>
      </c>
      <c r="J97" s="104">
        <f t="shared" si="59"/>
        <v>1.3533333333333335E-2</v>
      </c>
      <c r="K97" s="104">
        <f t="shared" si="59"/>
        <v>1.6533333333333334E-2</v>
      </c>
      <c r="L97" s="104">
        <f t="shared" si="59"/>
        <v>1.9799999999999998E-2</v>
      </c>
      <c r="M97" s="104">
        <f t="shared" si="59"/>
        <v>2.3333333333333331E-2</v>
      </c>
      <c r="N97" s="104">
        <f t="shared" si="59"/>
        <v>2.7133333333333332E-2</v>
      </c>
      <c r="O97" s="104">
        <f t="shared" si="59"/>
        <v>3.1199999999999995E-2</v>
      </c>
      <c r="P97" s="104">
        <f t="shared" si="59"/>
        <v>3.5533333333333326E-2</v>
      </c>
      <c r="Q97" s="104">
        <f t="shared" si="59"/>
        <v>4.0133333333333333E-2</v>
      </c>
      <c r="R97" s="104">
        <f t="shared" si="59"/>
        <v>4.5000000000000005E-2</v>
      </c>
      <c r="S97" s="104">
        <f t="shared" si="59"/>
        <v>5.0133333333333335E-2</v>
      </c>
      <c r="T97" s="104">
        <f t="shared" si="59"/>
        <v>5.5533333333333337E-2</v>
      </c>
      <c r="U97" s="104">
        <f t="shared" si="59"/>
        <v>6.1200000000000011E-2</v>
      </c>
      <c r="V97" s="104">
        <f t="shared" si="59"/>
        <v>6.713333333333335E-2</v>
      </c>
      <c r="W97" s="104">
        <f t="shared" si="59"/>
        <v>7.3333333333333348E-2</v>
      </c>
      <c r="X97" s="104">
        <f t="shared" si="59"/>
        <v>7.9800000000000024E-2</v>
      </c>
      <c r="Y97" s="104">
        <f t="shared" si="59"/>
        <v>8.6533333333333365E-2</v>
      </c>
      <c r="Z97" s="104">
        <f t="shared" si="59"/>
        <v>9.3533333333333357E-2</v>
      </c>
      <c r="AA97" s="104">
        <f t="shared" si="59"/>
        <v>0.10080000000000004</v>
      </c>
      <c r="AB97" s="104">
        <f t="shared" si="59"/>
        <v>0.10833333333333336</v>
      </c>
      <c r="AC97" s="104">
        <f t="shared" si="59"/>
        <v>0.11613333333333337</v>
      </c>
      <c r="AD97" s="104">
        <f t="shared" si="59"/>
        <v>0.12420000000000003</v>
      </c>
      <c r="AE97" s="104">
        <f t="shared" si="59"/>
        <v>0.13253333333333336</v>
      </c>
      <c r="AF97" s="104">
        <f t="shared" si="59"/>
        <v>0.14113333333333339</v>
      </c>
      <c r="AG97" s="104">
        <f t="shared" si="59"/>
        <v>0.15</v>
      </c>
      <c r="AI97" s="126"/>
      <c r="AJ97"/>
      <c r="AL97" s="102"/>
      <c r="AM97" s="2"/>
      <c r="AN97" s="2"/>
      <c r="AO97" s="2"/>
      <c r="AV97" s="38"/>
    </row>
    <row r="98" spans="1:63" outlineLevel="1">
      <c r="A98" t="s">
        <v>1493</v>
      </c>
      <c r="B98" s="51" t="s">
        <v>126</v>
      </c>
      <c r="C98" s="104">
        <f>C85*C$96</f>
        <v>0.1</v>
      </c>
      <c r="D98" s="104">
        <f t="shared" si="59"/>
        <v>0.11220000000000001</v>
      </c>
      <c r="E98" s="104">
        <f t="shared" si="59"/>
        <v>0.12413333333333335</v>
      </c>
      <c r="F98" s="104">
        <f t="shared" si="59"/>
        <v>0.1358</v>
      </c>
      <c r="G98" s="104">
        <f t="shared" si="59"/>
        <v>0.14719999999999997</v>
      </c>
      <c r="H98" s="104">
        <f t="shared" si="59"/>
        <v>0.15833333333333335</v>
      </c>
      <c r="I98" s="104">
        <f t="shared" si="59"/>
        <v>0.16919999999999999</v>
      </c>
      <c r="J98" s="104">
        <f t="shared" si="59"/>
        <v>0.17979999999999999</v>
      </c>
      <c r="K98" s="104">
        <f t="shared" si="59"/>
        <v>0.19013333333333335</v>
      </c>
      <c r="L98" s="104">
        <f t="shared" si="59"/>
        <v>0.20020000000000002</v>
      </c>
      <c r="M98" s="104">
        <f t="shared" si="59"/>
        <v>0.21000000000000002</v>
      </c>
      <c r="N98" s="104">
        <f t="shared" si="59"/>
        <v>0.21953333333333333</v>
      </c>
      <c r="O98" s="104">
        <f t="shared" si="59"/>
        <v>0.2288</v>
      </c>
      <c r="P98" s="104">
        <f t="shared" si="59"/>
        <v>0.23779999999999998</v>
      </c>
      <c r="Q98" s="104">
        <f t="shared" si="59"/>
        <v>0.24653333333333335</v>
      </c>
      <c r="R98" s="104">
        <f t="shared" si="59"/>
        <v>0.255</v>
      </c>
      <c r="S98" s="104">
        <f t="shared" si="59"/>
        <v>0.26319999999999999</v>
      </c>
      <c r="T98" s="104">
        <f t="shared" si="59"/>
        <v>0.27113333333333334</v>
      </c>
      <c r="U98" s="104">
        <f t="shared" si="59"/>
        <v>0.27879999999999999</v>
      </c>
      <c r="V98" s="104">
        <f t="shared" si="59"/>
        <v>0.28620000000000001</v>
      </c>
      <c r="W98" s="104">
        <f t="shared" si="59"/>
        <v>0.29333333333333333</v>
      </c>
      <c r="X98" s="104">
        <f t="shared" si="59"/>
        <v>0.30019999999999997</v>
      </c>
      <c r="Y98" s="104">
        <f t="shared" si="59"/>
        <v>0.30680000000000002</v>
      </c>
      <c r="Z98" s="104">
        <f t="shared" si="59"/>
        <v>0.31313333333333332</v>
      </c>
      <c r="AA98" s="104">
        <f t="shared" si="59"/>
        <v>0.31919999999999998</v>
      </c>
      <c r="AB98" s="104">
        <f t="shared" si="59"/>
        <v>0.32500000000000001</v>
      </c>
      <c r="AC98" s="104">
        <f t="shared" si="59"/>
        <v>0.33053333333333335</v>
      </c>
      <c r="AD98" s="104">
        <f t="shared" si="59"/>
        <v>0.33579999999999999</v>
      </c>
      <c r="AE98" s="104">
        <f t="shared" si="59"/>
        <v>0.34079999999999999</v>
      </c>
      <c r="AF98" s="104">
        <f t="shared" si="59"/>
        <v>0.34553333333333336</v>
      </c>
      <c r="AG98" s="104">
        <f t="shared" si="59"/>
        <v>0.35</v>
      </c>
      <c r="AH98" s="230"/>
      <c r="AI98" s="126"/>
      <c r="AJ98" s="198"/>
      <c r="AL98" s="102"/>
      <c r="AM98" s="2"/>
      <c r="AN98" s="2"/>
      <c r="AO98" s="2"/>
      <c r="AV98" s="38"/>
    </row>
    <row r="99" spans="1:63" outlineLevel="1">
      <c r="A99" t="s">
        <v>1494</v>
      </c>
      <c r="B99" s="165" t="s">
        <v>126</v>
      </c>
      <c r="C99" s="104">
        <f>SUM(C97:C98)</f>
        <v>0.1</v>
      </c>
      <c r="D99" s="104">
        <f t="shared" ref="D99:AG99" si="60">SUM(D97:D98)</f>
        <v>0.11333333333333334</v>
      </c>
      <c r="E99" s="104">
        <f t="shared" si="60"/>
        <v>0.12666666666666668</v>
      </c>
      <c r="F99" s="104">
        <f t="shared" si="60"/>
        <v>0.14000000000000001</v>
      </c>
      <c r="G99" s="104">
        <f t="shared" si="60"/>
        <v>0.15333333333333329</v>
      </c>
      <c r="H99" s="104">
        <f t="shared" si="60"/>
        <v>0.16666666666666669</v>
      </c>
      <c r="I99" s="104">
        <f t="shared" si="60"/>
        <v>0.18</v>
      </c>
      <c r="J99" s="104">
        <f t="shared" si="60"/>
        <v>0.19333333333333333</v>
      </c>
      <c r="K99" s="104">
        <f t="shared" si="60"/>
        <v>0.20666666666666669</v>
      </c>
      <c r="L99" s="104">
        <f t="shared" si="60"/>
        <v>0.22000000000000003</v>
      </c>
      <c r="M99" s="104">
        <f t="shared" si="60"/>
        <v>0.23333333333333334</v>
      </c>
      <c r="N99" s="104">
        <f t="shared" si="60"/>
        <v>0.24666666666666667</v>
      </c>
      <c r="O99" s="104">
        <f t="shared" si="60"/>
        <v>0.26</v>
      </c>
      <c r="P99" s="104">
        <f t="shared" si="60"/>
        <v>0.27333333333333332</v>
      </c>
      <c r="Q99" s="104">
        <f t="shared" si="60"/>
        <v>0.28666666666666668</v>
      </c>
      <c r="R99" s="104">
        <f t="shared" si="60"/>
        <v>0.3</v>
      </c>
      <c r="S99" s="104">
        <f t="shared" si="60"/>
        <v>0.31333333333333335</v>
      </c>
      <c r="T99" s="104">
        <f t="shared" si="60"/>
        <v>0.32666666666666666</v>
      </c>
      <c r="U99" s="104">
        <f t="shared" si="60"/>
        <v>0.34</v>
      </c>
      <c r="V99" s="104">
        <f t="shared" si="60"/>
        <v>0.35333333333333339</v>
      </c>
      <c r="W99" s="104">
        <f t="shared" si="60"/>
        <v>0.3666666666666667</v>
      </c>
      <c r="X99" s="104">
        <f t="shared" si="60"/>
        <v>0.38</v>
      </c>
      <c r="Y99" s="104">
        <f t="shared" si="60"/>
        <v>0.39333333333333337</v>
      </c>
      <c r="Z99" s="104">
        <f t="shared" si="60"/>
        <v>0.40666666666666668</v>
      </c>
      <c r="AA99" s="104">
        <f t="shared" si="60"/>
        <v>0.42000000000000004</v>
      </c>
      <c r="AB99" s="104">
        <f t="shared" si="60"/>
        <v>0.43333333333333335</v>
      </c>
      <c r="AC99" s="104">
        <f t="shared" si="60"/>
        <v>0.44666666666666671</v>
      </c>
      <c r="AD99" s="104">
        <f t="shared" si="60"/>
        <v>0.46</v>
      </c>
      <c r="AE99" s="104">
        <f t="shared" si="60"/>
        <v>0.47333333333333338</v>
      </c>
      <c r="AF99" s="104">
        <f t="shared" si="60"/>
        <v>0.48666666666666675</v>
      </c>
      <c r="AG99" s="104">
        <f t="shared" si="60"/>
        <v>0.5</v>
      </c>
      <c r="AI99" s="126"/>
      <c r="AJ99" s="198"/>
      <c r="AL99" s="102"/>
      <c r="AM99" s="2"/>
      <c r="AN99" s="2"/>
      <c r="AO99" s="2"/>
    </row>
    <row r="100" spans="1:63" outlineLevel="1">
      <c r="A100" t="s">
        <v>1495</v>
      </c>
      <c r="B100" s="51" t="s">
        <v>126</v>
      </c>
      <c r="C100" s="104">
        <f>C87*C98</f>
        <v>9.0000000000000011E-2</v>
      </c>
      <c r="D100" s="104">
        <f t="shared" ref="D100:AG100" si="61">D87*D98</f>
        <v>0.10098000000000001</v>
      </c>
      <c r="E100" s="104">
        <f t="shared" si="61"/>
        <v>0.11172000000000001</v>
      </c>
      <c r="F100" s="104">
        <f t="shared" si="61"/>
        <v>0.12222000000000001</v>
      </c>
      <c r="G100" s="104">
        <f t="shared" si="61"/>
        <v>0.13247999999999999</v>
      </c>
      <c r="H100" s="104">
        <f t="shared" si="61"/>
        <v>0.14250000000000002</v>
      </c>
      <c r="I100" s="104">
        <f t="shared" si="61"/>
        <v>0.15228</v>
      </c>
      <c r="J100" s="104">
        <f t="shared" si="61"/>
        <v>0.16181999999999999</v>
      </c>
      <c r="K100" s="104">
        <f t="shared" si="61"/>
        <v>0.17112000000000002</v>
      </c>
      <c r="L100" s="104">
        <f t="shared" si="61"/>
        <v>0.18018000000000001</v>
      </c>
      <c r="M100" s="104">
        <f t="shared" si="61"/>
        <v>0.18900000000000003</v>
      </c>
      <c r="N100" s="104">
        <f t="shared" si="61"/>
        <v>0.19758000000000001</v>
      </c>
      <c r="O100" s="104">
        <f t="shared" si="61"/>
        <v>0.20592000000000002</v>
      </c>
      <c r="P100" s="104">
        <f t="shared" si="61"/>
        <v>0.21401999999999999</v>
      </c>
      <c r="Q100" s="104">
        <f t="shared" si="61"/>
        <v>0.22188000000000002</v>
      </c>
      <c r="R100" s="104">
        <f t="shared" si="61"/>
        <v>0.22950000000000001</v>
      </c>
      <c r="S100" s="104">
        <f t="shared" si="61"/>
        <v>0.23688000000000001</v>
      </c>
      <c r="T100" s="104">
        <f t="shared" si="61"/>
        <v>0.24402000000000001</v>
      </c>
      <c r="U100" s="104">
        <f t="shared" si="61"/>
        <v>0.25091999999999998</v>
      </c>
      <c r="V100" s="104">
        <f t="shared" si="61"/>
        <v>0.25758000000000003</v>
      </c>
      <c r="W100" s="104">
        <f t="shared" si="61"/>
        <v>0.26400000000000001</v>
      </c>
      <c r="X100" s="104">
        <f t="shared" si="61"/>
        <v>0.27017999999999998</v>
      </c>
      <c r="Y100" s="104">
        <f t="shared" si="61"/>
        <v>0.27612000000000003</v>
      </c>
      <c r="Z100" s="104">
        <f t="shared" si="61"/>
        <v>0.28182000000000001</v>
      </c>
      <c r="AA100" s="104">
        <f t="shared" si="61"/>
        <v>0.28727999999999998</v>
      </c>
      <c r="AB100" s="104">
        <f t="shared" si="61"/>
        <v>0.29250000000000004</v>
      </c>
      <c r="AC100" s="104">
        <f t="shared" si="61"/>
        <v>0.29748000000000002</v>
      </c>
      <c r="AD100" s="104">
        <f t="shared" si="61"/>
        <v>0.30221999999999999</v>
      </c>
      <c r="AE100" s="104">
        <f t="shared" si="61"/>
        <v>0.30671999999999999</v>
      </c>
      <c r="AF100" s="104">
        <f t="shared" si="61"/>
        <v>0.31098000000000003</v>
      </c>
      <c r="AG100" s="104">
        <f t="shared" si="61"/>
        <v>0.315</v>
      </c>
      <c r="AI100" s="126"/>
      <c r="AJ100" s="198"/>
      <c r="BD100" s="190"/>
      <c r="BE100" s="190"/>
    </row>
    <row r="101" spans="1:63" outlineLevel="1">
      <c r="A101" t="s">
        <v>1496</v>
      </c>
      <c r="B101" s="51" t="s">
        <v>126</v>
      </c>
      <c r="C101" s="104">
        <f>C88*C98</f>
        <v>0</v>
      </c>
      <c r="D101" s="104">
        <f t="shared" ref="D101:AG101" si="62">D88*D98</f>
        <v>0</v>
      </c>
      <c r="E101" s="104">
        <f t="shared" si="62"/>
        <v>0</v>
      </c>
      <c r="F101" s="104">
        <f t="shared" si="62"/>
        <v>0</v>
      </c>
      <c r="G101" s="104">
        <f t="shared" si="62"/>
        <v>0</v>
      </c>
      <c r="H101" s="104">
        <f t="shared" si="62"/>
        <v>0</v>
      </c>
      <c r="I101" s="104">
        <f t="shared" si="62"/>
        <v>0</v>
      </c>
      <c r="J101" s="104">
        <f t="shared" si="62"/>
        <v>0</v>
      </c>
      <c r="K101" s="104">
        <f t="shared" si="62"/>
        <v>0</v>
      </c>
      <c r="L101" s="104">
        <f t="shared" si="62"/>
        <v>0</v>
      </c>
      <c r="M101" s="104">
        <f t="shared" si="62"/>
        <v>0</v>
      </c>
      <c r="N101" s="104">
        <f t="shared" si="62"/>
        <v>0</v>
      </c>
      <c r="O101" s="104">
        <f t="shared" si="62"/>
        <v>0</v>
      </c>
      <c r="P101" s="104">
        <f t="shared" si="62"/>
        <v>0</v>
      </c>
      <c r="Q101" s="104">
        <f t="shared" si="62"/>
        <v>0</v>
      </c>
      <c r="R101" s="104">
        <f t="shared" si="62"/>
        <v>0</v>
      </c>
      <c r="S101" s="104">
        <f t="shared" si="62"/>
        <v>0</v>
      </c>
      <c r="T101" s="104">
        <f t="shared" si="62"/>
        <v>0</v>
      </c>
      <c r="U101" s="104">
        <f t="shared" si="62"/>
        <v>0</v>
      </c>
      <c r="V101" s="104">
        <f t="shared" si="62"/>
        <v>0</v>
      </c>
      <c r="W101" s="104">
        <f t="shared" si="62"/>
        <v>0</v>
      </c>
      <c r="X101" s="104">
        <f t="shared" si="62"/>
        <v>0</v>
      </c>
      <c r="Y101" s="104">
        <f t="shared" si="62"/>
        <v>0</v>
      </c>
      <c r="Z101" s="104">
        <f t="shared" si="62"/>
        <v>0</v>
      </c>
      <c r="AA101" s="104">
        <f t="shared" si="62"/>
        <v>0</v>
      </c>
      <c r="AB101" s="104">
        <f t="shared" si="62"/>
        <v>0</v>
      </c>
      <c r="AC101" s="104">
        <f t="shared" si="62"/>
        <v>0</v>
      </c>
      <c r="AD101" s="104">
        <f t="shared" si="62"/>
        <v>0</v>
      </c>
      <c r="AE101" s="104">
        <f t="shared" si="62"/>
        <v>0</v>
      </c>
      <c r="AF101" s="104">
        <f t="shared" si="62"/>
        <v>0</v>
      </c>
      <c r="AG101" s="104">
        <f t="shared" si="62"/>
        <v>0</v>
      </c>
      <c r="AI101" s="126"/>
      <c r="AJ101" s="198"/>
      <c r="AL101" s="1"/>
      <c r="BC101" s="1"/>
      <c r="BD101" s="697"/>
      <c r="BE101" s="687"/>
      <c r="BF101" s="6"/>
      <c r="BG101" s="6"/>
      <c r="BH101" s="6"/>
      <c r="BI101" s="6"/>
      <c r="BJ101" s="6"/>
    </row>
    <row r="102" spans="1:63" outlineLevel="1">
      <c r="A102" t="s">
        <v>1497</v>
      </c>
      <c r="B102" s="51" t="s">
        <v>126</v>
      </c>
      <c r="C102" s="104">
        <f>C89*C98</f>
        <v>9.9999999999999985E-3</v>
      </c>
      <c r="D102" s="104">
        <f t="shared" ref="D102:AG102" si="63">D89*D98</f>
        <v>1.1219999999999999E-2</v>
      </c>
      <c r="E102" s="104">
        <f t="shared" si="63"/>
        <v>1.2413333333333332E-2</v>
      </c>
      <c r="F102" s="104">
        <f t="shared" si="63"/>
        <v>1.3579999999999997E-2</v>
      </c>
      <c r="G102" s="104">
        <f t="shared" si="63"/>
        <v>1.4719999999999994E-2</v>
      </c>
      <c r="H102" s="104">
        <f t="shared" si="63"/>
        <v>1.5833333333333331E-2</v>
      </c>
      <c r="I102" s="104">
        <f t="shared" si="63"/>
        <v>1.6919999999999994E-2</v>
      </c>
      <c r="J102" s="104">
        <f t="shared" si="63"/>
        <v>1.7979999999999996E-2</v>
      </c>
      <c r="K102" s="104">
        <f t="shared" si="63"/>
        <v>1.901333333333333E-2</v>
      </c>
      <c r="L102" s="104">
        <f t="shared" si="63"/>
        <v>2.0019999999999996E-2</v>
      </c>
      <c r="M102" s="104">
        <f t="shared" si="63"/>
        <v>2.0999999999999998E-2</v>
      </c>
      <c r="N102" s="104">
        <f t="shared" si="63"/>
        <v>2.1953333333333328E-2</v>
      </c>
      <c r="O102" s="104">
        <f t="shared" si="63"/>
        <v>2.2879999999999994E-2</v>
      </c>
      <c r="P102" s="104">
        <f t="shared" si="63"/>
        <v>2.3779999999999992E-2</v>
      </c>
      <c r="Q102" s="104">
        <f t="shared" si="63"/>
        <v>2.4653333333333329E-2</v>
      </c>
      <c r="R102" s="104">
        <f t="shared" si="63"/>
        <v>2.5499999999999995E-2</v>
      </c>
      <c r="S102" s="104">
        <f t="shared" si="63"/>
        <v>2.6319999999999993E-2</v>
      </c>
      <c r="T102" s="104">
        <f t="shared" si="63"/>
        <v>2.7113333333333326E-2</v>
      </c>
      <c r="U102" s="104">
        <f t="shared" si="63"/>
        <v>2.7879999999999992E-2</v>
      </c>
      <c r="V102" s="104">
        <f t="shared" si="63"/>
        <v>2.8619999999999996E-2</v>
      </c>
      <c r="W102" s="104">
        <f t="shared" si="63"/>
        <v>2.9333333333333326E-2</v>
      </c>
      <c r="X102" s="104">
        <f t="shared" si="63"/>
        <v>3.0019999999999991E-2</v>
      </c>
      <c r="Y102" s="104">
        <f t="shared" si="63"/>
        <v>3.0679999999999995E-2</v>
      </c>
      <c r="Z102" s="104">
        <f t="shared" si="63"/>
        <v>3.1313333333333325E-2</v>
      </c>
      <c r="AA102" s="104">
        <f t="shared" si="63"/>
        <v>3.191999999999999E-2</v>
      </c>
      <c r="AB102" s="104">
        <f t="shared" si="63"/>
        <v>3.2499999999999994E-2</v>
      </c>
      <c r="AC102" s="104">
        <f t="shared" si="63"/>
        <v>3.305333333333333E-2</v>
      </c>
      <c r="AD102" s="104">
        <f t="shared" si="63"/>
        <v>3.3579999999999992E-2</v>
      </c>
      <c r="AE102" s="104">
        <f t="shared" si="63"/>
        <v>3.4079999999999992E-2</v>
      </c>
      <c r="AF102" s="104">
        <f t="shared" si="63"/>
        <v>3.4553333333333325E-2</v>
      </c>
      <c r="AG102" s="104">
        <f t="shared" si="63"/>
        <v>3.4999999999999989E-2</v>
      </c>
      <c r="AI102" s="127"/>
      <c r="AJ102" s="198"/>
      <c r="BC102" s="1"/>
      <c r="BD102" s="38"/>
      <c r="BF102" s="6"/>
      <c r="BG102" s="6"/>
      <c r="BH102" s="6"/>
      <c r="BI102" s="6"/>
      <c r="BJ102" s="6"/>
    </row>
    <row r="103" spans="1:63" outlineLevel="1">
      <c r="C103" s="104"/>
      <c r="D103" s="104"/>
      <c r="E103" s="104"/>
      <c r="F103" s="104"/>
      <c r="G103" s="104"/>
      <c r="H103" s="104"/>
      <c r="I103" s="104"/>
      <c r="J103" s="104"/>
      <c r="K103" s="104"/>
      <c r="L103" s="104"/>
      <c r="M103" s="104"/>
      <c r="N103" s="104"/>
      <c r="O103" s="104"/>
      <c r="P103" s="104"/>
      <c r="Q103" s="104"/>
      <c r="R103" s="104"/>
      <c r="S103" s="104"/>
      <c r="T103" s="104"/>
      <c r="U103" s="104"/>
      <c r="V103" s="104"/>
      <c r="W103" s="104"/>
      <c r="X103" s="104"/>
      <c r="Y103" s="104"/>
      <c r="Z103" s="104"/>
      <c r="AA103" s="104"/>
      <c r="AB103" s="104"/>
      <c r="AC103" s="104"/>
      <c r="AD103" s="104"/>
      <c r="AE103" s="104"/>
      <c r="AF103" s="104"/>
      <c r="AG103" s="104"/>
      <c r="AI103" s="127"/>
      <c r="AJ103" s="198"/>
      <c r="BC103" s="1"/>
      <c r="BD103" s="38"/>
      <c r="BF103" s="6"/>
      <c r="BG103" s="6"/>
      <c r="BH103" s="6"/>
      <c r="BI103" s="6"/>
      <c r="BJ103" s="6"/>
    </row>
    <row r="104" spans="1:63" s="1" customFormat="1" outlineLevel="1">
      <c r="A104" s="1" t="s">
        <v>261</v>
      </c>
      <c r="B104" s="61"/>
      <c r="C104" s="279">
        <f t="shared" ref="C104:AG104" si="64">C40*C97</f>
        <v>0</v>
      </c>
      <c r="D104" s="279">
        <f t="shared" si="64"/>
        <v>65.852698146110498</v>
      </c>
      <c r="E104" s="279">
        <f t="shared" si="64"/>
        <v>147.20014879718818</v>
      </c>
      <c r="F104" s="279">
        <f t="shared" si="64"/>
        <v>244.04235195323304</v>
      </c>
      <c r="G104" s="279">
        <f t="shared" si="64"/>
        <v>356.37930761424496</v>
      </c>
      <c r="H104" s="279">
        <f t="shared" si="64"/>
        <v>484.21101578022427</v>
      </c>
      <c r="I104" s="279">
        <f t="shared" si="64"/>
        <v>627.53747645117062</v>
      </c>
      <c r="J104" s="279">
        <f t="shared" si="64"/>
        <v>786.35868962708423</v>
      </c>
      <c r="K104" s="279">
        <f t="shared" si="64"/>
        <v>960.67465530796483</v>
      </c>
      <c r="L104" s="279">
        <f t="shared" si="64"/>
        <v>1150.4853734938126</v>
      </c>
      <c r="M104" s="279">
        <f t="shared" si="64"/>
        <v>1355.7908441846275</v>
      </c>
      <c r="N104" s="279">
        <f t="shared" si="64"/>
        <v>1576.5910673804099</v>
      </c>
      <c r="O104" s="279">
        <f t="shared" si="64"/>
        <v>1812.8860430811592</v>
      </c>
      <c r="P104" s="279">
        <f t="shared" si="64"/>
        <v>2059.1011467044009</v>
      </c>
      <c r="Q104" s="279">
        <f t="shared" si="64"/>
        <v>2319.3676666367728</v>
      </c>
      <c r="R104" s="279">
        <f t="shared" si="64"/>
        <v>2593.5600953829839</v>
      </c>
      <c r="S104" s="279">
        <f t="shared" si="64"/>
        <v>2881.5529254477433</v>
      </c>
      <c r="T104" s="279">
        <f t="shared" si="64"/>
        <v>3183.2206493357621</v>
      </c>
      <c r="U104" s="279">
        <f t="shared" si="64"/>
        <v>3498.4377595517499</v>
      </c>
      <c r="V104" s="279">
        <f t="shared" si="64"/>
        <v>3827.0787486004156</v>
      </c>
      <c r="W104" s="279">
        <f t="shared" si="64"/>
        <v>4169.0181089864682</v>
      </c>
      <c r="X104" s="279">
        <f t="shared" si="64"/>
        <v>4524.1303332146208</v>
      </c>
      <c r="Y104" s="279">
        <f t="shared" si="64"/>
        <v>4892.2899137895802</v>
      </c>
      <c r="Z104" s="279">
        <f t="shared" si="64"/>
        <v>5244.0235072340229</v>
      </c>
      <c r="AA104" s="279">
        <f t="shared" si="64"/>
        <v>5603.9933363724831</v>
      </c>
      <c r="AB104" s="279">
        <f t="shared" si="64"/>
        <v>5971.8228787190847</v>
      </c>
      <c r="AC104" s="279">
        <f t="shared" si="64"/>
        <v>6347.1356117879623</v>
      </c>
      <c r="AD104" s="279">
        <f t="shared" si="64"/>
        <v>6729.5550130932415</v>
      </c>
      <c r="AE104" s="279">
        <f t="shared" si="64"/>
        <v>7118.7045601490545</v>
      </c>
      <c r="AF104" s="279">
        <f t="shared" si="64"/>
        <v>7514.2077304695304</v>
      </c>
      <c r="AG104" s="279">
        <f t="shared" si="64"/>
        <v>7915.6880015687921</v>
      </c>
      <c r="AH104" s="230"/>
      <c r="AI104" s="398"/>
      <c r="AJ104" s="399"/>
      <c r="AL104" s="207"/>
      <c r="AM104" s="118"/>
      <c r="AN104" s="118"/>
      <c r="AO104" s="118"/>
      <c r="BD104" s="118"/>
      <c r="BE104" s="118"/>
      <c r="BF104" s="118"/>
      <c r="BG104" s="118"/>
      <c r="BH104" s="118"/>
      <c r="BI104" s="118"/>
      <c r="BJ104" s="118"/>
      <c r="BK104" s="118"/>
    </row>
    <row r="105" spans="1:63" s="1" customFormat="1" outlineLevel="1">
      <c r="A105" s="1" t="s">
        <v>1160</v>
      </c>
      <c r="B105" s="61"/>
      <c r="C105" s="279">
        <f t="shared" ref="C105:AG105" si="65">C104-$C104</f>
        <v>0</v>
      </c>
      <c r="D105" s="279">
        <f t="shared" si="65"/>
        <v>65.852698146110498</v>
      </c>
      <c r="E105" s="279">
        <f t="shared" si="65"/>
        <v>147.20014879718818</v>
      </c>
      <c r="F105" s="279">
        <f t="shared" si="65"/>
        <v>244.04235195323304</v>
      </c>
      <c r="G105" s="279">
        <f t="shared" si="65"/>
        <v>356.37930761424496</v>
      </c>
      <c r="H105" s="279">
        <f t="shared" si="65"/>
        <v>484.21101578022427</v>
      </c>
      <c r="I105" s="279">
        <f t="shared" si="65"/>
        <v>627.53747645117062</v>
      </c>
      <c r="J105" s="279">
        <f t="shared" si="65"/>
        <v>786.35868962708423</v>
      </c>
      <c r="K105" s="279">
        <f t="shared" si="65"/>
        <v>960.67465530796483</v>
      </c>
      <c r="L105" s="279">
        <f t="shared" si="65"/>
        <v>1150.4853734938126</v>
      </c>
      <c r="M105" s="279">
        <f t="shared" si="65"/>
        <v>1355.7908441846275</v>
      </c>
      <c r="N105" s="279">
        <f t="shared" si="65"/>
        <v>1576.5910673804099</v>
      </c>
      <c r="O105" s="279">
        <f t="shared" si="65"/>
        <v>1812.8860430811592</v>
      </c>
      <c r="P105" s="279">
        <f t="shared" si="65"/>
        <v>2059.1011467044009</v>
      </c>
      <c r="Q105" s="279">
        <f t="shared" si="65"/>
        <v>2319.3676666367728</v>
      </c>
      <c r="R105" s="279">
        <f t="shared" si="65"/>
        <v>2593.5600953829839</v>
      </c>
      <c r="S105" s="279">
        <f t="shared" si="65"/>
        <v>2881.5529254477433</v>
      </c>
      <c r="T105" s="279">
        <f t="shared" si="65"/>
        <v>3183.2206493357621</v>
      </c>
      <c r="U105" s="279">
        <f t="shared" si="65"/>
        <v>3498.4377595517499</v>
      </c>
      <c r="V105" s="279">
        <f t="shared" si="65"/>
        <v>3827.0787486004156</v>
      </c>
      <c r="W105" s="279">
        <f t="shared" si="65"/>
        <v>4169.0181089864682</v>
      </c>
      <c r="X105" s="279">
        <f t="shared" si="65"/>
        <v>4524.1303332146208</v>
      </c>
      <c r="Y105" s="279">
        <f t="shared" si="65"/>
        <v>4892.2899137895802</v>
      </c>
      <c r="Z105" s="279">
        <f t="shared" si="65"/>
        <v>5244.0235072340229</v>
      </c>
      <c r="AA105" s="279">
        <f t="shared" si="65"/>
        <v>5603.9933363724831</v>
      </c>
      <c r="AB105" s="279">
        <f t="shared" si="65"/>
        <v>5971.8228787190847</v>
      </c>
      <c r="AC105" s="279">
        <f t="shared" si="65"/>
        <v>6347.1356117879623</v>
      </c>
      <c r="AD105" s="279">
        <f t="shared" si="65"/>
        <v>6729.5550130932415</v>
      </c>
      <c r="AE105" s="279">
        <f t="shared" si="65"/>
        <v>7118.7045601490545</v>
      </c>
      <c r="AF105" s="279">
        <f t="shared" si="65"/>
        <v>7514.2077304695304</v>
      </c>
      <c r="AG105" s="279">
        <f t="shared" si="65"/>
        <v>7915.6880015687921</v>
      </c>
      <c r="AH105" s="230"/>
      <c r="AI105" s="398"/>
      <c r="AJ105" s="399"/>
      <c r="AL105" s="207"/>
      <c r="AM105" s="118"/>
      <c r="AN105" s="118"/>
      <c r="AO105" s="118"/>
      <c r="BD105" s="118"/>
      <c r="BE105" s="118"/>
      <c r="BF105" s="118"/>
      <c r="BG105" s="118"/>
      <c r="BH105" s="118"/>
      <c r="BI105" s="118"/>
      <c r="BJ105" s="118"/>
      <c r="BK105" s="118"/>
    </row>
    <row r="106" spans="1:63" s="1" customFormat="1" outlineLevel="1">
      <c r="A106" s="1" t="s">
        <v>1163</v>
      </c>
      <c r="B106" s="61"/>
      <c r="C106" s="279">
        <f t="shared" ref="C106:AG106" si="66">C40*C100</f>
        <v>5229.4789704264222</v>
      </c>
      <c r="D106" s="279">
        <f t="shared" si="66"/>
        <v>5867.4754048184459</v>
      </c>
      <c r="E106" s="279">
        <f t="shared" si="66"/>
        <v>6491.5265619559987</v>
      </c>
      <c r="F106" s="279">
        <f t="shared" si="66"/>
        <v>7101.6324418390805</v>
      </c>
      <c r="G106" s="279">
        <f t="shared" si="66"/>
        <v>7697.7930444676913</v>
      </c>
      <c r="H106" s="279">
        <f t="shared" si="66"/>
        <v>8280.0083698418348</v>
      </c>
      <c r="I106" s="279">
        <f t="shared" si="66"/>
        <v>8848.2784179615046</v>
      </c>
      <c r="J106" s="279">
        <f t="shared" si="66"/>
        <v>9402.6031888267044</v>
      </c>
      <c r="K106" s="279">
        <f t="shared" si="66"/>
        <v>9942.9826824374377</v>
      </c>
      <c r="L106" s="279">
        <f t="shared" si="66"/>
        <v>10469.416898793696</v>
      </c>
      <c r="M106" s="279">
        <f t="shared" si="66"/>
        <v>10981.905837895487</v>
      </c>
      <c r="N106" s="279">
        <f t="shared" si="66"/>
        <v>11480.449499742805</v>
      </c>
      <c r="O106" s="279">
        <f t="shared" si="66"/>
        <v>11965.047884335654</v>
      </c>
      <c r="P106" s="279">
        <f t="shared" si="66"/>
        <v>12402.12459899651</v>
      </c>
      <c r="Q106" s="279">
        <f t="shared" si="66"/>
        <v>12822.789814120446</v>
      </c>
      <c r="R106" s="279">
        <f t="shared" si="66"/>
        <v>13227.156486453217</v>
      </c>
      <c r="S106" s="279">
        <f t="shared" si="66"/>
        <v>13615.337572740587</v>
      </c>
      <c r="T106" s="279">
        <f t="shared" si="66"/>
        <v>13987.44602972832</v>
      </c>
      <c r="U106" s="279">
        <f t="shared" si="66"/>
        <v>14343.59481416217</v>
      </c>
      <c r="V106" s="279">
        <f t="shared" si="66"/>
        <v>14683.896882787909</v>
      </c>
      <c r="W106" s="279">
        <f t="shared" si="66"/>
        <v>15008.465192351285</v>
      </c>
      <c r="X106" s="279">
        <f t="shared" si="66"/>
        <v>15317.412699598066</v>
      </c>
      <c r="Y106" s="279">
        <f t="shared" si="66"/>
        <v>15610.852361274019</v>
      </c>
      <c r="Z106" s="279">
        <f t="shared" si="66"/>
        <v>15800.470828318163</v>
      </c>
      <c r="AA106" s="279">
        <f t="shared" si="66"/>
        <v>15971.381008661569</v>
      </c>
      <c r="AB106" s="279">
        <f t="shared" si="66"/>
        <v>16123.921772541526</v>
      </c>
      <c r="AC106" s="279">
        <f t="shared" si="66"/>
        <v>16258.431990195315</v>
      </c>
      <c r="AD106" s="279">
        <f t="shared" si="66"/>
        <v>16375.250531860216</v>
      </c>
      <c r="AE106" s="279">
        <f t="shared" si="66"/>
        <v>16474.716267773521</v>
      </c>
      <c r="AF106" s="279">
        <f t="shared" si="66"/>
        <v>16557.168068172512</v>
      </c>
      <c r="AG106" s="279">
        <f t="shared" si="66"/>
        <v>16622.944803294464</v>
      </c>
      <c r="AH106" s="230"/>
      <c r="AI106" s="398"/>
      <c r="AJ106" s="399"/>
      <c r="AL106" s="207"/>
      <c r="AM106" s="118"/>
      <c r="AN106" s="118"/>
      <c r="AO106" s="118"/>
      <c r="BD106" s="118"/>
      <c r="BE106" s="118"/>
      <c r="BF106" s="118"/>
      <c r="BG106" s="118"/>
      <c r="BH106" s="118"/>
      <c r="BI106" s="118"/>
      <c r="BJ106" s="118"/>
      <c r="BK106" s="118"/>
    </row>
    <row r="107" spans="1:63" s="1" customFormat="1" outlineLevel="1">
      <c r="A107" s="1" t="s">
        <v>1166</v>
      </c>
      <c r="B107" s="61"/>
      <c r="C107" s="279">
        <f t="shared" ref="C107:AG107" si="67">C106-$C106</f>
        <v>0</v>
      </c>
      <c r="D107" s="279">
        <f t="shared" si="67"/>
        <v>637.99643439202373</v>
      </c>
      <c r="E107" s="279">
        <f t="shared" si="67"/>
        <v>1262.0475915295765</v>
      </c>
      <c r="F107" s="279">
        <f t="shared" si="67"/>
        <v>1872.1534714126583</v>
      </c>
      <c r="G107" s="279">
        <f t="shared" si="67"/>
        <v>2468.3140740412691</v>
      </c>
      <c r="H107" s="279">
        <f t="shared" si="67"/>
        <v>3050.5293994154126</v>
      </c>
      <c r="I107" s="279">
        <f t="shared" si="67"/>
        <v>3618.7994475350824</v>
      </c>
      <c r="J107" s="279">
        <f t="shared" si="67"/>
        <v>4173.1242184002822</v>
      </c>
      <c r="K107" s="279">
        <f t="shared" si="67"/>
        <v>4713.5037120110155</v>
      </c>
      <c r="L107" s="279">
        <f t="shared" si="67"/>
        <v>5239.9379283672733</v>
      </c>
      <c r="M107" s="279">
        <f t="shared" si="67"/>
        <v>5752.4268674690647</v>
      </c>
      <c r="N107" s="279">
        <f t="shared" si="67"/>
        <v>6250.9705293163825</v>
      </c>
      <c r="O107" s="279">
        <f t="shared" si="67"/>
        <v>6735.5689139092319</v>
      </c>
      <c r="P107" s="279">
        <f t="shared" si="67"/>
        <v>7172.6456285700879</v>
      </c>
      <c r="Q107" s="279">
        <f t="shared" si="67"/>
        <v>7593.3108436940238</v>
      </c>
      <c r="R107" s="279">
        <f t="shared" si="67"/>
        <v>7997.6775160267953</v>
      </c>
      <c r="S107" s="279">
        <f t="shared" si="67"/>
        <v>8385.8586023141652</v>
      </c>
      <c r="T107" s="279">
        <f t="shared" si="67"/>
        <v>8757.9670593018982</v>
      </c>
      <c r="U107" s="279">
        <f t="shared" si="67"/>
        <v>9114.1158437357481</v>
      </c>
      <c r="V107" s="279">
        <f t="shared" si="67"/>
        <v>9454.4179123614867</v>
      </c>
      <c r="W107" s="279">
        <f t="shared" si="67"/>
        <v>9778.9862219248625</v>
      </c>
      <c r="X107" s="279">
        <f t="shared" si="67"/>
        <v>10087.933729171644</v>
      </c>
      <c r="Y107" s="279">
        <f t="shared" si="67"/>
        <v>10381.373390847597</v>
      </c>
      <c r="Z107" s="279">
        <f t="shared" si="67"/>
        <v>10570.99185789174</v>
      </c>
      <c r="AA107" s="279">
        <f t="shared" si="67"/>
        <v>10741.902038235146</v>
      </c>
      <c r="AB107" s="279">
        <f t="shared" si="67"/>
        <v>10894.442802115103</v>
      </c>
      <c r="AC107" s="279">
        <f t="shared" si="67"/>
        <v>11028.953019768893</v>
      </c>
      <c r="AD107" s="279">
        <f t="shared" si="67"/>
        <v>11145.771561433794</v>
      </c>
      <c r="AE107" s="279">
        <f t="shared" si="67"/>
        <v>11245.237297347099</v>
      </c>
      <c r="AF107" s="279">
        <f t="shared" si="67"/>
        <v>11327.68909774609</v>
      </c>
      <c r="AG107" s="279">
        <f t="shared" si="67"/>
        <v>11393.465832868042</v>
      </c>
      <c r="AH107" s="230"/>
      <c r="AI107" s="398"/>
      <c r="AJ107" s="399"/>
      <c r="AL107" s="207"/>
      <c r="AM107" s="118"/>
      <c r="AN107" s="118"/>
      <c r="AO107" s="118"/>
      <c r="BD107" s="118"/>
      <c r="BE107" s="118"/>
      <c r="BF107" s="118"/>
      <c r="BG107" s="118"/>
      <c r="BH107" s="118"/>
      <c r="BI107" s="118"/>
      <c r="BJ107" s="118"/>
      <c r="BK107" s="118"/>
    </row>
    <row r="108" spans="1:63" s="1" customFormat="1" outlineLevel="1">
      <c r="A108" s="1" t="s">
        <v>1167</v>
      </c>
      <c r="B108" s="61"/>
      <c r="C108" s="279">
        <f t="shared" ref="C108:AG108" si="68">C40*C101</f>
        <v>0</v>
      </c>
      <c r="D108" s="279">
        <f t="shared" si="68"/>
        <v>0</v>
      </c>
      <c r="E108" s="279">
        <f t="shared" si="68"/>
        <v>0</v>
      </c>
      <c r="F108" s="279">
        <f t="shared" si="68"/>
        <v>0</v>
      </c>
      <c r="G108" s="279">
        <f t="shared" si="68"/>
        <v>0</v>
      </c>
      <c r="H108" s="279">
        <f t="shared" si="68"/>
        <v>0</v>
      </c>
      <c r="I108" s="279">
        <f t="shared" si="68"/>
        <v>0</v>
      </c>
      <c r="J108" s="279">
        <f t="shared" si="68"/>
        <v>0</v>
      </c>
      <c r="K108" s="279">
        <f t="shared" si="68"/>
        <v>0</v>
      </c>
      <c r="L108" s="279">
        <f t="shared" si="68"/>
        <v>0</v>
      </c>
      <c r="M108" s="279">
        <f t="shared" si="68"/>
        <v>0</v>
      </c>
      <c r="N108" s="279">
        <f t="shared" si="68"/>
        <v>0</v>
      </c>
      <c r="O108" s="279">
        <f t="shared" si="68"/>
        <v>0</v>
      </c>
      <c r="P108" s="279">
        <f t="shared" si="68"/>
        <v>0</v>
      </c>
      <c r="Q108" s="279">
        <f t="shared" si="68"/>
        <v>0</v>
      </c>
      <c r="R108" s="279">
        <f t="shared" si="68"/>
        <v>0</v>
      </c>
      <c r="S108" s="279">
        <f t="shared" si="68"/>
        <v>0</v>
      </c>
      <c r="T108" s="279">
        <f t="shared" si="68"/>
        <v>0</v>
      </c>
      <c r="U108" s="279">
        <f t="shared" si="68"/>
        <v>0</v>
      </c>
      <c r="V108" s="279">
        <f t="shared" si="68"/>
        <v>0</v>
      </c>
      <c r="W108" s="279">
        <f t="shared" si="68"/>
        <v>0</v>
      </c>
      <c r="X108" s="279">
        <f t="shared" si="68"/>
        <v>0</v>
      </c>
      <c r="Y108" s="279">
        <f t="shared" si="68"/>
        <v>0</v>
      </c>
      <c r="Z108" s="279">
        <f t="shared" si="68"/>
        <v>0</v>
      </c>
      <c r="AA108" s="279">
        <f t="shared" si="68"/>
        <v>0</v>
      </c>
      <c r="AB108" s="279">
        <f t="shared" si="68"/>
        <v>0</v>
      </c>
      <c r="AC108" s="279">
        <f t="shared" si="68"/>
        <v>0</v>
      </c>
      <c r="AD108" s="279">
        <f t="shared" si="68"/>
        <v>0</v>
      </c>
      <c r="AE108" s="279">
        <f t="shared" si="68"/>
        <v>0</v>
      </c>
      <c r="AF108" s="279">
        <f t="shared" si="68"/>
        <v>0</v>
      </c>
      <c r="AG108" s="279">
        <f t="shared" si="68"/>
        <v>0</v>
      </c>
      <c r="AH108" s="230"/>
      <c r="AI108" s="398"/>
      <c r="AJ108" s="399"/>
      <c r="AL108" s="207"/>
      <c r="AM108" s="118"/>
      <c r="AN108" s="118"/>
      <c r="AO108" s="118"/>
      <c r="BD108" s="118"/>
      <c r="BE108" s="118"/>
      <c r="BF108" s="118"/>
      <c r="BG108" s="118"/>
      <c r="BH108" s="118"/>
      <c r="BI108" s="118"/>
      <c r="BJ108" s="118"/>
      <c r="BK108" s="118"/>
    </row>
    <row r="109" spans="1:63" s="1" customFormat="1" outlineLevel="1">
      <c r="A109" s="1" t="s">
        <v>1168</v>
      </c>
      <c r="B109" s="61"/>
      <c r="C109" s="279">
        <f t="shared" ref="C109:AG109" si="69">C108-$C108</f>
        <v>0</v>
      </c>
      <c r="D109" s="279">
        <f t="shared" si="69"/>
        <v>0</v>
      </c>
      <c r="E109" s="279">
        <f t="shared" si="69"/>
        <v>0</v>
      </c>
      <c r="F109" s="279">
        <f t="shared" si="69"/>
        <v>0</v>
      </c>
      <c r="G109" s="279">
        <f t="shared" si="69"/>
        <v>0</v>
      </c>
      <c r="H109" s="279">
        <f t="shared" si="69"/>
        <v>0</v>
      </c>
      <c r="I109" s="279">
        <f t="shared" si="69"/>
        <v>0</v>
      </c>
      <c r="J109" s="279">
        <f t="shared" si="69"/>
        <v>0</v>
      </c>
      <c r="K109" s="279">
        <f t="shared" si="69"/>
        <v>0</v>
      </c>
      <c r="L109" s="279">
        <f t="shared" si="69"/>
        <v>0</v>
      </c>
      <c r="M109" s="279">
        <f t="shared" si="69"/>
        <v>0</v>
      </c>
      <c r="N109" s="279">
        <f t="shared" si="69"/>
        <v>0</v>
      </c>
      <c r="O109" s="279">
        <f t="shared" si="69"/>
        <v>0</v>
      </c>
      <c r="P109" s="279">
        <f t="shared" si="69"/>
        <v>0</v>
      </c>
      <c r="Q109" s="279">
        <f t="shared" si="69"/>
        <v>0</v>
      </c>
      <c r="R109" s="279">
        <f t="shared" si="69"/>
        <v>0</v>
      </c>
      <c r="S109" s="279">
        <f t="shared" si="69"/>
        <v>0</v>
      </c>
      <c r="T109" s="279">
        <f t="shared" si="69"/>
        <v>0</v>
      </c>
      <c r="U109" s="279">
        <f t="shared" si="69"/>
        <v>0</v>
      </c>
      <c r="V109" s="279">
        <f t="shared" si="69"/>
        <v>0</v>
      </c>
      <c r="W109" s="279">
        <f t="shared" si="69"/>
        <v>0</v>
      </c>
      <c r="X109" s="279">
        <f t="shared" si="69"/>
        <v>0</v>
      </c>
      <c r="Y109" s="279">
        <f t="shared" si="69"/>
        <v>0</v>
      </c>
      <c r="Z109" s="279">
        <f t="shared" si="69"/>
        <v>0</v>
      </c>
      <c r="AA109" s="279">
        <f t="shared" si="69"/>
        <v>0</v>
      </c>
      <c r="AB109" s="279">
        <f t="shared" si="69"/>
        <v>0</v>
      </c>
      <c r="AC109" s="279">
        <f t="shared" si="69"/>
        <v>0</v>
      </c>
      <c r="AD109" s="279">
        <f t="shared" si="69"/>
        <v>0</v>
      </c>
      <c r="AE109" s="279">
        <f t="shared" si="69"/>
        <v>0</v>
      </c>
      <c r="AF109" s="279">
        <f t="shared" si="69"/>
        <v>0</v>
      </c>
      <c r="AG109" s="279">
        <f t="shared" si="69"/>
        <v>0</v>
      </c>
      <c r="AH109" s="230"/>
      <c r="AI109" s="398"/>
      <c r="AJ109" s="399"/>
      <c r="AL109" s="207"/>
      <c r="AM109" s="118"/>
      <c r="AN109" s="118"/>
      <c r="AO109" s="118"/>
      <c r="BD109" s="118"/>
      <c r="BE109" s="118"/>
      <c r="BF109" s="118"/>
      <c r="BG109" s="118"/>
      <c r="BH109" s="118"/>
      <c r="BI109" s="118"/>
      <c r="BJ109" s="118"/>
      <c r="BK109" s="118"/>
    </row>
    <row r="110" spans="1:63" s="1" customFormat="1" outlineLevel="1">
      <c r="A110" s="1" t="s">
        <v>1162</v>
      </c>
      <c r="B110" s="61"/>
      <c r="C110" s="279">
        <f t="shared" ref="C110:AG110" si="70">C40*C102</f>
        <v>581.05321893626899</v>
      </c>
      <c r="D110" s="279">
        <f t="shared" si="70"/>
        <v>651.94171164649379</v>
      </c>
      <c r="E110" s="279">
        <f t="shared" si="70"/>
        <v>721.28072910622188</v>
      </c>
      <c r="F110" s="279">
        <f t="shared" si="70"/>
        <v>789.07027131545317</v>
      </c>
      <c r="G110" s="279">
        <f t="shared" si="70"/>
        <v>855.31033827418764</v>
      </c>
      <c r="H110" s="279">
        <f t="shared" si="70"/>
        <v>920.00092998242587</v>
      </c>
      <c r="I110" s="279">
        <f t="shared" si="70"/>
        <v>983.14204644016684</v>
      </c>
      <c r="J110" s="279">
        <f t="shared" si="70"/>
        <v>1044.7336876474114</v>
      </c>
      <c r="K110" s="279">
        <f t="shared" si="70"/>
        <v>1104.7758536041592</v>
      </c>
      <c r="L110" s="279">
        <f t="shared" si="70"/>
        <v>1163.2685443104103</v>
      </c>
      <c r="M110" s="279">
        <f t="shared" si="70"/>
        <v>1220.211759766165</v>
      </c>
      <c r="N110" s="279">
        <f t="shared" si="70"/>
        <v>1275.6054999714224</v>
      </c>
      <c r="O110" s="279">
        <f t="shared" si="70"/>
        <v>1329.4497649261832</v>
      </c>
      <c r="P110" s="279">
        <f t="shared" si="70"/>
        <v>1378.0138443329452</v>
      </c>
      <c r="Q110" s="279">
        <f t="shared" si="70"/>
        <v>1424.7544237911604</v>
      </c>
      <c r="R110" s="279">
        <f t="shared" si="70"/>
        <v>1469.684054050357</v>
      </c>
      <c r="S110" s="279">
        <f t="shared" si="70"/>
        <v>1512.8152858600649</v>
      </c>
      <c r="T110" s="279">
        <f t="shared" si="70"/>
        <v>1554.1606699698127</v>
      </c>
      <c r="U110" s="279">
        <f t="shared" si="70"/>
        <v>1593.7327571291296</v>
      </c>
      <c r="V110" s="279">
        <f t="shared" si="70"/>
        <v>1631.5440980875449</v>
      </c>
      <c r="W110" s="279">
        <f t="shared" si="70"/>
        <v>1667.6072435945866</v>
      </c>
      <c r="X110" s="279">
        <f t="shared" si="70"/>
        <v>1701.9347443997847</v>
      </c>
      <c r="Y110" s="279">
        <f t="shared" si="70"/>
        <v>1734.5391512526683</v>
      </c>
      <c r="Z110" s="279">
        <f t="shared" si="70"/>
        <v>1755.6078698131284</v>
      </c>
      <c r="AA110" s="279">
        <f t="shared" si="70"/>
        <v>1774.5978898512849</v>
      </c>
      <c r="AB110" s="279">
        <f t="shared" si="70"/>
        <v>1791.5468636157245</v>
      </c>
      <c r="AC110" s="279">
        <f t="shared" si="70"/>
        <v>1806.4924433550345</v>
      </c>
      <c r="AD110" s="279">
        <f t="shared" si="70"/>
        <v>1819.4722813178014</v>
      </c>
      <c r="AE110" s="279">
        <f t="shared" si="70"/>
        <v>1830.5240297526132</v>
      </c>
      <c r="AF110" s="279">
        <f t="shared" si="70"/>
        <v>1839.6853409080561</v>
      </c>
      <c r="AG110" s="279">
        <f t="shared" si="70"/>
        <v>1846.9938670327176</v>
      </c>
      <c r="AH110" s="230"/>
      <c r="AI110" s="398"/>
      <c r="AJ110" s="399"/>
      <c r="AL110" s="207"/>
      <c r="AM110" s="118"/>
      <c r="AN110" s="118"/>
      <c r="AO110" s="118"/>
      <c r="BD110" s="118"/>
      <c r="BE110" s="118"/>
      <c r="BF110" s="118"/>
      <c r="BG110" s="118"/>
      <c r="BH110" s="118"/>
      <c r="BI110" s="118"/>
      <c r="BJ110" s="118"/>
      <c r="BK110" s="118"/>
    </row>
    <row r="111" spans="1:63" s="1" customFormat="1" outlineLevel="1">
      <c r="A111" s="1" t="s">
        <v>1165</v>
      </c>
      <c r="B111" s="61"/>
      <c r="C111" s="279">
        <f t="shared" ref="C111:AG111" si="71">C110-$C110</f>
        <v>0</v>
      </c>
      <c r="D111" s="279">
        <f t="shared" si="71"/>
        <v>70.888492710224796</v>
      </c>
      <c r="E111" s="279">
        <f t="shared" si="71"/>
        <v>140.22751016995289</v>
      </c>
      <c r="F111" s="279">
        <f t="shared" si="71"/>
        <v>208.01705237918418</v>
      </c>
      <c r="G111" s="279">
        <f t="shared" si="71"/>
        <v>274.25711933791865</v>
      </c>
      <c r="H111" s="279">
        <f t="shared" si="71"/>
        <v>338.94771104615688</v>
      </c>
      <c r="I111" s="279">
        <f t="shared" si="71"/>
        <v>402.08882750389785</v>
      </c>
      <c r="J111" s="279">
        <f t="shared" si="71"/>
        <v>463.68046871114245</v>
      </c>
      <c r="K111" s="279">
        <f t="shared" si="71"/>
        <v>523.72263466789025</v>
      </c>
      <c r="L111" s="279">
        <f t="shared" si="71"/>
        <v>582.21532537414134</v>
      </c>
      <c r="M111" s="279">
        <f t="shared" si="71"/>
        <v>639.15854082989597</v>
      </c>
      <c r="N111" s="279">
        <f t="shared" si="71"/>
        <v>694.55228103515344</v>
      </c>
      <c r="O111" s="279">
        <f t="shared" si="71"/>
        <v>748.39654598991422</v>
      </c>
      <c r="P111" s="279">
        <f t="shared" si="71"/>
        <v>796.96062539667616</v>
      </c>
      <c r="Q111" s="279">
        <f t="shared" si="71"/>
        <v>843.70120485489144</v>
      </c>
      <c r="R111" s="279">
        <f t="shared" si="71"/>
        <v>888.63083511408797</v>
      </c>
      <c r="S111" s="279">
        <f t="shared" si="71"/>
        <v>931.76206692379594</v>
      </c>
      <c r="T111" s="279">
        <f t="shared" si="71"/>
        <v>973.10745103354373</v>
      </c>
      <c r="U111" s="279">
        <f t="shared" si="71"/>
        <v>1012.6795381928606</v>
      </c>
      <c r="V111" s="279">
        <f t="shared" si="71"/>
        <v>1050.4908791512757</v>
      </c>
      <c r="W111" s="279">
        <f t="shared" si="71"/>
        <v>1086.5540246583178</v>
      </c>
      <c r="X111" s="279">
        <f t="shared" si="71"/>
        <v>1120.8815254635156</v>
      </c>
      <c r="Y111" s="279">
        <f t="shared" si="71"/>
        <v>1153.4859323163992</v>
      </c>
      <c r="Z111" s="279">
        <f t="shared" si="71"/>
        <v>1174.5546508768593</v>
      </c>
      <c r="AA111" s="279">
        <f t="shared" si="71"/>
        <v>1193.544670915016</v>
      </c>
      <c r="AB111" s="279">
        <f t="shared" si="71"/>
        <v>1210.4936446794554</v>
      </c>
      <c r="AC111" s="279">
        <f t="shared" si="71"/>
        <v>1225.4392244187657</v>
      </c>
      <c r="AD111" s="279">
        <f t="shared" si="71"/>
        <v>1238.4190623815325</v>
      </c>
      <c r="AE111" s="279">
        <f t="shared" si="71"/>
        <v>1249.4708108163441</v>
      </c>
      <c r="AF111" s="279">
        <f t="shared" si="71"/>
        <v>1258.632121971787</v>
      </c>
      <c r="AG111" s="279">
        <f t="shared" si="71"/>
        <v>1265.9406480964485</v>
      </c>
      <c r="AH111" s="230"/>
      <c r="AI111" s="398"/>
      <c r="AJ111" s="399"/>
      <c r="AL111" s="207"/>
      <c r="AM111" s="118"/>
      <c r="AN111" s="118"/>
      <c r="AO111" s="118"/>
      <c r="BD111" s="118"/>
      <c r="BE111" s="118"/>
      <c r="BF111" s="118"/>
      <c r="BG111" s="118"/>
      <c r="BH111" s="118"/>
      <c r="BI111" s="118"/>
      <c r="BJ111" s="118"/>
      <c r="BK111" s="118"/>
    </row>
    <row r="112" spans="1:63" outlineLevel="1">
      <c r="C112" s="104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  <c r="AA112" s="22"/>
      <c r="AB112" s="22"/>
      <c r="AC112" s="22"/>
      <c r="AD112" s="22"/>
      <c r="AE112" s="22"/>
      <c r="AF112" s="22"/>
      <c r="AG112" s="22"/>
      <c r="AJ112" s="198"/>
      <c r="AM112" s="117"/>
      <c r="AN112" s="117"/>
    </row>
    <row r="113" spans="1:63" s="187" customFormat="1" ht="15.5" thickBot="1">
      <c r="A113" s="187" t="s">
        <v>447</v>
      </c>
      <c r="B113" s="202"/>
      <c r="C113" s="210">
        <f>C114</f>
        <v>0</v>
      </c>
      <c r="D113" s="210">
        <f t="shared" ref="D113:AG113" si="72">D114</f>
        <v>0</v>
      </c>
      <c r="E113" s="210">
        <f t="shared" si="72"/>
        <v>0</v>
      </c>
      <c r="F113" s="210">
        <f t="shared" si="72"/>
        <v>0</v>
      </c>
      <c r="G113" s="210">
        <f t="shared" si="72"/>
        <v>0</v>
      </c>
      <c r="H113" s="210">
        <f t="shared" si="72"/>
        <v>0</v>
      </c>
      <c r="I113" s="210">
        <f t="shared" si="72"/>
        <v>0</v>
      </c>
      <c r="J113" s="210">
        <f t="shared" si="72"/>
        <v>0</v>
      </c>
      <c r="K113" s="210">
        <f t="shared" si="72"/>
        <v>0</v>
      </c>
      <c r="L113" s="210">
        <f t="shared" si="72"/>
        <v>0</v>
      </c>
      <c r="M113" s="210">
        <f t="shared" si="72"/>
        <v>0</v>
      </c>
      <c r="N113" s="210">
        <f t="shared" si="72"/>
        <v>0</v>
      </c>
      <c r="O113" s="210">
        <f t="shared" si="72"/>
        <v>0</v>
      </c>
      <c r="P113" s="210">
        <f t="shared" si="72"/>
        <v>0</v>
      </c>
      <c r="Q113" s="210">
        <f t="shared" si="72"/>
        <v>0</v>
      </c>
      <c r="R113" s="210">
        <f t="shared" si="72"/>
        <v>0</v>
      </c>
      <c r="S113" s="210">
        <f t="shared" si="72"/>
        <v>0</v>
      </c>
      <c r="T113" s="210">
        <f t="shared" si="72"/>
        <v>0</v>
      </c>
      <c r="U113" s="210">
        <f t="shared" si="72"/>
        <v>0</v>
      </c>
      <c r="V113" s="210">
        <f t="shared" si="72"/>
        <v>0</v>
      </c>
      <c r="W113" s="210">
        <f t="shared" si="72"/>
        <v>0</v>
      </c>
      <c r="X113" s="210">
        <f t="shared" si="72"/>
        <v>0</v>
      </c>
      <c r="Y113" s="210">
        <f t="shared" si="72"/>
        <v>0</v>
      </c>
      <c r="Z113" s="210">
        <f t="shared" si="72"/>
        <v>0</v>
      </c>
      <c r="AA113" s="210">
        <f t="shared" si="72"/>
        <v>0</v>
      </c>
      <c r="AB113" s="210">
        <f t="shared" si="72"/>
        <v>0</v>
      </c>
      <c r="AC113" s="210">
        <f t="shared" si="72"/>
        <v>0</v>
      </c>
      <c r="AD113" s="210">
        <f t="shared" si="72"/>
        <v>0</v>
      </c>
      <c r="AE113" s="210">
        <f t="shared" si="72"/>
        <v>0</v>
      </c>
      <c r="AF113" s="210">
        <f t="shared" si="72"/>
        <v>0</v>
      </c>
      <c r="AG113" s="210">
        <f t="shared" si="72"/>
        <v>0</v>
      </c>
      <c r="AJ113" s="217" t="s">
        <v>471</v>
      </c>
      <c r="AL113" s="204"/>
      <c r="AM113" s="211"/>
      <c r="AN113" s="211"/>
      <c r="AO113" s="211"/>
    </row>
    <row r="114" spans="1:63" ht="15.5" outlineLevel="1" thickTop="1">
      <c r="A114" t="s">
        <v>448</v>
      </c>
      <c r="B114" s="51" t="s">
        <v>126</v>
      </c>
      <c r="C114" s="201">
        <v>0</v>
      </c>
      <c r="D114" s="104">
        <f>$C114+($M114-$C114)/10*(D$1-$C$1)</f>
        <v>0</v>
      </c>
      <c r="E114" s="104">
        <f t="shared" ref="E114:L114" si="73">$C114+($M114-$C114)/10*(E$1-$C$1)</f>
        <v>0</v>
      </c>
      <c r="F114" s="104">
        <f t="shared" si="73"/>
        <v>0</v>
      </c>
      <c r="G114" s="104">
        <f t="shared" si="73"/>
        <v>0</v>
      </c>
      <c r="H114" s="104">
        <f t="shared" si="73"/>
        <v>0</v>
      </c>
      <c r="I114" s="104">
        <f t="shared" si="73"/>
        <v>0</v>
      </c>
      <c r="J114" s="104">
        <f t="shared" si="73"/>
        <v>0</v>
      </c>
      <c r="K114" s="104">
        <f t="shared" si="73"/>
        <v>0</v>
      </c>
      <c r="L114" s="104">
        <f t="shared" si="73"/>
        <v>0</v>
      </c>
      <c r="M114" s="115">
        <v>0</v>
      </c>
      <c r="N114" s="115">
        <f>$M114+($W114-$M114)/10*(N$1-$M$1)</f>
        <v>0</v>
      </c>
      <c r="O114" s="115">
        <f t="shared" ref="O114:U114" si="74">$M114+($W114-$M114)/10*(O$1-$M$1)</f>
        <v>0</v>
      </c>
      <c r="P114" s="115">
        <f t="shared" si="74"/>
        <v>0</v>
      </c>
      <c r="Q114" s="115">
        <f t="shared" si="74"/>
        <v>0</v>
      </c>
      <c r="R114" s="115">
        <f t="shared" si="74"/>
        <v>0</v>
      </c>
      <c r="S114" s="115">
        <f t="shared" si="74"/>
        <v>0</v>
      </c>
      <c r="T114" s="115">
        <f t="shared" si="74"/>
        <v>0</v>
      </c>
      <c r="U114" s="115">
        <f t="shared" si="74"/>
        <v>0</v>
      </c>
      <c r="V114" s="115">
        <f>$M114+($W114-$M114)/10*(V$1-$M$1)</f>
        <v>0</v>
      </c>
      <c r="W114" s="115">
        <v>0</v>
      </c>
      <c r="X114" s="104">
        <f>$W114+($AG114-$W114)/10*(X$1-$W$1)</f>
        <v>0</v>
      </c>
      <c r="Y114" s="104">
        <f t="shared" ref="Y114:AF114" si="75">$W114+($AG114-$W114)/10*(Y$1-$W$1)</f>
        <v>0</v>
      </c>
      <c r="Z114" s="104">
        <f t="shared" si="75"/>
        <v>0</v>
      </c>
      <c r="AA114" s="104">
        <f t="shared" si="75"/>
        <v>0</v>
      </c>
      <c r="AB114" s="104">
        <f t="shared" si="75"/>
        <v>0</v>
      </c>
      <c r="AC114" s="104">
        <f t="shared" si="75"/>
        <v>0</v>
      </c>
      <c r="AD114" s="104">
        <f t="shared" si="75"/>
        <v>0</v>
      </c>
      <c r="AE114" s="104">
        <f t="shared" si="75"/>
        <v>0</v>
      </c>
      <c r="AF114" s="104">
        <f t="shared" si="75"/>
        <v>0</v>
      </c>
      <c r="AG114" s="201">
        <v>0</v>
      </c>
      <c r="AJ114" s="198" t="s">
        <v>453</v>
      </c>
    </row>
    <row r="115" spans="1:63" outlineLevel="1">
      <c r="A115" t="s">
        <v>449</v>
      </c>
      <c r="B115" s="51" t="s">
        <v>126</v>
      </c>
      <c r="C115" s="201">
        <v>0</v>
      </c>
      <c r="D115" s="104">
        <f t="shared" ref="D115:L115" si="76">C115-($C$115-$AG$115)/($AG$1-$C$1)</f>
        <v>0</v>
      </c>
      <c r="E115" s="104">
        <f t="shared" si="76"/>
        <v>0</v>
      </c>
      <c r="F115" s="104">
        <f t="shared" si="76"/>
        <v>0</v>
      </c>
      <c r="G115" s="104">
        <f t="shared" si="76"/>
        <v>0</v>
      </c>
      <c r="H115" s="104">
        <f t="shared" si="76"/>
        <v>0</v>
      </c>
      <c r="I115" s="104">
        <f t="shared" si="76"/>
        <v>0</v>
      </c>
      <c r="J115" s="104">
        <f t="shared" si="76"/>
        <v>0</v>
      </c>
      <c r="K115" s="104">
        <f t="shared" si="76"/>
        <v>0</v>
      </c>
      <c r="L115" s="104">
        <f t="shared" si="76"/>
        <v>0</v>
      </c>
      <c r="M115" s="104">
        <v>0</v>
      </c>
      <c r="N115" s="104">
        <f t="shared" ref="N115:V115" si="77">M115-($C$115-$AG$115)/($AG$1-$C$1)</f>
        <v>0</v>
      </c>
      <c r="O115" s="104">
        <f t="shared" si="77"/>
        <v>0</v>
      </c>
      <c r="P115" s="104">
        <f t="shared" si="77"/>
        <v>0</v>
      </c>
      <c r="Q115" s="104">
        <f t="shared" si="77"/>
        <v>0</v>
      </c>
      <c r="R115" s="104">
        <f t="shared" si="77"/>
        <v>0</v>
      </c>
      <c r="S115" s="104">
        <f t="shared" si="77"/>
        <v>0</v>
      </c>
      <c r="T115" s="104">
        <f t="shared" si="77"/>
        <v>0</v>
      </c>
      <c r="U115" s="104">
        <f t="shared" si="77"/>
        <v>0</v>
      </c>
      <c r="V115" s="104">
        <f t="shared" si="77"/>
        <v>0</v>
      </c>
      <c r="W115" s="104">
        <v>0</v>
      </c>
      <c r="X115" s="104">
        <f t="shared" ref="X115:AF115" si="78">W115-($C$115-$AG$115)/($AG$1-$C$1)</f>
        <v>0</v>
      </c>
      <c r="Y115" s="104">
        <f t="shared" si="78"/>
        <v>0</v>
      </c>
      <c r="Z115" s="104">
        <f t="shared" si="78"/>
        <v>0</v>
      </c>
      <c r="AA115" s="104">
        <f t="shared" si="78"/>
        <v>0</v>
      </c>
      <c r="AB115" s="104">
        <f t="shared" si="78"/>
        <v>0</v>
      </c>
      <c r="AC115" s="104">
        <f t="shared" si="78"/>
        <v>0</v>
      </c>
      <c r="AD115" s="104">
        <f t="shared" si="78"/>
        <v>0</v>
      </c>
      <c r="AE115" s="104">
        <f t="shared" si="78"/>
        <v>0</v>
      </c>
      <c r="AF115" s="104">
        <f t="shared" si="78"/>
        <v>0</v>
      </c>
      <c r="AG115" s="201">
        <v>0</v>
      </c>
      <c r="AI115" s="128"/>
      <c r="AJ115" s="198" t="s">
        <v>645</v>
      </c>
      <c r="AM115" s="117"/>
      <c r="AN115" s="117"/>
    </row>
    <row r="116" spans="1:63" ht="14.5" customHeight="1" outlineLevel="1">
      <c r="A116" t="s">
        <v>450</v>
      </c>
      <c r="B116" s="165" t="s">
        <v>126</v>
      </c>
      <c r="C116" s="104">
        <v>0</v>
      </c>
      <c r="D116" s="104">
        <f t="shared" ref="D116:AF116" si="79">1-D115</f>
        <v>1</v>
      </c>
      <c r="E116" s="104">
        <f t="shared" si="79"/>
        <v>1</v>
      </c>
      <c r="F116" s="104">
        <f t="shared" si="79"/>
        <v>1</v>
      </c>
      <c r="G116" s="104">
        <f t="shared" si="79"/>
        <v>1</v>
      </c>
      <c r="H116" s="104">
        <f t="shared" si="79"/>
        <v>1</v>
      </c>
      <c r="I116" s="104">
        <f t="shared" si="79"/>
        <v>1</v>
      </c>
      <c r="J116" s="104">
        <f t="shared" si="79"/>
        <v>1</v>
      </c>
      <c r="K116" s="104">
        <f t="shared" si="79"/>
        <v>1</v>
      </c>
      <c r="L116" s="104">
        <f t="shared" si="79"/>
        <v>1</v>
      </c>
      <c r="M116" s="104">
        <v>0</v>
      </c>
      <c r="N116" s="104">
        <f t="shared" si="79"/>
        <v>1</v>
      </c>
      <c r="O116" s="104">
        <f t="shared" si="79"/>
        <v>1</v>
      </c>
      <c r="P116" s="104">
        <f t="shared" si="79"/>
        <v>1</v>
      </c>
      <c r="Q116" s="104">
        <f t="shared" si="79"/>
        <v>1</v>
      </c>
      <c r="R116" s="104">
        <f t="shared" si="79"/>
        <v>1</v>
      </c>
      <c r="S116" s="104">
        <f t="shared" si="79"/>
        <v>1</v>
      </c>
      <c r="T116" s="104">
        <f t="shared" si="79"/>
        <v>1</v>
      </c>
      <c r="U116" s="104">
        <f t="shared" si="79"/>
        <v>1</v>
      </c>
      <c r="V116" s="104">
        <f t="shared" si="79"/>
        <v>1</v>
      </c>
      <c r="W116" s="104">
        <v>0</v>
      </c>
      <c r="X116" s="104">
        <f t="shared" si="79"/>
        <v>1</v>
      </c>
      <c r="Y116" s="104">
        <f t="shared" si="79"/>
        <v>1</v>
      </c>
      <c r="Z116" s="104">
        <f t="shared" si="79"/>
        <v>1</v>
      </c>
      <c r="AA116" s="104">
        <f t="shared" si="79"/>
        <v>1</v>
      </c>
      <c r="AB116" s="104">
        <f t="shared" si="79"/>
        <v>1</v>
      </c>
      <c r="AC116" s="104">
        <f t="shared" si="79"/>
        <v>1</v>
      </c>
      <c r="AD116" s="104">
        <f t="shared" si="79"/>
        <v>1</v>
      </c>
      <c r="AE116" s="104">
        <f t="shared" si="79"/>
        <v>1</v>
      </c>
      <c r="AF116" s="104">
        <f t="shared" si="79"/>
        <v>1</v>
      </c>
      <c r="AG116" s="104">
        <v>0</v>
      </c>
      <c r="AI116" s="128" t="s">
        <v>285</v>
      </c>
      <c r="AJ116" s="198"/>
    </row>
    <row r="117" spans="1:63" outlineLevel="1">
      <c r="A117" t="s">
        <v>451</v>
      </c>
      <c r="B117" s="51" t="s">
        <v>126</v>
      </c>
      <c r="C117" s="104">
        <f>C114*C115</f>
        <v>0</v>
      </c>
      <c r="D117" s="104">
        <f t="shared" ref="D117:AG117" si="80">D114*D115</f>
        <v>0</v>
      </c>
      <c r="E117" s="104">
        <f t="shared" si="80"/>
        <v>0</v>
      </c>
      <c r="F117" s="104">
        <f t="shared" si="80"/>
        <v>0</v>
      </c>
      <c r="G117" s="104">
        <f t="shared" si="80"/>
        <v>0</v>
      </c>
      <c r="H117" s="104">
        <f t="shared" si="80"/>
        <v>0</v>
      </c>
      <c r="I117" s="104">
        <f t="shared" si="80"/>
        <v>0</v>
      </c>
      <c r="J117" s="104">
        <f t="shared" si="80"/>
        <v>0</v>
      </c>
      <c r="K117" s="104">
        <f t="shared" si="80"/>
        <v>0</v>
      </c>
      <c r="L117" s="104">
        <f t="shared" si="80"/>
        <v>0</v>
      </c>
      <c r="M117" s="104">
        <f t="shared" si="80"/>
        <v>0</v>
      </c>
      <c r="N117" s="104">
        <f t="shared" si="80"/>
        <v>0</v>
      </c>
      <c r="O117" s="104">
        <f t="shared" si="80"/>
        <v>0</v>
      </c>
      <c r="P117" s="104">
        <f t="shared" si="80"/>
        <v>0</v>
      </c>
      <c r="Q117" s="104">
        <f t="shared" si="80"/>
        <v>0</v>
      </c>
      <c r="R117" s="104">
        <f t="shared" si="80"/>
        <v>0</v>
      </c>
      <c r="S117" s="104">
        <f t="shared" si="80"/>
        <v>0</v>
      </c>
      <c r="T117" s="104">
        <f t="shared" si="80"/>
        <v>0</v>
      </c>
      <c r="U117" s="104">
        <f t="shared" si="80"/>
        <v>0</v>
      </c>
      <c r="V117" s="104">
        <f t="shared" si="80"/>
        <v>0</v>
      </c>
      <c r="W117" s="104">
        <f t="shared" si="80"/>
        <v>0</v>
      </c>
      <c r="X117" s="104">
        <f t="shared" si="80"/>
        <v>0</v>
      </c>
      <c r="Y117" s="104">
        <f t="shared" si="80"/>
        <v>0</v>
      </c>
      <c r="Z117" s="104">
        <f t="shared" si="80"/>
        <v>0</v>
      </c>
      <c r="AA117" s="104">
        <f t="shared" si="80"/>
        <v>0</v>
      </c>
      <c r="AB117" s="104">
        <f t="shared" si="80"/>
        <v>0</v>
      </c>
      <c r="AC117" s="104">
        <f t="shared" si="80"/>
        <v>0</v>
      </c>
      <c r="AD117" s="104">
        <f t="shared" si="80"/>
        <v>0</v>
      </c>
      <c r="AE117" s="104">
        <f t="shared" si="80"/>
        <v>0</v>
      </c>
      <c r="AF117" s="104">
        <f t="shared" si="80"/>
        <v>0</v>
      </c>
      <c r="AG117" s="104">
        <f t="shared" si="80"/>
        <v>0</v>
      </c>
      <c r="AI117" s="127"/>
      <c r="AJ117" s="198"/>
      <c r="BD117" s="190"/>
      <c r="BE117" s="190"/>
    </row>
    <row r="118" spans="1:63" outlineLevel="1">
      <c r="A118" t="s">
        <v>452</v>
      </c>
      <c r="B118" s="51" t="s">
        <v>126</v>
      </c>
      <c r="C118" s="104">
        <f>C114*C116</f>
        <v>0</v>
      </c>
      <c r="D118" s="104">
        <f t="shared" ref="D118:AG118" si="81">D114*D116</f>
        <v>0</v>
      </c>
      <c r="E118" s="104">
        <f t="shared" si="81"/>
        <v>0</v>
      </c>
      <c r="F118" s="104">
        <f t="shared" si="81"/>
        <v>0</v>
      </c>
      <c r="G118" s="104">
        <f t="shared" si="81"/>
        <v>0</v>
      </c>
      <c r="H118" s="104">
        <f t="shared" si="81"/>
        <v>0</v>
      </c>
      <c r="I118" s="104">
        <f t="shared" si="81"/>
        <v>0</v>
      </c>
      <c r="J118" s="104">
        <f t="shared" si="81"/>
        <v>0</v>
      </c>
      <c r="K118" s="104">
        <f t="shared" si="81"/>
        <v>0</v>
      </c>
      <c r="L118" s="104">
        <f t="shared" si="81"/>
        <v>0</v>
      </c>
      <c r="M118" s="104">
        <f t="shared" si="81"/>
        <v>0</v>
      </c>
      <c r="N118" s="104">
        <f t="shared" si="81"/>
        <v>0</v>
      </c>
      <c r="O118" s="104">
        <f t="shared" si="81"/>
        <v>0</v>
      </c>
      <c r="P118" s="104">
        <f t="shared" si="81"/>
        <v>0</v>
      </c>
      <c r="Q118" s="104">
        <f t="shared" si="81"/>
        <v>0</v>
      </c>
      <c r="R118" s="104">
        <f t="shared" si="81"/>
        <v>0</v>
      </c>
      <c r="S118" s="104">
        <f t="shared" si="81"/>
        <v>0</v>
      </c>
      <c r="T118" s="104">
        <f t="shared" si="81"/>
        <v>0</v>
      </c>
      <c r="U118" s="104">
        <f t="shared" si="81"/>
        <v>0</v>
      </c>
      <c r="V118" s="104">
        <f t="shared" si="81"/>
        <v>0</v>
      </c>
      <c r="W118" s="104">
        <f t="shared" si="81"/>
        <v>0</v>
      </c>
      <c r="X118" s="104">
        <f t="shared" si="81"/>
        <v>0</v>
      </c>
      <c r="Y118" s="104">
        <f t="shared" si="81"/>
        <v>0</v>
      </c>
      <c r="Z118" s="104">
        <f t="shared" si="81"/>
        <v>0</v>
      </c>
      <c r="AA118" s="104">
        <f t="shared" si="81"/>
        <v>0</v>
      </c>
      <c r="AB118" s="104">
        <f t="shared" si="81"/>
        <v>0</v>
      </c>
      <c r="AC118" s="104">
        <f t="shared" si="81"/>
        <v>0</v>
      </c>
      <c r="AD118" s="104">
        <f t="shared" si="81"/>
        <v>0</v>
      </c>
      <c r="AE118" s="104">
        <f t="shared" si="81"/>
        <v>0</v>
      </c>
      <c r="AF118" s="104">
        <f t="shared" si="81"/>
        <v>0</v>
      </c>
      <c r="AG118" s="104">
        <f t="shared" si="81"/>
        <v>0</v>
      </c>
      <c r="AI118" s="127"/>
      <c r="AJ118" s="198"/>
      <c r="BD118" s="190"/>
      <c r="BE118" s="190"/>
    </row>
    <row r="119" spans="1:63" outlineLevel="1">
      <c r="C119" s="104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J119" s="198"/>
    </row>
    <row r="120" spans="1:63" outlineLevel="1">
      <c r="A120" t="s">
        <v>437</v>
      </c>
      <c r="B120" s="51" t="s">
        <v>126</v>
      </c>
      <c r="C120" s="201">
        <v>0.5</v>
      </c>
      <c r="D120" s="104">
        <f>C120</f>
        <v>0.5</v>
      </c>
      <c r="E120" s="104">
        <f t="shared" ref="E120:AG120" si="82">D120</f>
        <v>0.5</v>
      </c>
      <c r="F120" s="104">
        <f t="shared" si="82"/>
        <v>0.5</v>
      </c>
      <c r="G120" s="104">
        <f t="shared" si="82"/>
        <v>0.5</v>
      </c>
      <c r="H120" s="104">
        <f t="shared" si="82"/>
        <v>0.5</v>
      </c>
      <c r="I120" s="104">
        <f t="shared" si="82"/>
        <v>0.5</v>
      </c>
      <c r="J120" s="104">
        <f t="shared" si="82"/>
        <v>0.5</v>
      </c>
      <c r="K120" s="104">
        <f t="shared" si="82"/>
        <v>0.5</v>
      </c>
      <c r="L120" s="104">
        <f t="shared" si="82"/>
        <v>0.5</v>
      </c>
      <c r="M120" s="104">
        <f t="shared" si="82"/>
        <v>0.5</v>
      </c>
      <c r="N120" s="104">
        <f t="shared" si="82"/>
        <v>0.5</v>
      </c>
      <c r="O120" s="104">
        <f t="shared" si="82"/>
        <v>0.5</v>
      </c>
      <c r="P120" s="104">
        <f t="shared" si="82"/>
        <v>0.5</v>
      </c>
      <c r="Q120" s="104">
        <f t="shared" si="82"/>
        <v>0.5</v>
      </c>
      <c r="R120" s="104">
        <f t="shared" si="82"/>
        <v>0.5</v>
      </c>
      <c r="S120" s="104">
        <f t="shared" si="82"/>
        <v>0.5</v>
      </c>
      <c r="T120" s="104">
        <f t="shared" si="82"/>
        <v>0.5</v>
      </c>
      <c r="U120" s="104">
        <f t="shared" si="82"/>
        <v>0.5</v>
      </c>
      <c r="V120" s="104">
        <f t="shared" si="82"/>
        <v>0.5</v>
      </c>
      <c r="W120" s="104">
        <f t="shared" si="82"/>
        <v>0.5</v>
      </c>
      <c r="X120" s="104">
        <f t="shared" si="82"/>
        <v>0.5</v>
      </c>
      <c r="Y120" s="104">
        <f t="shared" si="82"/>
        <v>0.5</v>
      </c>
      <c r="Z120" s="104">
        <f t="shared" si="82"/>
        <v>0.5</v>
      </c>
      <c r="AA120" s="104">
        <f t="shared" si="82"/>
        <v>0.5</v>
      </c>
      <c r="AB120" s="104">
        <f t="shared" si="82"/>
        <v>0.5</v>
      </c>
      <c r="AC120" s="104">
        <f t="shared" si="82"/>
        <v>0.5</v>
      </c>
      <c r="AD120" s="104">
        <f t="shared" si="82"/>
        <v>0.5</v>
      </c>
      <c r="AE120" s="104">
        <f t="shared" si="82"/>
        <v>0.5</v>
      </c>
      <c r="AF120" s="104">
        <f t="shared" si="82"/>
        <v>0.5</v>
      </c>
      <c r="AG120" s="104">
        <f t="shared" si="82"/>
        <v>0.5</v>
      </c>
      <c r="AI120" s="51"/>
      <c r="AJ120" s="198" t="s">
        <v>460</v>
      </c>
    </row>
    <row r="121" spans="1:63" outlineLevel="1">
      <c r="A121" t="s">
        <v>445</v>
      </c>
      <c r="B121" s="51" t="s">
        <v>126</v>
      </c>
      <c r="C121" s="115">
        <f>1-C120</f>
        <v>0.5</v>
      </c>
      <c r="D121" s="104">
        <f t="shared" ref="D121:AG121" si="83">C121</f>
        <v>0.5</v>
      </c>
      <c r="E121" s="104">
        <f t="shared" si="83"/>
        <v>0.5</v>
      </c>
      <c r="F121" s="104">
        <f t="shared" si="83"/>
        <v>0.5</v>
      </c>
      <c r="G121" s="104">
        <f t="shared" si="83"/>
        <v>0.5</v>
      </c>
      <c r="H121" s="104">
        <f t="shared" si="83"/>
        <v>0.5</v>
      </c>
      <c r="I121" s="104">
        <f t="shared" si="83"/>
        <v>0.5</v>
      </c>
      <c r="J121" s="104">
        <f t="shared" si="83"/>
        <v>0.5</v>
      </c>
      <c r="K121" s="104">
        <f t="shared" si="83"/>
        <v>0.5</v>
      </c>
      <c r="L121" s="104">
        <f t="shared" si="83"/>
        <v>0.5</v>
      </c>
      <c r="M121" s="104">
        <f t="shared" si="83"/>
        <v>0.5</v>
      </c>
      <c r="N121" s="104">
        <f t="shared" si="83"/>
        <v>0.5</v>
      </c>
      <c r="O121" s="104">
        <f t="shared" si="83"/>
        <v>0.5</v>
      </c>
      <c r="P121" s="104">
        <f t="shared" si="83"/>
        <v>0.5</v>
      </c>
      <c r="Q121" s="104">
        <f t="shared" si="83"/>
        <v>0.5</v>
      </c>
      <c r="R121" s="104">
        <f t="shared" si="83"/>
        <v>0.5</v>
      </c>
      <c r="S121" s="104">
        <f t="shared" si="83"/>
        <v>0.5</v>
      </c>
      <c r="T121" s="104">
        <f t="shared" si="83"/>
        <v>0.5</v>
      </c>
      <c r="U121" s="104">
        <f t="shared" si="83"/>
        <v>0.5</v>
      </c>
      <c r="V121" s="104">
        <f t="shared" si="83"/>
        <v>0.5</v>
      </c>
      <c r="W121" s="104">
        <f t="shared" si="83"/>
        <v>0.5</v>
      </c>
      <c r="X121" s="104">
        <f t="shared" si="83"/>
        <v>0.5</v>
      </c>
      <c r="Y121" s="104">
        <f t="shared" si="83"/>
        <v>0.5</v>
      </c>
      <c r="Z121" s="104">
        <f t="shared" si="83"/>
        <v>0.5</v>
      </c>
      <c r="AA121" s="104">
        <f t="shared" si="83"/>
        <v>0.5</v>
      </c>
      <c r="AB121" s="104">
        <f t="shared" si="83"/>
        <v>0.5</v>
      </c>
      <c r="AC121" s="104">
        <f t="shared" si="83"/>
        <v>0.5</v>
      </c>
      <c r="AD121" s="104">
        <f t="shared" si="83"/>
        <v>0.5</v>
      </c>
      <c r="AE121" s="104">
        <f t="shared" si="83"/>
        <v>0.5</v>
      </c>
      <c r="AF121" s="104">
        <f t="shared" si="83"/>
        <v>0.5</v>
      </c>
      <c r="AG121" s="104">
        <f t="shared" si="83"/>
        <v>0.5</v>
      </c>
      <c r="AJ121" s="209"/>
    </row>
    <row r="122" spans="1:63" outlineLevel="1">
      <c r="A122" t="s">
        <v>433</v>
      </c>
      <c r="B122" s="51" t="s">
        <v>126</v>
      </c>
      <c r="C122" s="104">
        <f t="shared" ref="C122:AG122" si="84">SUM(C120:C121)</f>
        <v>1</v>
      </c>
      <c r="D122" s="104">
        <f t="shared" si="84"/>
        <v>1</v>
      </c>
      <c r="E122" s="104">
        <f t="shared" si="84"/>
        <v>1</v>
      </c>
      <c r="F122" s="104">
        <f t="shared" si="84"/>
        <v>1</v>
      </c>
      <c r="G122" s="104">
        <f t="shared" si="84"/>
        <v>1</v>
      </c>
      <c r="H122" s="104">
        <f t="shared" si="84"/>
        <v>1</v>
      </c>
      <c r="I122" s="104">
        <f t="shared" si="84"/>
        <v>1</v>
      </c>
      <c r="J122" s="104">
        <f t="shared" si="84"/>
        <v>1</v>
      </c>
      <c r="K122" s="104">
        <f t="shared" si="84"/>
        <v>1</v>
      </c>
      <c r="L122" s="104">
        <f t="shared" si="84"/>
        <v>1</v>
      </c>
      <c r="M122" s="104">
        <f t="shared" si="84"/>
        <v>1</v>
      </c>
      <c r="N122" s="104">
        <f t="shared" si="84"/>
        <v>1</v>
      </c>
      <c r="O122" s="104">
        <f t="shared" si="84"/>
        <v>1</v>
      </c>
      <c r="P122" s="104">
        <f t="shared" si="84"/>
        <v>1</v>
      </c>
      <c r="Q122" s="104">
        <f t="shared" si="84"/>
        <v>1</v>
      </c>
      <c r="R122" s="104">
        <f t="shared" si="84"/>
        <v>1</v>
      </c>
      <c r="S122" s="104">
        <f t="shared" si="84"/>
        <v>1</v>
      </c>
      <c r="T122" s="104">
        <f t="shared" si="84"/>
        <v>1</v>
      </c>
      <c r="U122" s="104">
        <f t="shared" si="84"/>
        <v>1</v>
      </c>
      <c r="V122" s="104">
        <f t="shared" si="84"/>
        <v>1</v>
      </c>
      <c r="W122" s="104">
        <f t="shared" si="84"/>
        <v>1</v>
      </c>
      <c r="X122" s="104">
        <f t="shared" si="84"/>
        <v>1</v>
      </c>
      <c r="Y122" s="104">
        <f t="shared" si="84"/>
        <v>1</v>
      </c>
      <c r="Z122" s="104">
        <f t="shared" si="84"/>
        <v>1</v>
      </c>
      <c r="AA122" s="104">
        <f t="shared" si="84"/>
        <v>1</v>
      </c>
      <c r="AB122" s="104">
        <f t="shared" si="84"/>
        <v>1</v>
      </c>
      <c r="AC122" s="104">
        <f t="shared" si="84"/>
        <v>1</v>
      </c>
      <c r="AD122" s="104">
        <f t="shared" si="84"/>
        <v>1</v>
      </c>
      <c r="AE122" s="104">
        <f t="shared" si="84"/>
        <v>1</v>
      </c>
      <c r="AF122" s="104">
        <f t="shared" si="84"/>
        <v>1</v>
      </c>
      <c r="AG122" s="104">
        <f t="shared" si="84"/>
        <v>1</v>
      </c>
      <c r="AH122" s="124"/>
      <c r="AI122" s="51"/>
      <c r="AJ122" s="209"/>
    </row>
    <row r="123" spans="1:63" outlineLevel="1">
      <c r="C123" s="201"/>
      <c r="D123" s="104"/>
      <c r="E123" s="104"/>
      <c r="F123" s="104"/>
      <c r="G123" s="104"/>
      <c r="H123" s="104"/>
      <c r="I123" s="104"/>
      <c r="J123" s="104"/>
      <c r="K123" s="104"/>
      <c r="L123" s="104"/>
      <c r="M123" s="104"/>
      <c r="N123" s="104"/>
      <c r="O123" s="104"/>
      <c r="P123" s="104"/>
      <c r="Q123" s="104"/>
      <c r="R123" s="104"/>
      <c r="S123" s="104"/>
      <c r="T123" s="104"/>
      <c r="U123" s="104"/>
      <c r="V123" s="104"/>
      <c r="W123" s="104"/>
      <c r="X123" s="104"/>
      <c r="Y123" s="104"/>
      <c r="Z123" s="104"/>
      <c r="AA123" s="104"/>
      <c r="AB123" s="104"/>
      <c r="AC123" s="104"/>
      <c r="AD123" s="104"/>
      <c r="AE123" s="104"/>
      <c r="AF123" s="104"/>
      <c r="AG123" s="104"/>
      <c r="AH123" s="124"/>
      <c r="AI123" s="124"/>
      <c r="AJ123" s="209"/>
    </row>
    <row r="124" spans="1:63" outlineLevel="1">
      <c r="A124" t="s">
        <v>455</v>
      </c>
      <c r="B124" s="51" t="s">
        <v>126</v>
      </c>
      <c r="C124" s="104">
        <f>C120*C118</f>
        <v>0</v>
      </c>
      <c r="D124" s="104">
        <f t="shared" ref="D124:AG124" si="85">D120*D118</f>
        <v>0</v>
      </c>
      <c r="E124" s="104">
        <f t="shared" si="85"/>
        <v>0</v>
      </c>
      <c r="F124" s="104">
        <f t="shared" si="85"/>
        <v>0</v>
      </c>
      <c r="G124" s="104">
        <f t="shared" si="85"/>
        <v>0</v>
      </c>
      <c r="H124" s="104">
        <f t="shared" si="85"/>
        <v>0</v>
      </c>
      <c r="I124" s="104">
        <f t="shared" si="85"/>
        <v>0</v>
      </c>
      <c r="J124" s="104">
        <f t="shared" si="85"/>
        <v>0</v>
      </c>
      <c r="K124" s="104">
        <f t="shared" si="85"/>
        <v>0</v>
      </c>
      <c r="L124" s="104">
        <f t="shared" si="85"/>
        <v>0</v>
      </c>
      <c r="M124" s="104">
        <f t="shared" si="85"/>
        <v>0</v>
      </c>
      <c r="N124" s="104">
        <f t="shared" si="85"/>
        <v>0</v>
      </c>
      <c r="O124" s="104">
        <f t="shared" si="85"/>
        <v>0</v>
      </c>
      <c r="P124" s="104">
        <f t="shared" si="85"/>
        <v>0</v>
      </c>
      <c r="Q124" s="104">
        <f t="shared" si="85"/>
        <v>0</v>
      </c>
      <c r="R124" s="104">
        <f t="shared" si="85"/>
        <v>0</v>
      </c>
      <c r="S124" s="104">
        <f t="shared" si="85"/>
        <v>0</v>
      </c>
      <c r="T124" s="104">
        <f t="shared" si="85"/>
        <v>0</v>
      </c>
      <c r="U124" s="104">
        <f t="shared" si="85"/>
        <v>0</v>
      </c>
      <c r="V124" s="104">
        <f t="shared" si="85"/>
        <v>0</v>
      </c>
      <c r="W124" s="104">
        <f t="shared" si="85"/>
        <v>0</v>
      </c>
      <c r="X124" s="104">
        <f t="shared" si="85"/>
        <v>0</v>
      </c>
      <c r="Y124" s="104">
        <f t="shared" si="85"/>
        <v>0</v>
      </c>
      <c r="Z124" s="104">
        <f t="shared" si="85"/>
        <v>0</v>
      </c>
      <c r="AA124" s="104">
        <f t="shared" si="85"/>
        <v>0</v>
      </c>
      <c r="AB124" s="104">
        <f t="shared" si="85"/>
        <v>0</v>
      </c>
      <c r="AC124" s="104">
        <f t="shared" si="85"/>
        <v>0</v>
      </c>
      <c r="AD124" s="104">
        <f t="shared" si="85"/>
        <v>0</v>
      </c>
      <c r="AE124" s="104">
        <f t="shared" si="85"/>
        <v>0</v>
      </c>
      <c r="AF124" s="104">
        <f t="shared" si="85"/>
        <v>0</v>
      </c>
      <c r="AG124" s="104">
        <f t="shared" si="85"/>
        <v>0</v>
      </c>
      <c r="AH124" s="124"/>
      <c r="AI124" s="124"/>
      <c r="AJ124" s="198"/>
    </row>
    <row r="125" spans="1:63" outlineLevel="1">
      <c r="A125" t="s">
        <v>531</v>
      </c>
      <c r="B125" s="51" t="s">
        <v>126</v>
      </c>
      <c r="C125" s="104">
        <f>C118*C121</f>
        <v>0</v>
      </c>
      <c r="D125" s="104">
        <f t="shared" ref="D125:AG125" si="86">D118*D121</f>
        <v>0</v>
      </c>
      <c r="E125" s="104">
        <f t="shared" si="86"/>
        <v>0</v>
      </c>
      <c r="F125" s="104">
        <f t="shared" si="86"/>
        <v>0</v>
      </c>
      <c r="G125" s="104">
        <f t="shared" si="86"/>
        <v>0</v>
      </c>
      <c r="H125" s="104">
        <f t="shared" si="86"/>
        <v>0</v>
      </c>
      <c r="I125" s="104">
        <f t="shared" si="86"/>
        <v>0</v>
      </c>
      <c r="J125" s="104">
        <f t="shared" si="86"/>
        <v>0</v>
      </c>
      <c r="K125" s="104">
        <f t="shared" si="86"/>
        <v>0</v>
      </c>
      <c r="L125" s="104">
        <f t="shared" si="86"/>
        <v>0</v>
      </c>
      <c r="M125" s="104">
        <f t="shared" si="86"/>
        <v>0</v>
      </c>
      <c r="N125" s="104">
        <f t="shared" si="86"/>
        <v>0</v>
      </c>
      <c r="O125" s="104">
        <f t="shared" si="86"/>
        <v>0</v>
      </c>
      <c r="P125" s="104">
        <f t="shared" si="86"/>
        <v>0</v>
      </c>
      <c r="Q125" s="104">
        <f t="shared" si="86"/>
        <v>0</v>
      </c>
      <c r="R125" s="104">
        <f t="shared" si="86"/>
        <v>0</v>
      </c>
      <c r="S125" s="104">
        <f t="shared" si="86"/>
        <v>0</v>
      </c>
      <c r="T125" s="104">
        <f t="shared" si="86"/>
        <v>0</v>
      </c>
      <c r="U125" s="104">
        <f t="shared" si="86"/>
        <v>0</v>
      </c>
      <c r="V125" s="104">
        <f t="shared" si="86"/>
        <v>0</v>
      </c>
      <c r="W125" s="104">
        <f t="shared" si="86"/>
        <v>0</v>
      </c>
      <c r="X125" s="104">
        <f t="shared" si="86"/>
        <v>0</v>
      </c>
      <c r="Y125" s="104">
        <f t="shared" si="86"/>
        <v>0</v>
      </c>
      <c r="Z125" s="104">
        <f t="shared" si="86"/>
        <v>0</v>
      </c>
      <c r="AA125" s="104">
        <f t="shared" si="86"/>
        <v>0</v>
      </c>
      <c r="AB125" s="104">
        <f t="shared" si="86"/>
        <v>0</v>
      </c>
      <c r="AC125" s="104">
        <f t="shared" si="86"/>
        <v>0</v>
      </c>
      <c r="AD125" s="104">
        <f t="shared" si="86"/>
        <v>0</v>
      </c>
      <c r="AE125" s="104">
        <f t="shared" si="86"/>
        <v>0</v>
      </c>
      <c r="AF125" s="104">
        <f t="shared" si="86"/>
        <v>0</v>
      </c>
      <c r="AG125" s="104">
        <f t="shared" si="86"/>
        <v>0</v>
      </c>
      <c r="AJ125" s="198"/>
    </row>
    <row r="126" spans="1:63" outlineLevel="1">
      <c r="C126" s="104"/>
      <c r="D126" s="104"/>
      <c r="E126" s="104"/>
      <c r="F126" s="104"/>
      <c r="G126" s="104"/>
      <c r="H126" s="104"/>
      <c r="I126" s="104"/>
      <c r="J126" s="104"/>
      <c r="K126" s="104"/>
      <c r="L126" s="104"/>
      <c r="M126" s="104"/>
      <c r="N126" s="104"/>
      <c r="O126" s="104"/>
      <c r="P126" s="104"/>
      <c r="Q126" s="104"/>
      <c r="R126" s="104"/>
      <c r="S126" s="104"/>
      <c r="T126" s="104"/>
      <c r="U126" s="104"/>
      <c r="V126" s="104"/>
      <c r="W126" s="104"/>
      <c r="X126" s="104"/>
      <c r="Y126" s="104"/>
      <c r="Z126" s="104"/>
      <c r="AA126" s="104"/>
      <c r="AB126" s="104"/>
      <c r="AC126" s="104"/>
      <c r="AD126" s="104"/>
      <c r="AE126" s="104"/>
      <c r="AF126" s="104"/>
      <c r="AG126" s="104"/>
      <c r="AJ126" s="198"/>
    </row>
    <row r="127" spans="1:63" outlineLevel="1">
      <c r="A127" t="s">
        <v>1484</v>
      </c>
      <c r="C127" s="216">
        <f>('Overall recycling rates'!F87*'Yearly BTX'!D5+'Overall recycling rates'!G87*'Yearly BTX'!D6+'Overall recycling rates'!H87*'Yearly BTX'!D7)/'Yearly BTX'!D4</f>
        <v>1</v>
      </c>
      <c r="D127" s="216">
        <f>C127-($C127-$AG127)/($AG$1-$C$1)</f>
        <v>1</v>
      </c>
      <c r="E127" s="216">
        <f t="shared" ref="E127:AF127" si="87">D127-($C127-$AG127)/($AG$1-$C$1)</f>
        <v>1</v>
      </c>
      <c r="F127" s="216">
        <f t="shared" si="87"/>
        <v>1</v>
      </c>
      <c r="G127" s="216">
        <f t="shared" si="87"/>
        <v>1</v>
      </c>
      <c r="H127" s="216">
        <f t="shared" si="87"/>
        <v>1</v>
      </c>
      <c r="I127" s="216">
        <f t="shared" si="87"/>
        <v>1</v>
      </c>
      <c r="J127" s="216">
        <f t="shared" si="87"/>
        <v>1</v>
      </c>
      <c r="K127" s="216">
        <f t="shared" si="87"/>
        <v>1</v>
      </c>
      <c r="L127" s="216">
        <f t="shared" si="87"/>
        <v>1</v>
      </c>
      <c r="M127" s="216">
        <f t="shared" si="87"/>
        <v>1</v>
      </c>
      <c r="N127" s="216">
        <f t="shared" si="87"/>
        <v>1</v>
      </c>
      <c r="O127" s="216">
        <f t="shared" si="87"/>
        <v>1</v>
      </c>
      <c r="P127" s="216">
        <f t="shared" si="87"/>
        <v>1</v>
      </c>
      <c r="Q127" s="216">
        <f t="shared" si="87"/>
        <v>1</v>
      </c>
      <c r="R127" s="216">
        <f t="shared" si="87"/>
        <v>1</v>
      </c>
      <c r="S127" s="216">
        <f t="shared" si="87"/>
        <v>1</v>
      </c>
      <c r="T127" s="216">
        <f t="shared" si="87"/>
        <v>1</v>
      </c>
      <c r="U127" s="216">
        <f t="shared" si="87"/>
        <v>1</v>
      </c>
      <c r="V127" s="216">
        <f t="shared" si="87"/>
        <v>1</v>
      </c>
      <c r="W127" s="216">
        <f t="shared" si="87"/>
        <v>1</v>
      </c>
      <c r="X127" s="216">
        <f t="shared" si="87"/>
        <v>1</v>
      </c>
      <c r="Y127" s="216">
        <f t="shared" si="87"/>
        <v>1</v>
      </c>
      <c r="Z127" s="216">
        <f t="shared" si="87"/>
        <v>1</v>
      </c>
      <c r="AA127" s="216">
        <f t="shared" si="87"/>
        <v>1</v>
      </c>
      <c r="AB127" s="216">
        <f t="shared" si="87"/>
        <v>1</v>
      </c>
      <c r="AC127" s="216">
        <f t="shared" si="87"/>
        <v>1</v>
      </c>
      <c r="AD127" s="216">
        <f t="shared" si="87"/>
        <v>1</v>
      </c>
      <c r="AE127" s="216">
        <f t="shared" si="87"/>
        <v>1</v>
      </c>
      <c r="AF127" s="216">
        <f t="shared" si="87"/>
        <v>1</v>
      </c>
      <c r="AG127" s="216">
        <f>'Overall recycling rates'!F96</f>
        <v>1</v>
      </c>
      <c r="AI127" s="126"/>
      <c r="AJ127" s="198" t="s">
        <v>1081</v>
      </c>
      <c r="AL127" s="102"/>
      <c r="AM127" s="194"/>
      <c r="AN127" s="194"/>
      <c r="AO127" s="194"/>
      <c r="BC127" s="1"/>
      <c r="BD127" s="194"/>
      <c r="BE127" s="194"/>
      <c r="BF127" s="194"/>
      <c r="BG127" s="194"/>
      <c r="BH127" s="194"/>
      <c r="BI127" s="194"/>
      <c r="BJ127" s="194"/>
      <c r="BK127" s="194"/>
    </row>
    <row r="128" spans="1:63" outlineLevel="1">
      <c r="A128" t="s">
        <v>1492</v>
      </c>
      <c r="B128" s="51" t="s">
        <v>126</v>
      </c>
      <c r="C128" s="104">
        <f>C117*C$127</f>
        <v>0</v>
      </c>
      <c r="D128" s="104">
        <f>D117*D$96</f>
        <v>0</v>
      </c>
      <c r="E128" s="104">
        <f t="shared" ref="E128:AG128" si="88">E117*E$96</f>
        <v>0</v>
      </c>
      <c r="F128" s="104">
        <f t="shared" si="88"/>
        <v>0</v>
      </c>
      <c r="G128" s="104">
        <f t="shared" si="88"/>
        <v>0</v>
      </c>
      <c r="H128" s="104">
        <f t="shared" si="88"/>
        <v>0</v>
      </c>
      <c r="I128" s="104">
        <f t="shared" si="88"/>
        <v>0</v>
      </c>
      <c r="J128" s="104">
        <f t="shared" si="88"/>
        <v>0</v>
      </c>
      <c r="K128" s="104">
        <f t="shared" si="88"/>
        <v>0</v>
      </c>
      <c r="L128" s="104">
        <f t="shared" si="88"/>
        <v>0</v>
      </c>
      <c r="M128" s="104">
        <f t="shared" si="88"/>
        <v>0</v>
      </c>
      <c r="N128" s="104">
        <f t="shared" si="88"/>
        <v>0</v>
      </c>
      <c r="O128" s="104">
        <f t="shared" si="88"/>
        <v>0</v>
      </c>
      <c r="P128" s="104">
        <f t="shared" si="88"/>
        <v>0</v>
      </c>
      <c r="Q128" s="104">
        <f t="shared" si="88"/>
        <v>0</v>
      </c>
      <c r="R128" s="104">
        <f t="shared" si="88"/>
        <v>0</v>
      </c>
      <c r="S128" s="104">
        <f t="shared" si="88"/>
        <v>0</v>
      </c>
      <c r="T128" s="104">
        <f t="shared" si="88"/>
        <v>0</v>
      </c>
      <c r="U128" s="104">
        <f t="shared" si="88"/>
        <v>0</v>
      </c>
      <c r="V128" s="104">
        <f t="shared" si="88"/>
        <v>0</v>
      </c>
      <c r="W128" s="104">
        <f t="shared" si="88"/>
        <v>0</v>
      </c>
      <c r="X128" s="104">
        <f t="shared" si="88"/>
        <v>0</v>
      </c>
      <c r="Y128" s="104">
        <f t="shared" si="88"/>
        <v>0</v>
      </c>
      <c r="Z128" s="104">
        <f t="shared" si="88"/>
        <v>0</v>
      </c>
      <c r="AA128" s="104">
        <f t="shared" si="88"/>
        <v>0</v>
      </c>
      <c r="AB128" s="104">
        <f t="shared" si="88"/>
        <v>0</v>
      </c>
      <c r="AC128" s="104">
        <f t="shared" si="88"/>
        <v>0</v>
      </c>
      <c r="AD128" s="104">
        <f t="shared" si="88"/>
        <v>0</v>
      </c>
      <c r="AE128" s="104">
        <f t="shared" si="88"/>
        <v>0</v>
      </c>
      <c r="AF128" s="104">
        <f t="shared" si="88"/>
        <v>0</v>
      </c>
      <c r="AG128" s="104">
        <f t="shared" si="88"/>
        <v>0</v>
      </c>
      <c r="AI128" s="126"/>
      <c r="AJ128"/>
      <c r="AL128" s="102"/>
      <c r="AM128" s="2"/>
      <c r="AN128" s="2"/>
      <c r="AO128" s="2"/>
      <c r="AV128" s="38"/>
    </row>
    <row r="129" spans="1:63" outlineLevel="1">
      <c r="A129" t="s">
        <v>1493</v>
      </c>
      <c r="B129" s="51" t="s">
        <v>126</v>
      </c>
      <c r="C129" s="104">
        <f>C118*C$127</f>
        <v>0</v>
      </c>
      <c r="D129" s="104">
        <f t="shared" ref="D129:AG129" si="89">D115*D$96</f>
        <v>0</v>
      </c>
      <c r="E129" s="104">
        <f t="shared" si="89"/>
        <v>0</v>
      </c>
      <c r="F129" s="104">
        <f t="shared" si="89"/>
        <v>0</v>
      </c>
      <c r="G129" s="104">
        <f t="shared" si="89"/>
        <v>0</v>
      </c>
      <c r="H129" s="104">
        <f t="shared" si="89"/>
        <v>0</v>
      </c>
      <c r="I129" s="104">
        <f t="shared" si="89"/>
        <v>0</v>
      </c>
      <c r="J129" s="104">
        <f t="shared" si="89"/>
        <v>0</v>
      </c>
      <c r="K129" s="104">
        <f t="shared" si="89"/>
        <v>0</v>
      </c>
      <c r="L129" s="104">
        <f t="shared" si="89"/>
        <v>0</v>
      </c>
      <c r="M129" s="104">
        <f t="shared" si="89"/>
        <v>0</v>
      </c>
      <c r="N129" s="104">
        <f t="shared" si="89"/>
        <v>0</v>
      </c>
      <c r="O129" s="104">
        <f t="shared" si="89"/>
        <v>0</v>
      </c>
      <c r="P129" s="104">
        <f t="shared" si="89"/>
        <v>0</v>
      </c>
      <c r="Q129" s="104">
        <f t="shared" si="89"/>
        <v>0</v>
      </c>
      <c r="R129" s="104">
        <f t="shared" si="89"/>
        <v>0</v>
      </c>
      <c r="S129" s="104">
        <f t="shared" si="89"/>
        <v>0</v>
      </c>
      <c r="T129" s="104">
        <f t="shared" si="89"/>
        <v>0</v>
      </c>
      <c r="U129" s="104">
        <f t="shared" si="89"/>
        <v>0</v>
      </c>
      <c r="V129" s="104">
        <f t="shared" si="89"/>
        <v>0</v>
      </c>
      <c r="W129" s="104">
        <f t="shared" si="89"/>
        <v>0</v>
      </c>
      <c r="X129" s="104">
        <f t="shared" si="89"/>
        <v>0</v>
      </c>
      <c r="Y129" s="104">
        <f t="shared" si="89"/>
        <v>0</v>
      </c>
      <c r="Z129" s="104">
        <f t="shared" si="89"/>
        <v>0</v>
      </c>
      <c r="AA129" s="104">
        <f t="shared" si="89"/>
        <v>0</v>
      </c>
      <c r="AB129" s="104">
        <f t="shared" si="89"/>
        <v>0</v>
      </c>
      <c r="AC129" s="104">
        <f t="shared" si="89"/>
        <v>0</v>
      </c>
      <c r="AD129" s="104">
        <f t="shared" si="89"/>
        <v>0</v>
      </c>
      <c r="AE129" s="104">
        <f t="shared" si="89"/>
        <v>0</v>
      </c>
      <c r="AF129" s="104">
        <f t="shared" si="89"/>
        <v>0</v>
      </c>
      <c r="AG129" s="104">
        <f t="shared" si="89"/>
        <v>0</v>
      </c>
      <c r="AH129" s="230"/>
      <c r="AI129" s="126"/>
      <c r="AJ129" s="198"/>
      <c r="AL129" s="102"/>
      <c r="AM129" s="2"/>
      <c r="AN129" s="2"/>
      <c r="AO129" s="2"/>
      <c r="AV129" s="38"/>
    </row>
    <row r="130" spans="1:63" outlineLevel="1">
      <c r="A130" t="s">
        <v>1494</v>
      </c>
      <c r="B130" s="165" t="s">
        <v>126</v>
      </c>
      <c r="C130" s="104">
        <f>SUM(C128:C129)</f>
        <v>0</v>
      </c>
      <c r="D130" s="104">
        <f t="shared" ref="D130:AG130" si="90">SUM(D128:D129)</f>
        <v>0</v>
      </c>
      <c r="E130" s="104">
        <f t="shared" si="90"/>
        <v>0</v>
      </c>
      <c r="F130" s="104">
        <f t="shared" si="90"/>
        <v>0</v>
      </c>
      <c r="G130" s="104">
        <f t="shared" si="90"/>
        <v>0</v>
      </c>
      <c r="H130" s="104">
        <f t="shared" si="90"/>
        <v>0</v>
      </c>
      <c r="I130" s="104">
        <f t="shared" si="90"/>
        <v>0</v>
      </c>
      <c r="J130" s="104">
        <f t="shared" si="90"/>
        <v>0</v>
      </c>
      <c r="K130" s="104">
        <f t="shared" si="90"/>
        <v>0</v>
      </c>
      <c r="L130" s="104">
        <f t="shared" si="90"/>
        <v>0</v>
      </c>
      <c r="M130" s="104">
        <f t="shared" si="90"/>
        <v>0</v>
      </c>
      <c r="N130" s="104">
        <f t="shared" si="90"/>
        <v>0</v>
      </c>
      <c r="O130" s="104">
        <f t="shared" si="90"/>
        <v>0</v>
      </c>
      <c r="P130" s="104">
        <f t="shared" si="90"/>
        <v>0</v>
      </c>
      <c r="Q130" s="104">
        <f t="shared" si="90"/>
        <v>0</v>
      </c>
      <c r="R130" s="104">
        <f t="shared" si="90"/>
        <v>0</v>
      </c>
      <c r="S130" s="104">
        <f t="shared" si="90"/>
        <v>0</v>
      </c>
      <c r="T130" s="104">
        <f t="shared" si="90"/>
        <v>0</v>
      </c>
      <c r="U130" s="104">
        <f t="shared" si="90"/>
        <v>0</v>
      </c>
      <c r="V130" s="104">
        <f t="shared" si="90"/>
        <v>0</v>
      </c>
      <c r="W130" s="104">
        <f t="shared" si="90"/>
        <v>0</v>
      </c>
      <c r="X130" s="104">
        <f t="shared" si="90"/>
        <v>0</v>
      </c>
      <c r="Y130" s="104">
        <f t="shared" si="90"/>
        <v>0</v>
      </c>
      <c r="Z130" s="104">
        <f t="shared" si="90"/>
        <v>0</v>
      </c>
      <c r="AA130" s="104">
        <f t="shared" si="90"/>
        <v>0</v>
      </c>
      <c r="AB130" s="104">
        <f t="shared" si="90"/>
        <v>0</v>
      </c>
      <c r="AC130" s="104">
        <f t="shared" si="90"/>
        <v>0</v>
      </c>
      <c r="AD130" s="104">
        <f t="shared" si="90"/>
        <v>0</v>
      </c>
      <c r="AE130" s="104">
        <f t="shared" si="90"/>
        <v>0</v>
      </c>
      <c r="AF130" s="104">
        <f t="shared" si="90"/>
        <v>0</v>
      </c>
      <c r="AG130" s="104">
        <f t="shared" si="90"/>
        <v>0</v>
      </c>
      <c r="AI130" s="126"/>
      <c r="AJ130" s="198"/>
      <c r="AL130" s="102"/>
      <c r="AM130" s="2"/>
      <c r="AN130" s="2"/>
      <c r="AO130" s="2"/>
    </row>
    <row r="131" spans="1:63" outlineLevel="1">
      <c r="A131" t="s">
        <v>1498</v>
      </c>
      <c r="B131" s="51" t="s">
        <v>126</v>
      </c>
      <c r="C131" s="104">
        <f>C120*C129</f>
        <v>0</v>
      </c>
      <c r="D131" s="104">
        <f t="shared" ref="D131:AG131" si="91">D117*D129</f>
        <v>0</v>
      </c>
      <c r="E131" s="104">
        <f t="shared" si="91"/>
        <v>0</v>
      </c>
      <c r="F131" s="104">
        <f t="shared" si="91"/>
        <v>0</v>
      </c>
      <c r="G131" s="104">
        <f t="shared" si="91"/>
        <v>0</v>
      </c>
      <c r="H131" s="104">
        <f t="shared" si="91"/>
        <v>0</v>
      </c>
      <c r="I131" s="104">
        <f t="shared" si="91"/>
        <v>0</v>
      </c>
      <c r="J131" s="104">
        <f t="shared" si="91"/>
        <v>0</v>
      </c>
      <c r="K131" s="104">
        <f t="shared" si="91"/>
        <v>0</v>
      </c>
      <c r="L131" s="104">
        <f t="shared" si="91"/>
        <v>0</v>
      </c>
      <c r="M131" s="104">
        <f t="shared" si="91"/>
        <v>0</v>
      </c>
      <c r="N131" s="104">
        <f t="shared" si="91"/>
        <v>0</v>
      </c>
      <c r="O131" s="104">
        <f t="shared" si="91"/>
        <v>0</v>
      </c>
      <c r="P131" s="104">
        <f t="shared" si="91"/>
        <v>0</v>
      </c>
      <c r="Q131" s="104">
        <f t="shared" si="91"/>
        <v>0</v>
      </c>
      <c r="R131" s="104">
        <f t="shared" si="91"/>
        <v>0</v>
      </c>
      <c r="S131" s="104">
        <f t="shared" si="91"/>
        <v>0</v>
      </c>
      <c r="T131" s="104">
        <f t="shared" si="91"/>
        <v>0</v>
      </c>
      <c r="U131" s="104">
        <f t="shared" si="91"/>
        <v>0</v>
      </c>
      <c r="V131" s="104">
        <f t="shared" si="91"/>
        <v>0</v>
      </c>
      <c r="W131" s="104">
        <f t="shared" si="91"/>
        <v>0</v>
      </c>
      <c r="X131" s="104">
        <f t="shared" si="91"/>
        <v>0</v>
      </c>
      <c r="Y131" s="104">
        <f t="shared" si="91"/>
        <v>0</v>
      </c>
      <c r="Z131" s="104">
        <f t="shared" si="91"/>
        <v>0</v>
      </c>
      <c r="AA131" s="104">
        <f t="shared" si="91"/>
        <v>0</v>
      </c>
      <c r="AB131" s="104">
        <f t="shared" si="91"/>
        <v>0</v>
      </c>
      <c r="AC131" s="104">
        <f t="shared" si="91"/>
        <v>0</v>
      </c>
      <c r="AD131" s="104">
        <f t="shared" si="91"/>
        <v>0</v>
      </c>
      <c r="AE131" s="104">
        <f t="shared" si="91"/>
        <v>0</v>
      </c>
      <c r="AF131" s="104">
        <f t="shared" si="91"/>
        <v>0</v>
      </c>
      <c r="AG131" s="104">
        <f t="shared" si="91"/>
        <v>0</v>
      </c>
      <c r="AI131" s="126"/>
      <c r="AJ131" s="198"/>
      <c r="BD131" s="190"/>
      <c r="BE131" s="190"/>
    </row>
    <row r="132" spans="1:63" outlineLevel="1">
      <c r="A132" t="s">
        <v>1499</v>
      </c>
      <c r="B132" s="51" t="s">
        <v>126</v>
      </c>
      <c r="C132" s="104">
        <f>C121*C129</f>
        <v>0</v>
      </c>
      <c r="D132" s="104">
        <f t="shared" ref="D132:AG132" si="92">D119*D129</f>
        <v>0</v>
      </c>
      <c r="E132" s="104">
        <f t="shared" si="92"/>
        <v>0</v>
      </c>
      <c r="F132" s="104">
        <f t="shared" si="92"/>
        <v>0</v>
      </c>
      <c r="G132" s="104">
        <f t="shared" si="92"/>
        <v>0</v>
      </c>
      <c r="H132" s="104">
        <f t="shared" si="92"/>
        <v>0</v>
      </c>
      <c r="I132" s="104">
        <f t="shared" si="92"/>
        <v>0</v>
      </c>
      <c r="J132" s="104">
        <f t="shared" si="92"/>
        <v>0</v>
      </c>
      <c r="K132" s="104">
        <f t="shared" si="92"/>
        <v>0</v>
      </c>
      <c r="L132" s="104">
        <f t="shared" si="92"/>
        <v>0</v>
      </c>
      <c r="M132" s="104">
        <f t="shared" si="92"/>
        <v>0</v>
      </c>
      <c r="N132" s="104">
        <f t="shared" si="92"/>
        <v>0</v>
      </c>
      <c r="O132" s="104">
        <f t="shared" si="92"/>
        <v>0</v>
      </c>
      <c r="P132" s="104">
        <f t="shared" si="92"/>
        <v>0</v>
      </c>
      <c r="Q132" s="104">
        <f t="shared" si="92"/>
        <v>0</v>
      </c>
      <c r="R132" s="104">
        <f t="shared" si="92"/>
        <v>0</v>
      </c>
      <c r="S132" s="104">
        <f t="shared" si="92"/>
        <v>0</v>
      </c>
      <c r="T132" s="104">
        <f t="shared" si="92"/>
        <v>0</v>
      </c>
      <c r="U132" s="104">
        <f t="shared" si="92"/>
        <v>0</v>
      </c>
      <c r="V132" s="104">
        <f t="shared" si="92"/>
        <v>0</v>
      </c>
      <c r="W132" s="104">
        <f t="shared" si="92"/>
        <v>0</v>
      </c>
      <c r="X132" s="104">
        <f t="shared" si="92"/>
        <v>0</v>
      </c>
      <c r="Y132" s="104">
        <f t="shared" si="92"/>
        <v>0</v>
      </c>
      <c r="Z132" s="104">
        <f t="shared" si="92"/>
        <v>0</v>
      </c>
      <c r="AA132" s="104">
        <f t="shared" si="92"/>
        <v>0</v>
      </c>
      <c r="AB132" s="104">
        <f t="shared" si="92"/>
        <v>0</v>
      </c>
      <c r="AC132" s="104">
        <f t="shared" si="92"/>
        <v>0</v>
      </c>
      <c r="AD132" s="104">
        <f t="shared" si="92"/>
        <v>0</v>
      </c>
      <c r="AE132" s="104">
        <f t="shared" si="92"/>
        <v>0</v>
      </c>
      <c r="AF132" s="104">
        <f t="shared" si="92"/>
        <v>0</v>
      </c>
      <c r="AG132" s="104">
        <f t="shared" si="92"/>
        <v>0</v>
      </c>
      <c r="AI132" s="127"/>
      <c r="AJ132" s="198"/>
      <c r="BC132" s="1"/>
      <c r="BD132" s="38"/>
      <c r="BF132" s="6"/>
      <c r="BG132" s="6"/>
      <c r="BH132" s="6"/>
      <c r="BI132" s="6"/>
      <c r="BJ132" s="6"/>
    </row>
    <row r="133" spans="1:63" outlineLevel="1">
      <c r="C133" s="104"/>
      <c r="D133" s="104"/>
      <c r="E133" s="104"/>
      <c r="F133" s="104"/>
      <c r="G133" s="104"/>
      <c r="H133" s="104"/>
      <c r="I133" s="104"/>
      <c r="J133" s="104"/>
      <c r="K133" s="104"/>
      <c r="L133" s="104"/>
      <c r="M133" s="104"/>
      <c r="N133" s="104"/>
      <c r="O133" s="104"/>
      <c r="P133" s="104"/>
      <c r="Q133" s="104"/>
      <c r="R133" s="104"/>
      <c r="S133" s="104"/>
      <c r="T133" s="104"/>
      <c r="U133" s="104"/>
      <c r="V133" s="104"/>
      <c r="W133" s="104"/>
      <c r="X133" s="104"/>
      <c r="Y133" s="104"/>
      <c r="Z133" s="104"/>
      <c r="AA133" s="104"/>
      <c r="AB133" s="104"/>
      <c r="AC133" s="104"/>
      <c r="AD133" s="104"/>
      <c r="AE133" s="104"/>
      <c r="AF133" s="104"/>
      <c r="AG133" s="104"/>
      <c r="AI133" s="127"/>
      <c r="AJ133" s="198"/>
      <c r="BC133" s="1"/>
      <c r="BD133" s="38"/>
      <c r="BF133" s="6"/>
      <c r="BG133" s="6"/>
      <c r="BH133" s="6"/>
      <c r="BI133" s="6"/>
      <c r="BJ133" s="6"/>
    </row>
    <row r="134" spans="1:63" s="1" customFormat="1" outlineLevel="1">
      <c r="A134" s="1" t="s">
        <v>261</v>
      </c>
      <c r="B134" s="61"/>
      <c r="C134" s="279">
        <f t="shared" ref="C134:AG134" si="93">C128*C42</f>
        <v>0</v>
      </c>
      <c r="D134" s="279">
        <f t="shared" si="93"/>
        <v>0</v>
      </c>
      <c r="E134" s="279">
        <f t="shared" si="93"/>
        <v>0</v>
      </c>
      <c r="F134" s="279">
        <f t="shared" si="93"/>
        <v>0</v>
      </c>
      <c r="G134" s="279">
        <f t="shared" si="93"/>
        <v>0</v>
      </c>
      <c r="H134" s="279">
        <f t="shared" si="93"/>
        <v>0</v>
      </c>
      <c r="I134" s="279">
        <f t="shared" si="93"/>
        <v>0</v>
      </c>
      <c r="J134" s="279">
        <f t="shared" si="93"/>
        <v>0</v>
      </c>
      <c r="K134" s="279">
        <f t="shared" si="93"/>
        <v>0</v>
      </c>
      <c r="L134" s="279">
        <f t="shared" si="93"/>
        <v>0</v>
      </c>
      <c r="M134" s="279">
        <f t="shared" si="93"/>
        <v>0</v>
      </c>
      <c r="N134" s="279">
        <f t="shared" si="93"/>
        <v>0</v>
      </c>
      <c r="O134" s="279">
        <f t="shared" si="93"/>
        <v>0</v>
      </c>
      <c r="P134" s="279">
        <f t="shared" si="93"/>
        <v>0</v>
      </c>
      <c r="Q134" s="279">
        <f t="shared" si="93"/>
        <v>0</v>
      </c>
      <c r="R134" s="279">
        <f t="shared" si="93"/>
        <v>0</v>
      </c>
      <c r="S134" s="279">
        <f t="shared" si="93"/>
        <v>0</v>
      </c>
      <c r="T134" s="279">
        <f t="shared" si="93"/>
        <v>0</v>
      </c>
      <c r="U134" s="279">
        <f t="shared" si="93"/>
        <v>0</v>
      </c>
      <c r="V134" s="279">
        <f t="shared" si="93"/>
        <v>0</v>
      </c>
      <c r="W134" s="279">
        <f t="shared" si="93"/>
        <v>0</v>
      </c>
      <c r="X134" s="279">
        <f t="shared" si="93"/>
        <v>0</v>
      </c>
      <c r="Y134" s="279">
        <f t="shared" si="93"/>
        <v>0</v>
      </c>
      <c r="Z134" s="279">
        <f t="shared" si="93"/>
        <v>0</v>
      </c>
      <c r="AA134" s="279">
        <f t="shared" si="93"/>
        <v>0</v>
      </c>
      <c r="AB134" s="279">
        <f t="shared" si="93"/>
        <v>0</v>
      </c>
      <c r="AC134" s="279">
        <f t="shared" si="93"/>
        <v>0</v>
      </c>
      <c r="AD134" s="279">
        <f t="shared" si="93"/>
        <v>0</v>
      </c>
      <c r="AE134" s="279">
        <f t="shared" si="93"/>
        <v>0</v>
      </c>
      <c r="AF134" s="279">
        <f t="shared" si="93"/>
        <v>0</v>
      </c>
      <c r="AG134" s="279">
        <f t="shared" si="93"/>
        <v>0</v>
      </c>
      <c r="AH134" s="230"/>
      <c r="AI134" s="398"/>
      <c r="AJ134" s="399"/>
      <c r="AL134" s="207"/>
      <c r="AM134" s="118"/>
      <c r="AN134" s="118"/>
      <c r="AO134" s="118"/>
      <c r="BD134" s="118"/>
      <c r="BE134" s="118"/>
      <c r="BF134" s="118"/>
      <c r="BG134" s="118"/>
      <c r="BH134" s="118"/>
      <c r="BI134" s="118"/>
      <c r="BJ134" s="118"/>
      <c r="BK134" s="118"/>
    </row>
    <row r="135" spans="1:63" s="1" customFormat="1" outlineLevel="1">
      <c r="A135" s="1" t="s">
        <v>1160</v>
      </c>
      <c r="B135" s="61"/>
      <c r="C135" s="279">
        <f t="shared" ref="C135:AG135" si="94">C134-$C134</f>
        <v>0</v>
      </c>
      <c r="D135" s="279">
        <f t="shared" si="94"/>
        <v>0</v>
      </c>
      <c r="E135" s="279">
        <f t="shared" si="94"/>
        <v>0</v>
      </c>
      <c r="F135" s="279">
        <f t="shared" si="94"/>
        <v>0</v>
      </c>
      <c r="G135" s="279">
        <f t="shared" si="94"/>
        <v>0</v>
      </c>
      <c r="H135" s="279">
        <f t="shared" si="94"/>
        <v>0</v>
      </c>
      <c r="I135" s="279">
        <f t="shared" si="94"/>
        <v>0</v>
      </c>
      <c r="J135" s="279">
        <f t="shared" si="94"/>
        <v>0</v>
      </c>
      <c r="K135" s="279">
        <f t="shared" si="94"/>
        <v>0</v>
      </c>
      <c r="L135" s="279">
        <f t="shared" si="94"/>
        <v>0</v>
      </c>
      <c r="M135" s="279">
        <f t="shared" si="94"/>
        <v>0</v>
      </c>
      <c r="N135" s="279">
        <f t="shared" si="94"/>
        <v>0</v>
      </c>
      <c r="O135" s="279">
        <f t="shared" si="94"/>
        <v>0</v>
      </c>
      <c r="P135" s="279">
        <f t="shared" si="94"/>
        <v>0</v>
      </c>
      <c r="Q135" s="279">
        <f t="shared" si="94"/>
        <v>0</v>
      </c>
      <c r="R135" s="279">
        <f t="shared" si="94"/>
        <v>0</v>
      </c>
      <c r="S135" s="279">
        <f t="shared" si="94"/>
        <v>0</v>
      </c>
      <c r="T135" s="279">
        <f t="shared" si="94"/>
        <v>0</v>
      </c>
      <c r="U135" s="279">
        <f t="shared" si="94"/>
        <v>0</v>
      </c>
      <c r="V135" s="279">
        <f t="shared" si="94"/>
        <v>0</v>
      </c>
      <c r="W135" s="279">
        <f t="shared" si="94"/>
        <v>0</v>
      </c>
      <c r="X135" s="279">
        <f t="shared" si="94"/>
        <v>0</v>
      </c>
      <c r="Y135" s="279">
        <f t="shared" si="94"/>
        <v>0</v>
      </c>
      <c r="Z135" s="279">
        <f t="shared" si="94"/>
        <v>0</v>
      </c>
      <c r="AA135" s="279">
        <f t="shared" si="94"/>
        <v>0</v>
      </c>
      <c r="AB135" s="279">
        <f t="shared" si="94"/>
        <v>0</v>
      </c>
      <c r="AC135" s="279">
        <f t="shared" si="94"/>
        <v>0</v>
      </c>
      <c r="AD135" s="279">
        <f t="shared" si="94"/>
        <v>0</v>
      </c>
      <c r="AE135" s="279">
        <f t="shared" si="94"/>
        <v>0</v>
      </c>
      <c r="AF135" s="279">
        <f t="shared" si="94"/>
        <v>0</v>
      </c>
      <c r="AG135" s="279">
        <f t="shared" si="94"/>
        <v>0</v>
      </c>
      <c r="AH135" s="230"/>
      <c r="AI135" s="398"/>
      <c r="AJ135" s="399"/>
      <c r="AL135" s="207"/>
      <c r="AM135" s="118"/>
      <c r="AN135" s="118"/>
      <c r="AO135" s="118"/>
      <c r="BD135" s="118"/>
      <c r="BE135" s="118"/>
      <c r="BF135" s="118"/>
      <c r="BG135" s="118"/>
      <c r="BH135" s="118"/>
      <c r="BI135" s="118"/>
      <c r="BJ135" s="118"/>
      <c r="BK135" s="118"/>
    </row>
    <row r="136" spans="1:63" s="1" customFormat="1" outlineLevel="1">
      <c r="A136" s="1" t="s">
        <v>1163</v>
      </c>
      <c r="B136" s="61"/>
      <c r="C136" s="279">
        <f t="shared" ref="C136:AG136" si="95">C128*C42</f>
        <v>0</v>
      </c>
      <c r="D136" s="279">
        <f t="shared" si="95"/>
        <v>0</v>
      </c>
      <c r="E136" s="279">
        <f t="shared" si="95"/>
        <v>0</v>
      </c>
      <c r="F136" s="279">
        <f t="shared" si="95"/>
        <v>0</v>
      </c>
      <c r="G136" s="279">
        <f t="shared" si="95"/>
        <v>0</v>
      </c>
      <c r="H136" s="279">
        <f t="shared" si="95"/>
        <v>0</v>
      </c>
      <c r="I136" s="279">
        <f t="shared" si="95"/>
        <v>0</v>
      </c>
      <c r="J136" s="279">
        <f t="shared" si="95"/>
        <v>0</v>
      </c>
      <c r="K136" s="279">
        <f t="shared" si="95"/>
        <v>0</v>
      </c>
      <c r="L136" s="279">
        <f t="shared" si="95"/>
        <v>0</v>
      </c>
      <c r="M136" s="279">
        <f t="shared" si="95"/>
        <v>0</v>
      </c>
      <c r="N136" s="279">
        <f t="shared" si="95"/>
        <v>0</v>
      </c>
      <c r="O136" s="279">
        <f t="shared" si="95"/>
        <v>0</v>
      </c>
      <c r="P136" s="279">
        <f t="shared" si="95"/>
        <v>0</v>
      </c>
      <c r="Q136" s="279">
        <f t="shared" si="95"/>
        <v>0</v>
      </c>
      <c r="R136" s="279">
        <f t="shared" si="95"/>
        <v>0</v>
      </c>
      <c r="S136" s="279">
        <f t="shared" si="95"/>
        <v>0</v>
      </c>
      <c r="T136" s="279">
        <f t="shared" si="95"/>
        <v>0</v>
      </c>
      <c r="U136" s="279">
        <f t="shared" si="95"/>
        <v>0</v>
      </c>
      <c r="V136" s="279">
        <f t="shared" si="95"/>
        <v>0</v>
      </c>
      <c r="W136" s="279">
        <f t="shared" si="95"/>
        <v>0</v>
      </c>
      <c r="X136" s="279">
        <f t="shared" si="95"/>
        <v>0</v>
      </c>
      <c r="Y136" s="279">
        <f t="shared" si="95"/>
        <v>0</v>
      </c>
      <c r="Z136" s="279">
        <f t="shared" si="95"/>
        <v>0</v>
      </c>
      <c r="AA136" s="279">
        <f t="shared" si="95"/>
        <v>0</v>
      </c>
      <c r="AB136" s="279">
        <f t="shared" si="95"/>
        <v>0</v>
      </c>
      <c r="AC136" s="279">
        <f t="shared" si="95"/>
        <v>0</v>
      </c>
      <c r="AD136" s="279">
        <f t="shared" si="95"/>
        <v>0</v>
      </c>
      <c r="AE136" s="279">
        <f t="shared" si="95"/>
        <v>0</v>
      </c>
      <c r="AF136" s="279">
        <f t="shared" si="95"/>
        <v>0</v>
      </c>
      <c r="AG136" s="279">
        <f t="shared" si="95"/>
        <v>0</v>
      </c>
      <c r="AH136" s="230"/>
      <c r="AI136" s="398"/>
      <c r="AJ136" s="399"/>
      <c r="AL136" s="207"/>
      <c r="AM136" s="118"/>
      <c r="AN136" s="118"/>
      <c r="AO136" s="118"/>
      <c r="BD136" s="118"/>
      <c r="BE136" s="118"/>
      <c r="BF136" s="118"/>
      <c r="BG136" s="118"/>
      <c r="BH136" s="118"/>
      <c r="BI136" s="118"/>
      <c r="BJ136" s="118"/>
      <c r="BK136" s="118"/>
    </row>
    <row r="137" spans="1:63" s="1" customFormat="1" outlineLevel="1">
      <c r="A137" s="1" t="s">
        <v>1166</v>
      </c>
      <c r="B137" s="61"/>
      <c r="C137" s="279">
        <f t="shared" ref="C137:AG137" si="96">C136-$C136</f>
        <v>0</v>
      </c>
      <c r="D137" s="279">
        <f t="shared" si="96"/>
        <v>0</v>
      </c>
      <c r="E137" s="279">
        <f t="shared" si="96"/>
        <v>0</v>
      </c>
      <c r="F137" s="279">
        <f t="shared" si="96"/>
        <v>0</v>
      </c>
      <c r="G137" s="279">
        <f t="shared" si="96"/>
        <v>0</v>
      </c>
      <c r="H137" s="279">
        <f t="shared" si="96"/>
        <v>0</v>
      </c>
      <c r="I137" s="279">
        <f t="shared" si="96"/>
        <v>0</v>
      </c>
      <c r="J137" s="279">
        <f t="shared" si="96"/>
        <v>0</v>
      </c>
      <c r="K137" s="279">
        <f t="shared" si="96"/>
        <v>0</v>
      </c>
      <c r="L137" s="279">
        <f t="shared" si="96"/>
        <v>0</v>
      </c>
      <c r="M137" s="279">
        <f t="shared" si="96"/>
        <v>0</v>
      </c>
      <c r="N137" s="279">
        <f t="shared" si="96"/>
        <v>0</v>
      </c>
      <c r="O137" s="279">
        <f t="shared" si="96"/>
        <v>0</v>
      </c>
      <c r="P137" s="279">
        <f t="shared" si="96"/>
        <v>0</v>
      </c>
      <c r="Q137" s="279">
        <f t="shared" si="96"/>
        <v>0</v>
      </c>
      <c r="R137" s="279">
        <f t="shared" si="96"/>
        <v>0</v>
      </c>
      <c r="S137" s="279">
        <f t="shared" si="96"/>
        <v>0</v>
      </c>
      <c r="T137" s="279">
        <f t="shared" si="96"/>
        <v>0</v>
      </c>
      <c r="U137" s="279">
        <f t="shared" si="96"/>
        <v>0</v>
      </c>
      <c r="V137" s="279">
        <f t="shared" si="96"/>
        <v>0</v>
      </c>
      <c r="W137" s="279">
        <f t="shared" si="96"/>
        <v>0</v>
      </c>
      <c r="X137" s="279">
        <f t="shared" si="96"/>
        <v>0</v>
      </c>
      <c r="Y137" s="279">
        <f t="shared" si="96"/>
        <v>0</v>
      </c>
      <c r="Z137" s="279">
        <f t="shared" si="96"/>
        <v>0</v>
      </c>
      <c r="AA137" s="279">
        <f t="shared" si="96"/>
        <v>0</v>
      </c>
      <c r="AB137" s="279">
        <f t="shared" si="96"/>
        <v>0</v>
      </c>
      <c r="AC137" s="279">
        <f t="shared" si="96"/>
        <v>0</v>
      </c>
      <c r="AD137" s="279">
        <f t="shared" si="96"/>
        <v>0</v>
      </c>
      <c r="AE137" s="279">
        <f t="shared" si="96"/>
        <v>0</v>
      </c>
      <c r="AF137" s="279">
        <f t="shared" si="96"/>
        <v>0</v>
      </c>
      <c r="AG137" s="279">
        <f t="shared" si="96"/>
        <v>0</v>
      </c>
      <c r="AH137" s="230"/>
      <c r="AI137" s="398"/>
      <c r="AJ137" s="399"/>
      <c r="AL137" s="207"/>
      <c r="AM137" s="118"/>
      <c r="AN137" s="118"/>
      <c r="AO137" s="118"/>
      <c r="BD137" s="118"/>
      <c r="BE137" s="118"/>
      <c r="BF137" s="118"/>
      <c r="BG137" s="118"/>
      <c r="BH137" s="118"/>
      <c r="BI137" s="118"/>
      <c r="BJ137" s="118"/>
      <c r="BK137" s="118"/>
    </row>
    <row r="138" spans="1:63" s="1" customFormat="1" outlineLevel="1">
      <c r="A138" s="1" t="s">
        <v>1400</v>
      </c>
      <c r="B138" s="61"/>
      <c r="C138" s="279">
        <f t="shared" ref="C138:AG138" si="97">C128*C42</f>
        <v>0</v>
      </c>
      <c r="D138" s="279">
        <f t="shared" si="97"/>
        <v>0</v>
      </c>
      <c r="E138" s="279">
        <f t="shared" si="97"/>
        <v>0</v>
      </c>
      <c r="F138" s="279">
        <f t="shared" si="97"/>
        <v>0</v>
      </c>
      <c r="G138" s="279">
        <f t="shared" si="97"/>
        <v>0</v>
      </c>
      <c r="H138" s="279">
        <f t="shared" si="97"/>
        <v>0</v>
      </c>
      <c r="I138" s="279">
        <f t="shared" si="97"/>
        <v>0</v>
      </c>
      <c r="J138" s="279">
        <f t="shared" si="97"/>
        <v>0</v>
      </c>
      <c r="K138" s="279">
        <f t="shared" si="97"/>
        <v>0</v>
      </c>
      <c r="L138" s="279">
        <f t="shared" si="97"/>
        <v>0</v>
      </c>
      <c r="M138" s="279">
        <f t="shared" si="97"/>
        <v>0</v>
      </c>
      <c r="N138" s="279">
        <f t="shared" si="97"/>
        <v>0</v>
      </c>
      <c r="O138" s="279">
        <f t="shared" si="97"/>
        <v>0</v>
      </c>
      <c r="P138" s="279">
        <f t="shared" si="97"/>
        <v>0</v>
      </c>
      <c r="Q138" s="279">
        <f t="shared" si="97"/>
        <v>0</v>
      </c>
      <c r="R138" s="279">
        <f t="shared" si="97"/>
        <v>0</v>
      </c>
      <c r="S138" s="279">
        <f t="shared" si="97"/>
        <v>0</v>
      </c>
      <c r="T138" s="279">
        <f t="shared" si="97"/>
        <v>0</v>
      </c>
      <c r="U138" s="279">
        <f t="shared" si="97"/>
        <v>0</v>
      </c>
      <c r="V138" s="279">
        <f t="shared" si="97"/>
        <v>0</v>
      </c>
      <c r="W138" s="279">
        <f t="shared" si="97"/>
        <v>0</v>
      </c>
      <c r="X138" s="279">
        <f t="shared" si="97"/>
        <v>0</v>
      </c>
      <c r="Y138" s="279">
        <f t="shared" si="97"/>
        <v>0</v>
      </c>
      <c r="Z138" s="279">
        <f t="shared" si="97"/>
        <v>0</v>
      </c>
      <c r="AA138" s="279">
        <f t="shared" si="97"/>
        <v>0</v>
      </c>
      <c r="AB138" s="279">
        <f t="shared" si="97"/>
        <v>0</v>
      </c>
      <c r="AC138" s="279">
        <f t="shared" si="97"/>
        <v>0</v>
      </c>
      <c r="AD138" s="279">
        <f t="shared" si="97"/>
        <v>0</v>
      </c>
      <c r="AE138" s="279">
        <f t="shared" si="97"/>
        <v>0</v>
      </c>
      <c r="AF138" s="279">
        <f t="shared" si="97"/>
        <v>0</v>
      </c>
      <c r="AG138" s="279">
        <f t="shared" si="97"/>
        <v>0</v>
      </c>
      <c r="AH138" s="230"/>
      <c r="AI138" s="398"/>
      <c r="AJ138" s="399"/>
      <c r="AL138" s="207"/>
      <c r="AM138" s="118"/>
      <c r="AN138" s="118"/>
      <c r="AO138" s="118"/>
      <c r="BD138" s="118"/>
      <c r="BE138" s="118"/>
      <c r="BF138" s="118"/>
      <c r="BG138" s="118"/>
      <c r="BH138" s="118"/>
      <c r="BI138" s="118"/>
      <c r="BJ138" s="118"/>
      <c r="BK138" s="118"/>
    </row>
    <row r="139" spans="1:63" s="1" customFormat="1" outlineLevel="1">
      <c r="A139" s="1" t="s">
        <v>1401</v>
      </c>
      <c r="B139" s="61"/>
      <c r="C139" s="279">
        <f t="shared" ref="C139:AG139" si="98">C138-$C138</f>
        <v>0</v>
      </c>
      <c r="D139" s="279">
        <f t="shared" si="98"/>
        <v>0</v>
      </c>
      <c r="E139" s="279">
        <f t="shared" si="98"/>
        <v>0</v>
      </c>
      <c r="F139" s="279">
        <f t="shared" si="98"/>
        <v>0</v>
      </c>
      <c r="G139" s="279">
        <f t="shared" si="98"/>
        <v>0</v>
      </c>
      <c r="H139" s="279">
        <f t="shared" si="98"/>
        <v>0</v>
      </c>
      <c r="I139" s="279">
        <f t="shared" si="98"/>
        <v>0</v>
      </c>
      <c r="J139" s="279">
        <f t="shared" si="98"/>
        <v>0</v>
      </c>
      <c r="K139" s="279">
        <f t="shared" si="98"/>
        <v>0</v>
      </c>
      <c r="L139" s="279">
        <f t="shared" si="98"/>
        <v>0</v>
      </c>
      <c r="M139" s="279">
        <f t="shared" si="98"/>
        <v>0</v>
      </c>
      <c r="N139" s="279">
        <f t="shared" si="98"/>
        <v>0</v>
      </c>
      <c r="O139" s="279">
        <f t="shared" si="98"/>
        <v>0</v>
      </c>
      <c r="P139" s="279">
        <f t="shared" si="98"/>
        <v>0</v>
      </c>
      <c r="Q139" s="279">
        <f t="shared" si="98"/>
        <v>0</v>
      </c>
      <c r="R139" s="279">
        <f t="shared" si="98"/>
        <v>0</v>
      </c>
      <c r="S139" s="279">
        <f t="shared" si="98"/>
        <v>0</v>
      </c>
      <c r="T139" s="279">
        <f t="shared" si="98"/>
        <v>0</v>
      </c>
      <c r="U139" s="279">
        <f t="shared" si="98"/>
        <v>0</v>
      </c>
      <c r="V139" s="279">
        <f t="shared" si="98"/>
        <v>0</v>
      </c>
      <c r="W139" s="279">
        <f t="shared" si="98"/>
        <v>0</v>
      </c>
      <c r="X139" s="279">
        <f t="shared" si="98"/>
        <v>0</v>
      </c>
      <c r="Y139" s="279">
        <f t="shared" si="98"/>
        <v>0</v>
      </c>
      <c r="Z139" s="279">
        <f t="shared" si="98"/>
        <v>0</v>
      </c>
      <c r="AA139" s="279">
        <f t="shared" si="98"/>
        <v>0</v>
      </c>
      <c r="AB139" s="279">
        <f t="shared" si="98"/>
        <v>0</v>
      </c>
      <c r="AC139" s="279">
        <f t="shared" si="98"/>
        <v>0</v>
      </c>
      <c r="AD139" s="279">
        <f t="shared" si="98"/>
        <v>0</v>
      </c>
      <c r="AE139" s="279">
        <f t="shared" si="98"/>
        <v>0</v>
      </c>
      <c r="AF139" s="279">
        <f t="shared" si="98"/>
        <v>0</v>
      </c>
      <c r="AG139" s="279">
        <f t="shared" si="98"/>
        <v>0</v>
      </c>
      <c r="AH139" s="230"/>
      <c r="AI139" s="398"/>
      <c r="AJ139" s="399"/>
      <c r="AL139" s="207"/>
      <c r="AM139" s="118"/>
      <c r="AN139" s="118"/>
      <c r="AO139" s="118"/>
      <c r="BD139" s="118"/>
      <c r="BE139" s="118"/>
      <c r="BF139" s="118"/>
      <c r="BG139" s="118"/>
      <c r="BH139" s="118"/>
      <c r="BI139" s="118"/>
      <c r="BJ139" s="118"/>
      <c r="BK139" s="118"/>
    </row>
    <row r="140" spans="1:63" outlineLevel="1">
      <c r="C140" s="104"/>
      <c r="D140" s="104"/>
      <c r="E140" s="104"/>
      <c r="F140" s="104"/>
      <c r="G140" s="104"/>
      <c r="H140" s="104"/>
      <c r="I140" s="104"/>
      <c r="J140" s="104"/>
      <c r="K140" s="104"/>
      <c r="L140" s="104"/>
      <c r="M140" s="104"/>
      <c r="N140" s="104"/>
      <c r="O140" s="104"/>
      <c r="P140" s="104"/>
      <c r="Q140" s="104"/>
      <c r="R140" s="104"/>
      <c r="S140" s="104"/>
      <c r="T140" s="104"/>
      <c r="U140" s="104"/>
      <c r="V140" s="104"/>
      <c r="W140" s="104"/>
      <c r="X140" s="104"/>
      <c r="Y140" s="104"/>
      <c r="Z140" s="104"/>
      <c r="AA140" s="104"/>
      <c r="AB140" s="104"/>
      <c r="AC140" s="104"/>
      <c r="AD140" s="104"/>
      <c r="AE140" s="104"/>
      <c r="AF140" s="104"/>
      <c r="AG140" s="104"/>
      <c r="AJ140" s="198"/>
    </row>
    <row r="141" spans="1:63" s="187" customFormat="1" ht="15.5" thickBot="1">
      <c r="A141" s="187" t="s">
        <v>461</v>
      </c>
      <c r="B141" s="202"/>
      <c r="C141" s="210">
        <f>C142</f>
        <v>0</v>
      </c>
      <c r="D141" s="210">
        <f t="shared" ref="D141:AG141" si="99">D142</f>
        <v>9.9999999999999985E-3</v>
      </c>
      <c r="E141" s="210">
        <f t="shared" si="99"/>
        <v>1.9999999999999997E-2</v>
      </c>
      <c r="F141" s="210">
        <f t="shared" si="99"/>
        <v>2.9999999999999995E-2</v>
      </c>
      <c r="G141" s="210">
        <f t="shared" si="99"/>
        <v>3.9999999999999994E-2</v>
      </c>
      <c r="H141" s="210">
        <f t="shared" si="99"/>
        <v>4.9999999999999989E-2</v>
      </c>
      <c r="I141" s="210">
        <f t="shared" si="99"/>
        <v>5.9999999999999991E-2</v>
      </c>
      <c r="J141" s="210">
        <f t="shared" si="99"/>
        <v>6.9999999999999993E-2</v>
      </c>
      <c r="K141" s="210">
        <f t="shared" si="99"/>
        <v>7.9999999999999988E-2</v>
      </c>
      <c r="L141" s="210">
        <f t="shared" si="99"/>
        <v>8.9999999999999983E-2</v>
      </c>
      <c r="M141" s="210">
        <f t="shared" si="99"/>
        <v>9.9999999999999992E-2</v>
      </c>
      <c r="N141" s="210">
        <f t="shared" si="99"/>
        <v>0.10999999999999999</v>
      </c>
      <c r="O141" s="210">
        <f t="shared" si="99"/>
        <v>0.12</v>
      </c>
      <c r="P141" s="210">
        <f t="shared" si="99"/>
        <v>0.12999999999999998</v>
      </c>
      <c r="Q141" s="210">
        <f t="shared" si="99"/>
        <v>0.13999999999999999</v>
      </c>
      <c r="R141" s="210">
        <f t="shared" si="99"/>
        <v>0.14999999999999997</v>
      </c>
      <c r="S141" s="210">
        <f t="shared" si="99"/>
        <v>0.15999999999999998</v>
      </c>
      <c r="T141" s="210">
        <f t="shared" si="99"/>
        <v>0.16999999999999998</v>
      </c>
      <c r="U141" s="210">
        <f t="shared" si="99"/>
        <v>0.18</v>
      </c>
      <c r="V141" s="210">
        <f t="shared" si="99"/>
        <v>0.18999999999999997</v>
      </c>
      <c r="W141" s="210">
        <f t="shared" si="99"/>
        <v>0.19999999999999998</v>
      </c>
      <c r="X141" s="210">
        <f t="shared" si="99"/>
        <v>0.21</v>
      </c>
      <c r="Y141" s="210">
        <f t="shared" si="99"/>
        <v>0.21999999999999997</v>
      </c>
      <c r="Z141" s="210">
        <f t="shared" si="99"/>
        <v>0.22999999999999998</v>
      </c>
      <c r="AA141" s="210">
        <f t="shared" si="99"/>
        <v>0.24</v>
      </c>
      <c r="AB141" s="210">
        <f t="shared" si="99"/>
        <v>0.25</v>
      </c>
      <c r="AC141" s="210">
        <f t="shared" si="99"/>
        <v>0.26</v>
      </c>
      <c r="AD141" s="210">
        <f t="shared" si="99"/>
        <v>0.27</v>
      </c>
      <c r="AE141" s="210">
        <f t="shared" si="99"/>
        <v>0.27999999999999997</v>
      </c>
      <c r="AF141" s="210">
        <f t="shared" si="99"/>
        <v>0.28999999999999998</v>
      </c>
      <c r="AG141" s="210">
        <f t="shared" si="99"/>
        <v>0.3</v>
      </c>
      <c r="AJ141" s="217" t="s">
        <v>473</v>
      </c>
      <c r="AL141" s="204"/>
      <c r="AM141" s="211"/>
      <c r="AN141" s="211"/>
      <c r="AO141" s="211"/>
    </row>
    <row r="142" spans="1:63" ht="15.5" outlineLevel="1" thickTop="1">
      <c r="A142" t="s">
        <v>469</v>
      </c>
      <c r="B142" s="51" t="s">
        <v>126</v>
      </c>
      <c r="C142" s="107">
        <v>0</v>
      </c>
      <c r="D142" s="104">
        <f>$C142+($M142-$C142)/10*(D$1-$C$1)</f>
        <v>9.9999999999999985E-3</v>
      </c>
      <c r="E142" s="104">
        <f t="shared" ref="E142:L142" si="100">$C142+($M142-$C142)/10*(E$1-$C$1)</f>
        <v>1.9999999999999997E-2</v>
      </c>
      <c r="F142" s="104">
        <f t="shared" si="100"/>
        <v>2.9999999999999995E-2</v>
      </c>
      <c r="G142" s="104">
        <f t="shared" si="100"/>
        <v>3.9999999999999994E-2</v>
      </c>
      <c r="H142" s="104">
        <f t="shared" si="100"/>
        <v>4.9999999999999989E-2</v>
      </c>
      <c r="I142" s="104">
        <f t="shared" si="100"/>
        <v>5.9999999999999991E-2</v>
      </c>
      <c r="J142" s="104">
        <f t="shared" si="100"/>
        <v>6.9999999999999993E-2</v>
      </c>
      <c r="K142" s="104">
        <f t="shared" si="100"/>
        <v>7.9999999999999988E-2</v>
      </c>
      <c r="L142" s="104">
        <f t="shared" si="100"/>
        <v>8.9999999999999983E-2</v>
      </c>
      <c r="M142" s="115">
        <f>C142+(AG142-C142)/3</f>
        <v>9.9999999999999992E-2</v>
      </c>
      <c r="N142" s="115">
        <f>$M142+($W142-$M142)/10*(N$1-$M$1)</f>
        <v>0.10999999999999999</v>
      </c>
      <c r="O142" s="115">
        <f t="shared" ref="O142:U142" si="101">$M142+($W142-$M142)/10*(O$1-$M$1)</f>
        <v>0.12</v>
      </c>
      <c r="P142" s="115">
        <f t="shared" si="101"/>
        <v>0.12999999999999998</v>
      </c>
      <c r="Q142" s="115">
        <f t="shared" si="101"/>
        <v>0.13999999999999999</v>
      </c>
      <c r="R142" s="115">
        <f t="shared" si="101"/>
        <v>0.14999999999999997</v>
      </c>
      <c r="S142" s="115">
        <f t="shared" si="101"/>
        <v>0.15999999999999998</v>
      </c>
      <c r="T142" s="115">
        <f t="shared" si="101"/>
        <v>0.16999999999999998</v>
      </c>
      <c r="U142" s="115">
        <f t="shared" si="101"/>
        <v>0.18</v>
      </c>
      <c r="V142" s="115">
        <f>$M142+($W142-$M142)/10*(V$1-$M$1)</f>
        <v>0.18999999999999997</v>
      </c>
      <c r="W142" s="115">
        <f>C142+(AG142-C142)*2/3</f>
        <v>0.19999999999999998</v>
      </c>
      <c r="X142" s="22">
        <f t="shared" ref="X142:AF142" si="102">$W142+($AG142-$W142)/10*(X$1-$W$1)</f>
        <v>0.21</v>
      </c>
      <c r="Y142" s="22">
        <f t="shared" si="102"/>
        <v>0.21999999999999997</v>
      </c>
      <c r="Z142" s="22">
        <f t="shared" si="102"/>
        <v>0.22999999999999998</v>
      </c>
      <c r="AA142" s="22">
        <f t="shared" si="102"/>
        <v>0.24</v>
      </c>
      <c r="AB142" s="22">
        <f t="shared" si="102"/>
        <v>0.25</v>
      </c>
      <c r="AC142" s="22">
        <f t="shared" si="102"/>
        <v>0.26</v>
      </c>
      <c r="AD142" s="22">
        <f t="shared" si="102"/>
        <v>0.27</v>
      </c>
      <c r="AE142" s="22">
        <f t="shared" si="102"/>
        <v>0.27999999999999997</v>
      </c>
      <c r="AF142" s="22">
        <f t="shared" si="102"/>
        <v>0.28999999999999998</v>
      </c>
      <c r="AG142" s="201">
        <v>0.3</v>
      </c>
      <c r="AJ142" s="198" t="s">
        <v>870</v>
      </c>
    </row>
    <row r="143" spans="1:63" outlineLevel="1">
      <c r="C143" s="107"/>
      <c r="D143" s="104"/>
      <c r="E143" s="104"/>
      <c r="F143" s="104"/>
      <c r="G143" s="104"/>
      <c r="H143" s="104"/>
      <c r="I143" s="104"/>
      <c r="J143" s="104"/>
      <c r="K143" s="104"/>
      <c r="L143" s="104"/>
      <c r="M143" s="115"/>
      <c r="N143" s="115"/>
      <c r="O143" s="115"/>
      <c r="P143" s="115"/>
      <c r="Q143" s="115"/>
      <c r="R143" s="115"/>
      <c r="S143" s="115"/>
      <c r="T143" s="115"/>
      <c r="U143" s="115"/>
      <c r="V143" s="115"/>
      <c r="W143" s="115"/>
      <c r="X143" s="22"/>
      <c r="Y143" s="22"/>
      <c r="Z143" s="22"/>
      <c r="AA143" s="22"/>
      <c r="AB143" s="22"/>
      <c r="AC143" s="22"/>
      <c r="AD143" s="22"/>
      <c r="AE143" s="22"/>
      <c r="AF143" s="22"/>
      <c r="AG143" s="100"/>
      <c r="AJ143" s="198"/>
    </row>
    <row r="144" spans="1:63" outlineLevel="1">
      <c r="A144" t="s">
        <v>1484</v>
      </c>
      <c r="C144" s="477">
        <v>1</v>
      </c>
      <c r="D144" s="477">
        <f>C144-($C144-$AG144)/($AG$1-$C$1)</f>
        <v>1</v>
      </c>
      <c r="E144" s="477">
        <f t="shared" ref="E144:AF144" si="103">D144-($C144-$AG144)/($AG$1-$C$1)</f>
        <v>1</v>
      </c>
      <c r="F144" s="477">
        <f t="shared" si="103"/>
        <v>1</v>
      </c>
      <c r="G144" s="477">
        <f t="shared" si="103"/>
        <v>1</v>
      </c>
      <c r="H144" s="477">
        <f t="shared" si="103"/>
        <v>1</v>
      </c>
      <c r="I144" s="477">
        <f t="shared" si="103"/>
        <v>1</v>
      </c>
      <c r="J144" s="477">
        <f t="shared" si="103"/>
        <v>1</v>
      </c>
      <c r="K144" s="477">
        <f t="shared" si="103"/>
        <v>1</v>
      </c>
      <c r="L144" s="477">
        <f t="shared" si="103"/>
        <v>1</v>
      </c>
      <c r="M144" s="477">
        <f t="shared" si="103"/>
        <v>1</v>
      </c>
      <c r="N144" s="477">
        <f t="shared" si="103"/>
        <v>1</v>
      </c>
      <c r="O144" s="477">
        <f t="shared" si="103"/>
        <v>1</v>
      </c>
      <c r="P144" s="477">
        <f t="shared" si="103"/>
        <v>1</v>
      </c>
      <c r="Q144" s="477">
        <f t="shared" si="103"/>
        <v>1</v>
      </c>
      <c r="R144" s="477">
        <f t="shared" si="103"/>
        <v>1</v>
      </c>
      <c r="S144" s="477">
        <f t="shared" si="103"/>
        <v>1</v>
      </c>
      <c r="T144" s="477">
        <f t="shared" si="103"/>
        <v>1</v>
      </c>
      <c r="U144" s="477">
        <f t="shared" si="103"/>
        <v>1</v>
      </c>
      <c r="V144" s="477">
        <f t="shared" si="103"/>
        <v>1</v>
      </c>
      <c r="W144" s="477">
        <f t="shared" si="103"/>
        <v>1</v>
      </c>
      <c r="X144" s="477">
        <f t="shared" si="103"/>
        <v>1</v>
      </c>
      <c r="Y144" s="477">
        <f t="shared" si="103"/>
        <v>1</v>
      </c>
      <c r="Z144" s="477">
        <f t="shared" si="103"/>
        <v>1</v>
      </c>
      <c r="AA144" s="477">
        <f t="shared" si="103"/>
        <v>1</v>
      </c>
      <c r="AB144" s="477">
        <f t="shared" si="103"/>
        <v>1</v>
      </c>
      <c r="AC144" s="477">
        <f t="shared" si="103"/>
        <v>1</v>
      </c>
      <c r="AD144" s="477">
        <f t="shared" si="103"/>
        <v>1</v>
      </c>
      <c r="AE144" s="477">
        <f t="shared" si="103"/>
        <v>1</v>
      </c>
      <c r="AF144" s="477">
        <f t="shared" si="103"/>
        <v>1</v>
      </c>
      <c r="AG144" s="477">
        <v>1</v>
      </c>
      <c r="AI144" s="126"/>
      <c r="AJ144" s="198"/>
      <c r="AL144" s="102"/>
      <c r="AM144" s="194"/>
      <c r="AN144" s="194"/>
      <c r="AO144" s="194"/>
      <c r="BC144" s="1"/>
      <c r="BD144" s="194"/>
      <c r="BE144" s="194"/>
      <c r="BF144" s="194"/>
      <c r="BG144" s="194"/>
      <c r="BH144" s="194"/>
      <c r="BI144" s="194"/>
      <c r="BJ144" s="194"/>
      <c r="BK144" s="194"/>
    </row>
    <row r="145" spans="1:63" outlineLevel="1">
      <c r="A145" t="s">
        <v>1500</v>
      </c>
      <c r="B145" s="51" t="s">
        <v>126</v>
      </c>
      <c r="C145" s="104">
        <f>C142*C144</f>
        <v>0</v>
      </c>
      <c r="D145" s="104">
        <f t="shared" ref="D145:AG145" si="104">D142*D144</f>
        <v>9.9999999999999985E-3</v>
      </c>
      <c r="E145" s="104">
        <f t="shared" si="104"/>
        <v>1.9999999999999997E-2</v>
      </c>
      <c r="F145" s="104">
        <f t="shared" si="104"/>
        <v>2.9999999999999995E-2</v>
      </c>
      <c r="G145" s="104">
        <f t="shared" si="104"/>
        <v>3.9999999999999994E-2</v>
      </c>
      <c r="H145" s="104">
        <f t="shared" si="104"/>
        <v>4.9999999999999989E-2</v>
      </c>
      <c r="I145" s="104">
        <f t="shared" si="104"/>
        <v>5.9999999999999991E-2</v>
      </c>
      <c r="J145" s="104">
        <f t="shared" si="104"/>
        <v>6.9999999999999993E-2</v>
      </c>
      <c r="K145" s="104">
        <f t="shared" si="104"/>
        <v>7.9999999999999988E-2</v>
      </c>
      <c r="L145" s="104">
        <f t="shared" si="104"/>
        <v>8.9999999999999983E-2</v>
      </c>
      <c r="M145" s="104">
        <f t="shared" si="104"/>
        <v>9.9999999999999992E-2</v>
      </c>
      <c r="N145" s="104">
        <f t="shared" si="104"/>
        <v>0.10999999999999999</v>
      </c>
      <c r="O145" s="104">
        <f t="shared" si="104"/>
        <v>0.12</v>
      </c>
      <c r="P145" s="104">
        <f t="shared" si="104"/>
        <v>0.12999999999999998</v>
      </c>
      <c r="Q145" s="104">
        <f t="shared" si="104"/>
        <v>0.13999999999999999</v>
      </c>
      <c r="R145" s="104">
        <f t="shared" si="104"/>
        <v>0.14999999999999997</v>
      </c>
      <c r="S145" s="104">
        <f t="shared" si="104"/>
        <v>0.15999999999999998</v>
      </c>
      <c r="T145" s="104">
        <f t="shared" si="104"/>
        <v>0.16999999999999998</v>
      </c>
      <c r="U145" s="104">
        <f t="shared" si="104"/>
        <v>0.18</v>
      </c>
      <c r="V145" s="104">
        <f t="shared" si="104"/>
        <v>0.18999999999999997</v>
      </c>
      <c r="W145" s="104">
        <f t="shared" si="104"/>
        <v>0.19999999999999998</v>
      </c>
      <c r="X145" s="104">
        <f t="shared" si="104"/>
        <v>0.21</v>
      </c>
      <c r="Y145" s="104">
        <f t="shared" si="104"/>
        <v>0.21999999999999997</v>
      </c>
      <c r="Z145" s="104">
        <f t="shared" si="104"/>
        <v>0.22999999999999998</v>
      </c>
      <c r="AA145" s="104">
        <f t="shared" si="104"/>
        <v>0.24</v>
      </c>
      <c r="AB145" s="104">
        <f t="shared" si="104"/>
        <v>0.25</v>
      </c>
      <c r="AC145" s="104">
        <f t="shared" si="104"/>
        <v>0.26</v>
      </c>
      <c r="AD145" s="104">
        <f t="shared" si="104"/>
        <v>0.27</v>
      </c>
      <c r="AE145" s="104">
        <f t="shared" si="104"/>
        <v>0.27999999999999997</v>
      </c>
      <c r="AF145" s="104">
        <f t="shared" si="104"/>
        <v>0.28999999999999998</v>
      </c>
      <c r="AG145" s="104">
        <f t="shared" si="104"/>
        <v>0.3</v>
      </c>
      <c r="AJ145" s="198"/>
    </row>
    <row r="146" spans="1:63" outlineLevel="1">
      <c r="C146" s="104"/>
      <c r="D146" s="104"/>
      <c r="E146" s="104"/>
      <c r="F146" s="104"/>
      <c r="G146" s="104"/>
      <c r="H146" s="104"/>
      <c r="I146" s="104"/>
      <c r="J146" s="104"/>
      <c r="K146" s="104"/>
      <c r="L146" s="104"/>
      <c r="M146" s="104"/>
      <c r="N146" s="104"/>
      <c r="O146" s="104"/>
      <c r="P146" s="104"/>
      <c r="Q146" s="104"/>
      <c r="R146" s="104"/>
      <c r="S146" s="104"/>
      <c r="T146" s="104"/>
      <c r="U146" s="104"/>
      <c r="V146" s="104"/>
      <c r="W146" s="104"/>
      <c r="X146" s="104"/>
      <c r="Y146" s="104"/>
      <c r="Z146" s="104"/>
      <c r="AA146" s="104"/>
      <c r="AB146" s="104"/>
      <c r="AC146" s="104"/>
      <c r="AD146" s="104"/>
      <c r="AE146" s="104"/>
      <c r="AF146" s="104"/>
      <c r="AG146" s="104"/>
      <c r="AI146" s="127"/>
      <c r="AJ146" s="198"/>
      <c r="BC146" s="1"/>
      <c r="BD146" s="38"/>
      <c r="BF146" s="6"/>
      <c r="BG146" s="6"/>
      <c r="BH146" s="6"/>
      <c r="BI146" s="6"/>
      <c r="BJ146" s="6"/>
    </row>
    <row r="147" spans="1:63" s="1" customFormat="1" outlineLevel="1">
      <c r="A147" s="1" t="s">
        <v>261</v>
      </c>
      <c r="B147" s="61"/>
      <c r="C147" s="279">
        <f t="shared" ref="C147:AG147" si="105">C145*C41</f>
        <v>0</v>
      </c>
      <c r="D147" s="279">
        <f t="shared" si="105"/>
        <v>10.933845936328451</v>
      </c>
      <c r="E147" s="279">
        <f t="shared" si="105"/>
        <v>21.867691872656902</v>
      </c>
      <c r="F147" s="279">
        <f t="shared" si="105"/>
        <v>32.801537808985351</v>
      </c>
      <c r="G147" s="279">
        <f t="shared" si="105"/>
        <v>43.735383745313804</v>
      </c>
      <c r="H147" s="279">
        <f t="shared" si="105"/>
        <v>54.66922968164225</v>
      </c>
      <c r="I147" s="279">
        <f t="shared" si="105"/>
        <v>65.603075617970703</v>
      </c>
      <c r="J147" s="279">
        <f t="shared" si="105"/>
        <v>76.536921554299155</v>
      </c>
      <c r="K147" s="279">
        <f t="shared" si="105"/>
        <v>87.470767490627608</v>
      </c>
      <c r="L147" s="279">
        <f t="shared" si="105"/>
        <v>98.404613426956061</v>
      </c>
      <c r="M147" s="279">
        <f t="shared" si="105"/>
        <v>109.33845936328451</v>
      </c>
      <c r="N147" s="279">
        <f t="shared" si="105"/>
        <v>120.27230529961297</v>
      </c>
      <c r="O147" s="279">
        <f t="shared" si="105"/>
        <v>131.20615123594143</v>
      </c>
      <c r="P147" s="279">
        <f t="shared" si="105"/>
        <v>142.13999717226986</v>
      </c>
      <c r="Q147" s="279">
        <f t="shared" si="105"/>
        <v>153.07384310859831</v>
      </c>
      <c r="R147" s="279">
        <f t="shared" si="105"/>
        <v>164.00768904492676</v>
      </c>
      <c r="S147" s="279">
        <f t="shared" si="105"/>
        <v>174.94153498125522</v>
      </c>
      <c r="T147" s="279">
        <f t="shared" si="105"/>
        <v>185.87538091758367</v>
      </c>
      <c r="U147" s="279">
        <f t="shared" si="105"/>
        <v>196.80922685391215</v>
      </c>
      <c r="V147" s="279">
        <f t="shared" si="105"/>
        <v>207.74307279024057</v>
      </c>
      <c r="W147" s="279">
        <f t="shared" si="105"/>
        <v>218.67691872656903</v>
      </c>
      <c r="X147" s="279">
        <f t="shared" si="105"/>
        <v>229.61076466289751</v>
      </c>
      <c r="Y147" s="279">
        <f t="shared" si="105"/>
        <v>240.54461059922593</v>
      </c>
      <c r="Z147" s="279">
        <f t="shared" si="105"/>
        <v>251.47845653555439</v>
      </c>
      <c r="AA147" s="279">
        <f t="shared" si="105"/>
        <v>262.41230247188287</v>
      </c>
      <c r="AB147" s="279">
        <f t="shared" si="105"/>
        <v>273.34614840821132</v>
      </c>
      <c r="AC147" s="279">
        <f t="shared" si="105"/>
        <v>284.27999434453977</v>
      </c>
      <c r="AD147" s="279">
        <f t="shared" si="105"/>
        <v>295.21384028086823</v>
      </c>
      <c r="AE147" s="279">
        <f t="shared" si="105"/>
        <v>306.14768621719662</v>
      </c>
      <c r="AF147" s="279">
        <f t="shared" si="105"/>
        <v>317.08153215352513</v>
      </c>
      <c r="AG147" s="279">
        <f t="shared" si="105"/>
        <v>328.01537808985358</v>
      </c>
      <c r="AH147" s="230"/>
      <c r="AI147" s="398"/>
      <c r="AJ147" s="399"/>
      <c r="AL147" s="207"/>
      <c r="AM147" s="118"/>
      <c r="AN147" s="118"/>
      <c r="AO147" s="118"/>
      <c r="BD147" s="118"/>
      <c r="BE147" s="118"/>
      <c r="BF147" s="118"/>
      <c r="BG147" s="118"/>
      <c r="BH147" s="118"/>
      <c r="BI147" s="118"/>
      <c r="BJ147" s="118"/>
      <c r="BK147" s="118"/>
    </row>
    <row r="148" spans="1:63" s="1" customFormat="1" outlineLevel="1">
      <c r="A148" s="1" t="s">
        <v>1160</v>
      </c>
      <c r="B148" s="61"/>
      <c r="C148" s="279">
        <f t="shared" ref="C148:AG148" si="106">C147-$C147</f>
        <v>0</v>
      </c>
      <c r="D148" s="279">
        <f t="shared" si="106"/>
        <v>10.933845936328451</v>
      </c>
      <c r="E148" s="279">
        <f t="shared" si="106"/>
        <v>21.867691872656902</v>
      </c>
      <c r="F148" s="279">
        <f t="shared" si="106"/>
        <v>32.801537808985351</v>
      </c>
      <c r="G148" s="279">
        <f t="shared" si="106"/>
        <v>43.735383745313804</v>
      </c>
      <c r="H148" s="279">
        <f t="shared" si="106"/>
        <v>54.66922968164225</v>
      </c>
      <c r="I148" s="279">
        <f t="shared" si="106"/>
        <v>65.603075617970703</v>
      </c>
      <c r="J148" s="279">
        <f t="shared" si="106"/>
        <v>76.536921554299155</v>
      </c>
      <c r="K148" s="279">
        <f t="shared" si="106"/>
        <v>87.470767490627608</v>
      </c>
      <c r="L148" s="279">
        <f t="shared" si="106"/>
        <v>98.404613426956061</v>
      </c>
      <c r="M148" s="279">
        <f t="shared" si="106"/>
        <v>109.33845936328451</v>
      </c>
      <c r="N148" s="279">
        <f t="shared" si="106"/>
        <v>120.27230529961297</v>
      </c>
      <c r="O148" s="279">
        <f t="shared" si="106"/>
        <v>131.20615123594143</v>
      </c>
      <c r="P148" s="279">
        <f t="shared" si="106"/>
        <v>142.13999717226986</v>
      </c>
      <c r="Q148" s="279">
        <f t="shared" si="106"/>
        <v>153.07384310859831</v>
      </c>
      <c r="R148" s="279">
        <f t="shared" si="106"/>
        <v>164.00768904492676</v>
      </c>
      <c r="S148" s="279">
        <f t="shared" si="106"/>
        <v>174.94153498125522</v>
      </c>
      <c r="T148" s="279">
        <f t="shared" si="106"/>
        <v>185.87538091758367</v>
      </c>
      <c r="U148" s="279">
        <f t="shared" si="106"/>
        <v>196.80922685391215</v>
      </c>
      <c r="V148" s="279">
        <f t="shared" si="106"/>
        <v>207.74307279024057</v>
      </c>
      <c r="W148" s="279">
        <f t="shared" si="106"/>
        <v>218.67691872656903</v>
      </c>
      <c r="X148" s="279">
        <f t="shared" si="106"/>
        <v>229.61076466289751</v>
      </c>
      <c r="Y148" s="279">
        <f t="shared" si="106"/>
        <v>240.54461059922593</v>
      </c>
      <c r="Z148" s="279">
        <f t="shared" si="106"/>
        <v>251.47845653555439</v>
      </c>
      <c r="AA148" s="279">
        <f t="shared" si="106"/>
        <v>262.41230247188287</v>
      </c>
      <c r="AB148" s="279">
        <f t="shared" si="106"/>
        <v>273.34614840821132</v>
      </c>
      <c r="AC148" s="279">
        <f t="shared" si="106"/>
        <v>284.27999434453977</v>
      </c>
      <c r="AD148" s="279">
        <f t="shared" si="106"/>
        <v>295.21384028086823</v>
      </c>
      <c r="AE148" s="279">
        <f t="shared" si="106"/>
        <v>306.14768621719662</v>
      </c>
      <c r="AF148" s="279">
        <f t="shared" si="106"/>
        <v>317.08153215352513</v>
      </c>
      <c r="AG148" s="279">
        <f t="shared" si="106"/>
        <v>328.01537808985358</v>
      </c>
      <c r="AH148" s="230"/>
      <c r="AI148" s="398"/>
      <c r="AJ148" s="399"/>
      <c r="AL148" s="207"/>
      <c r="AM148" s="118"/>
      <c r="AN148" s="118"/>
      <c r="AO148" s="118"/>
      <c r="BD148" s="118"/>
      <c r="BE148" s="118"/>
      <c r="BF148" s="118"/>
      <c r="BG148" s="118"/>
      <c r="BH148" s="118"/>
      <c r="BI148" s="118"/>
      <c r="BJ148" s="118"/>
      <c r="BK148" s="118"/>
    </row>
    <row r="149" spans="1:63" outlineLevel="1">
      <c r="AJ149" s="198"/>
    </row>
    <row r="150" spans="1:63" s="187" customFormat="1" ht="15.5" thickBot="1">
      <c r="A150" s="187" t="s">
        <v>463</v>
      </c>
      <c r="B150" s="202"/>
      <c r="C150" s="210">
        <f>C151</f>
        <v>0</v>
      </c>
      <c r="D150" s="210">
        <f t="shared" ref="D150:AG150" si="107">D151</f>
        <v>0</v>
      </c>
      <c r="E150" s="210">
        <f t="shared" si="107"/>
        <v>0</v>
      </c>
      <c r="F150" s="210">
        <f t="shared" si="107"/>
        <v>0</v>
      </c>
      <c r="G150" s="210">
        <f t="shared" si="107"/>
        <v>0</v>
      </c>
      <c r="H150" s="210">
        <f t="shared" si="107"/>
        <v>0</v>
      </c>
      <c r="I150" s="210">
        <f t="shared" si="107"/>
        <v>0</v>
      </c>
      <c r="J150" s="210">
        <f t="shared" si="107"/>
        <v>0</v>
      </c>
      <c r="K150" s="210">
        <f t="shared" si="107"/>
        <v>0</v>
      </c>
      <c r="L150" s="210">
        <f t="shared" si="107"/>
        <v>0</v>
      </c>
      <c r="M150" s="210">
        <f t="shared" si="107"/>
        <v>0</v>
      </c>
      <c r="N150" s="210">
        <f t="shared" si="107"/>
        <v>0</v>
      </c>
      <c r="O150" s="210">
        <f t="shared" si="107"/>
        <v>0</v>
      </c>
      <c r="P150" s="210">
        <f t="shared" si="107"/>
        <v>0</v>
      </c>
      <c r="Q150" s="210">
        <f t="shared" si="107"/>
        <v>0</v>
      </c>
      <c r="R150" s="210">
        <f t="shared" si="107"/>
        <v>0</v>
      </c>
      <c r="S150" s="210">
        <f t="shared" si="107"/>
        <v>0</v>
      </c>
      <c r="T150" s="210">
        <f t="shared" si="107"/>
        <v>0</v>
      </c>
      <c r="U150" s="210">
        <f t="shared" si="107"/>
        <v>0</v>
      </c>
      <c r="V150" s="210">
        <f t="shared" si="107"/>
        <v>0</v>
      </c>
      <c r="W150" s="210">
        <f t="shared" si="107"/>
        <v>0</v>
      </c>
      <c r="X150" s="210">
        <f t="shared" si="107"/>
        <v>0</v>
      </c>
      <c r="Y150" s="210">
        <f t="shared" si="107"/>
        <v>0</v>
      </c>
      <c r="Z150" s="210">
        <f t="shared" si="107"/>
        <v>0</v>
      </c>
      <c r="AA150" s="210">
        <f t="shared" si="107"/>
        <v>0</v>
      </c>
      <c r="AB150" s="210">
        <f t="shared" si="107"/>
        <v>0</v>
      </c>
      <c r="AC150" s="210">
        <f t="shared" si="107"/>
        <v>0</v>
      </c>
      <c r="AD150" s="210">
        <f t="shared" si="107"/>
        <v>0</v>
      </c>
      <c r="AE150" s="210">
        <f t="shared" si="107"/>
        <v>0</v>
      </c>
      <c r="AF150" s="210">
        <f t="shared" si="107"/>
        <v>0</v>
      </c>
      <c r="AG150" s="210">
        <f t="shared" si="107"/>
        <v>0</v>
      </c>
      <c r="AJ150" s="217" t="s">
        <v>472</v>
      </c>
      <c r="AL150" s="204"/>
      <c r="AM150" s="211"/>
      <c r="AN150" s="211"/>
      <c r="AO150" s="211"/>
    </row>
    <row r="151" spans="1:63" ht="15.5" outlineLevel="2" thickTop="1">
      <c r="A151" t="s">
        <v>464</v>
      </c>
      <c r="B151" s="51" t="s">
        <v>126</v>
      </c>
      <c r="C151" s="107">
        <v>0</v>
      </c>
      <c r="D151" s="104">
        <f>$C151+($M151-$C151)/10*(D$1-$C$1)</f>
        <v>0</v>
      </c>
      <c r="E151" s="104">
        <f t="shared" ref="E151:L151" si="108">$C151+($M151-$C151)/10*(E$1-$C$1)</f>
        <v>0</v>
      </c>
      <c r="F151" s="104">
        <f t="shared" si="108"/>
        <v>0</v>
      </c>
      <c r="G151" s="104">
        <f t="shared" si="108"/>
        <v>0</v>
      </c>
      <c r="H151" s="104">
        <f t="shared" si="108"/>
        <v>0</v>
      </c>
      <c r="I151" s="104">
        <f t="shared" si="108"/>
        <v>0</v>
      </c>
      <c r="J151" s="104">
        <f t="shared" si="108"/>
        <v>0</v>
      </c>
      <c r="K151" s="104">
        <f t="shared" si="108"/>
        <v>0</v>
      </c>
      <c r="L151" s="104">
        <f t="shared" si="108"/>
        <v>0</v>
      </c>
      <c r="M151" s="115">
        <v>0</v>
      </c>
      <c r="N151" s="115">
        <f>$M151+($W151-$M151)/10*(N$1-$M$1)</f>
        <v>0</v>
      </c>
      <c r="O151" s="115">
        <f t="shared" ref="O151:U151" si="109">$M151+($W151-$M151)/10*(O$1-$M$1)</f>
        <v>0</v>
      </c>
      <c r="P151" s="115">
        <f t="shared" si="109"/>
        <v>0</v>
      </c>
      <c r="Q151" s="115">
        <f t="shared" si="109"/>
        <v>0</v>
      </c>
      <c r="R151" s="115">
        <f t="shared" si="109"/>
        <v>0</v>
      </c>
      <c r="S151" s="115">
        <f t="shared" si="109"/>
        <v>0</v>
      </c>
      <c r="T151" s="115">
        <f t="shared" si="109"/>
        <v>0</v>
      </c>
      <c r="U151" s="115">
        <f t="shared" si="109"/>
        <v>0</v>
      </c>
      <c r="V151" s="115">
        <f>$M151+($W151-$M151)/10*(V$1-$M$1)</f>
        <v>0</v>
      </c>
      <c r="W151" s="115">
        <v>0</v>
      </c>
      <c r="X151" s="22">
        <f t="shared" ref="X151:AF151" si="110">$W151+($AG151-$W151)/10*(X$1-$W$1)</f>
        <v>0</v>
      </c>
      <c r="Y151" s="22">
        <f t="shared" si="110"/>
        <v>0</v>
      </c>
      <c r="Z151" s="22">
        <f t="shared" si="110"/>
        <v>0</v>
      </c>
      <c r="AA151" s="22">
        <f t="shared" si="110"/>
        <v>0</v>
      </c>
      <c r="AB151" s="22">
        <f t="shared" si="110"/>
        <v>0</v>
      </c>
      <c r="AC151" s="22">
        <f t="shared" si="110"/>
        <v>0</v>
      </c>
      <c r="AD151" s="22">
        <f t="shared" si="110"/>
        <v>0</v>
      </c>
      <c r="AE151" s="22">
        <f t="shared" si="110"/>
        <v>0</v>
      </c>
      <c r="AF151" s="22">
        <f t="shared" si="110"/>
        <v>0</v>
      </c>
      <c r="AG151" s="201">
        <v>0</v>
      </c>
      <c r="AJ151" s="198" t="s">
        <v>870</v>
      </c>
    </row>
    <row r="152" spans="1:63" outlineLevel="2">
      <c r="C152" s="107"/>
      <c r="D152" s="104"/>
      <c r="E152" s="104"/>
      <c r="F152" s="104"/>
      <c r="G152" s="104"/>
      <c r="H152" s="104"/>
      <c r="I152" s="104"/>
      <c r="J152" s="104"/>
      <c r="K152" s="104"/>
      <c r="L152" s="104"/>
      <c r="M152" s="115"/>
      <c r="N152" s="115"/>
      <c r="O152" s="115"/>
      <c r="P152" s="115"/>
      <c r="Q152" s="115"/>
      <c r="R152" s="115"/>
      <c r="S152" s="115"/>
      <c r="T152" s="115"/>
      <c r="U152" s="115"/>
      <c r="V152" s="115"/>
      <c r="W152" s="115"/>
      <c r="X152" s="22"/>
      <c r="Y152" s="22"/>
      <c r="Z152" s="22"/>
      <c r="AA152" s="22"/>
      <c r="AB152" s="22"/>
      <c r="AC152" s="22"/>
      <c r="AD152" s="22"/>
      <c r="AE152" s="22"/>
      <c r="AF152" s="22"/>
      <c r="AG152" s="100"/>
      <c r="AJ152" s="198"/>
    </row>
    <row r="153" spans="1:63" outlineLevel="1">
      <c r="A153" t="s">
        <v>1484</v>
      </c>
      <c r="C153" s="477">
        <f>('Overall recycling rates'!F88*'Yearly BTX'!D5+'Overall recycling rates'!G88*'Yearly BTX'!D6+'Overall recycling rates'!H88*'Yearly BTX'!D7)/'Yearly BTX'!D4</f>
        <v>1.0000000000000002</v>
      </c>
      <c r="D153" s="477">
        <f>C153-($C153-$AG153)/($AG$1-$C$1)</f>
        <v>1.0000000000000002</v>
      </c>
      <c r="E153" s="477">
        <f t="shared" ref="E153:AF153" si="111">D153-($C153-$AG153)/($AG$1-$C$1)</f>
        <v>1.0000000000000002</v>
      </c>
      <c r="F153" s="477">
        <f t="shared" si="111"/>
        <v>1.0000000000000002</v>
      </c>
      <c r="G153" s="477">
        <f t="shared" si="111"/>
        <v>1.0000000000000002</v>
      </c>
      <c r="H153" s="477">
        <f t="shared" si="111"/>
        <v>1.0000000000000002</v>
      </c>
      <c r="I153" s="477">
        <f t="shared" si="111"/>
        <v>1.0000000000000002</v>
      </c>
      <c r="J153" s="477">
        <f t="shared" si="111"/>
        <v>1.0000000000000002</v>
      </c>
      <c r="K153" s="477">
        <f t="shared" si="111"/>
        <v>1.0000000000000002</v>
      </c>
      <c r="L153" s="477">
        <f t="shared" si="111"/>
        <v>1.0000000000000002</v>
      </c>
      <c r="M153" s="477">
        <f t="shared" si="111"/>
        <v>1.0000000000000002</v>
      </c>
      <c r="N153" s="477">
        <f t="shared" si="111"/>
        <v>1.0000000000000002</v>
      </c>
      <c r="O153" s="477">
        <f t="shared" si="111"/>
        <v>1.0000000000000002</v>
      </c>
      <c r="P153" s="477">
        <f t="shared" si="111"/>
        <v>1.0000000000000002</v>
      </c>
      <c r="Q153" s="477">
        <f t="shared" si="111"/>
        <v>1.0000000000000002</v>
      </c>
      <c r="R153" s="477">
        <f t="shared" si="111"/>
        <v>1.0000000000000002</v>
      </c>
      <c r="S153" s="477">
        <f t="shared" si="111"/>
        <v>1.0000000000000002</v>
      </c>
      <c r="T153" s="477">
        <f t="shared" si="111"/>
        <v>1.0000000000000002</v>
      </c>
      <c r="U153" s="477">
        <f t="shared" si="111"/>
        <v>1.0000000000000002</v>
      </c>
      <c r="V153" s="477">
        <f t="shared" si="111"/>
        <v>1.0000000000000002</v>
      </c>
      <c r="W153" s="477">
        <f t="shared" si="111"/>
        <v>1.0000000000000002</v>
      </c>
      <c r="X153" s="477">
        <f t="shared" si="111"/>
        <v>1.0000000000000002</v>
      </c>
      <c r="Y153" s="477">
        <f t="shared" si="111"/>
        <v>1.0000000000000002</v>
      </c>
      <c r="Z153" s="477">
        <f t="shared" si="111"/>
        <v>1.0000000000000002</v>
      </c>
      <c r="AA153" s="477">
        <f t="shared" si="111"/>
        <v>1.0000000000000002</v>
      </c>
      <c r="AB153" s="477">
        <f t="shared" si="111"/>
        <v>1.0000000000000002</v>
      </c>
      <c r="AC153" s="477">
        <f t="shared" si="111"/>
        <v>1.0000000000000002</v>
      </c>
      <c r="AD153" s="477">
        <f t="shared" si="111"/>
        <v>1.0000000000000002</v>
      </c>
      <c r="AE153" s="477">
        <f t="shared" si="111"/>
        <v>1.0000000000000002</v>
      </c>
      <c r="AF153" s="477">
        <f t="shared" si="111"/>
        <v>1.0000000000000002</v>
      </c>
      <c r="AG153" s="477">
        <f>'Overall recycling rates'!F97</f>
        <v>1</v>
      </c>
      <c r="AI153" s="126"/>
      <c r="AJ153" s="198"/>
      <c r="AL153" s="102"/>
      <c r="AM153" s="194"/>
      <c r="AN153" s="194"/>
      <c r="AO153" s="194"/>
      <c r="BC153" s="1"/>
      <c r="BD153" s="194"/>
      <c r="BE153" s="194"/>
      <c r="BF153" s="194"/>
      <c r="BG153" s="194"/>
      <c r="BH153" s="194"/>
      <c r="BI153" s="194"/>
      <c r="BJ153" s="194"/>
      <c r="BK153" s="194"/>
    </row>
    <row r="154" spans="1:63" outlineLevel="1">
      <c r="A154" t="s">
        <v>1500</v>
      </c>
      <c r="B154" s="51" t="s">
        <v>126</v>
      </c>
      <c r="C154" s="104">
        <f>C151*C153</f>
        <v>0</v>
      </c>
      <c r="D154" s="104">
        <f t="shared" ref="D154:AG154" si="112">D151*D153</f>
        <v>0</v>
      </c>
      <c r="E154" s="104">
        <f t="shared" si="112"/>
        <v>0</v>
      </c>
      <c r="F154" s="104">
        <f t="shared" si="112"/>
        <v>0</v>
      </c>
      <c r="G154" s="104">
        <f t="shared" si="112"/>
        <v>0</v>
      </c>
      <c r="H154" s="104">
        <f t="shared" si="112"/>
        <v>0</v>
      </c>
      <c r="I154" s="104">
        <f t="shared" si="112"/>
        <v>0</v>
      </c>
      <c r="J154" s="104">
        <f t="shared" si="112"/>
        <v>0</v>
      </c>
      <c r="K154" s="104">
        <f t="shared" si="112"/>
        <v>0</v>
      </c>
      <c r="L154" s="104">
        <f t="shared" si="112"/>
        <v>0</v>
      </c>
      <c r="M154" s="104">
        <f t="shared" si="112"/>
        <v>0</v>
      </c>
      <c r="N154" s="104">
        <f t="shared" si="112"/>
        <v>0</v>
      </c>
      <c r="O154" s="104">
        <f t="shared" si="112"/>
        <v>0</v>
      </c>
      <c r="P154" s="104">
        <f t="shared" si="112"/>
        <v>0</v>
      </c>
      <c r="Q154" s="104">
        <f t="shared" si="112"/>
        <v>0</v>
      </c>
      <c r="R154" s="104">
        <f t="shared" si="112"/>
        <v>0</v>
      </c>
      <c r="S154" s="104">
        <f t="shared" si="112"/>
        <v>0</v>
      </c>
      <c r="T154" s="104">
        <f t="shared" si="112"/>
        <v>0</v>
      </c>
      <c r="U154" s="104">
        <f t="shared" si="112"/>
        <v>0</v>
      </c>
      <c r="V154" s="104">
        <f t="shared" si="112"/>
        <v>0</v>
      </c>
      <c r="W154" s="104">
        <f t="shared" si="112"/>
        <v>0</v>
      </c>
      <c r="X154" s="104">
        <f t="shared" si="112"/>
        <v>0</v>
      </c>
      <c r="Y154" s="104">
        <f t="shared" si="112"/>
        <v>0</v>
      </c>
      <c r="Z154" s="104">
        <f t="shared" si="112"/>
        <v>0</v>
      </c>
      <c r="AA154" s="104">
        <f t="shared" si="112"/>
        <v>0</v>
      </c>
      <c r="AB154" s="104">
        <f t="shared" si="112"/>
        <v>0</v>
      </c>
      <c r="AC154" s="104">
        <f t="shared" si="112"/>
        <v>0</v>
      </c>
      <c r="AD154" s="104">
        <f t="shared" si="112"/>
        <v>0</v>
      </c>
      <c r="AE154" s="104">
        <f t="shared" si="112"/>
        <v>0</v>
      </c>
      <c r="AF154" s="104">
        <f t="shared" si="112"/>
        <v>0</v>
      </c>
      <c r="AG154" s="104">
        <f t="shared" si="112"/>
        <v>0</v>
      </c>
      <c r="AJ154" s="198"/>
    </row>
    <row r="155" spans="1:63" outlineLevel="1">
      <c r="C155" s="104"/>
      <c r="D155" s="104"/>
      <c r="E155" s="104"/>
      <c r="F155" s="104"/>
      <c r="G155" s="104"/>
      <c r="H155" s="104"/>
      <c r="I155" s="104"/>
      <c r="J155" s="104"/>
      <c r="K155" s="104"/>
      <c r="L155" s="104"/>
      <c r="M155" s="104"/>
      <c r="N155" s="104"/>
      <c r="O155" s="104"/>
      <c r="P155" s="104"/>
      <c r="Q155" s="104"/>
      <c r="R155" s="104"/>
      <c r="S155" s="104"/>
      <c r="T155" s="104"/>
      <c r="U155" s="104"/>
      <c r="V155" s="104"/>
      <c r="W155" s="104"/>
      <c r="X155" s="104"/>
      <c r="Y155" s="104"/>
      <c r="Z155" s="104"/>
      <c r="AA155" s="104"/>
      <c r="AB155" s="104"/>
      <c r="AC155" s="104"/>
      <c r="AD155" s="104"/>
      <c r="AE155" s="104"/>
      <c r="AF155" s="104"/>
      <c r="AG155" s="104"/>
      <c r="AJ155" s="198"/>
    </row>
    <row r="156" spans="1:63" s="1" customFormat="1" outlineLevel="1">
      <c r="A156" s="1" t="s">
        <v>261</v>
      </c>
      <c r="B156" s="61"/>
      <c r="C156" s="279">
        <f t="shared" ref="C156:AG156" si="113">C154*C43</f>
        <v>0</v>
      </c>
      <c r="D156" s="279">
        <f t="shared" si="113"/>
        <v>0</v>
      </c>
      <c r="E156" s="279">
        <f t="shared" si="113"/>
        <v>0</v>
      </c>
      <c r="F156" s="279">
        <f t="shared" si="113"/>
        <v>0</v>
      </c>
      <c r="G156" s="279">
        <f t="shared" si="113"/>
        <v>0</v>
      </c>
      <c r="H156" s="279">
        <f t="shared" si="113"/>
        <v>0</v>
      </c>
      <c r="I156" s="279">
        <f t="shared" si="113"/>
        <v>0</v>
      </c>
      <c r="J156" s="279">
        <f t="shared" si="113"/>
        <v>0</v>
      </c>
      <c r="K156" s="279">
        <f t="shared" si="113"/>
        <v>0</v>
      </c>
      <c r="L156" s="279">
        <f t="shared" si="113"/>
        <v>0</v>
      </c>
      <c r="M156" s="279">
        <f t="shared" si="113"/>
        <v>0</v>
      </c>
      <c r="N156" s="279">
        <f t="shared" si="113"/>
        <v>0</v>
      </c>
      <c r="O156" s="279">
        <f t="shared" si="113"/>
        <v>0</v>
      </c>
      <c r="P156" s="279">
        <f t="shared" si="113"/>
        <v>0</v>
      </c>
      <c r="Q156" s="279">
        <f t="shared" si="113"/>
        <v>0</v>
      </c>
      <c r="R156" s="279">
        <f t="shared" si="113"/>
        <v>0</v>
      </c>
      <c r="S156" s="279">
        <f t="shared" si="113"/>
        <v>0</v>
      </c>
      <c r="T156" s="279">
        <f t="shared" si="113"/>
        <v>0</v>
      </c>
      <c r="U156" s="279">
        <f t="shared" si="113"/>
        <v>0</v>
      </c>
      <c r="V156" s="279">
        <f t="shared" si="113"/>
        <v>0</v>
      </c>
      <c r="W156" s="279">
        <f t="shared" si="113"/>
        <v>0</v>
      </c>
      <c r="X156" s="279">
        <f t="shared" si="113"/>
        <v>0</v>
      </c>
      <c r="Y156" s="279">
        <f t="shared" si="113"/>
        <v>0</v>
      </c>
      <c r="Z156" s="279">
        <f t="shared" si="113"/>
        <v>0</v>
      </c>
      <c r="AA156" s="279">
        <f t="shared" si="113"/>
        <v>0</v>
      </c>
      <c r="AB156" s="279">
        <f t="shared" si="113"/>
        <v>0</v>
      </c>
      <c r="AC156" s="279">
        <f t="shared" si="113"/>
        <v>0</v>
      </c>
      <c r="AD156" s="279">
        <f t="shared" si="113"/>
        <v>0</v>
      </c>
      <c r="AE156" s="279">
        <f t="shared" si="113"/>
        <v>0</v>
      </c>
      <c r="AF156" s="279">
        <f t="shared" si="113"/>
        <v>0</v>
      </c>
      <c r="AG156" s="279">
        <f t="shared" si="113"/>
        <v>0</v>
      </c>
      <c r="AH156" s="230"/>
      <c r="AI156" s="398"/>
      <c r="AJ156" s="399"/>
      <c r="AL156" s="207"/>
      <c r="AM156" s="118"/>
      <c r="AN156" s="118"/>
      <c r="AO156" s="118"/>
      <c r="BD156" s="118"/>
      <c r="BE156" s="118"/>
      <c r="BF156" s="118"/>
      <c r="BG156" s="118"/>
      <c r="BH156" s="118"/>
      <c r="BI156" s="118"/>
      <c r="BJ156" s="118"/>
      <c r="BK156" s="118"/>
    </row>
    <row r="157" spans="1:63" s="1" customFormat="1" outlineLevel="1">
      <c r="A157" s="1" t="s">
        <v>1160</v>
      </c>
      <c r="B157" s="61"/>
      <c r="C157" s="279">
        <f t="shared" ref="C157:AG157" si="114">C156-$C156</f>
        <v>0</v>
      </c>
      <c r="D157" s="279">
        <f t="shared" si="114"/>
        <v>0</v>
      </c>
      <c r="E157" s="279">
        <f t="shared" si="114"/>
        <v>0</v>
      </c>
      <c r="F157" s="279">
        <f t="shared" si="114"/>
        <v>0</v>
      </c>
      <c r="G157" s="279">
        <f t="shared" si="114"/>
        <v>0</v>
      </c>
      <c r="H157" s="279">
        <f t="shared" si="114"/>
        <v>0</v>
      </c>
      <c r="I157" s="279">
        <f t="shared" si="114"/>
        <v>0</v>
      </c>
      <c r="J157" s="279">
        <f t="shared" si="114"/>
        <v>0</v>
      </c>
      <c r="K157" s="279">
        <f t="shared" si="114"/>
        <v>0</v>
      </c>
      <c r="L157" s="279">
        <f t="shared" si="114"/>
        <v>0</v>
      </c>
      <c r="M157" s="279">
        <f t="shared" si="114"/>
        <v>0</v>
      </c>
      <c r="N157" s="279">
        <f t="shared" si="114"/>
        <v>0</v>
      </c>
      <c r="O157" s="279">
        <f t="shared" si="114"/>
        <v>0</v>
      </c>
      <c r="P157" s="279">
        <f t="shared" si="114"/>
        <v>0</v>
      </c>
      <c r="Q157" s="279">
        <f t="shared" si="114"/>
        <v>0</v>
      </c>
      <c r="R157" s="279">
        <f t="shared" si="114"/>
        <v>0</v>
      </c>
      <c r="S157" s="279">
        <f t="shared" si="114"/>
        <v>0</v>
      </c>
      <c r="T157" s="279">
        <f t="shared" si="114"/>
        <v>0</v>
      </c>
      <c r="U157" s="279">
        <f t="shared" si="114"/>
        <v>0</v>
      </c>
      <c r="V157" s="279">
        <f t="shared" si="114"/>
        <v>0</v>
      </c>
      <c r="W157" s="279">
        <f t="shared" si="114"/>
        <v>0</v>
      </c>
      <c r="X157" s="279">
        <f t="shared" si="114"/>
        <v>0</v>
      </c>
      <c r="Y157" s="279">
        <f t="shared" si="114"/>
        <v>0</v>
      </c>
      <c r="Z157" s="279">
        <f t="shared" si="114"/>
        <v>0</v>
      </c>
      <c r="AA157" s="279">
        <f t="shared" si="114"/>
        <v>0</v>
      </c>
      <c r="AB157" s="279">
        <f t="shared" si="114"/>
        <v>0</v>
      </c>
      <c r="AC157" s="279">
        <f t="shared" si="114"/>
        <v>0</v>
      </c>
      <c r="AD157" s="279">
        <f t="shared" si="114"/>
        <v>0</v>
      </c>
      <c r="AE157" s="279">
        <f t="shared" si="114"/>
        <v>0</v>
      </c>
      <c r="AF157" s="279">
        <f t="shared" si="114"/>
        <v>0</v>
      </c>
      <c r="AG157" s="279">
        <f t="shared" si="114"/>
        <v>0</v>
      </c>
      <c r="AH157" s="230"/>
      <c r="AI157" s="398"/>
      <c r="AJ157" s="399"/>
      <c r="AL157" s="207"/>
      <c r="AM157" s="118"/>
      <c r="AN157" s="118"/>
      <c r="AO157" s="118"/>
      <c r="BD157" s="118"/>
      <c r="BE157" s="118"/>
      <c r="BF157" s="118"/>
      <c r="BG157" s="118"/>
      <c r="BH157" s="118"/>
      <c r="BI157" s="118"/>
      <c r="BJ157" s="118"/>
      <c r="BK157" s="118"/>
    </row>
    <row r="158" spans="1:63" outlineLevel="2">
      <c r="C158" s="107"/>
      <c r="D158" s="104"/>
      <c r="E158" s="104"/>
      <c r="F158" s="104"/>
      <c r="G158" s="104"/>
      <c r="H158" s="104"/>
      <c r="I158" s="104"/>
      <c r="J158" s="104"/>
      <c r="K158" s="104"/>
      <c r="L158" s="104"/>
      <c r="M158" s="115"/>
      <c r="N158" s="115"/>
      <c r="O158" s="115"/>
      <c r="P158" s="115"/>
      <c r="Q158" s="115"/>
      <c r="R158" s="115"/>
      <c r="S158" s="115"/>
      <c r="T158" s="115"/>
      <c r="U158" s="115"/>
      <c r="V158" s="115"/>
      <c r="W158" s="115"/>
      <c r="X158" s="22"/>
      <c r="Y158" s="22"/>
      <c r="Z158" s="22"/>
      <c r="AA158" s="22"/>
      <c r="AB158" s="22"/>
      <c r="AC158" s="22"/>
      <c r="AD158" s="22"/>
      <c r="AE158" s="22"/>
      <c r="AF158" s="22"/>
      <c r="AG158" s="100"/>
      <c r="AJ158" s="198"/>
    </row>
    <row r="159" spans="1:63" s="187" customFormat="1" ht="15.5" thickBot="1">
      <c r="A159" s="213" t="s">
        <v>1501</v>
      </c>
      <c r="B159" s="214"/>
      <c r="C159" s="215">
        <f t="shared" ref="C159:AG159" si="115">(C39*C63+C40*C99+C42*C130+C41*C145+C43*C154)/C44</f>
        <v>5.4779909070497762E-2</v>
      </c>
      <c r="D159" s="215">
        <f t="shared" si="115"/>
        <v>6.22055345747922E-2</v>
      </c>
      <c r="E159" s="215">
        <f t="shared" si="115"/>
        <v>6.9635593039034563E-2</v>
      </c>
      <c r="F159" s="215">
        <f t="shared" si="115"/>
        <v>7.7070088434001663E-2</v>
      </c>
      <c r="G159" s="215">
        <f t="shared" si="115"/>
        <v>8.4509024735214197E-2</v>
      </c>
      <c r="H159" s="215">
        <f t="shared" si="115"/>
        <v>9.1952405922943764E-2</v>
      </c>
      <c r="I159" s="215">
        <f t="shared" si="115"/>
        <v>9.9536471880740301E-2</v>
      </c>
      <c r="J159" s="215">
        <f t="shared" si="115"/>
        <v>0.10714590850079939</v>
      </c>
      <c r="K159" s="215">
        <f t="shared" si="115"/>
        <v>0.11478084330355659</v>
      </c>
      <c r="L159" s="215">
        <f t="shared" si="115"/>
        <v>0.12244140466548879</v>
      </c>
      <c r="M159" s="215">
        <f t="shared" si="115"/>
        <v>0.13012772182630961</v>
      </c>
      <c r="N159" s="215">
        <f t="shared" si="115"/>
        <v>0.1378697194317153</v>
      </c>
      <c r="O159" s="215">
        <f t="shared" si="115"/>
        <v>0.14562861115802944</v>
      </c>
      <c r="P159" s="215">
        <f t="shared" si="115"/>
        <v>0.15325003335076873</v>
      </c>
      <c r="Q159" s="215">
        <f t="shared" si="115"/>
        <v>0.16088356736193068</v>
      </c>
      <c r="R159" s="215">
        <f t="shared" si="115"/>
        <v>0.16852933845333931</v>
      </c>
      <c r="S159" s="215">
        <f t="shared" si="115"/>
        <v>0.17618746169363048</v>
      </c>
      <c r="T159" s="215">
        <f t="shared" si="115"/>
        <v>0.18385807664283244</v>
      </c>
      <c r="U159" s="215">
        <f t="shared" si="115"/>
        <v>0.19154131383912709</v>
      </c>
      <c r="V159" s="215">
        <f t="shared" si="115"/>
        <v>0.19923730564588352</v>
      </c>
      <c r="W159" s="215">
        <f t="shared" si="115"/>
        <v>0.20694618628366976</v>
      </c>
      <c r="X159" s="215">
        <f t="shared" si="115"/>
        <v>0.21473107100661046</v>
      </c>
      <c r="Y159" s="215">
        <f t="shared" si="115"/>
        <v>0.22247106114209367</v>
      </c>
      <c r="Z159" s="215">
        <f t="shared" si="115"/>
        <v>0.22967296652943148</v>
      </c>
      <c r="AA159" s="215">
        <f t="shared" si="115"/>
        <v>0.23684605609504505</v>
      </c>
      <c r="AB159" s="215">
        <f t="shared" si="115"/>
        <v>0.24398974326657691</v>
      </c>
      <c r="AC159" s="215">
        <f t="shared" si="115"/>
        <v>0.25111464496909119</v>
      </c>
      <c r="AD159" s="215">
        <f t="shared" si="115"/>
        <v>0.25820971520575281</v>
      </c>
      <c r="AE159" s="215">
        <f t="shared" si="115"/>
        <v>0.26527432997323164</v>
      </c>
      <c r="AF159" s="215">
        <f t="shared" si="115"/>
        <v>0.27230784774244404</v>
      </c>
      <c r="AG159" s="215">
        <f t="shared" si="115"/>
        <v>0.27930960883891681</v>
      </c>
      <c r="AJ159" s="452"/>
      <c r="AL159" s="204"/>
      <c r="AM159" s="211"/>
      <c r="AN159" s="211"/>
      <c r="AO159" s="211"/>
    </row>
    <row r="160" spans="1:63" s="187" customFormat="1" ht="16.25" thickTop="1" thickBot="1">
      <c r="A160" s="213"/>
      <c r="B160" s="214"/>
      <c r="C160" s="215"/>
      <c r="D160" s="215"/>
      <c r="E160" s="215"/>
      <c r="F160" s="215"/>
      <c r="G160" s="215"/>
      <c r="H160" s="215"/>
      <c r="I160" s="215"/>
      <c r="J160" s="215"/>
      <c r="K160" s="215"/>
      <c r="L160" s="215"/>
      <c r="M160" s="215"/>
      <c r="N160" s="215"/>
      <c r="O160" s="215"/>
      <c r="P160" s="215"/>
      <c r="Q160" s="215"/>
      <c r="R160" s="215"/>
      <c r="S160" s="215"/>
      <c r="T160" s="215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  <c r="AE160" s="215"/>
      <c r="AF160" s="215"/>
      <c r="AG160" s="215"/>
      <c r="AJ160" s="212"/>
      <c r="AL160" s="204"/>
      <c r="AM160" s="211"/>
      <c r="AN160" s="211"/>
      <c r="AO160" s="211"/>
    </row>
    <row r="161" spans="1:36" ht="15.5" thickTop="1">
      <c r="B161" s="123"/>
      <c r="C161" s="107"/>
      <c r="D161" s="22"/>
      <c r="E161" s="22"/>
      <c r="F161" s="22"/>
      <c r="G161" s="22"/>
      <c r="H161" s="22"/>
      <c r="I161" s="22"/>
      <c r="J161" s="22"/>
      <c r="K161" s="22"/>
      <c r="L161" s="22"/>
      <c r="M161" s="120"/>
      <c r="N161" s="104"/>
      <c r="O161" s="104"/>
      <c r="P161" s="104"/>
      <c r="Q161" s="104"/>
      <c r="R161" s="104"/>
      <c r="S161" s="104"/>
      <c r="T161" s="104"/>
      <c r="U161" s="104"/>
      <c r="V161" s="104"/>
      <c r="W161" s="120"/>
      <c r="X161" s="104"/>
      <c r="Y161" s="104"/>
      <c r="Z161" s="104"/>
      <c r="AA161" s="104"/>
      <c r="AB161" s="104"/>
      <c r="AC161" s="104"/>
      <c r="AD161" s="104"/>
      <c r="AE161" s="104"/>
      <c r="AF161" s="104"/>
      <c r="AG161" s="107"/>
    </row>
    <row r="162" spans="1:36">
      <c r="A162" t="s">
        <v>1502</v>
      </c>
      <c r="B162" s="123"/>
      <c r="C162" s="216">
        <f t="shared" ref="C162:AG162" si="116">C156+C147+C138+C136+C134+C110+C108+C106+C104+C77+C75+C73+C71+C69</f>
        <v>5810.5321893626915</v>
      </c>
      <c r="D162" s="216">
        <f t="shared" si="116"/>
        <v>6596.2036605473786</v>
      </c>
      <c r="E162" s="216">
        <f t="shared" si="116"/>
        <v>7381.8751317320657</v>
      </c>
      <c r="F162" s="216">
        <f t="shared" si="116"/>
        <v>8167.5466029167519</v>
      </c>
      <c r="G162" s="216">
        <f t="shared" si="116"/>
        <v>8953.2180741014381</v>
      </c>
      <c r="H162" s="216">
        <f t="shared" si="116"/>
        <v>9738.889545286127</v>
      </c>
      <c r="I162" s="216">
        <f t="shared" si="116"/>
        <v>10524.561016470812</v>
      </c>
      <c r="J162" s="216">
        <f t="shared" si="116"/>
        <v>11310.232487655499</v>
      </c>
      <c r="K162" s="216">
        <f t="shared" si="116"/>
        <v>12095.90395884019</v>
      </c>
      <c r="L162" s="216">
        <f t="shared" si="116"/>
        <v>12881.575430024875</v>
      </c>
      <c r="M162" s="216">
        <f t="shared" si="116"/>
        <v>13667.246901209564</v>
      </c>
      <c r="N162" s="216">
        <f t="shared" si="116"/>
        <v>14452.91837239425</v>
      </c>
      <c r="O162" s="216">
        <f t="shared" si="116"/>
        <v>15238.589843578939</v>
      </c>
      <c r="P162" s="216">
        <f t="shared" si="116"/>
        <v>15981.379587206126</v>
      </c>
      <c r="Q162" s="216">
        <f t="shared" si="116"/>
        <v>16719.985747656978</v>
      </c>
      <c r="R162" s="216">
        <f t="shared" si="116"/>
        <v>17454.408324931486</v>
      </c>
      <c r="S162" s="216">
        <f t="shared" si="116"/>
        <v>18184.647319029649</v>
      </c>
      <c r="T162" s="216">
        <f t="shared" si="116"/>
        <v>18910.702729951478</v>
      </c>
      <c r="U162" s="216">
        <f t="shared" si="116"/>
        <v>19632.57455769696</v>
      </c>
      <c r="V162" s="216">
        <f t="shared" si="116"/>
        <v>20350.262802266108</v>
      </c>
      <c r="W162" s="216">
        <f t="shared" si="116"/>
        <v>21063.767463658907</v>
      </c>
      <c r="X162" s="216">
        <f t="shared" si="116"/>
        <v>21773.088541875368</v>
      </c>
      <c r="Y162" s="216">
        <f t="shared" si="116"/>
        <v>22478.226036915494</v>
      </c>
      <c r="Z162" s="216">
        <f t="shared" si="116"/>
        <v>23051.580661900869</v>
      </c>
      <c r="AA162" s="216">
        <f t="shared" si="116"/>
        <v>23612.384537357219</v>
      </c>
      <c r="AB162" s="216">
        <f t="shared" si="116"/>
        <v>24160.637663284546</v>
      </c>
      <c r="AC162" s="216">
        <f t="shared" si="116"/>
        <v>24696.340039682851</v>
      </c>
      <c r="AD162" s="216">
        <f t="shared" si="116"/>
        <v>25219.491666552127</v>
      </c>
      <c r="AE162" s="216">
        <f t="shared" si="116"/>
        <v>25730.092543892384</v>
      </c>
      <c r="AF162" s="216">
        <f t="shared" si="116"/>
        <v>26228.142671703623</v>
      </c>
      <c r="AG162" s="216">
        <f t="shared" si="116"/>
        <v>26713.642049985829</v>
      </c>
      <c r="AH162" s="230"/>
      <c r="AI162" s="22">
        <f>(AG162/C162)^(1/30)-1</f>
        <v>5.2165134112466705E-2</v>
      </c>
      <c r="AJ162" s="490">
        <f>AG162-C162</f>
        <v>20903.109860623139</v>
      </c>
    </row>
    <row r="163" spans="1:36">
      <c r="A163" t="s">
        <v>1503</v>
      </c>
      <c r="B163" s="123"/>
      <c r="C163" s="216">
        <f>C162</f>
        <v>5810.5321893626915</v>
      </c>
      <c r="D163" s="216">
        <f>C163*(1+$AI$163)</f>
        <v>5907.5680769250484</v>
      </c>
      <c r="E163" s="216">
        <f t="shared" ref="E163:AG163" si="117">D163*(1+$AI$163)</f>
        <v>6006.2244638096963</v>
      </c>
      <c r="F163" s="216">
        <f t="shared" si="117"/>
        <v>6106.5284123553174</v>
      </c>
      <c r="G163" s="216">
        <f t="shared" si="117"/>
        <v>6208.5074368416508</v>
      </c>
      <c r="H163" s="216">
        <f t="shared" si="117"/>
        <v>6312.189511036906</v>
      </c>
      <c r="I163" s="216">
        <f t="shared" si="117"/>
        <v>6417.6030758712222</v>
      </c>
      <c r="J163" s="216">
        <f t="shared" si="117"/>
        <v>6524.7770472382708</v>
      </c>
      <c r="K163" s="216">
        <f t="shared" si="117"/>
        <v>6633.7408239271499</v>
      </c>
      <c r="L163" s="216">
        <f t="shared" si="117"/>
        <v>6744.5242956867332</v>
      </c>
      <c r="M163" s="216">
        <f>L163*(1+$AI$163)</f>
        <v>6857.1578514247012</v>
      </c>
      <c r="N163" s="216">
        <f t="shared" si="117"/>
        <v>6971.6723875434936</v>
      </c>
      <c r="O163" s="216">
        <f t="shared" si="117"/>
        <v>7088.0993164154697</v>
      </c>
      <c r="P163" s="216">
        <f t="shared" si="117"/>
        <v>7206.4705749996074</v>
      </c>
      <c r="Q163" s="216">
        <f t="shared" si="117"/>
        <v>7326.8186336021008</v>
      </c>
      <c r="R163" s="216">
        <f t="shared" si="117"/>
        <v>7449.176504783255</v>
      </c>
      <c r="S163" s="216">
        <f t="shared" si="117"/>
        <v>7573.5777524131354</v>
      </c>
      <c r="T163" s="216">
        <f t="shared" si="117"/>
        <v>7700.0565008784342</v>
      </c>
      <c r="U163" s="216">
        <f t="shared" si="117"/>
        <v>7828.6474444431033</v>
      </c>
      <c r="V163" s="216">
        <f t="shared" si="117"/>
        <v>7959.3858567653024</v>
      </c>
      <c r="W163" s="216">
        <f t="shared" si="117"/>
        <v>8092.3076005732828</v>
      </c>
      <c r="X163" s="216">
        <f t="shared" si="117"/>
        <v>8227.4491375028556</v>
      </c>
      <c r="Y163" s="216">
        <f t="shared" si="117"/>
        <v>8364.8475380991531</v>
      </c>
      <c r="Z163" s="216">
        <f t="shared" si="117"/>
        <v>8504.5404919854082</v>
      </c>
      <c r="AA163" s="216">
        <f t="shared" si="117"/>
        <v>8646.5663182015633</v>
      </c>
      <c r="AB163" s="216">
        <f t="shared" si="117"/>
        <v>8790.9639757155292</v>
      </c>
      <c r="AC163" s="216">
        <f t="shared" si="117"/>
        <v>8937.7730741099786</v>
      </c>
      <c r="AD163" s="216">
        <f t="shared" si="117"/>
        <v>9087.0338844476155</v>
      </c>
      <c r="AE163" s="216">
        <f t="shared" si="117"/>
        <v>9238.7873503178907</v>
      </c>
      <c r="AF163" s="216">
        <f t="shared" si="117"/>
        <v>9393.0750990681991</v>
      </c>
      <c r="AG163" s="216">
        <f t="shared" si="117"/>
        <v>9549.9394532226379</v>
      </c>
      <c r="AI163" s="201">
        <v>1.67E-2</v>
      </c>
      <c r="AJ163" s="3" t="s">
        <v>676</v>
      </c>
    </row>
    <row r="164" spans="1:36">
      <c r="B164" s="48"/>
    </row>
    <row r="165" spans="1:36" s="55" customFormat="1">
      <c r="A165" s="55" t="s">
        <v>703</v>
      </c>
      <c r="B165" s="282"/>
      <c r="C165" s="283"/>
      <c r="D165" s="283"/>
      <c r="E165" s="283"/>
      <c r="F165" s="283"/>
      <c r="G165" s="283"/>
      <c r="H165" s="283"/>
      <c r="I165" s="283"/>
      <c r="J165" s="283"/>
      <c r="K165" s="283"/>
      <c r="L165" s="283"/>
      <c r="M165" s="283"/>
      <c r="N165" s="283"/>
      <c r="O165" s="283"/>
      <c r="P165" s="283"/>
      <c r="Q165" s="283"/>
      <c r="R165" s="283"/>
      <c r="S165" s="283"/>
      <c r="T165" s="283"/>
      <c r="U165" s="283"/>
      <c r="V165" s="283"/>
      <c r="W165" s="283"/>
      <c r="X165" s="283"/>
      <c r="Y165" s="283"/>
      <c r="Z165" s="283"/>
      <c r="AA165" s="283"/>
      <c r="AB165" s="283"/>
      <c r="AC165" s="283"/>
      <c r="AD165" s="283"/>
      <c r="AE165" s="283"/>
      <c r="AF165" s="283"/>
      <c r="AG165" s="283"/>
      <c r="AI165" s="284"/>
      <c r="AJ165" s="285"/>
    </row>
    <row r="166" spans="1:36" s="178" customFormat="1" outlineLevel="1">
      <c r="A166" s="321" t="s">
        <v>706</v>
      </c>
      <c r="B166" s="297" t="s">
        <v>126</v>
      </c>
      <c r="C166" s="678">
        <v>0.84</v>
      </c>
      <c r="D166" s="298">
        <f>-($C166-$AG166)/30+C166</f>
        <v>0.83566666666666667</v>
      </c>
      <c r="E166" s="298">
        <f t="shared" ref="E166:AF172" si="118">-($C166-$AG166)/30+D166</f>
        <v>0.83133333333333337</v>
      </c>
      <c r="F166" s="298">
        <f t="shared" si="118"/>
        <v>0.82700000000000007</v>
      </c>
      <c r="G166" s="298">
        <f t="shared" si="118"/>
        <v>0.82266666666666677</v>
      </c>
      <c r="H166" s="298">
        <f t="shared" si="118"/>
        <v>0.81833333333333347</v>
      </c>
      <c r="I166" s="298">
        <f t="shared" si="118"/>
        <v>0.81400000000000017</v>
      </c>
      <c r="J166" s="298">
        <f t="shared" si="118"/>
        <v>0.80966666666666687</v>
      </c>
      <c r="K166" s="298">
        <f t="shared" si="118"/>
        <v>0.80533333333333357</v>
      </c>
      <c r="L166" s="298">
        <f t="shared" si="118"/>
        <v>0.80100000000000027</v>
      </c>
      <c r="M166" s="298">
        <f t="shared" si="118"/>
        <v>0.79666666666666697</v>
      </c>
      <c r="N166" s="298">
        <f t="shared" si="118"/>
        <v>0.79233333333333367</v>
      </c>
      <c r="O166" s="298">
        <f t="shared" si="118"/>
        <v>0.78800000000000037</v>
      </c>
      <c r="P166" s="298">
        <f t="shared" si="118"/>
        <v>0.78366666666666707</v>
      </c>
      <c r="Q166" s="298">
        <f t="shared" si="118"/>
        <v>0.77933333333333377</v>
      </c>
      <c r="R166" s="298">
        <f t="shared" si="118"/>
        <v>0.77500000000000047</v>
      </c>
      <c r="S166" s="298">
        <f t="shared" si="118"/>
        <v>0.77066666666666717</v>
      </c>
      <c r="T166" s="298">
        <f t="shared" si="118"/>
        <v>0.76633333333333387</v>
      </c>
      <c r="U166" s="298">
        <f t="shared" si="118"/>
        <v>0.76200000000000057</v>
      </c>
      <c r="V166" s="298">
        <f t="shared" si="118"/>
        <v>0.75766666666666727</v>
      </c>
      <c r="W166" s="298">
        <f t="shared" si="118"/>
        <v>0.75333333333333397</v>
      </c>
      <c r="X166" s="298">
        <f t="shared" si="118"/>
        <v>0.74900000000000067</v>
      </c>
      <c r="Y166" s="298">
        <f t="shared" si="118"/>
        <v>0.74466666666666737</v>
      </c>
      <c r="Z166" s="298">
        <f t="shared" si="118"/>
        <v>0.74033333333333406</v>
      </c>
      <c r="AA166" s="298">
        <f t="shared" si="118"/>
        <v>0.73600000000000076</v>
      </c>
      <c r="AB166" s="298">
        <f t="shared" si="118"/>
        <v>0.73166666666666746</v>
      </c>
      <c r="AC166" s="298">
        <f t="shared" si="118"/>
        <v>0.72733333333333416</v>
      </c>
      <c r="AD166" s="298">
        <f t="shared" si="118"/>
        <v>0.72300000000000086</v>
      </c>
      <c r="AE166" s="298">
        <f t="shared" si="118"/>
        <v>0.71866666666666756</v>
      </c>
      <c r="AF166" s="298">
        <f t="shared" si="118"/>
        <v>0.71433333333333426</v>
      </c>
      <c r="AG166" s="678">
        <v>0.71</v>
      </c>
      <c r="AI166" s="299"/>
      <c r="AJ166" t="s">
        <v>1614</v>
      </c>
    </row>
    <row r="167" spans="1:36" outlineLevel="1">
      <c r="A167" s="3" t="s">
        <v>698</v>
      </c>
      <c r="B167" s="281" t="s">
        <v>126</v>
      </c>
      <c r="C167" s="275">
        <v>0.16</v>
      </c>
      <c r="D167" s="296">
        <f t="shared" ref="D167:S172" si="119">-($C167-$AG167)/30+C167</f>
        <v>0.16206666666666666</v>
      </c>
      <c r="E167" s="296">
        <f t="shared" si="119"/>
        <v>0.16413333333333333</v>
      </c>
      <c r="F167" s="296">
        <f t="shared" si="119"/>
        <v>0.16619999999999999</v>
      </c>
      <c r="G167" s="296">
        <f t="shared" si="119"/>
        <v>0.16826666666666665</v>
      </c>
      <c r="H167" s="296">
        <f t="shared" si="119"/>
        <v>0.17033333333333331</v>
      </c>
      <c r="I167" s="296">
        <f t="shared" si="119"/>
        <v>0.17239999999999997</v>
      </c>
      <c r="J167" s="296">
        <f t="shared" si="119"/>
        <v>0.17446666666666663</v>
      </c>
      <c r="K167" s="296">
        <f t="shared" si="119"/>
        <v>0.17653333333333329</v>
      </c>
      <c r="L167" s="296">
        <f t="shared" si="119"/>
        <v>0.17859999999999995</v>
      </c>
      <c r="M167" s="296">
        <f t="shared" si="119"/>
        <v>0.18066666666666661</v>
      </c>
      <c r="N167" s="296">
        <f t="shared" si="119"/>
        <v>0.18273333333333328</v>
      </c>
      <c r="O167" s="296">
        <f t="shared" si="119"/>
        <v>0.18479999999999994</v>
      </c>
      <c r="P167" s="296">
        <f t="shared" si="119"/>
        <v>0.1868666666666666</v>
      </c>
      <c r="Q167" s="296">
        <f t="shared" si="119"/>
        <v>0.18893333333333326</v>
      </c>
      <c r="R167" s="296">
        <f t="shared" si="119"/>
        <v>0.19099999999999992</v>
      </c>
      <c r="S167" s="296">
        <f t="shared" si="119"/>
        <v>0.19306666666666658</v>
      </c>
      <c r="T167" s="296">
        <f t="shared" si="118"/>
        <v>0.19513333333333324</v>
      </c>
      <c r="U167" s="296">
        <f t="shared" si="118"/>
        <v>0.1971999999999999</v>
      </c>
      <c r="V167" s="296">
        <f t="shared" si="118"/>
        <v>0.19926666666666656</v>
      </c>
      <c r="W167" s="296">
        <f t="shared" si="118"/>
        <v>0.20133333333333323</v>
      </c>
      <c r="X167" s="296">
        <f t="shared" si="118"/>
        <v>0.20339999999999989</v>
      </c>
      <c r="Y167" s="296">
        <f t="shared" si="118"/>
        <v>0.20546666666666655</v>
      </c>
      <c r="Z167" s="296">
        <f t="shared" si="118"/>
        <v>0.20753333333333321</v>
      </c>
      <c r="AA167" s="296">
        <f t="shared" si="118"/>
        <v>0.20959999999999987</v>
      </c>
      <c r="AB167" s="296">
        <f t="shared" si="118"/>
        <v>0.21166666666666653</v>
      </c>
      <c r="AC167" s="296">
        <f t="shared" si="118"/>
        <v>0.21373333333333319</v>
      </c>
      <c r="AD167" s="296">
        <f t="shared" si="118"/>
        <v>0.21579999999999985</v>
      </c>
      <c r="AE167" s="296">
        <f t="shared" si="118"/>
        <v>0.21786666666666651</v>
      </c>
      <c r="AF167" s="296">
        <f t="shared" si="118"/>
        <v>0.21993333333333318</v>
      </c>
      <c r="AG167" s="275">
        <v>0.222</v>
      </c>
      <c r="AI167" s="201"/>
      <c r="AJ167" t="s">
        <v>1614</v>
      </c>
    </row>
    <row r="168" spans="1:36" outlineLevel="1">
      <c r="A168" s="3" t="s">
        <v>697</v>
      </c>
      <c r="B168" s="281" t="s">
        <v>126</v>
      </c>
      <c r="C168" s="275">
        <v>0.37</v>
      </c>
      <c r="D168" s="296">
        <f t="shared" si="119"/>
        <v>0.36270000000000002</v>
      </c>
      <c r="E168" s="296">
        <f t="shared" si="119"/>
        <v>0.35540000000000005</v>
      </c>
      <c r="F168" s="296">
        <f t="shared" si="119"/>
        <v>0.34810000000000008</v>
      </c>
      <c r="G168" s="296">
        <f t="shared" si="119"/>
        <v>0.3408000000000001</v>
      </c>
      <c r="H168" s="296">
        <f t="shared" si="119"/>
        <v>0.33350000000000013</v>
      </c>
      <c r="I168" s="296">
        <f t="shared" si="119"/>
        <v>0.32620000000000016</v>
      </c>
      <c r="J168" s="296">
        <f t="shared" si="119"/>
        <v>0.31890000000000018</v>
      </c>
      <c r="K168" s="296">
        <f t="shared" si="119"/>
        <v>0.31160000000000021</v>
      </c>
      <c r="L168" s="296">
        <f t="shared" si="119"/>
        <v>0.30430000000000024</v>
      </c>
      <c r="M168" s="296">
        <f t="shared" si="119"/>
        <v>0.29700000000000026</v>
      </c>
      <c r="N168" s="296">
        <f t="shared" si="119"/>
        <v>0.28970000000000029</v>
      </c>
      <c r="O168" s="296">
        <f t="shared" si="119"/>
        <v>0.28240000000000032</v>
      </c>
      <c r="P168" s="296">
        <f t="shared" si="119"/>
        <v>0.27510000000000034</v>
      </c>
      <c r="Q168" s="296">
        <f t="shared" si="119"/>
        <v>0.26780000000000037</v>
      </c>
      <c r="R168" s="296">
        <f t="shared" si="119"/>
        <v>0.2605000000000004</v>
      </c>
      <c r="S168" s="296">
        <f t="shared" si="119"/>
        <v>0.25320000000000042</v>
      </c>
      <c r="T168" s="296">
        <f t="shared" si="118"/>
        <v>0.24590000000000042</v>
      </c>
      <c r="U168" s="296">
        <f t="shared" si="118"/>
        <v>0.23860000000000042</v>
      </c>
      <c r="V168" s="296">
        <f t="shared" si="118"/>
        <v>0.23130000000000042</v>
      </c>
      <c r="W168" s="296">
        <f t="shared" si="118"/>
        <v>0.22400000000000042</v>
      </c>
      <c r="X168" s="296">
        <f t="shared" si="118"/>
        <v>0.21670000000000042</v>
      </c>
      <c r="Y168" s="296">
        <f t="shared" si="118"/>
        <v>0.20940000000000042</v>
      </c>
      <c r="Z168" s="296">
        <f t="shared" si="118"/>
        <v>0.20210000000000042</v>
      </c>
      <c r="AA168" s="296">
        <f t="shared" si="118"/>
        <v>0.19480000000000042</v>
      </c>
      <c r="AB168" s="296">
        <f t="shared" si="118"/>
        <v>0.18750000000000042</v>
      </c>
      <c r="AC168" s="296">
        <f t="shared" si="118"/>
        <v>0.18020000000000042</v>
      </c>
      <c r="AD168" s="296">
        <f t="shared" si="118"/>
        <v>0.17290000000000041</v>
      </c>
      <c r="AE168" s="296">
        <f t="shared" si="118"/>
        <v>0.16560000000000041</v>
      </c>
      <c r="AF168" s="296">
        <f t="shared" si="118"/>
        <v>0.15830000000000041</v>
      </c>
      <c r="AG168" s="275">
        <v>0.151</v>
      </c>
      <c r="AI168" s="201"/>
      <c r="AJ168" t="s">
        <v>1614</v>
      </c>
    </row>
    <row r="169" spans="1:36" outlineLevel="1">
      <c r="A169" s="3" t="s">
        <v>699</v>
      </c>
      <c r="B169" s="281" t="s">
        <v>126</v>
      </c>
      <c r="C169" s="275">
        <v>0.08</v>
      </c>
      <c r="D169" s="296">
        <f t="shared" si="119"/>
        <v>8.0100000000000005E-2</v>
      </c>
      <c r="E169" s="296">
        <f t="shared" si="119"/>
        <v>8.0200000000000007E-2</v>
      </c>
      <c r="F169" s="296">
        <f t="shared" si="119"/>
        <v>8.030000000000001E-2</v>
      </c>
      <c r="G169" s="296">
        <f t="shared" si="119"/>
        <v>8.0400000000000013E-2</v>
      </c>
      <c r="H169" s="296">
        <f t="shared" si="119"/>
        <v>8.0500000000000016E-2</v>
      </c>
      <c r="I169" s="296">
        <f t="shared" si="119"/>
        <v>8.0600000000000019E-2</v>
      </c>
      <c r="J169" s="296">
        <f t="shared" si="119"/>
        <v>8.0700000000000022E-2</v>
      </c>
      <c r="K169" s="296">
        <f t="shared" si="119"/>
        <v>8.0800000000000025E-2</v>
      </c>
      <c r="L169" s="296">
        <f t="shared" si="119"/>
        <v>8.0900000000000027E-2</v>
      </c>
      <c r="M169" s="296">
        <f t="shared" si="119"/>
        <v>8.100000000000003E-2</v>
      </c>
      <c r="N169" s="296">
        <f t="shared" si="119"/>
        <v>8.1100000000000033E-2</v>
      </c>
      <c r="O169" s="296">
        <f t="shared" si="119"/>
        <v>8.1200000000000036E-2</v>
      </c>
      <c r="P169" s="296">
        <f t="shared" si="119"/>
        <v>8.1300000000000039E-2</v>
      </c>
      <c r="Q169" s="296">
        <f t="shared" si="119"/>
        <v>8.1400000000000042E-2</v>
      </c>
      <c r="R169" s="296">
        <f t="shared" si="119"/>
        <v>8.1500000000000045E-2</v>
      </c>
      <c r="S169" s="296">
        <f t="shared" si="119"/>
        <v>8.1600000000000047E-2</v>
      </c>
      <c r="T169" s="296">
        <f t="shared" si="118"/>
        <v>8.170000000000005E-2</v>
      </c>
      <c r="U169" s="296">
        <f t="shared" si="118"/>
        <v>8.1800000000000053E-2</v>
      </c>
      <c r="V169" s="296">
        <f t="shared" si="118"/>
        <v>8.1900000000000056E-2</v>
      </c>
      <c r="W169" s="296">
        <f t="shared" si="118"/>
        <v>8.2000000000000059E-2</v>
      </c>
      <c r="X169" s="296">
        <f t="shared" si="118"/>
        <v>8.2100000000000062E-2</v>
      </c>
      <c r="Y169" s="296">
        <f t="shared" si="118"/>
        <v>8.2200000000000065E-2</v>
      </c>
      <c r="Z169" s="296">
        <f t="shared" si="118"/>
        <v>8.2300000000000068E-2</v>
      </c>
      <c r="AA169" s="296">
        <f t="shared" si="118"/>
        <v>8.240000000000007E-2</v>
      </c>
      <c r="AB169" s="296">
        <f t="shared" si="118"/>
        <v>8.2500000000000073E-2</v>
      </c>
      <c r="AC169" s="296">
        <f t="shared" si="118"/>
        <v>8.2600000000000076E-2</v>
      </c>
      <c r="AD169" s="296">
        <f t="shared" si="118"/>
        <v>8.2700000000000079E-2</v>
      </c>
      <c r="AE169" s="296">
        <f t="shared" si="118"/>
        <v>8.2800000000000082E-2</v>
      </c>
      <c r="AF169" s="296">
        <f t="shared" si="118"/>
        <v>8.2900000000000085E-2</v>
      </c>
      <c r="AG169" s="275">
        <v>8.3000000000000004E-2</v>
      </c>
      <c r="AI169" s="201"/>
      <c r="AJ169" t="s">
        <v>1614</v>
      </c>
    </row>
    <row r="170" spans="1:36" outlineLevel="1">
      <c r="A170" s="3" t="s">
        <v>700</v>
      </c>
      <c r="B170" s="281" t="s">
        <v>126</v>
      </c>
      <c r="C170" s="275">
        <v>0.27</v>
      </c>
      <c r="D170" s="296">
        <f t="shared" si="119"/>
        <v>0.27313333333333334</v>
      </c>
      <c r="E170" s="296">
        <f t="shared" si="119"/>
        <v>0.27626666666666666</v>
      </c>
      <c r="F170" s="296">
        <f t="shared" si="119"/>
        <v>0.27939999999999998</v>
      </c>
      <c r="G170" s="296">
        <f t="shared" si="119"/>
        <v>0.2825333333333333</v>
      </c>
      <c r="H170" s="296">
        <f t="shared" si="119"/>
        <v>0.28566666666666662</v>
      </c>
      <c r="I170" s="296">
        <f t="shared" si="119"/>
        <v>0.28879999999999995</v>
      </c>
      <c r="J170" s="296">
        <f t="shared" si="119"/>
        <v>0.29193333333333327</v>
      </c>
      <c r="K170" s="296">
        <f t="shared" si="119"/>
        <v>0.29506666666666659</v>
      </c>
      <c r="L170" s="296">
        <f t="shared" si="119"/>
        <v>0.29819999999999991</v>
      </c>
      <c r="M170" s="296">
        <f t="shared" si="119"/>
        <v>0.30133333333333323</v>
      </c>
      <c r="N170" s="296">
        <f t="shared" si="119"/>
        <v>0.30446666666666655</v>
      </c>
      <c r="O170" s="296">
        <f t="shared" si="119"/>
        <v>0.30759999999999987</v>
      </c>
      <c r="P170" s="296">
        <f t="shared" si="119"/>
        <v>0.31073333333333319</v>
      </c>
      <c r="Q170" s="296">
        <f t="shared" si="119"/>
        <v>0.31386666666666652</v>
      </c>
      <c r="R170" s="296">
        <f t="shared" si="119"/>
        <v>0.31699999999999984</v>
      </c>
      <c r="S170" s="296">
        <f t="shared" si="119"/>
        <v>0.32013333333333316</v>
      </c>
      <c r="T170" s="296">
        <f t="shared" si="118"/>
        <v>0.32326666666666648</v>
      </c>
      <c r="U170" s="296">
        <f t="shared" si="118"/>
        <v>0.3263999999999998</v>
      </c>
      <c r="V170" s="296">
        <f t="shared" si="118"/>
        <v>0.32953333333333312</v>
      </c>
      <c r="W170" s="296">
        <f t="shared" si="118"/>
        <v>0.33266666666666644</v>
      </c>
      <c r="X170" s="296">
        <f t="shared" si="118"/>
        <v>0.33579999999999977</v>
      </c>
      <c r="Y170" s="296">
        <f t="shared" si="118"/>
        <v>0.33893333333333309</v>
      </c>
      <c r="Z170" s="296">
        <f t="shared" si="118"/>
        <v>0.34206666666666641</v>
      </c>
      <c r="AA170" s="296">
        <f t="shared" si="118"/>
        <v>0.34519999999999973</v>
      </c>
      <c r="AB170" s="296">
        <f t="shared" si="118"/>
        <v>0.34833333333333305</v>
      </c>
      <c r="AC170" s="296">
        <f t="shared" si="118"/>
        <v>0.35146666666666637</v>
      </c>
      <c r="AD170" s="296">
        <f t="shared" si="118"/>
        <v>0.35459999999999969</v>
      </c>
      <c r="AE170" s="296">
        <f t="shared" si="118"/>
        <v>0.35773333333333301</v>
      </c>
      <c r="AF170" s="296">
        <f t="shared" si="118"/>
        <v>0.36086666666666634</v>
      </c>
      <c r="AG170" s="275">
        <v>0.36399999999999999</v>
      </c>
      <c r="AI170" s="201"/>
      <c r="AJ170" t="s">
        <v>1614</v>
      </c>
    </row>
    <row r="171" spans="1:36" outlineLevel="1">
      <c r="A171" s="3" t="s">
        <v>701</v>
      </c>
      <c r="B171" s="281" t="s">
        <v>126</v>
      </c>
      <c r="C171" s="275">
        <v>7.0000000000000007E-2</v>
      </c>
      <c r="D171" s="296">
        <f t="shared" si="119"/>
        <v>7.1266666666666673E-2</v>
      </c>
      <c r="E171" s="296">
        <f t="shared" si="119"/>
        <v>7.2533333333333339E-2</v>
      </c>
      <c r="F171" s="296">
        <f t="shared" si="119"/>
        <v>7.3800000000000004E-2</v>
      </c>
      <c r="G171" s="296">
        <f t="shared" si="119"/>
        <v>7.506666666666667E-2</v>
      </c>
      <c r="H171" s="296">
        <f t="shared" si="119"/>
        <v>7.6333333333333336E-2</v>
      </c>
      <c r="I171" s="296">
        <f t="shared" si="119"/>
        <v>7.7600000000000002E-2</v>
      </c>
      <c r="J171" s="296">
        <f t="shared" si="119"/>
        <v>7.8866666666666668E-2</v>
      </c>
      <c r="K171" s="296">
        <f t="shared" si="119"/>
        <v>8.0133333333333334E-2</v>
      </c>
      <c r="L171" s="296">
        <f t="shared" si="119"/>
        <v>8.14E-2</v>
      </c>
      <c r="M171" s="296">
        <f t="shared" si="119"/>
        <v>8.2666666666666666E-2</v>
      </c>
      <c r="N171" s="296">
        <f t="shared" si="119"/>
        <v>8.3933333333333332E-2</v>
      </c>
      <c r="O171" s="296">
        <f t="shared" si="119"/>
        <v>8.5199999999999998E-2</v>
      </c>
      <c r="P171" s="296">
        <f t="shared" si="119"/>
        <v>8.6466666666666664E-2</v>
      </c>
      <c r="Q171" s="296">
        <f t="shared" si="119"/>
        <v>8.773333333333333E-2</v>
      </c>
      <c r="R171" s="296">
        <f t="shared" si="119"/>
        <v>8.8999999999999996E-2</v>
      </c>
      <c r="S171" s="296">
        <f t="shared" si="119"/>
        <v>9.0266666666666662E-2</v>
      </c>
      <c r="T171" s="296">
        <f t="shared" si="118"/>
        <v>9.1533333333333328E-2</v>
      </c>
      <c r="U171" s="296">
        <f t="shared" si="118"/>
        <v>9.2799999999999994E-2</v>
      </c>
      <c r="V171" s="296">
        <f t="shared" si="118"/>
        <v>9.406666666666666E-2</v>
      </c>
      <c r="W171" s="296">
        <f t="shared" si="118"/>
        <v>9.5333333333333325E-2</v>
      </c>
      <c r="X171" s="296">
        <f t="shared" si="118"/>
        <v>9.6599999999999991E-2</v>
      </c>
      <c r="Y171" s="296">
        <f t="shared" si="118"/>
        <v>9.7866666666666657E-2</v>
      </c>
      <c r="Z171" s="296">
        <f t="shared" si="118"/>
        <v>9.9133333333333323E-2</v>
      </c>
      <c r="AA171" s="296">
        <f t="shared" si="118"/>
        <v>0.10039999999999999</v>
      </c>
      <c r="AB171" s="296">
        <f t="shared" si="118"/>
        <v>0.10166666666666666</v>
      </c>
      <c r="AC171" s="296">
        <f t="shared" si="118"/>
        <v>0.10293333333333332</v>
      </c>
      <c r="AD171" s="296">
        <f t="shared" si="118"/>
        <v>0.10419999999999999</v>
      </c>
      <c r="AE171" s="296">
        <f t="shared" si="118"/>
        <v>0.10546666666666665</v>
      </c>
      <c r="AF171" s="296">
        <f t="shared" si="118"/>
        <v>0.10673333333333332</v>
      </c>
      <c r="AG171" s="275">
        <v>0.108</v>
      </c>
      <c r="AI171" s="201"/>
      <c r="AJ171" t="s">
        <v>1614</v>
      </c>
    </row>
    <row r="172" spans="1:36" outlineLevel="1">
      <c r="A172" s="3" t="s">
        <v>702</v>
      </c>
      <c r="B172" s="281" t="s">
        <v>126</v>
      </c>
      <c r="C172" s="275">
        <v>0.05</v>
      </c>
      <c r="D172" s="296">
        <f t="shared" si="119"/>
        <v>5.0733333333333339E-2</v>
      </c>
      <c r="E172" s="296">
        <f t="shared" si="119"/>
        <v>5.1466666666666674E-2</v>
      </c>
      <c r="F172" s="296">
        <f t="shared" si="119"/>
        <v>5.220000000000001E-2</v>
      </c>
      <c r="G172" s="296">
        <f t="shared" si="119"/>
        <v>5.2933333333333346E-2</v>
      </c>
      <c r="H172" s="296">
        <f t="shared" si="119"/>
        <v>5.3666666666666682E-2</v>
      </c>
      <c r="I172" s="296">
        <f t="shared" si="119"/>
        <v>5.4400000000000018E-2</v>
      </c>
      <c r="J172" s="296">
        <f t="shared" si="119"/>
        <v>5.5133333333333354E-2</v>
      </c>
      <c r="K172" s="296">
        <f t="shared" si="119"/>
        <v>5.5866666666666689E-2</v>
      </c>
      <c r="L172" s="296">
        <f t="shared" si="119"/>
        <v>5.6600000000000025E-2</v>
      </c>
      <c r="M172" s="296">
        <f t="shared" si="119"/>
        <v>5.7333333333333361E-2</v>
      </c>
      <c r="N172" s="296">
        <f t="shared" si="119"/>
        <v>5.8066666666666697E-2</v>
      </c>
      <c r="O172" s="296">
        <f t="shared" si="119"/>
        <v>5.8800000000000033E-2</v>
      </c>
      <c r="P172" s="296">
        <f t="shared" si="119"/>
        <v>5.9533333333333369E-2</v>
      </c>
      <c r="Q172" s="296">
        <f t="shared" si="119"/>
        <v>6.0266666666666704E-2</v>
      </c>
      <c r="R172" s="296">
        <f t="shared" si="119"/>
        <v>6.100000000000004E-2</v>
      </c>
      <c r="S172" s="296">
        <f t="shared" si="119"/>
        <v>6.1733333333333376E-2</v>
      </c>
      <c r="T172" s="296">
        <f t="shared" si="118"/>
        <v>6.2466666666666712E-2</v>
      </c>
      <c r="U172" s="296">
        <f t="shared" si="118"/>
        <v>6.3200000000000048E-2</v>
      </c>
      <c r="V172" s="296">
        <f t="shared" si="118"/>
        <v>6.3933333333333384E-2</v>
      </c>
      <c r="W172" s="296">
        <f t="shared" si="118"/>
        <v>6.4666666666666719E-2</v>
      </c>
      <c r="X172" s="296">
        <f t="shared" si="118"/>
        <v>6.5400000000000055E-2</v>
      </c>
      <c r="Y172" s="296">
        <f t="shared" si="118"/>
        <v>6.6133333333333391E-2</v>
      </c>
      <c r="Z172" s="296">
        <f t="shared" si="118"/>
        <v>6.6866666666666727E-2</v>
      </c>
      <c r="AA172" s="296">
        <f t="shared" si="118"/>
        <v>6.7600000000000063E-2</v>
      </c>
      <c r="AB172" s="296">
        <f t="shared" si="118"/>
        <v>6.8333333333333399E-2</v>
      </c>
      <c r="AC172" s="296">
        <f t="shared" si="118"/>
        <v>6.9066666666666734E-2</v>
      </c>
      <c r="AD172" s="296">
        <f t="shared" si="118"/>
        <v>6.980000000000007E-2</v>
      </c>
      <c r="AE172" s="296">
        <f t="shared" si="118"/>
        <v>7.0533333333333406E-2</v>
      </c>
      <c r="AF172" s="296">
        <f t="shared" si="118"/>
        <v>7.1266666666666742E-2</v>
      </c>
      <c r="AG172" s="275">
        <v>7.1999999999999995E-2</v>
      </c>
      <c r="AI172" s="201"/>
      <c r="AJ172" t="s">
        <v>1614</v>
      </c>
    </row>
    <row r="173" spans="1:36" s="55" customFormat="1" outlineLevel="1">
      <c r="A173" s="285" t="s">
        <v>704</v>
      </c>
      <c r="B173" s="282"/>
      <c r="C173" s="283"/>
      <c r="D173" s="283"/>
      <c r="E173" s="283"/>
      <c r="F173" s="283"/>
      <c r="G173" s="283"/>
      <c r="H173" s="283"/>
      <c r="I173" s="283"/>
      <c r="J173" s="283"/>
      <c r="K173" s="283"/>
      <c r="L173" s="283"/>
      <c r="M173" s="283"/>
      <c r="N173" s="283"/>
      <c r="O173" s="283"/>
      <c r="P173" s="283"/>
      <c r="Q173" s="283"/>
      <c r="R173" s="283"/>
      <c r="S173" s="283"/>
      <c r="T173" s="283"/>
      <c r="U173" s="283"/>
      <c r="V173" s="283"/>
      <c r="W173" s="283"/>
      <c r="X173" s="283"/>
      <c r="Y173" s="283"/>
      <c r="Z173" s="283"/>
      <c r="AA173" s="283"/>
      <c r="AB173" s="283"/>
      <c r="AC173" s="283"/>
      <c r="AD173" s="283"/>
      <c r="AE173" s="283"/>
      <c r="AF173" s="283"/>
      <c r="AG173" s="283"/>
      <c r="AI173" s="284"/>
      <c r="AJ173" s="285"/>
    </row>
    <row r="174" spans="1:36" s="55" customFormat="1" outlineLevel="1">
      <c r="A174" s="286" t="s">
        <v>732</v>
      </c>
      <c r="B174" s="287" t="s">
        <v>126</v>
      </c>
      <c r="C174" s="314">
        <v>0.84</v>
      </c>
      <c r="D174" s="315">
        <f>-($C174-$AG174)/30+C174</f>
        <v>0.84399999999999997</v>
      </c>
      <c r="E174" s="315">
        <f t="shared" ref="E174:AF175" si="120">-($C174-$AG174)/30+D174</f>
        <v>0.84799999999999998</v>
      </c>
      <c r="F174" s="315">
        <f t="shared" si="120"/>
        <v>0.85199999999999998</v>
      </c>
      <c r="G174" s="315">
        <f t="shared" si="120"/>
        <v>0.85599999999999998</v>
      </c>
      <c r="H174" s="315">
        <f t="shared" si="120"/>
        <v>0.86</v>
      </c>
      <c r="I174" s="315">
        <f t="shared" si="120"/>
        <v>0.86399999999999999</v>
      </c>
      <c r="J174" s="315">
        <f t="shared" si="120"/>
        <v>0.86799999999999999</v>
      </c>
      <c r="K174" s="315">
        <f t="shared" si="120"/>
        <v>0.872</v>
      </c>
      <c r="L174" s="315">
        <f t="shared" si="120"/>
        <v>0.876</v>
      </c>
      <c r="M174" s="315">
        <f t="shared" si="120"/>
        <v>0.88</v>
      </c>
      <c r="N174" s="315">
        <f t="shared" si="120"/>
        <v>0.88400000000000001</v>
      </c>
      <c r="O174" s="315">
        <f t="shared" si="120"/>
        <v>0.88800000000000001</v>
      </c>
      <c r="P174" s="315">
        <f t="shared" si="120"/>
        <v>0.89200000000000002</v>
      </c>
      <c r="Q174" s="315">
        <f t="shared" si="120"/>
        <v>0.89600000000000002</v>
      </c>
      <c r="R174" s="315">
        <f t="shared" si="120"/>
        <v>0.9</v>
      </c>
      <c r="S174" s="315">
        <f t="shared" si="120"/>
        <v>0.90400000000000003</v>
      </c>
      <c r="T174" s="315">
        <f t="shared" si="120"/>
        <v>0.90800000000000003</v>
      </c>
      <c r="U174" s="315">
        <f t="shared" si="120"/>
        <v>0.91200000000000003</v>
      </c>
      <c r="V174" s="315">
        <f t="shared" si="120"/>
        <v>0.91600000000000004</v>
      </c>
      <c r="W174" s="315">
        <f t="shared" si="120"/>
        <v>0.92</v>
      </c>
      <c r="X174" s="315">
        <f t="shared" si="120"/>
        <v>0.92400000000000004</v>
      </c>
      <c r="Y174" s="315">
        <f t="shared" si="120"/>
        <v>0.92800000000000005</v>
      </c>
      <c r="Z174" s="315">
        <f t="shared" si="120"/>
        <v>0.93200000000000005</v>
      </c>
      <c r="AA174" s="315">
        <f t="shared" si="120"/>
        <v>0.93600000000000005</v>
      </c>
      <c r="AB174" s="315">
        <f t="shared" si="120"/>
        <v>0.94000000000000006</v>
      </c>
      <c r="AC174" s="315">
        <f t="shared" si="120"/>
        <v>0.94400000000000006</v>
      </c>
      <c r="AD174" s="315">
        <f t="shared" si="120"/>
        <v>0.94800000000000006</v>
      </c>
      <c r="AE174" s="315">
        <f t="shared" si="120"/>
        <v>0.95200000000000007</v>
      </c>
      <c r="AF174" s="315">
        <f t="shared" si="120"/>
        <v>0.95600000000000007</v>
      </c>
      <c r="AG174" s="314">
        <v>0.96</v>
      </c>
      <c r="AI174" s="284"/>
      <c r="AJ174" s="316" t="s">
        <v>1614</v>
      </c>
    </row>
    <row r="175" spans="1:36" s="55" customFormat="1" outlineLevel="1">
      <c r="A175" s="286" t="s">
        <v>743</v>
      </c>
      <c r="B175" s="287" t="s">
        <v>126</v>
      </c>
      <c r="C175" s="314">
        <v>0.22</v>
      </c>
      <c r="D175" s="315">
        <f>-($C175-$AG175)/30+C175</f>
        <v>0.22666666666666666</v>
      </c>
      <c r="E175" s="315">
        <f t="shared" si="120"/>
        <v>0.23333333333333331</v>
      </c>
      <c r="F175" s="315">
        <f t="shared" si="120"/>
        <v>0.23999999999999996</v>
      </c>
      <c r="G175" s="315">
        <f t="shared" si="120"/>
        <v>0.24666666666666662</v>
      </c>
      <c r="H175" s="315">
        <f t="shared" si="120"/>
        <v>0.2533333333333333</v>
      </c>
      <c r="I175" s="315">
        <f t="shared" si="120"/>
        <v>0.25999999999999995</v>
      </c>
      <c r="J175" s="315">
        <f t="shared" si="120"/>
        <v>0.26666666666666661</v>
      </c>
      <c r="K175" s="315">
        <f t="shared" si="120"/>
        <v>0.27333333333333326</v>
      </c>
      <c r="L175" s="315">
        <f t="shared" si="120"/>
        <v>0.27999999999999992</v>
      </c>
      <c r="M175" s="315">
        <f t="shared" si="120"/>
        <v>0.28666666666666657</v>
      </c>
      <c r="N175" s="315">
        <f t="shared" si="120"/>
        <v>0.29333333333333322</v>
      </c>
      <c r="O175" s="315">
        <f t="shared" si="120"/>
        <v>0.29999999999999988</v>
      </c>
      <c r="P175" s="315">
        <f t="shared" si="120"/>
        <v>0.30666666666666653</v>
      </c>
      <c r="Q175" s="315">
        <f t="shared" si="120"/>
        <v>0.31333333333333319</v>
      </c>
      <c r="R175" s="315">
        <f t="shared" si="120"/>
        <v>0.31999999999999984</v>
      </c>
      <c r="S175" s="315">
        <f t="shared" si="120"/>
        <v>0.32666666666666649</v>
      </c>
      <c r="T175" s="315">
        <f t="shared" si="120"/>
        <v>0.33333333333333315</v>
      </c>
      <c r="U175" s="315">
        <f t="shared" si="120"/>
        <v>0.3399999999999998</v>
      </c>
      <c r="V175" s="315">
        <f t="shared" si="120"/>
        <v>0.34666666666666646</v>
      </c>
      <c r="W175" s="315">
        <f t="shared" si="120"/>
        <v>0.35333333333333311</v>
      </c>
      <c r="X175" s="315">
        <f t="shared" si="120"/>
        <v>0.35999999999999976</v>
      </c>
      <c r="Y175" s="315">
        <f t="shared" si="120"/>
        <v>0.36666666666666642</v>
      </c>
      <c r="Z175" s="315">
        <f t="shared" si="120"/>
        <v>0.37333333333333307</v>
      </c>
      <c r="AA175" s="315">
        <f t="shared" si="120"/>
        <v>0.37999999999999973</v>
      </c>
      <c r="AB175" s="315">
        <f t="shared" si="120"/>
        <v>0.38666666666666638</v>
      </c>
      <c r="AC175" s="315">
        <f t="shared" si="120"/>
        <v>0.39333333333333304</v>
      </c>
      <c r="AD175" s="315">
        <f t="shared" si="120"/>
        <v>0.39999999999999969</v>
      </c>
      <c r="AE175" s="315">
        <f t="shared" si="120"/>
        <v>0.40666666666666634</v>
      </c>
      <c r="AF175" s="315">
        <f t="shared" si="120"/>
        <v>0.413333333333333</v>
      </c>
      <c r="AG175" s="314">
        <v>0.42</v>
      </c>
      <c r="AI175" s="284"/>
      <c r="AJ175" s="316" t="s">
        <v>1614</v>
      </c>
    </row>
    <row r="176" spans="1:36" s="59" customFormat="1" outlineLevel="1">
      <c r="A176" s="290" t="s">
        <v>744</v>
      </c>
      <c r="B176" s="291" t="s">
        <v>126</v>
      </c>
      <c r="C176" s="317">
        <f>1-C175</f>
        <v>0.78</v>
      </c>
      <c r="D176" s="317">
        <f t="shared" ref="D176:AG176" si="121">1-D175</f>
        <v>0.77333333333333332</v>
      </c>
      <c r="E176" s="317">
        <f t="shared" si="121"/>
        <v>0.76666666666666672</v>
      </c>
      <c r="F176" s="317">
        <f t="shared" si="121"/>
        <v>0.76</v>
      </c>
      <c r="G176" s="317">
        <f t="shared" si="121"/>
        <v>0.75333333333333341</v>
      </c>
      <c r="H176" s="317">
        <f t="shared" si="121"/>
        <v>0.7466666666666667</v>
      </c>
      <c r="I176" s="317">
        <f t="shared" si="121"/>
        <v>0.74</v>
      </c>
      <c r="J176" s="317">
        <f t="shared" si="121"/>
        <v>0.73333333333333339</v>
      </c>
      <c r="K176" s="317">
        <f t="shared" si="121"/>
        <v>0.72666666666666679</v>
      </c>
      <c r="L176" s="317">
        <f t="shared" si="121"/>
        <v>0.72000000000000008</v>
      </c>
      <c r="M176" s="317">
        <f t="shared" si="121"/>
        <v>0.71333333333333337</v>
      </c>
      <c r="N176" s="317">
        <f t="shared" si="121"/>
        <v>0.70666666666666678</v>
      </c>
      <c r="O176" s="317">
        <f t="shared" si="121"/>
        <v>0.70000000000000018</v>
      </c>
      <c r="P176" s="317">
        <f t="shared" si="121"/>
        <v>0.69333333333333347</v>
      </c>
      <c r="Q176" s="317">
        <f t="shared" si="121"/>
        <v>0.68666666666666676</v>
      </c>
      <c r="R176" s="317">
        <f t="shared" si="121"/>
        <v>0.68000000000000016</v>
      </c>
      <c r="S176" s="317">
        <f t="shared" si="121"/>
        <v>0.67333333333333356</v>
      </c>
      <c r="T176" s="317">
        <f t="shared" si="121"/>
        <v>0.66666666666666685</v>
      </c>
      <c r="U176" s="317">
        <f t="shared" si="121"/>
        <v>0.66000000000000014</v>
      </c>
      <c r="V176" s="317">
        <f t="shared" si="121"/>
        <v>0.65333333333333354</v>
      </c>
      <c r="W176" s="317">
        <f t="shared" si="121"/>
        <v>0.64666666666666694</v>
      </c>
      <c r="X176" s="317">
        <f t="shared" si="121"/>
        <v>0.64000000000000024</v>
      </c>
      <c r="Y176" s="317">
        <f t="shared" si="121"/>
        <v>0.63333333333333353</v>
      </c>
      <c r="Z176" s="317">
        <f t="shared" si="121"/>
        <v>0.62666666666666693</v>
      </c>
      <c r="AA176" s="317">
        <f t="shared" si="121"/>
        <v>0.62000000000000033</v>
      </c>
      <c r="AB176" s="317">
        <f t="shared" si="121"/>
        <v>0.61333333333333362</v>
      </c>
      <c r="AC176" s="317">
        <f t="shared" si="121"/>
        <v>0.60666666666666691</v>
      </c>
      <c r="AD176" s="317">
        <f t="shared" si="121"/>
        <v>0.60000000000000031</v>
      </c>
      <c r="AE176" s="317">
        <f t="shared" si="121"/>
        <v>0.59333333333333371</v>
      </c>
      <c r="AF176" s="317">
        <f t="shared" si="121"/>
        <v>0.586666666666667</v>
      </c>
      <c r="AG176" s="317">
        <f t="shared" si="121"/>
        <v>0.58000000000000007</v>
      </c>
      <c r="AI176" s="319"/>
      <c r="AJ176" s="318" t="s">
        <v>1614</v>
      </c>
    </row>
    <row r="177" spans="1:36" s="1" customFormat="1" outlineLevel="1">
      <c r="A177" t="s">
        <v>725</v>
      </c>
      <c r="B177" s="281" t="s">
        <v>126</v>
      </c>
      <c r="C177" s="275">
        <v>0.85</v>
      </c>
      <c r="D177" s="296">
        <f t="shared" ref="D177:S192" si="122">-($C177-$AG177)/30+C177</f>
        <v>0.84833333333333327</v>
      </c>
      <c r="E177" s="296">
        <f t="shared" si="122"/>
        <v>0.84666666666666657</v>
      </c>
      <c r="F177" s="296">
        <f t="shared" si="122"/>
        <v>0.84499999999999986</v>
      </c>
      <c r="G177" s="296">
        <f t="shared" si="122"/>
        <v>0.84333333333333316</v>
      </c>
      <c r="H177" s="296">
        <f t="shared" si="122"/>
        <v>0.84166666666666645</v>
      </c>
      <c r="I177" s="296">
        <f t="shared" si="122"/>
        <v>0.83999999999999975</v>
      </c>
      <c r="J177" s="296">
        <f t="shared" si="122"/>
        <v>0.83833333333333304</v>
      </c>
      <c r="K177" s="296">
        <f t="shared" si="122"/>
        <v>0.83666666666666634</v>
      </c>
      <c r="L177" s="296">
        <f t="shared" si="122"/>
        <v>0.83499999999999963</v>
      </c>
      <c r="M177" s="296">
        <f t="shared" si="122"/>
        <v>0.83333333333333293</v>
      </c>
      <c r="N177" s="296">
        <f t="shared" si="122"/>
        <v>0.83166666666666622</v>
      </c>
      <c r="O177" s="296">
        <f t="shared" si="122"/>
        <v>0.82999999999999952</v>
      </c>
      <c r="P177" s="296">
        <f t="shared" si="122"/>
        <v>0.82833333333333281</v>
      </c>
      <c r="Q177" s="296">
        <f t="shared" si="122"/>
        <v>0.82666666666666611</v>
      </c>
      <c r="R177" s="296">
        <f t="shared" si="122"/>
        <v>0.8249999999999994</v>
      </c>
      <c r="S177" s="296">
        <f t="shared" si="122"/>
        <v>0.8233333333333327</v>
      </c>
      <c r="T177" s="296">
        <f t="shared" ref="T177:AF191" si="123">-($C177-$AG177)/30+S177</f>
        <v>0.82166666666666599</v>
      </c>
      <c r="U177" s="296">
        <f t="shared" si="123"/>
        <v>0.81999999999999929</v>
      </c>
      <c r="V177" s="296">
        <f t="shared" si="123"/>
        <v>0.81833333333333258</v>
      </c>
      <c r="W177" s="296">
        <f t="shared" si="123"/>
        <v>0.81666666666666587</v>
      </c>
      <c r="X177" s="296">
        <f t="shared" si="123"/>
        <v>0.81499999999999917</v>
      </c>
      <c r="Y177" s="296">
        <f t="shared" si="123"/>
        <v>0.81333333333333246</v>
      </c>
      <c r="Z177" s="296">
        <f t="shared" si="123"/>
        <v>0.81166666666666576</v>
      </c>
      <c r="AA177" s="296">
        <f t="shared" si="123"/>
        <v>0.80999999999999905</v>
      </c>
      <c r="AB177" s="296">
        <f t="shared" si="123"/>
        <v>0.80833333333333235</v>
      </c>
      <c r="AC177" s="296">
        <f t="shared" si="123"/>
        <v>0.80666666666666564</v>
      </c>
      <c r="AD177" s="296">
        <f t="shared" si="123"/>
        <v>0.80499999999999894</v>
      </c>
      <c r="AE177" s="296">
        <f t="shared" si="123"/>
        <v>0.80333333333333223</v>
      </c>
      <c r="AF177" s="296">
        <f t="shared" si="123"/>
        <v>0.80166666666666553</v>
      </c>
      <c r="AG177" s="275">
        <v>0.8</v>
      </c>
      <c r="AI177" s="295"/>
      <c r="AJ177" s="198" t="s">
        <v>1614</v>
      </c>
    </row>
    <row r="178" spans="1:36" s="1" customFormat="1" outlineLevel="1">
      <c r="A178" t="s">
        <v>731</v>
      </c>
      <c r="B178" s="281" t="s">
        <v>126</v>
      </c>
      <c r="C178" s="275">
        <v>0.15</v>
      </c>
      <c r="D178" s="296">
        <f t="shared" si="122"/>
        <v>0.15166666666666667</v>
      </c>
      <c r="E178" s="296">
        <f t="shared" si="122"/>
        <v>0.15333333333333335</v>
      </c>
      <c r="F178" s="296">
        <f t="shared" si="122"/>
        <v>0.15500000000000003</v>
      </c>
      <c r="G178" s="296">
        <f t="shared" si="122"/>
        <v>0.1566666666666667</v>
      </c>
      <c r="H178" s="296">
        <f t="shared" si="122"/>
        <v>0.15833333333333338</v>
      </c>
      <c r="I178" s="296">
        <f t="shared" si="122"/>
        <v>0.16000000000000006</v>
      </c>
      <c r="J178" s="296">
        <f t="shared" si="122"/>
        <v>0.16166666666666674</v>
      </c>
      <c r="K178" s="296">
        <f t="shared" si="122"/>
        <v>0.16333333333333341</v>
      </c>
      <c r="L178" s="296">
        <f t="shared" si="122"/>
        <v>0.16500000000000009</v>
      </c>
      <c r="M178" s="296">
        <f t="shared" si="122"/>
        <v>0.16666666666666677</v>
      </c>
      <c r="N178" s="296">
        <f t="shared" si="122"/>
        <v>0.16833333333333345</v>
      </c>
      <c r="O178" s="296">
        <f t="shared" si="122"/>
        <v>0.17000000000000012</v>
      </c>
      <c r="P178" s="296">
        <f t="shared" si="122"/>
        <v>0.1716666666666668</v>
      </c>
      <c r="Q178" s="296">
        <f t="shared" si="122"/>
        <v>0.17333333333333348</v>
      </c>
      <c r="R178" s="296">
        <f t="shared" si="122"/>
        <v>0.17500000000000016</v>
      </c>
      <c r="S178" s="296">
        <f t="shared" si="122"/>
        <v>0.17666666666666683</v>
      </c>
      <c r="T178" s="296">
        <f t="shared" si="123"/>
        <v>0.17833333333333351</v>
      </c>
      <c r="U178" s="296">
        <f t="shared" si="123"/>
        <v>0.18000000000000019</v>
      </c>
      <c r="V178" s="296">
        <f t="shared" si="123"/>
        <v>0.18166666666666687</v>
      </c>
      <c r="W178" s="296">
        <f t="shared" si="123"/>
        <v>0.18333333333333354</v>
      </c>
      <c r="X178" s="296">
        <f t="shared" si="123"/>
        <v>0.18500000000000022</v>
      </c>
      <c r="Y178" s="296">
        <f t="shared" si="123"/>
        <v>0.1866666666666669</v>
      </c>
      <c r="Z178" s="296">
        <f t="shared" si="123"/>
        <v>0.18833333333333357</v>
      </c>
      <c r="AA178" s="296">
        <f t="shared" si="123"/>
        <v>0.19000000000000025</v>
      </c>
      <c r="AB178" s="296">
        <f t="shared" si="123"/>
        <v>0.19166666666666693</v>
      </c>
      <c r="AC178" s="296">
        <f t="shared" si="123"/>
        <v>0.19333333333333361</v>
      </c>
      <c r="AD178" s="296">
        <f t="shared" si="123"/>
        <v>0.19500000000000028</v>
      </c>
      <c r="AE178" s="296">
        <f t="shared" si="123"/>
        <v>0.19666666666666696</v>
      </c>
      <c r="AF178" s="296">
        <f t="shared" si="123"/>
        <v>0.19833333333333364</v>
      </c>
      <c r="AG178" s="275">
        <v>0.2</v>
      </c>
      <c r="AI178" s="410" t="s">
        <v>858</v>
      </c>
      <c r="AJ178" s="198" t="s">
        <v>1614</v>
      </c>
    </row>
    <row r="179" spans="1:36" s="1" customFormat="1" outlineLevel="1">
      <c r="A179" t="s">
        <v>726</v>
      </c>
      <c r="B179" s="281" t="s">
        <v>126</v>
      </c>
      <c r="C179" s="275">
        <v>0.15</v>
      </c>
      <c r="D179" s="296">
        <f t="shared" si="122"/>
        <v>0.15633333333333332</v>
      </c>
      <c r="E179" s="296">
        <f t="shared" si="122"/>
        <v>0.16266666666666665</v>
      </c>
      <c r="F179" s="296">
        <f t="shared" si="122"/>
        <v>0.16899999999999998</v>
      </c>
      <c r="G179" s="296">
        <f t="shared" si="122"/>
        <v>0.17533333333333331</v>
      </c>
      <c r="H179" s="296">
        <f t="shared" si="122"/>
        <v>0.18166666666666664</v>
      </c>
      <c r="I179" s="296">
        <f t="shared" si="122"/>
        <v>0.18799999999999997</v>
      </c>
      <c r="J179" s="296">
        <f t="shared" si="122"/>
        <v>0.1943333333333333</v>
      </c>
      <c r="K179" s="296">
        <f t="shared" si="122"/>
        <v>0.20066666666666663</v>
      </c>
      <c r="L179" s="296">
        <f t="shared" si="122"/>
        <v>0.20699999999999996</v>
      </c>
      <c r="M179" s="296">
        <f t="shared" si="122"/>
        <v>0.21333333333333329</v>
      </c>
      <c r="N179" s="296">
        <f t="shared" si="122"/>
        <v>0.21966666666666662</v>
      </c>
      <c r="O179" s="296">
        <f t="shared" si="122"/>
        <v>0.22599999999999995</v>
      </c>
      <c r="P179" s="296">
        <f t="shared" si="122"/>
        <v>0.23233333333333328</v>
      </c>
      <c r="Q179" s="296">
        <f t="shared" si="122"/>
        <v>0.23866666666666661</v>
      </c>
      <c r="R179" s="296">
        <f t="shared" si="122"/>
        <v>0.24499999999999994</v>
      </c>
      <c r="S179" s="296">
        <f t="shared" si="122"/>
        <v>0.2513333333333333</v>
      </c>
      <c r="T179" s="296">
        <f t="shared" si="123"/>
        <v>0.25766666666666665</v>
      </c>
      <c r="U179" s="296">
        <f t="shared" si="123"/>
        <v>0.26400000000000001</v>
      </c>
      <c r="V179" s="296">
        <f t="shared" si="123"/>
        <v>0.27033333333333337</v>
      </c>
      <c r="W179" s="296">
        <f t="shared" si="123"/>
        <v>0.27666666666666673</v>
      </c>
      <c r="X179" s="296">
        <f t="shared" si="123"/>
        <v>0.28300000000000008</v>
      </c>
      <c r="Y179" s="296">
        <f t="shared" si="123"/>
        <v>0.28933333333333344</v>
      </c>
      <c r="Z179" s="296">
        <f t="shared" si="123"/>
        <v>0.2956666666666668</v>
      </c>
      <c r="AA179" s="296">
        <f t="shared" si="123"/>
        <v>0.30200000000000016</v>
      </c>
      <c r="AB179" s="296">
        <f t="shared" si="123"/>
        <v>0.30833333333333351</v>
      </c>
      <c r="AC179" s="296">
        <f t="shared" si="123"/>
        <v>0.31466666666666687</v>
      </c>
      <c r="AD179" s="296">
        <f t="shared" si="123"/>
        <v>0.32100000000000023</v>
      </c>
      <c r="AE179" s="296">
        <f t="shared" si="123"/>
        <v>0.32733333333333359</v>
      </c>
      <c r="AF179" s="296">
        <f t="shared" si="123"/>
        <v>0.33366666666666694</v>
      </c>
      <c r="AG179" s="275">
        <v>0.34</v>
      </c>
      <c r="AI179" s="295"/>
      <c r="AJ179" s="198" t="s">
        <v>1614</v>
      </c>
    </row>
    <row r="180" spans="1:36" s="1" customFormat="1" outlineLevel="1">
      <c r="A180" t="s">
        <v>727</v>
      </c>
      <c r="B180" s="281" t="s">
        <v>126</v>
      </c>
      <c r="C180" s="275">
        <v>0.85</v>
      </c>
      <c r="D180" s="296">
        <f t="shared" si="122"/>
        <v>0.84366666666666668</v>
      </c>
      <c r="E180" s="296">
        <f t="shared" si="122"/>
        <v>0.83733333333333337</v>
      </c>
      <c r="F180" s="296">
        <f t="shared" si="122"/>
        <v>0.83100000000000007</v>
      </c>
      <c r="G180" s="296">
        <f t="shared" si="122"/>
        <v>0.82466666666666677</v>
      </c>
      <c r="H180" s="296">
        <f t="shared" si="122"/>
        <v>0.81833333333333347</v>
      </c>
      <c r="I180" s="296">
        <f t="shared" si="122"/>
        <v>0.81200000000000017</v>
      </c>
      <c r="J180" s="296">
        <f t="shared" si="122"/>
        <v>0.80566666666666686</v>
      </c>
      <c r="K180" s="296">
        <f t="shared" si="122"/>
        <v>0.79933333333333356</v>
      </c>
      <c r="L180" s="296">
        <f t="shared" si="122"/>
        <v>0.79300000000000026</v>
      </c>
      <c r="M180" s="296">
        <f t="shared" si="122"/>
        <v>0.78666666666666696</v>
      </c>
      <c r="N180" s="296">
        <f t="shared" si="122"/>
        <v>0.78033333333333366</v>
      </c>
      <c r="O180" s="296">
        <f t="shared" si="122"/>
        <v>0.77400000000000035</v>
      </c>
      <c r="P180" s="296">
        <f t="shared" si="122"/>
        <v>0.76766666666666705</v>
      </c>
      <c r="Q180" s="296">
        <f t="shared" si="122"/>
        <v>0.76133333333333375</v>
      </c>
      <c r="R180" s="296">
        <f t="shared" si="122"/>
        <v>0.75500000000000045</v>
      </c>
      <c r="S180" s="296">
        <f t="shared" si="122"/>
        <v>0.74866666666666715</v>
      </c>
      <c r="T180" s="296">
        <f t="shared" si="123"/>
        <v>0.74233333333333384</v>
      </c>
      <c r="U180" s="296">
        <f t="shared" si="123"/>
        <v>0.73600000000000054</v>
      </c>
      <c r="V180" s="296">
        <f t="shared" si="123"/>
        <v>0.72966666666666724</v>
      </c>
      <c r="W180" s="296">
        <f t="shared" si="123"/>
        <v>0.72333333333333394</v>
      </c>
      <c r="X180" s="296">
        <f t="shared" si="123"/>
        <v>0.71700000000000064</v>
      </c>
      <c r="Y180" s="296">
        <f t="shared" si="123"/>
        <v>0.71066666666666733</v>
      </c>
      <c r="Z180" s="296">
        <f t="shared" si="123"/>
        <v>0.70433333333333403</v>
      </c>
      <c r="AA180" s="296">
        <f t="shared" si="123"/>
        <v>0.69800000000000073</v>
      </c>
      <c r="AB180" s="296">
        <f t="shared" si="123"/>
        <v>0.69166666666666743</v>
      </c>
      <c r="AC180" s="296">
        <f t="shared" si="123"/>
        <v>0.68533333333333413</v>
      </c>
      <c r="AD180" s="296">
        <f t="shared" si="123"/>
        <v>0.67900000000000083</v>
      </c>
      <c r="AE180" s="296">
        <f t="shared" si="123"/>
        <v>0.67266666666666752</v>
      </c>
      <c r="AF180" s="296">
        <f t="shared" si="123"/>
        <v>0.66633333333333422</v>
      </c>
      <c r="AG180" s="275">
        <v>0.66</v>
      </c>
      <c r="AI180" s="295"/>
      <c r="AJ180" s="198" t="s">
        <v>1614</v>
      </c>
    </row>
    <row r="181" spans="1:36" s="1" customFormat="1" outlineLevel="1">
      <c r="A181" t="s">
        <v>730</v>
      </c>
      <c r="B181" s="281" t="s">
        <v>126</v>
      </c>
      <c r="C181" s="275">
        <v>0</v>
      </c>
      <c r="D181" s="296">
        <f t="shared" si="122"/>
        <v>0</v>
      </c>
      <c r="E181" s="296">
        <f t="shared" si="122"/>
        <v>0</v>
      </c>
      <c r="F181" s="296">
        <f t="shared" si="122"/>
        <v>0</v>
      </c>
      <c r="G181" s="296">
        <f t="shared" si="122"/>
        <v>0</v>
      </c>
      <c r="H181" s="296">
        <f t="shared" si="122"/>
        <v>0</v>
      </c>
      <c r="I181" s="296">
        <f t="shared" si="122"/>
        <v>0</v>
      </c>
      <c r="J181" s="296">
        <f t="shared" si="122"/>
        <v>0</v>
      </c>
      <c r="K181" s="296">
        <f t="shared" si="122"/>
        <v>0</v>
      </c>
      <c r="L181" s="296">
        <f t="shared" si="122"/>
        <v>0</v>
      </c>
      <c r="M181" s="296">
        <f t="shared" si="122"/>
        <v>0</v>
      </c>
      <c r="N181" s="296">
        <f t="shared" si="122"/>
        <v>0</v>
      </c>
      <c r="O181" s="296">
        <f t="shared" si="122"/>
        <v>0</v>
      </c>
      <c r="P181" s="296">
        <f t="shared" si="122"/>
        <v>0</v>
      </c>
      <c r="Q181" s="296">
        <f t="shared" si="122"/>
        <v>0</v>
      </c>
      <c r="R181" s="296">
        <f t="shared" si="122"/>
        <v>0</v>
      </c>
      <c r="S181" s="296">
        <f t="shared" si="122"/>
        <v>0</v>
      </c>
      <c r="T181" s="296">
        <f t="shared" si="123"/>
        <v>0</v>
      </c>
      <c r="U181" s="296">
        <f t="shared" si="123"/>
        <v>0</v>
      </c>
      <c r="V181" s="296">
        <f t="shared" si="123"/>
        <v>0</v>
      </c>
      <c r="W181" s="296">
        <f t="shared" si="123"/>
        <v>0</v>
      </c>
      <c r="X181" s="296">
        <f t="shared" si="123"/>
        <v>0</v>
      </c>
      <c r="Y181" s="296">
        <f t="shared" si="123"/>
        <v>0</v>
      </c>
      <c r="Z181" s="296">
        <f t="shared" si="123"/>
        <v>0</v>
      </c>
      <c r="AA181" s="296">
        <f t="shared" si="123"/>
        <v>0</v>
      </c>
      <c r="AB181" s="296">
        <f t="shared" si="123"/>
        <v>0</v>
      </c>
      <c r="AC181" s="296">
        <f t="shared" si="123"/>
        <v>0</v>
      </c>
      <c r="AD181" s="296">
        <f t="shared" si="123"/>
        <v>0</v>
      </c>
      <c r="AE181" s="296">
        <f t="shared" si="123"/>
        <v>0</v>
      </c>
      <c r="AF181" s="296">
        <f t="shared" si="123"/>
        <v>0</v>
      </c>
      <c r="AG181" s="275">
        <v>0</v>
      </c>
      <c r="AI181" s="295"/>
      <c r="AJ181" s="198" t="s">
        <v>1615</v>
      </c>
    </row>
    <row r="182" spans="1:36" s="1" customFormat="1" outlineLevel="1">
      <c r="A182" t="s">
        <v>741</v>
      </c>
      <c r="B182" s="281" t="s">
        <v>126</v>
      </c>
      <c r="C182" s="275">
        <v>1</v>
      </c>
      <c r="D182" s="296">
        <f t="shared" si="122"/>
        <v>1</v>
      </c>
      <c r="E182" s="296">
        <f t="shared" si="122"/>
        <v>1</v>
      </c>
      <c r="F182" s="296">
        <f t="shared" si="122"/>
        <v>1</v>
      </c>
      <c r="G182" s="296">
        <f t="shared" si="122"/>
        <v>1</v>
      </c>
      <c r="H182" s="296">
        <f t="shared" si="122"/>
        <v>1</v>
      </c>
      <c r="I182" s="296">
        <f t="shared" si="122"/>
        <v>1</v>
      </c>
      <c r="J182" s="296">
        <f t="shared" si="122"/>
        <v>1</v>
      </c>
      <c r="K182" s="296">
        <f t="shared" si="122"/>
        <v>1</v>
      </c>
      <c r="L182" s="296">
        <f t="shared" si="122"/>
        <v>1</v>
      </c>
      <c r="M182" s="296">
        <f t="shared" si="122"/>
        <v>1</v>
      </c>
      <c r="N182" s="296">
        <f t="shared" si="122"/>
        <v>1</v>
      </c>
      <c r="O182" s="296">
        <f t="shared" si="122"/>
        <v>1</v>
      </c>
      <c r="P182" s="296">
        <f t="shared" si="122"/>
        <v>1</v>
      </c>
      <c r="Q182" s="296">
        <f t="shared" si="122"/>
        <v>1</v>
      </c>
      <c r="R182" s="296">
        <f t="shared" si="122"/>
        <v>1</v>
      </c>
      <c r="S182" s="296">
        <f t="shared" si="122"/>
        <v>1</v>
      </c>
      <c r="T182" s="296">
        <f t="shared" si="123"/>
        <v>1</v>
      </c>
      <c r="U182" s="296">
        <f t="shared" si="123"/>
        <v>1</v>
      </c>
      <c r="V182" s="296">
        <f t="shared" si="123"/>
        <v>1</v>
      </c>
      <c r="W182" s="296">
        <f t="shared" si="123"/>
        <v>1</v>
      </c>
      <c r="X182" s="296">
        <f t="shared" si="123"/>
        <v>1</v>
      </c>
      <c r="Y182" s="296">
        <f t="shared" si="123"/>
        <v>1</v>
      </c>
      <c r="Z182" s="296">
        <f t="shared" si="123"/>
        <v>1</v>
      </c>
      <c r="AA182" s="296">
        <f t="shared" si="123"/>
        <v>1</v>
      </c>
      <c r="AB182" s="296">
        <f t="shared" si="123"/>
        <v>1</v>
      </c>
      <c r="AC182" s="296">
        <f t="shared" si="123"/>
        <v>1</v>
      </c>
      <c r="AD182" s="296">
        <f t="shared" si="123"/>
        <v>1</v>
      </c>
      <c r="AE182" s="296">
        <f t="shared" si="123"/>
        <v>1</v>
      </c>
      <c r="AF182" s="296">
        <f t="shared" si="123"/>
        <v>1</v>
      </c>
      <c r="AG182" s="275">
        <v>1</v>
      </c>
      <c r="AI182" s="295"/>
      <c r="AJ182" s="198" t="s">
        <v>1616</v>
      </c>
    </row>
    <row r="183" spans="1:36" s="1" customFormat="1" outlineLevel="1">
      <c r="A183" t="s">
        <v>728</v>
      </c>
      <c r="B183" s="281" t="s">
        <v>126</v>
      </c>
      <c r="C183" s="275">
        <v>0.8</v>
      </c>
      <c r="D183" s="296">
        <f t="shared" si="122"/>
        <v>0.80333333333333334</v>
      </c>
      <c r="E183" s="296">
        <f t="shared" si="122"/>
        <v>0.80666666666666664</v>
      </c>
      <c r="F183" s="296">
        <f t="shared" si="122"/>
        <v>0.80999999999999994</v>
      </c>
      <c r="G183" s="296">
        <f t="shared" si="122"/>
        <v>0.81333333333333324</v>
      </c>
      <c r="H183" s="296">
        <f t="shared" si="122"/>
        <v>0.81666666666666654</v>
      </c>
      <c r="I183" s="296">
        <f t="shared" si="122"/>
        <v>0.81999999999999984</v>
      </c>
      <c r="J183" s="296">
        <f t="shared" si="122"/>
        <v>0.82333333333333314</v>
      </c>
      <c r="K183" s="296">
        <f t="shared" si="122"/>
        <v>0.82666666666666644</v>
      </c>
      <c r="L183" s="296">
        <f t="shared" si="122"/>
        <v>0.82999999999999974</v>
      </c>
      <c r="M183" s="296">
        <f t="shared" si="122"/>
        <v>0.83333333333333304</v>
      </c>
      <c r="N183" s="296">
        <f t="shared" si="122"/>
        <v>0.83666666666666634</v>
      </c>
      <c r="O183" s="296">
        <f t="shared" si="122"/>
        <v>0.83999999999999964</v>
      </c>
      <c r="P183" s="296">
        <f t="shared" si="122"/>
        <v>0.84333333333333294</v>
      </c>
      <c r="Q183" s="296">
        <f t="shared" si="122"/>
        <v>0.84666666666666623</v>
      </c>
      <c r="R183" s="296">
        <f t="shared" si="122"/>
        <v>0.84999999999999953</v>
      </c>
      <c r="S183" s="296">
        <f t="shared" si="122"/>
        <v>0.85333333333333283</v>
      </c>
      <c r="T183" s="296">
        <f t="shared" si="123"/>
        <v>0.85666666666666613</v>
      </c>
      <c r="U183" s="296">
        <f t="shared" si="123"/>
        <v>0.85999999999999943</v>
      </c>
      <c r="V183" s="296">
        <f t="shared" si="123"/>
        <v>0.86333333333333273</v>
      </c>
      <c r="W183" s="296">
        <f t="shared" si="123"/>
        <v>0.86666666666666603</v>
      </c>
      <c r="X183" s="296">
        <f t="shared" si="123"/>
        <v>0.86999999999999933</v>
      </c>
      <c r="Y183" s="296">
        <f t="shared" si="123"/>
        <v>0.87333333333333263</v>
      </c>
      <c r="Z183" s="296">
        <f t="shared" si="123"/>
        <v>0.87666666666666593</v>
      </c>
      <c r="AA183" s="296">
        <f t="shared" si="123"/>
        <v>0.87999999999999923</v>
      </c>
      <c r="AB183" s="296">
        <f t="shared" si="123"/>
        <v>0.88333333333333253</v>
      </c>
      <c r="AC183" s="296">
        <f t="shared" si="123"/>
        <v>0.88666666666666583</v>
      </c>
      <c r="AD183" s="296">
        <f t="shared" si="123"/>
        <v>0.88999999999999913</v>
      </c>
      <c r="AE183" s="296">
        <f t="shared" si="123"/>
        <v>0.89333333333333242</v>
      </c>
      <c r="AF183" s="296">
        <f t="shared" si="123"/>
        <v>0.89666666666666572</v>
      </c>
      <c r="AG183" s="275">
        <v>0.9</v>
      </c>
      <c r="AI183" s="295"/>
      <c r="AJ183" s="198" t="s">
        <v>1617</v>
      </c>
    </row>
    <row r="184" spans="1:36" s="1" customFormat="1" outlineLevel="1">
      <c r="A184" t="s">
        <v>729</v>
      </c>
      <c r="B184" s="281" t="s">
        <v>126</v>
      </c>
      <c r="C184" s="275">
        <v>0.2</v>
      </c>
      <c r="D184" s="296">
        <f t="shared" si="122"/>
        <v>0.19666666666666668</v>
      </c>
      <c r="E184" s="296">
        <f t="shared" si="122"/>
        <v>0.19333333333333336</v>
      </c>
      <c r="F184" s="296">
        <f t="shared" si="122"/>
        <v>0.19000000000000003</v>
      </c>
      <c r="G184" s="296">
        <f t="shared" si="122"/>
        <v>0.1866666666666667</v>
      </c>
      <c r="H184" s="296">
        <f t="shared" si="122"/>
        <v>0.18333333333333338</v>
      </c>
      <c r="I184" s="296">
        <f t="shared" si="122"/>
        <v>0.18000000000000005</v>
      </c>
      <c r="J184" s="296">
        <f t="shared" si="122"/>
        <v>0.17666666666666672</v>
      </c>
      <c r="K184" s="296">
        <f t="shared" si="122"/>
        <v>0.17333333333333339</v>
      </c>
      <c r="L184" s="296">
        <f t="shared" si="122"/>
        <v>0.17000000000000007</v>
      </c>
      <c r="M184" s="296">
        <f t="shared" si="122"/>
        <v>0.16666666666666674</v>
      </c>
      <c r="N184" s="296">
        <f t="shared" si="122"/>
        <v>0.16333333333333341</v>
      </c>
      <c r="O184" s="296">
        <f t="shared" si="122"/>
        <v>0.16000000000000009</v>
      </c>
      <c r="P184" s="296">
        <f t="shared" si="122"/>
        <v>0.15666666666666676</v>
      </c>
      <c r="Q184" s="296">
        <f t="shared" si="122"/>
        <v>0.15333333333333343</v>
      </c>
      <c r="R184" s="296">
        <f t="shared" si="122"/>
        <v>0.15000000000000011</v>
      </c>
      <c r="S184" s="296">
        <f t="shared" si="122"/>
        <v>0.14666666666666678</v>
      </c>
      <c r="T184" s="296">
        <f t="shared" si="123"/>
        <v>0.14333333333333345</v>
      </c>
      <c r="U184" s="296">
        <f t="shared" si="123"/>
        <v>0.14000000000000012</v>
      </c>
      <c r="V184" s="296">
        <f t="shared" si="123"/>
        <v>0.1366666666666668</v>
      </c>
      <c r="W184" s="296">
        <f t="shared" si="123"/>
        <v>0.13333333333333347</v>
      </c>
      <c r="X184" s="296">
        <f t="shared" si="123"/>
        <v>0.13000000000000014</v>
      </c>
      <c r="Y184" s="296">
        <f t="shared" si="123"/>
        <v>0.12666666666666682</v>
      </c>
      <c r="Z184" s="296">
        <f t="shared" si="123"/>
        <v>0.12333333333333349</v>
      </c>
      <c r="AA184" s="296">
        <f t="shared" si="123"/>
        <v>0.12000000000000016</v>
      </c>
      <c r="AB184" s="296">
        <f t="shared" si="123"/>
        <v>0.11666666666666684</v>
      </c>
      <c r="AC184" s="296">
        <f t="shared" si="123"/>
        <v>0.11333333333333351</v>
      </c>
      <c r="AD184" s="296">
        <f t="shared" si="123"/>
        <v>0.11000000000000018</v>
      </c>
      <c r="AE184" s="296">
        <f t="shared" si="123"/>
        <v>0.10666666666666685</v>
      </c>
      <c r="AF184" s="296">
        <f t="shared" si="123"/>
        <v>0.10333333333333353</v>
      </c>
      <c r="AG184" s="275">
        <v>0.1</v>
      </c>
      <c r="AI184" s="295"/>
      <c r="AJ184" s="198" t="s">
        <v>1618</v>
      </c>
    </row>
    <row r="185" spans="1:36" s="1" customFormat="1" outlineLevel="1">
      <c r="A185" t="s">
        <v>739</v>
      </c>
      <c r="B185" s="281" t="s">
        <v>126</v>
      </c>
      <c r="C185" s="275">
        <v>0.95</v>
      </c>
      <c r="D185" s="296">
        <f t="shared" si="122"/>
        <v>0.94866666666666666</v>
      </c>
      <c r="E185" s="296">
        <f t="shared" si="122"/>
        <v>0.94733333333333336</v>
      </c>
      <c r="F185" s="296">
        <f t="shared" si="122"/>
        <v>0.94600000000000006</v>
      </c>
      <c r="G185" s="296">
        <f t="shared" si="122"/>
        <v>0.94466666666666677</v>
      </c>
      <c r="H185" s="296">
        <f t="shared" si="122"/>
        <v>0.94333333333333347</v>
      </c>
      <c r="I185" s="296">
        <f t="shared" si="122"/>
        <v>0.94200000000000017</v>
      </c>
      <c r="J185" s="296">
        <f t="shared" si="122"/>
        <v>0.94066666666666687</v>
      </c>
      <c r="K185" s="296">
        <f t="shared" si="122"/>
        <v>0.93933333333333358</v>
      </c>
      <c r="L185" s="296">
        <f t="shared" si="122"/>
        <v>0.93800000000000028</v>
      </c>
      <c r="M185" s="296">
        <f t="shared" si="122"/>
        <v>0.93666666666666698</v>
      </c>
      <c r="N185" s="296">
        <f t="shared" si="122"/>
        <v>0.93533333333333368</v>
      </c>
      <c r="O185" s="296">
        <f t="shared" si="122"/>
        <v>0.93400000000000039</v>
      </c>
      <c r="P185" s="296">
        <f t="shared" si="122"/>
        <v>0.93266666666666709</v>
      </c>
      <c r="Q185" s="296">
        <f t="shared" si="122"/>
        <v>0.93133333333333379</v>
      </c>
      <c r="R185" s="296">
        <f t="shared" si="122"/>
        <v>0.93000000000000049</v>
      </c>
      <c r="S185" s="296">
        <f t="shared" si="122"/>
        <v>0.9286666666666672</v>
      </c>
      <c r="T185" s="296">
        <f t="shared" si="123"/>
        <v>0.9273333333333339</v>
      </c>
      <c r="U185" s="296">
        <f t="shared" si="123"/>
        <v>0.9260000000000006</v>
      </c>
      <c r="V185" s="296">
        <f t="shared" si="123"/>
        <v>0.9246666666666673</v>
      </c>
      <c r="W185" s="296">
        <f t="shared" si="123"/>
        <v>0.92333333333333401</v>
      </c>
      <c r="X185" s="296">
        <f t="shared" si="123"/>
        <v>0.92200000000000071</v>
      </c>
      <c r="Y185" s="296">
        <f t="shared" si="123"/>
        <v>0.92066666666666741</v>
      </c>
      <c r="Z185" s="296">
        <f t="shared" si="123"/>
        <v>0.91933333333333411</v>
      </c>
      <c r="AA185" s="296">
        <f t="shared" si="123"/>
        <v>0.91800000000000082</v>
      </c>
      <c r="AB185" s="296">
        <f t="shared" si="123"/>
        <v>0.91666666666666752</v>
      </c>
      <c r="AC185" s="296">
        <f t="shared" si="123"/>
        <v>0.91533333333333422</v>
      </c>
      <c r="AD185" s="296">
        <f t="shared" si="123"/>
        <v>0.91400000000000092</v>
      </c>
      <c r="AE185" s="296">
        <f t="shared" si="123"/>
        <v>0.91266666666666763</v>
      </c>
      <c r="AF185" s="296">
        <f t="shared" si="123"/>
        <v>0.91133333333333433</v>
      </c>
      <c r="AG185" s="275">
        <v>0.91</v>
      </c>
      <c r="AI185" s="295"/>
      <c r="AJ185" s="198" t="s">
        <v>1619</v>
      </c>
    </row>
    <row r="186" spans="1:36" s="1" customFormat="1" outlineLevel="1">
      <c r="A186" t="s">
        <v>740</v>
      </c>
      <c r="B186" s="281" t="s">
        <v>126</v>
      </c>
      <c r="C186" s="275">
        <v>0.05</v>
      </c>
      <c r="D186" s="296">
        <f t="shared" si="122"/>
        <v>5.1333333333333335E-2</v>
      </c>
      <c r="E186" s="296">
        <f t="shared" si="122"/>
        <v>5.2666666666666667E-2</v>
      </c>
      <c r="F186" s="296">
        <f t="shared" si="122"/>
        <v>5.3999999999999999E-2</v>
      </c>
      <c r="G186" s="296">
        <f t="shared" si="122"/>
        <v>5.5333333333333332E-2</v>
      </c>
      <c r="H186" s="296">
        <f t="shared" si="122"/>
        <v>5.6666666666666664E-2</v>
      </c>
      <c r="I186" s="296">
        <f t="shared" si="122"/>
        <v>5.7999999999999996E-2</v>
      </c>
      <c r="J186" s="296">
        <f t="shared" si="122"/>
        <v>5.9333333333333328E-2</v>
      </c>
      <c r="K186" s="296">
        <f t="shared" si="122"/>
        <v>6.066666666666666E-2</v>
      </c>
      <c r="L186" s="296">
        <f t="shared" si="122"/>
        <v>6.1999999999999993E-2</v>
      </c>
      <c r="M186" s="296">
        <f t="shared" si="122"/>
        <v>6.3333333333333325E-2</v>
      </c>
      <c r="N186" s="296">
        <f t="shared" si="122"/>
        <v>6.4666666666666664E-2</v>
      </c>
      <c r="O186" s="296">
        <f t="shared" si="122"/>
        <v>6.6000000000000003E-2</v>
      </c>
      <c r="P186" s="296">
        <f t="shared" si="122"/>
        <v>6.7333333333333342E-2</v>
      </c>
      <c r="Q186" s="296">
        <f t="shared" si="122"/>
        <v>6.8666666666666681E-2</v>
      </c>
      <c r="R186" s="296">
        <f t="shared" si="122"/>
        <v>7.0000000000000021E-2</v>
      </c>
      <c r="S186" s="296">
        <f t="shared" si="122"/>
        <v>7.133333333333336E-2</v>
      </c>
      <c r="T186" s="296">
        <f t="shared" si="123"/>
        <v>7.2666666666666699E-2</v>
      </c>
      <c r="U186" s="296">
        <f t="shared" si="123"/>
        <v>7.4000000000000038E-2</v>
      </c>
      <c r="V186" s="296">
        <f t="shared" si="123"/>
        <v>7.5333333333333377E-2</v>
      </c>
      <c r="W186" s="296">
        <f t="shared" si="123"/>
        <v>7.6666666666666716E-2</v>
      </c>
      <c r="X186" s="296">
        <f t="shared" si="123"/>
        <v>7.8000000000000055E-2</v>
      </c>
      <c r="Y186" s="296">
        <f t="shared" si="123"/>
        <v>7.9333333333333395E-2</v>
      </c>
      <c r="Z186" s="296">
        <f t="shared" si="123"/>
        <v>8.0666666666666734E-2</v>
      </c>
      <c r="AA186" s="296">
        <f t="shared" si="123"/>
        <v>8.2000000000000073E-2</v>
      </c>
      <c r="AB186" s="296">
        <f t="shared" si="123"/>
        <v>8.3333333333333412E-2</v>
      </c>
      <c r="AC186" s="296">
        <f t="shared" si="123"/>
        <v>8.4666666666666751E-2</v>
      </c>
      <c r="AD186" s="296">
        <f t="shared" si="123"/>
        <v>8.600000000000009E-2</v>
      </c>
      <c r="AE186" s="296">
        <f t="shared" si="123"/>
        <v>8.7333333333333429E-2</v>
      </c>
      <c r="AF186" s="296">
        <f t="shared" si="123"/>
        <v>8.8666666666666769E-2</v>
      </c>
      <c r="AG186" s="275">
        <v>0.09</v>
      </c>
      <c r="AI186" s="295"/>
      <c r="AJ186" s="198" t="s">
        <v>1620</v>
      </c>
    </row>
    <row r="187" spans="1:36" s="1" customFormat="1" outlineLevel="1">
      <c r="A187" t="s">
        <v>742</v>
      </c>
      <c r="B187" s="281"/>
      <c r="C187" s="275">
        <v>0.27</v>
      </c>
      <c r="D187" s="296">
        <f t="shared" si="122"/>
        <v>0.26600000000000001</v>
      </c>
      <c r="E187" s="296">
        <f t="shared" si="122"/>
        <v>0.26200000000000001</v>
      </c>
      <c r="F187" s="296">
        <f t="shared" si="122"/>
        <v>0.25800000000000001</v>
      </c>
      <c r="G187" s="296">
        <f t="shared" si="122"/>
        <v>0.254</v>
      </c>
      <c r="H187" s="296">
        <f t="shared" si="122"/>
        <v>0.25</v>
      </c>
      <c r="I187" s="296">
        <f t="shared" si="122"/>
        <v>0.246</v>
      </c>
      <c r="J187" s="296">
        <f t="shared" si="122"/>
        <v>0.24199999999999999</v>
      </c>
      <c r="K187" s="296">
        <f t="shared" si="122"/>
        <v>0.23799999999999999</v>
      </c>
      <c r="L187" s="296">
        <f t="shared" si="122"/>
        <v>0.23399999999999999</v>
      </c>
      <c r="M187" s="296">
        <f t="shared" si="122"/>
        <v>0.22999999999999998</v>
      </c>
      <c r="N187" s="296">
        <f t="shared" si="122"/>
        <v>0.22599999999999998</v>
      </c>
      <c r="O187" s="296">
        <f t="shared" si="122"/>
        <v>0.22199999999999998</v>
      </c>
      <c r="P187" s="296">
        <f t="shared" si="122"/>
        <v>0.21799999999999997</v>
      </c>
      <c r="Q187" s="296">
        <f t="shared" si="122"/>
        <v>0.21399999999999997</v>
      </c>
      <c r="R187" s="296">
        <f t="shared" si="122"/>
        <v>0.20999999999999996</v>
      </c>
      <c r="S187" s="296">
        <f t="shared" si="122"/>
        <v>0.20599999999999996</v>
      </c>
      <c r="T187" s="296">
        <f t="shared" si="123"/>
        <v>0.20199999999999996</v>
      </c>
      <c r="U187" s="296">
        <f t="shared" si="123"/>
        <v>0.19799999999999995</v>
      </c>
      <c r="V187" s="296">
        <f t="shared" si="123"/>
        <v>0.19399999999999995</v>
      </c>
      <c r="W187" s="296">
        <f t="shared" si="123"/>
        <v>0.18999999999999995</v>
      </c>
      <c r="X187" s="296">
        <f t="shared" si="123"/>
        <v>0.18599999999999994</v>
      </c>
      <c r="Y187" s="296">
        <f t="shared" si="123"/>
        <v>0.18199999999999994</v>
      </c>
      <c r="Z187" s="296">
        <f t="shared" si="123"/>
        <v>0.17799999999999994</v>
      </c>
      <c r="AA187" s="296">
        <f t="shared" si="123"/>
        <v>0.17399999999999993</v>
      </c>
      <c r="AB187" s="296">
        <f t="shared" si="123"/>
        <v>0.16999999999999993</v>
      </c>
      <c r="AC187" s="296">
        <f t="shared" si="123"/>
        <v>0.16599999999999993</v>
      </c>
      <c r="AD187" s="296">
        <f t="shared" si="123"/>
        <v>0.16199999999999992</v>
      </c>
      <c r="AE187" s="296">
        <f t="shared" si="123"/>
        <v>0.15799999999999992</v>
      </c>
      <c r="AF187" s="296">
        <f t="shared" si="123"/>
        <v>0.15399999999999991</v>
      </c>
      <c r="AG187" s="275">
        <v>0.15</v>
      </c>
      <c r="AI187" s="295"/>
      <c r="AJ187" s="198"/>
    </row>
    <row r="188" spans="1:36" s="62" customFormat="1" outlineLevel="1">
      <c r="A188" s="322" t="s">
        <v>733</v>
      </c>
      <c r="B188" s="287" t="s">
        <v>126</v>
      </c>
      <c r="C188" s="314">
        <v>0.16</v>
      </c>
      <c r="D188" s="315">
        <f t="shared" si="122"/>
        <v>0.16533333333333333</v>
      </c>
      <c r="E188" s="315">
        <f t="shared" si="122"/>
        <v>0.17066666666666666</v>
      </c>
      <c r="F188" s="315">
        <f t="shared" si="122"/>
        <v>0.17599999999999999</v>
      </c>
      <c r="G188" s="315">
        <f t="shared" si="122"/>
        <v>0.18133333333333332</v>
      </c>
      <c r="H188" s="315">
        <f t="shared" si="122"/>
        <v>0.18666666666666665</v>
      </c>
      <c r="I188" s="315">
        <f t="shared" si="122"/>
        <v>0.19199999999999998</v>
      </c>
      <c r="J188" s="315">
        <f t="shared" si="122"/>
        <v>0.19733333333333331</v>
      </c>
      <c r="K188" s="315">
        <f t="shared" si="122"/>
        <v>0.20266666666666663</v>
      </c>
      <c r="L188" s="315">
        <f t="shared" si="122"/>
        <v>0.20799999999999996</v>
      </c>
      <c r="M188" s="315">
        <f t="shared" si="122"/>
        <v>0.21333333333333329</v>
      </c>
      <c r="N188" s="315">
        <f t="shared" si="122"/>
        <v>0.21866666666666662</v>
      </c>
      <c r="O188" s="315">
        <f t="shared" si="122"/>
        <v>0.22399999999999995</v>
      </c>
      <c r="P188" s="315">
        <f t="shared" si="122"/>
        <v>0.22933333333333328</v>
      </c>
      <c r="Q188" s="315">
        <f t="shared" si="122"/>
        <v>0.23466666666666661</v>
      </c>
      <c r="R188" s="315">
        <f t="shared" si="122"/>
        <v>0.23999999999999994</v>
      </c>
      <c r="S188" s="315">
        <f t="shared" si="122"/>
        <v>0.24533333333333326</v>
      </c>
      <c r="T188" s="315">
        <f t="shared" si="123"/>
        <v>0.25066666666666659</v>
      </c>
      <c r="U188" s="315">
        <f t="shared" si="123"/>
        <v>0.25599999999999995</v>
      </c>
      <c r="V188" s="315">
        <f t="shared" si="123"/>
        <v>0.26133333333333331</v>
      </c>
      <c r="W188" s="315">
        <f t="shared" si="123"/>
        <v>0.26666666666666666</v>
      </c>
      <c r="X188" s="315">
        <f t="shared" si="123"/>
        <v>0.27200000000000002</v>
      </c>
      <c r="Y188" s="315">
        <f t="shared" si="123"/>
        <v>0.27733333333333338</v>
      </c>
      <c r="Z188" s="315">
        <f t="shared" si="123"/>
        <v>0.28266666666666673</v>
      </c>
      <c r="AA188" s="315">
        <f t="shared" si="123"/>
        <v>0.28800000000000009</v>
      </c>
      <c r="AB188" s="315">
        <f t="shared" si="123"/>
        <v>0.29333333333333345</v>
      </c>
      <c r="AC188" s="315">
        <f t="shared" si="123"/>
        <v>0.2986666666666668</v>
      </c>
      <c r="AD188" s="315">
        <f t="shared" si="123"/>
        <v>0.30400000000000016</v>
      </c>
      <c r="AE188" s="315">
        <f t="shared" si="123"/>
        <v>0.30933333333333352</v>
      </c>
      <c r="AF188" s="315">
        <f t="shared" si="123"/>
        <v>0.31466666666666687</v>
      </c>
      <c r="AG188" s="314">
        <v>0.32</v>
      </c>
      <c r="AI188" s="314"/>
      <c r="AJ188" s="316" t="s">
        <v>1620</v>
      </c>
    </row>
    <row r="189" spans="1:36" outlineLevel="1">
      <c r="A189" s="323" t="s">
        <v>734</v>
      </c>
      <c r="B189" s="281" t="s">
        <v>126</v>
      </c>
      <c r="C189" s="275">
        <v>0.37</v>
      </c>
      <c r="D189" s="296">
        <f t="shared" si="122"/>
        <v>0.37166666666666665</v>
      </c>
      <c r="E189" s="296">
        <f t="shared" si="122"/>
        <v>0.37333333333333329</v>
      </c>
      <c r="F189" s="296">
        <f t="shared" si="122"/>
        <v>0.37499999999999994</v>
      </c>
      <c r="G189" s="296">
        <f t="shared" si="122"/>
        <v>0.37666666666666659</v>
      </c>
      <c r="H189" s="296">
        <f t="shared" si="122"/>
        <v>0.37833333333333324</v>
      </c>
      <c r="I189" s="296">
        <f t="shared" si="122"/>
        <v>0.37999999999999989</v>
      </c>
      <c r="J189" s="296">
        <f t="shared" si="122"/>
        <v>0.38166666666666654</v>
      </c>
      <c r="K189" s="296">
        <f t="shared" si="122"/>
        <v>0.38333333333333319</v>
      </c>
      <c r="L189" s="296">
        <f t="shared" si="122"/>
        <v>0.38499999999999984</v>
      </c>
      <c r="M189" s="296">
        <f t="shared" si="122"/>
        <v>0.38666666666666649</v>
      </c>
      <c r="N189" s="296">
        <f t="shared" si="122"/>
        <v>0.38833333333333314</v>
      </c>
      <c r="O189" s="296">
        <f t="shared" si="122"/>
        <v>0.38999999999999979</v>
      </c>
      <c r="P189" s="296">
        <f t="shared" si="122"/>
        <v>0.39166666666666644</v>
      </c>
      <c r="Q189" s="296">
        <f t="shared" si="122"/>
        <v>0.39333333333333309</v>
      </c>
      <c r="R189" s="296">
        <f t="shared" si="122"/>
        <v>0.39499999999999974</v>
      </c>
      <c r="S189" s="296">
        <f t="shared" si="122"/>
        <v>0.39666666666666639</v>
      </c>
      <c r="T189" s="296">
        <f t="shared" si="123"/>
        <v>0.39833333333333304</v>
      </c>
      <c r="U189" s="296">
        <f t="shared" si="123"/>
        <v>0.39999999999999969</v>
      </c>
      <c r="V189" s="296">
        <f t="shared" si="123"/>
        <v>0.40166666666666634</v>
      </c>
      <c r="W189" s="296">
        <f t="shared" si="123"/>
        <v>0.40333333333333299</v>
      </c>
      <c r="X189" s="296">
        <f t="shared" si="123"/>
        <v>0.40499999999999964</v>
      </c>
      <c r="Y189" s="296">
        <f t="shared" si="123"/>
        <v>0.40666666666666629</v>
      </c>
      <c r="Z189" s="296">
        <f t="shared" si="123"/>
        <v>0.40833333333333294</v>
      </c>
      <c r="AA189" s="296">
        <f t="shared" si="123"/>
        <v>0.40999999999999959</v>
      </c>
      <c r="AB189" s="296">
        <f t="shared" si="123"/>
        <v>0.41166666666666624</v>
      </c>
      <c r="AC189" s="296">
        <f t="shared" si="123"/>
        <v>0.41333333333333289</v>
      </c>
      <c r="AD189" s="296">
        <f t="shared" si="123"/>
        <v>0.41499999999999954</v>
      </c>
      <c r="AE189" s="296">
        <f t="shared" si="123"/>
        <v>0.41666666666666619</v>
      </c>
      <c r="AF189" s="296">
        <f t="shared" si="123"/>
        <v>0.41833333333333284</v>
      </c>
      <c r="AG189" s="275">
        <v>0.42</v>
      </c>
      <c r="AI189" s="275"/>
      <c r="AJ189" s="198" t="s">
        <v>1621</v>
      </c>
    </row>
    <row r="190" spans="1:36" outlineLevel="1">
      <c r="A190" s="323" t="s">
        <v>735</v>
      </c>
      <c r="B190" s="281" t="s">
        <v>126</v>
      </c>
      <c r="C190" s="275">
        <v>0.08</v>
      </c>
      <c r="D190" s="296">
        <f t="shared" si="122"/>
        <v>7.7666666666666662E-2</v>
      </c>
      <c r="E190" s="296">
        <f t="shared" si="122"/>
        <v>7.5333333333333322E-2</v>
      </c>
      <c r="F190" s="296">
        <f t="shared" si="122"/>
        <v>7.2999999999999982E-2</v>
      </c>
      <c r="G190" s="296">
        <f t="shared" si="122"/>
        <v>7.0666666666666642E-2</v>
      </c>
      <c r="H190" s="296">
        <f t="shared" si="122"/>
        <v>6.8333333333333302E-2</v>
      </c>
      <c r="I190" s="296">
        <f t="shared" si="122"/>
        <v>6.5999999999999961E-2</v>
      </c>
      <c r="J190" s="296">
        <f t="shared" si="122"/>
        <v>6.3666666666666621E-2</v>
      </c>
      <c r="K190" s="296">
        <f t="shared" si="122"/>
        <v>6.1333333333333288E-2</v>
      </c>
      <c r="L190" s="296">
        <f t="shared" si="122"/>
        <v>5.8999999999999955E-2</v>
      </c>
      <c r="M190" s="296">
        <f t="shared" si="122"/>
        <v>5.6666666666666622E-2</v>
      </c>
      <c r="N190" s="296">
        <f t="shared" si="122"/>
        <v>5.4333333333333289E-2</v>
      </c>
      <c r="O190" s="296">
        <f t="shared" si="122"/>
        <v>5.1999999999999956E-2</v>
      </c>
      <c r="P190" s="296">
        <f t="shared" si="122"/>
        <v>4.9666666666666623E-2</v>
      </c>
      <c r="Q190" s="296">
        <f t="shared" si="122"/>
        <v>4.733333333333329E-2</v>
      </c>
      <c r="R190" s="296">
        <f t="shared" si="122"/>
        <v>4.4999999999999957E-2</v>
      </c>
      <c r="S190" s="296">
        <f t="shared" si="122"/>
        <v>4.2666666666666624E-2</v>
      </c>
      <c r="T190" s="296">
        <f t="shared" si="123"/>
        <v>4.0333333333333291E-2</v>
      </c>
      <c r="U190" s="296">
        <f t="shared" si="123"/>
        <v>3.7999999999999957E-2</v>
      </c>
      <c r="V190" s="296">
        <f t="shared" si="123"/>
        <v>3.5666666666666624E-2</v>
      </c>
      <c r="W190" s="296">
        <f t="shared" si="123"/>
        <v>3.3333333333333291E-2</v>
      </c>
      <c r="X190" s="296">
        <f t="shared" si="123"/>
        <v>3.0999999999999958E-2</v>
      </c>
      <c r="Y190" s="296">
        <f t="shared" si="123"/>
        <v>2.8666666666666625E-2</v>
      </c>
      <c r="Z190" s="296">
        <f t="shared" si="123"/>
        <v>2.6333333333333292E-2</v>
      </c>
      <c r="AA190" s="296">
        <f t="shared" si="123"/>
        <v>2.3999999999999959E-2</v>
      </c>
      <c r="AB190" s="296">
        <f t="shared" si="123"/>
        <v>2.1666666666666626E-2</v>
      </c>
      <c r="AC190" s="296">
        <f t="shared" si="123"/>
        <v>1.9333333333333293E-2</v>
      </c>
      <c r="AD190" s="296">
        <f t="shared" si="123"/>
        <v>1.699999999999996E-2</v>
      </c>
      <c r="AE190" s="296">
        <f t="shared" si="123"/>
        <v>1.4666666666666626E-2</v>
      </c>
      <c r="AF190" s="296">
        <f t="shared" si="123"/>
        <v>1.2333333333333293E-2</v>
      </c>
      <c r="AG190" s="275">
        <v>0.01</v>
      </c>
      <c r="AI190" s="275"/>
      <c r="AJ190" s="198" t="s">
        <v>1622</v>
      </c>
    </row>
    <row r="191" spans="1:36" outlineLevel="1">
      <c r="A191" s="323" t="s">
        <v>736</v>
      </c>
      <c r="B191" s="281" t="s">
        <v>126</v>
      </c>
      <c r="C191" s="275">
        <v>0.27</v>
      </c>
      <c r="D191" s="296">
        <f t="shared" si="122"/>
        <v>0.26633333333333337</v>
      </c>
      <c r="E191" s="296">
        <f t="shared" si="122"/>
        <v>0.26266666666666671</v>
      </c>
      <c r="F191" s="296">
        <f t="shared" si="122"/>
        <v>0.25900000000000006</v>
      </c>
      <c r="G191" s="296">
        <f t="shared" si="122"/>
        <v>0.25533333333333341</v>
      </c>
      <c r="H191" s="296">
        <f t="shared" si="122"/>
        <v>0.25166666666666676</v>
      </c>
      <c r="I191" s="296">
        <f t="shared" si="122"/>
        <v>0.24800000000000008</v>
      </c>
      <c r="J191" s="296">
        <f t="shared" si="122"/>
        <v>0.2443333333333334</v>
      </c>
      <c r="K191" s="296">
        <f t="shared" si="122"/>
        <v>0.24066666666666672</v>
      </c>
      <c r="L191" s="296">
        <f t="shared" si="122"/>
        <v>0.23700000000000004</v>
      </c>
      <c r="M191" s="296">
        <f t="shared" si="122"/>
        <v>0.23333333333333336</v>
      </c>
      <c r="N191" s="296">
        <f t="shared" si="122"/>
        <v>0.22966666666666669</v>
      </c>
      <c r="O191" s="296">
        <f t="shared" si="122"/>
        <v>0.22600000000000001</v>
      </c>
      <c r="P191" s="296">
        <f t="shared" si="122"/>
        <v>0.22233333333333333</v>
      </c>
      <c r="Q191" s="296">
        <f t="shared" si="122"/>
        <v>0.21866666666666665</v>
      </c>
      <c r="R191" s="296">
        <f t="shared" si="122"/>
        <v>0.21499999999999997</v>
      </c>
      <c r="S191" s="296">
        <f t="shared" si="122"/>
        <v>0.21133333333333329</v>
      </c>
      <c r="T191" s="296">
        <f t="shared" si="123"/>
        <v>0.20766666666666661</v>
      </c>
      <c r="U191" s="296">
        <f t="shared" si="123"/>
        <v>0.20399999999999993</v>
      </c>
      <c r="V191" s="296">
        <f t="shared" si="123"/>
        <v>0.20033333333333325</v>
      </c>
      <c r="W191" s="296">
        <f t="shared" si="123"/>
        <v>0.19666666666666657</v>
      </c>
      <c r="X191" s="296">
        <f t="shared" si="123"/>
        <v>0.19299999999999989</v>
      </c>
      <c r="Y191" s="296">
        <f t="shared" si="123"/>
        <v>0.18933333333333321</v>
      </c>
      <c r="Z191" s="296">
        <f t="shared" si="123"/>
        <v>0.18566666666666654</v>
      </c>
      <c r="AA191" s="296">
        <f t="shared" si="123"/>
        <v>0.18199999999999986</v>
      </c>
      <c r="AB191" s="296">
        <f t="shared" si="123"/>
        <v>0.17833333333333318</v>
      </c>
      <c r="AC191" s="296">
        <f t="shared" si="123"/>
        <v>0.1746666666666665</v>
      </c>
      <c r="AD191" s="296">
        <f t="shared" si="123"/>
        <v>0.17099999999999982</v>
      </c>
      <c r="AE191" s="296">
        <f t="shared" si="123"/>
        <v>0.16733333333333314</v>
      </c>
      <c r="AF191" s="296">
        <f t="shared" si="123"/>
        <v>0.16366666666666646</v>
      </c>
      <c r="AG191" s="275">
        <v>0.16</v>
      </c>
      <c r="AI191" s="275"/>
      <c r="AJ191" s="198" t="s">
        <v>1623</v>
      </c>
    </row>
    <row r="192" spans="1:36" outlineLevel="1">
      <c r="A192" s="323" t="s">
        <v>737</v>
      </c>
      <c r="B192" s="281" t="s">
        <v>126</v>
      </c>
      <c r="C192" s="275">
        <v>7.0000000000000007E-2</v>
      </c>
      <c r="D192" s="296">
        <f t="shared" si="122"/>
        <v>6.9666666666666668E-2</v>
      </c>
      <c r="E192" s="296">
        <f t="shared" si="122"/>
        <v>6.933333333333333E-2</v>
      </c>
      <c r="F192" s="296">
        <f t="shared" si="122"/>
        <v>6.8999999999999992E-2</v>
      </c>
      <c r="G192" s="296">
        <f t="shared" si="122"/>
        <v>6.8666666666666654E-2</v>
      </c>
      <c r="H192" s="296">
        <f t="shared" si="122"/>
        <v>6.8333333333333315E-2</v>
      </c>
      <c r="I192" s="296">
        <f t="shared" si="122"/>
        <v>6.7999999999999977E-2</v>
      </c>
      <c r="J192" s="296">
        <f t="shared" si="122"/>
        <v>6.7666666666666639E-2</v>
      </c>
      <c r="K192" s="296">
        <f t="shared" si="122"/>
        <v>6.7333333333333301E-2</v>
      </c>
      <c r="L192" s="296">
        <f t="shared" si="122"/>
        <v>6.6999999999999962E-2</v>
      </c>
      <c r="M192" s="296">
        <f t="shared" si="122"/>
        <v>6.6666666666666624E-2</v>
      </c>
      <c r="N192" s="296">
        <f t="shared" si="122"/>
        <v>6.6333333333333286E-2</v>
      </c>
      <c r="O192" s="296">
        <f t="shared" si="122"/>
        <v>6.5999999999999948E-2</v>
      </c>
      <c r="P192" s="296">
        <f t="shared" si="122"/>
        <v>6.5666666666666609E-2</v>
      </c>
      <c r="Q192" s="296">
        <f t="shared" si="122"/>
        <v>6.5333333333333271E-2</v>
      </c>
      <c r="R192" s="296">
        <f t="shared" si="122"/>
        <v>6.4999999999999933E-2</v>
      </c>
      <c r="S192" s="296">
        <f t="shared" ref="S192:AF192" si="124">-($C192-$AG192)/30+R192</f>
        <v>6.4666666666666595E-2</v>
      </c>
      <c r="T192" s="296">
        <f t="shared" si="124"/>
        <v>6.4333333333333256E-2</v>
      </c>
      <c r="U192" s="296">
        <f t="shared" si="124"/>
        <v>6.3999999999999918E-2</v>
      </c>
      <c r="V192" s="296">
        <f t="shared" si="124"/>
        <v>6.366666666666658E-2</v>
      </c>
      <c r="W192" s="296">
        <f t="shared" si="124"/>
        <v>6.3333333333333242E-2</v>
      </c>
      <c r="X192" s="296">
        <f t="shared" si="124"/>
        <v>6.2999999999999903E-2</v>
      </c>
      <c r="Y192" s="296">
        <f t="shared" si="124"/>
        <v>6.2666666666666565E-2</v>
      </c>
      <c r="Z192" s="296">
        <f t="shared" si="124"/>
        <v>6.2333333333333234E-2</v>
      </c>
      <c r="AA192" s="296">
        <f t="shared" si="124"/>
        <v>6.1999999999999902E-2</v>
      </c>
      <c r="AB192" s="296">
        <f t="shared" si="124"/>
        <v>6.1666666666666571E-2</v>
      </c>
      <c r="AC192" s="296">
        <f t="shared" si="124"/>
        <v>6.133333333333324E-2</v>
      </c>
      <c r="AD192" s="296">
        <f t="shared" si="124"/>
        <v>6.0999999999999908E-2</v>
      </c>
      <c r="AE192" s="296">
        <f t="shared" si="124"/>
        <v>6.0666666666666577E-2</v>
      </c>
      <c r="AF192" s="296">
        <f t="shared" si="124"/>
        <v>6.0333333333333246E-2</v>
      </c>
      <c r="AG192" s="275">
        <v>0.06</v>
      </c>
      <c r="AI192" s="275"/>
      <c r="AJ192" s="198" t="s">
        <v>1624</v>
      </c>
    </row>
    <row r="193" spans="1:36" s="63" customFormat="1" outlineLevel="1">
      <c r="A193" s="324" t="s">
        <v>738</v>
      </c>
      <c r="B193" s="291" t="s">
        <v>126</v>
      </c>
      <c r="C193" s="293">
        <v>0.05</v>
      </c>
      <c r="D193" s="317">
        <f t="shared" ref="D193:AF193" si="125">-($C193-$AG193)/30+C193</f>
        <v>4.9333333333333333E-2</v>
      </c>
      <c r="E193" s="317">
        <f t="shared" si="125"/>
        <v>4.8666666666666664E-2</v>
      </c>
      <c r="F193" s="317">
        <f t="shared" si="125"/>
        <v>4.7999999999999994E-2</v>
      </c>
      <c r="G193" s="317">
        <f t="shared" si="125"/>
        <v>4.7333333333333324E-2</v>
      </c>
      <c r="H193" s="317">
        <f t="shared" si="125"/>
        <v>4.6666666666666655E-2</v>
      </c>
      <c r="I193" s="317">
        <f t="shared" si="125"/>
        <v>4.5999999999999985E-2</v>
      </c>
      <c r="J193" s="317">
        <f t="shared" si="125"/>
        <v>4.5333333333333316E-2</v>
      </c>
      <c r="K193" s="317">
        <f t="shared" si="125"/>
        <v>4.4666666666666646E-2</v>
      </c>
      <c r="L193" s="317">
        <f t="shared" si="125"/>
        <v>4.3999999999999977E-2</v>
      </c>
      <c r="M193" s="317">
        <f t="shared" si="125"/>
        <v>4.3333333333333307E-2</v>
      </c>
      <c r="N193" s="317">
        <f t="shared" si="125"/>
        <v>4.2666666666666637E-2</v>
      </c>
      <c r="O193" s="317">
        <f t="shared" si="125"/>
        <v>4.1999999999999968E-2</v>
      </c>
      <c r="P193" s="317">
        <f t="shared" si="125"/>
        <v>4.1333333333333298E-2</v>
      </c>
      <c r="Q193" s="317">
        <f t="shared" si="125"/>
        <v>4.0666666666666629E-2</v>
      </c>
      <c r="R193" s="317">
        <f t="shared" si="125"/>
        <v>3.9999999999999959E-2</v>
      </c>
      <c r="S193" s="317">
        <f t="shared" si="125"/>
        <v>3.933333333333329E-2</v>
      </c>
      <c r="T193" s="317">
        <f t="shared" si="125"/>
        <v>3.866666666666662E-2</v>
      </c>
      <c r="U193" s="317">
        <f t="shared" si="125"/>
        <v>3.799999999999995E-2</v>
      </c>
      <c r="V193" s="317">
        <f t="shared" si="125"/>
        <v>3.7333333333333281E-2</v>
      </c>
      <c r="W193" s="317">
        <f t="shared" si="125"/>
        <v>3.6666666666666611E-2</v>
      </c>
      <c r="X193" s="317">
        <f t="shared" si="125"/>
        <v>3.5999999999999942E-2</v>
      </c>
      <c r="Y193" s="317">
        <f t="shared" si="125"/>
        <v>3.5333333333333272E-2</v>
      </c>
      <c r="Z193" s="317">
        <f t="shared" si="125"/>
        <v>3.4666666666666603E-2</v>
      </c>
      <c r="AA193" s="317">
        <f t="shared" si="125"/>
        <v>3.3999999999999933E-2</v>
      </c>
      <c r="AB193" s="317">
        <f t="shared" si="125"/>
        <v>3.3333333333333263E-2</v>
      </c>
      <c r="AC193" s="317">
        <f t="shared" si="125"/>
        <v>3.2666666666666594E-2</v>
      </c>
      <c r="AD193" s="317">
        <f t="shared" si="125"/>
        <v>3.1999999999999924E-2</v>
      </c>
      <c r="AE193" s="317">
        <f t="shared" si="125"/>
        <v>3.1333333333333255E-2</v>
      </c>
      <c r="AF193" s="317">
        <f t="shared" si="125"/>
        <v>3.0666666666666589E-2</v>
      </c>
      <c r="AG193" s="293">
        <v>0.03</v>
      </c>
      <c r="AI193" s="293"/>
      <c r="AJ193" s="318" t="s">
        <v>1625</v>
      </c>
    </row>
    <row r="194" spans="1:36" s="55" customFormat="1" outlineLevel="1">
      <c r="A194" s="55" t="s">
        <v>703</v>
      </c>
      <c r="B194" s="282"/>
      <c r="C194" s="283">
        <f t="shared" ref="C194:AG194" si="126">C29</f>
        <v>106070.49715772543</v>
      </c>
      <c r="D194" s="283">
        <f t="shared" si="126"/>
        <v>106070.49715772543</v>
      </c>
      <c r="E194" s="283">
        <f t="shared" si="126"/>
        <v>106070.49715772543</v>
      </c>
      <c r="F194" s="283">
        <f t="shared" si="126"/>
        <v>106070.49715772543</v>
      </c>
      <c r="G194" s="283">
        <f t="shared" si="126"/>
        <v>106070.49715772543</v>
      </c>
      <c r="H194" s="283">
        <f t="shared" si="126"/>
        <v>106070.49715772543</v>
      </c>
      <c r="I194" s="283">
        <f t="shared" si="126"/>
        <v>106070.49715772543</v>
      </c>
      <c r="J194" s="283">
        <f t="shared" si="126"/>
        <v>106070.49715772543</v>
      </c>
      <c r="K194" s="283">
        <f t="shared" si="126"/>
        <v>106070.49715772543</v>
      </c>
      <c r="L194" s="283">
        <f t="shared" si="126"/>
        <v>106070.49715772543</v>
      </c>
      <c r="M194" s="283">
        <f t="shared" si="126"/>
        <v>106070.49715772543</v>
      </c>
      <c r="N194" s="283">
        <f t="shared" si="126"/>
        <v>106070.49715772543</v>
      </c>
      <c r="O194" s="283">
        <f t="shared" si="126"/>
        <v>106070.49715772543</v>
      </c>
      <c r="P194" s="283">
        <f t="shared" si="126"/>
        <v>106070.49715772543</v>
      </c>
      <c r="Q194" s="283">
        <f t="shared" si="126"/>
        <v>106070.49715772543</v>
      </c>
      <c r="R194" s="283">
        <f t="shared" si="126"/>
        <v>106070.49715772543</v>
      </c>
      <c r="S194" s="283">
        <f t="shared" si="126"/>
        <v>106070.49715772543</v>
      </c>
      <c r="T194" s="283">
        <f t="shared" si="126"/>
        <v>106070.49715772543</v>
      </c>
      <c r="U194" s="283">
        <f t="shared" si="126"/>
        <v>106070.49715772543</v>
      </c>
      <c r="V194" s="283">
        <f t="shared" si="126"/>
        <v>106070.49715772543</v>
      </c>
      <c r="W194" s="283">
        <f t="shared" si="126"/>
        <v>106070.49715772543</v>
      </c>
      <c r="X194" s="283">
        <f t="shared" si="126"/>
        <v>106070.49715772543</v>
      </c>
      <c r="Y194" s="283">
        <f t="shared" si="126"/>
        <v>106070.49715772543</v>
      </c>
      <c r="Z194" s="283">
        <f t="shared" si="126"/>
        <v>106070.49715772543</v>
      </c>
      <c r="AA194" s="283">
        <f t="shared" si="126"/>
        <v>106070.49715772543</v>
      </c>
      <c r="AB194" s="283">
        <f t="shared" si="126"/>
        <v>106070.49715772543</v>
      </c>
      <c r="AC194" s="283">
        <f t="shared" si="126"/>
        <v>106070.49715772543</v>
      </c>
      <c r="AD194" s="283">
        <f t="shared" si="126"/>
        <v>106070.49715772543</v>
      </c>
      <c r="AE194" s="283">
        <f t="shared" si="126"/>
        <v>106070.49715772543</v>
      </c>
      <c r="AF194" s="283">
        <f t="shared" si="126"/>
        <v>106070.49715772543</v>
      </c>
      <c r="AG194" s="283">
        <f t="shared" si="126"/>
        <v>106070.49715772543</v>
      </c>
      <c r="AI194" s="284"/>
      <c r="AJ194" s="285"/>
    </row>
    <row r="195" spans="1:36" s="55" customFormat="1" outlineLevel="1">
      <c r="A195" s="286" t="s">
        <v>173</v>
      </c>
      <c r="B195" s="287" t="s">
        <v>127</v>
      </c>
      <c r="C195" s="288">
        <v>0</v>
      </c>
      <c r="D195" s="288">
        <v>0</v>
      </c>
      <c r="E195" s="288">
        <v>0</v>
      </c>
      <c r="F195" s="288">
        <v>0</v>
      </c>
      <c r="G195" s="288">
        <v>0</v>
      </c>
      <c r="H195" s="288">
        <v>0</v>
      </c>
      <c r="I195" s="288">
        <v>0</v>
      </c>
      <c r="J195" s="288">
        <v>0</v>
      </c>
      <c r="K195" s="288">
        <v>0</v>
      </c>
      <c r="L195" s="288">
        <v>0</v>
      </c>
      <c r="M195" s="288">
        <v>0</v>
      </c>
      <c r="N195" s="288">
        <v>0</v>
      </c>
      <c r="O195" s="288">
        <v>0</v>
      </c>
      <c r="P195" s="288">
        <v>0</v>
      </c>
      <c r="Q195" s="288">
        <v>0</v>
      </c>
      <c r="R195" s="288">
        <v>0</v>
      </c>
      <c r="S195" s="288">
        <v>0</v>
      </c>
      <c r="T195" s="288">
        <v>0</v>
      </c>
      <c r="U195" s="288">
        <v>0</v>
      </c>
      <c r="V195" s="288">
        <v>0</v>
      </c>
      <c r="W195" s="288">
        <v>0</v>
      </c>
      <c r="X195" s="288">
        <v>0</v>
      </c>
      <c r="Y195" s="288">
        <v>0</v>
      </c>
      <c r="Z195" s="288">
        <v>0</v>
      </c>
      <c r="AA195" s="288">
        <v>0</v>
      </c>
      <c r="AB195" s="288">
        <v>0</v>
      </c>
      <c r="AC195" s="288">
        <v>0</v>
      </c>
      <c r="AD195" s="288">
        <v>0</v>
      </c>
      <c r="AE195" s="288">
        <v>0</v>
      </c>
      <c r="AF195" s="288">
        <v>0</v>
      </c>
      <c r="AG195" s="288">
        <v>0</v>
      </c>
      <c r="AI195" s="284"/>
      <c r="AJ195" s="285"/>
    </row>
    <row r="196" spans="1:36" outlineLevel="1">
      <c r="A196" s="289" t="s">
        <v>696</v>
      </c>
      <c r="B196" s="281" t="s">
        <v>127</v>
      </c>
      <c r="C196" s="234">
        <f t="shared" ref="C196:AG196" si="127">C163</f>
        <v>5810.5321893626915</v>
      </c>
      <c r="D196" s="234">
        <f t="shared" si="127"/>
        <v>5907.5680769250484</v>
      </c>
      <c r="E196" s="234">
        <f t="shared" si="127"/>
        <v>6006.2244638096963</v>
      </c>
      <c r="F196" s="234">
        <f t="shared" si="127"/>
        <v>6106.5284123553174</v>
      </c>
      <c r="G196" s="234">
        <f t="shared" si="127"/>
        <v>6208.5074368416508</v>
      </c>
      <c r="H196" s="234">
        <f t="shared" si="127"/>
        <v>6312.189511036906</v>
      </c>
      <c r="I196" s="234">
        <f t="shared" si="127"/>
        <v>6417.6030758712222</v>
      </c>
      <c r="J196" s="234">
        <f t="shared" si="127"/>
        <v>6524.7770472382708</v>
      </c>
      <c r="K196" s="234">
        <f t="shared" si="127"/>
        <v>6633.7408239271499</v>
      </c>
      <c r="L196" s="234">
        <f t="shared" si="127"/>
        <v>6744.5242956867332</v>
      </c>
      <c r="M196" s="234">
        <f t="shared" si="127"/>
        <v>6857.1578514247012</v>
      </c>
      <c r="N196" s="234">
        <f t="shared" si="127"/>
        <v>6971.6723875434936</v>
      </c>
      <c r="O196" s="234">
        <f t="shared" si="127"/>
        <v>7088.0993164154697</v>
      </c>
      <c r="P196" s="234">
        <f t="shared" si="127"/>
        <v>7206.4705749996074</v>
      </c>
      <c r="Q196" s="234">
        <f t="shared" si="127"/>
        <v>7326.8186336021008</v>
      </c>
      <c r="R196" s="234">
        <f t="shared" si="127"/>
        <v>7449.176504783255</v>
      </c>
      <c r="S196" s="234">
        <f t="shared" si="127"/>
        <v>7573.5777524131354</v>
      </c>
      <c r="T196" s="234">
        <f t="shared" si="127"/>
        <v>7700.0565008784342</v>
      </c>
      <c r="U196" s="234">
        <f t="shared" si="127"/>
        <v>7828.6474444431033</v>
      </c>
      <c r="V196" s="234">
        <f t="shared" si="127"/>
        <v>7959.3858567653024</v>
      </c>
      <c r="W196" s="234">
        <f t="shared" si="127"/>
        <v>8092.3076005732828</v>
      </c>
      <c r="X196" s="234">
        <f t="shared" si="127"/>
        <v>8227.4491375028556</v>
      </c>
      <c r="Y196" s="234">
        <f t="shared" si="127"/>
        <v>8364.8475380991531</v>
      </c>
      <c r="Z196" s="234">
        <f t="shared" si="127"/>
        <v>8504.5404919854082</v>
      </c>
      <c r="AA196" s="234">
        <f t="shared" si="127"/>
        <v>8646.5663182015633</v>
      </c>
      <c r="AB196" s="234">
        <f t="shared" si="127"/>
        <v>8790.9639757155292</v>
      </c>
      <c r="AC196" s="234">
        <f t="shared" si="127"/>
        <v>8937.7730741099786</v>
      </c>
      <c r="AD196" s="234">
        <f t="shared" si="127"/>
        <v>9087.0338844476155</v>
      </c>
      <c r="AE196" s="234">
        <f t="shared" si="127"/>
        <v>9238.7873503178907</v>
      </c>
      <c r="AF196" s="234">
        <f t="shared" si="127"/>
        <v>9393.0750990681991</v>
      </c>
      <c r="AG196" s="234">
        <f t="shared" si="127"/>
        <v>9549.9394532226379</v>
      </c>
      <c r="AI196" s="275"/>
    </row>
    <row r="197" spans="1:36" s="63" customFormat="1" outlineLevel="1">
      <c r="A197" s="290" t="s">
        <v>705</v>
      </c>
      <c r="B197" s="291" t="s">
        <v>127</v>
      </c>
      <c r="C197" s="292">
        <f>C194-C195-C196</f>
        <v>100259.96496836274</v>
      </c>
      <c r="D197" s="292">
        <f t="shared" ref="D197:AG197" si="128">D194-D195-D196</f>
        <v>100162.92908080039</v>
      </c>
      <c r="E197" s="292">
        <f t="shared" si="128"/>
        <v>100064.27269391573</v>
      </c>
      <c r="F197" s="292">
        <f t="shared" si="128"/>
        <v>99963.968745370119</v>
      </c>
      <c r="G197" s="292">
        <f t="shared" si="128"/>
        <v>99861.989720883779</v>
      </c>
      <c r="H197" s="292">
        <f t="shared" si="128"/>
        <v>99758.307646688525</v>
      </c>
      <c r="I197" s="292">
        <f t="shared" si="128"/>
        <v>99652.894081854203</v>
      </c>
      <c r="J197" s="292">
        <f t="shared" si="128"/>
        <v>99545.720110487164</v>
      </c>
      <c r="K197" s="292">
        <f t="shared" si="128"/>
        <v>99436.756333798287</v>
      </c>
      <c r="L197" s="292">
        <f t="shared" si="128"/>
        <v>99325.972862038703</v>
      </c>
      <c r="M197" s="292">
        <f t="shared" si="128"/>
        <v>99213.339306300739</v>
      </c>
      <c r="N197" s="292">
        <f t="shared" si="128"/>
        <v>99098.824770181935</v>
      </c>
      <c r="O197" s="292">
        <f t="shared" si="128"/>
        <v>98982.397841309968</v>
      </c>
      <c r="P197" s="292">
        <f t="shared" si="128"/>
        <v>98864.026582725826</v>
      </c>
      <c r="Q197" s="292">
        <f t="shared" si="128"/>
        <v>98743.67852412333</v>
      </c>
      <c r="R197" s="292">
        <f t="shared" si="128"/>
        <v>98621.320652942173</v>
      </c>
      <c r="S197" s="292">
        <f t="shared" si="128"/>
        <v>98496.919405312292</v>
      </c>
      <c r="T197" s="292">
        <f t="shared" si="128"/>
        <v>98370.440656847</v>
      </c>
      <c r="U197" s="292">
        <f t="shared" si="128"/>
        <v>98241.849713282325</v>
      </c>
      <c r="V197" s="292">
        <f t="shared" si="128"/>
        <v>98111.111300960125</v>
      </c>
      <c r="W197" s="292">
        <f t="shared" si="128"/>
        <v>97978.189557152145</v>
      </c>
      <c r="X197" s="292">
        <f t="shared" si="128"/>
        <v>97843.048020222574</v>
      </c>
      <c r="Y197" s="292">
        <f t="shared" si="128"/>
        <v>97705.649619626274</v>
      </c>
      <c r="Z197" s="292">
        <f t="shared" si="128"/>
        <v>97565.956665740028</v>
      </c>
      <c r="AA197" s="292">
        <f t="shared" si="128"/>
        <v>97423.930839523877</v>
      </c>
      <c r="AB197" s="292">
        <f t="shared" si="128"/>
        <v>97279.533182009909</v>
      </c>
      <c r="AC197" s="292">
        <f t="shared" si="128"/>
        <v>97132.724083615452</v>
      </c>
      <c r="AD197" s="292">
        <f t="shared" si="128"/>
        <v>96983.463273277812</v>
      </c>
      <c r="AE197" s="292">
        <f t="shared" si="128"/>
        <v>96831.709807407547</v>
      </c>
      <c r="AF197" s="292">
        <f t="shared" si="128"/>
        <v>96677.422058657234</v>
      </c>
      <c r="AG197" s="292">
        <f t="shared" si="128"/>
        <v>96520.557704502789</v>
      </c>
      <c r="AI197" s="293"/>
      <c r="AJ197" s="294"/>
    </row>
    <row r="198" spans="1:36" outlineLevel="1">
      <c r="A198" s="106" t="s">
        <v>698</v>
      </c>
      <c r="B198" s="281" t="s">
        <v>127</v>
      </c>
      <c r="C198" s="216">
        <f>C167*C$197</f>
        <v>16041.594394938038</v>
      </c>
      <c r="D198" s="216">
        <f t="shared" ref="D198:AG198" si="129">D167*D$197</f>
        <v>16233.072039695049</v>
      </c>
      <c r="E198" s="216">
        <f t="shared" si="129"/>
        <v>16423.882624828035</v>
      </c>
      <c r="F198" s="216">
        <f t="shared" si="129"/>
        <v>16614.011605480511</v>
      </c>
      <c r="G198" s="216">
        <f t="shared" si="129"/>
        <v>16803.444137034043</v>
      </c>
      <c r="H198" s="216">
        <f t="shared" si="129"/>
        <v>16992.165069152608</v>
      </c>
      <c r="I198" s="216">
        <f t="shared" si="129"/>
        <v>17180.158939711662</v>
      </c>
      <c r="J198" s="216">
        <f t="shared" si="129"/>
        <v>17367.409968609656</v>
      </c>
      <c r="K198" s="216">
        <f t="shared" si="129"/>
        <v>17553.902051459852</v>
      </c>
      <c r="L198" s="216">
        <f t="shared" si="129"/>
        <v>17739.618753160106</v>
      </c>
      <c r="M198" s="216">
        <f t="shared" si="129"/>
        <v>17924.54330133833</v>
      </c>
      <c r="N198" s="216">
        <f t="shared" si="129"/>
        <v>18108.658579671239</v>
      </c>
      <c r="O198" s="216">
        <f t="shared" si="129"/>
        <v>18291.947121074078</v>
      </c>
      <c r="P198" s="216">
        <f t="shared" si="129"/>
        <v>18474.391100758694</v>
      </c>
      <c r="Q198" s="216">
        <f t="shared" si="129"/>
        <v>18655.972329157692</v>
      </c>
      <c r="R198" s="216">
        <f t="shared" si="129"/>
        <v>18836.672244711946</v>
      </c>
      <c r="S198" s="216">
        <f t="shared" si="129"/>
        <v>19016.471906518953</v>
      </c>
      <c r="T198" s="216">
        <f t="shared" si="129"/>
        <v>19195.351986839403</v>
      </c>
      <c r="U198" s="216">
        <f t="shared" si="129"/>
        <v>19373.292763459263</v>
      </c>
      <c r="V198" s="216">
        <f t="shared" si="129"/>
        <v>19550.274111904644</v>
      </c>
      <c r="W198" s="216">
        <f t="shared" si="129"/>
        <v>19726.27549750662</v>
      </c>
      <c r="X198" s="216">
        <f t="shared" si="129"/>
        <v>19901.27596731326</v>
      </c>
      <c r="Y198" s="216">
        <f t="shared" si="129"/>
        <v>20075.254141845868</v>
      </c>
      <c r="Z198" s="216">
        <f t="shared" si="129"/>
        <v>20248.18820669657</v>
      </c>
      <c r="AA198" s="216">
        <f t="shared" si="129"/>
        <v>20420.055903964192</v>
      </c>
      <c r="AB198" s="216">
        <f t="shared" si="129"/>
        <v>20590.834523525416</v>
      </c>
      <c r="AC198" s="216">
        <f t="shared" si="129"/>
        <v>20760.500894138062</v>
      </c>
      <c r="AD198" s="216">
        <f t="shared" si="129"/>
        <v>20929.031374373339</v>
      </c>
      <c r="AE198" s="216">
        <f t="shared" si="129"/>
        <v>21096.401843373842</v>
      </c>
      <c r="AF198" s="216">
        <f t="shared" si="129"/>
        <v>21262.587691434001</v>
      </c>
      <c r="AG198" s="216">
        <f t="shared" si="129"/>
        <v>21427.563810399621</v>
      </c>
      <c r="AI198" s="201"/>
    </row>
    <row r="199" spans="1:36" outlineLevel="1">
      <c r="A199" s="106" t="s">
        <v>697</v>
      </c>
      <c r="B199" s="281" t="s">
        <v>127</v>
      </c>
      <c r="C199" s="216">
        <f t="shared" ref="C199:AG203" si="130">C168*C$197</f>
        <v>37096.187038294214</v>
      </c>
      <c r="D199" s="216">
        <f t="shared" si="130"/>
        <v>36329.0943776063</v>
      </c>
      <c r="E199" s="216">
        <f t="shared" si="130"/>
        <v>35562.842515417658</v>
      </c>
      <c r="F199" s="216">
        <f t="shared" si="130"/>
        <v>34797.45752026335</v>
      </c>
      <c r="G199" s="216">
        <f t="shared" si="130"/>
        <v>34032.9660968772</v>
      </c>
      <c r="H199" s="216">
        <f t="shared" si="130"/>
        <v>33269.395600170639</v>
      </c>
      <c r="I199" s="216">
        <f t="shared" si="130"/>
        <v>32506.774049500858</v>
      </c>
      <c r="J199" s="216">
        <f t="shared" si="130"/>
        <v>31745.130143234375</v>
      </c>
      <c r="K199" s="216">
        <f t="shared" si="130"/>
        <v>30984.493273611566</v>
      </c>
      <c r="L199" s="216">
        <f t="shared" si="130"/>
        <v>30224.893541918402</v>
      </c>
      <c r="M199" s="216">
        <f t="shared" si="130"/>
        <v>29466.361773971345</v>
      </c>
      <c r="N199" s="216">
        <f t="shared" si="130"/>
        <v>28708.929535921736</v>
      </c>
      <c r="O199" s="216">
        <f t="shared" si="130"/>
        <v>27952.629150385965</v>
      </c>
      <c r="P199" s="216">
        <f t="shared" si="130"/>
        <v>27197.493712907908</v>
      </c>
      <c r="Q199" s="216">
        <f t="shared" si="130"/>
        <v>26443.557108760266</v>
      </c>
      <c r="R199" s="216">
        <f t="shared" si="130"/>
        <v>25690.854030091476</v>
      </c>
      <c r="S199" s="216">
        <f t="shared" si="130"/>
        <v>24939.419993425116</v>
      </c>
      <c r="T199" s="216">
        <f t="shared" si="130"/>
        <v>24189.291357518719</v>
      </c>
      <c r="U199" s="216">
        <f t="shared" si="130"/>
        <v>23440.505341589203</v>
      </c>
      <c r="V199" s="216">
        <f t="shared" si="130"/>
        <v>22693.10004391212</v>
      </c>
      <c r="W199" s="216">
        <f t="shared" si="130"/>
        <v>21947.11446080212</v>
      </c>
      <c r="X199" s="216">
        <f t="shared" si="130"/>
        <v>21202.588505982272</v>
      </c>
      <c r="Y199" s="216">
        <f t="shared" si="130"/>
        <v>20459.563030349782</v>
      </c>
      <c r="Z199" s="216">
        <f t="shared" si="130"/>
        <v>19718.0798421461</v>
      </c>
      <c r="AA199" s="216">
        <f t="shared" si="130"/>
        <v>18978.181727539293</v>
      </c>
      <c r="AB199" s="216">
        <f t="shared" si="130"/>
        <v>18239.9124716269</v>
      </c>
      <c r="AC199" s="216">
        <f t="shared" si="130"/>
        <v>17503.316879867543</v>
      </c>
      <c r="AD199" s="216">
        <f t="shared" si="130"/>
        <v>16768.440799949774</v>
      </c>
      <c r="AE199" s="216">
        <f t="shared" si="130"/>
        <v>16035.331144106731</v>
      </c>
      <c r="AF199" s="216">
        <f t="shared" si="130"/>
        <v>15304.035911885479</v>
      </c>
      <c r="AG199" s="216">
        <f t="shared" si="130"/>
        <v>14574.60421337992</v>
      </c>
      <c r="AI199" s="201"/>
    </row>
    <row r="200" spans="1:36" outlineLevel="1">
      <c r="A200" s="106" t="s">
        <v>699</v>
      </c>
      <c r="B200" s="281" t="s">
        <v>127</v>
      </c>
      <c r="C200" s="216">
        <f t="shared" si="130"/>
        <v>8020.797197469019</v>
      </c>
      <c r="D200" s="216">
        <f t="shared" si="130"/>
        <v>8023.0506193721112</v>
      </c>
      <c r="E200" s="216">
        <f t="shared" si="130"/>
        <v>8025.1546700520421</v>
      </c>
      <c r="F200" s="216">
        <f t="shared" si="130"/>
        <v>8027.1066902532211</v>
      </c>
      <c r="G200" s="216">
        <f t="shared" si="130"/>
        <v>8028.9039735590568</v>
      </c>
      <c r="H200" s="216">
        <f t="shared" si="130"/>
        <v>8030.5437655584283</v>
      </c>
      <c r="I200" s="216">
        <f t="shared" si="130"/>
        <v>8032.0232629974507</v>
      </c>
      <c r="J200" s="216">
        <f t="shared" si="130"/>
        <v>8033.3396129163166</v>
      </c>
      <c r="K200" s="216">
        <f t="shared" si="130"/>
        <v>8034.4899117709037</v>
      </c>
      <c r="L200" s="216">
        <f t="shared" si="130"/>
        <v>8035.4712045389342</v>
      </c>
      <c r="M200" s="216">
        <f t="shared" si="130"/>
        <v>8036.280483810363</v>
      </c>
      <c r="N200" s="216">
        <f t="shared" si="130"/>
        <v>8036.9146888617579</v>
      </c>
      <c r="O200" s="216">
        <f t="shared" si="130"/>
        <v>8037.3707047143735</v>
      </c>
      <c r="P200" s="216">
        <f t="shared" si="130"/>
        <v>8037.6453611756133</v>
      </c>
      <c r="Q200" s="216">
        <f t="shared" si="130"/>
        <v>8037.7354318636435</v>
      </c>
      <c r="R200" s="216">
        <f t="shared" si="130"/>
        <v>8037.6376332147911</v>
      </c>
      <c r="S200" s="216">
        <f t="shared" si="130"/>
        <v>8037.3486234734874</v>
      </c>
      <c r="T200" s="216">
        <f t="shared" si="130"/>
        <v>8036.8650016644051</v>
      </c>
      <c r="U200" s="216">
        <f t="shared" si="130"/>
        <v>8036.1833065464998</v>
      </c>
      <c r="V200" s="216">
        <f t="shared" si="130"/>
        <v>8035.3000155486397</v>
      </c>
      <c r="W200" s="216">
        <f t="shared" si="130"/>
        <v>8034.2115436864815</v>
      </c>
      <c r="X200" s="216">
        <f t="shared" si="130"/>
        <v>8032.9142424602796</v>
      </c>
      <c r="Y200" s="216">
        <f t="shared" si="130"/>
        <v>8031.4043987332861</v>
      </c>
      <c r="Z200" s="216">
        <f t="shared" si="130"/>
        <v>8029.6782335904109</v>
      </c>
      <c r="AA200" s="216">
        <f t="shared" si="130"/>
        <v>8027.731901176774</v>
      </c>
      <c r="AB200" s="216">
        <f t="shared" si="130"/>
        <v>8025.5614875158244</v>
      </c>
      <c r="AC200" s="216">
        <f t="shared" si="130"/>
        <v>8023.1630093066442</v>
      </c>
      <c r="AD200" s="216">
        <f t="shared" si="130"/>
        <v>8020.5324127000831</v>
      </c>
      <c r="AE200" s="216">
        <f t="shared" si="130"/>
        <v>8017.6655720533527</v>
      </c>
      <c r="AF200" s="216">
        <f t="shared" si="130"/>
        <v>8014.5582886626926</v>
      </c>
      <c r="AG200" s="216">
        <f t="shared" si="130"/>
        <v>8011.2062894737319</v>
      </c>
      <c r="AI200" s="201"/>
    </row>
    <row r="201" spans="1:36" outlineLevel="1">
      <c r="A201" s="106" t="s">
        <v>700</v>
      </c>
      <c r="B201" s="281" t="s">
        <v>127</v>
      </c>
      <c r="C201" s="216">
        <f t="shared" si="130"/>
        <v>27070.190541457941</v>
      </c>
      <c r="D201" s="216">
        <f t="shared" si="130"/>
        <v>27357.834696269278</v>
      </c>
      <c r="E201" s="216">
        <f t="shared" si="130"/>
        <v>27644.423069572451</v>
      </c>
      <c r="F201" s="216">
        <f t="shared" si="130"/>
        <v>27929.932867456409</v>
      </c>
      <c r="G201" s="216">
        <f t="shared" si="130"/>
        <v>28214.340829140361</v>
      </c>
      <c r="H201" s="216">
        <f t="shared" si="130"/>
        <v>28497.623217737349</v>
      </c>
      <c r="I201" s="216">
        <f t="shared" si="130"/>
        <v>28779.755810839488</v>
      </c>
      <c r="J201" s="216">
        <f t="shared" si="130"/>
        <v>29060.713890921546</v>
      </c>
      <c r="K201" s="216">
        <f t="shared" si="130"/>
        <v>29340.472235559406</v>
      </c>
      <c r="L201" s="216">
        <f t="shared" si="130"/>
        <v>29619.005107459932</v>
      </c>
      <c r="M201" s="216">
        <f t="shared" si="130"/>
        <v>29896.286244298612</v>
      </c>
      <c r="N201" s="216">
        <f t="shared" si="130"/>
        <v>30172.288848361382</v>
      </c>
      <c r="O201" s="216">
        <f t="shared" si="130"/>
        <v>30446.985575986935</v>
      </c>
      <c r="P201" s="216">
        <f t="shared" si="130"/>
        <v>30720.348526805657</v>
      </c>
      <c r="Q201" s="216">
        <f t="shared" si="130"/>
        <v>30992.349232771496</v>
      </c>
      <c r="R201" s="216">
        <f t="shared" si="130"/>
        <v>31262.958646982654</v>
      </c>
      <c r="S201" s="216">
        <f t="shared" si="130"/>
        <v>31532.147132287289</v>
      </c>
      <c r="T201" s="216">
        <f t="shared" si="130"/>
        <v>31799.884449670055</v>
      </c>
      <c r="U201" s="216">
        <f t="shared" si="130"/>
        <v>32066.139746415331</v>
      </c>
      <c r="V201" s="216">
        <f t="shared" si="130"/>
        <v>32330.881544043041</v>
      </c>
      <c r="W201" s="216">
        <f t="shared" si="130"/>
        <v>32594.077726012591</v>
      </c>
      <c r="X201" s="216">
        <f t="shared" si="130"/>
        <v>32855.69552519072</v>
      </c>
      <c r="Y201" s="216">
        <f t="shared" si="130"/>
        <v>33115.701511078638</v>
      </c>
      <c r="Z201" s="216">
        <f t="shared" si="130"/>
        <v>33374.061576794113</v>
      </c>
      <c r="AA201" s="216">
        <f t="shared" si="130"/>
        <v>33630.740925803613</v>
      </c>
      <c r="AB201" s="216">
        <f t="shared" si="130"/>
        <v>33885.704058400093</v>
      </c>
      <c r="AC201" s="216">
        <f t="shared" si="130"/>
        <v>34138.914757921346</v>
      </c>
      <c r="AD201" s="216">
        <f t="shared" si="130"/>
        <v>34390.336076704283</v>
      </c>
      <c r="AE201" s="216">
        <f t="shared" si="130"/>
        <v>34639.930321769898</v>
      </c>
      <c r="AF201" s="216">
        <f t="shared" si="130"/>
        <v>34887.659040234073</v>
      </c>
      <c r="AG201" s="216">
        <f t="shared" si="130"/>
        <v>35133.483004439011</v>
      </c>
      <c r="AI201" s="201"/>
    </row>
    <row r="202" spans="1:36" outlineLevel="1">
      <c r="A202" s="106" t="s">
        <v>701</v>
      </c>
      <c r="B202" s="281" t="s">
        <v>127</v>
      </c>
      <c r="C202" s="216">
        <f t="shared" si="130"/>
        <v>7018.1975477853921</v>
      </c>
      <c r="D202" s="216">
        <f t="shared" si="130"/>
        <v>7138.2780791583746</v>
      </c>
      <c r="E202" s="216">
        <f t="shared" si="130"/>
        <v>7257.9952460653549</v>
      </c>
      <c r="F202" s="216">
        <f t="shared" si="130"/>
        <v>7377.3408934083154</v>
      </c>
      <c r="G202" s="216">
        <f t="shared" si="130"/>
        <v>7496.3066950476759</v>
      </c>
      <c r="H202" s="216">
        <f t="shared" si="130"/>
        <v>7614.8841503638914</v>
      </c>
      <c r="I202" s="216">
        <f t="shared" si="130"/>
        <v>7733.0645807518868</v>
      </c>
      <c r="J202" s="216">
        <f t="shared" si="130"/>
        <v>7850.839126047088</v>
      </c>
      <c r="K202" s="216">
        <f t="shared" si="130"/>
        <v>7968.1987408817031</v>
      </c>
      <c r="L202" s="216">
        <f t="shared" si="130"/>
        <v>8085.1341909699504</v>
      </c>
      <c r="M202" s="216">
        <f t="shared" si="130"/>
        <v>8201.6360493208613</v>
      </c>
      <c r="N202" s="216">
        <f t="shared" si="130"/>
        <v>8317.6946923772703</v>
      </c>
      <c r="O202" s="216">
        <f t="shared" si="130"/>
        <v>8433.3002960796093</v>
      </c>
      <c r="P202" s="216">
        <f t="shared" si="130"/>
        <v>8548.4428318530263</v>
      </c>
      <c r="Q202" s="216">
        <f t="shared" si="130"/>
        <v>8663.1120625164203</v>
      </c>
      <c r="R202" s="216">
        <f t="shared" si="130"/>
        <v>8777.2975381118522</v>
      </c>
      <c r="S202" s="216">
        <f t="shared" si="130"/>
        <v>8890.9885916528565</v>
      </c>
      <c r="T202" s="216">
        <f t="shared" si="130"/>
        <v>9004.174334790061</v>
      </c>
      <c r="U202" s="216">
        <f t="shared" si="130"/>
        <v>9116.8436533925997</v>
      </c>
      <c r="V202" s="216">
        <f t="shared" si="130"/>
        <v>9228.9852030436487</v>
      </c>
      <c r="W202" s="216">
        <f t="shared" si="130"/>
        <v>9340.5874044485045</v>
      </c>
      <c r="X202" s="216">
        <f t="shared" si="130"/>
        <v>9451.6384387534999</v>
      </c>
      <c r="Y202" s="216">
        <f t="shared" si="130"/>
        <v>9562.1262427740912</v>
      </c>
      <c r="Z202" s="216">
        <f t="shared" si="130"/>
        <v>9672.0385041303598</v>
      </c>
      <c r="AA202" s="216">
        <f t="shared" si="130"/>
        <v>9781.3626562881964</v>
      </c>
      <c r="AB202" s="216">
        <f t="shared" si="130"/>
        <v>9890.0858735043403</v>
      </c>
      <c r="AC202" s="216">
        <f t="shared" si="130"/>
        <v>9998.1950656734825</v>
      </c>
      <c r="AD202" s="216">
        <f t="shared" si="130"/>
        <v>10105.676873075547</v>
      </c>
      <c r="AE202" s="216">
        <f t="shared" si="130"/>
        <v>10212.517661021247</v>
      </c>
      <c r="AF202" s="216">
        <f t="shared" si="130"/>
        <v>10318.703514394014</v>
      </c>
      <c r="AG202" s="216">
        <f t="shared" si="130"/>
        <v>10424.220232086302</v>
      </c>
      <c r="AI202" s="201"/>
    </row>
    <row r="203" spans="1:36" outlineLevel="1">
      <c r="A203" s="106" t="s">
        <v>702</v>
      </c>
      <c r="B203" s="281" t="s">
        <v>127</v>
      </c>
      <c r="C203" s="216">
        <f t="shared" si="130"/>
        <v>5012.9982484181373</v>
      </c>
      <c r="D203" s="216">
        <f t="shared" si="130"/>
        <v>5081.5992686992731</v>
      </c>
      <c r="E203" s="216">
        <f t="shared" si="130"/>
        <v>5149.9745679801972</v>
      </c>
      <c r="F203" s="216">
        <f t="shared" si="130"/>
        <v>5218.1191685083213</v>
      </c>
      <c r="G203" s="216">
        <f t="shared" si="130"/>
        <v>5286.0279892254493</v>
      </c>
      <c r="H203" s="216">
        <f t="shared" si="130"/>
        <v>5353.6958437056192</v>
      </c>
      <c r="I203" s="216">
        <f t="shared" si="130"/>
        <v>5421.1174380528701</v>
      </c>
      <c r="J203" s="216">
        <f t="shared" si="130"/>
        <v>5488.2873687581941</v>
      </c>
      <c r="K203" s="216">
        <f t="shared" si="130"/>
        <v>5555.2001205148663</v>
      </c>
      <c r="L203" s="216">
        <f t="shared" si="130"/>
        <v>5621.8500639913927</v>
      </c>
      <c r="M203" s="216">
        <f t="shared" si="130"/>
        <v>5688.231453561245</v>
      </c>
      <c r="N203" s="216">
        <f t="shared" si="130"/>
        <v>5754.3384249885676</v>
      </c>
      <c r="O203" s="216">
        <f t="shared" si="130"/>
        <v>5820.1649930690292</v>
      </c>
      <c r="P203" s="216">
        <f t="shared" si="130"/>
        <v>5885.7050492249473</v>
      </c>
      <c r="Q203" s="216">
        <f t="shared" si="130"/>
        <v>5950.9523590538365</v>
      </c>
      <c r="R203" s="216">
        <f t="shared" si="130"/>
        <v>6015.9005598294762</v>
      </c>
      <c r="S203" s="216">
        <f t="shared" si="130"/>
        <v>6080.5431579546166</v>
      </c>
      <c r="T203" s="216">
        <f t="shared" si="130"/>
        <v>6144.8735263643803</v>
      </c>
      <c r="U203" s="216">
        <f t="shared" si="130"/>
        <v>6208.8849018794481</v>
      </c>
      <c r="V203" s="216">
        <f t="shared" si="130"/>
        <v>6272.5703825080554</v>
      </c>
      <c r="W203" s="216">
        <f t="shared" si="130"/>
        <v>6335.9229246958439</v>
      </c>
      <c r="X203" s="216">
        <f t="shared" si="130"/>
        <v>6398.935340522562</v>
      </c>
      <c r="Y203" s="216">
        <f t="shared" si="130"/>
        <v>6461.600294844623</v>
      </c>
      <c r="Z203" s="216">
        <f t="shared" si="130"/>
        <v>6523.9103023824891</v>
      </c>
      <c r="AA203" s="216">
        <f t="shared" si="130"/>
        <v>6585.8577247518206</v>
      </c>
      <c r="AB203" s="216">
        <f t="shared" si="130"/>
        <v>6647.4347674373503</v>
      </c>
      <c r="AC203" s="216">
        <f t="shared" si="130"/>
        <v>6708.6334767083808</v>
      </c>
      <c r="AD203" s="216">
        <f t="shared" si="130"/>
        <v>6769.4457364747977</v>
      </c>
      <c r="AE203" s="216">
        <f t="shared" si="130"/>
        <v>6829.8632650824857</v>
      </c>
      <c r="AF203" s="216">
        <f t="shared" si="130"/>
        <v>6889.8776120469793</v>
      </c>
      <c r="AG203" s="216">
        <f t="shared" si="130"/>
        <v>6949.4801547242005</v>
      </c>
      <c r="AI203" s="201"/>
    </row>
    <row r="204" spans="1:36" s="55" customFormat="1">
      <c r="A204" s="55" t="s">
        <v>704</v>
      </c>
      <c r="B204" s="282"/>
      <c r="C204" s="283">
        <f t="shared" ref="C204:AG204" si="131">C44</f>
        <v>106070.49715772543</v>
      </c>
      <c r="D204" s="283">
        <f t="shared" si="131"/>
        <v>106038.85499314372</v>
      </c>
      <c r="E204" s="283">
        <f t="shared" si="131"/>
        <v>106007.21282856198</v>
      </c>
      <c r="F204" s="283">
        <f t="shared" si="131"/>
        <v>105975.57066398027</v>
      </c>
      <c r="G204" s="283">
        <f t="shared" si="131"/>
        <v>105943.92849939855</v>
      </c>
      <c r="H204" s="283">
        <f t="shared" si="131"/>
        <v>105912.28633481683</v>
      </c>
      <c r="I204" s="283">
        <f t="shared" si="131"/>
        <v>105735.72498210327</v>
      </c>
      <c r="J204" s="283">
        <f t="shared" si="131"/>
        <v>105559.16362938972</v>
      </c>
      <c r="K204" s="283">
        <f t="shared" si="131"/>
        <v>105382.60227667615</v>
      </c>
      <c r="L204" s="283">
        <f t="shared" si="131"/>
        <v>105206.04092396257</v>
      </c>
      <c r="M204" s="283">
        <f t="shared" si="131"/>
        <v>105029.47957124902</v>
      </c>
      <c r="N204" s="283">
        <f t="shared" si="131"/>
        <v>104830.25882672193</v>
      </c>
      <c r="O204" s="283">
        <f t="shared" si="131"/>
        <v>104640.08220913899</v>
      </c>
      <c r="P204" s="283">
        <f t="shared" si="131"/>
        <v>104283.04149616003</v>
      </c>
      <c r="Q204" s="283">
        <f t="shared" si="131"/>
        <v>103926.00078318111</v>
      </c>
      <c r="R204" s="283">
        <f t="shared" si="131"/>
        <v>103568.96007020216</v>
      </c>
      <c r="S204" s="283">
        <f t="shared" si="131"/>
        <v>103211.92634383167</v>
      </c>
      <c r="T204" s="283">
        <f t="shared" si="131"/>
        <v>102854.89261746118</v>
      </c>
      <c r="U204" s="283">
        <f t="shared" si="131"/>
        <v>102497.85889109068</v>
      </c>
      <c r="V204" s="283">
        <f t="shared" si="131"/>
        <v>102140.8251647202</v>
      </c>
      <c r="W204" s="283">
        <f t="shared" si="131"/>
        <v>101783.7914383497</v>
      </c>
      <c r="X204" s="283">
        <f t="shared" si="131"/>
        <v>101397.00994275342</v>
      </c>
      <c r="Y204" s="283">
        <f t="shared" si="131"/>
        <v>101038.87634427432</v>
      </c>
      <c r="Z204" s="283">
        <f t="shared" si="131"/>
        <v>100366.97400756966</v>
      </c>
      <c r="AA204" s="283">
        <f t="shared" si="131"/>
        <v>99695.071670864971</v>
      </c>
      <c r="AB204" s="283">
        <f t="shared" si="131"/>
        <v>99023.169334160295</v>
      </c>
      <c r="AC204" s="283">
        <f t="shared" si="131"/>
        <v>98346.872770891699</v>
      </c>
      <c r="AD204" s="283">
        <f t="shared" si="131"/>
        <v>97670.57620762306</v>
      </c>
      <c r="AE204" s="283">
        <f t="shared" si="131"/>
        <v>96994.27964435445</v>
      </c>
      <c r="AF204" s="283">
        <f t="shared" si="131"/>
        <v>96317.983081085826</v>
      </c>
      <c r="AG204" s="283">
        <f t="shared" si="131"/>
        <v>95641.686517817201</v>
      </c>
      <c r="AI204" s="284"/>
      <c r="AJ204" s="285"/>
    </row>
    <row r="205" spans="1:36" s="55" customFormat="1">
      <c r="A205" s="286" t="s">
        <v>173</v>
      </c>
      <c r="B205" s="287" t="s">
        <v>127</v>
      </c>
      <c r="C205" s="288">
        <f>C204-C194</f>
        <v>0</v>
      </c>
      <c r="D205" s="288">
        <f t="shared" ref="D205:AG205" si="132">D204-D194</f>
        <v>-31.642164581717225</v>
      </c>
      <c r="E205" s="288">
        <f t="shared" si="132"/>
        <v>-63.284329163449001</v>
      </c>
      <c r="F205" s="288">
        <f t="shared" si="132"/>
        <v>-94.926493745166226</v>
      </c>
      <c r="G205" s="288">
        <f t="shared" si="132"/>
        <v>-126.56865832688345</v>
      </c>
      <c r="H205" s="288">
        <f t="shared" si="132"/>
        <v>-158.21082290860068</v>
      </c>
      <c r="I205" s="288">
        <f t="shared" si="132"/>
        <v>-334.7721756221581</v>
      </c>
      <c r="J205" s="288">
        <f t="shared" si="132"/>
        <v>-511.33352833571553</v>
      </c>
      <c r="K205" s="288">
        <f t="shared" si="132"/>
        <v>-687.89488104928751</v>
      </c>
      <c r="L205" s="288">
        <f t="shared" si="132"/>
        <v>-864.45623376285948</v>
      </c>
      <c r="M205" s="288">
        <f t="shared" si="132"/>
        <v>-1041.0175864764169</v>
      </c>
      <c r="N205" s="288">
        <f t="shared" si="132"/>
        <v>-1240.2383310035075</v>
      </c>
      <c r="O205" s="288">
        <f t="shared" si="132"/>
        <v>-1430.4149485864473</v>
      </c>
      <c r="P205" s="288">
        <f t="shared" si="132"/>
        <v>-1787.4556615654001</v>
      </c>
      <c r="Q205" s="288">
        <f t="shared" si="132"/>
        <v>-2144.4963745443238</v>
      </c>
      <c r="R205" s="288">
        <f t="shared" si="132"/>
        <v>-2501.5370875232766</v>
      </c>
      <c r="S205" s="288">
        <f t="shared" si="132"/>
        <v>-2858.5708138937625</v>
      </c>
      <c r="T205" s="288">
        <f t="shared" si="132"/>
        <v>-3215.6045402642485</v>
      </c>
      <c r="U205" s="288">
        <f t="shared" si="132"/>
        <v>-3572.638266634749</v>
      </c>
      <c r="V205" s="288">
        <f t="shared" si="132"/>
        <v>-3929.671993005235</v>
      </c>
      <c r="W205" s="288">
        <f t="shared" si="132"/>
        <v>-4286.7057193757355</v>
      </c>
      <c r="X205" s="288">
        <f t="shared" si="132"/>
        <v>-4673.4872149720177</v>
      </c>
      <c r="Y205" s="288">
        <f t="shared" si="132"/>
        <v>-5031.6208134511107</v>
      </c>
      <c r="Z205" s="288">
        <f t="shared" si="132"/>
        <v>-5703.5231501557719</v>
      </c>
      <c r="AA205" s="288">
        <f t="shared" si="132"/>
        <v>-6375.4254868604621</v>
      </c>
      <c r="AB205" s="288">
        <f t="shared" si="132"/>
        <v>-7047.3278235651378</v>
      </c>
      <c r="AC205" s="288">
        <f t="shared" si="132"/>
        <v>-7723.6243868337333</v>
      </c>
      <c r="AD205" s="288">
        <f t="shared" si="132"/>
        <v>-8399.9209501023724</v>
      </c>
      <c r="AE205" s="288">
        <f t="shared" si="132"/>
        <v>-9076.2175133709825</v>
      </c>
      <c r="AF205" s="288">
        <f t="shared" si="132"/>
        <v>-9752.5140766396071</v>
      </c>
      <c r="AG205" s="288">
        <f t="shared" si="132"/>
        <v>-10428.810639908232</v>
      </c>
      <c r="AI205" s="284"/>
      <c r="AJ205" s="285"/>
    </row>
    <row r="206" spans="1:36">
      <c r="A206" s="289" t="s">
        <v>696</v>
      </c>
      <c r="B206" s="281" t="s">
        <v>127</v>
      </c>
      <c r="C206" s="234">
        <f>C162</f>
        <v>5810.5321893626915</v>
      </c>
      <c r="D206" s="234">
        <f t="shared" ref="D206:AG206" si="133">D162</f>
        <v>6596.2036605473786</v>
      </c>
      <c r="E206" s="234">
        <f t="shared" si="133"/>
        <v>7381.8751317320657</v>
      </c>
      <c r="F206" s="234">
        <f t="shared" si="133"/>
        <v>8167.5466029167519</v>
      </c>
      <c r="G206" s="234">
        <f t="shared" si="133"/>
        <v>8953.2180741014381</v>
      </c>
      <c r="H206" s="234">
        <f t="shared" si="133"/>
        <v>9738.889545286127</v>
      </c>
      <c r="I206" s="234">
        <f t="shared" si="133"/>
        <v>10524.561016470812</v>
      </c>
      <c r="J206" s="234">
        <f t="shared" si="133"/>
        <v>11310.232487655499</v>
      </c>
      <c r="K206" s="234">
        <f t="shared" si="133"/>
        <v>12095.90395884019</v>
      </c>
      <c r="L206" s="234">
        <f t="shared" si="133"/>
        <v>12881.575430024875</v>
      </c>
      <c r="M206" s="234">
        <f t="shared" si="133"/>
        <v>13667.246901209564</v>
      </c>
      <c r="N206" s="234">
        <f t="shared" si="133"/>
        <v>14452.91837239425</v>
      </c>
      <c r="O206" s="234">
        <f t="shared" si="133"/>
        <v>15238.589843578939</v>
      </c>
      <c r="P206" s="234">
        <f t="shared" si="133"/>
        <v>15981.379587206126</v>
      </c>
      <c r="Q206" s="234">
        <f t="shared" si="133"/>
        <v>16719.985747656978</v>
      </c>
      <c r="R206" s="234">
        <f t="shared" si="133"/>
        <v>17454.408324931486</v>
      </c>
      <c r="S206" s="234">
        <f t="shared" si="133"/>
        <v>18184.647319029649</v>
      </c>
      <c r="T206" s="234">
        <f t="shared" si="133"/>
        <v>18910.702729951478</v>
      </c>
      <c r="U206" s="234">
        <f t="shared" si="133"/>
        <v>19632.57455769696</v>
      </c>
      <c r="V206" s="234">
        <f t="shared" si="133"/>
        <v>20350.262802266108</v>
      </c>
      <c r="W206" s="234">
        <f t="shared" si="133"/>
        <v>21063.767463658907</v>
      </c>
      <c r="X206" s="234">
        <f t="shared" si="133"/>
        <v>21773.088541875368</v>
      </c>
      <c r="Y206" s="234">
        <f t="shared" si="133"/>
        <v>22478.226036915494</v>
      </c>
      <c r="Z206" s="234">
        <f t="shared" si="133"/>
        <v>23051.580661900869</v>
      </c>
      <c r="AA206" s="234">
        <f t="shared" si="133"/>
        <v>23612.384537357219</v>
      </c>
      <c r="AB206" s="234">
        <f t="shared" si="133"/>
        <v>24160.637663284546</v>
      </c>
      <c r="AC206" s="234">
        <f t="shared" si="133"/>
        <v>24696.340039682851</v>
      </c>
      <c r="AD206" s="234">
        <f t="shared" si="133"/>
        <v>25219.491666552127</v>
      </c>
      <c r="AE206" s="234">
        <f t="shared" si="133"/>
        <v>25730.092543892384</v>
      </c>
      <c r="AF206" s="234">
        <f t="shared" si="133"/>
        <v>26228.142671703623</v>
      </c>
      <c r="AG206" s="234">
        <f t="shared" si="133"/>
        <v>26713.642049985829</v>
      </c>
      <c r="AI206" s="275"/>
    </row>
    <row r="207" spans="1:36" s="63" customFormat="1">
      <c r="A207" s="290" t="s">
        <v>705</v>
      </c>
      <c r="B207" s="291" t="s">
        <v>127</v>
      </c>
      <c r="C207" s="292">
        <f>C204-C206</f>
        <v>100259.96496836274</v>
      </c>
      <c r="D207" s="292">
        <f t="shared" ref="D207:AG207" si="134">D204-D206</f>
        <v>99442.651332596331</v>
      </c>
      <c r="E207" s="292">
        <f t="shared" si="134"/>
        <v>98625.337696829913</v>
      </c>
      <c r="F207" s="292">
        <f t="shared" si="134"/>
        <v>97808.024061063508</v>
      </c>
      <c r="G207" s="292">
        <f t="shared" si="134"/>
        <v>96990.710425297118</v>
      </c>
      <c r="H207" s="292">
        <f t="shared" si="134"/>
        <v>96173.3967895307</v>
      </c>
      <c r="I207" s="292">
        <f t="shared" si="134"/>
        <v>95211.16396563247</v>
      </c>
      <c r="J207" s="292">
        <f t="shared" si="134"/>
        <v>94248.931141734211</v>
      </c>
      <c r="K207" s="292">
        <f t="shared" si="134"/>
        <v>93286.698317835951</v>
      </c>
      <c r="L207" s="292">
        <f t="shared" si="134"/>
        <v>92324.465493937692</v>
      </c>
      <c r="M207" s="292">
        <f t="shared" si="134"/>
        <v>91362.232670039448</v>
      </c>
      <c r="N207" s="292">
        <f t="shared" si="134"/>
        <v>90377.34045432767</v>
      </c>
      <c r="O207" s="292">
        <f t="shared" si="134"/>
        <v>89401.492365560043</v>
      </c>
      <c r="P207" s="292">
        <f t="shared" si="134"/>
        <v>88301.661908953902</v>
      </c>
      <c r="Q207" s="292">
        <f t="shared" si="134"/>
        <v>87206.015035524135</v>
      </c>
      <c r="R207" s="292">
        <f t="shared" si="134"/>
        <v>86114.55174527067</v>
      </c>
      <c r="S207" s="292">
        <f t="shared" si="134"/>
        <v>85027.279024802017</v>
      </c>
      <c r="T207" s="292">
        <f t="shared" si="134"/>
        <v>83944.18988750971</v>
      </c>
      <c r="U207" s="292">
        <f t="shared" si="134"/>
        <v>82865.28433339372</v>
      </c>
      <c r="V207" s="292">
        <f t="shared" si="134"/>
        <v>81790.562362454089</v>
      </c>
      <c r="W207" s="292">
        <f t="shared" si="134"/>
        <v>80720.02397469079</v>
      </c>
      <c r="X207" s="292">
        <f t="shared" si="134"/>
        <v>79623.921400878055</v>
      </c>
      <c r="Y207" s="292">
        <f t="shared" si="134"/>
        <v>78560.650307358825</v>
      </c>
      <c r="Z207" s="292">
        <f t="shared" si="134"/>
        <v>77315.393345668796</v>
      </c>
      <c r="AA207" s="292">
        <f t="shared" si="134"/>
        <v>76082.687133507745</v>
      </c>
      <c r="AB207" s="292">
        <f t="shared" si="134"/>
        <v>74862.531670875745</v>
      </c>
      <c r="AC207" s="292">
        <f t="shared" si="134"/>
        <v>73650.532731208848</v>
      </c>
      <c r="AD207" s="292">
        <f t="shared" si="134"/>
        <v>72451.08454107093</v>
      </c>
      <c r="AE207" s="292">
        <f t="shared" si="134"/>
        <v>71264.187100462063</v>
      </c>
      <c r="AF207" s="292">
        <f t="shared" si="134"/>
        <v>70089.840409382203</v>
      </c>
      <c r="AG207" s="292">
        <f t="shared" si="134"/>
        <v>68928.04446783138</v>
      </c>
      <c r="AI207" s="293"/>
      <c r="AJ207" s="294"/>
    </row>
    <row r="208" spans="1:36" s="55" customFormat="1" outlineLevel="1">
      <c r="A208" s="286" t="s">
        <v>732</v>
      </c>
      <c r="B208" s="287" t="s">
        <v>126</v>
      </c>
      <c r="C208" s="288">
        <f>C204*C174</f>
        <v>89099.217612489359</v>
      </c>
      <c r="D208" s="288">
        <f t="shared" ref="D208:AG208" si="135">D204*D174</f>
        <v>89496.793614213297</v>
      </c>
      <c r="E208" s="288">
        <f t="shared" si="135"/>
        <v>89894.116478620563</v>
      </c>
      <c r="F208" s="288">
        <f t="shared" si="135"/>
        <v>90291.186205711187</v>
      </c>
      <c r="G208" s="288">
        <f t="shared" si="135"/>
        <v>90688.002795485154</v>
      </c>
      <c r="H208" s="288">
        <f t="shared" si="135"/>
        <v>91084.566247942479</v>
      </c>
      <c r="I208" s="288">
        <f t="shared" si="135"/>
        <v>91355.666384537224</v>
      </c>
      <c r="J208" s="288">
        <f t="shared" si="135"/>
        <v>91625.354030310278</v>
      </c>
      <c r="K208" s="288">
        <f t="shared" si="135"/>
        <v>91893.629185261598</v>
      </c>
      <c r="L208" s="288">
        <f t="shared" si="135"/>
        <v>92160.491849391212</v>
      </c>
      <c r="M208" s="288">
        <f t="shared" si="135"/>
        <v>92425.942022699135</v>
      </c>
      <c r="N208" s="288">
        <f t="shared" si="135"/>
        <v>92669.948802822182</v>
      </c>
      <c r="O208" s="288">
        <f t="shared" si="135"/>
        <v>92920.39300171542</v>
      </c>
      <c r="P208" s="288">
        <f t="shared" si="135"/>
        <v>93020.473014574745</v>
      </c>
      <c r="Q208" s="288">
        <f t="shared" si="135"/>
        <v>93117.696701730281</v>
      </c>
      <c r="R208" s="288">
        <f t="shared" si="135"/>
        <v>93212.064063181941</v>
      </c>
      <c r="S208" s="288">
        <f t="shared" si="135"/>
        <v>93303.581414823828</v>
      </c>
      <c r="T208" s="288">
        <f t="shared" si="135"/>
        <v>93392.242496654755</v>
      </c>
      <c r="U208" s="288">
        <f t="shared" si="135"/>
        <v>93478.047308674708</v>
      </c>
      <c r="V208" s="288">
        <f t="shared" si="135"/>
        <v>93560.995850883701</v>
      </c>
      <c r="W208" s="288">
        <f t="shared" si="135"/>
        <v>93641.088123281719</v>
      </c>
      <c r="X208" s="288">
        <f t="shared" si="135"/>
        <v>93690.83718710416</v>
      </c>
      <c r="Y208" s="288">
        <f t="shared" si="135"/>
        <v>93764.077247486581</v>
      </c>
      <c r="Z208" s="288">
        <f t="shared" si="135"/>
        <v>93542.019775054927</v>
      </c>
      <c r="AA208" s="288">
        <f t="shared" si="135"/>
        <v>93314.587083929611</v>
      </c>
      <c r="AB208" s="288">
        <f t="shared" si="135"/>
        <v>93081.779174110678</v>
      </c>
      <c r="AC208" s="288">
        <f t="shared" si="135"/>
        <v>92839.447895721765</v>
      </c>
      <c r="AD208" s="288">
        <f t="shared" si="135"/>
        <v>92591.706244826666</v>
      </c>
      <c r="AE208" s="288">
        <f t="shared" si="135"/>
        <v>92338.554221425438</v>
      </c>
      <c r="AF208" s="288">
        <f t="shared" si="135"/>
        <v>92079.991825518053</v>
      </c>
      <c r="AG208" s="288">
        <f t="shared" si="135"/>
        <v>91816.01905710451</v>
      </c>
      <c r="AI208" s="284"/>
      <c r="AJ208" s="316" t="s">
        <v>1624</v>
      </c>
    </row>
    <row r="209" spans="1:36" s="55" customFormat="1" outlineLevel="1">
      <c r="A209" s="286" t="s">
        <v>743</v>
      </c>
      <c r="B209" s="287" t="s">
        <v>126</v>
      </c>
      <c r="C209" s="288">
        <f>C208*C175</f>
        <v>19601.827874747658</v>
      </c>
      <c r="D209" s="288">
        <f t="shared" ref="D209:AG209" si="136">D208*D175</f>
        <v>20285.939885888347</v>
      </c>
      <c r="E209" s="288">
        <f t="shared" si="136"/>
        <v>20975.293845011463</v>
      </c>
      <c r="F209" s="288">
        <f t="shared" si="136"/>
        <v>21669.884689370683</v>
      </c>
      <c r="G209" s="288">
        <f t="shared" si="136"/>
        <v>22369.707356219667</v>
      </c>
      <c r="H209" s="288">
        <f t="shared" si="136"/>
        <v>23074.756782812092</v>
      </c>
      <c r="I209" s="288">
        <f t="shared" si="136"/>
        <v>23752.473259979673</v>
      </c>
      <c r="J209" s="288">
        <f t="shared" si="136"/>
        <v>24433.427741416068</v>
      </c>
      <c r="K209" s="288">
        <f t="shared" si="136"/>
        <v>25117.59197730483</v>
      </c>
      <c r="L209" s="288">
        <f t="shared" si="136"/>
        <v>25804.937717829533</v>
      </c>
      <c r="M209" s="288">
        <f t="shared" si="136"/>
        <v>26495.436713173742</v>
      </c>
      <c r="N209" s="288">
        <f t="shared" si="136"/>
        <v>27183.184982161165</v>
      </c>
      <c r="O209" s="288">
        <f t="shared" si="136"/>
        <v>27876.117900514615</v>
      </c>
      <c r="P209" s="288">
        <f t="shared" si="136"/>
        <v>28526.278391136242</v>
      </c>
      <c r="Q209" s="288">
        <f t="shared" si="136"/>
        <v>29176.878299875476</v>
      </c>
      <c r="R209" s="288">
        <f t="shared" si="136"/>
        <v>29827.860500218205</v>
      </c>
      <c r="S209" s="288">
        <f t="shared" si="136"/>
        <v>30479.169928842435</v>
      </c>
      <c r="T209" s="288">
        <f t="shared" si="136"/>
        <v>31130.747498884903</v>
      </c>
      <c r="U209" s="288">
        <f t="shared" si="136"/>
        <v>31782.536084949381</v>
      </c>
      <c r="V209" s="288">
        <f t="shared" si="136"/>
        <v>32434.478561639662</v>
      </c>
      <c r="W209" s="288">
        <f t="shared" si="136"/>
        <v>33086.517803559516</v>
      </c>
      <c r="X209" s="288">
        <f t="shared" si="136"/>
        <v>33728.701387357476</v>
      </c>
      <c r="Y209" s="288">
        <f t="shared" si="136"/>
        <v>34380.161657411722</v>
      </c>
      <c r="Z209" s="288">
        <f t="shared" si="136"/>
        <v>34922.354049353817</v>
      </c>
      <c r="AA209" s="288">
        <f t="shared" si="136"/>
        <v>35459.543091893225</v>
      </c>
      <c r="AB209" s="288">
        <f t="shared" si="136"/>
        <v>35991.621280656102</v>
      </c>
      <c r="AC209" s="288">
        <f t="shared" si="136"/>
        <v>36516.849505650534</v>
      </c>
      <c r="AD209" s="288">
        <f t="shared" si="136"/>
        <v>37036.68249793064</v>
      </c>
      <c r="AE209" s="288">
        <f t="shared" si="136"/>
        <v>37551.012050046316</v>
      </c>
      <c r="AF209" s="288">
        <f t="shared" si="136"/>
        <v>38059.729954547431</v>
      </c>
      <c r="AG209" s="288">
        <f t="shared" si="136"/>
        <v>38562.728003983895</v>
      </c>
      <c r="AI209" s="284"/>
      <c r="AJ209" s="316" t="s">
        <v>1625</v>
      </c>
    </row>
    <row r="210" spans="1:36" s="59" customFormat="1" outlineLevel="1">
      <c r="A210" s="290" t="s">
        <v>744</v>
      </c>
      <c r="B210" s="291" t="s">
        <v>126</v>
      </c>
      <c r="C210" s="292">
        <f>C208*C176</f>
        <v>69497.389737741702</v>
      </c>
      <c r="D210" s="292">
        <f t="shared" ref="D210:AG210" si="137">D208*D176</f>
        <v>69210.853728324946</v>
      </c>
      <c r="E210" s="292">
        <f t="shared" si="137"/>
        <v>68918.822633609103</v>
      </c>
      <c r="F210" s="292">
        <f t="shared" si="137"/>
        <v>68621.301516340507</v>
      </c>
      <c r="G210" s="292">
        <f t="shared" si="137"/>
        <v>68318.295439265494</v>
      </c>
      <c r="H210" s="292">
        <f t="shared" si="137"/>
        <v>68009.809465130384</v>
      </c>
      <c r="I210" s="292">
        <f t="shared" si="137"/>
        <v>67603.19312455754</v>
      </c>
      <c r="J210" s="292">
        <f t="shared" si="137"/>
        <v>67191.926288894203</v>
      </c>
      <c r="K210" s="292">
        <f t="shared" si="137"/>
        <v>66776.037207956775</v>
      </c>
      <c r="L210" s="292">
        <f t="shared" si="137"/>
        <v>66355.554131561687</v>
      </c>
      <c r="M210" s="292">
        <f t="shared" si="137"/>
        <v>65930.505309525382</v>
      </c>
      <c r="N210" s="292">
        <f t="shared" si="137"/>
        <v>65486.763820661021</v>
      </c>
      <c r="O210" s="292">
        <f t="shared" si="137"/>
        <v>65044.275101200808</v>
      </c>
      <c r="P210" s="292">
        <f t="shared" si="137"/>
        <v>64494.194623438503</v>
      </c>
      <c r="Q210" s="292">
        <f t="shared" si="137"/>
        <v>63940.818401854798</v>
      </c>
      <c r="R210" s="292">
        <f t="shared" si="137"/>
        <v>63384.203562963732</v>
      </c>
      <c r="S210" s="292">
        <f t="shared" si="137"/>
        <v>62824.4114859814</v>
      </c>
      <c r="T210" s="292">
        <f t="shared" si="137"/>
        <v>62261.494997769856</v>
      </c>
      <c r="U210" s="292">
        <f t="shared" si="137"/>
        <v>61695.51122372532</v>
      </c>
      <c r="V210" s="292">
        <f t="shared" si="137"/>
        <v>61126.517289244039</v>
      </c>
      <c r="W210" s="292">
        <f t="shared" si="137"/>
        <v>60554.570319722203</v>
      </c>
      <c r="X210" s="292">
        <f t="shared" si="137"/>
        <v>59962.135799746684</v>
      </c>
      <c r="Y210" s="292">
        <f t="shared" si="137"/>
        <v>59383.915590074852</v>
      </c>
      <c r="Z210" s="292">
        <f t="shared" si="137"/>
        <v>58619.66572570111</v>
      </c>
      <c r="AA210" s="292">
        <f t="shared" si="137"/>
        <v>57855.043992036386</v>
      </c>
      <c r="AB210" s="292">
        <f t="shared" si="137"/>
        <v>57090.157893454576</v>
      </c>
      <c r="AC210" s="292">
        <f t="shared" si="137"/>
        <v>56322.598390071224</v>
      </c>
      <c r="AD210" s="292">
        <f t="shared" si="137"/>
        <v>55555.023746896026</v>
      </c>
      <c r="AE210" s="292">
        <f t="shared" si="137"/>
        <v>54787.542171379129</v>
      </c>
      <c r="AF210" s="292">
        <f t="shared" si="137"/>
        <v>54020.261870970622</v>
      </c>
      <c r="AG210" s="292">
        <f t="shared" si="137"/>
        <v>53253.291053120622</v>
      </c>
      <c r="AI210" s="319"/>
      <c r="AJ210" s="318" t="s">
        <v>1626</v>
      </c>
    </row>
    <row r="211" spans="1:36" s="1" customFormat="1" outlineLevel="1">
      <c r="A211" t="s">
        <v>725</v>
      </c>
      <c r="B211" s="281" t="s">
        <v>127</v>
      </c>
      <c r="C211" s="234">
        <f>C177*C208</f>
        <v>75734.33497061595</v>
      </c>
      <c r="D211" s="234">
        <f t="shared" ref="D211:AG211" si="138">D177*D208</f>
        <v>75923.113249390939</v>
      </c>
      <c r="E211" s="234">
        <f t="shared" si="138"/>
        <v>76110.35195189873</v>
      </c>
      <c r="F211" s="234">
        <f t="shared" si="138"/>
        <v>76296.052343825941</v>
      </c>
      <c r="G211" s="234">
        <f t="shared" si="138"/>
        <v>76480.215690859128</v>
      </c>
      <c r="H211" s="234">
        <f t="shared" si="138"/>
        <v>76662.843258684894</v>
      </c>
      <c r="I211" s="234">
        <f t="shared" si="138"/>
        <v>76738.759763011243</v>
      </c>
      <c r="J211" s="234">
        <f t="shared" si="138"/>
        <v>76812.588462076761</v>
      </c>
      <c r="K211" s="234">
        <f t="shared" si="138"/>
        <v>76884.336418335501</v>
      </c>
      <c r="L211" s="234">
        <f t="shared" si="138"/>
        <v>76954.010694241631</v>
      </c>
      <c r="M211" s="234">
        <f t="shared" si="138"/>
        <v>77021.618352249236</v>
      </c>
      <c r="N211" s="234">
        <f t="shared" si="138"/>
        <v>77070.507421013739</v>
      </c>
      <c r="O211" s="234">
        <f t="shared" si="138"/>
        <v>77123.926191423758</v>
      </c>
      <c r="P211" s="234">
        <f t="shared" si="138"/>
        <v>77051.958480406029</v>
      </c>
      <c r="Q211" s="234">
        <f t="shared" si="138"/>
        <v>76977.295940096985</v>
      </c>
      <c r="R211" s="234">
        <f t="shared" si="138"/>
        <v>76899.952852125047</v>
      </c>
      <c r="S211" s="234">
        <f t="shared" si="138"/>
        <v>76819.948698204898</v>
      </c>
      <c r="T211" s="234">
        <f t="shared" si="138"/>
        <v>76737.292584751267</v>
      </c>
      <c r="U211" s="234">
        <f t="shared" si="138"/>
        <v>76651.998793113191</v>
      </c>
      <c r="V211" s="234">
        <f t="shared" si="138"/>
        <v>76564.081604639752</v>
      </c>
      <c r="W211" s="234">
        <f t="shared" si="138"/>
        <v>76473.555300680004</v>
      </c>
      <c r="X211" s="234">
        <f t="shared" si="138"/>
        <v>76358.032307489819</v>
      </c>
      <c r="Y211" s="234">
        <f t="shared" si="138"/>
        <v>76261.449494622342</v>
      </c>
      <c r="Z211" s="234">
        <f t="shared" si="138"/>
        <v>75924.939384086159</v>
      </c>
      <c r="AA211" s="234">
        <f t="shared" si="138"/>
        <v>75584.815537982897</v>
      </c>
      <c r="AB211" s="234">
        <f t="shared" si="138"/>
        <v>75241.104832406039</v>
      </c>
      <c r="AC211" s="234">
        <f t="shared" si="138"/>
        <v>74890.487969215465</v>
      </c>
      <c r="AD211" s="234">
        <f t="shared" si="138"/>
        <v>74536.323527085362</v>
      </c>
      <c r="AE211" s="234">
        <f t="shared" si="138"/>
        <v>74178.638557878337</v>
      </c>
      <c r="AF211" s="234">
        <f t="shared" si="138"/>
        <v>73817.460113456866</v>
      </c>
      <c r="AG211" s="234">
        <f t="shared" si="138"/>
        <v>73452.815245683611</v>
      </c>
      <c r="AI211" s="295"/>
      <c r="AJ211" s="198" t="s">
        <v>1627</v>
      </c>
    </row>
    <row r="212" spans="1:36" s="1" customFormat="1" outlineLevel="1">
      <c r="A212" t="s">
        <v>731</v>
      </c>
      <c r="B212" s="281" t="s">
        <v>127</v>
      </c>
      <c r="C212" s="234">
        <f>C178*C208</f>
        <v>13364.882641873404</v>
      </c>
      <c r="D212" s="234">
        <f t="shared" ref="D212:AG212" si="139">D178*D208</f>
        <v>13573.68036482235</v>
      </c>
      <c r="E212" s="234">
        <f t="shared" si="139"/>
        <v>13783.764526721821</v>
      </c>
      <c r="F212" s="234">
        <f t="shared" si="139"/>
        <v>13995.133861885237</v>
      </c>
      <c r="G212" s="234">
        <f t="shared" si="139"/>
        <v>14207.787104626012</v>
      </c>
      <c r="H212" s="234">
        <f t="shared" si="139"/>
        <v>14421.722989257563</v>
      </c>
      <c r="I212" s="234">
        <f t="shared" si="139"/>
        <v>14616.906621525961</v>
      </c>
      <c r="J212" s="234">
        <f t="shared" si="139"/>
        <v>14812.765568233501</v>
      </c>
      <c r="K212" s="234">
        <f t="shared" si="139"/>
        <v>15009.292766926068</v>
      </c>
      <c r="L212" s="234">
        <f t="shared" si="139"/>
        <v>15206.481155149559</v>
      </c>
      <c r="M212" s="234">
        <f t="shared" si="139"/>
        <v>15404.323670449865</v>
      </c>
      <c r="N212" s="234">
        <f t="shared" si="139"/>
        <v>15599.44138180841</v>
      </c>
      <c r="O212" s="234">
        <f t="shared" si="139"/>
        <v>15796.466810291633</v>
      </c>
      <c r="P212" s="234">
        <f t="shared" si="139"/>
        <v>15968.514534168677</v>
      </c>
      <c r="Q212" s="234">
        <f t="shared" si="139"/>
        <v>16140.400761633262</v>
      </c>
      <c r="R212" s="234">
        <f t="shared" si="139"/>
        <v>16312.111211056854</v>
      </c>
      <c r="S212" s="234">
        <f t="shared" si="139"/>
        <v>16483.632716618893</v>
      </c>
      <c r="T212" s="234">
        <f t="shared" si="139"/>
        <v>16654.949911903448</v>
      </c>
      <c r="U212" s="234">
        <f t="shared" si="139"/>
        <v>16826.048515561466</v>
      </c>
      <c r="V212" s="234">
        <f t="shared" si="139"/>
        <v>16996.91424624389</v>
      </c>
      <c r="W212" s="234">
        <f t="shared" si="139"/>
        <v>17167.532822601668</v>
      </c>
      <c r="X212" s="234">
        <f t="shared" si="139"/>
        <v>17332.80487961429</v>
      </c>
      <c r="Y212" s="234">
        <f t="shared" si="139"/>
        <v>17502.627752864184</v>
      </c>
      <c r="Z212" s="234">
        <f t="shared" si="139"/>
        <v>17617.080390968702</v>
      </c>
      <c r="AA212" s="234">
        <f t="shared" si="139"/>
        <v>17729.771545946649</v>
      </c>
      <c r="AB212" s="234">
        <f t="shared" si="139"/>
        <v>17840.674341704573</v>
      </c>
      <c r="AC212" s="234">
        <f t="shared" si="139"/>
        <v>17948.959926506232</v>
      </c>
      <c r="AD212" s="234">
        <f t="shared" si="139"/>
        <v>18055.382717741228</v>
      </c>
      <c r="AE212" s="234">
        <f t="shared" si="139"/>
        <v>18159.915663547032</v>
      </c>
      <c r="AF212" s="234">
        <f t="shared" si="139"/>
        <v>18262.531712061107</v>
      </c>
      <c r="AG212" s="234">
        <f t="shared" si="139"/>
        <v>18363.203811420903</v>
      </c>
      <c r="AI212" s="295"/>
      <c r="AJ212" s="198" t="s">
        <v>1628</v>
      </c>
    </row>
    <row r="213" spans="1:36" s="1" customFormat="1" outlineLevel="1">
      <c r="A213" t="s">
        <v>726</v>
      </c>
      <c r="B213" s="281" t="s">
        <v>127</v>
      </c>
      <c r="C213" s="234">
        <f>C211*C179</f>
        <v>11360.150245592393</v>
      </c>
      <c r="D213" s="234">
        <f t="shared" ref="D213:AG213" si="140">D211*D179</f>
        <v>11869.31337132145</v>
      </c>
      <c r="E213" s="234">
        <f t="shared" si="140"/>
        <v>12380.617250842193</v>
      </c>
      <c r="F213" s="234">
        <f t="shared" si="140"/>
        <v>12894.032846106582</v>
      </c>
      <c r="G213" s="234">
        <f t="shared" si="140"/>
        <v>13409.531151130632</v>
      </c>
      <c r="H213" s="234">
        <f t="shared" si="140"/>
        <v>13927.083191994421</v>
      </c>
      <c r="I213" s="234">
        <f t="shared" si="140"/>
        <v>14426.886835446112</v>
      </c>
      <c r="J213" s="234">
        <f t="shared" si="140"/>
        <v>14927.246357796916</v>
      </c>
      <c r="K213" s="234">
        <f t="shared" si="140"/>
        <v>15428.123507945988</v>
      </c>
      <c r="L213" s="234">
        <f t="shared" si="140"/>
        <v>15929.480213708015</v>
      </c>
      <c r="M213" s="234">
        <f t="shared" si="140"/>
        <v>16431.278581813167</v>
      </c>
      <c r="N213" s="234">
        <f t="shared" si="140"/>
        <v>16929.82146348268</v>
      </c>
      <c r="O213" s="234">
        <f t="shared" si="140"/>
        <v>17430.007319261764</v>
      </c>
      <c r="P213" s="234">
        <f t="shared" si="140"/>
        <v>17901.738353614332</v>
      </c>
      <c r="Q213" s="234">
        <f t="shared" si="140"/>
        <v>18371.914631036478</v>
      </c>
      <c r="R213" s="234">
        <f t="shared" si="140"/>
        <v>18840.488448770633</v>
      </c>
      <c r="S213" s="234">
        <f t="shared" si="140"/>
        <v>19307.413772815496</v>
      </c>
      <c r="T213" s="234">
        <f t="shared" si="140"/>
        <v>19772.642389337576</v>
      </c>
      <c r="U213" s="234">
        <f t="shared" si="140"/>
        <v>20236.127681381884</v>
      </c>
      <c r="V213" s="234">
        <f t="shared" si="140"/>
        <v>20697.823393787618</v>
      </c>
      <c r="W213" s="234">
        <f t="shared" si="140"/>
        <v>21157.683633188139</v>
      </c>
      <c r="X213" s="234">
        <f t="shared" si="140"/>
        <v>21609.323143019625</v>
      </c>
      <c r="Y213" s="234">
        <f t="shared" si="140"/>
        <v>22064.979387110739</v>
      </c>
      <c r="Z213" s="234">
        <f t="shared" si="140"/>
        <v>22448.473744561485</v>
      </c>
      <c r="AA213" s="234">
        <f t="shared" si="140"/>
        <v>22826.614292470847</v>
      </c>
      <c r="AB213" s="234">
        <f t="shared" si="140"/>
        <v>23199.340656658544</v>
      </c>
      <c r="AC213" s="234">
        <f t="shared" si="140"/>
        <v>23565.540214313147</v>
      </c>
      <c r="AD213" s="234">
        <f t="shared" si="140"/>
        <v>23926.159852194418</v>
      </c>
      <c r="AE213" s="234">
        <f t="shared" si="140"/>
        <v>24281.141021278861</v>
      </c>
      <c r="AF213" s="234">
        <f t="shared" si="140"/>
        <v>24630.425857856793</v>
      </c>
      <c r="AG213" s="234">
        <f t="shared" si="140"/>
        <v>24973.957183532428</v>
      </c>
      <c r="AI213" s="295"/>
      <c r="AJ213" s="198" t="s">
        <v>1629</v>
      </c>
    </row>
    <row r="214" spans="1:36" s="1" customFormat="1" outlineLevel="1">
      <c r="A214" t="s">
        <v>727</v>
      </c>
      <c r="B214" s="281" t="s">
        <v>127</v>
      </c>
      <c r="C214" s="234">
        <f>C211*C180</f>
        <v>64374.184725023559</v>
      </c>
      <c r="D214" s="234">
        <f t="shared" ref="D214:AG214" si="141">D211*D180</f>
        <v>64053.799878069491</v>
      </c>
      <c r="E214" s="234">
        <f t="shared" si="141"/>
        <v>63729.734701056543</v>
      </c>
      <c r="F214" s="234">
        <f t="shared" si="141"/>
        <v>63402.019497719361</v>
      </c>
      <c r="G214" s="234">
        <f t="shared" si="141"/>
        <v>63070.6845397285</v>
      </c>
      <c r="H214" s="234">
        <f t="shared" si="141"/>
        <v>62735.760066690484</v>
      </c>
      <c r="I214" s="234">
        <f t="shared" si="141"/>
        <v>62311.872927565142</v>
      </c>
      <c r="J214" s="234">
        <f t="shared" si="141"/>
        <v>61885.342104279858</v>
      </c>
      <c r="K214" s="234">
        <f t="shared" si="141"/>
        <v>61456.212910389528</v>
      </c>
      <c r="L214" s="234">
        <f t="shared" si="141"/>
        <v>61024.530480533635</v>
      </c>
      <c r="M214" s="234">
        <f t="shared" si="141"/>
        <v>60590.33977043609</v>
      </c>
      <c r="N214" s="234">
        <f t="shared" si="141"/>
        <v>60140.685957531081</v>
      </c>
      <c r="O214" s="234">
        <f t="shared" si="141"/>
        <v>59693.918872162016</v>
      </c>
      <c r="P214" s="234">
        <f t="shared" si="141"/>
        <v>59150.220126791726</v>
      </c>
      <c r="Q214" s="234">
        <f t="shared" si="141"/>
        <v>58605.38130906054</v>
      </c>
      <c r="R214" s="234">
        <f t="shared" si="141"/>
        <v>58059.464403354446</v>
      </c>
      <c r="S214" s="234">
        <f t="shared" si="141"/>
        <v>57512.534925389438</v>
      </c>
      <c r="T214" s="234">
        <f t="shared" si="141"/>
        <v>56964.650195413727</v>
      </c>
      <c r="U214" s="234">
        <f t="shared" si="141"/>
        <v>56415.871111731351</v>
      </c>
      <c r="V214" s="234">
        <f t="shared" si="141"/>
        <v>55866.258210852182</v>
      </c>
      <c r="W214" s="234">
        <f t="shared" si="141"/>
        <v>55315.871667491912</v>
      </c>
      <c r="X214" s="234">
        <f t="shared" si="141"/>
        <v>54748.709164470252</v>
      </c>
      <c r="Y214" s="234">
        <f t="shared" si="141"/>
        <v>54196.470107511661</v>
      </c>
      <c r="Z214" s="234">
        <f t="shared" si="141"/>
        <v>53476.465639524737</v>
      </c>
      <c r="AA214" s="234">
        <f t="shared" si="141"/>
        <v>52758.201245512115</v>
      </c>
      <c r="AB214" s="234">
        <f t="shared" si="141"/>
        <v>52041.764175747565</v>
      </c>
      <c r="AC214" s="234">
        <f t="shared" si="141"/>
        <v>51324.947754902394</v>
      </c>
      <c r="AD214" s="234">
        <f t="shared" si="141"/>
        <v>50610.163674891024</v>
      </c>
      <c r="AE214" s="234">
        <f t="shared" si="141"/>
        <v>49897.497536599556</v>
      </c>
      <c r="AF214" s="234">
        <f t="shared" si="141"/>
        <v>49187.034255600156</v>
      </c>
      <c r="AG214" s="234">
        <f t="shared" si="141"/>
        <v>48478.858062151186</v>
      </c>
      <c r="AI214" s="295"/>
      <c r="AJ214" s="198" t="s">
        <v>1630</v>
      </c>
    </row>
    <row r="215" spans="1:36" s="1" customFormat="1" outlineLevel="1">
      <c r="A215" t="s">
        <v>730</v>
      </c>
      <c r="B215" s="281" t="s">
        <v>127</v>
      </c>
      <c r="C215" s="234">
        <f>C181*C214</f>
        <v>0</v>
      </c>
      <c r="D215" s="234">
        <f t="shared" ref="D215:AG215" si="142">D181*D214</f>
        <v>0</v>
      </c>
      <c r="E215" s="234">
        <f t="shared" si="142"/>
        <v>0</v>
      </c>
      <c r="F215" s="234">
        <f t="shared" si="142"/>
        <v>0</v>
      </c>
      <c r="G215" s="234">
        <f t="shared" si="142"/>
        <v>0</v>
      </c>
      <c r="H215" s="234">
        <f t="shared" si="142"/>
        <v>0</v>
      </c>
      <c r="I215" s="234">
        <f t="shared" si="142"/>
        <v>0</v>
      </c>
      <c r="J215" s="234">
        <f t="shared" si="142"/>
        <v>0</v>
      </c>
      <c r="K215" s="234">
        <f t="shared" si="142"/>
        <v>0</v>
      </c>
      <c r="L215" s="234">
        <f t="shared" si="142"/>
        <v>0</v>
      </c>
      <c r="M215" s="234">
        <f t="shared" si="142"/>
        <v>0</v>
      </c>
      <c r="N215" s="234">
        <f t="shared" si="142"/>
        <v>0</v>
      </c>
      <c r="O215" s="234">
        <f t="shared" si="142"/>
        <v>0</v>
      </c>
      <c r="P215" s="234">
        <f t="shared" si="142"/>
        <v>0</v>
      </c>
      <c r="Q215" s="234">
        <f t="shared" si="142"/>
        <v>0</v>
      </c>
      <c r="R215" s="234">
        <f t="shared" si="142"/>
        <v>0</v>
      </c>
      <c r="S215" s="234">
        <f t="shared" si="142"/>
        <v>0</v>
      </c>
      <c r="T215" s="234">
        <f t="shared" si="142"/>
        <v>0</v>
      </c>
      <c r="U215" s="234">
        <f t="shared" si="142"/>
        <v>0</v>
      </c>
      <c r="V215" s="234">
        <f t="shared" si="142"/>
        <v>0</v>
      </c>
      <c r="W215" s="234">
        <f t="shared" si="142"/>
        <v>0</v>
      </c>
      <c r="X215" s="234">
        <f t="shared" si="142"/>
        <v>0</v>
      </c>
      <c r="Y215" s="234">
        <f t="shared" si="142"/>
        <v>0</v>
      </c>
      <c r="Z215" s="234">
        <f t="shared" si="142"/>
        <v>0</v>
      </c>
      <c r="AA215" s="234">
        <f t="shared" si="142"/>
        <v>0</v>
      </c>
      <c r="AB215" s="234">
        <f t="shared" si="142"/>
        <v>0</v>
      </c>
      <c r="AC215" s="234">
        <f t="shared" si="142"/>
        <v>0</v>
      </c>
      <c r="AD215" s="234">
        <f t="shared" si="142"/>
        <v>0</v>
      </c>
      <c r="AE215" s="234">
        <f t="shared" si="142"/>
        <v>0</v>
      </c>
      <c r="AF215" s="234">
        <f t="shared" si="142"/>
        <v>0</v>
      </c>
      <c r="AG215" s="234">
        <f t="shared" si="142"/>
        <v>0</v>
      </c>
      <c r="AI215" s="295"/>
      <c r="AJ215" s="198" t="s">
        <v>1631</v>
      </c>
    </row>
    <row r="216" spans="1:36" s="1" customFormat="1" outlineLevel="1">
      <c r="A216" t="s">
        <v>758</v>
      </c>
      <c r="B216" s="281" t="s">
        <v>127</v>
      </c>
      <c r="C216" s="234">
        <f>C182*C214</f>
        <v>64374.184725023559</v>
      </c>
      <c r="D216" s="234">
        <f t="shared" ref="D216:AG216" si="143">D182*D214</f>
        <v>64053.799878069491</v>
      </c>
      <c r="E216" s="234">
        <f t="shared" si="143"/>
        <v>63729.734701056543</v>
      </c>
      <c r="F216" s="234">
        <f t="shared" si="143"/>
        <v>63402.019497719361</v>
      </c>
      <c r="G216" s="234">
        <f t="shared" si="143"/>
        <v>63070.6845397285</v>
      </c>
      <c r="H216" s="234">
        <f t="shared" si="143"/>
        <v>62735.760066690484</v>
      </c>
      <c r="I216" s="234">
        <f t="shared" si="143"/>
        <v>62311.872927565142</v>
      </c>
      <c r="J216" s="234">
        <f t="shared" si="143"/>
        <v>61885.342104279858</v>
      </c>
      <c r="K216" s="234">
        <f t="shared" si="143"/>
        <v>61456.212910389528</v>
      </c>
      <c r="L216" s="234">
        <f t="shared" si="143"/>
        <v>61024.530480533635</v>
      </c>
      <c r="M216" s="234">
        <f t="shared" si="143"/>
        <v>60590.33977043609</v>
      </c>
      <c r="N216" s="234">
        <f t="shared" si="143"/>
        <v>60140.685957531081</v>
      </c>
      <c r="O216" s="234">
        <f t="shared" si="143"/>
        <v>59693.918872162016</v>
      </c>
      <c r="P216" s="234">
        <f t="shared" si="143"/>
        <v>59150.220126791726</v>
      </c>
      <c r="Q216" s="234">
        <f t="shared" si="143"/>
        <v>58605.38130906054</v>
      </c>
      <c r="R216" s="234">
        <f t="shared" si="143"/>
        <v>58059.464403354446</v>
      </c>
      <c r="S216" s="234">
        <f t="shared" si="143"/>
        <v>57512.534925389438</v>
      </c>
      <c r="T216" s="234">
        <f t="shared" si="143"/>
        <v>56964.650195413727</v>
      </c>
      <c r="U216" s="234">
        <f t="shared" si="143"/>
        <v>56415.871111731351</v>
      </c>
      <c r="V216" s="234">
        <f t="shared" si="143"/>
        <v>55866.258210852182</v>
      </c>
      <c r="W216" s="234">
        <f t="shared" si="143"/>
        <v>55315.871667491912</v>
      </c>
      <c r="X216" s="234">
        <f t="shared" si="143"/>
        <v>54748.709164470252</v>
      </c>
      <c r="Y216" s="234">
        <f t="shared" si="143"/>
        <v>54196.470107511661</v>
      </c>
      <c r="Z216" s="234">
        <f t="shared" si="143"/>
        <v>53476.465639524737</v>
      </c>
      <c r="AA216" s="234">
        <f t="shared" si="143"/>
        <v>52758.201245512115</v>
      </c>
      <c r="AB216" s="234">
        <f t="shared" si="143"/>
        <v>52041.764175747565</v>
      </c>
      <c r="AC216" s="234">
        <f t="shared" si="143"/>
        <v>51324.947754902394</v>
      </c>
      <c r="AD216" s="234">
        <f t="shared" si="143"/>
        <v>50610.163674891024</v>
      </c>
      <c r="AE216" s="234">
        <f t="shared" si="143"/>
        <v>49897.497536599556</v>
      </c>
      <c r="AF216" s="234">
        <f t="shared" si="143"/>
        <v>49187.034255600156</v>
      </c>
      <c r="AG216" s="234">
        <f t="shared" si="143"/>
        <v>48478.858062151186</v>
      </c>
      <c r="AI216" s="295"/>
      <c r="AJ216" s="198" t="s">
        <v>1632</v>
      </c>
    </row>
    <row r="217" spans="1:36" s="1" customFormat="1" outlineLevel="1">
      <c r="A217" t="s">
        <v>728</v>
      </c>
      <c r="B217" s="281" t="s">
        <v>127</v>
      </c>
      <c r="C217" s="234">
        <f>C183*(C215+C213)</f>
        <v>9088.1201964739139</v>
      </c>
      <c r="D217" s="234">
        <f t="shared" ref="D217:AG217" si="144">D183*(D215+D213)</f>
        <v>9535.0150749615659</v>
      </c>
      <c r="E217" s="234">
        <f t="shared" si="144"/>
        <v>9987.0312490127017</v>
      </c>
      <c r="F217" s="234">
        <f t="shared" si="144"/>
        <v>10444.16660534633</v>
      </c>
      <c r="G217" s="234">
        <f t="shared" si="144"/>
        <v>10906.418669586246</v>
      </c>
      <c r="H217" s="234">
        <f t="shared" si="144"/>
        <v>11373.784606795442</v>
      </c>
      <c r="I217" s="234">
        <f t="shared" si="144"/>
        <v>11830.04720506581</v>
      </c>
      <c r="J217" s="234">
        <f t="shared" si="144"/>
        <v>12290.099501252791</v>
      </c>
      <c r="K217" s="234">
        <f t="shared" si="144"/>
        <v>12753.915433235346</v>
      </c>
      <c r="L217" s="234">
        <f t="shared" si="144"/>
        <v>13221.468577377649</v>
      </c>
      <c r="M217" s="234">
        <f t="shared" si="144"/>
        <v>13692.732151510967</v>
      </c>
      <c r="N217" s="234">
        <f t="shared" si="144"/>
        <v>14164.617291113836</v>
      </c>
      <c r="O217" s="234">
        <f t="shared" si="144"/>
        <v>14641.206148179876</v>
      </c>
      <c r="P217" s="234">
        <f t="shared" si="144"/>
        <v>15097.132678214746</v>
      </c>
      <c r="Q217" s="234">
        <f t="shared" si="144"/>
        <v>15554.887720944209</v>
      </c>
      <c r="R217" s="234">
        <f t="shared" si="144"/>
        <v>16014.41518145503</v>
      </c>
      <c r="S217" s="234">
        <f t="shared" si="144"/>
        <v>16475.659752802549</v>
      </c>
      <c r="T217" s="234">
        <f t="shared" si="144"/>
        <v>16938.563646865845</v>
      </c>
      <c r="U217" s="234">
        <f t="shared" si="144"/>
        <v>17403.069805988409</v>
      </c>
      <c r="V217" s="234">
        <f t="shared" si="144"/>
        <v>17869.120863303298</v>
      </c>
      <c r="W217" s="234">
        <f t="shared" si="144"/>
        <v>18336.659148763039</v>
      </c>
      <c r="X217" s="234">
        <f t="shared" si="144"/>
        <v>18800.111134427058</v>
      </c>
      <c r="Y217" s="234">
        <f t="shared" si="144"/>
        <v>19270.081998076697</v>
      </c>
      <c r="Z217" s="234">
        <f t="shared" si="144"/>
        <v>19679.828649398885</v>
      </c>
      <c r="AA217" s="234">
        <f t="shared" si="144"/>
        <v>20087.420577374327</v>
      </c>
      <c r="AB217" s="234">
        <f t="shared" si="144"/>
        <v>20492.750913381697</v>
      </c>
      <c r="AC217" s="234">
        <f t="shared" si="144"/>
        <v>20894.778990024304</v>
      </c>
      <c r="AD217" s="234">
        <f t="shared" si="144"/>
        <v>21294.282268453011</v>
      </c>
      <c r="AE217" s="234">
        <f t="shared" si="144"/>
        <v>21691.15264567576</v>
      </c>
      <c r="AF217" s="234">
        <f t="shared" si="144"/>
        <v>22085.2818525449</v>
      </c>
      <c r="AG217" s="234">
        <f t="shared" si="144"/>
        <v>22476.561465179184</v>
      </c>
      <c r="AH217" s="234"/>
      <c r="AI217" s="295"/>
      <c r="AJ217" s="198" t="s">
        <v>1633</v>
      </c>
    </row>
    <row r="218" spans="1:36" s="1" customFormat="1" outlineLevel="1">
      <c r="A218" t="s">
        <v>729</v>
      </c>
      <c r="B218" s="281" t="s">
        <v>127</v>
      </c>
      <c r="C218" s="234">
        <f>C184*(C215+C213)</f>
        <v>2272.0300491184785</v>
      </c>
      <c r="D218" s="234">
        <f t="shared" ref="D218:AG218" si="145">D184*(D215+D213)</f>
        <v>2334.2982963598856</v>
      </c>
      <c r="E218" s="234">
        <f t="shared" si="145"/>
        <v>2393.5860018294911</v>
      </c>
      <c r="F218" s="234">
        <f t="shared" si="145"/>
        <v>2449.866240760251</v>
      </c>
      <c r="G218" s="234">
        <f t="shared" si="145"/>
        <v>2503.112481544385</v>
      </c>
      <c r="H218" s="234">
        <f t="shared" si="145"/>
        <v>2553.2985851989779</v>
      </c>
      <c r="I218" s="234">
        <f t="shared" si="145"/>
        <v>2596.8396303803011</v>
      </c>
      <c r="J218" s="234">
        <f t="shared" si="145"/>
        <v>2637.1468565441228</v>
      </c>
      <c r="K218" s="234">
        <f t="shared" si="145"/>
        <v>2674.2080747106388</v>
      </c>
      <c r="L218" s="234">
        <f t="shared" si="145"/>
        <v>2708.0116363303637</v>
      </c>
      <c r="M218" s="234">
        <f t="shared" si="145"/>
        <v>2738.5464303021959</v>
      </c>
      <c r="N218" s="234">
        <f t="shared" si="145"/>
        <v>2765.204172368839</v>
      </c>
      <c r="O218" s="234">
        <f t="shared" si="145"/>
        <v>2788.8011710818837</v>
      </c>
      <c r="P218" s="234">
        <f t="shared" si="145"/>
        <v>2804.6056753995804</v>
      </c>
      <c r="Q218" s="234">
        <f t="shared" si="145"/>
        <v>2817.0269100922619</v>
      </c>
      <c r="R218" s="234">
        <f t="shared" si="145"/>
        <v>2826.0732673155971</v>
      </c>
      <c r="S218" s="234">
        <f t="shared" si="145"/>
        <v>2831.7540200129415</v>
      </c>
      <c r="T218" s="234">
        <f t="shared" si="145"/>
        <v>2834.0787424717214</v>
      </c>
      <c r="U218" s="234">
        <f t="shared" si="145"/>
        <v>2833.0578753934665</v>
      </c>
      <c r="V218" s="234">
        <f t="shared" si="145"/>
        <v>2828.7025304843105</v>
      </c>
      <c r="W218" s="234">
        <f t="shared" si="145"/>
        <v>2821.0244844250878</v>
      </c>
      <c r="X218" s="234">
        <f t="shared" si="145"/>
        <v>2809.2120085925544</v>
      </c>
      <c r="Y218" s="234">
        <f t="shared" si="145"/>
        <v>2794.8973890340303</v>
      </c>
      <c r="Z218" s="234">
        <f t="shared" si="145"/>
        <v>2768.6450951625866</v>
      </c>
      <c r="AA218" s="234">
        <f t="shared" si="145"/>
        <v>2739.1937150965055</v>
      </c>
      <c r="AB218" s="234">
        <f t="shared" si="145"/>
        <v>2706.5897432768338</v>
      </c>
      <c r="AC218" s="234">
        <f t="shared" si="145"/>
        <v>2670.7612242888276</v>
      </c>
      <c r="AD218" s="234">
        <f t="shared" si="145"/>
        <v>2631.8775837413905</v>
      </c>
      <c r="AE218" s="234">
        <f t="shared" si="145"/>
        <v>2589.9883756030831</v>
      </c>
      <c r="AF218" s="234">
        <f t="shared" si="145"/>
        <v>2545.1440053118736</v>
      </c>
      <c r="AG218" s="234">
        <f t="shared" si="145"/>
        <v>2497.395718353243</v>
      </c>
      <c r="AI218" s="295"/>
      <c r="AJ218" s="198" t="s">
        <v>1634</v>
      </c>
    </row>
    <row r="219" spans="1:36" s="1" customFormat="1" outlineLevel="1">
      <c r="A219" t="s">
        <v>739</v>
      </c>
      <c r="B219" s="281" t="s">
        <v>127</v>
      </c>
      <c r="C219" s="234">
        <f>C212*C185</f>
        <v>12696.638509779734</v>
      </c>
      <c r="D219" s="234">
        <f t="shared" ref="D219:AG219" si="146">D212*D185</f>
        <v>12876.898106094803</v>
      </c>
      <c r="E219" s="234">
        <f t="shared" si="146"/>
        <v>13057.81959498114</v>
      </c>
      <c r="F219" s="234">
        <f t="shared" si="146"/>
        <v>13239.396633343435</v>
      </c>
      <c r="G219" s="234">
        <f t="shared" si="146"/>
        <v>13421.622884836706</v>
      </c>
      <c r="H219" s="234">
        <f t="shared" si="146"/>
        <v>13604.492019866304</v>
      </c>
      <c r="I219" s="234">
        <f t="shared" si="146"/>
        <v>13769.126037477457</v>
      </c>
      <c r="J219" s="234">
        <f t="shared" si="146"/>
        <v>13933.874811184984</v>
      </c>
      <c r="K219" s="234">
        <f t="shared" si="146"/>
        <v>14098.729005732557</v>
      </c>
      <c r="L219" s="234">
        <f t="shared" si="146"/>
        <v>14263.67932353029</v>
      </c>
      <c r="M219" s="234">
        <f t="shared" si="146"/>
        <v>14428.716504654712</v>
      </c>
      <c r="N219" s="234">
        <f t="shared" si="146"/>
        <v>14590.677505784804</v>
      </c>
      <c r="O219" s="234">
        <f t="shared" si="146"/>
        <v>14753.900000812391</v>
      </c>
      <c r="P219" s="234">
        <f t="shared" si="146"/>
        <v>14893.301222201326</v>
      </c>
      <c r="Q219" s="234">
        <f t="shared" si="146"/>
        <v>15032.093242667785</v>
      </c>
      <c r="R219" s="234">
        <f t="shared" si="146"/>
        <v>15170.263426282881</v>
      </c>
      <c r="S219" s="234">
        <f t="shared" si="146"/>
        <v>15307.800249500087</v>
      </c>
      <c r="T219" s="234">
        <f t="shared" si="146"/>
        <v>15444.690218305141</v>
      </c>
      <c r="U219" s="234">
        <f t="shared" si="146"/>
        <v>15580.920925409928</v>
      </c>
      <c r="V219" s="234">
        <f t="shared" si="146"/>
        <v>15716.480039693528</v>
      </c>
      <c r="W219" s="234">
        <f t="shared" si="146"/>
        <v>15851.355306202218</v>
      </c>
      <c r="X219" s="234">
        <f t="shared" si="146"/>
        <v>15980.846099004388</v>
      </c>
      <c r="Y219" s="234">
        <f t="shared" si="146"/>
        <v>16114.085951136973</v>
      </c>
      <c r="Z219" s="234">
        <f t="shared" si="146"/>
        <v>16195.969239430573</v>
      </c>
      <c r="AA219" s="234">
        <f t="shared" si="146"/>
        <v>16275.930279179038</v>
      </c>
      <c r="AB219" s="234">
        <f t="shared" si="146"/>
        <v>16353.951479895873</v>
      </c>
      <c r="AC219" s="234">
        <f t="shared" si="146"/>
        <v>16429.281319395388</v>
      </c>
      <c r="AD219" s="234">
        <f t="shared" si="146"/>
        <v>16502.6198040155</v>
      </c>
      <c r="AE219" s="234">
        <f t="shared" si="146"/>
        <v>16573.949695597275</v>
      </c>
      <c r="AF219" s="234">
        <f t="shared" si="146"/>
        <v>16643.253900258373</v>
      </c>
      <c r="AG219" s="234">
        <f t="shared" si="146"/>
        <v>16710.515468393023</v>
      </c>
      <c r="AI219" s="295"/>
      <c r="AJ219" s="198" t="s">
        <v>1635</v>
      </c>
    </row>
    <row r="220" spans="1:36" s="1" customFormat="1" outlineLevel="1">
      <c r="A220" t="s">
        <v>759</v>
      </c>
      <c r="B220" s="281" t="s">
        <v>127</v>
      </c>
      <c r="C220" s="234">
        <f>C212*C186</f>
        <v>668.24413209367026</v>
      </c>
      <c r="D220" s="234">
        <f t="shared" ref="D220:AG220" si="147">D212*D186</f>
        <v>696.78225872754729</v>
      </c>
      <c r="E220" s="234">
        <f t="shared" si="147"/>
        <v>725.94493174068259</v>
      </c>
      <c r="F220" s="234">
        <f t="shared" si="147"/>
        <v>755.73722854180278</v>
      </c>
      <c r="G220" s="234">
        <f t="shared" si="147"/>
        <v>786.164219789306</v>
      </c>
      <c r="H220" s="234">
        <f t="shared" si="147"/>
        <v>817.23096939126185</v>
      </c>
      <c r="I220" s="234">
        <f t="shared" si="147"/>
        <v>847.78058404850572</v>
      </c>
      <c r="J220" s="234">
        <f t="shared" si="147"/>
        <v>878.89075704852098</v>
      </c>
      <c r="K220" s="234">
        <f t="shared" si="147"/>
        <v>910.56376119351467</v>
      </c>
      <c r="L220" s="234">
        <f t="shared" si="147"/>
        <v>942.80183161927255</v>
      </c>
      <c r="M220" s="234">
        <f t="shared" si="147"/>
        <v>975.60716579515793</v>
      </c>
      <c r="N220" s="234">
        <f t="shared" si="147"/>
        <v>1008.7638760236105</v>
      </c>
      <c r="O220" s="234">
        <f t="shared" si="147"/>
        <v>1042.5668094792479</v>
      </c>
      <c r="P220" s="234">
        <f t="shared" si="147"/>
        <v>1075.2133119673576</v>
      </c>
      <c r="Q220" s="234">
        <f t="shared" si="147"/>
        <v>1108.3075189654842</v>
      </c>
      <c r="R220" s="234">
        <f t="shared" si="147"/>
        <v>1141.84778477398</v>
      </c>
      <c r="S220" s="234">
        <f t="shared" si="147"/>
        <v>1175.8324671188147</v>
      </c>
      <c r="T220" s="234">
        <f t="shared" si="147"/>
        <v>1210.2596935983177</v>
      </c>
      <c r="U220" s="234">
        <f t="shared" si="147"/>
        <v>1245.1275901515492</v>
      </c>
      <c r="V220" s="234">
        <f t="shared" si="147"/>
        <v>1280.4342065503738</v>
      </c>
      <c r="W220" s="234">
        <f t="shared" si="147"/>
        <v>1316.1775163994621</v>
      </c>
      <c r="X220" s="234">
        <f t="shared" si="147"/>
        <v>1351.9587806099155</v>
      </c>
      <c r="Y220" s="234">
        <f t="shared" si="147"/>
        <v>1388.5418017272264</v>
      </c>
      <c r="Z220" s="234">
        <f t="shared" si="147"/>
        <v>1421.1111515381431</v>
      </c>
      <c r="AA220" s="234">
        <f t="shared" si="147"/>
        <v>1453.8412667676266</v>
      </c>
      <c r="AB220" s="234">
        <f t="shared" si="147"/>
        <v>1486.7228618087158</v>
      </c>
      <c r="AC220" s="234">
        <f t="shared" si="147"/>
        <v>1519.6786071108625</v>
      </c>
      <c r="AD220" s="234">
        <f t="shared" si="147"/>
        <v>1552.7629137257472</v>
      </c>
      <c r="AE220" s="234">
        <f t="shared" si="147"/>
        <v>1585.9659679497759</v>
      </c>
      <c r="AF220" s="234">
        <f t="shared" si="147"/>
        <v>1619.2778118027534</v>
      </c>
      <c r="AG220" s="234">
        <f t="shared" si="147"/>
        <v>1652.6883430278813</v>
      </c>
      <c r="AI220" s="295"/>
      <c r="AJ220" s="198" t="s">
        <v>1636</v>
      </c>
    </row>
    <row r="221" spans="1:36" s="1" customFormat="1" outlineLevel="1">
      <c r="A221" t="s">
        <v>742</v>
      </c>
      <c r="B221" s="281" t="s">
        <v>127</v>
      </c>
      <c r="C221" s="234">
        <f t="shared" ref="C221:AG221" si="148">C217*C187</f>
        <v>2453.7924530479568</v>
      </c>
      <c r="D221" s="234">
        <f t="shared" si="148"/>
        <v>2536.3140099397765</v>
      </c>
      <c r="E221" s="234">
        <f t="shared" si="148"/>
        <v>2616.602187241328</v>
      </c>
      <c r="F221" s="234">
        <f t="shared" si="148"/>
        <v>2694.5949841793536</v>
      </c>
      <c r="G221" s="234">
        <f t="shared" si="148"/>
        <v>2770.2303420749067</v>
      </c>
      <c r="H221" s="234">
        <f t="shared" si="148"/>
        <v>2843.4461516988604</v>
      </c>
      <c r="I221" s="234">
        <f t="shared" si="148"/>
        <v>2910.1916124461891</v>
      </c>
      <c r="J221" s="234">
        <f t="shared" si="148"/>
        <v>2974.2040793031751</v>
      </c>
      <c r="K221" s="234">
        <f t="shared" si="148"/>
        <v>3035.4318731100125</v>
      </c>
      <c r="L221" s="234">
        <f t="shared" si="148"/>
        <v>3093.8236471063697</v>
      </c>
      <c r="M221" s="234">
        <f t="shared" si="148"/>
        <v>3149.3283948475223</v>
      </c>
      <c r="N221" s="234">
        <f t="shared" si="148"/>
        <v>3201.2035077917267</v>
      </c>
      <c r="O221" s="234">
        <f t="shared" si="148"/>
        <v>3250.347764895932</v>
      </c>
      <c r="P221" s="234">
        <f t="shared" si="148"/>
        <v>3291.1749238508141</v>
      </c>
      <c r="Q221" s="234">
        <f t="shared" si="148"/>
        <v>3328.7459722820604</v>
      </c>
      <c r="R221" s="234">
        <f t="shared" si="148"/>
        <v>3363.0271881055555</v>
      </c>
      <c r="S221" s="234">
        <f t="shared" si="148"/>
        <v>3393.9859090773243</v>
      </c>
      <c r="T221" s="234">
        <f t="shared" si="148"/>
        <v>3421.5898566668998</v>
      </c>
      <c r="U221" s="234">
        <f t="shared" si="148"/>
        <v>3445.807821585704</v>
      </c>
      <c r="V221" s="234">
        <f t="shared" si="148"/>
        <v>3466.6094474808392</v>
      </c>
      <c r="W221" s="234">
        <f t="shared" si="148"/>
        <v>3483.9652382649765</v>
      </c>
      <c r="X221" s="234">
        <f t="shared" si="148"/>
        <v>3496.8206710034315</v>
      </c>
      <c r="Y221" s="234">
        <f t="shared" si="148"/>
        <v>3507.1549236499577</v>
      </c>
      <c r="Z221" s="234">
        <f t="shared" si="148"/>
        <v>3503.0094995930003</v>
      </c>
      <c r="AA221" s="234">
        <f t="shared" si="148"/>
        <v>3495.2111804631313</v>
      </c>
      <c r="AB221" s="234">
        <f t="shared" si="148"/>
        <v>3483.7676552748871</v>
      </c>
      <c r="AC221" s="234">
        <f t="shared" si="148"/>
        <v>3468.5333123440328</v>
      </c>
      <c r="AD221" s="234">
        <f t="shared" si="148"/>
        <v>3449.6737274893862</v>
      </c>
      <c r="AE221" s="234">
        <f t="shared" si="148"/>
        <v>3427.2021180167685</v>
      </c>
      <c r="AF221" s="234">
        <f t="shared" si="148"/>
        <v>3401.1334052919128</v>
      </c>
      <c r="AG221" s="234">
        <f t="shared" si="148"/>
        <v>3371.4842197768776</v>
      </c>
      <c r="AI221" s="295"/>
      <c r="AJ221" s="198"/>
    </row>
    <row r="222" spans="1:36" s="62" customFormat="1">
      <c r="A222" s="322" t="s">
        <v>733</v>
      </c>
      <c r="B222" s="287" t="s">
        <v>127</v>
      </c>
      <c r="C222" s="288">
        <f>C188*C$207</f>
        <v>16041.594394938038</v>
      </c>
      <c r="D222" s="288">
        <f t="shared" ref="D222:AG227" si="149">D188*D$207</f>
        <v>16441.185020322595</v>
      </c>
      <c r="E222" s="288">
        <f t="shared" si="149"/>
        <v>16832.057633592303</v>
      </c>
      <c r="F222" s="288">
        <f t="shared" si="149"/>
        <v>17214.212234747178</v>
      </c>
      <c r="G222" s="288">
        <f t="shared" si="149"/>
        <v>17587.648823787211</v>
      </c>
      <c r="H222" s="288">
        <f t="shared" si="149"/>
        <v>17952.367400712395</v>
      </c>
      <c r="I222" s="288">
        <f t="shared" si="149"/>
        <v>18280.543481401433</v>
      </c>
      <c r="J222" s="288">
        <f t="shared" si="149"/>
        <v>18598.455745302213</v>
      </c>
      <c r="K222" s="288">
        <f t="shared" si="149"/>
        <v>18906.10419241475</v>
      </c>
      <c r="L222" s="288">
        <f t="shared" si="149"/>
        <v>19203.488822739037</v>
      </c>
      <c r="M222" s="288">
        <f t="shared" si="149"/>
        <v>19490.60963627508</v>
      </c>
      <c r="N222" s="288">
        <f t="shared" si="149"/>
        <v>19762.511779346314</v>
      </c>
      <c r="O222" s="288">
        <f t="shared" si="149"/>
        <v>20025.934289885445</v>
      </c>
      <c r="P222" s="288">
        <f t="shared" si="149"/>
        <v>20250.514464453423</v>
      </c>
      <c r="Q222" s="288">
        <f t="shared" si="149"/>
        <v>20464.344861669659</v>
      </c>
      <c r="R222" s="288">
        <f t="shared" si="149"/>
        <v>20667.492418864957</v>
      </c>
      <c r="S222" s="288">
        <f t="shared" si="149"/>
        <v>20860.02578741809</v>
      </c>
      <c r="T222" s="288">
        <f t="shared" si="149"/>
        <v>21042.010265135763</v>
      </c>
      <c r="U222" s="288">
        <f t="shared" si="149"/>
        <v>21213.512789348788</v>
      </c>
      <c r="V222" s="288">
        <f t="shared" si="149"/>
        <v>21374.600297387999</v>
      </c>
      <c r="W222" s="288">
        <f t="shared" si="149"/>
        <v>21525.33972658421</v>
      </c>
      <c r="X222" s="288">
        <f t="shared" si="149"/>
        <v>21657.706621038833</v>
      </c>
      <c r="Y222" s="288">
        <f t="shared" si="149"/>
        <v>21787.487018574186</v>
      </c>
      <c r="Z222" s="288">
        <f t="shared" si="149"/>
        <v>21854.484519042384</v>
      </c>
      <c r="AA222" s="288">
        <f t="shared" si="149"/>
        <v>21911.813894450239</v>
      </c>
      <c r="AB222" s="288">
        <f t="shared" si="149"/>
        <v>21959.675956790226</v>
      </c>
      <c r="AC222" s="288">
        <f t="shared" si="149"/>
        <v>21996.959109054387</v>
      </c>
      <c r="AD222" s="288">
        <f t="shared" si="149"/>
        <v>22025.129700485573</v>
      </c>
      <c r="AE222" s="288">
        <f t="shared" si="149"/>
        <v>22044.388543076278</v>
      </c>
      <c r="AF222" s="288">
        <f t="shared" si="149"/>
        <v>22054.936448818946</v>
      </c>
      <c r="AG222" s="288">
        <f t="shared" si="149"/>
        <v>22056.97422970604</v>
      </c>
      <c r="AI222" s="314"/>
      <c r="AJ222" s="325"/>
    </row>
    <row r="223" spans="1:36">
      <c r="A223" s="323" t="s">
        <v>734</v>
      </c>
      <c r="B223" s="281" t="s">
        <v>127</v>
      </c>
      <c r="C223" s="234">
        <f t="shared" ref="C223:R227" si="150">C189*C$207</f>
        <v>37096.187038294214</v>
      </c>
      <c r="D223" s="234">
        <f t="shared" si="150"/>
        <v>36959.518745281632</v>
      </c>
      <c r="E223" s="234">
        <f t="shared" si="150"/>
        <v>36820.126073483167</v>
      </c>
      <c r="F223" s="234">
        <f t="shared" si="150"/>
        <v>36678.009022898812</v>
      </c>
      <c r="G223" s="234">
        <f t="shared" si="150"/>
        <v>36533.167593528575</v>
      </c>
      <c r="H223" s="234">
        <f t="shared" si="150"/>
        <v>36385.601785372441</v>
      </c>
      <c r="I223" s="234">
        <f t="shared" si="150"/>
        <v>36180.24230694033</v>
      </c>
      <c r="J223" s="234">
        <f t="shared" si="150"/>
        <v>35971.675385761875</v>
      </c>
      <c r="K223" s="234">
        <f t="shared" si="150"/>
        <v>35759.901021837104</v>
      </c>
      <c r="L223" s="234">
        <f t="shared" si="150"/>
        <v>35544.919215165995</v>
      </c>
      <c r="M223" s="234">
        <f t="shared" si="150"/>
        <v>35326.729965748571</v>
      </c>
      <c r="N223" s="234">
        <f t="shared" si="150"/>
        <v>35096.533876430563</v>
      </c>
      <c r="O223" s="234">
        <f t="shared" si="150"/>
        <v>34866.5820225684</v>
      </c>
      <c r="P223" s="234">
        <f t="shared" si="150"/>
        <v>34584.817581006922</v>
      </c>
      <c r="Q223" s="234">
        <f t="shared" si="150"/>
        <v>34301.032580639469</v>
      </c>
      <c r="R223" s="234">
        <f t="shared" si="150"/>
        <v>34015.247939381894</v>
      </c>
      <c r="S223" s="234">
        <f t="shared" si="149"/>
        <v>33727.487346504779</v>
      </c>
      <c r="T223" s="234">
        <f t="shared" si="149"/>
        <v>33437.768971858008</v>
      </c>
      <c r="U223" s="234">
        <f t="shared" si="149"/>
        <v>33146.113733357459</v>
      </c>
      <c r="V223" s="234">
        <f t="shared" si="149"/>
        <v>32852.542548919031</v>
      </c>
      <c r="W223" s="234">
        <f t="shared" si="149"/>
        <v>32557.076336458591</v>
      </c>
      <c r="X223" s="234">
        <f t="shared" si="149"/>
        <v>32247.688167355584</v>
      </c>
      <c r="Y223" s="234">
        <f t="shared" si="149"/>
        <v>31947.997791659225</v>
      </c>
      <c r="Z223" s="234">
        <f t="shared" si="149"/>
        <v>31570.452282814727</v>
      </c>
      <c r="AA223" s="234">
        <f t="shared" si="149"/>
        <v>31193.901724738145</v>
      </c>
      <c r="AB223" s="234">
        <f t="shared" si="149"/>
        <v>30818.408871177151</v>
      </c>
      <c r="AC223" s="234">
        <f t="shared" si="149"/>
        <v>30442.220195566289</v>
      </c>
      <c r="AD223" s="234">
        <f t="shared" si="149"/>
        <v>30067.200084544402</v>
      </c>
      <c r="AE223" s="234">
        <f t="shared" si="149"/>
        <v>29693.41129185916</v>
      </c>
      <c r="AF223" s="234">
        <f t="shared" si="149"/>
        <v>29320.916571258185</v>
      </c>
      <c r="AG223" s="234">
        <f t="shared" si="149"/>
        <v>28949.778676489179</v>
      </c>
      <c r="AI223" s="275"/>
    </row>
    <row r="224" spans="1:36">
      <c r="A224" s="323" t="s">
        <v>735</v>
      </c>
      <c r="B224" s="281" t="s">
        <v>127</v>
      </c>
      <c r="C224" s="234">
        <f t="shared" si="150"/>
        <v>8020.797197469019</v>
      </c>
      <c r="D224" s="234">
        <f t="shared" si="149"/>
        <v>7723.3792534983149</v>
      </c>
      <c r="E224" s="234">
        <f t="shared" si="149"/>
        <v>7429.7754398278521</v>
      </c>
      <c r="F224" s="234">
        <f t="shared" si="149"/>
        <v>7139.9857564576341</v>
      </c>
      <c r="G224" s="234">
        <f t="shared" si="149"/>
        <v>6854.010203387661</v>
      </c>
      <c r="H224" s="234">
        <f t="shared" si="149"/>
        <v>6571.8487806179282</v>
      </c>
      <c r="I224" s="234">
        <f t="shared" si="149"/>
        <v>6283.9368217317397</v>
      </c>
      <c r="J224" s="234">
        <f t="shared" si="149"/>
        <v>6000.5152826904068</v>
      </c>
      <c r="K224" s="234">
        <f t="shared" si="149"/>
        <v>5721.5841634939343</v>
      </c>
      <c r="L224" s="234">
        <f t="shared" si="149"/>
        <v>5447.1434641423193</v>
      </c>
      <c r="M224" s="234">
        <f t="shared" si="149"/>
        <v>5177.1931846355646</v>
      </c>
      <c r="N224" s="234">
        <f t="shared" si="149"/>
        <v>4910.5021646851328</v>
      </c>
      <c r="O224" s="234">
        <f t="shared" si="149"/>
        <v>4648.8776030091185</v>
      </c>
      <c r="P224" s="234">
        <f t="shared" si="149"/>
        <v>4385.6492081447068</v>
      </c>
      <c r="Q224" s="234">
        <f t="shared" si="149"/>
        <v>4127.751378348139</v>
      </c>
      <c r="R224" s="234">
        <f t="shared" si="149"/>
        <v>3875.1548285371764</v>
      </c>
      <c r="S224" s="234">
        <f t="shared" si="149"/>
        <v>3627.8305717248822</v>
      </c>
      <c r="T224" s="234">
        <f t="shared" si="149"/>
        <v>3385.7489921295546</v>
      </c>
      <c r="U224" s="234">
        <f t="shared" si="149"/>
        <v>3148.8808046689578</v>
      </c>
      <c r="V224" s="234">
        <f t="shared" si="149"/>
        <v>2917.1967242608589</v>
      </c>
      <c r="W224" s="234">
        <f t="shared" si="149"/>
        <v>2690.6674658230231</v>
      </c>
      <c r="X224" s="234">
        <f t="shared" si="149"/>
        <v>2468.3415634272164</v>
      </c>
      <c r="Y224" s="234">
        <f t="shared" si="149"/>
        <v>2252.0719754776164</v>
      </c>
      <c r="Z224" s="234">
        <f t="shared" si="149"/>
        <v>2035.9720247692751</v>
      </c>
      <c r="AA224" s="234">
        <f t="shared" si="149"/>
        <v>1825.9844912041829</v>
      </c>
      <c r="AB224" s="234">
        <f t="shared" si="149"/>
        <v>1622.0215195356382</v>
      </c>
      <c r="AC224" s="234">
        <f t="shared" si="149"/>
        <v>1423.9102994700347</v>
      </c>
      <c r="AD224" s="234">
        <f t="shared" si="149"/>
        <v>1231.6684371982028</v>
      </c>
      <c r="AE224" s="234">
        <f t="shared" si="149"/>
        <v>1045.2080774734407</v>
      </c>
      <c r="AF224" s="234">
        <f t="shared" si="149"/>
        <v>864.44136504904441</v>
      </c>
      <c r="AG224" s="234">
        <f t="shared" si="149"/>
        <v>689.28044467831376</v>
      </c>
      <c r="AI224" s="275"/>
    </row>
    <row r="225" spans="1:36">
      <c r="A225" s="323" t="s">
        <v>736</v>
      </c>
      <c r="B225" s="281" t="s">
        <v>127</v>
      </c>
      <c r="C225" s="234">
        <f t="shared" si="150"/>
        <v>27070.190541457941</v>
      </c>
      <c r="D225" s="234">
        <f t="shared" si="149"/>
        <v>26484.892804914827</v>
      </c>
      <c r="E225" s="234">
        <f t="shared" si="149"/>
        <v>25905.588701700661</v>
      </c>
      <c r="F225" s="234">
        <f t="shared" si="149"/>
        <v>25332.278231815453</v>
      </c>
      <c r="G225" s="234">
        <f t="shared" si="149"/>
        <v>24764.961395259204</v>
      </c>
      <c r="H225" s="234">
        <f t="shared" si="149"/>
        <v>24203.6381920319</v>
      </c>
      <c r="I225" s="234">
        <f t="shared" si="149"/>
        <v>23612.36866347686</v>
      </c>
      <c r="J225" s="234">
        <f t="shared" si="149"/>
        <v>23028.155508963733</v>
      </c>
      <c r="K225" s="234">
        <f t="shared" si="149"/>
        <v>22450.998728492523</v>
      </c>
      <c r="L225" s="234">
        <f t="shared" si="149"/>
        <v>21880.898322063236</v>
      </c>
      <c r="M225" s="234">
        <f t="shared" si="149"/>
        <v>21317.854289675874</v>
      </c>
      <c r="N225" s="234">
        <f t="shared" si="149"/>
        <v>20756.662524343923</v>
      </c>
      <c r="O225" s="234">
        <f t="shared" si="149"/>
        <v>20204.737274616571</v>
      </c>
      <c r="P225" s="234">
        <f t="shared" si="149"/>
        <v>19632.402831090749</v>
      </c>
      <c r="Q225" s="234">
        <f t="shared" si="149"/>
        <v>19069.048621101276</v>
      </c>
      <c r="R225" s="234">
        <f t="shared" si="149"/>
        <v>18514.628625233192</v>
      </c>
      <c r="S225" s="234">
        <f t="shared" si="149"/>
        <v>17969.098300574824</v>
      </c>
      <c r="T225" s="234">
        <f t="shared" si="149"/>
        <v>17432.410099972843</v>
      </c>
      <c r="U225" s="234">
        <f t="shared" si="149"/>
        <v>16904.518004012312</v>
      </c>
      <c r="V225" s="234">
        <f t="shared" si="149"/>
        <v>16385.375993278296</v>
      </c>
      <c r="W225" s="234">
        <f t="shared" si="149"/>
        <v>15874.938048355847</v>
      </c>
      <c r="X225" s="234">
        <f t="shared" si="149"/>
        <v>15367.416830369457</v>
      </c>
      <c r="Y225" s="234">
        <f t="shared" si="149"/>
        <v>14874.149791526595</v>
      </c>
      <c r="Z225" s="234">
        <f t="shared" si="149"/>
        <v>14354.891364512496</v>
      </c>
      <c r="AA225" s="234">
        <f t="shared" si="149"/>
        <v>13847.049058298398</v>
      </c>
      <c r="AB225" s="234">
        <f t="shared" si="149"/>
        <v>13350.484814639496</v>
      </c>
      <c r="AC225" s="234">
        <f t="shared" si="149"/>
        <v>12864.293050384467</v>
      </c>
      <c r="AD225" s="234">
        <f t="shared" si="149"/>
        <v>12389.135456523116</v>
      </c>
      <c r="AE225" s="234">
        <f t="shared" si="149"/>
        <v>11924.873974810638</v>
      </c>
      <c r="AF225" s="234">
        <f t="shared" si="149"/>
        <v>11471.370547002207</v>
      </c>
      <c r="AG225" s="234">
        <f t="shared" si="149"/>
        <v>11028.48711485302</v>
      </c>
      <c r="AI225" s="275"/>
    </row>
    <row r="226" spans="1:36">
      <c r="A226" s="323" t="s">
        <v>737</v>
      </c>
      <c r="B226" s="281" t="s">
        <v>127</v>
      </c>
      <c r="C226" s="234">
        <f t="shared" si="150"/>
        <v>7018.1975477853921</v>
      </c>
      <c r="D226" s="234">
        <f t="shared" si="149"/>
        <v>6927.8380428375449</v>
      </c>
      <c r="E226" s="234">
        <f t="shared" si="149"/>
        <v>6838.0234136468735</v>
      </c>
      <c r="F226" s="234">
        <f t="shared" si="149"/>
        <v>6748.7536602133814</v>
      </c>
      <c r="G226" s="234">
        <f t="shared" si="149"/>
        <v>6660.0287825370679</v>
      </c>
      <c r="H226" s="234">
        <f t="shared" si="149"/>
        <v>6571.8487806179292</v>
      </c>
      <c r="I226" s="234">
        <f t="shared" si="149"/>
        <v>6474.3591496630061</v>
      </c>
      <c r="J226" s="234">
        <f t="shared" si="149"/>
        <v>6377.5110072573452</v>
      </c>
      <c r="K226" s="234">
        <f t="shared" si="149"/>
        <v>6281.3043534009512</v>
      </c>
      <c r="L226" s="234">
        <f t="shared" si="149"/>
        <v>6185.7391880938221</v>
      </c>
      <c r="M226" s="234">
        <f t="shared" si="149"/>
        <v>6090.8155113359589</v>
      </c>
      <c r="N226" s="234">
        <f t="shared" si="149"/>
        <v>5995.0302501370643</v>
      </c>
      <c r="O226" s="234">
        <f t="shared" si="149"/>
        <v>5900.4984961269583</v>
      </c>
      <c r="P226" s="234">
        <f t="shared" si="149"/>
        <v>5798.4757986879677</v>
      </c>
      <c r="Q226" s="234">
        <f t="shared" si="149"/>
        <v>5697.4596489875712</v>
      </c>
      <c r="R226" s="234">
        <f t="shared" si="149"/>
        <v>5597.4458634425873</v>
      </c>
      <c r="S226" s="234">
        <f t="shared" si="149"/>
        <v>5498.4307102705243</v>
      </c>
      <c r="T226" s="234">
        <f t="shared" si="149"/>
        <v>5400.4095494297853</v>
      </c>
      <c r="U226" s="234">
        <f t="shared" si="149"/>
        <v>5303.3781973371915</v>
      </c>
      <c r="V226" s="234">
        <f t="shared" si="149"/>
        <v>5207.3324704095703</v>
      </c>
      <c r="W226" s="234">
        <f t="shared" si="149"/>
        <v>5112.2681850637427</v>
      </c>
      <c r="X226" s="234">
        <f t="shared" si="149"/>
        <v>5016.3070482553094</v>
      </c>
      <c r="Y226" s="234">
        <f t="shared" si="149"/>
        <v>4923.1340859278116</v>
      </c>
      <c r="Z226" s="234">
        <f t="shared" si="149"/>
        <v>4819.3261852133473</v>
      </c>
      <c r="AA226" s="234">
        <f t="shared" si="149"/>
        <v>4717.1266022774726</v>
      </c>
      <c r="AB226" s="234">
        <f t="shared" si="149"/>
        <v>4616.5227863706641</v>
      </c>
      <c r="AC226" s="234">
        <f t="shared" si="149"/>
        <v>4517.2326741808029</v>
      </c>
      <c r="AD226" s="234">
        <f t="shared" si="149"/>
        <v>4419.5161570053197</v>
      </c>
      <c r="AE226" s="234">
        <f t="shared" si="149"/>
        <v>4323.3606840946923</v>
      </c>
      <c r="AF226" s="234">
        <f t="shared" si="149"/>
        <v>4228.7537046993866</v>
      </c>
      <c r="AG226" s="234">
        <f t="shared" si="149"/>
        <v>4135.6826680698823</v>
      </c>
      <c r="AI226" s="275"/>
    </row>
    <row r="227" spans="1:36" s="63" customFormat="1">
      <c r="A227" s="324" t="s">
        <v>738</v>
      </c>
      <c r="B227" s="291" t="s">
        <v>127</v>
      </c>
      <c r="C227" s="292">
        <f t="shared" si="150"/>
        <v>5012.9982484181373</v>
      </c>
      <c r="D227" s="292">
        <f t="shared" si="149"/>
        <v>4905.8374657414188</v>
      </c>
      <c r="E227" s="292">
        <f t="shared" si="149"/>
        <v>4799.7664345790554</v>
      </c>
      <c r="F227" s="292">
        <f t="shared" si="149"/>
        <v>4694.7851549310481</v>
      </c>
      <c r="G227" s="292">
        <f t="shared" si="149"/>
        <v>4590.8936267973959</v>
      </c>
      <c r="H227" s="292">
        <f t="shared" si="149"/>
        <v>4488.091850178098</v>
      </c>
      <c r="I227" s="292">
        <f t="shared" si="149"/>
        <v>4379.7135424190919</v>
      </c>
      <c r="J227" s="292">
        <f t="shared" si="149"/>
        <v>4272.6182117586159</v>
      </c>
      <c r="K227" s="292">
        <f t="shared" si="149"/>
        <v>4166.8058581966707</v>
      </c>
      <c r="L227" s="292">
        <f t="shared" si="149"/>
        <v>4062.2764817332563</v>
      </c>
      <c r="M227" s="292">
        <f t="shared" si="149"/>
        <v>3959.0300823683738</v>
      </c>
      <c r="N227" s="292">
        <f t="shared" si="149"/>
        <v>3856.0998593846448</v>
      </c>
      <c r="O227" s="292">
        <f t="shared" si="149"/>
        <v>3754.8626793535191</v>
      </c>
      <c r="P227" s="292">
        <f t="shared" si="149"/>
        <v>3649.8020255700917</v>
      </c>
      <c r="Q227" s="292">
        <f t="shared" si="149"/>
        <v>3546.377944777978</v>
      </c>
      <c r="R227" s="292">
        <f t="shared" si="149"/>
        <v>3444.5820698108232</v>
      </c>
      <c r="S227" s="292">
        <f t="shared" si="149"/>
        <v>3344.4063083088759</v>
      </c>
      <c r="T227" s="292">
        <f t="shared" si="149"/>
        <v>3245.842008983705</v>
      </c>
      <c r="U227" s="292">
        <f t="shared" si="149"/>
        <v>3148.8808046689574</v>
      </c>
      <c r="V227" s="292">
        <f t="shared" si="149"/>
        <v>3053.5143281982819</v>
      </c>
      <c r="W227" s="292">
        <f t="shared" si="149"/>
        <v>2959.7342124053243</v>
      </c>
      <c r="X227" s="292">
        <f t="shared" si="149"/>
        <v>2866.4611704316053</v>
      </c>
      <c r="Y227" s="292">
        <f t="shared" si="149"/>
        <v>2775.8096441933403</v>
      </c>
      <c r="Z227" s="292">
        <f t="shared" si="149"/>
        <v>2680.2669693165135</v>
      </c>
      <c r="AA227" s="292">
        <f t="shared" si="149"/>
        <v>2586.8113625392584</v>
      </c>
      <c r="AB227" s="292">
        <f t="shared" si="149"/>
        <v>2495.4177223625197</v>
      </c>
      <c r="AC227" s="292">
        <f t="shared" si="149"/>
        <v>2405.9174025528168</v>
      </c>
      <c r="AD227" s="292">
        <f t="shared" si="149"/>
        <v>2318.4347053142642</v>
      </c>
      <c r="AE227" s="292">
        <f t="shared" si="149"/>
        <v>2232.9445291478055</v>
      </c>
      <c r="AF227" s="292">
        <f t="shared" si="149"/>
        <v>2149.4217725543822</v>
      </c>
      <c r="AG227" s="292">
        <f t="shared" si="149"/>
        <v>2067.8413340349412</v>
      </c>
      <c r="AI227" s="293"/>
      <c r="AJ227" s="294"/>
    </row>
    <row r="228" spans="1:36" s="169" customFormat="1">
      <c r="B228" s="165"/>
      <c r="C228" s="104"/>
      <c r="D228" s="104"/>
      <c r="E228" s="104"/>
      <c r="F228" s="104"/>
      <c r="G228" s="104"/>
      <c r="H228" s="104"/>
      <c r="I228" s="104"/>
      <c r="J228" s="104"/>
      <c r="K228" s="104"/>
      <c r="L228" s="104"/>
      <c r="M228" s="104"/>
      <c r="N228" s="104"/>
      <c r="O228" s="104"/>
      <c r="P228" s="104"/>
      <c r="Q228" s="104"/>
      <c r="R228" s="104"/>
      <c r="S228" s="104"/>
      <c r="T228" s="104"/>
      <c r="U228" s="104"/>
      <c r="V228" s="104"/>
      <c r="W228" s="104"/>
      <c r="X228" s="104"/>
      <c r="Y228" s="104"/>
      <c r="Z228" s="104"/>
      <c r="AA228" s="104"/>
      <c r="AB228" s="104"/>
      <c r="AC228" s="104"/>
      <c r="AD228" s="104"/>
      <c r="AE228" s="104"/>
      <c r="AF228" s="104"/>
      <c r="AG228" s="104"/>
      <c r="AJ228" s="300"/>
    </row>
    <row r="229" spans="1:36" s="169" customFormat="1">
      <c r="A229" s="169" t="s">
        <v>1504</v>
      </c>
      <c r="B229" s="327" t="s">
        <v>127</v>
      </c>
      <c r="C229" s="216">
        <f>C162</f>
        <v>5810.5321893626915</v>
      </c>
      <c r="D229" s="216">
        <f t="shared" ref="D229:AG229" si="151">D162</f>
        <v>6596.2036605473786</v>
      </c>
      <c r="E229" s="216">
        <f t="shared" si="151"/>
        <v>7381.8751317320657</v>
      </c>
      <c r="F229" s="216">
        <f t="shared" si="151"/>
        <v>8167.5466029167519</v>
      </c>
      <c r="G229" s="216">
        <f t="shared" si="151"/>
        <v>8953.2180741014381</v>
      </c>
      <c r="H229" s="216">
        <f t="shared" si="151"/>
        <v>9738.889545286127</v>
      </c>
      <c r="I229" s="216">
        <f t="shared" si="151"/>
        <v>10524.561016470812</v>
      </c>
      <c r="J229" s="216">
        <f t="shared" si="151"/>
        <v>11310.232487655499</v>
      </c>
      <c r="K229" s="216">
        <f t="shared" si="151"/>
        <v>12095.90395884019</v>
      </c>
      <c r="L229" s="216">
        <f t="shared" si="151"/>
        <v>12881.575430024875</v>
      </c>
      <c r="M229" s="216">
        <f t="shared" si="151"/>
        <v>13667.246901209564</v>
      </c>
      <c r="N229" s="216">
        <f t="shared" si="151"/>
        <v>14452.91837239425</v>
      </c>
      <c r="O229" s="216">
        <f t="shared" si="151"/>
        <v>15238.589843578939</v>
      </c>
      <c r="P229" s="216">
        <f t="shared" si="151"/>
        <v>15981.379587206126</v>
      </c>
      <c r="Q229" s="216">
        <f t="shared" si="151"/>
        <v>16719.985747656978</v>
      </c>
      <c r="R229" s="216">
        <f t="shared" si="151"/>
        <v>17454.408324931486</v>
      </c>
      <c r="S229" s="216">
        <f t="shared" si="151"/>
        <v>18184.647319029649</v>
      </c>
      <c r="T229" s="216">
        <f t="shared" si="151"/>
        <v>18910.702729951478</v>
      </c>
      <c r="U229" s="216">
        <f t="shared" si="151"/>
        <v>19632.57455769696</v>
      </c>
      <c r="V229" s="216">
        <f t="shared" si="151"/>
        <v>20350.262802266108</v>
      </c>
      <c r="W229" s="216">
        <f t="shared" si="151"/>
        <v>21063.767463658907</v>
      </c>
      <c r="X229" s="216">
        <f t="shared" si="151"/>
        <v>21773.088541875368</v>
      </c>
      <c r="Y229" s="216">
        <f t="shared" si="151"/>
        <v>22478.226036915494</v>
      </c>
      <c r="Z229" s="216">
        <f t="shared" si="151"/>
        <v>23051.580661900869</v>
      </c>
      <c r="AA229" s="216">
        <f t="shared" si="151"/>
        <v>23612.384537357219</v>
      </c>
      <c r="AB229" s="216">
        <f t="shared" si="151"/>
        <v>24160.637663284546</v>
      </c>
      <c r="AC229" s="216">
        <f t="shared" si="151"/>
        <v>24696.340039682851</v>
      </c>
      <c r="AD229" s="216">
        <f t="shared" si="151"/>
        <v>25219.491666552127</v>
      </c>
      <c r="AE229" s="216">
        <f t="shared" si="151"/>
        <v>25730.092543892384</v>
      </c>
      <c r="AF229" s="216">
        <f t="shared" si="151"/>
        <v>26228.142671703623</v>
      </c>
      <c r="AG229" s="216">
        <f t="shared" si="151"/>
        <v>26713.642049985829</v>
      </c>
      <c r="AI229" s="698"/>
      <c r="AJ229" s="300"/>
    </row>
    <row r="230" spans="1:36" s="169" customFormat="1">
      <c r="A230" s="169" t="s">
        <v>1505</v>
      </c>
      <c r="B230" s="326" t="s">
        <v>127</v>
      </c>
      <c r="C230" s="234">
        <f>C229/(1-C187)</f>
        <v>7959.6331361132761</v>
      </c>
      <c r="D230" s="234">
        <f t="shared" ref="D230:AG230" si="152">D229/(1-D187)</f>
        <v>8986.6534884841676</v>
      </c>
      <c r="E230" s="234">
        <f t="shared" si="152"/>
        <v>10002.540828905238</v>
      </c>
      <c r="F230" s="234">
        <f t="shared" si="152"/>
        <v>11007.475206087267</v>
      </c>
      <c r="G230" s="234">
        <f t="shared" si="152"/>
        <v>12001.632807106485</v>
      </c>
      <c r="H230" s="234">
        <f t="shared" si="152"/>
        <v>12985.186060381502</v>
      </c>
      <c r="I230" s="234">
        <f t="shared" si="152"/>
        <v>13958.30373537243</v>
      </c>
      <c r="J230" s="234">
        <f t="shared" si="152"/>
        <v>14921.15103912335</v>
      </c>
      <c r="K230" s="234">
        <f t="shared" si="152"/>
        <v>15873.889709764029</v>
      </c>
      <c r="L230" s="234">
        <f t="shared" si="152"/>
        <v>16816.678107082083</v>
      </c>
      <c r="M230" s="234">
        <f t="shared" si="152"/>
        <v>17749.671300272163</v>
      </c>
      <c r="N230" s="234">
        <f t="shared" si="152"/>
        <v>18673.021152964146</v>
      </c>
      <c r="O230" s="234">
        <f t="shared" si="152"/>
        <v>19586.876405628456</v>
      </c>
      <c r="P230" s="234">
        <f t="shared" si="152"/>
        <v>20436.546786708601</v>
      </c>
      <c r="Q230" s="234">
        <f t="shared" si="152"/>
        <v>21272.246498291319</v>
      </c>
      <c r="R230" s="234">
        <f t="shared" si="152"/>
        <v>22094.187753077829</v>
      </c>
      <c r="S230" s="234">
        <f t="shared" si="152"/>
        <v>22902.578487442883</v>
      </c>
      <c r="T230" s="234">
        <f t="shared" si="152"/>
        <v>23697.622468610873</v>
      </c>
      <c r="U230" s="234">
        <f t="shared" si="152"/>
        <v>24479.519398624638</v>
      </c>
      <c r="V230" s="234">
        <f t="shared" si="152"/>
        <v>25248.465015218495</v>
      </c>
      <c r="W230" s="234">
        <f t="shared" si="152"/>
        <v>26004.651189702352</v>
      </c>
      <c r="X230" s="234">
        <f t="shared" si="152"/>
        <v>26748.266021959909</v>
      </c>
      <c r="Y230" s="234">
        <f t="shared" si="152"/>
        <v>27479.493932659527</v>
      </c>
      <c r="Z230" s="234">
        <f t="shared" si="152"/>
        <v>28043.285476765046</v>
      </c>
      <c r="AA230" s="234">
        <f t="shared" si="152"/>
        <v>28586.421958059585</v>
      </c>
      <c r="AB230" s="234">
        <f t="shared" si="152"/>
        <v>29109.202003957282</v>
      </c>
      <c r="AC230" s="234">
        <f t="shared" si="152"/>
        <v>29611.91851280917</v>
      </c>
      <c r="AD230" s="234">
        <f t="shared" si="152"/>
        <v>30094.858790634993</v>
      </c>
      <c r="AE230" s="234">
        <f t="shared" si="152"/>
        <v>30558.304683957696</v>
      </c>
      <c r="AF230" s="234">
        <f t="shared" si="152"/>
        <v>31002.532708869527</v>
      </c>
      <c r="AG230" s="234">
        <f t="shared" si="152"/>
        <v>31427.814176453918</v>
      </c>
      <c r="AI230" s="698"/>
      <c r="AJ230" s="300"/>
    </row>
    <row r="231" spans="1:36" s="169" customFormat="1">
      <c r="A231" s="169" t="s">
        <v>1506</v>
      </c>
      <c r="B231" s="326" t="s">
        <v>127</v>
      </c>
      <c r="C231" s="234">
        <f>C219</f>
        <v>12696.638509779734</v>
      </c>
      <c r="D231" s="234">
        <f t="shared" ref="D231:AG231" si="153">D219</f>
        <v>12876.898106094803</v>
      </c>
      <c r="E231" s="234">
        <f t="shared" si="153"/>
        <v>13057.81959498114</v>
      </c>
      <c r="F231" s="234">
        <f t="shared" si="153"/>
        <v>13239.396633343435</v>
      </c>
      <c r="G231" s="234">
        <f t="shared" si="153"/>
        <v>13421.622884836706</v>
      </c>
      <c r="H231" s="234">
        <f t="shared" si="153"/>
        <v>13604.492019866304</v>
      </c>
      <c r="I231" s="234">
        <f t="shared" si="153"/>
        <v>13769.126037477457</v>
      </c>
      <c r="J231" s="234">
        <f t="shared" si="153"/>
        <v>13933.874811184984</v>
      </c>
      <c r="K231" s="234">
        <f t="shared" si="153"/>
        <v>14098.729005732557</v>
      </c>
      <c r="L231" s="234">
        <f t="shared" si="153"/>
        <v>14263.67932353029</v>
      </c>
      <c r="M231" s="234">
        <f t="shared" si="153"/>
        <v>14428.716504654712</v>
      </c>
      <c r="N231" s="234">
        <f t="shared" si="153"/>
        <v>14590.677505784804</v>
      </c>
      <c r="O231" s="234">
        <f t="shared" si="153"/>
        <v>14753.900000812391</v>
      </c>
      <c r="P231" s="234">
        <f t="shared" si="153"/>
        <v>14893.301222201326</v>
      </c>
      <c r="Q231" s="234">
        <f t="shared" si="153"/>
        <v>15032.093242667785</v>
      </c>
      <c r="R231" s="234">
        <f t="shared" si="153"/>
        <v>15170.263426282881</v>
      </c>
      <c r="S231" s="234">
        <f t="shared" si="153"/>
        <v>15307.800249500087</v>
      </c>
      <c r="T231" s="234">
        <f t="shared" si="153"/>
        <v>15444.690218305141</v>
      </c>
      <c r="U231" s="234">
        <f t="shared" si="153"/>
        <v>15580.920925409928</v>
      </c>
      <c r="V231" s="234">
        <f t="shared" si="153"/>
        <v>15716.480039693528</v>
      </c>
      <c r="W231" s="234">
        <f t="shared" si="153"/>
        <v>15851.355306202218</v>
      </c>
      <c r="X231" s="234">
        <f t="shared" si="153"/>
        <v>15980.846099004388</v>
      </c>
      <c r="Y231" s="234">
        <f t="shared" si="153"/>
        <v>16114.085951136973</v>
      </c>
      <c r="Z231" s="234">
        <f t="shared" si="153"/>
        <v>16195.969239430573</v>
      </c>
      <c r="AA231" s="234">
        <f t="shared" si="153"/>
        <v>16275.930279179038</v>
      </c>
      <c r="AB231" s="234">
        <f t="shared" si="153"/>
        <v>16353.951479895873</v>
      </c>
      <c r="AC231" s="234">
        <f t="shared" si="153"/>
        <v>16429.281319395388</v>
      </c>
      <c r="AD231" s="234">
        <f t="shared" si="153"/>
        <v>16502.6198040155</v>
      </c>
      <c r="AE231" s="234">
        <f t="shared" si="153"/>
        <v>16573.949695597275</v>
      </c>
      <c r="AF231" s="234">
        <f t="shared" si="153"/>
        <v>16643.253900258373</v>
      </c>
      <c r="AG231" s="234">
        <f t="shared" si="153"/>
        <v>16710.515468393023</v>
      </c>
      <c r="AI231" s="698"/>
      <c r="AJ231" s="300"/>
    </row>
    <row r="232" spans="1:36" s="169" customFormat="1">
      <c r="A232" s="169" t="s">
        <v>1507</v>
      </c>
      <c r="B232" s="326" t="s">
        <v>127</v>
      </c>
      <c r="C232" s="234">
        <f>C230-C231</f>
        <v>-4737.0053736664577</v>
      </c>
      <c r="D232" s="234">
        <f t="shared" ref="D232:AG232" si="154">D230-D231</f>
        <v>-3890.244617610635</v>
      </c>
      <c r="E232" s="234">
        <f t="shared" si="154"/>
        <v>-3055.2787660759022</v>
      </c>
      <c r="F232" s="234">
        <f t="shared" si="154"/>
        <v>-2231.9214272561676</v>
      </c>
      <c r="G232" s="234">
        <f t="shared" si="154"/>
        <v>-1419.9900777302209</v>
      </c>
      <c r="H232" s="234">
        <f t="shared" si="154"/>
        <v>-619.30595948480186</v>
      </c>
      <c r="I232" s="234">
        <f t="shared" si="154"/>
        <v>189.17769789497288</v>
      </c>
      <c r="J232" s="234">
        <f t="shared" si="154"/>
        <v>987.27622793836599</v>
      </c>
      <c r="K232" s="234">
        <f t="shared" si="154"/>
        <v>1775.1607040314721</v>
      </c>
      <c r="L232" s="234">
        <f t="shared" si="154"/>
        <v>2552.9987835517932</v>
      </c>
      <c r="M232" s="234">
        <f t="shared" si="154"/>
        <v>3320.9547956174501</v>
      </c>
      <c r="N232" s="234">
        <f t="shared" si="154"/>
        <v>4082.3436471793411</v>
      </c>
      <c r="O232" s="234">
        <f t="shared" si="154"/>
        <v>4832.976404816065</v>
      </c>
      <c r="P232" s="234">
        <f t="shared" si="154"/>
        <v>5543.245564507275</v>
      </c>
      <c r="Q232" s="234">
        <f t="shared" si="154"/>
        <v>6240.1532556235343</v>
      </c>
      <c r="R232" s="234">
        <f t="shared" si="154"/>
        <v>6923.9243267949478</v>
      </c>
      <c r="S232" s="234">
        <f t="shared" si="154"/>
        <v>7594.7782379427954</v>
      </c>
      <c r="T232" s="234">
        <f t="shared" si="154"/>
        <v>8252.9322503057319</v>
      </c>
      <c r="U232" s="234">
        <f t="shared" si="154"/>
        <v>8898.5984732147099</v>
      </c>
      <c r="V232" s="234">
        <f t="shared" si="154"/>
        <v>9531.984975524967</v>
      </c>
      <c r="W232" s="234">
        <f t="shared" si="154"/>
        <v>10153.295883500134</v>
      </c>
      <c r="X232" s="234">
        <f t="shared" si="154"/>
        <v>10767.419922955522</v>
      </c>
      <c r="Y232" s="234">
        <f t="shared" si="154"/>
        <v>11365.407981522554</v>
      </c>
      <c r="Z232" s="234">
        <f t="shared" si="154"/>
        <v>11847.316237334473</v>
      </c>
      <c r="AA232" s="234">
        <f t="shared" si="154"/>
        <v>12310.491678880548</v>
      </c>
      <c r="AB232" s="234">
        <f t="shared" si="154"/>
        <v>12755.250524061408</v>
      </c>
      <c r="AC232" s="234">
        <f t="shared" si="154"/>
        <v>13182.637193413782</v>
      </c>
      <c r="AD232" s="234">
        <f t="shared" si="154"/>
        <v>13592.238986619494</v>
      </c>
      <c r="AE232" s="234">
        <f t="shared" si="154"/>
        <v>13984.354988360421</v>
      </c>
      <c r="AF232" s="234">
        <f t="shared" si="154"/>
        <v>14359.278808611154</v>
      </c>
      <c r="AG232" s="234">
        <f t="shared" si="154"/>
        <v>14717.298708060895</v>
      </c>
      <c r="AI232" s="698"/>
      <c r="AJ232" s="300"/>
    </row>
    <row r="233" spans="1:36" s="169" customFormat="1">
      <c r="A233" s="169" t="s">
        <v>1508</v>
      </c>
      <c r="B233" s="326" t="s">
        <v>127</v>
      </c>
      <c r="C233" s="234">
        <f>(C232)/(1-C184)</f>
        <v>-5921.2567170830716</v>
      </c>
      <c r="D233" s="234">
        <f t="shared" ref="D233:AG233" si="155">(D230-D219)/(1-D184)</f>
        <v>-4842.6281547020353</v>
      </c>
      <c r="E233" s="234">
        <f t="shared" si="155"/>
        <v>-3787.5356604246722</v>
      </c>
      <c r="F233" s="234">
        <f t="shared" si="155"/>
        <v>-2755.4585521681083</v>
      </c>
      <c r="G233" s="234">
        <f t="shared" si="155"/>
        <v>-1745.8894398322391</v>
      </c>
      <c r="H233" s="234">
        <f t="shared" si="155"/>
        <v>-758.33382794057377</v>
      </c>
      <c r="I233" s="234">
        <f t="shared" si="155"/>
        <v>230.70450962801573</v>
      </c>
      <c r="J233" s="234">
        <f t="shared" si="155"/>
        <v>1199.1209246214974</v>
      </c>
      <c r="K233" s="234">
        <f t="shared" si="155"/>
        <v>2147.3718193929099</v>
      </c>
      <c r="L233" s="234">
        <f t="shared" si="155"/>
        <v>3075.9021488575822</v>
      </c>
      <c r="M233" s="234">
        <f t="shared" si="155"/>
        <v>3985.1457547409404</v>
      </c>
      <c r="N233" s="234">
        <f t="shared" si="155"/>
        <v>4879.2951958318827</v>
      </c>
      <c r="O233" s="234">
        <f t="shared" si="155"/>
        <v>5753.5433390667449</v>
      </c>
      <c r="P233" s="234">
        <f t="shared" si="155"/>
        <v>6573.0184559374811</v>
      </c>
      <c r="Q233" s="234">
        <f t="shared" si="155"/>
        <v>7370.259750736459</v>
      </c>
      <c r="R233" s="234">
        <f t="shared" si="155"/>
        <v>8145.7933256411161</v>
      </c>
      <c r="S233" s="234">
        <f t="shared" si="155"/>
        <v>8900.1307475892136</v>
      </c>
      <c r="T233" s="234">
        <f t="shared" si="155"/>
        <v>9633.773054831594</v>
      </c>
      <c r="U233" s="234">
        <f t="shared" si="155"/>
        <v>10347.20752699385</v>
      </c>
      <c r="V233" s="234">
        <f t="shared" si="155"/>
        <v>11040.909238059809</v>
      </c>
      <c r="W233" s="234">
        <f t="shared" si="155"/>
        <v>11715.341404038618</v>
      </c>
      <c r="X233" s="234">
        <f t="shared" si="155"/>
        <v>12376.344739029337</v>
      </c>
      <c r="Y233" s="234">
        <f t="shared" si="155"/>
        <v>13013.825933041095</v>
      </c>
      <c r="Z233" s="234">
        <f t="shared" si="155"/>
        <v>13514.048939925256</v>
      </c>
      <c r="AA233" s="234">
        <f t="shared" si="155"/>
        <v>13989.195089636987</v>
      </c>
      <c r="AB233" s="234">
        <f t="shared" si="155"/>
        <v>14439.906253654426</v>
      </c>
      <c r="AC233" s="234">
        <f t="shared" si="155"/>
        <v>14867.635932421563</v>
      </c>
      <c r="AD233" s="234">
        <f t="shared" si="155"/>
        <v>15272.178636651121</v>
      </c>
      <c r="AE233" s="234">
        <f t="shared" si="155"/>
        <v>15654.128718313908</v>
      </c>
      <c r="AF233" s="234">
        <f t="shared" si="155"/>
        <v>16014.065585811699</v>
      </c>
      <c r="AG233" s="234">
        <f t="shared" si="155"/>
        <v>16352.55412006766</v>
      </c>
      <c r="AI233" s="698"/>
      <c r="AJ233" s="300"/>
    </row>
    <row r="234" spans="1:36" s="169" customFormat="1">
      <c r="A234" s="169" t="s">
        <v>1509</v>
      </c>
      <c r="B234" s="326" t="s">
        <v>127</v>
      </c>
      <c r="C234" s="234">
        <f>IF(C213&gt;C233,C233,C213)</f>
        <v>-5921.2567170830716</v>
      </c>
      <c r="D234" s="234">
        <f t="shared" ref="D234:AG234" si="156">IF(D213&gt;D233,D233,D213)</f>
        <v>-4842.6281547020353</v>
      </c>
      <c r="E234" s="234">
        <f t="shared" si="156"/>
        <v>-3787.5356604246722</v>
      </c>
      <c r="F234" s="234">
        <f t="shared" si="156"/>
        <v>-2755.4585521681083</v>
      </c>
      <c r="G234" s="234">
        <f t="shared" si="156"/>
        <v>-1745.8894398322391</v>
      </c>
      <c r="H234" s="234">
        <f t="shared" si="156"/>
        <v>-758.33382794057377</v>
      </c>
      <c r="I234" s="234">
        <f t="shared" si="156"/>
        <v>230.70450962801573</v>
      </c>
      <c r="J234" s="234">
        <f t="shared" si="156"/>
        <v>1199.1209246214974</v>
      </c>
      <c r="K234" s="234">
        <f t="shared" si="156"/>
        <v>2147.3718193929099</v>
      </c>
      <c r="L234" s="234">
        <f t="shared" si="156"/>
        <v>3075.9021488575822</v>
      </c>
      <c r="M234" s="234">
        <f t="shared" si="156"/>
        <v>3985.1457547409404</v>
      </c>
      <c r="N234" s="234">
        <f t="shared" si="156"/>
        <v>4879.2951958318827</v>
      </c>
      <c r="O234" s="234">
        <f t="shared" si="156"/>
        <v>5753.5433390667449</v>
      </c>
      <c r="P234" s="234">
        <f t="shared" si="156"/>
        <v>6573.0184559374811</v>
      </c>
      <c r="Q234" s="234">
        <f t="shared" si="156"/>
        <v>7370.259750736459</v>
      </c>
      <c r="R234" s="234">
        <f t="shared" si="156"/>
        <v>8145.7933256411161</v>
      </c>
      <c r="S234" s="234">
        <f t="shared" si="156"/>
        <v>8900.1307475892136</v>
      </c>
      <c r="T234" s="234">
        <f t="shared" si="156"/>
        <v>9633.773054831594</v>
      </c>
      <c r="U234" s="234">
        <f t="shared" si="156"/>
        <v>10347.20752699385</v>
      </c>
      <c r="V234" s="234">
        <f t="shared" si="156"/>
        <v>11040.909238059809</v>
      </c>
      <c r="W234" s="234">
        <f t="shared" si="156"/>
        <v>11715.341404038618</v>
      </c>
      <c r="X234" s="234">
        <f t="shared" si="156"/>
        <v>12376.344739029337</v>
      </c>
      <c r="Y234" s="234">
        <f t="shared" si="156"/>
        <v>13013.825933041095</v>
      </c>
      <c r="Z234" s="234">
        <f t="shared" si="156"/>
        <v>13514.048939925256</v>
      </c>
      <c r="AA234" s="234">
        <f t="shared" si="156"/>
        <v>13989.195089636987</v>
      </c>
      <c r="AB234" s="234">
        <f t="shared" si="156"/>
        <v>14439.906253654426</v>
      </c>
      <c r="AC234" s="234">
        <f t="shared" si="156"/>
        <v>14867.635932421563</v>
      </c>
      <c r="AD234" s="234">
        <f t="shared" si="156"/>
        <v>15272.178636651121</v>
      </c>
      <c r="AE234" s="234">
        <f t="shared" si="156"/>
        <v>15654.128718313908</v>
      </c>
      <c r="AF234" s="234">
        <f t="shared" si="156"/>
        <v>16014.065585811699</v>
      </c>
      <c r="AG234" s="234">
        <f t="shared" si="156"/>
        <v>16352.55412006766</v>
      </c>
      <c r="AI234" s="698"/>
      <c r="AJ234" s="300"/>
    </row>
    <row r="235" spans="1:36" s="169" customFormat="1">
      <c r="A235" s="169" t="s">
        <v>1510</v>
      </c>
      <c r="B235" s="326" t="s">
        <v>127</v>
      </c>
      <c r="C235" s="234">
        <f>IF(C233-C234&lt;0,0,C233-C234)</f>
        <v>0</v>
      </c>
      <c r="D235" s="234">
        <f t="shared" ref="D235:AG235" si="157">IF(D233-D234&lt;0,0,D233-D234)</f>
        <v>0</v>
      </c>
      <c r="E235" s="234">
        <f t="shared" si="157"/>
        <v>0</v>
      </c>
      <c r="F235" s="234">
        <f t="shared" si="157"/>
        <v>0</v>
      </c>
      <c r="G235" s="234">
        <f t="shared" si="157"/>
        <v>0</v>
      </c>
      <c r="H235" s="234">
        <f t="shared" si="157"/>
        <v>0</v>
      </c>
      <c r="I235" s="234">
        <f t="shared" si="157"/>
        <v>0</v>
      </c>
      <c r="J235" s="234">
        <f t="shared" si="157"/>
        <v>0</v>
      </c>
      <c r="K235" s="234">
        <f t="shared" si="157"/>
        <v>0</v>
      </c>
      <c r="L235" s="234">
        <f t="shared" si="157"/>
        <v>0</v>
      </c>
      <c r="M235" s="234">
        <f t="shared" si="157"/>
        <v>0</v>
      </c>
      <c r="N235" s="234">
        <f t="shared" si="157"/>
        <v>0</v>
      </c>
      <c r="O235" s="234">
        <f t="shared" si="157"/>
        <v>0</v>
      </c>
      <c r="P235" s="234">
        <f t="shared" si="157"/>
        <v>0</v>
      </c>
      <c r="Q235" s="234">
        <f t="shared" si="157"/>
        <v>0</v>
      </c>
      <c r="R235" s="234">
        <f t="shared" si="157"/>
        <v>0</v>
      </c>
      <c r="S235" s="234">
        <f t="shared" si="157"/>
        <v>0</v>
      </c>
      <c r="T235" s="234">
        <f t="shared" si="157"/>
        <v>0</v>
      </c>
      <c r="U235" s="234">
        <f t="shared" si="157"/>
        <v>0</v>
      </c>
      <c r="V235" s="234">
        <f t="shared" si="157"/>
        <v>0</v>
      </c>
      <c r="W235" s="234">
        <f t="shared" si="157"/>
        <v>0</v>
      </c>
      <c r="X235" s="234">
        <f t="shared" si="157"/>
        <v>0</v>
      </c>
      <c r="Y235" s="234">
        <f t="shared" si="157"/>
        <v>0</v>
      </c>
      <c r="Z235" s="234">
        <f t="shared" si="157"/>
        <v>0</v>
      </c>
      <c r="AA235" s="234">
        <f t="shared" si="157"/>
        <v>0</v>
      </c>
      <c r="AB235" s="234">
        <f t="shared" si="157"/>
        <v>0</v>
      </c>
      <c r="AC235" s="234">
        <f t="shared" si="157"/>
        <v>0</v>
      </c>
      <c r="AD235" s="234">
        <f t="shared" si="157"/>
        <v>0</v>
      </c>
      <c r="AE235" s="234">
        <f t="shared" si="157"/>
        <v>0</v>
      </c>
      <c r="AF235" s="234">
        <f t="shared" si="157"/>
        <v>0</v>
      </c>
      <c r="AG235" s="234">
        <f t="shared" si="157"/>
        <v>0</v>
      </c>
      <c r="AI235" s="698"/>
      <c r="AJ235" s="300"/>
    </row>
    <row r="236" spans="1:36" s="169" customFormat="1">
      <c r="A236" s="169" t="s">
        <v>1511</v>
      </c>
      <c r="B236" s="326" t="s">
        <v>127</v>
      </c>
      <c r="C236" s="234">
        <f>C230*C187+C184*C233+C220+IF(C213&gt;C233,C213-C233,0)</f>
        <v>18914.500698103104</v>
      </c>
      <c r="D236" s="234">
        <f t="shared" ref="D236:AG236" si="158">D230*D187+D184*D233+D220+IF(D213&gt;D233,D213-D233,0)</f>
        <v>18846.790075596422</v>
      </c>
      <c r="E236" s="234">
        <f t="shared" si="158"/>
        <v>18782.506645831949</v>
      </c>
      <c r="F236" s="234">
        <f t="shared" si="158"/>
        <v>18721.620105075068</v>
      </c>
      <c r="G236" s="234">
        <f t="shared" si="158"/>
        <v>18664.100181655205</v>
      </c>
      <c r="H236" s="234">
        <f t="shared" si="158"/>
        <v>18609.916635965863</v>
      </c>
      <c r="I236" s="234">
        <f t="shared" si="158"/>
        <v>18519.232440501262</v>
      </c>
      <c r="J236" s="234">
        <f t="shared" si="158"/>
        <v>18429.779438374921</v>
      </c>
      <c r="K236" s="234">
        <f t="shared" si="158"/>
        <v>18341.512316031869</v>
      </c>
      <c r="L236" s="234">
        <f t="shared" si="158"/>
        <v>18254.385938832704</v>
      </c>
      <c r="M236" s="234">
        <f t="shared" si="158"/>
        <v>18168.355351053469</v>
      </c>
      <c r="N236" s="234">
        <f t="shared" si="158"/>
        <v>18076.344472896846</v>
      </c>
      <c r="O236" s="234">
        <f t="shared" si="158"/>
        <v>17987.884285974462</v>
      </c>
      <c r="P236" s="234">
        <f t="shared" si="158"/>
        <v>17888.873300576888</v>
      </c>
      <c r="Q236" s="234">
        <f t="shared" si="158"/>
        <v>17792.329645012767</v>
      </c>
      <c r="R236" s="234">
        <f t="shared" si="158"/>
        <v>17698.191334896008</v>
      </c>
      <c r="S236" s="234">
        <f t="shared" si="158"/>
        <v>17606.399170404751</v>
      </c>
      <c r="T236" s="234">
        <f t="shared" si="158"/>
        <v>17516.889571289557</v>
      </c>
      <c r="U236" s="234">
        <f t="shared" si="158"/>
        <v>17429.601639246401</v>
      </c>
      <c r="V236" s="234">
        <f t="shared" si="158"/>
        <v>17344.47483776541</v>
      </c>
      <c r="W236" s="234">
        <f t="shared" si="158"/>
        <v>17261.448992130914</v>
      </c>
      <c r="X236" s="234">
        <f t="shared" si="158"/>
        <v>17169.039480758562</v>
      </c>
      <c r="Y236" s="234">
        <f t="shared" si="158"/>
        <v>17089.381103059444</v>
      </c>
      <c r="Z236" s="234">
        <f t="shared" si="158"/>
        <v>17013.973473629332</v>
      </c>
      <c r="AA236" s="234">
        <f t="shared" si="158"/>
        <v>16944.001301060292</v>
      </c>
      <c r="AB236" s="234">
        <f t="shared" si="158"/>
        <v>16879.377335078589</v>
      </c>
      <c r="AC236" s="234">
        <f t="shared" si="158"/>
        <v>16818.160101136546</v>
      </c>
      <c r="AD236" s="234">
        <f t="shared" si="158"/>
        <v>16762.050903383537</v>
      </c>
      <c r="AE236" s="234">
        <f t="shared" si="158"/>
        <v>16710.964140933531</v>
      </c>
      <c r="AF236" s="234">
        <f t="shared" si="158"/>
        <v>16664.814898214299</v>
      </c>
      <c r="AG236" s="234">
        <f t="shared" si="158"/>
        <v>16623.518944967502</v>
      </c>
      <c r="AI236" s="698"/>
      <c r="AJ236" s="300"/>
    </row>
    <row r="237" spans="1:36" s="169" customFormat="1">
      <c r="A237" s="169" t="s">
        <v>1512</v>
      </c>
      <c r="B237" s="326" t="s">
        <v>127</v>
      </c>
      <c r="C237" s="234">
        <f>C216-C235</f>
        <v>64374.184725023559</v>
      </c>
      <c r="D237" s="234">
        <f t="shared" ref="D237:AF237" si="159">D216-D235</f>
        <v>64053.799878069491</v>
      </c>
      <c r="E237" s="234">
        <f t="shared" si="159"/>
        <v>63729.734701056543</v>
      </c>
      <c r="F237" s="234">
        <f t="shared" si="159"/>
        <v>63402.019497719361</v>
      </c>
      <c r="G237" s="234">
        <f t="shared" si="159"/>
        <v>63070.6845397285</v>
      </c>
      <c r="H237" s="234">
        <f t="shared" si="159"/>
        <v>62735.760066690484</v>
      </c>
      <c r="I237" s="234">
        <f t="shared" si="159"/>
        <v>62311.872927565142</v>
      </c>
      <c r="J237" s="234">
        <f t="shared" si="159"/>
        <v>61885.342104279858</v>
      </c>
      <c r="K237" s="234">
        <f t="shared" si="159"/>
        <v>61456.212910389528</v>
      </c>
      <c r="L237" s="234">
        <f t="shared" si="159"/>
        <v>61024.530480533635</v>
      </c>
      <c r="M237" s="234">
        <f t="shared" si="159"/>
        <v>60590.33977043609</v>
      </c>
      <c r="N237" s="234">
        <f t="shared" si="159"/>
        <v>60140.685957531081</v>
      </c>
      <c r="O237" s="234">
        <f t="shared" si="159"/>
        <v>59693.918872162016</v>
      </c>
      <c r="P237" s="234">
        <f t="shared" si="159"/>
        <v>59150.220126791726</v>
      </c>
      <c r="Q237" s="234">
        <f t="shared" si="159"/>
        <v>58605.38130906054</v>
      </c>
      <c r="R237" s="234">
        <f t="shared" si="159"/>
        <v>58059.464403354446</v>
      </c>
      <c r="S237" s="234">
        <f t="shared" si="159"/>
        <v>57512.534925389438</v>
      </c>
      <c r="T237" s="234">
        <f t="shared" si="159"/>
        <v>56964.650195413727</v>
      </c>
      <c r="U237" s="234">
        <f t="shared" si="159"/>
        <v>56415.871111731351</v>
      </c>
      <c r="V237" s="234">
        <f t="shared" si="159"/>
        <v>55866.258210852182</v>
      </c>
      <c r="W237" s="234">
        <f t="shared" si="159"/>
        <v>55315.871667491912</v>
      </c>
      <c r="X237" s="234">
        <f t="shared" si="159"/>
        <v>54748.709164470252</v>
      </c>
      <c r="Y237" s="234">
        <f t="shared" si="159"/>
        <v>54196.470107511661</v>
      </c>
      <c r="Z237" s="234">
        <f t="shared" si="159"/>
        <v>53476.465639524737</v>
      </c>
      <c r="AA237" s="234">
        <f t="shared" si="159"/>
        <v>52758.201245512115</v>
      </c>
      <c r="AB237" s="234">
        <f t="shared" si="159"/>
        <v>52041.764175747565</v>
      </c>
      <c r="AC237" s="234">
        <f t="shared" si="159"/>
        <v>51324.947754902394</v>
      </c>
      <c r="AD237" s="234">
        <f t="shared" si="159"/>
        <v>50610.163674891024</v>
      </c>
      <c r="AE237" s="234">
        <f t="shared" si="159"/>
        <v>49897.497536599556</v>
      </c>
      <c r="AF237" s="234">
        <f t="shared" si="159"/>
        <v>49187.034255600156</v>
      </c>
      <c r="AG237" s="234">
        <f>AG216-AG235</f>
        <v>48478.858062151186</v>
      </c>
      <c r="AI237" s="698"/>
      <c r="AJ237" s="300"/>
    </row>
    <row r="238" spans="1:36" s="169" customFormat="1">
      <c r="B238" s="327"/>
      <c r="C238" s="304"/>
      <c r="D238" s="304"/>
      <c r="E238" s="304"/>
      <c r="F238" s="304"/>
      <c r="G238" s="304"/>
      <c r="H238" s="304"/>
      <c r="I238" s="304"/>
      <c r="J238" s="304"/>
      <c r="K238" s="304"/>
      <c r="L238" s="304"/>
      <c r="M238" s="304"/>
      <c r="N238" s="304"/>
      <c r="O238" s="304"/>
      <c r="P238" s="304"/>
      <c r="Q238" s="304"/>
      <c r="R238" s="304"/>
      <c r="S238" s="304"/>
      <c r="T238" s="304"/>
      <c r="U238" s="304"/>
      <c r="V238" s="304"/>
      <c r="W238" s="304"/>
      <c r="X238" s="304"/>
      <c r="Y238" s="304"/>
      <c r="Z238" s="304"/>
      <c r="AA238" s="304"/>
      <c r="AB238" s="304"/>
      <c r="AC238" s="304"/>
      <c r="AD238" s="304"/>
      <c r="AE238" s="304"/>
      <c r="AF238" s="304"/>
      <c r="AG238" s="304"/>
      <c r="AJ238" s="300"/>
    </row>
    <row r="239" spans="1:36" s="169" customFormat="1">
      <c r="A239" s="169" t="s">
        <v>753</v>
      </c>
      <c r="B239" s="327" t="s">
        <v>126</v>
      </c>
      <c r="C239" s="275">
        <v>0.8</v>
      </c>
      <c r="D239" s="296">
        <f>C239</f>
        <v>0.8</v>
      </c>
      <c r="E239" s="296">
        <f t="shared" ref="E239:AG239" si="160">D239</f>
        <v>0.8</v>
      </c>
      <c r="F239" s="296">
        <f t="shared" si="160"/>
        <v>0.8</v>
      </c>
      <c r="G239" s="296">
        <f t="shared" si="160"/>
        <v>0.8</v>
      </c>
      <c r="H239" s="296">
        <f t="shared" si="160"/>
        <v>0.8</v>
      </c>
      <c r="I239" s="296">
        <f t="shared" si="160"/>
        <v>0.8</v>
      </c>
      <c r="J239" s="296">
        <f t="shared" si="160"/>
        <v>0.8</v>
      </c>
      <c r="K239" s="296">
        <f t="shared" si="160"/>
        <v>0.8</v>
      </c>
      <c r="L239" s="296">
        <f t="shared" si="160"/>
        <v>0.8</v>
      </c>
      <c r="M239" s="296">
        <f>L239</f>
        <v>0.8</v>
      </c>
      <c r="N239" s="296">
        <f t="shared" si="160"/>
        <v>0.8</v>
      </c>
      <c r="O239" s="296">
        <f t="shared" si="160"/>
        <v>0.8</v>
      </c>
      <c r="P239" s="296">
        <f t="shared" si="160"/>
        <v>0.8</v>
      </c>
      <c r="Q239" s="296">
        <f t="shared" si="160"/>
        <v>0.8</v>
      </c>
      <c r="R239" s="296">
        <f t="shared" si="160"/>
        <v>0.8</v>
      </c>
      <c r="S239" s="296">
        <f t="shared" si="160"/>
        <v>0.8</v>
      </c>
      <c r="T239" s="296">
        <f t="shared" si="160"/>
        <v>0.8</v>
      </c>
      <c r="U239" s="296">
        <f t="shared" si="160"/>
        <v>0.8</v>
      </c>
      <c r="V239" s="296">
        <f t="shared" si="160"/>
        <v>0.8</v>
      </c>
      <c r="W239" s="296">
        <f t="shared" si="160"/>
        <v>0.8</v>
      </c>
      <c r="X239" s="296">
        <f t="shared" si="160"/>
        <v>0.8</v>
      </c>
      <c r="Y239" s="296">
        <f t="shared" si="160"/>
        <v>0.8</v>
      </c>
      <c r="Z239" s="296">
        <f t="shared" si="160"/>
        <v>0.8</v>
      </c>
      <c r="AA239" s="296">
        <f t="shared" si="160"/>
        <v>0.8</v>
      </c>
      <c r="AB239" s="296">
        <f t="shared" si="160"/>
        <v>0.8</v>
      </c>
      <c r="AC239" s="296">
        <f t="shared" si="160"/>
        <v>0.8</v>
      </c>
      <c r="AD239" s="296">
        <f t="shared" si="160"/>
        <v>0.8</v>
      </c>
      <c r="AE239" s="296">
        <f t="shared" si="160"/>
        <v>0.8</v>
      </c>
      <c r="AF239" s="296">
        <f t="shared" si="160"/>
        <v>0.8</v>
      </c>
      <c r="AG239" s="296">
        <f t="shared" si="160"/>
        <v>0.8</v>
      </c>
      <c r="AJ239" s="300" t="s">
        <v>754</v>
      </c>
    </row>
    <row r="240" spans="1:36" s="169" customFormat="1">
      <c r="B240" s="327"/>
      <c r="C240" s="304"/>
      <c r="D240" s="304"/>
      <c r="E240" s="304"/>
      <c r="F240" s="304"/>
      <c r="G240" s="304"/>
      <c r="H240" s="304"/>
      <c r="I240" s="304"/>
      <c r="J240" s="304"/>
      <c r="K240" s="304"/>
      <c r="L240" s="304"/>
      <c r="M240" s="304"/>
      <c r="N240" s="304"/>
      <c r="O240" s="304"/>
      <c r="P240" s="304"/>
      <c r="Q240" s="304"/>
      <c r="R240" s="304"/>
      <c r="S240" s="304"/>
      <c r="T240" s="304"/>
      <c r="U240" s="304"/>
      <c r="V240" s="304"/>
      <c r="W240" s="304"/>
      <c r="X240" s="304"/>
      <c r="Y240" s="304"/>
      <c r="Z240" s="304"/>
      <c r="AA240" s="304"/>
      <c r="AB240" s="304"/>
      <c r="AC240" s="304"/>
      <c r="AD240" s="304"/>
      <c r="AE240" s="304"/>
      <c r="AF240" s="304"/>
      <c r="AG240" s="304"/>
      <c r="AJ240" s="300"/>
    </row>
    <row r="241" spans="1:37" s="169" customFormat="1">
      <c r="A241" s="169" t="s">
        <v>710</v>
      </c>
      <c r="B241" s="327" t="s">
        <v>127</v>
      </c>
      <c r="C241" s="304">
        <f>C175*C236*C239</f>
        <v>3328.9521228661465</v>
      </c>
      <c r="D241" s="304">
        <f t="shared" ref="D241:AG241" si="161">D175*D236*D239</f>
        <v>3417.5512670414846</v>
      </c>
      <c r="E241" s="304">
        <f t="shared" si="161"/>
        <v>3506.0679072219632</v>
      </c>
      <c r="F241" s="304">
        <f t="shared" si="161"/>
        <v>3594.5510601744122</v>
      </c>
      <c r="G241" s="304">
        <f t="shared" si="161"/>
        <v>3683.0491025132928</v>
      </c>
      <c r="H241" s="304">
        <f t="shared" si="161"/>
        <v>3771.609771555748</v>
      </c>
      <c r="I241" s="304">
        <f t="shared" si="161"/>
        <v>3852.0003476242623</v>
      </c>
      <c r="J241" s="304">
        <f t="shared" si="161"/>
        <v>3931.6862801866491</v>
      </c>
      <c r="K241" s="304">
        <f t="shared" si="161"/>
        <v>4010.6773597723013</v>
      </c>
      <c r="L241" s="304">
        <f t="shared" si="161"/>
        <v>4088.9824502985243</v>
      </c>
      <c r="M241" s="304">
        <f t="shared" si="161"/>
        <v>4166.6094938415945</v>
      </c>
      <c r="N241" s="304">
        <f t="shared" si="161"/>
        <v>4241.9155029731255</v>
      </c>
      <c r="O241" s="304">
        <f t="shared" si="161"/>
        <v>4317.0922286338691</v>
      </c>
      <c r="P241" s="304">
        <f t="shared" si="161"/>
        <v>4388.7369164081947</v>
      </c>
      <c r="Q241" s="304">
        <f t="shared" si="161"/>
        <v>4459.9439643498654</v>
      </c>
      <c r="R241" s="304">
        <f t="shared" si="161"/>
        <v>4530.7369817333756</v>
      </c>
      <c r="S241" s="304">
        <f t="shared" si="161"/>
        <v>4601.1389831991064</v>
      </c>
      <c r="T241" s="304">
        <f t="shared" si="161"/>
        <v>4671.1705523438795</v>
      </c>
      <c r="U241" s="304">
        <f t="shared" si="161"/>
        <v>4740.8516458750191</v>
      </c>
      <c r="V241" s="304">
        <f t="shared" si="161"/>
        <v>4810.2010216736044</v>
      </c>
      <c r="W241" s="304">
        <f t="shared" si="161"/>
        <v>4879.2362484423356</v>
      </c>
      <c r="X241" s="304">
        <f t="shared" si="161"/>
        <v>4944.6833704584633</v>
      </c>
      <c r="Y241" s="304">
        <f t="shared" si="161"/>
        <v>5012.8851235641005</v>
      </c>
      <c r="Z241" s="304">
        <f t="shared" si="161"/>
        <v>5081.5067441239571</v>
      </c>
      <c r="AA241" s="304">
        <f t="shared" si="161"/>
        <v>5150.9763955223252</v>
      </c>
      <c r="AB241" s="304">
        <f t="shared" si="161"/>
        <v>5221.3540556509734</v>
      </c>
      <c r="AC241" s="304">
        <f t="shared" si="161"/>
        <v>5292.1143784909627</v>
      </c>
      <c r="AD241" s="304">
        <f t="shared" si="161"/>
        <v>5363.8562890827279</v>
      </c>
      <c r="AE241" s="304">
        <f t="shared" si="161"/>
        <v>5436.6336671837053</v>
      </c>
      <c r="AF241" s="304">
        <f t="shared" si="161"/>
        <v>5510.498793009524</v>
      </c>
      <c r="AG241" s="304">
        <f t="shared" si="161"/>
        <v>5585.5023655090808</v>
      </c>
      <c r="AJ241" s="300"/>
    </row>
    <row r="242" spans="1:37" s="169" customFormat="1">
      <c r="A242" s="169" t="s">
        <v>715</v>
      </c>
      <c r="B242" s="327" t="s">
        <v>127</v>
      </c>
      <c r="C242" s="304">
        <f>C236*C239-C241</f>
        <v>11802.648435616336</v>
      </c>
      <c r="D242" s="304">
        <f t="shared" ref="D242:AG242" si="162">D236*D239-D241</f>
        <v>11659.880793435654</v>
      </c>
      <c r="E242" s="304">
        <f t="shared" si="162"/>
        <v>11519.937409443597</v>
      </c>
      <c r="F242" s="304">
        <f t="shared" si="162"/>
        <v>11382.745023885644</v>
      </c>
      <c r="G242" s="304">
        <f t="shared" si="162"/>
        <v>11248.231042810872</v>
      </c>
      <c r="H242" s="304">
        <f t="shared" si="162"/>
        <v>11116.323537216944</v>
      </c>
      <c r="I242" s="304">
        <f t="shared" si="162"/>
        <v>10963.385604776749</v>
      </c>
      <c r="J242" s="304">
        <f t="shared" si="162"/>
        <v>10812.137270513289</v>
      </c>
      <c r="K242" s="304">
        <f t="shared" si="162"/>
        <v>10662.532493053193</v>
      </c>
      <c r="L242" s="304">
        <f t="shared" si="162"/>
        <v>10514.526300767639</v>
      </c>
      <c r="M242" s="304">
        <f t="shared" si="162"/>
        <v>10368.07478700118</v>
      </c>
      <c r="N242" s="304">
        <f t="shared" si="162"/>
        <v>10219.160075344353</v>
      </c>
      <c r="O242" s="304">
        <f t="shared" si="162"/>
        <v>10073.2152001457</v>
      </c>
      <c r="P242" s="304">
        <f t="shared" si="162"/>
        <v>9922.3617240533167</v>
      </c>
      <c r="Q242" s="304">
        <f t="shared" si="162"/>
        <v>9773.919751660349</v>
      </c>
      <c r="R242" s="304">
        <f t="shared" si="162"/>
        <v>9627.8160861834331</v>
      </c>
      <c r="S242" s="304">
        <f t="shared" si="162"/>
        <v>9483.9803531246944</v>
      </c>
      <c r="T242" s="304">
        <f t="shared" si="162"/>
        <v>9342.3411046877663</v>
      </c>
      <c r="U242" s="304">
        <f t="shared" si="162"/>
        <v>9202.829665522102</v>
      </c>
      <c r="V242" s="304">
        <f t="shared" si="162"/>
        <v>9065.3788485387231</v>
      </c>
      <c r="W242" s="304">
        <f t="shared" si="162"/>
        <v>8929.9229452623968</v>
      </c>
      <c r="X242" s="304">
        <f t="shared" si="162"/>
        <v>8790.5482141483881</v>
      </c>
      <c r="Y242" s="304">
        <f t="shared" si="162"/>
        <v>8658.6197588834548</v>
      </c>
      <c r="Z242" s="304">
        <f t="shared" si="162"/>
        <v>8529.672034779509</v>
      </c>
      <c r="AA242" s="304">
        <f t="shared" si="162"/>
        <v>8404.2246453259104</v>
      </c>
      <c r="AB242" s="304">
        <f t="shared" si="162"/>
        <v>8282.1478124118985</v>
      </c>
      <c r="AC242" s="304">
        <f t="shared" si="162"/>
        <v>8162.4137024182737</v>
      </c>
      <c r="AD242" s="304">
        <f t="shared" si="162"/>
        <v>8045.7844336241023</v>
      </c>
      <c r="AE242" s="304">
        <f t="shared" si="162"/>
        <v>7932.1376455631198</v>
      </c>
      <c r="AF242" s="304">
        <f t="shared" si="162"/>
        <v>7821.3531255619155</v>
      </c>
      <c r="AG242" s="304">
        <f t="shared" si="162"/>
        <v>7713.3127904649209</v>
      </c>
      <c r="AJ242" s="300"/>
    </row>
    <row r="243" spans="1:37" s="169" customFormat="1">
      <c r="B243" s="165"/>
      <c r="C243" s="304"/>
      <c r="D243" s="304"/>
      <c r="E243" s="304"/>
      <c r="F243" s="304"/>
      <c r="G243" s="304"/>
      <c r="H243" s="304"/>
      <c r="I243" s="304"/>
      <c r="J243" s="304"/>
      <c r="K243" s="304"/>
      <c r="L243" s="304"/>
      <c r="M243" s="304"/>
      <c r="N243" s="304"/>
      <c r="O243" s="304"/>
      <c r="P243" s="304"/>
      <c r="Q243" s="304"/>
      <c r="R243" s="304"/>
      <c r="S243" s="304"/>
      <c r="T243" s="304"/>
      <c r="U243" s="304"/>
      <c r="V243" s="304"/>
      <c r="W243" s="304"/>
      <c r="X243" s="304"/>
      <c r="Y243" s="304"/>
      <c r="Z243" s="304"/>
      <c r="AA243" s="304"/>
      <c r="AB243" s="304"/>
      <c r="AC243" s="304"/>
      <c r="AD243" s="304"/>
      <c r="AE243" s="304"/>
      <c r="AF243" s="304"/>
      <c r="AG243" s="304"/>
      <c r="AJ243" s="300"/>
    </row>
    <row r="244" spans="1:37" s="169" customFormat="1">
      <c r="B244" s="197" t="s">
        <v>709</v>
      </c>
      <c r="C244" s="308">
        <v>0</v>
      </c>
      <c r="D244" s="308">
        <f>C244+1</f>
        <v>1</v>
      </c>
      <c r="E244" s="308">
        <f t="shared" ref="E244:AG244" si="163">D244+1</f>
        <v>2</v>
      </c>
      <c r="F244" s="308">
        <f t="shared" si="163"/>
        <v>3</v>
      </c>
      <c r="G244" s="308">
        <f t="shared" si="163"/>
        <v>4</v>
      </c>
      <c r="H244" s="308">
        <f t="shared" si="163"/>
        <v>5</v>
      </c>
      <c r="I244" s="308">
        <f t="shared" si="163"/>
        <v>6</v>
      </c>
      <c r="J244" s="308">
        <f t="shared" si="163"/>
        <v>7</v>
      </c>
      <c r="K244" s="308">
        <f t="shared" si="163"/>
        <v>8</v>
      </c>
      <c r="L244" s="308">
        <f t="shared" si="163"/>
        <v>9</v>
      </c>
      <c r="M244" s="308">
        <f t="shared" si="163"/>
        <v>10</v>
      </c>
      <c r="N244" s="308">
        <f t="shared" si="163"/>
        <v>11</v>
      </c>
      <c r="O244" s="308">
        <f t="shared" si="163"/>
        <v>12</v>
      </c>
      <c r="P244" s="308">
        <f t="shared" si="163"/>
        <v>13</v>
      </c>
      <c r="Q244" s="308">
        <f t="shared" si="163"/>
        <v>14</v>
      </c>
      <c r="R244" s="308">
        <f t="shared" si="163"/>
        <v>15</v>
      </c>
      <c r="S244" s="308">
        <f t="shared" si="163"/>
        <v>16</v>
      </c>
      <c r="T244" s="308">
        <f t="shared" si="163"/>
        <v>17</v>
      </c>
      <c r="U244" s="308">
        <f t="shared" si="163"/>
        <v>18</v>
      </c>
      <c r="V244" s="308">
        <f t="shared" si="163"/>
        <v>19</v>
      </c>
      <c r="W244" s="308">
        <f t="shared" si="163"/>
        <v>20</v>
      </c>
      <c r="X244" s="308">
        <f t="shared" si="163"/>
        <v>21</v>
      </c>
      <c r="Y244" s="308">
        <f t="shared" si="163"/>
        <v>22</v>
      </c>
      <c r="Z244" s="308">
        <f t="shared" si="163"/>
        <v>23</v>
      </c>
      <c r="AA244" s="308">
        <f t="shared" si="163"/>
        <v>24</v>
      </c>
      <c r="AB244" s="308">
        <f t="shared" si="163"/>
        <v>25</v>
      </c>
      <c r="AC244" s="308">
        <f t="shared" si="163"/>
        <v>26</v>
      </c>
      <c r="AD244" s="308">
        <f t="shared" si="163"/>
        <v>27</v>
      </c>
      <c r="AE244" s="308">
        <f t="shared" si="163"/>
        <v>28</v>
      </c>
      <c r="AF244" s="308">
        <f t="shared" si="163"/>
        <v>29</v>
      </c>
      <c r="AG244" s="308">
        <f t="shared" si="163"/>
        <v>30</v>
      </c>
      <c r="AJ244" s="300" t="s">
        <v>717</v>
      </c>
      <c r="AK244" s="169">
        <f>'Propylene Recycling HC'!AK196</f>
        <v>1.9</v>
      </c>
    </row>
    <row r="245" spans="1:37" s="169" customFormat="1">
      <c r="A245" s="169" t="s">
        <v>761</v>
      </c>
      <c r="B245" s="165"/>
      <c r="C245" s="310">
        <f>$AK$246/((1+EXP(-$AK$245*(C244-$AK$247)))^$AK$244)</f>
        <v>4.6088632748610021E-5</v>
      </c>
      <c r="D245" s="310">
        <f t="shared" ref="D245:AG245" si="164">$AK$246/((1+EXP(-$AK$245*(D244-$AK$247)))^$AK$244)</f>
        <v>8.924759460408035E-5</v>
      </c>
      <c r="E245" s="310">
        <f t="shared" si="164"/>
        <v>1.7252431976790472E-4</v>
      </c>
      <c r="F245" s="310">
        <f t="shared" si="164"/>
        <v>3.3269643715580369E-4</v>
      </c>
      <c r="G245" s="310">
        <f t="shared" si="164"/>
        <v>6.393827369910735E-4</v>
      </c>
      <c r="H245" s="310">
        <f t="shared" si="164"/>
        <v>1.2229053771654547E-3</v>
      </c>
      <c r="I245" s="310">
        <f t="shared" si="164"/>
        <v>2.3234018804222717E-3</v>
      </c>
      <c r="J245" s="310">
        <f t="shared" si="164"/>
        <v>4.3736281679830789E-3</v>
      </c>
      <c r="K245" s="310">
        <f t="shared" si="164"/>
        <v>8.1294184230466908E-3</v>
      </c>
      <c r="L245" s="310">
        <f t="shared" si="164"/>
        <v>1.4853985082038716E-2</v>
      </c>
      <c r="M245" s="310">
        <f t="shared" si="164"/>
        <v>2.6531412096832362E-2</v>
      </c>
      <c r="N245" s="310">
        <f t="shared" si="164"/>
        <v>4.6014759335105015E-2</v>
      </c>
      <c r="O245" s="310">
        <f t="shared" si="164"/>
        <v>7.6910635328419796E-2</v>
      </c>
      <c r="P245" s="310">
        <f t="shared" si="164"/>
        <v>0.12294065829885638</v>
      </c>
      <c r="Q245" s="310">
        <f t="shared" si="164"/>
        <v>0.18666754187878853</v>
      </c>
      <c r="R245" s="310">
        <f t="shared" si="164"/>
        <v>0.26794336563407328</v>
      </c>
      <c r="S245" s="310">
        <f t="shared" si="164"/>
        <v>0.36297326582455031</v>
      </c>
      <c r="T245" s="310">
        <f t="shared" si="164"/>
        <v>0.46484396312424381</v>
      </c>
      <c r="U245" s="310">
        <f t="shared" si="164"/>
        <v>0.56546260593861253</v>
      </c>
      <c r="V245" s="310">
        <f t="shared" si="164"/>
        <v>0.6578403022607352</v>
      </c>
      <c r="W245" s="310">
        <f t="shared" si="164"/>
        <v>0.73754668886795227</v>
      </c>
      <c r="X245" s="310">
        <f t="shared" si="164"/>
        <v>0.80293052021410605</v>
      </c>
      <c r="Y245" s="310">
        <f t="shared" si="164"/>
        <v>0.85447682949112158</v>
      </c>
      <c r="Z245" s="310">
        <f t="shared" si="164"/>
        <v>0.89389910336617451</v>
      </c>
      <c r="AA245" s="310">
        <f t="shared" si="164"/>
        <v>0.92337223319290385</v>
      </c>
      <c r="AB245" s="310">
        <f t="shared" si="164"/>
        <v>0.94504210708611314</v>
      </c>
      <c r="AC245" s="310">
        <f t="shared" si="164"/>
        <v>0.96078240575184182</v>
      </c>
      <c r="AD245" s="310">
        <f t="shared" si="164"/>
        <v>0.97211605463477313</v>
      </c>
      <c r="AE245" s="310">
        <f t="shared" si="164"/>
        <v>0.98022577885232642</v>
      </c>
      <c r="AF245" s="310">
        <f t="shared" si="164"/>
        <v>0.98600279580400285</v>
      </c>
      <c r="AG245" s="310">
        <f t="shared" si="164"/>
        <v>0.9901050637460882</v>
      </c>
      <c r="AI245" s="165" t="s">
        <v>716</v>
      </c>
      <c r="AJ245" s="300" t="s">
        <v>718</v>
      </c>
      <c r="AK245" s="169">
        <f>'Propylene Recycling HC'!AK197</f>
        <v>0.35</v>
      </c>
    </row>
    <row r="246" spans="1:37" s="169" customFormat="1">
      <c r="B246" s="165"/>
      <c r="C246" s="306">
        <v>0</v>
      </c>
      <c r="D246" s="306">
        <v>0</v>
      </c>
      <c r="E246" s="306">
        <v>0</v>
      </c>
      <c r="F246" s="306">
        <v>0</v>
      </c>
      <c r="G246" s="306">
        <v>0</v>
      </c>
      <c r="H246" s="306">
        <v>0</v>
      </c>
      <c r="I246" s="306">
        <v>0</v>
      </c>
      <c r="J246" s="306">
        <v>0</v>
      </c>
      <c r="K246" s="306">
        <v>0</v>
      </c>
      <c r="L246" s="306">
        <v>0</v>
      </c>
      <c r="M246" s="306">
        <f>C245</f>
        <v>4.6088632748610021E-5</v>
      </c>
      <c r="N246" s="306">
        <v>0</v>
      </c>
      <c r="O246" s="306">
        <v>0</v>
      </c>
      <c r="P246" s="306">
        <v>0</v>
      </c>
      <c r="Q246" s="306">
        <v>0</v>
      </c>
      <c r="R246" s="306">
        <f t="shared" ref="R246:AG246" si="165">C245</f>
        <v>4.6088632748610021E-5</v>
      </c>
      <c r="S246" s="306">
        <f t="shared" si="165"/>
        <v>8.924759460408035E-5</v>
      </c>
      <c r="T246" s="306">
        <f t="shared" si="165"/>
        <v>1.7252431976790472E-4</v>
      </c>
      <c r="U246" s="306">
        <f t="shared" si="165"/>
        <v>3.3269643715580369E-4</v>
      </c>
      <c r="V246" s="306">
        <f t="shared" si="165"/>
        <v>6.393827369910735E-4</v>
      </c>
      <c r="W246" s="306">
        <f t="shared" si="165"/>
        <v>1.2229053771654547E-3</v>
      </c>
      <c r="X246" s="306">
        <f t="shared" si="165"/>
        <v>2.3234018804222717E-3</v>
      </c>
      <c r="Y246" s="306">
        <f t="shared" si="165"/>
        <v>4.3736281679830789E-3</v>
      </c>
      <c r="Z246" s="306">
        <f t="shared" si="165"/>
        <v>8.1294184230466908E-3</v>
      </c>
      <c r="AA246" s="306">
        <f t="shared" si="165"/>
        <v>1.4853985082038716E-2</v>
      </c>
      <c r="AB246" s="306">
        <f t="shared" si="165"/>
        <v>2.6531412096832362E-2</v>
      </c>
      <c r="AC246" s="306">
        <f t="shared" si="165"/>
        <v>4.6014759335105015E-2</v>
      </c>
      <c r="AD246" s="306">
        <f t="shared" si="165"/>
        <v>7.6910635328419796E-2</v>
      </c>
      <c r="AE246" s="306">
        <f t="shared" si="165"/>
        <v>0.12294065829885638</v>
      </c>
      <c r="AF246" s="306">
        <f t="shared" si="165"/>
        <v>0.18666754187878853</v>
      </c>
      <c r="AG246" s="306">
        <f t="shared" si="165"/>
        <v>0.26794336563407328</v>
      </c>
      <c r="AI246" s="165" t="s">
        <v>762</v>
      </c>
      <c r="AJ246" s="300" t="s">
        <v>719</v>
      </c>
      <c r="AK246" s="169">
        <f>'Propylene Recycling HC'!AK198</f>
        <v>1</v>
      </c>
    </row>
    <row r="247" spans="1:37" s="169" customFormat="1">
      <c r="B247" s="165"/>
      <c r="C247" s="304"/>
      <c r="D247" s="304"/>
      <c r="E247" s="304"/>
      <c r="F247" s="304"/>
      <c r="G247" s="304"/>
      <c r="H247" s="304"/>
      <c r="I247" s="304"/>
      <c r="J247" s="304"/>
      <c r="K247" s="304"/>
      <c r="L247" s="304"/>
      <c r="M247" s="304"/>
      <c r="N247" s="304"/>
      <c r="O247" s="304"/>
      <c r="P247" s="304"/>
      <c r="Q247" s="304"/>
      <c r="R247" s="304"/>
      <c r="S247" s="304"/>
      <c r="T247" s="304"/>
      <c r="U247" s="304"/>
      <c r="V247" s="304"/>
      <c r="W247" s="304"/>
      <c r="X247" s="304"/>
      <c r="Y247" s="304"/>
      <c r="Z247" s="304"/>
      <c r="AA247" s="304"/>
      <c r="AB247" s="304"/>
      <c r="AC247" s="304"/>
      <c r="AD247" s="304"/>
      <c r="AE247" s="304"/>
      <c r="AF247" s="304"/>
      <c r="AG247" s="304"/>
      <c r="AJ247" s="300" t="s">
        <v>720</v>
      </c>
      <c r="AK247" s="169">
        <f>'Propylene Recycling HC'!AK199</f>
        <v>15</v>
      </c>
    </row>
    <row r="248" spans="1:37" s="169" customFormat="1">
      <c r="A248" s="169" t="s">
        <v>842</v>
      </c>
      <c r="B248" s="165" t="s">
        <v>126</v>
      </c>
      <c r="C248" s="305">
        <v>0</v>
      </c>
      <c r="D248" s="305">
        <f>C248</f>
        <v>0</v>
      </c>
      <c r="E248" s="305">
        <f t="shared" ref="E248:AG248" si="166">D248</f>
        <v>0</v>
      </c>
      <c r="F248" s="305">
        <f t="shared" si="166"/>
        <v>0</v>
      </c>
      <c r="G248" s="305">
        <f t="shared" si="166"/>
        <v>0</v>
      </c>
      <c r="H248" s="305">
        <f t="shared" si="166"/>
        <v>0</v>
      </c>
      <c r="I248" s="305">
        <f t="shared" si="166"/>
        <v>0</v>
      </c>
      <c r="J248" s="305">
        <f t="shared" si="166"/>
        <v>0</v>
      </c>
      <c r="K248" s="305">
        <f t="shared" si="166"/>
        <v>0</v>
      </c>
      <c r="L248" s="305">
        <f t="shared" si="166"/>
        <v>0</v>
      </c>
      <c r="M248" s="305">
        <v>0</v>
      </c>
      <c r="N248" s="305">
        <f t="shared" si="166"/>
        <v>0</v>
      </c>
      <c r="O248" s="305">
        <f t="shared" si="166"/>
        <v>0</v>
      </c>
      <c r="P248" s="305">
        <f t="shared" si="166"/>
        <v>0</v>
      </c>
      <c r="Q248" s="305">
        <f t="shared" si="166"/>
        <v>0</v>
      </c>
      <c r="R248" s="305">
        <f t="shared" si="166"/>
        <v>0</v>
      </c>
      <c r="S248" s="305">
        <f t="shared" si="166"/>
        <v>0</v>
      </c>
      <c r="T248" s="305">
        <f t="shared" si="166"/>
        <v>0</v>
      </c>
      <c r="U248" s="305">
        <f t="shared" si="166"/>
        <v>0</v>
      </c>
      <c r="V248" s="305">
        <f t="shared" si="166"/>
        <v>0</v>
      </c>
      <c r="W248" s="305">
        <f t="shared" si="166"/>
        <v>0</v>
      </c>
      <c r="X248" s="305">
        <f t="shared" si="166"/>
        <v>0</v>
      </c>
      <c r="Y248" s="305">
        <f t="shared" si="166"/>
        <v>0</v>
      </c>
      <c r="Z248" s="305">
        <f t="shared" si="166"/>
        <v>0</v>
      </c>
      <c r="AA248" s="305">
        <f t="shared" si="166"/>
        <v>0</v>
      </c>
      <c r="AB248" s="305">
        <f t="shared" si="166"/>
        <v>0</v>
      </c>
      <c r="AC248" s="305">
        <f t="shared" si="166"/>
        <v>0</v>
      </c>
      <c r="AD248" s="305">
        <f t="shared" si="166"/>
        <v>0</v>
      </c>
      <c r="AE248" s="305">
        <f t="shared" si="166"/>
        <v>0</v>
      </c>
      <c r="AF248" s="305">
        <f t="shared" si="166"/>
        <v>0</v>
      </c>
      <c r="AG248" s="305">
        <f t="shared" si="166"/>
        <v>0</v>
      </c>
      <c r="AI248" s="165" t="s">
        <v>846</v>
      </c>
      <c r="AJ248" s="300"/>
    </row>
    <row r="249" spans="1:37" s="279" customFormat="1" ht="15.5" thickBot="1">
      <c r="A249" s="311" t="s">
        <v>707</v>
      </c>
      <c r="B249" s="312" t="s">
        <v>127</v>
      </c>
      <c r="C249" s="313">
        <f>C248*(C241*C245+C242*C246)</f>
        <v>0</v>
      </c>
      <c r="D249" s="313">
        <f t="shared" ref="D249:AG249" si="167">D248*(D241*D245+D242*D246)</f>
        <v>0</v>
      </c>
      <c r="E249" s="313">
        <f t="shared" si="167"/>
        <v>0</v>
      </c>
      <c r="F249" s="313">
        <f t="shared" si="167"/>
        <v>0</v>
      </c>
      <c r="G249" s="313">
        <f t="shared" si="167"/>
        <v>0</v>
      </c>
      <c r="H249" s="313">
        <f t="shared" si="167"/>
        <v>0</v>
      </c>
      <c r="I249" s="313">
        <f t="shared" si="167"/>
        <v>0</v>
      </c>
      <c r="J249" s="313">
        <f t="shared" si="167"/>
        <v>0</v>
      </c>
      <c r="K249" s="313">
        <f t="shared" si="167"/>
        <v>0</v>
      </c>
      <c r="L249" s="313">
        <f t="shared" si="167"/>
        <v>0</v>
      </c>
      <c r="M249" s="313">
        <f>M248*(M241*M245+M242*M246)</f>
        <v>0</v>
      </c>
      <c r="N249" s="313">
        <f t="shared" si="167"/>
        <v>0</v>
      </c>
      <c r="O249" s="313">
        <f t="shared" si="167"/>
        <v>0</v>
      </c>
      <c r="P249" s="313">
        <f t="shared" si="167"/>
        <v>0</v>
      </c>
      <c r="Q249" s="313">
        <f t="shared" si="167"/>
        <v>0</v>
      </c>
      <c r="R249" s="313">
        <f t="shared" si="167"/>
        <v>0</v>
      </c>
      <c r="S249" s="313">
        <f t="shared" si="167"/>
        <v>0</v>
      </c>
      <c r="T249" s="313">
        <f t="shared" si="167"/>
        <v>0</v>
      </c>
      <c r="U249" s="313">
        <f t="shared" si="167"/>
        <v>0</v>
      </c>
      <c r="V249" s="313">
        <f t="shared" si="167"/>
        <v>0</v>
      </c>
      <c r="W249" s="313">
        <f t="shared" si="167"/>
        <v>0</v>
      </c>
      <c r="X249" s="313">
        <f t="shared" si="167"/>
        <v>0</v>
      </c>
      <c r="Y249" s="313">
        <f t="shared" si="167"/>
        <v>0</v>
      </c>
      <c r="Z249" s="313">
        <f t="shared" si="167"/>
        <v>0</v>
      </c>
      <c r="AA249" s="313">
        <f t="shared" si="167"/>
        <v>0</v>
      </c>
      <c r="AB249" s="313">
        <f t="shared" si="167"/>
        <v>0</v>
      </c>
      <c r="AC249" s="313">
        <f t="shared" si="167"/>
        <v>0</v>
      </c>
      <c r="AD249" s="313">
        <f t="shared" si="167"/>
        <v>0</v>
      </c>
      <c r="AE249" s="313">
        <f t="shared" si="167"/>
        <v>0</v>
      </c>
      <c r="AF249" s="313">
        <f t="shared" si="167"/>
        <v>0</v>
      </c>
      <c r="AG249" s="313">
        <f t="shared" si="167"/>
        <v>0</v>
      </c>
      <c r="AJ249" s="303"/>
    </row>
    <row r="250" spans="1:37" s="216" customFormat="1">
      <c r="A250" s="302" t="s">
        <v>713</v>
      </c>
      <c r="B250" s="301" t="s">
        <v>126</v>
      </c>
      <c r="C250" s="307">
        <v>0</v>
      </c>
      <c r="D250" s="307">
        <v>0.5</v>
      </c>
      <c r="E250" s="307">
        <v>0.5</v>
      </c>
      <c r="F250" s="307">
        <v>0.5</v>
      </c>
      <c r="G250" s="307">
        <v>0.5</v>
      </c>
      <c r="H250" s="307">
        <v>0.5</v>
      </c>
      <c r="I250" s="307">
        <v>0.5</v>
      </c>
      <c r="J250" s="307">
        <v>0.5</v>
      </c>
      <c r="K250" s="307">
        <v>0.5</v>
      </c>
      <c r="L250" s="307">
        <v>0.5</v>
      </c>
      <c r="M250" s="307">
        <v>0</v>
      </c>
      <c r="N250" s="307">
        <v>0.5</v>
      </c>
      <c r="O250" s="307">
        <v>0.5</v>
      </c>
      <c r="P250" s="307">
        <v>0.5</v>
      </c>
      <c r="Q250" s="307">
        <v>0.5</v>
      </c>
      <c r="R250" s="307">
        <v>0.5</v>
      </c>
      <c r="S250" s="307">
        <v>0.5</v>
      </c>
      <c r="T250" s="307">
        <v>0.5</v>
      </c>
      <c r="U250" s="307">
        <v>0.5</v>
      </c>
      <c r="V250" s="307">
        <v>0.5</v>
      </c>
      <c r="W250" s="307">
        <v>0</v>
      </c>
      <c r="X250" s="307">
        <v>0.5</v>
      </c>
      <c r="Y250" s="307">
        <v>0.5</v>
      </c>
      <c r="Z250" s="307">
        <v>0.5</v>
      </c>
      <c r="AA250" s="307">
        <v>0.5</v>
      </c>
      <c r="AB250" s="307">
        <v>0.5</v>
      </c>
      <c r="AC250" s="307">
        <v>0.5</v>
      </c>
      <c r="AD250" s="307">
        <v>0.5</v>
      </c>
      <c r="AE250" s="307">
        <v>0.5</v>
      </c>
      <c r="AF250" s="307">
        <v>0.5</v>
      </c>
      <c r="AG250" s="307">
        <v>0</v>
      </c>
      <c r="AJ250" s="216" t="s">
        <v>757</v>
      </c>
    </row>
    <row r="251" spans="1:37" s="216" customFormat="1" ht="15.5" thickBot="1">
      <c r="A251" s="280" t="s">
        <v>708</v>
      </c>
      <c r="B251" s="312" t="s">
        <v>127</v>
      </c>
      <c r="C251" s="313">
        <f>C250*(C241*C245+C242*C246)</f>
        <v>0</v>
      </c>
      <c r="D251" s="313">
        <f t="shared" ref="D251:AG251" si="168">D250*(D241*D245+D242*D246)</f>
        <v>0.15250411500978978</v>
      </c>
      <c r="E251" s="313">
        <f t="shared" si="168"/>
        <v>0.30244099037677524</v>
      </c>
      <c r="F251" s="313">
        <f t="shared" si="168"/>
        <v>0.59794716544732196</v>
      </c>
      <c r="G251" s="313">
        <f t="shared" si="168"/>
        <v>1.1774390078187331</v>
      </c>
      <c r="H251" s="313">
        <f t="shared" si="168"/>
        <v>2.3061609351026484</v>
      </c>
      <c r="I251" s="313">
        <f t="shared" si="168"/>
        <v>4.4748724255287273</v>
      </c>
      <c r="J251" s="313">
        <f t="shared" si="168"/>
        <v>8.5978669313484701</v>
      </c>
      <c r="K251" s="313">
        <f t="shared" si="168"/>
        <v>16.302237208714605</v>
      </c>
      <c r="L251" s="313">
        <f t="shared" si="168"/>
        <v>30.368842158726199</v>
      </c>
      <c r="M251" s="313">
        <f t="shared" si="168"/>
        <v>0</v>
      </c>
      <c r="N251" s="313">
        <f t="shared" si="168"/>
        <v>97.595360494579651</v>
      </c>
      <c r="O251" s="313">
        <f t="shared" si="168"/>
        <v>166.01515303780729</v>
      </c>
      <c r="P251" s="313">
        <f t="shared" si="168"/>
        <v>269.77710280185823</v>
      </c>
      <c r="Q251" s="313">
        <f t="shared" si="168"/>
        <v>416.26338837116435</v>
      </c>
      <c r="R251" s="313">
        <f t="shared" si="168"/>
        <v>607.21232428408541</v>
      </c>
      <c r="S251" s="313">
        <f t="shared" si="168"/>
        <v>835.4684328391096</v>
      </c>
      <c r="T251" s="313">
        <f t="shared" si="168"/>
        <v>1086.488606512459</v>
      </c>
      <c r="U251" s="313">
        <f t="shared" si="168"/>
        <v>1341.9180373431598</v>
      </c>
      <c r="V251" s="313">
        <f t="shared" si="168"/>
        <v>1585.0701703863506</v>
      </c>
      <c r="W251" s="313">
        <f t="shared" si="168"/>
        <v>0</v>
      </c>
      <c r="X251" s="313">
        <f t="shared" si="168"/>
        <v>1995.3305835934741</v>
      </c>
      <c r="Y251" s="313">
        <f t="shared" si="168"/>
        <v>2160.6318851297847</v>
      </c>
      <c r="Z251" s="313">
        <f t="shared" si="168"/>
        <v>2305.8477976518284</v>
      </c>
      <c r="AA251" s="313">
        <f t="shared" si="168"/>
        <v>2440.5524024825786</v>
      </c>
      <c r="AB251" s="313">
        <f t="shared" si="168"/>
        <v>2577.0682576264985</v>
      </c>
      <c r="AC251" s="313">
        <f t="shared" si="168"/>
        <v>2730.0809430954</v>
      </c>
      <c r="AD251" s="313">
        <f t="shared" si="168"/>
        <v>2916.5486029382782</v>
      </c>
      <c r="AE251" s="313">
        <f t="shared" si="168"/>
        <v>3152.1553473062991</v>
      </c>
      <c r="AF251" s="313">
        <f t="shared" si="168"/>
        <v>3446.6799891482983</v>
      </c>
      <c r="AG251" s="313">
        <f t="shared" si="168"/>
        <v>0</v>
      </c>
      <c r="AJ251" s="302"/>
    </row>
    <row r="252" spans="1:37" s="216" customFormat="1">
      <c r="A252" s="303"/>
      <c r="B252" s="301"/>
      <c r="AJ252" s="302"/>
    </row>
    <row r="253" spans="1:37" s="216" customFormat="1">
      <c r="A253" s="303" t="s">
        <v>711</v>
      </c>
      <c r="B253" s="301" t="s">
        <v>127</v>
      </c>
      <c r="C253" s="216">
        <f>SUM(C222:C223)-SUM(C249,C251)</f>
        <v>53137.781433232252</v>
      </c>
      <c r="D253" s="216">
        <f t="shared" ref="D253:AG253" si="169">SUM(D222:D223)-SUM(D249,D251)</f>
        <v>53400.551261489214</v>
      </c>
      <c r="E253" s="216">
        <f t="shared" si="169"/>
        <v>53651.881266085096</v>
      </c>
      <c r="F253" s="216">
        <f t="shared" si="169"/>
        <v>53891.623310480536</v>
      </c>
      <c r="G253" s="216">
        <f t="shared" si="169"/>
        <v>54119.638978307965</v>
      </c>
      <c r="H253" s="216">
        <f t="shared" si="169"/>
        <v>54335.663025149734</v>
      </c>
      <c r="I253" s="216">
        <f t="shared" si="169"/>
        <v>54456.310915916234</v>
      </c>
      <c r="J253" s="216">
        <f t="shared" si="169"/>
        <v>54561.53326413274</v>
      </c>
      <c r="K253" s="216">
        <f t="shared" si="169"/>
        <v>54649.70297704314</v>
      </c>
      <c r="L253" s="216">
        <f t="shared" si="169"/>
        <v>54718.0391957463</v>
      </c>
      <c r="M253" s="216">
        <f t="shared" si="169"/>
        <v>54817.339602023654</v>
      </c>
      <c r="N253" s="216">
        <f t="shared" si="169"/>
        <v>54761.450295282295</v>
      </c>
      <c r="O253" s="216">
        <f t="shared" si="169"/>
        <v>54726.501159416039</v>
      </c>
      <c r="P253" s="216">
        <f t="shared" si="169"/>
        <v>54565.554942658484</v>
      </c>
      <c r="Q253" s="216">
        <f t="shared" si="169"/>
        <v>54349.114053937956</v>
      </c>
      <c r="R253" s="216">
        <f t="shared" si="169"/>
        <v>54075.528033962772</v>
      </c>
      <c r="S253" s="216">
        <f t="shared" si="169"/>
        <v>53752.04470108376</v>
      </c>
      <c r="T253" s="216">
        <f t="shared" si="169"/>
        <v>53393.290630481308</v>
      </c>
      <c r="U253" s="216">
        <f t="shared" si="169"/>
        <v>53017.708485363088</v>
      </c>
      <c r="V253" s="216">
        <f t="shared" si="169"/>
        <v>52642.072675920681</v>
      </c>
      <c r="W253" s="216">
        <f t="shared" si="169"/>
        <v>54082.416063042801</v>
      </c>
      <c r="X253" s="216">
        <f t="shared" si="169"/>
        <v>51910.064204800947</v>
      </c>
      <c r="Y253" s="216">
        <f t="shared" si="169"/>
        <v>51574.852925103623</v>
      </c>
      <c r="Z253" s="216">
        <f t="shared" si="169"/>
        <v>51119.089004205285</v>
      </c>
      <c r="AA253" s="216">
        <f t="shared" si="169"/>
        <v>50665.163216705805</v>
      </c>
      <c r="AB253" s="216">
        <f t="shared" si="169"/>
        <v>50201.016570340886</v>
      </c>
      <c r="AC253" s="216">
        <f t="shared" si="169"/>
        <v>49709.09836152527</v>
      </c>
      <c r="AD253" s="216">
        <f t="shared" si="169"/>
        <v>49175.78118209169</v>
      </c>
      <c r="AE253" s="216">
        <f t="shared" si="169"/>
        <v>48585.644487629143</v>
      </c>
      <c r="AF253" s="216">
        <f t="shared" si="169"/>
        <v>47929.17303092884</v>
      </c>
      <c r="AG253" s="216">
        <f t="shared" si="169"/>
        <v>51006.752906195223</v>
      </c>
      <c r="AJ253" s="302"/>
    </row>
    <row r="254" spans="1:37" s="216" customFormat="1">
      <c r="A254" s="303"/>
      <c r="B254" s="301"/>
      <c r="AJ254" s="302"/>
    </row>
    <row r="255" spans="1:37" s="216" customFormat="1">
      <c r="A255" s="302" t="s">
        <v>722</v>
      </c>
      <c r="B255" s="301" t="s">
        <v>127</v>
      </c>
      <c r="C255" s="304">
        <f t="shared" ref="C255:AG255" si="170">C175*C174*C125</f>
        <v>0</v>
      </c>
      <c r="D255" s="304">
        <f t="shared" si="170"/>
        <v>0</v>
      </c>
      <c r="E255" s="304">
        <f t="shared" si="170"/>
        <v>0</v>
      </c>
      <c r="F255" s="304">
        <f t="shared" si="170"/>
        <v>0</v>
      </c>
      <c r="G255" s="304">
        <f t="shared" si="170"/>
        <v>0</v>
      </c>
      <c r="H255" s="304">
        <f t="shared" si="170"/>
        <v>0</v>
      </c>
      <c r="I255" s="304">
        <f t="shared" si="170"/>
        <v>0</v>
      </c>
      <c r="J255" s="304">
        <f t="shared" si="170"/>
        <v>0</v>
      </c>
      <c r="K255" s="304">
        <f t="shared" si="170"/>
        <v>0</v>
      </c>
      <c r="L255" s="304">
        <f t="shared" si="170"/>
        <v>0</v>
      </c>
      <c r="M255" s="304">
        <f t="shared" si="170"/>
        <v>0</v>
      </c>
      <c r="N255" s="304">
        <f t="shared" si="170"/>
        <v>0</v>
      </c>
      <c r="O255" s="304">
        <f t="shared" si="170"/>
        <v>0</v>
      </c>
      <c r="P255" s="304">
        <f t="shared" si="170"/>
        <v>0</v>
      </c>
      <c r="Q255" s="304">
        <f t="shared" si="170"/>
        <v>0</v>
      </c>
      <c r="R255" s="304">
        <f t="shared" si="170"/>
        <v>0</v>
      </c>
      <c r="S255" s="304">
        <f t="shared" si="170"/>
        <v>0</v>
      </c>
      <c r="T255" s="304">
        <f t="shared" si="170"/>
        <v>0</v>
      </c>
      <c r="U255" s="304">
        <f t="shared" si="170"/>
        <v>0</v>
      </c>
      <c r="V255" s="304">
        <f t="shared" si="170"/>
        <v>0</v>
      </c>
      <c r="W255" s="304">
        <f t="shared" si="170"/>
        <v>0</v>
      </c>
      <c r="X255" s="304">
        <f t="shared" si="170"/>
        <v>0</v>
      </c>
      <c r="Y255" s="304">
        <f t="shared" si="170"/>
        <v>0</v>
      </c>
      <c r="Z255" s="304">
        <f t="shared" si="170"/>
        <v>0</v>
      </c>
      <c r="AA255" s="304">
        <f t="shared" si="170"/>
        <v>0</v>
      </c>
      <c r="AB255" s="304">
        <f t="shared" si="170"/>
        <v>0</v>
      </c>
      <c r="AC255" s="304">
        <f t="shared" si="170"/>
        <v>0</v>
      </c>
      <c r="AD255" s="304">
        <f t="shared" si="170"/>
        <v>0</v>
      </c>
      <c r="AE255" s="304">
        <f t="shared" si="170"/>
        <v>0</v>
      </c>
      <c r="AF255" s="304">
        <f t="shared" si="170"/>
        <v>0</v>
      </c>
      <c r="AG255" s="304">
        <f t="shared" si="170"/>
        <v>0</v>
      </c>
      <c r="AJ255" s="302"/>
    </row>
    <row r="256" spans="1:37" s="216" customFormat="1">
      <c r="A256" s="216" t="s">
        <v>721</v>
      </c>
      <c r="B256" s="301" t="s">
        <v>127</v>
      </c>
      <c r="C256" s="304">
        <f t="shared" ref="C256:AG256" si="171">C176*C174*C125</f>
        <v>0</v>
      </c>
      <c r="D256" s="304">
        <f t="shared" si="171"/>
        <v>0</v>
      </c>
      <c r="E256" s="304">
        <f t="shared" si="171"/>
        <v>0</v>
      </c>
      <c r="F256" s="304">
        <f t="shared" si="171"/>
        <v>0</v>
      </c>
      <c r="G256" s="304">
        <f t="shared" si="171"/>
        <v>0</v>
      </c>
      <c r="H256" s="304">
        <f t="shared" si="171"/>
        <v>0</v>
      </c>
      <c r="I256" s="304">
        <f t="shared" si="171"/>
        <v>0</v>
      </c>
      <c r="J256" s="304">
        <f t="shared" si="171"/>
        <v>0</v>
      </c>
      <c r="K256" s="304">
        <f t="shared" si="171"/>
        <v>0</v>
      </c>
      <c r="L256" s="304">
        <f t="shared" si="171"/>
        <v>0</v>
      </c>
      <c r="M256" s="304">
        <f t="shared" si="171"/>
        <v>0</v>
      </c>
      <c r="N256" s="304">
        <f t="shared" si="171"/>
        <v>0</v>
      </c>
      <c r="O256" s="304">
        <f t="shared" si="171"/>
        <v>0</v>
      </c>
      <c r="P256" s="304">
        <f t="shared" si="171"/>
        <v>0</v>
      </c>
      <c r="Q256" s="304">
        <f t="shared" si="171"/>
        <v>0</v>
      </c>
      <c r="R256" s="304">
        <f t="shared" si="171"/>
        <v>0</v>
      </c>
      <c r="S256" s="304">
        <f t="shared" si="171"/>
        <v>0</v>
      </c>
      <c r="T256" s="304">
        <f t="shared" si="171"/>
        <v>0</v>
      </c>
      <c r="U256" s="304">
        <f t="shared" si="171"/>
        <v>0</v>
      </c>
      <c r="V256" s="304">
        <f t="shared" si="171"/>
        <v>0</v>
      </c>
      <c r="W256" s="304">
        <f t="shared" si="171"/>
        <v>0</v>
      </c>
      <c r="X256" s="304">
        <f t="shared" si="171"/>
        <v>0</v>
      </c>
      <c r="Y256" s="304">
        <f t="shared" si="171"/>
        <v>0</v>
      </c>
      <c r="Z256" s="304">
        <f t="shared" si="171"/>
        <v>0</v>
      </c>
      <c r="AA256" s="304">
        <f t="shared" si="171"/>
        <v>0</v>
      </c>
      <c r="AB256" s="304">
        <f t="shared" si="171"/>
        <v>0</v>
      </c>
      <c r="AC256" s="304">
        <f t="shared" si="171"/>
        <v>0</v>
      </c>
      <c r="AD256" s="304">
        <f t="shared" si="171"/>
        <v>0</v>
      </c>
      <c r="AE256" s="304">
        <f t="shared" si="171"/>
        <v>0</v>
      </c>
      <c r="AF256" s="304">
        <f t="shared" si="171"/>
        <v>0</v>
      </c>
      <c r="AG256" s="304">
        <f t="shared" si="171"/>
        <v>0</v>
      </c>
      <c r="AJ256" s="302"/>
    </row>
    <row r="257" spans="1:36" s="216" customFormat="1">
      <c r="B257" s="301"/>
      <c r="C257" s="296"/>
      <c r="D257" s="296"/>
      <c r="E257" s="296"/>
      <c r="F257" s="296"/>
      <c r="G257" s="296"/>
      <c r="H257" s="296"/>
      <c r="I257" s="296"/>
      <c r="J257" s="296"/>
      <c r="K257" s="296"/>
      <c r="L257" s="296"/>
      <c r="M257" s="296"/>
      <c r="N257" s="296"/>
      <c r="O257" s="296"/>
      <c r="P257" s="296"/>
      <c r="Q257" s="296"/>
      <c r="R257" s="296"/>
      <c r="S257" s="296"/>
      <c r="T257" s="296"/>
      <c r="U257" s="296"/>
      <c r="V257" s="296"/>
      <c r="W257" s="296"/>
      <c r="X257" s="296"/>
      <c r="Y257" s="296"/>
      <c r="Z257" s="296"/>
      <c r="AA257" s="296"/>
      <c r="AB257" s="296"/>
      <c r="AC257" s="296"/>
      <c r="AD257" s="296"/>
      <c r="AE257" s="296"/>
      <c r="AF257" s="296"/>
      <c r="AG257" s="296"/>
      <c r="AJ257" s="302"/>
    </row>
    <row r="258" spans="1:36" s="216" customFormat="1">
      <c r="A258" s="328" t="s">
        <v>723</v>
      </c>
      <c r="B258" s="329" t="s">
        <v>127</v>
      </c>
      <c r="C258" s="283">
        <f>C236+C237</f>
        <v>83288.685423126662</v>
      </c>
      <c r="D258" s="283">
        <f t="shared" ref="D258:AG258" si="172">D236+D237</f>
        <v>82900.589953665913</v>
      </c>
      <c r="E258" s="283">
        <f t="shared" si="172"/>
        <v>82512.241346888492</v>
      </c>
      <c r="F258" s="283">
        <f t="shared" si="172"/>
        <v>82123.639602794428</v>
      </c>
      <c r="G258" s="283">
        <f t="shared" si="172"/>
        <v>81734.784721383709</v>
      </c>
      <c r="H258" s="283">
        <f t="shared" si="172"/>
        <v>81345.676702656347</v>
      </c>
      <c r="I258" s="283">
        <f t="shared" si="172"/>
        <v>80831.105368066404</v>
      </c>
      <c r="J258" s="283">
        <f t="shared" si="172"/>
        <v>80315.121542654786</v>
      </c>
      <c r="K258" s="283">
        <f t="shared" si="172"/>
        <v>79797.725226421404</v>
      </c>
      <c r="L258" s="283">
        <f t="shared" si="172"/>
        <v>79278.916419366346</v>
      </c>
      <c r="M258" s="283">
        <f t="shared" si="172"/>
        <v>78758.695121489553</v>
      </c>
      <c r="N258" s="283">
        <f t="shared" si="172"/>
        <v>78217.030430427927</v>
      </c>
      <c r="O258" s="283">
        <f t="shared" si="172"/>
        <v>77681.803158136478</v>
      </c>
      <c r="P258" s="283">
        <f t="shared" si="172"/>
        <v>77039.093427368614</v>
      </c>
      <c r="Q258" s="283">
        <f t="shared" si="172"/>
        <v>76397.710954073307</v>
      </c>
      <c r="R258" s="283">
        <f t="shared" si="172"/>
        <v>75757.655738250454</v>
      </c>
      <c r="S258" s="283">
        <f t="shared" si="172"/>
        <v>75118.934095794189</v>
      </c>
      <c r="T258" s="283">
        <f t="shared" si="172"/>
        <v>74481.539766703281</v>
      </c>
      <c r="U258" s="283">
        <f t="shared" si="172"/>
        <v>73845.472750977759</v>
      </c>
      <c r="V258" s="283">
        <f t="shared" si="172"/>
        <v>73210.733048617592</v>
      </c>
      <c r="W258" s="283">
        <f t="shared" si="172"/>
        <v>72577.320659622826</v>
      </c>
      <c r="X258" s="283">
        <f t="shared" si="172"/>
        <v>71917.748645228814</v>
      </c>
      <c r="Y258" s="283">
        <f t="shared" si="172"/>
        <v>71285.851210571098</v>
      </c>
      <c r="Z258" s="283">
        <f t="shared" si="172"/>
        <v>70490.439113154076</v>
      </c>
      <c r="AA258" s="283">
        <f t="shared" si="172"/>
        <v>69702.2025465724</v>
      </c>
      <c r="AB258" s="283">
        <f t="shared" si="172"/>
        <v>68921.141510826157</v>
      </c>
      <c r="AC258" s="283">
        <f t="shared" si="172"/>
        <v>68143.107856038943</v>
      </c>
      <c r="AD258" s="283">
        <f t="shared" si="172"/>
        <v>67372.214578274565</v>
      </c>
      <c r="AE258" s="283">
        <f t="shared" si="172"/>
        <v>66608.46167753308</v>
      </c>
      <c r="AF258" s="283">
        <f t="shared" si="172"/>
        <v>65851.849153814459</v>
      </c>
      <c r="AG258" s="283">
        <f t="shared" si="172"/>
        <v>65102.377007118688</v>
      </c>
      <c r="AI258" s="216" t="s">
        <v>755</v>
      </c>
      <c r="AJ258" s="302"/>
    </row>
    <row r="259" spans="1:36" s="216" customFormat="1">
      <c r="A259" s="332" t="s">
        <v>724</v>
      </c>
      <c r="B259" s="333" t="s">
        <v>127</v>
      </c>
      <c r="C259" s="334">
        <f>C258</f>
        <v>83288.685423126662</v>
      </c>
      <c r="D259" s="334">
        <f t="shared" ref="D259:AG259" si="173">D258</f>
        <v>82900.589953665913</v>
      </c>
      <c r="E259" s="334">
        <f t="shared" si="173"/>
        <v>82512.241346888492</v>
      </c>
      <c r="F259" s="334">
        <f t="shared" si="173"/>
        <v>82123.639602794428</v>
      </c>
      <c r="G259" s="334">
        <f t="shared" si="173"/>
        <v>81734.784721383709</v>
      </c>
      <c r="H259" s="334">
        <f t="shared" si="173"/>
        <v>81345.676702656347</v>
      </c>
      <c r="I259" s="334">
        <f t="shared" si="173"/>
        <v>80831.105368066404</v>
      </c>
      <c r="J259" s="334">
        <f t="shared" si="173"/>
        <v>80315.121542654786</v>
      </c>
      <c r="K259" s="334">
        <f t="shared" si="173"/>
        <v>79797.725226421404</v>
      </c>
      <c r="L259" s="334">
        <f t="shared" si="173"/>
        <v>79278.916419366346</v>
      </c>
      <c r="M259" s="334">
        <f t="shared" si="173"/>
        <v>78758.695121489553</v>
      </c>
      <c r="N259" s="334">
        <f t="shared" si="173"/>
        <v>78217.030430427927</v>
      </c>
      <c r="O259" s="334">
        <f t="shared" si="173"/>
        <v>77681.803158136478</v>
      </c>
      <c r="P259" s="334">
        <f t="shared" si="173"/>
        <v>77039.093427368614</v>
      </c>
      <c r="Q259" s="334">
        <f t="shared" si="173"/>
        <v>76397.710954073307</v>
      </c>
      <c r="R259" s="334">
        <f t="shared" si="173"/>
        <v>75757.655738250454</v>
      </c>
      <c r="S259" s="334">
        <f t="shared" si="173"/>
        <v>75118.934095794189</v>
      </c>
      <c r="T259" s="334">
        <f t="shared" si="173"/>
        <v>74481.539766703281</v>
      </c>
      <c r="U259" s="334">
        <f t="shared" si="173"/>
        <v>73845.472750977759</v>
      </c>
      <c r="V259" s="334">
        <f t="shared" si="173"/>
        <v>73210.733048617592</v>
      </c>
      <c r="W259" s="334">
        <f t="shared" si="173"/>
        <v>72577.320659622826</v>
      </c>
      <c r="X259" s="334">
        <f t="shared" si="173"/>
        <v>71917.748645228814</v>
      </c>
      <c r="Y259" s="334">
        <f t="shared" si="173"/>
        <v>71285.851210571098</v>
      </c>
      <c r="Z259" s="334">
        <f t="shared" si="173"/>
        <v>70490.439113154076</v>
      </c>
      <c r="AA259" s="334">
        <f t="shared" si="173"/>
        <v>69702.2025465724</v>
      </c>
      <c r="AB259" s="334">
        <f t="shared" si="173"/>
        <v>68921.141510826157</v>
      </c>
      <c r="AC259" s="334">
        <f t="shared" si="173"/>
        <v>68143.107856038943</v>
      </c>
      <c r="AD259" s="334">
        <f t="shared" si="173"/>
        <v>67372.214578274565</v>
      </c>
      <c r="AE259" s="334">
        <f t="shared" si="173"/>
        <v>66608.46167753308</v>
      </c>
      <c r="AF259" s="334">
        <f t="shared" si="173"/>
        <v>65851.849153814459</v>
      </c>
      <c r="AG259" s="334">
        <f t="shared" si="173"/>
        <v>65102.377007118688</v>
      </c>
      <c r="AI259" s="216" t="s">
        <v>756</v>
      </c>
      <c r="AJ259" s="302"/>
    </row>
    <row r="260" spans="1:36" s="216" customFormat="1">
      <c r="A260" s="408"/>
      <c r="B260" s="409"/>
      <c r="C260" s="408"/>
      <c r="D260" s="408"/>
      <c r="E260" s="408"/>
      <c r="F260" s="408"/>
      <c r="G260" s="408"/>
      <c r="H260" s="408"/>
      <c r="I260" s="408"/>
      <c r="J260" s="408"/>
      <c r="K260" s="408"/>
      <c r="L260" s="408"/>
      <c r="M260" s="408"/>
      <c r="N260" s="408"/>
      <c r="O260" s="408"/>
      <c r="P260" s="408"/>
      <c r="Q260" s="408"/>
      <c r="R260" s="408"/>
      <c r="S260" s="408"/>
      <c r="T260" s="408"/>
      <c r="U260" s="408"/>
      <c r="V260" s="408"/>
      <c r="W260" s="408"/>
      <c r="X260" s="408"/>
      <c r="Y260" s="408"/>
      <c r="Z260" s="408"/>
      <c r="AA260" s="408"/>
      <c r="AB260" s="408"/>
      <c r="AC260" s="408"/>
      <c r="AD260" s="408"/>
      <c r="AE260" s="408"/>
      <c r="AF260" s="408"/>
      <c r="AG260" s="408"/>
      <c r="AJ260" s="302"/>
    </row>
    <row r="261" spans="1:36">
      <c r="B261" s="123"/>
      <c r="C261" s="216"/>
      <c r="D261" s="216"/>
      <c r="E261" s="216"/>
      <c r="F261" s="216"/>
      <c r="G261" s="216"/>
      <c r="H261" s="216"/>
      <c r="I261" s="216"/>
      <c r="J261" s="216"/>
      <c r="K261" s="216"/>
      <c r="L261" s="216"/>
      <c r="M261" s="216"/>
      <c r="N261" s="216"/>
      <c r="O261" s="216"/>
      <c r="P261" s="216"/>
      <c r="Q261" s="216"/>
      <c r="R261" s="216"/>
      <c r="S261" s="216"/>
      <c r="T261" s="216"/>
      <c r="U261" s="216"/>
      <c r="V261" s="216"/>
      <c r="W261" s="216"/>
      <c r="X261" s="216"/>
      <c r="Y261" s="216"/>
      <c r="Z261" s="216"/>
      <c r="AA261" s="216"/>
      <c r="AB261" s="216"/>
      <c r="AC261" s="216"/>
      <c r="AD261" s="216"/>
      <c r="AE261" s="216"/>
      <c r="AF261" s="216"/>
      <c r="AG261" s="216"/>
      <c r="AI261" s="22"/>
    </row>
    <row r="262" spans="1:36">
      <c r="B262" s="123"/>
      <c r="C262" s="216"/>
      <c r="D262" s="216"/>
      <c r="E262" s="216"/>
      <c r="F262" s="216"/>
      <c r="G262" s="216"/>
      <c r="H262" s="216"/>
      <c r="I262" s="216"/>
      <c r="J262" s="216"/>
      <c r="K262" s="216"/>
      <c r="L262" s="216"/>
      <c r="M262" s="216"/>
      <c r="N262" s="216"/>
      <c r="O262" s="216"/>
      <c r="P262" s="216"/>
      <c r="Q262" s="216"/>
      <c r="R262" s="216"/>
      <c r="S262" s="216"/>
      <c r="T262" s="216"/>
      <c r="U262" s="216"/>
      <c r="V262" s="216"/>
      <c r="W262" s="216"/>
      <c r="X262" s="216"/>
      <c r="Y262" s="216"/>
      <c r="Z262" s="216"/>
      <c r="AA262" s="216"/>
      <c r="AB262" s="216"/>
      <c r="AC262" s="216"/>
      <c r="AD262" s="216"/>
      <c r="AE262" s="216"/>
      <c r="AF262" s="216"/>
      <c r="AG262" s="216"/>
      <c r="AI262" s="201"/>
    </row>
  </sheetData>
  <mergeCells count="5">
    <mergeCell ref="BD83:BE83"/>
    <mergeCell ref="BD88:BE88"/>
    <mergeCell ref="BD93:BE93"/>
    <mergeCell ref="BD101:BE101"/>
    <mergeCell ref="AI229:AI237"/>
  </mergeCells>
  <hyperlinks>
    <hyperlink ref="AJ87" r:id="rId1" xr:uid="{E6898401-9604-4F2C-BEE2-DBBE22AB5F8B}"/>
  </hyperlinks>
  <pageMargins left="0.7" right="0.7" top="0.75" bottom="0.75" header="0.3" footer="0.3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B8004-F306-4FF8-9166-EDF7F35CE901}">
  <sheetPr>
    <tabColor theme="4"/>
  </sheetPr>
  <dimension ref="B1:AB116"/>
  <sheetViews>
    <sheetView workbookViewId="0">
      <selection activeCell="J59" sqref="J59"/>
    </sheetView>
  </sheetViews>
  <sheetFormatPr defaultRowHeight="14.75"/>
  <cols>
    <col min="2" max="2" width="27.54296875" customWidth="1"/>
    <col min="3" max="3" width="12.81640625" customWidth="1"/>
    <col min="4" max="5" width="10.81640625" customWidth="1"/>
    <col min="9" max="9" width="13.08984375" customWidth="1"/>
    <col min="10" max="10" width="15" customWidth="1"/>
    <col min="11" max="11" width="12.08984375" customWidth="1"/>
    <col min="15" max="15" width="23.54296875" customWidth="1"/>
    <col min="16" max="16" width="16.36328125" customWidth="1"/>
    <col min="17" max="17" width="14.36328125" customWidth="1"/>
    <col min="18" max="18" width="19.08984375" customWidth="1"/>
    <col min="19" max="19" width="23.08984375" customWidth="1"/>
    <col min="21" max="22" width="20" bestFit="1" customWidth="1"/>
    <col min="27" max="27" width="20" bestFit="1" customWidth="1"/>
  </cols>
  <sheetData>
    <row r="1" spans="2:28">
      <c r="B1" s="1">
        <v>2015</v>
      </c>
    </row>
    <row r="2" spans="2:28">
      <c r="B2" s="341" t="s">
        <v>763</v>
      </c>
      <c r="C2" s="340" t="s">
        <v>141</v>
      </c>
      <c r="D2" s="338" t="s">
        <v>140</v>
      </c>
      <c r="E2" s="339" t="s">
        <v>74</v>
      </c>
      <c r="F2" s="338" t="s">
        <v>34</v>
      </c>
      <c r="G2" s="338" t="s">
        <v>35</v>
      </c>
      <c r="H2" s="338" t="s">
        <v>160</v>
      </c>
      <c r="I2" s="344" t="s">
        <v>27</v>
      </c>
      <c r="J2" s="345" t="s">
        <v>78</v>
      </c>
      <c r="O2" t="s">
        <v>785</v>
      </c>
    </row>
    <row r="3" spans="2:28">
      <c r="B3" s="342" t="s">
        <v>764</v>
      </c>
      <c r="C3" s="246">
        <f>'Waste gen. - Industry shares'!$B28*('Production - Industry shares'!B46/'Production - Industry shares'!$I46)</f>
        <v>1501710.8545154487</v>
      </c>
      <c r="D3" s="246">
        <f>'Waste gen. - Industry shares'!$B28*('Production - Industry shares'!C46/'Production - Industry shares'!$I46)</f>
        <v>660392.53372564132</v>
      </c>
      <c r="E3" s="246">
        <f>'Waste gen. - Industry shares'!$B28*('Production - Industry shares'!D46/'Production - Industry shares'!$I46)</f>
        <v>224708.55852238461</v>
      </c>
      <c r="F3" s="246">
        <f>'Waste gen. - Industry shares'!$B28*('Production - Industry shares'!E46/'Production - Industry shares'!$I46)</f>
        <v>82210.448239896825</v>
      </c>
      <c r="G3" s="246">
        <f>'Waste gen. - Industry shares'!$B28*('Production - Industry shares'!F46/'Production - Industry shares'!$I46)</f>
        <v>553550.35148197203</v>
      </c>
      <c r="H3" s="246">
        <f>'Waste gen. - Industry shares'!$B28*('Production - Industry shares'!G46/'Production - Industry shares'!$I46)</f>
        <v>65768.358591917466</v>
      </c>
      <c r="I3" s="246">
        <f>'Waste gen. - Industry shares'!$B28*('Production - Industry shares'!H46/'Production - Industry shares'!$I46)</f>
        <v>16442.089647979366</v>
      </c>
      <c r="J3" s="348">
        <f>SUM(C3:I3)</f>
        <v>3104783.1947252401</v>
      </c>
      <c r="O3" t="s">
        <v>779</v>
      </c>
      <c r="P3" t="s">
        <v>786</v>
      </c>
      <c r="Q3" t="s">
        <v>787</v>
      </c>
      <c r="R3" t="s">
        <v>788</v>
      </c>
      <c r="S3" t="s">
        <v>789</v>
      </c>
      <c r="T3" t="s">
        <v>21</v>
      </c>
      <c r="U3" t="s">
        <v>790</v>
      </c>
      <c r="V3" t="s">
        <v>791</v>
      </c>
      <c r="W3" t="s">
        <v>792</v>
      </c>
      <c r="X3" t="s">
        <v>27</v>
      </c>
      <c r="Y3" t="s">
        <v>793</v>
      </c>
    </row>
    <row r="4" spans="2:28">
      <c r="B4" s="342" t="s">
        <v>19</v>
      </c>
      <c r="C4" s="246">
        <f>'Waste gen. - Industry shares'!$B29*('Production - Industry shares'!B47/'Production - Industry shares'!$I47)</f>
        <v>53400.903553028162</v>
      </c>
      <c r="D4" s="246">
        <f>'Waste gen. - Industry shares'!$B29*('Production - Industry shares'!C47/'Production - Industry shares'!$I47)</f>
        <v>16963.383043827802</v>
      </c>
      <c r="E4" s="246">
        <f>'Waste gen. - Industry shares'!$B29*('Production - Industry shares'!D47/'Production - Industry shares'!$I47)</f>
        <v>26700.451776514081</v>
      </c>
      <c r="F4" s="246">
        <f>'Waste gen. - Industry shares'!$B29*('Production - Industry shares'!E47/'Production - Industry shares'!$I47)</f>
        <v>98306.208813529127</v>
      </c>
      <c r="G4" s="246">
        <f>'Waste gen. - Industry shares'!$B29*('Production - Industry shares'!F47/'Production - Industry shares'!$I47)</f>
        <v>0</v>
      </c>
      <c r="H4" s="246">
        <f>'Waste gen. - Industry shares'!$B29*('Production - Industry shares'!G47/'Production - Industry shares'!$I47)</f>
        <v>29127.765574379002</v>
      </c>
      <c r="I4" s="246">
        <f>'Waste gen. - Industry shares'!$B29*('Production - Industry shares'!H47/'Production - Industry shares'!$I47)</f>
        <v>6068.2844946622927</v>
      </c>
      <c r="J4" s="348">
        <f t="shared" ref="J4:J7" si="0">SUM(C4:I4)</f>
        <v>230566.99725594046</v>
      </c>
      <c r="N4" t="s">
        <v>35</v>
      </c>
      <c r="O4" s="23">
        <v>3.0599999999999999E-2</v>
      </c>
      <c r="P4" s="23">
        <v>1.21E-2</v>
      </c>
      <c r="Q4" s="23">
        <v>5.4000000000000003E-3</v>
      </c>
      <c r="R4" s="23">
        <v>1.3899999999999999E-2</v>
      </c>
      <c r="S4" s="23">
        <v>2.8999999999999998E-3</v>
      </c>
      <c r="T4" s="23">
        <v>0</v>
      </c>
      <c r="U4" s="23">
        <v>0</v>
      </c>
      <c r="V4" s="23">
        <v>0</v>
      </c>
      <c r="W4" s="23">
        <v>0</v>
      </c>
      <c r="X4" s="23">
        <v>8.0000000000000004E-4</v>
      </c>
      <c r="Y4" s="23">
        <v>5.1999999999999998E-3</v>
      </c>
      <c r="Z4" s="359">
        <f>SUM(O4:Y4)</f>
        <v>7.0899999999999991E-2</v>
      </c>
      <c r="AA4" s="359">
        <f>Z4/$Z$9</f>
        <v>0.38016085790884713</v>
      </c>
      <c r="AB4" s="6">
        <v>0.38</v>
      </c>
    </row>
    <row r="5" spans="2:28">
      <c r="B5" s="342" t="s">
        <v>333</v>
      </c>
      <c r="C5" s="246">
        <f>'Waste gen. - Industry shares'!$B30*('Production - Industry shares'!B48/'Production - Industry shares'!$I48)</f>
        <v>37692.997773852789</v>
      </c>
      <c r="D5" s="246">
        <f>'Waste gen. - Industry shares'!$B30*('Production - Industry shares'!C48/'Production - Industry shares'!$I48)</f>
        <v>117171.12467556435</v>
      </c>
      <c r="E5" s="246">
        <f>'Waste gen. - Industry shares'!$B30*('Production - Industry shares'!D48/'Production - Industry shares'!$I48)</f>
        <v>0</v>
      </c>
      <c r="F5" s="246">
        <f>'Waste gen. - Industry shares'!$B30*('Production - Industry shares'!E48/'Production - Industry shares'!$I48)</f>
        <v>12564.332591284265</v>
      </c>
      <c r="G5" s="246">
        <f>'Waste gen. - Industry shares'!$B30*('Production - Industry shares'!F48/'Production - Industry shares'!$I48)</f>
        <v>0</v>
      </c>
      <c r="H5" s="246">
        <f>'Waste gen. - Industry shares'!$B30*('Production - Industry shares'!G48/'Production - Industry shares'!$I48)</f>
        <v>33504.88691009138</v>
      </c>
      <c r="I5" s="246">
        <f>'Waste gen. - Industry shares'!$B30*('Production - Industry shares'!H48/'Production - Industry shares'!$I48)</f>
        <v>92138.439002751271</v>
      </c>
      <c r="J5" s="348">
        <f t="shared" si="0"/>
        <v>293071.78095354408</v>
      </c>
      <c r="N5" t="s">
        <v>9</v>
      </c>
      <c r="O5" s="23">
        <v>0</v>
      </c>
      <c r="P5" s="23">
        <v>1.6000000000000001E-3</v>
      </c>
      <c r="Q5" s="23">
        <v>0</v>
      </c>
      <c r="R5" s="23">
        <v>0</v>
      </c>
      <c r="S5" s="23">
        <v>1.8200000000000001E-2</v>
      </c>
      <c r="T5" s="23">
        <v>3.3999999999999998E-3</v>
      </c>
      <c r="U5" s="23">
        <v>0.02</v>
      </c>
      <c r="V5" s="23">
        <v>1.9900000000000001E-2</v>
      </c>
      <c r="W5" s="23">
        <v>0</v>
      </c>
      <c r="X5" s="23">
        <v>1.6000000000000001E-3</v>
      </c>
      <c r="Y5" s="23">
        <v>7.6E-3</v>
      </c>
      <c r="Z5" s="359">
        <f t="shared" ref="Z5:Z8" si="1">SUM(O5:Y5)</f>
        <v>7.2300000000000003E-2</v>
      </c>
      <c r="AA5" s="359">
        <f t="shared" ref="AA5:AA8" si="2">Z5/$Z$9</f>
        <v>0.38766756032171584</v>
      </c>
      <c r="AB5" s="359">
        <v>0.51900000000000002</v>
      </c>
    </row>
    <row r="6" spans="2:28">
      <c r="B6" s="342" t="s">
        <v>365</v>
      </c>
      <c r="C6" s="246">
        <f>'Waste gen. - Industry shares'!$B31*('Production - Industry shares'!B49/'Production - Industry shares'!$I49)</f>
        <v>0</v>
      </c>
      <c r="D6" s="246">
        <f>'Waste gen. - Industry shares'!$B31*('Production - Industry shares'!C49/'Production - Industry shares'!$I49)</f>
        <v>0</v>
      </c>
      <c r="E6" s="246">
        <f>'Waste gen. - Industry shares'!$B31*('Production - Industry shares'!D49/'Production - Industry shares'!$I49)</f>
        <v>0</v>
      </c>
      <c r="F6" s="246">
        <f>'Waste gen. - Industry shares'!$B31*('Production - Industry shares'!E49/'Production - Industry shares'!$I49)</f>
        <v>0</v>
      </c>
      <c r="G6" s="246">
        <f>'Waste gen. - Industry shares'!$B31*('Production - Industry shares'!F49/'Production - Industry shares'!$I49)</f>
        <v>583067.22870733414</v>
      </c>
      <c r="H6" s="246">
        <f>'Waste gen. - Industry shares'!$B31*('Production - Industry shares'!G49/'Production - Industry shares'!$I49)</f>
        <v>0</v>
      </c>
      <c r="I6" s="246">
        <f>'Waste gen. - Industry shares'!$B31*('Production - Industry shares'!H49/'Production - Industry shares'!$I49)</f>
        <v>84.453508704276786</v>
      </c>
      <c r="J6" s="348">
        <f t="shared" si="0"/>
        <v>583151.68221603846</v>
      </c>
      <c r="N6" t="s">
        <v>140</v>
      </c>
      <c r="O6" s="23">
        <v>0</v>
      </c>
      <c r="P6" s="23">
        <v>0</v>
      </c>
      <c r="Q6" s="23">
        <v>0</v>
      </c>
      <c r="R6" s="23">
        <v>0</v>
      </c>
      <c r="S6" s="23">
        <v>0</v>
      </c>
      <c r="T6" s="23">
        <v>0</v>
      </c>
      <c r="U6" s="23">
        <v>0</v>
      </c>
      <c r="V6" s="23">
        <v>1.5800000000000002E-2</v>
      </c>
      <c r="W6" s="23">
        <v>0</v>
      </c>
      <c r="X6" s="23">
        <v>0</v>
      </c>
      <c r="Y6" s="23">
        <v>2.3999999999999998E-3</v>
      </c>
      <c r="Z6" s="359">
        <f t="shared" si="1"/>
        <v>1.8200000000000001E-2</v>
      </c>
      <c r="AA6" s="359">
        <f t="shared" si="2"/>
        <v>9.7587131367292232E-2</v>
      </c>
      <c r="AB6" s="6">
        <v>0.1</v>
      </c>
    </row>
    <row r="7" spans="2:28">
      <c r="B7" s="342" t="s">
        <v>27</v>
      </c>
      <c r="C7" s="246">
        <f>'Waste gen. - Industry shares'!$B32*('Production - Industry shares'!B50/'Production - Industry shares'!$I50)</f>
        <v>337413.91354105534</v>
      </c>
      <c r="D7" s="246">
        <f>'Waste gen. - Industry shares'!$B32*('Production - Industry shares'!C50/'Production - Industry shares'!$I50)</f>
        <v>501380.86761776649</v>
      </c>
      <c r="E7" s="246">
        <f>'Waste gen. - Industry shares'!$B32*('Production - Industry shares'!D50/'Production - Industry shares'!$I50)</f>
        <v>121843.9132231589</v>
      </c>
      <c r="F7" s="246">
        <f>'Waste gen. - Industry shares'!$B32*('Production - Industry shares'!E50/'Production - Industry shares'!$I50)</f>
        <v>168706.9567705277</v>
      </c>
      <c r="G7" s="246">
        <f>'Waste gen. - Industry shares'!$B32*('Production - Industry shares'!F50/'Production - Industry shares'!$I50)</f>
        <v>0</v>
      </c>
      <c r="H7" s="246">
        <f>'Waste gen. - Industry shares'!$B32*('Production - Industry shares'!G50/'Production - Industry shares'!$I50)</f>
        <v>299923.47870316042</v>
      </c>
      <c r="I7" s="246">
        <f>'Waste gen. - Industry shares'!$B32*('Production - Industry shares'!H50/'Production - Industry shares'!$I50)</f>
        <v>243687.82644631781</v>
      </c>
      <c r="J7" s="348">
        <f t="shared" si="0"/>
        <v>1672956.9563019869</v>
      </c>
      <c r="N7" t="s">
        <v>29</v>
      </c>
      <c r="O7" s="23">
        <v>0</v>
      </c>
      <c r="P7" s="23">
        <v>8.9999999999999993E-3</v>
      </c>
      <c r="Q7" s="23">
        <v>0</v>
      </c>
      <c r="R7" s="23">
        <v>0</v>
      </c>
      <c r="S7" s="23">
        <v>0</v>
      </c>
      <c r="T7" s="23">
        <v>0</v>
      </c>
      <c r="U7" s="23">
        <v>0</v>
      </c>
      <c r="V7" s="23">
        <v>0</v>
      </c>
      <c r="W7" s="23">
        <v>3.0999999999999999E-3</v>
      </c>
      <c r="X7" s="23">
        <v>1.5E-3</v>
      </c>
      <c r="Y7" s="23">
        <v>1.1299999999999999E-2</v>
      </c>
      <c r="Z7" s="359">
        <f t="shared" si="1"/>
        <v>2.4899999999999999E-2</v>
      </c>
      <c r="AA7" s="359">
        <f t="shared" si="2"/>
        <v>0.13351206434316354</v>
      </c>
    </row>
    <row r="8" spans="2:28">
      <c r="B8" s="341" t="s">
        <v>78</v>
      </c>
      <c r="C8" s="346">
        <f>SUM(C3:C7)</f>
        <v>1930218.669383385</v>
      </c>
      <c r="D8" s="346">
        <f t="shared" ref="D8:I8" si="3">SUM(D3:D7)</f>
        <v>1295907.9090628</v>
      </c>
      <c r="E8" s="346">
        <f t="shared" si="3"/>
        <v>373252.92352205759</v>
      </c>
      <c r="F8" s="346">
        <f t="shared" si="3"/>
        <v>361787.94641523797</v>
      </c>
      <c r="G8" s="346">
        <f t="shared" si="3"/>
        <v>1136617.5801893063</v>
      </c>
      <c r="H8" s="346">
        <f t="shared" si="3"/>
        <v>428324.48977954825</v>
      </c>
      <c r="I8" s="346">
        <f t="shared" si="3"/>
        <v>358421.09310041502</v>
      </c>
      <c r="J8" s="347">
        <f>SUM(J3:J7)</f>
        <v>5884530.6114527509</v>
      </c>
      <c r="N8" t="s">
        <v>33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2.0000000000000001E-4</v>
      </c>
      <c r="Z8" s="359">
        <f t="shared" si="1"/>
        <v>2.0000000000000001E-4</v>
      </c>
      <c r="AA8" s="359">
        <f t="shared" si="2"/>
        <v>1.0723860589812334E-3</v>
      </c>
      <c r="AB8" s="359">
        <v>0.1</v>
      </c>
    </row>
    <row r="9" spans="2:28">
      <c r="Z9" s="359">
        <f>SUM(Z4:Z8)</f>
        <v>0.1865</v>
      </c>
      <c r="AA9" s="359">
        <f>SUM(AA4:AA8)</f>
        <v>1</v>
      </c>
    </row>
    <row r="10" spans="2:28">
      <c r="B10" s="1">
        <v>2020</v>
      </c>
      <c r="O10" s="252"/>
    </row>
    <row r="11" spans="2:28">
      <c r="B11" s="341" t="s">
        <v>763</v>
      </c>
      <c r="C11" s="340" t="s">
        <v>141</v>
      </c>
      <c r="D11" s="338" t="s">
        <v>140</v>
      </c>
      <c r="E11" s="339" t="s">
        <v>74</v>
      </c>
      <c r="F11" s="338" t="s">
        <v>34</v>
      </c>
      <c r="G11" s="338" t="s">
        <v>35</v>
      </c>
      <c r="H11" s="338" t="s">
        <v>160</v>
      </c>
      <c r="I11" s="344" t="s">
        <v>27</v>
      </c>
      <c r="J11" s="345" t="s">
        <v>78</v>
      </c>
      <c r="N11" t="s">
        <v>819</v>
      </c>
      <c r="O11" t="s">
        <v>555</v>
      </c>
      <c r="P11" t="s">
        <v>820</v>
      </c>
      <c r="Q11" t="s">
        <v>21</v>
      </c>
      <c r="R11" t="s">
        <v>291</v>
      </c>
      <c r="S11" t="s">
        <v>27</v>
      </c>
      <c r="T11" t="s">
        <v>793</v>
      </c>
    </row>
    <row r="12" spans="2:28">
      <c r="B12" s="342" t="s">
        <v>764</v>
      </c>
      <c r="C12" s="246">
        <f>'Waste gen. - Industry shares'!$B36*('Production - Industry shares'!B46/'Production - Industry shares'!$I46)</f>
        <v>1740894.4607346586</v>
      </c>
      <c r="D12" s="246">
        <f>'Waste gen. - Industry shares'!$B36*('Production - Industry shares'!C46/'Production - Industry shares'!$I46)</f>
        <v>765575.94320942427</v>
      </c>
      <c r="E12" s="246">
        <f>'Waste gen. - Industry shares'!$B36*('Production - Industry shares'!D46/'Production - Industry shares'!$I46)</f>
        <v>260498.80616832475</v>
      </c>
      <c r="F12" s="246">
        <f>'Waste gen. - Industry shares'!$B36*('Production - Industry shares'!E46/'Production - Industry shares'!$I46)</f>
        <v>95304.441281094434</v>
      </c>
      <c r="G12" s="246">
        <f>'Waste gen. - Industry shares'!$B36*('Production - Industry shares'!F46/'Production - Industry shares'!$I46)</f>
        <v>641716.57129270257</v>
      </c>
      <c r="H12" s="246">
        <f>'Waste gen. - Industry shares'!$B36*('Production - Industry shares'!G46/'Production - Industry shares'!$I46)</f>
        <v>76243.553024875553</v>
      </c>
      <c r="I12" s="246">
        <f>'Waste gen. - Industry shares'!$B36*('Production - Industry shares'!H46/'Production - Industry shares'!$I46)</f>
        <v>19060.888256218888</v>
      </c>
      <c r="J12" s="348">
        <f>SUM(C12:I12)</f>
        <v>3599294.6639672988</v>
      </c>
      <c r="N12" t="s">
        <v>141</v>
      </c>
      <c r="O12" s="359">
        <f>SUM(P5,Q5,R5,S5,V5,W5,P7,Q7,R7,S7,V7,W7)</f>
        <v>5.1799999999999999E-2</v>
      </c>
      <c r="P12" s="359">
        <f>O5+O7</f>
        <v>0</v>
      </c>
      <c r="Q12" s="359">
        <f>T5+T7</f>
        <v>3.3999999999999998E-3</v>
      </c>
      <c r="R12" s="359">
        <f>U5+U7</f>
        <v>0.02</v>
      </c>
      <c r="S12" s="359">
        <f>X5+X7</f>
        <v>3.1000000000000003E-3</v>
      </c>
      <c r="T12" s="359">
        <f>Y5+Y7</f>
        <v>1.89E-2</v>
      </c>
    </row>
    <row r="13" spans="2:28">
      <c r="B13" s="342" t="s">
        <v>19</v>
      </c>
      <c r="C13" s="246">
        <f>'Waste gen. - Industry shares'!$B37*('Production - Industry shares'!B47/'Production - Industry shares'!$I47)</f>
        <v>61906.283033220287</v>
      </c>
      <c r="D13" s="246">
        <f>'Waste gen. - Industry shares'!$B37*('Production - Industry shares'!C47/'Production - Industry shares'!$I47)</f>
        <v>19665.210175129789</v>
      </c>
      <c r="E13" s="246">
        <f>'Waste gen. - Industry shares'!$B37*('Production - Industry shares'!D47/'Production - Industry shares'!$I47)</f>
        <v>30953.141516610143</v>
      </c>
      <c r="F13" s="246">
        <f>'Waste gen. - Industry shares'!$B37*('Production - Industry shares'!E47/'Production - Industry shares'!$I47)</f>
        <v>113963.83922024646</v>
      </c>
      <c r="G13" s="246">
        <f>'Waste gen. - Industry shares'!$B37*('Production - Industry shares'!F47/'Production - Industry shares'!$I47)</f>
        <v>0</v>
      </c>
      <c r="H13" s="246">
        <f>'Waste gen. - Industry shares'!$B37*('Production - Industry shares'!G47/'Production - Industry shares'!$I47)</f>
        <v>33767.063472665621</v>
      </c>
      <c r="I13" s="246">
        <f>'Waste gen. - Industry shares'!$B37*('Production - Industry shares'!H47/'Production - Industry shares'!$I47)</f>
        <v>7034.804890138671</v>
      </c>
      <c r="J13" s="348">
        <f t="shared" ref="J13:J16" si="4">SUM(C13:I13)</f>
        <v>267290.34230801096</v>
      </c>
      <c r="N13" t="s">
        <v>140</v>
      </c>
      <c r="O13" s="359">
        <f>SUM(P6,Q6,R6,S6,V6,W6)</f>
        <v>1.5800000000000002E-2</v>
      </c>
      <c r="P13" s="359">
        <f>O6</f>
        <v>0</v>
      </c>
      <c r="Q13" s="359">
        <f>T6</f>
        <v>0</v>
      </c>
      <c r="R13" s="359">
        <f>U6</f>
        <v>0</v>
      </c>
      <c r="S13" s="359">
        <f>X6</f>
        <v>0</v>
      </c>
      <c r="T13" s="359">
        <f>Y6</f>
        <v>2.3999999999999998E-3</v>
      </c>
    </row>
    <row r="14" spans="2:28">
      <c r="B14" s="342" t="s">
        <v>333</v>
      </c>
      <c r="C14" s="246">
        <f>'Waste gen. - Industry shares'!$B38*('Production - Industry shares'!B48/'Production - Industry shares'!$I48)</f>
        <v>43696.515101875142</v>
      </c>
      <c r="D14" s="246">
        <f>'Waste gen. - Industry shares'!$B38*('Production - Industry shares'!C48/'Production - Industry shares'!$I48)</f>
        <v>135833.44709295474</v>
      </c>
      <c r="E14" s="246">
        <f>'Waste gen. - Industry shares'!$B38*('Production - Industry shares'!D48/'Production - Industry shares'!$I48)</f>
        <v>0</v>
      </c>
      <c r="F14" s="246">
        <f>'Waste gen. - Industry shares'!$B38*('Production - Industry shares'!E48/'Production - Industry shares'!$I48)</f>
        <v>14565.505033958385</v>
      </c>
      <c r="G14" s="246">
        <f>'Waste gen. - Industry shares'!$B38*('Production - Industry shares'!F48/'Production - Industry shares'!$I48)</f>
        <v>0</v>
      </c>
      <c r="H14" s="246">
        <f>'Waste gen. - Industry shares'!$B38*('Production - Industry shares'!G48/'Production - Industry shares'!$I48)</f>
        <v>38841.346757222367</v>
      </c>
      <c r="I14" s="246">
        <f>'Waste gen. - Industry shares'!$B38*('Production - Industry shares'!H48/'Production - Industry shares'!$I48)</f>
        <v>106813.70358236147</v>
      </c>
      <c r="J14" s="348">
        <f t="shared" si="4"/>
        <v>339750.51756837213</v>
      </c>
      <c r="N14" t="s">
        <v>74</v>
      </c>
      <c r="O14" s="359">
        <f>SUM(P8,Q8,R8,S8,V8,W8)</f>
        <v>0</v>
      </c>
      <c r="P14" s="359">
        <f>O8</f>
        <v>0</v>
      </c>
      <c r="Q14" s="359">
        <f>T8</f>
        <v>0</v>
      </c>
      <c r="R14" s="359">
        <f>U8</f>
        <v>0</v>
      </c>
      <c r="S14" s="359">
        <f>X8</f>
        <v>0</v>
      </c>
      <c r="T14" s="359">
        <f>Y4</f>
        <v>5.1999999999999998E-3</v>
      </c>
    </row>
    <row r="15" spans="2:28">
      <c r="B15" s="342" t="s">
        <v>365</v>
      </c>
      <c r="C15" s="246">
        <f>'Waste gen. - Industry shares'!$B39*('Production - Industry shares'!B49/'Production - Industry shares'!$I49)</f>
        <v>0</v>
      </c>
      <c r="D15" s="246">
        <f>'Waste gen. - Industry shares'!$B39*('Production - Industry shares'!C49/'Production - Industry shares'!$I49)</f>
        <v>0</v>
      </c>
      <c r="E15" s="246">
        <f>'Waste gen. - Industry shares'!$B39*('Production - Industry shares'!D49/'Production - Industry shares'!$I49)</f>
        <v>0</v>
      </c>
      <c r="F15" s="246">
        <f>'Waste gen. - Industry shares'!$B39*('Production - Industry shares'!E49/'Production - Industry shares'!$I49)</f>
        <v>0</v>
      </c>
      <c r="G15" s="246">
        <f>'Waste gen. - Industry shares'!$B39*('Production - Industry shares'!F49/'Production - Industry shares'!$I49)</f>
        <v>675934.72181436105</v>
      </c>
      <c r="H15" s="246">
        <f>'Waste gen. - Industry shares'!$B39*('Production - Industry shares'!G49/'Production - Industry shares'!$I49)</f>
        <v>0</v>
      </c>
      <c r="I15" s="246">
        <f>'Waste gen. - Industry shares'!$B39*('Production - Industry shares'!H49/'Production - Industry shares'!$I49)</f>
        <v>97.904763124537467</v>
      </c>
      <c r="J15" s="348">
        <f t="shared" si="4"/>
        <v>676032.62657748559</v>
      </c>
      <c r="N15" t="s">
        <v>35</v>
      </c>
      <c r="O15" s="359">
        <f>SUM(P4,Q4,R4,S4,V4,W4)</f>
        <v>3.4299999999999997E-2</v>
      </c>
      <c r="P15" s="359">
        <f>O4</f>
        <v>3.0599999999999999E-2</v>
      </c>
      <c r="Q15" s="359">
        <f>T4</f>
        <v>0</v>
      </c>
      <c r="R15" s="359">
        <f>U4</f>
        <v>0</v>
      </c>
      <c r="S15" s="359">
        <f>X4</f>
        <v>8.0000000000000004E-4</v>
      </c>
      <c r="T15" s="359">
        <f>Y8</f>
        <v>2.0000000000000001E-4</v>
      </c>
    </row>
    <row r="16" spans="2:28">
      <c r="B16" s="342" t="s">
        <v>27</v>
      </c>
      <c r="C16" s="246">
        <f>'Waste gen. - Industry shares'!$B40*('Production - Industry shares'!B50/'Production - Industry shares'!$I50)</f>
        <v>391155.20227624709</v>
      </c>
      <c r="D16" s="246">
        <f>'Waste gen. - Industry shares'!$B40*('Production - Industry shares'!C50/'Production - Industry shares'!$I50)</f>
        <v>581237.84117931698</v>
      </c>
      <c r="E16" s="246">
        <f>'Waste gen. - Industry shares'!$B40*('Production - Industry shares'!D50/'Production - Industry shares'!$I50)</f>
        <v>141250.48971086703</v>
      </c>
      <c r="F16" s="246">
        <f>'Waste gen. - Industry shares'!$B40*('Production - Industry shares'!E50/'Production - Industry shares'!$I50)</f>
        <v>195577.6011381236</v>
      </c>
      <c r="G16" s="246">
        <f>'Waste gen. - Industry shares'!$B40*('Production - Industry shares'!F50/'Production - Industry shares'!$I50)</f>
        <v>0</v>
      </c>
      <c r="H16" s="246">
        <f>'Waste gen. - Industry shares'!$B40*('Production - Industry shares'!G50/'Production - Industry shares'!$I50)</f>
        <v>347693.51313444198</v>
      </c>
      <c r="I16" s="246">
        <f>'Waste gen. - Industry shares'!$B40*('Production - Industry shares'!H50/'Production - Industry shares'!$I50)</f>
        <v>282500.97942173405</v>
      </c>
      <c r="J16" s="348">
        <f t="shared" si="4"/>
        <v>1939415.6268607308</v>
      </c>
    </row>
    <row r="17" spans="2:14">
      <c r="B17" s="341" t="s">
        <v>78</v>
      </c>
      <c r="C17" s="346">
        <f>SUM(C12:C16)</f>
        <v>2237652.4611460012</v>
      </c>
      <c r="D17" s="346">
        <f t="shared" ref="D17" si="5">SUM(D12:D16)</f>
        <v>1502312.4416568258</v>
      </c>
      <c r="E17" s="346">
        <f t="shared" ref="E17" si="6">SUM(E12:E16)</f>
        <v>432702.43739580188</v>
      </c>
      <c r="F17" s="346">
        <f t="shared" ref="F17" si="7">SUM(F12:F16)</f>
        <v>419411.38667342288</v>
      </c>
      <c r="G17" s="346">
        <f t="shared" ref="G17" si="8">SUM(G12:G16)</f>
        <v>1317651.2931070635</v>
      </c>
      <c r="H17" s="346">
        <f t="shared" ref="H17" si="9">SUM(H12:H16)</f>
        <v>496545.47638920555</v>
      </c>
      <c r="I17" s="346">
        <f t="shared" ref="I17" si="10">SUM(I12:I16)</f>
        <v>415508.28091357765</v>
      </c>
      <c r="J17" s="347">
        <f>SUM(J12:J16)</f>
        <v>6821783.7772818971</v>
      </c>
    </row>
    <row r="19" spans="2:14">
      <c r="B19" s="1">
        <v>2020</v>
      </c>
    </row>
    <row r="20" spans="2:14">
      <c r="B20" s="341" t="s">
        <v>778</v>
      </c>
      <c r="C20" s="340" t="s">
        <v>141</v>
      </c>
      <c r="D20" s="338" t="s">
        <v>140</v>
      </c>
      <c r="E20" s="339" t="s">
        <v>74</v>
      </c>
      <c r="F20" s="338" t="s">
        <v>34</v>
      </c>
      <c r="G20" s="338" t="s">
        <v>35</v>
      </c>
      <c r="H20" s="338" t="s">
        <v>160</v>
      </c>
      <c r="I20" s="344" t="s">
        <v>27</v>
      </c>
      <c r="J20" s="345" t="s">
        <v>78</v>
      </c>
    </row>
    <row r="21" spans="2:14">
      <c r="B21" s="342" t="s">
        <v>764</v>
      </c>
      <c r="C21" s="201">
        <v>0.51900000000000002</v>
      </c>
      <c r="D21" s="201">
        <v>0.1</v>
      </c>
      <c r="E21" s="201">
        <v>1E-3</v>
      </c>
      <c r="F21" s="201">
        <v>0</v>
      </c>
      <c r="G21" s="201">
        <v>0.38</v>
      </c>
      <c r="H21" s="201">
        <v>0</v>
      </c>
      <c r="I21" s="201">
        <v>0</v>
      </c>
      <c r="J21" s="358">
        <f>SUM(C21:I21)</f>
        <v>1</v>
      </c>
      <c r="L21" s="201">
        <v>0.14199999999999999</v>
      </c>
      <c r="N21" t="s">
        <v>784</v>
      </c>
    </row>
    <row r="22" spans="2:14">
      <c r="B22" s="342" t="s">
        <v>19</v>
      </c>
      <c r="C22" s="201">
        <f>(24+54)/(450)</f>
        <v>0.17333333333333334</v>
      </c>
      <c r="D22" s="201">
        <f>30/450</f>
        <v>6.6666666666666666E-2</v>
      </c>
      <c r="E22" s="201">
        <f>(2+13)/(450)</f>
        <v>3.3333333333333333E-2</v>
      </c>
      <c r="F22" s="201">
        <f>309/450</f>
        <v>0.68666666666666665</v>
      </c>
      <c r="G22" s="201">
        <v>0</v>
      </c>
      <c r="H22" s="201">
        <f>18/450*H4/SUM(H4:I4)</f>
        <v>3.310344827586207E-2</v>
      </c>
      <c r="I22" s="201">
        <f>18/450*I4/SUM(H4:I4)</f>
        <v>6.8965517241379318E-3</v>
      </c>
      <c r="J22" s="358">
        <f>SUM(C22:I22)</f>
        <v>1</v>
      </c>
      <c r="L22" s="201">
        <v>1.6E-2</v>
      </c>
      <c r="N22" t="s">
        <v>777</v>
      </c>
    </row>
    <row r="23" spans="2:14">
      <c r="B23" s="342" t="s">
        <v>333</v>
      </c>
      <c r="C23" s="201">
        <v>0.13</v>
      </c>
      <c r="D23" s="201">
        <v>0.66</v>
      </c>
      <c r="E23" s="201">
        <v>0.06</v>
      </c>
      <c r="F23" s="201">
        <v>0</v>
      </c>
      <c r="G23" s="201">
        <v>0</v>
      </c>
      <c r="H23" s="201">
        <v>0</v>
      </c>
      <c r="I23" s="201">
        <v>0.15</v>
      </c>
      <c r="J23" s="358">
        <f t="shared" ref="J23:J25" si="11">SUM(C23:I23)</f>
        <v>1</v>
      </c>
      <c r="L23" s="201">
        <v>2.5000000000000001E-2</v>
      </c>
      <c r="N23" t="s">
        <v>1514</v>
      </c>
    </row>
    <row r="24" spans="2:14">
      <c r="B24" s="342" t="s">
        <v>365</v>
      </c>
      <c r="C24" s="201">
        <f>C15/SUM($C15:$I15)</f>
        <v>0</v>
      </c>
      <c r="D24" s="201">
        <f t="shared" ref="D24:I25" si="12">D15/SUM($C15:$I15)</f>
        <v>0</v>
      </c>
      <c r="E24" s="201">
        <f t="shared" si="12"/>
        <v>0</v>
      </c>
      <c r="F24" s="201">
        <f t="shared" si="12"/>
        <v>0</v>
      </c>
      <c r="G24" s="201">
        <f t="shared" si="12"/>
        <v>0.99985517745849017</v>
      </c>
      <c r="H24" s="201">
        <f t="shared" si="12"/>
        <v>0</v>
      </c>
      <c r="I24" s="201">
        <f t="shared" si="12"/>
        <v>1.4482254150985981E-4</v>
      </c>
      <c r="J24" s="358">
        <f t="shared" si="11"/>
        <v>1</v>
      </c>
      <c r="L24" s="201">
        <v>0.13</v>
      </c>
      <c r="N24" t="s">
        <v>782</v>
      </c>
    </row>
    <row r="25" spans="2:14">
      <c r="B25" s="342" t="s">
        <v>27</v>
      </c>
      <c r="C25" s="201">
        <f>C16/SUM($C16:$I16)</f>
        <v>0.20168714578700045</v>
      </c>
      <c r="D25" s="201">
        <f t="shared" si="12"/>
        <v>0.29969741046180381</v>
      </c>
      <c r="E25" s="201">
        <f t="shared" si="12"/>
        <v>7.2831469311972402E-2</v>
      </c>
      <c r="F25" s="201">
        <f t="shared" si="12"/>
        <v>0.10084357289350025</v>
      </c>
      <c r="G25" s="201">
        <f t="shared" si="12"/>
        <v>0</v>
      </c>
      <c r="H25" s="201">
        <f t="shared" si="12"/>
        <v>0.17927746292177824</v>
      </c>
      <c r="I25" s="201">
        <f t="shared" si="12"/>
        <v>0.1456629386239448</v>
      </c>
      <c r="J25" s="358">
        <f t="shared" si="11"/>
        <v>1</v>
      </c>
      <c r="L25" s="201">
        <f>(14100+26000+8200+4500)/(598700+496700+149200+84100)</f>
        <v>3.973808986227139E-2</v>
      </c>
      <c r="N25" t="s">
        <v>783</v>
      </c>
    </row>
    <row r="26" spans="2:14">
      <c r="B26" s="341" t="s">
        <v>78</v>
      </c>
      <c r="C26" s="354"/>
      <c r="D26" s="354"/>
      <c r="E26" s="354"/>
      <c r="F26" s="354"/>
      <c r="G26" s="354"/>
      <c r="H26" s="354"/>
      <c r="I26" s="354"/>
      <c r="J26" s="353">
        <f>J44/J17</f>
        <v>0.10097405416292893</v>
      </c>
      <c r="L26" s="351">
        <f>'Ethylene Recycling HC'!C219</f>
        <v>0.10391498889855581</v>
      </c>
    </row>
    <row r="28" spans="2:14">
      <c r="B28" s="1">
        <v>2020</v>
      </c>
    </row>
    <row r="29" spans="2:14">
      <c r="B29" s="341" t="s">
        <v>775</v>
      </c>
      <c r="C29" s="340" t="s">
        <v>141</v>
      </c>
      <c r="D29" s="338" t="s">
        <v>140</v>
      </c>
      <c r="E29" s="339" t="s">
        <v>74</v>
      </c>
      <c r="F29" s="338" t="s">
        <v>34</v>
      </c>
      <c r="G29" s="338" t="s">
        <v>35</v>
      </c>
      <c r="H29" s="338" t="s">
        <v>160</v>
      </c>
      <c r="I29" s="344" t="s">
        <v>27</v>
      </c>
      <c r="J29" s="345" t="s">
        <v>78</v>
      </c>
    </row>
    <row r="30" spans="2:14">
      <c r="B30" s="342" t="s">
        <v>764</v>
      </c>
      <c r="C30" s="104">
        <f>IFERROR(C39/C12,0)</f>
        <v>0.15237041884384062</v>
      </c>
      <c r="D30" s="104">
        <f t="shared" ref="D30:I31" si="13">IFERROR(D39/D12,0)</f>
        <v>6.6760175370811567E-2</v>
      </c>
      <c r="E30" s="104">
        <f t="shared" si="13"/>
        <v>1.9620045473571286E-3</v>
      </c>
      <c r="F30" s="104">
        <f t="shared" si="13"/>
        <v>0</v>
      </c>
      <c r="G30" s="104">
        <f t="shared" si="13"/>
        <v>0.30265377077053524</v>
      </c>
      <c r="H30" s="104">
        <f t="shared" si="13"/>
        <v>0</v>
      </c>
      <c r="I30" s="104">
        <f t="shared" si="13"/>
        <v>0</v>
      </c>
      <c r="J30" s="352">
        <f>L21</f>
        <v>0.14199999999999999</v>
      </c>
      <c r="L30" s="22"/>
    </row>
    <row r="31" spans="2:14">
      <c r="B31" s="342" t="s">
        <v>19</v>
      </c>
      <c r="C31" s="104">
        <f>IFERROR(C40/C13,0)</f>
        <v>1.1974313101678123E-2</v>
      </c>
      <c r="D31" s="104">
        <f t="shared" si="13"/>
        <v>1.4498177030543567E-2</v>
      </c>
      <c r="E31" s="104">
        <f t="shared" si="13"/>
        <v>4.6055050391069696E-3</v>
      </c>
      <c r="F31" s="104">
        <f t="shared" si="13"/>
        <v>2.5768084984238004E-2</v>
      </c>
      <c r="G31" s="104">
        <f t="shared" si="13"/>
        <v>0</v>
      </c>
      <c r="H31" s="104">
        <f t="shared" si="13"/>
        <v>4.19259769077324E-3</v>
      </c>
      <c r="I31" s="104">
        <f t="shared" si="13"/>
        <v>4.1925976907732409E-3</v>
      </c>
      <c r="J31" s="352">
        <f>L22</f>
        <v>1.6E-2</v>
      </c>
      <c r="L31" s="201"/>
    </row>
    <row r="32" spans="2:14">
      <c r="B32" s="342" t="s">
        <v>333</v>
      </c>
      <c r="C32" s="104">
        <f t="shared" ref="C32:I32" si="14">IFERROR(C41/C14,0)</f>
        <v>2.5269502145030914E-2</v>
      </c>
      <c r="D32" s="104">
        <f t="shared" si="14"/>
        <v>4.1270273705428927E-2</v>
      </c>
      <c r="E32" s="104">
        <f t="shared" si="14"/>
        <v>0</v>
      </c>
      <c r="F32" s="104">
        <f t="shared" si="14"/>
        <v>0</v>
      </c>
      <c r="G32" s="104">
        <f t="shared" si="14"/>
        <v>0</v>
      </c>
      <c r="H32" s="104">
        <f t="shared" si="14"/>
        <v>0</v>
      </c>
      <c r="I32" s="104">
        <f t="shared" si="14"/>
        <v>1.1927911851675427E-2</v>
      </c>
      <c r="J32" s="352">
        <f t="shared" ref="J32:J34" si="15">L23</f>
        <v>2.5000000000000001E-2</v>
      </c>
      <c r="L32" s="22"/>
    </row>
    <row r="33" spans="2:12">
      <c r="B33" s="342" t="s">
        <v>365</v>
      </c>
      <c r="C33" s="104">
        <f t="shared" ref="C33:I33" si="16">IFERROR(C42/C15,0)</f>
        <v>0</v>
      </c>
      <c r="D33" s="104">
        <f t="shared" si="16"/>
        <v>0</v>
      </c>
      <c r="E33" s="104">
        <f t="shared" si="16"/>
        <v>0</v>
      </c>
      <c r="F33" s="104">
        <f t="shared" si="16"/>
        <v>0</v>
      </c>
      <c r="G33" s="104">
        <f t="shared" si="16"/>
        <v>0.13000000000000003</v>
      </c>
      <c r="H33" s="104">
        <f t="shared" si="16"/>
        <v>0</v>
      </c>
      <c r="I33" s="104">
        <f t="shared" si="16"/>
        <v>0.13</v>
      </c>
      <c r="J33" s="352">
        <f t="shared" si="15"/>
        <v>0.13</v>
      </c>
      <c r="L33" s="22"/>
    </row>
    <row r="34" spans="2:12">
      <c r="B34" s="342" t="s">
        <v>27</v>
      </c>
      <c r="C34" s="104">
        <f t="shared" ref="C34:I34" si="17">IFERROR(C43/C16,0)</f>
        <v>3.973808986227139E-2</v>
      </c>
      <c r="D34" s="104">
        <f t="shared" si="17"/>
        <v>3.973808986227139E-2</v>
      </c>
      <c r="E34" s="104">
        <f t="shared" si="17"/>
        <v>3.973808986227139E-2</v>
      </c>
      <c r="F34" s="104">
        <f t="shared" si="17"/>
        <v>3.9738089862271384E-2</v>
      </c>
      <c r="G34" s="104">
        <f t="shared" si="17"/>
        <v>0</v>
      </c>
      <c r="H34" s="104">
        <f t="shared" si="17"/>
        <v>3.973808986227139E-2</v>
      </c>
      <c r="I34" s="104">
        <f t="shared" si="17"/>
        <v>3.973808986227139E-2</v>
      </c>
      <c r="J34" s="352">
        <f t="shared" si="15"/>
        <v>3.973808986227139E-2</v>
      </c>
      <c r="L34" s="22"/>
    </row>
    <row r="35" spans="2:12">
      <c r="B35" s="341" t="s">
        <v>78</v>
      </c>
      <c r="C35" s="354">
        <f>C44/C17</f>
        <v>0.12631543907249604</v>
      </c>
      <c r="D35" s="354">
        <f t="shared" ref="D35:I35" si="18">D44/D17</f>
        <v>5.3316644933377233E-2</v>
      </c>
      <c r="E35" s="354">
        <f t="shared" si="18"/>
        <v>1.5660427433388135E-2</v>
      </c>
      <c r="F35" s="354">
        <f t="shared" si="18"/>
        <v>2.5532235231300045E-2</v>
      </c>
      <c r="G35" s="354">
        <f t="shared" si="18"/>
        <v>0.21408505829973157</v>
      </c>
      <c r="H35" s="354">
        <f t="shared" si="18"/>
        <v>2.8110713812775003E-2</v>
      </c>
      <c r="I35" s="354">
        <f t="shared" si="18"/>
        <v>3.0185524692044042E-2</v>
      </c>
      <c r="J35" s="353">
        <f>J53/J26</f>
        <v>0</v>
      </c>
      <c r="L35" s="351"/>
    </row>
    <row r="36" spans="2:12">
      <c r="B36" s="1"/>
      <c r="C36" s="276"/>
      <c r="D36" s="276"/>
      <c r="E36" s="276"/>
      <c r="F36" s="276"/>
      <c r="G36" s="276"/>
      <c r="H36" s="276"/>
      <c r="I36" s="276"/>
      <c r="J36" s="276"/>
      <c r="L36" s="351"/>
    </row>
    <row r="37" spans="2:12">
      <c r="B37" s="1">
        <v>2020</v>
      </c>
    </row>
    <row r="38" spans="2:12">
      <c r="B38" s="341" t="s">
        <v>774</v>
      </c>
      <c r="C38" s="340" t="s">
        <v>141</v>
      </c>
      <c r="D38" s="338" t="s">
        <v>140</v>
      </c>
      <c r="E38" s="339" t="s">
        <v>74</v>
      </c>
      <c r="F38" s="338" t="s">
        <v>34</v>
      </c>
      <c r="G38" s="338" t="s">
        <v>35</v>
      </c>
      <c r="H38" s="338" t="s">
        <v>160</v>
      </c>
      <c r="I38" s="344" t="s">
        <v>27</v>
      </c>
      <c r="J38" s="345" t="s">
        <v>78</v>
      </c>
    </row>
    <row r="39" spans="2:12">
      <c r="B39" s="342" t="s">
        <v>764</v>
      </c>
      <c r="C39" s="246">
        <f>$J39*C21</f>
        <v>265260.81814506196</v>
      </c>
      <c r="D39" s="246">
        <f t="shared" ref="D39:I40" si="19">$J39*D21</f>
        <v>51109.984228335641</v>
      </c>
      <c r="E39" s="246">
        <f t="shared" si="19"/>
        <v>511.0998422833564</v>
      </c>
      <c r="F39" s="246">
        <f t="shared" si="19"/>
        <v>0</v>
      </c>
      <c r="G39" s="246">
        <f t="shared" si="19"/>
        <v>194217.94006767543</v>
      </c>
      <c r="H39" s="246">
        <f t="shared" si="19"/>
        <v>0</v>
      </c>
      <c r="I39" s="246">
        <f t="shared" si="19"/>
        <v>0</v>
      </c>
      <c r="J39" s="348">
        <f>J12*J30</f>
        <v>511099.84228335641</v>
      </c>
    </row>
    <row r="40" spans="2:12">
      <c r="B40" s="342" t="s">
        <v>19</v>
      </c>
      <c r="C40" s="246">
        <f>$J40*C22</f>
        <v>741.28521600088379</v>
      </c>
      <c r="D40" s="246">
        <f t="shared" si="19"/>
        <v>285.10969846187834</v>
      </c>
      <c r="E40" s="246">
        <f t="shared" si="19"/>
        <v>142.55484923093917</v>
      </c>
      <c r="F40" s="246">
        <f t="shared" si="19"/>
        <v>2936.6298941573468</v>
      </c>
      <c r="G40" s="246">
        <f t="shared" si="19"/>
        <v>0</v>
      </c>
      <c r="H40" s="246">
        <f t="shared" si="19"/>
        <v>141.57171233969132</v>
      </c>
      <c r="I40" s="246">
        <f t="shared" si="19"/>
        <v>29.494106737435697</v>
      </c>
      <c r="J40" s="348">
        <f t="shared" ref="J40:J43" si="20">J13*J31</f>
        <v>4276.6454769281754</v>
      </c>
    </row>
    <row r="41" spans="2:12">
      <c r="B41" s="342" t="s">
        <v>333</v>
      </c>
      <c r="C41" s="246">
        <f t="shared" ref="C41:I41" si="21">$J41*C23</f>
        <v>1104.1891820972096</v>
      </c>
      <c r="D41" s="246">
        <f t="shared" si="21"/>
        <v>5605.8835398781412</v>
      </c>
      <c r="E41" s="246">
        <f t="shared" si="21"/>
        <v>509.6257763525582</v>
      </c>
      <c r="F41" s="246">
        <f t="shared" si="21"/>
        <v>0</v>
      </c>
      <c r="G41" s="246">
        <f t="shared" si="21"/>
        <v>0</v>
      </c>
      <c r="H41" s="246">
        <f t="shared" si="21"/>
        <v>0</v>
      </c>
      <c r="I41" s="246">
        <f t="shared" si="21"/>
        <v>1274.0644408813955</v>
      </c>
      <c r="J41" s="348">
        <f t="shared" si="20"/>
        <v>8493.762939209304</v>
      </c>
    </row>
    <row r="42" spans="2:12">
      <c r="B42" s="342" t="s">
        <v>365</v>
      </c>
      <c r="C42" s="246">
        <f t="shared" ref="C42:I42" si="22">$J42*C24</f>
        <v>0</v>
      </c>
      <c r="D42" s="246">
        <f t="shared" si="22"/>
        <v>0</v>
      </c>
      <c r="E42" s="246">
        <f t="shared" si="22"/>
        <v>0</v>
      </c>
      <c r="F42" s="246">
        <f t="shared" si="22"/>
        <v>0</v>
      </c>
      <c r="G42" s="246">
        <f t="shared" si="22"/>
        <v>87871.51383586695</v>
      </c>
      <c r="H42" s="246">
        <f t="shared" si="22"/>
        <v>0</v>
      </c>
      <c r="I42" s="246">
        <f t="shared" si="22"/>
        <v>12.727619206189871</v>
      </c>
      <c r="J42" s="348">
        <f t="shared" si="20"/>
        <v>87884.241455073134</v>
      </c>
    </row>
    <row r="43" spans="2:12">
      <c r="B43" s="342" t="s">
        <v>27</v>
      </c>
      <c r="C43" s="246">
        <f t="shared" ref="C43:I43" si="23">$J43*C25</f>
        <v>15543.760578148449</v>
      </c>
      <c r="D43" s="246">
        <f t="shared" si="23"/>
        <v>23097.281564136323</v>
      </c>
      <c r="E43" s="246">
        <f t="shared" si="23"/>
        <v>5613.0246532202746</v>
      </c>
      <c r="F43" s="246">
        <f t="shared" si="23"/>
        <v>7771.8802890742263</v>
      </c>
      <c r="G43" s="246">
        <f t="shared" si="23"/>
        <v>0</v>
      </c>
      <c r="H43" s="246">
        <f t="shared" si="23"/>
        <v>13816.676069465293</v>
      </c>
      <c r="I43" s="246">
        <f t="shared" si="23"/>
        <v>11226.049306440549</v>
      </c>
      <c r="J43" s="348">
        <f t="shared" si="20"/>
        <v>77068.672460485119</v>
      </c>
    </row>
    <row r="44" spans="2:12">
      <c r="B44" s="341" t="s">
        <v>78</v>
      </c>
      <c r="C44" s="346">
        <f>SUM(C39:C43)</f>
        <v>282650.05312130851</v>
      </c>
      <c r="D44" s="346">
        <f t="shared" ref="D44" si="24">SUM(D39:D43)</f>
        <v>80098.259030811983</v>
      </c>
      <c r="E44" s="346">
        <f t="shared" ref="E44" si="25">SUM(E39:E43)</f>
        <v>6776.3051210871281</v>
      </c>
      <c r="F44" s="346">
        <f t="shared" ref="F44" si="26">SUM(F39:F43)</f>
        <v>10708.510183231574</v>
      </c>
      <c r="G44" s="346">
        <f t="shared" ref="G44" si="27">SUM(G39:G43)</f>
        <v>282089.45390354237</v>
      </c>
      <c r="H44" s="346">
        <f t="shared" ref="H44" si="28">SUM(H39:H43)</f>
        <v>13958.247781804985</v>
      </c>
      <c r="I44" s="346">
        <f t="shared" ref="I44" si="29">SUM(I39:I43)</f>
        <v>12542.33547326557</v>
      </c>
      <c r="J44" s="347">
        <f>SUM(J39:J43)</f>
        <v>688823.16461505217</v>
      </c>
    </row>
    <row r="46" spans="2:12">
      <c r="B46" s="1" t="s">
        <v>794</v>
      </c>
    </row>
    <row r="47" spans="2:12">
      <c r="B47" s="341" t="s">
        <v>774</v>
      </c>
      <c r="C47" s="340" t="s">
        <v>141</v>
      </c>
      <c r="D47" s="338" t="s">
        <v>140</v>
      </c>
      <c r="E47" s="339" t="s">
        <v>74</v>
      </c>
      <c r="F47" s="338" t="s">
        <v>34</v>
      </c>
      <c r="G47" s="338" t="s">
        <v>35</v>
      </c>
      <c r="H47" s="338" t="s">
        <v>160</v>
      </c>
      <c r="I47" s="344" t="s">
        <v>27</v>
      </c>
      <c r="J47" s="345"/>
    </row>
    <row r="48" spans="2:12">
      <c r="B48" s="342" t="s">
        <v>764</v>
      </c>
      <c r="C48" s="246">
        <f>C30/$J30</f>
        <v>1.0730311186185959</v>
      </c>
      <c r="D48" s="246">
        <f t="shared" ref="D48:I48" si="30">D30/$J30</f>
        <v>0.47014208007613784</v>
      </c>
      <c r="E48" s="246">
        <f t="shared" si="30"/>
        <v>1.3816933432092456E-2</v>
      </c>
      <c r="F48" s="246">
        <f t="shared" si="30"/>
        <v>0</v>
      </c>
      <c r="G48" s="246">
        <f t="shared" si="30"/>
        <v>2.1313645828910932</v>
      </c>
      <c r="H48" s="246">
        <f t="shared" si="30"/>
        <v>0</v>
      </c>
      <c r="I48" s="246">
        <f t="shared" si="30"/>
        <v>0</v>
      </c>
      <c r="J48" s="348"/>
    </row>
    <row r="49" spans="2:22">
      <c r="B49" s="342" t="s">
        <v>19</v>
      </c>
      <c r="C49" s="246">
        <f t="shared" ref="C49:I49" si="31">C31/$J31</f>
        <v>0.74839456885488265</v>
      </c>
      <c r="D49" s="246">
        <f t="shared" si="31"/>
        <v>0.90613606440897287</v>
      </c>
      <c r="E49" s="246">
        <f t="shared" si="31"/>
        <v>0.28784406494418557</v>
      </c>
      <c r="F49" s="246">
        <f t="shared" si="31"/>
        <v>1.6105053115148753</v>
      </c>
      <c r="G49" s="246">
        <f t="shared" si="31"/>
        <v>0</v>
      </c>
      <c r="H49" s="246">
        <f t="shared" si="31"/>
        <v>0.26203735567332748</v>
      </c>
      <c r="I49" s="246">
        <f t="shared" si="31"/>
        <v>0.26203735567332753</v>
      </c>
      <c r="J49" s="348"/>
    </row>
    <row r="50" spans="2:22">
      <c r="B50" s="342" t="s">
        <v>333</v>
      </c>
      <c r="C50" s="246">
        <f t="shared" ref="C50:I50" si="32">C32/$J32</f>
        <v>1.0107800858012366</v>
      </c>
      <c r="D50" s="246">
        <f t="shared" si="32"/>
        <v>1.6508109482171569</v>
      </c>
      <c r="E50" s="246">
        <f t="shared" si="32"/>
        <v>0</v>
      </c>
      <c r="F50" s="246">
        <f t="shared" si="32"/>
        <v>0</v>
      </c>
      <c r="G50" s="246">
        <f t="shared" si="32"/>
        <v>0</v>
      </c>
      <c r="H50" s="246">
        <f t="shared" si="32"/>
        <v>0</v>
      </c>
      <c r="I50" s="246">
        <f t="shared" si="32"/>
        <v>0.47711647406701707</v>
      </c>
      <c r="J50" s="348"/>
    </row>
    <row r="51" spans="2:22">
      <c r="B51" s="342" t="s">
        <v>365</v>
      </c>
      <c r="C51" s="246">
        <f>IFERROR(C33/$J33,1)</f>
        <v>0</v>
      </c>
      <c r="D51" s="246">
        <f t="shared" ref="D51:I51" si="33">IFERROR(D33/$J33,1)</f>
        <v>0</v>
      </c>
      <c r="E51" s="246">
        <f t="shared" si="33"/>
        <v>0</v>
      </c>
      <c r="F51" s="246">
        <f t="shared" si="33"/>
        <v>0</v>
      </c>
      <c r="G51" s="246">
        <f t="shared" si="33"/>
        <v>1.0000000000000002</v>
      </c>
      <c r="H51" s="246">
        <f t="shared" si="33"/>
        <v>0</v>
      </c>
      <c r="I51" s="246">
        <f t="shared" si="33"/>
        <v>1</v>
      </c>
      <c r="J51" s="348"/>
    </row>
    <row r="52" spans="2:22">
      <c r="B52" s="342" t="s">
        <v>27</v>
      </c>
      <c r="C52" s="246">
        <f t="shared" ref="C52:I52" si="34">C34/$J34</f>
        <v>1</v>
      </c>
      <c r="D52" s="246">
        <f t="shared" si="34"/>
        <v>1</v>
      </c>
      <c r="E52" s="246">
        <f t="shared" si="34"/>
        <v>1</v>
      </c>
      <c r="F52" s="246">
        <f t="shared" si="34"/>
        <v>0.99999999999999978</v>
      </c>
      <c r="G52" s="246">
        <f t="shared" si="34"/>
        <v>0</v>
      </c>
      <c r="H52" s="246">
        <f t="shared" si="34"/>
        <v>1</v>
      </c>
      <c r="I52" s="246">
        <f t="shared" si="34"/>
        <v>1</v>
      </c>
      <c r="J52" s="348"/>
    </row>
    <row r="53" spans="2:22">
      <c r="B53" s="341"/>
      <c r="C53" s="346"/>
      <c r="D53" s="346"/>
      <c r="E53" s="346"/>
      <c r="F53" s="346"/>
      <c r="G53" s="346"/>
      <c r="H53" s="346"/>
      <c r="I53" s="346"/>
      <c r="J53" s="347"/>
    </row>
    <row r="55" spans="2:22">
      <c r="B55" s="1" t="s">
        <v>812</v>
      </c>
    </row>
    <row r="56" spans="2:22" ht="29.5">
      <c r="B56" s="341"/>
      <c r="C56" s="340" t="s">
        <v>141</v>
      </c>
      <c r="D56" s="338" t="s">
        <v>140</v>
      </c>
      <c r="E56" s="339" t="s">
        <v>74</v>
      </c>
      <c r="F56" s="338" t="s">
        <v>34</v>
      </c>
      <c r="G56" s="338" t="s">
        <v>35</v>
      </c>
      <c r="H56" s="338" t="s">
        <v>160</v>
      </c>
      <c r="I56" s="344" t="s">
        <v>27</v>
      </c>
      <c r="J56" s="345" t="s">
        <v>1517</v>
      </c>
      <c r="K56" s="345" t="s">
        <v>1519</v>
      </c>
    </row>
    <row r="57" spans="2:22">
      <c r="B57" s="364" t="s">
        <v>3</v>
      </c>
      <c r="C57" s="367">
        <f>1</f>
        <v>1</v>
      </c>
      <c r="D57" s="320">
        <v>0</v>
      </c>
      <c r="E57" s="320">
        <f>'Demand - Ethylene'!E39</f>
        <v>0.2687140115163148</v>
      </c>
      <c r="F57" s="320">
        <f>'Demand - Ethylene'!E38</f>
        <v>0.44800000000000001</v>
      </c>
      <c r="G57" s="320">
        <f>'Demand - Ethylene'!E36</f>
        <v>0.14568158168574402</v>
      </c>
      <c r="H57" s="320">
        <f t="shared" ref="H57" si="35">H39/$J39</f>
        <v>0</v>
      </c>
      <c r="I57" s="368">
        <f>'Demand - Ethylene'!E41</f>
        <v>0.1</v>
      </c>
      <c r="J57" s="368">
        <v>0.05</v>
      </c>
      <c r="K57" s="368">
        <v>0.1</v>
      </c>
    </row>
    <row r="58" spans="2:22">
      <c r="B58" s="365" t="s">
        <v>4</v>
      </c>
      <c r="C58" s="369">
        <v>0</v>
      </c>
      <c r="D58" s="309">
        <v>1</v>
      </c>
      <c r="E58" s="309">
        <v>0</v>
      </c>
      <c r="F58" s="309">
        <v>0</v>
      </c>
      <c r="G58" s="309">
        <v>0</v>
      </c>
      <c r="H58" s="309">
        <v>0</v>
      </c>
      <c r="I58" s="370">
        <v>0.1</v>
      </c>
      <c r="J58" s="370">
        <v>0.05</v>
      </c>
      <c r="K58" s="370">
        <v>0.1</v>
      </c>
    </row>
    <row r="59" spans="2:22">
      <c r="B59" s="365" t="s">
        <v>796</v>
      </c>
      <c r="C59" s="369">
        <f>'Production - Industry shares'!C81</f>
        <v>0</v>
      </c>
      <c r="D59" s="309">
        <f>'Production - Industry shares'!D81</f>
        <v>0</v>
      </c>
      <c r="E59" s="309">
        <f>'Production - Industry shares'!E81</f>
        <v>0</v>
      </c>
      <c r="F59" s="309">
        <f>'Production - Industry shares'!F81</f>
        <v>0</v>
      </c>
      <c r="G59" s="309">
        <f>'Production - Industry shares'!G81</f>
        <v>1.6717337505350475E-6</v>
      </c>
      <c r="H59" s="309">
        <f>'Production - Industry shares'!I81</f>
        <v>0.10886110356075018</v>
      </c>
      <c r="I59" s="309">
        <f>30%</f>
        <v>0.3</v>
      </c>
      <c r="J59" s="309">
        <v>0.1</v>
      </c>
      <c r="K59" s="309">
        <v>0.3</v>
      </c>
      <c r="N59" t="s">
        <v>78</v>
      </c>
      <c r="O59" t="s">
        <v>800</v>
      </c>
      <c r="P59" t="s">
        <v>801</v>
      </c>
      <c r="Q59" t="s">
        <v>775</v>
      </c>
      <c r="R59" t="s">
        <v>804</v>
      </c>
      <c r="S59" t="s">
        <v>802</v>
      </c>
      <c r="T59" t="s">
        <v>803</v>
      </c>
    </row>
    <row r="60" spans="2:22">
      <c r="B60" s="365" t="s">
        <v>88</v>
      </c>
      <c r="C60" s="369">
        <v>0</v>
      </c>
      <c r="D60" s="309">
        <v>0</v>
      </c>
      <c r="E60" s="309">
        <f>'Production - Industry shares'!E96</f>
        <v>0.69695911359903207</v>
      </c>
      <c r="F60" s="309">
        <v>0</v>
      </c>
      <c r="G60" s="309">
        <v>0</v>
      </c>
      <c r="H60" s="309">
        <f>'Production - Industry shares'!I96</f>
        <v>0.30922982792293968</v>
      </c>
      <c r="I60" s="309">
        <f>'Production - Industry shares'!J96</f>
        <v>0.1</v>
      </c>
      <c r="J60" s="309">
        <v>0.1</v>
      </c>
      <c r="K60" s="309">
        <v>0.1</v>
      </c>
      <c r="M60" t="s">
        <v>141</v>
      </c>
      <c r="N60">
        <v>80</v>
      </c>
      <c r="O60" s="6">
        <v>1</v>
      </c>
      <c r="P60">
        <f>N60*O60</f>
        <v>80</v>
      </c>
      <c r="Q60" s="6">
        <v>0.15</v>
      </c>
      <c r="R60">
        <f>N60*Q60</f>
        <v>12</v>
      </c>
      <c r="S60">
        <f>N60*Q60*O60</f>
        <v>12</v>
      </c>
      <c r="T60" s="2">
        <f>S60/P60</f>
        <v>0.15</v>
      </c>
      <c r="U60" s="241">
        <f>Q60/R62</f>
        <v>0.83333333333333337</v>
      </c>
    </row>
    <row r="61" spans="2:22">
      <c r="B61" s="365" t="s">
        <v>797</v>
      </c>
      <c r="C61" s="369">
        <v>0</v>
      </c>
      <c r="D61" s="309">
        <v>0</v>
      </c>
      <c r="E61" s="309">
        <f>'Production - Industry shares'!E110</f>
        <v>3.8889943004741488E-2</v>
      </c>
      <c r="F61" s="309">
        <v>0</v>
      </c>
      <c r="G61" s="309">
        <f>'Production - Industry shares'!G110</f>
        <v>5.1795900413408112E-2</v>
      </c>
      <c r="H61" s="309">
        <f>'Production - Industry shares'!I110</f>
        <v>0.2545586663191039</v>
      </c>
      <c r="I61" s="309">
        <f>'Production - Industry shares'!J110</f>
        <v>0.05</v>
      </c>
      <c r="J61" s="309">
        <v>2.5000000000000001E-2</v>
      </c>
      <c r="K61" s="309">
        <v>0</v>
      </c>
      <c r="M61" t="s">
        <v>35</v>
      </c>
      <c r="N61">
        <v>20</v>
      </c>
      <c r="O61" s="6">
        <v>0.15</v>
      </c>
      <c r="P61">
        <f>N61*O61</f>
        <v>3</v>
      </c>
      <c r="Q61" s="6">
        <v>0.3</v>
      </c>
      <c r="R61">
        <f>N61*Q61</f>
        <v>6</v>
      </c>
      <c r="S61">
        <f>N61*Q61*O61</f>
        <v>0.89999999999999991</v>
      </c>
      <c r="T61" s="2">
        <f>S61/P61</f>
        <v>0.3</v>
      </c>
      <c r="U61" s="241">
        <f>Q61/R62</f>
        <v>1.6666666666666667</v>
      </c>
    </row>
    <row r="62" spans="2:22">
      <c r="B62" s="365" t="s">
        <v>798</v>
      </c>
      <c r="C62" s="369">
        <v>0</v>
      </c>
      <c r="D62" s="309">
        <v>0</v>
      </c>
      <c r="E62" s="309">
        <v>0</v>
      </c>
      <c r="F62" s="309">
        <v>0</v>
      </c>
      <c r="G62" s="309">
        <f>'Production - Industry shares'!G124</f>
        <v>0.50028743291992528</v>
      </c>
      <c r="H62" s="309">
        <v>0</v>
      </c>
      <c r="I62" s="309">
        <f>'Production - Industry shares'!J124</f>
        <v>0.05</v>
      </c>
      <c r="J62" s="309">
        <v>2.5000000000000001E-2</v>
      </c>
      <c r="K62" s="309">
        <v>0</v>
      </c>
      <c r="N62">
        <f>SUM(N60:N61)</f>
        <v>100</v>
      </c>
      <c r="P62">
        <f>SUM(P60:P61)</f>
        <v>83</v>
      </c>
      <c r="R62" s="2">
        <f>SUM(R60:R61)/N62</f>
        <v>0.18</v>
      </c>
      <c r="S62">
        <f>SUM(S60:S61)</f>
        <v>12.9</v>
      </c>
      <c r="T62" s="2">
        <f>S62/P62</f>
        <v>0.15542168674698795</v>
      </c>
      <c r="U62" s="230">
        <f>(U60*O60*N60+U61*O61*N61)/N62</f>
        <v>0.71666666666666667</v>
      </c>
      <c r="V62" s="241">
        <f>T62/R62</f>
        <v>0.86345381526104414</v>
      </c>
    </row>
    <row r="63" spans="2:22">
      <c r="B63" s="363" t="s">
        <v>799</v>
      </c>
      <c r="C63" s="371">
        <v>0</v>
      </c>
      <c r="D63" s="372">
        <v>0</v>
      </c>
      <c r="E63" s="372">
        <v>0</v>
      </c>
      <c r="F63" s="372">
        <v>0</v>
      </c>
      <c r="G63" s="372">
        <v>0</v>
      </c>
      <c r="H63" s="372">
        <v>0</v>
      </c>
      <c r="I63" s="372">
        <v>0.2</v>
      </c>
      <c r="J63" s="372">
        <v>0.7</v>
      </c>
      <c r="K63" s="372">
        <v>0.02</v>
      </c>
    </row>
    <row r="64" spans="2:22">
      <c r="B64" s="373" t="s">
        <v>27</v>
      </c>
      <c r="C64" s="549">
        <f>1-SUM(C57:C63)</f>
        <v>0</v>
      </c>
      <c r="D64" s="306">
        <f t="shared" ref="D64:H64" si="36">1-SUM(D57:D63)</f>
        <v>0</v>
      </c>
      <c r="E64" s="306">
        <f t="shared" si="36"/>
        <v>-4.5630681200883316E-3</v>
      </c>
      <c r="F64" s="306">
        <f t="shared" si="36"/>
        <v>0.55200000000000005</v>
      </c>
      <c r="G64" s="306">
        <f t="shared" si="36"/>
        <v>0.30223341324717201</v>
      </c>
      <c r="H64" s="306">
        <f t="shared" si="36"/>
        <v>0.32735040219720624</v>
      </c>
      <c r="I64" s="306">
        <f>1.2-SUM(I57:I63)</f>
        <v>0.29999999999999982</v>
      </c>
      <c r="J64" s="306">
        <f>1.2-SUM(J57:J63)</f>
        <v>0.14999999999999991</v>
      </c>
      <c r="K64" s="306">
        <f>1.2-SUM(K57:K63)</f>
        <v>0.57999999999999996</v>
      </c>
      <c r="L64" t="s">
        <v>1518</v>
      </c>
    </row>
    <row r="66" spans="2:21">
      <c r="B66" s="1" t="s">
        <v>813</v>
      </c>
    </row>
    <row r="67" spans="2:21">
      <c r="B67" s="341"/>
      <c r="C67" s="340" t="s">
        <v>3</v>
      </c>
      <c r="D67" s="338" t="s">
        <v>4</v>
      </c>
      <c r="E67" s="360" t="s">
        <v>796</v>
      </c>
      <c r="F67" s="338" t="s">
        <v>88</v>
      </c>
      <c r="G67" s="338" t="s">
        <v>797</v>
      </c>
      <c r="H67" s="338" t="s">
        <v>798</v>
      </c>
      <c r="I67" s="361" t="s">
        <v>799</v>
      </c>
      <c r="J67" s="345" t="s">
        <v>27</v>
      </c>
    </row>
    <row r="68" spans="2:21">
      <c r="B68" s="376" t="s">
        <v>764</v>
      </c>
      <c r="C68" s="377">
        <f>SUMPRODUCT($C$57:$I$57,$C12:$I12)</f>
        <v>1948982.9035547855</v>
      </c>
      <c r="D68" s="378">
        <f>SUMPRODUCT($C$58:$I$58,$C12:$I12)</f>
        <v>767482.03203504614</v>
      </c>
      <c r="E68" s="378">
        <f>SUMPRODUCT($C$59:$I$59,$C12:$I12)</f>
        <v>14019.2965777967</v>
      </c>
      <c r="F68" s="378">
        <f>SUMPRODUCT($C$60:$I$60,$C12:$I12)</f>
        <v>207039.88664841934</v>
      </c>
      <c r="G68" s="378">
        <f>SUMPRODUCT($C$61:$I$61,$C12:$I12)</f>
        <v>63730.572931253017</v>
      </c>
      <c r="H68" s="378">
        <f>SUMPRODUCT($C$62:$I$62,$C12:$I12)</f>
        <v>321995.7805270133</v>
      </c>
      <c r="I68" s="379">
        <f>SUMPRODUCT($C$63:$I$63,$C12:$I12)</f>
        <v>3812.1776512437777</v>
      </c>
      <c r="J68" s="379">
        <f>SUMPRODUCT($C$64:$I$64,$C12:$I12)</f>
        <v>276044.19169298478</v>
      </c>
    </row>
    <row r="69" spans="2:21">
      <c r="B69" s="342" t="s">
        <v>19</v>
      </c>
      <c r="C69" s="380">
        <f>SUMPRODUCT($C$57:$I$57,$C13:$I13)</f>
        <v>121983.10631886506</v>
      </c>
      <c r="D69" s="381">
        <f>SUMPRODUCT($C$58:$I$58,$C13:$I13)</f>
        <v>20368.690664143654</v>
      </c>
      <c r="E69" s="381">
        <f>SUMPRODUCT($C$59:$I$59,$C13:$I13)</f>
        <v>5786.3612606818788</v>
      </c>
      <c r="F69" s="381">
        <f>SUMPRODUCT($C$60:$I$60,$C13:$I13)</f>
        <v>32718.33779065124</v>
      </c>
      <c r="G69" s="381">
        <f>SUMPRODUCT($C$61:$I$61,$C13:$I13)</f>
        <v>10151.204797019887</v>
      </c>
      <c r="H69" s="381">
        <f>SUMPRODUCT($C$62:$I$62,$C13:$I13)</f>
        <v>351.74024450693355</v>
      </c>
      <c r="I69" s="382">
        <f>SUMPRODUCT($C$63:$I$63,$C13:$I13)</f>
        <v>1406.9609780277342</v>
      </c>
      <c r="J69" s="382">
        <f>SUMPRODUCT($C$64:$I$64,$C13:$I13)</f>
        <v>75930.901232142307</v>
      </c>
    </row>
    <row r="70" spans="2:21">
      <c r="B70" s="342" t="s">
        <v>333</v>
      </c>
      <c r="C70" s="559">
        <f>SUMPRODUCT($C$57:$H$57,$C14:$H14)+J57*I14</f>
        <v>55562.546536206573</v>
      </c>
      <c r="D70" s="381">
        <f>SUMPRODUCT($C$58:$H$58,$C14:$H14)+J58*I14</f>
        <v>141174.13227207281</v>
      </c>
      <c r="E70" s="381">
        <f>SUMPRODUCT($C$59:$H$59,$C14:$H14)+J59*I14</f>
        <v>14909.682230013141</v>
      </c>
      <c r="F70" s="381">
        <f>SUMPRODUCT($C$60:$H$60,$C14:$H14)+J60*I14</f>
        <v>22692.27333226725</v>
      </c>
      <c r="G70" s="381">
        <f>SUMPRODUCT($C$61:$H$61,$C14:$H14)+J61*I14</f>
        <v>12557.744018115414</v>
      </c>
      <c r="H70" s="381">
        <f>SUMPRODUCT($C$62:$H$62,$C14:$H14)+J62*I14</f>
        <v>2670.3425895590372</v>
      </c>
      <c r="I70" s="381">
        <f>SUMPRODUCT($C$63:$H$63,$C14:$H14)+J63*I14</f>
        <v>74769.592507653026</v>
      </c>
      <c r="J70" s="382">
        <f>SUMPRODUCT($C$64:$H$64,$C14:$H14)+J64*I14</f>
        <v>36776.944798957134</v>
      </c>
    </row>
    <row r="71" spans="2:21">
      <c r="B71" s="342" t="s">
        <v>365</v>
      </c>
      <c r="C71" s="380">
        <f>SUMPRODUCT($C$57:$H$57,$C15:$H15)+K57*I14</f>
        <v>109152.60974846565</v>
      </c>
      <c r="D71" s="381">
        <f>SUMPRODUCT($C$58:$H$58,$C15:$H15)+K58*I15</f>
        <v>9.7904763124537482</v>
      </c>
      <c r="E71" s="381">
        <f>SUMPRODUCT($C$59:$H$59,$C15:$H15)+K59*I15</f>
        <v>30.501411824976824</v>
      </c>
      <c r="F71" s="381">
        <f>SUMPRODUCT($C$60:$H$60,$C15:$H15)+K60*I15</f>
        <v>9.7904763124537482</v>
      </c>
      <c r="G71" s="381">
        <f>SUMPRODUCT($C$61:$H$61,$C15:$H15)+K61*I15</f>
        <v>35010.647537061363</v>
      </c>
      <c r="H71" s="381">
        <f>SUMPRODUCT($C$62:$H$62,$C15:$H15)+K62*I15</f>
        <v>338161.6467979505</v>
      </c>
      <c r="I71" s="381">
        <f>SUMPRODUCT($C$63:$H$63,$C15:$H15)+K63*I15</f>
        <v>1.9580952624907495</v>
      </c>
      <c r="J71" s="382">
        <f>SUMPRODUCT($C$64:$H$64,$C15:$H15)+K64*I15</f>
        <v>204346.84286884425</v>
      </c>
      <c r="K71" t="s">
        <v>636</v>
      </c>
      <c r="O71" s="6"/>
      <c r="Q71" s="6"/>
      <c r="T71" s="2"/>
      <c r="U71" s="241"/>
    </row>
    <row r="72" spans="2:21">
      <c r="B72" s="343" t="s">
        <v>27</v>
      </c>
      <c r="C72" s="383">
        <f>SUMPRODUCT($C$57:$I$57,$C16:$I16)</f>
        <v>544980.05124715087</v>
      </c>
      <c r="D72" s="384">
        <f>SUMPRODUCT($C$58:$I$58,$C16:$I16)</f>
        <v>609487.93912149034</v>
      </c>
      <c r="E72" s="384">
        <f>SUMPRODUCT($C$59:$I$59,$C16:$I16)</f>
        <v>122600.59336724976</v>
      </c>
      <c r="F72" s="384">
        <f>SUMPRODUCT($C$60:$I$60,$C16:$I16)</f>
        <v>234213.11928297434</v>
      </c>
      <c r="G72" s="384">
        <f>SUMPRODUCT($C$61:$I$61,$C16:$I16)</f>
        <v>108126.66945664154</v>
      </c>
      <c r="H72" s="384">
        <f>SUMPRODUCT($C$62:$I$62,$C16:$I16)</f>
        <v>14125.048971086704</v>
      </c>
      <c r="I72" s="384">
        <f>SUMPRODUCT($C$63:$I$63,$C16:$I16)</f>
        <v>56500.195884346816</v>
      </c>
      <c r="J72" s="393">
        <f>SUMPRODUCT($C$64:$I$64,$C16:$I16)</f>
        <v>305882.20541413705</v>
      </c>
      <c r="K72" s="385">
        <f>SUM(C68:J72)-J17</f>
        <v>93773.236064640805</v>
      </c>
      <c r="O72" s="6"/>
      <c r="Q72" s="6"/>
      <c r="T72" s="2"/>
      <c r="U72" s="241"/>
    </row>
    <row r="74" spans="2:21">
      <c r="B74" s="1" t="s">
        <v>813</v>
      </c>
    </row>
    <row r="75" spans="2:21">
      <c r="B75" s="341"/>
      <c r="C75" s="340" t="s">
        <v>3</v>
      </c>
      <c r="D75" s="338" t="s">
        <v>4</v>
      </c>
      <c r="E75" s="360" t="s">
        <v>796</v>
      </c>
      <c r="F75" s="338" t="s">
        <v>88</v>
      </c>
      <c r="G75" s="338" t="s">
        <v>797</v>
      </c>
      <c r="H75" s="338" t="s">
        <v>798</v>
      </c>
      <c r="I75" s="361" t="s">
        <v>799</v>
      </c>
      <c r="J75" s="345" t="s">
        <v>27</v>
      </c>
    </row>
    <row r="76" spans="2:21">
      <c r="B76" s="376" t="s">
        <v>764</v>
      </c>
      <c r="C76" s="386">
        <f t="shared" ref="C76:J80" si="37">C68/$J12</f>
        <v>0.54149023225748683</v>
      </c>
      <c r="D76" s="387">
        <f t="shared" si="37"/>
        <v>0.21323123102933009</v>
      </c>
      <c r="E76" s="387">
        <f t="shared" si="37"/>
        <v>3.8950121861776169E-3</v>
      </c>
      <c r="F76" s="387">
        <f t="shared" si="37"/>
        <v>5.7522349787336106E-2</v>
      </c>
      <c r="G76" s="387">
        <f t="shared" si="37"/>
        <v>1.7706406082631316E-2</v>
      </c>
      <c r="H76" s="387">
        <f t="shared" si="37"/>
        <v>8.946080012579341E-2</v>
      </c>
      <c r="I76" s="388">
        <f t="shared" si="37"/>
        <v>1.0591457513628045E-3</v>
      </c>
      <c r="J76" s="388">
        <f t="shared" si="37"/>
        <v>7.6693968531244647E-2</v>
      </c>
    </row>
    <row r="77" spans="2:21">
      <c r="B77" s="342" t="s">
        <v>19</v>
      </c>
      <c r="C77" s="389">
        <f t="shared" si="37"/>
        <v>0.45636929963709016</v>
      </c>
      <c r="D77" s="310">
        <f t="shared" si="37"/>
        <v>7.6204364468477032E-2</v>
      </c>
      <c r="E77" s="310">
        <f t="shared" si="37"/>
        <v>2.1648224214603266E-2</v>
      </c>
      <c r="F77" s="310">
        <f t="shared" si="37"/>
        <v>0.12240748209655998</v>
      </c>
      <c r="G77" s="310">
        <f t="shared" si="37"/>
        <v>3.7978195206627353E-2</v>
      </c>
      <c r="H77" s="310">
        <f t="shared" si="37"/>
        <v>1.3159481987628536E-3</v>
      </c>
      <c r="I77" s="390">
        <f t="shared" si="37"/>
        <v>5.2637927950514142E-3</v>
      </c>
      <c r="J77" s="390">
        <f t="shared" si="37"/>
        <v>0.28407648617787934</v>
      </c>
    </row>
    <row r="78" spans="2:21">
      <c r="B78" s="342" t="s">
        <v>333</v>
      </c>
      <c r="C78" s="389">
        <f t="shared" si="37"/>
        <v>0.16353925502122318</v>
      </c>
      <c r="D78" s="310">
        <f t="shared" si="37"/>
        <v>0.41552293513037142</v>
      </c>
      <c r="E78" s="310">
        <f t="shared" si="37"/>
        <v>4.3884207555365047E-2</v>
      </c>
      <c r="F78" s="310">
        <f t="shared" si="37"/>
        <v>6.679098973764068E-2</v>
      </c>
      <c r="G78" s="310">
        <f t="shared" si="37"/>
        <v>3.696166265762426E-2</v>
      </c>
      <c r="H78" s="310">
        <f t="shared" si="37"/>
        <v>7.8597160312541738E-3</v>
      </c>
      <c r="I78" s="310">
        <f t="shared" si="37"/>
        <v>0.2200720488751168</v>
      </c>
      <c r="J78" s="390">
        <f t="shared" si="37"/>
        <v>0.1082469132414377</v>
      </c>
    </row>
    <row r="79" spans="2:21">
      <c r="B79" s="342" t="s">
        <v>365</v>
      </c>
      <c r="C79" s="389">
        <f t="shared" si="37"/>
        <v>0.16146056485626553</v>
      </c>
      <c r="D79" s="310">
        <f t="shared" si="37"/>
        <v>1.4482254150985984E-5</v>
      </c>
      <c r="E79" s="310">
        <f t="shared" si="37"/>
        <v>4.5118254098762509E-5</v>
      </c>
      <c r="F79" s="310">
        <f t="shared" si="37"/>
        <v>1.4482254150985984E-5</v>
      </c>
      <c r="G79" s="310">
        <f t="shared" si="37"/>
        <v>5.1788399199470453E-2</v>
      </c>
      <c r="H79" s="310">
        <f t="shared" si="37"/>
        <v>0.50021498002240439</v>
      </c>
      <c r="I79" s="310">
        <f t="shared" si="37"/>
        <v>2.8964508301971968E-6</v>
      </c>
      <c r="J79" s="390">
        <f t="shared" si="37"/>
        <v>0.30227364011021207</v>
      </c>
      <c r="K79" t="s">
        <v>636</v>
      </c>
      <c r="O79" s="6"/>
      <c r="Q79" s="6"/>
      <c r="T79" s="2"/>
      <c r="U79" s="241"/>
    </row>
    <row r="80" spans="2:21">
      <c r="B80" s="343" t="s">
        <v>27</v>
      </c>
      <c r="C80" s="391">
        <f t="shared" si="37"/>
        <v>0.2810021965891305</v>
      </c>
      <c r="D80" s="392">
        <f t="shared" si="37"/>
        <v>0.31426370432419826</v>
      </c>
      <c r="E80" s="392">
        <f t="shared" si="37"/>
        <v>6.3215224044419691E-2</v>
      </c>
      <c r="F80" s="392">
        <f t="shared" si="37"/>
        <v>0.12076478916594455</v>
      </c>
      <c r="G80" s="392">
        <f t="shared" si="37"/>
        <v>5.5752190484131901E-2</v>
      </c>
      <c r="H80" s="392">
        <f t="shared" si="37"/>
        <v>7.2831469311972407E-3</v>
      </c>
      <c r="I80" s="392">
        <f t="shared" si="37"/>
        <v>2.9132587724788963E-2</v>
      </c>
      <c r="J80" s="394">
        <f t="shared" si="37"/>
        <v>0.15771874846097772</v>
      </c>
      <c r="K80" s="385">
        <f>SUM(C76:J80)-5</f>
        <v>0.11414781792282014</v>
      </c>
      <c r="O80" s="6"/>
      <c r="Q80" s="6"/>
      <c r="T80" s="2"/>
      <c r="U80" s="241"/>
    </row>
    <row r="81" spans="2:14">
      <c r="B81" s="362"/>
      <c r="C81" s="366"/>
    </row>
    <row r="82" spans="2:14">
      <c r="B82" s="1" t="s">
        <v>795</v>
      </c>
    </row>
    <row r="83" spans="2:14" ht="29.5">
      <c r="B83" s="341" t="s">
        <v>774</v>
      </c>
      <c r="C83" s="340" t="s">
        <v>3</v>
      </c>
      <c r="D83" s="338" t="s">
        <v>4</v>
      </c>
      <c r="E83" s="360" t="s">
        <v>796</v>
      </c>
      <c r="F83" s="338" t="s">
        <v>88</v>
      </c>
      <c r="G83" s="338" t="s">
        <v>797</v>
      </c>
      <c r="H83" s="338" t="s">
        <v>798</v>
      </c>
      <c r="I83" s="361" t="s">
        <v>799</v>
      </c>
      <c r="J83" s="345" t="s">
        <v>27</v>
      </c>
      <c r="K83" s="345" t="s">
        <v>775</v>
      </c>
      <c r="L83" s="269" t="s">
        <v>636</v>
      </c>
    </row>
    <row r="84" spans="2:14">
      <c r="B84" s="342" t="s">
        <v>764</v>
      </c>
      <c r="C84" s="246">
        <f>(SUMPRODUCT($C$57:$I$57,$C39:$I39)/SUMPRODUCT($C$57:$I$57,$C12:$I12))/(SUM($C39:$I39)/SUM($C12:$I12))</f>
        <v>1.0611968246527019</v>
      </c>
      <c r="D84" s="246">
        <f>(SUMPRODUCT($C$58:$I$58,$C39:$I39)/SUMPRODUCT($C$58:$I$58,$C12:$I12))/(SUM($C39:$I39)/SUM($C12:$I12))</f>
        <v>0.46897445330719367</v>
      </c>
      <c r="E84" s="246">
        <f>IFERROR((SUMPRODUCT($C$59:$I$59,$C39:$I39)/SUMPRODUCT($C$59:$I$59,$C12:$I12))/(SUM($C39:$I39)/SUM($C12:$I12)),0)</f>
        <v>1.6309546538973254E-4</v>
      </c>
      <c r="F84" s="246">
        <f>IFERROR((SUMPRODUCT($C$60:$I$60,$C39:$I39)/SUMPRODUCT($C$60:$I$60,$C12:$I12))/(SUM($C39:$I39)/SUM($C12:$I12)),0)</f>
        <v>1.2116318547064499E-2</v>
      </c>
      <c r="G84" s="246">
        <f>IFERROR((SUMPRODUCT($C$61:$I$61,$C39:$I39)/SUMPRODUCT($C$61:$I$61,$C12:$I12))/(SUM($C39:$I39)/SUM($C12:$I12)),0)</f>
        <v>1.1137964422630633</v>
      </c>
      <c r="H84" s="246">
        <f>IFERROR((SUMPRODUCT($C$62:$I$62,$C39:$I39)/SUMPRODUCT($C$62:$I$62,$C12:$I12))/(SUM($C39:$I39)/SUM($C12:$I12)),0)</f>
        <v>2.1250561613830139</v>
      </c>
      <c r="I84" s="246">
        <f>IFERROR((SUMPRODUCT($C$63:$I$63,$C39:$I39)/SUMPRODUCT($C$63:$I$63,$C12:$I12))/(SUM($C39:$I39)/SUM($C12:$I12)),0)</f>
        <v>0</v>
      </c>
      <c r="J84" s="246">
        <f>IFERROR((SUMPRODUCT($C$64:$I$64,$C39:$I39)/SUMPRODUCT($C$64:$I$64,$C12:$I12))/(SUM($C39:$I39)/SUM($C12:$I12)),0)</f>
        <v>1.497433711739907</v>
      </c>
      <c r="K84" s="352">
        <f>J30*(SUMPRODUCT($C$57:$I$57,C12:I12)*C84+SUMPRODUCT($C$58:$I$58,C12:I12)*D84+SUMPRODUCT($C$59:$I$59,C12:I12)*E84+SUMPRODUCT($C$60:$I$60,C12:I12)*F84+SUMPRODUCT($C$64:$I$64,C12:I12)*J84)/J12</f>
        <v>0.11220406096142667</v>
      </c>
      <c r="L84" s="241">
        <f>K84-J30</f>
        <v>-2.9795939038573319E-2</v>
      </c>
    </row>
    <row r="85" spans="2:14">
      <c r="B85" s="342" t="s">
        <v>19</v>
      </c>
      <c r="C85" s="246">
        <f>(SUMPRODUCT($C$57:$I$57,$C40:$I40)/SUMPRODUCT($C$57:$I$57,$C13:$I13))/(SUM($C40:$I40)/SUM($C13:$I13))</f>
        <v>1.0750214558248332</v>
      </c>
      <c r="D85" s="246">
        <f>(SUMPRODUCT($C$58:$I$58,$C40:$I40)/SUMPRODUCT($C$58:$I$58,$C13:$I13))/(SUM($C40:$I40)/SUM($C13:$I13))</f>
        <v>0.88389060533328512</v>
      </c>
      <c r="E85" s="246">
        <f>IFERROR((SUMPRODUCT($C$59:$I$59,$C40:$I40)/SUMPRODUCT($C$59:$I$59,$C13:$I13))/(SUM($C40:$I40)/SUM($C13:$I13)),0)</f>
        <v>0.26203735567332748</v>
      </c>
      <c r="F85" s="246">
        <f>IFERROR((SUMPRODUCT($C$60:$I$60,$C40:$I40)/SUMPRODUCT($C$60:$I$60,$C13:$I13))/(SUM($C40:$I40)/SUM($C13:$I13)),0)</f>
        <v>0.27905319719566035</v>
      </c>
      <c r="G85" s="246">
        <f>IFERROR((SUMPRODUCT($C$61:$I$61,$C40:$I40)/SUMPRODUCT($C$61:$I$61,$C13:$I13))/(SUM($C40:$I40)/SUM($C13:$I13)),0)</f>
        <v>0.26509760689229045</v>
      </c>
      <c r="H85" s="246">
        <f>IFERROR((SUMPRODUCT($C$62:$I$62,$C40:$I40)/SUMPRODUCT($C$62:$I$62,$C13:$I13))/(SUM($C40:$I40)/SUM($C13:$I13)),0)</f>
        <v>0.26203735567332753</v>
      </c>
      <c r="I85" s="246">
        <f>IFERROR((SUMPRODUCT($C$63:$I$63,$C40:$I40)/SUMPRODUCT($C$63:$I$63,$C13:$I13))/(SUM($C40:$I40)/SUM($C13:$I13)),0)</f>
        <v>0.26203735567332753</v>
      </c>
      <c r="J85" s="246">
        <f>IFERROR((SUMPRODUCT($C$64:$I$64,$C40:$I40)/SUMPRODUCT($C$64:$I$64,$C13:$I13))/(SUM($C40:$I40)/SUM($C13:$I13)),0)</f>
        <v>1.3791824012792864</v>
      </c>
      <c r="K85" s="352">
        <f>J31*(SUMPRODUCT($C$57:$I$57,C13:I13)*C85+SUMPRODUCT($C$58:$I$58,C13:I13)*D85+SUMPRODUCT($C$59:$I$59,C13:I13)*E85+SUMPRODUCT($C$60:$I$60,C13:I13)*F85+SUMPRODUCT($C$64:$I$64,C13:I13)*J85)/J13</f>
        <v>1.5833395900006847E-2</v>
      </c>
      <c r="L85" s="241">
        <f>K85-J31</f>
        <v>-1.666040999931534E-4</v>
      </c>
    </row>
    <row r="86" spans="2:14">
      <c r="B86" s="342" t="s">
        <v>333</v>
      </c>
      <c r="C86" s="246">
        <f>(SUMPRODUCT($C$57:$I$57,$C41:$I41)/SUMPRODUCT($C$57:$I$57,$C14:$I14))/(SUM($C41:$I41)/SUM($C14:$I14))</f>
        <v>0.89882863314578798</v>
      </c>
      <c r="D86" s="246">
        <f>(SUMPRODUCT($C$58:$I$58,$C41:$I41)/SUMPRODUCT($C$58:$I$58,$C14:$I14))/(SUM($C41:$I41)/SUM($C14:$I14))</f>
        <v>1.5652450949887675</v>
      </c>
      <c r="E86" s="246">
        <f>IFERROR((SUMPRODUCT($C$59:$I$59,$C41:$I41)/SUMPRODUCT($C$59:$I$59,$C14:$I14))/(SUM($C41:$I41)/SUM($C14:$I14)),0)</f>
        <v>0.42149853934855852</v>
      </c>
      <c r="F86" s="246">
        <f>IFERROR((SUMPRODUCT($C$60:$I$60,$C41:$I41)/SUMPRODUCT($C$60:$I$60,$C14:$I14))/(SUM($C41:$I41)/SUM($C14:$I14)),0)</f>
        <v>0.85067682091738606</v>
      </c>
      <c r="G86" s="246">
        <f>IFERROR((SUMPRODUCT($C$61:$I$61,$C41:$I41)/SUMPRODUCT($C$61:$I$61,$C14:$I14))/(SUM($C41:$I41)/SUM($C14:$I14)),0)</f>
        <v>0.21939076547693204</v>
      </c>
      <c r="H86" s="246">
        <f>IFERROR((SUMPRODUCT($C$62:$I$62,$C41:$I41)/SUMPRODUCT($C$62:$I$62,$C14:$I14))/(SUM($C41:$I41)/SUM($C14:$I14)),0)</f>
        <v>0.47711647406701702</v>
      </c>
      <c r="I86" s="246">
        <f>IFERROR((SUMPRODUCT($C$63:$I$63,$C41:$I41)/SUMPRODUCT($C$63:$I$63,$C14:$I14))/(SUM($C41:$I41)/SUM($C14:$I14)),0)</f>
        <v>0.47711647406701702</v>
      </c>
      <c r="J86" s="246">
        <f>IFERROR((SUMPRODUCT($C$64:$I$64,$C41:$I41)/SUMPRODUCT($C$64:$I$64,$C14:$I14))/(SUM($C41:$I41)/SUM($C14:$I14)),0)</f>
        <v>0.28780383924799813</v>
      </c>
      <c r="K86" s="352">
        <f>J32*(SUMPRODUCT($C$57:$I$57,C14:I14)*C86+SUMPRODUCT($C$58:$I$58,C14:I14)*D86+SUMPRODUCT($C$59:$I$59,C14:I14)*E86+SUMPRODUCT($C$60:$I$60,C14:I14)*F86+SUMPRODUCT($C$64:$I$64,C14:I14)*J86)/J14</f>
        <v>2.4566665085492892E-2</v>
      </c>
      <c r="L86" s="241">
        <f>K86-J32</f>
        <v>-4.3333491450710943E-4</v>
      </c>
    </row>
    <row r="87" spans="2:14">
      <c r="B87" s="342" t="s">
        <v>365</v>
      </c>
      <c r="C87" s="246">
        <f>IFERROR(SUMPRODUCT(($C$57:$I$57,$C42:$I42)/SUMPRODUCT($C$57:$I$57,$C15:$I15))/(SUM($C42:$I42)/SUM($C15:$I15)),1)</f>
        <v>1</v>
      </c>
      <c r="D87" s="246">
        <f>IFERROR(SUMPRODUCT(($C$57:$I$57,$C42:$I42)/SUMPRODUCT($C$57:$I$57,$C15:$I15))/(SUM($C42:$I42)/SUM($C15:$I15)),1)</f>
        <v>1</v>
      </c>
      <c r="E87" s="246">
        <f>IFERROR(SUMPRODUCT(($C$57:$I$57,$C42:$I42)/SUMPRODUCT($C$57:$I$57,$C15:$I15))/(SUM($C42:$I42)/SUM($C15:$I15)),1)</f>
        <v>1</v>
      </c>
      <c r="F87" s="246">
        <f>IFERROR(SUMPRODUCT(($C$57:$I$57,$C42:$I42)/SUMPRODUCT($C$57:$I$57,$C15:$I15))/(SUM($C42:$I42)/SUM($C15:$I15)),1)</f>
        <v>1</v>
      </c>
      <c r="G87" s="246">
        <f>IFERROR(SUMPRODUCT(($C$57:$I$57,$C42:$I42)/SUMPRODUCT($C$57:$I$57,$C15:$I15))/(SUM($C42:$I42)/SUM($C15:$I15)),1)</f>
        <v>1</v>
      </c>
      <c r="H87" s="246">
        <f>IFERROR(SUMPRODUCT(($C$57:$I$57,$C42:$I42)/SUMPRODUCT($C$57:$I$57,$C15:$I15))/(SUM($C42:$I42)/SUM($C15:$I15)),1)</f>
        <v>1</v>
      </c>
      <c r="I87" s="246">
        <f>IFERROR(SUMPRODUCT(($C$57:$I$57,$C42:$I42)/SUMPRODUCT($C$57:$I$57,$C15:$I15))/(SUM($C42:$I42)/SUM($C15:$I15)),1)</f>
        <v>1</v>
      </c>
      <c r="J87" s="246">
        <f>IFERROR(SUMPRODUCT(($C$57:$I$57,$C42:$I42)/SUMPRODUCT($C$57:$I$57,$C15:$I15))/(SUM($C42:$I42)/SUM($C15:$I15)),1)</f>
        <v>1</v>
      </c>
      <c r="K87" s="352">
        <f>J33*(SUMPRODUCT($C$57:$I$57,C15:I15)*C87+SUMPRODUCT($C$58:$I$58,C15:I15)*D87+SUMPRODUCT($C$59:$I$59,C15:I15)*E87+SUMPRODUCT($C$60:$I$60,C15:I15)*F87+SUMPRODUCT($C$64:$I$64,C15:I15)*J87)/J15</f>
        <v>5.8237678008116633E-2</v>
      </c>
      <c r="L87" s="241">
        <f>K87-J33</f>
        <v>-7.1762321991883371E-2</v>
      </c>
    </row>
    <row r="88" spans="2:14">
      <c r="B88" s="342" t="s">
        <v>27</v>
      </c>
      <c r="C88" s="246">
        <f>(SUMPRODUCT($C$57:$I$57,$C43:$I43)/SUMPRODUCT($C$57:$I$57,$C16:$I16))/(SUM($C43:$I43)/SUM($C16:$I16))</f>
        <v>1.0000000000000002</v>
      </c>
      <c r="D88" s="246">
        <f>(SUMPRODUCT($C$58:$I$58,$C43:$I43)/SUMPRODUCT($C$58:$I$58,$C16:$I16))/(SUM($C43:$I43)/SUM($C16:$I16))</f>
        <v>1.0000000000000002</v>
      </c>
      <c r="E88" s="246">
        <f>IFERROR((SUMPRODUCT($C$59:$I$59,$C43:$I43)/SUMPRODUCT($C$59:$I$59,$C16:$I16))/(SUM($C43:$I43)/SUM($C16:$I16)),0)</f>
        <v>1.0000000000000002</v>
      </c>
      <c r="F88" s="246">
        <f>IFERROR((SUMPRODUCT($C$60:$I$60,$C43:$I43)/SUMPRODUCT($C$60:$I$60,$C16:$I16))/(SUM($C43:$I43)/SUM($C16:$I16)),0)</f>
        <v>1.0000000000000002</v>
      </c>
      <c r="G88" s="246">
        <f>IFERROR((SUMPRODUCT($C$61:$I$61,$C43:$I43)/SUMPRODUCT($C$61:$I$61,$C16:$I16))/(SUM($C43:$I43)/SUM($C16:$I16)),0)</f>
        <v>1.0000000000000002</v>
      </c>
      <c r="H88" s="246">
        <f>IFERROR((SUMPRODUCT($C$62:$I$62,$C43:$I43)/SUMPRODUCT($C$62:$I$62,$C16:$I16))/(SUM($C43:$I43)/SUM($C16:$I16)),0)</f>
        <v>1.0000000000000002</v>
      </c>
      <c r="I88" s="246">
        <f>IFERROR((SUMPRODUCT($C$63:$I$63,$C43:$I43)/SUMPRODUCT($C$63:$I$63,$C16:$I16))/(SUM($C43:$I43)/SUM($C16:$I16)),0)</f>
        <v>1.0000000000000002</v>
      </c>
      <c r="J88" s="246">
        <f>IFERROR((SUMPRODUCT($C$64:$I$64,$C43:$I43)/SUMPRODUCT($C$64:$I$64,$C16:$I16))/(SUM($C43:$I43)/SUM($C16:$I16)),0)</f>
        <v>1.0000000000000004</v>
      </c>
      <c r="K88" s="352">
        <f>J34*(SUMPRODUCT($C$57:$I$57,C16:I16)*C88+SUMPRODUCT($C$58:$I$58,C16:I16)*D88+SUMPRODUCT($C$59:$I$59,C16:I16)*E88+SUMPRODUCT($C$60:$I$60,C16:I16)*F88+SUMPRODUCT($C$64:$I$64,C16:I16)*J88)/J16</f>
        <v>3.7233185959562445E-2</v>
      </c>
      <c r="L88" s="241">
        <f>K88-J34</f>
        <v>-2.5049039027089451E-3</v>
      </c>
    </row>
    <row r="89" spans="2:14">
      <c r="B89" s="341"/>
      <c r="C89" s="374"/>
      <c r="D89" s="346"/>
      <c r="E89" s="346"/>
      <c r="F89" s="346"/>
      <c r="G89" s="346"/>
      <c r="H89" s="346"/>
      <c r="I89" s="346"/>
      <c r="J89" s="375"/>
      <c r="K89" s="347"/>
    </row>
    <row r="91" spans="2:14">
      <c r="B91" s="1" t="s">
        <v>805</v>
      </c>
    </row>
    <row r="92" spans="2:14">
      <c r="B92" s="341" t="s">
        <v>774</v>
      </c>
      <c r="C92" s="340" t="s">
        <v>3</v>
      </c>
      <c r="D92" s="338" t="s">
        <v>4</v>
      </c>
      <c r="E92" s="360" t="s">
        <v>796</v>
      </c>
      <c r="F92" s="338" t="s">
        <v>88</v>
      </c>
      <c r="G92" s="338" t="s">
        <v>797</v>
      </c>
      <c r="H92" s="338" t="s">
        <v>798</v>
      </c>
      <c r="I92" s="361" t="s">
        <v>799</v>
      </c>
      <c r="J92" s="345" t="s">
        <v>27</v>
      </c>
      <c r="K92" s="345"/>
      <c r="L92" s="269"/>
    </row>
    <row r="93" spans="2:14">
      <c r="B93" s="342" t="s">
        <v>764</v>
      </c>
      <c r="C93" s="246" cm="1">
        <f t="array" ref="C93">_xlfn.IFS(C84=0,$N$93,C84&lt;=0.5,$N$94,AND(C84&lt;=0.9,C84&gt;0.5),$N$95,AND(C84&lt;=1.1,C84&gt;0.9),$N$96,C84&gt;1.1,$N$97)</f>
        <v>1</v>
      </c>
      <c r="D93" s="246" cm="1">
        <f t="array" ref="D93">_xlfn.IFS(D84=0,$N$93,D84&lt;=0.5,$N$94,AND(D84&lt;=0.9,D84&gt;0.5),$N$95,AND(D84&lt;=1.1,D84&gt;0.9),$N$96,D84&gt;1.1,$N$97)</f>
        <v>0.8</v>
      </c>
      <c r="E93" s="246" cm="1">
        <f t="array" ref="E93">_xlfn.IFS(E84=0,$N$93,E84&lt;=0.5,$N$94,AND(E84&lt;=0.9,E84&gt;0.5),$N$95,AND(E84&lt;=1.1,E84&gt;0.9),$N$96,E84&gt;1.1,$N$97)</f>
        <v>0.8</v>
      </c>
      <c r="F93" s="246" cm="1">
        <f t="array" ref="F93">_xlfn.IFS(F84=0,$N$93,F84&lt;=0.5,$N$94,AND(F84&lt;=0.9,F84&gt;0.5),$N$95,AND(F84&lt;=1.1,F84&gt;0.9),$N$96,F84&gt;1.1,$N$97)</f>
        <v>0.8</v>
      </c>
      <c r="G93" s="246" cm="1">
        <f t="array" ref="G93">_xlfn.IFS(G84=0,$N$93,G84&lt;=0.5,$N$94,AND(G84&lt;=0.9,G84&gt;0.5),$N$95,AND(G84&lt;=1.1,G84&gt;0.9),$N$96,G84&gt;1.1,$N$97)</f>
        <v>1.1000000000000001</v>
      </c>
      <c r="H93" s="246" cm="1">
        <f t="array" ref="H93">_xlfn.IFS(H84=0,$N$93,H84&lt;=0.5,$N$94,AND(H84&lt;=0.9,H84&gt;0.5),$N$95,AND(H84&lt;=1.1,H84&gt;0.9),$N$96,H84&gt;1.1,$N$97)</f>
        <v>1.1000000000000001</v>
      </c>
      <c r="I93" s="246" cm="1">
        <f t="array" ref="I93">_xlfn.IFS(I84=0,$N$93,I84&lt;=0.5,$N$94,AND(I84&lt;=0.9,I84&gt;0.5),$N$95,AND(I84&lt;=1.1,I84&gt;0.9),$N$96,I84&gt;1.1,$N$97)</f>
        <v>0.8</v>
      </c>
      <c r="J93" s="246" cm="1">
        <f t="array" ref="J93">_xlfn.IFS(J84=0,$N$93,J84&lt;=0.5,$N$94,AND(J84&lt;=0.9,J84&gt;0.5),$N$95,AND(J84&lt;=1.1,J84&gt;0.9),$N$96,J84&gt;1.1,$N$97)</f>
        <v>1.1000000000000001</v>
      </c>
      <c r="K93" s="352"/>
      <c r="L93" s="241"/>
      <c r="M93" t="s">
        <v>806</v>
      </c>
      <c r="N93">
        <v>0.8</v>
      </c>
    </row>
    <row r="94" spans="2:14">
      <c r="B94" s="342" t="s">
        <v>19</v>
      </c>
      <c r="C94" s="246" cm="1">
        <f t="array" ref="C94">_xlfn.IFS(C85=0,$N$93,C85&lt;=0.5,$N$94,AND(C85&lt;=0.9,C85&gt;0.5),$N$95,AND(C85&lt;=1.1,C85&gt;0.9),$N$96,C85&gt;1.1,$N$97)</f>
        <v>1</v>
      </c>
      <c r="D94" s="246" cm="1">
        <f t="array" ref="D94">_xlfn.IFS(D85=0,$N$93,D85&lt;=0.5,$N$94,AND(D85&lt;=0.9,D85&gt;0.5),$N$95,AND(D85&lt;=1.1,D85&gt;0.9),$N$96,D85&gt;1.1,$N$97)</f>
        <v>0.9</v>
      </c>
      <c r="E94" s="246" cm="1">
        <f t="array" ref="E94">_xlfn.IFS(E85=0,$N$93,E85&lt;=0.5,$N$94,AND(E85&lt;=0.9,E85&gt;0.5),$N$95,AND(E85&lt;=1.1,E85&gt;0.9),$N$96,E85&gt;1.1,$N$97)</f>
        <v>0.8</v>
      </c>
      <c r="F94" s="246" cm="1">
        <f t="array" ref="F94">_xlfn.IFS(F85=0,$N$93,F85&lt;=0.5,$N$94,AND(F85&lt;=0.9,F85&gt;0.5),$N$95,AND(F85&lt;=1.1,F85&gt;0.9),$N$96,F85&gt;1.1,$N$97)</f>
        <v>0.8</v>
      </c>
      <c r="G94" s="246" cm="1">
        <f t="array" ref="G94">_xlfn.IFS(G85=0,$N$93,G85&lt;=0.5,$N$94,AND(G85&lt;=0.9,G85&gt;0.5),$N$95,AND(G85&lt;=1.1,G85&gt;0.9),$N$96,G85&gt;1.1,$N$97)</f>
        <v>0.8</v>
      </c>
      <c r="H94" s="246" cm="1">
        <f t="array" ref="H94">_xlfn.IFS(H85=0,$N$93,H85&lt;=0.5,$N$94,AND(H85&lt;=0.9,H85&gt;0.5),$N$95,AND(H85&lt;=1.1,H85&gt;0.9),$N$96,H85&gt;1.1,$N$97)</f>
        <v>0.8</v>
      </c>
      <c r="I94" s="246" cm="1">
        <f t="array" ref="I94">_xlfn.IFS(I85=0,$N$93,I85&lt;=0.5,$N$94,AND(I85&lt;=0.9,I85&gt;0.5),$N$95,AND(I85&lt;=1.1,I85&gt;0.9),$N$96,I85&gt;1.1,$N$97)</f>
        <v>0.8</v>
      </c>
      <c r="J94" s="246" cm="1">
        <f t="array" ref="J94">_xlfn.IFS(J85=0,$N$93,J85&lt;=0.5,$N$94,AND(J85&lt;=0.9,J85&gt;0.5),$N$95,AND(J85&lt;=1.1,J85&gt;0.9),$N$96,J85&gt;1.1,$N$97)</f>
        <v>1.1000000000000001</v>
      </c>
      <c r="K94" s="352"/>
      <c r="L94" s="241"/>
      <c r="M94" t="s">
        <v>807</v>
      </c>
      <c r="N94">
        <v>0.8</v>
      </c>
    </row>
    <row r="95" spans="2:14">
      <c r="B95" s="342" t="s">
        <v>333</v>
      </c>
      <c r="C95" s="246" cm="1">
        <f t="array" ref="C95">_xlfn.IFS(C86=0,$N$93,C86&lt;=0.5,$N$94,AND(C86&lt;=0.9,C86&gt;0.5),$N$95,AND(C86&lt;=1.1,C86&gt;0.9),$N$96,C86&gt;1.1,$N$97)</f>
        <v>0.9</v>
      </c>
      <c r="D95" s="246" cm="1">
        <f t="array" ref="D95">_xlfn.IFS(D86=0,$N$93,D86&lt;=0.5,$N$94,AND(D86&lt;=0.9,D86&gt;0.5),$N$95,AND(D86&lt;=1.1,D86&gt;0.9),$N$96,D86&gt;1.1,$N$97)</f>
        <v>1.1000000000000001</v>
      </c>
      <c r="E95" s="246" cm="1">
        <f t="array" ref="E95">_xlfn.IFS(E86=0,$N$93,E86&lt;=0.5,$N$94,AND(E86&lt;=0.9,E86&gt;0.5),$N$95,AND(E86&lt;=1.1,E86&gt;0.9),$N$96,E86&gt;1.1,$N$97)</f>
        <v>0.8</v>
      </c>
      <c r="F95" s="246" cm="1">
        <f t="array" ref="F95">_xlfn.IFS(F86=0,$N$93,F86&lt;=0.5,$N$94,AND(F86&lt;=0.9,F86&gt;0.5),$N$95,AND(F86&lt;=1.1,F86&gt;0.9),$N$96,F86&gt;1.1,$N$97)</f>
        <v>0.9</v>
      </c>
      <c r="G95" s="246" cm="1">
        <f t="array" ref="G95">_xlfn.IFS(G86=0,$N$93,G86&lt;=0.5,$N$94,AND(G86&lt;=0.9,G86&gt;0.5),$N$95,AND(G86&lt;=1.1,G86&gt;0.9),$N$96,G86&gt;1.1,$N$97)</f>
        <v>0.8</v>
      </c>
      <c r="H95" s="246" cm="1">
        <f t="array" ref="H95">_xlfn.IFS(H86=0,$N$93,H86&lt;=0.5,$N$94,AND(H86&lt;=0.9,H86&gt;0.5),$N$95,AND(H86&lt;=1.1,H86&gt;0.9),$N$96,H86&gt;1.1,$N$97)</f>
        <v>0.8</v>
      </c>
      <c r="I95" s="246" cm="1">
        <f t="array" ref="I95">_xlfn.IFS(I86=0,$N$93,I86&lt;=0.5,$N$94,AND(I86&lt;=0.9,I86&gt;0.5),$N$95,AND(I86&lt;=1.1,I86&gt;0.9),$N$96,I86&gt;1.1,$N$97)</f>
        <v>0.8</v>
      </c>
      <c r="J95" s="246" cm="1">
        <f t="array" ref="J95">_xlfn.IFS(J86=0,$N$93,J86&lt;=0.5,$N$94,AND(J86&lt;=0.9,J86&gt;0.5),$N$95,AND(J86&lt;=1.1,J86&gt;0.9),$N$96,J86&gt;1.1,$N$97)</f>
        <v>0.8</v>
      </c>
      <c r="K95" s="352"/>
      <c r="L95" s="241"/>
      <c r="M95" t="s">
        <v>808</v>
      </c>
      <c r="N95">
        <v>0.9</v>
      </c>
    </row>
    <row r="96" spans="2:14">
      <c r="B96" s="342" t="s">
        <v>365</v>
      </c>
      <c r="C96" s="246" cm="1">
        <f t="array" ref="C96">_xlfn.IFS(C87=0,$N$93,C87&lt;=0.5,$N$94,AND(C87&lt;=0.9,C87&gt;0.5),$N$95,AND(C87&lt;=1.1,C87&gt;0.9),$N$96,C87&gt;1.1,$N$97)</f>
        <v>1</v>
      </c>
      <c r="D96" s="246" cm="1">
        <f t="array" ref="D96">_xlfn.IFS(D87=0,$N$93,D87&lt;=0.5,$N$94,AND(D87&lt;=0.9,D87&gt;0.5),$N$95,AND(D87&lt;=1.1,D87&gt;0.9),$N$96,D87&gt;1.1,$N$97)</f>
        <v>1</v>
      </c>
      <c r="E96" s="246" cm="1">
        <f t="array" ref="E96">_xlfn.IFS(E87=0,$N$93,E87&lt;=0.5,$N$94,AND(E87&lt;=0.9,E87&gt;0.5),$N$95,AND(E87&lt;=1.1,E87&gt;0.9),$N$96,E87&gt;1.1,$N$97)</f>
        <v>1</v>
      </c>
      <c r="F96" s="246" cm="1">
        <f t="array" ref="F96">_xlfn.IFS(F87=0,$N$93,F87&lt;=0.5,$N$94,AND(F87&lt;=0.9,F87&gt;0.5),$N$95,AND(F87&lt;=1.1,F87&gt;0.9),$N$96,F87&gt;1.1,$N$97)</f>
        <v>1</v>
      </c>
      <c r="G96" s="246" cm="1">
        <f t="array" ref="G96">_xlfn.IFS(G87=0,$N$93,G87&lt;=0.5,$N$94,AND(G87&lt;=0.9,G87&gt;0.5),$N$95,AND(G87&lt;=1.1,G87&gt;0.9),$N$96,G87&gt;1.1,$N$97)</f>
        <v>1</v>
      </c>
      <c r="H96" s="246" cm="1">
        <f t="array" ref="H96">_xlfn.IFS(H87=0,$N$93,H87&lt;=0.5,$N$94,AND(H87&lt;=0.9,H87&gt;0.5),$N$95,AND(H87&lt;=1.1,H87&gt;0.9),$N$96,H87&gt;1.1,$N$97)</f>
        <v>1</v>
      </c>
      <c r="I96" s="246" cm="1">
        <f t="array" ref="I96">_xlfn.IFS(I87=0,$N$93,I87&lt;=0.5,$N$94,AND(I87&lt;=0.9,I87&gt;0.5),$N$95,AND(I87&lt;=1.1,I87&gt;0.9),$N$96,I87&gt;1.1,$N$97)</f>
        <v>1</v>
      </c>
      <c r="J96" s="246" cm="1">
        <f t="array" ref="J96">_xlfn.IFS(J87=0,$N$93,J87&lt;=0.5,$N$94,AND(J87&lt;=0.9,J87&gt;0.5),$N$95,AND(J87&lt;=1.1,J87&gt;0.9),$N$96,J87&gt;1.1,$N$97)</f>
        <v>1</v>
      </c>
      <c r="K96" s="352"/>
      <c r="L96" s="241"/>
      <c r="M96" t="s">
        <v>809</v>
      </c>
      <c r="N96">
        <v>1</v>
      </c>
    </row>
    <row r="97" spans="2:14">
      <c r="B97" s="342" t="s">
        <v>27</v>
      </c>
      <c r="C97" s="246" cm="1">
        <f t="array" ref="C97">_xlfn.IFS(C88=0,$N$93,C88&lt;=0.5,$N$94,AND(C88&lt;=0.9,C88&gt;0.5),$N$95,AND(C88&lt;=1.1,C88&gt;0.9),$N$96,C88&gt;1.1,$N$97)</f>
        <v>1</v>
      </c>
      <c r="D97" s="246" cm="1">
        <f t="array" ref="D97">_xlfn.IFS(D88=0,$N$93,D88&lt;=0.5,$N$94,AND(D88&lt;=0.9,D88&gt;0.5),$N$95,AND(D88&lt;=1.1,D88&gt;0.9),$N$96,D88&gt;1.1,$N$97)</f>
        <v>1</v>
      </c>
      <c r="E97" s="246" cm="1">
        <f t="array" ref="E97">_xlfn.IFS(E88=0,$N$93,E88&lt;=0.5,$N$94,AND(E88&lt;=0.9,E88&gt;0.5),$N$95,AND(E88&lt;=1.1,E88&gt;0.9),$N$96,E88&gt;1.1,$N$97)</f>
        <v>1</v>
      </c>
      <c r="F97" s="246" cm="1">
        <f t="array" ref="F97">_xlfn.IFS(F88=0,$N$93,F88&lt;=0.5,$N$94,AND(F88&lt;=0.9,F88&gt;0.5),$N$95,AND(F88&lt;=1.1,F88&gt;0.9),$N$96,F88&gt;1.1,$N$97)</f>
        <v>1</v>
      </c>
      <c r="G97" s="246" cm="1">
        <f t="array" ref="G97">_xlfn.IFS(G88=0,$N$93,G88&lt;=0.5,$N$94,AND(G88&lt;=0.9,G88&gt;0.5),$N$95,AND(G88&lt;=1.1,G88&gt;0.9),$N$96,G88&gt;1.1,$N$97)</f>
        <v>1</v>
      </c>
      <c r="H97" s="246" cm="1">
        <f t="array" ref="H97">_xlfn.IFS(H88=0,$N$93,H88&lt;=0.5,$N$94,AND(H88&lt;=0.9,H88&gt;0.5),$N$95,AND(H88&lt;=1.1,H88&gt;0.9),$N$96,H88&gt;1.1,$N$97)</f>
        <v>1</v>
      </c>
      <c r="I97" s="246" cm="1">
        <f t="array" ref="I97">_xlfn.IFS(I88=0,$N$93,I88&lt;=0.5,$N$94,AND(I88&lt;=0.9,I88&gt;0.5),$N$95,AND(I88&lt;=1.1,I88&gt;0.9),$N$96,I88&gt;1.1,$N$97)</f>
        <v>1</v>
      </c>
      <c r="J97" s="246" cm="1">
        <f t="array" ref="J97">_xlfn.IFS(J88=0,$N$93,J88&lt;=0.5,$N$94,AND(J88&lt;=0.9,J88&gt;0.5),$N$95,AND(J88&lt;=1.1,J88&gt;0.9),$N$96,J88&gt;1.1,$N$97)</f>
        <v>1</v>
      </c>
      <c r="K97" s="352"/>
      <c r="L97" s="241"/>
      <c r="M97" t="s">
        <v>810</v>
      </c>
      <c r="N97">
        <v>1.1000000000000001</v>
      </c>
    </row>
    <row r="98" spans="2:14">
      <c r="B98" s="341"/>
      <c r="C98" s="374"/>
      <c r="D98" s="346"/>
      <c r="E98" s="346"/>
      <c r="F98" s="346"/>
      <c r="G98" s="346"/>
      <c r="H98" s="346"/>
      <c r="I98" s="346"/>
      <c r="J98" s="375"/>
      <c r="K98" s="347"/>
    </row>
    <row r="100" spans="2:14">
      <c r="B100" s="1" t="s">
        <v>811</v>
      </c>
    </row>
    <row r="101" spans="2:14">
      <c r="B101" s="341" t="s">
        <v>775</v>
      </c>
      <c r="C101" s="340" t="s">
        <v>3</v>
      </c>
      <c r="D101" s="338" t="s">
        <v>4</v>
      </c>
      <c r="E101" s="360" t="s">
        <v>796</v>
      </c>
      <c r="F101" s="338" t="s">
        <v>88</v>
      </c>
      <c r="G101" s="338" t="s">
        <v>797</v>
      </c>
      <c r="H101" s="338" t="s">
        <v>798</v>
      </c>
      <c r="I101" s="361" t="s">
        <v>799</v>
      </c>
      <c r="J101" s="345" t="s">
        <v>27</v>
      </c>
      <c r="K101" s="345" t="s">
        <v>78</v>
      </c>
    </row>
    <row r="102" spans="2:14">
      <c r="B102" s="342" t="s">
        <v>764</v>
      </c>
      <c r="C102" s="104"/>
      <c r="D102" s="104"/>
      <c r="E102" s="104"/>
      <c r="F102" s="104"/>
      <c r="G102" s="104"/>
      <c r="H102" s="104"/>
      <c r="I102" s="104"/>
      <c r="J102" s="104"/>
      <c r="K102" s="355">
        <f>'Ethylene Recycling HC'!AG52</f>
        <v>0.5732262658227848</v>
      </c>
    </row>
    <row r="103" spans="2:14">
      <c r="B103" s="342" t="s">
        <v>19</v>
      </c>
      <c r="C103" s="104"/>
      <c r="D103" s="104"/>
      <c r="E103" s="104"/>
      <c r="F103" s="104"/>
      <c r="G103" s="104"/>
      <c r="H103" s="104"/>
      <c r="I103" s="104"/>
      <c r="J103" s="104"/>
      <c r="K103" s="355">
        <f>'Ethylene Recycling HC'!AG193</f>
        <v>0.5</v>
      </c>
    </row>
    <row r="104" spans="2:14">
      <c r="B104" s="342" t="s">
        <v>333</v>
      </c>
      <c r="C104" s="104"/>
      <c r="D104" s="104"/>
      <c r="E104" s="104"/>
      <c r="F104" s="104"/>
      <c r="G104" s="104"/>
      <c r="H104" s="104"/>
      <c r="I104" s="104"/>
      <c r="J104" s="104"/>
      <c r="K104" s="355">
        <f>'Ethylene Recycling HC'!AG104</f>
        <v>0.44</v>
      </c>
    </row>
    <row r="105" spans="2:14">
      <c r="B105" s="342" t="s">
        <v>365</v>
      </c>
      <c r="C105" s="104"/>
      <c r="D105" s="104"/>
      <c r="E105" s="104"/>
      <c r="F105" s="104"/>
      <c r="G105" s="104"/>
      <c r="H105" s="104"/>
      <c r="I105" s="104"/>
      <c r="J105" s="104"/>
      <c r="K105" s="355">
        <f>'Ethylene Recycling HC'!AG153</f>
        <v>0.5</v>
      </c>
    </row>
    <row r="106" spans="2:14">
      <c r="B106" s="342" t="s">
        <v>27</v>
      </c>
      <c r="C106" s="104"/>
      <c r="D106" s="104"/>
      <c r="E106" s="104"/>
      <c r="F106" s="104"/>
      <c r="G106" s="104"/>
      <c r="H106" s="104"/>
      <c r="I106" s="104"/>
      <c r="J106" s="104"/>
      <c r="K106" s="355">
        <f>'Ethylene Recycling HC'!AG206</f>
        <v>0.2</v>
      </c>
    </row>
    <row r="107" spans="2:14">
      <c r="B107" s="341" t="s">
        <v>78</v>
      </c>
      <c r="C107" s="354"/>
      <c r="D107" s="354"/>
      <c r="E107" s="354"/>
      <c r="F107" s="354"/>
      <c r="G107" s="354"/>
      <c r="H107" s="354"/>
      <c r="I107" s="354"/>
      <c r="J107" s="353"/>
    </row>
    <row r="109" spans="2:14">
      <c r="B109" s="1"/>
    </row>
    <row r="110" spans="2:14">
      <c r="B110" s="1"/>
      <c r="C110" s="268"/>
      <c r="D110" s="269"/>
      <c r="E110" s="270"/>
      <c r="F110" s="269"/>
      <c r="G110" s="269"/>
      <c r="H110" s="269"/>
      <c r="I110" s="271"/>
      <c r="J110" s="269"/>
      <c r="K110" s="269"/>
    </row>
    <row r="111" spans="2:14">
      <c r="B111" s="1"/>
      <c r="C111" s="296"/>
      <c r="D111" s="296"/>
      <c r="E111" s="296"/>
      <c r="F111" s="296"/>
      <c r="G111" s="296"/>
      <c r="H111" s="296"/>
      <c r="I111" s="296"/>
      <c r="J111" s="296"/>
      <c r="K111" s="295"/>
    </row>
    <row r="112" spans="2:14">
      <c r="B112" s="1"/>
      <c r="C112" s="296"/>
      <c r="D112" s="296"/>
      <c r="E112" s="296"/>
      <c r="F112" s="296"/>
      <c r="G112" s="296"/>
      <c r="H112" s="296"/>
      <c r="I112" s="296"/>
      <c r="J112" s="296"/>
      <c r="K112" s="295"/>
    </row>
    <row r="113" spans="2:11">
      <c r="B113" s="1"/>
      <c r="C113" s="296"/>
      <c r="D113" s="296"/>
      <c r="E113" s="296"/>
      <c r="F113" s="296"/>
      <c r="G113" s="296"/>
      <c r="H113" s="296"/>
      <c r="I113" s="296"/>
      <c r="J113" s="296"/>
      <c r="K113" s="295"/>
    </row>
    <row r="114" spans="2:11">
      <c r="B114" s="1"/>
      <c r="C114" s="296"/>
      <c r="D114" s="296"/>
      <c r="E114" s="296"/>
      <c r="F114" s="296"/>
      <c r="G114" s="296"/>
      <c r="H114" s="296"/>
      <c r="I114" s="296"/>
      <c r="J114" s="296"/>
      <c r="K114" s="295"/>
    </row>
    <row r="115" spans="2:11">
      <c r="B115" s="1"/>
      <c r="C115" s="296"/>
      <c r="D115" s="296"/>
      <c r="E115" s="296"/>
      <c r="F115" s="296"/>
      <c r="G115" s="296"/>
      <c r="H115" s="296"/>
      <c r="I115" s="296"/>
      <c r="J115" s="296"/>
      <c r="K115" s="295"/>
    </row>
    <row r="116" spans="2:11">
      <c r="B116" s="1"/>
      <c r="C116" s="276"/>
      <c r="D116" s="276"/>
      <c r="E116" s="276"/>
      <c r="F116" s="276"/>
      <c r="G116" s="276"/>
      <c r="H116" s="276"/>
      <c r="I116" s="276"/>
      <c r="J116" s="276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FE95D-4B67-45B6-95FC-0B3A032F26FD}">
  <sheetPr>
    <tabColor theme="4"/>
  </sheetPr>
  <dimension ref="A1:AI93"/>
  <sheetViews>
    <sheetView zoomScale="70" zoomScaleNormal="70" workbookViewId="0">
      <selection activeCell="E90" sqref="E90"/>
    </sheetView>
  </sheetViews>
  <sheetFormatPr defaultRowHeight="14.75"/>
  <cols>
    <col min="2" max="2" width="11.08984375" customWidth="1"/>
    <col min="3" max="3" width="9.26953125" customWidth="1"/>
    <col min="4" max="4" width="12.08984375" bestFit="1" customWidth="1"/>
    <col min="5" max="5" width="15.54296875" bestFit="1" customWidth="1"/>
    <col min="6" max="6" width="20" bestFit="1" customWidth="1"/>
    <col min="9" max="9" width="14.81640625" customWidth="1"/>
    <col min="11" max="12" width="11.08984375" customWidth="1"/>
    <col min="13" max="13" width="9.26953125" customWidth="1"/>
    <col min="14" max="14" width="12.08984375" bestFit="1" customWidth="1"/>
    <col min="15" max="15" width="15.54296875" bestFit="1" customWidth="1"/>
    <col min="16" max="16" width="11.08984375" bestFit="1" customWidth="1"/>
    <col min="19" max="19" width="14.81640625" customWidth="1"/>
    <col min="20" max="20" width="8.7265625" customWidth="1"/>
    <col min="21" max="21" width="14.08984375" customWidth="1"/>
    <col min="22" max="34" width="8.7265625" customWidth="1"/>
  </cols>
  <sheetData>
    <row r="1" spans="2:35">
      <c r="B1">
        <v>2020</v>
      </c>
      <c r="L1">
        <v>2050</v>
      </c>
    </row>
    <row r="2" spans="2:35">
      <c r="B2" t="s">
        <v>17</v>
      </c>
      <c r="D2" t="s">
        <v>815</v>
      </c>
      <c r="E2" t="s">
        <v>816</v>
      </c>
      <c r="F2" t="s">
        <v>821</v>
      </c>
      <c r="G2" t="s">
        <v>817</v>
      </c>
      <c r="H2" t="s">
        <v>818</v>
      </c>
      <c r="L2" t="s">
        <v>17</v>
      </c>
      <c r="N2" t="s">
        <v>815</v>
      </c>
      <c r="O2" t="s">
        <v>816</v>
      </c>
      <c r="P2" t="s">
        <v>821</v>
      </c>
      <c r="Q2" t="s">
        <v>817</v>
      </c>
      <c r="R2" t="s">
        <v>818</v>
      </c>
    </row>
    <row r="3" spans="2:35" ht="14.5" customHeight="1">
      <c r="B3" t="s">
        <v>35</v>
      </c>
      <c r="C3" s="241">
        <f>'Overall recycling rates'!G39*SUM('Overall recycling rates'!G60:G62)</f>
        <v>107224.48774569582</v>
      </c>
      <c r="D3" s="121">
        <f>$C3/$C$7</f>
        <v>0.99650473690303265</v>
      </c>
      <c r="E3" s="121">
        <f t="shared" ref="E3:H4" si="0">$C3/$C$7</f>
        <v>0.99650473690303265</v>
      </c>
      <c r="F3" s="121">
        <f t="shared" si="0"/>
        <v>0.99650473690303265</v>
      </c>
      <c r="G3" s="121">
        <f t="shared" si="0"/>
        <v>0.99650473690303265</v>
      </c>
      <c r="H3" s="121">
        <f t="shared" si="0"/>
        <v>0.99650473690303265</v>
      </c>
      <c r="J3" s="699" t="s">
        <v>826</v>
      </c>
      <c r="L3" t="s">
        <v>35</v>
      </c>
      <c r="M3" s="241">
        <f>'Overall recycling rates'!G12*SUM('Overall recycling rates'!G60:G62)</f>
        <v>354281.02373451291</v>
      </c>
      <c r="N3" s="2">
        <f t="shared" ref="N3:O6" si="1">$M3/$M$7</f>
        <v>0.59767409100550273</v>
      </c>
      <c r="O3" s="2">
        <f t="shared" si="1"/>
        <v>0.59767409100550273</v>
      </c>
      <c r="P3" s="53">
        <v>0</v>
      </c>
      <c r="Q3" s="53">
        <v>0</v>
      </c>
      <c r="R3" s="2">
        <f>$M3/$M$7</f>
        <v>0.59767409100550273</v>
      </c>
      <c r="T3" s="26" t="s">
        <v>827</v>
      </c>
    </row>
    <row r="4" spans="2:35" ht="14.5" customHeight="1">
      <c r="B4" t="s">
        <v>74</v>
      </c>
      <c r="C4" s="241">
        <f>'Overall recycling rates'!E39*SUM('Overall recycling rates'!E60:E62)</f>
        <v>376.09233677454523</v>
      </c>
      <c r="D4" s="121">
        <f>$C4/$C$7</f>
        <v>3.4952630969674104E-3</v>
      </c>
      <c r="E4" s="121">
        <f t="shared" si="0"/>
        <v>3.4952630969674104E-3</v>
      </c>
      <c r="F4" s="121">
        <f t="shared" si="0"/>
        <v>3.4952630969674104E-3</v>
      </c>
      <c r="G4" s="121">
        <f t="shared" si="0"/>
        <v>3.4952630969674104E-3</v>
      </c>
      <c r="H4" s="121">
        <f t="shared" si="0"/>
        <v>3.4952630969674104E-3</v>
      </c>
      <c r="J4" s="699"/>
      <c r="L4" t="s">
        <v>74</v>
      </c>
      <c r="M4" s="241">
        <f>'Overall recycling rates'!E12*SUM('Overall recycling rates'!E60:E62)</f>
        <v>191687.80076537104</v>
      </c>
      <c r="N4" s="2">
        <f t="shared" si="1"/>
        <v>0.32337840415957425</v>
      </c>
      <c r="O4" s="2">
        <f t="shared" si="1"/>
        <v>0.32337840415957425</v>
      </c>
      <c r="P4" s="53">
        <v>0</v>
      </c>
      <c r="Q4" s="53">
        <v>0</v>
      </c>
      <c r="R4" s="2">
        <f>$M4/$M$7</f>
        <v>0.32337840415957425</v>
      </c>
      <c r="T4" s="26"/>
    </row>
    <row r="5" spans="2:35">
      <c r="B5" t="s">
        <v>160</v>
      </c>
      <c r="C5" s="241">
        <f>'Overall recycling rates'!H39*SUM('Overall recycling rates'!H60:H62)</f>
        <v>0</v>
      </c>
      <c r="D5" s="121">
        <f t="shared" ref="D5:H6" si="2">$C5/$C$7</f>
        <v>0</v>
      </c>
      <c r="E5" s="121">
        <f t="shared" si="2"/>
        <v>0</v>
      </c>
      <c r="F5" s="121">
        <f t="shared" si="2"/>
        <v>0</v>
      </c>
      <c r="G5" s="121">
        <f t="shared" si="2"/>
        <v>0</v>
      </c>
      <c r="H5" s="121">
        <f t="shared" si="2"/>
        <v>0</v>
      </c>
      <c r="J5" s="699"/>
      <c r="L5" t="s">
        <v>160</v>
      </c>
      <c r="M5" s="241">
        <f>'Overall recycling rates'!H12*SUM('Overall recycling rates'!H60:H62)</f>
        <v>42985.237955557997</v>
      </c>
      <c r="N5" s="2">
        <f t="shared" si="1"/>
        <v>7.2516339573963501E-2</v>
      </c>
      <c r="O5" s="2">
        <f t="shared" si="1"/>
        <v>7.2516339573963501E-2</v>
      </c>
      <c r="P5" s="53">
        <v>0.5</v>
      </c>
      <c r="Q5" s="53">
        <v>0.5</v>
      </c>
      <c r="R5" s="2">
        <f>$M5/$M$7</f>
        <v>7.2516339573963501E-2</v>
      </c>
      <c r="T5" s="26"/>
      <c r="V5" s="395"/>
      <c r="W5" s="395"/>
      <c r="X5" s="395"/>
      <c r="Y5" s="395"/>
      <c r="Z5" s="395"/>
      <c r="AA5" s="395"/>
      <c r="AB5" s="395"/>
      <c r="AC5" s="395"/>
      <c r="AD5" s="395"/>
      <c r="AE5" s="395"/>
      <c r="AF5" s="395"/>
      <c r="AG5" s="359"/>
      <c r="AH5" s="359"/>
      <c r="AI5" s="6"/>
    </row>
    <row r="6" spans="2:35">
      <c r="B6" t="s">
        <v>27</v>
      </c>
      <c r="C6" s="241">
        <f>'Overall recycling rates'!I39*SUM('Overall recycling rates'!I60:I62)</f>
        <v>0</v>
      </c>
      <c r="D6" s="121">
        <f t="shared" si="2"/>
        <v>0</v>
      </c>
      <c r="E6" s="121">
        <f t="shared" si="2"/>
        <v>0</v>
      </c>
      <c r="F6" s="121">
        <f t="shared" si="2"/>
        <v>0</v>
      </c>
      <c r="G6" s="121">
        <f t="shared" si="2"/>
        <v>0</v>
      </c>
      <c r="H6" s="121">
        <f t="shared" si="2"/>
        <v>0</v>
      </c>
      <c r="J6" s="699"/>
      <c r="L6" t="s">
        <v>27</v>
      </c>
      <c r="M6" s="241">
        <f>'Overall recycling rates'!I12*SUM('Overall recycling rates'!I60:I62)</f>
        <v>3812.1776512437777</v>
      </c>
      <c r="N6" s="2">
        <f t="shared" si="1"/>
        <v>6.4311652609596402E-3</v>
      </c>
      <c r="O6" s="2">
        <f t="shared" si="1"/>
        <v>6.4311652609596402E-3</v>
      </c>
      <c r="P6" s="53">
        <v>0.5</v>
      </c>
      <c r="Q6" s="53">
        <v>0.5</v>
      </c>
      <c r="R6" s="2">
        <f>$M6/$M$7</f>
        <v>6.4311652609596402E-3</v>
      </c>
      <c r="T6" s="26"/>
      <c r="V6" s="395"/>
      <c r="W6" s="395"/>
      <c r="X6" s="395"/>
      <c r="Y6" s="395"/>
      <c r="Z6" s="395"/>
      <c r="AA6" s="395"/>
      <c r="AB6" s="395"/>
      <c r="AC6" s="395"/>
      <c r="AD6" s="395"/>
      <c r="AE6" s="395"/>
      <c r="AF6" s="395"/>
      <c r="AG6" s="359"/>
      <c r="AH6" s="359"/>
      <c r="AI6" s="359"/>
    </row>
    <row r="7" spans="2:35">
      <c r="C7" s="241">
        <f t="shared" ref="C7:H7" si="3">SUM(C3:C6)</f>
        <v>107600.58008247036</v>
      </c>
      <c r="D7" s="2">
        <f t="shared" si="3"/>
        <v>1</v>
      </c>
      <c r="E7" s="2">
        <f t="shared" si="3"/>
        <v>1</v>
      </c>
      <c r="F7" s="2">
        <f t="shared" si="3"/>
        <v>1</v>
      </c>
      <c r="G7" s="2">
        <f t="shared" si="3"/>
        <v>1</v>
      </c>
      <c r="H7" s="2">
        <f t="shared" si="3"/>
        <v>1</v>
      </c>
      <c r="J7" s="476"/>
      <c r="M7" s="241">
        <f t="shared" ref="M7:R7" si="4">SUM(M3:M6)</f>
        <v>592766.24010668567</v>
      </c>
      <c r="N7" s="2">
        <f t="shared" si="4"/>
        <v>1</v>
      </c>
      <c r="O7" s="2">
        <f t="shared" si="4"/>
        <v>1</v>
      </c>
      <c r="P7" s="2">
        <f t="shared" si="4"/>
        <v>1</v>
      </c>
      <c r="Q7" s="2">
        <f t="shared" si="4"/>
        <v>1</v>
      </c>
      <c r="R7" s="2">
        <f t="shared" si="4"/>
        <v>1</v>
      </c>
      <c r="T7" s="26"/>
      <c r="V7" s="395"/>
      <c r="W7" s="395"/>
      <c r="X7" s="395"/>
      <c r="Y7" s="395"/>
      <c r="Z7" s="395"/>
      <c r="AA7" s="395"/>
      <c r="AB7" s="395"/>
      <c r="AC7" s="395"/>
      <c r="AD7" s="395"/>
      <c r="AE7" s="395"/>
      <c r="AF7" s="395"/>
      <c r="AG7" s="359"/>
      <c r="AH7" s="359"/>
      <c r="AI7" s="359"/>
    </row>
    <row r="8" spans="2:35">
      <c r="AG8" s="359"/>
      <c r="AH8" s="359"/>
    </row>
    <row r="9" spans="2:35">
      <c r="B9" t="s">
        <v>21</v>
      </c>
      <c r="D9" t="s">
        <v>815</v>
      </c>
      <c r="E9" t="s">
        <v>823</v>
      </c>
      <c r="F9" t="s">
        <v>824</v>
      </c>
      <c r="G9" t="s">
        <v>818</v>
      </c>
      <c r="L9" t="s">
        <v>21</v>
      </c>
      <c r="N9" t="s">
        <v>815</v>
      </c>
      <c r="O9" t="s">
        <v>823</v>
      </c>
      <c r="P9" t="s">
        <v>824</v>
      </c>
      <c r="Q9" t="s">
        <v>818</v>
      </c>
      <c r="V9" s="252"/>
    </row>
    <row r="10" spans="2:35" ht="14.5" customHeight="1">
      <c r="B10" t="s">
        <v>35</v>
      </c>
      <c r="C10" s="241">
        <f>'Overall recycling rates'!G41*SUM('Overall recycling rates'!G60:G62)</f>
        <v>0</v>
      </c>
      <c r="D10" s="121">
        <f>$C10/$C$14</f>
        <v>0</v>
      </c>
      <c r="E10" s="121">
        <f t="shared" ref="D10:G13" si="5">$C10/$C$14</f>
        <v>0</v>
      </c>
      <c r="F10" s="121">
        <f t="shared" si="5"/>
        <v>0</v>
      </c>
      <c r="G10" s="121">
        <f t="shared" si="5"/>
        <v>0</v>
      </c>
      <c r="I10" s="699" t="s">
        <v>826</v>
      </c>
      <c r="L10" t="s">
        <v>35</v>
      </c>
      <c r="M10" s="241">
        <f>'Overall recycling rates'!G14*SUM('Overall recycling rates'!G60:G62)</f>
        <v>0</v>
      </c>
      <c r="N10" s="2">
        <f t="shared" ref="N10:Q13" si="6">$M10/$M$14</f>
        <v>0</v>
      </c>
      <c r="O10" s="2">
        <f t="shared" si="6"/>
        <v>0</v>
      </c>
      <c r="P10" s="2">
        <f t="shared" si="6"/>
        <v>0</v>
      </c>
      <c r="Q10" s="2">
        <f t="shared" si="6"/>
        <v>0</v>
      </c>
      <c r="T10" s="26" t="s">
        <v>827</v>
      </c>
    </row>
    <row r="11" spans="2:35" ht="14.5" customHeight="1">
      <c r="B11" t="s">
        <v>74</v>
      </c>
      <c r="C11" s="241">
        <f>'Overall recycling rates'!E41*SUM('Overall recycling rates'!E60:E62)</f>
        <v>375.00764674999562</v>
      </c>
      <c r="D11" s="121">
        <f>$C11/$C$14</f>
        <v>0.59541984732824427</v>
      </c>
      <c r="E11" s="121">
        <f t="shared" si="5"/>
        <v>0.59541984732824427</v>
      </c>
      <c r="F11" s="121">
        <f t="shared" si="5"/>
        <v>0.59541984732824427</v>
      </c>
      <c r="G11" s="121">
        <f t="shared" si="5"/>
        <v>0.59541984732824427</v>
      </c>
      <c r="I11" s="699"/>
      <c r="L11" t="s">
        <v>74</v>
      </c>
      <c r="M11" s="241">
        <f>'Overall recycling rates'!E14*SUM('Overall recycling rates'!E60:E62)</f>
        <v>0</v>
      </c>
      <c r="N11" s="2">
        <f t="shared" si="6"/>
        <v>0</v>
      </c>
      <c r="O11" s="2">
        <f t="shared" si="6"/>
        <v>0</v>
      </c>
      <c r="P11" s="2">
        <f t="shared" si="6"/>
        <v>0</v>
      </c>
      <c r="Q11" s="2">
        <f t="shared" si="6"/>
        <v>0</v>
      </c>
      <c r="T11" s="26"/>
    </row>
    <row r="12" spans="2:35">
      <c r="B12" t="s">
        <v>160</v>
      </c>
      <c r="C12" s="241">
        <f>'Overall recycling rates'!H41*SUM('Overall recycling rates'!H60:H62)</f>
        <v>0</v>
      </c>
      <c r="D12" s="121">
        <f t="shared" si="5"/>
        <v>0</v>
      </c>
      <c r="E12" s="121">
        <f t="shared" si="5"/>
        <v>0</v>
      </c>
      <c r="F12" s="121">
        <f t="shared" si="5"/>
        <v>0</v>
      </c>
      <c r="G12" s="121">
        <f t="shared" si="5"/>
        <v>0</v>
      </c>
      <c r="I12" s="699"/>
      <c r="L12" t="s">
        <v>160</v>
      </c>
      <c r="M12" s="241">
        <f>'Overall recycling rates'!H14*SUM('Overall recycling rates'!H60:H62)</f>
        <v>21898.304402587481</v>
      </c>
      <c r="N12" s="2">
        <f t="shared" si="6"/>
        <v>0.50618990693175858</v>
      </c>
      <c r="O12" s="2">
        <f t="shared" si="6"/>
        <v>0.50618990693175858</v>
      </c>
      <c r="P12" s="2">
        <f t="shared" si="6"/>
        <v>0.50618990693175858</v>
      </c>
      <c r="Q12" s="2">
        <f t="shared" si="6"/>
        <v>0.50618990693175858</v>
      </c>
      <c r="T12" s="26"/>
      <c r="V12" s="359"/>
      <c r="W12" s="359"/>
      <c r="X12" s="359"/>
      <c r="Y12" s="359"/>
      <c r="Z12" s="359"/>
      <c r="AA12" s="359"/>
    </row>
    <row r="13" spans="2:35">
      <c r="B13" t="s">
        <v>27</v>
      </c>
      <c r="C13" s="241">
        <f>'Overall recycling rates'!I41*SUM('Overall recycling rates'!I60:I62)</f>
        <v>254.8128881762791</v>
      </c>
      <c r="D13" s="121">
        <f>$C13/$C$14</f>
        <v>0.40458015267175573</v>
      </c>
      <c r="E13" s="121">
        <f t="shared" si="5"/>
        <v>0.40458015267175573</v>
      </c>
      <c r="F13" s="121">
        <f t="shared" si="5"/>
        <v>0.40458015267175573</v>
      </c>
      <c r="G13" s="121">
        <f t="shared" si="5"/>
        <v>0.40458015267175573</v>
      </c>
      <c r="I13" s="699"/>
      <c r="L13" t="s">
        <v>27</v>
      </c>
      <c r="M13" s="241">
        <f>'Overall recycling rates'!I14*SUM('Overall recycling rates'!I60:I62)</f>
        <v>21362.740716472297</v>
      </c>
      <c r="N13" s="2">
        <f t="shared" si="6"/>
        <v>0.49381009306824131</v>
      </c>
      <c r="O13" s="2">
        <f t="shared" si="6"/>
        <v>0.49381009306824131</v>
      </c>
      <c r="P13" s="2">
        <f t="shared" si="6"/>
        <v>0.49381009306824131</v>
      </c>
      <c r="Q13" s="2">
        <f t="shared" si="6"/>
        <v>0.49381009306824131</v>
      </c>
      <c r="T13" s="26"/>
      <c r="V13" s="359"/>
      <c r="W13" s="359"/>
      <c r="X13" s="359"/>
      <c r="Y13" s="359"/>
      <c r="Z13" s="359"/>
      <c r="AA13" s="359"/>
    </row>
    <row r="14" spans="2:35">
      <c r="C14" s="241">
        <f>SUM(C10:C13)</f>
        <v>629.82053492627472</v>
      </c>
      <c r="D14" s="2">
        <f>SUM(D10:D13)</f>
        <v>1</v>
      </c>
      <c r="E14" s="2">
        <f>SUM(E10:E13)</f>
        <v>1</v>
      </c>
      <c r="F14" s="2">
        <f>SUM(F10:F13)</f>
        <v>1</v>
      </c>
      <c r="G14" s="2">
        <f>SUM(G10:G13)</f>
        <v>1</v>
      </c>
      <c r="M14" s="41">
        <f>SUM(M10:M13)</f>
        <v>43261.045119059781</v>
      </c>
      <c r="N14" s="2">
        <f>SUM(N10:N13)</f>
        <v>0.99999999999999989</v>
      </c>
      <c r="O14" s="2">
        <f>SUM(O10:O13)</f>
        <v>0.99999999999999989</v>
      </c>
      <c r="P14" s="2">
        <f>SUM(P10:P13)</f>
        <v>0.99999999999999989</v>
      </c>
      <c r="Q14" s="2">
        <f>SUM(Q10:Q13)</f>
        <v>0.99999999999999989</v>
      </c>
      <c r="V14" s="359"/>
      <c r="W14" s="359"/>
      <c r="X14" s="359"/>
      <c r="Y14" s="359"/>
      <c r="Z14" s="359"/>
      <c r="AA14" s="359"/>
    </row>
    <row r="16" spans="2:35">
      <c r="B16" t="s">
        <v>53</v>
      </c>
      <c r="D16" t="s">
        <v>815</v>
      </c>
      <c r="E16" t="s">
        <v>817</v>
      </c>
      <c r="F16" t="s">
        <v>818</v>
      </c>
      <c r="L16" t="s">
        <v>53</v>
      </c>
      <c r="N16" t="s">
        <v>815</v>
      </c>
      <c r="O16" t="s">
        <v>817</v>
      </c>
      <c r="P16" t="s">
        <v>818</v>
      </c>
    </row>
    <row r="17" spans="2:28" ht="14.5" customHeight="1">
      <c r="B17" t="s">
        <v>35</v>
      </c>
      <c r="C17" s="241">
        <f>'Overall recycling rates'!G42*SUM('Overall recycling rates'!G60:G62)</f>
        <v>48512.398263551549</v>
      </c>
      <c r="D17" s="121">
        <f>IFERROR($C17/$C$21,0)</f>
        <v>0.9999475311390158</v>
      </c>
      <c r="E17" s="121">
        <f t="shared" ref="E17:F17" si="7">IFERROR($C17/$C$21,0)</f>
        <v>0.9999475311390158</v>
      </c>
      <c r="F17" s="121">
        <f t="shared" si="7"/>
        <v>0.9999475311390158</v>
      </c>
      <c r="I17" s="699" t="s">
        <v>826</v>
      </c>
      <c r="L17" t="s">
        <v>35</v>
      </c>
      <c r="M17" s="241">
        <f>'Overall recycling rates'!G15*SUM('Overall recycling rates'!G60:G62)</f>
        <v>373172.29433501186</v>
      </c>
      <c r="N17" s="121">
        <f t="shared" ref="N17:P20" si="8">$M17/$M$21</f>
        <v>0.9999475311390158</v>
      </c>
      <c r="O17" s="121">
        <f t="shared" si="8"/>
        <v>0.9999475311390158</v>
      </c>
      <c r="P17" s="121">
        <f t="shared" si="8"/>
        <v>0.9999475311390158</v>
      </c>
      <c r="T17" s="26" t="s">
        <v>827</v>
      </c>
      <c r="V17" s="359"/>
      <c r="W17" s="359"/>
      <c r="X17" s="359"/>
      <c r="Y17" s="359"/>
      <c r="Z17" s="359"/>
      <c r="AA17" s="359"/>
      <c r="AB17" s="6"/>
    </row>
    <row r="18" spans="2:28" ht="14.5" customHeight="1">
      <c r="B18" t="s">
        <v>74</v>
      </c>
      <c r="C18" s="241">
        <f>'Overall recycling rates'!E42*SUM('Overall recycling rates'!E60:E62)</f>
        <v>0</v>
      </c>
      <c r="D18" s="121">
        <f t="shared" ref="D18:F20" si="9">IFERROR($C18/$C$21,0)</f>
        <v>0</v>
      </c>
      <c r="E18" s="121">
        <f t="shared" si="9"/>
        <v>0</v>
      </c>
      <c r="F18" s="121">
        <f t="shared" si="9"/>
        <v>0</v>
      </c>
      <c r="I18" s="699"/>
      <c r="L18" t="s">
        <v>74</v>
      </c>
      <c r="M18" s="241">
        <f>'Overall recycling rates'!E15*SUM('Overall recycling rates'!E60:E62)</f>
        <v>0</v>
      </c>
      <c r="N18" s="121">
        <f t="shared" si="8"/>
        <v>0</v>
      </c>
      <c r="O18" s="121">
        <f t="shared" si="8"/>
        <v>0</v>
      </c>
      <c r="P18" s="121">
        <f t="shared" si="8"/>
        <v>0</v>
      </c>
      <c r="T18" s="26"/>
      <c r="V18" s="359"/>
      <c r="W18" s="359"/>
      <c r="X18" s="359"/>
      <c r="Y18" s="359"/>
      <c r="Z18" s="359"/>
      <c r="AA18" s="359"/>
      <c r="AB18" s="6"/>
    </row>
    <row r="19" spans="2:28">
      <c r="B19" t="s">
        <v>160</v>
      </c>
      <c r="C19" s="241">
        <f>'Overall recycling rates'!H42*SUM('Overall recycling rates'!H60:H62)</f>
        <v>0</v>
      </c>
      <c r="D19" s="121">
        <f t="shared" si="9"/>
        <v>0</v>
      </c>
      <c r="E19" s="121">
        <f t="shared" si="9"/>
        <v>0</v>
      </c>
      <c r="F19" s="121">
        <f t="shared" si="9"/>
        <v>0</v>
      </c>
      <c r="I19" s="699"/>
      <c r="L19" t="s">
        <v>160</v>
      </c>
      <c r="M19" s="241">
        <f>'Overall recycling rates'!H15*SUM('Overall recycling rates'!H60:H62)</f>
        <v>0</v>
      </c>
      <c r="N19" s="121">
        <f t="shared" si="8"/>
        <v>0</v>
      </c>
      <c r="O19" s="121">
        <f t="shared" si="8"/>
        <v>0</v>
      </c>
      <c r="P19" s="121">
        <f t="shared" si="8"/>
        <v>0</v>
      </c>
      <c r="T19" s="26"/>
      <c r="V19" s="359"/>
      <c r="W19" s="359"/>
      <c r="X19" s="359"/>
      <c r="Y19" s="359"/>
      <c r="Z19" s="359"/>
      <c r="AA19" s="359"/>
    </row>
    <row r="20" spans="2:28">
      <c r="B20" t="s">
        <v>27</v>
      </c>
      <c r="C20" s="241">
        <f>'Overall recycling rates'!I42*SUM('Overall recycling rates'!I60:I62)</f>
        <v>2.5455238412379746</v>
      </c>
      <c r="D20" s="121">
        <f t="shared" si="9"/>
        <v>5.24688609842203E-5</v>
      </c>
      <c r="E20" s="121">
        <f t="shared" si="9"/>
        <v>5.24688609842203E-5</v>
      </c>
      <c r="F20" s="121">
        <f t="shared" si="9"/>
        <v>5.24688609842203E-5</v>
      </c>
      <c r="I20" s="699"/>
      <c r="L20" t="s">
        <v>27</v>
      </c>
      <c r="M20" s="241">
        <f>'Overall recycling rates'!I15*SUM('Overall recycling rates'!I60:I62)</f>
        <v>19.580952624907496</v>
      </c>
      <c r="N20" s="121">
        <f t="shared" si="8"/>
        <v>5.2468860984220313E-5</v>
      </c>
      <c r="O20" s="121">
        <f t="shared" si="8"/>
        <v>5.2468860984220313E-5</v>
      </c>
      <c r="P20" s="121">
        <f t="shared" si="8"/>
        <v>5.2468860984220313E-5</v>
      </c>
      <c r="T20" s="26"/>
      <c r="V20" s="359"/>
      <c r="W20" s="359"/>
      <c r="X20" s="359"/>
      <c r="Y20" s="359"/>
      <c r="Z20" s="359"/>
      <c r="AA20" s="359"/>
      <c r="AB20" s="6"/>
    </row>
    <row r="21" spans="2:28">
      <c r="C21" s="241">
        <f>SUM(C17:C20)</f>
        <v>48514.943787392789</v>
      </c>
      <c r="D21" s="2">
        <f>SUM(D17:D20)</f>
        <v>1</v>
      </c>
      <c r="E21" s="2">
        <f>SUM(E17:E20)</f>
        <v>1</v>
      </c>
      <c r="F21" s="2">
        <f>SUM(F17:F20)</f>
        <v>1</v>
      </c>
      <c r="M21" s="41">
        <f>SUM(M17:M20)</f>
        <v>373191.87528763677</v>
      </c>
      <c r="N21" s="2">
        <f>SUM(N17:N20)</f>
        <v>1</v>
      </c>
      <c r="O21" s="2">
        <f>SUM(O17:O20)</f>
        <v>1</v>
      </c>
      <c r="P21" s="2">
        <f>SUM(P17:P20)</f>
        <v>1</v>
      </c>
      <c r="AA21" s="359"/>
    </row>
    <row r="22" spans="2:28">
      <c r="V22" s="359"/>
      <c r="W22" s="359"/>
      <c r="X22" s="359"/>
      <c r="Y22" s="359"/>
      <c r="Z22" s="359"/>
      <c r="AA22" s="359"/>
    </row>
    <row r="23" spans="2:28">
      <c r="B23" t="s">
        <v>291</v>
      </c>
      <c r="D23" t="s">
        <v>815</v>
      </c>
      <c r="L23" t="s">
        <v>291</v>
      </c>
      <c r="N23" t="s">
        <v>815</v>
      </c>
      <c r="V23" s="359"/>
      <c r="W23" s="359"/>
      <c r="X23" s="359"/>
      <c r="Y23" s="359"/>
      <c r="Z23" s="359"/>
      <c r="AA23" s="359"/>
    </row>
    <row r="24" spans="2:28" ht="14.5" customHeight="1">
      <c r="B24" t="s">
        <v>35</v>
      </c>
      <c r="C24" s="241">
        <f>'Overall recycling rates'!G40*SUM('Overall recycling rates'!G60:G62)</f>
        <v>0</v>
      </c>
      <c r="D24" s="121">
        <f>IFERROR($C24/$C$28,0)</f>
        <v>0</v>
      </c>
      <c r="E24" s="2"/>
      <c r="F24" s="2"/>
      <c r="G24" s="2"/>
      <c r="I24" s="699" t="s">
        <v>826</v>
      </c>
      <c r="L24" t="s">
        <v>35</v>
      </c>
      <c r="M24" s="241">
        <f>'Overall recycling rates'!G12*SUM('Overall recycling rates'!G60:G62)</f>
        <v>354281.02373451291</v>
      </c>
      <c r="N24" s="121">
        <f>$M24/$M$28</f>
        <v>0.59767409100550273</v>
      </c>
      <c r="P24" s="2"/>
      <c r="Q24" s="2"/>
      <c r="R24" s="2"/>
      <c r="T24" s="26" t="s">
        <v>827</v>
      </c>
      <c r="V24" s="359"/>
      <c r="W24" s="359"/>
      <c r="X24" s="359"/>
      <c r="Y24" s="359"/>
      <c r="Z24" s="359"/>
    </row>
    <row r="25" spans="2:28" ht="14.5" customHeight="1">
      <c r="B25" t="s">
        <v>74</v>
      </c>
      <c r="C25" s="241">
        <f>'Overall recycling rates'!E40*SUM('Overall recycling rates'!E60:E62)</f>
        <v>104.89885132087976</v>
      </c>
      <c r="D25" s="121">
        <f t="shared" ref="D25:D27" si="10">IFERROR($C25/$C$28,0)</f>
        <v>0.55032030652086095</v>
      </c>
      <c r="E25" s="2"/>
      <c r="F25" s="2"/>
      <c r="G25" s="2"/>
      <c r="I25" s="699"/>
      <c r="L25" t="s">
        <v>74</v>
      </c>
      <c r="M25" s="241">
        <f>'Overall recycling rates'!E12*SUM('Overall recycling rates'!E60:E62)</f>
        <v>191687.80076537104</v>
      </c>
      <c r="N25" s="121">
        <f>$M25/$M$28</f>
        <v>0.32337840415957425</v>
      </c>
      <c r="P25" s="2"/>
      <c r="Q25" s="2"/>
      <c r="R25" s="2"/>
      <c r="T25" s="26"/>
      <c r="V25" s="359"/>
      <c r="W25" s="359"/>
      <c r="X25" s="359"/>
      <c r="Y25" s="359"/>
      <c r="Z25" s="359"/>
    </row>
    <row r="26" spans="2:28">
      <c r="B26" t="s">
        <v>160</v>
      </c>
      <c r="C26" s="241">
        <f>'Overall recycling rates'!H40*SUM('Overall recycling rates'!H60:H62)</f>
        <v>79.816502527262301</v>
      </c>
      <c r="D26" s="121">
        <f t="shared" si="10"/>
        <v>0.41873329958459721</v>
      </c>
      <c r="E26" s="2"/>
      <c r="F26" s="2"/>
      <c r="G26" s="2"/>
      <c r="I26" s="699"/>
      <c r="L26" t="s">
        <v>160</v>
      </c>
      <c r="M26" s="241">
        <f>'Overall recycling rates'!H12*SUM('Overall recycling rates'!H60:H62)</f>
        <v>42985.237955557997</v>
      </c>
      <c r="N26" s="121">
        <f>$M26/$M$28</f>
        <v>7.2516339573963501E-2</v>
      </c>
      <c r="P26" s="2"/>
      <c r="Q26" s="2"/>
      <c r="R26" s="2"/>
      <c r="T26" s="26"/>
      <c r="W26" s="22"/>
      <c r="X26" s="22"/>
      <c r="Y26" s="22"/>
      <c r="Z26" s="22"/>
    </row>
    <row r="27" spans="2:28">
      <c r="B27" t="s">
        <v>27</v>
      </c>
      <c r="C27" s="241">
        <f>'Overall recycling rates'!I40*SUM('Overall recycling rates'!I60:I62)</f>
        <v>5.8988213474871394</v>
      </c>
      <c r="D27" s="121">
        <f t="shared" si="10"/>
        <v>3.0946393894541794E-2</v>
      </c>
      <c r="E27" s="53"/>
      <c r="F27" s="53"/>
      <c r="G27" s="53"/>
      <c r="I27" s="699"/>
      <c r="L27" t="s">
        <v>27</v>
      </c>
      <c r="M27" s="241">
        <f>'Overall recycling rates'!I12*SUM('Overall recycling rates'!I60:I62)</f>
        <v>3812.1776512437777</v>
      </c>
      <c r="N27" s="121">
        <f>$M27/$M$28</f>
        <v>6.4311652609596402E-3</v>
      </c>
      <c r="P27" s="53"/>
      <c r="Q27" s="53"/>
      <c r="R27" s="53"/>
      <c r="T27" s="26"/>
    </row>
    <row r="28" spans="2:28">
      <c r="C28" s="241">
        <f>SUM(C24:C27)</f>
        <v>190.6141751956292</v>
      </c>
      <c r="D28" s="2">
        <f>SUM(D24:D27)</f>
        <v>1</v>
      </c>
      <c r="E28" s="2"/>
      <c r="F28" s="2"/>
      <c r="G28" s="2"/>
      <c r="M28" s="41">
        <f>SUM(M24:M27)</f>
        <v>592766.24010668567</v>
      </c>
      <c r="N28" s="2">
        <f>SUM(N24:N27)</f>
        <v>1</v>
      </c>
      <c r="P28" s="2"/>
      <c r="Q28" s="2"/>
      <c r="R28" s="2"/>
      <c r="V28" s="359"/>
      <c r="W28" s="359"/>
      <c r="X28" s="359"/>
      <c r="Y28" s="359"/>
      <c r="Z28" s="359"/>
    </row>
    <row r="29" spans="2:28">
      <c r="V29" s="359"/>
      <c r="W29" s="359"/>
      <c r="X29" s="359"/>
      <c r="Y29" s="359"/>
      <c r="Z29" s="359"/>
    </row>
    <row r="30" spans="2:28">
      <c r="B30" t="s">
        <v>27</v>
      </c>
      <c r="D30" t="s">
        <v>815</v>
      </c>
      <c r="L30" t="s">
        <v>27</v>
      </c>
      <c r="N30" t="s">
        <v>815</v>
      </c>
    </row>
    <row r="31" spans="2:28" ht="14.5" customHeight="1">
      <c r="B31" t="s">
        <v>35</v>
      </c>
      <c r="C31" s="241">
        <f>'Overall recycling rates'!G43*SUM('Overall recycling rates'!G60:G62)</f>
        <v>0</v>
      </c>
      <c r="D31" s="121">
        <f>$C31/$C$35</f>
        <v>0</v>
      </c>
      <c r="I31" s="699" t="s">
        <v>826</v>
      </c>
      <c r="L31" t="s">
        <v>35</v>
      </c>
      <c r="M31" s="241">
        <f>'Overall recycling rates'!G16*SUM('Overall recycling rates'!G60:G62)</f>
        <v>0</v>
      </c>
      <c r="N31" s="121">
        <f>$M31/$L$35</f>
        <v>0</v>
      </c>
      <c r="T31" s="26" t="s">
        <v>827</v>
      </c>
    </row>
    <row r="32" spans="2:28" ht="14.5" customHeight="1">
      <c r="B32" t="s">
        <v>74</v>
      </c>
      <c r="C32" s="241">
        <f>'Overall recycling rates'!E43*SUM('Overall recycling rates'!E60:E62)</f>
        <v>4130.3388957658617</v>
      </c>
      <c r="D32" s="121">
        <f>$C32/$C$35</f>
        <v>0.29158286765696839</v>
      </c>
      <c r="I32" s="699"/>
      <c r="L32" t="s">
        <v>74</v>
      </c>
      <c r="M32" s="241">
        <f>'Overall recycling rates'!E16*SUM('Overall recycling rates'!E60:E62)</f>
        <v>103939.03959856252</v>
      </c>
      <c r="N32" s="121">
        <f>$M32/$L$35</f>
        <v>0.29158286765696845</v>
      </c>
      <c r="T32" s="26"/>
    </row>
    <row r="33" spans="1:35">
      <c r="B33" t="s">
        <v>160</v>
      </c>
      <c r="C33" s="241">
        <f>'Overall recycling rates'!H43*SUM('Overall recycling rates'!H60:H62)</f>
        <v>7789.6829966339146</v>
      </c>
      <c r="D33" s="121">
        <f t="shared" ref="D33:D34" si="11">$C33/$C$35</f>
        <v>0.5499156760782179</v>
      </c>
      <c r="I33" s="699"/>
      <c r="L33" t="s">
        <v>160</v>
      </c>
      <c r="M33" s="241">
        <f>'Overall recycling rates'!H16*SUM('Overall recycling rates'!H60:H62)</f>
        <v>196025.60222779325</v>
      </c>
      <c r="N33" s="121">
        <f>$M33/$L$35</f>
        <v>0.54991567607821801</v>
      </c>
      <c r="T33" s="26"/>
    </row>
    <row r="34" spans="1:35">
      <c r="B34" t="s">
        <v>27</v>
      </c>
      <c r="C34" s="241">
        <f>'Overall recycling rates'!I43*SUM('Overall recycling rates'!I60:I62)</f>
        <v>2245.20986128811</v>
      </c>
      <c r="D34" s="121">
        <f t="shared" si="11"/>
        <v>0.15850145626481363</v>
      </c>
      <c r="I34" s="699"/>
      <c r="L34" t="s">
        <v>27</v>
      </c>
      <c r="M34" s="241">
        <f>'Overall recycling rates'!I16*SUM('Overall recycling rates'!I60:I62)</f>
        <v>56500.195884346816</v>
      </c>
      <c r="N34" s="121">
        <f>$M34/$L$35</f>
        <v>0.15850145626481366</v>
      </c>
      <c r="T34" s="26"/>
    </row>
    <row r="35" spans="1:35">
      <c r="C35" s="241">
        <f>SUM(C31:C34)</f>
        <v>14165.231753687887</v>
      </c>
      <c r="D35" s="2">
        <f>SUM(D31:D34)</f>
        <v>0.99999999999999989</v>
      </c>
      <c r="L35" s="41">
        <f>SUM(M31:M34)</f>
        <v>356464.83771070256</v>
      </c>
      <c r="M35" s="2">
        <f>SUM(N31:N34)</f>
        <v>1.0000000000000002</v>
      </c>
    </row>
    <row r="37" spans="1:35" s="254" customFormat="1" ht="15.5" thickBot="1">
      <c r="E37" s="254">
        <v>2020</v>
      </c>
      <c r="F37" s="254">
        <f>E37+1</f>
        <v>2021</v>
      </c>
      <c r="G37" s="254">
        <f t="shared" ref="G37:AI37" si="12">F37+1</f>
        <v>2022</v>
      </c>
      <c r="H37" s="254">
        <f t="shared" si="12"/>
        <v>2023</v>
      </c>
      <c r="I37" s="254">
        <f t="shared" si="12"/>
        <v>2024</v>
      </c>
      <c r="J37" s="254">
        <f t="shared" si="12"/>
        <v>2025</v>
      </c>
      <c r="K37" s="254">
        <f t="shared" si="12"/>
        <v>2026</v>
      </c>
      <c r="L37" s="254">
        <f t="shared" si="12"/>
        <v>2027</v>
      </c>
      <c r="M37" s="254">
        <f t="shared" si="12"/>
        <v>2028</v>
      </c>
      <c r="N37" s="254">
        <f t="shared" si="12"/>
        <v>2029</v>
      </c>
      <c r="O37" s="254">
        <f t="shared" si="12"/>
        <v>2030</v>
      </c>
      <c r="P37" s="254">
        <f t="shared" si="12"/>
        <v>2031</v>
      </c>
      <c r="Q37" s="254">
        <f t="shared" si="12"/>
        <v>2032</v>
      </c>
      <c r="R37" s="254">
        <f t="shared" si="12"/>
        <v>2033</v>
      </c>
      <c r="S37" s="254">
        <f t="shared" si="12"/>
        <v>2034</v>
      </c>
      <c r="T37" s="254">
        <f t="shared" si="12"/>
        <v>2035</v>
      </c>
      <c r="U37" s="254">
        <f t="shared" si="12"/>
        <v>2036</v>
      </c>
      <c r="V37" s="254">
        <f t="shared" si="12"/>
        <v>2037</v>
      </c>
      <c r="W37" s="254">
        <f t="shared" si="12"/>
        <v>2038</v>
      </c>
      <c r="X37" s="254">
        <f t="shared" si="12"/>
        <v>2039</v>
      </c>
      <c r="Y37" s="254">
        <f t="shared" si="12"/>
        <v>2040</v>
      </c>
      <c r="Z37" s="254">
        <f t="shared" si="12"/>
        <v>2041</v>
      </c>
      <c r="AA37" s="254">
        <f t="shared" si="12"/>
        <v>2042</v>
      </c>
      <c r="AB37" s="254">
        <f>AA37+1</f>
        <v>2043</v>
      </c>
      <c r="AC37" s="254">
        <f t="shared" si="12"/>
        <v>2044</v>
      </c>
      <c r="AD37" s="254">
        <f t="shared" si="12"/>
        <v>2045</v>
      </c>
      <c r="AE37" s="254">
        <f t="shared" si="12"/>
        <v>2046</v>
      </c>
      <c r="AF37" s="254">
        <f t="shared" si="12"/>
        <v>2047</v>
      </c>
      <c r="AG37" s="254">
        <f t="shared" si="12"/>
        <v>2048</v>
      </c>
      <c r="AH37" s="254">
        <f t="shared" si="12"/>
        <v>2049</v>
      </c>
      <c r="AI37" s="254">
        <f t="shared" si="12"/>
        <v>2050</v>
      </c>
    </row>
    <row r="38" spans="1:35">
      <c r="A38" s="289"/>
      <c r="B38" t="s">
        <v>17</v>
      </c>
      <c r="C38" t="s">
        <v>815</v>
      </c>
      <c r="D38" t="s">
        <v>35</v>
      </c>
      <c r="E38" s="157">
        <f>D3</f>
        <v>0.99650473690303265</v>
      </c>
      <c r="F38" s="157">
        <f>-($E38-$AI38)/30+E38</f>
        <v>0.98321038203978162</v>
      </c>
      <c r="G38" s="157">
        <f t="shared" ref="G38:AH58" si="13">-($E38-$AI38)/30+F38</f>
        <v>0.96991602717653058</v>
      </c>
      <c r="H38" s="157">
        <f t="shared" si="13"/>
        <v>0.95662167231327955</v>
      </c>
      <c r="I38" s="157">
        <f t="shared" si="13"/>
        <v>0.94332731745002851</v>
      </c>
      <c r="J38" s="157">
        <f t="shared" si="13"/>
        <v>0.93003296258677748</v>
      </c>
      <c r="K38" s="157">
        <f t="shared" si="13"/>
        <v>0.91673860772352644</v>
      </c>
      <c r="L38" s="157">
        <f t="shared" si="13"/>
        <v>0.90344425286027541</v>
      </c>
      <c r="M38" s="157">
        <f t="shared" si="13"/>
        <v>0.89014989799702438</v>
      </c>
      <c r="N38" s="157">
        <f t="shared" si="13"/>
        <v>0.87685554313377334</v>
      </c>
      <c r="O38" s="157">
        <f t="shared" si="13"/>
        <v>0.86356118827052231</v>
      </c>
      <c r="P38" s="157">
        <f t="shared" si="13"/>
        <v>0.85026683340727127</v>
      </c>
      <c r="Q38" s="157">
        <f t="shared" si="13"/>
        <v>0.83697247854402024</v>
      </c>
      <c r="R38" s="157">
        <f t="shared" si="13"/>
        <v>0.8236781236807692</v>
      </c>
      <c r="S38" s="157">
        <f t="shared" si="13"/>
        <v>0.81038376881751817</v>
      </c>
      <c r="T38" s="157">
        <f t="shared" si="13"/>
        <v>0.79708941395426713</v>
      </c>
      <c r="U38" s="157">
        <f t="shared" si="13"/>
        <v>0.7837950590910161</v>
      </c>
      <c r="V38" s="157">
        <f t="shared" si="13"/>
        <v>0.77050070422776507</v>
      </c>
      <c r="W38" s="157">
        <f t="shared" si="13"/>
        <v>0.75720634936451403</v>
      </c>
      <c r="X38" s="157">
        <f t="shared" si="13"/>
        <v>0.743911994501263</v>
      </c>
      <c r="Y38" s="157">
        <f t="shared" si="13"/>
        <v>0.73061763963801196</v>
      </c>
      <c r="Z38" s="157">
        <f t="shared" si="13"/>
        <v>0.71732328477476093</v>
      </c>
      <c r="AA38" s="157">
        <f t="shared" si="13"/>
        <v>0.70402892991150989</v>
      </c>
      <c r="AB38" s="157">
        <f t="shared" si="13"/>
        <v>0.69073457504825886</v>
      </c>
      <c r="AC38" s="157">
        <f t="shared" si="13"/>
        <v>0.67744022018500782</v>
      </c>
      <c r="AD38" s="157">
        <f t="shared" si="13"/>
        <v>0.66414586532175679</v>
      </c>
      <c r="AE38" s="157">
        <f t="shared" si="13"/>
        <v>0.65085151045850576</v>
      </c>
      <c r="AF38" s="157">
        <f t="shared" si="13"/>
        <v>0.63755715559525472</v>
      </c>
      <c r="AG38" s="157">
        <f t="shared" si="13"/>
        <v>0.62426280073200369</v>
      </c>
      <c r="AH38" s="157">
        <f t="shared" si="13"/>
        <v>0.61096844586875265</v>
      </c>
      <c r="AI38" s="157">
        <f>N3</f>
        <v>0.59767409100550273</v>
      </c>
    </row>
    <row r="39" spans="1:35">
      <c r="A39" s="289"/>
      <c r="B39" t="s">
        <v>17</v>
      </c>
      <c r="C39" t="s">
        <v>815</v>
      </c>
      <c r="D39" t="s">
        <v>74</v>
      </c>
      <c r="E39" s="157">
        <f>D4</f>
        <v>3.4952630969674104E-3</v>
      </c>
      <c r="F39" s="157">
        <f>-($E39-$AI39)/30+E39</f>
        <v>1.4158034465720972E-2</v>
      </c>
      <c r="G39" s="157">
        <f t="shared" ref="G39" si="14">-($E39-$AI39)/30+F39</f>
        <v>2.4820805834474532E-2</v>
      </c>
      <c r="H39" s="157">
        <f t="shared" ref="H39" si="15">-($E39-$AI39)/30+G39</f>
        <v>3.5483577203228096E-2</v>
      </c>
      <c r="I39" s="157">
        <f t="shared" ref="I39" si="16">-($E39-$AI39)/30+H39</f>
        <v>4.614634857198166E-2</v>
      </c>
      <c r="J39" s="157">
        <f t="shared" ref="J39" si="17">-($E39-$AI39)/30+I39</f>
        <v>5.6809119940735224E-2</v>
      </c>
      <c r="K39" s="157">
        <f t="shared" ref="K39" si="18">-($E39-$AI39)/30+J39</f>
        <v>6.7471891309488788E-2</v>
      </c>
      <c r="L39" s="157">
        <f t="shared" ref="L39" si="19">-($E39-$AI39)/30+K39</f>
        <v>7.8134662678242345E-2</v>
      </c>
      <c r="M39" s="157">
        <f t="shared" ref="M39" si="20">-($E39-$AI39)/30+L39</f>
        <v>8.8797434046995902E-2</v>
      </c>
      <c r="N39" s="157">
        <f t="shared" ref="N39" si="21">-($E39-$AI39)/30+M39</f>
        <v>9.9460205415749459E-2</v>
      </c>
      <c r="O39" s="157">
        <f t="shared" ref="O39" si="22">-($E39-$AI39)/30+N39</f>
        <v>0.11012297678450302</v>
      </c>
      <c r="P39" s="157">
        <f t="shared" ref="P39" si="23">-($E39-$AI39)/30+O39</f>
        <v>0.12078574815325657</v>
      </c>
      <c r="Q39" s="157">
        <f t="shared" ref="Q39" si="24">-($E39-$AI39)/30+P39</f>
        <v>0.13144851952201014</v>
      </c>
      <c r="R39" s="157">
        <f t="shared" ref="R39" si="25">-($E39-$AI39)/30+Q39</f>
        <v>0.14211129089076371</v>
      </c>
      <c r="S39" s="157">
        <f t="shared" ref="S39" si="26">-($E39-$AI39)/30+R39</f>
        <v>0.15277406225951728</v>
      </c>
      <c r="T39" s="157">
        <f t="shared" ref="T39" si="27">-($E39-$AI39)/30+S39</f>
        <v>0.16343683362827086</v>
      </c>
      <c r="U39" s="157">
        <f t="shared" ref="U39" si="28">-($E39-$AI39)/30+T39</f>
        <v>0.17409960499702443</v>
      </c>
      <c r="V39" s="157">
        <f t="shared" ref="V39" si="29">-($E39-$AI39)/30+U39</f>
        <v>0.184762376365778</v>
      </c>
      <c r="W39" s="157">
        <f t="shared" ref="W39" si="30">-($E39-$AI39)/30+V39</f>
        <v>0.19542514773453157</v>
      </c>
      <c r="X39" s="157">
        <f t="shared" ref="X39" si="31">-($E39-$AI39)/30+W39</f>
        <v>0.20608791910328514</v>
      </c>
      <c r="Y39" s="157">
        <f t="shared" ref="Y39" si="32">-($E39-$AI39)/30+X39</f>
        <v>0.21675069047203871</v>
      </c>
      <c r="Z39" s="157">
        <f t="shared" ref="Z39" si="33">-($E39-$AI39)/30+Y39</f>
        <v>0.22741346184079228</v>
      </c>
      <c r="AA39" s="157">
        <f t="shared" ref="AA39" si="34">-($E39-$AI39)/30+Z39</f>
        <v>0.23807623320954585</v>
      </c>
      <c r="AB39" s="157">
        <f t="shared" ref="AB39" si="35">-($E39-$AI39)/30+AA39</f>
        <v>0.24873900457829942</v>
      </c>
      <c r="AC39" s="157">
        <f t="shared" ref="AC39" si="36">-($E39-$AI39)/30+AB39</f>
        <v>0.25940177594705299</v>
      </c>
      <c r="AD39" s="157">
        <f t="shared" ref="AD39" si="37">-($E39-$AI39)/30+AC39</f>
        <v>0.27006454731580654</v>
      </c>
      <c r="AE39" s="157">
        <f t="shared" ref="AE39" si="38">-($E39-$AI39)/30+AD39</f>
        <v>0.28072731868456008</v>
      </c>
      <c r="AF39" s="157">
        <f t="shared" ref="AF39" si="39">-($E39-$AI39)/30+AE39</f>
        <v>0.29139009005331362</v>
      </c>
      <c r="AG39" s="157">
        <f t="shared" ref="AG39" si="40">-($E39-$AI39)/30+AF39</f>
        <v>0.30205286142206716</v>
      </c>
      <c r="AH39" s="157">
        <f t="shared" ref="AH39" si="41">-($E39-$AI39)/30+AG39</f>
        <v>0.31271563279082071</v>
      </c>
      <c r="AI39" s="157">
        <f>N4</f>
        <v>0.32337840415957425</v>
      </c>
    </row>
    <row r="40" spans="1:35">
      <c r="A40" s="289"/>
      <c r="B40" t="s">
        <v>17</v>
      </c>
      <c r="C40" t="s">
        <v>815</v>
      </c>
      <c r="D40" t="s">
        <v>160</v>
      </c>
      <c r="E40" s="157">
        <f>D5</f>
        <v>0</v>
      </c>
      <c r="F40" s="157">
        <f t="shared" ref="F40:U60" si="42">-($E40-$AI40)/30+E40</f>
        <v>2.4172113191321168E-3</v>
      </c>
      <c r="G40" s="157">
        <f t="shared" si="42"/>
        <v>4.8344226382642337E-3</v>
      </c>
      <c r="H40" s="157">
        <f t="shared" si="42"/>
        <v>7.2516339573963501E-3</v>
      </c>
      <c r="I40" s="157">
        <f t="shared" si="42"/>
        <v>9.6688452765284674E-3</v>
      </c>
      <c r="J40" s="157">
        <f t="shared" si="42"/>
        <v>1.2086056595660585E-2</v>
      </c>
      <c r="K40" s="157">
        <f t="shared" si="42"/>
        <v>1.4503267914792702E-2</v>
      </c>
      <c r="L40" s="157">
        <f t="shared" si="42"/>
        <v>1.6920479233924819E-2</v>
      </c>
      <c r="M40" s="157">
        <f t="shared" si="42"/>
        <v>1.9337690553056935E-2</v>
      </c>
      <c r="N40" s="157">
        <f t="shared" si="42"/>
        <v>2.175490187218905E-2</v>
      </c>
      <c r="O40" s="157">
        <f t="shared" si="42"/>
        <v>2.4172113191321166E-2</v>
      </c>
      <c r="P40" s="157">
        <f t="shared" si="42"/>
        <v>2.6589324510453281E-2</v>
      </c>
      <c r="Q40" s="157">
        <f t="shared" si="42"/>
        <v>2.9006535829585397E-2</v>
      </c>
      <c r="R40" s="157">
        <f t="shared" si="42"/>
        <v>3.1423747148717512E-2</v>
      </c>
      <c r="S40" s="157">
        <f t="shared" si="42"/>
        <v>3.3840958467849631E-2</v>
      </c>
      <c r="T40" s="157">
        <f t="shared" si="42"/>
        <v>3.625816978698175E-2</v>
      </c>
      <c r="U40" s="157">
        <f t="shared" si="42"/>
        <v>3.8675381106113869E-2</v>
      </c>
      <c r="V40" s="157">
        <f t="shared" si="13"/>
        <v>4.1092592425245988E-2</v>
      </c>
      <c r="W40" s="157">
        <f t="shared" si="13"/>
        <v>4.3509803744378107E-2</v>
      </c>
      <c r="X40" s="157">
        <f t="shared" si="13"/>
        <v>4.5927015063510226E-2</v>
      </c>
      <c r="Y40" s="157">
        <f t="shared" si="13"/>
        <v>4.8344226382642345E-2</v>
      </c>
      <c r="Z40" s="157">
        <f t="shared" si="13"/>
        <v>5.0761437701774464E-2</v>
      </c>
      <c r="AA40" s="157">
        <f t="shared" si="13"/>
        <v>5.3178649020906583E-2</v>
      </c>
      <c r="AB40" s="157">
        <f t="shared" si="13"/>
        <v>5.5595860340038702E-2</v>
      </c>
      <c r="AC40" s="157">
        <f t="shared" si="13"/>
        <v>5.8013071659170821E-2</v>
      </c>
      <c r="AD40" s="157">
        <f t="shared" si="13"/>
        <v>6.043028297830294E-2</v>
      </c>
      <c r="AE40" s="157">
        <f t="shared" si="13"/>
        <v>6.2847494297435053E-2</v>
      </c>
      <c r="AF40" s="157">
        <f t="shared" si="13"/>
        <v>6.5264705616567165E-2</v>
      </c>
      <c r="AG40" s="157">
        <f t="shared" si="13"/>
        <v>6.7681916935699277E-2</v>
      </c>
      <c r="AH40" s="157">
        <f t="shared" si="13"/>
        <v>7.0099128254831389E-2</v>
      </c>
      <c r="AI40" s="157">
        <f>N5</f>
        <v>7.2516339573963501E-2</v>
      </c>
    </row>
    <row r="41" spans="1:35">
      <c r="A41" s="289"/>
      <c r="B41" t="s">
        <v>17</v>
      </c>
      <c r="C41" t="s">
        <v>815</v>
      </c>
      <c r="D41" t="s">
        <v>27</v>
      </c>
      <c r="E41" s="157">
        <f>D6</f>
        <v>0</v>
      </c>
      <c r="F41" s="157">
        <f t="shared" si="42"/>
        <v>2.1437217536532133E-4</v>
      </c>
      <c r="G41" s="157">
        <f t="shared" si="42"/>
        <v>4.2874435073064266E-4</v>
      </c>
      <c r="H41" s="157">
        <f t="shared" si="42"/>
        <v>6.4311652609596399E-4</v>
      </c>
      <c r="I41" s="157">
        <f t="shared" si="42"/>
        <v>8.5748870146128532E-4</v>
      </c>
      <c r="J41" s="157">
        <f t="shared" si="42"/>
        <v>1.0718608768266065E-3</v>
      </c>
      <c r="K41" s="157">
        <f t="shared" si="42"/>
        <v>1.2862330521919278E-3</v>
      </c>
      <c r="L41" s="157">
        <f t="shared" si="42"/>
        <v>1.500605227557249E-3</v>
      </c>
      <c r="M41" s="157">
        <f t="shared" si="42"/>
        <v>1.7149774029225702E-3</v>
      </c>
      <c r="N41" s="157">
        <f t="shared" si="42"/>
        <v>1.9293495782878914E-3</v>
      </c>
      <c r="O41" s="157">
        <f t="shared" si="42"/>
        <v>2.1437217536532127E-3</v>
      </c>
      <c r="P41" s="157">
        <f t="shared" si="42"/>
        <v>2.3580939290185339E-3</v>
      </c>
      <c r="Q41" s="157">
        <f t="shared" si="42"/>
        <v>2.5724661043838551E-3</v>
      </c>
      <c r="R41" s="157">
        <f t="shared" si="42"/>
        <v>2.7868382797491763E-3</v>
      </c>
      <c r="S41" s="157">
        <f t="shared" si="42"/>
        <v>3.0012104551144976E-3</v>
      </c>
      <c r="T41" s="157">
        <f t="shared" si="42"/>
        <v>3.2155826304798188E-3</v>
      </c>
      <c r="U41" s="157">
        <f t="shared" si="42"/>
        <v>3.42995480584514E-3</v>
      </c>
      <c r="V41" s="157">
        <f t="shared" si="13"/>
        <v>3.6443269812104612E-3</v>
      </c>
      <c r="W41" s="157">
        <f t="shared" si="13"/>
        <v>3.8586991565757824E-3</v>
      </c>
      <c r="X41" s="157">
        <f t="shared" si="13"/>
        <v>4.0730713319411041E-3</v>
      </c>
      <c r="Y41" s="157">
        <f t="shared" si="13"/>
        <v>4.2874435073064253E-3</v>
      </c>
      <c r="Z41" s="157">
        <f t="shared" si="13"/>
        <v>4.5018156826717465E-3</v>
      </c>
      <c r="AA41" s="157">
        <f t="shared" si="13"/>
        <v>4.7161878580370678E-3</v>
      </c>
      <c r="AB41" s="157">
        <f t="shared" si="13"/>
        <v>4.930560033402389E-3</v>
      </c>
      <c r="AC41" s="157">
        <f t="shared" si="13"/>
        <v>5.1449322087677102E-3</v>
      </c>
      <c r="AD41" s="157">
        <f t="shared" si="13"/>
        <v>5.3593043841330314E-3</v>
      </c>
      <c r="AE41" s="157">
        <f t="shared" si="13"/>
        <v>5.5736765594983527E-3</v>
      </c>
      <c r="AF41" s="157">
        <f t="shared" si="13"/>
        <v>5.7880487348636739E-3</v>
      </c>
      <c r="AG41" s="157">
        <f t="shared" si="13"/>
        <v>6.0024209102289951E-3</v>
      </c>
      <c r="AH41" s="157">
        <f t="shared" si="13"/>
        <v>6.2167930855943163E-3</v>
      </c>
      <c r="AI41" s="157">
        <f>N6</f>
        <v>6.4311652609596402E-3</v>
      </c>
    </row>
    <row r="42" spans="1:35" s="62" customFormat="1">
      <c r="A42" s="286"/>
      <c r="B42" s="62" t="s">
        <v>17</v>
      </c>
      <c r="C42" s="62" t="s">
        <v>816</v>
      </c>
      <c r="D42" t="s">
        <v>35</v>
      </c>
      <c r="E42" s="188">
        <f>E3</f>
        <v>0.99650473690303265</v>
      </c>
      <c r="F42" s="188">
        <f t="shared" si="42"/>
        <v>0.98321038203978162</v>
      </c>
      <c r="G42" s="188">
        <f t="shared" si="42"/>
        <v>0.96991602717653058</v>
      </c>
      <c r="H42" s="188">
        <f t="shared" si="42"/>
        <v>0.95662167231327955</v>
      </c>
      <c r="I42" s="188">
        <f t="shared" si="42"/>
        <v>0.94332731745002851</v>
      </c>
      <c r="J42" s="188">
        <f t="shared" si="42"/>
        <v>0.93003296258677748</v>
      </c>
      <c r="K42" s="188">
        <f t="shared" si="42"/>
        <v>0.91673860772352644</v>
      </c>
      <c r="L42" s="188">
        <f t="shared" si="42"/>
        <v>0.90344425286027541</v>
      </c>
      <c r="M42" s="188">
        <f t="shared" si="42"/>
        <v>0.89014989799702438</v>
      </c>
      <c r="N42" s="188">
        <f t="shared" si="42"/>
        <v>0.87685554313377334</v>
      </c>
      <c r="O42" s="188">
        <f t="shared" si="42"/>
        <v>0.86356118827052231</v>
      </c>
      <c r="P42" s="188">
        <f t="shared" si="42"/>
        <v>0.85026683340727127</v>
      </c>
      <c r="Q42" s="188">
        <f t="shared" si="42"/>
        <v>0.83697247854402024</v>
      </c>
      <c r="R42" s="188">
        <f t="shared" si="42"/>
        <v>0.8236781236807692</v>
      </c>
      <c r="S42" s="188">
        <f t="shared" si="42"/>
        <v>0.81038376881751817</v>
      </c>
      <c r="T42" s="188">
        <f t="shared" si="42"/>
        <v>0.79708941395426713</v>
      </c>
      <c r="U42" s="188">
        <f t="shared" si="42"/>
        <v>0.7837950590910161</v>
      </c>
      <c r="V42" s="188">
        <f t="shared" si="13"/>
        <v>0.77050070422776507</v>
      </c>
      <c r="W42" s="188">
        <f t="shared" si="13"/>
        <v>0.75720634936451403</v>
      </c>
      <c r="X42" s="188">
        <f t="shared" si="13"/>
        <v>0.743911994501263</v>
      </c>
      <c r="Y42" s="188">
        <f t="shared" si="13"/>
        <v>0.73061763963801196</v>
      </c>
      <c r="Z42" s="188">
        <f t="shared" si="13"/>
        <v>0.71732328477476093</v>
      </c>
      <c r="AA42" s="188">
        <f t="shared" si="13"/>
        <v>0.70402892991150989</v>
      </c>
      <c r="AB42" s="188">
        <f t="shared" si="13"/>
        <v>0.69073457504825886</v>
      </c>
      <c r="AC42" s="188">
        <f t="shared" si="13"/>
        <v>0.67744022018500782</v>
      </c>
      <c r="AD42" s="188">
        <f t="shared" si="13"/>
        <v>0.66414586532175679</v>
      </c>
      <c r="AE42" s="188">
        <f t="shared" si="13"/>
        <v>0.65085151045850576</v>
      </c>
      <c r="AF42" s="188">
        <f t="shared" si="13"/>
        <v>0.63755715559525472</v>
      </c>
      <c r="AG42" s="188">
        <f t="shared" si="13"/>
        <v>0.62426280073200369</v>
      </c>
      <c r="AH42" s="188">
        <f t="shared" si="13"/>
        <v>0.61096844586875265</v>
      </c>
      <c r="AI42" s="188">
        <f>O3</f>
        <v>0.59767409100550273</v>
      </c>
    </row>
    <row r="43" spans="1:35">
      <c r="A43" s="289"/>
      <c r="B43" s="62" t="s">
        <v>17</v>
      </c>
      <c r="C43" s="62" t="s">
        <v>816</v>
      </c>
      <c r="D43" t="s">
        <v>74</v>
      </c>
      <c r="E43" s="188">
        <f>E4</f>
        <v>3.4952630969674104E-3</v>
      </c>
      <c r="F43" s="188">
        <f t="shared" ref="F43:U43" si="43">-($E43-$AI43)/30+E43</f>
        <v>1.4158034465720972E-2</v>
      </c>
      <c r="G43" s="188">
        <f t="shared" si="43"/>
        <v>2.4820805834474532E-2</v>
      </c>
      <c r="H43" s="188">
        <f t="shared" si="43"/>
        <v>3.5483577203228096E-2</v>
      </c>
      <c r="I43" s="188">
        <f t="shared" si="43"/>
        <v>4.614634857198166E-2</v>
      </c>
      <c r="J43" s="188">
        <f t="shared" si="43"/>
        <v>5.6809119940735224E-2</v>
      </c>
      <c r="K43" s="188">
        <f t="shared" si="43"/>
        <v>6.7471891309488788E-2</v>
      </c>
      <c r="L43" s="188">
        <f t="shared" si="43"/>
        <v>7.8134662678242345E-2</v>
      </c>
      <c r="M43" s="188">
        <f t="shared" si="43"/>
        <v>8.8797434046995902E-2</v>
      </c>
      <c r="N43" s="188">
        <f t="shared" si="43"/>
        <v>9.9460205415749459E-2</v>
      </c>
      <c r="O43" s="188">
        <f t="shared" si="43"/>
        <v>0.11012297678450302</v>
      </c>
      <c r="P43" s="188">
        <f t="shared" si="43"/>
        <v>0.12078574815325657</v>
      </c>
      <c r="Q43" s="188">
        <f t="shared" si="43"/>
        <v>0.13144851952201014</v>
      </c>
      <c r="R43" s="188">
        <f t="shared" si="43"/>
        <v>0.14211129089076371</v>
      </c>
      <c r="S43" s="188">
        <f t="shared" si="43"/>
        <v>0.15277406225951728</v>
      </c>
      <c r="T43" s="188">
        <f t="shared" si="43"/>
        <v>0.16343683362827086</v>
      </c>
      <c r="U43" s="188">
        <f t="shared" si="43"/>
        <v>0.17409960499702443</v>
      </c>
      <c r="V43" s="188">
        <f t="shared" ref="V43" si="44">-($E43-$AI43)/30+U43</f>
        <v>0.184762376365778</v>
      </c>
      <c r="W43" s="188">
        <f t="shared" ref="W43" si="45">-($E43-$AI43)/30+V43</f>
        <v>0.19542514773453157</v>
      </c>
      <c r="X43" s="188">
        <f t="shared" ref="X43" si="46">-($E43-$AI43)/30+W43</f>
        <v>0.20608791910328514</v>
      </c>
      <c r="Y43" s="188">
        <f t="shared" ref="Y43" si="47">-($E43-$AI43)/30+X43</f>
        <v>0.21675069047203871</v>
      </c>
      <c r="Z43" s="188">
        <f t="shared" ref="Z43" si="48">-($E43-$AI43)/30+Y43</f>
        <v>0.22741346184079228</v>
      </c>
      <c r="AA43" s="188">
        <f t="shared" ref="AA43" si="49">-($E43-$AI43)/30+Z43</f>
        <v>0.23807623320954585</v>
      </c>
      <c r="AB43" s="188">
        <f t="shared" ref="AB43" si="50">-($E43-$AI43)/30+AA43</f>
        <v>0.24873900457829942</v>
      </c>
      <c r="AC43" s="188">
        <f t="shared" ref="AC43" si="51">-($E43-$AI43)/30+AB43</f>
        <v>0.25940177594705299</v>
      </c>
      <c r="AD43" s="188">
        <f t="shared" ref="AD43" si="52">-($E43-$AI43)/30+AC43</f>
        <v>0.27006454731580654</v>
      </c>
      <c r="AE43" s="188">
        <f t="shared" ref="AE43" si="53">-($E43-$AI43)/30+AD43</f>
        <v>0.28072731868456008</v>
      </c>
      <c r="AF43" s="188">
        <f t="shared" ref="AF43" si="54">-($E43-$AI43)/30+AE43</f>
        <v>0.29139009005331362</v>
      </c>
      <c r="AG43" s="188">
        <f t="shared" ref="AG43" si="55">-($E43-$AI43)/30+AF43</f>
        <v>0.30205286142206716</v>
      </c>
      <c r="AH43" s="188">
        <f t="shared" ref="AH43" si="56">-($E43-$AI43)/30+AG43</f>
        <v>0.31271563279082071</v>
      </c>
      <c r="AI43" s="188">
        <f>O4</f>
        <v>0.32337840415957425</v>
      </c>
    </row>
    <row r="44" spans="1:35">
      <c r="A44" s="289"/>
      <c r="B44" t="s">
        <v>17</v>
      </c>
      <c r="C44" t="s">
        <v>816</v>
      </c>
      <c r="D44" t="s">
        <v>160</v>
      </c>
      <c r="E44" s="157">
        <f>E5</f>
        <v>0</v>
      </c>
      <c r="F44" s="157">
        <f t="shared" si="42"/>
        <v>2.4172113191321168E-3</v>
      </c>
      <c r="G44" s="157">
        <f t="shared" si="42"/>
        <v>4.8344226382642337E-3</v>
      </c>
      <c r="H44" s="157">
        <f t="shared" si="42"/>
        <v>7.2516339573963501E-3</v>
      </c>
      <c r="I44" s="157">
        <f t="shared" si="42"/>
        <v>9.6688452765284674E-3</v>
      </c>
      <c r="J44" s="157">
        <f t="shared" si="42"/>
        <v>1.2086056595660585E-2</v>
      </c>
      <c r="K44" s="157">
        <f t="shared" si="42"/>
        <v>1.4503267914792702E-2</v>
      </c>
      <c r="L44" s="157">
        <f t="shared" si="42"/>
        <v>1.6920479233924819E-2</v>
      </c>
      <c r="M44" s="157">
        <f t="shared" si="42"/>
        <v>1.9337690553056935E-2</v>
      </c>
      <c r="N44" s="157">
        <f t="shared" si="42"/>
        <v>2.175490187218905E-2</v>
      </c>
      <c r="O44" s="157">
        <f t="shared" si="42"/>
        <v>2.4172113191321166E-2</v>
      </c>
      <c r="P44" s="157">
        <f t="shared" si="42"/>
        <v>2.6589324510453281E-2</v>
      </c>
      <c r="Q44" s="157">
        <f t="shared" si="42"/>
        <v>2.9006535829585397E-2</v>
      </c>
      <c r="R44" s="157">
        <f t="shared" si="42"/>
        <v>3.1423747148717512E-2</v>
      </c>
      <c r="S44" s="157">
        <f t="shared" si="42"/>
        <v>3.3840958467849631E-2</v>
      </c>
      <c r="T44" s="157">
        <f t="shared" si="42"/>
        <v>3.625816978698175E-2</v>
      </c>
      <c r="U44" s="157">
        <f t="shared" si="42"/>
        <v>3.8675381106113869E-2</v>
      </c>
      <c r="V44" s="157">
        <f t="shared" si="13"/>
        <v>4.1092592425245988E-2</v>
      </c>
      <c r="W44" s="157">
        <f t="shared" si="13"/>
        <v>4.3509803744378107E-2</v>
      </c>
      <c r="X44" s="157">
        <f t="shared" si="13"/>
        <v>4.5927015063510226E-2</v>
      </c>
      <c r="Y44" s="157">
        <f t="shared" si="13"/>
        <v>4.8344226382642345E-2</v>
      </c>
      <c r="Z44" s="157">
        <f t="shared" si="13"/>
        <v>5.0761437701774464E-2</v>
      </c>
      <c r="AA44" s="157">
        <f t="shared" si="13"/>
        <v>5.3178649020906583E-2</v>
      </c>
      <c r="AB44" s="157">
        <f t="shared" si="13"/>
        <v>5.5595860340038702E-2</v>
      </c>
      <c r="AC44" s="157">
        <f t="shared" si="13"/>
        <v>5.8013071659170821E-2</v>
      </c>
      <c r="AD44" s="157">
        <f t="shared" si="13"/>
        <v>6.043028297830294E-2</v>
      </c>
      <c r="AE44" s="157">
        <f t="shared" si="13"/>
        <v>6.2847494297435053E-2</v>
      </c>
      <c r="AF44" s="157">
        <f t="shared" si="13"/>
        <v>6.5264705616567165E-2</v>
      </c>
      <c r="AG44" s="157">
        <f t="shared" si="13"/>
        <v>6.7681916935699277E-2</v>
      </c>
      <c r="AH44" s="157">
        <f t="shared" si="13"/>
        <v>7.0099128254831389E-2</v>
      </c>
      <c r="AI44" s="157">
        <f>O5</f>
        <v>7.2516339573963501E-2</v>
      </c>
    </row>
    <row r="45" spans="1:35">
      <c r="A45" s="289"/>
      <c r="B45" t="s">
        <v>17</v>
      </c>
      <c r="C45" t="s">
        <v>816</v>
      </c>
      <c r="D45" t="s">
        <v>27</v>
      </c>
      <c r="E45" s="157">
        <f>E6</f>
        <v>0</v>
      </c>
      <c r="F45" s="157">
        <f t="shared" si="42"/>
        <v>2.1437217536532133E-4</v>
      </c>
      <c r="G45" s="157">
        <f t="shared" si="42"/>
        <v>4.2874435073064266E-4</v>
      </c>
      <c r="H45" s="157">
        <f t="shared" si="42"/>
        <v>6.4311652609596399E-4</v>
      </c>
      <c r="I45" s="157">
        <f t="shared" si="42"/>
        <v>8.5748870146128532E-4</v>
      </c>
      <c r="J45" s="157">
        <f t="shared" si="42"/>
        <v>1.0718608768266065E-3</v>
      </c>
      <c r="K45" s="157">
        <f t="shared" si="42"/>
        <v>1.2862330521919278E-3</v>
      </c>
      <c r="L45" s="157">
        <f t="shared" si="42"/>
        <v>1.500605227557249E-3</v>
      </c>
      <c r="M45" s="157">
        <f t="shared" si="42"/>
        <v>1.7149774029225702E-3</v>
      </c>
      <c r="N45" s="157">
        <f t="shared" si="42"/>
        <v>1.9293495782878914E-3</v>
      </c>
      <c r="O45" s="157">
        <f t="shared" si="42"/>
        <v>2.1437217536532127E-3</v>
      </c>
      <c r="P45" s="157">
        <f t="shared" si="42"/>
        <v>2.3580939290185339E-3</v>
      </c>
      <c r="Q45" s="157">
        <f t="shared" si="42"/>
        <v>2.5724661043838551E-3</v>
      </c>
      <c r="R45" s="157">
        <f t="shared" si="42"/>
        <v>2.7868382797491763E-3</v>
      </c>
      <c r="S45" s="157">
        <f t="shared" si="42"/>
        <v>3.0012104551144976E-3</v>
      </c>
      <c r="T45" s="157">
        <f t="shared" si="42"/>
        <v>3.2155826304798188E-3</v>
      </c>
      <c r="U45" s="157">
        <f t="shared" si="42"/>
        <v>3.42995480584514E-3</v>
      </c>
      <c r="V45" s="157">
        <f t="shared" si="13"/>
        <v>3.6443269812104612E-3</v>
      </c>
      <c r="W45" s="157">
        <f t="shared" si="13"/>
        <v>3.8586991565757824E-3</v>
      </c>
      <c r="X45" s="157">
        <f t="shared" si="13"/>
        <v>4.0730713319411041E-3</v>
      </c>
      <c r="Y45" s="157">
        <f t="shared" si="13"/>
        <v>4.2874435073064253E-3</v>
      </c>
      <c r="Z45" s="157">
        <f t="shared" si="13"/>
        <v>4.5018156826717465E-3</v>
      </c>
      <c r="AA45" s="157">
        <f t="shared" si="13"/>
        <v>4.7161878580370678E-3</v>
      </c>
      <c r="AB45" s="157">
        <f t="shared" si="13"/>
        <v>4.930560033402389E-3</v>
      </c>
      <c r="AC45" s="157">
        <f t="shared" si="13"/>
        <v>5.1449322087677102E-3</v>
      </c>
      <c r="AD45" s="157">
        <f t="shared" si="13"/>
        <v>5.3593043841330314E-3</v>
      </c>
      <c r="AE45" s="157">
        <f t="shared" si="13"/>
        <v>5.5736765594983527E-3</v>
      </c>
      <c r="AF45" s="157">
        <f t="shared" si="13"/>
        <v>5.7880487348636739E-3</v>
      </c>
      <c r="AG45" s="157">
        <f t="shared" si="13"/>
        <v>6.0024209102289951E-3</v>
      </c>
      <c r="AH45" s="157">
        <f t="shared" si="13"/>
        <v>6.2167930855943163E-3</v>
      </c>
      <c r="AI45" s="157">
        <f>O6</f>
        <v>6.4311652609596402E-3</v>
      </c>
    </row>
    <row r="46" spans="1:35" s="62" customFormat="1">
      <c r="A46" s="286"/>
      <c r="B46" s="62" t="s">
        <v>17</v>
      </c>
      <c r="C46" s="62" t="s">
        <v>821</v>
      </c>
      <c r="D46" t="s">
        <v>35</v>
      </c>
      <c r="E46" s="188">
        <f>F3</f>
        <v>0.99650473690303265</v>
      </c>
      <c r="F46" s="188">
        <f t="shared" si="42"/>
        <v>0.96328791233959821</v>
      </c>
      <c r="G46" s="188">
        <f t="shared" si="42"/>
        <v>0.93007108777616376</v>
      </c>
      <c r="H46" s="188">
        <f t="shared" si="42"/>
        <v>0.89685426321272932</v>
      </c>
      <c r="I46" s="188">
        <f t="shared" si="42"/>
        <v>0.86363743864929488</v>
      </c>
      <c r="J46" s="188">
        <f t="shared" si="42"/>
        <v>0.83042061408586043</v>
      </c>
      <c r="K46" s="188">
        <f t="shared" si="42"/>
        <v>0.79720378952242599</v>
      </c>
      <c r="L46" s="188">
        <f t="shared" si="42"/>
        <v>0.76398696495899154</v>
      </c>
      <c r="M46" s="188">
        <f t="shared" si="42"/>
        <v>0.7307701403955571</v>
      </c>
      <c r="N46" s="188">
        <f t="shared" si="42"/>
        <v>0.69755331583212266</v>
      </c>
      <c r="O46" s="188">
        <f t="shared" si="42"/>
        <v>0.66433649126868821</v>
      </c>
      <c r="P46" s="188">
        <f t="shared" si="42"/>
        <v>0.63111966670525377</v>
      </c>
      <c r="Q46" s="188">
        <f t="shared" si="42"/>
        <v>0.59790284214181932</v>
      </c>
      <c r="R46" s="188">
        <f t="shared" si="42"/>
        <v>0.56468601757838488</v>
      </c>
      <c r="S46" s="188">
        <f t="shared" si="42"/>
        <v>0.53146919301495044</v>
      </c>
      <c r="T46" s="188">
        <f t="shared" si="42"/>
        <v>0.49825236845151599</v>
      </c>
      <c r="U46" s="188">
        <f t="shared" si="42"/>
        <v>0.46503554388808155</v>
      </c>
      <c r="V46" s="188">
        <f t="shared" si="13"/>
        <v>0.4318187193246471</v>
      </c>
      <c r="W46" s="188">
        <f t="shared" si="13"/>
        <v>0.39860189476121266</v>
      </c>
      <c r="X46" s="188">
        <f t="shared" si="13"/>
        <v>0.36538507019777822</v>
      </c>
      <c r="Y46" s="188">
        <f t="shared" si="13"/>
        <v>0.33216824563434377</v>
      </c>
      <c r="Z46" s="188">
        <f t="shared" si="13"/>
        <v>0.29895142107090933</v>
      </c>
      <c r="AA46" s="188">
        <f t="shared" si="13"/>
        <v>0.26573459650747489</v>
      </c>
      <c r="AB46" s="188">
        <f t="shared" si="13"/>
        <v>0.23251777194404047</v>
      </c>
      <c r="AC46" s="188">
        <f t="shared" si="13"/>
        <v>0.19930094738060605</v>
      </c>
      <c r="AD46" s="188">
        <f t="shared" si="13"/>
        <v>0.16608412281717164</v>
      </c>
      <c r="AE46" s="188">
        <f t="shared" si="13"/>
        <v>0.13286729825373722</v>
      </c>
      <c r="AF46" s="188">
        <f t="shared" si="13"/>
        <v>9.9650473690302804E-2</v>
      </c>
      <c r="AG46" s="188">
        <f t="shared" si="13"/>
        <v>6.6433649126868388E-2</v>
      </c>
      <c r="AH46" s="188">
        <f t="shared" si="13"/>
        <v>3.3216824563433965E-2</v>
      </c>
      <c r="AI46" s="188">
        <f>P3</f>
        <v>0</v>
      </c>
    </row>
    <row r="47" spans="1:35">
      <c r="A47" s="289"/>
      <c r="B47" s="62" t="s">
        <v>17</v>
      </c>
      <c r="C47" s="62" t="s">
        <v>821</v>
      </c>
      <c r="D47" t="s">
        <v>74</v>
      </c>
      <c r="E47" s="188">
        <f>F4</f>
        <v>3.4952630969674104E-3</v>
      </c>
      <c r="F47" s="188">
        <f t="shared" ref="F47:U47" si="57">-($E47-$AI47)/30+E47</f>
        <v>3.3787543270684967E-3</v>
      </c>
      <c r="G47" s="188">
        <f t="shared" si="57"/>
        <v>3.262245557169583E-3</v>
      </c>
      <c r="H47" s="188">
        <f t="shared" si="57"/>
        <v>3.1457367872706693E-3</v>
      </c>
      <c r="I47" s="188">
        <f t="shared" si="57"/>
        <v>3.0292280173717556E-3</v>
      </c>
      <c r="J47" s="188">
        <f t="shared" si="57"/>
        <v>2.9127192474728419E-3</v>
      </c>
      <c r="K47" s="188">
        <f t="shared" si="57"/>
        <v>2.7962104775739282E-3</v>
      </c>
      <c r="L47" s="188">
        <f t="shared" si="57"/>
        <v>2.6797017076750146E-3</v>
      </c>
      <c r="M47" s="188">
        <f t="shared" si="57"/>
        <v>2.5631929377761009E-3</v>
      </c>
      <c r="N47" s="188">
        <f t="shared" si="57"/>
        <v>2.4466841678771872E-3</v>
      </c>
      <c r="O47" s="188">
        <f t="shared" si="57"/>
        <v>2.3301753979782735E-3</v>
      </c>
      <c r="P47" s="188">
        <f t="shared" si="57"/>
        <v>2.2136666280793598E-3</v>
      </c>
      <c r="Q47" s="188">
        <f t="shared" si="57"/>
        <v>2.0971578581804461E-3</v>
      </c>
      <c r="R47" s="188">
        <f t="shared" si="57"/>
        <v>1.9806490882815324E-3</v>
      </c>
      <c r="S47" s="188">
        <f t="shared" si="57"/>
        <v>1.8641403183826187E-3</v>
      </c>
      <c r="T47" s="188">
        <f t="shared" si="57"/>
        <v>1.747631548483705E-3</v>
      </c>
      <c r="U47" s="188">
        <f t="shared" si="57"/>
        <v>1.6311227785847913E-3</v>
      </c>
      <c r="V47" s="188">
        <f t="shared" ref="V47" si="58">-($E47-$AI47)/30+U47</f>
        <v>1.5146140086858776E-3</v>
      </c>
      <c r="W47" s="188">
        <f t="shared" ref="W47" si="59">-($E47-$AI47)/30+V47</f>
        <v>1.3981052387869639E-3</v>
      </c>
      <c r="X47" s="188">
        <f t="shared" ref="X47" si="60">-($E47-$AI47)/30+W47</f>
        <v>1.2815964688880502E-3</v>
      </c>
      <c r="Y47" s="188">
        <f t="shared" ref="Y47" si="61">-($E47-$AI47)/30+X47</f>
        <v>1.1650876989891365E-3</v>
      </c>
      <c r="Z47" s="188">
        <f t="shared" ref="Z47" si="62">-($E47-$AI47)/30+Y47</f>
        <v>1.0485789290902228E-3</v>
      </c>
      <c r="AA47" s="188">
        <f t="shared" ref="AA47" si="63">-($E47-$AI47)/30+Z47</f>
        <v>9.3207015919130913E-4</v>
      </c>
      <c r="AB47" s="188">
        <f t="shared" ref="AB47" si="64">-($E47-$AI47)/30+AA47</f>
        <v>8.1556138929239543E-4</v>
      </c>
      <c r="AC47" s="188">
        <f t="shared" ref="AC47" si="65">-($E47-$AI47)/30+AB47</f>
        <v>6.9905261939348174E-4</v>
      </c>
      <c r="AD47" s="188">
        <f t="shared" ref="AD47" si="66">-($E47-$AI47)/30+AC47</f>
        <v>5.8254384949456804E-4</v>
      </c>
      <c r="AE47" s="188">
        <f t="shared" ref="AE47" si="67">-($E47-$AI47)/30+AD47</f>
        <v>4.6603507959565435E-4</v>
      </c>
      <c r="AF47" s="188">
        <f t="shared" ref="AF47" si="68">-($E47-$AI47)/30+AE47</f>
        <v>3.4952630969674065E-4</v>
      </c>
      <c r="AG47" s="188">
        <f t="shared" ref="AG47" si="69">-($E47-$AI47)/30+AF47</f>
        <v>2.3301753979782696E-4</v>
      </c>
      <c r="AH47" s="188">
        <f t="shared" ref="AH47" si="70">-($E47-$AI47)/30+AG47</f>
        <v>1.1650876989891327E-4</v>
      </c>
      <c r="AI47" s="188">
        <f>P4</f>
        <v>0</v>
      </c>
    </row>
    <row r="48" spans="1:35">
      <c r="A48" s="289"/>
      <c r="B48" t="s">
        <v>17</v>
      </c>
      <c r="C48" t="s">
        <v>821</v>
      </c>
      <c r="D48" t="s">
        <v>160</v>
      </c>
      <c r="E48" s="157">
        <f>F5</f>
        <v>0</v>
      </c>
      <c r="F48" s="157">
        <f t="shared" si="42"/>
        <v>1.6666666666666666E-2</v>
      </c>
      <c r="G48" s="157">
        <f t="shared" si="42"/>
        <v>3.3333333333333333E-2</v>
      </c>
      <c r="H48" s="157">
        <f t="shared" si="42"/>
        <v>0.05</v>
      </c>
      <c r="I48" s="157">
        <f t="shared" si="42"/>
        <v>6.6666666666666666E-2</v>
      </c>
      <c r="J48" s="157">
        <f t="shared" si="42"/>
        <v>8.3333333333333329E-2</v>
      </c>
      <c r="K48" s="157">
        <f t="shared" si="42"/>
        <v>9.9999999999999992E-2</v>
      </c>
      <c r="L48" s="157">
        <f t="shared" si="42"/>
        <v>0.11666666666666665</v>
      </c>
      <c r="M48" s="157">
        <f t="shared" si="42"/>
        <v>0.13333333333333333</v>
      </c>
      <c r="N48" s="157">
        <f t="shared" si="42"/>
        <v>0.15</v>
      </c>
      <c r="O48" s="157">
        <f t="shared" si="42"/>
        <v>0.16666666666666666</v>
      </c>
      <c r="P48" s="157">
        <f t="shared" si="42"/>
        <v>0.18333333333333332</v>
      </c>
      <c r="Q48" s="157">
        <f t="shared" si="42"/>
        <v>0.19999999999999998</v>
      </c>
      <c r="R48" s="157">
        <f t="shared" si="42"/>
        <v>0.21666666666666665</v>
      </c>
      <c r="S48" s="157">
        <f t="shared" si="42"/>
        <v>0.23333333333333331</v>
      </c>
      <c r="T48" s="157">
        <f t="shared" si="42"/>
        <v>0.24999999999999997</v>
      </c>
      <c r="U48" s="157">
        <f t="shared" si="42"/>
        <v>0.26666666666666666</v>
      </c>
      <c r="V48" s="157">
        <f t="shared" si="13"/>
        <v>0.28333333333333333</v>
      </c>
      <c r="W48" s="157">
        <f t="shared" si="13"/>
        <v>0.3</v>
      </c>
      <c r="X48" s="157">
        <f t="shared" si="13"/>
        <v>0.31666666666666665</v>
      </c>
      <c r="Y48" s="157">
        <f t="shared" si="13"/>
        <v>0.33333333333333331</v>
      </c>
      <c r="Z48" s="157">
        <f t="shared" si="13"/>
        <v>0.35</v>
      </c>
      <c r="AA48" s="157">
        <f t="shared" si="13"/>
        <v>0.36666666666666664</v>
      </c>
      <c r="AB48" s="157">
        <f t="shared" si="13"/>
        <v>0.3833333333333333</v>
      </c>
      <c r="AC48" s="157">
        <f t="shared" si="13"/>
        <v>0.39999999999999997</v>
      </c>
      <c r="AD48" s="157">
        <f t="shared" si="13"/>
        <v>0.41666666666666663</v>
      </c>
      <c r="AE48" s="157">
        <f t="shared" si="13"/>
        <v>0.43333333333333329</v>
      </c>
      <c r="AF48" s="157">
        <f t="shared" si="13"/>
        <v>0.44999999999999996</v>
      </c>
      <c r="AG48" s="157">
        <f t="shared" si="13"/>
        <v>0.46666666666666662</v>
      </c>
      <c r="AH48" s="157">
        <f t="shared" si="13"/>
        <v>0.48333333333333328</v>
      </c>
      <c r="AI48" s="157">
        <f>P5</f>
        <v>0.5</v>
      </c>
    </row>
    <row r="49" spans="1:35">
      <c r="A49" s="289"/>
      <c r="B49" t="s">
        <v>17</v>
      </c>
      <c r="C49" t="s">
        <v>821</v>
      </c>
      <c r="D49" t="s">
        <v>27</v>
      </c>
      <c r="E49" s="157">
        <f>F6</f>
        <v>0</v>
      </c>
      <c r="F49" s="157">
        <f t="shared" si="42"/>
        <v>1.6666666666666666E-2</v>
      </c>
      <c r="G49" s="157">
        <f t="shared" si="42"/>
        <v>3.3333333333333333E-2</v>
      </c>
      <c r="H49" s="157">
        <f t="shared" si="42"/>
        <v>0.05</v>
      </c>
      <c r="I49" s="157">
        <f t="shared" si="42"/>
        <v>6.6666666666666666E-2</v>
      </c>
      <c r="J49" s="157">
        <f t="shared" si="42"/>
        <v>8.3333333333333329E-2</v>
      </c>
      <c r="K49" s="157">
        <f t="shared" si="42"/>
        <v>9.9999999999999992E-2</v>
      </c>
      <c r="L49" s="157">
        <f t="shared" si="42"/>
        <v>0.11666666666666665</v>
      </c>
      <c r="M49" s="157">
        <f t="shared" si="42"/>
        <v>0.13333333333333333</v>
      </c>
      <c r="N49" s="157">
        <f t="shared" si="42"/>
        <v>0.15</v>
      </c>
      <c r="O49" s="157">
        <f t="shared" si="42"/>
        <v>0.16666666666666666</v>
      </c>
      <c r="P49" s="157">
        <f t="shared" si="42"/>
        <v>0.18333333333333332</v>
      </c>
      <c r="Q49" s="157">
        <f t="shared" si="42"/>
        <v>0.19999999999999998</v>
      </c>
      <c r="R49" s="157">
        <f t="shared" si="42"/>
        <v>0.21666666666666665</v>
      </c>
      <c r="S49" s="157">
        <f t="shared" si="42"/>
        <v>0.23333333333333331</v>
      </c>
      <c r="T49" s="157">
        <f t="shared" si="42"/>
        <v>0.24999999999999997</v>
      </c>
      <c r="U49" s="157">
        <f t="shared" si="42"/>
        <v>0.26666666666666666</v>
      </c>
      <c r="V49" s="157">
        <f t="shared" si="13"/>
        <v>0.28333333333333333</v>
      </c>
      <c r="W49" s="157">
        <f t="shared" si="13"/>
        <v>0.3</v>
      </c>
      <c r="X49" s="157">
        <f t="shared" si="13"/>
        <v>0.31666666666666665</v>
      </c>
      <c r="Y49" s="157">
        <f t="shared" si="13"/>
        <v>0.33333333333333331</v>
      </c>
      <c r="Z49" s="157">
        <f t="shared" si="13"/>
        <v>0.35</v>
      </c>
      <c r="AA49" s="157">
        <f t="shared" si="13"/>
        <v>0.36666666666666664</v>
      </c>
      <c r="AB49" s="157">
        <f t="shared" si="13"/>
        <v>0.3833333333333333</v>
      </c>
      <c r="AC49" s="157">
        <f t="shared" si="13"/>
        <v>0.39999999999999997</v>
      </c>
      <c r="AD49" s="157">
        <f t="shared" si="13"/>
        <v>0.41666666666666663</v>
      </c>
      <c r="AE49" s="157">
        <f t="shared" si="13"/>
        <v>0.43333333333333329</v>
      </c>
      <c r="AF49" s="157">
        <f t="shared" si="13"/>
        <v>0.44999999999999996</v>
      </c>
      <c r="AG49" s="157">
        <f t="shared" si="13"/>
        <v>0.46666666666666662</v>
      </c>
      <c r="AH49" s="157">
        <f t="shared" si="13"/>
        <v>0.48333333333333328</v>
      </c>
      <c r="AI49" s="157">
        <f>P6</f>
        <v>0.5</v>
      </c>
    </row>
    <row r="50" spans="1:35" s="62" customFormat="1">
      <c r="A50" s="286"/>
      <c r="B50" s="62" t="s">
        <v>17</v>
      </c>
      <c r="C50" s="62" t="s">
        <v>817</v>
      </c>
      <c r="D50" t="s">
        <v>35</v>
      </c>
      <c r="E50" s="188">
        <f>G3</f>
        <v>0.99650473690303265</v>
      </c>
      <c r="F50" s="188">
        <f t="shared" si="42"/>
        <v>0.96328791233959821</v>
      </c>
      <c r="G50" s="188">
        <f t="shared" si="42"/>
        <v>0.93007108777616376</v>
      </c>
      <c r="H50" s="188">
        <f t="shared" si="42"/>
        <v>0.89685426321272932</v>
      </c>
      <c r="I50" s="188">
        <f t="shared" si="42"/>
        <v>0.86363743864929488</v>
      </c>
      <c r="J50" s="188">
        <f t="shared" si="42"/>
        <v>0.83042061408586043</v>
      </c>
      <c r="K50" s="188">
        <f t="shared" si="42"/>
        <v>0.79720378952242599</v>
      </c>
      <c r="L50" s="188">
        <f t="shared" si="42"/>
        <v>0.76398696495899154</v>
      </c>
      <c r="M50" s="188">
        <f t="shared" si="42"/>
        <v>0.7307701403955571</v>
      </c>
      <c r="N50" s="188">
        <f t="shared" si="42"/>
        <v>0.69755331583212266</v>
      </c>
      <c r="O50" s="188">
        <f t="shared" si="42"/>
        <v>0.66433649126868821</v>
      </c>
      <c r="P50" s="188">
        <f t="shared" si="42"/>
        <v>0.63111966670525377</v>
      </c>
      <c r="Q50" s="188">
        <f t="shared" si="42"/>
        <v>0.59790284214181932</v>
      </c>
      <c r="R50" s="188">
        <f t="shared" si="42"/>
        <v>0.56468601757838488</v>
      </c>
      <c r="S50" s="188">
        <f t="shared" si="42"/>
        <v>0.53146919301495044</v>
      </c>
      <c r="T50" s="188">
        <f t="shared" si="42"/>
        <v>0.49825236845151599</v>
      </c>
      <c r="U50" s="188">
        <f t="shared" si="42"/>
        <v>0.46503554388808155</v>
      </c>
      <c r="V50" s="188">
        <f t="shared" si="13"/>
        <v>0.4318187193246471</v>
      </c>
      <c r="W50" s="188">
        <f t="shared" si="13"/>
        <v>0.39860189476121266</v>
      </c>
      <c r="X50" s="188">
        <f t="shared" si="13"/>
        <v>0.36538507019777822</v>
      </c>
      <c r="Y50" s="188">
        <f t="shared" si="13"/>
        <v>0.33216824563434377</v>
      </c>
      <c r="Z50" s="188">
        <f t="shared" si="13"/>
        <v>0.29895142107090933</v>
      </c>
      <c r="AA50" s="188">
        <f t="shared" si="13"/>
        <v>0.26573459650747489</v>
      </c>
      <c r="AB50" s="188">
        <f t="shared" si="13"/>
        <v>0.23251777194404047</v>
      </c>
      <c r="AC50" s="188">
        <f t="shared" si="13"/>
        <v>0.19930094738060605</v>
      </c>
      <c r="AD50" s="188">
        <f t="shared" si="13"/>
        <v>0.16608412281717164</v>
      </c>
      <c r="AE50" s="188">
        <f t="shared" si="13"/>
        <v>0.13286729825373722</v>
      </c>
      <c r="AF50" s="188">
        <f t="shared" si="13"/>
        <v>9.9650473690302804E-2</v>
      </c>
      <c r="AG50" s="188">
        <f t="shared" si="13"/>
        <v>6.6433649126868388E-2</v>
      </c>
      <c r="AH50" s="188">
        <f t="shared" si="13"/>
        <v>3.3216824563433965E-2</v>
      </c>
      <c r="AI50" s="188">
        <f>Q3</f>
        <v>0</v>
      </c>
    </row>
    <row r="51" spans="1:35">
      <c r="A51" s="289"/>
      <c r="B51" s="62" t="s">
        <v>17</v>
      </c>
      <c r="C51" s="62" t="s">
        <v>817</v>
      </c>
      <c r="D51" t="s">
        <v>74</v>
      </c>
      <c r="E51" s="188">
        <f>G4</f>
        <v>3.4952630969674104E-3</v>
      </c>
      <c r="F51" s="188">
        <f t="shared" ref="F51:U51" si="71">-($E51-$AI51)/30+E51</f>
        <v>3.3787543270684967E-3</v>
      </c>
      <c r="G51" s="188">
        <f t="shared" si="71"/>
        <v>3.262245557169583E-3</v>
      </c>
      <c r="H51" s="188">
        <f t="shared" si="71"/>
        <v>3.1457367872706693E-3</v>
      </c>
      <c r="I51" s="188">
        <f t="shared" si="71"/>
        <v>3.0292280173717556E-3</v>
      </c>
      <c r="J51" s="188">
        <f t="shared" si="71"/>
        <v>2.9127192474728419E-3</v>
      </c>
      <c r="K51" s="188">
        <f t="shared" si="71"/>
        <v>2.7962104775739282E-3</v>
      </c>
      <c r="L51" s="188">
        <f t="shared" si="71"/>
        <v>2.6797017076750146E-3</v>
      </c>
      <c r="M51" s="188">
        <f t="shared" si="71"/>
        <v>2.5631929377761009E-3</v>
      </c>
      <c r="N51" s="188">
        <f t="shared" si="71"/>
        <v>2.4466841678771872E-3</v>
      </c>
      <c r="O51" s="188">
        <f t="shared" si="71"/>
        <v>2.3301753979782735E-3</v>
      </c>
      <c r="P51" s="188">
        <f t="shared" si="71"/>
        <v>2.2136666280793598E-3</v>
      </c>
      <c r="Q51" s="188">
        <f t="shared" si="71"/>
        <v>2.0971578581804461E-3</v>
      </c>
      <c r="R51" s="188">
        <f t="shared" si="71"/>
        <v>1.9806490882815324E-3</v>
      </c>
      <c r="S51" s="188">
        <f t="shared" si="71"/>
        <v>1.8641403183826187E-3</v>
      </c>
      <c r="T51" s="188">
        <f t="shared" si="71"/>
        <v>1.747631548483705E-3</v>
      </c>
      <c r="U51" s="188">
        <f t="shared" si="71"/>
        <v>1.6311227785847913E-3</v>
      </c>
      <c r="V51" s="188">
        <f t="shared" ref="V51" si="72">-($E51-$AI51)/30+U51</f>
        <v>1.5146140086858776E-3</v>
      </c>
      <c r="W51" s="188">
        <f t="shared" ref="W51" si="73">-($E51-$AI51)/30+V51</f>
        <v>1.3981052387869639E-3</v>
      </c>
      <c r="X51" s="188">
        <f t="shared" ref="X51" si="74">-($E51-$AI51)/30+W51</f>
        <v>1.2815964688880502E-3</v>
      </c>
      <c r="Y51" s="188">
        <f t="shared" ref="Y51" si="75">-($E51-$AI51)/30+X51</f>
        <v>1.1650876989891365E-3</v>
      </c>
      <c r="Z51" s="188">
        <f t="shared" ref="Z51" si="76">-($E51-$AI51)/30+Y51</f>
        <v>1.0485789290902228E-3</v>
      </c>
      <c r="AA51" s="188">
        <f t="shared" ref="AA51" si="77">-($E51-$AI51)/30+Z51</f>
        <v>9.3207015919130913E-4</v>
      </c>
      <c r="AB51" s="188">
        <f t="shared" ref="AB51" si="78">-($E51-$AI51)/30+AA51</f>
        <v>8.1556138929239543E-4</v>
      </c>
      <c r="AC51" s="188">
        <f t="shared" ref="AC51" si="79">-($E51-$AI51)/30+AB51</f>
        <v>6.9905261939348174E-4</v>
      </c>
      <c r="AD51" s="188">
        <f t="shared" ref="AD51" si="80">-($E51-$AI51)/30+AC51</f>
        <v>5.8254384949456804E-4</v>
      </c>
      <c r="AE51" s="188">
        <f t="shared" ref="AE51" si="81">-($E51-$AI51)/30+AD51</f>
        <v>4.6603507959565435E-4</v>
      </c>
      <c r="AF51" s="188">
        <f t="shared" ref="AF51" si="82">-($E51-$AI51)/30+AE51</f>
        <v>3.4952630969674065E-4</v>
      </c>
      <c r="AG51" s="188">
        <f t="shared" ref="AG51" si="83">-($E51-$AI51)/30+AF51</f>
        <v>2.3301753979782696E-4</v>
      </c>
      <c r="AH51" s="188">
        <f t="shared" ref="AH51" si="84">-($E51-$AI51)/30+AG51</f>
        <v>1.1650876989891327E-4</v>
      </c>
      <c r="AI51" s="188">
        <f>Q4</f>
        <v>0</v>
      </c>
    </row>
    <row r="52" spans="1:35">
      <c r="A52" s="289"/>
      <c r="B52" t="s">
        <v>17</v>
      </c>
      <c r="C52" t="s">
        <v>817</v>
      </c>
      <c r="D52" t="s">
        <v>160</v>
      </c>
      <c r="E52" s="157">
        <f>G5</f>
        <v>0</v>
      </c>
      <c r="F52" s="157">
        <f t="shared" si="42"/>
        <v>1.6666666666666666E-2</v>
      </c>
      <c r="G52" s="157">
        <f t="shared" si="42"/>
        <v>3.3333333333333333E-2</v>
      </c>
      <c r="H52" s="157">
        <f t="shared" si="42"/>
        <v>0.05</v>
      </c>
      <c r="I52" s="157">
        <f t="shared" si="42"/>
        <v>6.6666666666666666E-2</v>
      </c>
      <c r="J52" s="157">
        <f t="shared" si="42"/>
        <v>8.3333333333333329E-2</v>
      </c>
      <c r="K52" s="157">
        <f t="shared" si="42"/>
        <v>9.9999999999999992E-2</v>
      </c>
      <c r="L52" s="157">
        <f t="shared" si="42"/>
        <v>0.11666666666666665</v>
      </c>
      <c r="M52" s="157">
        <f t="shared" si="42"/>
        <v>0.13333333333333333</v>
      </c>
      <c r="N52" s="157">
        <f t="shared" si="42"/>
        <v>0.15</v>
      </c>
      <c r="O52" s="157">
        <f t="shared" si="42"/>
        <v>0.16666666666666666</v>
      </c>
      <c r="P52" s="157">
        <f t="shared" si="42"/>
        <v>0.18333333333333332</v>
      </c>
      <c r="Q52" s="157">
        <f t="shared" si="42"/>
        <v>0.19999999999999998</v>
      </c>
      <c r="R52" s="157">
        <f t="shared" si="42"/>
        <v>0.21666666666666665</v>
      </c>
      <c r="S52" s="157">
        <f t="shared" si="42"/>
        <v>0.23333333333333331</v>
      </c>
      <c r="T52" s="157">
        <f t="shared" si="42"/>
        <v>0.24999999999999997</v>
      </c>
      <c r="U52" s="157">
        <f t="shared" si="42"/>
        <v>0.26666666666666666</v>
      </c>
      <c r="V52" s="157">
        <f t="shared" si="13"/>
        <v>0.28333333333333333</v>
      </c>
      <c r="W52" s="157">
        <f t="shared" si="13"/>
        <v>0.3</v>
      </c>
      <c r="X52" s="157">
        <f t="shared" si="13"/>
        <v>0.31666666666666665</v>
      </c>
      <c r="Y52" s="157">
        <f t="shared" si="13"/>
        <v>0.33333333333333331</v>
      </c>
      <c r="Z52" s="157">
        <f t="shared" si="13"/>
        <v>0.35</v>
      </c>
      <c r="AA52" s="157">
        <f t="shared" si="13"/>
        <v>0.36666666666666664</v>
      </c>
      <c r="AB52" s="157">
        <f t="shared" si="13"/>
        <v>0.3833333333333333</v>
      </c>
      <c r="AC52" s="157">
        <f t="shared" si="13"/>
        <v>0.39999999999999997</v>
      </c>
      <c r="AD52" s="157">
        <f t="shared" si="13"/>
        <v>0.41666666666666663</v>
      </c>
      <c r="AE52" s="157">
        <f t="shared" si="13"/>
        <v>0.43333333333333329</v>
      </c>
      <c r="AF52" s="157">
        <f t="shared" si="13"/>
        <v>0.44999999999999996</v>
      </c>
      <c r="AG52" s="157">
        <f t="shared" si="13"/>
        <v>0.46666666666666662</v>
      </c>
      <c r="AH52" s="157">
        <f t="shared" si="13"/>
        <v>0.48333333333333328</v>
      </c>
      <c r="AI52" s="157">
        <f>Q5</f>
        <v>0.5</v>
      </c>
    </row>
    <row r="53" spans="1:35">
      <c r="A53" s="289"/>
      <c r="B53" t="s">
        <v>17</v>
      </c>
      <c r="C53" t="s">
        <v>817</v>
      </c>
      <c r="D53" t="s">
        <v>27</v>
      </c>
      <c r="E53" s="157">
        <f>G6</f>
        <v>0</v>
      </c>
      <c r="F53" s="157">
        <f t="shared" si="42"/>
        <v>1.6666666666666666E-2</v>
      </c>
      <c r="G53" s="157">
        <f t="shared" si="42"/>
        <v>3.3333333333333333E-2</v>
      </c>
      <c r="H53" s="157">
        <f t="shared" si="42"/>
        <v>0.05</v>
      </c>
      <c r="I53" s="157">
        <f t="shared" si="42"/>
        <v>6.6666666666666666E-2</v>
      </c>
      <c r="J53" s="157">
        <f t="shared" si="42"/>
        <v>8.3333333333333329E-2</v>
      </c>
      <c r="K53" s="157">
        <f t="shared" si="42"/>
        <v>9.9999999999999992E-2</v>
      </c>
      <c r="L53" s="157">
        <f t="shared" si="42"/>
        <v>0.11666666666666665</v>
      </c>
      <c r="M53" s="157">
        <f t="shared" si="42"/>
        <v>0.13333333333333333</v>
      </c>
      <c r="N53" s="157">
        <f t="shared" si="42"/>
        <v>0.15</v>
      </c>
      <c r="O53" s="157">
        <f t="shared" si="42"/>
        <v>0.16666666666666666</v>
      </c>
      <c r="P53" s="157">
        <f t="shared" si="42"/>
        <v>0.18333333333333332</v>
      </c>
      <c r="Q53" s="157">
        <f t="shared" si="42"/>
        <v>0.19999999999999998</v>
      </c>
      <c r="R53" s="157">
        <f t="shared" si="42"/>
        <v>0.21666666666666665</v>
      </c>
      <c r="S53" s="157">
        <f t="shared" si="42"/>
        <v>0.23333333333333331</v>
      </c>
      <c r="T53" s="157">
        <f t="shared" si="42"/>
        <v>0.24999999999999997</v>
      </c>
      <c r="U53" s="157">
        <f t="shared" si="42"/>
        <v>0.26666666666666666</v>
      </c>
      <c r="V53" s="157">
        <f t="shared" si="13"/>
        <v>0.28333333333333333</v>
      </c>
      <c r="W53" s="157">
        <f t="shared" si="13"/>
        <v>0.3</v>
      </c>
      <c r="X53" s="157">
        <f t="shared" si="13"/>
        <v>0.31666666666666665</v>
      </c>
      <c r="Y53" s="157">
        <f t="shared" si="13"/>
        <v>0.33333333333333331</v>
      </c>
      <c r="Z53" s="157">
        <f t="shared" si="13"/>
        <v>0.35</v>
      </c>
      <c r="AA53" s="157">
        <f t="shared" si="13"/>
        <v>0.36666666666666664</v>
      </c>
      <c r="AB53" s="157">
        <f t="shared" si="13"/>
        <v>0.3833333333333333</v>
      </c>
      <c r="AC53" s="157">
        <f t="shared" si="13"/>
        <v>0.39999999999999997</v>
      </c>
      <c r="AD53" s="157">
        <f t="shared" si="13"/>
        <v>0.41666666666666663</v>
      </c>
      <c r="AE53" s="157">
        <f t="shared" si="13"/>
        <v>0.43333333333333329</v>
      </c>
      <c r="AF53" s="157">
        <f t="shared" si="13"/>
        <v>0.44999999999999996</v>
      </c>
      <c r="AG53" s="157">
        <f t="shared" si="13"/>
        <v>0.46666666666666662</v>
      </c>
      <c r="AH53" s="157">
        <f t="shared" si="13"/>
        <v>0.48333333333333328</v>
      </c>
      <c r="AI53" s="157">
        <f>Q6</f>
        <v>0.5</v>
      </c>
    </row>
    <row r="54" spans="1:35" s="62" customFormat="1">
      <c r="A54" s="286"/>
      <c r="B54" s="62" t="s">
        <v>17</v>
      </c>
      <c r="C54" s="62" t="s">
        <v>818</v>
      </c>
      <c r="D54" t="s">
        <v>35</v>
      </c>
      <c r="E54" s="188">
        <f>H3</f>
        <v>0.99650473690303265</v>
      </c>
      <c r="F54" s="188">
        <f t="shared" si="42"/>
        <v>0.98321038203978162</v>
      </c>
      <c r="G54" s="188">
        <f t="shared" si="42"/>
        <v>0.96991602717653058</v>
      </c>
      <c r="H54" s="188">
        <f t="shared" si="42"/>
        <v>0.95662167231327955</v>
      </c>
      <c r="I54" s="188">
        <f t="shared" si="42"/>
        <v>0.94332731745002851</v>
      </c>
      <c r="J54" s="188">
        <f t="shared" si="42"/>
        <v>0.93003296258677748</v>
      </c>
      <c r="K54" s="188">
        <f t="shared" si="42"/>
        <v>0.91673860772352644</v>
      </c>
      <c r="L54" s="188">
        <f t="shared" si="42"/>
        <v>0.90344425286027541</v>
      </c>
      <c r="M54" s="188">
        <f t="shared" si="42"/>
        <v>0.89014989799702438</v>
      </c>
      <c r="N54" s="188">
        <f t="shared" si="42"/>
        <v>0.87685554313377334</v>
      </c>
      <c r="O54" s="188">
        <f t="shared" si="42"/>
        <v>0.86356118827052231</v>
      </c>
      <c r="P54" s="188">
        <f t="shared" si="42"/>
        <v>0.85026683340727127</v>
      </c>
      <c r="Q54" s="188">
        <f t="shared" si="42"/>
        <v>0.83697247854402024</v>
      </c>
      <c r="R54" s="188">
        <f t="shared" si="42"/>
        <v>0.8236781236807692</v>
      </c>
      <c r="S54" s="188">
        <f t="shared" si="42"/>
        <v>0.81038376881751817</v>
      </c>
      <c r="T54" s="188">
        <f t="shared" si="42"/>
        <v>0.79708941395426713</v>
      </c>
      <c r="U54" s="188">
        <f t="shared" si="42"/>
        <v>0.7837950590910161</v>
      </c>
      <c r="V54" s="188">
        <f t="shared" si="13"/>
        <v>0.77050070422776507</v>
      </c>
      <c r="W54" s="188">
        <f t="shared" si="13"/>
        <v>0.75720634936451403</v>
      </c>
      <c r="X54" s="188">
        <f t="shared" si="13"/>
        <v>0.743911994501263</v>
      </c>
      <c r="Y54" s="188">
        <f t="shared" si="13"/>
        <v>0.73061763963801196</v>
      </c>
      <c r="Z54" s="188">
        <f t="shared" si="13"/>
        <v>0.71732328477476093</v>
      </c>
      <c r="AA54" s="188">
        <f t="shared" si="13"/>
        <v>0.70402892991150989</v>
      </c>
      <c r="AB54" s="188">
        <f t="shared" si="13"/>
        <v>0.69073457504825886</v>
      </c>
      <c r="AC54" s="188">
        <f t="shared" si="13"/>
        <v>0.67744022018500782</v>
      </c>
      <c r="AD54" s="188">
        <f t="shared" si="13"/>
        <v>0.66414586532175679</v>
      </c>
      <c r="AE54" s="188">
        <f t="shared" si="13"/>
        <v>0.65085151045850576</v>
      </c>
      <c r="AF54" s="188">
        <f t="shared" si="13"/>
        <v>0.63755715559525472</v>
      </c>
      <c r="AG54" s="188">
        <f t="shared" si="13"/>
        <v>0.62426280073200369</v>
      </c>
      <c r="AH54" s="188">
        <f t="shared" si="13"/>
        <v>0.61096844586875265</v>
      </c>
      <c r="AI54" s="188">
        <f>R3</f>
        <v>0.59767409100550273</v>
      </c>
    </row>
    <row r="55" spans="1:35">
      <c r="A55" s="289"/>
      <c r="B55" s="62" t="s">
        <v>17</v>
      </c>
      <c r="C55" s="62" t="s">
        <v>818</v>
      </c>
      <c r="D55" t="s">
        <v>74</v>
      </c>
      <c r="E55" s="188">
        <f>H4</f>
        <v>3.4952630969674104E-3</v>
      </c>
      <c r="F55" s="188">
        <f t="shared" ref="F55:U55" si="85">-($E55-$AI55)/30+E55</f>
        <v>1.4158034465720972E-2</v>
      </c>
      <c r="G55" s="188">
        <f t="shared" si="85"/>
        <v>2.4820805834474532E-2</v>
      </c>
      <c r="H55" s="188">
        <f t="shared" si="85"/>
        <v>3.5483577203228096E-2</v>
      </c>
      <c r="I55" s="188">
        <f t="shared" si="85"/>
        <v>4.614634857198166E-2</v>
      </c>
      <c r="J55" s="188">
        <f t="shared" si="85"/>
        <v>5.6809119940735224E-2</v>
      </c>
      <c r="K55" s="188">
        <f t="shared" si="85"/>
        <v>6.7471891309488788E-2</v>
      </c>
      <c r="L55" s="188">
        <f t="shared" si="85"/>
        <v>7.8134662678242345E-2</v>
      </c>
      <c r="M55" s="188">
        <f t="shared" si="85"/>
        <v>8.8797434046995902E-2</v>
      </c>
      <c r="N55" s="188">
        <f t="shared" si="85"/>
        <v>9.9460205415749459E-2</v>
      </c>
      <c r="O55" s="188">
        <f t="shared" si="85"/>
        <v>0.11012297678450302</v>
      </c>
      <c r="P55" s="188">
        <f t="shared" si="85"/>
        <v>0.12078574815325657</v>
      </c>
      <c r="Q55" s="188">
        <f t="shared" si="85"/>
        <v>0.13144851952201014</v>
      </c>
      <c r="R55" s="188">
        <f t="shared" si="85"/>
        <v>0.14211129089076371</v>
      </c>
      <c r="S55" s="188">
        <f t="shared" si="85"/>
        <v>0.15277406225951728</v>
      </c>
      <c r="T55" s="188">
        <f t="shared" si="85"/>
        <v>0.16343683362827086</v>
      </c>
      <c r="U55" s="188">
        <f t="shared" si="85"/>
        <v>0.17409960499702443</v>
      </c>
      <c r="V55" s="188">
        <f t="shared" ref="V55" si="86">-($E55-$AI55)/30+U55</f>
        <v>0.184762376365778</v>
      </c>
      <c r="W55" s="188">
        <f t="shared" ref="W55" si="87">-($E55-$AI55)/30+V55</f>
        <v>0.19542514773453157</v>
      </c>
      <c r="X55" s="188">
        <f t="shared" ref="X55" si="88">-($E55-$AI55)/30+W55</f>
        <v>0.20608791910328514</v>
      </c>
      <c r="Y55" s="188">
        <f t="shared" ref="Y55" si="89">-($E55-$AI55)/30+X55</f>
        <v>0.21675069047203871</v>
      </c>
      <c r="Z55" s="188">
        <f t="shared" ref="Z55" si="90">-($E55-$AI55)/30+Y55</f>
        <v>0.22741346184079228</v>
      </c>
      <c r="AA55" s="188">
        <f t="shared" ref="AA55" si="91">-($E55-$AI55)/30+Z55</f>
        <v>0.23807623320954585</v>
      </c>
      <c r="AB55" s="188">
        <f t="shared" ref="AB55" si="92">-($E55-$AI55)/30+AA55</f>
        <v>0.24873900457829942</v>
      </c>
      <c r="AC55" s="188">
        <f t="shared" ref="AC55" si="93">-($E55-$AI55)/30+AB55</f>
        <v>0.25940177594705299</v>
      </c>
      <c r="AD55" s="188">
        <f t="shared" ref="AD55" si="94">-($E55-$AI55)/30+AC55</f>
        <v>0.27006454731580654</v>
      </c>
      <c r="AE55" s="188">
        <f t="shared" ref="AE55" si="95">-($E55-$AI55)/30+AD55</f>
        <v>0.28072731868456008</v>
      </c>
      <c r="AF55" s="188">
        <f t="shared" ref="AF55" si="96">-($E55-$AI55)/30+AE55</f>
        <v>0.29139009005331362</v>
      </c>
      <c r="AG55" s="188">
        <f t="shared" ref="AG55" si="97">-($E55-$AI55)/30+AF55</f>
        <v>0.30205286142206716</v>
      </c>
      <c r="AH55" s="188">
        <f t="shared" ref="AH55" si="98">-($E55-$AI55)/30+AG55</f>
        <v>0.31271563279082071</v>
      </c>
      <c r="AI55" s="188">
        <f>R4</f>
        <v>0.32337840415957425</v>
      </c>
    </row>
    <row r="56" spans="1:35">
      <c r="A56" s="289"/>
      <c r="B56" t="s">
        <v>17</v>
      </c>
      <c r="C56" t="s">
        <v>818</v>
      </c>
      <c r="D56" t="s">
        <v>160</v>
      </c>
      <c r="E56" s="157">
        <f>H5</f>
        <v>0</v>
      </c>
      <c r="F56" s="157">
        <f t="shared" si="42"/>
        <v>2.4172113191321168E-3</v>
      </c>
      <c r="G56" s="157">
        <f t="shared" si="42"/>
        <v>4.8344226382642337E-3</v>
      </c>
      <c r="H56" s="157">
        <f t="shared" si="42"/>
        <v>7.2516339573963501E-3</v>
      </c>
      <c r="I56" s="157">
        <f t="shared" si="42"/>
        <v>9.6688452765284674E-3</v>
      </c>
      <c r="J56" s="157">
        <f t="shared" si="42"/>
        <v>1.2086056595660585E-2</v>
      </c>
      <c r="K56" s="157">
        <f t="shared" si="42"/>
        <v>1.4503267914792702E-2</v>
      </c>
      <c r="L56" s="157">
        <f t="shared" si="42"/>
        <v>1.6920479233924819E-2</v>
      </c>
      <c r="M56" s="157">
        <f t="shared" si="42"/>
        <v>1.9337690553056935E-2</v>
      </c>
      <c r="N56" s="157">
        <f t="shared" si="42"/>
        <v>2.175490187218905E-2</v>
      </c>
      <c r="O56" s="157">
        <f t="shared" si="42"/>
        <v>2.4172113191321166E-2</v>
      </c>
      <c r="P56" s="157">
        <f t="shared" si="42"/>
        <v>2.6589324510453281E-2</v>
      </c>
      <c r="Q56" s="157">
        <f t="shared" si="42"/>
        <v>2.9006535829585397E-2</v>
      </c>
      <c r="R56" s="157">
        <f t="shared" si="42"/>
        <v>3.1423747148717512E-2</v>
      </c>
      <c r="S56" s="157">
        <f t="shared" si="42"/>
        <v>3.3840958467849631E-2</v>
      </c>
      <c r="T56" s="157">
        <f t="shared" si="42"/>
        <v>3.625816978698175E-2</v>
      </c>
      <c r="U56" s="157">
        <f t="shared" si="42"/>
        <v>3.8675381106113869E-2</v>
      </c>
      <c r="V56" s="157">
        <f t="shared" si="13"/>
        <v>4.1092592425245988E-2</v>
      </c>
      <c r="W56" s="157">
        <f t="shared" si="13"/>
        <v>4.3509803744378107E-2</v>
      </c>
      <c r="X56" s="157">
        <f t="shared" si="13"/>
        <v>4.5927015063510226E-2</v>
      </c>
      <c r="Y56" s="157">
        <f t="shared" si="13"/>
        <v>4.8344226382642345E-2</v>
      </c>
      <c r="Z56" s="157">
        <f t="shared" si="13"/>
        <v>5.0761437701774464E-2</v>
      </c>
      <c r="AA56" s="157">
        <f t="shared" si="13"/>
        <v>5.3178649020906583E-2</v>
      </c>
      <c r="AB56" s="157">
        <f t="shared" si="13"/>
        <v>5.5595860340038702E-2</v>
      </c>
      <c r="AC56" s="157">
        <f t="shared" si="13"/>
        <v>5.8013071659170821E-2</v>
      </c>
      <c r="AD56" s="157">
        <f t="shared" si="13"/>
        <v>6.043028297830294E-2</v>
      </c>
      <c r="AE56" s="157">
        <f t="shared" si="13"/>
        <v>6.2847494297435053E-2</v>
      </c>
      <c r="AF56" s="157">
        <f t="shared" si="13"/>
        <v>6.5264705616567165E-2</v>
      </c>
      <c r="AG56" s="157">
        <f t="shared" si="13"/>
        <v>6.7681916935699277E-2</v>
      </c>
      <c r="AH56" s="157">
        <f t="shared" si="13"/>
        <v>7.0099128254831389E-2</v>
      </c>
      <c r="AI56" s="157">
        <f>R5</f>
        <v>7.2516339573963501E-2</v>
      </c>
    </row>
    <row r="57" spans="1:35">
      <c r="A57" s="289"/>
      <c r="B57" t="s">
        <v>17</v>
      </c>
      <c r="C57" t="s">
        <v>818</v>
      </c>
      <c r="D57" t="s">
        <v>27</v>
      </c>
      <c r="E57" s="157">
        <f>H6</f>
        <v>0</v>
      </c>
      <c r="F57" s="157">
        <f t="shared" si="42"/>
        <v>2.1437217536532133E-4</v>
      </c>
      <c r="G57" s="157">
        <f t="shared" si="42"/>
        <v>4.2874435073064266E-4</v>
      </c>
      <c r="H57" s="157">
        <f t="shared" si="42"/>
        <v>6.4311652609596399E-4</v>
      </c>
      <c r="I57" s="157">
        <f t="shared" si="42"/>
        <v>8.5748870146128532E-4</v>
      </c>
      <c r="J57" s="157">
        <f t="shared" si="42"/>
        <v>1.0718608768266065E-3</v>
      </c>
      <c r="K57" s="157">
        <f t="shared" si="42"/>
        <v>1.2862330521919278E-3</v>
      </c>
      <c r="L57" s="157">
        <f t="shared" si="42"/>
        <v>1.500605227557249E-3</v>
      </c>
      <c r="M57" s="157">
        <f t="shared" si="42"/>
        <v>1.7149774029225702E-3</v>
      </c>
      <c r="N57" s="157">
        <f t="shared" si="42"/>
        <v>1.9293495782878914E-3</v>
      </c>
      <c r="O57" s="157">
        <f t="shared" si="42"/>
        <v>2.1437217536532127E-3</v>
      </c>
      <c r="P57" s="157">
        <f t="shared" si="42"/>
        <v>2.3580939290185339E-3</v>
      </c>
      <c r="Q57" s="157">
        <f t="shared" si="42"/>
        <v>2.5724661043838551E-3</v>
      </c>
      <c r="R57" s="157">
        <f t="shared" si="42"/>
        <v>2.7868382797491763E-3</v>
      </c>
      <c r="S57" s="157">
        <f t="shared" si="42"/>
        <v>3.0012104551144976E-3</v>
      </c>
      <c r="T57" s="157">
        <f t="shared" si="42"/>
        <v>3.2155826304798188E-3</v>
      </c>
      <c r="U57" s="157">
        <f t="shared" si="42"/>
        <v>3.42995480584514E-3</v>
      </c>
      <c r="V57" s="157">
        <f t="shared" si="13"/>
        <v>3.6443269812104612E-3</v>
      </c>
      <c r="W57" s="157">
        <f t="shared" si="13"/>
        <v>3.8586991565757824E-3</v>
      </c>
      <c r="X57" s="157">
        <f t="shared" si="13"/>
        <v>4.0730713319411041E-3</v>
      </c>
      <c r="Y57" s="157">
        <f t="shared" si="13"/>
        <v>4.2874435073064253E-3</v>
      </c>
      <c r="Z57" s="157">
        <f t="shared" si="13"/>
        <v>4.5018156826717465E-3</v>
      </c>
      <c r="AA57" s="157">
        <f t="shared" si="13"/>
        <v>4.7161878580370678E-3</v>
      </c>
      <c r="AB57" s="157">
        <f t="shared" si="13"/>
        <v>4.930560033402389E-3</v>
      </c>
      <c r="AC57" s="157">
        <f t="shared" si="13"/>
        <v>5.1449322087677102E-3</v>
      </c>
      <c r="AD57" s="157">
        <f t="shared" si="13"/>
        <v>5.3593043841330314E-3</v>
      </c>
      <c r="AE57" s="157">
        <f t="shared" si="13"/>
        <v>5.5736765594983527E-3</v>
      </c>
      <c r="AF57" s="157">
        <f t="shared" si="13"/>
        <v>5.7880487348636739E-3</v>
      </c>
      <c r="AG57" s="157">
        <f t="shared" si="13"/>
        <v>6.0024209102289951E-3</v>
      </c>
      <c r="AH57" s="157">
        <f t="shared" si="13"/>
        <v>6.2167930855943163E-3</v>
      </c>
      <c r="AI57" s="157">
        <f>R6</f>
        <v>6.4311652609596402E-3</v>
      </c>
    </row>
    <row r="58" spans="1:35" s="62" customFormat="1">
      <c r="A58" s="286"/>
      <c r="B58" s="62" t="s">
        <v>21</v>
      </c>
      <c r="C58" s="62" t="s">
        <v>815</v>
      </c>
      <c r="D58" s="62" t="s">
        <v>35</v>
      </c>
      <c r="E58" s="188">
        <f>D10</f>
        <v>0</v>
      </c>
      <c r="F58" s="188">
        <f t="shared" si="42"/>
        <v>0</v>
      </c>
      <c r="G58" s="188">
        <f t="shared" si="42"/>
        <v>0</v>
      </c>
      <c r="H58" s="188">
        <f t="shared" si="42"/>
        <v>0</v>
      </c>
      <c r="I58" s="188">
        <f t="shared" si="42"/>
        <v>0</v>
      </c>
      <c r="J58" s="188">
        <f t="shared" si="42"/>
        <v>0</v>
      </c>
      <c r="K58" s="188">
        <f t="shared" si="42"/>
        <v>0</v>
      </c>
      <c r="L58" s="188">
        <f t="shared" si="42"/>
        <v>0</v>
      </c>
      <c r="M58" s="188">
        <f t="shared" si="42"/>
        <v>0</v>
      </c>
      <c r="N58" s="188">
        <f t="shared" si="42"/>
        <v>0</v>
      </c>
      <c r="O58" s="188">
        <f t="shared" si="42"/>
        <v>0</v>
      </c>
      <c r="P58" s="188">
        <f t="shared" si="42"/>
        <v>0</v>
      </c>
      <c r="Q58" s="188">
        <f t="shared" si="42"/>
        <v>0</v>
      </c>
      <c r="R58" s="188">
        <f t="shared" si="42"/>
        <v>0</v>
      </c>
      <c r="S58" s="188">
        <f t="shared" si="42"/>
        <v>0</v>
      </c>
      <c r="T58" s="188">
        <f t="shared" si="42"/>
        <v>0</v>
      </c>
      <c r="U58" s="188">
        <f t="shared" si="42"/>
        <v>0</v>
      </c>
      <c r="V58" s="188">
        <f t="shared" si="13"/>
        <v>0</v>
      </c>
      <c r="W58" s="188">
        <f t="shared" si="13"/>
        <v>0</v>
      </c>
      <c r="X58" s="188">
        <f t="shared" si="13"/>
        <v>0</v>
      </c>
      <c r="Y58" s="188">
        <f t="shared" si="13"/>
        <v>0</v>
      </c>
      <c r="Z58" s="188">
        <f t="shared" si="13"/>
        <v>0</v>
      </c>
      <c r="AA58" s="188">
        <f t="shared" si="13"/>
        <v>0</v>
      </c>
      <c r="AB58" s="188">
        <f t="shared" si="13"/>
        <v>0</v>
      </c>
      <c r="AC58" s="188">
        <f t="shared" si="13"/>
        <v>0</v>
      </c>
      <c r="AD58" s="188">
        <f t="shared" si="13"/>
        <v>0</v>
      </c>
      <c r="AE58" s="188">
        <f t="shared" si="13"/>
        <v>0</v>
      </c>
      <c r="AF58" s="188">
        <f t="shared" si="13"/>
        <v>0</v>
      </c>
      <c r="AG58" s="188">
        <f t="shared" si="13"/>
        <v>0</v>
      </c>
      <c r="AH58" s="188">
        <f t="shared" si="13"/>
        <v>0</v>
      </c>
      <c r="AI58" s="188">
        <f>N10</f>
        <v>0</v>
      </c>
    </row>
    <row r="59" spans="1:35">
      <c r="A59" s="289"/>
      <c r="B59" s="62" t="s">
        <v>21</v>
      </c>
      <c r="C59" s="62" t="s">
        <v>815</v>
      </c>
      <c r="D59" t="s">
        <v>74</v>
      </c>
      <c r="E59" s="188">
        <f>D11</f>
        <v>0.59541984732824427</v>
      </c>
      <c r="F59" s="188">
        <f t="shared" ref="F59:U59" si="99">-($E59-$AI59)/30+E59</f>
        <v>0.57557251908396945</v>
      </c>
      <c r="G59" s="188">
        <f t="shared" si="99"/>
        <v>0.55572519083969463</v>
      </c>
      <c r="H59" s="188">
        <f t="shared" si="99"/>
        <v>0.53587786259541981</v>
      </c>
      <c r="I59" s="188">
        <f t="shared" si="99"/>
        <v>0.51603053435114499</v>
      </c>
      <c r="J59" s="188">
        <f t="shared" si="99"/>
        <v>0.49618320610687017</v>
      </c>
      <c r="K59" s="188">
        <f t="shared" si="99"/>
        <v>0.47633587786259535</v>
      </c>
      <c r="L59" s="188">
        <f t="shared" si="99"/>
        <v>0.45648854961832053</v>
      </c>
      <c r="M59" s="188">
        <f t="shared" si="99"/>
        <v>0.43664122137404571</v>
      </c>
      <c r="N59" s="188">
        <f t="shared" si="99"/>
        <v>0.41679389312977089</v>
      </c>
      <c r="O59" s="188">
        <f t="shared" si="99"/>
        <v>0.39694656488549607</v>
      </c>
      <c r="P59" s="188">
        <f t="shared" si="99"/>
        <v>0.37709923664122125</v>
      </c>
      <c r="Q59" s="188">
        <f t="shared" si="99"/>
        <v>0.35725190839694643</v>
      </c>
      <c r="R59" s="188">
        <f t="shared" si="99"/>
        <v>0.33740458015267161</v>
      </c>
      <c r="S59" s="188">
        <f t="shared" si="99"/>
        <v>0.31755725190839679</v>
      </c>
      <c r="T59" s="188">
        <f t="shared" si="99"/>
        <v>0.29770992366412197</v>
      </c>
      <c r="U59" s="188">
        <f t="shared" si="99"/>
        <v>0.27786259541984715</v>
      </c>
      <c r="V59" s="188">
        <f t="shared" ref="V59" si="100">-($E59-$AI59)/30+U59</f>
        <v>0.25801526717557233</v>
      </c>
      <c r="W59" s="188">
        <f t="shared" ref="W59" si="101">-($E59-$AI59)/30+V59</f>
        <v>0.23816793893129751</v>
      </c>
      <c r="X59" s="188">
        <f t="shared" ref="X59" si="102">-($E59-$AI59)/30+W59</f>
        <v>0.21832061068702269</v>
      </c>
      <c r="Y59" s="188">
        <f t="shared" ref="Y59" si="103">-($E59-$AI59)/30+X59</f>
        <v>0.19847328244274787</v>
      </c>
      <c r="Z59" s="188">
        <f t="shared" ref="Z59" si="104">-($E59-$AI59)/30+Y59</f>
        <v>0.17862595419847305</v>
      </c>
      <c r="AA59" s="188">
        <f t="shared" ref="AA59" si="105">-($E59-$AI59)/30+Z59</f>
        <v>0.15877862595419823</v>
      </c>
      <c r="AB59" s="188">
        <f t="shared" ref="AB59" si="106">-($E59-$AI59)/30+AA59</f>
        <v>0.13893129770992341</v>
      </c>
      <c r="AC59" s="188">
        <f t="shared" ref="AC59" si="107">-($E59-$AI59)/30+AB59</f>
        <v>0.1190839694656486</v>
      </c>
      <c r="AD59" s="188">
        <f t="shared" ref="AD59" si="108">-($E59-$AI59)/30+AC59</f>
        <v>9.9236641221373795E-2</v>
      </c>
      <c r="AE59" s="188">
        <f t="shared" ref="AE59" si="109">-($E59-$AI59)/30+AD59</f>
        <v>7.9389312977098989E-2</v>
      </c>
      <c r="AF59" s="188">
        <f t="shared" ref="AF59" si="110">-($E59-$AI59)/30+AE59</f>
        <v>5.9541984732824182E-2</v>
      </c>
      <c r="AG59" s="188">
        <f t="shared" ref="AG59" si="111">-($E59-$AI59)/30+AF59</f>
        <v>3.9694656488549376E-2</v>
      </c>
      <c r="AH59" s="188">
        <f t="shared" ref="AH59" si="112">-($E59-$AI59)/30+AG59</f>
        <v>1.9847328244274567E-2</v>
      </c>
      <c r="AI59" s="188">
        <f>N11</f>
        <v>0</v>
      </c>
    </row>
    <row r="60" spans="1:35">
      <c r="A60" s="289"/>
      <c r="B60" t="s">
        <v>21</v>
      </c>
      <c r="D60" t="s">
        <v>160</v>
      </c>
      <c r="E60" s="157">
        <f>D12</f>
        <v>0</v>
      </c>
      <c r="F60" s="157">
        <f t="shared" si="42"/>
        <v>1.6872996897725288E-2</v>
      </c>
      <c r="G60" s="157">
        <f t="shared" si="42"/>
        <v>3.3745993795450575E-2</v>
      </c>
      <c r="H60" s="157">
        <f t="shared" si="42"/>
        <v>5.0618990693175867E-2</v>
      </c>
      <c r="I60" s="157">
        <f t="shared" si="42"/>
        <v>6.7491987590901151E-2</v>
      </c>
      <c r="J60" s="157">
        <f t="shared" si="42"/>
        <v>8.4364984488626435E-2</v>
      </c>
      <c r="K60" s="157">
        <f t="shared" si="42"/>
        <v>0.10123798138635172</v>
      </c>
      <c r="L60" s="157">
        <f t="shared" si="42"/>
        <v>0.118110978284077</v>
      </c>
      <c r="M60" s="157">
        <f t="shared" si="42"/>
        <v>0.1349839751818023</v>
      </c>
      <c r="N60" s="157">
        <f t="shared" si="42"/>
        <v>0.15185697207952759</v>
      </c>
      <c r="O60" s="157">
        <f t="shared" si="42"/>
        <v>0.16872996897725287</v>
      </c>
      <c r="P60" s="157">
        <f t="shared" si="42"/>
        <v>0.18560296587497815</v>
      </c>
      <c r="Q60" s="157">
        <f t="shared" si="42"/>
        <v>0.20247596277270344</v>
      </c>
      <c r="R60" s="157">
        <f t="shared" si="42"/>
        <v>0.21934895967042872</v>
      </c>
      <c r="S60" s="157">
        <f t="shared" si="42"/>
        <v>0.23622195656815401</v>
      </c>
      <c r="T60" s="157">
        <f t="shared" si="42"/>
        <v>0.25309495346587929</v>
      </c>
      <c r="U60" s="157">
        <f t="shared" ref="U60:AH80" si="113">-($E60-$AI60)/30+T60</f>
        <v>0.2699679503636046</v>
      </c>
      <c r="V60" s="157">
        <f t="shared" si="113"/>
        <v>0.28684094726132991</v>
      </c>
      <c r="W60" s="157">
        <f t="shared" si="113"/>
        <v>0.30371394415905523</v>
      </c>
      <c r="X60" s="157">
        <f t="shared" si="113"/>
        <v>0.32058694105678054</v>
      </c>
      <c r="Y60" s="157">
        <f t="shared" si="113"/>
        <v>0.33745993795450585</v>
      </c>
      <c r="Z60" s="157">
        <f t="shared" si="113"/>
        <v>0.35433293485223116</v>
      </c>
      <c r="AA60" s="157">
        <f t="shared" si="113"/>
        <v>0.37120593174995647</v>
      </c>
      <c r="AB60" s="157">
        <f t="shared" si="113"/>
        <v>0.38807892864768179</v>
      </c>
      <c r="AC60" s="157">
        <f t="shared" si="113"/>
        <v>0.4049519255454071</v>
      </c>
      <c r="AD60" s="157">
        <f t="shared" si="113"/>
        <v>0.42182492244313241</v>
      </c>
      <c r="AE60" s="157">
        <f t="shared" si="113"/>
        <v>0.43869791934085772</v>
      </c>
      <c r="AF60" s="157">
        <f t="shared" si="113"/>
        <v>0.45557091623858303</v>
      </c>
      <c r="AG60" s="157">
        <f t="shared" si="113"/>
        <v>0.47244391313630835</v>
      </c>
      <c r="AH60" s="157">
        <f t="shared" si="113"/>
        <v>0.48931691003403366</v>
      </c>
      <c r="AI60" s="157">
        <f>N12</f>
        <v>0.50618990693175858</v>
      </c>
    </row>
    <row r="61" spans="1:35" s="63" customFormat="1">
      <c r="A61" s="290"/>
      <c r="B61" s="63" t="s">
        <v>21</v>
      </c>
      <c r="D61" s="63" t="s">
        <v>27</v>
      </c>
      <c r="E61" s="396">
        <f>D13</f>
        <v>0.40458015267175573</v>
      </c>
      <c r="F61" s="396">
        <f t="shared" ref="F61:U81" si="114">-($E61-$AI61)/30+E61</f>
        <v>0.40755448401830524</v>
      </c>
      <c r="G61" s="396">
        <f t="shared" si="114"/>
        <v>0.41052881536485475</v>
      </c>
      <c r="H61" s="396">
        <f t="shared" si="114"/>
        <v>0.41350314671140426</v>
      </c>
      <c r="I61" s="396">
        <f t="shared" si="114"/>
        <v>0.41647747805795376</v>
      </c>
      <c r="J61" s="396">
        <f t="shared" si="114"/>
        <v>0.41945180940450327</v>
      </c>
      <c r="K61" s="396">
        <f t="shared" si="114"/>
        <v>0.42242614075105278</v>
      </c>
      <c r="L61" s="396">
        <f t="shared" si="114"/>
        <v>0.42540047209760229</v>
      </c>
      <c r="M61" s="396">
        <f t="shared" si="114"/>
        <v>0.4283748034441518</v>
      </c>
      <c r="N61" s="396">
        <f t="shared" si="114"/>
        <v>0.43134913479070131</v>
      </c>
      <c r="O61" s="396">
        <f t="shared" si="114"/>
        <v>0.43432346613725081</v>
      </c>
      <c r="P61" s="396">
        <f t="shared" si="114"/>
        <v>0.43729779748380032</v>
      </c>
      <c r="Q61" s="396">
        <f t="shared" si="114"/>
        <v>0.44027212883034983</v>
      </c>
      <c r="R61" s="396">
        <f t="shared" si="114"/>
        <v>0.44324646017689934</v>
      </c>
      <c r="S61" s="396">
        <f t="shared" si="114"/>
        <v>0.44622079152344885</v>
      </c>
      <c r="T61" s="396">
        <f t="shared" si="114"/>
        <v>0.44919512286999835</v>
      </c>
      <c r="U61" s="396">
        <f t="shared" si="114"/>
        <v>0.45216945421654786</v>
      </c>
      <c r="V61" s="396">
        <f t="shared" si="113"/>
        <v>0.45514378556309737</v>
      </c>
      <c r="W61" s="396">
        <f t="shared" si="113"/>
        <v>0.45811811690964688</v>
      </c>
      <c r="X61" s="396">
        <f t="shared" si="113"/>
        <v>0.46109244825619639</v>
      </c>
      <c r="Y61" s="396">
        <f t="shared" si="113"/>
        <v>0.46406677960274589</v>
      </c>
      <c r="Z61" s="396">
        <f t="shared" si="113"/>
        <v>0.4670411109492954</v>
      </c>
      <c r="AA61" s="396">
        <f t="shared" si="113"/>
        <v>0.47001544229584491</v>
      </c>
      <c r="AB61" s="396">
        <f t="shared" si="113"/>
        <v>0.47298977364239442</v>
      </c>
      <c r="AC61" s="396">
        <f t="shared" si="113"/>
        <v>0.47596410498894393</v>
      </c>
      <c r="AD61" s="396">
        <f t="shared" si="113"/>
        <v>0.47893843633549343</v>
      </c>
      <c r="AE61" s="396">
        <f t="shared" si="113"/>
        <v>0.48191276768204294</v>
      </c>
      <c r="AF61" s="396">
        <f t="shared" si="113"/>
        <v>0.48488709902859245</v>
      </c>
      <c r="AG61" s="396">
        <f t="shared" si="113"/>
        <v>0.48786143037514196</v>
      </c>
      <c r="AH61" s="396">
        <f t="shared" si="113"/>
        <v>0.49083576172169147</v>
      </c>
      <c r="AI61" s="396">
        <f>N13</f>
        <v>0.49381009306824131</v>
      </c>
    </row>
    <row r="62" spans="1:35">
      <c r="A62" s="289"/>
      <c r="B62" t="s">
        <v>21</v>
      </c>
      <c r="C62" t="s">
        <v>823</v>
      </c>
      <c r="D62" t="s">
        <v>35</v>
      </c>
      <c r="E62" s="157">
        <f>E10</f>
        <v>0</v>
      </c>
      <c r="F62" s="157">
        <f t="shared" si="114"/>
        <v>0</v>
      </c>
      <c r="G62" s="157">
        <f t="shared" si="114"/>
        <v>0</v>
      </c>
      <c r="H62" s="157">
        <f t="shared" si="114"/>
        <v>0</v>
      </c>
      <c r="I62" s="157">
        <f t="shared" si="114"/>
        <v>0</v>
      </c>
      <c r="J62" s="157">
        <f t="shared" si="114"/>
        <v>0</v>
      </c>
      <c r="K62" s="157">
        <f t="shared" si="114"/>
        <v>0</v>
      </c>
      <c r="L62" s="157">
        <f t="shared" si="114"/>
        <v>0</v>
      </c>
      <c r="M62" s="157">
        <f t="shared" si="114"/>
        <v>0</v>
      </c>
      <c r="N62" s="157">
        <f t="shared" si="114"/>
        <v>0</v>
      </c>
      <c r="O62" s="157">
        <f t="shared" si="114"/>
        <v>0</v>
      </c>
      <c r="P62" s="157">
        <f t="shared" si="114"/>
        <v>0</v>
      </c>
      <c r="Q62" s="157">
        <f t="shared" si="114"/>
        <v>0</v>
      </c>
      <c r="R62" s="157">
        <f t="shared" si="114"/>
        <v>0</v>
      </c>
      <c r="S62" s="157">
        <f t="shared" si="114"/>
        <v>0</v>
      </c>
      <c r="T62" s="157">
        <f t="shared" si="114"/>
        <v>0</v>
      </c>
      <c r="U62" s="157">
        <f t="shared" si="114"/>
        <v>0</v>
      </c>
      <c r="V62" s="157">
        <f t="shared" si="113"/>
        <v>0</v>
      </c>
      <c r="W62" s="157">
        <f t="shared" si="113"/>
        <v>0</v>
      </c>
      <c r="X62" s="157">
        <f t="shared" si="113"/>
        <v>0</v>
      </c>
      <c r="Y62" s="157">
        <f t="shared" si="113"/>
        <v>0</v>
      </c>
      <c r="Z62" s="157">
        <f t="shared" si="113"/>
        <v>0</v>
      </c>
      <c r="AA62" s="157">
        <f t="shared" si="113"/>
        <v>0</v>
      </c>
      <c r="AB62" s="157">
        <f t="shared" si="113"/>
        <v>0</v>
      </c>
      <c r="AC62" s="157">
        <f t="shared" si="113"/>
        <v>0</v>
      </c>
      <c r="AD62" s="157">
        <f t="shared" si="113"/>
        <v>0</v>
      </c>
      <c r="AE62" s="157">
        <f t="shared" si="113"/>
        <v>0</v>
      </c>
      <c r="AF62" s="157">
        <f t="shared" si="113"/>
        <v>0</v>
      </c>
      <c r="AG62" s="157">
        <f t="shared" si="113"/>
        <v>0</v>
      </c>
      <c r="AH62" s="157">
        <f t="shared" si="113"/>
        <v>0</v>
      </c>
      <c r="AI62" s="157">
        <f>O10</f>
        <v>0</v>
      </c>
    </row>
    <row r="63" spans="1:35">
      <c r="A63" s="289"/>
      <c r="B63" t="s">
        <v>21</v>
      </c>
      <c r="C63" t="s">
        <v>823</v>
      </c>
      <c r="D63" t="s">
        <v>74</v>
      </c>
      <c r="E63" s="157">
        <f>E11</f>
        <v>0.59541984732824427</v>
      </c>
      <c r="F63" s="157">
        <f t="shared" ref="F63:U63" si="115">-($E63-$AI63)/30+E63</f>
        <v>0.57557251908396945</v>
      </c>
      <c r="G63" s="157">
        <f t="shared" si="115"/>
        <v>0.55572519083969463</v>
      </c>
      <c r="H63" s="157">
        <f t="shared" si="115"/>
        <v>0.53587786259541981</v>
      </c>
      <c r="I63" s="157">
        <f t="shared" si="115"/>
        <v>0.51603053435114499</v>
      </c>
      <c r="J63" s="157">
        <f t="shared" si="115"/>
        <v>0.49618320610687017</v>
      </c>
      <c r="K63" s="157">
        <f t="shared" si="115"/>
        <v>0.47633587786259535</v>
      </c>
      <c r="L63" s="157">
        <f t="shared" si="115"/>
        <v>0.45648854961832053</v>
      </c>
      <c r="M63" s="157">
        <f t="shared" si="115"/>
        <v>0.43664122137404571</v>
      </c>
      <c r="N63" s="157">
        <f t="shared" si="115"/>
        <v>0.41679389312977089</v>
      </c>
      <c r="O63" s="157">
        <f t="shared" si="115"/>
        <v>0.39694656488549607</v>
      </c>
      <c r="P63" s="157">
        <f t="shared" si="115"/>
        <v>0.37709923664122125</v>
      </c>
      <c r="Q63" s="157">
        <f t="shared" si="115"/>
        <v>0.35725190839694643</v>
      </c>
      <c r="R63" s="157">
        <f t="shared" si="115"/>
        <v>0.33740458015267161</v>
      </c>
      <c r="S63" s="157">
        <f t="shared" si="115"/>
        <v>0.31755725190839679</v>
      </c>
      <c r="T63" s="157">
        <f t="shared" si="115"/>
        <v>0.29770992366412197</v>
      </c>
      <c r="U63" s="157">
        <f t="shared" si="115"/>
        <v>0.27786259541984715</v>
      </c>
      <c r="V63" s="157">
        <f t="shared" ref="V63" si="116">-($E63-$AI63)/30+U63</f>
        <v>0.25801526717557233</v>
      </c>
      <c r="W63" s="157">
        <f t="shared" ref="W63" si="117">-($E63-$AI63)/30+V63</f>
        <v>0.23816793893129751</v>
      </c>
      <c r="X63" s="157">
        <f t="shared" ref="X63" si="118">-($E63-$AI63)/30+W63</f>
        <v>0.21832061068702269</v>
      </c>
      <c r="Y63" s="157">
        <f t="shared" ref="Y63" si="119">-($E63-$AI63)/30+X63</f>
        <v>0.19847328244274787</v>
      </c>
      <c r="Z63" s="157">
        <f t="shared" ref="Z63" si="120">-($E63-$AI63)/30+Y63</f>
        <v>0.17862595419847305</v>
      </c>
      <c r="AA63" s="157">
        <f t="shared" ref="AA63" si="121">-($E63-$AI63)/30+Z63</f>
        <v>0.15877862595419823</v>
      </c>
      <c r="AB63" s="157">
        <f t="shared" ref="AB63" si="122">-($E63-$AI63)/30+AA63</f>
        <v>0.13893129770992341</v>
      </c>
      <c r="AC63" s="157">
        <f t="shared" ref="AC63" si="123">-($E63-$AI63)/30+AB63</f>
        <v>0.1190839694656486</v>
      </c>
      <c r="AD63" s="157">
        <f t="shared" ref="AD63" si="124">-($E63-$AI63)/30+AC63</f>
        <v>9.9236641221373795E-2</v>
      </c>
      <c r="AE63" s="157">
        <f t="shared" ref="AE63" si="125">-($E63-$AI63)/30+AD63</f>
        <v>7.9389312977098989E-2</v>
      </c>
      <c r="AF63" s="157">
        <f t="shared" ref="AF63" si="126">-($E63-$AI63)/30+AE63</f>
        <v>5.9541984732824182E-2</v>
      </c>
      <c r="AG63" s="157">
        <f t="shared" ref="AG63" si="127">-($E63-$AI63)/30+AF63</f>
        <v>3.9694656488549376E-2</v>
      </c>
      <c r="AH63" s="157">
        <f t="shared" ref="AH63" si="128">-($E63-$AI63)/30+AG63</f>
        <v>1.9847328244274567E-2</v>
      </c>
      <c r="AI63" s="157">
        <f>O11</f>
        <v>0</v>
      </c>
    </row>
    <row r="64" spans="1:35">
      <c r="A64" s="289"/>
      <c r="B64" t="s">
        <v>21</v>
      </c>
      <c r="D64" t="s">
        <v>160</v>
      </c>
      <c r="E64" s="157">
        <f>E12</f>
        <v>0</v>
      </c>
      <c r="F64" s="157">
        <f t="shared" si="114"/>
        <v>1.6872996897725288E-2</v>
      </c>
      <c r="G64" s="157">
        <f t="shared" si="114"/>
        <v>3.3745993795450575E-2</v>
      </c>
      <c r="H64" s="157">
        <f t="shared" si="114"/>
        <v>5.0618990693175867E-2</v>
      </c>
      <c r="I64" s="157">
        <f t="shared" si="114"/>
        <v>6.7491987590901151E-2</v>
      </c>
      <c r="J64" s="157">
        <f t="shared" si="114"/>
        <v>8.4364984488626435E-2</v>
      </c>
      <c r="K64" s="157">
        <f t="shared" si="114"/>
        <v>0.10123798138635172</v>
      </c>
      <c r="L64" s="157">
        <f t="shared" si="114"/>
        <v>0.118110978284077</v>
      </c>
      <c r="M64" s="157">
        <f t="shared" si="114"/>
        <v>0.1349839751818023</v>
      </c>
      <c r="N64" s="157">
        <f t="shared" si="114"/>
        <v>0.15185697207952759</v>
      </c>
      <c r="O64" s="157">
        <f t="shared" si="114"/>
        <v>0.16872996897725287</v>
      </c>
      <c r="P64" s="157">
        <f t="shared" si="114"/>
        <v>0.18560296587497815</v>
      </c>
      <c r="Q64" s="157">
        <f t="shared" si="114"/>
        <v>0.20247596277270344</v>
      </c>
      <c r="R64" s="157">
        <f t="shared" si="114"/>
        <v>0.21934895967042872</v>
      </c>
      <c r="S64" s="157">
        <f t="shared" si="114"/>
        <v>0.23622195656815401</v>
      </c>
      <c r="T64" s="157">
        <f t="shared" si="114"/>
        <v>0.25309495346587929</v>
      </c>
      <c r="U64" s="157">
        <f t="shared" si="114"/>
        <v>0.2699679503636046</v>
      </c>
      <c r="V64" s="157">
        <f t="shared" si="113"/>
        <v>0.28684094726132991</v>
      </c>
      <c r="W64" s="157">
        <f t="shared" si="113"/>
        <v>0.30371394415905523</v>
      </c>
      <c r="X64" s="157">
        <f t="shared" si="113"/>
        <v>0.32058694105678054</v>
      </c>
      <c r="Y64" s="157">
        <f t="shared" si="113"/>
        <v>0.33745993795450585</v>
      </c>
      <c r="Z64" s="157">
        <f t="shared" si="113"/>
        <v>0.35433293485223116</v>
      </c>
      <c r="AA64" s="157">
        <f t="shared" si="113"/>
        <v>0.37120593174995647</v>
      </c>
      <c r="AB64" s="157">
        <f t="shared" si="113"/>
        <v>0.38807892864768179</v>
      </c>
      <c r="AC64" s="157">
        <f t="shared" si="113"/>
        <v>0.4049519255454071</v>
      </c>
      <c r="AD64" s="157">
        <f t="shared" si="113"/>
        <v>0.42182492244313241</v>
      </c>
      <c r="AE64" s="157">
        <f t="shared" si="113"/>
        <v>0.43869791934085772</v>
      </c>
      <c r="AF64" s="157">
        <f t="shared" si="113"/>
        <v>0.45557091623858303</v>
      </c>
      <c r="AG64" s="157">
        <f t="shared" si="113"/>
        <v>0.47244391313630835</v>
      </c>
      <c r="AH64" s="157">
        <f t="shared" si="113"/>
        <v>0.48931691003403366</v>
      </c>
      <c r="AI64" s="157">
        <f>O12</f>
        <v>0.50618990693175858</v>
      </c>
    </row>
    <row r="65" spans="1:35">
      <c r="A65" s="289"/>
      <c r="B65" t="s">
        <v>21</v>
      </c>
      <c r="D65" t="s">
        <v>27</v>
      </c>
      <c r="E65" s="157">
        <f>E13</f>
        <v>0.40458015267175573</v>
      </c>
      <c r="F65" s="157">
        <f t="shared" si="114"/>
        <v>0.40755448401830524</v>
      </c>
      <c r="G65" s="157">
        <f t="shared" si="114"/>
        <v>0.41052881536485475</v>
      </c>
      <c r="H65" s="157">
        <f t="shared" si="114"/>
        <v>0.41350314671140426</v>
      </c>
      <c r="I65" s="157">
        <f t="shared" si="114"/>
        <v>0.41647747805795376</v>
      </c>
      <c r="J65" s="157">
        <f t="shared" si="114"/>
        <v>0.41945180940450327</v>
      </c>
      <c r="K65" s="157">
        <f t="shared" si="114"/>
        <v>0.42242614075105278</v>
      </c>
      <c r="L65" s="157">
        <f t="shared" si="114"/>
        <v>0.42540047209760229</v>
      </c>
      <c r="M65" s="157">
        <f t="shared" si="114"/>
        <v>0.4283748034441518</v>
      </c>
      <c r="N65" s="157">
        <f t="shared" si="114"/>
        <v>0.43134913479070131</v>
      </c>
      <c r="O65" s="157">
        <f t="shared" si="114"/>
        <v>0.43432346613725081</v>
      </c>
      <c r="P65" s="157">
        <f t="shared" si="114"/>
        <v>0.43729779748380032</v>
      </c>
      <c r="Q65" s="157">
        <f t="shared" si="114"/>
        <v>0.44027212883034983</v>
      </c>
      <c r="R65" s="157">
        <f t="shared" si="114"/>
        <v>0.44324646017689934</v>
      </c>
      <c r="S65" s="157">
        <f t="shared" si="114"/>
        <v>0.44622079152344885</v>
      </c>
      <c r="T65" s="157">
        <f t="shared" si="114"/>
        <v>0.44919512286999835</v>
      </c>
      <c r="U65" s="157">
        <f t="shared" si="114"/>
        <v>0.45216945421654786</v>
      </c>
      <c r="V65" s="157">
        <f t="shared" si="113"/>
        <v>0.45514378556309737</v>
      </c>
      <c r="W65" s="157">
        <f t="shared" si="113"/>
        <v>0.45811811690964688</v>
      </c>
      <c r="X65" s="157">
        <f t="shared" si="113"/>
        <v>0.46109244825619639</v>
      </c>
      <c r="Y65" s="157">
        <f t="shared" si="113"/>
        <v>0.46406677960274589</v>
      </c>
      <c r="Z65" s="157">
        <f t="shared" si="113"/>
        <v>0.4670411109492954</v>
      </c>
      <c r="AA65" s="157">
        <f t="shared" si="113"/>
        <v>0.47001544229584491</v>
      </c>
      <c r="AB65" s="157">
        <f t="shared" si="113"/>
        <v>0.47298977364239442</v>
      </c>
      <c r="AC65" s="157">
        <f t="shared" si="113"/>
        <v>0.47596410498894393</v>
      </c>
      <c r="AD65" s="157">
        <f t="shared" si="113"/>
        <v>0.47893843633549343</v>
      </c>
      <c r="AE65" s="157">
        <f t="shared" si="113"/>
        <v>0.48191276768204294</v>
      </c>
      <c r="AF65" s="157">
        <f t="shared" si="113"/>
        <v>0.48488709902859245</v>
      </c>
      <c r="AG65" s="157">
        <f t="shared" si="113"/>
        <v>0.48786143037514196</v>
      </c>
      <c r="AH65" s="157">
        <f t="shared" si="113"/>
        <v>0.49083576172169147</v>
      </c>
      <c r="AI65" s="157">
        <f>O13</f>
        <v>0.49381009306824131</v>
      </c>
    </row>
    <row r="66" spans="1:35" s="62" customFormat="1">
      <c r="A66" s="286"/>
      <c r="B66" s="62" t="s">
        <v>21</v>
      </c>
      <c r="C66" s="62" t="s">
        <v>824</v>
      </c>
      <c r="D66" t="s">
        <v>35</v>
      </c>
      <c r="E66" s="188">
        <f>F10</f>
        <v>0</v>
      </c>
      <c r="F66" s="188">
        <f t="shared" si="114"/>
        <v>0</v>
      </c>
      <c r="G66" s="188">
        <f t="shared" si="114"/>
        <v>0</v>
      </c>
      <c r="H66" s="188">
        <f t="shared" si="114"/>
        <v>0</v>
      </c>
      <c r="I66" s="188">
        <f t="shared" si="114"/>
        <v>0</v>
      </c>
      <c r="J66" s="188">
        <f t="shared" si="114"/>
        <v>0</v>
      </c>
      <c r="K66" s="188">
        <f t="shared" si="114"/>
        <v>0</v>
      </c>
      <c r="L66" s="188">
        <f t="shared" si="114"/>
        <v>0</v>
      </c>
      <c r="M66" s="188">
        <f t="shared" si="114"/>
        <v>0</v>
      </c>
      <c r="N66" s="188">
        <f t="shared" si="114"/>
        <v>0</v>
      </c>
      <c r="O66" s="188">
        <f t="shared" si="114"/>
        <v>0</v>
      </c>
      <c r="P66" s="188">
        <f t="shared" si="114"/>
        <v>0</v>
      </c>
      <c r="Q66" s="188">
        <f t="shared" si="114"/>
        <v>0</v>
      </c>
      <c r="R66" s="188">
        <f t="shared" si="114"/>
        <v>0</v>
      </c>
      <c r="S66" s="188">
        <f t="shared" si="114"/>
        <v>0</v>
      </c>
      <c r="T66" s="188">
        <f t="shared" si="114"/>
        <v>0</v>
      </c>
      <c r="U66" s="188">
        <f t="shared" si="114"/>
        <v>0</v>
      </c>
      <c r="V66" s="188">
        <f t="shared" si="113"/>
        <v>0</v>
      </c>
      <c r="W66" s="188">
        <f t="shared" si="113"/>
        <v>0</v>
      </c>
      <c r="X66" s="188">
        <f t="shared" si="113"/>
        <v>0</v>
      </c>
      <c r="Y66" s="188">
        <f t="shared" si="113"/>
        <v>0</v>
      </c>
      <c r="Z66" s="188">
        <f t="shared" si="113"/>
        <v>0</v>
      </c>
      <c r="AA66" s="188">
        <f t="shared" si="113"/>
        <v>0</v>
      </c>
      <c r="AB66" s="188">
        <f t="shared" si="113"/>
        <v>0</v>
      </c>
      <c r="AC66" s="188">
        <f t="shared" si="113"/>
        <v>0</v>
      </c>
      <c r="AD66" s="188">
        <f t="shared" si="113"/>
        <v>0</v>
      </c>
      <c r="AE66" s="188">
        <f t="shared" si="113"/>
        <v>0</v>
      </c>
      <c r="AF66" s="188">
        <f t="shared" si="113"/>
        <v>0</v>
      </c>
      <c r="AG66" s="188">
        <f t="shared" si="113"/>
        <v>0</v>
      </c>
      <c r="AH66" s="188">
        <f t="shared" si="113"/>
        <v>0</v>
      </c>
      <c r="AI66" s="188">
        <f>P10</f>
        <v>0</v>
      </c>
    </row>
    <row r="67" spans="1:35">
      <c r="A67" s="289"/>
      <c r="B67" s="62" t="s">
        <v>21</v>
      </c>
      <c r="C67" s="62" t="s">
        <v>824</v>
      </c>
      <c r="D67" t="s">
        <v>74</v>
      </c>
      <c r="E67" s="188">
        <f>F11</f>
        <v>0.59541984732824427</v>
      </c>
      <c r="F67" s="188">
        <f t="shared" ref="F67:U67" si="129">-($E67-$AI67)/30+E67</f>
        <v>0.57557251908396945</v>
      </c>
      <c r="G67" s="188">
        <f t="shared" si="129"/>
        <v>0.55572519083969463</v>
      </c>
      <c r="H67" s="188">
        <f t="shared" si="129"/>
        <v>0.53587786259541981</v>
      </c>
      <c r="I67" s="188">
        <f t="shared" si="129"/>
        <v>0.51603053435114499</v>
      </c>
      <c r="J67" s="188">
        <f t="shared" si="129"/>
        <v>0.49618320610687017</v>
      </c>
      <c r="K67" s="188">
        <f t="shared" si="129"/>
        <v>0.47633587786259535</v>
      </c>
      <c r="L67" s="188">
        <f t="shared" si="129"/>
        <v>0.45648854961832053</v>
      </c>
      <c r="M67" s="188">
        <f t="shared" si="129"/>
        <v>0.43664122137404571</v>
      </c>
      <c r="N67" s="188">
        <f t="shared" si="129"/>
        <v>0.41679389312977089</v>
      </c>
      <c r="O67" s="188">
        <f t="shared" si="129"/>
        <v>0.39694656488549607</v>
      </c>
      <c r="P67" s="188">
        <f t="shared" si="129"/>
        <v>0.37709923664122125</v>
      </c>
      <c r="Q67" s="188">
        <f t="shared" si="129"/>
        <v>0.35725190839694643</v>
      </c>
      <c r="R67" s="188">
        <f t="shared" si="129"/>
        <v>0.33740458015267161</v>
      </c>
      <c r="S67" s="188">
        <f t="shared" si="129"/>
        <v>0.31755725190839679</v>
      </c>
      <c r="T67" s="188">
        <f t="shared" si="129"/>
        <v>0.29770992366412197</v>
      </c>
      <c r="U67" s="188">
        <f t="shared" si="129"/>
        <v>0.27786259541984715</v>
      </c>
      <c r="V67" s="188">
        <f t="shared" ref="V67" si="130">-($E67-$AI67)/30+U67</f>
        <v>0.25801526717557233</v>
      </c>
      <c r="W67" s="188">
        <f t="shared" ref="W67" si="131">-($E67-$AI67)/30+V67</f>
        <v>0.23816793893129751</v>
      </c>
      <c r="X67" s="188">
        <f t="shared" ref="X67" si="132">-($E67-$AI67)/30+W67</f>
        <v>0.21832061068702269</v>
      </c>
      <c r="Y67" s="188">
        <f t="shared" ref="Y67" si="133">-($E67-$AI67)/30+X67</f>
        <v>0.19847328244274787</v>
      </c>
      <c r="Z67" s="188">
        <f t="shared" ref="Z67" si="134">-($E67-$AI67)/30+Y67</f>
        <v>0.17862595419847305</v>
      </c>
      <c r="AA67" s="188">
        <f t="shared" ref="AA67" si="135">-($E67-$AI67)/30+Z67</f>
        <v>0.15877862595419823</v>
      </c>
      <c r="AB67" s="188">
        <f t="shared" ref="AB67" si="136">-($E67-$AI67)/30+AA67</f>
        <v>0.13893129770992341</v>
      </c>
      <c r="AC67" s="188">
        <f t="shared" ref="AC67" si="137">-($E67-$AI67)/30+AB67</f>
        <v>0.1190839694656486</v>
      </c>
      <c r="AD67" s="188">
        <f t="shared" ref="AD67" si="138">-($E67-$AI67)/30+AC67</f>
        <v>9.9236641221373795E-2</v>
      </c>
      <c r="AE67" s="188">
        <f t="shared" ref="AE67" si="139">-($E67-$AI67)/30+AD67</f>
        <v>7.9389312977098989E-2</v>
      </c>
      <c r="AF67" s="188">
        <f t="shared" ref="AF67" si="140">-($E67-$AI67)/30+AE67</f>
        <v>5.9541984732824182E-2</v>
      </c>
      <c r="AG67" s="188">
        <f t="shared" ref="AG67" si="141">-($E67-$AI67)/30+AF67</f>
        <v>3.9694656488549376E-2</v>
      </c>
      <c r="AH67" s="188">
        <f t="shared" ref="AH67" si="142">-($E67-$AI67)/30+AG67</f>
        <v>1.9847328244274567E-2</v>
      </c>
      <c r="AI67" s="188">
        <f>P11</f>
        <v>0</v>
      </c>
    </row>
    <row r="68" spans="1:35">
      <c r="A68" s="289"/>
      <c r="B68" t="s">
        <v>21</v>
      </c>
      <c r="D68" t="s">
        <v>160</v>
      </c>
      <c r="E68" s="157">
        <f>F12</f>
        <v>0</v>
      </c>
      <c r="F68" s="157">
        <f t="shared" si="114"/>
        <v>1.6872996897725288E-2</v>
      </c>
      <c r="G68" s="157">
        <f t="shared" si="114"/>
        <v>3.3745993795450575E-2</v>
      </c>
      <c r="H68" s="157">
        <f t="shared" si="114"/>
        <v>5.0618990693175867E-2</v>
      </c>
      <c r="I68" s="157">
        <f t="shared" si="114"/>
        <v>6.7491987590901151E-2</v>
      </c>
      <c r="J68" s="157">
        <f t="shared" si="114"/>
        <v>8.4364984488626435E-2</v>
      </c>
      <c r="K68" s="157">
        <f t="shared" si="114"/>
        <v>0.10123798138635172</v>
      </c>
      <c r="L68" s="157">
        <f t="shared" si="114"/>
        <v>0.118110978284077</v>
      </c>
      <c r="M68" s="157">
        <f t="shared" si="114"/>
        <v>0.1349839751818023</v>
      </c>
      <c r="N68" s="157">
        <f t="shared" si="114"/>
        <v>0.15185697207952759</v>
      </c>
      <c r="O68" s="157">
        <f t="shared" si="114"/>
        <v>0.16872996897725287</v>
      </c>
      <c r="P68" s="157">
        <f t="shared" si="114"/>
        <v>0.18560296587497815</v>
      </c>
      <c r="Q68" s="157">
        <f t="shared" si="114"/>
        <v>0.20247596277270344</v>
      </c>
      <c r="R68" s="157">
        <f t="shared" si="114"/>
        <v>0.21934895967042872</v>
      </c>
      <c r="S68" s="157">
        <f t="shared" si="114"/>
        <v>0.23622195656815401</v>
      </c>
      <c r="T68" s="157">
        <f t="shared" si="114"/>
        <v>0.25309495346587929</v>
      </c>
      <c r="U68" s="157">
        <f t="shared" si="114"/>
        <v>0.2699679503636046</v>
      </c>
      <c r="V68" s="157">
        <f t="shared" si="113"/>
        <v>0.28684094726132991</v>
      </c>
      <c r="W68" s="157">
        <f t="shared" si="113"/>
        <v>0.30371394415905523</v>
      </c>
      <c r="X68" s="157">
        <f t="shared" si="113"/>
        <v>0.32058694105678054</v>
      </c>
      <c r="Y68" s="157">
        <f t="shared" si="113"/>
        <v>0.33745993795450585</v>
      </c>
      <c r="Z68" s="157">
        <f t="shared" si="113"/>
        <v>0.35433293485223116</v>
      </c>
      <c r="AA68" s="157">
        <f t="shared" si="113"/>
        <v>0.37120593174995647</v>
      </c>
      <c r="AB68" s="157">
        <f t="shared" si="113"/>
        <v>0.38807892864768179</v>
      </c>
      <c r="AC68" s="157">
        <f t="shared" si="113"/>
        <v>0.4049519255454071</v>
      </c>
      <c r="AD68" s="157">
        <f t="shared" si="113"/>
        <v>0.42182492244313241</v>
      </c>
      <c r="AE68" s="157">
        <f t="shared" si="113"/>
        <v>0.43869791934085772</v>
      </c>
      <c r="AF68" s="157">
        <f t="shared" si="113"/>
        <v>0.45557091623858303</v>
      </c>
      <c r="AG68" s="157">
        <f t="shared" si="113"/>
        <v>0.47244391313630835</v>
      </c>
      <c r="AH68" s="157">
        <f t="shared" si="113"/>
        <v>0.48931691003403366</v>
      </c>
      <c r="AI68" s="157">
        <f>P12</f>
        <v>0.50618990693175858</v>
      </c>
    </row>
    <row r="69" spans="1:35">
      <c r="A69" s="289"/>
      <c r="B69" t="s">
        <v>21</v>
      </c>
      <c r="D69" t="s">
        <v>27</v>
      </c>
      <c r="E69" s="157">
        <f>F13</f>
        <v>0.40458015267175573</v>
      </c>
      <c r="F69" s="157">
        <f t="shared" si="114"/>
        <v>0.40755448401830524</v>
      </c>
      <c r="G69" s="157">
        <f t="shared" si="114"/>
        <v>0.41052881536485475</v>
      </c>
      <c r="H69" s="157">
        <f t="shared" si="114"/>
        <v>0.41350314671140426</v>
      </c>
      <c r="I69" s="157">
        <f t="shared" si="114"/>
        <v>0.41647747805795376</v>
      </c>
      <c r="J69" s="157">
        <f t="shared" si="114"/>
        <v>0.41945180940450327</v>
      </c>
      <c r="K69" s="157">
        <f t="shared" si="114"/>
        <v>0.42242614075105278</v>
      </c>
      <c r="L69" s="157">
        <f t="shared" si="114"/>
        <v>0.42540047209760229</v>
      </c>
      <c r="M69" s="157">
        <f t="shared" si="114"/>
        <v>0.4283748034441518</v>
      </c>
      <c r="N69" s="157">
        <f t="shared" si="114"/>
        <v>0.43134913479070131</v>
      </c>
      <c r="O69" s="157">
        <f t="shared" si="114"/>
        <v>0.43432346613725081</v>
      </c>
      <c r="P69" s="157">
        <f t="shared" si="114"/>
        <v>0.43729779748380032</v>
      </c>
      <c r="Q69" s="157">
        <f t="shared" si="114"/>
        <v>0.44027212883034983</v>
      </c>
      <c r="R69" s="157">
        <f t="shared" si="114"/>
        <v>0.44324646017689934</v>
      </c>
      <c r="S69" s="157">
        <f t="shared" si="114"/>
        <v>0.44622079152344885</v>
      </c>
      <c r="T69" s="157">
        <f t="shared" si="114"/>
        <v>0.44919512286999835</v>
      </c>
      <c r="U69" s="157">
        <f t="shared" si="114"/>
        <v>0.45216945421654786</v>
      </c>
      <c r="V69" s="157">
        <f t="shared" si="113"/>
        <v>0.45514378556309737</v>
      </c>
      <c r="W69" s="157">
        <f t="shared" si="113"/>
        <v>0.45811811690964688</v>
      </c>
      <c r="X69" s="157">
        <f t="shared" si="113"/>
        <v>0.46109244825619639</v>
      </c>
      <c r="Y69" s="157">
        <f t="shared" si="113"/>
        <v>0.46406677960274589</v>
      </c>
      <c r="Z69" s="157">
        <f t="shared" si="113"/>
        <v>0.4670411109492954</v>
      </c>
      <c r="AA69" s="157">
        <f t="shared" si="113"/>
        <v>0.47001544229584491</v>
      </c>
      <c r="AB69" s="157">
        <f t="shared" si="113"/>
        <v>0.47298977364239442</v>
      </c>
      <c r="AC69" s="157">
        <f t="shared" si="113"/>
        <v>0.47596410498894393</v>
      </c>
      <c r="AD69" s="157">
        <f t="shared" si="113"/>
        <v>0.47893843633549343</v>
      </c>
      <c r="AE69" s="157">
        <f t="shared" si="113"/>
        <v>0.48191276768204294</v>
      </c>
      <c r="AF69" s="157">
        <f t="shared" si="113"/>
        <v>0.48488709902859245</v>
      </c>
      <c r="AG69" s="157">
        <f t="shared" si="113"/>
        <v>0.48786143037514196</v>
      </c>
      <c r="AH69" s="157">
        <f t="shared" si="113"/>
        <v>0.49083576172169147</v>
      </c>
      <c r="AI69" s="157">
        <f>P13</f>
        <v>0.49381009306824131</v>
      </c>
    </row>
    <row r="70" spans="1:35" s="62" customFormat="1">
      <c r="A70" s="286"/>
      <c r="B70" s="62" t="s">
        <v>21</v>
      </c>
      <c r="C70" s="62" t="s">
        <v>818</v>
      </c>
      <c r="D70" t="s">
        <v>35</v>
      </c>
      <c r="E70" s="188">
        <f>G10</f>
        <v>0</v>
      </c>
      <c r="F70" s="188">
        <f t="shared" si="114"/>
        <v>0</v>
      </c>
      <c r="G70" s="188">
        <f t="shared" si="114"/>
        <v>0</v>
      </c>
      <c r="H70" s="188">
        <f t="shared" si="114"/>
        <v>0</v>
      </c>
      <c r="I70" s="188">
        <f t="shared" si="114"/>
        <v>0</v>
      </c>
      <c r="J70" s="188">
        <f t="shared" si="114"/>
        <v>0</v>
      </c>
      <c r="K70" s="188">
        <f t="shared" si="114"/>
        <v>0</v>
      </c>
      <c r="L70" s="188">
        <f t="shared" si="114"/>
        <v>0</v>
      </c>
      <c r="M70" s="188">
        <f t="shared" si="114"/>
        <v>0</v>
      </c>
      <c r="N70" s="188">
        <f t="shared" si="114"/>
        <v>0</v>
      </c>
      <c r="O70" s="188">
        <f t="shared" si="114"/>
        <v>0</v>
      </c>
      <c r="P70" s="188">
        <f t="shared" si="114"/>
        <v>0</v>
      </c>
      <c r="Q70" s="188">
        <f t="shared" si="114"/>
        <v>0</v>
      </c>
      <c r="R70" s="188">
        <f t="shared" si="114"/>
        <v>0</v>
      </c>
      <c r="S70" s="188">
        <f t="shared" si="114"/>
        <v>0</v>
      </c>
      <c r="T70" s="188">
        <f t="shared" si="114"/>
        <v>0</v>
      </c>
      <c r="U70" s="188">
        <f t="shared" si="114"/>
        <v>0</v>
      </c>
      <c r="V70" s="188">
        <f t="shared" si="113"/>
        <v>0</v>
      </c>
      <c r="W70" s="188">
        <f t="shared" si="113"/>
        <v>0</v>
      </c>
      <c r="X70" s="188">
        <f t="shared" si="113"/>
        <v>0</v>
      </c>
      <c r="Y70" s="188">
        <f t="shared" si="113"/>
        <v>0</v>
      </c>
      <c r="Z70" s="188">
        <f t="shared" si="113"/>
        <v>0</v>
      </c>
      <c r="AA70" s="188">
        <f t="shared" si="113"/>
        <v>0</v>
      </c>
      <c r="AB70" s="188">
        <f t="shared" si="113"/>
        <v>0</v>
      </c>
      <c r="AC70" s="188">
        <f t="shared" si="113"/>
        <v>0</v>
      </c>
      <c r="AD70" s="188">
        <f t="shared" si="113"/>
        <v>0</v>
      </c>
      <c r="AE70" s="188">
        <f t="shared" si="113"/>
        <v>0</v>
      </c>
      <c r="AF70" s="188">
        <f t="shared" si="113"/>
        <v>0</v>
      </c>
      <c r="AG70" s="188">
        <f t="shared" si="113"/>
        <v>0</v>
      </c>
      <c r="AH70" s="188">
        <f t="shared" si="113"/>
        <v>0</v>
      </c>
      <c r="AI70" s="188">
        <f>Q10</f>
        <v>0</v>
      </c>
    </row>
    <row r="71" spans="1:35">
      <c r="A71" s="289"/>
      <c r="B71" s="62" t="s">
        <v>21</v>
      </c>
      <c r="C71" s="62" t="s">
        <v>818</v>
      </c>
      <c r="D71" t="s">
        <v>74</v>
      </c>
      <c r="E71" s="188">
        <f>G11</f>
        <v>0.59541984732824427</v>
      </c>
      <c r="F71" s="188">
        <f t="shared" ref="F71:U71" si="143">-($E71-$AI71)/30+E71</f>
        <v>0.57557251908396945</v>
      </c>
      <c r="G71" s="188">
        <f t="shared" si="143"/>
        <v>0.55572519083969463</v>
      </c>
      <c r="H71" s="188">
        <f t="shared" si="143"/>
        <v>0.53587786259541981</v>
      </c>
      <c r="I71" s="188">
        <f t="shared" si="143"/>
        <v>0.51603053435114499</v>
      </c>
      <c r="J71" s="188">
        <f t="shared" si="143"/>
        <v>0.49618320610687017</v>
      </c>
      <c r="K71" s="188">
        <f t="shared" si="143"/>
        <v>0.47633587786259535</v>
      </c>
      <c r="L71" s="188">
        <f t="shared" si="143"/>
        <v>0.45648854961832053</v>
      </c>
      <c r="M71" s="188">
        <f t="shared" si="143"/>
        <v>0.43664122137404571</v>
      </c>
      <c r="N71" s="188">
        <f t="shared" si="143"/>
        <v>0.41679389312977089</v>
      </c>
      <c r="O71" s="188">
        <f t="shared" si="143"/>
        <v>0.39694656488549607</v>
      </c>
      <c r="P71" s="188">
        <f t="shared" si="143"/>
        <v>0.37709923664122125</v>
      </c>
      <c r="Q71" s="188">
        <f t="shared" si="143"/>
        <v>0.35725190839694643</v>
      </c>
      <c r="R71" s="188">
        <f t="shared" si="143"/>
        <v>0.33740458015267161</v>
      </c>
      <c r="S71" s="188">
        <f t="shared" si="143"/>
        <v>0.31755725190839679</v>
      </c>
      <c r="T71" s="188">
        <f t="shared" si="143"/>
        <v>0.29770992366412197</v>
      </c>
      <c r="U71" s="188">
        <f t="shared" si="143"/>
        <v>0.27786259541984715</v>
      </c>
      <c r="V71" s="188">
        <f t="shared" ref="V71" si="144">-($E71-$AI71)/30+U71</f>
        <v>0.25801526717557233</v>
      </c>
      <c r="W71" s="188">
        <f t="shared" ref="W71" si="145">-($E71-$AI71)/30+V71</f>
        <v>0.23816793893129751</v>
      </c>
      <c r="X71" s="188">
        <f t="shared" ref="X71" si="146">-($E71-$AI71)/30+W71</f>
        <v>0.21832061068702269</v>
      </c>
      <c r="Y71" s="188">
        <f t="shared" ref="Y71" si="147">-($E71-$AI71)/30+X71</f>
        <v>0.19847328244274787</v>
      </c>
      <c r="Z71" s="188">
        <f t="shared" ref="Z71" si="148">-($E71-$AI71)/30+Y71</f>
        <v>0.17862595419847305</v>
      </c>
      <c r="AA71" s="188">
        <f t="shared" ref="AA71" si="149">-($E71-$AI71)/30+Z71</f>
        <v>0.15877862595419823</v>
      </c>
      <c r="AB71" s="188">
        <f t="shared" ref="AB71" si="150">-($E71-$AI71)/30+AA71</f>
        <v>0.13893129770992341</v>
      </c>
      <c r="AC71" s="188">
        <f t="shared" ref="AC71" si="151">-($E71-$AI71)/30+AB71</f>
        <v>0.1190839694656486</v>
      </c>
      <c r="AD71" s="188">
        <f t="shared" ref="AD71" si="152">-($E71-$AI71)/30+AC71</f>
        <v>9.9236641221373795E-2</v>
      </c>
      <c r="AE71" s="188">
        <f t="shared" ref="AE71" si="153">-($E71-$AI71)/30+AD71</f>
        <v>7.9389312977098989E-2</v>
      </c>
      <c r="AF71" s="188">
        <f t="shared" ref="AF71" si="154">-($E71-$AI71)/30+AE71</f>
        <v>5.9541984732824182E-2</v>
      </c>
      <c r="AG71" s="188">
        <f t="shared" ref="AG71" si="155">-($E71-$AI71)/30+AF71</f>
        <v>3.9694656488549376E-2</v>
      </c>
      <c r="AH71" s="188">
        <f t="shared" ref="AH71" si="156">-($E71-$AI71)/30+AG71</f>
        <v>1.9847328244274567E-2</v>
      </c>
      <c r="AI71" s="188">
        <f>Q11</f>
        <v>0</v>
      </c>
    </row>
    <row r="72" spans="1:35">
      <c r="A72" s="289"/>
      <c r="B72" t="s">
        <v>21</v>
      </c>
      <c r="D72" t="s">
        <v>160</v>
      </c>
      <c r="E72" s="157">
        <f>G12</f>
        <v>0</v>
      </c>
      <c r="F72" s="157">
        <f t="shared" si="114"/>
        <v>1.6872996897725288E-2</v>
      </c>
      <c r="G72" s="157">
        <f t="shared" si="114"/>
        <v>3.3745993795450575E-2</v>
      </c>
      <c r="H72" s="157">
        <f t="shared" si="114"/>
        <v>5.0618990693175867E-2</v>
      </c>
      <c r="I72" s="157">
        <f t="shared" si="114"/>
        <v>6.7491987590901151E-2</v>
      </c>
      <c r="J72" s="157">
        <f t="shared" si="114"/>
        <v>8.4364984488626435E-2</v>
      </c>
      <c r="K72" s="157">
        <f t="shared" si="114"/>
        <v>0.10123798138635172</v>
      </c>
      <c r="L72" s="157">
        <f t="shared" si="114"/>
        <v>0.118110978284077</v>
      </c>
      <c r="M72" s="157">
        <f t="shared" si="114"/>
        <v>0.1349839751818023</v>
      </c>
      <c r="N72" s="157">
        <f t="shared" si="114"/>
        <v>0.15185697207952759</v>
      </c>
      <c r="O72" s="157">
        <f t="shared" si="114"/>
        <v>0.16872996897725287</v>
      </c>
      <c r="P72" s="157">
        <f t="shared" si="114"/>
        <v>0.18560296587497815</v>
      </c>
      <c r="Q72" s="157">
        <f t="shared" si="114"/>
        <v>0.20247596277270344</v>
      </c>
      <c r="R72" s="157">
        <f t="shared" si="114"/>
        <v>0.21934895967042872</v>
      </c>
      <c r="S72" s="157">
        <f t="shared" si="114"/>
        <v>0.23622195656815401</v>
      </c>
      <c r="T72" s="157">
        <f t="shared" si="114"/>
        <v>0.25309495346587929</v>
      </c>
      <c r="U72" s="157">
        <f t="shared" si="114"/>
        <v>0.2699679503636046</v>
      </c>
      <c r="V72" s="157">
        <f t="shared" si="113"/>
        <v>0.28684094726132991</v>
      </c>
      <c r="W72" s="157">
        <f t="shared" si="113"/>
        <v>0.30371394415905523</v>
      </c>
      <c r="X72" s="157">
        <f t="shared" si="113"/>
        <v>0.32058694105678054</v>
      </c>
      <c r="Y72" s="157">
        <f t="shared" si="113"/>
        <v>0.33745993795450585</v>
      </c>
      <c r="Z72" s="157">
        <f t="shared" si="113"/>
        <v>0.35433293485223116</v>
      </c>
      <c r="AA72" s="157">
        <f t="shared" si="113"/>
        <v>0.37120593174995647</v>
      </c>
      <c r="AB72" s="157">
        <f t="shared" si="113"/>
        <v>0.38807892864768179</v>
      </c>
      <c r="AC72" s="157">
        <f t="shared" si="113"/>
        <v>0.4049519255454071</v>
      </c>
      <c r="AD72" s="157">
        <f t="shared" si="113"/>
        <v>0.42182492244313241</v>
      </c>
      <c r="AE72" s="157">
        <f t="shared" si="113"/>
        <v>0.43869791934085772</v>
      </c>
      <c r="AF72" s="157">
        <f t="shared" si="113"/>
        <v>0.45557091623858303</v>
      </c>
      <c r="AG72" s="157">
        <f t="shared" si="113"/>
        <v>0.47244391313630835</v>
      </c>
      <c r="AH72" s="157">
        <f t="shared" si="113"/>
        <v>0.48931691003403366</v>
      </c>
      <c r="AI72" s="157">
        <f>Q12</f>
        <v>0.50618990693175858</v>
      </c>
    </row>
    <row r="73" spans="1:35">
      <c r="A73" s="289"/>
      <c r="B73" t="s">
        <v>21</v>
      </c>
      <c r="D73" t="s">
        <v>27</v>
      </c>
      <c r="E73" s="157">
        <f>G13</f>
        <v>0.40458015267175573</v>
      </c>
      <c r="F73" s="157">
        <f t="shared" si="114"/>
        <v>0.40755448401830524</v>
      </c>
      <c r="G73" s="157">
        <f t="shared" si="114"/>
        <v>0.41052881536485475</v>
      </c>
      <c r="H73" s="157">
        <f t="shared" si="114"/>
        <v>0.41350314671140426</v>
      </c>
      <c r="I73" s="157">
        <f t="shared" si="114"/>
        <v>0.41647747805795376</v>
      </c>
      <c r="J73" s="157">
        <f t="shared" si="114"/>
        <v>0.41945180940450327</v>
      </c>
      <c r="K73" s="157">
        <f t="shared" si="114"/>
        <v>0.42242614075105278</v>
      </c>
      <c r="L73" s="157">
        <f t="shared" si="114"/>
        <v>0.42540047209760229</v>
      </c>
      <c r="M73" s="157">
        <f t="shared" si="114"/>
        <v>0.4283748034441518</v>
      </c>
      <c r="N73" s="157">
        <f t="shared" si="114"/>
        <v>0.43134913479070131</v>
      </c>
      <c r="O73" s="157">
        <f t="shared" si="114"/>
        <v>0.43432346613725081</v>
      </c>
      <c r="P73" s="157">
        <f t="shared" si="114"/>
        <v>0.43729779748380032</v>
      </c>
      <c r="Q73" s="157">
        <f t="shared" si="114"/>
        <v>0.44027212883034983</v>
      </c>
      <c r="R73" s="157">
        <f t="shared" si="114"/>
        <v>0.44324646017689934</v>
      </c>
      <c r="S73" s="157">
        <f t="shared" si="114"/>
        <v>0.44622079152344885</v>
      </c>
      <c r="T73" s="157">
        <f t="shared" si="114"/>
        <v>0.44919512286999835</v>
      </c>
      <c r="U73" s="157">
        <f t="shared" si="114"/>
        <v>0.45216945421654786</v>
      </c>
      <c r="V73" s="157">
        <f t="shared" si="113"/>
        <v>0.45514378556309737</v>
      </c>
      <c r="W73" s="157">
        <f t="shared" si="113"/>
        <v>0.45811811690964688</v>
      </c>
      <c r="X73" s="157">
        <f t="shared" si="113"/>
        <v>0.46109244825619639</v>
      </c>
      <c r="Y73" s="157">
        <f t="shared" si="113"/>
        <v>0.46406677960274589</v>
      </c>
      <c r="Z73" s="157">
        <f t="shared" si="113"/>
        <v>0.4670411109492954</v>
      </c>
      <c r="AA73" s="157">
        <f t="shared" si="113"/>
        <v>0.47001544229584491</v>
      </c>
      <c r="AB73" s="157">
        <f t="shared" si="113"/>
        <v>0.47298977364239442</v>
      </c>
      <c r="AC73" s="157">
        <f t="shared" si="113"/>
        <v>0.47596410498894393</v>
      </c>
      <c r="AD73" s="157">
        <f t="shared" si="113"/>
        <v>0.47893843633549343</v>
      </c>
      <c r="AE73" s="157">
        <f t="shared" si="113"/>
        <v>0.48191276768204294</v>
      </c>
      <c r="AF73" s="157">
        <f t="shared" si="113"/>
        <v>0.48488709902859245</v>
      </c>
      <c r="AG73" s="157">
        <f t="shared" si="113"/>
        <v>0.48786143037514196</v>
      </c>
      <c r="AH73" s="157">
        <f t="shared" si="113"/>
        <v>0.49083576172169147</v>
      </c>
      <c r="AI73" s="157">
        <f>Q13</f>
        <v>0.49381009306824131</v>
      </c>
    </row>
    <row r="74" spans="1:35" s="62" customFormat="1">
      <c r="A74" s="286"/>
      <c r="B74" s="62" t="s">
        <v>53</v>
      </c>
      <c r="C74" s="62" t="s">
        <v>815</v>
      </c>
      <c r="D74" t="s">
        <v>35</v>
      </c>
      <c r="E74" s="188">
        <f>D17</f>
        <v>0.9999475311390158</v>
      </c>
      <c r="F74" s="188">
        <f t="shared" si="114"/>
        <v>0.9999475311390158</v>
      </c>
      <c r="G74" s="188">
        <f t="shared" si="114"/>
        <v>0.9999475311390158</v>
      </c>
      <c r="H74" s="188">
        <f t="shared" si="114"/>
        <v>0.9999475311390158</v>
      </c>
      <c r="I74" s="188">
        <f t="shared" si="114"/>
        <v>0.9999475311390158</v>
      </c>
      <c r="J74" s="188">
        <f t="shared" si="114"/>
        <v>0.9999475311390158</v>
      </c>
      <c r="K74" s="188">
        <f t="shared" si="114"/>
        <v>0.9999475311390158</v>
      </c>
      <c r="L74" s="188">
        <f t="shared" si="114"/>
        <v>0.9999475311390158</v>
      </c>
      <c r="M74" s="188">
        <f t="shared" si="114"/>
        <v>0.9999475311390158</v>
      </c>
      <c r="N74" s="188">
        <f t="shared" si="114"/>
        <v>0.9999475311390158</v>
      </c>
      <c r="O74" s="188">
        <f t="shared" si="114"/>
        <v>0.9999475311390158</v>
      </c>
      <c r="P74" s="188">
        <f t="shared" si="114"/>
        <v>0.9999475311390158</v>
      </c>
      <c r="Q74" s="188">
        <f t="shared" si="114"/>
        <v>0.9999475311390158</v>
      </c>
      <c r="R74" s="188">
        <f t="shared" si="114"/>
        <v>0.9999475311390158</v>
      </c>
      <c r="S74" s="188">
        <f t="shared" si="114"/>
        <v>0.9999475311390158</v>
      </c>
      <c r="T74" s="188">
        <f t="shared" si="114"/>
        <v>0.9999475311390158</v>
      </c>
      <c r="U74" s="188">
        <f t="shared" si="114"/>
        <v>0.9999475311390158</v>
      </c>
      <c r="V74" s="188">
        <f t="shared" si="113"/>
        <v>0.9999475311390158</v>
      </c>
      <c r="W74" s="188">
        <f t="shared" si="113"/>
        <v>0.9999475311390158</v>
      </c>
      <c r="X74" s="188">
        <f t="shared" si="113"/>
        <v>0.9999475311390158</v>
      </c>
      <c r="Y74" s="188">
        <f t="shared" si="113"/>
        <v>0.9999475311390158</v>
      </c>
      <c r="Z74" s="188">
        <f t="shared" si="113"/>
        <v>0.9999475311390158</v>
      </c>
      <c r="AA74" s="188">
        <f t="shared" si="113"/>
        <v>0.9999475311390158</v>
      </c>
      <c r="AB74" s="188">
        <f t="shared" si="113"/>
        <v>0.9999475311390158</v>
      </c>
      <c r="AC74" s="188">
        <f t="shared" si="113"/>
        <v>0.9999475311390158</v>
      </c>
      <c r="AD74" s="188">
        <f t="shared" si="113"/>
        <v>0.9999475311390158</v>
      </c>
      <c r="AE74" s="188">
        <f t="shared" si="113"/>
        <v>0.9999475311390158</v>
      </c>
      <c r="AF74" s="188">
        <f t="shared" si="113"/>
        <v>0.9999475311390158</v>
      </c>
      <c r="AG74" s="188">
        <f t="shared" si="113"/>
        <v>0.9999475311390158</v>
      </c>
      <c r="AH74" s="188">
        <f t="shared" si="113"/>
        <v>0.9999475311390158</v>
      </c>
      <c r="AI74" s="188">
        <f>N17</f>
        <v>0.9999475311390158</v>
      </c>
    </row>
    <row r="75" spans="1:35">
      <c r="A75" s="289"/>
      <c r="B75" s="62" t="s">
        <v>53</v>
      </c>
      <c r="C75" s="62" t="s">
        <v>815</v>
      </c>
      <c r="D75" t="s">
        <v>74</v>
      </c>
      <c r="E75" s="188">
        <f>D18</f>
        <v>0</v>
      </c>
      <c r="F75" s="188">
        <f t="shared" ref="F75:U75" si="157">-($E75-$AI75)/30+E75</f>
        <v>0</v>
      </c>
      <c r="G75" s="188">
        <f t="shared" si="157"/>
        <v>0</v>
      </c>
      <c r="H75" s="188">
        <f t="shared" si="157"/>
        <v>0</v>
      </c>
      <c r="I75" s="188">
        <f t="shared" si="157"/>
        <v>0</v>
      </c>
      <c r="J75" s="188">
        <f t="shared" si="157"/>
        <v>0</v>
      </c>
      <c r="K75" s="188">
        <f t="shared" si="157"/>
        <v>0</v>
      </c>
      <c r="L75" s="188">
        <f t="shared" si="157"/>
        <v>0</v>
      </c>
      <c r="M75" s="188">
        <f t="shared" si="157"/>
        <v>0</v>
      </c>
      <c r="N75" s="188">
        <f t="shared" si="157"/>
        <v>0</v>
      </c>
      <c r="O75" s="188">
        <f t="shared" si="157"/>
        <v>0</v>
      </c>
      <c r="P75" s="188">
        <f t="shared" si="157"/>
        <v>0</v>
      </c>
      <c r="Q75" s="188">
        <f t="shared" si="157"/>
        <v>0</v>
      </c>
      <c r="R75" s="188">
        <f t="shared" si="157"/>
        <v>0</v>
      </c>
      <c r="S75" s="188">
        <f t="shared" si="157"/>
        <v>0</v>
      </c>
      <c r="T75" s="188">
        <f t="shared" si="157"/>
        <v>0</v>
      </c>
      <c r="U75" s="188">
        <f t="shared" si="157"/>
        <v>0</v>
      </c>
      <c r="V75" s="188">
        <f t="shared" ref="V75" si="158">-($E75-$AI75)/30+U75</f>
        <v>0</v>
      </c>
      <c r="W75" s="188">
        <f t="shared" ref="W75" si="159">-($E75-$AI75)/30+V75</f>
        <v>0</v>
      </c>
      <c r="X75" s="188">
        <f t="shared" ref="X75" si="160">-($E75-$AI75)/30+W75</f>
        <v>0</v>
      </c>
      <c r="Y75" s="188">
        <f t="shared" ref="Y75" si="161">-($E75-$AI75)/30+X75</f>
        <v>0</v>
      </c>
      <c r="Z75" s="188">
        <f t="shared" ref="Z75" si="162">-($E75-$AI75)/30+Y75</f>
        <v>0</v>
      </c>
      <c r="AA75" s="188">
        <f t="shared" ref="AA75" si="163">-($E75-$AI75)/30+Z75</f>
        <v>0</v>
      </c>
      <c r="AB75" s="188">
        <f t="shared" ref="AB75" si="164">-($E75-$AI75)/30+AA75</f>
        <v>0</v>
      </c>
      <c r="AC75" s="188">
        <f t="shared" ref="AC75" si="165">-($E75-$AI75)/30+AB75</f>
        <v>0</v>
      </c>
      <c r="AD75" s="188">
        <f t="shared" ref="AD75" si="166">-($E75-$AI75)/30+AC75</f>
        <v>0</v>
      </c>
      <c r="AE75" s="188">
        <f t="shared" ref="AE75" si="167">-($E75-$AI75)/30+AD75</f>
        <v>0</v>
      </c>
      <c r="AF75" s="188">
        <f t="shared" ref="AF75" si="168">-($E75-$AI75)/30+AE75</f>
        <v>0</v>
      </c>
      <c r="AG75" s="188">
        <f t="shared" ref="AG75" si="169">-($E75-$AI75)/30+AF75</f>
        <v>0</v>
      </c>
      <c r="AH75" s="188">
        <f t="shared" ref="AH75" si="170">-($E75-$AI75)/30+AG75</f>
        <v>0</v>
      </c>
      <c r="AI75" s="188">
        <f>N18</f>
        <v>0</v>
      </c>
    </row>
    <row r="76" spans="1:35">
      <c r="A76" s="289"/>
      <c r="B76" t="s">
        <v>53</v>
      </c>
      <c r="D76" t="s">
        <v>160</v>
      </c>
      <c r="E76" s="157">
        <f>D19</f>
        <v>0</v>
      </c>
      <c r="F76" s="157">
        <f t="shared" si="114"/>
        <v>0</v>
      </c>
      <c r="G76" s="157">
        <f t="shared" si="114"/>
        <v>0</v>
      </c>
      <c r="H76" s="157">
        <f t="shared" si="114"/>
        <v>0</v>
      </c>
      <c r="I76" s="157">
        <f t="shared" si="114"/>
        <v>0</v>
      </c>
      <c r="J76" s="157">
        <f t="shared" si="114"/>
        <v>0</v>
      </c>
      <c r="K76" s="157">
        <f t="shared" si="114"/>
        <v>0</v>
      </c>
      <c r="L76" s="157">
        <f t="shared" si="114"/>
        <v>0</v>
      </c>
      <c r="M76" s="157">
        <f t="shared" si="114"/>
        <v>0</v>
      </c>
      <c r="N76" s="157">
        <f t="shared" si="114"/>
        <v>0</v>
      </c>
      <c r="O76" s="157">
        <f t="shared" si="114"/>
        <v>0</v>
      </c>
      <c r="P76" s="157">
        <f t="shared" si="114"/>
        <v>0</v>
      </c>
      <c r="Q76" s="157">
        <f t="shared" si="114"/>
        <v>0</v>
      </c>
      <c r="R76" s="157">
        <f t="shared" si="114"/>
        <v>0</v>
      </c>
      <c r="S76" s="157">
        <f t="shared" si="114"/>
        <v>0</v>
      </c>
      <c r="T76" s="157">
        <f t="shared" si="114"/>
        <v>0</v>
      </c>
      <c r="U76" s="157">
        <f t="shared" si="114"/>
        <v>0</v>
      </c>
      <c r="V76" s="157">
        <f t="shared" si="113"/>
        <v>0</v>
      </c>
      <c r="W76" s="157">
        <f t="shared" si="113"/>
        <v>0</v>
      </c>
      <c r="X76" s="157">
        <f t="shared" si="113"/>
        <v>0</v>
      </c>
      <c r="Y76" s="157">
        <f t="shared" si="113"/>
        <v>0</v>
      </c>
      <c r="Z76" s="157">
        <f t="shared" si="113"/>
        <v>0</v>
      </c>
      <c r="AA76" s="157">
        <f t="shared" si="113"/>
        <v>0</v>
      </c>
      <c r="AB76" s="157">
        <f t="shared" si="113"/>
        <v>0</v>
      </c>
      <c r="AC76" s="157">
        <f t="shared" si="113"/>
        <v>0</v>
      </c>
      <c r="AD76" s="157">
        <f t="shared" si="113"/>
        <v>0</v>
      </c>
      <c r="AE76" s="157">
        <f t="shared" si="113"/>
        <v>0</v>
      </c>
      <c r="AF76" s="157">
        <f t="shared" si="113"/>
        <v>0</v>
      </c>
      <c r="AG76" s="157">
        <f t="shared" si="113"/>
        <v>0</v>
      </c>
      <c r="AH76" s="157">
        <f t="shared" si="113"/>
        <v>0</v>
      </c>
      <c r="AI76" s="157">
        <f>N19</f>
        <v>0</v>
      </c>
    </row>
    <row r="77" spans="1:35">
      <c r="A77" s="289"/>
      <c r="B77" t="s">
        <v>53</v>
      </c>
      <c r="D77" t="s">
        <v>27</v>
      </c>
      <c r="E77" s="157">
        <f>D20</f>
        <v>5.24688609842203E-5</v>
      </c>
      <c r="F77" s="157">
        <f t="shared" si="114"/>
        <v>5.24688609842203E-5</v>
      </c>
      <c r="G77" s="157">
        <f t="shared" si="114"/>
        <v>5.24688609842203E-5</v>
      </c>
      <c r="H77" s="157">
        <f t="shared" si="114"/>
        <v>5.24688609842203E-5</v>
      </c>
      <c r="I77" s="157">
        <f t="shared" si="114"/>
        <v>5.24688609842203E-5</v>
      </c>
      <c r="J77" s="157">
        <f t="shared" si="114"/>
        <v>5.24688609842203E-5</v>
      </c>
      <c r="K77" s="157">
        <f t="shared" si="114"/>
        <v>5.24688609842203E-5</v>
      </c>
      <c r="L77" s="157">
        <f t="shared" si="114"/>
        <v>5.24688609842203E-5</v>
      </c>
      <c r="M77" s="157">
        <f t="shared" si="114"/>
        <v>5.24688609842203E-5</v>
      </c>
      <c r="N77" s="157">
        <f t="shared" si="114"/>
        <v>5.24688609842203E-5</v>
      </c>
      <c r="O77" s="157">
        <f t="shared" si="114"/>
        <v>5.24688609842203E-5</v>
      </c>
      <c r="P77" s="157">
        <f t="shared" si="114"/>
        <v>5.24688609842203E-5</v>
      </c>
      <c r="Q77" s="157">
        <f t="shared" si="114"/>
        <v>5.24688609842203E-5</v>
      </c>
      <c r="R77" s="157">
        <f t="shared" si="114"/>
        <v>5.24688609842203E-5</v>
      </c>
      <c r="S77" s="157">
        <f t="shared" si="114"/>
        <v>5.24688609842203E-5</v>
      </c>
      <c r="T77" s="157">
        <f t="shared" si="114"/>
        <v>5.24688609842203E-5</v>
      </c>
      <c r="U77" s="157">
        <f t="shared" si="114"/>
        <v>5.24688609842203E-5</v>
      </c>
      <c r="V77" s="157">
        <f t="shared" si="113"/>
        <v>5.24688609842203E-5</v>
      </c>
      <c r="W77" s="157">
        <f t="shared" si="113"/>
        <v>5.24688609842203E-5</v>
      </c>
      <c r="X77" s="157">
        <f t="shared" si="113"/>
        <v>5.24688609842203E-5</v>
      </c>
      <c r="Y77" s="157">
        <f t="shared" si="113"/>
        <v>5.24688609842203E-5</v>
      </c>
      <c r="Z77" s="157">
        <f t="shared" si="113"/>
        <v>5.24688609842203E-5</v>
      </c>
      <c r="AA77" s="157">
        <f t="shared" si="113"/>
        <v>5.24688609842203E-5</v>
      </c>
      <c r="AB77" s="157">
        <f t="shared" si="113"/>
        <v>5.24688609842203E-5</v>
      </c>
      <c r="AC77" s="157">
        <f t="shared" si="113"/>
        <v>5.24688609842203E-5</v>
      </c>
      <c r="AD77" s="157">
        <f t="shared" si="113"/>
        <v>5.24688609842203E-5</v>
      </c>
      <c r="AE77" s="157">
        <f t="shared" si="113"/>
        <v>5.24688609842203E-5</v>
      </c>
      <c r="AF77" s="157">
        <f t="shared" si="113"/>
        <v>5.24688609842203E-5</v>
      </c>
      <c r="AG77" s="157">
        <f t="shared" si="113"/>
        <v>5.24688609842203E-5</v>
      </c>
      <c r="AH77" s="157">
        <f t="shared" si="113"/>
        <v>5.24688609842203E-5</v>
      </c>
      <c r="AI77" s="157">
        <f>N20</f>
        <v>5.2468860984220313E-5</v>
      </c>
    </row>
    <row r="78" spans="1:35" s="62" customFormat="1">
      <c r="A78" s="286"/>
      <c r="B78" s="62" t="s">
        <v>53</v>
      </c>
      <c r="C78" s="62" t="s">
        <v>817</v>
      </c>
      <c r="D78" t="s">
        <v>35</v>
      </c>
      <c r="E78" s="188">
        <f>E17</f>
        <v>0.9999475311390158</v>
      </c>
      <c r="F78" s="188">
        <f t="shared" si="114"/>
        <v>0.9999475311390158</v>
      </c>
      <c r="G78" s="188">
        <f t="shared" si="114"/>
        <v>0.9999475311390158</v>
      </c>
      <c r="H78" s="188">
        <f t="shared" si="114"/>
        <v>0.9999475311390158</v>
      </c>
      <c r="I78" s="188">
        <f t="shared" si="114"/>
        <v>0.9999475311390158</v>
      </c>
      <c r="J78" s="188">
        <f t="shared" si="114"/>
        <v>0.9999475311390158</v>
      </c>
      <c r="K78" s="188">
        <f t="shared" si="114"/>
        <v>0.9999475311390158</v>
      </c>
      <c r="L78" s="188">
        <f t="shared" si="114"/>
        <v>0.9999475311390158</v>
      </c>
      <c r="M78" s="188">
        <f t="shared" si="114"/>
        <v>0.9999475311390158</v>
      </c>
      <c r="N78" s="188">
        <f t="shared" si="114"/>
        <v>0.9999475311390158</v>
      </c>
      <c r="O78" s="188">
        <f t="shared" si="114"/>
        <v>0.9999475311390158</v>
      </c>
      <c r="P78" s="188">
        <f t="shared" si="114"/>
        <v>0.9999475311390158</v>
      </c>
      <c r="Q78" s="188">
        <f t="shared" si="114"/>
        <v>0.9999475311390158</v>
      </c>
      <c r="R78" s="188">
        <f t="shared" si="114"/>
        <v>0.9999475311390158</v>
      </c>
      <c r="S78" s="188">
        <f t="shared" si="114"/>
        <v>0.9999475311390158</v>
      </c>
      <c r="T78" s="188">
        <f t="shared" si="114"/>
        <v>0.9999475311390158</v>
      </c>
      <c r="U78" s="188">
        <f t="shared" si="114"/>
        <v>0.9999475311390158</v>
      </c>
      <c r="V78" s="188">
        <f t="shared" si="113"/>
        <v>0.9999475311390158</v>
      </c>
      <c r="W78" s="188">
        <f t="shared" si="113"/>
        <v>0.9999475311390158</v>
      </c>
      <c r="X78" s="188">
        <f t="shared" si="113"/>
        <v>0.9999475311390158</v>
      </c>
      <c r="Y78" s="188">
        <f t="shared" si="113"/>
        <v>0.9999475311390158</v>
      </c>
      <c r="Z78" s="188">
        <f t="shared" si="113"/>
        <v>0.9999475311390158</v>
      </c>
      <c r="AA78" s="188">
        <f t="shared" si="113"/>
        <v>0.9999475311390158</v>
      </c>
      <c r="AB78" s="188">
        <f t="shared" si="113"/>
        <v>0.9999475311390158</v>
      </c>
      <c r="AC78" s="188">
        <f t="shared" si="113"/>
        <v>0.9999475311390158</v>
      </c>
      <c r="AD78" s="188">
        <f t="shared" si="113"/>
        <v>0.9999475311390158</v>
      </c>
      <c r="AE78" s="188">
        <f t="shared" si="113"/>
        <v>0.9999475311390158</v>
      </c>
      <c r="AF78" s="188">
        <f t="shared" si="113"/>
        <v>0.9999475311390158</v>
      </c>
      <c r="AG78" s="188">
        <f t="shared" si="113"/>
        <v>0.9999475311390158</v>
      </c>
      <c r="AH78" s="188">
        <f t="shared" si="113"/>
        <v>0.9999475311390158</v>
      </c>
      <c r="AI78" s="188">
        <f>O17</f>
        <v>0.9999475311390158</v>
      </c>
    </row>
    <row r="79" spans="1:35">
      <c r="A79" s="289"/>
      <c r="B79" s="62" t="s">
        <v>53</v>
      </c>
      <c r="C79" s="62" t="s">
        <v>817</v>
      </c>
      <c r="D79" t="s">
        <v>74</v>
      </c>
      <c r="E79" s="188">
        <f>E18</f>
        <v>0</v>
      </c>
      <c r="F79" s="188">
        <f t="shared" ref="F79:U79" si="171">-($E79-$AI79)/30+E79</f>
        <v>0</v>
      </c>
      <c r="G79" s="188">
        <f t="shared" si="171"/>
        <v>0</v>
      </c>
      <c r="H79" s="188">
        <f t="shared" si="171"/>
        <v>0</v>
      </c>
      <c r="I79" s="188">
        <f t="shared" si="171"/>
        <v>0</v>
      </c>
      <c r="J79" s="188">
        <f t="shared" si="171"/>
        <v>0</v>
      </c>
      <c r="K79" s="188">
        <f t="shared" si="171"/>
        <v>0</v>
      </c>
      <c r="L79" s="188">
        <f t="shared" si="171"/>
        <v>0</v>
      </c>
      <c r="M79" s="188">
        <f t="shared" si="171"/>
        <v>0</v>
      </c>
      <c r="N79" s="188">
        <f t="shared" si="171"/>
        <v>0</v>
      </c>
      <c r="O79" s="188">
        <f t="shared" si="171"/>
        <v>0</v>
      </c>
      <c r="P79" s="188">
        <f t="shared" si="171"/>
        <v>0</v>
      </c>
      <c r="Q79" s="188">
        <f t="shared" si="171"/>
        <v>0</v>
      </c>
      <c r="R79" s="188">
        <f t="shared" si="171"/>
        <v>0</v>
      </c>
      <c r="S79" s="188">
        <f t="shared" si="171"/>
        <v>0</v>
      </c>
      <c r="T79" s="188">
        <f t="shared" si="171"/>
        <v>0</v>
      </c>
      <c r="U79" s="188">
        <f t="shared" si="171"/>
        <v>0</v>
      </c>
      <c r="V79" s="188">
        <f t="shared" ref="V79" si="172">-($E79-$AI79)/30+U79</f>
        <v>0</v>
      </c>
      <c r="W79" s="188">
        <f t="shared" ref="W79" si="173">-($E79-$AI79)/30+V79</f>
        <v>0</v>
      </c>
      <c r="X79" s="188">
        <f t="shared" ref="X79" si="174">-($E79-$AI79)/30+W79</f>
        <v>0</v>
      </c>
      <c r="Y79" s="188">
        <f t="shared" ref="Y79" si="175">-($E79-$AI79)/30+X79</f>
        <v>0</v>
      </c>
      <c r="Z79" s="188">
        <f t="shared" ref="Z79" si="176">-($E79-$AI79)/30+Y79</f>
        <v>0</v>
      </c>
      <c r="AA79" s="188">
        <f t="shared" ref="AA79" si="177">-($E79-$AI79)/30+Z79</f>
        <v>0</v>
      </c>
      <c r="AB79" s="188">
        <f t="shared" ref="AB79" si="178">-($E79-$AI79)/30+AA79</f>
        <v>0</v>
      </c>
      <c r="AC79" s="188">
        <f t="shared" ref="AC79" si="179">-($E79-$AI79)/30+AB79</f>
        <v>0</v>
      </c>
      <c r="AD79" s="188">
        <f t="shared" ref="AD79" si="180">-($E79-$AI79)/30+AC79</f>
        <v>0</v>
      </c>
      <c r="AE79" s="188">
        <f t="shared" ref="AE79" si="181">-($E79-$AI79)/30+AD79</f>
        <v>0</v>
      </c>
      <c r="AF79" s="188">
        <f t="shared" ref="AF79" si="182">-($E79-$AI79)/30+AE79</f>
        <v>0</v>
      </c>
      <c r="AG79" s="188">
        <f t="shared" ref="AG79" si="183">-($E79-$AI79)/30+AF79</f>
        <v>0</v>
      </c>
      <c r="AH79" s="188">
        <f t="shared" ref="AH79" si="184">-($E79-$AI79)/30+AG79</f>
        <v>0</v>
      </c>
      <c r="AI79" s="188">
        <f>O18</f>
        <v>0</v>
      </c>
    </row>
    <row r="80" spans="1:35">
      <c r="A80" s="289"/>
      <c r="B80" t="s">
        <v>53</v>
      </c>
      <c r="D80" t="s">
        <v>160</v>
      </c>
      <c r="E80" s="157">
        <f>E19</f>
        <v>0</v>
      </c>
      <c r="F80" s="157">
        <f t="shared" si="114"/>
        <v>0</v>
      </c>
      <c r="G80" s="157">
        <f t="shared" si="114"/>
        <v>0</v>
      </c>
      <c r="H80" s="157">
        <f t="shared" si="114"/>
        <v>0</v>
      </c>
      <c r="I80" s="157">
        <f t="shared" si="114"/>
        <v>0</v>
      </c>
      <c r="J80" s="157">
        <f t="shared" si="114"/>
        <v>0</v>
      </c>
      <c r="K80" s="157">
        <f t="shared" si="114"/>
        <v>0</v>
      </c>
      <c r="L80" s="157">
        <f t="shared" si="114"/>
        <v>0</v>
      </c>
      <c r="M80" s="157">
        <f t="shared" si="114"/>
        <v>0</v>
      </c>
      <c r="N80" s="157">
        <f t="shared" si="114"/>
        <v>0</v>
      </c>
      <c r="O80" s="157">
        <f t="shared" si="114"/>
        <v>0</v>
      </c>
      <c r="P80" s="157">
        <f t="shared" si="114"/>
        <v>0</v>
      </c>
      <c r="Q80" s="157">
        <f t="shared" si="114"/>
        <v>0</v>
      </c>
      <c r="R80" s="157">
        <f t="shared" si="114"/>
        <v>0</v>
      </c>
      <c r="S80" s="157">
        <f t="shared" si="114"/>
        <v>0</v>
      </c>
      <c r="T80" s="157">
        <f t="shared" si="114"/>
        <v>0</v>
      </c>
      <c r="U80" s="157">
        <f t="shared" si="114"/>
        <v>0</v>
      </c>
      <c r="V80" s="157">
        <f t="shared" si="113"/>
        <v>0</v>
      </c>
      <c r="W80" s="157">
        <f t="shared" si="113"/>
        <v>0</v>
      </c>
      <c r="X80" s="157">
        <f t="shared" si="113"/>
        <v>0</v>
      </c>
      <c r="Y80" s="157">
        <f t="shared" si="113"/>
        <v>0</v>
      </c>
      <c r="Z80" s="157">
        <f t="shared" si="113"/>
        <v>0</v>
      </c>
      <c r="AA80" s="157">
        <f t="shared" si="113"/>
        <v>0</v>
      </c>
      <c r="AB80" s="157">
        <f t="shared" si="113"/>
        <v>0</v>
      </c>
      <c r="AC80" s="157">
        <f t="shared" si="113"/>
        <v>0</v>
      </c>
      <c r="AD80" s="157">
        <f t="shared" si="113"/>
        <v>0</v>
      </c>
      <c r="AE80" s="157">
        <f t="shared" si="113"/>
        <v>0</v>
      </c>
      <c r="AF80" s="157">
        <f t="shared" si="113"/>
        <v>0</v>
      </c>
      <c r="AG80" s="157">
        <f t="shared" si="113"/>
        <v>0</v>
      </c>
      <c r="AH80" s="157">
        <f t="shared" si="113"/>
        <v>0</v>
      </c>
      <c r="AI80" s="157">
        <f>O19</f>
        <v>0</v>
      </c>
    </row>
    <row r="81" spans="1:35">
      <c r="A81" s="289"/>
      <c r="B81" t="s">
        <v>53</v>
      </c>
      <c r="D81" t="s">
        <v>27</v>
      </c>
      <c r="E81" s="157">
        <f>E20</f>
        <v>5.24688609842203E-5</v>
      </c>
      <c r="F81" s="157">
        <f t="shared" si="114"/>
        <v>5.24688609842203E-5</v>
      </c>
      <c r="G81" s="157">
        <f t="shared" si="114"/>
        <v>5.24688609842203E-5</v>
      </c>
      <c r="H81" s="157">
        <f t="shared" si="114"/>
        <v>5.24688609842203E-5</v>
      </c>
      <c r="I81" s="157">
        <f t="shared" si="114"/>
        <v>5.24688609842203E-5</v>
      </c>
      <c r="J81" s="157">
        <f t="shared" si="114"/>
        <v>5.24688609842203E-5</v>
      </c>
      <c r="K81" s="157">
        <f t="shared" si="114"/>
        <v>5.24688609842203E-5</v>
      </c>
      <c r="L81" s="157">
        <f t="shared" si="114"/>
        <v>5.24688609842203E-5</v>
      </c>
      <c r="M81" s="157">
        <f t="shared" si="114"/>
        <v>5.24688609842203E-5</v>
      </c>
      <c r="N81" s="157">
        <f t="shared" si="114"/>
        <v>5.24688609842203E-5</v>
      </c>
      <c r="O81" s="157">
        <f t="shared" si="114"/>
        <v>5.24688609842203E-5</v>
      </c>
      <c r="P81" s="157">
        <f t="shared" si="114"/>
        <v>5.24688609842203E-5</v>
      </c>
      <c r="Q81" s="157">
        <f t="shared" si="114"/>
        <v>5.24688609842203E-5</v>
      </c>
      <c r="R81" s="157">
        <f t="shared" si="114"/>
        <v>5.24688609842203E-5</v>
      </c>
      <c r="S81" s="157">
        <f t="shared" si="114"/>
        <v>5.24688609842203E-5</v>
      </c>
      <c r="T81" s="157">
        <f t="shared" si="114"/>
        <v>5.24688609842203E-5</v>
      </c>
      <c r="U81" s="157">
        <f t="shared" ref="U81:AH93" si="185">-($E81-$AI81)/30+T81</f>
        <v>5.24688609842203E-5</v>
      </c>
      <c r="V81" s="157">
        <f t="shared" si="185"/>
        <v>5.24688609842203E-5</v>
      </c>
      <c r="W81" s="157">
        <f t="shared" si="185"/>
        <v>5.24688609842203E-5</v>
      </c>
      <c r="X81" s="157">
        <f t="shared" si="185"/>
        <v>5.24688609842203E-5</v>
      </c>
      <c r="Y81" s="157">
        <f t="shared" si="185"/>
        <v>5.24688609842203E-5</v>
      </c>
      <c r="Z81" s="157">
        <f t="shared" si="185"/>
        <v>5.24688609842203E-5</v>
      </c>
      <c r="AA81" s="157">
        <f t="shared" si="185"/>
        <v>5.24688609842203E-5</v>
      </c>
      <c r="AB81" s="157">
        <f t="shared" si="185"/>
        <v>5.24688609842203E-5</v>
      </c>
      <c r="AC81" s="157">
        <f t="shared" si="185"/>
        <v>5.24688609842203E-5</v>
      </c>
      <c r="AD81" s="157">
        <f t="shared" si="185"/>
        <v>5.24688609842203E-5</v>
      </c>
      <c r="AE81" s="157">
        <f t="shared" si="185"/>
        <v>5.24688609842203E-5</v>
      </c>
      <c r="AF81" s="157">
        <f t="shared" si="185"/>
        <v>5.24688609842203E-5</v>
      </c>
      <c r="AG81" s="157">
        <f t="shared" si="185"/>
        <v>5.24688609842203E-5</v>
      </c>
      <c r="AH81" s="157">
        <f t="shared" si="185"/>
        <v>5.24688609842203E-5</v>
      </c>
      <c r="AI81" s="157">
        <f>O20</f>
        <v>5.2468860984220313E-5</v>
      </c>
    </row>
    <row r="82" spans="1:35" s="62" customFormat="1">
      <c r="A82" s="286"/>
      <c r="B82" s="62" t="s">
        <v>53</v>
      </c>
      <c r="C82" s="62" t="s">
        <v>818</v>
      </c>
      <c r="D82" t="s">
        <v>35</v>
      </c>
      <c r="E82" s="188">
        <f>F17</f>
        <v>0.9999475311390158</v>
      </c>
      <c r="F82" s="188">
        <f t="shared" ref="F82:U93" si="186">-($E82-$AI82)/30+E82</f>
        <v>0.9999475311390158</v>
      </c>
      <c r="G82" s="188">
        <f t="shared" si="186"/>
        <v>0.9999475311390158</v>
      </c>
      <c r="H82" s="188">
        <f t="shared" si="186"/>
        <v>0.9999475311390158</v>
      </c>
      <c r="I82" s="188">
        <f t="shared" si="186"/>
        <v>0.9999475311390158</v>
      </c>
      <c r="J82" s="188">
        <f t="shared" si="186"/>
        <v>0.9999475311390158</v>
      </c>
      <c r="K82" s="188">
        <f t="shared" si="186"/>
        <v>0.9999475311390158</v>
      </c>
      <c r="L82" s="188">
        <f t="shared" si="186"/>
        <v>0.9999475311390158</v>
      </c>
      <c r="M82" s="188">
        <f t="shared" si="186"/>
        <v>0.9999475311390158</v>
      </c>
      <c r="N82" s="188">
        <f t="shared" si="186"/>
        <v>0.9999475311390158</v>
      </c>
      <c r="O82" s="188">
        <f t="shared" si="186"/>
        <v>0.9999475311390158</v>
      </c>
      <c r="P82" s="188">
        <f t="shared" si="186"/>
        <v>0.9999475311390158</v>
      </c>
      <c r="Q82" s="188">
        <f t="shared" si="186"/>
        <v>0.9999475311390158</v>
      </c>
      <c r="R82" s="188">
        <f t="shared" si="186"/>
        <v>0.9999475311390158</v>
      </c>
      <c r="S82" s="188">
        <f t="shared" si="186"/>
        <v>0.9999475311390158</v>
      </c>
      <c r="T82" s="188">
        <f t="shared" si="186"/>
        <v>0.9999475311390158</v>
      </c>
      <c r="U82" s="188">
        <f t="shared" si="186"/>
        <v>0.9999475311390158</v>
      </c>
      <c r="V82" s="188">
        <f t="shared" si="185"/>
        <v>0.9999475311390158</v>
      </c>
      <c r="W82" s="188">
        <f t="shared" si="185"/>
        <v>0.9999475311390158</v>
      </c>
      <c r="X82" s="188">
        <f t="shared" si="185"/>
        <v>0.9999475311390158</v>
      </c>
      <c r="Y82" s="188">
        <f t="shared" si="185"/>
        <v>0.9999475311390158</v>
      </c>
      <c r="Z82" s="188">
        <f t="shared" si="185"/>
        <v>0.9999475311390158</v>
      </c>
      <c r="AA82" s="188">
        <f t="shared" si="185"/>
        <v>0.9999475311390158</v>
      </c>
      <c r="AB82" s="188">
        <f t="shared" si="185"/>
        <v>0.9999475311390158</v>
      </c>
      <c r="AC82" s="188">
        <f t="shared" si="185"/>
        <v>0.9999475311390158</v>
      </c>
      <c r="AD82" s="188">
        <f t="shared" si="185"/>
        <v>0.9999475311390158</v>
      </c>
      <c r="AE82" s="188">
        <f t="shared" si="185"/>
        <v>0.9999475311390158</v>
      </c>
      <c r="AF82" s="188">
        <f t="shared" si="185"/>
        <v>0.9999475311390158</v>
      </c>
      <c r="AG82" s="188">
        <f t="shared" si="185"/>
        <v>0.9999475311390158</v>
      </c>
      <c r="AH82" s="188">
        <f t="shared" si="185"/>
        <v>0.9999475311390158</v>
      </c>
      <c r="AI82" s="188">
        <f>P17</f>
        <v>0.9999475311390158</v>
      </c>
    </row>
    <row r="83" spans="1:35">
      <c r="A83" s="289"/>
      <c r="B83" s="62" t="s">
        <v>53</v>
      </c>
      <c r="C83" s="62" t="s">
        <v>818</v>
      </c>
      <c r="D83" t="s">
        <v>74</v>
      </c>
      <c r="E83" s="188">
        <f>F18</f>
        <v>0</v>
      </c>
      <c r="F83" s="188">
        <f t="shared" ref="F83" si="187">-($E83-$AI83)/30+E83</f>
        <v>0</v>
      </c>
      <c r="G83" s="188">
        <f t="shared" ref="G83" si="188">-($E83-$AI83)/30+F83</f>
        <v>0</v>
      </c>
      <c r="H83" s="188">
        <f t="shared" ref="H83" si="189">-($E83-$AI83)/30+G83</f>
        <v>0</v>
      </c>
      <c r="I83" s="188">
        <f t="shared" ref="I83" si="190">-($E83-$AI83)/30+H83</f>
        <v>0</v>
      </c>
      <c r="J83" s="188">
        <f t="shared" ref="J83" si="191">-($E83-$AI83)/30+I83</f>
        <v>0</v>
      </c>
      <c r="K83" s="188">
        <f t="shared" ref="K83" si="192">-($E83-$AI83)/30+J83</f>
        <v>0</v>
      </c>
      <c r="L83" s="188">
        <f t="shared" ref="L83" si="193">-($E83-$AI83)/30+K83</f>
        <v>0</v>
      </c>
      <c r="M83" s="188">
        <f t="shared" ref="M83" si="194">-($E83-$AI83)/30+L83</f>
        <v>0</v>
      </c>
      <c r="N83" s="188">
        <f t="shared" ref="N83" si="195">-($E83-$AI83)/30+M83</f>
        <v>0</v>
      </c>
      <c r="O83" s="188">
        <f t="shared" ref="O83" si="196">-($E83-$AI83)/30+N83</f>
        <v>0</v>
      </c>
      <c r="P83" s="188">
        <f t="shared" ref="P83" si="197">-($E83-$AI83)/30+O83</f>
        <v>0</v>
      </c>
      <c r="Q83" s="188">
        <f t="shared" ref="Q83" si="198">-($E83-$AI83)/30+P83</f>
        <v>0</v>
      </c>
      <c r="R83" s="188">
        <f t="shared" ref="R83" si="199">-($E83-$AI83)/30+Q83</f>
        <v>0</v>
      </c>
      <c r="S83" s="188">
        <f t="shared" ref="S83" si="200">-($E83-$AI83)/30+R83</f>
        <v>0</v>
      </c>
      <c r="T83" s="188">
        <f t="shared" ref="T83" si="201">-($E83-$AI83)/30+S83</f>
        <v>0</v>
      </c>
      <c r="U83" s="188">
        <f t="shared" ref="U83" si="202">-($E83-$AI83)/30+T83</f>
        <v>0</v>
      </c>
      <c r="V83" s="188">
        <f t="shared" ref="V83" si="203">-($E83-$AI83)/30+U83</f>
        <v>0</v>
      </c>
      <c r="W83" s="188">
        <f t="shared" ref="W83" si="204">-($E83-$AI83)/30+V83</f>
        <v>0</v>
      </c>
      <c r="X83" s="188">
        <f t="shared" ref="X83" si="205">-($E83-$AI83)/30+W83</f>
        <v>0</v>
      </c>
      <c r="Y83" s="188">
        <f t="shared" ref="Y83" si="206">-($E83-$AI83)/30+X83</f>
        <v>0</v>
      </c>
      <c r="Z83" s="188">
        <f t="shared" ref="Z83" si="207">-($E83-$AI83)/30+Y83</f>
        <v>0</v>
      </c>
      <c r="AA83" s="188">
        <f t="shared" ref="AA83" si="208">-($E83-$AI83)/30+Z83</f>
        <v>0</v>
      </c>
      <c r="AB83" s="188">
        <f t="shared" ref="AB83" si="209">-($E83-$AI83)/30+AA83</f>
        <v>0</v>
      </c>
      <c r="AC83" s="188">
        <f t="shared" ref="AC83" si="210">-($E83-$AI83)/30+AB83</f>
        <v>0</v>
      </c>
      <c r="AD83" s="188">
        <f t="shared" ref="AD83" si="211">-($E83-$AI83)/30+AC83</f>
        <v>0</v>
      </c>
      <c r="AE83" s="188">
        <f t="shared" ref="AE83" si="212">-($E83-$AI83)/30+AD83</f>
        <v>0</v>
      </c>
      <c r="AF83" s="188">
        <f t="shared" ref="AF83" si="213">-($E83-$AI83)/30+AE83</f>
        <v>0</v>
      </c>
      <c r="AG83" s="188">
        <f t="shared" ref="AG83" si="214">-($E83-$AI83)/30+AF83</f>
        <v>0</v>
      </c>
      <c r="AH83" s="188">
        <f t="shared" ref="AH83" si="215">-($E83-$AI83)/30+AG83</f>
        <v>0</v>
      </c>
      <c r="AI83" s="188">
        <f>P18</f>
        <v>0</v>
      </c>
    </row>
    <row r="84" spans="1:35">
      <c r="A84" s="289"/>
      <c r="B84" t="s">
        <v>53</v>
      </c>
      <c r="D84" t="s">
        <v>160</v>
      </c>
      <c r="E84" s="157">
        <f>F19</f>
        <v>0</v>
      </c>
      <c r="F84" s="157">
        <f t="shared" si="186"/>
        <v>0</v>
      </c>
      <c r="G84" s="157">
        <f t="shared" si="186"/>
        <v>0</v>
      </c>
      <c r="H84" s="157">
        <f t="shared" si="186"/>
        <v>0</v>
      </c>
      <c r="I84" s="157">
        <f t="shared" si="186"/>
        <v>0</v>
      </c>
      <c r="J84" s="157">
        <f t="shared" si="186"/>
        <v>0</v>
      </c>
      <c r="K84" s="157">
        <f t="shared" si="186"/>
        <v>0</v>
      </c>
      <c r="L84" s="157">
        <f t="shared" si="186"/>
        <v>0</v>
      </c>
      <c r="M84" s="157">
        <f t="shared" si="186"/>
        <v>0</v>
      </c>
      <c r="N84" s="157">
        <f t="shared" si="186"/>
        <v>0</v>
      </c>
      <c r="O84" s="157">
        <f t="shared" si="186"/>
        <v>0</v>
      </c>
      <c r="P84" s="157">
        <f t="shared" si="186"/>
        <v>0</v>
      </c>
      <c r="Q84" s="157">
        <f t="shared" si="186"/>
        <v>0</v>
      </c>
      <c r="R84" s="157">
        <f t="shared" si="186"/>
        <v>0</v>
      </c>
      <c r="S84" s="157">
        <f t="shared" si="186"/>
        <v>0</v>
      </c>
      <c r="T84" s="157">
        <f t="shared" si="186"/>
        <v>0</v>
      </c>
      <c r="U84" s="157">
        <f t="shared" si="186"/>
        <v>0</v>
      </c>
      <c r="V84" s="157">
        <f t="shared" si="185"/>
        <v>0</v>
      </c>
      <c r="W84" s="157">
        <f t="shared" si="185"/>
        <v>0</v>
      </c>
      <c r="X84" s="157">
        <f t="shared" si="185"/>
        <v>0</v>
      </c>
      <c r="Y84" s="157">
        <f t="shared" si="185"/>
        <v>0</v>
      </c>
      <c r="Z84" s="157">
        <f t="shared" si="185"/>
        <v>0</v>
      </c>
      <c r="AA84" s="157">
        <f t="shared" si="185"/>
        <v>0</v>
      </c>
      <c r="AB84" s="157">
        <f t="shared" si="185"/>
        <v>0</v>
      </c>
      <c r="AC84" s="157">
        <f t="shared" si="185"/>
        <v>0</v>
      </c>
      <c r="AD84" s="157">
        <f t="shared" si="185"/>
        <v>0</v>
      </c>
      <c r="AE84" s="157">
        <f t="shared" si="185"/>
        <v>0</v>
      </c>
      <c r="AF84" s="157">
        <f t="shared" si="185"/>
        <v>0</v>
      </c>
      <c r="AG84" s="157">
        <f t="shared" si="185"/>
        <v>0</v>
      </c>
      <c r="AH84" s="157">
        <f t="shared" si="185"/>
        <v>0</v>
      </c>
      <c r="AI84" s="157">
        <f>P19</f>
        <v>0</v>
      </c>
    </row>
    <row r="85" spans="1:35">
      <c r="A85" s="289"/>
      <c r="B85" t="s">
        <v>53</v>
      </c>
      <c r="D85" t="s">
        <v>27</v>
      </c>
      <c r="E85" s="157">
        <f>F20</f>
        <v>5.24688609842203E-5</v>
      </c>
      <c r="F85" s="157">
        <f t="shared" si="186"/>
        <v>5.24688609842203E-5</v>
      </c>
      <c r="G85" s="157">
        <f t="shared" si="186"/>
        <v>5.24688609842203E-5</v>
      </c>
      <c r="H85" s="157">
        <f t="shared" si="186"/>
        <v>5.24688609842203E-5</v>
      </c>
      <c r="I85" s="157">
        <f t="shared" si="186"/>
        <v>5.24688609842203E-5</v>
      </c>
      <c r="J85" s="157">
        <f t="shared" si="186"/>
        <v>5.24688609842203E-5</v>
      </c>
      <c r="K85" s="157">
        <f t="shared" si="186"/>
        <v>5.24688609842203E-5</v>
      </c>
      <c r="L85" s="157">
        <f t="shared" si="186"/>
        <v>5.24688609842203E-5</v>
      </c>
      <c r="M85" s="157">
        <f t="shared" si="186"/>
        <v>5.24688609842203E-5</v>
      </c>
      <c r="N85" s="157">
        <f t="shared" si="186"/>
        <v>5.24688609842203E-5</v>
      </c>
      <c r="O85" s="157">
        <f t="shared" si="186"/>
        <v>5.24688609842203E-5</v>
      </c>
      <c r="P85" s="157">
        <f t="shared" si="186"/>
        <v>5.24688609842203E-5</v>
      </c>
      <c r="Q85" s="157">
        <f t="shared" si="186"/>
        <v>5.24688609842203E-5</v>
      </c>
      <c r="R85" s="157">
        <f t="shared" si="186"/>
        <v>5.24688609842203E-5</v>
      </c>
      <c r="S85" s="157">
        <f t="shared" si="186"/>
        <v>5.24688609842203E-5</v>
      </c>
      <c r="T85" s="157">
        <f t="shared" si="186"/>
        <v>5.24688609842203E-5</v>
      </c>
      <c r="U85" s="157">
        <f t="shared" si="186"/>
        <v>5.24688609842203E-5</v>
      </c>
      <c r="V85" s="157">
        <f t="shared" si="185"/>
        <v>5.24688609842203E-5</v>
      </c>
      <c r="W85" s="157">
        <f t="shared" si="185"/>
        <v>5.24688609842203E-5</v>
      </c>
      <c r="X85" s="157">
        <f t="shared" si="185"/>
        <v>5.24688609842203E-5</v>
      </c>
      <c r="Y85" s="157">
        <f t="shared" si="185"/>
        <v>5.24688609842203E-5</v>
      </c>
      <c r="Z85" s="157">
        <f t="shared" si="185"/>
        <v>5.24688609842203E-5</v>
      </c>
      <c r="AA85" s="157">
        <f t="shared" si="185"/>
        <v>5.24688609842203E-5</v>
      </c>
      <c r="AB85" s="157">
        <f t="shared" si="185"/>
        <v>5.24688609842203E-5</v>
      </c>
      <c r="AC85" s="157">
        <f t="shared" si="185"/>
        <v>5.24688609842203E-5</v>
      </c>
      <c r="AD85" s="157">
        <f t="shared" si="185"/>
        <v>5.24688609842203E-5</v>
      </c>
      <c r="AE85" s="157">
        <f t="shared" si="185"/>
        <v>5.24688609842203E-5</v>
      </c>
      <c r="AF85" s="157">
        <f t="shared" si="185"/>
        <v>5.24688609842203E-5</v>
      </c>
      <c r="AG85" s="157">
        <f t="shared" si="185"/>
        <v>5.24688609842203E-5</v>
      </c>
      <c r="AH85" s="157">
        <f t="shared" si="185"/>
        <v>5.24688609842203E-5</v>
      </c>
      <c r="AI85" s="157">
        <f>P20</f>
        <v>5.2468860984220313E-5</v>
      </c>
    </row>
    <row r="86" spans="1:35" s="62" customFormat="1">
      <c r="A86" s="286"/>
      <c r="B86" s="62" t="s">
        <v>291</v>
      </c>
      <c r="C86" s="62" t="s">
        <v>815</v>
      </c>
      <c r="D86" t="s">
        <v>35</v>
      </c>
      <c r="E86" s="188">
        <f>D24</f>
        <v>0</v>
      </c>
      <c r="F86" s="188">
        <f t="shared" si="186"/>
        <v>1.9922469700183423E-2</v>
      </c>
      <c r="G86" s="188">
        <f t="shared" si="186"/>
        <v>3.9844939400366847E-2</v>
      </c>
      <c r="H86" s="188">
        <f t="shared" si="186"/>
        <v>5.976740910055027E-2</v>
      </c>
      <c r="I86" s="188">
        <f t="shared" si="186"/>
        <v>7.9689878800733693E-2</v>
      </c>
      <c r="J86" s="188">
        <f t="shared" si="186"/>
        <v>9.9612348500917117E-2</v>
      </c>
      <c r="K86" s="188">
        <f t="shared" si="186"/>
        <v>0.11953481820110054</v>
      </c>
      <c r="L86" s="188">
        <f t="shared" si="186"/>
        <v>0.13945728790128398</v>
      </c>
      <c r="M86" s="188">
        <f t="shared" si="186"/>
        <v>0.15937975760146739</v>
      </c>
      <c r="N86" s="188">
        <f t="shared" si="186"/>
        <v>0.1793022273016508</v>
      </c>
      <c r="O86" s="188">
        <f t="shared" si="186"/>
        <v>0.19922469700183421</v>
      </c>
      <c r="P86" s="188">
        <f t="shared" si="186"/>
        <v>0.21914716670201762</v>
      </c>
      <c r="Q86" s="188">
        <f t="shared" si="186"/>
        <v>0.23906963640220102</v>
      </c>
      <c r="R86" s="188">
        <f t="shared" si="186"/>
        <v>0.25899210610238443</v>
      </c>
      <c r="S86" s="188">
        <f t="shared" si="186"/>
        <v>0.27891457580256784</v>
      </c>
      <c r="T86" s="188">
        <f t="shared" si="186"/>
        <v>0.29883704550275125</v>
      </c>
      <c r="U86" s="188">
        <f t="shared" si="186"/>
        <v>0.31875951520293466</v>
      </c>
      <c r="V86" s="188">
        <f t="shared" si="185"/>
        <v>0.33868198490311807</v>
      </c>
      <c r="W86" s="188">
        <f t="shared" si="185"/>
        <v>0.35860445460330148</v>
      </c>
      <c r="X86" s="188">
        <f t="shared" si="185"/>
        <v>0.37852692430348489</v>
      </c>
      <c r="Y86" s="188">
        <f t="shared" si="185"/>
        <v>0.3984493940036683</v>
      </c>
      <c r="Z86" s="188">
        <f t="shared" si="185"/>
        <v>0.41837186370385171</v>
      </c>
      <c r="AA86" s="188">
        <f t="shared" si="185"/>
        <v>0.43829433340403512</v>
      </c>
      <c r="AB86" s="188">
        <f t="shared" si="185"/>
        <v>0.45821680310421853</v>
      </c>
      <c r="AC86" s="188">
        <f t="shared" si="185"/>
        <v>0.47813927280440194</v>
      </c>
      <c r="AD86" s="188">
        <f t="shared" si="185"/>
        <v>0.49806174250458535</v>
      </c>
      <c r="AE86" s="188">
        <f t="shared" si="185"/>
        <v>0.51798421220476876</v>
      </c>
      <c r="AF86" s="188">
        <f t="shared" si="185"/>
        <v>0.53790668190495217</v>
      </c>
      <c r="AG86" s="188">
        <f t="shared" si="185"/>
        <v>0.55782915160513558</v>
      </c>
      <c r="AH86" s="188">
        <f t="shared" si="185"/>
        <v>0.57775162130531899</v>
      </c>
      <c r="AI86" s="188">
        <f>N24</f>
        <v>0.59767409100550273</v>
      </c>
    </row>
    <row r="87" spans="1:35">
      <c r="A87" s="289"/>
      <c r="B87" s="62" t="s">
        <v>291</v>
      </c>
      <c r="C87" s="62" t="s">
        <v>815</v>
      </c>
      <c r="D87" t="s">
        <v>74</v>
      </c>
      <c r="E87" s="188">
        <f>D25</f>
        <v>0.55032030652086095</v>
      </c>
      <c r="F87" s="188">
        <f t="shared" ref="F87" si="216">-($E87-$AI87)/30+E87</f>
        <v>0.54275557644215144</v>
      </c>
      <c r="G87" s="188">
        <f t="shared" ref="G87" si="217">-($E87-$AI87)/30+F87</f>
        <v>0.53519084636344194</v>
      </c>
      <c r="H87" s="188">
        <f t="shared" ref="H87" si="218">-($E87-$AI87)/30+G87</f>
        <v>0.52762611628473244</v>
      </c>
      <c r="I87" s="188">
        <f t="shared" ref="I87" si="219">-($E87-$AI87)/30+H87</f>
        <v>0.52006138620602294</v>
      </c>
      <c r="J87" s="188">
        <f t="shared" ref="J87" si="220">-($E87-$AI87)/30+I87</f>
        <v>0.51249665612731343</v>
      </c>
      <c r="K87" s="188">
        <f t="shared" ref="K87" si="221">-($E87-$AI87)/30+J87</f>
        <v>0.50493192604860393</v>
      </c>
      <c r="L87" s="188">
        <f t="shared" ref="L87" si="222">-($E87-$AI87)/30+K87</f>
        <v>0.49736719596989437</v>
      </c>
      <c r="M87" s="188">
        <f t="shared" ref="M87" si="223">-($E87-$AI87)/30+L87</f>
        <v>0.48980246589118481</v>
      </c>
      <c r="N87" s="188">
        <f t="shared" ref="N87" si="224">-($E87-$AI87)/30+M87</f>
        <v>0.48223773581247525</v>
      </c>
      <c r="O87" s="188">
        <f t="shared" ref="O87" si="225">-($E87-$AI87)/30+N87</f>
        <v>0.4746730057337657</v>
      </c>
      <c r="P87" s="188">
        <f t="shared" ref="P87" si="226">-($E87-$AI87)/30+O87</f>
        <v>0.46710827565505614</v>
      </c>
      <c r="Q87" s="188">
        <f t="shared" ref="Q87" si="227">-($E87-$AI87)/30+P87</f>
        <v>0.45954354557634658</v>
      </c>
      <c r="R87" s="188">
        <f t="shared" ref="R87" si="228">-($E87-$AI87)/30+Q87</f>
        <v>0.45197881549763702</v>
      </c>
      <c r="S87" s="188">
        <f t="shared" ref="S87" si="229">-($E87-$AI87)/30+R87</f>
        <v>0.44441408541892746</v>
      </c>
      <c r="T87" s="188">
        <f t="shared" ref="T87" si="230">-($E87-$AI87)/30+S87</f>
        <v>0.4368493553402179</v>
      </c>
      <c r="U87" s="188">
        <f t="shared" ref="U87" si="231">-($E87-$AI87)/30+T87</f>
        <v>0.42928462526150835</v>
      </c>
      <c r="V87" s="188">
        <f t="shared" ref="V87" si="232">-($E87-$AI87)/30+U87</f>
        <v>0.42171989518279879</v>
      </c>
      <c r="W87" s="188">
        <f t="shared" ref="W87" si="233">-($E87-$AI87)/30+V87</f>
        <v>0.41415516510408923</v>
      </c>
      <c r="X87" s="188">
        <f t="shared" ref="X87" si="234">-($E87-$AI87)/30+W87</f>
        <v>0.40659043502537967</v>
      </c>
      <c r="Y87" s="188">
        <f t="shared" ref="Y87" si="235">-($E87-$AI87)/30+X87</f>
        <v>0.39902570494667011</v>
      </c>
      <c r="Z87" s="188">
        <f t="shared" ref="Z87" si="236">-($E87-$AI87)/30+Y87</f>
        <v>0.39146097486796055</v>
      </c>
      <c r="AA87" s="188">
        <f t="shared" ref="AA87" si="237">-($E87-$AI87)/30+Z87</f>
        <v>0.383896244789251</v>
      </c>
      <c r="AB87" s="188">
        <f t="shared" ref="AB87" si="238">-($E87-$AI87)/30+AA87</f>
        <v>0.37633151471054144</v>
      </c>
      <c r="AC87" s="188">
        <f t="shared" ref="AC87" si="239">-($E87-$AI87)/30+AB87</f>
        <v>0.36876678463183188</v>
      </c>
      <c r="AD87" s="188">
        <f t="shared" ref="AD87" si="240">-($E87-$AI87)/30+AC87</f>
        <v>0.36120205455312232</v>
      </c>
      <c r="AE87" s="188">
        <f t="shared" ref="AE87" si="241">-($E87-$AI87)/30+AD87</f>
        <v>0.35363732447441276</v>
      </c>
      <c r="AF87" s="188">
        <f t="shared" ref="AF87" si="242">-($E87-$AI87)/30+AE87</f>
        <v>0.3460725943957032</v>
      </c>
      <c r="AG87" s="188">
        <f t="shared" ref="AG87" si="243">-($E87-$AI87)/30+AF87</f>
        <v>0.33850786431699365</v>
      </c>
      <c r="AH87" s="188">
        <f t="shared" ref="AH87" si="244">-($E87-$AI87)/30+AG87</f>
        <v>0.33094313423828409</v>
      </c>
      <c r="AI87" s="188">
        <f>N25</f>
        <v>0.32337840415957425</v>
      </c>
    </row>
    <row r="88" spans="1:35">
      <c r="A88" s="289"/>
      <c r="B88" t="s">
        <v>291</v>
      </c>
      <c r="C88" t="s">
        <v>815</v>
      </c>
      <c r="D88" t="s">
        <v>160</v>
      </c>
      <c r="E88" s="157">
        <f>D26</f>
        <v>0.41873329958459721</v>
      </c>
      <c r="F88" s="157">
        <f t="shared" si="186"/>
        <v>0.4071927342509094</v>
      </c>
      <c r="G88" s="157">
        <f t="shared" si="186"/>
        <v>0.3956521689172216</v>
      </c>
      <c r="H88" s="157">
        <f t="shared" si="186"/>
        <v>0.3841116035835338</v>
      </c>
      <c r="I88" s="157">
        <f t="shared" si="186"/>
        <v>0.372571038249846</v>
      </c>
      <c r="J88" s="157">
        <f t="shared" si="186"/>
        <v>0.3610304729161582</v>
      </c>
      <c r="K88" s="157">
        <f t="shared" si="186"/>
        <v>0.34948990758247039</v>
      </c>
      <c r="L88" s="157">
        <f t="shared" si="186"/>
        <v>0.33794934224878259</v>
      </c>
      <c r="M88" s="157">
        <f t="shared" si="186"/>
        <v>0.32640877691509479</v>
      </c>
      <c r="N88" s="157">
        <f t="shared" si="186"/>
        <v>0.31486821158140699</v>
      </c>
      <c r="O88" s="157">
        <f t="shared" si="186"/>
        <v>0.30332764624771918</v>
      </c>
      <c r="P88" s="157">
        <f t="shared" si="186"/>
        <v>0.29178708091403138</v>
      </c>
      <c r="Q88" s="157">
        <f t="shared" si="186"/>
        <v>0.28024651558034358</v>
      </c>
      <c r="R88" s="157">
        <f t="shared" si="186"/>
        <v>0.26870595024665578</v>
      </c>
      <c r="S88" s="157">
        <f t="shared" si="186"/>
        <v>0.25716538491296798</v>
      </c>
      <c r="T88" s="157">
        <f t="shared" si="186"/>
        <v>0.24562481957928017</v>
      </c>
      <c r="U88" s="157">
        <f t="shared" si="186"/>
        <v>0.23408425424559237</v>
      </c>
      <c r="V88" s="157">
        <f t="shared" si="185"/>
        <v>0.22254368891190457</v>
      </c>
      <c r="W88" s="157">
        <f t="shared" si="185"/>
        <v>0.21100312357821677</v>
      </c>
      <c r="X88" s="157">
        <f t="shared" si="185"/>
        <v>0.19946255824452896</v>
      </c>
      <c r="Y88" s="157">
        <f t="shared" si="185"/>
        <v>0.18792199291084116</v>
      </c>
      <c r="Z88" s="157">
        <f t="shared" si="185"/>
        <v>0.17638142757715336</v>
      </c>
      <c r="AA88" s="157">
        <f t="shared" si="185"/>
        <v>0.16484086224346556</v>
      </c>
      <c r="AB88" s="157">
        <f t="shared" si="185"/>
        <v>0.15330029690977776</v>
      </c>
      <c r="AC88" s="157">
        <f t="shared" si="185"/>
        <v>0.14175973157608995</v>
      </c>
      <c r="AD88" s="157">
        <f t="shared" si="185"/>
        <v>0.13021916624240215</v>
      </c>
      <c r="AE88" s="157">
        <f t="shared" si="185"/>
        <v>0.11867860090871436</v>
      </c>
      <c r="AF88" s="157">
        <f t="shared" si="185"/>
        <v>0.10713803557502657</v>
      </c>
      <c r="AG88" s="157">
        <f t="shared" si="185"/>
        <v>9.5597470241338786E-2</v>
      </c>
      <c r="AH88" s="157">
        <f t="shared" si="185"/>
        <v>8.4056904907650998E-2</v>
      </c>
      <c r="AI88" s="157">
        <f>N26</f>
        <v>7.2516339573963501E-2</v>
      </c>
    </row>
    <row r="89" spans="1:35">
      <c r="A89" s="289"/>
      <c r="B89" t="s">
        <v>291</v>
      </c>
      <c r="C89" t="s">
        <v>815</v>
      </c>
      <c r="D89" t="s">
        <v>27</v>
      </c>
      <c r="E89" s="157">
        <f>D27</f>
        <v>3.0946393894541794E-2</v>
      </c>
      <c r="F89" s="157">
        <f t="shared" si="186"/>
        <v>3.0129219606755721E-2</v>
      </c>
      <c r="G89" s="157">
        <f t="shared" si="186"/>
        <v>2.9312045318969648E-2</v>
      </c>
      <c r="H89" s="157">
        <f t="shared" si="186"/>
        <v>2.8494871031183575E-2</v>
      </c>
      <c r="I89" s="157">
        <f t="shared" si="186"/>
        <v>2.7677696743397501E-2</v>
      </c>
      <c r="J89" s="157">
        <f t="shared" si="186"/>
        <v>2.6860522455611428E-2</v>
      </c>
      <c r="K89" s="157">
        <f t="shared" si="186"/>
        <v>2.6043348167825355E-2</v>
      </c>
      <c r="L89" s="157">
        <f t="shared" si="186"/>
        <v>2.5226173880039282E-2</v>
      </c>
      <c r="M89" s="157">
        <f t="shared" si="186"/>
        <v>2.4408999592253209E-2</v>
      </c>
      <c r="N89" s="157">
        <f t="shared" si="186"/>
        <v>2.3591825304467136E-2</v>
      </c>
      <c r="O89" s="157">
        <f t="shared" si="186"/>
        <v>2.2774651016681063E-2</v>
      </c>
      <c r="P89" s="157">
        <f t="shared" si="186"/>
        <v>2.195747672889499E-2</v>
      </c>
      <c r="Q89" s="157">
        <f t="shared" si="186"/>
        <v>2.1140302441108916E-2</v>
      </c>
      <c r="R89" s="157">
        <f t="shared" si="186"/>
        <v>2.0323128153322843E-2</v>
      </c>
      <c r="S89" s="157">
        <f t="shared" si="186"/>
        <v>1.950595386553677E-2</v>
      </c>
      <c r="T89" s="157">
        <f t="shared" si="186"/>
        <v>1.8688779577750697E-2</v>
      </c>
      <c r="U89" s="157">
        <f t="shared" si="186"/>
        <v>1.7871605289964624E-2</v>
      </c>
      <c r="V89" s="157">
        <f t="shared" si="185"/>
        <v>1.7054431002178551E-2</v>
      </c>
      <c r="W89" s="157">
        <f t="shared" si="185"/>
        <v>1.6237256714392478E-2</v>
      </c>
      <c r="X89" s="157">
        <f t="shared" si="185"/>
        <v>1.5420082426606406E-2</v>
      </c>
      <c r="Y89" s="157">
        <f t="shared" si="185"/>
        <v>1.4602908138820335E-2</v>
      </c>
      <c r="Z89" s="157">
        <f t="shared" si="185"/>
        <v>1.3785733851034264E-2</v>
      </c>
      <c r="AA89" s="157">
        <f t="shared" si="185"/>
        <v>1.2968559563248192E-2</v>
      </c>
      <c r="AB89" s="157">
        <f t="shared" si="185"/>
        <v>1.2151385275462121E-2</v>
      </c>
      <c r="AC89" s="157">
        <f t="shared" si="185"/>
        <v>1.1334210987676049E-2</v>
      </c>
      <c r="AD89" s="157">
        <f t="shared" si="185"/>
        <v>1.0517036699889978E-2</v>
      </c>
      <c r="AE89" s="157">
        <f t="shared" si="185"/>
        <v>9.6998624121039066E-3</v>
      </c>
      <c r="AF89" s="157">
        <f t="shared" si="185"/>
        <v>8.8826881243178352E-3</v>
      </c>
      <c r="AG89" s="157">
        <f t="shared" si="185"/>
        <v>8.0655138365317638E-3</v>
      </c>
      <c r="AH89" s="157">
        <f t="shared" si="185"/>
        <v>7.2483395487456925E-3</v>
      </c>
      <c r="AI89" s="157">
        <f>N27</f>
        <v>6.4311652609596402E-3</v>
      </c>
    </row>
    <row r="90" spans="1:35" s="62" customFormat="1">
      <c r="A90" s="286"/>
      <c r="B90" s="62" t="s">
        <v>27</v>
      </c>
      <c r="C90" s="62" t="s">
        <v>815</v>
      </c>
      <c r="D90" t="s">
        <v>35</v>
      </c>
      <c r="E90" s="188">
        <f>D31</f>
        <v>0</v>
      </c>
      <c r="F90" s="188">
        <f t="shared" si="186"/>
        <v>0</v>
      </c>
      <c r="G90" s="188">
        <f t="shared" si="186"/>
        <v>0</v>
      </c>
      <c r="H90" s="188">
        <f t="shared" si="186"/>
        <v>0</v>
      </c>
      <c r="I90" s="188">
        <f t="shared" si="186"/>
        <v>0</v>
      </c>
      <c r="J90" s="188">
        <f t="shared" si="186"/>
        <v>0</v>
      </c>
      <c r="K90" s="188">
        <f t="shared" si="186"/>
        <v>0</v>
      </c>
      <c r="L90" s="188">
        <f t="shared" si="186"/>
        <v>0</v>
      </c>
      <c r="M90" s="188">
        <f t="shared" si="186"/>
        <v>0</v>
      </c>
      <c r="N90" s="188">
        <f t="shared" si="186"/>
        <v>0</v>
      </c>
      <c r="O90" s="188">
        <f t="shared" si="186"/>
        <v>0</v>
      </c>
      <c r="P90" s="188">
        <f t="shared" si="186"/>
        <v>0</v>
      </c>
      <c r="Q90" s="188">
        <f t="shared" si="186"/>
        <v>0</v>
      </c>
      <c r="R90" s="188">
        <f t="shared" si="186"/>
        <v>0</v>
      </c>
      <c r="S90" s="188">
        <f t="shared" si="186"/>
        <v>0</v>
      </c>
      <c r="T90" s="188">
        <f t="shared" si="186"/>
        <v>0</v>
      </c>
      <c r="U90" s="188">
        <f t="shared" si="186"/>
        <v>0</v>
      </c>
      <c r="V90" s="188">
        <f t="shared" si="185"/>
        <v>0</v>
      </c>
      <c r="W90" s="188">
        <f t="shared" si="185"/>
        <v>0</v>
      </c>
      <c r="X90" s="188">
        <f t="shared" si="185"/>
        <v>0</v>
      </c>
      <c r="Y90" s="188">
        <f t="shared" si="185"/>
        <v>0</v>
      </c>
      <c r="Z90" s="188">
        <f t="shared" si="185"/>
        <v>0</v>
      </c>
      <c r="AA90" s="188">
        <f t="shared" si="185"/>
        <v>0</v>
      </c>
      <c r="AB90" s="188">
        <f t="shared" si="185"/>
        <v>0</v>
      </c>
      <c r="AC90" s="188">
        <f t="shared" si="185"/>
        <v>0</v>
      </c>
      <c r="AD90" s="188">
        <f t="shared" si="185"/>
        <v>0</v>
      </c>
      <c r="AE90" s="188">
        <f t="shared" si="185"/>
        <v>0</v>
      </c>
      <c r="AF90" s="188">
        <f t="shared" si="185"/>
        <v>0</v>
      </c>
      <c r="AG90" s="188">
        <f t="shared" si="185"/>
        <v>0</v>
      </c>
      <c r="AH90" s="188">
        <f t="shared" si="185"/>
        <v>0</v>
      </c>
      <c r="AI90" s="188">
        <f>N31</f>
        <v>0</v>
      </c>
    </row>
    <row r="91" spans="1:35">
      <c r="A91" s="289"/>
      <c r="B91" s="62" t="s">
        <v>27</v>
      </c>
      <c r="C91" s="62" t="s">
        <v>815</v>
      </c>
      <c r="D91" t="s">
        <v>74</v>
      </c>
      <c r="E91" s="188">
        <f>D32</f>
        <v>0.29158286765696839</v>
      </c>
      <c r="F91" s="188">
        <f t="shared" ref="F91" si="245">-($E91-$AI91)/30+E91</f>
        <v>0.29158286765696839</v>
      </c>
      <c r="G91" s="188">
        <f t="shared" ref="G91" si="246">-($E91-$AI91)/30+F91</f>
        <v>0.29158286765696839</v>
      </c>
      <c r="H91" s="188">
        <f t="shared" ref="H91" si="247">-($E91-$AI91)/30+G91</f>
        <v>0.29158286765696839</v>
      </c>
      <c r="I91" s="188">
        <f t="shared" ref="I91" si="248">-($E91-$AI91)/30+H91</f>
        <v>0.29158286765696839</v>
      </c>
      <c r="J91" s="188">
        <f t="shared" ref="J91" si="249">-($E91-$AI91)/30+I91</f>
        <v>0.29158286765696839</v>
      </c>
      <c r="K91" s="188">
        <f t="shared" ref="K91" si="250">-($E91-$AI91)/30+J91</f>
        <v>0.29158286765696839</v>
      </c>
      <c r="L91" s="188">
        <f t="shared" ref="L91" si="251">-($E91-$AI91)/30+K91</f>
        <v>0.29158286765696839</v>
      </c>
      <c r="M91" s="188">
        <f t="shared" ref="M91" si="252">-($E91-$AI91)/30+L91</f>
        <v>0.29158286765696839</v>
      </c>
      <c r="N91" s="188">
        <f t="shared" ref="N91" si="253">-($E91-$AI91)/30+M91</f>
        <v>0.29158286765696839</v>
      </c>
      <c r="O91" s="188">
        <f t="shared" ref="O91" si="254">-($E91-$AI91)/30+N91</f>
        <v>0.29158286765696839</v>
      </c>
      <c r="P91" s="188">
        <f t="shared" ref="P91" si="255">-($E91-$AI91)/30+O91</f>
        <v>0.29158286765696839</v>
      </c>
      <c r="Q91" s="188">
        <f t="shared" ref="Q91" si="256">-($E91-$AI91)/30+P91</f>
        <v>0.29158286765696839</v>
      </c>
      <c r="R91" s="188">
        <f t="shared" ref="R91" si="257">-($E91-$AI91)/30+Q91</f>
        <v>0.29158286765696839</v>
      </c>
      <c r="S91" s="188">
        <f t="shared" ref="S91" si="258">-($E91-$AI91)/30+R91</f>
        <v>0.29158286765696839</v>
      </c>
      <c r="T91" s="188">
        <f t="shared" ref="T91" si="259">-($E91-$AI91)/30+S91</f>
        <v>0.29158286765696839</v>
      </c>
      <c r="U91" s="188">
        <f t="shared" ref="U91" si="260">-($E91-$AI91)/30+T91</f>
        <v>0.29158286765696839</v>
      </c>
      <c r="V91" s="188">
        <f t="shared" ref="V91" si="261">-($E91-$AI91)/30+U91</f>
        <v>0.29158286765696839</v>
      </c>
      <c r="W91" s="188">
        <f t="shared" ref="W91" si="262">-($E91-$AI91)/30+V91</f>
        <v>0.29158286765696839</v>
      </c>
      <c r="X91" s="188">
        <f t="shared" ref="X91" si="263">-($E91-$AI91)/30+W91</f>
        <v>0.29158286765696839</v>
      </c>
      <c r="Y91" s="188">
        <f t="shared" ref="Y91" si="264">-($E91-$AI91)/30+X91</f>
        <v>0.29158286765696839</v>
      </c>
      <c r="Z91" s="188">
        <f t="shared" ref="Z91" si="265">-($E91-$AI91)/30+Y91</f>
        <v>0.29158286765696839</v>
      </c>
      <c r="AA91" s="188">
        <f t="shared" ref="AA91" si="266">-($E91-$AI91)/30+Z91</f>
        <v>0.29158286765696839</v>
      </c>
      <c r="AB91" s="188">
        <f t="shared" ref="AB91" si="267">-($E91-$AI91)/30+AA91</f>
        <v>0.29158286765696839</v>
      </c>
      <c r="AC91" s="188">
        <f t="shared" ref="AC91" si="268">-($E91-$AI91)/30+AB91</f>
        <v>0.29158286765696839</v>
      </c>
      <c r="AD91" s="188">
        <f t="shared" ref="AD91" si="269">-($E91-$AI91)/30+AC91</f>
        <v>0.29158286765696839</v>
      </c>
      <c r="AE91" s="188">
        <f t="shared" ref="AE91" si="270">-($E91-$AI91)/30+AD91</f>
        <v>0.29158286765696839</v>
      </c>
      <c r="AF91" s="188">
        <f t="shared" ref="AF91" si="271">-($E91-$AI91)/30+AE91</f>
        <v>0.29158286765696839</v>
      </c>
      <c r="AG91" s="188">
        <f t="shared" ref="AG91" si="272">-($E91-$AI91)/30+AF91</f>
        <v>0.29158286765696839</v>
      </c>
      <c r="AH91" s="188">
        <f t="shared" ref="AH91" si="273">-($E91-$AI91)/30+AG91</f>
        <v>0.29158286765696839</v>
      </c>
      <c r="AI91" s="188">
        <f>N32</f>
        <v>0.29158286765696845</v>
      </c>
    </row>
    <row r="92" spans="1:35">
      <c r="A92" s="289"/>
      <c r="B92" t="s">
        <v>27</v>
      </c>
      <c r="C92" t="s">
        <v>815</v>
      </c>
      <c r="D92" t="s">
        <v>160</v>
      </c>
      <c r="E92" s="157">
        <f>D33</f>
        <v>0.5499156760782179</v>
      </c>
      <c r="F92" s="157">
        <f t="shared" si="186"/>
        <v>0.5499156760782179</v>
      </c>
      <c r="G92" s="157">
        <f t="shared" si="186"/>
        <v>0.5499156760782179</v>
      </c>
      <c r="H92" s="157">
        <f t="shared" si="186"/>
        <v>0.5499156760782179</v>
      </c>
      <c r="I92" s="157">
        <f t="shared" si="186"/>
        <v>0.5499156760782179</v>
      </c>
      <c r="J92" s="157">
        <f t="shared" si="186"/>
        <v>0.5499156760782179</v>
      </c>
      <c r="K92" s="157">
        <f t="shared" si="186"/>
        <v>0.5499156760782179</v>
      </c>
      <c r="L92" s="157">
        <f t="shared" si="186"/>
        <v>0.5499156760782179</v>
      </c>
      <c r="M92" s="157">
        <f t="shared" si="186"/>
        <v>0.5499156760782179</v>
      </c>
      <c r="N92" s="157">
        <f t="shared" si="186"/>
        <v>0.5499156760782179</v>
      </c>
      <c r="O92" s="157">
        <f t="shared" si="186"/>
        <v>0.5499156760782179</v>
      </c>
      <c r="P92" s="157">
        <f t="shared" si="186"/>
        <v>0.5499156760782179</v>
      </c>
      <c r="Q92" s="157">
        <f t="shared" si="186"/>
        <v>0.5499156760782179</v>
      </c>
      <c r="R92" s="157">
        <f t="shared" si="186"/>
        <v>0.5499156760782179</v>
      </c>
      <c r="S92" s="157">
        <f t="shared" si="186"/>
        <v>0.5499156760782179</v>
      </c>
      <c r="T92" s="157">
        <f t="shared" si="186"/>
        <v>0.5499156760782179</v>
      </c>
      <c r="U92" s="157">
        <f t="shared" si="186"/>
        <v>0.5499156760782179</v>
      </c>
      <c r="V92" s="157">
        <f t="shared" si="185"/>
        <v>0.5499156760782179</v>
      </c>
      <c r="W92" s="157">
        <f t="shared" si="185"/>
        <v>0.5499156760782179</v>
      </c>
      <c r="X92" s="157">
        <f t="shared" si="185"/>
        <v>0.5499156760782179</v>
      </c>
      <c r="Y92" s="157">
        <f t="shared" si="185"/>
        <v>0.5499156760782179</v>
      </c>
      <c r="Z92" s="157">
        <f t="shared" si="185"/>
        <v>0.5499156760782179</v>
      </c>
      <c r="AA92" s="157">
        <f t="shared" si="185"/>
        <v>0.5499156760782179</v>
      </c>
      <c r="AB92" s="157">
        <f t="shared" si="185"/>
        <v>0.5499156760782179</v>
      </c>
      <c r="AC92" s="157">
        <f t="shared" si="185"/>
        <v>0.5499156760782179</v>
      </c>
      <c r="AD92" s="157">
        <f t="shared" si="185"/>
        <v>0.5499156760782179</v>
      </c>
      <c r="AE92" s="157">
        <f t="shared" si="185"/>
        <v>0.5499156760782179</v>
      </c>
      <c r="AF92" s="157">
        <f t="shared" si="185"/>
        <v>0.5499156760782179</v>
      </c>
      <c r="AG92" s="157">
        <f t="shared" si="185"/>
        <v>0.5499156760782179</v>
      </c>
      <c r="AH92" s="157">
        <f t="shared" si="185"/>
        <v>0.5499156760782179</v>
      </c>
      <c r="AI92" s="157">
        <f>N33</f>
        <v>0.54991567607821801</v>
      </c>
    </row>
    <row r="93" spans="1:35">
      <c r="A93" s="289"/>
      <c r="B93" t="s">
        <v>27</v>
      </c>
      <c r="C93" t="s">
        <v>815</v>
      </c>
      <c r="D93" t="s">
        <v>27</v>
      </c>
      <c r="E93" s="157">
        <f>D34</f>
        <v>0.15850145626481363</v>
      </c>
      <c r="F93" s="157">
        <f t="shared" si="186"/>
        <v>0.15850145626481363</v>
      </c>
      <c r="G93" s="157">
        <f t="shared" si="186"/>
        <v>0.15850145626481363</v>
      </c>
      <c r="H93" s="157">
        <f t="shared" si="186"/>
        <v>0.15850145626481363</v>
      </c>
      <c r="I93" s="157">
        <f t="shared" si="186"/>
        <v>0.15850145626481363</v>
      </c>
      <c r="J93" s="157">
        <f t="shared" si="186"/>
        <v>0.15850145626481363</v>
      </c>
      <c r="K93" s="157">
        <f t="shared" si="186"/>
        <v>0.15850145626481363</v>
      </c>
      <c r="L93" s="157">
        <f t="shared" si="186"/>
        <v>0.15850145626481363</v>
      </c>
      <c r="M93" s="157">
        <f t="shared" si="186"/>
        <v>0.15850145626481363</v>
      </c>
      <c r="N93" s="157">
        <f t="shared" si="186"/>
        <v>0.15850145626481363</v>
      </c>
      <c r="O93" s="157">
        <f t="shared" si="186"/>
        <v>0.15850145626481363</v>
      </c>
      <c r="P93" s="157">
        <f t="shared" si="186"/>
        <v>0.15850145626481363</v>
      </c>
      <c r="Q93" s="157">
        <f t="shared" si="186"/>
        <v>0.15850145626481363</v>
      </c>
      <c r="R93" s="157">
        <f t="shared" si="186"/>
        <v>0.15850145626481363</v>
      </c>
      <c r="S93" s="157">
        <f t="shared" si="186"/>
        <v>0.15850145626481363</v>
      </c>
      <c r="T93" s="157">
        <f t="shared" si="186"/>
        <v>0.15850145626481363</v>
      </c>
      <c r="U93" s="157">
        <f t="shared" si="186"/>
        <v>0.15850145626481363</v>
      </c>
      <c r="V93" s="157">
        <f t="shared" si="185"/>
        <v>0.15850145626481363</v>
      </c>
      <c r="W93" s="157">
        <f t="shared" si="185"/>
        <v>0.15850145626481363</v>
      </c>
      <c r="X93" s="157">
        <f t="shared" si="185"/>
        <v>0.15850145626481363</v>
      </c>
      <c r="Y93" s="157">
        <f t="shared" si="185"/>
        <v>0.15850145626481363</v>
      </c>
      <c r="Z93" s="157">
        <f t="shared" si="185"/>
        <v>0.15850145626481363</v>
      </c>
      <c r="AA93" s="157">
        <f t="shared" si="185"/>
        <v>0.15850145626481363</v>
      </c>
      <c r="AB93" s="157">
        <f t="shared" si="185"/>
        <v>0.15850145626481363</v>
      </c>
      <c r="AC93" s="157">
        <f t="shared" si="185"/>
        <v>0.15850145626481363</v>
      </c>
      <c r="AD93" s="157">
        <f t="shared" si="185"/>
        <v>0.15850145626481363</v>
      </c>
      <c r="AE93" s="157">
        <f t="shared" si="185"/>
        <v>0.15850145626481363</v>
      </c>
      <c r="AF93" s="157">
        <f t="shared" si="185"/>
        <v>0.15850145626481363</v>
      </c>
      <c r="AG93" s="157">
        <f t="shared" si="185"/>
        <v>0.15850145626481363</v>
      </c>
      <c r="AH93" s="157">
        <f t="shared" si="185"/>
        <v>0.15850145626481363</v>
      </c>
      <c r="AI93" s="157">
        <f>N34</f>
        <v>0.15850145626481366</v>
      </c>
    </row>
  </sheetData>
  <mergeCells count="5">
    <mergeCell ref="J3:J6"/>
    <mergeCell ref="I10:I13"/>
    <mergeCell ref="I17:I20"/>
    <mergeCell ref="I24:I27"/>
    <mergeCell ref="I31:I34"/>
  </mergeCells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BCDA3-1203-49EC-9C47-2682FD299CE7}">
  <sheetPr>
    <tabColor theme="4"/>
  </sheetPr>
  <dimension ref="A1:AI74"/>
  <sheetViews>
    <sheetView zoomScale="70" zoomScaleNormal="70" workbookViewId="0">
      <selection activeCell="E66" sqref="E66"/>
    </sheetView>
  </sheetViews>
  <sheetFormatPr defaultRowHeight="14.75"/>
  <cols>
    <col min="2" max="2" width="11.08984375" customWidth="1"/>
    <col min="3" max="3" width="9.26953125" customWidth="1"/>
    <col min="4" max="4" width="12.08984375" bestFit="1" customWidth="1"/>
    <col min="5" max="5" width="15.54296875" bestFit="1" customWidth="1"/>
    <col min="6" max="6" width="20" bestFit="1" customWidth="1"/>
    <col min="9" max="9" width="14.81640625" customWidth="1"/>
    <col min="11" max="12" width="11.08984375" customWidth="1"/>
    <col min="13" max="13" width="9.26953125" customWidth="1"/>
    <col min="14" max="14" width="12.08984375" bestFit="1" customWidth="1"/>
    <col min="15" max="15" width="15.54296875" bestFit="1" customWidth="1"/>
    <col min="16" max="16" width="11.08984375" bestFit="1" customWidth="1"/>
    <col min="19" max="19" width="14.81640625" customWidth="1"/>
    <col min="20" max="20" width="8.7265625" customWidth="1"/>
    <col min="21" max="21" width="14.08984375" customWidth="1"/>
    <col min="22" max="34" width="8.7265625" customWidth="1"/>
  </cols>
  <sheetData>
    <row r="1" spans="2:35">
      <c r="B1">
        <v>2020</v>
      </c>
      <c r="L1">
        <v>2050</v>
      </c>
    </row>
    <row r="2" spans="2:35">
      <c r="B2" t="s">
        <v>17</v>
      </c>
      <c r="D2" t="s">
        <v>815</v>
      </c>
      <c r="E2" t="s">
        <v>816</v>
      </c>
      <c r="F2" t="s">
        <v>821</v>
      </c>
      <c r="G2" t="s">
        <v>817</v>
      </c>
      <c r="H2" t="s">
        <v>818</v>
      </c>
      <c r="L2" t="s">
        <v>17</v>
      </c>
      <c r="N2" t="s">
        <v>815</v>
      </c>
      <c r="O2" t="s">
        <v>816</v>
      </c>
      <c r="P2" t="s">
        <v>821</v>
      </c>
      <c r="Q2" t="s">
        <v>817</v>
      </c>
      <c r="R2" t="s">
        <v>818</v>
      </c>
    </row>
    <row r="3" spans="2:35" ht="14.5" customHeight="1">
      <c r="B3" t="s">
        <v>35</v>
      </c>
      <c r="C3" s="241">
        <f>'Overall recycling rates'!G39*'Overall recycling rates'!$G$59</f>
        <v>0.32468068537052613</v>
      </c>
      <c r="D3" s="121">
        <f>$C3/$C$6</f>
        <v>1</v>
      </c>
      <c r="E3" s="121">
        <f t="shared" ref="E3:H3" si="0">$C3/$C$6</f>
        <v>1</v>
      </c>
      <c r="F3" s="121">
        <f t="shared" si="0"/>
        <v>1</v>
      </c>
      <c r="G3" s="121">
        <f t="shared" si="0"/>
        <v>1</v>
      </c>
      <c r="H3" s="121">
        <f t="shared" si="0"/>
        <v>1</v>
      </c>
      <c r="J3" s="699" t="s">
        <v>826</v>
      </c>
      <c r="L3" t="s">
        <v>35</v>
      </c>
      <c r="M3" s="241">
        <f>'Overall recycling rates'!G12*'Overall recycling rates'!$G$59</f>
        <v>1.0727792505076408</v>
      </c>
      <c r="N3" s="2">
        <f>$M3/$M$6</f>
        <v>7.6521617511585656E-5</v>
      </c>
      <c r="O3" s="2">
        <f t="shared" ref="O3:O5" si="1">$M3/$M$6</f>
        <v>7.6521617511585656E-5</v>
      </c>
      <c r="P3" s="53">
        <v>0</v>
      </c>
      <c r="Q3" s="53">
        <v>0</v>
      </c>
      <c r="R3" s="2">
        <f>$M3/$M$6</f>
        <v>7.6521617511585656E-5</v>
      </c>
      <c r="T3" s="26" t="s">
        <v>827</v>
      </c>
    </row>
    <row r="4" spans="2:35">
      <c r="B4" t="s">
        <v>160</v>
      </c>
      <c r="C4" s="241">
        <f>'Overall recycling rates'!H39*'Overall recycling rates'!$H$59</f>
        <v>0</v>
      </c>
      <c r="D4" s="121">
        <f t="shared" ref="D4:H5" si="2">$C4/$C$6</f>
        <v>0</v>
      </c>
      <c r="E4" s="121">
        <f t="shared" si="2"/>
        <v>0</v>
      </c>
      <c r="F4" s="121">
        <f t="shared" si="2"/>
        <v>0</v>
      </c>
      <c r="G4" s="121">
        <f t="shared" si="2"/>
        <v>0</v>
      </c>
      <c r="H4" s="121">
        <f t="shared" si="2"/>
        <v>0</v>
      </c>
      <c r="J4" s="699"/>
      <c r="L4" t="s">
        <v>160</v>
      </c>
      <c r="M4" s="241">
        <f>'Overall recycling rates'!H12*'Overall recycling rates'!$H$59</f>
        <v>8299.9573216805256</v>
      </c>
      <c r="N4" s="2">
        <f>$M4/$M$6</f>
        <v>0.59203807235419537</v>
      </c>
      <c r="O4" s="2">
        <f t="shared" si="1"/>
        <v>0.59203807235419537</v>
      </c>
      <c r="P4" s="53">
        <v>0.5</v>
      </c>
      <c r="Q4" s="53">
        <v>0.5</v>
      </c>
      <c r="R4" s="2">
        <f>$M4/$M$6</f>
        <v>0.59203807235419537</v>
      </c>
      <c r="T4" s="26"/>
      <c r="V4" s="395"/>
      <c r="W4" s="395"/>
      <c r="X4" s="395"/>
      <c r="Y4" s="395"/>
      <c r="Z4" s="395"/>
      <c r="AA4" s="395"/>
      <c r="AB4" s="395"/>
      <c r="AC4" s="395"/>
      <c r="AD4" s="395"/>
      <c r="AE4" s="395"/>
      <c r="AF4" s="395"/>
      <c r="AG4" s="359"/>
      <c r="AH4" s="359"/>
      <c r="AI4" s="6"/>
    </row>
    <row r="5" spans="2:35">
      <c r="B5" t="s">
        <v>27</v>
      </c>
      <c r="C5" s="241">
        <f>'Overall recycling rates'!I39*'Overall recycling rates'!$I$59</f>
        <v>0</v>
      </c>
      <c r="D5" s="121">
        <f t="shared" si="2"/>
        <v>0</v>
      </c>
      <c r="E5" s="121">
        <f t="shared" si="2"/>
        <v>0</v>
      </c>
      <c r="F5" s="121">
        <f t="shared" si="2"/>
        <v>0</v>
      </c>
      <c r="G5" s="121">
        <f t="shared" si="2"/>
        <v>0</v>
      </c>
      <c r="H5" s="121">
        <f t="shared" si="2"/>
        <v>0</v>
      </c>
      <c r="J5" s="699"/>
      <c r="L5" t="s">
        <v>27</v>
      </c>
      <c r="M5" s="241">
        <f>'Overall recycling rates'!I12*'Overall recycling rates'!$I$59</f>
        <v>5718.2664768656659</v>
      </c>
      <c r="N5" s="2">
        <f>$M5/$M$6</f>
        <v>0.40788540602829304</v>
      </c>
      <c r="O5" s="2">
        <f t="shared" si="1"/>
        <v>0.40788540602829304</v>
      </c>
      <c r="P5" s="53">
        <v>0.5</v>
      </c>
      <c r="Q5" s="53">
        <v>0.5</v>
      </c>
      <c r="R5" s="2">
        <f>$M5/$M$6</f>
        <v>0.40788540602829304</v>
      </c>
      <c r="T5" s="26"/>
      <c r="V5" s="395"/>
      <c r="W5" s="395"/>
      <c r="X5" s="395"/>
      <c r="Y5" s="395"/>
      <c r="Z5" s="395"/>
      <c r="AA5" s="395"/>
      <c r="AB5" s="395"/>
      <c r="AC5" s="395"/>
      <c r="AD5" s="395"/>
      <c r="AE5" s="395"/>
      <c r="AF5" s="395"/>
      <c r="AG5" s="359"/>
      <c r="AH5" s="359"/>
      <c r="AI5" s="359"/>
    </row>
    <row r="6" spans="2:35">
      <c r="C6" s="241">
        <f t="shared" ref="C6:H6" si="3">SUM(C3:C5)</f>
        <v>0.32468068537052613</v>
      </c>
      <c r="D6" s="2">
        <f t="shared" si="3"/>
        <v>1</v>
      </c>
      <c r="E6" s="2">
        <f t="shared" si="3"/>
        <v>1</v>
      </c>
      <c r="F6" s="2">
        <f t="shared" si="3"/>
        <v>1</v>
      </c>
      <c r="G6" s="2">
        <f t="shared" si="3"/>
        <v>1</v>
      </c>
      <c r="H6" s="2">
        <f t="shared" si="3"/>
        <v>1</v>
      </c>
      <c r="J6" s="476"/>
      <c r="M6" s="241">
        <f t="shared" ref="M6:R6" si="4">SUM(M3:M5)</f>
        <v>14019.2965777967</v>
      </c>
      <c r="N6" s="2">
        <f t="shared" si="4"/>
        <v>1</v>
      </c>
      <c r="O6" s="2">
        <f t="shared" si="4"/>
        <v>1</v>
      </c>
      <c r="P6" s="2">
        <f t="shared" si="4"/>
        <v>1</v>
      </c>
      <c r="Q6" s="2">
        <f t="shared" si="4"/>
        <v>1</v>
      </c>
      <c r="R6" s="2">
        <f t="shared" si="4"/>
        <v>1</v>
      </c>
      <c r="T6" s="26"/>
      <c r="V6" s="395"/>
      <c r="W6" s="395"/>
      <c r="X6" s="395"/>
      <c r="Y6" s="395"/>
      <c r="Z6" s="395"/>
      <c r="AA6" s="395"/>
      <c r="AB6" s="395"/>
      <c r="AC6" s="395"/>
      <c r="AD6" s="395"/>
      <c r="AE6" s="395"/>
      <c r="AF6" s="395"/>
      <c r="AG6" s="359"/>
      <c r="AH6" s="359"/>
      <c r="AI6" s="359"/>
    </row>
    <row r="7" spans="2:35">
      <c r="AG7" s="359"/>
      <c r="AH7" s="359"/>
    </row>
    <row r="8" spans="2:35">
      <c r="B8" t="s">
        <v>21</v>
      </c>
      <c r="D8" t="s">
        <v>815</v>
      </c>
      <c r="E8" t="s">
        <v>823</v>
      </c>
      <c r="F8" t="s">
        <v>824</v>
      </c>
      <c r="G8" t="s">
        <v>818</v>
      </c>
      <c r="L8" t="s">
        <v>21</v>
      </c>
      <c r="N8" t="s">
        <v>815</v>
      </c>
      <c r="O8" t="s">
        <v>823</v>
      </c>
      <c r="P8" t="s">
        <v>824</v>
      </c>
      <c r="Q8" t="s">
        <v>818</v>
      </c>
      <c r="V8" s="252"/>
    </row>
    <row r="9" spans="2:35" ht="14.5" customHeight="1">
      <c r="B9" t="s">
        <v>35</v>
      </c>
      <c r="C9" s="241">
        <f>'Overall recycling rates'!G41*'Overall recycling rates'!$G$59</f>
        <v>0</v>
      </c>
      <c r="D9" s="121">
        <f t="shared" ref="D9:G11" si="5">$C9/$C$12</f>
        <v>0</v>
      </c>
      <c r="E9" s="121">
        <f t="shared" si="5"/>
        <v>0</v>
      </c>
      <c r="F9" s="121">
        <f t="shared" si="5"/>
        <v>0</v>
      </c>
      <c r="G9" s="121">
        <f t="shared" si="5"/>
        <v>0</v>
      </c>
      <c r="I9" s="699" t="s">
        <v>826</v>
      </c>
      <c r="L9" t="s">
        <v>35</v>
      </c>
      <c r="M9" s="241">
        <f>'Overall recycling rates'!G14*'Overall recycling rates'!$G$59</f>
        <v>0</v>
      </c>
      <c r="N9" s="2">
        <f t="shared" ref="N9:Q11" si="6">$M9/$M$12</f>
        <v>0</v>
      </c>
      <c r="O9" s="2">
        <f t="shared" si="6"/>
        <v>0</v>
      </c>
      <c r="P9" s="2">
        <f t="shared" si="6"/>
        <v>0</v>
      </c>
      <c r="Q9" s="2">
        <f t="shared" si="6"/>
        <v>0</v>
      </c>
      <c r="T9" s="26" t="s">
        <v>827</v>
      </c>
    </row>
    <row r="10" spans="2:35">
      <c r="B10" t="s">
        <v>160</v>
      </c>
      <c r="C10" s="241">
        <f>'Overall recycling rates'!H41*'Overall recycling rates'!$H$59</f>
        <v>0</v>
      </c>
      <c r="D10" s="121">
        <f t="shared" si="5"/>
        <v>0</v>
      </c>
      <c r="E10" s="121">
        <f t="shared" si="5"/>
        <v>0</v>
      </c>
      <c r="F10" s="121">
        <f t="shared" si="5"/>
        <v>0</v>
      </c>
      <c r="G10" s="121">
        <f t="shared" si="5"/>
        <v>0</v>
      </c>
      <c r="I10" s="699"/>
      <c r="L10" t="s">
        <v>160</v>
      </c>
      <c r="M10" s="241">
        <f>'Overall recycling rates'!H14*'Overall recycling rates'!$H$59</f>
        <v>4228.3118717769921</v>
      </c>
      <c r="N10" s="2">
        <f t="shared" si="6"/>
        <v>0.11657097950184464</v>
      </c>
      <c r="O10" s="2">
        <f t="shared" si="6"/>
        <v>0.11657097950184464</v>
      </c>
      <c r="P10" s="2">
        <f t="shared" si="6"/>
        <v>0.11657097950184464</v>
      </c>
      <c r="Q10" s="2">
        <f t="shared" si="6"/>
        <v>0.11657097950184464</v>
      </c>
      <c r="T10" s="26"/>
      <c r="V10" s="359"/>
      <c r="W10" s="359"/>
      <c r="X10" s="359"/>
      <c r="Y10" s="359"/>
      <c r="Z10" s="359"/>
      <c r="AA10" s="359"/>
    </row>
    <row r="11" spans="2:35">
      <c r="B11" t="s">
        <v>27</v>
      </c>
      <c r="C11" s="241">
        <f>'Overall recycling rates'!I41*'Overall recycling rates'!$I$59</f>
        <v>382.21933226441865</v>
      </c>
      <c r="D11" s="121">
        <f>$C11/$C$12</f>
        <v>1</v>
      </c>
      <c r="E11" s="121">
        <f t="shared" si="5"/>
        <v>1</v>
      </c>
      <c r="F11" s="121">
        <f t="shared" si="5"/>
        <v>1</v>
      </c>
      <c r="G11" s="121">
        <f t="shared" si="5"/>
        <v>1</v>
      </c>
      <c r="I11" s="699"/>
      <c r="L11" t="s">
        <v>27</v>
      </c>
      <c r="M11" s="241">
        <f>'Overall recycling rates'!I14*'Overall recycling rates'!$I$59</f>
        <v>32044.111074708439</v>
      </c>
      <c r="N11" s="2">
        <f t="shared" si="6"/>
        <v>0.88342902049815542</v>
      </c>
      <c r="O11" s="2">
        <f t="shared" si="6"/>
        <v>0.88342902049815542</v>
      </c>
      <c r="P11" s="2">
        <f t="shared" si="6"/>
        <v>0.88342902049815542</v>
      </c>
      <c r="Q11" s="2">
        <f t="shared" si="6"/>
        <v>0.88342902049815542</v>
      </c>
      <c r="T11" s="26"/>
      <c r="V11" s="359"/>
      <c r="W11" s="359"/>
      <c r="X11" s="359"/>
      <c r="Y11" s="359"/>
      <c r="Z11" s="359"/>
      <c r="AA11" s="359"/>
    </row>
    <row r="12" spans="2:35">
      <c r="C12" s="241">
        <f>SUM(C9:C11)</f>
        <v>382.21933226441865</v>
      </c>
      <c r="D12" s="2">
        <f>SUM(D9:D11)</f>
        <v>1</v>
      </c>
      <c r="E12" s="2">
        <f>SUM(E9:E11)</f>
        <v>1</v>
      </c>
      <c r="F12" s="2">
        <f>SUM(F9:F11)</f>
        <v>1</v>
      </c>
      <c r="G12" s="2">
        <f>SUM(G9:G11)</f>
        <v>1</v>
      </c>
      <c r="M12" s="41">
        <f>SUM(M9:M11)</f>
        <v>36272.422946485429</v>
      </c>
      <c r="N12" s="2">
        <f>SUM(N9:N11)</f>
        <v>1</v>
      </c>
      <c r="O12" s="2">
        <f>SUM(O9:O11)</f>
        <v>1</v>
      </c>
      <c r="P12" s="2">
        <f>SUM(P9:P11)</f>
        <v>1</v>
      </c>
      <c r="Q12" s="2">
        <f>SUM(Q9:Q11)</f>
        <v>1</v>
      </c>
      <c r="V12" s="359"/>
      <c r="W12" s="359"/>
      <c r="X12" s="359"/>
      <c r="Y12" s="359"/>
      <c r="Z12" s="359"/>
      <c r="AA12" s="359"/>
    </row>
    <row r="14" spans="2:35">
      <c r="B14" t="s">
        <v>53</v>
      </c>
      <c r="D14" t="s">
        <v>815</v>
      </c>
      <c r="E14" t="s">
        <v>817</v>
      </c>
      <c r="F14" t="s">
        <v>818</v>
      </c>
      <c r="L14" t="s">
        <v>53</v>
      </c>
      <c r="N14" t="s">
        <v>815</v>
      </c>
      <c r="O14" t="s">
        <v>817</v>
      </c>
      <c r="P14" t="s">
        <v>818</v>
      </c>
    </row>
    <row r="15" spans="2:35" ht="14.5" customHeight="1">
      <c r="B15" t="s">
        <v>35</v>
      </c>
      <c r="C15" s="241">
        <f>'Overall recycling rates'!G42*'Overall recycling rates'!$G$59</f>
        <v>0.14689777539002616</v>
      </c>
      <c r="D15" s="121">
        <f>$C15/$C$18</f>
        <v>3.7046904389201808E-2</v>
      </c>
      <c r="E15" s="121">
        <f t="shared" ref="E15:F15" si="7">$C15/$C$18</f>
        <v>3.7046904389201808E-2</v>
      </c>
      <c r="F15" s="121">
        <f t="shared" si="7"/>
        <v>3.7046904389201808E-2</v>
      </c>
      <c r="I15" s="699" t="s">
        <v>826</v>
      </c>
      <c r="L15" t="s">
        <v>35</v>
      </c>
      <c r="M15" s="241">
        <f>'Overall recycling rates'!G15*'Overall recycling rates'!$G$59</f>
        <v>1.1299828876155857</v>
      </c>
      <c r="N15" s="121">
        <f t="shared" ref="N15:P17" si="8">$M15/$M$18</f>
        <v>3.7046904389201808E-2</v>
      </c>
      <c r="O15" s="121">
        <f t="shared" si="8"/>
        <v>3.7046904389201808E-2</v>
      </c>
      <c r="P15" s="121">
        <f t="shared" si="8"/>
        <v>3.7046904389201808E-2</v>
      </c>
      <c r="T15" s="26" t="s">
        <v>827</v>
      </c>
      <c r="V15" s="359"/>
      <c r="W15" s="359"/>
      <c r="X15" s="359"/>
      <c r="Y15" s="359"/>
      <c r="Z15" s="359"/>
      <c r="AA15" s="359"/>
      <c r="AB15" s="6"/>
    </row>
    <row r="16" spans="2:35">
      <c r="B16" t="s">
        <v>160</v>
      </c>
      <c r="C16" s="241">
        <f>'Overall recycling rates'!H42*'Overall recycling rates'!$H$59</f>
        <v>0</v>
      </c>
      <c r="D16" s="121">
        <f t="shared" ref="D16:F17" si="9">$C16/$C$18</f>
        <v>0</v>
      </c>
      <c r="E16" s="121">
        <f t="shared" si="9"/>
        <v>0</v>
      </c>
      <c r="F16" s="121">
        <f t="shared" si="9"/>
        <v>0</v>
      </c>
      <c r="I16" s="699"/>
      <c r="L16" t="s">
        <v>160</v>
      </c>
      <c r="M16" s="241">
        <f>'Overall recycling rates'!H15*'Overall recycling rates'!$H$59</f>
        <v>0</v>
      </c>
      <c r="N16" s="121">
        <f t="shared" si="8"/>
        <v>0</v>
      </c>
      <c r="O16" s="121">
        <f t="shared" si="8"/>
        <v>0</v>
      </c>
      <c r="P16" s="121">
        <f t="shared" si="8"/>
        <v>0</v>
      </c>
      <c r="T16" s="26"/>
      <c r="V16" s="359"/>
      <c r="W16" s="359"/>
      <c r="X16" s="359"/>
      <c r="Y16" s="359"/>
      <c r="Z16" s="359"/>
      <c r="AA16" s="359"/>
    </row>
    <row r="17" spans="2:35">
      <c r="B17" t="s">
        <v>27</v>
      </c>
      <c r="C17" s="241">
        <f>'Overall recycling rates'!I42*'Overall recycling rates'!$I$59</f>
        <v>3.818285761856961</v>
      </c>
      <c r="D17" s="121">
        <f t="shared" si="9"/>
        <v>0.96295309561079823</v>
      </c>
      <c r="E17" s="121">
        <f t="shared" si="9"/>
        <v>0.96295309561079823</v>
      </c>
      <c r="F17" s="121">
        <f t="shared" si="9"/>
        <v>0.96295309561079823</v>
      </c>
      <c r="I17" s="699"/>
      <c r="L17" t="s">
        <v>27</v>
      </c>
      <c r="M17" s="241">
        <f>'Overall recycling rates'!I15*'Overall recycling rates'!$I$59</f>
        <v>29.371428937361237</v>
      </c>
      <c r="N17" s="121">
        <f t="shared" si="8"/>
        <v>0.96295309561079823</v>
      </c>
      <c r="O17" s="121">
        <f t="shared" si="8"/>
        <v>0.96295309561079823</v>
      </c>
      <c r="P17" s="121">
        <f t="shared" si="8"/>
        <v>0.96295309561079823</v>
      </c>
      <c r="T17" s="26"/>
      <c r="V17" s="359"/>
      <c r="W17" s="359"/>
      <c r="X17" s="359"/>
      <c r="Y17" s="359"/>
      <c r="Z17" s="359"/>
      <c r="AA17" s="359"/>
      <c r="AB17" s="6"/>
    </row>
    <row r="18" spans="2:35">
      <c r="C18" s="241">
        <f>SUM(C15:C17)</f>
        <v>3.965183537246987</v>
      </c>
      <c r="D18" s="2">
        <f>SUM(D15:D17)</f>
        <v>1</v>
      </c>
      <c r="E18" s="2">
        <f>SUM(E15:E17)</f>
        <v>1</v>
      </c>
      <c r="F18" s="2">
        <f>SUM(F15:F17)</f>
        <v>1</v>
      </c>
      <c r="M18" s="41">
        <f>SUM(M15:M17)</f>
        <v>30.501411824976824</v>
      </c>
      <c r="N18" s="2">
        <f>SUM(N15:N17)</f>
        <v>1</v>
      </c>
      <c r="O18" s="2">
        <f>SUM(O15:O17)</f>
        <v>1</v>
      </c>
      <c r="P18" s="2">
        <f>SUM(P15:P17)</f>
        <v>1</v>
      </c>
      <c r="AA18" s="359"/>
    </row>
    <row r="19" spans="2:35">
      <c r="V19" s="359"/>
      <c r="W19" s="359"/>
      <c r="X19" s="359"/>
      <c r="Y19" s="359"/>
      <c r="Z19" s="359"/>
      <c r="AA19" s="359"/>
    </row>
    <row r="20" spans="2:35">
      <c r="B20" t="s">
        <v>291</v>
      </c>
      <c r="D20" t="s">
        <v>815</v>
      </c>
      <c r="L20" t="s">
        <v>291</v>
      </c>
      <c r="N20" t="s">
        <v>815</v>
      </c>
      <c r="V20" s="359"/>
      <c r="W20" s="359"/>
      <c r="X20" s="359"/>
      <c r="Y20" s="359"/>
      <c r="Z20" s="359"/>
      <c r="AA20" s="359"/>
    </row>
    <row r="21" spans="2:35" ht="14.5" customHeight="1">
      <c r="B21" t="s">
        <v>35</v>
      </c>
      <c r="C21" s="241">
        <f>'Overall recycling rates'!G40*'Overall recycling rates'!$G$59</f>
        <v>0</v>
      </c>
      <c r="D21" s="121">
        <f>$C21/$C$24</f>
        <v>0</v>
      </c>
      <c r="E21" s="2"/>
      <c r="F21" s="2"/>
      <c r="G21" s="2"/>
      <c r="I21" s="699" t="s">
        <v>826</v>
      </c>
      <c r="L21" t="s">
        <v>35</v>
      </c>
      <c r="M21" s="241">
        <f>'Overall recycling rates'!G12*'Overall recycling rates'!$G$59</f>
        <v>1.0727792505076408</v>
      </c>
      <c r="N21" s="121">
        <f>$M21/$M$24</f>
        <v>7.6521617511585656E-5</v>
      </c>
      <c r="P21" s="2"/>
      <c r="Q21" s="2"/>
      <c r="R21" s="2"/>
      <c r="T21" s="26" t="s">
        <v>827</v>
      </c>
      <c r="V21" s="359"/>
      <c r="W21" s="359"/>
      <c r="X21" s="359"/>
      <c r="Y21" s="359"/>
      <c r="Z21" s="359"/>
    </row>
    <row r="22" spans="2:35">
      <c r="B22" t="s">
        <v>160</v>
      </c>
      <c r="C22" s="241">
        <f>'Overall recycling rates'!H40*'Overall recycling rates'!$H$59</f>
        <v>15.411652838283871</v>
      </c>
      <c r="D22" s="121">
        <f t="shared" ref="D22:D23" si="10">$C22/$C$24</f>
        <v>0.63527312382274215</v>
      </c>
      <c r="E22" s="2"/>
      <c r="F22" s="2"/>
      <c r="G22" s="2"/>
      <c r="I22" s="699"/>
      <c r="L22" t="s">
        <v>160</v>
      </c>
      <c r="M22" s="241">
        <f>'Overall recycling rates'!H12*'Overall recycling rates'!$H$59</f>
        <v>8299.9573216805256</v>
      </c>
      <c r="N22" s="121">
        <f>$M22/$M$24</f>
        <v>0.59203807235419537</v>
      </c>
      <c r="P22" s="2"/>
      <c r="Q22" s="2"/>
      <c r="R22" s="2"/>
      <c r="T22" s="26"/>
      <c r="W22" s="22"/>
      <c r="X22" s="22"/>
      <c r="Y22" s="22"/>
      <c r="Z22" s="22"/>
    </row>
    <row r="23" spans="2:35">
      <c r="B23" t="s">
        <v>27</v>
      </c>
      <c r="C23" s="241">
        <f>'Overall recycling rates'!I40*'Overall recycling rates'!$I$59</f>
        <v>8.8482320212307091</v>
      </c>
      <c r="D23" s="121">
        <f t="shared" si="10"/>
        <v>0.36472687617725796</v>
      </c>
      <c r="E23" s="53"/>
      <c r="F23" s="53"/>
      <c r="G23" s="53"/>
      <c r="I23" s="699"/>
      <c r="L23" t="s">
        <v>27</v>
      </c>
      <c r="M23" s="241">
        <f>'Overall recycling rates'!I12*'Overall recycling rates'!$I$59</f>
        <v>5718.2664768656659</v>
      </c>
      <c r="N23" s="121">
        <f>$M23/$M$24</f>
        <v>0.40788540602829304</v>
      </c>
      <c r="P23" s="53"/>
      <c r="Q23" s="53"/>
      <c r="R23" s="53"/>
      <c r="T23" s="26"/>
    </row>
    <row r="24" spans="2:35">
      <c r="C24" s="241">
        <f>SUM(C21:C23)</f>
        <v>24.259884859514578</v>
      </c>
      <c r="D24" s="2">
        <f>SUM(D21:D23)</f>
        <v>1</v>
      </c>
      <c r="E24" s="2"/>
      <c r="F24" s="2"/>
      <c r="G24" s="2"/>
      <c r="M24" s="41">
        <f>SUM(M21:M23)</f>
        <v>14019.2965777967</v>
      </c>
      <c r="N24" s="2">
        <f>SUM(N21:N23)</f>
        <v>1</v>
      </c>
      <c r="P24" s="2"/>
      <c r="Q24" s="2"/>
      <c r="R24" s="2"/>
      <c r="V24" s="359"/>
      <c r="W24" s="359"/>
      <c r="X24" s="359"/>
      <c r="Y24" s="359"/>
      <c r="Z24" s="359"/>
    </row>
    <row r="25" spans="2:35">
      <c r="V25" s="359"/>
      <c r="W25" s="359"/>
      <c r="X25" s="359"/>
      <c r="Y25" s="359"/>
      <c r="Z25" s="359"/>
    </row>
    <row r="26" spans="2:35">
      <c r="B26" t="s">
        <v>27</v>
      </c>
      <c r="D26" t="s">
        <v>815</v>
      </c>
      <c r="L26" t="s">
        <v>27</v>
      </c>
      <c r="N26" t="s">
        <v>815</v>
      </c>
    </row>
    <row r="27" spans="2:35" ht="14.5" customHeight="1">
      <c r="B27" t="s">
        <v>35</v>
      </c>
      <c r="C27" s="241">
        <f>'Overall recycling rates'!G43*'Overall recycling rates'!$G$59</f>
        <v>0</v>
      </c>
      <c r="D27" s="121">
        <f>$C27/$C$30</f>
        <v>0</v>
      </c>
      <c r="I27" s="699" t="s">
        <v>826</v>
      </c>
      <c r="L27" t="s">
        <v>35</v>
      </c>
      <c r="M27" s="241">
        <f>'Overall recycling rates'!G16*'Overall recycling rates'!$G$59</f>
        <v>0</v>
      </c>
      <c r="N27" s="121">
        <f>$M27/$L$30</f>
        <v>0</v>
      </c>
      <c r="T27" s="26" t="s">
        <v>827</v>
      </c>
    </row>
    <row r="28" spans="2:35">
      <c r="B28" t="s">
        <v>160</v>
      </c>
      <c r="C28" s="241">
        <f>'Overall recycling rates'!H43*'Overall recycling rates'!$H$59</f>
        <v>1504.0986044634001</v>
      </c>
      <c r="D28" s="121">
        <f t="shared" ref="D28:D29" si="11">$C28/$C$30</f>
        <v>0.30872851836327636</v>
      </c>
      <c r="I28" s="699"/>
      <c r="L28" t="s">
        <v>160</v>
      </c>
      <c r="M28" s="241">
        <f>'Overall recycling rates'!H16*'Overall recycling rates'!$H$59</f>
        <v>37850.299540729546</v>
      </c>
      <c r="N28" s="121">
        <f>$M28/$L$30</f>
        <v>0.30872851836327636</v>
      </c>
      <c r="T28" s="26"/>
    </row>
    <row r="29" spans="2:35">
      <c r="B29" t="s">
        <v>27</v>
      </c>
      <c r="C29" s="241">
        <f>'Overall recycling rates'!I43*'Overall recycling rates'!$I$59</f>
        <v>3367.8147919321646</v>
      </c>
      <c r="D29" s="121">
        <f t="shared" si="11"/>
        <v>0.69127148163672369</v>
      </c>
      <c r="I29" s="699"/>
      <c r="L29" t="s">
        <v>27</v>
      </c>
      <c r="M29" s="241">
        <f>'Overall recycling rates'!I16*'Overall recycling rates'!$I$59</f>
        <v>84750.29382652021</v>
      </c>
      <c r="N29" s="121">
        <f>$M29/$L$30</f>
        <v>0.69127148163672358</v>
      </c>
      <c r="T29" s="26"/>
    </row>
    <row r="30" spans="2:35">
      <c r="C30" s="241">
        <f>SUM(C27:C29)</f>
        <v>4871.9133963955646</v>
      </c>
      <c r="D30" s="2">
        <f>SUM(D27:D29)</f>
        <v>1</v>
      </c>
      <c r="L30" s="41">
        <f>SUM(M27:M29)</f>
        <v>122600.59336724976</v>
      </c>
      <c r="M30" s="2">
        <f>SUM(N27:N29)</f>
        <v>1</v>
      </c>
    </row>
    <row r="32" spans="2:35" s="254" customFormat="1" ht="15.5" thickBot="1">
      <c r="E32" s="254">
        <v>2020</v>
      </c>
      <c r="F32" s="254">
        <f>E32+1</f>
        <v>2021</v>
      </c>
      <c r="G32" s="254">
        <f t="shared" ref="G32:AI32" si="12">F32+1</f>
        <v>2022</v>
      </c>
      <c r="H32" s="254">
        <f t="shared" si="12"/>
        <v>2023</v>
      </c>
      <c r="I32" s="254">
        <f t="shared" si="12"/>
        <v>2024</v>
      </c>
      <c r="J32" s="254">
        <f t="shared" si="12"/>
        <v>2025</v>
      </c>
      <c r="K32" s="254">
        <f t="shared" si="12"/>
        <v>2026</v>
      </c>
      <c r="L32" s="254">
        <f t="shared" si="12"/>
        <v>2027</v>
      </c>
      <c r="M32" s="254">
        <f t="shared" si="12"/>
        <v>2028</v>
      </c>
      <c r="N32" s="254">
        <f t="shared" si="12"/>
        <v>2029</v>
      </c>
      <c r="O32" s="254">
        <f t="shared" si="12"/>
        <v>2030</v>
      </c>
      <c r="P32" s="254">
        <f t="shared" si="12"/>
        <v>2031</v>
      </c>
      <c r="Q32" s="254">
        <f t="shared" si="12"/>
        <v>2032</v>
      </c>
      <c r="R32" s="254">
        <f t="shared" si="12"/>
        <v>2033</v>
      </c>
      <c r="S32" s="254">
        <f t="shared" si="12"/>
        <v>2034</v>
      </c>
      <c r="T32" s="254">
        <f t="shared" si="12"/>
        <v>2035</v>
      </c>
      <c r="U32" s="254">
        <f t="shared" si="12"/>
        <v>2036</v>
      </c>
      <c r="V32" s="254">
        <f t="shared" si="12"/>
        <v>2037</v>
      </c>
      <c r="W32" s="254">
        <f t="shared" si="12"/>
        <v>2038</v>
      </c>
      <c r="X32" s="254">
        <f t="shared" si="12"/>
        <v>2039</v>
      </c>
      <c r="Y32" s="254">
        <f t="shared" si="12"/>
        <v>2040</v>
      </c>
      <c r="Z32" s="254">
        <f t="shared" si="12"/>
        <v>2041</v>
      </c>
      <c r="AA32" s="254">
        <f t="shared" si="12"/>
        <v>2042</v>
      </c>
      <c r="AB32" s="254">
        <f>AA32+1</f>
        <v>2043</v>
      </c>
      <c r="AC32" s="254">
        <f t="shared" si="12"/>
        <v>2044</v>
      </c>
      <c r="AD32" s="254">
        <f t="shared" si="12"/>
        <v>2045</v>
      </c>
      <c r="AE32" s="254">
        <f t="shared" si="12"/>
        <v>2046</v>
      </c>
      <c r="AF32" s="254">
        <f t="shared" si="12"/>
        <v>2047</v>
      </c>
      <c r="AG32" s="254">
        <f t="shared" si="12"/>
        <v>2048</v>
      </c>
      <c r="AH32" s="254">
        <f t="shared" si="12"/>
        <v>2049</v>
      </c>
      <c r="AI32" s="254">
        <f t="shared" si="12"/>
        <v>2050</v>
      </c>
    </row>
    <row r="33" spans="1:35">
      <c r="A33" s="289"/>
      <c r="B33" t="s">
        <v>17</v>
      </c>
      <c r="C33" t="s">
        <v>815</v>
      </c>
      <c r="D33" t="s">
        <v>35</v>
      </c>
      <c r="E33" s="157">
        <f>D3</f>
        <v>1</v>
      </c>
      <c r="F33" s="157">
        <f>-($E33-$AI33)/30+E33</f>
        <v>0.96666921738725042</v>
      </c>
      <c r="G33" s="157">
        <f t="shared" ref="G33:AH33" si="13">-($E33-$AI33)/30+F33</f>
        <v>0.93333843477450085</v>
      </c>
      <c r="H33" s="157">
        <f t="shared" si="13"/>
        <v>0.90000765216175127</v>
      </c>
      <c r="I33" s="157">
        <f t="shared" si="13"/>
        <v>0.86667686954900169</v>
      </c>
      <c r="J33" s="157">
        <f t="shared" si="13"/>
        <v>0.83334608693625212</v>
      </c>
      <c r="K33" s="157">
        <f t="shared" si="13"/>
        <v>0.80001530432350254</v>
      </c>
      <c r="L33" s="157">
        <f t="shared" si="13"/>
        <v>0.76668452171075296</v>
      </c>
      <c r="M33" s="157">
        <f t="shared" si="13"/>
        <v>0.73335373909800339</v>
      </c>
      <c r="N33" s="157">
        <f t="shared" si="13"/>
        <v>0.70002295648525381</v>
      </c>
      <c r="O33" s="157">
        <f t="shared" si="13"/>
        <v>0.66669217387250423</v>
      </c>
      <c r="P33" s="157">
        <f t="shared" si="13"/>
        <v>0.63336139125975466</v>
      </c>
      <c r="Q33" s="157">
        <f t="shared" si="13"/>
        <v>0.60003060864700508</v>
      </c>
      <c r="R33" s="157">
        <f t="shared" si="13"/>
        <v>0.5666998260342555</v>
      </c>
      <c r="S33" s="157">
        <f t="shared" si="13"/>
        <v>0.53336904342150593</v>
      </c>
      <c r="T33" s="157">
        <f t="shared" si="13"/>
        <v>0.50003826080875635</v>
      </c>
      <c r="U33" s="157">
        <f t="shared" si="13"/>
        <v>0.46670747819600672</v>
      </c>
      <c r="V33" s="157">
        <f t="shared" si="13"/>
        <v>0.43337669558325709</v>
      </c>
      <c r="W33" s="157">
        <f t="shared" si="13"/>
        <v>0.40004591297050746</v>
      </c>
      <c r="X33" s="157">
        <f t="shared" si="13"/>
        <v>0.36671513035775782</v>
      </c>
      <c r="Y33" s="157">
        <f t="shared" si="13"/>
        <v>0.33338434774500819</v>
      </c>
      <c r="Z33" s="157">
        <f t="shared" si="13"/>
        <v>0.30005356513225856</v>
      </c>
      <c r="AA33" s="157">
        <f t="shared" si="13"/>
        <v>0.26672278251950893</v>
      </c>
      <c r="AB33" s="157">
        <f t="shared" si="13"/>
        <v>0.23339199990675932</v>
      </c>
      <c r="AC33" s="157">
        <f t="shared" si="13"/>
        <v>0.20006121729400972</v>
      </c>
      <c r="AD33" s="157">
        <f t="shared" si="13"/>
        <v>0.16673043468126011</v>
      </c>
      <c r="AE33" s="157">
        <f t="shared" si="13"/>
        <v>0.13339965206851051</v>
      </c>
      <c r="AF33" s="157">
        <f t="shared" si="13"/>
        <v>0.10006886945576091</v>
      </c>
      <c r="AG33" s="157">
        <f t="shared" si="13"/>
        <v>6.6738086843011302E-2</v>
      </c>
      <c r="AH33" s="157">
        <f t="shared" si="13"/>
        <v>3.340730423026169E-2</v>
      </c>
      <c r="AI33" s="157">
        <f>N3</f>
        <v>7.6521617511585656E-5</v>
      </c>
    </row>
    <row r="34" spans="1:35">
      <c r="A34" s="289"/>
      <c r="B34" t="s">
        <v>17</v>
      </c>
      <c r="C34" t="s">
        <v>815</v>
      </c>
      <c r="D34" t="s">
        <v>160</v>
      </c>
      <c r="E34" s="157">
        <f>D4</f>
        <v>0</v>
      </c>
      <c r="F34" s="157">
        <f t="shared" ref="F34:AH38" si="14">-($E34-$AI34)/30+E34</f>
        <v>1.9734602411806513E-2</v>
      </c>
      <c r="G34" s="157">
        <f t="shared" si="14"/>
        <v>3.9469204823613026E-2</v>
      </c>
      <c r="H34" s="157">
        <f t="shared" si="14"/>
        <v>5.9203807235419542E-2</v>
      </c>
      <c r="I34" s="157">
        <f t="shared" si="14"/>
        <v>7.8938409647226052E-2</v>
      </c>
      <c r="J34" s="157">
        <f t="shared" si="14"/>
        <v>9.8673012059032561E-2</v>
      </c>
      <c r="K34" s="157">
        <f t="shared" si="14"/>
        <v>0.11840761447083907</v>
      </c>
      <c r="L34" s="157">
        <f t="shared" si="14"/>
        <v>0.13814221688264558</v>
      </c>
      <c r="M34" s="157">
        <f t="shared" si="14"/>
        <v>0.1578768192944521</v>
      </c>
      <c r="N34" s="157">
        <f t="shared" si="14"/>
        <v>0.17761142170625863</v>
      </c>
      <c r="O34" s="157">
        <f t="shared" si="14"/>
        <v>0.19734602411806515</v>
      </c>
      <c r="P34" s="157">
        <f t="shared" si="14"/>
        <v>0.21708062652987167</v>
      </c>
      <c r="Q34" s="157">
        <f t="shared" si="14"/>
        <v>0.2368152289416782</v>
      </c>
      <c r="R34" s="157">
        <f t="shared" si="14"/>
        <v>0.25654983135348469</v>
      </c>
      <c r="S34" s="157">
        <f t="shared" si="14"/>
        <v>0.27628443376529122</v>
      </c>
      <c r="T34" s="157">
        <f t="shared" si="14"/>
        <v>0.29601903617709774</v>
      </c>
      <c r="U34" s="157">
        <f t="shared" si="14"/>
        <v>0.31575363858890426</v>
      </c>
      <c r="V34" s="157">
        <f t="shared" si="14"/>
        <v>0.33548824100071079</v>
      </c>
      <c r="W34" s="157">
        <f t="shared" si="14"/>
        <v>0.35522284341251731</v>
      </c>
      <c r="X34" s="157">
        <f t="shared" si="14"/>
        <v>0.37495744582432383</v>
      </c>
      <c r="Y34" s="157">
        <f t="shared" si="14"/>
        <v>0.39469204823613036</v>
      </c>
      <c r="Z34" s="157">
        <f t="shared" si="14"/>
        <v>0.41442665064793688</v>
      </c>
      <c r="AA34" s="157">
        <f t="shared" si="14"/>
        <v>0.4341612530597434</v>
      </c>
      <c r="AB34" s="157">
        <f t="shared" si="14"/>
        <v>0.45389585547154992</v>
      </c>
      <c r="AC34" s="157">
        <f t="shared" si="14"/>
        <v>0.47363045788335645</v>
      </c>
      <c r="AD34" s="157">
        <f t="shared" si="14"/>
        <v>0.49336506029516297</v>
      </c>
      <c r="AE34" s="157">
        <f t="shared" si="14"/>
        <v>0.51309966270696949</v>
      </c>
      <c r="AF34" s="157">
        <f t="shared" si="14"/>
        <v>0.53283426511877596</v>
      </c>
      <c r="AG34" s="157">
        <f t="shared" si="14"/>
        <v>0.55256886753058243</v>
      </c>
      <c r="AH34" s="157">
        <f t="shared" si="14"/>
        <v>0.5723034699423889</v>
      </c>
      <c r="AI34" s="157">
        <f>N4</f>
        <v>0.59203807235419537</v>
      </c>
    </row>
    <row r="35" spans="1:35">
      <c r="A35" s="289"/>
      <c r="B35" t="s">
        <v>17</v>
      </c>
      <c r="C35" t="s">
        <v>815</v>
      </c>
      <c r="D35" t="s">
        <v>27</v>
      </c>
      <c r="E35" s="157">
        <f>D5</f>
        <v>0</v>
      </c>
      <c r="F35" s="157">
        <f t="shared" si="14"/>
        <v>1.3596180200943102E-2</v>
      </c>
      <c r="G35" s="157">
        <f t="shared" si="14"/>
        <v>2.7192360401886204E-2</v>
      </c>
      <c r="H35" s="157">
        <f t="shared" si="14"/>
        <v>4.0788540602829305E-2</v>
      </c>
      <c r="I35" s="157">
        <f t="shared" si="14"/>
        <v>5.4384720803772407E-2</v>
      </c>
      <c r="J35" s="157">
        <f t="shared" si="14"/>
        <v>6.7980901004715516E-2</v>
      </c>
      <c r="K35" s="157">
        <f t="shared" si="14"/>
        <v>8.1577081205658625E-2</v>
      </c>
      <c r="L35" s="157">
        <f t="shared" si="14"/>
        <v>9.5173261406601734E-2</v>
      </c>
      <c r="M35" s="157">
        <f t="shared" si="14"/>
        <v>0.10876944160754484</v>
      </c>
      <c r="N35" s="157">
        <f t="shared" si="14"/>
        <v>0.12236562180848795</v>
      </c>
      <c r="O35" s="157">
        <f t="shared" si="14"/>
        <v>0.13596180200943106</v>
      </c>
      <c r="P35" s="157">
        <f t="shared" si="14"/>
        <v>0.14955798221037417</v>
      </c>
      <c r="Q35" s="157">
        <f t="shared" si="14"/>
        <v>0.16315416241131728</v>
      </c>
      <c r="R35" s="157">
        <f t="shared" si="14"/>
        <v>0.17675034261226039</v>
      </c>
      <c r="S35" s="157">
        <f t="shared" si="14"/>
        <v>0.19034652281320349</v>
      </c>
      <c r="T35" s="157">
        <f t="shared" si="14"/>
        <v>0.2039427030141466</v>
      </c>
      <c r="U35" s="157">
        <f t="shared" si="14"/>
        <v>0.21753888321508971</v>
      </c>
      <c r="V35" s="157">
        <f t="shared" si="14"/>
        <v>0.23113506341603282</v>
      </c>
      <c r="W35" s="157">
        <f t="shared" si="14"/>
        <v>0.24473124361697593</v>
      </c>
      <c r="X35" s="157">
        <f t="shared" si="14"/>
        <v>0.25832742381791901</v>
      </c>
      <c r="Y35" s="157">
        <f t="shared" si="14"/>
        <v>0.27192360401886212</v>
      </c>
      <c r="Z35" s="157">
        <f t="shared" si="14"/>
        <v>0.28551978421980523</v>
      </c>
      <c r="AA35" s="157">
        <f t="shared" si="14"/>
        <v>0.29911596442074834</v>
      </c>
      <c r="AB35" s="157">
        <f t="shared" si="14"/>
        <v>0.31271214462169145</v>
      </c>
      <c r="AC35" s="157">
        <f t="shared" si="14"/>
        <v>0.32630832482263455</v>
      </c>
      <c r="AD35" s="157">
        <f t="shared" si="14"/>
        <v>0.33990450502357766</v>
      </c>
      <c r="AE35" s="157">
        <f t="shared" si="14"/>
        <v>0.35350068522452077</v>
      </c>
      <c r="AF35" s="157">
        <f t="shared" si="14"/>
        <v>0.36709686542546388</v>
      </c>
      <c r="AG35" s="157">
        <f t="shared" si="14"/>
        <v>0.38069304562640699</v>
      </c>
      <c r="AH35" s="157">
        <f t="shared" si="14"/>
        <v>0.3942892258273501</v>
      </c>
      <c r="AI35" s="157">
        <f>N5</f>
        <v>0.40788540602829304</v>
      </c>
    </row>
    <row r="36" spans="1:35" s="62" customFormat="1">
      <c r="A36" s="286"/>
      <c r="B36" s="62" t="s">
        <v>17</v>
      </c>
      <c r="C36" s="62" t="s">
        <v>816</v>
      </c>
      <c r="D36" t="s">
        <v>35</v>
      </c>
      <c r="E36" s="188">
        <f>E3</f>
        <v>1</v>
      </c>
      <c r="F36" s="188">
        <f t="shared" si="14"/>
        <v>0.96666921738725042</v>
      </c>
      <c r="G36" s="188">
        <f t="shared" si="14"/>
        <v>0.93333843477450085</v>
      </c>
      <c r="H36" s="188">
        <f t="shared" si="14"/>
        <v>0.90000765216175127</v>
      </c>
      <c r="I36" s="188">
        <f t="shared" si="14"/>
        <v>0.86667686954900169</v>
      </c>
      <c r="J36" s="188">
        <f t="shared" si="14"/>
        <v>0.83334608693625212</v>
      </c>
      <c r="K36" s="188">
        <f t="shared" si="14"/>
        <v>0.80001530432350254</v>
      </c>
      <c r="L36" s="188">
        <f t="shared" si="14"/>
        <v>0.76668452171075296</v>
      </c>
      <c r="M36" s="188">
        <f t="shared" si="14"/>
        <v>0.73335373909800339</v>
      </c>
      <c r="N36" s="188">
        <f t="shared" si="14"/>
        <v>0.70002295648525381</v>
      </c>
      <c r="O36" s="188">
        <f t="shared" si="14"/>
        <v>0.66669217387250423</v>
      </c>
      <c r="P36" s="188">
        <f t="shared" si="14"/>
        <v>0.63336139125975466</v>
      </c>
      <c r="Q36" s="188">
        <f t="shared" si="14"/>
        <v>0.60003060864700508</v>
      </c>
      <c r="R36" s="188">
        <f t="shared" si="14"/>
        <v>0.5666998260342555</v>
      </c>
      <c r="S36" s="188">
        <f t="shared" si="14"/>
        <v>0.53336904342150593</v>
      </c>
      <c r="T36" s="188">
        <f t="shared" si="14"/>
        <v>0.50003826080875635</v>
      </c>
      <c r="U36" s="188">
        <f t="shared" si="14"/>
        <v>0.46670747819600672</v>
      </c>
      <c r="V36" s="188">
        <f t="shared" si="14"/>
        <v>0.43337669558325709</v>
      </c>
      <c r="W36" s="188">
        <f t="shared" si="14"/>
        <v>0.40004591297050746</v>
      </c>
      <c r="X36" s="188">
        <f t="shared" si="14"/>
        <v>0.36671513035775782</v>
      </c>
      <c r="Y36" s="188">
        <f t="shared" si="14"/>
        <v>0.33338434774500819</v>
      </c>
      <c r="Z36" s="188">
        <f t="shared" si="14"/>
        <v>0.30005356513225856</v>
      </c>
      <c r="AA36" s="188">
        <f t="shared" si="14"/>
        <v>0.26672278251950893</v>
      </c>
      <c r="AB36" s="188">
        <f t="shared" si="14"/>
        <v>0.23339199990675932</v>
      </c>
      <c r="AC36" s="188">
        <f t="shared" si="14"/>
        <v>0.20006121729400972</v>
      </c>
      <c r="AD36" s="188">
        <f t="shared" si="14"/>
        <v>0.16673043468126011</v>
      </c>
      <c r="AE36" s="188">
        <f t="shared" si="14"/>
        <v>0.13339965206851051</v>
      </c>
      <c r="AF36" s="188">
        <f t="shared" si="14"/>
        <v>0.10006886945576091</v>
      </c>
      <c r="AG36" s="188">
        <f t="shared" si="14"/>
        <v>6.6738086843011302E-2</v>
      </c>
      <c r="AH36" s="188">
        <f t="shared" si="14"/>
        <v>3.340730423026169E-2</v>
      </c>
      <c r="AI36" s="188">
        <f>O3</f>
        <v>7.6521617511585656E-5</v>
      </c>
    </row>
    <row r="37" spans="1:35">
      <c r="A37" s="289"/>
      <c r="B37" t="s">
        <v>17</v>
      </c>
      <c r="C37" t="s">
        <v>816</v>
      </c>
      <c r="D37" t="s">
        <v>160</v>
      </c>
      <c r="E37" s="157">
        <f>E4</f>
        <v>0</v>
      </c>
      <c r="F37" s="157">
        <f t="shared" si="14"/>
        <v>1.9734602411806513E-2</v>
      </c>
      <c r="G37" s="157">
        <f t="shared" si="14"/>
        <v>3.9469204823613026E-2</v>
      </c>
      <c r="H37" s="157">
        <f t="shared" si="14"/>
        <v>5.9203807235419542E-2</v>
      </c>
      <c r="I37" s="157">
        <f t="shared" si="14"/>
        <v>7.8938409647226052E-2</v>
      </c>
      <c r="J37" s="157">
        <f t="shared" si="14"/>
        <v>9.8673012059032561E-2</v>
      </c>
      <c r="K37" s="157">
        <f t="shared" si="14"/>
        <v>0.11840761447083907</v>
      </c>
      <c r="L37" s="157">
        <f t="shared" si="14"/>
        <v>0.13814221688264558</v>
      </c>
      <c r="M37" s="157">
        <f t="shared" si="14"/>
        <v>0.1578768192944521</v>
      </c>
      <c r="N37" s="157">
        <f t="shared" si="14"/>
        <v>0.17761142170625863</v>
      </c>
      <c r="O37" s="157">
        <f t="shared" si="14"/>
        <v>0.19734602411806515</v>
      </c>
      <c r="P37" s="157">
        <f t="shared" si="14"/>
        <v>0.21708062652987167</v>
      </c>
      <c r="Q37" s="157">
        <f t="shared" si="14"/>
        <v>0.2368152289416782</v>
      </c>
      <c r="R37" s="157">
        <f t="shared" si="14"/>
        <v>0.25654983135348469</v>
      </c>
      <c r="S37" s="157">
        <f t="shared" si="14"/>
        <v>0.27628443376529122</v>
      </c>
      <c r="T37" s="157">
        <f t="shared" si="14"/>
        <v>0.29601903617709774</v>
      </c>
      <c r="U37" s="157">
        <f t="shared" si="14"/>
        <v>0.31575363858890426</v>
      </c>
      <c r="V37" s="157">
        <f t="shared" si="14"/>
        <v>0.33548824100071079</v>
      </c>
      <c r="W37" s="157">
        <f t="shared" si="14"/>
        <v>0.35522284341251731</v>
      </c>
      <c r="X37" s="157">
        <f t="shared" si="14"/>
        <v>0.37495744582432383</v>
      </c>
      <c r="Y37" s="157">
        <f t="shared" si="14"/>
        <v>0.39469204823613036</v>
      </c>
      <c r="Z37" s="157">
        <f t="shared" si="14"/>
        <v>0.41442665064793688</v>
      </c>
      <c r="AA37" s="157">
        <f t="shared" si="14"/>
        <v>0.4341612530597434</v>
      </c>
      <c r="AB37" s="157">
        <f t="shared" si="14"/>
        <v>0.45389585547154992</v>
      </c>
      <c r="AC37" s="157">
        <f t="shared" si="14"/>
        <v>0.47363045788335645</v>
      </c>
      <c r="AD37" s="157">
        <f t="shared" si="14"/>
        <v>0.49336506029516297</v>
      </c>
      <c r="AE37" s="157">
        <f t="shared" si="14"/>
        <v>0.51309966270696949</v>
      </c>
      <c r="AF37" s="157">
        <f t="shared" si="14"/>
        <v>0.53283426511877596</v>
      </c>
      <c r="AG37" s="157">
        <f t="shared" si="14"/>
        <v>0.55256886753058243</v>
      </c>
      <c r="AH37" s="157">
        <f t="shared" si="14"/>
        <v>0.5723034699423889</v>
      </c>
      <c r="AI37" s="157">
        <f>O4</f>
        <v>0.59203807235419537</v>
      </c>
    </row>
    <row r="38" spans="1:35">
      <c r="A38" s="289"/>
      <c r="B38" t="s">
        <v>17</v>
      </c>
      <c r="C38" t="s">
        <v>816</v>
      </c>
      <c r="D38" t="s">
        <v>27</v>
      </c>
      <c r="E38" s="157">
        <f>E5</f>
        <v>0</v>
      </c>
      <c r="F38" s="157">
        <f t="shared" si="14"/>
        <v>1.3596180200943102E-2</v>
      </c>
      <c r="G38" s="157">
        <f t="shared" si="14"/>
        <v>2.7192360401886204E-2</v>
      </c>
      <c r="H38" s="157">
        <f t="shared" si="14"/>
        <v>4.0788540602829305E-2</v>
      </c>
      <c r="I38" s="157">
        <f t="shared" si="14"/>
        <v>5.4384720803772407E-2</v>
      </c>
      <c r="J38" s="157">
        <f t="shared" si="14"/>
        <v>6.7980901004715516E-2</v>
      </c>
      <c r="K38" s="157">
        <f t="shared" si="14"/>
        <v>8.1577081205658625E-2</v>
      </c>
      <c r="L38" s="157">
        <f t="shared" si="14"/>
        <v>9.5173261406601734E-2</v>
      </c>
      <c r="M38" s="157">
        <f t="shared" si="14"/>
        <v>0.10876944160754484</v>
      </c>
      <c r="N38" s="157">
        <f t="shared" si="14"/>
        <v>0.12236562180848795</v>
      </c>
      <c r="O38" s="157">
        <f t="shared" si="14"/>
        <v>0.13596180200943106</v>
      </c>
      <c r="P38" s="157">
        <f t="shared" si="14"/>
        <v>0.14955798221037417</v>
      </c>
      <c r="Q38" s="157">
        <f t="shared" si="14"/>
        <v>0.16315416241131728</v>
      </c>
      <c r="R38" s="157">
        <f t="shared" si="14"/>
        <v>0.17675034261226039</v>
      </c>
      <c r="S38" s="157">
        <f t="shared" si="14"/>
        <v>0.19034652281320349</v>
      </c>
      <c r="T38" s="157">
        <f t="shared" si="14"/>
        <v>0.2039427030141466</v>
      </c>
      <c r="U38" s="157">
        <f t="shared" si="14"/>
        <v>0.21753888321508971</v>
      </c>
      <c r="V38" s="157">
        <f t="shared" si="14"/>
        <v>0.23113506341603282</v>
      </c>
      <c r="W38" s="157">
        <f t="shared" si="14"/>
        <v>0.24473124361697593</v>
      </c>
      <c r="X38" s="157">
        <f t="shared" si="14"/>
        <v>0.25832742381791901</v>
      </c>
      <c r="Y38" s="157">
        <f t="shared" si="14"/>
        <v>0.27192360401886212</v>
      </c>
      <c r="Z38" s="157">
        <f t="shared" si="14"/>
        <v>0.28551978421980523</v>
      </c>
      <c r="AA38" s="157">
        <f t="shared" si="14"/>
        <v>0.29911596442074834</v>
      </c>
      <c r="AB38" s="157">
        <f t="shared" si="14"/>
        <v>0.31271214462169145</v>
      </c>
      <c r="AC38" s="157">
        <f t="shared" si="14"/>
        <v>0.32630832482263455</v>
      </c>
      <c r="AD38" s="157">
        <f t="shared" si="14"/>
        <v>0.33990450502357766</v>
      </c>
      <c r="AE38" s="157">
        <f t="shared" si="14"/>
        <v>0.35350068522452077</v>
      </c>
      <c r="AF38" s="157">
        <f t="shared" si="14"/>
        <v>0.36709686542546388</v>
      </c>
      <c r="AG38" s="157">
        <f t="shared" si="14"/>
        <v>0.38069304562640699</v>
      </c>
      <c r="AH38" s="157">
        <f t="shared" si="14"/>
        <v>0.3942892258273501</v>
      </c>
      <c r="AI38" s="157">
        <f>O5</f>
        <v>0.40788540602829304</v>
      </c>
    </row>
    <row r="39" spans="1:35" s="62" customFormat="1">
      <c r="A39" s="286"/>
      <c r="B39" s="62" t="s">
        <v>17</v>
      </c>
      <c r="C39" s="62" t="s">
        <v>821</v>
      </c>
      <c r="D39" t="s">
        <v>35</v>
      </c>
      <c r="E39" s="188">
        <f>F3</f>
        <v>1</v>
      </c>
      <c r="F39" s="188">
        <f t="shared" ref="F39:AH44" si="15">-($E39-$AI39)/30+E39</f>
        <v>0.96666666666666667</v>
      </c>
      <c r="G39" s="188">
        <f t="shared" si="15"/>
        <v>0.93333333333333335</v>
      </c>
      <c r="H39" s="188">
        <f t="shared" si="15"/>
        <v>0.9</v>
      </c>
      <c r="I39" s="188">
        <f t="shared" si="15"/>
        <v>0.8666666666666667</v>
      </c>
      <c r="J39" s="188">
        <f t="shared" si="15"/>
        <v>0.83333333333333337</v>
      </c>
      <c r="K39" s="188">
        <f t="shared" si="15"/>
        <v>0.8</v>
      </c>
      <c r="L39" s="188">
        <f t="shared" si="15"/>
        <v>0.76666666666666672</v>
      </c>
      <c r="M39" s="188">
        <f t="shared" si="15"/>
        <v>0.73333333333333339</v>
      </c>
      <c r="N39" s="188">
        <f t="shared" si="15"/>
        <v>0.70000000000000007</v>
      </c>
      <c r="O39" s="188">
        <f t="shared" si="15"/>
        <v>0.66666666666666674</v>
      </c>
      <c r="P39" s="188">
        <f t="shared" si="15"/>
        <v>0.63333333333333341</v>
      </c>
      <c r="Q39" s="188">
        <f t="shared" si="15"/>
        <v>0.60000000000000009</v>
      </c>
      <c r="R39" s="188">
        <f t="shared" si="15"/>
        <v>0.56666666666666676</v>
      </c>
      <c r="S39" s="188">
        <f t="shared" si="15"/>
        <v>0.53333333333333344</v>
      </c>
      <c r="T39" s="188">
        <f t="shared" si="15"/>
        <v>0.50000000000000011</v>
      </c>
      <c r="U39" s="188">
        <f t="shared" si="15"/>
        <v>0.46666666666666679</v>
      </c>
      <c r="V39" s="188">
        <f t="shared" si="15"/>
        <v>0.43333333333333346</v>
      </c>
      <c r="W39" s="188">
        <f t="shared" si="15"/>
        <v>0.40000000000000013</v>
      </c>
      <c r="X39" s="188">
        <f t="shared" si="15"/>
        <v>0.36666666666666681</v>
      </c>
      <c r="Y39" s="188">
        <f t="shared" si="15"/>
        <v>0.33333333333333348</v>
      </c>
      <c r="Z39" s="188">
        <f t="shared" si="15"/>
        <v>0.30000000000000016</v>
      </c>
      <c r="AA39" s="188">
        <f t="shared" si="15"/>
        <v>0.26666666666666683</v>
      </c>
      <c r="AB39" s="188">
        <f t="shared" si="15"/>
        <v>0.2333333333333335</v>
      </c>
      <c r="AC39" s="188">
        <f t="shared" si="15"/>
        <v>0.20000000000000018</v>
      </c>
      <c r="AD39" s="188">
        <f t="shared" si="15"/>
        <v>0.16666666666666685</v>
      </c>
      <c r="AE39" s="188">
        <f t="shared" si="15"/>
        <v>0.13333333333333353</v>
      </c>
      <c r="AF39" s="188">
        <f t="shared" si="15"/>
        <v>0.1000000000000002</v>
      </c>
      <c r="AG39" s="188">
        <f t="shared" si="15"/>
        <v>6.6666666666666874E-2</v>
      </c>
      <c r="AH39" s="188">
        <f t="shared" si="15"/>
        <v>3.3333333333333541E-2</v>
      </c>
      <c r="AI39" s="188">
        <f>P3</f>
        <v>0</v>
      </c>
    </row>
    <row r="40" spans="1:35">
      <c r="A40" s="289"/>
      <c r="B40" t="s">
        <v>17</v>
      </c>
      <c r="C40" t="s">
        <v>821</v>
      </c>
      <c r="D40" t="s">
        <v>160</v>
      </c>
      <c r="E40" s="157">
        <f>F4</f>
        <v>0</v>
      </c>
      <c r="F40" s="157">
        <f t="shared" si="15"/>
        <v>1.6666666666666666E-2</v>
      </c>
      <c r="G40" s="157">
        <f t="shared" si="15"/>
        <v>3.3333333333333333E-2</v>
      </c>
      <c r="H40" s="157">
        <f t="shared" si="15"/>
        <v>0.05</v>
      </c>
      <c r="I40" s="157">
        <f t="shared" si="15"/>
        <v>6.6666666666666666E-2</v>
      </c>
      <c r="J40" s="157">
        <f t="shared" si="15"/>
        <v>8.3333333333333329E-2</v>
      </c>
      <c r="K40" s="157">
        <f t="shared" si="15"/>
        <v>9.9999999999999992E-2</v>
      </c>
      <c r="L40" s="157">
        <f t="shared" si="15"/>
        <v>0.11666666666666665</v>
      </c>
      <c r="M40" s="157">
        <f t="shared" si="15"/>
        <v>0.13333333333333333</v>
      </c>
      <c r="N40" s="157">
        <f t="shared" si="15"/>
        <v>0.15</v>
      </c>
      <c r="O40" s="157">
        <f t="shared" si="15"/>
        <v>0.16666666666666666</v>
      </c>
      <c r="P40" s="157">
        <f t="shared" si="15"/>
        <v>0.18333333333333332</v>
      </c>
      <c r="Q40" s="157">
        <f t="shared" si="15"/>
        <v>0.19999999999999998</v>
      </c>
      <c r="R40" s="157">
        <f t="shared" si="15"/>
        <v>0.21666666666666665</v>
      </c>
      <c r="S40" s="157">
        <f t="shared" si="15"/>
        <v>0.23333333333333331</v>
      </c>
      <c r="T40" s="157">
        <f t="shared" si="15"/>
        <v>0.24999999999999997</v>
      </c>
      <c r="U40" s="157">
        <f t="shared" si="15"/>
        <v>0.26666666666666666</v>
      </c>
      <c r="V40" s="157">
        <f t="shared" si="15"/>
        <v>0.28333333333333333</v>
      </c>
      <c r="W40" s="157">
        <f t="shared" si="15"/>
        <v>0.3</v>
      </c>
      <c r="X40" s="157">
        <f t="shared" si="15"/>
        <v>0.31666666666666665</v>
      </c>
      <c r="Y40" s="157">
        <f t="shared" si="15"/>
        <v>0.33333333333333331</v>
      </c>
      <c r="Z40" s="157">
        <f t="shared" si="15"/>
        <v>0.35</v>
      </c>
      <c r="AA40" s="157">
        <f t="shared" si="15"/>
        <v>0.36666666666666664</v>
      </c>
      <c r="AB40" s="157">
        <f t="shared" si="15"/>
        <v>0.3833333333333333</v>
      </c>
      <c r="AC40" s="157">
        <f t="shared" si="15"/>
        <v>0.39999999999999997</v>
      </c>
      <c r="AD40" s="157">
        <f t="shared" si="15"/>
        <v>0.41666666666666663</v>
      </c>
      <c r="AE40" s="157">
        <f t="shared" si="15"/>
        <v>0.43333333333333329</v>
      </c>
      <c r="AF40" s="157">
        <f t="shared" si="15"/>
        <v>0.44999999999999996</v>
      </c>
      <c r="AG40" s="157">
        <f t="shared" si="15"/>
        <v>0.46666666666666662</v>
      </c>
      <c r="AH40" s="157">
        <f t="shared" si="15"/>
        <v>0.48333333333333328</v>
      </c>
      <c r="AI40" s="157">
        <f>P4</f>
        <v>0.5</v>
      </c>
    </row>
    <row r="41" spans="1:35">
      <c r="A41" s="289"/>
      <c r="B41" t="s">
        <v>17</v>
      </c>
      <c r="C41" t="s">
        <v>821</v>
      </c>
      <c r="D41" t="s">
        <v>27</v>
      </c>
      <c r="E41" s="157">
        <f>F5</f>
        <v>0</v>
      </c>
      <c r="F41" s="157">
        <f t="shared" si="15"/>
        <v>1.6666666666666666E-2</v>
      </c>
      <c r="G41" s="157">
        <f t="shared" si="15"/>
        <v>3.3333333333333333E-2</v>
      </c>
      <c r="H41" s="157">
        <f t="shared" si="15"/>
        <v>0.05</v>
      </c>
      <c r="I41" s="157">
        <f t="shared" si="15"/>
        <v>6.6666666666666666E-2</v>
      </c>
      <c r="J41" s="157">
        <f t="shared" si="15"/>
        <v>8.3333333333333329E-2</v>
      </c>
      <c r="K41" s="157">
        <f t="shared" si="15"/>
        <v>9.9999999999999992E-2</v>
      </c>
      <c r="L41" s="157">
        <f t="shared" si="15"/>
        <v>0.11666666666666665</v>
      </c>
      <c r="M41" s="157">
        <f t="shared" si="15"/>
        <v>0.13333333333333333</v>
      </c>
      <c r="N41" s="157">
        <f t="shared" si="15"/>
        <v>0.15</v>
      </c>
      <c r="O41" s="157">
        <f t="shared" si="15"/>
        <v>0.16666666666666666</v>
      </c>
      <c r="P41" s="157">
        <f t="shared" si="15"/>
        <v>0.18333333333333332</v>
      </c>
      <c r="Q41" s="157">
        <f t="shared" si="15"/>
        <v>0.19999999999999998</v>
      </c>
      <c r="R41" s="157">
        <f t="shared" si="15"/>
        <v>0.21666666666666665</v>
      </c>
      <c r="S41" s="157">
        <f t="shared" si="15"/>
        <v>0.23333333333333331</v>
      </c>
      <c r="T41" s="157">
        <f t="shared" si="15"/>
        <v>0.24999999999999997</v>
      </c>
      <c r="U41" s="157">
        <f t="shared" si="15"/>
        <v>0.26666666666666666</v>
      </c>
      <c r="V41" s="157">
        <f t="shared" si="15"/>
        <v>0.28333333333333333</v>
      </c>
      <c r="W41" s="157">
        <f t="shared" si="15"/>
        <v>0.3</v>
      </c>
      <c r="X41" s="157">
        <f t="shared" si="15"/>
        <v>0.31666666666666665</v>
      </c>
      <c r="Y41" s="157">
        <f t="shared" si="15"/>
        <v>0.33333333333333331</v>
      </c>
      <c r="Z41" s="157">
        <f t="shared" si="15"/>
        <v>0.35</v>
      </c>
      <c r="AA41" s="157">
        <f t="shared" si="15"/>
        <v>0.36666666666666664</v>
      </c>
      <c r="AB41" s="157">
        <f t="shared" si="15"/>
        <v>0.3833333333333333</v>
      </c>
      <c r="AC41" s="157">
        <f t="shared" si="15"/>
        <v>0.39999999999999997</v>
      </c>
      <c r="AD41" s="157">
        <f t="shared" si="15"/>
        <v>0.41666666666666663</v>
      </c>
      <c r="AE41" s="157">
        <f t="shared" si="15"/>
        <v>0.43333333333333329</v>
      </c>
      <c r="AF41" s="157">
        <f t="shared" si="15"/>
        <v>0.44999999999999996</v>
      </c>
      <c r="AG41" s="157">
        <f t="shared" si="15"/>
        <v>0.46666666666666662</v>
      </c>
      <c r="AH41" s="157">
        <f t="shared" si="15"/>
        <v>0.48333333333333328</v>
      </c>
      <c r="AI41" s="157">
        <f>P5</f>
        <v>0.5</v>
      </c>
    </row>
    <row r="42" spans="1:35" s="62" customFormat="1">
      <c r="A42" s="286"/>
      <c r="B42" s="62" t="s">
        <v>17</v>
      </c>
      <c r="C42" s="62" t="s">
        <v>817</v>
      </c>
      <c r="D42" t="s">
        <v>35</v>
      </c>
      <c r="E42" s="188">
        <f>G3</f>
        <v>1</v>
      </c>
      <c r="F42" s="188">
        <f t="shared" si="15"/>
        <v>0.96666666666666667</v>
      </c>
      <c r="G42" s="188">
        <f t="shared" si="15"/>
        <v>0.93333333333333335</v>
      </c>
      <c r="H42" s="188">
        <f t="shared" si="15"/>
        <v>0.9</v>
      </c>
      <c r="I42" s="188">
        <f t="shared" si="15"/>
        <v>0.8666666666666667</v>
      </c>
      <c r="J42" s="188">
        <f t="shared" si="15"/>
        <v>0.83333333333333337</v>
      </c>
      <c r="K42" s="188">
        <f t="shared" si="15"/>
        <v>0.8</v>
      </c>
      <c r="L42" s="188">
        <f t="shared" si="15"/>
        <v>0.76666666666666672</v>
      </c>
      <c r="M42" s="188">
        <f t="shared" si="15"/>
        <v>0.73333333333333339</v>
      </c>
      <c r="N42" s="188">
        <f t="shared" si="15"/>
        <v>0.70000000000000007</v>
      </c>
      <c r="O42" s="188">
        <f t="shared" si="15"/>
        <v>0.66666666666666674</v>
      </c>
      <c r="P42" s="188">
        <f t="shared" si="15"/>
        <v>0.63333333333333341</v>
      </c>
      <c r="Q42" s="188">
        <f t="shared" si="15"/>
        <v>0.60000000000000009</v>
      </c>
      <c r="R42" s="188">
        <f t="shared" si="15"/>
        <v>0.56666666666666676</v>
      </c>
      <c r="S42" s="188">
        <f t="shared" si="15"/>
        <v>0.53333333333333344</v>
      </c>
      <c r="T42" s="188">
        <f t="shared" si="15"/>
        <v>0.50000000000000011</v>
      </c>
      <c r="U42" s="188">
        <f t="shared" si="15"/>
        <v>0.46666666666666679</v>
      </c>
      <c r="V42" s="188">
        <f t="shared" si="15"/>
        <v>0.43333333333333346</v>
      </c>
      <c r="W42" s="188">
        <f t="shared" si="15"/>
        <v>0.40000000000000013</v>
      </c>
      <c r="X42" s="188">
        <f t="shared" si="15"/>
        <v>0.36666666666666681</v>
      </c>
      <c r="Y42" s="188">
        <f t="shared" si="15"/>
        <v>0.33333333333333348</v>
      </c>
      <c r="Z42" s="188">
        <f t="shared" si="15"/>
        <v>0.30000000000000016</v>
      </c>
      <c r="AA42" s="188">
        <f t="shared" si="15"/>
        <v>0.26666666666666683</v>
      </c>
      <c r="AB42" s="188">
        <f t="shared" si="15"/>
        <v>0.2333333333333335</v>
      </c>
      <c r="AC42" s="188">
        <f t="shared" si="15"/>
        <v>0.20000000000000018</v>
      </c>
      <c r="AD42" s="188">
        <f t="shared" si="15"/>
        <v>0.16666666666666685</v>
      </c>
      <c r="AE42" s="188">
        <f t="shared" si="15"/>
        <v>0.13333333333333353</v>
      </c>
      <c r="AF42" s="188">
        <f t="shared" si="15"/>
        <v>0.1000000000000002</v>
      </c>
      <c r="AG42" s="188">
        <f t="shared" si="15"/>
        <v>6.6666666666666874E-2</v>
      </c>
      <c r="AH42" s="188">
        <f t="shared" si="15"/>
        <v>3.3333333333333541E-2</v>
      </c>
      <c r="AI42" s="188">
        <f>Q3</f>
        <v>0</v>
      </c>
    </row>
    <row r="43" spans="1:35">
      <c r="A43" s="289"/>
      <c r="B43" t="s">
        <v>17</v>
      </c>
      <c r="C43" t="s">
        <v>817</v>
      </c>
      <c r="D43" t="s">
        <v>160</v>
      </c>
      <c r="E43" s="157">
        <f>G4</f>
        <v>0</v>
      </c>
      <c r="F43" s="157">
        <f t="shared" si="15"/>
        <v>1.6666666666666666E-2</v>
      </c>
      <c r="G43" s="157">
        <f t="shared" si="15"/>
        <v>3.3333333333333333E-2</v>
      </c>
      <c r="H43" s="157">
        <f t="shared" si="15"/>
        <v>0.05</v>
      </c>
      <c r="I43" s="157">
        <f t="shared" si="15"/>
        <v>6.6666666666666666E-2</v>
      </c>
      <c r="J43" s="157">
        <f t="shared" si="15"/>
        <v>8.3333333333333329E-2</v>
      </c>
      <c r="K43" s="157">
        <f t="shared" si="15"/>
        <v>9.9999999999999992E-2</v>
      </c>
      <c r="L43" s="157">
        <f t="shared" si="15"/>
        <v>0.11666666666666665</v>
      </c>
      <c r="M43" s="157">
        <f t="shared" si="15"/>
        <v>0.13333333333333333</v>
      </c>
      <c r="N43" s="157">
        <f t="shared" si="15"/>
        <v>0.15</v>
      </c>
      <c r="O43" s="157">
        <f t="shared" si="15"/>
        <v>0.16666666666666666</v>
      </c>
      <c r="P43" s="157">
        <f t="shared" si="15"/>
        <v>0.18333333333333332</v>
      </c>
      <c r="Q43" s="157">
        <f t="shared" si="15"/>
        <v>0.19999999999999998</v>
      </c>
      <c r="R43" s="157">
        <f t="shared" si="15"/>
        <v>0.21666666666666665</v>
      </c>
      <c r="S43" s="157">
        <f t="shared" si="15"/>
        <v>0.23333333333333331</v>
      </c>
      <c r="T43" s="157">
        <f t="shared" si="15"/>
        <v>0.24999999999999997</v>
      </c>
      <c r="U43" s="157">
        <f t="shared" si="15"/>
        <v>0.26666666666666666</v>
      </c>
      <c r="V43" s="157">
        <f t="shared" si="15"/>
        <v>0.28333333333333333</v>
      </c>
      <c r="W43" s="157">
        <f t="shared" si="15"/>
        <v>0.3</v>
      </c>
      <c r="X43" s="157">
        <f t="shared" si="15"/>
        <v>0.31666666666666665</v>
      </c>
      <c r="Y43" s="157">
        <f t="shared" si="15"/>
        <v>0.33333333333333331</v>
      </c>
      <c r="Z43" s="157">
        <f t="shared" si="15"/>
        <v>0.35</v>
      </c>
      <c r="AA43" s="157">
        <f t="shared" si="15"/>
        <v>0.36666666666666664</v>
      </c>
      <c r="AB43" s="157">
        <f t="shared" si="15"/>
        <v>0.3833333333333333</v>
      </c>
      <c r="AC43" s="157">
        <f t="shared" si="15"/>
        <v>0.39999999999999997</v>
      </c>
      <c r="AD43" s="157">
        <f t="shared" si="15"/>
        <v>0.41666666666666663</v>
      </c>
      <c r="AE43" s="157">
        <f t="shared" si="15"/>
        <v>0.43333333333333329</v>
      </c>
      <c r="AF43" s="157">
        <f t="shared" si="15"/>
        <v>0.44999999999999996</v>
      </c>
      <c r="AG43" s="157">
        <f t="shared" si="15"/>
        <v>0.46666666666666662</v>
      </c>
      <c r="AH43" s="157">
        <f t="shared" si="15"/>
        <v>0.48333333333333328</v>
      </c>
      <c r="AI43" s="157">
        <f>Q4</f>
        <v>0.5</v>
      </c>
    </row>
    <row r="44" spans="1:35">
      <c r="A44" s="289"/>
      <c r="B44" t="s">
        <v>17</v>
      </c>
      <c r="C44" t="s">
        <v>817</v>
      </c>
      <c r="D44" t="s">
        <v>27</v>
      </c>
      <c r="E44" s="157">
        <f>G5</f>
        <v>0</v>
      </c>
      <c r="F44" s="157">
        <f t="shared" si="15"/>
        <v>1.6666666666666666E-2</v>
      </c>
      <c r="G44" s="157">
        <f t="shared" si="15"/>
        <v>3.3333333333333333E-2</v>
      </c>
      <c r="H44" s="157">
        <f t="shared" si="15"/>
        <v>0.05</v>
      </c>
      <c r="I44" s="157">
        <f t="shared" si="15"/>
        <v>6.6666666666666666E-2</v>
      </c>
      <c r="J44" s="157">
        <f t="shared" si="15"/>
        <v>8.3333333333333329E-2</v>
      </c>
      <c r="K44" s="157">
        <f t="shared" si="15"/>
        <v>9.9999999999999992E-2</v>
      </c>
      <c r="L44" s="157">
        <f t="shared" si="15"/>
        <v>0.11666666666666665</v>
      </c>
      <c r="M44" s="157">
        <f t="shared" si="15"/>
        <v>0.13333333333333333</v>
      </c>
      <c r="N44" s="157">
        <f t="shared" si="15"/>
        <v>0.15</v>
      </c>
      <c r="O44" s="157">
        <f t="shared" si="15"/>
        <v>0.16666666666666666</v>
      </c>
      <c r="P44" s="157">
        <f t="shared" si="15"/>
        <v>0.18333333333333332</v>
      </c>
      <c r="Q44" s="157">
        <f t="shared" si="15"/>
        <v>0.19999999999999998</v>
      </c>
      <c r="R44" s="157">
        <f t="shared" si="15"/>
        <v>0.21666666666666665</v>
      </c>
      <c r="S44" s="157">
        <f t="shared" si="15"/>
        <v>0.23333333333333331</v>
      </c>
      <c r="T44" s="157">
        <f t="shared" si="15"/>
        <v>0.24999999999999997</v>
      </c>
      <c r="U44" s="157">
        <f t="shared" si="15"/>
        <v>0.26666666666666666</v>
      </c>
      <c r="V44" s="157">
        <f t="shared" si="15"/>
        <v>0.28333333333333333</v>
      </c>
      <c r="W44" s="157">
        <f t="shared" si="15"/>
        <v>0.3</v>
      </c>
      <c r="X44" s="157">
        <f t="shared" si="15"/>
        <v>0.31666666666666665</v>
      </c>
      <c r="Y44" s="157">
        <f t="shared" si="15"/>
        <v>0.33333333333333331</v>
      </c>
      <c r="Z44" s="157">
        <f t="shared" si="15"/>
        <v>0.35</v>
      </c>
      <c r="AA44" s="157">
        <f t="shared" si="15"/>
        <v>0.36666666666666664</v>
      </c>
      <c r="AB44" s="157">
        <f t="shared" si="15"/>
        <v>0.3833333333333333</v>
      </c>
      <c r="AC44" s="157">
        <f t="shared" si="15"/>
        <v>0.39999999999999997</v>
      </c>
      <c r="AD44" s="157">
        <f t="shared" si="15"/>
        <v>0.41666666666666663</v>
      </c>
      <c r="AE44" s="157">
        <f t="shared" si="15"/>
        <v>0.43333333333333329</v>
      </c>
      <c r="AF44" s="157">
        <f t="shared" si="15"/>
        <v>0.44999999999999996</v>
      </c>
      <c r="AG44" s="157">
        <f t="shared" si="15"/>
        <v>0.46666666666666662</v>
      </c>
      <c r="AH44" s="157">
        <f t="shared" si="15"/>
        <v>0.48333333333333328</v>
      </c>
      <c r="AI44" s="157">
        <f>Q5</f>
        <v>0.5</v>
      </c>
    </row>
    <row r="45" spans="1:35" s="62" customFormat="1">
      <c r="A45" s="286"/>
      <c r="B45" s="62" t="s">
        <v>17</v>
      </c>
      <c r="C45" s="62" t="s">
        <v>818</v>
      </c>
      <c r="D45" t="s">
        <v>35</v>
      </c>
      <c r="E45" s="188">
        <f>H3</f>
        <v>1</v>
      </c>
      <c r="F45" s="188">
        <f t="shared" ref="F45:AH50" si="16">-($E45-$AI45)/30+E45</f>
        <v>0.96666921738725042</v>
      </c>
      <c r="G45" s="188">
        <f t="shared" si="16"/>
        <v>0.93333843477450085</v>
      </c>
      <c r="H45" s="188">
        <f t="shared" si="16"/>
        <v>0.90000765216175127</v>
      </c>
      <c r="I45" s="188">
        <f t="shared" si="16"/>
        <v>0.86667686954900169</v>
      </c>
      <c r="J45" s="188">
        <f t="shared" si="16"/>
        <v>0.83334608693625212</v>
      </c>
      <c r="K45" s="188">
        <f t="shared" si="16"/>
        <v>0.80001530432350254</v>
      </c>
      <c r="L45" s="188">
        <f t="shared" si="16"/>
        <v>0.76668452171075296</v>
      </c>
      <c r="M45" s="188">
        <f t="shared" si="16"/>
        <v>0.73335373909800339</v>
      </c>
      <c r="N45" s="188">
        <f t="shared" si="16"/>
        <v>0.70002295648525381</v>
      </c>
      <c r="O45" s="188">
        <f t="shared" si="16"/>
        <v>0.66669217387250423</v>
      </c>
      <c r="P45" s="188">
        <f t="shared" si="16"/>
        <v>0.63336139125975466</v>
      </c>
      <c r="Q45" s="188">
        <f t="shared" si="16"/>
        <v>0.60003060864700508</v>
      </c>
      <c r="R45" s="188">
        <f t="shared" si="16"/>
        <v>0.5666998260342555</v>
      </c>
      <c r="S45" s="188">
        <f t="shared" si="16"/>
        <v>0.53336904342150593</v>
      </c>
      <c r="T45" s="188">
        <f t="shared" si="16"/>
        <v>0.50003826080875635</v>
      </c>
      <c r="U45" s="188">
        <f t="shared" si="16"/>
        <v>0.46670747819600672</v>
      </c>
      <c r="V45" s="188">
        <f t="shared" si="16"/>
        <v>0.43337669558325709</v>
      </c>
      <c r="W45" s="188">
        <f t="shared" si="16"/>
        <v>0.40004591297050746</v>
      </c>
      <c r="X45" s="188">
        <f t="shared" si="16"/>
        <v>0.36671513035775782</v>
      </c>
      <c r="Y45" s="188">
        <f t="shared" si="16"/>
        <v>0.33338434774500819</v>
      </c>
      <c r="Z45" s="188">
        <f t="shared" si="16"/>
        <v>0.30005356513225856</v>
      </c>
      <c r="AA45" s="188">
        <f t="shared" si="16"/>
        <v>0.26672278251950893</v>
      </c>
      <c r="AB45" s="188">
        <f t="shared" si="16"/>
        <v>0.23339199990675932</v>
      </c>
      <c r="AC45" s="188">
        <f t="shared" si="16"/>
        <v>0.20006121729400972</v>
      </c>
      <c r="AD45" s="188">
        <f t="shared" si="16"/>
        <v>0.16673043468126011</v>
      </c>
      <c r="AE45" s="188">
        <f t="shared" si="16"/>
        <v>0.13339965206851051</v>
      </c>
      <c r="AF45" s="188">
        <f t="shared" si="16"/>
        <v>0.10006886945576091</v>
      </c>
      <c r="AG45" s="188">
        <f t="shared" si="16"/>
        <v>6.6738086843011302E-2</v>
      </c>
      <c r="AH45" s="188">
        <f t="shared" si="16"/>
        <v>3.340730423026169E-2</v>
      </c>
      <c r="AI45" s="188">
        <f>R3</f>
        <v>7.6521617511585656E-5</v>
      </c>
    </row>
    <row r="46" spans="1:35">
      <c r="A46" s="289"/>
      <c r="B46" t="s">
        <v>17</v>
      </c>
      <c r="C46" t="s">
        <v>818</v>
      </c>
      <c r="D46" t="s">
        <v>160</v>
      </c>
      <c r="E46" s="157">
        <f>H4</f>
        <v>0</v>
      </c>
      <c r="F46" s="157">
        <f t="shared" si="16"/>
        <v>1.9734602411806513E-2</v>
      </c>
      <c r="G46" s="157">
        <f t="shared" si="16"/>
        <v>3.9469204823613026E-2</v>
      </c>
      <c r="H46" s="157">
        <f t="shared" si="16"/>
        <v>5.9203807235419542E-2</v>
      </c>
      <c r="I46" s="157">
        <f t="shared" si="16"/>
        <v>7.8938409647226052E-2</v>
      </c>
      <c r="J46" s="157">
        <f t="shared" si="16"/>
        <v>9.8673012059032561E-2</v>
      </c>
      <c r="K46" s="157">
        <f t="shared" si="16"/>
        <v>0.11840761447083907</v>
      </c>
      <c r="L46" s="157">
        <f t="shared" si="16"/>
        <v>0.13814221688264558</v>
      </c>
      <c r="M46" s="157">
        <f t="shared" si="16"/>
        <v>0.1578768192944521</v>
      </c>
      <c r="N46" s="157">
        <f t="shared" si="16"/>
        <v>0.17761142170625863</v>
      </c>
      <c r="O46" s="157">
        <f t="shared" si="16"/>
        <v>0.19734602411806515</v>
      </c>
      <c r="P46" s="157">
        <f t="shared" si="16"/>
        <v>0.21708062652987167</v>
      </c>
      <c r="Q46" s="157">
        <f t="shared" si="16"/>
        <v>0.2368152289416782</v>
      </c>
      <c r="R46" s="157">
        <f t="shared" si="16"/>
        <v>0.25654983135348469</v>
      </c>
      <c r="S46" s="157">
        <f t="shared" si="16"/>
        <v>0.27628443376529122</v>
      </c>
      <c r="T46" s="157">
        <f t="shared" si="16"/>
        <v>0.29601903617709774</v>
      </c>
      <c r="U46" s="157">
        <f t="shared" si="16"/>
        <v>0.31575363858890426</v>
      </c>
      <c r="V46" s="157">
        <f t="shared" si="16"/>
        <v>0.33548824100071079</v>
      </c>
      <c r="W46" s="157">
        <f t="shared" si="16"/>
        <v>0.35522284341251731</v>
      </c>
      <c r="X46" s="157">
        <f t="shared" si="16"/>
        <v>0.37495744582432383</v>
      </c>
      <c r="Y46" s="157">
        <f t="shared" si="16"/>
        <v>0.39469204823613036</v>
      </c>
      <c r="Z46" s="157">
        <f t="shared" si="16"/>
        <v>0.41442665064793688</v>
      </c>
      <c r="AA46" s="157">
        <f t="shared" si="16"/>
        <v>0.4341612530597434</v>
      </c>
      <c r="AB46" s="157">
        <f t="shared" si="16"/>
        <v>0.45389585547154992</v>
      </c>
      <c r="AC46" s="157">
        <f t="shared" si="16"/>
        <v>0.47363045788335645</v>
      </c>
      <c r="AD46" s="157">
        <f t="shared" si="16"/>
        <v>0.49336506029516297</v>
      </c>
      <c r="AE46" s="157">
        <f t="shared" si="16"/>
        <v>0.51309966270696949</v>
      </c>
      <c r="AF46" s="157">
        <f t="shared" si="16"/>
        <v>0.53283426511877596</v>
      </c>
      <c r="AG46" s="157">
        <f t="shared" si="16"/>
        <v>0.55256886753058243</v>
      </c>
      <c r="AH46" s="157">
        <f t="shared" si="16"/>
        <v>0.5723034699423889</v>
      </c>
      <c r="AI46" s="157">
        <f>R4</f>
        <v>0.59203807235419537</v>
      </c>
    </row>
    <row r="47" spans="1:35">
      <c r="A47" s="289"/>
      <c r="B47" t="s">
        <v>17</v>
      </c>
      <c r="C47" t="s">
        <v>818</v>
      </c>
      <c r="D47" t="s">
        <v>27</v>
      </c>
      <c r="E47" s="157">
        <f>H5</f>
        <v>0</v>
      </c>
      <c r="F47" s="157">
        <f t="shared" si="16"/>
        <v>1.3596180200943102E-2</v>
      </c>
      <c r="G47" s="157">
        <f t="shared" si="16"/>
        <v>2.7192360401886204E-2</v>
      </c>
      <c r="H47" s="157">
        <f t="shared" si="16"/>
        <v>4.0788540602829305E-2</v>
      </c>
      <c r="I47" s="157">
        <f t="shared" si="16"/>
        <v>5.4384720803772407E-2</v>
      </c>
      <c r="J47" s="157">
        <f t="shared" si="16"/>
        <v>6.7980901004715516E-2</v>
      </c>
      <c r="K47" s="157">
        <f t="shared" si="16"/>
        <v>8.1577081205658625E-2</v>
      </c>
      <c r="L47" s="157">
        <f t="shared" si="16"/>
        <v>9.5173261406601734E-2</v>
      </c>
      <c r="M47" s="157">
        <f t="shared" si="16"/>
        <v>0.10876944160754484</v>
      </c>
      <c r="N47" s="157">
        <f t="shared" si="16"/>
        <v>0.12236562180848795</v>
      </c>
      <c r="O47" s="157">
        <f t="shared" si="16"/>
        <v>0.13596180200943106</v>
      </c>
      <c r="P47" s="157">
        <f t="shared" si="16"/>
        <v>0.14955798221037417</v>
      </c>
      <c r="Q47" s="157">
        <f t="shared" si="16"/>
        <v>0.16315416241131728</v>
      </c>
      <c r="R47" s="157">
        <f t="shared" si="16"/>
        <v>0.17675034261226039</v>
      </c>
      <c r="S47" s="157">
        <f t="shared" si="16"/>
        <v>0.19034652281320349</v>
      </c>
      <c r="T47" s="157">
        <f t="shared" si="16"/>
        <v>0.2039427030141466</v>
      </c>
      <c r="U47" s="157">
        <f t="shared" si="16"/>
        <v>0.21753888321508971</v>
      </c>
      <c r="V47" s="157">
        <f t="shared" si="16"/>
        <v>0.23113506341603282</v>
      </c>
      <c r="W47" s="157">
        <f t="shared" si="16"/>
        <v>0.24473124361697593</v>
      </c>
      <c r="X47" s="157">
        <f t="shared" si="16"/>
        <v>0.25832742381791901</v>
      </c>
      <c r="Y47" s="157">
        <f t="shared" si="16"/>
        <v>0.27192360401886212</v>
      </c>
      <c r="Z47" s="157">
        <f t="shared" si="16"/>
        <v>0.28551978421980523</v>
      </c>
      <c r="AA47" s="157">
        <f t="shared" si="16"/>
        <v>0.29911596442074834</v>
      </c>
      <c r="AB47" s="157">
        <f t="shared" si="16"/>
        <v>0.31271214462169145</v>
      </c>
      <c r="AC47" s="157">
        <f t="shared" si="16"/>
        <v>0.32630832482263455</v>
      </c>
      <c r="AD47" s="157">
        <f t="shared" si="16"/>
        <v>0.33990450502357766</v>
      </c>
      <c r="AE47" s="157">
        <f t="shared" si="16"/>
        <v>0.35350068522452077</v>
      </c>
      <c r="AF47" s="157">
        <f t="shared" si="16"/>
        <v>0.36709686542546388</v>
      </c>
      <c r="AG47" s="157">
        <f t="shared" si="16"/>
        <v>0.38069304562640699</v>
      </c>
      <c r="AH47" s="157">
        <f t="shared" si="16"/>
        <v>0.3942892258273501</v>
      </c>
      <c r="AI47" s="157">
        <f>R5</f>
        <v>0.40788540602829304</v>
      </c>
    </row>
    <row r="48" spans="1:35" s="62" customFormat="1">
      <c r="A48" s="286"/>
      <c r="B48" s="62" t="s">
        <v>21</v>
      </c>
      <c r="C48" s="62" t="s">
        <v>815</v>
      </c>
      <c r="D48" s="62" t="s">
        <v>35</v>
      </c>
      <c r="E48" s="188">
        <f>D9</f>
        <v>0</v>
      </c>
      <c r="F48" s="188">
        <f t="shared" si="16"/>
        <v>0</v>
      </c>
      <c r="G48" s="188">
        <f t="shared" si="16"/>
        <v>0</v>
      </c>
      <c r="H48" s="188">
        <f t="shared" si="16"/>
        <v>0</v>
      </c>
      <c r="I48" s="188">
        <f t="shared" si="16"/>
        <v>0</v>
      </c>
      <c r="J48" s="188">
        <f t="shared" si="16"/>
        <v>0</v>
      </c>
      <c r="K48" s="188">
        <f t="shared" si="16"/>
        <v>0</v>
      </c>
      <c r="L48" s="188">
        <f t="shared" si="16"/>
        <v>0</v>
      </c>
      <c r="M48" s="188">
        <f t="shared" si="16"/>
        <v>0</v>
      </c>
      <c r="N48" s="188">
        <f t="shared" si="16"/>
        <v>0</v>
      </c>
      <c r="O48" s="188">
        <f t="shared" si="16"/>
        <v>0</v>
      </c>
      <c r="P48" s="188">
        <f t="shared" si="16"/>
        <v>0</v>
      </c>
      <c r="Q48" s="188">
        <f t="shared" si="16"/>
        <v>0</v>
      </c>
      <c r="R48" s="188">
        <f t="shared" si="16"/>
        <v>0</v>
      </c>
      <c r="S48" s="188">
        <f t="shared" si="16"/>
        <v>0</v>
      </c>
      <c r="T48" s="188">
        <f t="shared" si="16"/>
        <v>0</v>
      </c>
      <c r="U48" s="188">
        <f t="shared" si="16"/>
        <v>0</v>
      </c>
      <c r="V48" s="188">
        <f t="shared" si="16"/>
        <v>0</v>
      </c>
      <c r="W48" s="188">
        <f t="shared" si="16"/>
        <v>0</v>
      </c>
      <c r="X48" s="188">
        <f t="shared" si="16"/>
        <v>0</v>
      </c>
      <c r="Y48" s="188">
        <f t="shared" si="16"/>
        <v>0</v>
      </c>
      <c r="Z48" s="188">
        <f t="shared" si="16"/>
        <v>0</v>
      </c>
      <c r="AA48" s="188">
        <f t="shared" si="16"/>
        <v>0</v>
      </c>
      <c r="AB48" s="188">
        <f t="shared" si="16"/>
        <v>0</v>
      </c>
      <c r="AC48" s="188">
        <f t="shared" si="16"/>
        <v>0</v>
      </c>
      <c r="AD48" s="188">
        <f t="shared" si="16"/>
        <v>0</v>
      </c>
      <c r="AE48" s="188">
        <f t="shared" si="16"/>
        <v>0</v>
      </c>
      <c r="AF48" s="188">
        <f t="shared" si="16"/>
        <v>0</v>
      </c>
      <c r="AG48" s="188">
        <f t="shared" si="16"/>
        <v>0</v>
      </c>
      <c r="AH48" s="188">
        <f t="shared" si="16"/>
        <v>0</v>
      </c>
      <c r="AI48" s="188">
        <f>N9</f>
        <v>0</v>
      </c>
    </row>
    <row r="49" spans="1:35">
      <c r="A49" s="289"/>
      <c r="B49" t="s">
        <v>21</v>
      </c>
      <c r="D49" t="s">
        <v>160</v>
      </c>
      <c r="E49" s="157">
        <f>D10</f>
        <v>0</v>
      </c>
      <c r="F49" s="157">
        <f t="shared" si="16"/>
        <v>3.8856993167281548E-3</v>
      </c>
      <c r="G49" s="157">
        <f t="shared" si="16"/>
        <v>7.7713986334563097E-3</v>
      </c>
      <c r="H49" s="157">
        <f t="shared" si="16"/>
        <v>1.1657097950184464E-2</v>
      </c>
      <c r="I49" s="157">
        <f t="shared" si="16"/>
        <v>1.5542797266912619E-2</v>
      </c>
      <c r="J49" s="157">
        <f t="shared" si="16"/>
        <v>1.9428496583640775E-2</v>
      </c>
      <c r="K49" s="157">
        <f t="shared" si="16"/>
        <v>2.3314195900368928E-2</v>
      </c>
      <c r="L49" s="157">
        <f t="shared" si="16"/>
        <v>2.7199895217097082E-2</v>
      </c>
      <c r="M49" s="157">
        <f t="shared" si="16"/>
        <v>3.1085594533825235E-2</v>
      </c>
      <c r="N49" s="157">
        <f t="shared" si="16"/>
        <v>3.4971293850553392E-2</v>
      </c>
      <c r="O49" s="157">
        <f t="shared" si="16"/>
        <v>3.8856993167281549E-2</v>
      </c>
      <c r="P49" s="157">
        <f t="shared" si="16"/>
        <v>4.2742692484009706E-2</v>
      </c>
      <c r="Q49" s="157">
        <f t="shared" si="16"/>
        <v>4.6628391800737863E-2</v>
      </c>
      <c r="R49" s="157">
        <f t="shared" si="16"/>
        <v>5.051409111746602E-2</v>
      </c>
      <c r="S49" s="157">
        <f t="shared" si="16"/>
        <v>5.4399790434194177E-2</v>
      </c>
      <c r="T49" s="157">
        <f t="shared" si="16"/>
        <v>5.8285489750922334E-2</v>
      </c>
      <c r="U49" s="157">
        <f t="shared" si="16"/>
        <v>6.2171189067650491E-2</v>
      </c>
      <c r="V49" s="157">
        <f t="shared" si="16"/>
        <v>6.6056888384378648E-2</v>
      </c>
      <c r="W49" s="157">
        <f t="shared" si="16"/>
        <v>6.9942587701106798E-2</v>
      </c>
      <c r="X49" s="157">
        <f t="shared" si="16"/>
        <v>7.3828287017834948E-2</v>
      </c>
      <c r="Y49" s="157">
        <f t="shared" si="16"/>
        <v>7.7713986334563098E-2</v>
      </c>
      <c r="Z49" s="157">
        <f t="shared" si="16"/>
        <v>8.1599685651291248E-2</v>
      </c>
      <c r="AA49" s="157">
        <f t="shared" si="16"/>
        <v>8.5485384968019398E-2</v>
      </c>
      <c r="AB49" s="157">
        <f t="shared" si="16"/>
        <v>8.9371084284747548E-2</v>
      </c>
      <c r="AC49" s="157">
        <f t="shared" si="16"/>
        <v>9.3256783601475698E-2</v>
      </c>
      <c r="AD49" s="157">
        <f t="shared" si="16"/>
        <v>9.7142482918203849E-2</v>
      </c>
      <c r="AE49" s="157">
        <f t="shared" si="16"/>
        <v>0.101028182234932</v>
      </c>
      <c r="AF49" s="157">
        <f t="shared" si="16"/>
        <v>0.10491388155166015</v>
      </c>
      <c r="AG49" s="157">
        <f t="shared" si="16"/>
        <v>0.1087995808683883</v>
      </c>
      <c r="AH49" s="157">
        <f t="shared" si="16"/>
        <v>0.11268528018511645</v>
      </c>
      <c r="AI49" s="157">
        <f>N10</f>
        <v>0.11657097950184464</v>
      </c>
    </row>
    <row r="50" spans="1:35" s="63" customFormat="1">
      <c r="A50" s="290"/>
      <c r="B50" s="63" t="s">
        <v>21</v>
      </c>
      <c r="D50" s="63" t="s">
        <v>27</v>
      </c>
      <c r="E50" s="396">
        <f>D11</f>
        <v>1</v>
      </c>
      <c r="F50" s="396">
        <f t="shared" si="16"/>
        <v>0.99611430068327189</v>
      </c>
      <c r="G50" s="396">
        <f t="shared" si="16"/>
        <v>0.99222860136654378</v>
      </c>
      <c r="H50" s="396">
        <f t="shared" si="16"/>
        <v>0.98834290204981567</v>
      </c>
      <c r="I50" s="396">
        <f t="shared" si="16"/>
        <v>0.98445720273308757</v>
      </c>
      <c r="J50" s="396">
        <f t="shared" si="16"/>
        <v>0.98057150341635946</v>
      </c>
      <c r="K50" s="396">
        <f t="shared" si="16"/>
        <v>0.97668580409963135</v>
      </c>
      <c r="L50" s="396">
        <f t="shared" si="16"/>
        <v>0.97280010478290324</v>
      </c>
      <c r="M50" s="396">
        <f t="shared" si="16"/>
        <v>0.96891440546617513</v>
      </c>
      <c r="N50" s="396">
        <f t="shared" si="16"/>
        <v>0.96502870614944702</v>
      </c>
      <c r="O50" s="396">
        <f t="shared" si="16"/>
        <v>0.96114300683271892</v>
      </c>
      <c r="P50" s="396">
        <f t="shared" si="16"/>
        <v>0.95725730751599081</v>
      </c>
      <c r="Q50" s="396">
        <f t="shared" si="16"/>
        <v>0.9533716081992627</v>
      </c>
      <c r="R50" s="396">
        <f t="shared" si="16"/>
        <v>0.94948590888253459</v>
      </c>
      <c r="S50" s="396">
        <f t="shared" si="16"/>
        <v>0.94560020956580648</v>
      </c>
      <c r="T50" s="396">
        <f t="shared" si="16"/>
        <v>0.94171451024907837</v>
      </c>
      <c r="U50" s="396">
        <f t="shared" si="16"/>
        <v>0.93782881093235027</v>
      </c>
      <c r="V50" s="396">
        <f t="shared" si="16"/>
        <v>0.93394311161562216</v>
      </c>
      <c r="W50" s="396">
        <f t="shared" si="16"/>
        <v>0.93005741229889405</v>
      </c>
      <c r="X50" s="396">
        <f t="shared" si="16"/>
        <v>0.92617171298216594</v>
      </c>
      <c r="Y50" s="396">
        <f t="shared" si="16"/>
        <v>0.92228601366543783</v>
      </c>
      <c r="Z50" s="396">
        <f t="shared" si="16"/>
        <v>0.91840031434870972</v>
      </c>
      <c r="AA50" s="396">
        <f t="shared" si="16"/>
        <v>0.91451461503198161</v>
      </c>
      <c r="AB50" s="396">
        <f t="shared" si="16"/>
        <v>0.91062891571525351</v>
      </c>
      <c r="AC50" s="396">
        <f t="shared" ref="AC50:AH50" si="17">-($E50-$AI50)/30+AB50</f>
        <v>0.9067432163985254</v>
      </c>
      <c r="AD50" s="396">
        <f t="shared" si="17"/>
        <v>0.90285751708179729</v>
      </c>
      <c r="AE50" s="396">
        <f t="shared" si="17"/>
        <v>0.89897181776506918</v>
      </c>
      <c r="AF50" s="396">
        <f t="shared" si="17"/>
        <v>0.89508611844834107</v>
      </c>
      <c r="AG50" s="396">
        <f t="shared" si="17"/>
        <v>0.89120041913161296</v>
      </c>
      <c r="AH50" s="396">
        <f t="shared" si="17"/>
        <v>0.88731471981488486</v>
      </c>
      <c r="AI50" s="396">
        <f>N11</f>
        <v>0.88342902049815542</v>
      </c>
    </row>
    <row r="51" spans="1:35">
      <c r="A51" s="289"/>
      <c r="B51" t="s">
        <v>21</v>
      </c>
      <c r="C51" t="s">
        <v>823</v>
      </c>
      <c r="D51" t="s">
        <v>35</v>
      </c>
      <c r="E51" s="157">
        <f>E9</f>
        <v>0</v>
      </c>
      <c r="F51" s="157">
        <f t="shared" ref="F51:AH55" si="18">-($E51-$AI51)/30+E51</f>
        <v>0</v>
      </c>
      <c r="G51" s="157">
        <f t="shared" si="18"/>
        <v>0</v>
      </c>
      <c r="H51" s="157">
        <f t="shared" si="18"/>
        <v>0</v>
      </c>
      <c r="I51" s="157">
        <f t="shared" si="18"/>
        <v>0</v>
      </c>
      <c r="J51" s="157">
        <f t="shared" si="18"/>
        <v>0</v>
      </c>
      <c r="K51" s="157">
        <f t="shared" si="18"/>
        <v>0</v>
      </c>
      <c r="L51" s="157">
        <f t="shared" si="18"/>
        <v>0</v>
      </c>
      <c r="M51" s="157">
        <f t="shared" si="18"/>
        <v>0</v>
      </c>
      <c r="N51" s="157">
        <f t="shared" si="18"/>
        <v>0</v>
      </c>
      <c r="O51" s="157">
        <f t="shared" si="18"/>
        <v>0</v>
      </c>
      <c r="P51" s="157">
        <f t="shared" si="18"/>
        <v>0</v>
      </c>
      <c r="Q51" s="157">
        <f t="shared" si="18"/>
        <v>0</v>
      </c>
      <c r="R51" s="157">
        <f t="shared" si="18"/>
        <v>0</v>
      </c>
      <c r="S51" s="157">
        <f t="shared" si="18"/>
        <v>0</v>
      </c>
      <c r="T51" s="157">
        <f t="shared" si="18"/>
        <v>0</v>
      </c>
      <c r="U51" s="157">
        <f t="shared" si="18"/>
        <v>0</v>
      </c>
      <c r="V51" s="157">
        <f t="shared" si="18"/>
        <v>0</v>
      </c>
      <c r="W51" s="157">
        <f t="shared" si="18"/>
        <v>0</v>
      </c>
      <c r="X51" s="157">
        <f t="shared" si="18"/>
        <v>0</v>
      </c>
      <c r="Y51" s="157">
        <f t="shared" si="18"/>
        <v>0</v>
      </c>
      <c r="Z51" s="157">
        <f t="shared" si="18"/>
        <v>0</v>
      </c>
      <c r="AA51" s="157">
        <f t="shared" si="18"/>
        <v>0</v>
      </c>
      <c r="AB51" s="157">
        <f t="shared" si="18"/>
        <v>0</v>
      </c>
      <c r="AC51" s="157">
        <f t="shared" si="18"/>
        <v>0</v>
      </c>
      <c r="AD51" s="157">
        <f t="shared" si="18"/>
        <v>0</v>
      </c>
      <c r="AE51" s="157">
        <f t="shared" si="18"/>
        <v>0</v>
      </c>
      <c r="AF51" s="157">
        <f t="shared" si="18"/>
        <v>0</v>
      </c>
      <c r="AG51" s="157">
        <f t="shared" si="18"/>
        <v>0</v>
      </c>
      <c r="AH51" s="157">
        <f t="shared" si="18"/>
        <v>0</v>
      </c>
      <c r="AI51" s="157">
        <f>O9</f>
        <v>0</v>
      </c>
    </row>
    <row r="52" spans="1:35">
      <c r="A52" s="289"/>
      <c r="B52" t="s">
        <v>21</v>
      </c>
      <c r="D52" t="s">
        <v>160</v>
      </c>
      <c r="E52" s="157">
        <f>E10</f>
        <v>0</v>
      </c>
      <c r="F52" s="157">
        <f t="shared" si="18"/>
        <v>3.8856993167281548E-3</v>
      </c>
      <c r="G52" s="157">
        <f t="shared" si="18"/>
        <v>7.7713986334563097E-3</v>
      </c>
      <c r="H52" s="157">
        <f t="shared" si="18"/>
        <v>1.1657097950184464E-2</v>
      </c>
      <c r="I52" s="157">
        <f t="shared" si="18"/>
        <v>1.5542797266912619E-2</v>
      </c>
      <c r="J52" s="157">
        <f t="shared" si="18"/>
        <v>1.9428496583640775E-2</v>
      </c>
      <c r="K52" s="157">
        <f t="shared" si="18"/>
        <v>2.3314195900368928E-2</v>
      </c>
      <c r="L52" s="157">
        <f t="shared" si="18"/>
        <v>2.7199895217097082E-2</v>
      </c>
      <c r="M52" s="157">
        <f t="shared" si="18"/>
        <v>3.1085594533825235E-2</v>
      </c>
      <c r="N52" s="157">
        <f t="shared" si="18"/>
        <v>3.4971293850553392E-2</v>
      </c>
      <c r="O52" s="157">
        <f t="shared" si="18"/>
        <v>3.8856993167281549E-2</v>
      </c>
      <c r="P52" s="157">
        <f t="shared" si="18"/>
        <v>4.2742692484009706E-2</v>
      </c>
      <c r="Q52" s="157">
        <f t="shared" si="18"/>
        <v>4.6628391800737863E-2</v>
      </c>
      <c r="R52" s="157">
        <f t="shared" si="18"/>
        <v>5.051409111746602E-2</v>
      </c>
      <c r="S52" s="157">
        <f t="shared" si="18"/>
        <v>5.4399790434194177E-2</v>
      </c>
      <c r="T52" s="157">
        <f t="shared" si="18"/>
        <v>5.8285489750922334E-2</v>
      </c>
      <c r="U52" s="157">
        <f t="shared" si="18"/>
        <v>6.2171189067650491E-2</v>
      </c>
      <c r="V52" s="157">
        <f t="shared" si="18"/>
        <v>6.6056888384378648E-2</v>
      </c>
      <c r="W52" s="157">
        <f t="shared" si="18"/>
        <v>6.9942587701106798E-2</v>
      </c>
      <c r="X52" s="157">
        <f t="shared" si="18"/>
        <v>7.3828287017834948E-2</v>
      </c>
      <c r="Y52" s="157">
        <f t="shared" si="18"/>
        <v>7.7713986334563098E-2</v>
      </c>
      <c r="Z52" s="157">
        <f t="shared" si="18"/>
        <v>8.1599685651291248E-2</v>
      </c>
      <c r="AA52" s="157">
        <f t="shared" si="18"/>
        <v>8.5485384968019398E-2</v>
      </c>
      <c r="AB52" s="157">
        <f t="shared" si="18"/>
        <v>8.9371084284747548E-2</v>
      </c>
      <c r="AC52" s="157">
        <f t="shared" si="18"/>
        <v>9.3256783601475698E-2</v>
      </c>
      <c r="AD52" s="157">
        <f t="shared" si="18"/>
        <v>9.7142482918203849E-2</v>
      </c>
      <c r="AE52" s="157">
        <f t="shared" si="18"/>
        <v>0.101028182234932</v>
      </c>
      <c r="AF52" s="157">
        <f t="shared" si="18"/>
        <v>0.10491388155166015</v>
      </c>
      <c r="AG52" s="157">
        <f t="shared" si="18"/>
        <v>0.1087995808683883</v>
      </c>
      <c r="AH52" s="157">
        <f t="shared" si="18"/>
        <v>0.11268528018511645</v>
      </c>
      <c r="AI52" s="157">
        <f>O10</f>
        <v>0.11657097950184464</v>
      </c>
    </row>
    <row r="53" spans="1:35">
      <c r="A53" s="289"/>
      <c r="B53" t="s">
        <v>21</v>
      </c>
      <c r="D53" t="s">
        <v>27</v>
      </c>
      <c r="E53" s="157">
        <f>E11</f>
        <v>1</v>
      </c>
      <c r="F53" s="157">
        <f t="shared" si="18"/>
        <v>0.99611430068327189</v>
      </c>
      <c r="G53" s="157">
        <f t="shared" si="18"/>
        <v>0.99222860136654378</v>
      </c>
      <c r="H53" s="157">
        <f t="shared" si="18"/>
        <v>0.98834290204981567</v>
      </c>
      <c r="I53" s="157">
        <f t="shared" si="18"/>
        <v>0.98445720273308757</v>
      </c>
      <c r="J53" s="157">
        <f t="shared" si="18"/>
        <v>0.98057150341635946</v>
      </c>
      <c r="K53" s="157">
        <f t="shared" si="18"/>
        <v>0.97668580409963135</v>
      </c>
      <c r="L53" s="157">
        <f t="shared" si="18"/>
        <v>0.97280010478290324</v>
      </c>
      <c r="M53" s="157">
        <f t="shared" si="18"/>
        <v>0.96891440546617513</v>
      </c>
      <c r="N53" s="157">
        <f t="shared" si="18"/>
        <v>0.96502870614944702</v>
      </c>
      <c r="O53" s="157">
        <f t="shared" si="18"/>
        <v>0.96114300683271892</v>
      </c>
      <c r="P53" s="157">
        <f t="shared" si="18"/>
        <v>0.95725730751599081</v>
      </c>
      <c r="Q53" s="157">
        <f t="shared" si="18"/>
        <v>0.9533716081992627</v>
      </c>
      <c r="R53" s="157">
        <f t="shared" si="18"/>
        <v>0.94948590888253459</v>
      </c>
      <c r="S53" s="157">
        <f t="shared" si="18"/>
        <v>0.94560020956580648</v>
      </c>
      <c r="T53" s="157">
        <f t="shared" si="18"/>
        <v>0.94171451024907837</v>
      </c>
      <c r="U53" s="157">
        <f t="shared" si="18"/>
        <v>0.93782881093235027</v>
      </c>
      <c r="V53" s="157">
        <f t="shared" si="18"/>
        <v>0.93394311161562216</v>
      </c>
      <c r="W53" s="157">
        <f t="shared" si="18"/>
        <v>0.93005741229889405</v>
      </c>
      <c r="X53" s="157">
        <f t="shared" si="18"/>
        <v>0.92617171298216594</v>
      </c>
      <c r="Y53" s="157">
        <f t="shared" si="18"/>
        <v>0.92228601366543783</v>
      </c>
      <c r="Z53" s="157">
        <f t="shared" si="18"/>
        <v>0.91840031434870972</v>
      </c>
      <c r="AA53" s="157">
        <f t="shared" si="18"/>
        <v>0.91451461503198161</v>
      </c>
      <c r="AB53" s="157">
        <f t="shared" si="18"/>
        <v>0.91062891571525351</v>
      </c>
      <c r="AC53" s="157">
        <f t="shared" si="18"/>
        <v>0.9067432163985254</v>
      </c>
      <c r="AD53" s="157">
        <f t="shared" si="18"/>
        <v>0.90285751708179729</v>
      </c>
      <c r="AE53" s="157">
        <f t="shared" si="18"/>
        <v>0.89897181776506918</v>
      </c>
      <c r="AF53" s="157">
        <f t="shared" si="18"/>
        <v>0.89508611844834107</v>
      </c>
      <c r="AG53" s="157">
        <f t="shared" si="18"/>
        <v>0.89120041913161296</v>
      </c>
      <c r="AH53" s="157">
        <f t="shared" si="18"/>
        <v>0.88731471981488486</v>
      </c>
      <c r="AI53" s="157">
        <f>O11</f>
        <v>0.88342902049815542</v>
      </c>
    </row>
    <row r="54" spans="1:35" s="62" customFormat="1">
      <c r="A54" s="286"/>
      <c r="B54" s="62" t="s">
        <v>21</v>
      </c>
      <c r="C54" s="62" t="s">
        <v>824</v>
      </c>
      <c r="D54" t="s">
        <v>35</v>
      </c>
      <c r="E54" s="188">
        <f>F9</f>
        <v>0</v>
      </c>
      <c r="F54" s="188">
        <f t="shared" si="18"/>
        <v>0</v>
      </c>
      <c r="G54" s="188">
        <f t="shared" si="18"/>
        <v>0</v>
      </c>
      <c r="H54" s="188">
        <f t="shared" si="18"/>
        <v>0</v>
      </c>
      <c r="I54" s="188">
        <f t="shared" si="18"/>
        <v>0</v>
      </c>
      <c r="J54" s="188">
        <f t="shared" si="18"/>
        <v>0</v>
      </c>
      <c r="K54" s="188">
        <f t="shared" si="18"/>
        <v>0</v>
      </c>
      <c r="L54" s="188">
        <f t="shared" si="18"/>
        <v>0</v>
      </c>
      <c r="M54" s="188">
        <f t="shared" si="18"/>
        <v>0</v>
      </c>
      <c r="N54" s="188">
        <f t="shared" si="18"/>
        <v>0</v>
      </c>
      <c r="O54" s="188">
        <f t="shared" si="18"/>
        <v>0</v>
      </c>
      <c r="P54" s="188">
        <f t="shared" si="18"/>
        <v>0</v>
      </c>
      <c r="Q54" s="188">
        <f t="shared" si="18"/>
        <v>0</v>
      </c>
      <c r="R54" s="188">
        <f t="shared" si="18"/>
        <v>0</v>
      </c>
      <c r="S54" s="188">
        <f t="shared" si="18"/>
        <v>0</v>
      </c>
      <c r="T54" s="188">
        <f t="shared" si="18"/>
        <v>0</v>
      </c>
      <c r="U54" s="188">
        <f t="shared" si="18"/>
        <v>0</v>
      </c>
      <c r="V54" s="188">
        <f t="shared" si="18"/>
        <v>0</v>
      </c>
      <c r="W54" s="188">
        <f t="shared" si="18"/>
        <v>0</v>
      </c>
      <c r="X54" s="188">
        <f t="shared" si="18"/>
        <v>0</v>
      </c>
      <c r="Y54" s="188">
        <f t="shared" si="18"/>
        <v>0</v>
      </c>
      <c r="Z54" s="188">
        <f t="shared" si="18"/>
        <v>0</v>
      </c>
      <c r="AA54" s="188">
        <f t="shared" si="18"/>
        <v>0</v>
      </c>
      <c r="AB54" s="188">
        <f t="shared" si="18"/>
        <v>0</v>
      </c>
      <c r="AC54" s="188">
        <f t="shared" si="18"/>
        <v>0</v>
      </c>
      <c r="AD54" s="188">
        <f t="shared" si="18"/>
        <v>0</v>
      </c>
      <c r="AE54" s="188">
        <f t="shared" si="18"/>
        <v>0</v>
      </c>
      <c r="AF54" s="188">
        <f t="shared" si="18"/>
        <v>0</v>
      </c>
      <c r="AG54" s="188">
        <f t="shared" si="18"/>
        <v>0</v>
      </c>
      <c r="AH54" s="188">
        <f t="shared" si="18"/>
        <v>0</v>
      </c>
      <c r="AI54" s="188">
        <f>P9</f>
        <v>0</v>
      </c>
    </row>
    <row r="55" spans="1:35">
      <c r="A55" s="289"/>
      <c r="B55" t="s">
        <v>21</v>
      </c>
      <c r="D55" t="s">
        <v>160</v>
      </c>
      <c r="E55" s="157">
        <f>F10</f>
        <v>0</v>
      </c>
      <c r="F55" s="157">
        <f t="shared" si="18"/>
        <v>3.8856993167281548E-3</v>
      </c>
      <c r="G55" s="157">
        <f t="shared" si="18"/>
        <v>7.7713986334563097E-3</v>
      </c>
      <c r="H55" s="157">
        <f t="shared" si="18"/>
        <v>1.1657097950184464E-2</v>
      </c>
      <c r="I55" s="157">
        <f t="shared" si="18"/>
        <v>1.5542797266912619E-2</v>
      </c>
      <c r="J55" s="157">
        <f t="shared" si="18"/>
        <v>1.9428496583640775E-2</v>
      </c>
      <c r="K55" s="157">
        <f t="shared" si="18"/>
        <v>2.3314195900368928E-2</v>
      </c>
      <c r="L55" s="157">
        <f t="shared" si="18"/>
        <v>2.7199895217097082E-2</v>
      </c>
      <c r="M55" s="157">
        <f t="shared" si="18"/>
        <v>3.1085594533825235E-2</v>
      </c>
      <c r="N55" s="157">
        <f t="shared" si="18"/>
        <v>3.4971293850553392E-2</v>
      </c>
      <c r="O55" s="157">
        <f t="shared" si="18"/>
        <v>3.8856993167281549E-2</v>
      </c>
      <c r="P55" s="157">
        <f t="shared" si="18"/>
        <v>4.2742692484009706E-2</v>
      </c>
      <c r="Q55" s="157">
        <f t="shared" si="18"/>
        <v>4.6628391800737863E-2</v>
      </c>
      <c r="R55" s="157">
        <f t="shared" si="18"/>
        <v>5.051409111746602E-2</v>
      </c>
      <c r="S55" s="157">
        <f t="shared" si="18"/>
        <v>5.4399790434194177E-2</v>
      </c>
      <c r="T55" s="157">
        <f t="shared" si="18"/>
        <v>5.8285489750922334E-2</v>
      </c>
      <c r="U55" s="157">
        <f t="shared" si="18"/>
        <v>6.2171189067650491E-2</v>
      </c>
      <c r="V55" s="157">
        <f t="shared" si="18"/>
        <v>6.6056888384378648E-2</v>
      </c>
      <c r="W55" s="157">
        <f t="shared" si="18"/>
        <v>6.9942587701106798E-2</v>
      </c>
      <c r="X55" s="157">
        <f t="shared" si="18"/>
        <v>7.3828287017834948E-2</v>
      </c>
      <c r="Y55" s="157">
        <f t="shared" si="18"/>
        <v>7.7713986334563098E-2</v>
      </c>
      <c r="Z55" s="157">
        <f t="shared" si="18"/>
        <v>8.1599685651291248E-2</v>
      </c>
      <c r="AA55" s="157">
        <f t="shared" si="18"/>
        <v>8.5485384968019398E-2</v>
      </c>
      <c r="AB55" s="157">
        <f t="shared" si="18"/>
        <v>8.9371084284747548E-2</v>
      </c>
      <c r="AC55" s="157">
        <f t="shared" ref="AC55:AH55" si="19">-($E55-$AI55)/30+AB55</f>
        <v>9.3256783601475698E-2</v>
      </c>
      <c r="AD55" s="157">
        <f t="shared" si="19"/>
        <v>9.7142482918203849E-2</v>
      </c>
      <c r="AE55" s="157">
        <f t="shared" si="19"/>
        <v>0.101028182234932</v>
      </c>
      <c r="AF55" s="157">
        <f t="shared" si="19"/>
        <v>0.10491388155166015</v>
      </c>
      <c r="AG55" s="157">
        <f t="shared" si="19"/>
        <v>0.1087995808683883</v>
      </c>
      <c r="AH55" s="157">
        <f t="shared" si="19"/>
        <v>0.11268528018511645</v>
      </c>
      <c r="AI55" s="157">
        <f>P10</f>
        <v>0.11657097950184464</v>
      </c>
    </row>
    <row r="56" spans="1:35">
      <c r="A56" s="289"/>
      <c r="B56" t="s">
        <v>21</v>
      </c>
      <c r="D56" t="s">
        <v>27</v>
      </c>
      <c r="E56" s="157">
        <f>F11</f>
        <v>1</v>
      </c>
      <c r="F56" s="157">
        <f t="shared" ref="F56:AH60" si="20">-($E56-$AI56)/30+E56</f>
        <v>0.99611430068327189</v>
      </c>
      <c r="G56" s="157">
        <f t="shared" si="20"/>
        <v>0.99222860136654378</v>
      </c>
      <c r="H56" s="157">
        <f t="shared" si="20"/>
        <v>0.98834290204981567</v>
      </c>
      <c r="I56" s="157">
        <f t="shared" si="20"/>
        <v>0.98445720273308757</v>
      </c>
      <c r="J56" s="157">
        <f t="shared" si="20"/>
        <v>0.98057150341635946</v>
      </c>
      <c r="K56" s="157">
        <f t="shared" si="20"/>
        <v>0.97668580409963135</v>
      </c>
      <c r="L56" s="157">
        <f t="shared" si="20"/>
        <v>0.97280010478290324</v>
      </c>
      <c r="M56" s="157">
        <f t="shared" si="20"/>
        <v>0.96891440546617513</v>
      </c>
      <c r="N56" s="157">
        <f t="shared" si="20"/>
        <v>0.96502870614944702</v>
      </c>
      <c r="O56" s="157">
        <f t="shared" si="20"/>
        <v>0.96114300683271892</v>
      </c>
      <c r="P56" s="157">
        <f t="shared" si="20"/>
        <v>0.95725730751599081</v>
      </c>
      <c r="Q56" s="157">
        <f t="shared" si="20"/>
        <v>0.9533716081992627</v>
      </c>
      <c r="R56" s="157">
        <f t="shared" si="20"/>
        <v>0.94948590888253459</v>
      </c>
      <c r="S56" s="157">
        <f t="shared" si="20"/>
        <v>0.94560020956580648</v>
      </c>
      <c r="T56" s="157">
        <f t="shared" si="20"/>
        <v>0.94171451024907837</v>
      </c>
      <c r="U56" s="157">
        <f t="shared" si="20"/>
        <v>0.93782881093235027</v>
      </c>
      <c r="V56" s="157">
        <f t="shared" si="20"/>
        <v>0.93394311161562216</v>
      </c>
      <c r="W56" s="157">
        <f t="shared" si="20"/>
        <v>0.93005741229889405</v>
      </c>
      <c r="X56" s="157">
        <f t="shared" si="20"/>
        <v>0.92617171298216594</v>
      </c>
      <c r="Y56" s="157">
        <f t="shared" si="20"/>
        <v>0.92228601366543783</v>
      </c>
      <c r="Z56" s="157">
        <f t="shared" si="20"/>
        <v>0.91840031434870972</v>
      </c>
      <c r="AA56" s="157">
        <f t="shared" si="20"/>
        <v>0.91451461503198161</v>
      </c>
      <c r="AB56" s="157">
        <f t="shared" si="20"/>
        <v>0.91062891571525351</v>
      </c>
      <c r="AC56" s="157">
        <f t="shared" si="20"/>
        <v>0.9067432163985254</v>
      </c>
      <c r="AD56" s="157">
        <f t="shared" si="20"/>
        <v>0.90285751708179729</v>
      </c>
      <c r="AE56" s="157">
        <f t="shared" si="20"/>
        <v>0.89897181776506918</v>
      </c>
      <c r="AF56" s="157">
        <f t="shared" si="20"/>
        <v>0.89508611844834107</v>
      </c>
      <c r="AG56" s="157">
        <f t="shared" si="20"/>
        <v>0.89120041913161296</v>
      </c>
      <c r="AH56" s="157">
        <f t="shared" si="20"/>
        <v>0.88731471981488486</v>
      </c>
      <c r="AI56" s="157">
        <f>P11</f>
        <v>0.88342902049815542</v>
      </c>
    </row>
    <row r="57" spans="1:35" s="62" customFormat="1">
      <c r="A57" s="286"/>
      <c r="B57" s="62" t="s">
        <v>21</v>
      </c>
      <c r="C57" s="62" t="s">
        <v>818</v>
      </c>
      <c r="D57" t="s">
        <v>35</v>
      </c>
      <c r="E57" s="188">
        <f>G9</f>
        <v>0</v>
      </c>
      <c r="F57" s="188">
        <f t="shared" si="20"/>
        <v>0</v>
      </c>
      <c r="G57" s="188">
        <f t="shared" si="20"/>
        <v>0</v>
      </c>
      <c r="H57" s="188">
        <f t="shared" si="20"/>
        <v>0</v>
      </c>
      <c r="I57" s="188">
        <f t="shared" si="20"/>
        <v>0</v>
      </c>
      <c r="J57" s="188">
        <f t="shared" si="20"/>
        <v>0</v>
      </c>
      <c r="K57" s="188">
        <f t="shared" si="20"/>
        <v>0</v>
      </c>
      <c r="L57" s="188">
        <f t="shared" si="20"/>
        <v>0</v>
      </c>
      <c r="M57" s="188">
        <f t="shared" si="20"/>
        <v>0</v>
      </c>
      <c r="N57" s="188">
        <f t="shared" si="20"/>
        <v>0</v>
      </c>
      <c r="O57" s="188">
        <f t="shared" si="20"/>
        <v>0</v>
      </c>
      <c r="P57" s="188">
        <f t="shared" si="20"/>
        <v>0</v>
      </c>
      <c r="Q57" s="188">
        <f t="shared" si="20"/>
        <v>0</v>
      </c>
      <c r="R57" s="188">
        <f t="shared" si="20"/>
        <v>0</v>
      </c>
      <c r="S57" s="188">
        <f t="shared" si="20"/>
        <v>0</v>
      </c>
      <c r="T57" s="188">
        <f t="shared" si="20"/>
        <v>0</v>
      </c>
      <c r="U57" s="188">
        <f t="shared" si="20"/>
        <v>0</v>
      </c>
      <c r="V57" s="188">
        <f t="shared" si="20"/>
        <v>0</v>
      </c>
      <c r="W57" s="188">
        <f t="shared" si="20"/>
        <v>0</v>
      </c>
      <c r="X57" s="188">
        <f t="shared" si="20"/>
        <v>0</v>
      </c>
      <c r="Y57" s="188">
        <f t="shared" si="20"/>
        <v>0</v>
      </c>
      <c r="Z57" s="188">
        <f t="shared" si="20"/>
        <v>0</v>
      </c>
      <c r="AA57" s="188">
        <f t="shared" si="20"/>
        <v>0</v>
      </c>
      <c r="AB57" s="188">
        <f t="shared" si="20"/>
        <v>0</v>
      </c>
      <c r="AC57" s="188">
        <f t="shared" si="20"/>
        <v>0</v>
      </c>
      <c r="AD57" s="188">
        <f t="shared" si="20"/>
        <v>0</v>
      </c>
      <c r="AE57" s="188">
        <f t="shared" si="20"/>
        <v>0</v>
      </c>
      <c r="AF57" s="188">
        <f t="shared" si="20"/>
        <v>0</v>
      </c>
      <c r="AG57" s="188">
        <f t="shared" si="20"/>
        <v>0</v>
      </c>
      <c r="AH57" s="188">
        <f t="shared" si="20"/>
        <v>0</v>
      </c>
      <c r="AI57" s="188">
        <f>Q9</f>
        <v>0</v>
      </c>
    </row>
    <row r="58" spans="1:35">
      <c r="A58" s="289"/>
      <c r="B58" t="s">
        <v>21</v>
      </c>
      <c r="D58" t="s">
        <v>160</v>
      </c>
      <c r="E58" s="157">
        <f>G10</f>
        <v>0</v>
      </c>
      <c r="F58" s="157">
        <f t="shared" si="20"/>
        <v>3.8856993167281548E-3</v>
      </c>
      <c r="G58" s="157">
        <f t="shared" si="20"/>
        <v>7.7713986334563097E-3</v>
      </c>
      <c r="H58" s="157">
        <f t="shared" si="20"/>
        <v>1.1657097950184464E-2</v>
      </c>
      <c r="I58" s="157">
        <f t="shared" si="20"/>
        <v>1.5542797266912619E-2</v>
      </c>
      <c r="J58" s="157">
        <f t="shared" si="20"/>
        <v>1.9428496583640775E-2</v>
      </c>
      <c r="K58" s="157">
        <f t="shared" si="20"/>
        <v>2.3314195900368928E-2</v>
      </c>
      <c r="L58" s="157">
        <f t="shared" si="20"/>
        <v>2.7199895217097082E-2</v>
      </c>
      <c r="M58" s="157">
        <f t="shared" si="20"/>
        <v>3.1085594533825235E-2</v>
      </c>
      <c r="N58" s="157">
        <f t="shared" si="20"/>
        <v>3.4971293850553392E-2</v>
      </c>
      <c r="O58" s="157">
        <f t="shared" si="20"/>
        <v>3.8856993167281549E-2</v>
      </c>
      <c r="P58" s="157">
        <f t="shared" si="20"/>
        <v>4.2742692484009706E-2</v>
      </c>
      <c r="Q58" s="157">
        <f t="shared" si="20"/>
        <v>4.6628391800737863E-2</v>
      </c>
      <c r="R58" s="157">
        <f t="shared" si="20"/>
        <v>5.051409111746602E-2</v>
      </c>
      <c r="S58" s="157">
        <f t="shared" si="20"/>
        <v>5.4399790434194177E-2</v>
      </c>
      <c r="T58" s="157">
        <f t="shared" si="20"/>
        <v>5.8285489750922334E-2</v>
      </c>
      <c r="U58" s="157">
        <f t="shared" si="20"/>
        <v>6.2171189067650491E-2</v>
      </c>
      <c r="V58" s="157">
        <f t="shared" si="20"/>
        <v>6.6056888384378648E-2</v>
      </c>
      <c r="W58" s="157">
        <f t="shared" si="20"/>
        <v>6.9942587701106798E-2</v>
      </c>
      <c r="X58" s="157">
        <f t="shared" si="20"/>
        <v>7.3828287017834948E-2</v>
      </c>
      <c r="Y58" s="157">
        <f t="shared" si="20"/>
        <v>7.7713986334563098E-2</v>
      </c>
      <c r="Z58" s="157">
        <f t="shared" si="20"/>
        <v>8.1599685651291248E-2</v>
      </c>
      <c r="AA58" s="157">
        <f t="shared" si="20"/>
        <v>8.5485384968019398E-2</v>
      </c>
      <c r="AB58" s="157">
        <f t="shared" si="20"/>
        <v>8.9371084284747548E-2</v>
      </c>
      <c r="AC58" s="157">
        <f t="shared" si="20"/>
        <v>9.3256783601475698E-2</v>
      </c>
      <c r="AD58" s="157">
        <f t="shared" si="20"/>
        <v>9.7142482918203849E-2</v>
      </c>
      <c r="AE58" s="157">
        <f t="shared" si="20"/>
        <v>0.101028182234932</v>
      </c>
      <c r="AF58" s="157">
        <f t="shared" si="20"/>
        <v>0.10491388155166015</v>
      </c>
      <c r="AG58" s="157">
        <f t="shared" si="20"/>
        <v>0.1087995808683883</v>
      </c>
      <c r="AH58" s="157">
        <f t="shared" si="20"/>
        <v>0.11268528018511645</v>
      </c>
      <c r="AI58" s="157">
        <f>Q10</f>
        <v>0.11657097950184464</v>
      </c>
    </row>
    <row r="59" spans="1:35">
      <c r="A59" s="289"/>
      <c r="B59" t="s">
        <v>21</v>
      </c>
      <c r="D59" t="s">
        <v>27</v>
      </c>
      <c r="E59" s="157">
        <f>G11</f>
        <v>1</v>
      </c>
      <c r="F59" s="157">
        <f t="shared" si="20"/>
        <v>0.99611430068327189</v>
      </c>
      <c r="G59" s="157">
        <f t="shared" si="20"/>
        <v>0.99222860136654378</v>
      </c>
      <c r="H59" s="157">
        <f t="shared" si="20"/>
        <v>0.98834290204981567</v>
      </c>
      <c r="I59" s="157">
        <f t="shared" si="20"/>
        <v>0.98445720273308757</v>
      </c>
      <c r="J59" s="157">
        <f t="shared" si="20"/>
        <v>0.98057150341635946</v>
      </c>
      <c r="K59" s="157">
        <f t="shared" si="20"/>
        <v>0.97668580409963135</v>
      </c>
      <c r="L59" s="157">
        <f t="shared" si="20"/>
        <v>0.97280010478290324</v>
      </c>
      <c r="M59" s="157">
        <f t="shared" si="20"/>
        <v>0.96891440546617513</v>
      </c>
      <c r="N59" s="157">
        <f t="shared" si="20"/>
        <v>0.96502870614944702</v>
      </c>
      <c r="O59" s="157">
        <f t="shared" si="20"/>
        <v>0.96114300683271892</v>
      </c>
      <c r="P59" s="157">
        <f t="shared" si="20"/>
        <v>0.95725730751599081</v>
      </c>
      <c r="Q59" s="157">
        <f t="shared" si="20"/>
        <v>0.9533716081992627</v>
      </c>
      <c r="R59" s="157">
        <f t="shared" si="20"/>
        <v>0.94948590888253459</v>
      </c>
      <c r="S59" s="157">
        <f t="shared" si="20"/>
        <v>0.94560020956580648</v>
      </c>
      <c r="T59" s="157">
        <f t="shared" si="20"/>
        <v>0.94171451024907837</v>
      </c>
      <c r="U59" s="157">
        <f t="shared" si="20"/>
        <v>0.93782881093235027</v>
      </c>
      <c r="V59" s="157">
        <f t="shared" si="20"/>
        <v>0.93394311161562216</v>
      </c>
      <c r="W59" s="157">
        <f t="shared" si="20"/>
        <v>0.93005741229889405</v>
      </c>
      <c r="X59" s="157">
        <f t="shared" si="20"/>
        <v>0.92617171298216594</v>
      </c>
      <c r="Y59" s="157">
        <f t="shared" si="20"/>
        <v>0.92228601366543783</v>
      </c>
      <c r="Z59" s="157">
        <f t="shared" si="20"/>
        <v>0.91840031434870972</v>
      </c>
      <c r="AA59" s="157">
        <f t="shared" si="20"/>
        <v>0.91451461503198161</v>
      </c>
      <c r="AB59" s="157">
        <f t="shared" si="20"/>
        <v>0.91062891571525351</v>
      </c>
      <c r="AC59" s="157">
        <f t="shared" si="20"/>
        <v>0.9067432163985254</v>
      </c>
      <c r="AD59" s="157">
        <f t="shared" si="20"/>
        <v>0.90285751708179729</v>
      </c>
      <c r="AE59" s="157">
        <f t="shared" si="20"/>
        <v>0.89897181776506918</v>
      </c>
      <c r="AF59" s="157">
        <f t="shared" si="20"/>
        <v>0.89508611844834107</v>
      </c>
      <c r="AG59" s="157">
        <f t="shared" si="20"/>
        <v>0.89120041913161296</v>
      </c>
      <c r="AH59" s="157">
        <f t="shared" si="20"/>
        <v>0.88731471981488486</v>
      </c>
      <c r="AI59" s="157">
        <f>Q11</f>
        <v>0.88342902049815542</v>
      </c>
    </row>
    <row r="60" spans="1:35" s="62" customFormat="1">
      <c r="A60" s="286"/>
      <c r="B60" s="62" t="s">
        <v>53</v>
      </c>
      <c r="C60" s="62" t="s">
        <v>815</v>
      </c>
      <c r="D60" t="s">
        <v>35</v>
      </c>
      <c r="E60" s="188">
        <f>D15</f>
        <v>3.7046904389201808E-2</v>
      </c>
      <c r="F60" s="188">
        <f t="shared" si="20"/>
        <v>3.7046904389201808E-2</v>
      </c>
      <c r="G60" s="188">
        <f t="shared" si="20"/>
        <v>3.7046904389201808E-2</v>
      </c>
      <c r="H60" s="188">
        <f t="shared" si="20"/>
        <v>3.7046904389201808E-2</v>
      </c>
      <c r="I60" s="188">
        <f t="shared" si="20"/>
        <v>3.7046904389201808E-2</v>
      </c>
      <c r="J60" s="188">
        <f t="shared" si="20"/>
        <v>3.7046904389201808E-2</v>
      </c>
      <c r="K60" s="188">
        <f t="shared" si="20"/>
        <v>3.7046904389201808E-2</v>
      </c>
      <c r="L60" s="188">
        <f t="shared" si="20"/>
        <v>3.7046904389201808E-2</v>
      </c>
      <c r="M60" s="188">
        <f t="shared" si="20"/>
        <v>3.7046904389201808E-2</v>
      </c>
      <c r="N60" s="188">
        <f t="shared" si="20"/>
        <v>3.7046904389201808E-2</v>
      </c>
      <c r="O60" s="188">
        <f t="shared" si="20"/>
        <v>3.7046904389201808E-2</v>
      </c>
      <c r="P60" s="188">
        <f t="shared" si="20"/>
        <v>3.7046904389201808E-2</v>
      </c>
      <c r="Q60" s="188">
        <f t="shared" si="20"/>
        <v>3.7046904389201808E-2</v>
      </c>
      <c r="R60" s="188">
        <f t="shared" si="20"/>
        <v>3.7046904389201808E-2</v>
      </c>
      <c r="S60" s="188">
        <f t="shared" si="20"/>
        <v>3.7046904389201808E-2</v>
      </c>
      <c r="T60" s="188">
        <f t="shared" si="20"/>
        <v>3.7046904389201808E-2</v>
      </c>
      <c r="U60" s="188">
        <f t="shared" si="20"/>
        <v>3.7046904389201808E-2</v>
      </c>
      <c r="V60" s="188">
        <f t="shared" si="20"/>
        <v>3.7046904389201808E-2</v>
      </c>
      <c r="W60" s="188">
        <f t="shared" si="20"/>
        <v>3.7046904389201808E-2</v>
      </c>
      <c r="X60" s="188">
        <f t="shared" si="20"/>
        <v>3.7046904389201808E-2</v>
      </c>
      <c r="Y60" s="188">
        <f t="shared" si="20"/>
        <v>3.7046904389201808E-2</v>
      </c>
      <c r="Z60" s="188">
        <f t="shared" si="20"/>
        <v>3.7046904389201808E-2</v>
      </c>
      <c r="AA60" s="188">
        <f t="shared" si="20"/>
        <v>3.7046904389201808E-2</v>
      </c>
      <c r="AB60" s="188">
        <f t="shared" si="20"/>
        <v>3.7046904389201808E-2</v>
      </c>
      <c r="AC60" s="188">
        <f t="shared" ref="AC60:AH60" si="21">-($E60-$AI60)/30+AB60</f>
        <v>3.7046904389201808E-2</v>
      </c>
      <c r="AD60" s="188">
        <f t="shared" si="21"/>
        <v>3.7046904389201808E-2</v>
      </c>
      <c r="AE60" s="188">
        <f t="shared" si="21"/>
        <v>3.7046904389201808E-2</v>
      </c>
      <c r="AF60" s="188">
        <f t="shared" si="21"/>
        <v>3.7046904389201808E-2</v>
      </c>
      <c r="AG60" s="188">
        <f t="shared" si="21"/>
        <v>3.7046904389201808E-2</v>
      </c>
      <c r="AH60" s="188">
        <f t="shared" si="21"/>
        <v>3.7046904389201808E-2</v>
      </c>
      <c r="AI60" s="188">
        <f>N15</f>
        <v>3.7046904389201808E-2</v>
      </c>
    </row>
    <row r="61" spans="1:35">
      <c r="A61" s="289"/>
      <c r="B61" t="s">
        <v>53</v>
      </c>
      <c r="D61" t="s">
        <v>160</v>
      </c>
      <c r="E61" s="157">
        <f>D16</f>
        <v>0</v>
      </c>
      <c r="F61" s="157">
        <f t="shared" ref="F61:AH65" si="22">-($E61-$AI61)/30+E61</f>
        <v>0</v>
      </c>
      <c r="G61" s="157">
        <f t="shared" si="22"/>
        <v>0</v>
      </c>
      <c r="H61" s="157">
        <f t="shared" si="22"/>
        <v>0</v>
      </c>
      <c r="I61" s="157">
        <f t="shared" si="22"/>
        <v>0</v>
      </c>
      <c r="J61" s="157">
        <f t="shared" si="22"/>
        <v>0</v>
      </c>
      <c r="K61" s="157">
        <f t="shared" si="22"/>
        <v>0</v>
      </c>
      <c r="L61" s="157">
        <f t="shared" si="22"/>
        <v>0</v>
      </c>
      <c r="M61" s="157">
        <f t="shared" si="22"/>
        <v>0</v>
      </c>
      <c r="N61" s="157">
        <f t="shared" si="22"/>
        <v>0</v>
      </c>
      <c r="O61" s="157">
        <f t="shared" si="22"/>
        <v>0</v>
      </c>
      <c r="P61" s="157">
        <f t="shared" si="22"/>
        <v>0</v>
      </c>
      <c r="Q61" s="157">
        <f t="shared" si="22"/>
        <v>0</v>
      </c>
      <c r="R61" s="157">
        <f t="shared" si="22"/>
        <v>0</v>
      </c>
      <c r="S61" s="157">
        <f t="shared" si="22"/>
        <v>0</v>
      </c>
      <c r="T61" s="157">
        <f t="shared" si="22"/>
        <v>0</v>
      </c>
      <c r="U61" s="157">
        <f t="shared" si="22"/>
        <v>0</v>
      </c>
      <c r="V61" s="157">
        <f t="shared" si="22"/>
        <v>0</v>
      </c>
      <c r="W61" s="157">
        <f t="shared" si="22"/>
        <v>0</v>
      </c>
      <c r="X61" s="157">
        <f t="shared" si="22"/>
        <v>0</v>
      </c>
      <c r="Y61" s="157">
        <f t="shared" si="22"/>
        <v>0</v>
      </c>
      <c r="Z61" s="157">
        <f t="shared" si="22"/>
        <v>0</v>
      </c>
      <c r="AA61" s="157">
        <f t="shared" si="22"/>
        <v>0</v>
      </c>
      <c r="AB61" s="157">
        <f t="shared" si="22"/>
        <v>0</v>
      </c>
      <c r="AC61" s="157">
        <f t="shared" si="22"/>
        <v>0</v>
      </c>
      <c r="AD61" s="157">
        <f t="shared" si="22"/>
        <v>0</v>
      </c>
      <c r="AE61" s="157">
        <f t="shared" si="22"/>
        <v>0</v>
      </c>
      <c r="AF61" s="157">
        <f t="shared" si="22"/>
        <v>0</v>
      </c>
      <c r="AG61" s="157">
        <f t="shared" si="22"/>
        <v>0</v>
      </c>
      <c r="AH61" s="157">
        <f t="shared" si="22"/>
        <v>0</v>
      </c>
      <c r="AI61" s="157">
        <f>N16</f>
        <v>0</v>
      </c>
    </row>
    <row r="62" spans="1:35">
      <c r="A62" s="289"/>
      <c r="B62" t="s">
        <v>53</v>
      </c>
      <c r="D62" t="s">
        <v>27</v>
      </c>
      <c r="E62" s="157">
        <f>D17</f>
        <v>0.96295309561079823</v>
      </c>
      <c r="F62" s="157">
        <f t="shared" si="22"/>
        <v>0.96295309561079823</v>
      </c>
      <c r="G62" s="157">
        <f t="shared" si="22"/>
        <v>0.96295309561079823</v>
      </c>
      <c r="H62" s="157">
        <f t="shared" si="22"/>
        <v>0.96295309561079823</v>
      </c>
      <c r="I62" s="157">
        <f t="shared" si="22"/>
        <v>0.96295309561079823</v>
      </c>
      <c r="J62" s="157">
        <f t="shared" si="22"/>
        <v>0.96295309561079823</v>
      </c>
      <c r="K62" s="157">
        <f t="shared" si="22"/>
        <v>0.96295309561079823</v>
      </c>
      <c r="L62" s="157">
        <f t="shared" si="22"/>
        <v>0.96295309561079823</v>
      </c>
      <c r="M62" s="157">
        <f t="shared" si="22"/>
        <v>0.96295309561079823</v>
      </c>
      <c r="N62" s="157">
        <f t="shared" si="22"/>
        <v>0.96295309561079823</v>
      </c>
      <c r="O62" s="157">
        <f t="shared" si="22"/>
        <v>0.96295309561079823</v>
      </c>
      <c r="P62" s="157">
        <f t="shared" si="22"/>
        <v>0.96295309561079823</v>
      </c>
      <c r="Q62" s="157">
        <f t="shared" si="22"/>
        <v>0.96295309561079823</v>
      </c>
      <c r="R62" s="157">
        <f t="shared" si="22"/>
        <v>0.96295309561079823</v>
      </c>
      <c r="S62" s="157">
        <f t="shared" si="22"/>
        <v>0.96295309561079823</v>
      </c>
      <c r="T62" s="157">
        <f t="shared" si="22"/>
        <v>0.96295309561079823</v>
      </c>
      <c r="U62" s="157">
        <f t="shared" si="22"/>
        <v>0.96295309561079823</v>
      </c>
      <c r="V62" s="157">
        <f t="shared" si="22"/>
        <v>0.96295309561079823</v>
      </c>
      <c r="W62" s="157">
        <f t="shared" si="22"/>
        <v>0.96295309561079823</v>
      </c>
      <c r="X62" s="157">
        <f t="shared" si="22"/>
        <v>0.96295309561079823</v>
      </c>
      <c r="Y62" s="157">
        <f t="shared" si="22"/>
        <v>0.96295309561079823</v>
      </c>
      <c r="Z62" s="157">
        <f t="shared" si="22"/>
        <v>0.96295309561079823</v>
      </c>
      <c r="AA62" s="157">
        <f t="shared" si="22"/>
        <v>0.96295309561079823</v>
      </c>
      <c r="AB62" s="157">
        <f t="shared" si="22"/>
        <v>0.96295309561079823</v>
      </c>
      <c r="AC62" s="157">
        <f t="shared" si="22"/>
        <v>0.96295309561079823</v>
      </c>
      <c r="AD62" s="157">
        <f t="shared" si="22"/>
        <v>0.96295309561079823</v>
      </c>
      <c r="AE62" s="157">
        <f t="shared" si="22"/>
        <v>0.96295309561079823</v>
      </c>
      <c r="AF62" s="157">
        <f t="shared" si="22"/>
        <v>0.96295309561079823</v>
      </c>
      <c r="AG62" s="157">
        <f t="shared" si="22"/>
        <v>0.96295309561079823</v>
      </c>
      <c r="AH62" s="157">
        <f t="shared" si="22"/>
        <v>0.96295309561079823</v>
      </c>
      <c r="AI62" s="157">
        <f>N17</f>
        <v>0.96295309561079823</v>
      </c>
    </row>
    <row r="63" spans="1:35" s="62" customFormat="1">
      <c r="A63" s="286"/>
      <c r="B63" s="62" t="s">
        <v>53</v>
      </c>
      <c r="C63" s="62" t="s">
        <v>817</v>
      </c>
      <c r="D63" t="s">
        <v>35</v>
      </c>
      <c r="E63" s="188">
        <f>E15</f>
        <v>3.7046904389201808E-2</v>
      </c>
      <c r="F63" s="188">
        <f t="shared" si="22"/>
        <v>3.7046904389201808E-2</v>
      </c>
      <c r="G63" s="188">
        <f t="shared" si="22"/>
        <v>3.7046904389201808E-2</v>
      </c>
      <c r="H63" s="188">
        <f t="shared" si="22"/>
        <v>3.7046904389201808E-2</v>
      </c>
      <c r="I63" s="188">
        <f t="shared" si="22"/>
        <v>3.7046904389201808E-2</v>
      </c>
      <c r="J63" s="188">
        <f t="shared" si="22"/>
        <v>3.7046904389201808E-2</v>
      </c>
      <c r="K63" s="188">
        <f t="shared" si="22"/>
        <v>3.7046904389201808E-2</v>
      </c>
      <c r="L63" s="188">
        <f t="shared" si="22"/>
        <v>3.7046904389201808E-2</v>
      </c>
      <c r="M63" s="188">
        <f t="shared" si="22"/>
        <v>3.7046904389201808E-2</v>
      </c>
      <c r="N63" s="188">
        <f t="shared" si="22"/>
        <v>3.7046904389201808E-2</v>
      </c>
      <c r="O63" s="188">
        <f t="shared" si="22"/>
        <v>3.7046904389201808E-2</v>
      </c>
      <c r="P63" s="188">
        <f t="shared" si="22"/>
        <v>3.7046904389201808E-2</v>
      </c>
      <c r="Q63" s="188">
        <f t="shared" si="22"/>
        <v>3.7046904389201808E-2</v>
      </c>
      <c r="R63" s="188">
        <f t="shared" si="22"/>
        <v>3.7046904389201808E-2</v>
      </c>
      <c r="S63" s="188">
        <f t="shared" si="22"/>
        <v>3.7046904389201808E-2</v>
      </c>
      <c r="T63" s="188">
        <f t="shared" si="22"/>
        <v>3.7046904389201808E-2</v>
      </c>
      <c r="U63" s="188">
        <f t="shared" si="22"/>
        <v>3.7046904389201808E-2</v>
      </c>
      <c r="V63" s="188">
        <f t="shared" si="22"/>
        <v>3.7046904389201808E-2</v>
      </c>
      <c r="W63" s="188">
        <f t="shared" si="22"/>
        <v>3.7046904389201808E-2</v>
      </c>
      <c r="X63" s="188">
        <f t="shared" si="22"/>
        <v>3.7046904389201808E-2</v>
      </c>
      <c r="Y63" s="188">
        <f t="shared" si="22"/>
        <v>3.7046904389201808E-2</v>
      </c>
      <c r="Z63" s="188">
        <f t="shared" si="22"/>
        <v>3.7046904389201808E-2</v>
      </c>
      <c r="AA63" s="188">
        <f t="shared" si="22"/>
        <v>3.7046904389201808E-2</v>
      </c>
      <c r="AB63" s="188">
        <f t="shared" si="22"/>
        <v>3.7046904389201808E-2</v>
      </c>
      <c r="AC63" s="188">
        <f t="shared" si="22"/>
        <v>3.7046904389201808E-2</v>
      </c>
      <c r="AD63" s="188">
        <f t="shared" si="22"/>
        <v>3.7046904389201808E-2</v>
      </c>
      <c r="AE63" s="188">
        <f t="shared" si="22"/>
        <v>3.7046904389201808E-2</v>
      </c>
      <c r="AF63" s="188">
        <f t="shared" si="22"/>
        <v>3.7046904389201808E-2</v>
      </c>
      <c r="AG63" s="188">
        <f t="shared" si="22"/>
        <v>3.7046904389201808E-2</v>
      </c>
      <c r="AH63" s="188">
        <f t="shared" si="22"/>
        <v>3.7046904389201808E-2</v>
      </c>
      <c r="AI63" s="188">
        <f>O15</f>
        <v>3.7046904389201808E-2</v>
      </c>
    </row>
    <row r="64" spans="1:35">
      <c r="A64" s="289"/>
      <c r="B64" t="s">
        <v>53</v>
      </c>
      <c r="D64" t="s">
        <v>160</v>
      </c>
      <c r="E64" s="157">
        <f>E16</f>
        <v>0</v>
      </c>
      <c r="F64" s="157">
        <f t="shared" si="22"/>
        <v>0</v>
      </c>
      <c r="G64" s="157">
        <f t="shared" si="22"/>
        <v>0</v>
      </c>
      <c r="H64" s="157">
        <f t="shared" si="22"/>
        <v>0</v>
      </c>
      <c r="I64" s="157">
        <f t="shared" si="22"/>
        <v>0</v>
      </c>
      <c r="J64" s="157">
        <f t="shared" si="22"/>
        <v>0</v>
      </c>
      <c r="K64" s="157">
        <f t="shared" si="22"/>
        <v>0</v>
      </c>
      <c r="L64" s="157">
        <f t="shared" si="22"/>
        <v>0</v>
      </c>
      <c r="M64" s="157">
        <f t="shared" si="22"/>
        <v>0</v>
      </c>
      <c r="N64" s="157">
        <f t="shared" si="22"/>
        <v>0</v>
      </c>
      <c r="O64" s="157">
        <f t="shared" si="22"/>
        <v>0</v>
      </c>
      <c r="P64" s="157">
        <f t="shared" si="22"/>
        <v>0</v>
      </c>
      <c r="Q64" s="157">
        <f t="shared" si="22"/>
        <v>0</v>
      </c>
      <c r="R64" s="157">
        <f t="shared" si="22"/>
        <v>0</v>
      </c>
      <c r="S64" s="157">
        <f t="shared" si="22"/>
        <v>0</v>
      </c>
      <c r="T64" s="157">
        <f t="shared" si="22"/>
        <v>0</v>
      </c>
      <c r="U64" s="157">
        <f t="shared" si="22"/>
        <v>0</v>
      </c>
      <c r="V64" s="157">
        <f t="shared" si="22"/>
        <v>0</v>
      </c>
      <c r="W64" s="157">
        <f t="shared" si="22"/>
        <v>0</v>
      </c>
      <c r="X64" s="157">
        <f t="shared" si="22"/>
        <v>0</v>
      </c>
      <c r="Y64" s="157">
        <f t="shared" si="22"/>
        <v>0</v>
      </c>
      <c r="Z64" s="157">
        <f t="shared" si="22"/>
        <v>0</v>
      </c>
      <c r="AA64" s="157">
        <f t="shared" si="22"/>
        <v>0</v>
      </c>
      <c r="AB64" s="157">
        <f t="shared" si="22"/>
        <v>0</v>
      </c>
      <c r="AC64" s="157">
        <f t="shared" si="22"/>
        <v>0</v>
      </c>
      <c r="AD64" s="157">
        <f t="shared" si="22"/>
        <v>0</v>
      </c>
      <c r="AE64" s="157">
        <f t="shared" si="22"/>
        <v>0</v>
      </c>
      <c r="AF64" s="157">
        <f t="shared" si="22"/>
        <v>0</v>
      </c>
      <c r="AG64" s="157">
        <f t="shared" si="22"/>
        <v>0</v>
      </c>
      <c r="AH64" s="157">
        <f t="shared" si="22"/>
        <v>0</v>
      </c>
      <c r="AI64" s="157">
        <f>O16</f>
        <v>0</v>
      </c>
    </row>
    <row r="65" spans="1:35">
      <c r="A65" s="289"/>
      <c r="B65" t="s">
        <v>53</v>
      </c>
      <c r="D65" t="s">
        <v>27</v>
      </c>
      <c r="E65" s="157">
        <f>E17</f>
        <v>0.96295309561079823</v>
      </c>
      <c r="F65" s="157">
        <f t="shared" si="22"/>
        <v>0.96295309561079823</v>
      </c>
      <c r="G65" s="157">
        <f t="shared" si="22"/>
        <v>0.96295309561079823</v>
      </c>
      <c r="H65" s="157">
        <f t="shared" si="22"/>
        <v>0.96295309561079823</v>
      </c>
      <c r="I65" s="157">
        <f t="shared" si="22"/>
        <v>0.96295309561079823</v>
      </c>
      <c r="J65" s="157">
        <f t="shared" si="22"/>
        <v>0.96295309561079823</v>
      </c>
      <c r="K65" s="157">
        <f t="shared" si="22"/>
        <v>0.96295309561079823</v>
      </c>
      <c r="L65" s="157">
        <f t="shared" si="22"/>
        <v>0.96295309561079823</v>
      </c>
      <c r="M65" s="157">
        <f t="shared" si="22"/>
        <v>0.96295309561079823</v>
      </c>
      <c r="N65" s="157">
        <f t="shared" si="22"/>
        <v>0.96295309561079823</v>
      </c>
      <c r="O65" s="157">
        <f t="shared" si="22"/>
        <v>0.96295309561079823</v>
      </c>
      <c r="P65" s="157">
        <f t="shared" si="22"/>
        <v>0.96295309561079823</v>
      </c>
      <c r="Q65" s="157">
        <f t="shared" si="22"/>
        <v>0.96295309561079823</v>
      </c>
      <c r="R65" s="157">
        <f t="shared" si="22"/>
        <v>0.96295309561079823</v>
      </c>
      <c r="S65" s="157">
        <f t="shared" si="22"/>
        <v>0.96295309561079823</v>
      </c>
      <c r="T65" s="157">
        <f t="shared" si="22"/>
        <v>0.96295309561079823</v>
      </c>
      <c r="U65" s="157">
        <f t="shared" si="22"/>
        <v>0.96295309561079823</v>
      </c>
      <c r="V65" s="157">
        <f t="shared" si="22"/>
        <v>0.96295309561079823</v>
      </c>
      <c r="W65" s="157">
        <f t="shared" si="22"/>
        <v>0.96295309561079823</v>
      </c>
      <c r="X65" s="157">
        <f t="shared" si="22"/>
        <v>0.96295309561079823</v>
      </c>
      <c r="Y65" s="157">
        <f t="shared" si="22"/>
        <v>0.96295309561079823</v>
      </c>
      <c r="Z65" s="157">
        <f t="shared" si="22"/>
        <v>0.96295309561079823</v>
      </c>
      <c r="AA65" s="157">
        <f t="shared" si="22"/>
        <v>0.96295309561079823</v>
      </c>
      <c r="AB65" s="157">
        <f t="shared" si="22"/>
        <v>0.96295309561079823</v>
      </c>
      <c r="AC65" s="157">
        <f t="shared" si="22"/>
        <v>0.96295309561079823</v>
      </c>
      <c r="AD65" s="157">
        <f t="shared" si="22"/>
        <v>0.96295309561079823</v>
      </c>
      <c r="AE65" s="157">
        <f t="shared" si="22"/>
        <v>0.96295309561079823</v>
      </c>
      <c r="AF65" s="157">
        <f t="shared" si="22"/>
        <v>0.96295309561079823</v>
      </c>
      <c r="AG65" s="157">
        <f t="shared" si="22"/>
        <v>0.96295309561079823</v>
      </c>
      <c r="AH65" s="157">
        <f t="shared" si="22"/>
        <v>0.96295309561079823</v>
      </c>
      <c r="AI65" s="157">
        <f>O17</f>
        <v>0.96295309561079823</v>
      </c>
    </row>
    <row r="66" spans="1:35" s="62" customFormat="1">
      <c r="A66" s="286"/>
      <c r="B66" s="62" t="s">
        <v>53</v>
      </c>
      <c r="C66" s="62" t="s">
        <v>818</v>
      </c>
      <c r="D66" t="s">
        <v>35</v>
      </c>
      <c r="E66" s="188">
        <f>F15</f>
        <v>3.7046904389201808E-2</v>
      </c>
      <c r="F66" s="188">
        <f t="shared" ref="F66:AH71" si="23">-($E66-$AI66)/30+E66</f>
        <v>3.7046904389201808E-2</v>
      </c>
      <c r="G66" s="188">
        <f t="shared" si="23"/>
        <v>3.7046904389201808E-2</v>
      </c>
      <c r="H66" s="188">
        <f t="shared" si="23"/>
        <v>3.7046904389201808E-2</v>
      </c>
      <c r="I66" s="188">
        <f t="shared" si="23"/>
        <v>3.7046904389201808E-2</v>
      </c>
      <c r="J66" s="188">
        <f t="shared" si="23"/>
        <v>3.7046904389201808E-2</v>
      </c>
      <c r="K66" s="188">
        <f t="shared" si="23"/>
        <v>3.7046904389201808E-2</v>
      </c>
      <c r="L66" s="188">
        <f t="shared" si="23"/>
        <v>3.7046904389201808E-2</v>
      </c>
      <c r="M66" s="188">
        <f t="shared" si="23"/>
        <v>3.7046904389201808E-2</v>
      </c>
      <c r="N66" s="188">
        <f t="shared" si="23"/>
        <v>3.7046904389201808E-2</v>
      </c>
      <c r="O66" s="188">
        <f t="shared" si="23"/>
        <v>3.7046904389201808E-2</v>
      </c>
      <c r="P66" s="188">
        <f t="shared" si="23"/>
        <v>3.7046904389201808E-2</v>
      </c>
      <c r="Q66" s="188">
        <f t="shared" si="23"/>
        <v>3.7046904389201808E-2</v>
      </c>
      <c r="R66" s="188">
        <f t="shared" si="23"/>
        <v>3.7046904389201808E-2</v>
      </c>
      <c r="S66" s="188">
        <f t="shared" si="23"/>
        <v>3.7046904389201808E-2</v>
      </c>
      <c r="T66" s="188">
        <f t="shared" si="23"/>
        <v>3.7046904389201808E-2</v>
      </c>
      <c r="U66" s="188">
        <f t="shared" si="23"/>
        <v>3.7046904389201808E-2</v>
      </c>
      <c r="V66" s="188">
        <f t="shared" si="23"/>
        <v>3.7046904389201808E-2</v>
      </c>
      <c r="W66" s="188">
        <f t="shared" si="23"/>
        <v>3.7046904389201808E-2</v>
      </c>
      <c r="X66" s="188">
        <f t="shared" si="23"/>
        <v>3.7046904389201808E-2</v>
      </c>
      <c r="Y66" s="188">
        <f t="shared" si="23"/>
        <v>3.7046904389201808E-2</v>
      </c>
      <c r="Z66" s="188">
        <f t="shared" si="23"/>
        <v>3.7046904389201808E-2</v>
      </c>
      <c r="AA66" s="188">
        <f t="shared" si="23"/>
        <v>3.7046904389201808E-2</v>
      </c>
      <c r="AB66" s="188">
        <f t="shared" si="23"/>
        <v>3.7046904389201808E-2</v>
      </c>
      <c r="AC66" s="188">
        <f t="shared" si="23"/>
        <v>3.7046904389201808E-2</v>
      </c>
      <c r="AD66" s="188">
        <f t="shared" si="23"/>
        <v>3.7046904389201808E-2</v>
      </c>
      <c r="AE66" s="188">
        <f t="shared" si="23"/>
        <v>3.7046904389201808E-2</v>
      </c>
      <c r="AF66" s="188">
        <f t="shared" si="23"/>
        <v>3.7046904389201808E-2</v>
      </c>
      <c r="AG66" s="188">
        <f t="shared" si="23"/>
        <v>3.7046904389201808E-2</v>
      </c>
      <c r="AH66" s="188">
        <f t="shared" si="23"/>
        <v>3.7046904389201808E-2</v>
      </c>
      <c r="AI66" s="188">
        <f>P15</f>
        <v>3.7046904389201808E-2</v>
      </c>
    </row>
    <row r="67" spans="1:35">
      <c r="A67" s="289"/>
      <c r="B67" t="s">
        <v>53</v>
      </c>
      <c r="D67" t="s">
        <v>160</v>
      </c>
      <c r="E67" s="157">
        <f>F16</f>
        <v>0</v>
      </c>
      <c r="F67" s="157">
        <f t="shared" si="23"/>
        <v>0</v>
      </c>
      <c r="G67" s="157">
        <f t="shared" si="23"/>
        <v>0</v>
      </c>
      <c r="H67" s="157">
        <f t="shared" si="23"/>
        <v>0</v>
      </c>
      <c r="I67" s="157">
        <f t="shared" si="23"/>
        <v>0</v>
      </c>
      <c r="J67" s="157">
        <f t="shared" si="23"/>
        <v>0</v>
      </c>
      <c r="K67" s="157">
        <f t="shared" si="23"/>
        <v>0</v>
      </c>
      <c r="L67" s="157">
        <f t="shared" si="23"/>
        <v>0</v>
      </c>
      <c r="M67" s="157">
        <f t="shared" si="23"/>
        <v>0</v>
      </c>
      <c r="N67" s="157">
        <f t="shared" si="23"/>
        <v>0</v>
      </c>
      <c r="O67" s="157">
        <f t="shared" si="23"/>
        <v>0</v>
      </c>
      <c r="P67" s="157">
        <f t="shared" si="23"/>
        <v>0</v>
      </c>
      <c r="Q67" s="157">
        <f t="shared" si="23"/>
        <v>0</v>
      </c>
      <c r="R67" s="157">
        <f t="shared" si="23"/>
        <v>0</v>
      </c>
      <c r="S67" s="157">
        <f t="shared" si="23"/>
        <v>0</v>
      </c>
      <c r="T67" s="157">
        <f t="shared" si="23"/>
        <v>0</v>
      </c>
      <c r="U67" s="157">
        <f t="shared" si="23"/>
        <v>0</v>
      </c>
      <c r="V67" s="157">
        <f t="shared" si="23"/>
        <v>0</v>
      </c>
      <c r="W67" s="157">
        <f t="shared" si="23"/>
        <v>0</v>
      </c>
      <c r="X67" s="157">
        <f t="shared" si="23"/>
        <v>0</v>
      </c>
      <c r="Y67" s="157">
        <f t="shared" si="23"/>
        <v>0</v>
      </c>
      <c r="Z67" s="157">
        <f t="shared" si="23"/>
        <v>0</v>
      </c>
      <c r="AA67" s="157">
        <f t="shared" si="23"/>
        <v>0</v>
      </c>
      <c r="AB67" s="157">
        <f t="shared" si="23"/>
        <v>0</v>
      </c>
      <c r="AC67" s="157">
        <f t="shared" si="23"/>
        <v>0</v>
      </c>
      <c r="AD67" s="157">
        <f t="shared" si="23"/>
        <v>0</v>
      </c>
      <c r="AE67" s="157">
        <f t="shared" si="23"/>
        <v>0</v>
      </c>
      <c r="AF67" s="157">
        <f t="shared" si="23"/>
        <v>0</v>
      </c>
      <c r="AG67" s="157">
        <f t="shared" si="23"/>
        <v>0</v>
      </c>
      <c r="AH67" s="157">
        <f t="shared" si="23"/>
        <v>0</v>
      </c>
      <c r="AI67" s="157">
        <f>P16</f>
        <v>0</v>
      </c>
    </row>
    <row r="68" spans="1:35">
      <c r="A68" s="289"/>
      <c r="B68" t="s">
        <v>53</v>
      </c>
      <c r="D68" t="s">
        <v>27</v>
      </c>
      <c r="E68" s="157">
        <f>F17</f>
        <v>0.96295309561079823</v>
      </c>
      <c r="F68" s="157">
        <f t="shared" si="23"/>
        <v>0.96295309561079823</v>
      </c>
      <c r="G68" s="157">
        <f t="shared" si="23"/>
        <v>0.96295309561079823</v>
      </c>
      <c r="H68" s="157">
        <f t="shared" si="23"/>
        <v>0.96295309561079823</v>
      </c>
      <c r="I68" s="157">
        <f t="shared" si="23"/>
        <v>0.96295309561079823</v>
      </c>
      <c r="J68" s="157">
        <f t="shared" si="23"/>
        <v>0.96295309561079823</v>
      </c>
      <c r="K68" s="157">
        <f t="shared" si="23"/>
        <v>0.96295309561079823</v>
      </c>
      <c r="L68" s="157">
        <f t="shared" si="23"/>
        <v>0.96295309561079823</v>
      </c>
      <c r="M68" s="157">
        <f t="shared" si="23"/>
        <v>0.96295309561079823</v>
      </c>
      <c r="N68" s="157">
        <f t="shared" si="23"/>
        <v>0.96295309561079823</v>
      </c>
      <c r="O68" s="157">
        <f t="shared" si="23"/>
        <v>0.96295309561079823</v>
      </c>
      <c r="P68" s="157">
        <f t="shared" si="23"/>
        <v>0.96295309561079823</v>
      </c>
      <c r="Q68" s="157">
        <f t="shared" si="23"/>
        <v>0.96295309561079823</v>
      </c>
      <c r="R68" s="157">
        <f t="shared" si="23"/>
        <v>0.96295309561079823</v>
      </c>
      <c r="S68" s="157">
        <f t="shared" si="23"/>
        <v>0.96295309561079823</v>
      </c>
      <c r="T68" s="157">
        <f t="shared" si="23"/>
        <v>0.96295309561079823</v>
      </c>
      <c r="U68" s="157">
        <f t="shared" si="23"/>
        <v>0.96295309561079823</v>
      </c>
      <c r="V68" s="157">
        <f t="shared" si="23"/>
        <v>0.96295309561079823</v>
      </c>
      <c r="W68" s="157">
        <f t="shared" si="23"/>
        <v>0.96295309561079823</v>
      </c>
      <c r="X68" s="157">
        <f t="shared" si="23"/>
        <v>0.96295309561079823</v>
      </c>
      <c r="Y68" s="157">
        <f t="shared" si="23"/>
        <v>0.96295309561079823</v>
      </c>
      <c r="Z68" s="157">
        <f t="shared" si="23"/>
        <v>0.96295309561079823</v>
      </c>
      <c r="AA68" s="157">
        <f t="shared" si="23"/>
        <v>0.96295309561079823</v>
      </c>
      <c r="AB68" s="157">
        <f t="shared" si="23"/>
        <v>0.96295309561079823</v>
      </c>
      <c r="AC68" s="157">
        <f t="shared" si="23"/>
        <v>0.96295309561079823</v>
      </c>
      <c r="AD68" s="157">
        <f t="shared" si="23"/>
        <v>0.96295309561079823</v>
      </c>
      <c r="AE68" s="157">
        <f t="shared" si="23"/>
        <v>0.96295309561079823</v>
      </c>
      <c r="AF68" s="157">
        <f t="shared" si="23"/>
        <v>0.96295309561079823</v>
      </c>
      <c r="AG68" s="157">
        <f t="shared" si="23"/>
        <v>0.96295309561079823</v>
      </c>
      <c r="AH68" s="157">
        <f t="shared" si="23"/>
        <v>0.96295309561079823</v>
      </c>
      <c r="AI68" s="157">
        <f>P17</f>
        <v>0.96295309561079823</v>
      </c>
    </row>
    <row r="69" spans="1:35" s="62" customFormat="1">
      <c r="A69" s="286"/>
      <c r="B69" s="62" t="s">
        <v>291</v>
      </c>
      <c r="C69" s="62" t="s">
        <v>815</v>
      </c>
      <c r="D69" t="s">
        <v>35</v>
      </c>
      <c r="E69" s="188">
        <f>D21</f>
        <v>0</v>
      </c>
      <c r="F69" s="188">
        <f t="shared" si="23"/>
        <v>2.5507205837195217E-6</v>
      </c>
      <c r="G69" s="188">
        <f t="shared" si="23"/>
        <v>5.1014411674390434E-6</v>
      </c>
      <c r="H69" s="188">
        <f t="shared" si="23"/>
        <v>7.6521617511585646E-6</v>
      </c>
      <c r="I69" s="188">
        <f t="shared" si="23"/>
        <v>1.0202882334878087E-5</v>
      </c>
      <c r="J69" s="188">
        <f t="shared" si="23"/>
        <v>1.2753602918597609E-5</v>
      </c>
      <c r="K69" s="188">
        <f t="shared" si="23"/>
        <v>1.5304323502317129E-5</v>
      </c>
      <c r="L69" s="188">
        <f t="shared" si="23"/>
        <v>1.7855044086036651E-5</v>
      </c>
      <c r="M69" s="188">
        <f t="shared" si="23"/>
        <v>2.0405764669756173E-5</v>
      </c>
      <c r="N69" s="188">
        <f t="shared" si="23"/>
        <v>2.2956485253475696E-5</v>
      </c>
      <c r="O69" s="188">
        <f t="shared" si="23"/>
        <v>2.5507205837195218E-5</v>
      </c>
      <c r="P69" s="188">
        <f t="shared" si="23"/>
        <v>2.805792642091474E-5</v>
      </c>
      <c r="Q69" s="188">
        <f t="shared" si="23"/>
        <v>3.0608647004634258E-5</v>
      </c>
      <c r="R69" s="188">
        <f t="shared" si="23"/>
        <v>3.3159367588353777E-5</v>
      </c>
      <c r="S69" s="188">
        <f t="shared" si="23"/>
        <v>3.5710088172073296E-5</v>
      </c>
      <c r="T69" s="188">
        <f t="shared" si="23"/>
        <v>3.8260808755792815E-5</v>
      </c>
      <c r="U69" s="188">
        <f t="shared" si="23"/>
        <v>4.0811529339512333E-5</v>
      </c>
      <c r="V69" s="188">
        <f t="shared" si="23"/>
        <v>4.3362249923231852E-5</v>
      </c>
      <c r="W69" s="188">
        <f t="shared" si="23"/>
        <v>4.5912970506951371E-5</v>
      </c>
      <c r="X69" s="188">
        <f t="shared" si="23"/>
        <v>4.8463691090670889E-5</v>
      </c>
      <c r="Y69" s="188">
        <f t="shared" si="23"/>
        <v>5.1014411674390408E-5</v>
      </c>
      <c r="Z69" s="188">
        <f t="shared" si="23"/>
        <v>5.3565132258109927E-5</v>
      </c>
      <c r="AA69" s="188">
        <f t="shared" si="23"/>
        <v>5.6115852841829446E-5</v>
      </c>
      <c r="AB69" s="188">
        <f t="shared" si="23"/>
        <v>5.8666573425548964E-5</v>
      </c>
      <c r="AC69" s="188">
        <f t="shared" si="23"/>
        <v>6.121729400926849E-5</v>
      </c>
      <c r="AD69" s="188">
        <f t="shared" si="23"/>
        <v>6.3768014592988008E-5</v>
      </c>
      <c r="AE69" s="188">
        <f t="shared" si="23"/>
        <v>6.6318735176707527E-5</v>
      </c>
      <c r="AF69" s="188">
        <f t="shared" si="23"/>
        <v>6.8869455760427046E-5</v>
      </c>
      <c r="AG69" s="188">
        <f t="shared" si="23"/>
        <v>7.1420176344146565E-5</v>
      </c>
      <c r="AH69" s="188">
        <f t="shared" si="23"/>
        <v>7.3970896927866083E-5</v>
      </c>
      <c r="AI69" s="188">
        <f>N21</f>
        <v>7.6521617511585656E-5</v>
      </c>
    </row>
    <row r="70" spans="1:35">
      <c r="A70" s="289"/>
      <c r="B70" t="s">
        <v>291</v>
      </c>
      <c r="C70" t="s">
        <v>815</v>
      </c>
      <c r="D70" t="s">
        <v>160</v>
      </c>
      <c r="E70" s="157">
        <f>D22</f>
        <v>0.63527312382274215</v>
      </c>
      <c r="F70" s="157">
        <f t="shared" si="23"/>
        <v>0.63383195544045723</v>
      </c>
      <c r="G70" s="157">
        <f t="shared" si="23"/>
        <v>0.63239078705817231</v>
      </c>
      <c r="H70" s="157">
        <f t="shared" si="23"/>
        <v>0.63094961867588739</v>
      </c>
      <c r="I70" s="157">
        <f t="shared" si="23"/>
        <v>0.62950845029360247</v>
      </c>
      <c r="J70" s="157">
        <f t="shared" si="23"/>
        <v>0.62806728191131755</v>
      </c>
      <c r="K70" s="157">
        <f t="shared" si="23"/>
        <v>0.62662611352903264</v>
      </c>
      <c r="L70" s="157">
        <f t="shared" si="23"/>
        <v>0.62518494514674772</v>
      </c>
      <c r="M70" s="157">
        <f t="shared" si="23"/>
        <v>0.6237437767644628</v>
      </c>
      <c r="N70" s="157">
        <f t="shared" si="23"/>
        <v>0.62230260838217788</v>
      </c>
      <c r="O70" s="157">
        <f t="shared" si="23"/>
        <v>0.62086143999989296</v>
      </c>
      <c r="P70" s="157">
        <f t="shared" si="23"/>
        <v>0.61942027161760804</v>
      </c>
      <c r="Q70" s="157">
        <f t="shared" si="23"/>
        <v>0.61797910323532312</v>
      </c>
      <c r="R70" s="157">
        <f t="shared" si="23"/>
        <v>0.61653793485303821</v>
      </c>
      <c r="S70" s="157">
        <f t="shared" si="23"/>
        <v>0.61509676647075329</v>
      </c>
      <c r="T70" s="157">
        <f t="shared" si="23"/>
        <v>0.61365559808846837</v>
      </c>
      <c r="U70" s="157">
        <f t="shared" si="23"/>
        <v>0.61221442970618345</v>
      </c>
      <c r="V70" s="157">
        <f t="shared" si="23"/>
        <v>0.61077326132389853</v>
      </c>
      <c r="W70" s="157">
        <f t="shared" si="23"/>
        <v>0.60933209294161361</v>
      </c>
      <c r="X70" s="157">
        <f t="shared" si="23"/>
        <v>0.60789092455932869</v>
      </c>
      <c r="Y70" s="157">
        <f t="shared" si="23"/>
        <v>0.60644975617704378</v>
      </c>
      <c r="Z70" s="157">
        <f t="shared" si="23"/>
        <v>0.60500858779475886</v>
      </c>
      <c r="AA70" s="157">
        <f t="shared" si="23"/>
        <v>0.60356741941247394</v>
      </c>
      <c r="AB70" s="157">
        <f t="shared" si="23"/>
        <v>0.60212625103018902</v>
      </c>
      <c r="AC70" s="157">
        <f t="shared" si="23"/>
        <v>0.6006850826479041</v>
      </c>
      <c r="AD70" s="157">
        <f t="shared" si="23"/>
        <v>0.59924391426561918</v>
      </c>
      <c r="AE70" s="157">
        <f t="shared" si="23"/>
        <v>0.59780274588333426</v>
      </c>
      <c r="AF70" s="157">
        <f t="shared" si="23"/>
        <v>0.59636157750104934</v>
      </c>
      <c r="AG70" s="157">
        <f t="shared" si="23"/>
        <v>0.59492040911876443</v>
      </c>
      <c r="AH70" s="157">
        <f t="shared" si="23"/>
        <v>0.59347924073647951</v>
      </c>
      <c r="AI70" s="157">
        <f>N22</f>
        <v>0.59203807235419537</v>
      </c>
    </row>
    <row r="71" spans="1:35">
      <c r="A71" s="289"/>
      <c r="B71" t="s">
        <v>291</v>
      </c>
      <c r="C71" t="s">
        <v>815</v>
      </c>
      <c r="D71" t="s">
        <v>27</v>
      </c>
      <c r="E71" s="157">
        <f>D23</f>
        <v>0.36472687617725796</v>
      </c>
      <c r="F71" s="157">
        <f t="shared" si="23"/>
        <v>0.36616549383895913</v>
      </c>
      <c r="G71" s="157">
        <f t="shared" si="23"/>
        <v>0.3676041115006603</v>
      </c>
      <c r="H71" s="157">
        <f t="shared" si="23"/>
        <v>0.36904272916236147</v>
      </c>
      <c r="I71" s="157">
        <f t="shared" si="23"/>
        <v>0.37048134682406264</v>
      </c>
      <c r="J71" s="157">
        <f t="shared" si="23"/>
        <v>0.37191996448576381</v>
      </c>
      <c r="K71" s="157">
        <f t="shared" si="23"/>
        <v>0.37335858214746498</v>
      </c>
      <c r="L71" s="157">
        <f t="shared" si="23"/>
        <v>0.37479719980916615</v>
      </c>
      <c r="M71" s="157">
        <f t="shared" si="23"/>
        <v>0.37623581747086732</v>
      </c>
      <c r="N71" s="157">
        <f t="shared" si="23"/>
        <v>0.37767443513256849</v>
      </c>
      <c r="O71" s="157">
        <f t="shared" si="23"/>
        <v>0.37911305279426966</v>
      </c>
      <c r="P71" s="157">
        <f t="shared" si="23"/>
        <v>0.38055167045597083</v>
      </c>
      <c r="Q71" s="157">
        <f t="shared" si="23"/>
        <v>0.38199028811767199</v>
      </c>
      <c r="R71" s="157">
        <f t="shared" si="23"/>
        <v>0.38342890577937316</v>
      </c>
      <c r="S71" s="157">
        <f t="shared" si="23"/>
        <v>0.38486752344107433</v>
      </c>
      <c r="T71" s="157">
        <f t="shared" si="23"/>
        <v>0.3863061411027755</v>
      </c>
      <c r="U71" s="157">
        <f t="shared" si="23"/>
        <v>0.38774475876447667</v>
      </c>
      <c r="V71" s="157">
        <f t="shared" si="23"/>
        <v>0.38918337642617784</v>
      </c>
      <c r="W71" s="157">
        <f t="shared" si="23"/>
        <v>0.39062199408787901</v>
      </c>
      <c r="X71" s="157">
        <f t="shared" si="23"/>
        <v>0.39206061174958018</v>
      </c>
      <c r="Y71" s="157">
        <f t="shared" si="23"/>
        <v>0.39349922941128135</v>
      </c>
      <c r="Z71" s="157">
        <f t="shared" si="23"/>
        <v>0.39493784707298252</v>
      </c>
      <c r="AA71" s="157">
        <f t="shared" si="23"/>
        <v>0.39637646473468369</v>
      </c>
      <c r="AB71" s="157">
        <f t="shared" si="23"/>
        <v>0.39781508239638486</v>
      </c>
      <c r="AC71" s="157">
        <f t="shared" si="23"/>
        <v>0.39925370005808603</v>
      </c>
      <c r="AD71" s="157">
        <f t="shared" si="23"/>
        <v>0.40069231771978719</v>
      </c>
      <c r="AE71" s="157">
        <f t="shared" si="23"/>
        <v>0.40213093538148836</v>
      </c>
      <c r="AF71" s="157">
        <f t="shared" si="23"/>
        <v>0.40356955304318953</v>
      </c>
      <c r="AG71" s="157">
        <f t="shared" si="23"/>
        <v>0.4050081707048907</v>
      </c>
      <c r="AH71" s="157">
        <f t="shared" si="23"/>
        <v>0.40644678836659187</v>
      </c>
      <c r="AI71" s="157">
        <f>N23</f>
        <v>0.40788540602829304</v>
      </c>
    </row>
    <row r="72" spans="1:35" s="62" customFormat="1">
      <c r="A72" s="286"/>
      <c r="B72" s="62" t="s">
        <v>27</v>
      </c>
      <c r="C72" s="62" t="s">
        <v>815</v>
      </c>
      <c r="D72" t="s">
        <v>35</v>
      </c>
      <c r="E72" s="188">
        <f>D27</f>
        <v>0</v>
      </c>
      <c r="F72" s="188">
        <f t="shared" ref="F72:AH74" si="24">-($E72-$AI72)/30+E72</f>
        <v>0</v>
      </c>
      <c r="G72" s="188">
        <f t="shared" si="24"/>
        <v>0</v>
      </c>
      <c r="H72" s="188">
        <f t="shared" si="24"/>
        <v>0</v>
      </c>
      <c r="I72" s="188">
        <f t="shared" si="24"/>
        <v>0</v>
      </c>
      <c r="J72" s="188">
        <f t="shared" si="24"/>
        <v>0</v>
      </c>
      <c r="K72" s="188">
        <f t="shared" si="24"/>
        <v>0</v>
      </c>
      <c r="L72" s="188">
        <f t="shared" si="24"/>
        <v>0</v>
      </c>
      <c r="M72" s="188">
        <f t="shared" si="24"/>
        <v>0</v>
      </c>
      <c r="N72" s="188">
        <f t="shared" si="24"/>
        <v>0</v>
      </c>
      <c r="O72" s="188">
        <f t="shared" si="24"/>
        <v>0</v>
      </c>
      <c r="P72" s="188">
        <f t="shared" si="24"/>
        <v>0</v>
      </c>
      <c r="Q72" s="188">
        <f t="shared" si="24"/>
        <v>0</v>
      </c>
      <c r="R72" s="188">
        <f t="shared" si="24"/>
        <v>0</v>
      </c>
      <c r="S72" s="188">
        <f t="shared" si="24"/>
        <v>0</v>
      </c>
      <c r="T72" s="188">
        <f t="shared" si="24"/>
        <v>0</v>
      </c>
      <c r="U72" s="188">
        <f t="shared" si="24"/>
        <v>0</v>
      </c>
      <c r="V72" s="188">
        <f t="shared" si="24"/>
        <v>0</v>
      </c>
      <c r="W72" s="188">
        <f t="shared" si="24"/>
        <v>0</v>
      </c>
      <c r="X72" s="188">
        <f t="shared" si="24"/>
        <v>0</v>
      </c>
      <c r="Y72" s="188">
        <f t="shared" si="24"/>
        <v>0</v>
      </c>
      <c r="Z72" s="188">
        <f t="shared" si="24"/>
        <v>0</v>
      </c>
      <c r="AA72" s="188">
        <f t="shared" si="24"/>
        <v>0</v>
      </c>
      <c r="AB72" s="188">
        <f t="shared" si="24"/>
        <v>0</v>
      </c>
      <c r="AC72" s="188">
        <f t="shared" si="24"/>
        <v>0</v>
      </c>
      <c r="AD72" s="188">
        <f t="shared" si="24"/>
        <v>0</v>
      </c>
      <c r="AE72" s="188">
        <f t="shared" si="24"/>
        <v>0</v>
      </c>
      <c r="AF72" s="188">
        <f t="shared" si="24"/>
        <v>0</v>
      </c>
      <c r="AG72" s="188">
        <f t="shared" si="24"/>
        <v>0</v>
      </c>
      <c r="AH72" s="188">
        <f t="shared" si="24"/>
        <v>0</v>
      </c>
      <c r="AI72" s="188">
        <f>N27</f>
        <v>0</v>
      </c>
    </row>
    <row r="73" spans="1:35">
      <c r="A73" s="289"/>
      <c r="B73" t="s">
        <v>27</v>
      </c>
      <c r="C73" t="s">
        <v>815</v>
      </c>
      <c r="D73" t="s">
        <v>160</v>
      </c>
      <c r="E73" s="157">
        <f>D28</f>
        <v>0.30872851836327636</v>
      </c>
      <c r="F73" s="157">
        <f t="shared" si="24"/>
        <v>0.30872851836327636</v>
      </c>
      <c r="G73" s="157">
        <f t="shared" si="24"/>
        <v>0.30872851836327636</v>
      </c>
      <c r="H73" s="157">
        <f t="shared" si="24"/>
        <v>0.30872851836327636</v>
      </c>
      <c r="I73" s="157">
        <f t="shared" si="24"/>
        <v>0.30872851836327636</v>
      </c>
      <c r="J73" s="157">
        <f t="shared" si="24"/>
        <v>0.30872851836327636</v>
      </c>
      <c r="K73" s="157">
        <f t="shared" si="24"/>
        <v>0.30872851836327636</v>
      </c>
      <c r="L73" s="157">
        <f t="shared" si="24"/>
        <v>0.30872851836327636</v>
      </c>
      <c r="M73" s="157">
        <f t="shared" si="24"/>
        <v>0.30872851836327636</v>
      </c>
      <c r="N73" s="157">
        <f t="shared" si="24"/>
        <v>0.30872851836327636</v>
      </c>
      <c r="O73" s="157">
        <f t="shared" si="24"/>
        <v>0.30872851836327636</v>
      </c>
      <c r="P73" s="157">
        <f t="shared" si="24"/>
        <v>0.30872851836327636</v>
      </c>
      <c r="Q73" s="157">
        <f t="shared" si="24"/>
        <v>0.30872851836327636</v>
      </c>
      <c r="R73" s="157">
        <f t="shared" si="24"/>
        <v>0.30872851836327636</v>
      </c>
      <c r="S73" s="157">
        <f t="shared" si="24"/>
        <v>0.30872851836327636</v>
      </c>
      <c r="T73" s="157">
        <f t="shared" si="24"/>
        <v>0.30872851836327636</v>
      </c>
      <c r="U73" s="157">
        <f t="shared" si="24"/>
        <v>0.30872851836327636</v>
      </c>
      <c r="V73" s="157">
        <f t="shared" si="24"/>
        <v>0.30872851836327636</v>
      </c>
      <c r="W73" s="157">
        <f t="shared" si="24"/>
        <v>0.30872851836327636</v>
      </c>
      <c r="X73" s="157">
        <f t="shared" si="24"/>
        <v>0.30872851836327636</v>
      </c>
      <c r="Y73" s="157">
        <f t="shared" si="24"/>
        <v>0.30872851836327636</v>
      </c>
      <c r="Z73" s="157">
        <f t="shared" si="24"/>
        <v>0.30872851836327636</v>
      </c>
      <c r="AA73" s="157">
        <f t="shared" si="24"/>
        <v>0.30872851836327636</v>
      </c>
      <c r="AB73" s="157">
        <f t="shared" si="24"/>
        <v>0.30872851836327636</v>
      </c>
      <c r="AC73" s="157">
        <f t="shared" si="24"/>
        <v>0.30872851836327636</v>
      </c>
      <c r="AD73" s="157">
        <f t="shared" si="24"/>
        <v>0.30872851836327636</v>
      </c>
      <c r="AE73" s="157">
        <f t="shared" si="24"/>
        <v>0.30872851836327636</v>
      </c>
      <c r="AF73" s="157">
        <f t="shared" si="24"/>
        <v>0.30872851836327636</v>
      </c>
      <c r="AG73" s="157">
        <f t="shared" si="24"/>
        <v>0.30872851836327636</v>
      </c>
      <c r="AH73" s="157">
        <f t="shared" si="24"/>
        <v>0.30872851836327636</v>
      </c>
      <c r="AI73" s="157">
        <f>N28</f>
        <v>0.30872851836327636</v>
      </c>
    </row>
    <row r="74" spans="1:35">
      <c r="A74" s="289"/>
      <c r="B74" t="s">
        <v>27</v>
      </c>
      <c r="C74" t="s">
        <v>815</v>
      </c>
      <c r="D74" t="s">
        <v>27</v>
      </c>
      <c r="E74" s="157">
        <f>D29</f>
        <v>0.69127148163672369</v>
      </c>
      <c r="F74" s="157">
        <f t="shared" si="24"/>
        <v>0.69127148163672369</v>
      </c>
      <c r="G74" s="157">
        <f t="shared" si="24"/>
        <v>0.69127148163672369</v>
      </c>
      <c r="H74" s="157">
        <f t="shared" si="24"/>
        <v>0.69127148163672369</v>
      </c>
      <c r="I74" s="157">
        <f t="shared" si="24"/>
        <v>0.69127148163672369</v>
      </c>
      <c r="J74" s="157">
        <f t="shared" si="24"/>
        <v>0.69127148163672369</v>
      </c>
      <c r="K74" s="157">
        <f t="shared" si="24"/>
        <v>0.69127148163672369</v>
      </c>
      <c r="L74" s="157">
        <f t="shared" si="24"/>
        <v>0.69127148163672369</v>
      </c>
      <c r="M74" s="157">
        <f t="shared" si="24"/>
        <v>0.69127148163672369</v>
      </c>
      <c r="N74" s="157">
        <f t="shared" si="24"/>
        <v>0.69127148163672369</v>
      </c>
      <c r="O74" s="157">
        <f t="shared" si="24"/>
        <v>0.69127148163672369</v>
      </c>
      <c r="P74" s="157">
        <f t="shared" si="24"/>
        <v>0.69127148163672369</v>
      </c>
      <c r="Q74" s="157">
        <f t="shared" si="24"/>
        <v>0.69127148163672369</v>
      </c>
      <c r="R74" s="157">
        <f t="shared" si="24"/>
        <v>0.69127148163672369</v>
      </c>
      <c r="S74" s="157">
        <f t="shared" si="24"/>
        <v>0.69127148163672369</v>
      </c>
      <c r="T74" s="157">
        <f t="shared" si="24"/>
        <v>0.69127148163672369</v>
      </c>
      <c r="U74" s="157">
        <f t="shared" si="24"/>
        <v>0.69127148163672369</v>
      </c>
      <c r="V74" s="157">
        <f t="shared" si="24"/>
        <v>0.69127148163672369</v>
      </c>
      <c r="W74" s="157">
        <f t="shared" si="24"/>
        <v>0.69127148163672369</v>
      </c>
      <c r="X74" s="157">
        <f t="shared" si="24"/>
        <v>0.69127148163672369</v>
      </c>
      <c r="Y74" s="157">
        <f t="shared" si="24"/>
        <v>0.69127148163672369</v>
      </c>
      <c r="Z74" s="157">
        <f t="shared" si="24"/>
        <v>0.69127148163672369</v>
      </c>
      <c r="AA74" s="157">
        <f t="shared" si="24"/>
        <v>0.69127148163672369</v>
      </c>
      <c r="AB74" s="157">
        <f t="shared" si="24"/>
        <v>0.69127148163672369</v>
      </c>
      <c r="AC74" s="157">
        <f t="shared" si="24"/>
        <v>0.69127148163672369</v>
      </c>
      <c r="AD74" s="157">
        <f t="shared" si="24"/>
        <v>0.69127148163672369</v>
      </c>
      <c r="AE74" s="157">
        <f t="shared" si="24"/>
        <v>0.69127148163672369</v>
      </c>
      <c r="AF74" s="157">
        <f t="shared" si="24"/>
        <v>0.69127148163672369</v>
      </c>
      <c r="AG74" s="157">
        <f t="shared" si="24"/>
        <v>0.69127148163672369</v>
      </c>
      <c r="AH74" s="157">
        <f t="shared" si="24"/>
        <v>0.69127148163672369</v>
      </c>
      <c r="AI74" s="157">
        <f>N29</f>
        <v>0.69127148163672358</v>
      </c>
    </row>
  </sheetData>
  <mergeCells count="5">
    <mergeCell ref="I21:I23"/>
    <mergeCell ref="I27:I29"/>
    <mergeCell ref="J3:J5"/>
    <mergeCell ref="I9:I11"/>
    <mergeCell ref="I15:I17"/>
  </mergeCells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A83F3-D692-47A7-96D5-6EDE8331E4A5}">
  <sheetPr>
    <tabColor theme="4"/>
  </sheetPr>
  <dimension ref="A1:AI112"/>
  <sheetViews>
    <sheetView zoomScale="70" zoomScaleNormal="70" workbookViewId="0">
      <selection activeCell="F27" sqref="F27"/>
    </sheetView>
  </sheetViews>
  <sheetFormatPr defaultRowHeight="14.75"/>
  <cols>
    <col min="2" max="2" width="11.08984375" customWidth="1"/>
    <col min="3" max="3" width="9.26953125" customWidth="1"/>
    <col min="4" max="4" width="12.08984375" bestFit="1" customWidth="1"/>
    <col min="5" max="5" width="15.54296875" bestFit="1" customWidth="1"/>
    <col min="6" max="6" width="20" bestFit="1" customWidth="1"/>
    <col min="9" max="9" width="14.81640625" customWidth="1"/>
    <col min="11" max="12" width="11.08984375" customWidth="1"/>
    <col min="13" max="13" width="9.26953125" customWidth="1"/>
    <col min="14" max="14" width="12.08984375" bestFit="1" customWidth="1"/>
    <col min="15" max="15" width="15.54296875" bestFit="1" customWidth="1"/>
    <col min="16" max="16" width="11.08984375" bestFit="1" customWidth="1"/>
    <col min="19" max="19" width="14.81640625" customWidth="1"/>
    <col min="20" max="20" width="8.7265625" customWidth="1"/>
    <col min="21" max="21" width="14.08984375" customWidth="1"/>
    <col min="22" max="34" width="8.7265625" customWidth="1"/>
  </cols>
  <sheetData>
    <row r="1" spans="2:35">
      <c r="B1">
        <v>2020</v>
      </c>
      <c r="K1">
        <v>2050</v>
      </c>
    </row>
    <row r="2" spans="2:35">
      <c r="B2" t="s">
        <v>17</v>
      </c>
      <c r="C2" t="s">
        <v>815</v>
      </c>
      <c r="D2" t="s">
        <v>816</v>
      </c>
      <c r="E2" t="s">
        <v>821</v>
      </c>
      <c r="F2" t="s">
        <v>817</v>
      </c>
      <c r="G2" t="s">
        <v>818</v>
      </c>
      <c r="K2" t="s">
        <v>17</v>
      </c>
      <c r="M2" t="s">
        <v>815</v>
      </c>
      <c r="N2" t="s">
        <v>816</v>
      </c>
      <c r="O2" t="s">
        <v>821</v>
      </c>
      <c r="P2" t="s">
        <v>817</v>
      </c>
      <c r="Q2" t="s">
        <v>818</v>
      </c>
      <c r="V2" t="s">
        <v>785</v>
      </c>
    </row>
    <row r="3" spans="2:35">
      <c r="B3" t="s">
        <v>141</v>
      </c>
      <c r="C3" s="2">
        <f t="shared" ref="C3:G4" si="0">V31</f>
        <v>0.92769168914429945</v>
      </c>
      <c r="D3" s="2">
        <f t="shared" si="0"/>
        <v>0</v>
      </c>
      <c r="E3" s="2">
        <f t="shared" si="0"/>
        <v>1</v>
      </c>
      <c r="F3" s="2">
        <f t="shared" si="0"/>
        <v>1</v>
      </c>
      <c r="G3" s="2">
        <f t="shared" si="0"/>
        <v>0.71762870357071562</v>
      </c>
      <c r="I3" s="695" t="s">
        <v>825</v>
      </c>
      <c r="K3" t="s">
        <v>141</v>
      </c>
      <c r="L3" s="41">
        <f>'Overall recycling rates'!C12*'Overall recycling rates'!C57</f>
        <v>1740894.4607346586</v>
      </c>
      <c r="M3" s="2">
        <f>$L3/$L$8</f>
        <v>0.90956628275374496</v>
      </c>
      <c r="N3" s="53">
        <v>0</v>
      </c>
      <c r="O3" s="53">
        <v>1</v>
      </c>
      <c r="P3" s="2">
        <v>0.65</v>
      </c>
      <c r="Q3" s="2">
        <f t="shared" ref="Q3" si="1">$L3/$L$8</f>
        <v>0.90956628275374496</v>
      </c>
      <c r="S3" s="694" t="s">
        <v>827</v>
      </c>
      <c r="V3" t="s">
        <v>779</v>
      </c>
      <c r="W3" t="s">
        <v>786</v>
      </c>
      <c r="X3" t="s">
        <v>787</v>
      </c>
      <c r="Y3" t="s">
        <v>788</v>
      </c>
      <c r="Z3" t="s">
        <v>789</v>
      </c>
      <c r="AA3" t="s">
        <v>21</v>
      </c>
      <c r="AB3" t="s">
        <v>790</v>
      </c>
      <c r="AC3" t="s">
        <v>791</v>
      </c>
      <c r="AD3" t="s">
        <v>792</v>
      </c>
      <c r="AE3" t="s">
        <v>27</v>
      </c>
      <c r="AF3" t="s">
        <v>793</v>
      </c>
    </row>
    <row r="4" spans="2:35">
      <c r="B4" t="s">
        <v>74</v>
      </c>
      <c r="C4" s="2">
        <f t="shared" si="0"/>
        <v>0</v>
      </c>
      <c r="D4" s="2">
        <f t="shared" si="0"/>
        <v>0</v>
      </c>
      <c r="E4" s="2">
        <f t="shared" si="0"/>
        <v>0</v>
      </c>
      <c r="F4" s="2">
        <f t="shared" si="0"/>
        <v>0</v>
      </c>
      <c r="G4" s="2">
        <f t="shared" si="0"/>
        <v>0.26057170849044342</v>
      </c>
      <c r="I4" s="695"/>
      <c r="K4" t="s">
        <v>74</v>
      </c>
      <c r="L4" s="41">
        <f>'Overall recycling rates'!E57*'Overall recycling rates'!E12/2</f>
        <v>34999.839600350737</v>
      </c>
      <c r="M4" s="2">
        <f t="shared" ref="M4:Q7" si="2">$L4/$L$8</f>
        <v>1.8286389393664958E-2</v>
      </c>
      <c r="N4" s="53">
        <v>0</v>
      </c>
      <c r="O4" s="53">
        <v>0</v>
      </c>
      <c r="P4" s="2">
        <v>0.1</v>
      </c>
      <c r="Q4" s="2">
        <f t="shared" si="2"/>
        <v>1.8286389393664958E-2</v>
      </c>
      <c r="S4" s="694"/>
      <c r="U4" t="s">
        <v>35</v>
      </c>
      <c r="V4" s="395">
        <v>3.0599999999999999E-2</v>
      </c>
      <c r="W4" s="395">
        <v>1.21E-2</v>
      </c>
      <c r="X4" s="395">
        <v>5.4000000000000003E-3</v>
      </c>
      <c r="Y4" s="395">
        <v>1.3899999999999999E-2</v>
      </c>
      <c r="Z4" s="395">
        <v>2.8999999999999998E-3</v>
      </c>
      <c r="AA4" s="395">
        <v>0</v>
      </c>
      <c r="AB4" s="395">
        <v>0</v>
      </c>
      <c r="AC4" s="395">
        <v>0</v>
      </c>
      <c r="AD4" s="395">
        <v>0</v>
      </c>
      <c r="AE4" s="395">
        <v>8.0000000000000004E-4</v>
      </c>
      <c r="AF4" s="395">
        <v>5.1999999999999998E-3</v>
      </c>
      <c r="AG4" s="359"/>
      <c r="AH4" s="359"/>
      <c r="AI4" s="6"/>
    </row>
    <row r="5" spans="2:35">
      <c r="B5" t="s">
        <v>34</v>
      </c>
      <c r="C5" s="53">
        <v>0</v>
      </c>
      <c r="D5" s="53">
        <v>0</v>
      </c>
      <c r="E5" s="53">
        <v>0</v>
      </c>
      <c r="F5" s="53">
        <v>0</v>
      </c>
      <c r="G5" s="53">
        <v>0</v>
      </c>
      <c r="I5" s="695"/>
      <c r="K5" t="s">
        <v>34</v>
      </c>
      <c r="L5" s="41">
        <f>'Overall recycling rates'!F12*'Overall recycling rates'!F57</f>
        <v>42696.389693930309</v>
      </c>
      <c r="M5" s="2">
        <f t="shared" si="2"/>
        <v>2.2307611022281626E-2</v>
      </c>
      <c r="N5" s="53">
        <v>0</v>
      </c>
      <c r="O5" s="53">
        <v>0</v>
      </c>
      <c r="P5" s="2">
        <v>0.15</v>
      </c>
      <c r="Q5" s="2">
        <f t="shared" si="2"/>
        <v>2.2307611022281626E-2</v>
      </c>
      <c r="S5" s="694"/>
      <c r="U5" t="s">
        <v>9</v>
      </c>
      <c r="V5" s="395">
        <v>0</v>
      </c>
      <c r="W5" s="395">
        <v>1.6000000000000001E-3</v>
      </c>
      <c r="X5" s="395">
        <v>0</v>
      </c>
      <c r="Y5" s="395">
        <v>0</v>
      </c>
      <c r="Z5" s="395">
        <v>1.8200000000000001E-2</v>
      </c>
      <c r="AA5" s="395">
        <v>3.3999999999999998E-3</v>
      </c>
      <c r="AB5" s="395">
        <v>0.02</v>
      </c>
      <c r="AC5" s="395">
        <v>1.9900000000000001E-2</v>
      </c>
      <c r="AD5" s="395">
        <v>0</v>
      </c>
      <c r="AE5" s="395">
        <v>1.6000000000000001E-3</v>
      </c>
      <c r="AF5" s="395">
        <v>7.6E-3</v>
      </c>
      <c r="AG5" s="359"/>
      <c r="AH5" s="359"/>
      <c r="AI5" s="359"/>
    </row>
    <row r="6" spans="2:35">
      <c r="B6" t="s">
        <v>35</v>
      </c>
      <c r="C6" s="2">
        <f>V33</f>
        <v>7.2308310855700428E-2</v>
      </c>
      <c r="D6" s="2">
        <f>W33</f>
        <v>1</v>
      </c>
      <c r="E6" s="2">
        <f>X33</f>
        <v>0</v>
      </c>
      <c r="F6" s="2">
        <f>Y33</f>
        <v>0</v>
      </c>
      <c r="G6" s="2">
        <f>Z33</f>
        <v>2.1799587938840969E-2</v>
      </c>
      <c r="I6" s="695"/>
      <c r="K6" t="s">
        <v>35</v>
      </c>
      <c r="L6" s="41">
        <f>'Overall recycling rates'!G12*'Overall recycling rates'!G57</f>
        <v>93486.285099873421</v>
      </c>
      <c r="M6" s="2">
        <f t="shared" si="2"/>
        <v>4.8843841338242371E-2</v>
      </c>
      <c r="N6" s="53">
        <v>1</v>
      </c>
      <c r="O6" s="53">
        <v>0</v>
      </c>
      <c r="P6" s="2">
        <v>0.05</v>
      </c>
      <c r="Q6" s="2">
        <f t="shared" si="2"/>
        <v>4.8843841338242371E-2</v>
      </c>
      <c r="S6" s="694"/>
      <c r="U6" t="s">
        <v>140</v>
      </c>
      <c r="V6" s="395">
        <v>0</v>
      </c>
      <c r="W6" s="395">
        <v>0</v>
      </c>
      <c r="X6" s="395">
        <v>0</v>
      </c>
      <c r="Y6" s="395">
        <v>0</v>
      </c>
      <c r="Z6" s="395">
        <v>0</v>
      </c>
      <c r="AA6" s="395">
        <v>0</v>
      </c>
      <c r="AB6" s="395">
        <v>0</v>
      </c>
      <c r="AC6" s="395">
        <v>1.5800000000000002E-2</v>
      </c>
      <c r="AD6" s="395">
        <v>0</v>
      </c>
      <c r="AE6" s="395">
        <v>0</v>
      </c>
      <c r="AF6" s="395">
        <v>2.3999999999999998E-3</v>
      </c>
      <c r="AG6" s="359"/>
      <c r="AH6" s="359"/>
      <c r="AI6" s="6"/>
    </row>
    <row r="7" spans="2:35">
      <c r="B7" t="s">
        <v>27</v>
      </c>
      <c r="C7" s="53">
        <v>0</v>
      </c>
      <c r="D7" s="53">
        <v>0</v>
      </c>
      <c r="E7" s="53">
        <v>0</v>
      </c>
      <c r="F7" s="53">
        <v>0</v>
      </c>
      <c r="G7" s="53">
        <v>0</v>
      </c>
      <c r="I7" s="695"/>
      <c r="K7" t="s">
        <v>27</v>
      </c>
      <c r="L7" s="41">
        <f>'Overall recycling rates'!I12*'Overall recycling rates'!I57</f>
        <v>1906.0888256218889</v>
      </c>
      <c r="M7" s="2">
        <f t="shared" si="2"/>
        <v>9.9587549206614414E-4</v>
      </c>
      <c r="N7" s="53">
        <f t="shared" si="2"/>
        <v>9.9587549206614414E-4</v>
      </c>
      <c r="O7" s="53">
        <v>0</v>
      </c>
      <c r="P7" s="2">
        <v>0.05</v>
      </c>
      <c r="Q7" s="2">
        <f t="shared" si="2"/>
        <v>9.9587549206614414E-4</v>
      </c>
      <c r="S7" s="694"/>
      <c r="U7" t="s">
        <v>29</v>
      </c>
      <c r="V7" s="395">
        <v>0</v>
      </c>
      <c r="W7" s="395">
        <v>8.9999999999999993E-3</v>
      </c>
      <c r="X7" s="395">
        <v>0</v>
      </c>
      <c r="Y7" s="395">
        <v>0</v>
      </c>
      <c r="Z7" s="395">
        <v>0</v>
      </c>
      <c r="AA7" s="395">
        <v>0</v>
      </c>
      <c r="AB7" s="395">
        <v>0</v>
      </c>
      <c r="AC7" s="395">
        <v>0</v>
      </c>
      <c r="AD7" s="395">
        <v>3.0999999999999999E-3</v>
      </c>
      <c r="AE7" s="395">
        <v>1.5E-3</v>
      </c>
      <c r="AF7" s="395">
        <v>1.1299999999999999E-2</v>
      </c>
      <c r="AG7" s="359"/>
      <c r="AH7" s="359"/>
    </row>
    <row r="8" spans="2:35">
      <c r="C8" s="2">
        <f>SUM(C3:C7)</f>
        <v>0.99999999999999989</v>
      </c>
      <c r="D8" s="2">
        <f t="shared" ref="D8:G8" si="3">SUM(D3:D7)</f>
        <v>1</v>
      </c>
      <c r="E8" s="2">
        <f t="shared" si="3"/>
        <v>1</v>
      </c>
      <c r="F8" s="2">
        <f t="shared" si="3"/>
        <v>1</v>
      </c>
      <c r="G8" s="2">
        <f t="shared" si="3"/>
        <v>1</v>
      </c>
      <c r="I8" s="695"/>
      <c r="L8" s="41">
        <f>SUM(L3:L7)</f>
        <v>1913983.0639544348</v>
      </c>
      <c r="M8" s="2">
        <f>SUM(M3:M7)</f>
        <v>1</v>
      </c>
      <c r="N8" s="2">
        <f t="shared" ref="N8" si="4">SUM(N3:N7)</f>
        <v>1.000995875492066</v>
      </c>
      <c r="O8" s="2">
        <f t="shared" ref="O8" si="5">SUM(O3:O7)</f>
        <v>1</v>
      </c>
      <c r="P8" s="2">
        <f t="shared" ref="P8" si="6">SUM(P3:P7)</f>
        <v>1</v>
      </c>
      <c r="Q8" s="2">
        <f t="shared" ref="Q8" si="7">SUM(Q3:Q7)</f>
        <v>1</v>
      </c>
      <c r="S8" s="694"/>
      <c r="U8" t="s">
        <v>33</v>
      </c>
      <c r="V8" s="395">
        <v>0</v>
      </c>
      <c r="W8" s="395">
        <v>0</v>
      </c>
      <c r="X8" s="395">
        <v>0</v>
      </c>
      <c r="Y8" s="395">
        <v>0</v>
      </c>
      <c r="Z8" s="395">
        <v>0</v>
      </c>
      <c r="AA8" s="395">
        <v>0</v>
      </c>
      <c r="AB8" s="395">
        <v>0</v>
      </c>
      <c r="AC8" s="395">
        <v>0</v>
      </c>
      <c r="AD8" s="395">
        <v>0</v>
      </c>
      <c r="AE8" s="395">
        <v>0</v>
      </c>
      <c r="AF8" s="395">
        <v>2.0000000000000001E-4</v>
      </c>
      <c r="AG8" s="359"/>
      <c r="AH8" s="359"/>
      <c r="AI8" s="359"/>
    </row>
    <row r="9" spans="2:35">
      <c r="AG9" s="359"/>
      <c r="AH9" s="359"/>
    </row>
    <row r="10" spans="2:35">
      <c r="B10" t="s">
        <v>21</v>
      </c>
      <c r="D10" t="s">
        <v>815</v>
      </c>
      <c r="E10" t="s">
        <v>823</v>
      </c>
      <c r="F10" t="s">
        <v>824</v>
      </c>
      <c r="G10" t="s">
        <v>818</v>
      </c>
      <c r="K10" t="s">
        <v>21</v>
      </c>
      <c r="M10" t="s">
        <v>815</v>
      </c>
      <c r="N10" t="s">
        <v>823</v>
      </c>
      <c r="O10" t="s">
        <v>824</v>
      </c>
      <c r="P10" t="s">
        <v>818</v>
      </c>
      <c r="V10" s="252"/>
    </row>
    <row r="11" spans="2:35">
      <c r="B11" t="s">
        <v>141</v>
      </c>
      <c r="C11" s="241">
        <f>'Overall recycling rates'!C41*'Overall recycling rates'!C57</f>
        <v>1104.1891820972096</v>
      </c>
      <c r="D11" s="2">
        <f>$C11/$C$16</f>
        <v>0.80683781047114178</v>
      </c>
      <c r="E11" s="2">
        <f t="shared" ref="E11:G15" si="8">$C11/$C$16</f>
        <v>0.80683781047114178</v>
      </c>
      <c r="F11" s="2">
        <f t="shared" si="8"/>
        <v>0.80683781047114178</v>
      </c>
      <c r="G11" s="2">
        <f t="shared" si="8"/>
        <v>0.80683781047114178</v>
      </c>
      <c r="I11" s="699" t="s">
        <v>826</v>
      </c>
      <c r="K11" t="s">
        <v>141</v>
      </c>
      <c r="L11" s="41">
        <f>'Overall recycling rates'!C14*'Overall recycling rates'!C57</f>
        <v>43696.515101875142</v>
      </c>
      <c r="M11" s="2">
        <f>$L11/$L$16</f>
        <v>0.71747448979591832</v>
      </c>
      <c r="N11" s="2">
        <f t="shared" ref="N11:P11" si="9">$L11/$L$16</f>
        <v>0.71747448979591832</v>
      </c>
      <c r="O11" s="2">
        <f t="shared" si="9"/>
        <v>0.71747448979591832</v>
      </c>
      <c r="P11" s="2">
        <f t="shared" si="9"/>
        <v>0.71747448979591832</v>
      </c>
      <c r="S11" s="694" t="s">
        <v>827</v>
      </c>
      <c r="U11" t="s">
        <v>819</v>
      </c>
      <c r="V11" t="s">
        <v>555</v>
      </c>
      <c r="W11" t="s">
        <v>820</v>
      </c>
      <c r="X11" t="s">
        <v>21</v>
      </c>
      <c r="Y11" t="s">
        <v>291</v>
      </c>
      <c r="Z11" t="s">
        <v>27</v>
      </c>
      <c r="AA11" t="s">
        <v>793</v>
      </c>
    </row>
    <row r="12" spans="2:35">
      <c r="B12" t="s">
        <v>74</v>
      </c>
      <c r="C12" s="241">
        <f>'Overall recycling rates'!E41*'Overall recycling rates'!E57</f>
        <v>136.9435867358122</v>
      </c>
      <c r="D12" s="2">
        <f t="shared" ref="D12:D15" si="10">$C12/$C$16</f>
        <v>0.10006551908988028</v>
      </c>
      <c r="E12" s="2">
        <f t="shared" si="8"/>
        <v>0.10006551908988028</v>
      </c>
      <c r="F12" s="2">
        <f t="shared" si="8"/>
        <v>0.10006551908988028</v>
      </c>
      <c r="G12" s="2">
        <f t="shared" si="8"/>
        <v>0.10006551908988028</v>
      </c>
      <c r="I12" s="699"/>
      <c r="K12" t="s">
        <v>74</v>
      </c>
      <c r="L12" s="41">
        <f>'Overall recycling rates'!E14*'Overall recycling rates'!E57</f>
        <v>0</v>
      </c>
      <c r="M12" s="2">
        <f t="shared" ref="M12:P15" si="11">$L12/$L$16</f>
        <v>0</v>
      </c>
      <c r="N12" s="2">
        <f t="shared" si="11"/>
        <v>0</v>
      </c>
      <c r="O12" s="2">
        <f t="shared" si="11"/>
        <v>0</v>
      </c>
      <c r="P12" s="2">
        <f t="shared" si="11"/>
        <v>0</v>
      </c>
      <c r="S12" s="694"/>
      <c r="U12" t="s">
        <v>141</v>
      </c>
      <c r="V12" s="359">
        <f>SUM(W5,X5,Y5,Z5,AC5,AD5,W7,X7,Y7,Z7,AC7,AD7)</f>
        <v>5.1799999999999999E-2</v>
      </c>
      <c r="W12" s="359">
        <f>V5+V7</f>
        <v>0</v>
      </c>
      <c r="X12" s="359">
        <f>AA5+AA7</f>
        <v>3.3999999999999998E-3</v>
      </c>
      <c r="Y12" s="359">
        <f>AB5+AB7</f>
        <v>0.02</v>
      </c>
      <c r="Z12" s="359">
        <f>AE5+AE7</f>
        <v>3.1000000000000003E-3</v>
      </c>
      <c r="AA12" s="359">
        <f>AF5+AF7</f>
        <v>1.89E-2</v>
      </c>
    </row>
    <row r="13" spans="2:35">
      <c r="B13" t="s">
        <v>34</v>
      </c>
      <c r="C13" s="356">
        <f>'Overall recycling rates'!F41*'Overall recycling rates'!F57</f>
        <v>0</v>
      </c>
      <c r="D13" s="2">
        <f t="shared" si="10"/>
        <v>0</v>
      </c>
      <c r="E13" s="2">
        <f t="shared" si="8"/>
        <v>0</v>
      </c>
      <c r="F13" s="2">
        <f t="shared" si="8"/>
        <v>0</v>
      </c>
      <c r="G13" s="2">
        <f t="shared" si="8"/>
        <v>0</v>
      </c>
      <c r="I13" s="699"/>
      <c r="K13" t="s">
        <v>34</v>
      </c>
      <c r="L13" s="41">
        <f>'Overall recycling rates'!F14*'Overall recycling rates'!F57</f>
        <v>6525.3462552133569</v>
      </c>
      <c r="M13" s="2">
        <f t="shared" si="11"/>
        <v>0.10714285714285718</v>
      </c>
      <c r="N13" s="2">
        <f t="shared" si="11"/>
        <v>0.10714285714285718</v>
      </c>
      <c r="O13" s="2">
        <f t="shared" si="11"/>
        <v>0.10714285714285718</v>
      </c>
      <c r="P13" s="2">
        <f t="shared" si="11"/>
        <v>0.10714285714285718</v>
      </c>
      <c r="S13" s="694"/>
      <c r="U13" t="s">
        <v>140</v>
      </c>
      <c r="V13" s="359">
        <f>SUM(W6,X6,Y6,Z6,AC6,AD6)</f>
        <v>1.5800000000000002E-2</v>
      </c>
      <c r="W13" s="359">
        <f>V6</f>
        <v>0</v>
      </c>
      <c r="X13" s="359">
        <f>AA6</f>
        <v>0</v>
      </c>
      <c r="Y13" s="359">
        <f>AB6</f>
        <v>0</v>
      </c>
      <c r="Z13" s="359">
        <f>AE6</f>
        <v>0</v>
      </c>
      <c r="AA13" s="359">
        <f>AF6</f>
        <v>2.3999999999999998E-3</v>
      </c>
    </row>
    <row r="14" spans="2:35">
      <c r="B14" t="s">
        <v>35</v>
      </c>
      <c r="C14" s="356">
        <f>'Overall recycling rates'!G41*'Overall recycling rates'!G57</f>
        <v>0</v>
      </c>
      <c r="D14" s="2">
        <f t="shared" si="10"/>
        <v>0</v>
      </c>
      <c r="E14" s="2">
        <f t="shared" si="8"/>
        <v>0</v>
      </c>
      <c r="F14" s="2">
        <f t="shared" si="8"/>
        <v>0</v>
      </c>
      <c r="G14" s="2">
        <f t="shared" si="8"/>
        <v>0</v>
      </c>
      <c r="I14" s="699"/>
      <c r="K14" t="s">
        <v>35</v>
      </c>
      <c r="L14" s="41">
        <f>'Overall recycling rates'!G14*'Overall recycling rates'!G57</f>
        <v>0</v>
      </c>
      <c r="M14" s="2">
        <f t="shared" si="11"/>
        <v>0</v>
      </c>
      <c r="N14" s="2">
        <f t="shared" si="11"/>
        <v>0</v>
      </c>
      <c r="O14" s="2">
        <f t="shared" si="11"/>
        <v>0</v>
      </c>
      <c r="P14" s="2">
        <f t="shared" si="11"/>
        <v>0</v>
      </c>
      <c r="S14" s="694"/>
      <c r="U14" t="s">
        <v>74</v>
      </c>
      <c r="V14" s="359">
        <f>SUM(W8,X8,Y8,Z8,AC8,AD8)</f>
        <v>0</v>
      </c>
      <c r="W14" s="359">
        <f>V8</f>
        <v>0</v>
      </c>
      <c r="X14" s="359">
        <f>AA8</f>
        <v>0</v>
      </c>
      <c r="Y14" s="359">
        <f>AB8</f>
        <v>0</v>
      </c>
      <c r="Z14" s="359">
        <f>AE8</f>
        <v>0</v>
      </c>
      <c r="AA14" s="359">
        <f>AF4</f>
        <v>5.1999999999999998E-3</v>
      </c>
    </row>
    <row r="15" spans="2:35">
      <c r="B15" t="s">
        <v>27</v>
      </c>
      <c r="C15" s="356">
        <f>'Overall recycling rates'!I41*'Overall recycling rates'!I57</f>
        <v>127.40644408813955</v>
      </c>
      <c r="D15" s="2">
        <f t="shared" si="10"/>
        <v>9.3096670438977888E-2</v>
      </c>
      <c r="E15" s="2">
        <f t="shared" si="8"/>
        <v>9.3096670438977888E-2</v>
      </c>
      <c r="F15" s="2">
        <f t="shared" si="8"/>
        <v>9.3096670438977888E-2</v>
      </c>
      <c r="G15" s="2">
        <f t="shared" si="8"/>
        <v>9.3096670438977888E-2</v>
      </c>
      <c r="I15" s="699"/>
      <c r="K15" t="s">
        <v>27</v>
      </c>
      <c r="L15" s="41">
        <f>'Overall recycling rates'!I14*'Overall recycling rates'!I57</f>
        <v>10681.370358236149</v>
      </c>
      <c r="M15" s="2">
        <f t="shared" si="11"/>
        <v>0.17538265306122452</v>
      </c>
      <c r="N15" s="2">
        <f t="shared" si="11"/>
        <v>0.17538265306122452</v>
      </c>
      <c r="O15" s="2">
        <f t="shared" si="11"/>
        <v>0.17538265306122452</v>
      </c>
      <c r="P15" s="2">
        <f t="shared" si="11"/>
        <v>0.17538265306122452</v>
      </c>
      <c r="S15" s="694"/>
      <c r="U15" t="s">
        <v>35</v>
      </c>
      <c r="V15" s="359">
        <f>SUM(W4,X4,Y4,Z4,AC4,AD4)</f>
        <v>3.4299999999999997E-2</v>
      </c>
      <c r="W15" s="359">
        <f>V4</f>
        <v>3.0599999999999999E-2</v>
      </c>
      <c r="X15" s="359">
        <f>AA4</f>
        <v>0</v>
      </c>
      <c r="Y15" s="359">
        <f>AB4</f>
        <v>0</v>
      </c>
      <c r="Z15" s="359">
        <f>AE4</f>
        <v>8.0000000000000004E-4</v>
      </c>
      <c r="AA15" s="359">
        <f>AF8</f>
        <v>2.0000000000000001E-4</v>
      </c>
    </row>
    <row r="16" spans="2:35">
      <c r="C16" s="241">
        <f>SUM(C11:C15)</f>
        <v>1368.5392129211614</v>
      </c>
      <c r="D16" s="2">
        <f t="shared" ref="D16" si="12">SUM(D11:D15)</f>
        <v>0.99999999999999989</v>
      </c>
      <c r="E16" s="2">
        <f t="shared" ref="E16" si="13">SUM(E11:E15)</f>
        <v>0.99999999999999989</v>
      </c>
      <c r="F16" s="2">
        <f t="shared" ref="F16:G16" si="14">SUM(F11:F15)</f>
        <v>0.99999999999999989</v>
      </c>
      <c r="G16" s="2">
        <f t="shared" si="14"/>
        <v>0.99999999999999989</v>
      </c>
      <c r="L16" s="41">
        <f>SUM(L11:L15)</f>
        <v>60903.231715324648</v>
      </c>
      <c r="M16" s="2">
        <f t="shared" ref="M16" si="15">SUM(M11:M15)</f>
        <v>1</v>
      </c>
      <c r="N16" s="2">
        <f t="shared" ref="N16" si="16">SUM(N11:N15)</f>
        <v>1</v>
      </c>
      <c r="O16" s="2">
        <f t="shared" ref="O16" si="17">SUM(O11:O15)</f>
        <v>1</v>
      </c>
      <c r="P16" s="2">
        <f t="shared" ref="P16" si="18">SUM(P11:P15)</f>
        <v>1</v>
      </c>
      <c r="V16" s="359"/>
      <c r="W16" s="359"/>
      <c r="X16" s="359"/>
      <c r="Y16" s="359"/>
      <c r="Z16" s="359"/>
      <c r="AA16" s="359"/>
    </row>
    <row r="18" spans="2:28">
      <c r="B18" t="s">
        <v>53</v>
      </c>
      <c r="D18" t="s">
        <v>815</v>
      </c>
      <c r="E18" t="s">
        <v>817</v>
      </c>
      <c r="F18" t="s">
        <v>818</v>
      </c>
      <c r="K18" t="s">
        <v>53</v>
      </c>
      <c r="M18" t="s">
        <v>815</v>
      </c>
      <c r="N18" t="s">
        <v>817</v>
      </c>
      <c r="O18" t="s">
        <v>818</v>
      </c>
      <c r="U18" t="s">
        <v>819</v>
      </c>
      <c r="V18" t="s">
        <v>555</v>
      </c>
      <c r="W18" t="s">
        <v>820</v>
      </c>
      <c r="X18" t="s">
        <v>21</v>
      </c>
      <c r="Y18" t="s">
        <v>291</v>
      </c>
      <c r="Z18" t="s">
        <v>27</v>
      </c>
      <c r="AB18" t="s">
        <v>822</v>
      </c>
    </row>
    <row r="19" spans="2:28" ht="14.5" customHeight="1">
      <c r="B19" t="s">
        <v>141</v>
      </c>
      <c r="C19" s="246">
        <v>0</v>
      </c>
      <c r="D19" s="53">
        <v>0</v>
      </c>
      <c r="E19" s="53">
        <v>0</v>
      </c>
      <c r="F19" s="53">
        <v>0</v>
      </c>
      <c r="I19" s="699" t="s">
        <v>826</v>
      </c>
      <c r="K19" t="s">
        <v>141</v>
      </c>
      <c r="L19" s="41">
        <f>'Overall recycling rates'!C15*'Overall recycling rates'!C57</f>
        <v>0</v>
      </c>
      <c r="M19" s="121">
        <f>$L19/$L$24</f>
        <v>0</v>
      </c>
      <c r="N19" s="121">
        <f t="shared" ref="N19:O19" si="19">$L19/$L$24</f>
        <v>0</v>
      </c>
      <c r="O19" s="121">
        <f t="shared" si="19"/>
        <v>0</v>
      </c>
      <c r="S19" s="694" t="s">
        <v>827</v>
      </c>
      <c r="U19" t="s">
        <v>141</v>
      </c>
      <c r="V19" s="359">
        <f>V12+$AA12*V12/SUM($V12:$Z12)</f>
        <v>6.4303448275862068E-2</v>
      </c>
      <c r="W19" s="359">
        <f t="shared" ref="W19:Z19" si="20">W12+$AA12*W12/SUM($V12:$Z12)</f>
        <v>0</v>
      </c>
      <c r="X19" s="359">
        <f t="shared" si="20"/>
        <v>4.2206896551724134E-3</v>
      </c>
      <c r="Y19" s="359">
        <f t="shared" si="20"/>
        <v>2.4827586206896551E-2</v>
      </c>
      <c r="Z19" s="359">
        <f t="shared" si="20"/>
        <v>3.8482758620689657E-3</v>
      </c>
      <c r="AA19" s="359"/>
      <c r="AB19" s="6">
        <f>'Demand - Ethylene'!E35</f>
        <v>1</v>
      </c>
    </row>
    <row r="20" spans="2:28">
      <c r="B20" t="s">
        <v>74</v>
      </c>
      <c r="C20" s="246">
        <v>0</v>
      </c>
      <c r="D20" s="53">
        <v>0</v>
      </c>
      <c r="E20" s="53">
        <v>0</v>
      </c>
      <c r="F20" s="53">
        <v>0</v>
      </c>
      <c r="I20" s="699"/>
      <c r="K20" t="s">
        <v>74</v>
      </c>
      <c r="L20" s="41">
        <f>'Overall recycling rates'!E15*'Overall recycling rates'!E57</f>
        <v>0</v>
      </c>
      <c r="M20" s="121">
        <f t="shared" ref="M20:O23" si="21">$L20/$L$24</f>
        <v>0</v>
      </c>
      <c r="N20" s="121">
        <f t="shared" si="21"/>
        <v>0</v>
      </c>
      <c r="O20" s="121">
        <f t="shared" si="21"/>
        <v>0</v>
      </c>
      <c r="S20" s="694"/>
      <c r="U20" t="s">
        <v>140</v>
      </c>
      <c r="V20" s="359">
        <f t="shared" ref="V20:Z20" si="22">V13+$AA13*V13/SUM($V13:$Z13)</f>
        <v>1.8200000000000001E-2</v>
      </c>
      <c r="W20" s="359">
        <f t="shared" si="22"/>
        <v>0</v>
      </c>
      <c r="X20" s="359">
        <f t="shared" si="22"/>
        <v>0</v>
      </c>
      <c r="Y20" s="359">
        <f t="shared" si="22"/>
        <v>0</v>
      </c>
      <c r="Z20" s="359">
        <f t="shared" si="22"/>
        <v>0</v>
      </c>
      <c r="AA20" s="359"/>
    </row>
    <row r="21" spans="2:28">
      <c r="B21" t="s">
        <v>34</v>
      </c>
      <c r="C21" s="246">
        <v>0</v>
      </c>
      <c r="D21" s="53">
        <v>0</v>
      </c>
      <c r="E21" s="53">
        <v>0</v>
      </c>
      <c r="F21" s="53">
        <v>0</v>
      </c>
      <c r="I21" s="699"/>
      <c r="K21" t="s">
        <v>34</v>
      </c>
      <c r="L21" s="41">
        <f>'Overall recycling rates'!F15*'Overall recycling rates'!F57</f>
        <v>0</v>
      </c>
      <c r="M21" s="121">
        <f t="shared" si="21"/>
        <v>0</v>
      </c>
      <c r="N21" s="121">
        <f t="shared" si="21"/>
        <v>0</v>
      </c>
      <c r="O21" s="121">
        <f t="shared" si="21"/>
        <v>0</v>
      </c>
      <c r="S21" s="694"/>
      <c r="U21" t="s">
        <v>74</v>
      </c>
      <c r="V21" s="359">
        <v>0</v>
      </c>
      <c r="W21" s="359">
        <v>0</v>
      </c>
      <c r="X21" s="359">
        <v>0</v>
      </c>
      <c r="Y21" s="359">
        <v>0</v>
      </c>
      <c r="Z21" s="359">
        <f>AA14</f>
        <v>5.1999999999999998E-3</v>
      </c>
      <c r="AA21" s="359"/>
      <c r="AB21" s="6">
        <f>'Demand - Ethylene'!E39</f>
        <v>0.2687140115163148</v>
      </c>
    </row>
    <row r="22" spans="2:28">
      <c r="B22" t="s">
        <v>35</v>
      </c>
      <c r="C22" s="246">
        <f>'Overall recycling rates'!G42*'Overall recycling rates'!G57</f>
        <v>12801.261120729838</v>
      </c>
      <c r="D22" s="2">
        <f>IFERROR($C22/$C$24,0)</f>
        <v>0.99990058515507274</v>
      </c>
      <c r="E22" s="2">
        <f t="shared" ref="E22:F23" si="23">IFERROR($C22/$C$24,0)</f>
        <v>0.99990058515507274</v>
      </c>
      <c r="F22" s="2">
        <f t="shared" si="23"/>
        <v>0.99990058515507274</v>
      </c>
      <c r="I22" s="699"/>
      <c r="K22" t="s">
        <v>35</v>
      </c>
      <c r="L22" s="41">
        <f>'Overall recycling rates'!G15*'Overall recycling rates'!G57</f>
        <v>98471.239390229501</v>
      </c>
      <c r="M22" s="121">
        <f t="shared" si="21"/>
        <v>0.99990058515507285</v>
      </c>
      <c r="N22" s="121">
        <f t="shared" si="21"/>
        <v>0.99990058515507285</v>
      </c>
      <c r="O22" s="121">
        <f t="shared" si="21"/>
        <v>0.99990058515507285</v>
      </c>
      <c r="S22" s="694"/>
      <c r="U22" t="s">
        <v>35</v>
      </c>
      <c r="V22" s="359">
        <f t="shared" ref="V22:Z22" si="24">V15+$AA15*V15/SUM($V15:$Z15)</f>
        <v>3.4404414003044136E-2</v>
      </c>
      <c r="W22" s="359">
        <f t="shared" si="24"/>
        <v>3.0693150684931506E-2</v>
      </c>
      <c r="X22" s="359">
        <f t="shared" si="24"/>
        <v>0</v>
      </c>
      <c r="Y22" s="359">
        <f t="shared" si="24"/>
        <v>0</v>
      </c>
      <c r="Z22" s="359">
        <f t="shared" si="24"/>
        <v>8.0243531202435318E-4</v>
      </c>
      <c r="AA22" s="359"/>
      <c r="AB22" s="6">
        <f>'Demand - Ethylene'!E36</f>
        <v>0.14568158168574402</v>
      </c>
    </row>
    <row r="23" spans="2:28">
      <c r="B23" t="s">
        <v>27</v>
      </c>
      <c r="C23" s="246">
        <f>'Overall recycling rates'!I42*'Overall recycling rates'!I57</f>
        <v>1.2727619206189873</v>
      </c>
      <c r="D23" s="2">
        <f>IFERROR($C23/$C$24,0)</f>
        <v>9.9414844927205343E-5</v>
      </c>
      <c r="E23" s="2">
        <f t="shared" si="23"/>
        <v>9.9414844927205343E-5</v>
      </c>
      <c r="F23" s="2">
        <f t="shared" si="23"/>
        <v>9.9414844927205343E-5</v>
      </c>
      <c r="I23" s="699"/>
      <c r="K23" t="s">
        <v>27</v>
      </c>
      <c r="L23" s="41">
        <f>'Overall recycling rates'!I15*'Overall recycling rates'!I57</f>
        <v>9.7904763124537482</v>
      </c>
      <c r="M23" s="121">
        <f t="shared" si="21"/>
        <v>9.9414844927205357E-5</v>
      </c>
      <c r="N23" s="121">
        <f t="shared" si="21"/>
        <v>9.9414844927205357E-5</v>
      </c>
      <c r="O23" s="121">
        <f t="shared" si="21"/>
        <v>9.9414844927205357E-5</v>
      </c>
      <c r="S23" s="694"/>
    </row>
    <row r="24" spans="2:28">
      <c r="C24" s="241">
        <f>SUM(C19:C23)</f>
        <v>12802.533882650458</v>
      </c>
      <c r="D24" s="2">
        <f>SUM(D19:D23)</f>
        <v>1</v>
      </c>
      <c r="E24" s="2">
        <f t="shared" ref="E24" si="25">SUM(E19:E23)</f>
        <v>1</v>
      </c>
      <c r="F24" s="2">
        <f t="shared" ref="F24" si="26">SUM(F19:F23)</f>
        <v>1</v>
      </c>
      <c r="L24" s="41">
        <f>SUM(L19:L23)</f>
        <v>98481.029866541954</v>
      </c>
      <c r="M24" s="2">
        <f>SUM(M19:M23)</f>
        <v>1</v>
      </c>
      <c r="N24" s="2">
        <f t="shared" ref="N24" si="27">SUM(N19:N23)</f>
        <v>1</v>
      </c>
      <c r="O24" s="2">
        <f t="shared" ref="O24" si="28">SUM(O19:O23)</f>
        <v>1</v>
      </c>
      <c r="U24" t="s">
        <v>819</v>
      </c>
      <c r="V24" t="s">
        <v>555</v>
      </c>
      <c r="W24" t="s">
        <v>820</v>
      </c>
      <c r="X24" t="s">
        <v>21</v>
      </c>
      <c r="Y24" t="s">
        <v>291</v>
      </c>
      <c r="Z24" t="s">
        <v>27</v>
      </c>
      <c r="AA24" s="359"/>
    </row>
    <row r="25" spans="2:28">
      <c r="U25" t="s">
        <v>141</v>
      </c>
      <c r="V25" s="359">
        <f>V19*$AB19</f>
        <v>6.4303448275862068E-2</v>
      </c>
      <c r="W25" s="359">
        <f t="shared" ref="W25:Z25" si="29">W19*$AB19</f>
        <v>0</v>
      </c>
      <c r="X25" s="359">
        <f t="shared" si="29"/>
        <v>4.2206896551724134E-3</v>
      </c>
      <c r="Y25" s="359">
        <f t="shared" si="29"/>
        <v>2.4827586206896551E-2</v>
      </c>
      <c r="Z25" s="359">
        <f t="shared" si="29"/>
        <v>3.8482758620689657E-3</v>
      </c>
      <c r="AA25" s="359"/>
    </row>
    <row r="26" spans="2:28">
      <c r="B26" t="s">
        <v>291</v>
      </c>
      <c r="D26" t="s">
        <v>815</v>
      </c>
      <c r="K26" t="s">
        <v>291</v>
      </c>
      <c r="M26" t="s">
        <v>815</v>
      </c>
      <c r="U26" t="s">
        <v>74</v>
      </c>
      <c r="V26" s="359">
        <f>V21*$AB21</f>
        <v>0</v>
      </c>
      <c r="W26" s="359">
        <f t="shared" ref="W26:Z26" si="30">W21*$AB21</f>
        <v>0</v>
      </c>
      <c r="X26" s="359">
        <f t="shared" si="30"/>
        <v>0</v>
      </c>
      <c r="Y26" s="359">
        <f t="shared" si="30"/>
        <v>0</v>
      </c>
      <c r="Z26" s="359">
        <f t="shared" si="30"/>
        <v>1.3973128598848369E-3</v>
      </c>
      <c r="AA26" s="359"/>
    </row>
    <row r="27" spans="2:28" ht="14.5" customHeight="1">
      <c r="B27" t="s">
        <v>141</v>
      </c>
      <c r="C27" s="241">
        <f>'Overall recycling rates'!C40*'Overall recycling rates'!C57</f>
        <v>741.28521600088379</v>
      </c>
      <c r="D27" s="2">
        <f>C27/$C$32</f>
        <v>0.35330398449159972</v>
      </c>
      <c r="E27" s="2"/>
      <c r="F27" s="2"/>
      <c r="G27" s="2"/>
      <c r="I27" s="699" t="s">
        <v>826</v>
      </c>
      <c r="K27" t="s">
        <v>141</v>
      </c>
      <c r="L27" s="41">
        <f>'Overall recycling rates'!C13*'Overall recycling rates'!C57</f>
        <v>61906.283033220287</v>
      </c>
      <c r="M27" s="121">
        <f>$L27/$L$32</f>
        <v>0.50749882423387915</v>
      </c>
      <c r="O27" s="2"/>
      <c r="P27" s="2"/>
      <c r="Q27" s="2"/>
      <c r="S27" s="694" t="s">
        <v>827</v>
      </c>
      <c r="U27" t="s">
        <v>35</v>
      </c>
      <c r="V27" s="359">
        <f>V22*$AB22</f>
        <v>5.0120894489346299E-3</v>
      </c>
      <c r="W27" s="359">
        <f t="shared" ref="W27:Z27" si="31">W22*$AB22</f>
        <v>4.4714267386996992E-3</v>
      </c>
      <c r="X27" s="359">
        <f t="shared" si="31"/>
        <v>0</v>
      </c>
      <c r="Y27" s="359">
        <f t="shared" si="31"/>
        <v>0</v>
      </c>
      <c r="Z27" s="359">
        <f t="shared" si="31"/>
        <v>1.169000454562013E-4</v>
      </c>
    </row>
    <row r="28" spans="2:28">
      <c r="B28" t="s">
        <v>74</v>
      </c>
      <c r="C28" s="241">
        <f>'Overall recycling rates'!E40*'Overall recycling rates'!E57</f>
        <v>38.30648539794911</v>
      </c>
      <c r="D28" s="2">
        <f t="shared" ref="D28:D31" si="32">C28/$C$32</f>
        <v>1.8257255953353008E-2</v>
      </c>
      <c r="E28" s="2"/>
      <c r="F28" s="2"/>
      <c r="G28" s="2"/>
      <c r="I28" s="699"/>
      <c r="K28" t="s">
        <v>74</v>
      </c>
      <c r="L28" s="41">
        <f>'Overall recycling rates'!E13*'Overall recycling rates'!E57</f>
        <v>8317.5428259604996</v>
      </c>
      <c r="M28" s="121">
        <f t="shared" ref="M28:M31" si="33">$L28/$L$32</f>
        <v>6.8186022449849407E-2</v>
      </c>
      <c r="O28" s="2"/>
      <c r="P28" s="2"/>
      <c r="Q28" s="2"/>
      <c r="S28" s="694"/>
      <c r="W28" s="22">
        <f>SUM(W25:W27)/SUM($W$25:$Z$27)</f>
        <v>0.11499935012302656</v>
      </c>
      <c r="X28" s="22">
        <f t="shared" ref="X28:Z28" si="34">SUM(X25:X27)/SUM($W$25:$Z$27)</f>
        <v>0.10855071452136934</v>
      </c>
      <c r="Y28" s="22">
        <f t="shared" si="34"/>
        <v>0.63853361483158444</v>
      </c>
      <c r="Z28" s="22">
        <f t="shared" si="34"/>
        <v>0.13791632052401978</v>
      </c>
    </row>
    <row r="29" spans="2:28">
      <c r="B29" t="s">
        <v>34</v>
      </c>
      <c r="C29" s="241">
        <f>'Overall recycling rates'!F40*'Overall recycling rates'!F57</f>
        <v>1315.6101925824914</v>
      </c>
      <c r="D29" s="2">
        <f t="shared" si="32"/>
        <v>0.62703304078386068</v>
      </c>
      <c r="E29" s="53"/>
      <c r="F29" s="53"/>
      <c r="G29" s="53"/>
      <c r="I29" s="699"/>
      <c r="K29" t="s">
        <v>34</v>
      </c>
      <c r="L29" s="41">
        <f>'Overall recycling rates'!F13*'Overall recycling rates'!F57</f>
        <v>51055.799970670414</v>
      </c>
      <c r="M29" s="121">
        <f t="shared" si="33"/>
        <v>0.41854812122270474</v>
      </c>
      <c r="O29" s="53"/>
      <c r="P29" s="53"/>
      <c r="Q29" s="53"/>
      <c r="S29" s="694"/>
    </row>
    <row r="30" spans="2:28">
      <c r="B30" t="s">
        <v>35</v>
      </c>
      <c r="C30" s="241">
        <f>'Overall recycling rates'!G40*'Overall recycling rates'!G57</f>
        <v>0</v>
      </c>
      <c r="D30" s="2">
        <f t="shared" si="32"/>
        <v>0</v>
      </c>
      <c r="E30" s="2"/>
      <c r="F30" s="2"/>
      <c r="G30" s="2"/>
      <c r="I30" s="699"/>
      <c r="K30" t="s">
        <v>35</v>
      </c>
      <c r="L30" s="41">
        <f>'Overall recycling rates'!G13*'Overall recycling rates'!G57</f>
        <v>0</v>
      </c>
      <c r="M30" s="121">
        <f t="shared" si="33"/>
        <v>0</v>
      </c>
      <c r="O30" s="2"/>
      <c r="P30" s="2"/>
      <c r="Q30" s="2"/>
      <c r="S30" s="694"/>
      <c r="U30" t="s">
        <v>819</v>
      </c>
      <c r="V30" t="s">
        <v>555</v>
      </c>
      <c r="W30" t="s">
        <v>820</v>
      </c>
      <c r="X30" t="s">
        <v>21</v>
      </c>
      <c r="Y30" t="s">
        <v>291</v>
      </c>
      <c r="Z30" t="s">
        <v>27</v>
      </c>
    </row>
    <row r="31" spans="2:28">
      <c r="B31" t="s">
        <v>27</v>
      </c>
      <c r="C31" s="241">
        <f>'Overall recycling rates'!I40*'Overall recycling rates'!I57</f>
        <v>2.9494106737435697</v>
      </c>
      <c r="D31" s="2">
        <f t="shared" si="32"/>
        <v>1.4057187711867365E-3</v>
      </c>
      <c r="E31" s="53"/>
      <c r="F31" s="53"/>
      <c r="G31" s="53"/>
      <c r="I31" s="699"/>
      <c r="K31" t="s">
        <v>27</v>
      </c>
      <c r="L31" s="41">
        <f>'Overall recycling rates'!I13*'Overall recycling rates'!I57</f>
        <v>703.4804890138671</v>
      </c>
      <c r="M31" s="121">
        <f t="shared" si="33"/>
        <v>5.7670320935668097E-3</v>
      </c>
      <c r="O31" s="53"/>
      <c r="P31" s="53"/>
      <c r="Q31" s="53"/>
      <c r="S31" s="694"/>
      <c r="U31" t="s">
        <v>141</v>
      </c>
      <c r="V31" s="359">
        <f t="shared" ref="V31:Z33" si="35">V25/SUM(V$25:V$27)</f>
        <v>0.92769168914429945</v>
      </c>
      <c r="W31" s="359">
        <f t="shared" si="35"/>
        <v>0</v>
      </c>
      <c r="X31" s="359">
        <f t="shared" si="35"/>
        <v>1</v>
      </c>
      <c r="Y31" s="359">
        <f t="shared" si="35"/>
        <v>1</v>
      </c>
      <c r="Z31" s="359">
        <f t="shared" si="35"/>
        <v>0.71762870357071562</v>
      </c>
    </row>
    <row r="32" spans="2:28">
      <c r="C32" s="241">
        <f>SUM(C27:C31)</f>
        <v>2098.1513046550676</v>
      </c>
      <c r="D32" s="2">
        <f>SUM(D27:D31)</f>
        <v>1.0000000000000002</v>
      </c>
      <c r="E32" s="2"/>
      <c r="F32" s="2"/>
      <c r="G32" s="2"/>
      <c r="L32" s="41">
        <f>SUM(L27:L31)</f>
        <v>121983.10631886506</v>
      </c>
      <c r="M32" s="2">
        <f>SUM(M27:M31)</f>
        <v>1</v>
      </c>
      <c r="O32" s="2"/>
      <c r="P32" s="2"/>
      <c r="Q32" s="2"/>
      <c r="U32" t="s">
        <v>74</v>
      </c>
      <c r="V32" s="359">
        <f t="shared" si="35"/>
        <v>0</v>
      </c>
      <c r="W32" s="359">
        <f t="shared" si="35"/>
        <v>0</v>
      </c>
      <c r="X32" s="359">
        <f t="shared" si="35"/>
        <v>0</v>
      </c>
      <c r="Y32" s="359">
        <f t="shared" si="35"/>
        <v>0</v>
      </c>
      <c r="Z32" s="359">
        <f t="shared" si="35"/>
        <v>0.26057170849044342</v>
      </c>
    </row>
    <row r="33" spans="1:35">
      <c r="U33" t="s">
        <v>35</v>
      </c>
      <c r="V33" s="359">
        <f t="shared" si="35"/>
        <v>7.2308310855700428E-2</v>
      </c>
      <c r="W33" s="359">
        <f t="shared" si="35"/>
        <v>1</v>
      </c>
      <c r="X33" s="359">
        <f t="shared" si="35"/>
        <v>0</v>
      </c>
      <c r="Y33" s="359">
        <f t="shared" si="35"/>
        <v>0</v>
      </c>
      <c r="Z33" s="359">
        <f t="shared" si="35"/>
        <v>2.1799587938840969E-2</v>
      </c>
    </row>
    <row r="34" spans="1:35">
      <c r="B34" t="s">
        <v>27</v>
      </c>
      <c r="D34" t="s">
        <v>815</v>
      </c>
      <c r="K34" t="s">
        <v>27</v>
      </c>
      <c r="M34" t="s">
        <v>815</v>
      </c>
    </row>
    <row r="35" spans="1:35" ht="14.5" customHeight="1">
      <c r="B35" t="s">
        <v>141</v>
      </c>
      <c r="C35" s="241">
        <f>'Overall recycling rates'!C43*'Overall recycling rates'!C57</f>
        <v>15543.760578148449</v>
      </c>
      <c r="D35" s="2">
        <f>C35/$C$40</f>
        <v>0.71774223915373458</v>
      </c>
      <c r="I35" s="699" t="s">
        <v>826</v>
      </c>
      <c r="K35" t="s">
        <v>141</v>
      </c>
      <c r="L35" s="41">
        <f>'Overall recycling rates'!C16*'Overall recycling rates'!C57</f>
        <v>391155.20227624709</v>
      </c>
      <c r="M35" s="121">
        <f>$L35/$L$40</f>
        <v>0.71774223915373458</v>
      </c>
      <c r="S35" s="694" t="s">
        <v>827</v>
      </c>
    </row>
    <row r="36" spans="1:35">
      <c r="B36" t="s">
        <v>74</v>
      </c>
      <c r="C36" s="241">
        <f>'Overall recycling rates'!E43*'Overall recycling rates'!E57</f>
        <v>1508.2983713067918</v>
      </c>
      <c r="D36" s="2">
        <f t="shared" ref="D36:D39" si="36">C36/$C$40</f>
        <v>6.9646559781392475E-2</v>
      </c>
      <c r="I36" s="699"/>
      <c r="K36" t="s">
        <v>74</v>
      </c>
      <c r="L36" s="41">
        <f>'Overall recycling rates'!E16*'Overall recycling rates'!E57</f>
        <v>37955.985718851029</v>
      </c>
      <c r="M36" s="121">
        <f t="shared" ref="M36:M39" si="37">$L36/$L$40</f>
        <v>6.9646559781392475E-2</v>
      </c>
      <c r="S36" s="694"/>
    </row>
    <row r="37" spans="1:35">
      <c r="B37" t="s">
        <v>34</v>
      </c>
      <c r="C37" s="241">
        <f>'Overall recycling rates'!F43*'Overall recycling rates'!F57</f>
        <v>3481.8023695052534</v>
      </c>
      <c r="D37" s="2">
        <f t="shared" si="36"/>
        <v>0.16077426157043659</v>
      </c>
      <c r="I37" s="699"/>
      <c r="K37" t="s">
        <v>34</v>
      </c>
      <c r="L37" s="41">
        <f>'Overall recycling rates'!F16*'Overall recycling rates'!F57</f>
        <v>87618.765309879382</v>
      </c>
      <c r="M37" s="121">
        <f t="shared" si="37"/>
        <v>0.16077426157043662</v>
      </c>
      <c r="S37" s="694"/>
    </row>
    <row r="38" spans="1:35">
      <c r="B38" t="s">
        <v>35</v>
      </c>
      <c r="C38" s="241">
        <f>'Overall recycling rates'!G43*'Overall recycling rates'!G57</f>
        <v>0</v>
      </c>
      <c r="D38" s="2">
        <f t="shared" si="36"/>
        <v>0</v>
      </c>
      <c r="I38" s="699"/>
      <c r="K38" t="s">
        <v>35</v>
      </c>
      <c r="L38" s="41">
        <f>'Overall recycling rates'!G16*'Overall recycling rates'!G57</f>
        <v>0</v>
      </c>
      <c r="M38" s="121">
        <f t="shared" si="37"/>
        <v>0</v>
      </c>
      <c r="S38" s="694"/>
    </row>
    <row r="39" spans="1:35">
      <c r="B39" t="s">
        <v>27</v>
      </c>
      <c r="C39" s="241">
        <f>'Overall recycling rates'!I43*'Overall recycling rates'!I57</f>
        <v>1122.604930644055</v>
      </c>
      <c r="D39" s="2">
        <f t="shared" si="36"/>
        <v>5.18369394944364E-2</v>
      </c>
      <c r="I39" s="699"/>
      <c r="K39" t="s">
        <v>27</v>
      </c>
      <c r="L39" s="41">
        <f>'Overall recycling rates'!I16*'Overall recycling rates'!I57</f>
        <v>28250.097942173408</v>
      </c>
      <c r="M39" s="121">
        <f t="shared" si="37"/>
        <v>5.18369394944364E-2</v>
      </c>
      <c r="S39" s="694"/>
    </row>
    <row r="40" spans="1:35">
      <c r="C40" s="241">
        <f>SUM(C35:C39)</f>
        <v>21656.466249604549</v>
      </c>
      <c r="D40" s="2">
        <f>SUM(D35:D39)</f>
        <v>1</v>
      </c>
      <c r="L40" s="41">
        <f>SUM(L35:L39)</f>
        <v>544980.05124715087</v>
      </c>
      <c r="M40" s="2">
        <f>SUM(M35:M39)</f>
        <v>1</v>
      </c>
    </row>
    <row r="42" spans="1:35" s="254" customFormat="1" ht="15.5" thickBot="1">
      <c r="E42" s="254">
        <v>2020</v>
      </c>
      <c r="F42" s="254">
        <f>E42+1</f>
        <v>2021</v>
      </c>
      <c r="G42" s="254">
        <f t="shared" ref="G42:AI42" si="38">F42+1</f>
        <v>2022</v>
      </c>
      <c r="H42" s="254">
        <f t="shared" si="38"/>
        <v>2023</v>
      </c>
      <c r="I42" s="254">
        <f t="shared" si="38"/>
        <v>2024</v>
      </c>
      <c r="J42" s="254">
        <f t="shared" si="38"/>
        <v>2025</v>
      </c>
      <c r="K42" s="254">
        <f t="shared" si="38"/>
        <v>2026</v>
      </c>
      <c r="L42" s="254">
        <f t="shared" si="38"/>
        <v>2027</v>
      </c>
      <c r="M42" s="254">
        <f t="shared" si="38"/>
        <v>2028</v>
      </c>
      <c r="N42" s="254">
        <f t="shared" si="38"/>
        <v>2029</v>
      </c>
      <c r="O42" s="254">
        <f t="shared" si="38"/>
        <v>2030</v>
      </c>
      <c r="P42" s="254">
        <f t="shared" si="38"/>
        <v>2031</v>
      </c>
      <c r="Q42" s="254">
        <f t="shared" si="38"/>
        <v>2032</v>
      </c>
      <c r="R42" s="254">
        <f t="shared" si="38"/>
        <v>2033</v>
      </c>
      <c r="S42" s="254">
        <f t="shared" si="38"/>
        <v>2034</v>
      </c>
      <c r="T42" s="254">
        <f t="shared" si="38"/>
        <v>2035</v>
      </c>
      <c r="U42" s="254">
        <f t="shared" si="38"/>
        <v>2036</v>
      </c>
      <c r="V42" s="254">
        <f t="shared" si="38"/>
        <v>2037</v>
      </c>
      <c r="W42" s="254">
        <f t="shared" si="38"/>
        <v>2038</v>
      </c>
      <c r="X42" s="254">
        <f t="shared" si="38"/>
        <v>2039</v>
      </c>
      <c r="Y42" s="254">
        <f t="shared" si="38"/>
        <v>2040</v>
      </c>
      <c r="Z42" s="254">
        <f t="shared" si="38"/>
        <v>2041</v>
      </c>
      <c r="AA42" s="254">
        <f t="shared" si="38"/>
        <v>2042</v>
      </c>
      <c r="AB42" s="254">
        <f>AA42+1</f>
        <v>2043</v>
      </c>
      <c r="AC42" s="254">
        <f t="shared" si="38"/>
        <v>2044</v>
      </c>
      <c r="AD42" s="254">
        <f t="shared" si="38"/>
        <v>2045</v>
      </c>
      <c r="AE42" s="254">
        <f t="shared" si="38"/>
        <v>2046</v>
      </c>
      <c r="AF42" s="254">
        <f t="shared" si="38"/>
        <v>2047</v>
      </c>
      <c r="AG42" s="254">
        <f t="shared" si="38"/>
        <v>2048</v>
      </c>
      <c r="AH42" s="254">
        <f t="shared" si="38"/>
        <v>2049</v>
      </c>
      <c r="AI42" s="254">
        <f t="shared" si="38"/>
        <v>2050</v>
      </c>
    </row>
    <row r="43" spans="1:35">
      <c r="A43" s="289"/>
      <c r="B43" t="s">
        <v>17</v>
      </c>
      <c r="C43" t="s">
        <v>815</v>
      </c>
      <c r="D43" t="s">
        <v>141</v>
      </c>
      <c r="E43" s="157">
        <f>C3</f>
        <v>0.92769168914429945</v>
      </c>
      <c r="F43" s="157">
        <f>-($E43-$AI43)/30+E43</f>
        <v>0.927087508931281</v>
      </c>
      <c r="G43" s="157">
        <f t="shared" ref="G43:AH43" si="39">-($E43-$AI43)/30+F43</f>
        <v>0.92648332871826256</v>
      </c>
      <c r="H43" s="157">
        <f t="shared" si="39"/>
        <v>0.92587914850524411</v>
      </c>
      <c r="I43" s="157">
        <f t="shared" si="39"/>
        <v>0.92527496829222566</v>
      </c>
      <c r="J43" s="157">
        <f t="shared" si="39"/>
        <v>0.92467078807920722</v>
      </c>
      <c r="K43" s="157">
        <f t="shared" si="39"/>
        <v>0.92406660786618877</v>
      </c>
      <c r="L43" s="157">
        <f t="shared" si="39"/>
        <v>0.92346242765317033</v>
      </c>
      <c r="M43" s="157">
        <f t="shared" si="39"/>
        <v>0.92285824744015188</v>
      </c>
      <c r="N43" s="157">
        <f t="shared" si="39"/>
        <v>0.92225406722713343</v>
      </c>
      <c r="O43" s="157">
        <f t="shared" si="39"/>
        <v>0.92164988701411499</v>
      </c>
      <c r="P43" s="157">
        <f t="shared" si="39"/>
        <v>0.92104570680109654</v>
      </c>
      <c r="Q43" s="157">
        <f t="shared" si="39"/>
        <v>0.9204415265880781</v>
      </c>
      <c r="R43" s="157">
        <f t="shared" si="39"/>
        <v>0.91983734637505965</v>
      </c>
      <c r="S43" s="157">
        <f t="shared" si="39"/>
        <v>0.9192331661620412</v>
      </c>
      <c r="T43" s="157">
        <f t="shared" si="39"/>
        <v>0.91862898594902276</v>
      </c>
      <c r="U43" s="157">
        <f t="shared" si="39"/>
        <v>0.91802480573600431</v>
      </c>
      <c r="V43" s="157">
        <f t="shared" si="39"/>
        <v>0.91742062552298587</v>
      </c>
      <c r="W43" s="157">
        <f t="shared" si="39"/>
        <v>0.91681644530996742</v>
      </c>
      <c r="X43" s="157">
        <f t="shared" si="39"/>
        <v>0.91621226509694897</v>
      </c>
      <c r="Y43" s="157">
        <f t="shared" si="39"/>
        <v>0.91560808488393053</v>
      </c>
      <c r="Z43" s="157">
        <f t="shared" si="39"/>
        <v>0.91500390467091208</v>
      </c>
      <c r="AA43" s="157">
        <f t="shared" si="39"/>
        <v>0.91439972445789364</v>
      </c>
      <c r="AB43" s="157">
        <f t="shared" si="39"/>
        <v>0.91379554424487519</v>
      </c>
      <c r="AC43" s="157">
        <f t="shared" si="39"/>
        <v>0.91319136403185674</v>
      </c>
      <c r="AD43" s="157">
        <f t="shared" si="39"/>
        <v>0.9125871838188383</v>
      </c>
      <c r="AE43" s="157">
        <f t="shared" si="39"/>
        <v>0.91198300360581985</v>
      </c>
      <c r="AF43" s="157">
        <f t="shared" si="39"/>
        <v>0.91137882339280141</v>
      </c>
      <c r="AG43" s="157">
        <f t="shared" si="39"/>
        <v>0.91077464317978296</v>
      </c>
      <c r="AH43" s="157">
        <f t="shared" si="39"/>
        <v>0.91017046296676452</v>
      </c>
      <c r="AI43" s="157">
        <f>M3</f>
        <v>0.90956628275374496</v>
      </c>
    </row>
    <row r="44" spans="1:35">
      <c r="A44" s="289"/>
      <c r="B44" t="s">
        <v>17</v>
      </c>
      <c r="C44" t="s">
        <v>815</v>
      </c>
      <c r="D44" t="s">
        <v>74</v>
      </c>
      <c r="E44" s="157">
        <f t="shared" ref="E44:E47" si="40">C4</f>
        <v>0</v>
      </c>
      <c r="F44" s="157">
        <f t="shared" ref="F44:AH44" si="41">-($E44-$AI44)/30+E44</f>
        <v>6.0954631312216533E-4</v>
      </c>
      <c r="G44" s="157">
        <f t="shared" si="41"/>
        <v>1.2190926262443307E-3</v>
      </c>
      <c r="H44" s="157">
        <f t="shared" si="41"/>
        <v>1.8286389393664961E-3</v>
      </c>
      <c r="I44" s="157">
        <f t="shared" si="41"/>
        <v>2.4381852524886613E-3</v>
      </c>
      <c r="J44" s="157">
        <f t="shared" si="41"/>
        <v>3.0477315656108265E-3</v>
      </c>
      <c r="K44" s="157">
        <f t="shared" si="41"/>
        <v>3.6572778787329918E-3</v>
      </c>
      <c r="L44" s="157">
        <f t="shared" si="41"/>
        <v>4.2668241918551574E-3</v>
      </c>
      <c r="M44" s="157">
        <f t="shared" si="41"/>
        <v>4.8763705049773226E-3</v>
      </c>
      <c r="N44" s="157">
        <f t="shared" si="41"/>
        <v>5.4859168180994879E-3</v>
      </c>
      <c r="O44" s="157">
        <f t="shared" si="41"/>
        <v>6.0954631312216531E-3</v>
      </c>
      <c r="P44" s="157">
        <f t="shared" si="41"/>
        <v>6.7050094443438183E-3</v>
      </c>
      <c r="Q44" s="157">
        <f t="shared" si="41"/>
        <v>7.3145557574659835E-3</v>
      </c>
      <c r="R44" s="157">
        <f t="shared" si="41"/>
        <v>7.9241020705881487E-3</v>
      </c>
      <c r="S44" s="157">
        <f t="shared" si="41"/>
        <v>8.5336483837103148E-3</v>
      </c>
      <c r="T44" s="157">
        <f t="shared" si="41"/>
        <v>9.1431946968324809E-3</v>
      </c>
      <c r="U44" s="157">
        <f t="shared" si="41"/>
        <v>9.752741009954647E-3</v>
      </c>
      <c r="V44" s="157">
        <f t="shared" si="41"/>
        <v>1.0362287323076813E-2</v>
      </c>
      <c r="W44" s="157">
        <f t="shared" si="41"/>
        <v>1.0971833636198979E-2</v>
      </c>
      <c r="X44" s="157">
        <f t="shared" si="41"/>
        <v>1.1581379949321145E-2</v>
      </c>
      <c r="Y44" s="157">
        <f t="shared" si="41"/>
        <v>1.2190926262443311E-2</v>
      </c>
      <c r="Z44" s="157">
        <f t="shared" si="41"/>
        <v>1.2800472575565477E-2</v>
      </c>
      <c r="AA44" s="157">
        <f t="shared" si="41"/>
        <v>1.3410018888687644E-2</v>
      </c>
      <c r="AB44" s="157">
        <f t="shared" si="41"/>
        <v>1.401956520180981E-2</v>
      </c>
      <c r="AC44" s="157">
        <f t="shared" si="41"/>
        <v>1.4629111514931976E-2</v>
      </c>
      <c r="AD44" s="157">
        <f t="shared" si="41"/>
        <v>1.5238657828054142E-2</v>
      </c>
      <c r="AE44" s="157">
        <f t="shared" si="41"/>
        <v>1.5848204141176308E-2</v>
      </c>
      <c r="AF44" s="157">
        <f t="shared" si="41"/>
        <v>1.6457750454298474E-2</v>
      </c>
      <c r="AG44" s="157">
        <f t="shared" si="41"/>
        <v>1.706729676742064E-2</v>
      </c>
      <c r="AH44" s="157">
        <f t="shared" si="41"/>
        <v>1.7676843080542806E-2</v>
      </c>
      <c r="AI44" s="157">
        <f t="shared" ref="AI44:AI47" si="42">M4</f>
        <v>1.8286389393664958E-2</v>
      </c>
    </row>
    <row r="45" spans="1:35">
      <c r="A45" s="289"/>
      <c r="B45" t="s">
        <v>17</v>
      </c>
      <c r="C45" t="s">
        <v>815</v>
      </c>
      <c r="D45" t="s">
        <v>34</v>
      </c>
      <c r="E45" s="157">
        <f t="shared" si="40"/>
        <v>0</v>
      </c>
      <c r="F45" s="157">
        <f t="shared" ref="F45:AH45" si="43">-($E45-$AI45)/30+E45</f>
        <v>7.4358703407605424E-4</v>
      </c>
      <c r="G45" s="157">
        <f t="shared" si="43"/>
        <v>1.4871740681521085E-3</v>
      </c>
      <c r="H45" s="157">
        <f t="shared" si="43"/>
        <v>2.2307611022281629E-3</v>
      </c>
      <c r="I45" s="157">
        <f t="shared" si="43"/>
        <v>2.974348136304217E-3</v>
      </c>
      <c r="J45" s="157">
        <f t="shared" si="43"/>
        <v>3.717935170380271E-3</v>
      </c>
      <c r="K45" s="157">
        <f t="shared" si="43"/>
        <v>4.461522204456325E-3</v>
      </c>
      <c r="L45" s="157">
        <f t="shared" si="43"/>
        <v>5.205109238532379E-3</v>
      </c>
      <c r="M45" s="157">
        <f t="shared" si="43"/>
        <v>5.9486962726084331E-3</v>
      </c>
      <c r="N45" s="157">
        <f t="shared" si="43"/>
        <v>6.6922833066844871E-3</v>
      </c>
      <c r="O45" s="157">
        <f t="shared" si="43"/>
        <v>7.4358703407605411E-3</v>
      </c>
      <c r="P45" s="157">
        <f t="shared" si="43"/>
        <v>8.1794573748365951E-3</v>
      </c>
      <c r="Q45" s="157">
        <f t="shared" si="43"/>
        <v>8.92304440891265E-3</v>
      </c>
      <c r="R45" s="157">
        <f t="shared" si="43"/>
        <v>9.6666314429887049E-3</v>
      </c>
      <c r="S45" s="157">
        <f t="shared" si="43"/>
        <v>1.041021847706476E-2</v>
      </c>
      <c r="T45" s="157">
        <f t="shared" si="43"/>
        <v>1.1153805511140815E-2</v>
      </c>
      <c r="U45" s="157">
        <f t="shared" si="43"/>
        <v>1.189739254521687E-2</v>
      </c>
      <c r="V45" s="157">
        <f t="shared" si="43"/>
        <v>1.2640979579292924E-2</v>
      </c>
      <c r="W45" s="157">
        <f t="shared" si="43"/>
        <v>1.3384566613368979E-2</v>
      </c>
      <c r="X45" s="157">
        <f t="shared" si="43"/>
        <v>1.4128153647445034E-2</v>
      </c>
      <c r="Y45" s="157">
        <f t="shared" si="43"/>
        <v>1.4871740681521089E-2</v>
      </c>
      <c r="Z45" s="157">
        <f t="shared" si="43"/>
        <v>1.5615327715597144E-2</v>
      </c>
      <c r="AA45" s="157">
        <f t="shared" si="43"/>
        <v>1.6358914749673197E-2</v>
      </c>
      <c r="AB45" s="157">
        <f t="shared" si="43"/>
        <v>1.7102501783749252E-2</v>
      </c>
      <c r="AC45" s="157">
        <f t="shared" si="43"/>
        <v>1.7846088817825307E-2</v>
      </c>
      <c r="AD45" s="157">
        <f t="shared" si="43"/>
        <v>1.8589675851901362E-2</v>
      </c>
      <c r="AE45" s="157">
        <f t="shared" si="43"/>
        <v>1.9333262885977417E-2</v>
      </c>
      <c r="AF45" s="157">
        <f t="shared" si="43"/>
        <v>2.0076849920053472E-2</v>
      </c>
      <c r="AG45" s="157">
        <f t="shared" si="43"/>
        <v>2.0820436954129527E-2</v>
      </c>
      <c r="AH45" s="157">
        <f t="shared" si="43"/>
        <v>2.1564023988205581E-2</v>
      </c>
      <c r="AI45" s="157">
        <f t="shared" si="42"/>
        <v>2.2307611022281626E-2</v>
      </c>
    </row>
    <row r="46" spans="1:35">
      <c r="A46" s="289"/>
      <c r="B46" t="s">
        <v>17</v>
      </c>
      <c r="C46" t="s">
        <v>815</v>
      </c>
      <c r="D46" t="s">
        <v>35</v>
      </c>
      <c r="E46" s="157">
        <f t="shared" si="40"/>
        <v>7.2308310855700428E-2</v>
      </c>
      <c r="F46" s="157">
        <f t="shared" ref="F46:AH46" si="44">-($E46-$AI46)/30+E46</f>
        <v>7.1526161871785163E-2</v>
      </c>
      <c r="G46" s="157">
        <f t="shared" si="44"/>
        <v>7.0744012887869898E-2</v>
      </c>
      <c r="H46" s="157">
        <f t="shared" si="44"/>
        <v>6.9961863903954633E-2</v>
      </c>
      <c r="I46" s="157">
        <f t="shared" si="44"/>
        <v>6.9179714920039367E-2</v>
      </c>
      <c r="J46" s="157">
        <f t="shared" si="44"/>
        <v>6.8397565936124102E-2</v>
      </c>
      <c r="K46" s="157">
        <f t="shared" si="44"/>
        <v>6.7615416952208837E-2</v>
      </c>
      <c r="L46" s="157">
        <f t="shared" si="44"/>
        <v>6.6833267968293572E-2</v>
      </c>
      <c r="M46" s="157">
        <f t="shared" si="44"/>
        <v>6.6051118984378307E-2</v>
      </c>
      <c r="N46" s="157">
        <f t="shared" si="44"/>
        <v>6.5268970000463042E-2</v>
      </c>
      <c r="O46" s="157">
        <f t="shared" si="44"/>
        <v>6.4486821016547777E-2</v>
      </c>
      <c r="P46" s="157">
        <f t="shared" si="44"/>
        <v>6.3704672032632512E-2</v>
      </c>
      <c r="Q46" s="157">
        <f t="shared" si="44"/>
        <v>6.2922523048717247E-2</v>
      </c>
      <c r="R46" s="157">
        <f t="shared" si="44"/>
        <v>6.2140374064801981E-2</v>
      </c>
      <c r="S46" s="157">
        <f t="shared" si="44"/>
        <v>6.1358225080886716E-2</v>
      </c>
      <c r="T46" s="157">
        <f t="shared" si="44"/>
        <v>6.0576076096971451E-2</v>
      </c>
      <c r="U46" s="157">
        <f t="shared" si="44"/>
        <v>5.9793927113056186E-2</v>
      </c>
      <c r="V46" s="157">
        <f t="shared" si="44"/>
        <v>5.9011778129140921E-2</v>
      </c>
      <c r="W46" s="157">
        <f t="shared" si="44"/>
        <v>5.8229629145225656E-2</v>
      </c>
      <c r="X46" s="157">
        <f t="shared" si="44"/>
        <v>5.7447480161310391E-2</v>
      </c>
      <c r="Y46" s="157">
        <f t="shared" si="44"/>
        <v>5.6665331177395126E-2</v>
      </c>
      <c r="Z46" s="157">
        <f t="shared" si="44"/>
        <v>5.5883182193479861E-2</v>
      </c>
      <c r="AA46" s="157">
        <f t="shared" si="44"/>
        <v>5.5101033209564595E-2</v>
      </c>
      <c r="AB46" s="157">
        <f t="shared" si="44"/>
        <v>5.431888422564933E-2</v>
      </c>
      <c r="AC46" s="157">
        <f t="shared" si="44"/>
        <v>5.3536735241734065E-2</v>
      </c>
      <c r="AD46" s="157">
        <f t="shared" si="44"/>
        <v>5.27545862578188E-2</v>
      </c>
      <c r="AE46" s="157">
        <f t="shared" si="44"/>
        <v>5.1972437273903535E-2</v>
      </c>
      <c r="AF46" s="157">
        <f t="shared" si="44"/>
        <v>5.119028828998827E-2</v>
      </c>
      <c r="AG46" s="157">
        <f t="shared" si="44"/>
        <v>5.0408139306073005E-2</v>
      </c>
      <c r="AH46" s="157">
        <f t="shared" si="44"/>
        <v>4.962599032215774E-2</v>
      </c>
      <c r="AI46" s="157">
        <f t="shared" si="42"/>
        <v>4.8843841338242371E-2</v>
      </c>
    </row>
    <row r="47" spans="1:35" s="63" customFormat="1">
      <c r="A47" s="290"/>
      <c r="B47" s="63" t="s">
        <v>17</v>
      </c>
      <c r="C47" s="63" t="s">
        <v>815</v>
      </c>
      <c r="D47" s="63" t="s">
        <v>27</v>
      </c>
      <c r="E47" s="396">
        <f t="shared" si="40"/>
        <v>0</v>
      </c>
      <c r="F47" s="396">
        <f t="shared" ref="F47:AH47" si="45">-($E47-$AI47)/30+E47</f>
        <v>3.3195849735538135E-5</v>
      </c>
      <c r="G47" s="396">
        <f t="shared" si="45"/>
        <v>6.639169947107627E-5</v>
      </c>
      <c r="H47" s="396">
        <f t="shared" si="45"/>
        <v>9.9587549206614398E-5</v>
      </c>
      <c r="I47" s="396">
        <f t="shared" si="45"/>
        <v>1.3278339894215254E-4</v>
      </c>
      <c r="J47" s="396">
        <f t="shared" si="45"/>
        <v>1.6597924867769068E-4</v>
      </c>
      <c r="K47" s="396">
        <f t="shared" si="45"/>
        <v>1.9917509841322882E-4</v>
      </c>
      <c r="L47" s="396">
        <f t="shared" si="45"/>
        <v>2.3237094814876696E-4</v>
      </c>
      <c r="M47" s="396">
        <f t="shared" si="45"/>
        <v>2.6556679788430508E-4</v>
      </c>
      <c r="N47" s="396">
        <f t="shared" si="45"/>
        <v>2.9876264761984322E-4</v>
      </c>
      <c r="O47" s="396">
        <f t="shared" si="45"/>
        <v>3.3195849735538136E-4</v>
      </c>
      <c r="P47" s="396">
        <f t="shared" si="45"/>
        <v>3.651543470909195E-4</v>
      </c>
      <c r="Q47" s="396">
        <f t="shared" si="45"/>
        <v>3.9835019682645765E-4</v>
      </c>
      <c r="R47" s="396">
        <f t="shared" si="45"/>
        <v>4.3154604656199579E-4</v>
      </c>
      <c r="S47" s="396">
        <f t="shared" si="45"/>
        <v>4.6474189629753393E-4</v>
      </c>
      <c r="T47" s="396">
        <f t="shared" si="45"/>
        <v>4.9793774603307207E-4</v>
      </c>
      <c r="U47" s="396">
        <f t="shared" si="45"/>
        <v>5.3113359576861016E-4</v>
      </c>
      <c r="V47" s="396">
        <f t="shared" si="45"/>
        <v>5.6432944550414824E-4</v>
      </c>
      <c r="W47" s="396">
        <f t="shared" si="45"/>
        <v>5.9752529523968633E-4</v>
      </c>
      <c r="X47" s="396">
        <f t="shared" si="45"/>
        <v>6.3072114497522442E-4</v>
      </c>
      <c r="Y47" s="396">
        <f t="shared" si="45"/>
        <v>6.6391699471076251E-4</v>
      </c>
      <c r="Z47" s="396">
        <f t="shared" si="45"/>
        <v>6.9711284444630059E-4</v>
      </c>
      <c r="AA47" s="396">
        <f t="shared" si="45"/>
        <v>7.3030869418183868E-4</v>
      </c>
      <c r="AB47" s="396">
        <f t="shared" si="45"/>
        <v>7.6350454391737677E-4</v>
      </c>
      <c r="AC47" s="396">
        <f t="shared" si="45"/>
        <v>7.9670039365291486E-4</v>
      </c>
      <c r="AD47" s="396">
        <f t="shared" si="45"/>
        <v>8.2989624338845294E-4</v>
      </c>
      <c r="AE47" s="396">
        <f t="shared" si="45"/>
        <v>8.6309209312399103E-4</v>
      </c>
      <c r="AF47" s="396">
        <f t="shared" si="45"/>
        <v>8.9628794285952912E-4</v>
      </c>
      <c r="AG47" s="396">
        <f t="shared" si="45"/>
        <v>9.2948379259506721E-4</v>
      </c>
      <c r="AH47" s="396">
        <f t="shared" si="45"/>
        <v>9.6267964233060529E-4</v>
      </c>
      <c r="AI47" s="396">
        <f t="shared" si="42"/>
        <v>9.9587549206614414E-4</v>
      </c>
    </row>
    <row r="48" spans="1:35" s="62" customFormat="1">
      <c r="A48" s="286"/>
      <c r="B48" s="62" t="s">
        <v>17</v>
      </c>
      <c r="C48" s="62" t="s">
        <v>816</v>
      </c>
      <c r="D48" s="62" t="s">
        <v>141</v>
      </c>
      <c r="E48" s="188">
        <f>D3</f>
        <v>0</v>
      </c>
      <c r="F48" s="188">
        <f t="shared" ref="F48:AH48" si="46">-($E48-$AI48)/30+E48</f>
        <v>0</v>
      </c>
      <c r="G48" s="188">
        <f t="shared" si="46"/>
        <v>0</v>
      </c>
      <c r="H48" s="188">
        <f t="shared" si="46"/>
        <v>0</v>
      </c>
      <c r="I48" s="188">
        <f t="shared" si="46"/>
        <v>0</v>
      </c>
      <c r="J48" s="188">
        <f t="shared" si="46"/>
        <v>0</v>
      </c>
      <c r="K48" s="188">
        <f t="shared" si="46"/>
        <v>0</v>
      </c>
      <c r="L48" s="188">
        <f t="shared" si="46"/>
        <v>0</v>
      </c>
      <c r="M48" s="188">
        <f t="shared" si="46"/>
        <v>0</v>
      </c>
      <c r="N48" s="188">
        <f t="shared" si="46"/>
        <v>0</v>
      </c>
      <c r="O48" s="188">
        <f t="shared" si="46"/>
        <v>0</v>
      </c>
      <c r="P48" s="188">
        <f t="shared" si="46"/>
        <v>0</v>
      </c>
      <c r="Q48" s="188">
        <f t="shared" si="46"/>
        <v>0</v>
      </c>
      <c r="R48" s="188">
        <f t="shared" si="46"/>
        <v>0</v>
      </c>
      <c r="S48" s="188">
        <f t="shared" si="46"/>
        <v>0</v>
      </c>
      <c r="T48" s="188">
        <f t="shared" si="46"/>
        <v>0</v>
      </c>
      <c r="U48" s="188">
        <f t="shared" si="46"/>
        <v>0</v>
      </c>
      <c r="V48" s="188">
        <f t="shared" si="46"/>
        <v>0</v>
      </c>
      <c r="W48" s="188">
        <f t="shared" si="46"/>
        <v>0</v>
      </c>
      <c r="X48" s="188">
        <f t="shared" si="46"/>
        <v>0</v>
      </c>
      <c r="Y48" s="188">
        <f t="shared" si="46"/>
        <v>0</v>
      </c>
      <c r="Z48" s="188">
        <f t="shared" si="46"/>
        <v>0</v>
      </c>
      <c r="AA48" s="188">
        <f t="shared" si="46"/>
        <v>0</v>
      </c>
      <c r="AB48" s="188">
        <f t="shared" si="46"/>
        <v>0</v>
      </c>
      <c r="AC48" s="188">
        <f t="shared" si="46"/>
        <v>0</v>
      </c>
      <c r="AD48" s="188">
        <f t="shared" si="46"/>
        <v>0</v>
      </c>
      <c r="AE48" s="188">
        <f t="shared" si="46"/>
        <v>0</v>
      </c>
      <c r="AF48" s="188">
        <f t="shared" si="46"/>
        <v>0</v>
      </c>
      <c r="AG48" s="188">
        <f t="shared" si="46"/>
        <v>0</v>
      </c>
      <c r="AH48" s="188">
        <f t="shared" si="46"/>
        <v>0</v>
      </c>
      <c r="AI48" s="188">
        <f>N3</f>
        <v>0</v>
      </c>
    </row>
    <row r="49" spans="1:35">
      <c r="A49" s="289"/>
      <c r="B49" t="s">
        <v>17</v>
      </c>
      <c r="C49" t="s">
        <v>816</v>
      </c>
      <c r="D49" t="s">
        <v>74</v>
      </c>
      <c r="E49" s="157">
        <f t="shared" ref="E49:E52" si="47">D4</f>
        <v>0</v>
      </c>
      <c r="F49" s="157">
        <f t="shared" ref="F49:AH49" si="48">-($E49-$AI49)/30+E49</f>
        <v>0</v>
      </c>
      <c r="G49" s="157">
        <f t="shared" si="48"/>
        <v>0</v>
      </c>
      <c r="H49" s="157">
        <f t="shared" si="48"/>
        <v>0</v>
      </c>
      <c r="I49" s="157">
        <f t="shared" si="48"/>
        <v>0</v>
      </c>
      <c r="J49" s="157">
        <f t="shared" si="48"/>
        <v>0</v>
      </c>
      <c r="K49" s="157">
        <f t="shared" si="48"/>
        <v>0</v>
      </c>
      <c r="L49" s="157">
        <f t="shared" si="48"/>
        <v>0</v>
      </c>
      <c r="M49" s="157">
        <f t="shared" si="48"/>
        <v>0</v>
      </c>
      <c r="N49" s="157">
        <f t="shared" si="48"/>
        <v>0</v>
      </c>
      <c r="O49" s="157">
        <f t="shared" si="48"/>
        <v>0</v>
      </c>
      <c r="P49" s="157">
        <f t="shared" si="48"/>
        <v>0</v>
      </c>
      <c r="Q49" s="157">
        <f t="shared" si="48"/>
        <v>0</v>
      </c>
      <c r="R49" s="157">
        <f t="shared" si="48"/>
        <v>0</v>
      </c>
      <c r="S49" s="157">
        <f t="shared" si="48"/>
        <v>0</v>
      </c>
      <c r="T49" s="157">
        <f t="shared" si="48"/>
        <v>0</v>
      </c>
      <c r="U49" s="157">
        <f t="shared" si="48"/>
        <v>0</v>
      </c>
      <c r="V49" s="157">
        <f t="shared" si="48"/>
        <v>0</v>
      </c>
      <c r="W49" s="157">
        <f t="shared" si="48"/>
        <v>0</v>
      </c>
      <c r="X49" s="157">
        <f t="shared" si="48"/>
        <v>0</v>
      </c>
      <c r="Y49" s="157">
        <f t="shared" si="48"/>
        <v>0</v>
      </c>
      <c r="Z49" s="157">
        <f t="shared" si="48"/>
        <v>0</v>
      </c>
      <c r="AA49" s="157">
        <f t="shared" si="48"/>
        <v>0</v>
      </c>
      <c r="AB49" s="157">
        <f t="shared" si="48"/>
        <v>0</v>
      </c>
      <c r="AC49" s="157">
        <f t="shared" si="48"/>
        <v>0</v>
      </c>
      <c r="AD49" s="157">
        <f t="shared" si="48"/>
        <v>0</v>
      </c>
      <c r="AE49" s="157">
        <f t="shared" si="48"/>
        <v>0</v>
      </c>
      <c r="AF49" s="157">
        <f t="shared" si="48"/>
        <v>0</v>
      </c>
      <c r="AG49" s="157">
        <f t="shared" si="48"/>
        <v>0</v>
      </c>
      <c r="AH49" s="157">
        <f t="shared" si="48"/>
        <v>0</v>
      </c>
      <c r="AI49" s="157">
        <f t="shared" ref="AI49:AI52" si="49">N4</f>
        <v>0</v>
      </c>
    </row>
    <row r="50" spans="1:35">
      <c r="A50" s="289"/>
      <c r="B50" t="s">
        <v>17</v>
      </c>
      <c r="C50" t="s">
        <v>816</v>
      </c>
      <c r="D50" t="s">
        <v>34</v>
      </c>
      <c r="E50" s="157">
        <f t="shared" si="47"/>
        <v>0</v>
      </c>
      <c r="F50" s="157">
        <f t="shared" ref="F50:AH50" si="50">-($E50-$AI50)/30+E50</f>
        <v>0</v>
      </c>
      <c r="G50" s="157">
        <f t="shared" si="50"/>
        <v>0</v>
      </c>
      <c r="H50" s="157">
        <f t="shared" si="50"/>
        <v>0</v>
      </c>
      <c r="I50" s="157">
        <f t="shared" si="50"/>
        <v>0</v>
      </c>
      <c r="J50" s="157">
        <f t="shared" si="50"/>
        <v>0</v>
      </c>
      <c r="K50" s="157">
        <f t="shared" si="50"/>
        <v>0</v>
      </c>
      <c r="L50" s="157">
        <f t="shared" si="50"/>
        <v>0</v>
      </c>
      <c r="M50" s="157">
        <f t="shared" si="50"/>
        <v>0</v>
      </c>
      <c r="N50" s="157">
        <f t="shared" si="50"/>
        <v>0</v>
      </c>
      <c r="O50" s="157">
        <f t="shared" si="50"/>
        <v>0</v>
      </c>
      <c r="P50" s="157">
        <f t="shared" si="50"/>
        <v>0</v>
      </c>
      <c r="Q50" s="157">
        <f t="shared" si="50"/>
        <v>0</v>
      </c>
      <c r="R50" s="157">
        <f t="shared" si="50"/>
        <v>0</v>
      </c>
      <c r="S50" s="157">
        <f t="shared" si="50"/>
        <v>0</v>
      </c>
      <c r="T50" s="157">
        <f t="shared" si="50"/>
        <v>0</v>
      </c>
      <c r="U50" s="157">
        <f t="shared" si="50"/>
        <v>0</v>
      </c>
      <c r="V50" s="157">
        <f t="shared" si="50"/>
        <v>0</v>
      </c>
      <c r="W50" s="157">
        <f t="shared" si="50"/>
        <v>0</v>
      </c>
      <c r="X50" s="157">
        <f t="shared" si="50"/>
        <v>0</v>
      </c>
      <c r="Y50" s="157">
        <f t="shared" si="50"/>
        <v>0</v>
      </c>
      <c r="Z50" s="157">
        <f t="shared" si="50"/>
        <v>0</v>
      </c>
      <c r="AA50" s="157">
        <f t="shared" si="50"/>
        <v>0</v>
      </c>
      <c r="AB50" s="157">
        <f t="shared" si="50"/>
        <v>0</v>
      </c>
      <c r="AC50" s="157">
        <f t="shared" si="50"/>
        <v>0</v>
      </c>
      <c r="AD50" s="157">
        <f t="shared" si="50"/>
        <v>0</v>
      </c>
      <c r="AE50" s="157">
        <f t="shared" si="50"/>
        <v>0</v>
      </c>
      <c r="AF50" s="157">
        <f t="shared" si="50"/>
        <v>0</v>
      </c>
      <c r="AG50" s="157">
        <f t="shared" si="50"/>
        <v>0</v>
      </c>
      <c r="AH50" s="157">
        <f t="shared" si="50"/>
        <v>0</v>
      </c>
      <c r="AI50" s="157">
        <f t="shared" si="49"/>
        <v>0</v>
      </c>
    </row>
    <row r="51" spans="1:35">
      <c r="A51" s="289"/>
      <c r="B51" t="s">
        <v>17</v>
      </c>
      <c r="C51" t="s">
        <v>816</v>
      </c>
      <c r="D51" t="s">
        <v>35</v>
      </c>
      <c r="E51" s="157">
        <f t="shared" si="47"/>
        <v>1</v>
      </c>
      <c r="F51" s="157">
        <f t="shared" ref="F51:AH51" si="51">-($E51-$AI51)/30+E51</f>
        <v>1</v>
      </c>
      <c r="G51" s="157">
        <f t="shared" si="51"/>
        <v>1</v>
      </c>
      <c r="H51" s="157">
        <f t="shared" si="51"/>
        <v>1</v>
      </c>
      <c r="I51" s="157">
        <f t="shared" si="51"/>
        <v>1</v>
      </c>
      <c r="J51" s="157">
        <f t="shared" si="51"/>
        <v>1</v>
      </c>
      <c r="K51" s="157">
        <f t="shared" si="51"/>
        <v>1</v>
      </c>
      <c r="L51" s="157">
        <f t="shared" si="51"/>
        <v>1</v>
      </c>
      <c r="M51" s="157">
        <f t="shared" si="51"/>
        <v>1</v>
      </c>
      <c r="N51" s="157">
        <f t="shared" si="51"/>
        <v>1</v>
      </c>
      <c r="O51" s="157">
        <f t="shared" si="51"/>
        <v>1</v>
      </c>
      <c r="P51" s="157">
        <f t="shared" si="51"/>
        <v>1</v>
      </c>
      <c r="Q51" s="157">
        <f t="shared" si="51"/>
        <v>1</v>
      </c>
      <c r="R51" s="157">
        <f t="shared" si="51"/>
        <v>1</v>
      </c>
      <c r="S51" s="157">
        <f t="shared" si="51"/>
        <v>1</v>
      </c>
      <c r="T51" s="157">
        <f t="shared" si="51"/>
        <v>1</v>
      </c>
      <c r="U51" s="157">
        <f t="shared" si="51"/>
        <v>1</v>
      </c>
      <c r="V51" s="157">
        <f t="shared" si="51"/>
        <v>1</v>
      </c>
      <c r="W51" s="157">
        <f t="shared" si="51"/>
        <v>1</v>
      </c>
      <c r="X51" s="157">
        <f t="shared" si="51"/>
        <v>1</v>
      </c>
      <c r="Y51" s="157">
        <f t="shared" si="51"/>
        <v>1</v>
      </c>
      <c r="Z51" s="157">
        <f t="shared" si="51"/>
        <v>1</v>
      </c>
      <c r="AA51" s="157">
        <f t="shared" si="51"/>
        <v>1</v>
      </c>
      <c r="AB51" s="157">
        <f t="shared" si="51"/>
        <v>1</v>
      </c>
      <c r="AC51" s="157">
        <f t="shared" si="51"/>
        <v>1</v>
      </c>
      <c r="AD51" s="157">
        <f t="shared" si="51"/>
        <v>1</v>
      </c>
      <c r="AE51" s="157">
        <f t="shared" si="51"/>
        <v>1</v>
      </c>
      <c r="AF51" s="157">
        <f t="shared" si="51"/>
        <v>1</v>
      </c>
      <c r="AG51" s="157">
        <f t="shared" si="51"/>
        <v>1</v>
      </c>
      <c r="AH51" s="157">
        <f t="shared" si="51"/>
        <v>1</v>
      </c>
      <c r="AI51" s="157">
        <f t="shared" si="49"/>
        <v>1</v>
      </c>
    </row>
    <row r="52" spans="1:35" s="63" customFormat="1">
      <c r="A52" s="290"/>
      <c r="B52" s="63" t="s">
        <v>17</v>
      </c>
      <c r="C52" s="63" t="s">
        <v>816</v>
      </c>
      <c r="D52" s="63" t="s">
        <v>27</v>
      </c>
      <c r="E52" s="396">
        <f t="shared" si="47"/>
        <v>0</v>
      </c>
      <c r="F52" s="396">
        <f t="shared" ref="F52:AH52" si="52">-($E52-$AI52)/30+E52</f>
        <v>3.3195849735538135E-5</v>
      </c>
      <c r="G52" s="396">
        <f t="shared" si="52"/>
        <v>6.639169947107627E-5</v>
      </c>
      <c r="H52" s="396">
        <f t="shared" si="52"/>
        <v>9.9587549206614398E-5</v>
      </c>
      <c r="I52" s="396">
        <f t="shared" si="52"/>
        <v>1.3278339894215254E-4</v>
      </c>
      <c r="J52" s="396">
        <f t="shared" si="52"/>
        <v>1.6597924867769068E-4</v>
      </c>
      <c r="K52" s="396">
        <f t="shared" si="52"/>
        <v>1.9917509841322882E-4</v>
      </c>
      <c r="L52" s="396">
        <f t="shared" si="52"/>
        <v>2.3237094814876696E-4</v>
      </c>
      <c r="M52" s="396">
        <f t="shared" si="52"/>
        <v>2.6556679788430508E-4</v>
      </c>
      <c r="N52" s="396">
        <f t="shared" si="52"/>
        <v>2.9876264761984322E-4</v>
      </c>
      <c r="O52" s="396">
        <f t="shared" si="52"/>
        <v>3.3195849735538136E-4</v>
      </c>
      <c r="P52" s="396">
        <f t="shared" si="52"/>
        <v>3.651543470909195E-4</v>
      </c>
      <c r="Q52" s="396">
        <f t="shared" si="52"/>
        <v>3.9835019682645765E-4</v>
      </c>
      <c r="R52" s="396">
        <f t="shared" si="52"/>
        <v>4.3154604656199579E-4</v>
      </c>
      <c r="S52" s="396">
        <f t="shared" si="52"/>
        <v>4.6474189629753393E-4</v>
      </c>
      <c r="T52" s="396">
        <f t="shared" si="52"/>
        <v>4.9793774603307207E-4</v>
      </c>
      <c r="U52" s="396">
        <f t="shared" si="52"/>
        <v>5.3113359576861016E-4</v>
      </c>
      <c r="V52" s="396">
        <f t="shared" si="52"/>
        <v>5.6432944550414824E-4</v>
      </c>
      <c r="W52" s="396">
        <f t="shared" si="52"/>
        <v>5.9752529523968633E-4</v>
      </c>
      <c r="X52" s="396">
        <f t="shared" si="52"/>
        <v>6.3072114497522442E-4</v>
      </c>
      <c r="Y52" s="396">
        <f t="shared" si="52"/>
        <v>6.6391699471076251E-4</v>
      </c>
      <c r="Z52" s="396">
        <f t="shared" si="52"/>
        <v>6.9711284444630059E-4</v>
      </c>
      <c r="AA52" s="396">
        <f t="shared" si="52"/>
        <v>7.3030869418183868E-4</v>
      </c>
      <c r="AB52" s="396">
        <f t="shared" si="52"/>
        <v>7.6350454391737677E-4</v>
      </c>
      <c r="AC52" s="396">
        <f t="shared" si="52"/>
        <v>7.9670039365291486E-4</v>
      </c>
      <c r="AD52" s="396">
        <f t="shared" si="52"/>
        <v>8.2989624338845294E-4</v>
      </c>
      <c r="AE52" s="396">
        <f t="shared" si="52"/>
        <v>8.6309209312399103E-4</v>
      </c>
      <c r="AF52" s="396">
        <f t="shared" si="52"/>
        <v>8.9628794285952912E-4</v>
      </c>
      <c r="AG52" s="396">
        <f t="shared" si="52"/>
        <v>9.2948379259506721E-4</v>
      </c>
      <c r="AH52" s="396">
        <f t="shared" si="52"/>
        <v>9.6267964233060529E-4</v>
      </c>
      <c r="AI52" s="396">
        <f t="shared" si="49"/>
        <v>9.9587549206614414E-4</v>
      </c>
    </row>
    <row r="53" spans="1:35" s="62" customFormat="1">
      <c r="A53" s="286"/>
      <c r="B53" s="62" t="s">
        <v>17</v>
      </c>
      <c r="C53" s="62" t="s">
        <v>821</v>
      </c>
      <c r="D53" s="62" t="s">
        <v>141</v>
      </c>
      <c r="E53" s="188">
        <f>E3</f>
        <v>1</v>
      </c>
      <c r="F53" s="188">
        <f t="shared" ref="F53:AH53" si="53">-($E53-$AI53)/30+E53</f>
        <v>1</v>
      </c>
      <c r="G53" s="188">
        <f t="shared" si="53"/>
        <v>1</v>
      </c>
      <c r="H53" s="188">
        <f t="shared" si="53"/>
        <v>1</v>
      </c>
      <c r="I53" s="188">
        <f t="shared" si="53"/>
        <v>1</v>
      </c>
      <c r="J53" s="188">
        <f t="shared" si="53"/>
        <v>1</v>
      </c>
      <c r="K53" s="188">
        <f t="shared" si="53"/>
        <v>1</v>
      </c>
      <c r="L53" s="188">
        <f t="shared" si="53"/>
        <v>1</v>
      </c>
      <c r="M53" s="188">
        <f t="shared" si="53"/>
        <v>1</v>
      </c>
      <c r="N53" s="188">
        <f t="shared" si="53"/>
        <v>1</v>
      </c>
      <c r="O53" s="188">
        <f t="shared" si="53"/>
        <v>1</v>
      </c>
      <c r="P53" s="188">
        <f t="shared" si="53"/>
        <v>1</v>
      </c>
      <c r="Q53" s="188">
        <f t="shared" si="53"/>
        <v>1</v>
      </c>
      <c r="R53" s="188">
        <f t="shared" si="53"/>
        <v>1</v>
      </c>
      <c r="S53" s="188">
        <f t="shared" si="53"/>
        <v>1</v>
      </c>
      <c r="T53" s="188">
        <f t="shared" si="53"/>
        <v>1</v>
      </c>
      <c r="U53" s="188">
        <f t="shared" si="53"/>
        <v>1</v>
      </c>
      <c r="V53" s="188">
        <f t="shared" si="53"/>
        <v>1</v>
      </c>
      <c r="W53" s="188">
        <f t="shared" si="53"/>
        <v>1</v>
      </c>
      <c r="X53" s="188">
        <f t="shared" si="53"/>
        <v>1</v>
      </c>
      <c r="Y53" s="188">
        <f t="shared" si="53"/>
        <v>1</v>
      </c>
      <c r="Z53" s="188">
        <f t="shared" si="53"/>
        <v>1</v>
      </c>
      <c r="AA53" s="188">
        <f t="shared" si="53"/>
        <v>1</v>
      </c>
      <c r="AB53" s="188">
        <f t="shared" si="53"/>
        <v>1</v>
      </c>
      <c r="AC53" s="188">
        <f t="shared" si="53"/>
        <v>1</v>
      </c>
      <c r="AD53" s="188">
        <f t="shared" si="53"/>
        <v>1</v>
      </c>
      <c r="AE53" s="188">
        <f t="shared" si="53"/>
        <v>1</v>
      </c>
      <c r="AF53" s="188">
        <f t="shared" si="53"/>
        <v>1</v>
      </c>
      <c r="AG53" s="188">
        <f t="shared" si="53"/>
        <v>1</v>
      </c>
      <c r="AH53" s="188">
        <f t="shared" si="53"/>
        <v>1</v>
      </c>
      <c r="AI53" s="188">
        <f>O3</f>
        <v>1</v>
      </c>
    </row>
    <row r="54" spans="1:35">
      <c r="A54" s="289"/>
      <c r="B54" t="s">
        <v>17</v>
      </c>
      <c r="C54" t="s">
        <v>821</v>
      </c>
      <c r="D54" t="s">
        <v>74</v>
      </c>
      <c r="E54" s="157">
        <f t="shared" ref="E54:E57" si="54">E4</f>
        <v>0</v>
      </c>
      <c r="F54" s="157">
        <f t="shared" ref="F54:AH54" si="55">-($E54-$AI54)/30+E54</f>
        <v>0</v>
      </c>
      <c r="G54" s="157">
        <f t="shared" si="55"/>
        <v>0</v>
      </c>
      <c r="H54" s="157">
        <f t="shared" si="55"/>
        <v>0</v>
      </c>
      <c r="I54" s="157">
        <f t="shared" si="55"/>
        <v>0</v>
      </c>
      <c r="J54" s="157">
        <f t="shared" si="55"/>
        <v>0</v>
      </c>
      <c r="K54" s="157">
        <f t="shared" si="55"/>
        <v>0</v>
      </c>
      <c r="L54" s="157">
        <f t="shared" si="55"/>
        <v>0</v>
      </c>
      <c r="M54" s="157">
        <f t="shared" si="55"/>
        <v>0</v>
      </c>
      <c r="N54" s="157">
        <f t="shared" si="55"/>
        <v>0</v>
      </c>
      <c r="O54" s="157">
        <f t="shared" si="55"/>
        <v>0</v>
      </c>
      <c r="P54" s="157">
        <f t="shared" si="55"/>
        <v>0</v>
      </c>
      <c r="Q54" s="157">
        <f t="shared" si="55"/>
        <v>0</v>
      </c>
      <c r="R54" s="157">
        <f t="shared" si="55"/>
        <v>0</v>
      </c>
      <c r="S54" s="157">
        <f t="shared" si="55"/>
        <v>0</v>
      </c>
      <c r="T54" s="157">
        <f t="shared" si="55"/>
        <v>0</v>
      </c>
      <c r="U54" s="157">
        <f t="shared" si="55"/>
        <v>0</v>
      </c>
      <c r="V54" s="157">
        <f t="shared" si="55"/>
        <v>0</v>
      </c>
      <c r="W54" s="157">
        <f t="shared" si="55"/>
        <v>0</v>
      </c>
      <c r="X54" s="157">
        <f t="shared" si="55"/>
        <v>0</v>
      </c>
      <c r="Y54" s="157">
        <f t="shared" si="55"/>
        <v>0</v>
      </c>
      <c r="Z54" s="157">
        <f t="shared" si="55"/>
        <v>0</v>
      </c>
      <c r="AA54" s="157">
        <f t="shared" si="55"/>
        <v>0</v>
      </c>
      <c r="AB54" s="157">
        <f t="shared" si="55"/>
        <v>0</v>
      </c>
      <c r="AC54" s="157">
        <f t="shared" si="55"/>
        <v>0</v>
      </c>
      <c r="AD54" s="157">
        <f t="shared" si="55"/>
        <v>0</v>
      </c>
      <c r="AE54" s="157">
        <f t="shared" si="55"/>
        <v>0</v>
      </c>
      <c r="AF54" s="157">
        <f t="shared" si="55"/>
        <v>0</v>
      </c>
      <c r="AG54" s="157">
        <f t="shared" si="55"/>
        <v>0</v>
      </c>
      <c r="AH54" s="157">
        <f t="shared" si="55"/>
        <v>0</v>
      </c>
      <c r="AI54" s="157">
        <f t="shared" ref="AI54:AI57" si="56">O4</f>
        <v>0</v>
      </c>
    </row>
    <row r="55" spans="1:35">
      <c r="A55" s="289"/>
      <c r="B55" t="s">
        <v>17</v>
      </c>
      <c r="C55" t="s">
        <v>821</v>
      </c>
      <c r="D55" t="s">
        <v>34</v>
      </c>
      <c r="E55" s="157">
        <f t="shared" si="54"/>
        <v>0</v>
      </c>
      <c r="F55" s="157">
        <f t="shared" ref="F55:AH55" si="57">-($E55-$AI55)/30+E55</f>
        <v>0</v>
      </c>
      <c r="G55" s="157">
        <f t="shared" si="57"/>
        <v>0</v>
      </c>
      <c r="H55" s="157">
        <f t="shared" si="57"/>
        <v>0</v>
      </c>
      <c r="I55" s="157">
        <f t="shared" si="57"/>
        <v>0</v>
      </c>
      <c r="J55" s="157">
        <f t="shared" si="57"/>
        <v>0</v>
      </c>
      <c r="K55" s="157">
        <f t="shared" si="57"/>
        <v>0</v>
      </c>
      <c r="L55" s="157">
        <f t="shared" si="57"/>
        <v>0</v>
      </c>
      <c r="M55" s="157">
        <f t="shared" si="57"/>
        <v>0</v>
      </c>
      <c r="N55" s="157">
        <f t="shared" si="57"/>
        <v>0</v>
      </c>
      <c r="O55" s="157">
        <f t="shared" si="57"/>
        <v>0</v>
      </c>
      <c r="P55" s="157">
        <f t="shared" si="57"/>
        <v>0</v>
      </c>
      <c r="Q55" s="157">
        <f t="shared" si="57"/>
        <v>0</v>
      </c>
      <c r="R55" s="157">
        <f t="shared" si="57"/>
        <v>0</v>
      </c>
      <c r="S55" s="157">
        <f t="shared" si="57"/>
        <v>0</v>
      </c>
      <c r="T55" s="157">
        <f t="shared" si="57"/>
        <v>0</v>
      </c>
      <c r="U55" s="157">
        <f t="shared" si="57"/>
        <v>0</v>
      </c>
      <c r="V55" s="157">
        <f t="shared" si="57"/>
        <v>0</v>
      </c>
      <c r="W55" s="157">
        <f t="shared" si="57"/>
        <v>0</v>
      </c>
      <c r="X55" s="157">
        <f t="shared" si="57"/>
        <v>0</v>
      </c>
      <c r="Y55" s="157">
        <f t="shared" si="57"/>
        <v>0</v>
      </c>
      <c r="Z55" s="157">
        <f t="shared" si="57"/>
        <v>0</v>
      </c>
      <c r="AA55" s="157">
        <f t="shared" si="57"/>
        <v>0</v>
      </c>
      <c r="AB55" s="157">
        <f t="shared" si="57"/>
        <v>0</v>
      </c>
      <c r="AC55" s="157">
        <f t="shared" si="57"/>
        <v>0</v>
      </c>
      <c r="AD55" s="157">
        <f t="shared" si="57"/>
        <v>0</v>
      </c>
      <c r="AE55" s="157">
        <f t="shared" si="57"/>
        <v>0</v>
      </c>
      <c r="AF55" s="157">
        <f t="shared" si="57"/>
        <v>0</v>
      </c>
      <c r="AG55" s="157">
        <f t="shared" si="57"/>
        <v>0</v>
      </c>
      <c r="AH55" s="157">
        <f t="shared" si="57"/>
        <v>0</v>
      </c>
      <c r="AI55" s="157">
        <f t="shared" si="56"/>
        <v>0</v>
      </c>
    </row>
    <row r="56" spans="1:35">
      <c r="A56" s="289"/>
      <c r="B56" t="s">
        <v>17</v>
      </c>
      <c r="C56" t="s">
        <v>821</v>
      </c>
      <c r="D56" t="s">
        <v>35</v>
      </c>
      <c r="E56" s="157">
        <f t="shared" si="54"/>
        <v>0</v>
      </c>
      <c r="F56" s="157">
        <f t="shared" ref="F56:AH56" si="58">-($E56-$AI56)/30+E56</f>
        <v>0</v>
      </c>
      <c r="G56" s="157">
        <f t="shared" si="58"/>
        <v>0</v>
      </c>
      <c r="H56" s="157">
        <f t="shared" si="58"/>
        <v>0</v>
      </c>
      <c r="I56" s="157">
        <f t="shared" si="58"/>
        <v>0</v>
      </c>
      <c r="J56" s="157">
        <f t="shared" si="58"/>
        <v>0</v>
      </c>
      <c r="K56" s="157">
        <f t="shared" si="58"/>
        <v>0</v>
      </c>
      <c r="L56" s="157">
        <f t="shared" si="58"/>
        <v>0</v>
      </c>
      <c r="M56" s="157">
        <f t="shared" si="58"/>
        <v>0</v>
      </c>
      <c r="N56" s="157">
        <f t="shared" si="58"/>
        <v>0</v>
      </c>
      <c r="O56" s="157">
        <f t="shared" si="58"/>
        <v>0</v>
      </c>
      <c r="P56" s="157">
        <f t="shared" si="58"/>
        <v>0</v>
      </c>
      <c r="Q56" s="157">
        <f t="shared" si="58"/>
        <v>0</v>
      </c>
      <c r="R56" s="157">
        <f t="shared" si="58"/>
        <v>0</v>
      </c>
      <c r="S56" s="157">
        <f t="shared" si="58"/>
        <v>0</v>
      </c>
      <c r="T56" s="157">
        <f t="shared" si="58"/>
        <v>0</v>
      </c>
      <c r="U56" s="157">
        <f t="shared" si="58"/>
        <v>0</v>
      </c>
      <c r="V56" s="157">
        <f t="shared" si="58"/>
        <v>0</v>
      </c>
      <c r="W56" s="157">
        <f t="shared" si="58"/>
        <v>0</v>
      </c>
      <c r="X56" s="157">
        <f t="shared" si="58"/>
        <v>0</v>
      </c>
      <c r="Y56" s="157">
        <f t="shared" si="58"/>
        <v>0</v>
      </c>
      <c r="Z56" s="157">
        <f t="shared" si="58"/>
        <v>0</v>
      </c>
      <c r="AA56" s="157">
        <f t="shared" si="58"/>
        <v>0</v>
      </c>
      <c r="AB56" s="157">
        <f t="shared" si="58"/>
        <v>0</v>
      </c>
      <c r="AC56" s="157">
        <f t="shared" si="58"/>
        <v>0</v>
      </c>
      <c r="AD56" s="157">
        <f t="shared" si="58"/>
        <v>0</v>
      </c>
      <c r="AE56" s="157">
        <f t="shared" si="58"/>
        <v>0</v>
      </c>
      <c r="AF56" s="157">
        <f t="shared" si="58"/>
        <v>0</v>
      </c>
      <c r="AG56" s="157">
        <f t="shared" si="58"/>
        <v>0</v>
      </c>
      <c r="AH56" s="157">
        <f t="shared" si="58"/>
        <v>0</v>
      </c>
      <c r="AI56" s="157">
        <f t="shared" si="56"/>
        <v>0</v>
      </c>
    </row>
    <row r="57" spans="1:35" s="63" customFormat="1">
      <c r="A57" s="290"/>
      <c r="B57" s="63" t="s">
        <v>17</v>
      </c>
      <c r="C57" s="63" t="s">
        <v>821</v>
      </c>
      <c r="D57" s="63" t="s">
        <v>27</v>
      </c>
      <c r="E57" s="396">
        <f t="shared" si="54"/>
        <v>0</v>
      </c>
      <c r="F57" s="396">
        <f t="shared" ref="F57:AH57" si="59">-($E57-$AI57)/30+E57</f>
        <v>0</v>
      </c>
      <c r="G57" s="396">
        <f t="shared" si="59"/>
        <v>0</v>
      </c>
      <c r="H57" s="396">
        <f t="shared" si="59"/>
        <v>0</v>
      </c>
      <c r="I57" s="396">
        <f t="shared" si="59"/>
        <v>0</v>
      </c>
      <c r="J57" s="396">
        <f t="shared" si="59"/>
        <v>0</v>
      </c>
      <c r="K57" s="396">
        <f t="shared" si="59"/>
        <v>0</v>
      </c>
      <c r="L57" s="396">
        <f t="shared" si="59"/>
        <v>0</v>
      </c>
      <c r="M57" s="396">
        <f t="shared" si="59"/>
        <v>0</v>
      </c>
      <c r="N57" s="396">
        <f t="shared" si="59"/>
        <v>0</v>
      </c>
      <c r="O57" s="396">
        <f t="shared" si="59"/>
        <v>0</v>
      </c>
      <c r="P57" s="396">
        <f t="shared" si="59"/>
        <v>0</v>
      </c>
      <c r="Q57" s="396">
        <f t="shared" si="59"/>
        <v>0</v>
      </c>
      <c r="R57" s="396">
        <f t="shared" si="59"/>
        <v>0</v>
      </c>
      <c r="S57" s="396">
        <f t="shared" si="59"/>
        <v>0</v>
      </c>
      <c r="T57" s="396">
        <f t="shared" si="59"/>
        <v>0</v>
      </c>
      <c r="U57" s="396">
        <f t="shared" si="59"/>
        <v>0</v>
      </c>
      <c r="V57" s="396">
        <f t="shared" si="59"/>
        <v>0</v>
      </c>
      <c r="W57" s="396">
        <f t="shared" si="59"/>
        <v>0</v>
      </c>
      <c r="X57" s="396">
        <f t="shared" si="59"/>
        <v>0</v>
      </c>
      <c r="Y57" s="396">
        <f t="shared" si="59"/>
        <v>0</v>
      </c>
      <c r="Z57" s="396">
        <f t="shared" si="59"/>
        <v>0</v>
      </c>
      <c r="AA57" s="396">
        <f t="shared" si="59"/>
        <v>0</v>
      </c>
      <c r="AB57" s="396">
        <f t="shared" si="59"/>
        <v>0</v>
      </c>
      <c r="AC57" s="396">
        <f t="shared" si="59"/>
        <v>0</v>
      </c>
      <c r="AD57" s="396">
        <f t="shared" si="59"/>
        <v>0</v>
      </c>
      <c r="AE57" s="396">
        <f t="shared" si="59"/>
        <v>0</v>
      </c>
      <c r="AF57" s="396">
        <f t="shared" si="59"/>
        <v>0</v>
      </c>
      <c r="AG57" s="396">
        <f t="shared" si="59"/>
        <v>0</v>
      </c>
      <c r="AH57" s="396">
        <f t="shared" si="59"/>
        <v>0</v>
      </c>
      <c r="AI57" s="396">
        <f t="shared" si="56"/>
        <v>0</v>
      </c>
    </row>
    <row r="58" spans="1:35" s="62" customFormat="1">
      <c r="A58" s="286"/>
      <c r="B58" s="62" t="s">
        <v>17</v>
      </c>
      <c r="C58" s="62" t="s">
        <v>817</v>
      </c>
      <c r="D58" s="62" t="s">
        <v>141</v>
      </c>
      <c r="E58" s="188">
        <f>F3</f>
        <v>1</v>
      </c>
      <c r="F58" s="188">
        <f t="shared" ref="F58:AH58" si="60">-($E58-$AI58)/30+E58</f>
        <v>0.98833333333333329</v>
      </c>
      <c r="G58" s="188">
        <f t="shared" si="60"/>
        <v>0.97666666666666657</v>
      </c>
      <c r="H58" s="188">
        <f t="shared" si="60"/>
        <v>0.96499999999999986</v>
      </c>
      <c r="I58" s="188">
        <f t="shared" si="60"/>
        <v>0.95333333333333314</v>
      </c>
      <c r="J58" s="188">
        <f t="shared" si="60"/>
        <v>0.94166666666666643</v>
      </c>
      <c r="K58" s="188">
        <f t="shared" si="60"/>
        <v>0.92999999999999972</v>
      </c>
      <c r="L58" s="188">
        <f t="shared" si="60"/>
        <v>0.918333333333333</v>
      </c>
      <c r="M58" s="188">
        <f t="shared" si="60"/>
        <v>0.90666666666666629</v>
      </c>
      <c r="N58" s="188">
        <f t="shared" si="60"/>
        <v>0.89499999999999957</v>
      </c>
      <c r="O58" s="188">
        <f t="shared" si="60"/>
        <v>0.88333333333333286</v>
      </c>
      <c r="P58" s="188">
        <f t="shared" si="60"/>
        <v>0.87166666666666615</v>
      </c>
      <c r="Q58" s="188">
        <f t="shared" si="60"/>
        <v>0.85999999999999943</v>
      </c>
      <c r="R58" s="188">
        <f t="shared" si="60"/>
        <v>0.84833333333333272</v>
      </c>
      <c r="S58" s="188">
        <f t="shared" si="60"/>
        <v>0.836666666666666</v>
      </c>
      <c r="T58" s="188">
        <f t="shared" si="60"/>
        <v>0.82499999999999929</v>
      </c>
      <c r="U58" s="188">
        <f t="shared" si="60"/>
        <v>0.81333333333333258</v>
      </c>
      <c r="V58" s="188">
        <f t="shared" si="60"/>
        <v>0.80166666666666586</v>
      </c>
      <c r="W58" s="188">
        <f t="shared" si="60"/>
        <v>0.78999999999999915</v>
      </c>
      <c r="X58" s="188">
        <f t="shared" si="60"/>
        <v>0.77833333333333243</v>
      </c>
      <c r="Y58" s="188">
        <f t="shared" si="60"/>
        <v>0.76666666666666572</v>
      </c>
      <c r="Z58" s="188">
        <f t="shared" si="60"/>
        <v>0.75499999999999901</v>
      </c>
      <c r="AA58" s="188">
        <f t="shared" si="60"/>
        <v>0.74333333333333229</v>
      </c>
      <c r="AB58" s="188">
        <f t="shared" si="60"/>
        <v>0.73166666666666558</v>
      </c>
      <c r="AC58" s="188">
        <f t="shared" si="60"/>
        <v>0.71999999999999886</v>
      </c>
      <c r="AD58" s="188">
        <f t="shared" si="60"/>
        <v>0.70833333333333215</v>
      </c>
      <c r="AE58" s="188">
        <f t="shared" si="60"/>
        <v>0.69666666666666544</v>
      </c>
      <c r="AF58" s="188">
        <f t="shared" si="60"/>
        <v>0.68499999999999872</v>
      </c>
      <c r="AG58" s="188">
        <f t="shared" si="60"/>
        <v>0.67333333333333201</v>
      </c>
      <c r="AH58" s="188">
        <f t="shared" si="60"/>
        <v>0.66166666666666529</v>
      </c>
      <c r="AI58" s="188">
        <f>P3</f>
        <v>0.65</v>
      </c>
    </row>
    <row r="59" spans="1:35">
      <c r="A59" s="289"/>
      <c r="B59" t="s">
        <v>17</v>
      </c>
      <c r="C59" t="s">
        <v>817</v>
      </c>
      <c r="D59" t="s">
        <v>74</v>
      </c>
      <c r="E59" s="157">
        <f t="shared" ref="E59:E62" si="61">F4</f>
        <v>0</v>
      </c>
      <c r="F59" s="157">
        <f t="shared" ref="F59:AH59" si="62">-($E59-$AI59)/30+E59</f>
        <v>3.3333333333333335E-3</v>
      </c>
      <c r="G59" s="157">
        <f t="shared" si="62"/>
        <v>6.6666666666666671E-3</v>
      </c>
      <c r="H59" s="157">
        <f t="shared" si="62"/>
        <v>0.01</v>
      </c>
      <c r="I59" s="157">
        <f t="shared" si="62"/>
        <v>1.3333333333333334E-2</v>
      </c>
      <c r="J59" s="157">
        <f t="shared" si="62"/>
        <v>1.6666666666666666E-2</v>
      </c>
      <c r="K59" s="157">
        <f t="shared" si="62"/>
        <v>0.02</v>
      </c>
      <c r="L59" s="157">
        <f t="shared" si="62"/>
        <v>2.3333333333333334E-2</v>
      </c>
      <c r="M59" s="157">
        <f t="shared" si="62"/>
        <v>2.6666666666666668E-2</v>
      </c>
      <c r="N59" s="157">
        <f t="shared" si="62"/>
        <v>3.0000000000000002E-2</v>
      </c>
      <c r="O59" s="157">
        <f t="shared" si="62"/>
        <v>3.3333333333333333E-2</v>
      </c>
      <c r="P59" s="157">
        <f t="shared" si="62"/>
        <v>3.6666666666666667E-2</v>
      </c>
      <c r="Q59" s="157">
        <f t="shared" si="62"/>
        <v>0.04</v>
      </c>
      <c r="R59" s="157">
        <f t="shared" si="62"/>
        <v>4.3333333333333335E-2</v>
      </c>
      <c r="S59" s="157">
        <f t="shared" si="62"/>
        <v>4.6666666666666669E-2</v>
      </c>
      <c r="T59" s="157">
        <f t="shared" si="62"/>
        <v>0.05</v>
      </c>
      <c r="U59" s="157">
        <f t="shared" si="62"/>
        <v>5.3333333333333337E-2</v>
      </c>
      <c r="V59" s="157">
        <f t="shared" si="62"/>
        <v>5.6666666666666671E-2</v>
      </c>
      <c r="W59" s="157">
        <f t="shared" si="62"/>
        <v>6.0000000000000005E-2</v>
      </c>
      <c r="X59" s="157">
        <f t="shared" si="62"/>
        <v>6.3333333333333339E-2</v>
      </c>
      <c r="Y59" s="157">
        <f t="shared" si="62"/>
        <v>6.6666666666666666E-2</v>
      </c>
      <c r="Z59" s="157">
        <f t="shared" si="62"/>
        <v>6.9999999999999993E-2</v>
      </c>
      <c r="AA59" s="157">
        <f t="shared" si="62"/>
        <v>7.333333333333332E-2</v>
      </c>
      <c r="AB59" s="157">
        <f t="shared" si="62"/>
        <v>7.6666666666666647E-2</v>
      </c>
      <c r="AC59" s="157">
        <f t="shared" si="62"/>
        <v>7.9999999999999974E-2</v>
      </c>
      <c r="AD59" s="157">
        <f t="shared" si="62"/>
        <v>8.3333333333333301E-2</v>
      </c>
      <c r="AE59" s="157">
        <f t="shared" si="62"/>
        <v>8.6666666666666628E-2</v>
      </c>
      <c r="AF59" s="157">
        <f t="shared" si="62"/>
        <v>8.9999999999999955E-2</v>
      </c>
      <c r="AG59" s="157">
        <f t="shared" si="62"/>
        <v>9.3333333333333282E-2</v>
      </c>
      <c r="AH59" s="157">
        <f t="shared" si="62"/>
        <v>9.6666666666666609E-2</v>
      </c>
      <c r="AI59" s="157">
        <f t="shared" ref="AI59:AI62" si="63">P4</f>
        <v>0.1</v>
      </c>
    </row>
    <row r="60" spans="1:35">
      <c r="A60" s="289"/>
      <c r="B60" t="s">
        <v>17</v>
      </c>
      <c r="C60" t="s">
        <v>817</v>
      </c>
      <c r="D60" t="s">
        <v>34</v>
      </c>
      <c r="E60" s="157">
        <f t="shared" si="61"/>
        <v>0</v>
      </c>
      <c r="F60" s="157">
        <f t="shared" ref="F60:AH60" si="64">-($E60-$AI60)/30+E60</f>
        <v>5.0000000000000001E-3</v>
      </c>
      <c r="G60" s="157">
        <f t="shared" si="64"/>
        <v>0.01</v>
      </c>
      <c r="H60" s="157">
        <f t="shared" si="64"/>
        <v>1.4999999999999999E-2</v>
      </c>
      <c r="I60" s="157">
        <f t="shared" si="64"/>
        <v>0.02</v>
      </c>
      <c r="J60" s="157">
        <f t="shared" si="64"/>
        <v>2.5000000000000001E-2</v>
      </c>
      <c r="K60" s="157">
        <f t="shared" si="64"/>
        <v>3.0000000000000002E-2</v>
      </c>
      <c r="L60" s="157">
        <f t="shared" si="64"/>
        <v>3.5000000000000003E-2</v>
      </c>
      <c r="M60" s="157">
        <f t="shared" si="64"/>
        <v>0.04</v>
      </c>
      <c r="N60" s="157">
        <f t="shared" si="64"/>
        <v>4.4999999999999998E-2</v>
      </c>
      <c r="O60" s="157">
        <f t="shared" si="64"/>
        <v>4.9999999999999996E-2</v>
      </c>
      <c r="P60" s="157">
        <f t="shared" si="64"/>
        <v>5.4999999999999993E-2</v>
      </c>
      <c r="Q60" s="157">
        <f t="shared" si="64"/>
        <v>5.9999999999999991E-2</v>
      </c>
      <c r="R60" s="157">
        <f t="shared" si="64"/>
        <v>6.4999999999999988E-2</v>
      </c>
      <c r="S60" s="157">
        <f t="shared" si="64"/>
        <v>6.9999999999999993E-2</v>
      </c>
      <c r="T60" s="157">
        <f t="shared" si="64"/>
        <v>7.4999999999999997E-2</v>
      </c>
      <c r="U60" s="157">
        <f t="shared" si="64"/>
        <v>0.08</v>
      </c>
      <c r="V60" s="157">
        <f t="shared" si="64"/>
        <v>8.5000000000000006E-2</v>
      </c>
      <c r="W60" s="157">
        <f t="shared" si="64"/>
        <v>9.0000000000000011E-2</v>
      </c>
      <c r="X60" s="157">
        <f t="shared" si="64"/>
        <v>9.5000000000000015E-2</v>
      </c>
      <c r="Y60" s="157">
        <f t="shared" si="64"/>
        <v>0.10000000000000002</v>
      </c>
      <c r="Z60" s="157">
        <f t="shared" si="64"/>
        <v>0.10500000000000002</v>
      </c>
      <c r="AA60" s="157">
        <f t="shared" si="64"/>
        <v>0.11000000000000003</v>
      </c>
      <c r="AB60" s="157">
        <f t="shared" si="64"/>
        <v>0.11500000000000003</v>
      </c>
      <c r="AC60" s="157">
        <f t="shared" si="64"/>
        <v>0.12000000000000004</v>
      </c>
      <c r="AD60" s="157">
        <f t="shared" si="64"/>
        <v>0.12500000000000003</v>
      </c>
      <c r="AE60" s="157">
        <f t="shared" si="64"/>
        <v>0.13000000000000003</v>
      </c>
      <c r="AF60" s="157">
        <f t="shared" si="64"/>
        <v>0.13500000000000004</v>
      </c>
      <c r="AG60" s="157">
        <f t="shared" si="64"/>
        <v>0.14000000000000004</v>
      </c>
      <c r="AH60" s="157">
        <f t="shared" si="64"/>
        <v>0.14500000000000005</v>
      </c>
      <c r="AI60" s="157">
        <f t="shared" si="63"/>
        <v>0.15</v>
      </c>
    </row>
    <row r="61" spans="1:35">
      <c r="A61" s="289"/>
      <c r="B61" t="s">
        <v>17</v>
      </c>
      <c r="C61" t="s">
        <v>817</v>
      </c>
      <c r="D61" t="s">
        <v>35</v>
      </c>
      <c r="E61" s="157">
        <f t="shared" si="61"/>
        <v>0</v>
      </c>
      <c r="F61" s="157">
        <f t="shared" ref="F61:AH61" si="65">-($E61-$AI61)/30+E61</f>
        <v>1.6666666666666668E-3</v>
      </c>
      <c r="G61" s="157">
        <f t="shared" si="65"/>
        <v>3.3333333333333335E-3</v>
      </c>
      <c r="H61" s="157">
        <f t="shared" si="65"/>
        <v>5.0000000000000001E-3</v>
      </c>
      <c r="I61" s="157">
        <f t="shared" si="65"/>
        <v>6.6666666666666671E-3</v>
      </c>
      <c r="J61" s="157">
        <f t="shared" si="65"/>
        <v>8.3333333333333332E-3</v>
      </c>
      <c r="K61" s="157">
        <f t="shared" si="65"/>
        <v>0.01</v>
      </c>
      <c r="L61" s="157">
        <f t="shared" si="65"/>
        <v>1.1666666666666667E-2</v>
      </c>
      <c r="M61" s="157">
        <f t="shared" si="65"/>
        <v>1.3333333333333334E-2</v>
      </c>
      <c r="N61" s="157">
        <f t="shared" si="65"/>
        <v>1.5000000000000001E-2</v>
      </c>
      <c r="O61" s="157">
        <f t="shared" si="65"/>
        <v>1.6666666666666666E-2</v>
      </c>
      <c r="P61" s="157">
        <f t="shared" si="65"/>
        <v>1.8333333333333333E-2</v>
      </c>
      <c r="Q61" s="157">
        <f t="shared" si="65"/>
        <v>0.02</v>
      </c>
      <c r="R61" s="157">
        <f t="shared" si="65"/>
        <v>2.1666666666666667E-2</v>
      </c>
      <c r="S61" s="157">
        <f t="shared" si="65"/>
        <v>2.3333333333333334E-2</v>
      </c>
      <c r="T61" s="157">
        <f t="shared" si="65"/>
        <v>2.5000000000000001E-2</v>
      </c>
      <c r="U61" s="157">
        <f t="shared" si="65"/>
        <v>2.6666666666666668E-2</v>
      </c>
      <c r="V61" s="157">
        <f t="shared" si="65"/>
        <v>2.8333333333333335E-2</v>
      </c>
      <c r="W61" s="157">
        <f t="shared" si="65"/>
        <v>3.0000000000000002E-2</v>
      </c>
      <c r="X61" s="157">
        <f t="shared" si="65"/>
        <v>3.1666666666666669E-2</v>
      </c>
      <c r="Y61" s="157">
        <f t="shared" si="65"/>
        <v>3.3333333333333333E-2</v>
      </c>
      <c r="Z61" s="157">
        <f t="shared" si="65"/>
        <v>3.4999999999999996E-2</v>
      </c>
      <c r="AA61" s="157">
        <f t="shared" si="65"/>
        <v>3.666666666666666E-2</v>
      </c>
      <c r="AB61" s="157">
        <f t="shared" si="65"/>
        <v>3.8333333333333323E-2</v>
      </c>
      <c r="AC61" s="157">
        <f t="shared" si="65"/>
        <v>3.9999999999999987E-2</v>
      </c>
      <c r="AD61" s="157">
        <f t="shared" si="65"/>
        <v>4.166666666666665E-2</v>
      </c>
      <c r="AE61" s="157">
        <f t="shared" si="65"/>
        <v>4.3333333333333314E-2</v>
      </c>
      <c r="AF61" s="157">
        <f t="shared" si="65"/>
        <v>4.4999999999999978E-2</v>
      </c>
      <c r="AG61" s="157">
        <f t="shared" si="65"/>
        <v>4.6666666666666641E-2</v>
      </c>
      <c r="AH61" s="157">
        <f t="shared" si="65"/>
        <v>4.8333333333333305E-2</v>
      </c>
      <c r="AI61" s="157">
        <f t="shared" si="63"/>
        <v>0.05</v>
      </c>
    </row>
    <row r="62" spans="1:35" s="63" customFormat="1">
      <c r="A62" s="290"/>
      <c r="B62" s="63" t="s">
        <v>17</v>
      </c>
      <c r="C62" s="63" t="s">
        <v>817</v>
      </c>
      <c r="D62" s="63" t="s">
        <v>27</v>
      </c>
      <c r="E62" s="396">
        <f t="shared" si="61"/>
        <v>0</v>
      </c>
      <c r="F62" s="396">
        <f t="shared" ref="F62:AH62" si="66">-($E62-$AI62)/30+E62</f>
        <v>1.6666666666666668E-3</v>
      </c>
      <c r="G62" s="396">
        <f t="shared" si="66"/>
        <v>3.3333333333333335E-3</v>
      </c>
      <c r="H62" s="396">
        <f t="shared" si="66"/>
        <v>5.0000000000000001E-3</v>
      </c>
      <c r="I62" s="396">
        <f t="shared" si="66"/>
        <v>6.6666666666666671E-3</v>
      </c>
      <c r="J62" s="396">
        <f t="shared" si="66"/>
        <v>8.3333333333333332E-3</v>
      </c>
      <c r="K62" s="396">
        <f t="shared" si="66"/>
        <v>0.01</v>
      </c>
      <c r="L62" s="396">
        <f t="shared" si="66"/>
        <v>1.1666666666666667E-2</v>
      </c>
      <c r="M62" s="396">
        <f t="shared" si="66"/>
        <v>1.3333333333333334E-2</v>
      </c>
      <c r="N62" s="396">
        <f t="shared" si="66"/>
        <v>1.5000000000000001E-2</v>
      </c>
      <c r="O62" s="396">
        <f t="shared" si="66"/>
        <v>1.6666666666666666E-2</v>
      </c>
      <c r="P62" s="396">
        <f t="shared" si="66"/>
        <v>1.8333333333333333E-2</v>
      </c>
      <c r="Q62" s="396">
        <f t="shared" si="66"/>
        <v>0.02</v>
      </c>
      <c r="R62" s="396">
        <f t="shared" si="66"/>
        <v>2.1666666666666667E-2</v>
      </c>
      <c r="S62" s="396">
        <f t="shared" si="66"/>
        <v>2.3333333333333334E-2</v>
      </c>
      <c r="T62" s="396">
        <f t="shared" si="66"/>
        <v>2.5000000000000001E-2</v>
      </c>
      <c r="U62" s="396">
        <f t="shared" si="66"/>
        <v>2.6666666666666668E-2</v>
      </c>
      <c r="V62" s="396">
        <f t="shared" si="66"/>
        <v>2.8333333333333335E-2</v>
      </c>
      <c r="W62" s="396">
        <f t="shared" si="66"/>
        <v>3.0000000000000002E-2</v>
      </c>
      <c r="X62" s="396">
        <f t="shared" si="66"/>
        <v>3.1666666666666669E-2</v>
      </c>
      <c r="Y62" s="396">
        <f t="shared" si="66"/>
        <v>3.3333333333333333E-2</v>
      </c>
      <c r="Z62" s="396">
        <f t="shared" si="66"/>
        <v>3.4999999999999996E-2</v>
      </c>
      <c r="AA62" s="396">
        <f t="shared" si="66"/>
        <v>3.666666666666666E-2</v>
      </c>
      <c r="AB62" s="396">
        <f t="shared" si="66"/>
        <v>3.8333333333333323E-2</v>
      </c>
      <c r="AC62" s="396">
        <f t="shared" si="66"/>
        <v>3.9999999999999987E-2</v>
      </c>
      <c r="AD62" s="396">
        <f t="shared" si="66"/>
        <v>4.166666666666665E-2</v>
      </c>
      <c r="AE62" s="396">
        <f t="shared" si="66"/>
        <v>4.3333333333333314E-2</v>
      </c>
      <c r="AF62" s="396">
        <f t="shared" si="66"/>
        <v>4.4999999999999978E-2</v>
      </c>
      <c r="AG62" s="396">
        <f t="shared" si="66"/>
        <v>4.6666666666666641E-2</v>
      </c>
      <c r="AH62" s="396">
        <f t="shared" si="66"/>
        <v>4.8333333333333305E-2</v>
      </c>
      <c r="AI62" s="396">
        <f t="shared" si="63"/>
        <v>0.05</v>
      </c>
    </row>
    <row r="63" spans="1:35" s="62" customFormat="1">
      <c r="A63" s="286"/>
      <c r="B63" s="62" t="s">
        <v>17</v>
      </c>
      <c r="C63" s="62" t="s">
        <v>818</v>
      </c>
      <c r="D63" s="62" t="s">
        <v>141</v>
      </c>
      <c r="E63" s="188">
        <f>G3</f>
        <v>0.71762870357071562</v>
      </c>
      <c r="F63" s="188">
        <f t="shared" ref="F63:AH63" si="67">-($E63-$AI63)/30+E63</f>
        <v>0.72402662287681663</v>
      </c>
      <c r="G63" s="188">
        <f t="shared" si="67"/>
        <v>0.73042454218291764</v>
      </c>
      <c r="H63" s="188">
        <f t="shared" si="67"/>
        <v>0.73682246148901864</v>
      </c>
      <c r="I63" s="188">
        <f t="shared" si="67"/>
        <v>0.74322038079511965</v>
      </c>
      <c r="J63" s="188">
        <f t="shared" si="67"/>
        <v>0.74961830010122066</v>
      </c>
      <c r="K63" s="188">
        <f t="shared" si="67"/>
        <v>0.75601621940732167</v>
      </c>
      <c r="L63" s="188">
        <f t="shared" si="67"/>
        <v>0.76241413871342267</v>
      </c>
      <c r="M63" s="188">
        <f t="shared" si="67"/>
        <v>0.76881205801952368</v>
      </c>
      <c r="N63" s="188">
        <f t="shared" si="67"/>
        <v>0.77520997732562469</v>
      </c>
      <c r="O63" s="188">
        <f t="shared" si="67"/>
        <v>0.7816078966317257</v>
      </c>
      <c r="P63" s="188">
        <f t="shared" si="67"/>
        <v>0.7880058159378267</v>
      </c>
      <c r="Q63" s="188">
        <f t="shared" si="67"/>
        <v>0.79440373524392771</v>
      </c>
      <c r="R63" s="188">
        <f t="shared" si="67"/>
        <v>0.80080165455002872</v>
      </c>
      <c r="S63" s="188">
        <f t="shared" si="67"/>
        <v>0.80719957385612973</v>
      </c>
      <c r="T63" s="188">
        <f t="shared" si="67"/>
        <v>0.81359749316223073</v>
      </c>
      <c r="U63" s="188">
        <f t="shared" si="67"/>
        <v>0.81999541246833174</v>
      </c>
      <c r="V63" s="188">
        <f t="shared" si="67"/>
        <v>0.82639333177443275</v>
      </c>
      <c r="W63" s="188">
        <f t="shared" si="67"/>
        <v>0.83279125108053376</v>
      </c>
      <c r="X63" s="188">
        <f t="shared" si="67"/>
        <v>0.83918917038663476</v>
      </c>
      <c r="Y63" s="188">
        <f t="shared" si="67"/>
        <v>0.84558708969273577</v>
      </c>
      <c r="Z63" s="188">
        <f t="shared" si="67"/>
        <v>0.85198500899883678</v>
      </c>
      <c r="AA63" s="188">
        <f t="shared" si="67"/>
        <v>0.85838292830493779</v>
      </c>
      <c r="AB63" s="188">
        <f t="shared" si="67"/>
        <v>0.86478084761103879</v>
      </c>
      <c r="AC63" s="188">
        <f t="shared" si="67"/>
        <v>0.8711787669171398</v>
      </c>
      <c r="AD63" s="188">
        <f t="shared" si="67"/>
        <v>0.87757668622324081</v>
      </c>
      <c r="AE63" s="188">
        <f t="shared" si="67"/>
        <v>0.88397460552934182</v>
      </c>
      <c r="AF63" s="188">
        <f t="shared" si="67"/>
        <v>0.89037252483544282</v>
      </c>
      <c r="AG63" s="188">
        <f t="shared" si="67"/>
        <v>0.89677044414154383</v>
      </c>
      <c r="AH63" s="188">
        <f t="shared" si="67"/>
        <v>0.90316836344764484</v>
      </c>
      <c r="AI63" s="188">
        <f>Q3</f>
        <v>0.90956628275374496</v>
      </c>
    </row>
    <row r="64" spans="1:35">
      <c r="A64" s="289"/>
      <c r="B64" t="s">
        <v>17</v>
      </c>
      <c r="C64" t="s">
        <v>818</v>
      </c>
      <c r="D64" t="s">
        <v>74</v>
      </c>
      <c r="E64" s="157">
        <f t="shared" ref="E64:E67" si="68">G4</f>
        <v>0.26057170849044342</v>
      </c>
      <c r="F64" s="157">
        <f t="shared" ref="F64:AH64" si="69">-($E64-$AI64)/30+E64</f>
        <v>0.25249553118721746</v>
      </c>
      <c r="G64" s="157">
        <f t="shared" si="69"/>
        <v>0.2444193538839915</v>
      </c>
      <c r="H64" s="157">
        <f t="shared" si="69"/>
        <v>0.23634317658076553</v>
      </c>
      <c r="I64" s="157">
        <f t="shared" si="69"/>
        <v>0.22826699927753957</v>
      </c>
      <c r="J64" s="157">
        <f t="shared" si="69"/>
        <v>0.22019082197431361</v>
      </c>
      <c r="K64" s="157">
        <f t="shared" si="69"/>
        <v>0.21211464467108765</v>
      </c>
      <c r="L64" s="157">
        <f t="shared" si="69"/>
        <v>0.20403846736786169</v>
      </c>
      <c r="M64" s="157">
        <f t="shared" si="69"/>
        <v>0.19596229006463572</v>
      </c>
      <c r="N64" s="157">
        <f t="shared" si="69"/>
        <v>0.18788611276140976</v>
      </c>
      <c r="O64" s="157">
        <f t="shared" si="69"/>
        <v>0.1798099354581838</v>
      </c>
      <c r="P64" s="157">
        <f t="shared" si="69"/>
        <v>0.17173375815495784</v>
      </c>
      <c r="Q64" s="157">
        <f t="shared" si="69"/>
        <v>0.16365758085173188</v>
      </c>
      <c r="R64" s="157">
        <f t="shared" si="69"/>
        <v>0.15558140354850591</v>
      </c>
      <c r="S64" s="157">
        <f t="shared" si="69"/>
        <v>0.14750522624527995</v>
      </c>
      <c r="T64" s="157">
        <f t="shared" si="69"/>
        <v>0.13942904894205399</v>
      </c>
      <c r="U64" s="157">
        <f t="shared" si="69"/>
        <v>0.13135287163882803</v>
      </c>
      <c r="V64" s="157">
        <f t="shared" si="69"/>
        <v>0.12327669433560208</v>
      </c>
      <c r="W64" s="157">
        <f t="shared" si="69"/>
        <v>0.11520051703237613</v>
      </c>
      <c r="X64" s="157">
        <f t="shared" si="69"/>
        <v>0.10712433972915018</v>
      </c>
      <c r="Y64" s="157">
        <f t="shared" si="69"/>
        <v>9.9048162425924235E-2</v>
      </c>
      <c r="Z64" s="157">
        <f t="shared" si="69"/>
        <v>9.0971985122698287E-2</v>
      </c>
      <c r="AA64" s="157">
        <f t="shared" si="69"/>
        <v>8.2895807819472339E-2</v>
      </c>
      <c r="AB64" s="157">
        <f t="shared" si="69"/>
        <v>7.4819630516246391E-2</v>
      </c>
      <c r="AC64" s="157">
        <f t="shared" si="69"/>
        <v>6.6743453213020443E-2</v>
      </c>
      <c r="AD64" s="157">
        <f t="shared" si="69"/>
        <v>5.8667275909794495E-2</v>
      </c>
      <c r="AE64" s="157">
        <f t="shared" si="69"/>
        <v>5.0591098606568546E-2</v>
      </c>
      <c r="AF64" s="157">
        <f t="shared" si="69"/>
        <v>4.2514921303342598E-2</v>
      </c>
      <c r="AG64" s="157">
        <f t="shared" si="69"/>
        <v>3.443874400011665E-2</v>
      </c>
      <c r="AH64" s="157">
        <f t="shared" si="69"/>
        <v>2.6362566696890702E-2</v>
      </c>
      <c r="AI64" s="157">
        <f t="shared" ref="AI64:AI67" si="70">Q4</f>
        <v>1.8286389393664958E-2</v>
      </c>
    </row>
    <row r="65" spans="1:35">
      <c r="A65" s="289"/>
      <c r="B65" t="s">
        <v>17</v>
      </c>
      <c r="C65" t="s">
        <v>818</v>
      </c>
      <c r="D65" t="s">
        <v>34</v>
      </c>
      <c r="E65" s="157">
        <f t="shared" si="68"/>
        <v>0</v>
      </c>
      <c r="F65" s="157">
        <f t="shared" ref="F65:AH65" si="71">-($E65-$AI65)/30+E65</f>
        <v>7.4358703407605424E-4</v>
      </c>
      <c r="G65" s="157">
        <f t="shared" si="71"/>
        <v>1.4871740681521085E-3</v>
      </c>
      <c r="H65" s="157">
        <f t="shared" si="71"/>
        <v>2.2307611022281629E-3</v>
      </c>
      <c r="I65" s="157">
        <f t="shared" si="71"/>
        <v>2.974348136304217E-3</v>
      </c>
      <c r="J65" s="157">
        <f t="shared" si="71"/>
        <v>3.717935170380271E-3</v>
      </c>
      <c r="K65" s="157">
        <f t="shared" si="71"/>
        <v>4.461522204456325E-3</v>
      </c>
      <c r="L65" s="157">
        <f t="shared" si="71"/>
        <v>5.205109238532379E-3</v>
      </c>
      <c r="M65" s="157">
        <f t="shared" si="71"/>
        <v>5.9486962726084331E-3</v>
      </c>
      <c r="N65" s="157">
        <f t="shared" si="71"/>
        <v>6.6922833066844871E-3</v>
      </c>
      <c r="O65" s="157">
        <f t="shared" si="71"/>
        <v>7.4358703407605411E-3</v>
      </c>
      <c r="P65" s="157">
        <f t="shared" si="71"/>
        <v>8.1794573748365951E-3</v>
      </c>
      <c r="Q65" s="157">
        <f t="shared" si="71"/>
        <v>8.92304440891265E-3</v>
      </c>
      <c r="R65" s="157">
        <f t="shared" si="71"/>
        <v>9.6666314429887049E-3</v>
      </c>
      <c r="S65" s="157">
        <f t="shared" si="71"/>
        <v>1.041021847706476E-2</v>
      </c>
      <c r="T65" s="157">
        <f t="shared" si="71"/>
        <v>1.1153805511140815E-2</v>
      </c>
      <c r="U65" s="157">
        <f t="shared" si="71"/>
        <v>1.189739254521687E-2</v>
      </c>
      <c r="V65" s="157">
        <f t="shared" si="71"/>
        <v>1.2640979579292924E-2</v>
      </c>
      <c r="W65" s="157">
        <f t="shared" si="71"/>
        <v>1.3384566613368979E-2</v>
      </c>
      <c r="X65" s="157">
        <f t="shared" si="71"/>
        <v>1.4128153647445034E-2</v>
      </c>
      <c r="Y65" s="157">
        <f t="shared" si="71"/>
        <v>1.4871740681521089E-2</v>
      </c>
      <c r="Z65" s="157">
        <f t="shared" si="71"/>
        <v>1.5615327715597144E-2</v>
      </c>
      <c r="AA65" s="157">
        <f t="shared" si="71"/>
        <v>1.6358914749673197E-2</v>
      </c>
      <c r="AB65" s="157">
        <f t="shared" si="71"/>
        <v>1.7102501783749252E-2</v>
      </c>
      <c r="AC65" s="157">
        <f t="shared" si="71"/>
        <v>1.7846088817825307E-2</v>
      </c>
      <c r="AD65" s="157">
        <f t="shared" si="71"/>
        <v>1.8589675851901362E-2</v>
      </c>
      <c r="AE65" s="157">
        <f t="shared" si="71"/>
        <v>1.9333262885977417E-2</v>
      </c>
      <c r="AF65" s="157">
        <f t="shared" si="71"/>
        <v>2.0076849920053472E-2</v>
      </c>
      <c r="AG65" s="157">
        <f t="shared" si="71"/>
        <v>2.0820436954129527E-2</v>
      </c>
      <c r="AH65" s="157">
        <f t="shared" si="71"/>
        <v>2.1564023988205581E-2</v>
      </c>
      <c r="AI65" s="157">
        <f t="shared" si="70"/>
        <v>2.2307611022281626E-2</v>
      </c>
    </row>
    <row r="66" spans="1:35">
      <c r="A66" s="289"/>
      <c r="B66" t="s">
        <v>17</v>
      </c>
      <c r="C66" t="s">
        <v>818</v>
      </c>
      <c r="D66" t="s">
        <v>35</v>
      </c>
      <c r="E66" s="157">
        <f t="shared" si="68"/>
        <v>2.1799587938840969E-2</v>
      </c>
      <c r="F66" s="157">
        <f t="shared" ref="F66:AH66" si="72">-($E66-$AI66)/30+E66</f>
        <v>2.2701063052154351E-2</v>
      </c>
      <c r="G66" s="157">
        <f t="shared" si="72"/>
        <v>2.3602538165467729E-2</v>
      </c>
      <c r="H66" s="157">
        <f t="shared" si="72"/>
        <v>2.4504013278781107E-2</v>
      </c>
      <c r="I66" s="157">
        <f t="shared" si="72"/>
        <v>2.5405488392094486E-2</v>
      </c>
      <c r="J66" s="157">
        <f t="shared" si="72"/>
        <v>2.6306963505407864E-2</v>
      </c>
      <c r="K66" s="157">
        <f t="shared" si="72"/>
        <v>2.7208438618721242E-2</v>
      </c>
      <c r="L66" s="157">
        <f t="shared" si="72"/>
        <v>2.8109913732034621E-2</v>
      </c>
      <c r="M66" s="157">
        <f t="shared" si="72"/>
        <v>2.9011388845347999E-2</v>
      </c>
      <c r="N66" s="157">
        <f t="shared" si="72"/>
        <v>2.9912863958661377E-2</v>
      </c>
      <c r="O66" s="157">
        <f t="shared" si="72"/>
        <v>3.0814339071974756E-2</v>
      </c>
      <c r="P66" s="157">
        <f t="shared" si="72"/>
        <v>3.1715814185288134E-2</v>
      </c>
      <c r="Q66" s="157">
        <f t="shared" si="72"/>
        <v>3.2617289298601512E-2</v>
      </c>
      <c r="R66" s="157">
        <f t="shared" si="72"/>
        <v>3.3518764411914891E-2</v>
      </c>
      <c r="S66" s="157">
        <f t="shared" si="72"/>
        <v>3.4420239525228269E-2</v>
      </c>
      <c r="T66" s="157">
        <f t="shared" si="72"/>
        <v>3.5321714638541647E-2</v>
      </c>
      <c r="U66" s="157">
        <f t="shared" si="72"/>
        <v>3.6223189751855026E-2</v>
      </c>
      <c r="V66" s="157">
        <f t="shared" si="72"/>
        <v>3.7124664865168404E-2</v>
      </c>
      <c r="W66" s="157">
        <f t="shared" si="72"/>
        <v>3.8026139978481782E-2</v>
      </c>
      <c r="X66" s="157">
        <f t="shared" si="72"/>
        <v>3.892761509179516E-2</v>
      </c>
      <c r="Y66" s="157">
        <f t="shared" si="72"/>
        <v>3.9829090205108539E-2</v>
      </c>
      <c r="Z66" s="157">
        <f t="shared" si="72"/>
        <v>4.0730565318421917E-2</v>
      </c>
      <c r="AA66" s="157">
        <f t="shared" si="72"/>
        <v>4.1632040431735295E-2</v>
      </c>
      <c r="AB66" s="157">
        <f t="shared" si="72"/>
        <v>4.2533515545048674E-2</v>
      </c>
      <c r="AC66" s="157">
        <f t="shared" si="72"/>
        <v>4.3434990658362052E-2</v>
      </c>
      <c r="AD66" s="157">
        <f t="shared" si="72"/>
        <v>4.433646577167543E-2</v>
      </c>
      <c r="AE66" s="157">
        <f t="shared" si="72"/>
        <v>4.5237940884988809E-2</v>
      </c>
      <c r="AF66" s="157">
        <f t="shared" si="72"/>
        <v>4.6139415998302187E-2</v>
      </c>
      <c r="AG66" s="157">
        <f t="shared" si="72"/>
        <v>4.7040891111615565E-2</v>
      </c>
      <c r="AH66" s="157">
        <f t="shared" si="72"/>
        <v>4.7942366224928944E-2</v>
      </c>
      <c r="AI66" s="157">
        <f t="shared" si="70"/>
        <v>4.8843841338242371E-2</v>
      </c>
    </row>
    <row r="67" spans="1:35" s="63" customFormat="1">
      <c r="A67" s="290"/>
      <c r="B67" s="63" t="s">
        <v>17</v>
      </c>
      <c r="C67" s="63" t="s">
        <v>818</v>
      </c>
      <c r="D67" s="63" t="s">
        <v>27</v>
      </c>
      <c r="E67" s="396">
        <f t="shared" si="68"/>
        <v>0</v>
      </c>
      <c r="F67" s="396">
        <f t="shared" ref="F67:AH67" si="73">-($E67-$AI67)/30+E67</f>
        <v>3.3195849735538135E-5</v>
      </c>
      <c r="G67" s="396">
        <f t="shared" si="73"/>
        <v>6.639169947107627E-5</v>
      </c>
      <c r="H67" s="396">
        <f t="shared" si="73"/>
        <v>9.9587549206614398E-5</v>
      </c>
      <c r="I67" s="396">
        <f t="shared" si="73"/>
        <v>1.3278339894215254E-4</v>
      </c>
      <c r="J67" s="396">
        <f t="shared" si="73"/>
        <v>1.6597924867769068E-4</v>
      </c>
      <c r="K67" s="396">
        <f t="shared" si="73"/>
        <v>1.9917509841322882E-4</v>
      </c>
      <c r="L67" s="396">
        <f t="shared" si="73"/>
        <v>2.3237094814876696E-4</v>
      </c>
      <c r="M67" s="396">
        <f t="shared" si="73"/>
        <v>2.6556679788430508E-4</v>
      </c>
      <c r="N67" s="396">
        <f t="shared" si="73"/>
        <v>2.9876264761984322E-4</v>
      </c>
      <c r="O67" s="396">
        <f t="shared" si="73"/>
        <v>3.3195849735538136E-4</v>
      </c>
      <c r="P67" s="396">
        <f t="shared" si="73"/>
        <v>3.651543470909195E-4</v>
      </c>
      <c r="Q67" s="396">
        <f t="shared" si="73"/>
        <v>3.9835019682645765E-4</v>
      </c>
      <c r="R67" s="396">
        <f t="shared" si="73"/>
        <v>4.3154604656199579E-4</v>
      </c>
      <c r="S67" s="396">
        <f t="shared" si="73"/>
        <v>4.6474189629753393E-4</v>
      </c>
      <c r="T67" s="396">
        <f t="shared" si="73"/>
        <v>4.9793774603307207E-4</v>
      </c>
      <c r="U67" s="396">
        <f t="shared" si="73"/>
        <v>5.3113359576861016E-4</v>
      </c>
      <c r="V67" s="396">
        <f t="shared" si="73"/>
        <v>5.6432944550414824E-4</v>
      </c>
      <c r="W67" s="396">
        <f t="shared" si="73"/>
        <v>5.9752529523968633E-4</v>
      </c>
      <c r="X67" s="396">
        <f t="shared" si="73"/>
        <v>6.3072114497522442E-4</v>
      </c>
      <c r="Y67" s="396">
        <f t="shared" si="73"/>
        <v>6.6391699471076251E-4</v>
      </c>
      <c r="Z67" s="396">
        <f t="shared" si="73"/>
        <v>6.9711284444630059E-4</v>
      </c>
      <c r="AA67" s="396">
        <f t="shared" si="73"/>
        <v>7.3030869418183868E-4</v>
      </c>
      <c r="AB67" s="396">
        <f t="shared" si="73"/>
        <v>7.6350454391737677E-4</v>
      </c>
      <c r="AC67" s="396">
        <f t="shared" si="73"/>
        <v>7.9670039365291486E-4</v>
      </c>
      <c r="AD67" s="396">
        <f t="shared" si="73"/>
        <v>8.2989624338845294E-4</v>
      </c>
      <c r="AE67" s="396">
        <f t="shared" si="73"/>
        <v>8.6309209312399103E-4</v>
      </c>
      <c r="AF67" s="396">
        <f t="shared" si="73"/>
        <v>8.9628794285952912E-4</v>
      </c>
      <c r="AG67" s="396">
        <f t="shared" si="73"/>
        <v>9.2948379259506721E-4</v>
      </c>
      <c r="AH67" s="396">
        <f t="shared" si="73"/>
        <v>9.6267964233060529E-4</v>
      </c>
      <c r="AI67" s="396">
        <f t="shared" si="70"/>
        <v>9.9587549206614414E-4</v>
      </c>
    </row>
    <row r="68" spans="1:35">
      <c r="B68" t="s">
        <v>21</v>
      </c>
      <c r="C68" t="s">
        <v>815</v>
      </c>
      <c r="D68" t="s">
        <v>141</v>
      </c>
      <c r="E68" s="22">
        <f>D11</f>
        <v>0.80683781047114178</v>
      </c>
      <c r="F68" s="22">
        <f t="shared" ref="F68:AH68" si="74">-($E68-$AI68)/30+E68</f>
        <v>0.80385903311530105</v>
      </c>
      <c r="G68" s="22">
        <f t="shared" si="74"/>
        <v>0.80088025575946031</v>
      </c>
      <c r="H68" s="22">
        <f t="shared" si="74"/>
        <v>0.79790147840361958</v>
      </c>
      <c r="I68" s="22">
        <f t="shared" si="74"/>
        <v>0.79492270104777885</v>
      </c>
      <c r="J68" s="22">
        <f t="shared" si="74"/>
        <v>0.79194392369193811</v>
      </c>
      <c r="K68" s="22">
        <f t="shared" si="74"/>
        <v>0.78896514633609738</v>
      </c>
      <c r="L68" s="22">
        <f t="shared" si="74"/>
        <v>0.78598636898025664</v>
      </c>
      <c r="M68" s="22">
        <f t="shared" si="74"/>
        <v>0.78300759162441591</v>
      </c>
      <c r="N68" s="22">
        <f t="shared" si="74"/>
        <v>0.78002881426857518</v>
      </c>
      <c r="O68" s="22">
        <f t="shared" si="74"/>
        <v>0.77705003691273444</v>
      </c>
      <c r="P68" s="22">
        <f t="shared" si="74"/>
        <v>0.77407125955689371</v>
      </c>
      <c r="Q68" s="22">
        <f t="shared" si="74"/>
        <v>0.77109248220105298</v>
      </c>
      <c r="R68" s="22">
        <f t="shared" si="74"/>
        <v>0.76811370484521224</v>
      </c>
      <c r="S68" s="22">
        <f t="shared" si="74"/>
        <v>0.76513492748937151</v>
      </c>
      <c r="T68" s="22">
        <f t="shared" si="74"/>
        <v>0.76215615013353077</v>
      </c>
      <c r="U68" s="22">
        <f t="shared" si="74"/>
        <v>0.75917737277769004</v>
      </c>
      <c r="V68" s="22">
        <f t="shared" si="74"/>
        <v>0.75619859542184931</v>
      </c>
      <c r="W68" s="22">
        <f t="shared" si="74"/>
        <v>0.75321981806600857</v>
      </c>
      <c r="X68" s="22">
        <f t="shared" si="74"/>
        <v>0.75024104071016784</v>
      </c>
      <c r="Y68" s="22">
        <f t="shared" si="74"/>
        <v>0.74726226335432711</v>
      </c>
      <c r="Z68" s="22">
        <f t="shared" si="74"/>
        <v>0.74428348599848637</v>
      </c>
      <c r="AA68" s="22">
        <f t="shared" si="74"/>
        <v>0.74130470864264564</v>
      </c>
      <c r="AB68" s="22">
        <f t="shared" si="74"/>
        <v>0.7383259312868049</v>
      </c>
      <c r="AC68" s="22">
        <f t="shared" si="74"/>
        <v>0.73534715393096417</v>
      </c>
      <c r="AD68" s="22">
        <f t="shared" si="74"/>
        <v>0.73236837657512344</v>
      </c>
      <c r="AE68" s="22">
        <f t="shared" si="74"/>
        <v>0.7293895992192827</v>
      </c>
      <c r="AF68" s="22">
        <f t="shared" si="74"/>
        <v>0.72641082186344197</v>
      </c>
      <c r="AG68" s="22">
        <f t="shared" si="74"/>
        <v>0.72343204450760124</v>
      </c>
      <c r="AH68" s="22">
        <f t="shared" si="74"/>
        <v>0.7204532671517605</v>
      </c>
      <c r="AI68" s="22">
        <f>M11</f>
        <v>0.71747448979591832</v>
      </c>
    </row>
    <row r="69" spans="1:35">
      <c r="B69" t="s">
        <v>21</v>
      </c>
      <c r="D69" t="s">
        <v>74</v>
      </c>
      <c r="E69" s="22">
        <f t="shared" ref="E69:E72" si="75">D12</f>
        <v>0.10006551908988028</v>
      </c>
      <c r="F69" s="22">
        <f t="shared" ref="F69:AH69" si="76">-($E69-$AI69)/30+E69</f>
        <v>9.6730001786884262E-2</v>
      </c>
      <c r="G69" s="22">
        <f t="shared" si="76"/>
        <v>9.3394484483888249E-2</v>
      </c>
      <c r="H69" s="22">
        <f t="shared" si="76"/>
        <v>9.0058967180892235E-2</v>
      </c>
      <c r="I69" s="22">
        <f t="shared" si="76"/>
        <v>8.6723449877896222E-2</v>
      </c>
      <c r="J69" s="22">
        <f t="shared" si="76"/>
        <v>8.3387932574900209E-2</v>
      </c>
      <c r="K69" s="22">
        <f t="shared" si="76"/>
        <v>8.0052415271904195E-2</v>
      </c>
      <c r="L69" s="22">
        <f t="shared" si="76"/>
        <v>7.6716897968908182E-2</v>
      </c>
      <c r="M69" s="22">
        <f t="shared" si="76"/>
        <v>7.3381380665912169E-2</v>
      </c>
      <c r="N69" s="22">
        <f t="shared" si="76"/>
        <v>7.0045863362916155E-2</v>
      </c>
      <c r="O69" s="22">
        <f t="shared" si="76"/>
        <v>6.6710346059920142E-2</v>
      </c>
      <c r="P69" s="22">
        <f t="shared" si="76"/>
        <v>6.3374828756924129E-2</v>
      </c>
      <c r="Q69" s="22">
        <f t="shared" si="76"/>
        <v>6.0039311453928122E-2</v>
      </c>
      <c r="R69" s="22">
        <f t="shared" si="76"/>
        <v>5.6703794150932116E-2</v>
      </c>
      <c r="S69" s="22">
        <f t="shared" si="76"/>
        <v>5.3368276847936109E-2</v>
      </c>
      <c r="T69" s="22">
        <f t="shared" si="76"/>
        <v>5.0032759544940103E-2</v>
      </c>
      <c r="U69" s="22">
        <f t="shared" si="76"/>
        <v>4.6697242241944097E-2</v>
      </c>
      <c r="V69" s="22">
        <f t="shared" si="76"/>
        <v>4.336172493894809E-2</v>
      </c>
      <c r="W69" s="22">
        <f t="shared" si="76"/>
        <v>4.0026207635952084E-2</v>
      </c>
      <c r="X69" s="22">
        <f t="shared" si="76"/>
        <v>3.6690690332956077E-2</v>
      </c>
      <c r="Y69" s="22">
        <f t="shared" si="76"/>
        <v>3.3355173029960071E-2</v>
      </c>
      <c r="Z69" s="22">
        <f t="shared" si="76"/>
        <v>3.0019655726964061E-2</v>
      </c>
      <c r="AA69" s="22">
        <f t="shared" si="76"/>
        <v>2.6684138423968051E-2</v>
      </c>
      <c r="AB69" s="22">
        <f t="shared" si="76"/>
        <v>2.3348621120972041E-2</v>
      </c>
      <c r="AC69" s="22">
        <f t="shared" si="76"/>
        <v>2.0013103817976031E-2</v>
      </c>
      <c r="AD69" s="22">
        <f t="shared" si="76"/>
        <v>1.6677586514980022E-2</v>
      </c>
      <c r="AE69" s="22">
        <f t="shared" si="76"/>
        <v>1.3342069211984012E-2</v>
      </c>
      <c r="AF69" s="22">
        <f t="shared" si="76"/>
        <v>1.0006551908988002E-2</v>
      </c>
      <c r="AG69" s="22">
        <f t="shared" si="76"/>
        <v>6.6710346059919929E-3</v>
      </c>
      <c r="AH69" s="22">
        <f t="shared" si="76"/>
        <v>3.3355173029959839E-3</v>
      </c>
      <c r="AI69" s="22">
        <f t="shared" ref="AI69:AI72" si="77">M12</f>
        <v>0</v>
      </c>
    </row>
    <row r="70" spans="1:35">
      <c r="B70" t="s">
        <v>21</v>
      </c>
      <c r="D70" t="s">
        <v>34</v>
      </c>
      <c r="E70" s="22">
        <f t="shared" si="75"/>
        <v>0</v>
      </c>
      <c r="F70" s="22">
        <f t="shared" ref="F70:AH70" si="78">-($E70-$AI70)/30+E70</f>
        <v>3.5714285714285726E-3</v>
      </c>
      <c r="G70" s="22">
        <f t="shared" si="78"/>
        <v>7.1428571428571452E-3</v>
      </c>
      <c r="H70" s="22">
        <f t="shared" si="78"/>
        <v>1.0714285714285718E-2</v>
      </c>
      <c r="I70" s="22">
        <f t="shared" si="78"/>
        <v>1.428571428571429E-2</v>
      </c>
      <c r="J70" s="22">
        <f t="shared" si="78"/>
        <v>1.7857142857142863E-2</v>
      </c>
      <c r="K70" s="22">
        <f t="shared" si="78"/>
        <v>2.1428571428571436E-2</v>
      </c>
      <c r="L70" s="22">
        <f t="shared" si="78"/>
        <v>2.5000000000000008E-2</v>
      </c>
      <c r="M70" s="22">
        <f t="shared" si="78"/>
        <v>2.8571428571428581E-2</v>
      </c>
      <c r="N70" s="22">
        <f t="shared" si="78"/>
        <v>3.2142857142857154E-2</v>
      </c>
      <c r="O70" s="22">
        <f t="shared" si="78"/>
        <v>3.5714285714285726E-2</v>
      </c>
      <c r="P70" s="22">
        <f t="shared" si="78"/>
        <v>3.9285714285714299E-2</v>
      </c>
      <c r="Q70" s="22">
        <f t="shared" si="78"/>
        <v>4.2857142857142871E-2</v>
      </c>
      <c r="R70" s="22">
        <f t="shared" si="78"/>
        <v>4.6428571428571444E-2</v>
      </c>
      <c r="S70" s="22">
        <f t="shared" si="78"/>
        <v>5.0000000000000017E-2</v>
      </c>
      <c r="T70" s="22">
        <f t="shared" si="78"/>
        <v>5.3571428571428589E-2</v>
      </c>
      <c r="U70" s="22">
        <f t="shared" si="78"/>
        <v>5.7142857142857162E-2</v>
      </c>
      <c r="V70" s="22">
        <f t="shared" si="78"/>
        <v>6.0714285714285735E-2</v>
      </c>
      <c r="W70" s="22">
        <f t="shared" si="78"/>
        <v>6.4285714285714307E-2</v>
      </c>
      <c r="X70" s="22">
        <f t="shared" si="78"/>
        <v>6.785714285714288E-2</v>
      </c>
      <c r="Y70" s="22">
        <f t="shared" si="78"/>
        <v>7.1428571428571452E-2</v>
      </c>
      <c r="Z70" s="22">
        <f t="shared" si="78"/>
        <v>7.5000000000000025E-2</v>
      </c>
      <c r="AA70" s="22">
        <f t="shared" si="78"/>
        <v>7.8571428571428598E-2</v>
      </c>
      <c r="AB70" s="22">
        <f t="shared" si="78"/>
        <v>8.214285714285717E-2</v>
      </c>
      <c r="AC70" s="22">
        <f t="shared" si="78"/>
        <v>8.5714285714285743E-2</v>
      </c>
      <c r="AD70" s="22">
        <f t="shared" si="78"/>
        <v>8.9285714285714315E-2</v>
      </c>
      <c r="AE70" s="22">
        <f t="shared" si="78"/>
        <v>9.2857142857142888E-2</v>
      </c>
      <c r="AF70" s="22">
        <f t="shared" si="78"/>
        <v>9.6428571428571461E-2</v>
      </c>
      <c r="AG70" s="22">
        <f t="shared" si="78"/>
        <v>0.10000000000000003</v>
      </c>
      <c r="AH70" s="22">
        <f t="shared" si="78"/>
        <v>0.10357142857142861</v>
      </c>
      <c r="AI70" s="22">
        <f t="shared" si="77"/>
        <v>0.10714285714285718</v>
      </c>
    </row>
    <row r="71" spans="1:35">
      <c r="B71" t="s">
        <v>21</v>
      </c>
      <c r="D71" t="s">
        <v>35</v>
      </c>
      <c r="E71" s="22">
        <f t="shared" si="75"/>
        <v>0</v>
      </c>
      <c r="F71" s="22">
        <f t="shared" ref="F71:AH71" si="79">-($E71-$AI71)/30+E71</f>
        <v>0</v>
      </c>
      <c r="G71" s="22">
        <f t="shared" si="79"/>
        <v>0</v>
      </c>
      <c r="H71" s="22">
        <f t="shared" si="79"/>
        <v>0</v>
      </c>
      <c r="I71" s="22">
        <f t="shared" si="79"/>
        <v>0</v>
      </c>
      <c r="J71" s="22">
        <f t="shared" si="79"/>
        <v>0</v>
      </c>
      <c r="K71" s="22">
        <f t="shared" si="79"/>
        <v>0</v>
      </c>
      <c r="L71" s="22">
        <f t="shared" si="79"/>
        <v>0</v>
      </c>
      <c r="M71" s="22">
        <f t="shared" si="79"/>
        <v>0</v>
      </c>
      <c r="N71" s="22">
        <f t="shared" si="79"/>
        <v>0</v>
      </c>
      <c r="O71" s="22">
        <f t="shared" si="79"/>
        <v>0</v>
      </c>
      <c r="P71" s="22">
        <f t="shared" si="79"/>
        <v>0</v>
      </c>
      <c r="Q71" s="22">
        <f t="shared" si="79"/>
        <v>0</v>
      </c>
      <c r="R71" s="22">
        <f t="shared" si="79"/>
        <v>0</v>
      </c>
      <c r="S71" s="22">
        <f t="shared" si="79"/>
        <v>0</v>
      </c>
      <c r="T71" s="22">
        <f t="shared" si="79"/>
        <v>0</v>
      </c>
      <c r="U71" s="22">
        <f t="shared" si="79"/>
        <v>0</v>
      </c>
      <c r="V71" s="22">
        <f t="shared" si="79"/>
        <v>0</v>
      </c>
      <c r="W71" s="22">
        <f t="shared" si="79"/>
        <v>0</v>
      </c>
      <c r="X71" s="22">
        <f t="shared" si="79"/>
        <v>0</v>
      </c>
      <c r="Y71" s="22">
        <f t="shared" si="79"/>
        <v>0</v>
      </c>
      <c r="Z71" s="22">
        <f t="shared" si="79"/>
        <v>0</v>
      </c>
      <c r="AA71" s="22">
        <f t="shared" si="79"/>
        <v>0</v>
      </c>
      <c r="AB71" s="22">
        <f t="shared" si="79"/>
        <v>0</v>
      </c>
      <c r="AC71" s="22">
        <f t="shared" si="79"/>
        <v>0</v>
      </c>
      <c r="AD71" s="22">
        <f t="shared" si="79"/>
        <v>0</v>
      </c>
      <c r="AE71" s="22">
        <f t="shared" si="79"/>
        <v>0</v>
      </c>
      <c r="AF71" s="22">
        <f t="shared" si="79"/>
        <v>0</v>
      </c>
      <c r="AG71" s="22">
        <f t="shared" si="79"/>
        <v>0</v>
      </c>
      <c r="AH71" s="22">
        <f t="shared" si="79"/>
        <v>0</v>
      </c>
      <c r="AI71" s="22">
        <f t="shared" si="77"/>
        <v>0</v>
      </c>
    </row>
    <row r="72" spans="1:35">
      <c r="B72" t="s">
        <v>21</v>
      </c>
      <c r="D72" t="s">
        <v>27</v>
      </c>
      <c r="E72" s="22">
        <f t="shared" si="75"/>
        <v>9.3096670438977888E-2</v>
      </c>
      <c r="F72" s="22">
        <f t="shared" ref="F72:AH72" si="80">-($E72-$AI72)/30+E72</f>
        <v>9.5839536526386104E-2</v>
      </c>
      <c r="G72" s="22">
        <f t="shared" si="80"/>
        <v>9.858240261379432E-2</v>
      </c>
      <c r="H72" s="22">
        <f t="shared" si="80"/>
        <v>0.10132526870120254</v>
      </c>
      <c r="I72" s="22">
        <f t="shared" si="80"/>
        <v>0.10406813478861075</v>
      </c>
      <c r="J72" s="22">
        <f t="shared" si="80"/>
        <v>0.10681100087601897</v>
      </c>
      <c r="K72" s="22">
        <f t="shared" si="80"/>
        <v>0.10955386696342718</v>
      </c>
      <c r="L72" s="22">
        <f t="shared" si="80"/>
        <v>0.1122967330508354</v>
      </c>
      <c r="M72" s="22">
        <f t="shared" si="80"/>
        <v>0.11503959913824362</v>
      </c>
      <c r="N72" s="22">
        <f t="shared" si="80"/>
        <v>0.11778246522565183</v>
      </c>
      <c r="O72" s="22">
        <f t="shared" si="80"/>
        <v>0.12052533131306005</v>
      </c>
      <c r="P72" s="22">
        <f t="shared" si="80"/>
        <v>0.12326819740046827</v>
      </c>
      <c r="Q72" s="22">
        <f t="shared" si="80"/>
        <v>0.1260110634878765</v>
      </c>
      <c r="R72" s="22">
        <f t="shared" si="80"/>
        <v>0.12875392957528473</v>
      </c>
      <c r="S72" s="22">
        <f t="shared" si="80"/>
        <v>0.13149679566269296</v>
      </c>
      <c r="T72" s="22">
        <f t="shared" si="80"/>
        <v>0.13423966175010119</v>
      </c>
      <c r="U72" s="22">
        <f t="shared" si="80"/>
        <v>0.13698252783750942</v>
      </c>
      <c r="V72" s="22">
        <f t="shared" si="80"/>
        <v>0.13972539392491765</v>
      </c>
      <c r="W72" s="22">
        <f t="shared" si="80"/>
        <v>0.14246826001232588</v>
      </c>
      <c r="X72" s="22">
        <f t="shared" si="80"/>
        <v>0.14521112609973411</v>
      </c>
      <c r="Y72" s="22">
        <f t="shared" si="80"/>
        <v>0.14795399218714234</v>
      </c>
      <c r="Z72" s="22">
        <f t="shared" si="80"/>
        <v>0.15069685827455057</v>
      </c>
      <c r="AA72" s="22">
        <f t="shared" si="80"/>
        <v>0.1534397243619588</v>
      </c>
      <c r="AB72" s="22">
        <f t="shared" si="80"/>
        <v>0.15618259044936703</v>
      </c>
      <c r="AC72" s="22">
        <f t="shared" si="80"/>
        <v>0.15892545653677526</v>
      </c>
      <c r="AD72" s="22">
        <f t="shared" si="80"/>
        <v>0.16166832262418349</v>
      </c>
      <c r="AE72" s="22">
        <f t="shared" si="80"/>
        <v>0.16441118871159172</v>
      </c>
      <c r="AF72" s="22">
        <f t="shared" si="80"/>
        <v>0.16715405479899995</v>
      </c>
      <c r="AG72" s="22">
        <f t="shared" si="80"/>
        <v>0.16989692088640818</v>
      </c>
      <c r="AH72" s="22">
        <f t="shared" si="80"/>
        <v>0.17263978697381641</v>
      </c>
      <c r="AI72" s="22">
        <f t="shared" si="77"/>
        <v>0.17538265306122452</v>
      </c>
    </row>
    <row r="73" spans="1:35" s="62" customFormat="1">
      <c r="A73" s="286"/>
      <c r="B73" s="62" t="s">
        <v>21</v>
      </c>
      <c r="C73" s="62" t="s">
        <v>823</v>
      </c>
      <c r="D73" s="62" t="s">
        <v>141</v>
      </c>
      <c r="E73" s="188">
        <f>E11</f>
        <v>0.80683781047114178</v>
      </c>
      <c r="F73" s="188">
        <f t="shared" ref="F73:AH73" si="81">-($E73-$AI73)/30+E73</f>
        <v>0.80385903311530105</v>
      </c>
      <c r="G73" s="188">
        <f t="shared" si="81"/>
        <v>0.80088025575946031</v>
      </c>
      <c r="H73" s="188">
        <f t="shared" si="81"/>
        <v>0.79790147840361958</v>
      </c>
      <c r="I73" s="188">
        <f t="shared" si="81"/>
        <v>0.79492270104777885</v>
      </c>
      <c r="J73" s="188">
        <f t="shared" si="81"/>
        <v>0.79194392369193811</v>
      </c>
      <c r="K73" s="188">
        <f t="shared" si="81"/>
        <v>0.78896514633609738</v>
      </c>
      <c r="L73" s="188">
        <f t="shared" si="81"/>
        <v>0.78598636898025664</v>
      </c>
      <c r="M73" s="188">
        <f t="shared" si="81"/>
        <v>0.78300759162441591</v>
      </c>
      <c r="N73" s="188">
        <f t="shared" si="81"/>
        <v>0.78002881426857518</v>
      </c>
      <c r="O73" s="188">
        <f t="shared" si="81"/>
        <v>0.77705003691273444</v>
      </c>
      <c r="P73" s="188">
        <f t="shared" si="81"/>
        <v>0.77407125955689371</v>
      </c>
      <c r="Q73" s="188">
        <f t="shared" si="81"/>
        <v>0.77109248220105298</v>
      </c>
      <c r="R73" s="188">
        <f t="shared" si="81"/>
        <v>0.76811370484521224</v>
      </c>
      <c r="S73" s="188">
        <f t="shared" si="81"/>
        <v>0.76513492748937151</v>
      </c>
      <c r="T73" s="188">
        <f t="shared" si="81"/>
        <v>0.76215615013353077</v>
      </c>
      <c r="U73" s="188">
        <f t="shared" si="81"/>
        <v>0.75917737277769004</v>
      </c>
      <c r="V73" s="188">
        <f t="shared" si="81"/>
        <v>0.75619859542184931</v>
      </c>
      <c r="W73" s="188">
        <f t="shared" si="81"/>
        <v>0.75321981806600857</v>
      </c>
      <c r="X73" s="188">
        <f t="shared" si="81"/>
        <v>0.75024104071016784</v>
      </c>
      <c r="Y73" s="188">
        <f t="shared" si="81"/>
        <v>0.74726226335432711</v>
      </c>
      <c r="Z73" s="188">
        <f t="shared" si="81"/>
        <v>0.74428348599848637</v>
      </c>
      <c r="AA73" s="188">
        <f t="shared" si="81"/>
        <v>0.74130470864264564</v>
      </c>
      <c r="AB73" s="188">
        <f t="shared" si="81"/>
        <v>0.7383259312868049</v>
      </c>
      <c r="AC73" s="188">
        <f t="shared" si="81"/>
        <v>0.73534715393096417</v>
      </c>
      <c r="AD73" s="188">
        <f t="shared" si="81"/>
        <v>0.73236837657512344</v>
      </c>
      <c r="AE73" s="188">
        <f t="shared" si="81"/>
        <v>0.7293895992192827</v>
      </c>
      <c r="AF73" s="188">
        <f t="shared" si="81"/>
        <v>0.72641082186344197</v>
      </c>
      <c r="AG73" s="188">
        <f t="shared" si="81"/>
        <v>0.72343204450760124</v>
      </c>
      <c r="AH73" s="188">
        <f t="shared" si="81"/>
        <v>0.7204532671517605</v>
      </c>
      <c r="AI73" s="188">
        <f>N11</f>
        <v>0.71747448979591832</v>
      </c>
    </row>
    <row r="74" spans="1:35">
      <c r="A74" s="289"/>
      <c r="B74" t="s">
        <v>21</v>
      </c>
      <c r="D74" t="s">
        <v>74</v>
      </c>
      <c r="E74" s="157">
        <f t="shared" ref="E74:E77" si="82">E12</f>
        <v>0.10006551908988028</v>
      </c>
      <c r="F74" s="157">
        <f t="shared" ref="F74:AH74" si="83">-($E74-$AI74)/30+E74</f>
        <v>9.6730001786884262E-2</v>
      </c>
      <c r="G74" s="157">
        <f t="shared" si="83"/>
        <v>9.3394484483888249E-2</v>
      </c>
      <c r="H74" s="157">
        <f t="shared" si="83"/>
        <v>9.0058967180892235E-2</v>
      </c>
      <c r="I74" s="157">
        <f t="shared" si="83"/>
        <v>8.6723449877896222E-2</v>
      </c>
      <c r="J74" s="157">
        <f t="shared" si="83"/>
        <v>8.3387932574900209E-2</v>
      </c>
      <c r="K74" s="157">
        <f t="shared" si="83"/>
        <v>8.0052415271904195E-2</v>
      </c>
      <c r="L74" s="157">
        <f t="shared" si="83"/>
        <v>7.6716897968908182E-2</v>
      </c>
      <c r="M74" s="157">
        <f t="shared" si="83"/>
        <v>7.3381380665912169E-2</v>
      </c>
      <c r="N74" s="157">
        <f t="shared" si="83"/>
        <v>7.0045863362916155E-2</v>
      </c>
      <c r="O74" s="157">
        <f t="shared" si="83"/>
        <v>6.6710346059920142E-2</v>
      </c>
      <c r="P74" s="157">
        <f t="shared" si="83"/>
        <v>6.3374828756924129E-2</v>
      </c>
      <c r="Q74" s="157">
        <f t="shared" si="83"/>
        <v>6.0039311453928122E-2</v>
      </c>
      <c r="R74" s="157">
        <f t="shared" si="83"/>
        <v>5.6703794150932116E-2</v>
      </c>
      <c r="S74" s="157">
        <f t="shared" si="83"/>
        <v>5.3368276847936109E-2</v>
      </c>
      <c r="T74" s="157">
        <f t="shared" si="83"/>
        <v>5.0032759544940103E-2</v>
      </c>
      <c r="U74" s="157">
        <f t="shared" si="83"/>
        <v>4.6697242241944097E-2</v>
      </c>
      <c r="V74" s="157">
        <f t="shared" si="83"/>
        <v>4.336172493894809E-2</v>
      </c>
      <c r="W74" s="157">
        <f t="shared" si="83"/>
        <v>4.0026207635952084E-2</v>
      </c>
      <c r="X74" s="157">
        <f t="shared" si="83"/>
        <v>3.6690690332956077E-2</v>
      </c>
      <c r="Y74" s="157">
        <f t="shared" si="83"/>
        <v>3.3355173029960071E-2</v>
      </c>
      <c r="Z74" s="157">
        <f t="shared" si="83"/>
        <v>3.0019655726964061E-2</v>
      </c>
      <c r="AA74" s="157">
        <f t="shared" si="83"/>
        <v>2.6684138423968051E-2</v>
      </c>
      <c r="AB74" s="157">
        <f t="shared" si="83"/>
        <v>2.3348621120972041E-2</v>
      </c>
      <c r="AC74" s="157">
        <f t="shared" si="83"/>
        <v>2.0013103817976031E-2</v>
      </c>
      <c r="AD74" s="157">
        <f t="shared" si="83"/>
        <v>1.6677586514980022E-2</v>
      </c>
      <c r="AE74" s="157">
        <f t="shared" si="83"/>
        <v>1.3342069211984012E-2</v>
      </c>
      <c r="AF74" s="157">
        <f t="shared" si="83"/>
        <v>1.0006551908988002E-2</v>
      </c>
      <c r="AG74" s="157">
        <f t="shared" si="83"/>
        <v>6.6710346059919929E-3</v>
      </c>
      <c r="AH74" s="157">
        <f t="shared" si="83"/>
        <v>3.3355173029959839E-3</v>
      </c>
      <c r="AI74" s="157">
        <f t="shared" ref="AI74:AI77" si="84">N12</f>
        <v>0</v>
      </c>
    </row>
    <row r="75" spans="1:35">
      <c r="A75" s="289"/>
      <c r="B75" t="s">
        <v>21</v>
      </c>
      <c r="D75" t="s">
        <v>34</v>
      </c>
      <c r="E75" s="157">
        <f t="shared" si="82"/>
        <v>0</v>
      </c>
      <c r="F75" s="157">
        <f t="shared" ref="F75:AH75" si="85">-($E75-$AI75)/30+E75</f>
        <v>3.5714285714285726E-3</v>
      </c>
      <c r="G75" s="157">
        <f t="shared" si="85"/>
        <v>7.1428571428571452E-3</v>
      </c>
      <c r="H75" s="157">
        <f t="shared" si="85"/>
        <v>1.0714285714285718E-2</v>
      </c>
      <c r="I75" s="157">
        <f t="shared" si="85"/>
        <v>1.428571428571429E-2</v>
      </c>
      <c r="J75" s="157">
        <f t="shared" si="85"/>
        <v>1.7857142857142863E-2</v>
      </c>
      <c r="K75" s="157">
        <f t="shared" si="85"/>
        <v>2.1428571428571436E-2</v>
      </c>
      <c r="L75" s="157">
        <f t="shared" si="85"/>
        <v>2.5000000000000008E-2</v>
      </c>
      <c r="M75" s="157">
        <f t="shared" si="85"/>
        <v>2.8571428571428581E-2</v>
      </c>
      <c r="N75" s="157">
        <f t="shared" si="85"/>
        <v>3.2142857142857154E-2</v>
      </c>
      <c r="O75" s="157">
        <f t="shared" si="85"/>
        <v>3.5714285714285726E-2</v>
      </c>
      <c r="P75" s="157">
        <f t="shared" si="85"/>
        <v>3.9285714285714299E-2</v>
      </c>
      <c r="Q75" s="157">
        <f t="shared" si="85"/>
        <v>4.2857142857142871E-2</v>
      </c>
      <c r="R75" s="157">
        <f t="shared" si="85"/>
        <v>4.6428571428571444E-2</v>
      </c>
      <c r="S75" s="157">
        <f t="shared" si="85"/>
        <v>5.0000000000000017E-2</v>
      </c>
      <c r="T75" s="157">
        <f t="shared" si="85"/>
        <v>5.3571428571428589E-2</v>
      </c>
      <c r="U75" s="157">
        <f t="shared" si="85"/>
        <v>5.7142857142857162E-2</v>
      </c>
      <c r="V75" s="157">
        <f t="shared" si="85"/>
        <v>6.0714285714285735E-2</v>
      </c>
      <c r="W75" s="157">
        <f t="shared" si="85"/>
        <v>6.4285714285714307E-2</v>
      </c>
      <c r="X75" s="157">
        <f t="shared" si="85"/>
        <v>6.785714285714288E-2</v>
      </c>
      <c r="Y75" s="157">
        <f t="shared" si="85"/>
        <v>7.1428571428571452E-2</v>
      </c>
      <c r="Z75" s="157">
        <f t="shared" si="85"/>
        <v>7.5000000000000025E-2</v>
      </c>
      <c r="AA75" s="157">
        <f t="shared" si="85"/>
        <v>7.8571428571428598E-2</v>
      </c>
      <c r="AB75" s="157">
        <f t="shared" si="85"/>
        <v>8.214285714285717E-2</v>
      </c>
      <c r="AC75" s="157">
        <f t="shared" si="85"/>
        <v>8.5714285714285743E-2</v>
      </c>
      <c r="AD75" s="157">
        <f t="shared" si="85"/>
        <v>8.9285714285714315E-2</v>
      </c>
      <c r="AE75" s="157">
        <f t="shared" si="85"/>
        <v>9.2857142857142888E-2</v>
      </c>
      <c r="AF75" s="157">
        <f t="shared" si="85"/>
        <v>9.6428571428571461E-2</v>
      </c>
      <c r="AG75" s="157">
        <f t="shared" si="85"/>
        <v>0.10000000000000003</v>
      </c>
      <c r="AH75" s="157">
        <f t="shared" si="85"/>
        <v>0.10357142857142861</v>
      </c>
      <c r="AI75" s="157">
        <f t="shared" si="84"/>
        <v>0.10714285714285718</v>
      </c>
    </row>
    <row r="76" spans="1:35">
      <c r="A76" s="289"/>
      <c r="B76" t="s">
        <v>21</v>
      </c>
      <c r="D76" t="s">
        <v>35</v>
      </c>
      <c r="E76" s="157">
        <f t="shared" si="82"/>
        <v>0</v>
      </c>
      <c r="F76" s="157">
        <f t="shared" ref="F76:AH76" si="86">-($E76-$AI76)/30+E76</f>
        <v>0</v>
      </c>
      <c r="G76" s="157">
        <f t="shared" si="86"/>
        <v>0</v>
      </c>
      <c r="H76" s="157">
        <f t="shared" si="86"/>
        <v>0</v>
      </c>
      <c r="I76" s="157">
        <f t="shared" si="86"/>
        <v>0</v>
      </c>
      <c r="J76" s="157">
        <f t="shared" si="86"/>
        <v>0</v>
      </c>
      <c r="K76" s="157">
        <f t="shared" si="86"/>
        <v>0</v>
      </c>
      <c r="L76" s="157">
        <f t="shared" si="86"/>
        <v>0</v>
      </c>
      <c r="M76" s="157">
        <f t="shared" si="86"/>
        <v>0</v>
      </c>
      <c r="N76" s="157">
        <f t="shared" si="86"/>
        <v>0</v>
      </c>
      <c r="O76" s="157">
        <f t="shared" si="86"/>
        <v>0</v>
      </c>
      <c r="P76" s="157">
        <f t="shared" si="86"/>
        <v>0</v>
      </c>
      <c r="Q76" s="157">
        <f t="shared" si="86"/>
        <v>0</v>
      </c>
      <c r="R76" s="157">
        <f t="shared" si="86"/>
        <v>0</v>
      </c>
      <c r="S76" s="157">
        <f t="shared" si="86"/>
        <v>0</v>
      </c>
      <c r="T76" s="157">
        <f t="shared" si="86"/>
        <v>0</v>
      </c>
      <c r="U76" s="157">
        <f t="shared" si="86"/>
        <v>0</v>
      </c>
      <c r="V76" s="157">
        <f t="shared" si="86"/>
        <v>0</v>
      </c>
      <c r="W76" s="157">
        <f t="shared" si="86"/>
        <v>0</v>
      </c>
      <c r="X76" s="157">
        <f t="shared" si="86"/>
        <v>0</v>
      </c>
      <c r="Y76" s="157">
        <f t="shared" si="86"/>
        <v>0</v>
      </c>
      <c r="Z76" s="157">
        <f t="shared" si="86"/>
        <v>0</v>
      </c>
      <c r="AA76" s="157">
        <f t="shared" si="86"/>
        <v>0</v>
      </c>
      <c r="AB76" s="157">
        <f t="shared" si="86"/>
        <v>0</v>
      </c>
      <c r="AC76" s="157">
        <f t="shared" si="86"/>
        <v>0</v>
      </c>
      <c r="AD76" s="157">
        <f t="shared" si="86"/>
        <v>0</v>
      </c>
      <c r="AE76" s="157">
        <f t="shared" si="86"/>
        <v>0</v>
      </c>
      <c r="AF76" s="157">
        <f t="shared" si="86"/>
        <v>0</v>
      </c>
      <c r="AG76" s="157">
        <f t="shared" si="86"/>
        <v>0</v>
      </c>
      <c r="AH76" s="157">
        <f t="shared" si="86"/>
        <v>0</v>
      </c>
      <c r="AI76" s="157">
        <f t="shared" si="84"/>
        <v>0</v>
      </c>
    </row>
    <row r="77" spans="1:35" s="63" customFormat="1">
      <c r="A77" s="290"/>
      <c r="B77" s="63" t="s">
        <v>21</v>
      </c>
      <c r="D77" s="63" t="s">
        <v>27</v>
      </c>
      <c r="E77" s="396">
        <f t="shared" si="82"/>
        <v>9.3096670438977888E-2</v>
      </c>
      <c r="F77" s="396">
        <f t="shared" ref="F77:AH77" si="87">-($E77-$AI77)/30+E77</f>
        <v>9.5839536526386104E-2</v>
      </c>
      <c r="G77" s="396">
        <f t="shared" si="87"/>
        <v>9.858240261379432E-2</v>
      </c>
      <c r="H77" s="396">
        <f t="shared" si="87"/>
        <v>0.10132526870120254</v>
      </c>
      <c r="I77" s="396">
        <f t="shared" si="87"/>
        <v>0.10406813478861075</v>
      </c>
      <c r="J77" s="396">
        <f t="shared" si="87"/>
        <v>0.10681100087601897</v>
      </c>
      <c r="K77" s="396">
        <f t="shared" si="87"/>
        <v>0.10955386696342718</v>
      </c>
      <c r="L77" s="396">
        <f t="shared" si="87"/>
        <v>0.1122967330508354</v>
      </c>
      <c r="M77" s="396">
        <f t="shared" si="87"/>
        <v>0.11503959913824362</v>
      </c>
      <c r="N77" s="396">
        <f t="shared" si="87"/>
        <v>0.11778246522565183</v>
      </c>
      <c r="O77" s="396">
        <f t="shared" si="87"/>
        <v>0.12052533131306005</v>
      </c>
      <c r="P77" s="396">
        <f t="shared" si="87"/>
        <v>0.12326819740046827</v>
      </c>
      <c r="Q77" s="396">
        <f t="shared" si="87"/>
        <v>0.1260110634878765</v>
      </c>
      <c r="R77" s="396">
        <f t="shared" si="87"/>
        <v>0.12875392957528473</v>
      </c>
      <c r="S77" s="396">
        <f t="shared" si="87"/>
        <v>0.13149679566269296</v>
      </c>
      <c r="T77" s="396">
        <f t="shared" si="87"/>
        <v>0.13423966175010119</v>
      </c>
      <c r="U77" s="396">
        <f t="shared" si="87"/>
        <v>0.13698252783750942</v>
      </c>
      <c r="V77" s="396">
        <f t="shared" si="87"/>
        <v>0.13972539392491765</v>
      </c>
      <c r="W77" s="396">
        <f t="shared" si="87"/>
        <v>0.14246826001232588</v>
      </c>
      <c r="X77" s="396">
        <f t="shared" si="87"/>
        <v>0.14521112609973411</v>
      </c>
      <c r="Y77" s="396">
        <f t="shared" si="87"/>
        <v>0.14795399218714234</v>
      </c>
      <c r="Z77" s="396">
        <f t="shared" si="87"/>
        <v>0.15069685827455057</v>
      </c>
      <c r="AA77" s="396">
        <f t="shared" si="87"/>
        <v>0.1534397243619588</v>
      </c>
      <c r="AB77" s="396">
        <f t="shared" si="87"/>
        <v>0.15618259044936703</v>
      </c>
      <c r="AC77" s="396">
        <f t="shared" si="87"/>
        <v>0.15892545653677526</v>
      </c>
      <c r="AD77" s="396">
        <f t="shared" si="87"/>
        <v>0.16166832262418349</v>
      </c>
      <c r="AE77" s="396">
        <f t="shared" si="87"/>
        <v>0.16441118871159172</v>
      </c>
      <c r="AF77" s="396">
        <f t="shared" si="87"/>
        <v>0.16715405479899995</v>
      </c>
      <c r="AG77" s="396">
        <f t="shared" si="87"/>
        <v>0.16989692088640818</v>
      </c>
      <c r="AH77" s="396">
        <f t="shared" si="87"/>
        <v>0.17263978697381641</v>
      </c>
      <c r="AI77" s="396">
        <f t="shared" si="84"/>
        <v>0.17538265306122452</v>
      </c>
    </row>
    <row r="78" spans="1:35" s="62" customFormat="1">
      <c r="A78" s="286"/>
      <c r="B78" s="62" t="s">
        <v>21</v>
      </c>
      <c r="C78" s="62" t="s">
        <v>824</v>
      </c>
      <c r="D78" s="62" t="s">
        <v>141</v>
      </c>
      <c r="E78" s="188">
        <f>F11</f>
        <v>0.80683781047114178</v>
      </c>
      <c r="F78" s="188">
        <f t="shared" ref="F78:AH78" si="88">-($E78-$AI78)/30+E78</f>
        <v>0.80385903311530105</v>
      </c>
      <c r="G78" s="188">
        <f t="shared" si="88"/>
        <v>0.80088025575946031</v>
      </c>
      <c r="H78" s="188">
        <f t="shared" si="88"/>
        <v>0.79790147840361958</v>
      </c>
      <c r="I78" s="188">
        <f t="shared" si="88"/>
        <v>0.79492270104777885</v>
      </c>
      <c r="J78" s="188">
        <f t="shared" si="88"/>
        <v>0.79194392369193811</v>
      </c>
      <c r="K78" s="188">
        <f t="shared" si="88"/>
        <v>0.78896514633609738</v>
      </c>
      <c r="L78" s="188">
        <f t="shared" si="88"/>
        <v>0.78598636898025664</v>
      </c>
      <c r="M78" s="188">
        <f t="shared" si="88"/>
        <v>0.78300759162441591</v>
      </c>
      <c r="N78" s="188">
        <f t="shared" si="88"/>
        <v>0.78002881426857518</v>
      </c>
      <c r="O78" s="188">
        <f t="shared" si="88"/>
        <v>0.77705003691273444</v>
      </c>
      <c r="P78" s="188">
        <f t="shared" si="88"/>
        <v>0.77407125955689371</v>
      </c>
      <c r="Q78" s="188">
        <f t="shared" si="88"/>
        <v>0.77109248220105298</v>
      </c>
      <c r="R78" s="188">
        <f t="shared" si="88"/>
        <v>0.76811370484521224</v>
      </c>
      <c r="S78" s="188">
        <f t="shared" si="88"/>
        <v>0.76513492748937151</v>
      </c>
      <c r="T78" s="188">
        <f t="shared" si="88"/>
        <v>0.76215615013353077</v>
      </c>
      <c r="U78" s="188">
        <f t="shared" si="88"/>
        <v>0.75917737277769004</v>
      </c>
      <c r="V78" s="188">
        <f t="shared" si="88"/>
        <v>0.75619859542184931</v>
      </c>
      <c r="W78" s="188">
        <f t="shared" si="88"/>
        <v>0.75321981806600857</v>
      </c>
      <c r="X78" s="188">
        <f t="shared" si="88"/>
        <v>0.75024104071016784</v>
      </c>
      <c r="Y78" s="188">
        <f t="shared" si="88"/>
        <v>0.74726226335432711</v>
      </c>
      <c r="Z78" s="188">
        <f t="shared" si="88"/>
        <v>0.74428348599848637</v>
      </c>
      <c r="AA78" s="188">
        <f t="shared" si="88"/>
        <v>0.74130470864264564</v>
      </c>
      <c r="AB78" s="188">
        <f t="shared" si="88"/>
        <v>0.7383259312868049</v>
      </c>
      <c r="AC78" s="188">
        <f t="shared" si="88"/>
        <v>0.73534715393096417</v>
      </c>
      <c r="AD78" s="188">
        <f t="shared" si="88"/>
        <v>0.73236837657512344</v>
      </c>
      <c r="AE78" s="188">
        <f t="shared" si="88"/>
        <v>0.7293895992192827</v>
      </c>
      <c r="AF78" s="188">
        <f t="shared" si="88"/>
        <v>0.72641082186344197</v>
      </c>
      <c r="AG78" s="188">
        <f t="shared" si="88"/>
        <v>0.72343204450760124</v>
      </c>
      <c r="AH78" s="188">
        <f t="shared" si="88"/>
        <v>0.7204532671517605</v>
      </c>
      <c r="AI78" s="188">
        <f>O11</f>
        <v>0.71747448979591832</v>
      </c>
    </row>
    <row r="79" spans="1:35">
      <c r="A79" s="289"/>
      <c r="B79" t="s">
        <v>21</v>
      </c>
      <c r="D79" t="s">
        <v>74</v>
      </c>
      <c r="E79" s="157">
        <f t="shared" ref="E79:E82" si="89">F12</f>
        <v>0.10006551908988028</v>
      </c>
      <c r="F79" s="157">
        <f t="shared" ref="F79:AH79" si="90">-($E79-$AI79)/30+E79</f>
        <v>9.6730001786884262E-2</v>
      </c>
      <c r="G79" s="157">
        <f t="shared" si="90"/>
        <v>9.3394484483888249E-2</v>
      </c>
      <c r="H79" s="157">
        <f t="shared" si="90"/>
        <v>9.0058967180892235E-2</v>
      </c>
      <c r="I79" s="157">
        <f t="shared" si="90"/>
        <v>8.6723449877896222E-2</v>
      </c>
      <c r="J79" s="157">
        <f t="shared" si="90"/>
        <v>8.3387932574900209E-2</v>
      </c>
      <c r="K79" s="157">
        <f t="shared" si="90"/>
        <v>8.0052415271904195E-2</v>
      </c>
      <c r="L79" s="157">
        <f t="shared" si="90"/>
        <v>7.6716897968908182E-2</v>
      </c>
      <c r="M79" s="157">
        <f t="shared" si="90"/>
        <v>7.3381380665912169E-2</v>
      </c>
      <c r="N79" s="157">
        <f t="shared" si="90"/>
        <v>7.0045863362916155E-2</v>
      </c>
      <c r="O79" s="157">
        <f t="shared" si="90"/>
        <v>6.6710346059920142E-2</v>
      </c>
      <c r="P79" s="157">
        <f t="shared" si="90"/>
        <v>6.3374828756924129E-2</v>
      </c>
      <c r="Q79" s="157">
        <f t="shared" si="90"/>
        <v>6.0039311453928122E-2</v>
      </c>
      <c r="R79" s="157">
        <f t="shared" si="90"/>
        <v>5.6703794150932116E-2</v>
      </c>
      <c r="S79" s="157">
        <f t="shared" si="90"/>
        <v>5.3368276847936109E-2</v>
      </c>
      <c r="T79" s="157">
        <f t="shared" si="90"/>
        <v>5.0032759544940103E-2</v>
      </c>
      <c r="U79" s="157">
        <f t="shared" si="90"/>
        <v>4.6697242241944097E-2</v>
      </c>
      <c r="V79" s="157">
        <f t="shared" si="90"/>
        <v>4.336172493894809E-2</v>
      </c>
      <c r="W79" s="157">
        <f t="shared" si="90"/>
        <v>4.0026207635952084E-2</v>
      </c>
      <c r="X79" s="157">
        <f t="shared" si="90"/>
        <v>3.6690690332956077E-2</v>
      </c>
      <c r="Y79" s="157">
        <f t="shared" si="90"/>
        <v>3.3355173029960071E-2</v>
      </c>
      <c r="Z79" s="157">
        <f t="shared" si="90"/>
        <v>3.0019655726964061E-2</v>
      </c>
      <c r="AA79" s="157">
        <f t="shared" si="90"/>
        <v>2.6684138423968051E-2</v>
      </c>
      <c r="AB79" s="157">
        <f t="shared" si="90"/>
        <v>2.3348621120972041E-2</v>
      </c>
      <c r="AC79" s="157">
        <f t="shared" si="90"/>
        <v>2.0013103817976031E-2</v>
      </c>
      <c r="AD79" s="157">
        <f t="shared" si="90"/>
        <v>1.6677586514980022E-2</v>
      </c>
      <c r="AE79" s="157">
        <f t="shared" si="90"/>
        <v>1.3342069211984012E-2</v>
      </c>
      <c r="AF79" s="157">
        <f t="shared" si="90"/>
        <v>1.0006551908988002E-2</v>
      </c>
      <c r="AG79" s="157">
        <f t="shared" si="90"/>
        <v>6.6710346059919929E-3</v>
      </c>
      <c r="AH79" s="157">
        <f t="shared" si="90"/>
        <v>3.3355173029959839E-3</v>
      </c>
      <c r="AI79" s="157">
        <f t="shared" ref="AI79:AI82" si="91">O12</f>
        <v>0</v>
      </c>
    </row>
    <row r="80" spans="1:35">
      <c r="A80" s="289"/>
      <c r="B80" t="s">
        <v>21</v>
      </c>
      <c r="D80" t="s">
        <v>34</v>
      </c>
      <c r="E80" s="157">
        <f t="shared" si="89"/>
        <v>0</v>
      </c>
      <c r="F80" s="157">
        <f t="shared" ref="F80:AH80" si="92">-($E80-$AI80)/30+E80</f>
        <v>3.5714285714285726E-3</v>
      </c>
      <c r="G80" s="157">
        <f t="shared" si="92"/>
        <v>7.1428571428571452E-3</v>
      </c>
      <c r="H80" s="157">
        <f t="shared" si="92"/>
        <v>1.0714285714285718E-2</v>
      </c>
      <c r="I80" s="157">
        <f t="shared" si="92"/>
        <v>1.428571428571429E-2</v>
      </c>
      <c r="J80" s="157">
        <f t="shared" si="92"/>
        <v>1.7857142857142863E-2</v>
      </c>
      <c r="K80" s="157">
        <f t="shared" si="92"/>
        <v>2.1428571428571436E-2</v>
      </c>
      <c r="L80" s="157">
        <f t="shared" si="92"/>
        <v>2.5000000000000008E-2</v>
      </c>
      <c r="M80" s="157">
        <f t="shared" si="92"/>
        <v>2.8571428571428581E-2</v>
      </c>
      <c r="N80" s="157">
        <f t="shared" si="92"/>
        <v>3.2142857142857154E-2</v>
      </c>
      <c r="O80" s="157">
        <f t="shared" si="92"/>
        <v>3.5714285714285726E-2</v>
      </c>
      <c r="P80" s="157">
        <f t="shared" si="92"/>
        <v>3.9285714285714299E-2</v>
      </c>
      <c r="Q80" s="157">
        <f t="shared" si="92"/>
        <v>4.2857142857142871E-2</v>
      </c>
      <c r="R80" s="157">
        <f t="shared" si="92"/>
        <v>4.6428571428571444E-2</v>
      </c>
      <c r="S80" s="157">
        <f t="shared" si="92"/>
        <v>5.0000000000000017E-2</v>
      </c>
      <c r="T80" s="157">
        <f t="shared" si="92"/>
        <v>5.3571428571428589E-2</v>
      </c>
      <c r="U80" s="157">
        <f t="shared" si="92"/>
        <v>5.7142857142857162E-2</v>
      </c>
      <c r="V80" s="157">
        <f t="shared" si="92"/>
        <v>6.0714285714285735E-2</v>
      </c>
      <c r="W80" s="157">
        <f t="shared" si="92"/>
        <v>6.4285714285714307E-2</v>
      </c>
      <c r="X80" s="157">
        <f t="shared" si="92"/>
        <v>6.785714285714288E-2</v>
      </c>
      <c r="Y80" s="157">
        <f t="shared" si="92"/>
        <v>7.1428571428571452E-2</v>
      </c>
      <c r="Z80" s="157">
        <f t="shared" si="92"/>
        <v>7.5000000000000025E-2</v>
      </c>
      <c r="AA80" s="157">
        <f t="shared" si="92"/>
        <v>7.8571428571428598E-2</v>
      </c>
      <c r="AB80" s="157">
        <f t="shared" si="92"/>
        <v>8.214285714285717E-2</v>
      </c>
      <c r="AC80" s="157">
        <f t="shared" si="92"/>
        <v>8.5714285714285743E-2</v>
      </c>
      <c r="AD80" s="157">
        <f t="shared" si="92"/>
        <v>8.9285714285714315E-2</v>
      </c>
      <c r="AE80" s="157">
        <f t="shared" si="92"/>
        <v>9.2857142857142888E-2</v>
      </c>
      <c r="AF80" s="157">
        <f t="shared" si="92"/>
        <v>9.6428571428571461E-2</v>
      </c>
      <c r="AG80" s="157">
        <f t="shared" si="92"/>
        <v>0.10000000000000003</v>
      </c>
      <c r="AH80" s="157">
        <f t="shared" si="92"/>
        <v>0.10357142857142861</v>
      </c>
      <c r="AI80" s="157">
        <f t="shared" si="91"/>
        <v>0.10714285714285718</v>
      </c>
    </row>
    <row r="81" spans="1:35">
      <c r="A81" s="289"/>
      <c r="B81" t="s">
        <v>21</v>
      </c>
      <c r="D81" t="s">
        <v>35</v>
      </c>
      <c r="E81" s="157">
        <f t="shared" si="89"/>
        <v>0</v>
      </c>
      <c r="F81" s="157">
        <f t="shared" ref="F81:AH81" si="93">-($E81-$AI81)/30+E81</f>
        <v>0</v>
      </c>
      <c r="G81" s="157">
        <f t="shared" si="93"/>
        <v>0</v>
      </c>
      <c r="H81" s="157">
        <f t="shared" si="93"/>
        <v>0</v>
      </c>
      <c r="I81" s="157">
        <f t="shared" si="93"/>
        <v>0</v>
      </c>
      <c r="J81" s="157">
        <f t="shared" si="93"/>
        <v>0</v>
      </c>
      <c r="K81" s="157">
        <f t="shared" si="93"/>
        <v>0</v>
      </c>
      <c r="L81" s="157">
        <f t="shared" si="93"/>
        <v>0</v>
      </c>
      <c r="M81" s="157">
        <f t="shared" si="93"/>
        <v>0</v>
      </c>
      <c r="N81" s="157">
        <f t="shared" si="93"/>
        <v>0</v>
      </c>
      <c r="O81" s="157">
        <f t="shared" si="93"/>
        <v>0</v>
      </c>
      <c r="P81" s="157">
        <f t="shared" si="93"/>
        <v>0</v>
      </c>
      <c r="Q81" s="157">
        <f t="shared" si="93"/>
        <v>0</v>
      </c>
      <c r="R81" s="157">
        <f t="shared" si="93"/>
        <v>0</v>
      </c>
      <c r="S81" s="157">
        <f t="shared" si="93"/>
        <v>0</v>
      </c>
      <c r="T81" s="157">
        <f t="shared" si="93"/>
        <v>0</v>
      </c>
      <c r="U81" s="157">
        <f t="shared" si="93"/>
        <v>0</v>
      </c>
      <c r="V81" s="157">
        <f t="shared" si="93"/>
        <v>0</v>
      </c>
      <c r="W81" s="157">
        <f t="shared" si="93"/>
        <v>0</v>
      </c>
      <c r="X81" s="157">
        <f t="shared" si="93"/>
        <v>0</v>
      </c>
      <c r="Y81" s="157">
        <f t="shared" si="93"/>
        <v>0</v>
      </c>
      <c r="Z81" s="157">
        <f t="shared" si="93"/>
        <v>0</v>
      </c>
      <c r="AA81" s="157">
        <f t="shared" si="93"/>
        <v>0</v>
      </c>
      <c r="AB81" s="157">
        <f t="shared" si="93"/>
        <v>0</v>
      </c>
      <c r="AC81" s="157">
        <f t="shared" si="93"/>
        <v>0</v>
      </c>
      <c r="AD81" s="157">
        <f t="shared" si="93"/>
        <v>0</v>
      </c>
      <c r="AE81" s="157">
        <f t="shared" si="93"/>
        <v>0</v>
      </c>
      <c r="AF81" s="157">
        <f t="shared" si="93"/>
        <v>0</v>
      </c>
      <c r="AG81" s="157">
        <f t="shared" si="93"/>
        <v>0</v>
      </c>
      <c r="AH81" s="157">
        <f t="shared" si="93"/>
        <v>0</v>
      </c>
      <c r="AI81" s="157">
        <f t="shared" si="91"/>
        <v>0</v>
      </c>
    </row>
    <row r="82" spans="1:35" s="63" customFormat="1">
      <c r="A82" s="290"/>
      <c r="B82" s="63" t="s">
        <v>21</v>
      </c>
      <c r="D82" s="63" t="s">
        <v>27</v>
      </c>
      <c r="E82" s="396">
        <f t="shared" si="89"/>
        <v>9.3096670438977888E-2</v>
      </c>
      <c r="F82" s="396">
        <f t="shared" ref="F82:AH82" si="94">-($E82-$AI82)/30+E82</f>
        <v>9.5839536526386104E-2</v>
      </c>
      <c r="G82" s="396">
        <f t="shared" si="94"/>
        <v>9.858240261379432E-2</v>
      </c>
      <c r="H82" s="396">
        <f t="shared" si="94"/>
        <v>0.10132526870120254</v>
      </c>
      <c r="I82" s="396">
        <f t="shared" si="94"/>
        <v>0.10406813478861075</v>
      </c>
      <c r="J82" s="396">
        <f t="shared" si="94"/>
        <v>0.10681100087601897</v>
      </c>
      <c r="K82" s="396">
        <f t="shared" si="94"/>
        <v>0.10955386696342718</v>
      </c>
      <c r="L82" s="396">
        <f t="shared" si="94"/>
        <v>0.1122967330508354</v>
      </c>
      <c r="M82" s="396">
        <f t="shared" si="94"/>
        <v>0.11503959913824362</v>
      </c>
      <c r="N82" s="396">
        <f t="shared" si="94"/>
        <v>0.11778246522565183</v>
      </c>
      <c r="O82" s="396">
        <f t="shared" si="94"/>
        <v>0.12052533131306005</v>
      </c>
      <c r="P82" s="396">
        <f t="shared" si="94"/>
        <v>0.12326819740046827</v>
      </c>
      <c r="Q82" s="396">
        <f t="shared" si="94"/>
        <v>0.1260110634878765</v>
      </c>
      <c r="R82" s="396">
        <f t="shared" si="94"/>
        <v>0.12875392957528473</v>
      </c>
      <c r="S82" s="396">
        <f t="shared" si="94"/>
        <v>0.13149679566269296</v>
      </c>
      <c r="T82" s="396">
        <f t="shared" si="94"/>
        <v>0.13423966175010119</v>
      </c>
      <c r="U82" s="396">
        <f t="shared" si="94"/>
        <v>0.13698252783750942</v>
      </c>
      <c r="V82" s="396">
        <f t="shared" si="94"/>
        <v>0.13972539392491765</v>
      </c>
      <c r="W82" s="396">
        <f t="shared" si="94"/>
        <v>0.14246826001232588</v>
      </c>
      <c r="X82" s="396">
        <f t="shared" si="94"/>
        <v>0.14521112609973411</v>
      </c>
      <c r="Y82" s="396">
        <f t="shared" si="94"/>
        <v>0.14795399218714234</v>
      </c>
      <c r="Z82" s="396">
        <f t="shared" si="94"/>
        <v>0.15069685827455057</v>
      </c>
      <c r="AA82" s="396">
        <f t="shared" si="94"/>
        <v>0.1534397243619588</v>
      </c>
      <c r="AB82" s="396">
        <f t="shared" si="94"/>
        <v>0.15618259044936703</v>
      </c>
      <c r="AC82" s="396">
        <f t="shared" si="94"/>
        <v>0.15892545653677526</v>
      </c>
      <c r="AD82" s="396">
        <f t="shared" si="94"/>
        <v>0.16166832262418349</v>
      </c>
      <c r="AE82" s="396">
        <f t="shared" si="94"/>
        <v>0.16441118871159172</v>
      </c>
      <c r="AF82" s="396">
        <f t="shared" si="94"/>
        <v>0.16715405479899995</v>
      </c>
      <c r="AG82" s="396">
        <f t="shared" si="94"/>
        <v>0.16989692088640818</v>
      </c>
      <c r="AH82" s="396">
        <f t="shared" si="94"/>
        <v>0.17263978697381641</v>
      </c>
      <c r="AI82" s="396">
        <f t="shared" si="91"/>
        <v>0.17538265306122452</v>
      </c>
    </row>
    <row r="83" spans="1:35" s="62" customFormat="1">
      <c r="A83" s="286"/>
      <c r="B83" s="62" t="s">
        <v>21</v>
      </c>
      <c r="C83" s="62" t="s">
        <v>818</v>
      </c>
      <c r="D83" s="62" t="s">
        <v>141</v>
      </c>
      <c r="E83" s="188">
        <f>G11</f>
        <v>0.80683781047114178</v>
      </c>
      <c r="F83" s="188">
        <f t="shared" ref="F83:AH83" si="95">-($E83-$AI83)/30+E83</f>
        <v>0.80385903311530105</v>
      </c>
      <c r="G83" s="188">
        <f t="shared" si="95"/>
        <v>0.80088025575946031</v>
      </c>
      <c r="H83" s="188">
        <f t="shared" si="95"/>
        <v>0.79790147840361958</v>
      </c>
      <c r="I83" s="188">
        <f t="shared" si="95"/>
        <v>0.79492270104777885</v>
      </c>
      <c r="J83" s="188">
        <f t="shared" si="95"/>
        <v>0.79194392369193811</v>
      </c>
      <c r="K83" s="188">
        <f t="shared" si="95"/>
        <v>0.78896514633609738</v>
      </c>
      <c r="L83" s="188">
        <f t="shared" si="95"/>
        <v>0.78598636898025664</v>
      </c>
      <c r="M83" s="188">
        <f t="shared" si="95"/>
        <v>0.78300759162441591</v>
      </c>
      <c r="N83" s="188">
        <f t="shared" si="95"/>
        <v>0.78002881426857518</v>
      </c>
      <c r="O83" s="188">
        <f t="shared" si="95"/>
        <v>0.77705003691273444</v>
      </c>
      <c r="P83" s="188">
        <f t="shared" si="95"/>
        <v>0.77407125955689371</v>
      </c>
      <c r="Q83" s="188">
        <f t="shared" si="95"/>
        <v>0.77109248220105298</v>
      </c>
      <c r="R83" s="188">
        <f t="shared" si="95"/>
        <v>0.76811370484521224</v>
      </c>
      <c r="S83" s="188">
        <f t="shared" si="95"/>
        <v>0.76513492748937151</v>
      </c>
      <c r="T83" s="188">
        <f t="shared" si="95"/>
        <v>0.76215615013353077</v>
      </c>
      <c r="U83" s="188">
        <f t="shared" si="95"/>
        <v>0.75917737277769004</v>
      </c>
      <c r="V83" s="188">
        <f t="shared" si="95"/>
        <v>0.75619859542184931</v>
      </c>
      <c r="W83" s="188">
        <f t="shared" si="95"/>
        <v>0.75321981806600857</v>
      </c>
      <c r="X83" s="188">
        <f t="shared" si="95"/>
        <v>0.75024104071016784</v>
      </c>
      <c r="Y83" s="188">
        <f t="shared" si="95"/>
        <v>0.74726226335432711</v>
      </c>
      <c r="Z83" s="188">
        <f t="shared" si="95"/>
        <v>0.74428348599848637</v>
      </c>
      <c r="AA83" s="188">
        <f t="shared" si="95"/>
        <v>0.74130470864264564</v>
      </c>
      <c r="AB83" s="188">
        <f t="shared" si="95"/>
        <v>0.7383259312868049</v>
      </c>
      <c r="AC83" s="188">
        <f t="shared" si="95"/>
        <v>0.73534715393096417</v>
      </c>
      <c r="AD83" s="188">
        <f t="shared" si="95"/>
        <v>0.73236837657512344</v>
      </c>
      <c r="AE83" s="188">
        <f t="shared" si="95"/>
        <v>0.7293895992192827</v>
      </c>
      <c r="AF83" s="188">
        <f t="shared" si="95"/>
        <v>0.72641082186344197</v>
      </c>
      <c r="AG83" s="188">
        <f t="shared" si="95"/>
        <v>0.72343204450760124</v>
      </c>
      <c r="AH83" s="188">
        <f t="shared" si="95"/>
        <v>0.7204532671517605</v>
      </c>
      <c r="AI83" s="188">
        <f>P11</f>
        <v>0.71747448979591832</v>
      </c>
    </row>
    <row r="84" spans="1:35">
      <c r="A84" s="289"/>
      <c r="B84" t="s">
        <v>21</v>
      </c>
      <c r="D84" t="s">
        <v>74</v>
      </c>
      <c r="E84" s="157">
        <f t="shared" ref="E84:E87" si="96">G12</f>
        <v>0.10006551908988028</v>
      </c>
      <c r="F84" s="157">
        <f t="shared" ref="F84:AH84" si="97">-($E84-$AI84)/30+E84</f>
        <v>9.6730001786884262E-2</v>
      </c>
      <c r="G84" s="157">
        <f t="shared" si="97"/>
        <v>9.3394484483888249E-2</v>
      </c>
      <c r="H84" s="157">
        <f t="shared" si="97"/>
        <v>9.0058967180892235E-2</v>
      </c>
      <c r="I84" s="157">
        <f t="shared" si="97"/>
        <v>8.6723449877896222E-2</v>
      </c>
      <c r="J84" s="157">
        <f t="shared" si="97"/>
        <v>8.3387932574900209E-2</v>
      </c>
      <c r="K84" s="157">
        <f t="shared" si="97"/>
        <v>8.0052415271904195E-2</v>
      </c>
      <c r="L84" s="157">
        <f t="shared" si="97"/>
        <v>7.6716897968908182E-2</v>
      </c>
      <c r="M84" s="157">
        <f t="shared" si="97"/>
        <v>7.3381380665912169E-2</v>
      </c>
      <c r="N84" s="157">
        <f t="shared" si="97"/>
        <v>7.0045863362916155E-2</v>
      </c>
      <c r="O84" s="157">
        <f t="shared" si="97"/>
        <v>6.6710346059920142E-2</v>
      </c>
      <c r="P84" s="157">
        <f t="shared" si="97"/>
        <v>6.3374828756924129E-2</v>
      </c>
      <c r="Q84" s="157">
        <f t="shared" si="97"/>
        <v>6.0039311453928122E-2</v>
      </c>
      <c r="R84" s="157">
        <f t="shared" si="97"/>
        <v>5.6703794150932116E-2</v>
      </c>
      <c r="S84" s="157">
        <f t="shared" si="97"/>
        <v>5.3368276847936109E-2</v>
      </c>
      <c r="T84" s="157">
        <f t="shared" si="97"/>
        <v>5.0032759544940103E-2</v>
      </c>
      <c r="U84" s="157">
        <f t="shared" si="97"/>
        <v>4.6697242241944097E-2</v>
      </c>
      <c r="V84" s="157">
        <f t="shared" si="97"/>
        <v>4.336172493894809E-2</v>
      </c>
      <c r="W84" s="157">
        <f t="shared" si="97"/>
        <v>4.0026207635952084E-2</v>
      </c>
      <c r="X84" s="157">
        <f t="shared" si="97"/>
        <v>3.6690690332956077E-2</v>
      </c>
      <c r="Y84" s="157">
        <f t="shared" si="97"/>
        <v>3.3355173029960071E-2</v>
      </c>
      <c r="Z84" s="157">
        <f t="shared" si="97"/>
        <v>3.0019655726964061E-2</v>
      </c>
      <c r="AA84" s="157">
        <f t="shared" si="97"/>
        <v>2.6684138423968051E-2</v>
      </c>
      <c r="AB84" s="157">
        <f t="shared" si="97"/>
        <v>2.3348621120972041E-2</v>
      </c>
      <c r="AC84" s="157">
        <f t="shared" si="97"/>
        <v>2.0013103817976031E-2</v>
      </c>
      <c r="AD84" s="157">
        <f t="shared" si="97"/>
        <v>1.6677586514980022E-2</v>
      </c>
      <c r="AE84" s="157">
        <f t="shared" si="97"/>
        <v>1.3342069211984012E-2</v>
      </c>
      <c r="AF84" s="157">
        <f t="shared" si="97"/>
        <v>1.0006551908988002E-2</v>
      </c>
      <c r="AG84" s="157">
        <f t="shared" si="97"/>
        <v>6.6710346059919929E-3</v>
      </c>
      <c r="AH84" s="157">
        <f t="shared" si="97"/>
        <v>3.3355173029959839E-3</v>
      </c>
      <c r="AI84" s="157">
        <f t="shared" ref="AI84:AI87" si="98">P12</f>
        <v>0</v>
      </c>
    </row>
    <row r="85" spans="1:35">
      <c r="A85" s="289"/>
      <c r="B85" t="s">
        <v>21</v>
      </c>
      <c r="D85" t="s">
        <v>34</v>
      </c>
      <c r="E85" s="157">
        <f t="shared" si="96"/>
        <v>0</v>
      </c>
      <c r="F85" s="157">
        <f t="shared" ref="F85:AH85" si="99">-($E85-$AI85)/30+E85</f>
        <v>3.5714285714285726E-3</v>
      </c>
      <c r="G85" s="157">
        <f t="shared" si="99"/>
        <v>7.1428571428571452E-3</v>
      </c>
      <c r="H85" s="157">
        <f t="shared" si="99"/>
        <v>1.0714285714285718E-2</v>
      </c>
      <c r="I85" s="157">
        <f t="shared" si="99"/>
        <v>1.428571428571429E-2</v>
      </c>
      <c r="J85" s="157">
        <f t="shared" si="99"/>
        <v>1.7857142857142863E-2</v>
      </c>
      <c r="K85" s="157">
        <f t="shared" si="99"/>
        <v>2.1428571428571436E-2</v>
      </c>
      <c r="L85" s="157">
        <f t="shared" si="99"/>
        <v>2.5000000000000008E-2</v>
      </c>
      <c r="M85" s="157">
        <f t="shared" si="99"/>
        <v>2.8571428571428581E-2</v>
      </c>
      <c r="N85" s="157">
        <f t="shared" si="99"/>
        <v>3.2142857142857154E-2</v>
      </c>
      <c r="O85" s="157">
        <f t="shared" si="99"/>
        <v>3.5714285714285726E-2</v>
      </c>
      <c r="P85" s="157">
        <f t="shared" si="99"/>
        <v>3.9285714285714299E-2</v>
      </c>
      <c r="Q85" s="157">
        <f t="shared" si="99"/>
        <v>4.2857142857142871E-2</v>
      </c>
      <c r="R85" s="157">
        <f t="shared" si="99"/>
        <v>4.6428571428571444E-2</v>
      </c>
      <c r="S85" s="157">
        <f t="shared" si="99"/>
        <v>5.0000000000000017E-2</v>
      </c>
      <c r="T85" s="157">
        <f t="shared" si="99"/>
        <v>5.3571428571428589E-2</v>
      </c>
      <c r="U85" s="157">
        <f t="shared" si="99"/>
        <v>5.7142857142857162E-2</v>
      </c>
      <c r="V85" s="157">
        <f t="shared" si="99"/>
        <v>6.0714285714285735E-2</v>
      </c>
      <c r="W85" s="157">
        <f t="shared" si="99"/>
        <v>6.4285714285714307E-2</v>
      </c>
      <c r="X85" s="157">
        <f t="shared" si="99"/>
        <v>6.785714285714288E-2</v>
      </c>
      <c r="Y85" s="157">
        <f t="shared" si="99"/>
        <v>7.1428571428571452E-2</v>
      </c>
      <c r="Z85" s="157">
        <f t="shared" si="99"/>
        <v>7.5000000000000025E-2</v>
      </c>
      <c r="AA85" s="157">
        <f t="shared" si="99"/>
        <v>7.8571428571428598E-2</v>
      </c>
      <c r="AB85" s="157">
        <f t="shared" si="99"/>
        <v>8.214285714285717E-2</v>
      </c>
      <c r="AC85" s="157">
        <f t="shared" si="99"/>
        <v>8.5714285714285743E-2</v>
      </c>
      <c r="AD85" s="157">
        <f t="shared" si="99"/>
        <v>8.9285714285714315E-2</v>
      </c>
      <c r="AE85" s="157">
        <f t="shared" si="99"/>
        <v>9.2857142857142888E-2</v>
      </c>
      <c r="AF85" s="157">
        <f t="shared" si="99"/>
        <v>9.6428571428571461E-2</v>
      </c>
      <c r="AG85" s="157">
        <f t="shared" si="99"/>
        <v>0.10000000000000003</v>
      </c>
      <c r="AH85" s="157">
        <f t="shared" si="99"/>
        <v>0.10357142857142861</v>
      </c>
      <c r="AI85" s="157">
        <f t="shared" si="98"/>
        <v>0.10714285714285718</v>
      </c>
    </row>
    <row r="86" spans="1:35">
      <c r="A86" s="289"/>
      <c r="B86" t="s">
        <v>21</v>
      </c>
      <c r="D86" t="s">
        <v>35</v>
      </c>
      <c r="E86" s="157">
        <f t="shared" si="96"/>
        <v>0</v>
      </c>
      <c r="F86" s="157">
        <f t="shared" ref="F86:AH86" si="100">-($E86-$AI86)/30+E86</f>
        <v>0</v>
      </c>
      <c r="G86" s="157">
        <f t="shared" si="100"/>
        <v>0</v>
      </c>
      <c r="H86" s="157">
        <f t="shared" si="100"/>
        <v>0</v>
      </c>
      <c r="I86" s="157">
        <f t="shared" si="100"/>
        <v>0</v>
      </c>
      <c r="J86" s="157">
        <f t="shared" si="100"/>
        <v>0</v>
      </c>
      <c r="K86" s="157">
        <f t="shared" si="100"/>
        <v>0</v>
      </c>
      <c r="L86" s="157">
        <f t="shared" si="100"/>
        <v>0</v>
      </c>
      <c r="M86" s="157">
        <f t="shared" si="100"/>
        <v>0</v>
      </c>
      <c r="N86" s="157">
        <f t="shared" si="100"/>
        <v>0</v>
      </c>
      <c r="O86" s="157">
        <f t="shared" si="100"/>
        <v>0</v>
      </c>
      <c r="P86" s="157">
        <f t="shared" si="100"/>
        <v>0</v>
      </c>
      <c r="Q86" s="157">
        <f t="shared" si="100"/>
        <v>0</v>
      </c>
      <c r="R86" s="157">
        <f t="shared" si="100"/>
        <v>0</v>
      </c>
      <c r="S86" s="157">
        <f t="shared" si="100"/>
        <v>0</v>
      </c>
      <c r="T86" s="157">
        <f t="shared" si="100"/>
        <v>0</v>
      </c>
      <c r="U86" s="157">
        <f t="shared" si="100"/>
        <v>0</v>
      </c>
      <c r="V86" s="157">
        <f t="shared" si="100"/>
        <v>0</v>
      </c>
      <c r="W86" s="157">
        <f t="shared" si="100"/>
        <v>0</v>
      </c>
      <c r="X86" s="157">
        <f t="shared" si="100"/>
        <v>0</v>
      </c>
      <c r="Y86" s="157">
        <f t="shared" si="100"/>
        <v>0</v>
      </c>
      <c r="Z86" s="157">
        <f t="shared" si="100"/>
        <v>0</v>
      </c>
      <c r="AA86" s="157">
        <f t="shared" si="100"/>
        <v>0</v>
      </c>
      <c r="AB86" s="157">
        <f t="shared" si="100"/>
        <v>0</v>
      </c>
      <c r="AC86" s="157">
        <f t="shared" si="100"/>
        <v>0</v>
      </c>
      <c r="AD86" s="157">
        <f t="shared" si="100"/>
        <v>0</v>
      </c>
      <c r="AE86" s="157">
        <f t="shared" si="100"/>
        <v>0</v>
      </c>
      <c r="AF86" s="157">
        <f t="shared" si="100"/>
        <v>0</v>
      </c>
      <c r="AG86" s="157">
        <f t="shared" si="100"/>
        <v>0</v>
      </c>
      <c r="AH86" s="157">
        <f t="shared" si="100"/>
        <v>0</v>
      </c>
      <c r="AI86" s="157">
        <f t="shared" si="98"/>
        <v>0</v>
      </c>
    </row>
    <row r="87" spans="1:35" s="63" customFormat="1">
      <c r="A87" s="290"/>
      <c r="B87" s="63" t="s">
        <v>21</v>
      </c>
      <c r="D87" s="63" t="s">
        <v>27</v>
      </c>
      <c r="E87" s="396">
        <f t="shared" si="96"/>
        <v>9.3096670438977888E-2</v>
      </c>
      <c r="F87" s="396">
        <f t="shared" ref="F87:AH87" si="101">-($E87-$AI87)/30+E87</f>
        <v>9.5839536526386104E-2</v>
      </c>
      <c r="G87" s="396">
        <f t="shared" si="101"/>
        <v>9.858240261379432E-2</v>
      </c>
      <c r="H87" s="396">
        <f t="shared" si="101"/>
        <v>0.10132526870120254</v>
      </c>
      <c r="I87" s="396">
        <f t="shared" si="101"/>
        <v>0.10406813478861075</v>
      </c>
      <c r="J87" s="396">
        <f t="shared" si="101"/>
        <v>0.10681100087601897</v>
      </c>
      <c r="K87" s="396">
        <f t="shared" si="101"/>
        <v>0.10955386696342718</v>
      </c>
      <c r="L87" s="396">
        <f t="shared" si="101"/>
        <v>0.1122967330508354</v>
      </c>
      <c r="M87" s="396">
        <f t="shared" si="101"/>
        <v>0.11503959913824362</v>
      </c>
      <c r="N87" s="396">
        <f t="shared" si="101"/>
        <v>0.11778246522565183</v>
      </c>
      <c r="O87" s="396">
        <f t="shared" si="101"/>
        <v>0.12052533131306005</v>
      </c>
      <c r="P87" s="396">
        <f t="shared" si="101"/>
        <v>0.12326819740046827</v>
      </c>
      <c r="Q87" s="396">
        <f t="shared" si="101"/>
        <v>0.1260110634878765</v>
      </c>
      <c r="R87" s="396">
        <f t="shared" si="101"/>
        <v>0.12875392957528473</v>
      </c>
      <c r="S87" s="396">
        <f t="shared" si="101"/>
        <v>0.13149679566269296</v>
      </c>
      <c r="T87" s="396">
        <f t="shared" si="101"/>
        <v>0.13423966175010119</v>
      </c>
      <c r="U87" s="396">
        <f t="shared" si="101"/>
        <v>0.13698252783750942</v>
      </c>
      <c r="V87" s="396">
        <f t="shared" si="101"/>
        <v>0.13972539392491765</v>
      </c>
      <c r="W87" s="396">
        <f t="shared" si="101"/>
        <v>0.14246826001232588</v>
      </c>
      <c r="X87" s="396">
        <f t="shared" si="101"/>
        <v>0.14521112609973411</v>
      </c>
      <c r="Y87" s="396">
        <f t="shared" si="101"/>
        <v>0.14795399218714234</v>
      </c>
      <c r="Z87" s="396">
        <f t="shared" si="101"/>
        <v>0.15069685827455057</v>
      </c>
      <c r="AA87" s="396">
        <f t="shared" si="101"/>
        <v>0.1534397243619588</v>
      </c>
      <c r="AB87" s="396">
        <f t="shared" si="101"/>
        <v>0.15618259044936703</v>
      </c>
      <c r="AC87" s="396">
        <f t="shared" si="101"/>
        <v>0.15892545653677526</v>
      </c>
      <c r="AD87" s="396">
        <f t="shared" si="101"/>
        <v>0.16166832262418349</v>
      </c>
      <c r="AE87" s="396">
        <f t="shared" si="101"/>
        <v>0.16441118871159172</v>
      </c>
      <c r="AF87" s="396">
        <f t="shared" si="101"/>
        <v>0.16715405479899995</v>
      </c>
      <c r="AG87" s="396">
        <f t="shared" si="101"/>
        <v>0.16989692088640818</v>
      </c>
      <c r="AH87" s="396">
        <f t="shared" si="101"/>
        <v>0.17263978697381641</v>
      </c>
      <c r="AI87" s="396">
        <f t="shared" si="98"/>
        <v>0.17538265306122452</v>
      </c>
    </row>
    <row r="88" spans="1:35" s="62" customFormat="1">
      <c r="A88" s="286"/>
      <c r="B88" s="62" t="s">
        <v>53</v>
      </c>
      <c r="C88" s="62" t="s">
        <v>815</v>
      </c>
      <c r="D88" s="62" t="s">
        <v>141</v>
      </c>
      <c r="E88" s="188">
        <f>D19</f>
        <v>0</v>
      </c>
      <c r="F88" s="188">
        <f t="shared" ref="F88:AH88" si="102">-($E88-$AI88)/30+E88</f>
        <v>0</v>
      </c>
      <c r="G88" s="188">
        <f t="shared" si="102"/>
        <v>0</v>
      </c>
      <c r="H88" s="188">
        <f t="shared" si="102"/>
        <v>0</v>
      </c>
      <c r="I88" s="188">
        <f t="shared" si="102"/>
        <v>0</v>
      </c>
      <c r="J88" s="188">
        <f t="shared" si="102"/>
        <v>0</v>
      </c>
      <c r="K88" s="188">
        <f t="shared" si="102"/>
        <v>0</v>
      </c>
      <c r="L88" s="188">
        <f t="shared" si="102"/>
        <v>0</v>
      </c>
      <c r="M88" s="188">
        <f t="shared" si="102"/>
        <v>0</v>
      </c>
      <c r="N88" s="188">
        <f t="shared" si="102"/>
        <v>0</v>
      </c>
      <c r="O88" s="188">
        <f t="shared" si="102"/>
        <v>0</v>
      </c>
      <c r="P88" s="188">
        <f t="shared" si="102"/>
        <v>0</v>
      </c>
      <c r="Q88" s="188">
        <f t="shared" si="102"/>
        <v>0</v>
      </c>
      <c r="R88" s="188">
        <f t="shared" si="102"/>
        <v>0</v>
      </c>
      <c r="S88" s="188">
        <f t="shared" si="102"/>
        <v>0</v>
      </c>
      <c r="T88" s="188">
        <f t="shared" si="102"/>
        <v>0</v>
      </c>
      <c r="U88" s="188">
        <f t="shared" si="102"/>
        <v>0</v>
      </c>
      <c r="V88" s="188">
        <f t="shared" si="102"/>
        <v>0</v>
      </c>
      <c r="W88" s="188">
        <f t="shared" si="102"/>
        <v>0</v>
      </c>
      <c r="X88" s="188">
        <f t="shared" si="102"/>
        <v>0</v>
      </c>
      <c r="Y88" s="188">
        <f t="shared" si="102"/>
        <v>0</v>
      </c>
      <c r="Z88" s="188">
        <f t="shared" si="102"/>
        <v>0</v>
      </c>
      <c r="AA88" s="188">
        <f t="shared" si="102"/>
        <v>0</v>
      </c>
      <c r="AB88" s="188">
        <f t="shared" si="102"/>
        <v>0</v>
      </c>
      <c r="AC88" s="188">
        <f t="shared" si="102"/>
        <v>0</v>
      </c>
      <c r="AD88" s="188">
        <f t="shared" si="102"/>
        <v>0</v>
      </c>
      <c r="AE88" s="188">
        <f t="shared" si="102"/>
        <v>0</v>
      </c>
      <c r="AF88" s="188">
        <f t="shared" si="102"/>
        <v>0</v>
      </c>
      <c r="AG88" s="188">
        <f t="shared" si="102"/>
        <v>0</v>
      </c>
      <c r="AH88" s="188">
        <f t="shared" si="102"/>
        <v>0</v>
      </c>
      <c r="AI88" s="188">
        <f>M19</f>
        <v>0</v>
      </c>
    </row>
    <row r="89" spans="1:35">
      <c r="A89" s="289"/>
      <c r="B89" t="s">
        <v>53</v>
      </c>
      <c r="D89" t="s">
        <v>74</v>
      </c>
      <c r="E89" s="157">
        <f t="shared" ref="E89:E92" si="103">D20</f>
        <v>0</v>
      </c>
      <c r="F89" s="157">
        <f t="shared" ref="F89:AH89" si="104">-($E89-$AI89)/30+E89</f>
        <v>0</v>
      </c>
      <c r="G89" s="157">
        <f t="shared" si="104"/>
        <v>0</v>
      </c>
      <c r="H89" s="157">
        <f t="shared" si="104"/>
        <v>0</v>
      </c>
      <c r="I89" s="157">
        <f t="shared" si="104"/>
        <v>0</v>
      </c>
      <c r="J89" s="157">
        <f t="shared" si="104"/>
        <v>0</v>
      </c>
      <c r="K89" s="157">
        <f t="shared" si="104"/>
        <v>0</v>
      </c>
      <c r="L89" s="157">
        <f t="shared" si="104"/>
        <v>0</v>
      </c>
      <c r="M89" s="157">
        <f t="shared" si="104"/>
        <v>0</v>
      </c>
      <c r="N89" s="157">
        <f t="shared" si="104"/>
        <v>0</v>
      </c>
      <c r="O89" s="157">
        <f t="shared" si="104"/>
        <v>0</v>
      </c>
      <c r="P89" s="157">
        <f t="shared" si="104"/>
        <v>0</v>
      </c>
      <c r="Q89" s="157">
        <f t="shared" si="104"/>
        <v>0</v>
      </c>
      <c r="R89" s="157">
        <f t="shared" si="104"/>
        <v>0</v>
      </c>
      <c r="S89" s="157">
        <f t="shared" si="104"/>
        <v>0</v>
      </c>
      <c r="T89" s="157">
        <f t="shared" si="104"/>
        <v>0</v>
      </c>
      <c r="U89" s="157">
        <f t="shared" si="104"/>
        <v>0</v>
      </c>
      <c r="V89" s="157">
        <f t="shared" si="104"/>
        <v>0</v>
      </c>
      <c r="W89" s="157">
        <f t="shared" si="104"/>
        <v>0</v>
      </c>
      <c r="X89" s="157">
        <f t="shared" si="104"/>
        <v>0</v>
      </c>
      <c r="Y89" s="157">
        <f t="shared" si="104"/>
        <v>0</v>
      </c>
      <c r="Z89" s="157">
        <f t="shared" si="104"/>
        <v>0</v>
      </c>
      <c r="AA89" s="157">
        <f t="shared" si="104"/>
        <v>0</v>
      </c>
      <c r="AB89" s="157">
        <f t="shared" si="104"/>
        <v>0</v>
      </c>
      <c r="AC89" s="157">
        <f t="shared" si="104"/>
        <v>0</v>
      </c>
      <c r="AD89" s="157">
        <f t="shared" si="104"/>
        <v>0</v>
      </c>
      <c r="AE89" s="157">
        <f t="shared" si="104"/>
        <v>0</v>
      </c>
      <c r="AF89" s="157">
        <f t="shared" si="104"/>
        <v>0</v>
      </c>
      <c r="AG89" s="157">
        <f t="shared" si="104"/>
        <v>0</v>
      </c>
      <c r="AH89" s="157">
        <f t="shared" si="104"/>
        <v>0</v>
      </c>
      <c r="AI89" s="157">
        <f t="shared" ref="AI89:AI92" si="105">M20</f>
        <v>0</v>
      </c>
    </row>
    <row r="90" spans="1:35">
      <c r="A90" s="289"/>
      <c r="B90" t="s">
        <v>53</v>
      </c>
      <c r="D90" t="s">
        <v>34</v>
      </c>
      <c r="E90" s="157">
        <f t="shared" si="103"/>
        <v>0</v>
      </c>
      <c r="F90" s="157">
        <f t="shared" ref="F90:AH90" si="106">-($E90-$AI90)/30+E90</f>
        <v>0</v>
      </c>
      <c r="G90" s="157">
        <f t="shared" si="106"/>
        <v>0</v>
      </c>
      <c r="H90" s="157">
        <f t="shared" si="106"/>
        <v>0</v>
      </c>
      <c r="I90" s="157">
        <f t="shared" si="106"/>
        <v>0</v>
      </c>
      <c r="J90" s="157">
        <f t="shared" si="106"/>
        <v>0</v>
      </c>
      <c r="K90" s="157">
        <f t="shared" si="106"/>
        <v>0</v>
      </c>
      <c r="L90" s="157">
        <f t="shared" si="106"/>
        <v>0</v>
      </c>
      <c r="M90" s="157">
        <f t="shared" si="106"/>
        <v>0</v>
      </c>
      <c r="N90" s="157">
        <f t="shared" si="106"/>
        <v>0</v>
      </c>
      <c r="O90" s="157">
        <f t="shared" si="106"/>
        <v>0</v>
      </c>
      <c r="P90" s="157">
        <f t="shared" si="106"/>
        <v>0</v>
      </c>
      <c r="Q90" s="157">
        <f t="shared" si="106"/>
        <v>0</v>
      </c>
      <c r="R90" s="157">
        <f t="shared" si="106"/>
        <v>0</v>
      </c>
      <c r="S90" s="157">
        <f t="shared" si="106"/>
        <v>0</v>
      </c>
      <c r="T90" s="157">
        <f t="shared" si="106"/>
        <v>0</v>
      </c>
      <c r="U90" s="157">
        <f t="shared" si="106"/>
        <v>0</v>
      </c>
      <c r="V90" s="157">
        <f t="shared" si="106"/>
        <v>0</v>
      </c>
      <c r="W90" s="157">
        <f t="shared" si="106"/>
        <v>0</v>
      </c>
      <c r="X90" s="157">
        <f t="shared" si="106"/>
        <v>0</v>
      </c>
      <c r="Y90" s="157">
        <f t="shared" si="106"/>
        <v>0</v>
      </c>
      <c r="Z90" s="157">
        <f t="shared" si="106"/>
        <v>0</v>
      </c>
      <c r="AA90" s="157">
        <f t="shared" si="106"/>
        <v>0</v>
      </c>
      <c r="AB90" s="157">
        <f t="shared" si="106"/>
        <v>0</v>
      </c>
      <c r="AC90" s="157">
        <f t="shared" si="106"/>
        <v>0</v>
      </c>
      <c r="AD90" s="157">
        <f t="shared" si="106"/>
        <v>0</v>
      </c>
      <c r="AE90" s="157">
        <f t="shared" si="106"/>
        <v>0</v>
      </c>
      <c r="AF90" s="157">
        <f t="shared" si="106"/>
        <v>0</v>
      </c>
      <c r="AG90" s="157">
        <f t="shared" si="106"/>
        <v>0</v>
      </c>
      <c r="AH90" s="157">
        <f t="shared" si="106"/>
        <v>0</v>
      </c>
      <c r="AI90" s="157">
        <f t="shared" si="105"/>
        <v>0</v>
      </c>
    </row>
    <row r="91" spans="1:35">
      <c r="A91" s="289"/>
      <c r="B91" t="s">
        <v>53</v>
      </c>
      <c r="D91" t="s">
        <v>35</v>
      </c>
      <c r="E91" s="157">
        <f>D22</f>
        <v>0.99990058515507274</v>
      </c>
      <c r="F91" s="157">
        <f t="shared" ref="F91:AH91" si="107">-($E91-$AI91)/30+E91</f>
        <v>0.99990058515507274</v>
      </c>
      <c r="G91" s="157">
        <f t="shared" si="107"/>
        <v>0.99990058515507274</v>
      </c>
      <c r="H91" s="157">
        <f t="shared" si="107"/>
        <v>0.99990058515507274</v>
      </c>
      <c r="I91" s="157">
        <f t="shared" si="107"/>
        <v>0.99990058515507274</v>
      </c>
      <c r="J91" s="157">
        <f t="shared" si="107"/>
        <v>0.99990058515507274</v>
      </c>
      <c r="K91" s="157">
        <f t="shared" si="107"/>
        <v>0.99990058515507274</v>
      </c>
      <c r="L91" s="157">
        <f t="shared" si="107"/>
        <v>0.99990058515507274</v>
      </c>
      <c r="M91" s="157">
        <f t="shared" si="107"/>
        <v>0.99990058515507274</v>
      </c>
      <c r="N91" s="157">
        <f t="shared" si="107"/>
        <v>0.99990058515507274</v>
      </c>
      <c r="O91" s="157">
        <f t="shared" si="107"/>
        <v>0.99990058515507274</v>
      </c>
      <c r="P91" s="157">
        <f t="shared" si="107"/>
        <v>0.99990058515507274</v>
      </c>
      <c r="Q91" s="157">
        <f t="shared" si="107"/>
        <v>0.99990058515507274</v>
      </c>
      <c r="R91" s="157">
        <f t="shared" si="107"/>
        <v>0.99990058515507274</v>
      </c>
      <c r="S91" s="157">
        <f t="shared" si="107"/>
        <v>0.99990058515507274</v>
      </c>
      <c r="T91" s="157">
        <f t="shared" si="107"/>
        <v>0.99990058515507274</v>
      </c>
      <c r="U91" s="157">
        <f t="shared" si="107"/>
        <v>0.99990058515507274</v>
      </c>
      <c r="V91" s="157">
        <f t="shared" si="107"/>
        <v>0.99990058515507274</v>
      </c>
      <c r="W91" s="157">
        <f t="shared" si="107"/>
        <v>0.99990058515507274</v>
      </c>
      <c r="X91" s="157">
        <f t="shared" si="107"/>
        <v>0.99990058515507274</v>
      </c>
      <c r="Y91" s="157">
        <f t="shared" si="107"/>
        <v>0.99990058515507274</v>
      </c>
      <c r="Z91" s="157">
        <f t="shared" si="107"/>
        <v>0.99990058515507274</v>
      </c>
      <c r="AA91" s="157">
        <f t="shared" si="107"/>
        <v>0.99990058515507274</v>
      </c>
      <c r="AB91" s="157">
        <f t="shared" si="107"/>
        <v>0.99990058515507274</v>
      </c>
      <c r="AC91" s="157">
        <f t="shared" si="107"/>
        <v>0.99990058515507274</v>
      </c>
      <c r="AD91" s="157">
        <f t="shared" si="107"/>
        <v>0.99990058515507274</v>
      </c>
      <c r="AE91" s="157">
        <f t="shared" si="107"/>
        <v>0.99990058515507274</v>
      </c>
      <c r="AF91" s="157">
        <f t="shared" si="107"/>
        <v>0.99990058515507274</v>
      </c>
      <c r="AG91" s="157">
        <f t="shared" si="107"/>
        <v>0.99990058515507274</v>
      </c>
      <c r="AH91" s="157">
        <f t="shared" si="107"/>
        <v>0.99990058515507274</v>
      </c>
      <c r="AI91" s="157">
        <f t="shared" si="105"/>
        <v>0.99990058515507285</v>
      </c>
    </row>
    <row r="92" spans="1:35" s="63" customFormat="1">
      <c r="A92" s="290"/>
      <c r="B92" s="63" t="s">
        <v>53</v>
      </c>
      <c r="D92" s="63" t="s">
        <v>27</v>
      </c>
      <c r="E92" s="396">
        <f t="shared" si="103"/>
        <v>9.9414844927205343E-5</v>
      </c>
      <c r="F92" s="396">
        <f t="shared" ref="F92:AH92" si="108">-($E92-$AI92)/30+E92</f>
        <v>9.9414844927205343E-5</v>
      </c>
      <c r="G92" s="396">
        <f t="shared" si="108"/>
        <v>9.9414844927205343E-5</v>
      </c>
      <c r="H92" s="396">
        <f t="shared" si="108"/>
        <v>9.9414844927205343E-5</v>
      </c>
      <c r="I92" s="396">
        <f t="shared" si="108"/>
        <v>9.9414844927205343E-5</v>
      </c>
      <c r="J92" s="396">
        <f t="shared" si="108"/>
        <v>9.9414844927205343E-5</v>
      </c>
      <c r="K92" s="396">
        <f t="shared" si="108"/>
        <v>9.9414844927205343E-5</v>
      </c>
      <c r="L92" s="396">
        <f t="shared" si="108"/>
        <v>9.9414844927205343E-5</v>
      </c>
      <c r="M92" s="396">
        <f t="shared" si="108"/>
        <v>9.9414844927205343E-5</v>
      </c>
      <c r="N92" s="396">
        <f t="shared" si="108"/>
        <v>9.9414844927205343E-5</v>
      </c>
      <c r="O92" s="396">
        <f t="shared" si="108"/>
        <v>9.9414844927205343E-5</v>
      </c>
      <c r="P92" s="396">
        <f t="shared" si="108"/>
        <v>9.9414844927205343E-5</v>
      </c>
      <c r="Q92" s="396">
        <f t="shared" si="108"/>
        <v>9.9414844927205343E-5</v>
      </c>
      <c r="R92" s="396">
        <f t="shared" si="108"/>
        <v>9.9414844927205343E-5</v>
      </c>
      <c r="S92" s="396">
        <f t="shared" si="108"/>
        <v>9.9414844927205343E-5</v>
      </c>
      <c r="T92" s="396">
        <f t="shared" si="108"/>
        <v>9.9414844927205343E-5</v>
      </c>
      <c r="U92" s="396">
        <f t="shared" si="108"/>
        <v>9.9414844927205343E-5</v>
      </c>
      <c r="V92" s="396">
        <f t="shared" si="108"/>
        <v>9.9414844927205343E-5</v>
      </c>
      <c r="W92" s="396">
        <f t="shared" si="108"/>
        <v>9.9414844927205343E-5</v>
      </c>
      <c r="X92" s="396">
        <f t="shared" si="108"/>
        <v>9.9414844927205343E-5</v>
      </c>
      <c r="Y92" s="396">
        <f t="shared" si="108"/>
        <v>9.9414844927205343E-5</v>
      </c>
      <c r="Z92" s="396">
        <f t="shared" si="108"/>
        <v>9.9414844927205343E-5</v>
      </c>
      <c r="AA92" s="396">
        <f t="shared" si="108"/>
        <v>9.9414844927205343E-5</v>
      </c>
      <c r="AB92" s="396">
        <f t="shared" si="108"/>
        <v>9.9414844927205343E-5</v>
      </c>
      <c r="AC92" s="396">
        <f t="shared" si="108"/>
        <v>9.9414844927205343E-5</v>
      </c>
      <c r="AD92" s="396">
        <f t="shared" si="108"/>
        <v>9.9414844927205343E-5</v>
      </c>
      <c r="AE92" s="396">
        <f t="shared" si="108"/>
        <v>9.9414844927205343E-5</v>
      </c>
      <c r="AF92" s="396">
        <f t="shared" si="108"/>
        <v>9.9414844927205343E-5</v>
      </c>
      <c r="AG92" s="396">
        <f t="shared" si="108"/>
        <v>9.9414844927205343E-5</v>
      </c>
      <c r="AH92" s="396">
        <f t="shared" si="108"/>
        <v>9.9414844927205343E-5</v>
      </c>
      <c r="AI92" s="396">
        <f t="shared" si="105"/>
        <v>9.9414844927205357E-5</v>
      </c>
    </row>
    <row r="93" spans="1:35" s="62" customFormat="1">
      <c r="A93" s="286"/>
      <c r="B93" s="62" t="s">
        <v>53</v>
      </c>
      <c r="C93" s="62" t="s">
        <v>817</v>
      </c>
      <c r="D93" s="62" t="s">
        <v>141</v>
      </c>
      <c r="E93" s="188">
        <f>E19</f>
        <v>0</v>
      </c>
      <c r="F93" s="188">
        <f t="shared" ref="F93:AH93" si="109">-($E93-$AI93)/30+E93</f>
        <v>0</v>
      </c>
      <c r="G93" s="188">
        <f t="shared" si="109"/>
        <v>0</v>
      </c>
      <c r="H93" s="188">
        <f t="shared" si="109"/>
        <v>0</v>
      </c>
      <c r="I93" s="188">
        <f t="shared" si="109"/>
        <v>0</v>
      </c>
      <c r="J93" s="188">
        <f t="shared" si="109"/>
        <v>0</v>
      </c>
      <c r="K93" s="188">
        <f t="shared" si="109"/>
        <v>0</v>
      </c>
      <c r="L93" s="188">
        <f t="shared" si="109"/>
        <v>0</v>
      </c>
      <c r="M93" s="188">
        <f t="shared" si="109"/>
        <v>0</v>
      </c>
      <c r="N93" s="188">
        <f t="shared" si="109"/>
        <v>0</v>
      </c>
      <c r="O93" s="188">
        <f t="shared" si="109"/>
        <v>0</v>
      </c>
      <c r="P93" s="188">
        <f t="shared" si="109"/>
        <v>0</v>
      </c>
      <c r="Q93" s="188">
        <f t="shared" si="109"/>
        <v>0</v>
      </c>
      <c r="R93" s="188">
        <f t="shared" si="109"/>
        <v>0</v>
      </c>
      <c r="S93" s="188">
        <f t="shared" si="109"/>
        <v>0</v>
      </c>
      <c r="T93" s="188">
        <f t="shared" si="109"/>
        <v>0</v>
      </c>
      <c r="U93" s="188">
        <f t="shared" si="109"/>
        <v>0</v>
      </c>
      <c r="V93" s="188">
        <f t="shared" si="109"/>
        <v>0</v>
      </c>
      <c r="W93" s="188">
        <f t="shared" si="109"/>
        <v>0</v>
      </c>
      <c r="X93" s="188">
        <f t="shared" si="109"/>
        <v>0</v>
      </c>
      <c r="Y93" s="188">
        <f t="shared" si="109"/>
        <v>0</v>
      </c>
      <c r="Z93" s="188">
        <f t="shared" si="109"/>
        <v>0</v>
      </c>
      <c r="AA93" s="188">
        <f t="shared" si="109"/>
        <v>0</v>
      </c>
      <c r="AB93" s="188">
        <f t="shared" si="109"/>
        <v>0</v>
      </c>
      <c r="AC93" s="188">
        <f t="shared" si="109"/>
        <v>0</v>
      </c>
      <c r="AD93" s="188">
        <f t="shared" si="109"/>
        <v>0</v>
      </c>
      <c r="AE93" s="188">
        <f t="shared" si="109"/>
        <v>0</v>
      </c>
      <c r="AF93" s="188">
        <f t="shared" si="109"/>
        <v>0</v>
      </c>
      <c r="AG93" s="188">
        <f t="shared" si="109"/>
        <v>0</v>
      </c>
      <c r="AH93" s="188">
        <f t="shared" si="109"/>
        <v>0</v>
      </c>
      <c r="AI93" s="188">
        <f>N19</f>
        <v>0</v>
      </c>
    </row>
    <row r="94" spans="1:35">
      <c r="A94" s="289"/>
      <c r="B94" t="s">
        <v>53</v>
      </c>
      <c r="D94" t="s">
        <v>74</v>
      </c>
      <c r="E94" s="157">
        <f t="shared" ref="E94:E97" si="110">E20</f>
        <v>0</v>
      </c>
      <c r="F94" s="157">
        <f t="shared" ref="F94:AH94" si="111">-($E94-$AI94)/30+E94</f>
        <v>0</v>
      </c>
      <c r="G94" s="157">
        <f t="shared" si="111"/>
        <v>0</v>
      </c>
      <c r="H94" s="157">
        <f t="shared" si="111"/>
        <v>0</v>
      </c>
      <c r="I94" s="157">
        <f t="shared" si="111"/>
        <v>0</v>
      </c>
      <c r="J94" s="157">
        <f t="shared" si="111"/>
        <v>0</v>
      </c>
      <c r="K94" s="157">
        <f t="shared" si="111"/>
        <v>0</v>
      </c>
      <c r="L94" s="157">
        <f t="shared" si="111"/>
        <v>0</v>
      </c>
      <c r="M94" s="157">
        <f t="shared" si="111"/>
        <v>0</v>
      </c>
      <c r="N94" s="157">
        <f t="shared" si="111"/>
        <v>0</v>
      </c>
      <c r="O94" s="157">
        <f t="shared" si="111"/>
        <v>0</v>
      </c>
      <c r="P94" s="157">
        <f t="shared" si="111"/>
        <v>0</v>
      </c>
      <c r="Q94" s="157">
        <f t="shared" si="111"/>
        <v>0</v>
      </c>
      <c r="R94" s="157">
        <f t="shared" si="111"/>
        <v>0</v>
      </c>
      <c r="S94" s="157">
        <f t="shared" si="111"/>
        <v>0</v>
      </c>
      <c r="T94" s="157">
        <f t="shared" si="111"/>
        <v>0</v>
      </c>
      <c r="U94" s="157">
        <f t="shared" si="111"/>
        <v>0</v>
      </c>
      <c r="V94" s="157">
        <f t="shared" si="111"/>
        <v>0</v>
      </c>
      <c r="W94" s="157">
        <f t="shared" si="111"/>
        <v>0</v>
      </c>
      <c r="X94" s="157">
        <f t="shared" si="111"/>
        <v>0</v>
      </c>
      <c r="Y94" s="157">
        <f t="shared" si="111"/>
        <v>0</v>
      </c>
      <c r="Z94" s="157">
        <f t="shared" si="111"/>
        <v>0</v>
      </c>
      <c r="AA94" s="157">
        <f t="shared" si="111"/>
        <v>0</v>
      </c>
      <c r="AB94" s="157">
        <f t="shared" si="111"/>
        <v>0</v>
      </c>
      <c r="AC94" s="157">
        <f t="shared" si="111"/>
        <v>0</v>
      </c>
      <c r="AD94" s="157">
        <f t="shared" si="111"/>
        <v>0</v>
      </c>
      <c r="AE94" s="157">
        <f t="shared" si="111"/>
        <v>0</v>
      </c>
      <c r="AF94" s="157">
        <f t="shared" si="111"/>
        <v>0</v>
      </c>
      <c r="AG94" s="157">
        <f t="shared" si="111"/>
        <v>0</v>
      </c>
      <c r="AH94" s="157">
        <f t="shared" si="111"/>
        <v>0</v>
      </c>
      <c r="AI94" s="157">
        <f t="shared" ref="AI94:AI97" si="112">N20</f>
        <v>0</v>
      </c>
    </row>
    <row r="95" spans="1:35">
      <c r="A95" s="289"/>
      <c r="B95" t="s">
        <v>53</v>
      </c>
      <c r="D95" t="s">
        <v>34</v>
      </c>
      <c r="E95" s="157">
        <f t="shared" si="110"/>
        <v>0</v>
      </c>
      <c r="F95" s="157">
        <f t="shared" ref="F95:AH95" si="113">-($E95-$AI95)/30+E95</f>
        <v>0</v>
      </c>
      <c r="G95" s="157">
        <f t="shared" si="113"/>
        <v>0</v>
      </c>
      <c r="H95" s="157">
        <f t="shared" si="113"/>
        <v>0</v>
      </c>
      <c r="I95" s="157">
        <f t="shared" si="113"/>
        <v>0</v>
      </c>
      <c r="J95" s="157">
        <f t="shared" si="113"/>
        <v>0</v>
      </c>
      <c r="K95" s="157">
        <f t="shared" si="113"/>
        <v>0</v>
      </c>
      <c r="L95" s="157">
        <f t="shared" si="113"/>
        <v>0</v>
      </c>
      <c r="M95" s="157">
        <f t="shared" si="113"/>
        <v>0</v>
      </c>
      <c r="N95" s="157">
        <f t="shared" si="113"/>
        <v>0</v>
      </c>
      <c r="O95" s="157">
        <f t="shared" si="113"/>
        <v>0</v>
      </c>
      <c r="P95" s="157">
        <f t="shared" si="113"/>
        <v>0</v>
      </c>
      <c r="Q95" s="157">
        <f t="shared" si="113"/>
        <v>0</v>
      </c>
      <c r="R95" s="157">
        <f t="shared" si="113"/>
        <v>0</v>
      </c>
      <c r="S95" s="157">
        <f t="shared" si="113"/>
        <v>0</v>
      </c>
      <c r="T95" s="157">
        <f t="shared" si="113"/>
        <v>0</v>
      </c>
      <c r="U95" s="157">
        <f t="shared" si="113"/>
        <v>0</v>
      </c>
      <c r="V95" s="157">
        <f t="shared" si="113"/>
        <v>0</v>
      </c>
      <c r="W95" s="157">
        <f t="shared" si="113"/>
        <v>0</v>
      </c>
      <c r="X95" s="157">
        <f t="shared" si="113"/>
        <v>0</v>
      </c>
      <c r="Y95" s="157">
        <f t="shared" si="113"/>
        <v>0</v>
      </c>
      <c r="Z95" s="157">
        <f t="shared" si="113"/>
        <v>0</v>
      </c>
      <c r="AA95" s="157">
        <f t="shared" si="113"/>
        <v>0</v>
      </c>
      <c r="AB95" s="157">
        <f t="shared" si="113"/>
        <v>0</v>
      </c>
      <c r="AC95" s="157">
        <f t="shared" si="113"/>
        <v>0</v>
      </c>
      <c r="AD95" s="157">
        <f t="shared" si="113"/>
        <v>0</v>
      </c>
      <c r="AE95" s="157">
        <f t="shared" si="113"/>
        <v>0</v>
      </c>
      <c r="AF95" s="157">
        <f t="shared" si="113"/>
        <v>0</v>
      </c>
      <c r="AG95" s="157">
        <f t="shared" si="113"/>
        <v>0</v>
      </c>
      <c r="AH95" s="157">
        <f t="shared" si="113"/>
        <v>0</v>
      </c>
      <c r="AI95" s="157">
        <f t="shared" si="112"/>
        <v>0</v>
      </c>
    </row>
    <row r="96" spans="1:35">
      <c r="A96" s="289"/>
      <c r="B96" t="s">
        <v>53</v>
      </c>
      <c r="D96" t="s">
        <v>35</v>
      </c>
      <c r="E96" s="157">
        <f t="shared" si="110"/>
        <v>0.99990058515507274</v>
      </c>
      <c r="F96" s="157">
        <f t="shared" ref="F96:AH96" si="114">-($E96-$AI96)/30+E96</f>
        <v>0.99990058515507274</v>
      </c>
      <c r="G96" s="157">
        <f t="shared" si="114"/>
        <v>0.99990058515507274</v>
      </c>
      <c r="H96" s="157">
        <f t="shared" si="114"/>
        <v>0.99990058515507274</v>
      </c>
      <c r="I96" s="157">
        <f t="shared" si="114"/>
        <v>0.99990058515507274</v>
      </c>
      <c r="J96" s="157">
        <f t="shared" si="114"/>
        <v>0.99990058515507274</v>
      </c>
      <c r="K96" s="157">
        <f t="shared" si="114"/>
        <v>0.99990058515507274</v>
      </c>
      <c r="L96" s="157">
        <f t="shared" si="114"/>
        <v>0.99990058515507274</v>
      </c>
      <c r="M96" s="157">
        <f t="shared" si="114"/>
        <v>0.99990058515507274</v>
      </c>
      <c r="N96" s="157">
        <f t="shared" si="114"/>
        <v>0.99990058515507274</v>
      </c>
      <c r="O96" s="157">
        <f t="shared" si="114"/>
        <v>0.99990058515507274</v>
      </c>
      <c r="P96" s="157">
        <f t="shared" si="114"/>
        <v>0.99990058515507274</v>
      </c>
      <c r="Q96" s="157">
        <f t="shared" si="114"/>
        <v>0.99990058515507274</v>
      </c>
      <c r="R96" s="157">
        <f t="shared" si="114"/>
        <v>0.99990058515507274</v>
      </c>
      <c r="S96" s="157">
        <f t="shared" si="114"/>
        <v>0.99990058515507274</v>
      </c>
      <c r="T96" s="157">
        <f t="shared" si="114"/>
        <v>0.99990058515507274</v>
      </c>
      <c r="U96" s="157">
        <f t="shared" si="114"/>
        <v>0.99990058515507274</v>
      </c>
      <c r="V96" s="157">
        <f t="shared" si="114"/>
        <v>0.99990058515507274</v>
      </c>
      <c r="W96" s="157">
        <f t="shared" si="114"/>
        <v>0.99990058515507274</v>
      </c>
      <c r="X96" s="157">
        <f t="shared" si="114"/>
        <v>0.99990058515507274</v>
      </c>
      <c r="Y96" s="157">
        <f t="shared" si="114"/>
        <v>0.99990058515507274</v>
      </c>
      <c r="Z96" s="157">
        <f t="shared" si="114"/>
        <v>0.99990058515507274</v>
      </c>
      <c r="AA96" s="157">
        <f t="shared" si="114"/>
        <v>0.99990058515507274</v>
      </c>
      <c r="AB96" s="157">
        <f t="shared" si="114"/>
        <v>0.99990058515507274</v>
      </c>
      <c r="AC96" s="157">
        <f t="shared" si="114"/>
        <v>0.99990058515507274</v>
      </c>
      <c r="AD96" s="157">
        <f t="shared" si="114"/>
        <v>0.99990058515507274</v>
      </c>
      <c r="AE96" s="157">
        <f t="shared" si="114"/>
        <v>0.99990058515507274</v>
      </c>
      <c r="AF96" s="157">
        <f t="shared" si="114"/>
        <v>0.99990058515507274</v>
      </c>
      <c r="AG96" s="157">
        <f t="shared" si="114"/>
        <v>0.99990058515507274</v>
      </c>
      <c r="AH96" s="157">
        <f t="shared" si="114"/>
        <v>0.99990058515507274</v>
      </c>
      <c r="AI96" s="157">
        <f t="shared" si="112"/>
        <v>0.99990058515507285</v>
      </c>
    </row>
    <row r="97" spans="1:35" s="63" customFormat="1">
      <c r="A97" s="290"/>
      <c r="B97" s="63" t="s">
        <v>53</v>
      </c>
      <c r="D97" s="63" t="s">
        <v>27</v>
      </c>
      <c r="E97" s="396">
        <f t="shared" si="110"/>
        <v>9.9414844927205343E-5</v>
      </c>
      <c r="F97" s="396">
        <f t="shared" ref="F97:AH97" si="115">-($E97-$AI97)/30+E97</f>
        <v>9.9414844927205343E-5</v>
      </c>
      <c r="G97" s="396">
        <f t="shared" si="115"/>
        <v>9.9414844927205343E-5</v>
      </c>
      <c r="H97" s="396">
        <f t="shared" si="115"/>
        <v>9.9414844927205343E-5</v>
      </c>
      <c r="I97" s="396">
        <f t="shared" si="115"/>
        <v>9.9414844927205343E-5</v>
      </c>
      <c r="J97" s="396">
        <f t="shared" si="115"/>
        <v>9.9414844927205343E-5</v>
      </c>
      <c r="K97" s="396">
        <f t="shared" si="115"/>
        <v>9.9414844927205343E-5</v>
      </c>
      <c r="L97" s="396">
        <f t="shared" si="115"/>
        <v>9.9414844927205343E-5</v>
      </c>
      <c r="M97" s="396">
        <f t="shared" si="115"/>
        <v>9.9414844927205343E-5</v>
      </c>
      <c r="N97" s="396">
        <f t="shared" si="115"/>
        <v>9.9414844927205343E-5</v>
      </c>
      <c r="O97" s="396">
        <f t="shared" si="115"/>
        <v>9.9414844927205343E-5</v>
      </c>
      <c r="P97" s="396">
        <f t="shared" si="115"/>
        <v>9.9414844927205343E-5</v>
      </c>
      <c r="Q97" s="396">
        <f t="shared" si="115"/>
        <v>9.9414844927205343E-5</v>
      </c>
      <c r="R97" s="396">
        <f t="shared" si="115"/>
        <v>9.9414844927205343E-5</v>
      </c>
      <c r="S97" s="396">
        <f t="shared" si="115"/>
        <v>9.9414844927205343E-5</v>
      </c>
      <c r="T97" s="396">
        <f t="shared" si="115"/>
        <v>9.9414844927205343E-5</v>
      </c>
      <c r="U97" s="396">
        <f t="shared" si="115"/>
        <v>9.9414844927205343E-5</v>
      </c>
      <c r="V97" s="396">
        <f t="shared" si="115"/>
        <v>9.9414844927205343E-5</v>
      </c>
      <c r="W97" s="396">
        <f t="shared" si="115"/>
        <v>9.9414844927205343E-5</v>
      </c>
      <c r="X97" s="396">
        <f t="shared" si="115"/>
        <v>9.9414844927205343E-5</v>
      </c>
      <c r="Y97" s="396">
        <f t="shared" si="115"/>
        <v>9.9414844927205343E-5</v>
      </c>
      <c r="Z97" s="396">
        <f t="shared" si="115"/>
        <v>9.9414844927205343E-5</v>
      </c>
      <c r="AA97" s="396">
        <f t="shared" si="115"/>
        <v>9.9414844927205343E-5</v>
      </c>
      <c r="AB97" s="396">
        <f t="shared" si="115"/>
        <v>9.9414844927205343E-5</v>
      </c>
      <c r="AC97" s="396">
        <f t="shared" si="115"/>
        <v>9.9414844927205343E-5</v>
      </c>
      <c r="AD97" s="396">
        <f t="shared" si="115"/>
        <v>9.9414844927205343E-5</v>
      </c>
      <c r="AE97" s="396">
        <f t="shared" si="115"/>
        <v>9.9414844927205343E-5</v>
      </c>
      <c r="AF97" s="396">
        <f t="shared" si="115"/>
        <v>9.9414844927205343E-5</v>
      </c>
      <c r="AG97" s="396">
        <f t="shared" si="115"/>
        <v>9.9414844927205343E-5</v>
      </c>
      <c r="AH97" s="396">
        <f t="shared" si="115"/>
        <v>9.9414844927205343E-5</v>
      </c>
      <c r="AI97" s="396">
        <f t="shared" si="112"/>
        <v>9.9414844927205357E-5</v>
      </c>
    </row>
    <row r="98" spans="1:35" s="62" customFormat="1">
      <c r="A98" s="286"/>
      <c r="B98" s="62" t="s">
        <v>53</v>
      </c>
      <c r="C98" s="62" t="s">
        <v>818</v>
      </c>
      <c r="D98" s="62" t="s">
        <v>141</v>
      </c>
      <c r="E98" s="188">
        <f>F19</f>
        <v>0</v>
      </c>
      <c r="F98" s="188">
        <f t="shared" ref="F98:AH98" si="116">-($E98-$AI98)/30+E98</f>
        <v>0</v>
      </c>
      <c r="G98" s="188">
        <f t="shared" si="116"/>
        <v>0</v>
      </c>
      <c r="H98" s="188">
        <f t="shared" si="116"/>
        <v>0</v>
      </c>
      <c r="I98" s="188">
        <f t="shared" si="116"/>
        <v>0</v>
      </c>
      <c r="J98" s="188">
        <f t="shared" si="116"/>
        <v>0</v>
      </c>
      <c r="K98" s="188">
        <f t="shared" si="116"/>
        <v>0</v>
      </c>
      <c r="L98" s="188">
        <f t="shared" si="116"/>
        <v>0</v>
      </c>
      <c r="M98" s="188">
        <f t="shared" si="116"/>
        <v>0</v>
      </c>
      <c r="N98" s="188">
        <f t="shared" si="116"/>
        <v>0</v>
      </c>
      <c r="O98" s="188">
        <f t="shared" si="116"/>
        <v>0</v>
      </c>
      <c r="P98" s="188">
        <f t="shared" si="116"/>
        <v>0</v>
      </c>
      <c r="Q98" s="188">
        <f t="shared" si="116"/>
        <v>0</v>
      </c>
      <c r="R98" s="188">
        <f t="shared" si="116"/>
        <v>0</v>
      </c>
      <c r="S98" s="188">
        <f t="shared" si="116"/>
        <v>0</v>
      </c>
      <c r="T98" s="188">
        <f t="shared" si="116"/>
        <v>0</v>
      </c>
      <c r="U98" s="188">
        <f t="shared" si="116"/>
        <v>0</v>
      </c>
      <c r="V98" s="188">
        <f t="shared" si="116"/>
        <v>0</v>
      </c>
      <c r="W98" s="188">
        <f t="shared" si="116"/>
        <v>0</v>
      </c>
      <c r="X98" s="188">
        <f t="shared" si="116"/>
        <v>0</v>
      </c>
      <c r="Y98" s="188">
        <f t="shared" si="116"/>
        <v>0</v>
      </c>
      <c r="Z98" s="188">
        <f t="shared" si="116"/>
        <v>0</v>
      </c>
      <c r="AA98" s="188">
        <f t="shared" si="116"/>
        <v>0</v>
      </c>
      <c r="AB98" s="188">
        <f t="shared" si="116"/>
        <v>0</v>
      </c>
      <c r="AC98" s="188">
        <f t="shared" si="116"/>
        <v>0</v>
      </c>
      <c r="AD98" s="188">
        <f t="shared" si="116"/>
        <v>0</v>
      </c>
      <c r="AE98" s="188">
        <f t="shared" si="116"/>
        <v>0</v>
      </c>
      <c r="AF98" s="188">
        <f t="shared" si="116"/>
        <v>0</v>
      </c>
      <c r="AG98" s="188">
        <f t="shared" si="116"/>
        <v>0</v>
      </c>
      <c r="AH98" s="188">
        <f t="shared" si="116"/>
        <v>0</v>
      </c>
      <c r="AI98" s="188">
        <f>O19</f>
        <v>0</v>
      </c>
    </row>
    <row r="99" spans="1:35">
      <c r="A99" s="289"/>
      <c r="B99" t="s">
        <v>53</v>
      </c>
      <c r="D99" t="s">
        <v>74</v>
      </c>
      <c r="E99" s="157">
        <f t="shared" ref="E99:E102" si="117">F20</f>
        <v>0</v>
      </c>
      <c r="F99" s="157">
        <f t="shared" ref="F99:AH99" si="118">-($E99-$AI99)/30+E99</f>
        <v>0</v>
      </c>
      <c r="G99" s="157">
        <f t="shared" si="118"/>
        <v>0</v>
      </c>
      <c r="H99" s="157">
        <f t="shared" si="118"/>
        <v>0</v>
      </c>
      <c r="I99" s="157">
        <f t="shared" si="118"/>
        <v>0</v>
      </c>
      <c r="J99" s="157">
        <f t="shared" si="118"/>
        <v>0</v>
      </c>
      <c r="K99" s="157">
        <f t="shared" si="118"/>
        <v>0</v>
      </c>
      <c r="L99" s="157">
        <f t="shared" si="118"/>
        <v>0</v>
      </c>
      <c r="M99" s="157">
        <f t="shared" si="118"/>
        <v>0</v>
      </c>
      <c r="N99" s="157">
        <f t="shared" si="118"/>
        <v>0</v>
      </c>
      <c r="O99" s="157">
        <f t="shared" si="118"/>
        <v>0</v>
      </c>
      <c r="P99" s="157">
        <f t="shared" si="118"/>
        <v>0</v>
      </c>
      <c r="Q99" s="157">
        <f t="shared" si="118"/>
        <v>0</v>
      </c>
      <c r="R99" s="157">
        <f t="shared" si="118"/>
        <v>0</v>
      </c>
      <c r="S99" s="157">
        <f t="shared" si="118"/>
        <v>0</v>
      </c>
      <c r="T99" s="157">
        <f t="shared" si="118"/>
        <v>0</v>
      </c>
      <c r="U99" s="157">
        <f t="shared" si="118"/>
        <v>0</v>
      </c>
      <c r="V99" s="157">
        <f t="shared" si="118"/>
        <v>0</v>
      </c>
      <c r="W99" s="157">
        <f t="shared" si="118"/>
        <v>0</v>
      </c>
      <c r="X99" s="157">
        <f t="shared" si="118"/>
        <v>0</v>
      </c>
      <c r="Y99" s="157">
        <f t="shared" si="118"/>
        <v>0</v>
      </c>
      <c r="Z99" s="157">
        <f t="shared" si="118"/>
        <v>0</v>
      </c>
      <c r="AA99" s="157">
        <f t="shared" si="118"/>
        <v>0</v>
      </c>
      <c r="AB99" s="157">
        <f t="shared" si="118"/>
        <v>0</v>
      </c>
      <c r="AC99" s="157">
        <f t="shared" si="118"/>
        <v>0</v>
      </c>
      <c r="AD99" s="157">
        <f t="shared" si="118"/>
        <v>0</v>
      </c>
      <c r="AE99" s="157">
        <f t="shared" si="118"/>
        <v>0</v>
      </c>
      <c r="AF99" s="157">
        <f t="shared" si="118"/>
        <v>0</v>
      </c>
      <c r="AG99" s="157">
        <f t="shared" si="118"/>
        <v>0</v>
      </c>
      <c r="AH99" s="157">
        <f t="shared" si="118"/>
        <v>0</v>
      </c>
      <c r="AI99" s="157">
        <f t="shared" ref="AI99:AI102" si="119">O20</f>
        <v>0</v>
      </c>
    </row>
    <row r="100" spans="1:35">
      <c r="A100" s="289"/>
      <c r="B100" t="s">
        <v>53</v>
      </c>
      <c r="D100" t="s">
        <v>34</v>
      </c>
      <c r="E100" s="157">
        <f t="shared" si="117"/>
        <v>0</v>
      </c>
      <c r="F100" s="157">
        <f t="shared" ref="F100:AH100" si="120">-($E100-$AI100)/30+E100</f>
        <v>0</v>
      </c>
      <c r="G100" s="157">
        <f t="shared" si="120"/>
        <v>0</v>
      </c>
      <c r="H100" s="157">
        <f t="shared" si="120"/>
        <v>0</v>
      </c>
      <c r="I100" s="157">
        <f t="shared" si="120"/>
        <v>0</v>
      </c>
      <c r="J100" s="157">
        <f t="shared" si="120"/>
        <v>0</v>
      </c>
      <c r="K100" s="157">
        <f t="shared" si="120"/>
        <v>0</v>
      </c>
      <c r="L100" s="157">
        <f t="shared" si="120"/>
        <v>0</v>
      </c>
      <c r="M100" s="157">
        <f t="shared" si="120"/>
        <v>0</v>
      </c>
      <c r="N100" s="157">
        <f t="shared" si="120"/>
        <v>0</v>
      </c>
      <c r="O100" s="157">
        <f t="shared" si="120"/>
        <v>0</v>
      </c>
      <c r="P100" s="157">
        <f t="shared" si="120"/>
        <v>0</v>
      </c>
      <c r="Q100" s="157">
        <f t="shared" si="120"/>
        <v>0</v>
      </c>
      <c r="R100" s="157">
        <f t="shared" si="120"/>
        <v>0</v>
      </c>
      <c r="S100" s="157">
        <f t="shared" si="120"/>
        <v>0</v>
      </c>
      <c r="T100" s="157">
        <f t="shared" si="120"/>
        <v>0</v>
      </c>
      <c r="U100" s="157">
        <f t="shared" si="120"/>
        <v>0</v>
      </c>
      <c r="V100" s="157">
        <f t="shared" si="120"/>
        <v>0</v>
      </c>
      <c r="W100" s="157">
        <f t="shared" si="120"/>
        <v>0</v>
      </c>
      <c r="X100" s="157">
        <f t="shared" si="120"/>
        <v>0</v>
      </c>
      <c r="Y100" s="157">
        <f t="shared" si="120"/>
        <v>0</v>
      </c>
      <c r="Z100" s="157">
        <f t="shared" si="120"/>
        <v>0</v>
      </c>
      <c r="AA100" s="157">
        <f t="shared" si="120"/>
        <v>0</v>
      </c>
      <c r="AB100" s="157">
        <f t="shared" si="120"/>
        <v>0</v>
      </c>
      <c r="AC100" s="157">
        <f t="shared" si="120"/>
        <v>0</v>
      </c>
      <c r="AD100" s="157">
        <f t="shared" si="120"/>
        <v>0</v>
      </c>
      <c r="AE100" s="157">
        <f t="shared" si="120"/>
        <v>0</v>
      </c>
      <c r="AF100" s="157">
        <f t="shared" si="120"/>
        <v>0</v>
      </c>
      <c r="AG100" s="157">
        <f t="shared" si="120"/>
        <v>0</v>
      </c>
      <c r="AH100" s="157">
        <f t="shared" si="120"/>
        <v>0</v>
      </c>
      <c r="AI100" s="157">
        <f t="shared" si="119"/>
        <v>0</v>
      </c>
    </row>
    <row r="101" spans="1:35">
      <c r="A101" s="289"/>
      <c r="B101" t="s">
        <v>53</v>
      </c>
      <c r="D101" t="s">
        <v>35</v>
      </c>
      <c r="E101" s="157">
        <f t="shared" si="117"/>
        <v>0.99990058515507274</v>
      </c>
      <c r="F101" s="157">
        <f t="shared" ref="F101:AH101" si="121">-($E101-$AI101)/30+E101</f>
        <v>0.99990058515507274</v>
      </c>
      <c r="G101" s="157">
        <f t="shared" si="121"/>
        <v>0.99990058515507274</v>
      </c>
      <c r="H101" s="157">
        <f t="shared" si="121"/>
        <v>0.99990058515507274</v>
      </c>
      <c r="I101" s="157">
        <f t="shared" si="121"/>
        <v>0.99990058515507274</v>
      </c>
      <c r="J101" s="157">
        <f t="shared" si="121"/>
        <v>0.99990058515507274</v>
      </c>
      <c r="K101" s="157">
        <f t="shared" si="121"/>
        <v>0.99990058515507274</v>
      </c>
      <c r="L101" s="157">
        <f t="shared" si="121"/>
        <v>0.99990058515507274</v>
      </c>
      <c r="M101" s="157">
        <f t="shared" si="121"/>
        <v>0.99990058515507274</v>
      </c>
      <c r="N101" s="157">
        <f t="shared" si="121"/>
        <v>0.99990058515507274</v>
      </c>
      <c r="O101" s="157">
        <f t="shared" si="121"/>
        <v>0.99990058515507274</v>
      </c>
      <c r="P101" s="157">
        <f t="shared" si="121"/>
        <v>0.99990058515507274</v>
      </c>
      <c r="Q101" s="157">
        <f t="shared" si="121"/>
        <v>0.99990058515507274</v>
      </c>
      <c r="R101" s="157">
        <f t="shared" si="121"/>
        <v>0.99990058515507274</v>
      </c>
      <c r="S101" s="157">
        <f t="shared" si="121"/>
        <v>0.99990058515507274</v>
      </c>
      <c r="T101" s="157">
        <f t="shared" si="121"/>
        <v>0.99990058515507274</v>
      </c>
      <c r="U101" s="157">
        <f t="shared" si="121"/>
        <v>0.99990058515507274</v>
      </c>
      <c r="V101" s="157">
        <f t="shared" si="121"/>
        <v>0.99990058515507274</v>
      </c>
      <c r="W101" s="157">
        <f t="shared" si="121"/>
        <v>0.99990058515507274</v>
      </c>
      <c r="X101" s="157">
        <f t="shared" si="121"/>
        <v>0.99990058515507274</v>
      </c>
      <c r="Y101" s="157">
        <f t="shared" si="121"/>
        <v>0.99990058515507274</v>
      </c>
      <c r="Z101" s="157">
        <f t="shared" si="121"/>
        <v>0.99990058515507274</v>
      </c>
      <c r="AA101" s="157">
        <f t="shared" si="121"/>
        <v>0.99990058515507274</v>
      </c>
      <c r="AB101" s="157">
        <f t="shared" si="121"/>
        <v>0.99990058515507274</v>
      </c>
      <c r="AC101" s="157">
        <f t="shared" si="121"/>
        <v>0.99990058515507274</v>
      </c>
      <c r="AD101" s="157">
        <f t="shared" si="121"/>
        <v>0.99990058515507274</v>
      </c>
      <c r="AE101" s="157">
        <f t="shared" si="121"/>
        <v>0.99990058515507274</v>
      </c>
      <c r="AF101" s="157">
        <f t="shared" si="121"/>
        <v>0.99990058515507274</v>
      </c>
      <c r="AG101" s="157">
        <f t="shared" si="121"/>
        <v>0.99990058515507274</v>
      </c>
      <c r="AH101" s="157">
        <f t="shared" si="121"/>
        <v>0.99990058515507274</v>
      </c>
      <c r="AI101" s="157">
        <f t="shared" si="119"/>
        <v>0.99990058515507285</v>
      </c>
    </row>
    <row r="102" spans="1:35" s="63" customFormat="1">
      <c r="A102" s="290"/>
      <c r="B102" s="63" t="s">
        <v>53</v>
      </c>
      <c r="D102" s="63" t="s">
        <v>27</v>
      </c>
      <c r="E102" s="396">
        <f t="shared" si="117"/>
        <v>9.9414844927205343E-5</v>
      </c>
      <c r="F102" s="396">
        <f t="shared" ref="F102:AH102" si="122">-($E102-$AI102)/30+E102</f>
        <v>9.9414844927205343E-5</v>
      </c>
      <c r="G102" s="396">
        <f t="shared" si="122"/>
        <v>9.9414844927205343E-5</v>
      </c>
      <c r="H102" s="396">
        <f t="shared" si="122"/>
        <v>9.9414844927205343E-5</v>
      </c>
      <c r="I102" s="396">
        <f t="shared" si="122"/>
        <v>9.9414844927205343E-5</v>
      </c>
      <c r="J102" s="396">
        <f t="shared" si="122"/>
        <v>9.9414844927205343E-5</v>
      </c>
      <c r="K102" s="396">
        <f t="shared" si="122"/>
        <v>9.9414844927205343E-5</v>
      </c>
      <c r="L102" s="396">
        <f t="shared" si="122"/>
        <v>9.9414844927205343E-5</v>
      </c>
      <c r="M102" s="396">
        <f t="shared" si="122"/>
        <v>9.9414844927205343E-5</v>
      </c>
      <c r="N102" s="396">
        <f t="shared" si="122"/>
        <v>9.9414844927205343E-5</v>
      </c>
      <c r="O102" s="396">
        <f t="shared" si="122"/>
        <v>9.9414844927205343E-5</v>
      </c>
      <c r="P102" s="396">
        <f t="shared" si="122"/>
        <v>9.9414844927205343E-5</v>
      </c>
      <c r="Q102" s="396">
        <f t="shared" si="122"/>
        <v>9.9414844927205343E-5</v>
      </c>
      <c r="R102" s="396">
        <f t="shared" si="122"/>
        <v>9.9414844927205343E-5</v>
      </c>
      <c r="S102" s="396">
        <f t="shared" si="122"/>
        <v>9.9414844927205343E-5</v>
      </c>
      <c r="T102" s="396">
        <f t="shared" si="122"/>
        <v>9.9414844927205343E-5</v>
      </c>
      <c r="U102" s="396">
        <f t="shared" si="122"/>
        <v>9.9414844927205343E-5</v>
      </c>
      <c r="V102" s="396">
        <f t="shared" si="122"/>
        <v>9.9414844927205343E-5</v>
      </c>
      <c r="W102" s="396">
        <f t="shared" si="122"/>
        <v>9.9414844927205343E-5</v>
      </c>
      <c r="X102" s="396">
        <f t="shared" si="122"/>
        <v>9.9414844927205343E-5</v>
      </c>
      <c r="Y102" s="396">
        <f t="shared" si="122"/>
        <v>9.9414844927205343E-5</v>
      </c>
      <c r="Z102" s="396">
        <f t="shared" si="122"/>
        <v>9.9414844927205343E-5</v>
      </c>
      <c r="AA102" s="396">
        <f t="shared" si="122"/>
        <v>9.9414844927205343E-5</v>
      </c>
      <c r="AB102" s="396">
        <f t="shared" si="122"/>
        <v>9.9414844927205343E-5</v>
      </c>
      <c r="AC102" s="396">
        <f t="shared" si="122"/>
        <v>9.9414844927205343E-5</v>
      </c>
      <c r="AD102" s="396">
        <f t="shared" si="122"/>
        <v>9.9414844927205343E-5</v>
      </c>
      <c r="AE102" s="396">
        <f t="shared" si="122"/>
        <v>9.9414844927205343E-5</v>
      </c>
      <c r="AF102" s="396">
        <f t="shared" si="122"/>
        <v>9.9414844927205343E-5</v>
      </c>
      <c r="AG102" s="396">
        <f t="shared" si="122"/>
        <v>9.9414844927205343E-5</v>
      </c>
      <c r="AH102" s="396">
        <f t="shared" si="122"/>
        <v>9.9414844927205343E-5</v>
      </c>
      <c r="AI102" s="396">
        <f t="shared" si="119"/>
        <v>9.9414844927205357E-5</v>
      </c>
    </row>
    <row r="103" spans="1:35" s="62" customFormat="1">
      <c r="A103" s="286"/>
      <c r="B103" s="62" t="s">
        <v>291</v>
      </c>
      <c r="C103" s="62" t="s">
        <v>815</v>
      </c>
      <c r="D103" s="62" t="s">
        <v>141</v>
      </c>
      <c r="E103" s="188">
        <f>D27</f>
        <v>0.35330398449159972</v>
      </c>
      <c r="F103" s="188">
        <f t="shared" ref="F103:AH103" si="123">-($E103-$AI103)/30+E103</f>
        <v>0.35844381248300905</v>
      </c>
      <c r="G103" s="188">
        <f t="shared" si="123"/>
        <v>0.36358364047441838</v>
      </c>
      <c r="H103" s="188">
        <f t="shared" si="123"/>
        <v>0.36872346846582771</v>
      </c>
      <c r="I103" s="188">
        <f t="shared" si="123"/>
        <v>0.37386329645723704</v>
      </c>
      <c r="J103" s="188">
        <f t="shared" si="123"/>
        <v>0.37900312444864637</v>
      </c>
      <c r="K103" s="188">
        <f t="shared" si="123"/>
        <v>0.3841429524400557</v>
      </c>
      <c r="L103" s="188">
        <f t="shared" si="123"/>
        <v>0.38928278043146503</v>
      </c>
      <c r="M103" s="188">
        <f t="shared" si="123"/>
        <v>0.39442260842287435</v>
      </c>
      <c r="N103" s="188">
        <f t="shared" si="123"/>
        <v>0.39956243641428368</v>
      </c>
      <c r="O103" s="188">
        <f t="shared" si="123"/>
        <v>0.40470226440569301</v>
      </c>
      <c r="P103" s="188">
        <f t="shared" si="123"/>
        <v>0.40984209239710234</v>
      </c>
      <c r="Q103" s="188">
        <f t="shared" si="123"/>
        <v>0.41498192038851167</v>
      </c>
      <c r="R103" s="188">
        <f t="shared" si="123"/>
        <v>0.420121748379921</v>
      </c>
      <c r="S103" s="188">
        <f t="shared" si="123"/>
        <v>0.42526157637133033</v>
      </c>
      <c r="T103" s="188">
        <f t="shared" si="123"/>
        <v>0.43040140436273966</v>
      </c>
      <c r="U103" s="188">
        <f t="shared" si="123"/>
        <v>0.43554123235414899</v>
      </c>
      <c r="V103" s="188">
        <f t="shared" si="123"/>
        <v>0.44068106034555832</v>
      </c>
      <c r="W103" s="188">
        <f t="shared" si="123"/>
        <v>0.44582088833696765</v>
      </c>
      <c r="X103" s="188">
        <f t="shared" si="123"/>
        <v>0.45096071632837698</v>
      </c>
      <c r="Y103" s="188">
        <f t="shared" si="123"/>
        <v>0.45610054431978631</v>
      </c>
      <c r="Z103" s="188">
        <f t="shared" si="123"/>
        <v>0.46124037231119563</v>
      </c>
      <c r="AA103" s="188">
        <f t="shared" si="123"/>
        <v>0.46638020030260496</v>
      </c>
      <c r="AB103" s="188">
        <f t="shared" si="123"/>
        <v>0.47152002829401429</v>
      </c>
      <c r="AC103" s="188">
        <f t="shared" si="123"/>
        <v>0.47665985628542362</v>
      </c>
      <c r="AD103" s="188">
        <f t="shared" si="123"/>
        <v>0.48179968427683295</v>
      </c>
      <c r="AE103" s="188">
        <f t="shared" si="123"/>
        <v>0.48693951226824228</v>
      </c>
      <c r="AF103" s="188">
        <f t="shared" si="123"/>
        <v>0.49207934025965161</v>
      </c>
      <c r="AG103" s="188">
        <f t="shared" si="123"/>
        <v>0.49721916825106094</v>
      </c>
      <c r="AH103" s="188">
        <f t="shared" si="123"/>
        <v>0.50235899624247027</v>
      </c>
      <c r="AI103" s="188">
        <f>M27</f>
        <v>0.50749882423387915</v>
      </c>
    </row>
    <row r="104" spans="1:35">
      <c r="A104" s="289"/>
      <c r="B104" t="s">
        <v>291</v>
      </c>
      <c r="C104" t="s">
        <v>815</v>
      </c>
      <c r="D104" t="s">
        <v>74</v>
      </c>
      <c r="E104" s="157">
        <f t="shared" ref="E104:E107" si="124">D28</f>
        <v>1.8257255953353008E-2</v>
      </c>
      <c r="F104" s="157">
        <f t="shared" ref="F104:AH104" si="125">-($E104-$AI104)/30+E104</f>
        <v>1.9921548169902888E-2</v>
      </c>
      <c r="G104" s="157">
        <f t="shared" si="125"/>
        <v>2.1585840386452768E-2</v>
      </c>
      <c r="H104" s="157">
        <f t="shared" si="125"/>
        <v>2.3250132603002648E-2</v>
      </c>
      <c r="I104" s="157">
        <f t="shared" si="125"/>
        <v>2.4914424819552528E-2</v>
      </c>
      <c r="J104" s="157">
        <f t="shared" si="125"/>
        <v>2.6578717036102407E-2</v>
      </c>
      <c r="K104" s="157">
        <f t="shared" si="125"/>
        <v>2.8243009252652287E-2</v>
      </c>
      <c r="L104" s="157">
        <f t="shared" si="125"/>
        <v>2.9907301469202167E-2</v>
      </c>
      <c r="M104" s="157">
        <f t="shared" si="125"/>
        <v>3.1571593685752047E-2</v>
      </c>
      <c r="N104" s="157">
        <f t="shared" si="125"/>
        <v>3.3235885902301927E-2</v>
      </c>
      <c r="O104" s="157">
        <f t="shared" si="125"/>
        <v>3.4900178118851807E-2</v>
      </c>
      <c r="P104" s="157">
        <f t="shared" si="125"/>
        <v>3.6564470335401687E-2</v>
      </c>
      <c r="Q104" s="157">
        <f t="shared" si="125"/>
        <v>3.8228762551951567E-2</v>
      </c>
      <c r="R104" s="157">
        <f t="shared" si="125"/>
        <v>3.9893054768501447E-2</v>
      </c>
      <c r="S104" s="157">
        <f t="shared" si="125"/>
        <v>4.1557346985051327E-2</v>
      </c>
      <c r="T104" s="157">
        <f t="shared" si="125"/>
        <v>4.3221639201601207E-2</v>
      </c>
      <c r="U104" s="157">
        <f t="shared" si="125"/>
        <v>4.4885931418151087E-2</v>
      </c>
      <c r="V104" s="157">
        <f t="shared" si="125"/>
        <v>4.6550223634700967E-2</v>
      </c>
      <c r="W104" s="157">
        <f t="shared" si="125"/>
        <v>4.8214515851250847E-2</v>
      </c>
      <c r="X104" s="157">
        <f t="shared" si="125"/>
        <v>4.9878808067800727E-2</v>
      </c>
      <c r="Y104" s="157">
        <f t="shared" si="125"/>
        <v>5.1543100284350607E-2</v>
      </c>
      <c r="Z104" s="157">
        <f t="shared" si="125"/>
        <v>5.3207392500900487E-2</v>
      </c>
      <c r="AA104" s="157">
        <f t="shared" si="125"/>
        <v>5.4871684717450367E-2</v>
      </c>
      <c r="AB104" s="157">
        <f t="shared" si="125"/>
        <v>5.6535976934000247E-2</v>
      </c>
      <c r="AC104" s="157">
        <f t="shared" si="125"/>
        <v>5.8200269150550127E-2</v>
      </c>
      <c r="AD104" s="157">
        <f t="shared" si="125"/>
        <v>5.9864561367100007E-2</v>
      </c>
      <c r="AE104" s="157">
        <f t="shared" si="125"/>
        <v>6.1528853583649887E-2</v>
      </c>
      <c r="AF104" s="157">
        <f t="shared" si="125"/>
        <v>6.3193145800199774E-2</v>
      </c>
      <c r="AG104" s="157">
        <f t="shared" si="125"/>
        <v>6.4857438016749647E-2</v>
      </c>
      <c r="AH104" s="157">
        <f t="shared" si="125"/>
        <v>6.652173023329952E-2</v>
      </c>
      <c r="AI104" s="157">
        <f t="shared" ref="AI104:AI107" si="126">M28</f>
        <v>6.8186022449849407E-2</v>
      </c>
    </row>
    <row r="105" spans="1:35">
      <c r="A105" s="289"/>
      <c r="B105" t="s">
        <v>291</v>
      </c>
      <c r="C105" t="s">
        <v>815</v>
      </c>
      <c r="D105" t="s">
        <v>34</v>
      </c>
      <c r="E105" s="157">
        <f t="shared" si="124"/>
        <v>0.62703304078386068</v>
      </c>
      <c r="F105" s="157">
        <f t="shared" ref="F105:AH105" si="127">-($E105-$AI105)/30+E105</f>
        <v>0.62008354346515548</v>
      </c>
      <c r="G105" s="157">
        <f t="shared" si="127"/>
        <v>0.61313404614645028</v>
      </c>
      <c r="H105" s="157">
        <f t="shared" si="127"/>
        <v>0.60618454882774508</v>
      </c>
      <c r="I105" s="157">
        <f t="shared" si="127"/>
        <v>0.59923505150903988</v>
      </c>
      <c r="J105" s="157">
        <f t="shared" si="127"/>
        <v>0.59228555419033468</v>
      </c>
      <c r="K105" s="157">
        <f t="shared" si="127"/>
        <v>0.58533605687162948</v>
      </c>
      <c r="L105" s="157">
        <f t="shared" si="127"/>
        <v>0.57838655955292428</v>
      </c>
      <c r="M105" s="157">
        <f t="shared" si="127"/>
        <v>0.57143706223421908</v>
      </c>
      <c r="N105" s="157">
        <f t="shared" si="127"/>
        <v>0.56448756491551388</v>
      </c>
      <c r="O105" s="157">
        <f t="shared" si="127"/>
        <v>0.55753806759680868</v>
      </c>
      <c r="P105" s="157">
        <f t="shared" si="127"/>
        <v>0.55058857027810348</v>
      </c>
      <c r="Q105" s="157">
        <f t="shared" si="127"/>
        <v>0.54363907295939828</v>
      </c>
      <c r="R105" s="157">
        <f t="shared" si="127"/>
        <v>0.53668957564069308</v>
      </c>
      <c r="S105" s="157">
        <f t="shared" si="127"/>
        <v>0.52974007832198788</v>
      </c>
      <c r="T105" s="157">
        <f t="shared" si="127"/>
        <v>0.52279058100328268</v>
      </c>
      <c r="U105" s="157">
        <f t="shared" si="127"/>
        <v>0.51584108368457748</v>
      </c>
      <c r="V105" s="157">
        <f t="shared" si="127"/>
        <v>0.50889158636587228</v>
      </c>
      <c r="W105" s="157">
        <f t="shared" si="127"/>
        <v>0.50194208904716708</v>
      </c>
      <c r="X105" s="157">
        <f t="shared" si="127"/>
        <v>0.49499259172846188</v>
      </c>
      <c r="Y105" s="157">
        <f t="shared" si="127"/>
        <v>0.48804309440975668</v>
      </c>
      <c r="Z105" s="157">
        <f t="shared" si="127"/>
        <v>0.48109359709105148</v>
      </c>
      <c r="AA105" s="157">
        <f t="shared" si="127"/>
        <v>0.47414409977234628</v>
      </c>
      <c r="AB105" s="157">
        <f t="shared" si="127"/>
        <v>0.46719460245364108</v>
      </c>
      <c r="AC105" s="157">
        <f t="shared" si="127"/>
        <v>0.46024510513493588</v>
      </c>
      <c r="AD105" s="157">
        <f t="shared" si="127"/>
        <v>0.45329560781623068</v>
      </c>
      <c r="AE105" s="157">
        <f t="shared" si="127"/>
        <v>0.44634611049752548</v>
      </c>
      <c r="AF105" s="157">
        <f t="shared" si="127"/>
        <v>0.43939661317882028</v>
      </c>
      <c r="AG105" s="157">
        <f t="shared" si="127"/>
        <v>0.43244711586011508</v>
      </c>
      <c r="AH105" s="157">
        <f t="shared" si="127"/>
        <v>0.42549761854140988</v>
      </c>
      <c r="AI105" s="157">
        <f t="shared" si="126"/>
        <v>0.41854812122270474</v>
      </c>
    </row>
    <row r="106" spans="1:35">
      <c r="A106" s="289"/>
      <c r="B106" t="s">
        <v>291</v>
      </c>
      <c r="C106" t="s">
        <v>815</v>
      </c>
      <c r="D106" t="s">
        <v>35</v>
      </c>
      <c r="E106" s="157">
        <f t="shared" si="124"/>
        <v>0</v>
      </c>
      <c r="F106" s="157">
        <f t="shared" ref="F106:AH106" si="128">-($E106-$AI106)/30+E106</f>
        <v>0</v>
      </c>
      <c r="G106" s="157">
        <f t="shared" si="128"/>
        <v>0</v>
      </c>
      <c r="H106" s="157">
        <f t="shared" si="128"/>
        <v>0</v>
      </c>
      <c r="I106" s="157">
        <f t="shared" si="128"/>
        <v>0</v>
      </c>
      <c r="J106" s="157">
        <f t="shared" si="128"/>
        <v>0</v>
      </c>
      <c r="K106" s="157">
        <f t="shared" si="128"/>
        <v>0</v>
      </c>
      <c r="L106" s="157">
        <f t="shared" si="128"/>
        <v>0</v>
      </c>
      <c r="M106" s="157">
        <f t="shared" si="128"/>
        <v>0</v>
      </c>
      <c r="N106" s="157">
        <f t="shared" si="128"/>
        <v>0</v>
      </c>
      <c r="O106" s="157">
        <f t="shared" si="128"/>
        <v>0</v>
      </c>
      <c r="P106" s="157">
        <f t="shared" si="128"/>
        <v>0</v>
      </c>
      <c r="Q106" s="157">
        <f t="shared" si="128"/>
        <v>0</v>
      </c>
      <c r="R106" s="157">
        <f t="shared" si="128"/>
        <v>0</v>
      </c>
      <c r="S106" s="157">
        <f t="shared" si="128"/>
        <v>0</v>
      </c>
      <c r="T106" s="157">
        <f t="shared" si="128"/>
        <v>0</v>
      </c>
      <c r="U106" s="157">
        <f t="shared" si="128"/>
        <v>0</v>
      </c>
      <c r="V106" s="157">
        <f t="shared" si="128"/>
        <v>0</v>
      </c>
      <c r="W106" s="157">
        <f t="shared" si="128"/>
        <v>0</v>
      </c>
      <c r="X106" s="157">
        <f t="shared" si="128"/>
        <v>0</v>
      </c>
      <c r="Y106" s="157">
        <f t="shared" si="128"/>
        <v>0</v>
      </c>
      <c r="Z106" s="157">
        <f t="shared" si="128"/>
        <v>0</v>
      </c>
      <c r="AA106" s="157">
        <f t="shared" si="128"/>
        <v>0</v>
      </c>
      <c r="AB106" s="157">
        <f t="shared" si="128"/>
        <v>0</v>
      </c>
      <c r="AC106" s="157">
        <f t="shared" si="128"/>
        <v>0</v>
      </c>
      <c r="AD106" s="157">
        <f t="shared" si="128"/>
        <v>0</v>
      </c>
      <c r="AE106" s="157">
        <f t="shared" si="128"/>
        <v>0</v>
      </c>
      <c r="AF106" s="157">
        <f t="shared" si="128"/>
        <v>0</v>
      </c>
      <c r="AG106" s="157">
        <f t="shared" si="128"/>
        <v>0</v>
      </c>
      <c r="AH106" s="157">
        <f t="shared" si="128"/>
        <v>0</v>
      </c>
      <c r="AI106" s="157">
        <f t="shared" si="126"/>
        <v>0</v>
      </c>
    </row>
    <row r="107" spans="1:35" s="63" customFormat="1">
      <c r="A107" s="290"/>
      <c r="B107" s="63" t="s">
        <v>291</v>
      </c>
      <c r="C107" s="63" t="s">
        <v>815</v>
      </c>
      <c r="D107" s="63" t="s">
        <v>27</v>
      </c>
      <c r="E107" s="396">
        <f t="shared" si="124"/>
        <v>1.4057187711867365E-3</v>
      </c>
      <c r="F107" s="396">
        <f t="shared" ref="F107:AH107" si="129">-($E107-$AI107)/30+E107</f>
        <v>1.5510958819327388E-3</v>
      </c>
      <c r="G107" s="396">
        <f t="shared" si="129"/>
        <v>1.6964729926787414E-3</v>
      </c>
      <c r="H107" s="396">
        <f t="shared" si="129"/>
        <v>1.8418501034247439E-3</v>
      </c>
      <c r="I107" s="396">
        <f t="shared" si="129"/>
        <v>1.9872272141707465E-3</v>
      </c>
      <c r="J107" s="396">
        <f t="shared" si="129"/>
        <v>2.1326043249167491E-3</v>
      </c>
      <c r="K107" s="396">
        <f t="shared" si="129"/>
        <v>2.2779814356627516E-3</v>
      </c>
      <c r="L107" s="396">
        <f t="shared" si="129"/>
        <v>2.4233585464087542E-3</v>
      </c>
      <c r="M107" s="396">
        <f t="shared" si="129"/>
        <v>2.5687356571547568E-3</v>
      </c>
      <c r="N107" s="396">
        <f t="shared" si="129"/>
        <v>2.7141127679007593E-3</v>
      </c>
      <c r="O107" s="396">
        <f t="shared" si="129"/>
        <v>2.8594898786467619E-3</v>
      </c>
      <c r="P107" s="396">
        <f t="shared" si="129"/>
        <v>3.0048669893927645E-3</v>
      </c>
      <c r="Q107" s="396">
        <f t="shared" si="129"/>
        <v>3.150244100138767E-3</v>
      </c>
      <c r="R107" s="396">
        <f t="shared" si="129"/>
        <v>3.2956212108847696E-3</v>
      </c>
      <c r="S107" s="396">
        <f t="shared" si="129"/>
        <v>3.4409983216307722E-3</v>
      </c>
      <c r="T107" s="396">
        <f t="shared" si="129"/>
        <v>3.5863754323767747E-3</v>
      </c>
      <c r="U107" s="396">
        <f t="shared" si="129"/>
        <v>3.7317525431227773E-3</v>
      </c>
      <c r="V107" s="396">
        <f t="shared" si="129"/>
        <v>3.8771296538687799E-3</v>
      </c>
      <c r="W107" s="396">
        <f t="shared" si="129"/>
        <v>4.0225067646147824E-3</v>
      </c>
      <c r="X107" s="396">
        <f t="shared" si="129"/>
        <v>4.1678838753607846E-3</v>
      </c>
      <c r="Y107" s="396">
        <f t="shared" si="129"/>
        <v>4.3132609861067867E-3</v>
      </c>
      <c r="Z107" s="396">
        <f t="shared" si="129"/>
        <v>4.4586380968527888E-3</v>
      </c>
      <c r="AA107" s="396">
        <f t="shared" si="129"/>
        <v>4.604015207598791E-3</v>
      </c>
      <c r="AB107" s="396">
        <f t="shared" si="129"/>
        <v>4.7493923183447931E-3</v>
      </c>
      <c r="AC107" s="396">
        <f t="shared" si="129"/>
        <v>4.8947694290907952E-3</v>
      </c>
      <c r="AD107" s="396">
        <f t="shared" si="129"/>
        <v>5.0401465398367973E-3</v>
      </c>
      <c r="AE107" s="396">
        <f t="shared" si="129"/>
        <v>5.1855236505827995E-3</v>
      </c>
      <c r="AF107" s="396">
        <f t="shared" si="129"/>
        <v>5.3309007613288016E-3</v>
      </c>
      <c r="AG107" s="396">
        <f t="shared" si="129"/>
        <v>5.4762778720748037E-3</v>
      </c>
      <c r="AH107" s="396">
        <f t="shared" si="129"/>
        <v>5.6216549828208059E-3</v>
      </c>
      <c r="AI107" s="396">
        <f t="shared" si="126"/>
        <v>5.7670320935668097E-3</v>
      </c>
    </row>
    <row r="108" spans="1:35" s="62" customFormat="1">
      <c r="A108" s="286"/>
      <c r="B108" s="62" t="s">
        <v>27</v>
      </c>
      <c r="C108" s="62" t="s">
        <v>815</v>
      </c>
      <c r="D108" s="62" t="s">
        <v>141</v>
      </c>
      <c r="E108" s="188">
        <f>D35</f>
        <v>0.71774223915373458</v>
      </c>
      <c r="F108" s="188">
        <f t="shared" ref="F108:AH108" si="130">-($E108-$AI108)/30+E108</f>
        <v>0.71774223915373458</v>
      </c>
      <c r="G108" s="188">
        <f t="shared" si="130"/>
        <v>0.71774223915373458</v>
      </c>
      <c r="H108" s="188">
        <f t="shared" si="130"/>
        <v>0.71774223915373458</v>
      </c>
      <c r="I108" s="188">
        <f t="shared" si="130"/>
        <v>0.71774223915373458</v>
      </c>
      <c r="J108" s="188">
        <f t="shared" si="130"/>
        <v>0.71774223915373458</v>
      </c>
      <c r="K108" s="188">
        <f t="shared" si="130"/>
        <v>0.71774223915373458</v>
      </c>
      <c r="L108" s="188">
        <f t="shared" si="130"/>
        <v>0.71774223915373458</v>
      </c>
      <c r="M108" s="188">
        <f t="shared" si="130"/>
        <v>0.71774223915373458</v>
      </c>
      <c r="N108" s="188">
        <f t="shared" si="130"/>
        <v>0.71774223915373458</v>
      </c>
      <c r="O108" s="188">
        <f t="shared" si="130"/>
        <v>0.71774223915373458</v>
      </c>
      <c r="P108" s="188">
        <f t="shared" si="130"/>
        <v>0.71774223915373458</v>
      </c>
      <c r="Q108" s="188">
        <f t="shared" si="130"/>
        <v>0.71774223915373458</v>
      </c>
      <c r="R108" s="188">
        <f t="shared" si="130"/>
        <v>0.71774223915373458</v>
      </c>
      <c r="S108" s="188">
        <f t="shared" si="130"/>
        <v>0.71774223915373458</v>
      </c>
      <c r="T108" s="188">
        <f t="shared" si="130"/>
        <v>0.71774223915373458</v>
      </c>
      <c r="U108" s="188">
        <f t="shared" si="130"/>
        <v>0.71774223915373458</v>
      </c>
      <c r="V108" s="188">
        <f t="shared" si="130"/>
        <v>0.71774223915373458</v>
      </c>
      <c r="W108" s="188">
        <f t="shared" si="130"/>
        <v>0.71774223915373458</v>
      </c>
      <c r="X108" s="188">
        <f t="shared" si="130"/>
        <v>0.71774223915373458</v>
      </c>
      <c r="Y108" s="188">
        <f t="shared" si="130"/>
        <v>0.71774223915373458</v>
      </c>
      <c r="Z108" s="188">
        <f t="shared" si="130"/>
        <v>0.71774223915373458</v>
      </c>
      <c r="AA108" s="188">
        <f t="shared" si="130"/>
        <v>0.71774223915373458</v>
      </c>
      <c r="AB108" s="188">
        <f t="shared" si="130"/>
        <v>0.71774223915373458</v>
      </c>
      <c r="AC108" s="188">
        <f t="shared" si="130"/>
        <v>0.71774223915373458</v>
      </c>
      <c r="AD108" s="188">
        <f t="shared" si="130"/>
        <v>0.71774223915373458</v>
      </c>
      <c r="AE108" s="188">
        <f t="shared" si="130"/>
        <v>0.71774223915373458</v>
      </c>
      <c r="AF108" s="188">
        <f t="shared" si="130"/>
        <v>0.71774223915373458</v>
      </c>
      <c r="AG108" s="188">
        <f t="shared" si="130"/>
        <v>0.71774223915373458</v>
      </c>
      <c r="AH108" s="188">
        <f t="shared" si="130"/>
        <v>0.71774223915373458</v>
      </c>
      <c r="AI108" s="188">
        <f>M35</f>
        <v>0.71774223915373458</v>
      </c>
    </row>
    <row r="109" spans="1:35">
      <c r="A109" s="289"/>
      <c r="B109" t="s">
        <v>27</v>
      </c>
      <c r="C109" t="s">
        <v>815</v>
      </c>
      <c r="D109" t="s">
        <v>74</v>
      </c>
      <c r="E109" s="157">
        <f t="shared" ref="E109:E112" si="131">D36</f>
        <v>6.9646559781392475E-2</v>
      </c>
      <c r="F109" s="157">
        <f t="shared" ref="F109:AH109" si="132">-($E109-$AI109)/30+E109</f>
        <v>6.9646559781392475E-2</v>
      </c>
      <c r="G109" s="157">
        <f t="shared" si="132"/>
        <v>6.9646559781392475E-2</v>
      </c>
      <c r="H109" s="157">
        <f t="shared" si="132"/>
        <v>6.9646559781392475E-2</v>
      </c>
      <c r="I109" s="157">
        <f t="shared" si="132"/>
        <v>6.9646559781392475E-2</v>
      </c>
      <c r="J109" s="157">
        <f t="shared" si="132"/>
        <v>6.9646559781392475E-2</v>
      </c>
      <c r="K109" s="157">
        <f t="shared" si="132"/>
        <v>6.9646559781392475E-2</v>
      </c>
      <c r="L109" s="157">
        <f t="shared" si="132"/>
        <v>6.9646559781392475E-2</v>
      </c>
      <c r="M109" s="157">
        <f t="shared" si="132"/>
        <v>6.9646559781392475E-2</v>
      </c>
      <c r="N109" s="157">
        <f t="shared" si="132"/>
        <v>6.9646559781392475E-2</v>
      </c>
      <c r="O109" s="157">
        <f t="shared" si="132"/>
        <v>6.9646559781392475E-2</v>
      </c>
      <c r="P109" s="157">
        <f t="shared" si="132"/>
        <v>6.9646559781392475E-2</v>
      </c>
      <c r="Q109" s="157">
        <f t="shared" si="132"/>
        <v>6.9646559781392475E-2</v>
      </c>
      <c r="R109" s="157">
        <f t="shared" si="132"/>
        <v>6.9646559781392475E-2</v>
      </c>
      <c r="S109" s="157">
        <f t="shared" si="132"/>
        <v>6.9646559781392475E-2</v>
      </c>
      <c r="T109" s="157">
        <f t="shared" si="132"/>
        <v>6.9646559781392475E-2</v>
      </c>
      <c r="U109" s="157">
        <f t="shared" si="132"/>
        <v>6.9646559781392475E-2</v>
      </c>
      <c r="V109" s="157">
        <f t="shared" si="132"/>
        <v>6.9646559781392475E-2</v>
      </c>
      <c r="W109" s="157">
        <f t="shared" si="132"/>
        <v>6.9646559781392475E-2</v>
      </c>
      <c r="X109" s="157">
        <f t="shared" si="132"/>
        <v>6.9646559781392475E-2</v>
      </c>
      <c r="Y109" s="157">
        <f t="shared" si="132"/>
        <v>6.9646559781392475E-2</v>
      </c>
      <c r="Z109" s="157">
        <f t="shared" si="132"/>
        <v>6.9646559781392475E-2</v>
      </c>
      <c r="AA109" s="157">
        <f t="shared" si="132"/>
        <v>6.9646559781392475E-2</v>
      </c>
      <c r="AB109" s="157">
        <f t="shared" si="132"/>
        <v>6.9646559781392475E-2</v>
      </c>
      <c r="AC109" s="157">
        <f t="shared" si="132"/>
        <v>6.9646559781392475E-2</v>
      </c>
      <c r="AD109" s="157">
        <f t="shared" si="132"/>
        <v>6.9646559781392475E-2</v>
      </c>
      <c r="AE109" s="157">
        <f t="shared" si="132"/>
        <v>6.9646559781392475E-2</v>
      </c>
      <c r="AF109" s="157">
        <f t="shared" si="132"/>
        <v>6.9646559781392475E-2</v>
      </c>
      <c r="AG109" s="157">
        <f t="shared" si="132"/>
        <v>6.9646559781392475E-2</v>
      </c>
      <c r="AH109" s="157">
        <f t="shared" si="132"/>
        <v>6.9646559781392475E-2</v>
      </c>
      <c r="AI109" s="157">
        <f t="shared" ref="AI109:AI112" si="133">M36</f>
        <v>6.9646559781392475E-2</v>
      </c>
    </row>
    <row r="110" spans="1:35">
      <c r="A110" s="289"/>
      <c r="B110" t="s">
        <v>27</v>
      </c>
      <c r="C110" t="s">
        <v>815</v>
      </c>
      <c r="D110" t="s">
        <v>34</v>
      </c>
      <c r="E110" s="157">
        <f t="shared" si="131"/>
        <v>0.16077426157043659</v>
      </c>
      <c r="F110" s="157">
        <f t="shared" ref="F110:AH110" si="134">-($E110-$AI110)/30+E110</f>
        <v>0.16077426157043659</v>
      </c>
      <c r="G110" s="157">
        <f t="shared" si="134"/>
        <v>0.16077426157043659</v>
      </c>
      <c r="H110" s="157">
        <f t="shared" si="134"/>
        <v>0.16077426157043659</v>
      </c>
      <c r="I110" s="157">
        <f t="shared" si="134"/>
        <v>0.16077426157043659</v>
      </c>
      <c r="J110" s="157">
        <f t="shared" si="134"/>
        <v>0.16077426157043659</v>
      </c>
      <c r="K110" s="157">
        <f t="shared" si="134"/>
        <v>0.16077426157043659</v>
      </c>
      <c r="L110" s="157">
        <f t="shared" si="134"/>
        <v>0.16077426157043659</v>
      </c>
      <c r="M110" s="157">
        <f t="shared" si="134"/>
        <v>0.16077426157043659</v>
      </c>
      <c r="N110" s="157">
        <f t="shared" si="134"/>
        <v>0.16077426157043659</v>
      </c>
      <c r="O110" s="157">
        <f t="shared" si="134"/>
        <v>0.16077426157043659</v>
      </c>
      <c r="P110" s="157">
        <f t="shared" si="134"/>
        <v>0.16077426157043659</v>
      </c>
      <c r="Q110" s="157">
        <f t="shared" si="134"/>
        <v>0.16077426157043659</v>
      </c>
      <c r="R110" s="157">
        <f t="shared" si="134"/>
        <v>0.16077426157043659</v>
      </c>
      <c r="S110" s="157">
        <f t="shared" si="134"/>
        <v>0.16077426157043659</v>
      </c>
      <c r="T110" s="157">
        <f t="shared" si="134"/>
        <v>0.16077426157043659</v>
      </c>
      <c r="U110" s="157">
        <f t="shared" si="134"/>
        <v>0.16077426157043659</v>
      </c>
      <c r="V110" s="157">
        <f t="shared" si="134"/>
        <v>0.16077426157043659</v>
      </c>
      <c r="W110" s="157">
        <f t="shared" si="134"/>
        <v>0.16077426157043659</v>
      </c>
      <c r="X110" s="157">
        <f t="shared" si="134"/>
        <v>0.16077426157043659</v>
      </c>
      <c r="Y110" s="157">
        <f t="shared" si="134"/>
        <v>0.16077426157043659</v>
      </c>
      <c r="Z110" s="157">
        <f t="shared" si="134"/>
        <v>0.16077426157043659</v>
      </c>
      <c r="AA110" s="157">
        <f t="shared" si="134"/>
        <v>0.16077426157043659</v>
      </c>
      <c r="AB110" s="157">
        <f t="shared" si="134"/>
        <v>0.16077426157043659</v>
      </c>
      <c r="AC110" s="157">
        <f t="shared" si="134"/>
        <v>0.16077426157043659</v>
      </c>
      <c r="AD110" s="157">
        <f t="shared" si="134"/>
        <v>0.16077426157043659</v>
      </c>
      <c r="AE110" s="157">
        <f t="shared" si="134"/>
        <v>0.16077426157043659</v>
      </c>
      <c r="AF110" s="157">
        <f t="shared" si="134"/>
        <v>0.16077426157043659</v>
      </c>
      <c r="AG110" s="157">
        <f t="shared" si="134"/>
        <v>0.16077426157043659</v>
      </c>
      <c r="AH110" s="157">
        <f t="shared" si="134"/>
        <v>0.16077426157043659</v>
      </c>
      <c r="AI110" s="157">
        <f t="shared" si="133"/>
        <v>0.16077426157043662</v>
      </c>
    </row>
    <row r="111" spans="1:35">
      <c r="A111" s="289"/>
      <c r="B111" t="s">
        <v>27</v>
      </c>
      <c r="C111" t="s">
        <v>815</v>
      </c>
      <c r="D111" t="s">
        <v>35</v>
      </c>
      <c r="E111" s="157">
        <f t="shared" si="131"/>
        <v>0</v>
      </c>
      <c r="F111" s="157">
        <f t="shared" ref="F111:AH111" si="135">-($E111-$AI111)/30+E111</f>
        <v>0</v>
      </c>
      <c r="G111" s="157">
        <f t="shared" si="135"/>
        <v>0</v>
      </c>
      <c r="H111" s="157">
        <f t="shared" si="135"/>
        <v>0</v>
      </c>
      <c r="I111" s="157">
        <f t="shared" si="135"/>
        <v>0</v>
      </c>
      <c r="J111" s="157">
        <f t="shared" si="135"/>
        <v>0</v>
      </c>
      <c r="K111" s="157">
        <f t="shared" si="135"/>
        <v>0</v>
      </c>
      <c r="L111" s="157">
        <f t="shared" si="135"/>
        <v>0</v>
      </c>
      <c r="M111" s="157">
        <f t="shared" si="135"/>
        <v>0</v>
      </c>
      <c r="N111" s="157">
        <f t="shared" si="135"/>
        <v>0</v>
      </c>
      <c r="O111" s="157">
        <f t="shared" si="135"/>
        <v>0</v>
      </c>
      <c r="P111" s="157">
        <f t="shared" si="135"/>
        <v>0</v>
      </c>
      <c r="Q111" s="157">
        <f t="shared" si="135"/>
        <v>0</v>
      </c>
      <c r="R111" s="157">
        <f t="shared" si="135"/>
        <v>0</v>
      </c>
      <c r="S111" s="157">
        <f t="shared" si="135"/>
        <v>0</v>
      </c>
      <c r="T111" s="157">
        <f t="shared" si="135"/>
        <v>0</v>
      </c>
      <c r="U111" s="157">
        <f t="shared" si="135"/>
        <v>0</v>
      </c>
      <c r="V111" s="157">
        <f t="shared" si="135"/>
        <v>0</v>
      </c>
      <c r="W111" s="157">
        <f t="shared" si="135"/>
        <v>0</v>
      </c>
      <c r="X111" s="157">
        <f t="shared" si="135"/>
        <v>0</v>
      </c>
      <c r="Y111" s="157">
        <f t="shared" si="135"/>
        <v>0</v>
      </c>
      <c r="Z111" s="157">
        <f t="shared" si="135"/>
        <v>0</v>
      </c>
      <c r="AA111" s="157">
        <f t="shared" si="135"/>
        <v>0</v>
      </c>
      <c r="AB111" s="157">
        <f t="shared" si="135"/>
        <v>0</v>
      </c>
      <c r="AC111" s="157">
        <f t="shared" si="135"/>
        <v>0</v>
      </c>
      <c r="AD111" s="157">
        <f t="shared" si="135"/>
        <v>0</v>
      </c>
      <c r="AE111" s="157">
        <f t="shared" si="135"/>
        <v>0</v>
      </c>
      <c r="AF111" s="157">
        <f t="shared" si="135"/>
        <v>0</v>
      </c>
      <c r="AG111" s="157">
        <f t="shared" si="135"/>
        <v>0</v>
      </c>
      <c r="AH111" s="157">
        <f t="shared" si="135"/>
        <v>0</v>
      </c>
      <c r="AI111" s="157">
        <f t="shared" si="133"/>
        <v>0</v>
      </c>
    </row>
    <row r="112" spans="1:35" s="63" customFormat="1">
      <c r="A112" s="290"/>
      <c r="B112" s="63" t="s">
        <v>27</v>
      </c>
      <c r="C112" s="63" t="s">
        <v>815</v>
      </c>
      <c r="D112" s="63" t="s">
        <v>27</v>
      </c>
      <c r="E112" s="396">
        <f t="shared" si="131"/>
        <v>5.18369394944364E-2</v>
      </c>
      <c r="F112" s="396">
        <f t="shared" ref="F112:AH112" si="136">-($E112-$AI112)/30+E112</f>
        <v>5.18369394944364E-2</v>
      </c>
      <c r="G112" s="396">
        <f t="shared" si="136"/>
        <v>5.18369394944364E-2</v>
      </c>
      <c r="H112" s="396">
        <f t="shared" si="136"/>
        <v>5.18369394944364E-2</v>
      </c>
      <c r="I112" s="396">
        <f t="shared" si="136"/>
        <v>5.18369394944364E-2</v>
      </c>
      <c r="J112" s="396">
        <f t="shared" si="136"/>
        <v>5.18369394944364E-2</v>
      </c>
      <c r="K112" s="396">
        <f t="shared" si="136"/>
        <v>5.18369394944364E-2</v>
      </c>
      <c r="L112" s="396">
        <f t="shared" si="136"/>
        <v>5.18369394944364E-2</v>
      </c>
      <c r="M112" s="396">
        <f t="shared" si="136"/>
        <v>5.18369394944364E-2</v>
      </c>
      <c r="N112" s="396">
        <f t="shared" si="136"/>
        <v>5.18369394944364E-2</v>
      </c>
      <c r="O112" s="396">
        <f t="shared" si="136"/>
        <v>5.18369394944364E-2</v>
      </c>
      <c r="P112" s="396">
        <f t="shared" si="136"/>
        <v>5.18369394944364E-2</v>
      </c>
      <c r="Q112" s="396">
        <f t="shared" si="136"/>
        <v>5.18369394944364E-2</v>
      </c>
      <c r="R112" s="396">
        <f t="shared" si="136"/>
        <v>5.18369394944364E-2</v>
      </c>
      <c r="S112" s="396">
        <f t="shared" si="136"/>
        <v>5.18369394944364E-2</v>
      </c>
      <c r="T112" s="396">
        <f t="shared" si="136"/>
        <v>5.18369394944364E-2</v>
      </c>
      <c r="U112" s="396">
        <f t="shared" si="136"/>
        <v>5.18369394944364E-2</v>
      </c>
      <c r="V112" s="396">
        <f t="shared" si="136"/>
        <v>5.18369394944364E-2</v>
      </c>
      <c r="W112" s="396">
        <f t="shared" si="136"/>
        <v>5.18369394944364E-2</v>
      </c>
      <c r="X112" s="396">
        <f t="shared" si="136"/>
        <v>5.18369394944364E-2</v>
      </c>
      <c r="Y112" s="396">
        <f t="shared" si="136"/>
        <v>5.18369394944364E-2</v>
      </c>
      <c r="Z112" s="396">
        <f t="shared" si="136"/>
        <v>5.18369394944364E-2</v>
      </c>
      <c r="AA112" s="396">
        <f t="shared" si="136"/>
        <v>5.18369394944364E-2</v>
      </c>
      <c r="AB112" s="396">
        <f t="shared" si="136"/>
        <v>5.18369394944364E-2</v>
      </c>
      <c r="AC112" s="396">
        <f t="shared" si="136"/>
        <v>5.18369394944364E-2</v>
      </c>
      <c r="AD112" s="396">
        <f t="shared" si="136"/>
        <v>5.18369394944364E-2</v>
      </c>
      <c r="AE112" s="396">
        <f t="shared" si="136"/>
        <v>5.18369394944364E-2</v>
      </c>
      <c r="AF112" s="396">
        <f t="shared" si="136"/>
        <v>5.18369394944364E-2</v>
      </c>
      <c r="AG112" s="396">
        <f t="shared" si="136"/>
        <v>5.18369394944364E-2</v>
      </c>
      <c r="AH112" s="396">
        <f t="shared" si="136"/>
        <v>5.18369394944364E-2</v>
      </c>
      <c r="AI112" s="396">
        <f t="shared" si="133"/>
        <v>5.18369394944364E-2</v>
      </c>
    </row>
  </sheetData>
  <mergeCells count="10">
    <mergeCell ref="I3:I8"/>
    <mergeCell ref="I11:I15"/>
    <mergeCell ref="I19:I23"/>
    <mergeCell ref="I27:I31"/>
    <mergeCell ref="I35:I39"/>
    <mergeCell ref="S3:S8"/>
    <mergeCell ref="S11:S15"/>
    <mergeCell ref="S19:S23"/>
    <mergeCell ref="S27:S31"/>
    <mergeCell ref="S35:S39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A2F74-9BD1-4979-A141-1A72102C28AB}">
  <sheetPr>
    <tabColor theme="4"/>
  </sheetPr>
  <dimension ref="A1:E41"/>
  <sheetViews>
    <sheetView topLeftCell="A4" zoomScale="60" zoomScaleNormal="60" workbookViewId="0">
      <selection activeCell="N38" sqref="N38"/>
    </sheetView>
  </sheetViews>
  <sheetFormatPr defaultRowHeight="14.75"/>
  <cols>
    <col min="1" max="1" width="15.08984375" customWidth="1"/>
    <col min="2" max="2" width="12.453125" bestFit="1" customWidth="1"/>
  </cols>
  <sheetData>
    <row r="1" spans="1:3" s="76" customFormat="1" ht="15.5" thickBot="1">
      <c r="A1" s="76" t="s">
        <v>328</v>
      </c>
    </row>
    <row r="2" spans="1:3">
      <c r="A2" s="51" t="s">
        <v>372</v>
      </c>
    </row>
    <row r="3" spans="1:3">
      <c r="A3" s="147" t="s">
        <v>330</v>
      </c>
    </row>
    <row r="4" spans="1:3">
      <c r="A4" s="166" t="s">
        <v>398</v>
      </c>
    </row>
    <row r="5" spans="1:3">
      <c r="A5" s="147"/>
    </row>
    <row r="6" spans="1:3">
      <c r="A6" s="1">
        <v>2015</v>
      </c>
      <c r="B6" t="s">
        <v>154</v>
      </c>
      <c r="C6" t="s">
        <v>126</v>
      </c>
    </row>
    <row r="7" spans="1:3">
      <c r="A7" t="s">
        <v>17</v>
      </c>
      <c r="B7" s="606">
        <f>C7*$B$15</f>
        <v>2453911.0828849729</v>
      </c>
      <c r="C7" s="53">
        <v>0.46288166072261605</v>
      </c>
    </row>
    <row r="8" spans="1:3">
      <c r="A8" t="s">
        <v>53</v>
      </c>
      <c r="B8" s="606">
        <f t="shared" ref="B8:B14" si="0">C8*$B$15</f>
        <v>743991.07644911227</v>
      </c>
      <c r="C8" s="53">
        <v>0.14033916201425573</v>
      </c>
    </row>
    <row r="9" spans="1:3">
      <c r="A9" t="s">
        <v>24</v>
      </c>
      <c r="B9" s="606">
        <f t="shared" si="0"/>
        <v>661718.37376354425</v>
      </c>
      <c r="C9" s="53">
        <v>0.12482004825465627</v>
      </c>
    </row>
    <row r="10" spans="1:3">
      <c r="A10" t="s">
        <v>288</v>
      </c>
      <c r="B10" s="606">
        <f t="shared" si="0"/>
        <v>650872.11184026732</v>
      </c>
      <c r="C10" s="53">
        <v>0.12277411604191429</v>
      </c>
    </row>
    <row r="11" spans="1:3">
      <c r="A11" t="s">
        <v>289</v>
      </c>
      <c r="B11" s="606">
        <f t="shared" si="0"/>
        <v>293071.78095354402</v>
      </c>
      <c r="C11" s="53">
        <v>5.52821793849285E-2</v>
      </c>
    </row>
    <row r="12" spans="1:3">
      <c r="A12" t="s">
        <v>290</v>
      </c>
      <c r="B12" s="606">
        <f t="shared" si="0"/>
        <v>236300.92364810983</v>
      </c>
      <c r="C12" s="53">
        <v>4.457348301305681E-2</v>
      </c>
    </row>
    <row r="13" spans="1:3">
      <c r="A13" t="s">
        <v>291</v>
      </c>
      <c r="B13" s="606">
        <f t="shared" si="0"/>
        <v>230566.99725594046</v>
      </c>
      <c r="C13" s="53">
        <v>4.3491891512297036E-2</v>
      </c>
    </row>
    <row r="14" spans="1:3">
      <c r="A14" t="s">
        <v>292</v>
      </c>
      <c r="B14" s="606">
        <f t="shared" si="0"/>
        <v>30946.582441220191</v>
      </c>
      <c r="C14" s="53">
        <v>5.8374590562753565E-3</v>
      </c>
    </row>
    <row r="15" spans="1:3">
      <c r="B15" s="101">
        <f>'Ethylene Recycling HC'!C2</f>
        <v>5301378.929236711</v>
      </c>
      <c r="C15" s="22">
        <f>SUM(C7:C14)</f>
        <v>1.0000000000000002</v>
      </c>
    </row>
    <row r="17" spans="1:4">
      <c r="A17" s="1">
        <v>2015</v>
      </c>
      <c r="B17" t="s">
        <v>154</v>
      </c>
      <c r="C17" t="s">
        <v>126</v>
      </c>
    </row>
    <row r="18" spans="1:4">
      <c r="A18" t="s">
        <v>17</v>
      </c>
      <c r="B18" s="101">
        <f>B7</f>
        <v>2453911.0828849729</v>
      </c>
      <c r="C18" s="2">
        <f>B18/SUM($B$7:$B$14,$B$23)</f>
        <v>0.41701050515550991</v>
      </c>
    </row>
    <row r="19" spans="1:4">
      <c r="A19" t="s">
        <v>19</v>
      </c>
      <c r="B19" s="101">
        <f>B13</f>
        <v>230566.99725594046</v>
      </c>
      <c r="C19" s="2">
        <f t="shared" ref="C19:C22" si="1">B19/SUM($B$7:$B$14,$B$23)</f>
        <v>3.9181884245312638E-2</v>
      </c>
    </row>
    <row r="20" spans="1:4">
      <c r="A20" t="s">
        <v>333</v>
      </c>
      <c r="B20" s="101">
        <f>B11</f>
        <v>293071.78095354402</v>
      </c>
      <c r="C20" s="2">
        <f t="shared" si="1"/>
        <v>4.980376521164729E-2</v>
      </c>
    </row>
    <row r="21" spans="1:4">
      <c r="A21" t="s">
        <v>23</v>
      </c>
      <c r="B21" s="101">
        <f>B12</f>
        <v>236300.92364810983</v>
      </c>
      <c r="C21" s="2">
        <f t="shared" si="1"/>
        <v>4.0156291002753877E-2</v>
      </c>
    </row>
    <row r="22" spans="1:4">
      <c r="A22" t="s">
        <v>339</v>
      </c>
      <c r="B22" s="101">
        <f>B10</f>
        <v>650872.11184026732</v>
      </c>
      <c r="C22" s="2">
        <f t="shared" si="1"/>
        <v>0.11060731174947233</v>
      </c>
    </row>
    <row r="23" spans="1:4">
      <c r="A23" t="s">
        <v>365</v>
      </c>
      <c r="B23" s="122">
        <f>C23*(B15*(C23+C15)/C15)</f>
        <v>583151.68221603835</v>
      </c>
      <c r="C23" s="53">
        <v>0.1</v>
      </c>
      <c r="D23" s="51" t="s">
        <v>403</v>
      </c>
    </row>
    <row r="24" spans="1:4">
      <c r="A24" t="s">
        <v>27</v>
      </c>
      <c r="B24" s="101">
        <f>B9+B8+B14</f>
        <v>1436656.0326538768</v>
      </c>
      <c r="C24" s="2">
        <f>B24/SUM($B$7:$B$14,$B$23)</f>
        <v>0.24414114353620481</v>
      </c>
    </row>
    <row r="25" spans="1:4">
      <c r="A25" t="s">
        <v>43</v>
      </c>
      <c r="B25" s="101">
        <f>SUM(B18:B24)</f>
        <v>5884530.611452749</v>
      </c>
      <c r="C25" s="2">
        <f>SUM(C18:C24)</f>
        <v>1.0009009009009009</v>
      </c>
    </row>
    <row r="26" spans="1:4">
      <c r="B26" s="24"/>
      <c r="C26" s="22"/>
    </row>
    <row r="27" spans="1:4">
      <c r="A27" s="1">
        <v>2015</v>
      </c>
      <c r="B27" t="s">
        <v>154</v>
      </c>
      <c r="C27" t="s">
        <v>126</v>
      </c>
    </row>
    <row r="28" spans="1:4">
      <c r="A28" t="s">
        <v>764</v>
      </c>
      <c r="B28" s="246">
        <f>B18+B22</f>
        <v>3104783.1947252401</v>
      </c>
      <c r="C28" s="2">
        <f>C18+C22</f>
        <v>0.52761781690498222</v>
      </c>
    </row>
    <row r="29" spans="1:4">
      <c r="A29" t="s">
        <v>19</v>
      </c>
      <c r="B29" s="246">
        <f>B19</f>
        <v>230566.99725594046</v>
      </c>
      <c r="C29" s="2">
        <f>C19</f>
        <v>3.9181884245312638E-2</v>
      </c>
    </row>
    <row r="30" spans="1:4">
      <c r="A30" t="s">
        <v>333</v>
      </c>
      <c r="B30" s="246">
        <f>B20</f>
        <v>293071.78095354402</v>
      </c>
      <c r="C30" s="2">
        <f>C20</f>
        <v>4.980376521164729E-2</v>
      </c>
    </row>
    <row r="31" spans="1:4">
      <c r="A31" t="s">
        <v>365</v>
      </c>
      <c r="B31" s="246">
        <f>B23</f>
        <v>583151.68221603835</v>
      </c>
      <c r="C31" s="2">
        <f>C23</f>
        <v>0.1</v>
      </c>
    </row>
    <row r="32" spans="1:4">
      <c r="A32" t="s">
        <v>27</v>
      </c>
      <c r="B32" s="246">
        <f>B24+B21</f>
        <v>1672956.9563019867</v>
      </c>
      <c r="C32" s="2">
        <f>C24+C21</f>
        <v>0.28429743453895867</v>
      </c>
    </row>
    <row r="33" spans="1:5">
      <c r="A33" t="s">
        <v>43</v>
      </c>
      <c r="B33" s="246">
        <f>SUM(B28:B32)</f>
        <v>5884530.611452749</v>
      </c>
      <c r="C33" s="2">
        <f>SUM(C28:C32)</f>
        <v>1.0009009009009009</v>
      </c>
    </row>
    <row r="34" spans="1:5">
      <c r="B34" s="246"/>
      <c r="C34" s="2"/>
    </row>
    <row r="35" spans="1:5">
      <c r="A35" s="1">
        <v>2020</v>
      </c>
      <c r="B35" s="246" t="s">
        <v>154</v>
      </c>
      <c r="C35" t="s">
        <v>126</v>
      </c>
    </row>
    <row r="36" spans="1:5">
      <c r="A36" t="s">
        <v>764</v>
      </c>
      <c r="B36" s="246">
        <f>B28*(1+$E$37)^5</f>
        <v>3599294.6639672988</v>
      </c>
      <c r="C36" s="2">
        <f>B36/$B$41</f>
        <v>0.52761781690498233</v>
      </c>
      <c r="E36" t="s">
        <v>1516</v>
      </c>
    </row>
    <row r="37" spans="1:5">
      <c r="A37" t="s">
        <v>19</v>
      </c>
      <c r="B37" s="246">
        <f t="shared" ref="B37:B40" si="2">B29*(1+$E$37)^5</f>
        <v>267290.34230801096</v>
      </c>
      <c r="C37" s="2">
        <f t="shared" ref="C37:C40" si="3">B37/$B$41</f>
        <v>3.9181884245312645E-2</v>
      </c>
      <c r="E37" s="52">
        <v>0.03</v>
      </c>
    </row>
    <row r="38" spans="1:5">
      <c r="A38" t="s">
        <v>333</v>
      </c>
      <c r="B38" s="246">
        <f t="shared" si="2"/>
        <v>339750.51756837207</v>
      </c>
      <c r="C38" s="2">
        <f t="shared" si="3"/>
        <v>4.9803765211647304E-2</v>
      </c>
    </row>
    <row r="39" spans="1:5">
      <c r="A39" t="s">
        <v>365</v>
      </c>
      <c r="B39" s="246">
        <f t="shared" si="2"/>
        <v>676032.62657748559</v>
      </c>
      <c r="C39" s="2">
        <f t="shared" si="3"/>
        <v>9.9099099099099142E-2</v>
      </c>
    </row>
    <row r="40" spans="1:5">
      <c r="A40" t="s">
        <v>27</v>
      </c>
      <c r="B40" s="246">
        <f t="shared" si="2"/>
        <v>1939415.6268607308</v>
      </c>
      <c r="C40" s="2">
        <f t="shared" si="3"/>
        <v>0.28429743453895873</v>
      </c>
    </row>
    <row r="41" spans="1:5">
      <c r="A41" t="s">
        <v>43</v>
      </c>
      <c r="B41" s="246">
        <f>SUM(B36:B40)</f>
        <v>6821783.7772818971</v>
      </c>
      <c r="C41" s="2">
        <f>SUM(C36:C40)</f>
        <v>1</v>
      </c>
    </row>
  </sheetData>
  <hyperlinks>
    <hyperlink ref="A3" r:id="rId1" xr:uid="{41D67967-2C9E-4985-A90A-A2958C799988}"/>
  </hyperlinks>
  <pageMargins left="0.7" right="0.7" top="0.75" bottom="0.75" header="0.3" footer="0.3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E92B0-FF37-42CD-ABA8-29FCBFB74983}">
  <sheetPr>
    <tabColor theme="9"/>
  </sheetPr>
  <dimension ref="B2:B19"/>
  <sheetViews>
    <sheetView workbookViewId="0">
      <selection activeCell="F16" sqref="F16"/>
    </sheetView>
  </sheetViews>
  <sheetFormatPr defaultRowHeight="14.75"/>
  <sheetData>
    <row r="2" spans="2:2">
      <c r="B2" t="s">
        <v>660</v>
      </c>
    </row>
    <row r="3" spans="2:2">
      <c r="B3" t="s">
        <v>661</v>
      </c>
    </row>
    <row r="4" spans="2:2">
      <c r="B4" t="s">
        <v>662</v>
      </c>
    </row>
    <row r="5" spans="2:2">
      <c r="B5" t="s">
        <v>663</v>
      </c>
    </row>
    <row r="6" spans="2:2">
      <c r="B6" t="s">
        <v>664</v>
      </c>
    </row>
    <row r="8" spans="2:2">
      <c r="B8" t="s">
        <v>665</v>
      </c>
    </row>
    <row r="9" spans="2:2">
      <c r="B9" t="s">
        <v>666</v>
      </c>
    </row>
    <row r="11" spans="2:2">
      <c r="B11" t="s">
        <v>667</v>
      </c>
    </row>
    <row r="12" spans="2:2">
      <c r="B12" t="s">
        <v>668</v>
      </c>
    </row>
    <row r="13" spans="2:2">
      <c r="B13" t="s">
        <v>669</v>
      </c>
    </row>
    <row r="15" spans="2:2">
      <c r="B15" t="s">
        <v>670</v>
      </c>
    </row>
    <row r="16" spans="2:2">
      <c r="B16" t="s">
        <v>671</v>
      </c>
    </row>
    <row r="18" spans="2:2">
      <c r="B18" t="s">
        <v>672</v>
      </c>
    </row>
    <row r="19" spans="2:2">
      <c r="B19" t="s">
        <v>673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74E56-4EF3-49A5-884E-2D16FFF574BD}">
  <sheetPr>
    <tabColor theme="9"/>
  </sheetPr>
  <dimension ref="A1:AH119"/>
  <sheetViews>
    <sheetView tabSelected="1" zoomScale="70" zoomScaleNormal="70" workbookViewId="0">
      <selection activeCell="H79" sqref="H79"/>
    </sheetView>
  </sheetViews>
  <sheetFormatPr defaultRowHeight="14.75"/>
  <cols>
    <col min="1" max="1" width="32.36328125" customWidth="1"/>
    <col min="2" max="2" width="33" customWidth="1"/>
    <col min="3" max="3" width="28.36328125" customWidth="1"/>
    <col min="4" max="4" width="19.81640625" customWidth="1"/>
    <col min="5" max="5" width="19.81640625" style="433" customWidth="1"/>
    <col min="6" max="6" width="19.81640625" customWidth="1"/>
    <col min="7" max="7" width="19" customWidth="1"/>
    <col min="8" max="8" width="25.54296875" bestFit="1" customWidth="1"/>
    <col min="9" max="10" width="25.54296875" customWidth="1"/>
    <col min="11" max="11" width="32.81640625" bestFit="1" customWidth="1"/>
    <col min="12" max="12" width="25.54296875" customWidth="1"/>
    <col min="13" max="13" width="10.81640625" customWidth="1"/>
    <col min="14" max="14" width="58.08984375" bestFit="1" customWidth="1"/>
    <col min="17" max="17" width="17.26953125" bestFit="1" customWidth="1"/>
    <col min="18" max="19" width="33.81640625" bestFit="1" customWidth="1"/>
    <col min="20" max="29" width="16.81640625" bestFit="1" customWidth="1"/>
    <col min="30" max="30" width="15.26953125" bestFit="1" customWidth="1"/>
    <col min="31" max="31" width="16.81640625" bestFit="1" customWidth="1"/>
    <col min="32" max="32" width="6.81640625" bestFit="1" customWidth="1"/>
    <col min="33" max="33" width="9.54296875" bestFit="1" customWidth="1"/>
    <col min="34" max="34" width="14.26953125" bestFit="1" customWidth="1"/>
  </cols>
  <sheetData>
    <row r="1" spans="1:19">
      <c r="A1" s="1" t="s">
        <v>985</v>
      </c>
      <c r="B1" s="259" t="b">
        <v>1</v>
      </c>
    </row>
    <row r="2" spans="1:19">
      <c r="C2" t="s">
        <v>1195</v>
      </c>
      <c r="D2" s="40">
        <f>SUMIF(F:F,C2,H:H)</f>
        <v>102.16223893794904</v>
      </c>
    </row>
    <row r="3" spans="1:19">
      <c r="D3" s="494">
        <f>'Yearly Demand - Methanol'!G10</f>
        <v>102.16223893794903</v>
      </c>
    </row>
    <row r="4" spans="1:19">
      <c r="A4" s="429" t="s">
        <v>986</v>
      </c>
      <c r="B4" s="429" t="s">
        <v>987</v>
      </c>
      <c r="C4" s="429" t="s">
        <v>988</v>
      </c>
      <c r="D4" s="429" t="s">
        <v>989</v>
      </c>
      <c r="E4" s="429" t="s">
        <v>1191</v>
      </c>
      <c r="F4" s="429" t="s">
        <v>1194</v>
      </c>
      <c r="G4" s="429" t="s">
        <v>990</v>
      </c>
      <c r="H4" s="429" t="s">
        <v>991</v>
      </c>
      <c r="I4" s="429" t="s">
        <v>992</v>
      </c>
      <c r="J4" s="429" t="s">
        <v>993</v>
      </c>
      <c r="K4" s="429" t="s">
        <v>994</v>
      </c>
      <c r="L4" s="429" t="s">
        <v>995</v>
      </c>
      <c r="M4" s="429" t="s">
        <v>996</v>
      </c>
      <c r="N4" s="429" t="s">
        <v>997</v>
      </c>
    </row>
    <row r="5" spans="1:19">
      <c r="A5" t="s">
        <v>796</v>
      </c>
      <c r="B5" s="430" t="s">
        <v>3</v>
      </c>
      <c r="C5" s="430"/>
      <c r="D5" s="430" t="s">
        <v>908</v>
      </c>
      <c r="E5" s="430"/>
      <c r="F5" s="430" t="s">
        <v>1196</v>
      </c>
      <c r="G5" s="192">
        <f>30.5145062488026%*0.4</f>
        <v>0.12205802499521042</v>
      </c>
      <c r="H5" s="431">
        <f>31.2019722359321*0.4</f>
        <v>12.480788894372841</v>
      </c>
      <c r="I5" s="432">
        <v>2</v>
      </c>
      <c r="J5" s="431">
        <f>H5</f>
        <v>12.480788894372841</v>
      </c>
      <c r="K5" s="431">
        <v>1.75093632958801</v>
      </c>
      <c r="L5" s="431">
        <f>J5*K5</f>
        <v>21.853066697075981</v>
      </c>
      <c r="M5" s="431" t="str">
        <f t="shared" ref="M5:M36" si="0">IF(AND(OR(B5="Other",C5="Other"),$B$1=TRUE),$S$9,_xlfn.XLOOKUP(D5,$Q$6:$Q$10,$S$6:$S$10,$S$8))</f>
        <v>#A9A9A9</v>
      </c>
      <c r="N5" t="str">
        <f t="shared" ref="N5:N36" si="1">CONCATENATE(A5," [",IF(H5&lt;1,ROUND(H5,2),ROUND(H5,1)),"] ",IF($B$1=TRUE,IF((ISBLANK(C5)),B5,C5),B5)," ",M5)</f>
        <v>Methanol [12.5] Ethylene #A9A9A9</v>
      </c>
      <c r="Q5" t="s">
        <v>998</v>
      </c>
    </row>
    <row r="6" spans="1:19">
      <c r="A6" t="s">
        <v>796</v>
      </c>
      <c r="B6" s="430" t="s">
        <v>4</v>
      </c>
      <c r="C6" s="430"/>
      <c r="D6" s="430" t="s">
        <v>908</v>
      </c>
      <c r="E6" s="430"/>
      <c r="F6" s="430" t="s">
        <v>1196</v>
      </c>
      <c r="G6" s="192">
        <f>30.5145062488026%*0.6</f>
        <v>0.1830870374928156</v>
      </c>
      <c r="H6" s="431">
        <f>31.2019722359321*0.6</f>
        <v>18.721183341559261</v>
      </c>
      <c r="I6" s="432">
        <v>3</v>
      </c>
      <c r="J6" s="431">
        <f t="shared" ref="J6:J69" si="2">H6</f>
        <v>18.721183341559261</v>
      </c>
      <c r="K6" s="431" t="e">
        <v>#N/A</v>
      </c>
      <c r="L6" s="431" t="e">
        <f t="shared" ref="L6:L69" si="3">J6*K6</f>
        <v>#N/A</v>
      </c>
      <c r="M6" s="431" t="str">
        <f t="shared" si="0"/>
        <v>#A9A9A9</v>
      </c>
      <c r="N6" t="str">
        <f t="shared" si="1"/>
        <v>Methanol [18.7] Propylene #A9A9A9</v>
      </c>
      <c r="Q6" t="s">
        <v>999</v>
      </c>
      <c r="R6" t="s">
        <v>133</v>
      </c>
      <c r="S6" s="431" t="s">
        <v>1000</v>
      </c>
    </row>
    <row r="7" spans="1:19">
      <c r="A7" t="s">
        <v>796</v>
      </c>
      <c r="B7" s="430" t="s">
        <v>926</v>
      </c>
      <c r="C7" s="430"/>
      <c r="D7" s="430"/>
      <c r="E7" s="430"/>
      <c r="F7" s="430" t="s">
        <v>1196</v>
      </c>
      <c r="G7" s="192">
        <v>0.23263118840911975</v>
      </c>
      <c r="H7" s="431">
        <v>23.787217209972287</v>
      </c>
      <c r="I7" s="432">
        <v>1</v>
      </c>
      <c r="J7" s="431">
        <f>H7</f>
        <v>23.787217209972287</v>
      </c>
      <c r="K7" s="431">
        <v>0.93714107365792754</v>
      </c>
      <c r="L7" s="431">
        <f t="shared" si="3"/>
        <v>22.291978275487761</v>
      </c>
      <c r="M7" s="431" t="str">
        <f t="shared" si="0"/>
        <v>#A9A9A9</v>
      </c>
      <c r="N7" t="str">
        <f t="shared" si="1"/>
        <v>Methanol [23.8] Formaldehyde #A9A9A9</v>
      </c>
      <c r="Q7" t="s">
        <v>1001</v>
      </c>
      <c r="R7" t="s">
        <v>1002</v>
      </c>
      <c r="S7" t="s">
        <v>1003</v>
      </c>
    </row>
    <row r="8" spans="1:19">
      <c r="A8" t="s">
        <v>796</v>
      </c>
      <c r="B8" s="430" t="s">
        <v>1004</v>
      </c>
      <c r="C8" s="430"/>
      <c r="D8" s="430"/>
      <c r="E8" s="430"/>
      <c r="F8" s="430" t="s">
        <v>1196</v>
      </c>
      <c r="G8" s="192">
        <v>0.1021547725875792</v>
      </c>
      <c r="H8" s="431">
        <v>10.445623311275693</v>
      </c>
      <c r="I8" s="432">
        <v>1</v>
      </c>
      <c r="J8" s="431">
        <f t="shared" si="2"/>
        <v>10.445623311275693</v>
      </c>
      <c r="K8" s="431" t="e">
        <v>#N/A</v>
      </c>
      <c r="L8" s="431" t="e">
        <f t="shared" si="3"/>
        <v>#N/A</v>
      </c>
      <c r="M8" s="431" t="str">
        <f t="shared" si="0"/>
        <v>#A9A9A9</v>
      </c>
      <c r="N8" t="str">
        <f t="shared" si="1"/>
        <v>Methanol [10.4] Methyl tert-Butyl Ether (MTBE) #A9A9A9</v>
      </c>
      <c r="Q8" t="s">
        <v>1005</v>
      </c>
      <c r="R8" t="s">
        <v>1006</v>
      </c>
      <c r="S8" s="431" t="s">
        <v>1007</v>
      </c>
    </row>
    <row r="9" spans="1:19">
      <c r="A9" t="s">
        <v>796</v>
      </c>
      <c r="B9" s="430" t="s">
        <v>885</v>
      </c>
      <c r="C9" s="430"/>
      <c r="D9" s="430"/>
      <c r="E9" s="430"/>
      <c r="F9" s="430" t="s">
        <v>1196</v>
      </c>
      <c r="G9" s="192">
        <v>7.0342979835361516E-2</v>
      </c>
      <c r="H9" s="431">
        <v>7.192774760698633</v>
      </c>
      <c r="I9" s="432">
        <v>1</v>
      </c>
      <c r="J9" s="431">
        <f t="shared" si="2"/>
        <v>7.192774760698633</v>
      </c>
      <c r="K9" s="431">
        <v>1.8742821473158551</v>
      </c>
      <c r="L9" s="431">
        <f t="shared" si="3"/>
        <v>13.481289323641519</v>
      </c>
      <c r="M9" s="431" t="str">
        <f t="shared" si="0"/>
        <v>#A9A9A9</v>
      </c>
      <c r="N9" t="str">
        <f t="shared" si="1"/>
        <v>Methanol [7.2] Acetic Acid #A9A9A9</v>
      </c>
      <c r="Q9" t="s">
        <v>24</v>
      </c>
      <c r="R9" t="s">
        <v>1008</v>
      </c>
      <c r="S9" s="431" t="s">
        <v>1009</v>
      </c>
    </row>
    <row r="10" spans="1:19">
      <c r="A10" t="s">
        <v>796</v>
      </c>
      <c r="B10" s="430" t="s">
        <v>1010</v>
      </c>
      <c r="C10" s="430"/>
      <c r="D10" s="430"/>
      <c r="E10" s="430"/>
      <c r="F10" s="430" t="s">
        <v>1196</v>
      </c>
      <c r="G10" s="192">
        <v>1.733781708100687E-2</v>
      </c>
      <c r="H10" s="431">
        <v>1.772842341876246</v>
      </c>
      <c r="I10" s="432">
        <v>1</v>
      </c>
      <c r="J10" s="431">
        <f t="shared" si="2"/>
        <v>1.772842341876246</v>
      </c>
      <c r="K10" s="431" t="e">
        <v>#N/A</v>
      </c>
      <c r="L10" s="431" t="e">
        <f t="shared" si="3"/>
        <v>#N/A</v>
      </c>
      <c r="M10" s="431" t="str">
        <f t="shared" si="0"/>
        <v>#A9A9A9</v>
      </c>
      <c r="N10" t="str">
        <f t="shared" si="1"/>
        <v>Methanol [1.8] Methyl Methacrylate (MMA) #A9A9A9</v>
      </c>
      <c r="Q10" t="s">
        <v>911</v>
      </c>
      <c r="R10" t="s">
        <v>1011</v>
      </c>
      <c r="S10" s="431" t="s">
        <v>1012</v>
      </c>
    </row>
    <row r="11" spans="1:19">
      <c r="A11" t="s">
        <v>796</v>
      </c>
      <c r="B11" s="430" t="s">
        <v>1013</v>
      </c>
      <c r="C11" s="430"/>
      <c r="D11" s="430" t="s">
        <v>911</v>
      </c>
      <c r="E11" s="430" t="s">
        <v>911</v>
      </c>
      <c r="F11" s="430" t="s">
        <v>1195</v>
      </c>
      <c r="G11" s="192">
        <v>2.9805719753632672E-2</v>
      </c>
      <c r="H11" s="431">
        <v>3.0477217381202508</v>
      </c>
      <c r="I11" s="432">
        <v>1</v>
      </c>
      <c r="J11" s="431">
        <f t="shared" si="2"/>
        <v>3.0477217381202508</v>
      </c>
      <c r="K11" s="431" t="e">
        <v>#N/A</v>
      </c>
      <c r="L11" s="431" t="e">
        <f t="shared" si="3"/>
        <v>#N/A</v>
      </c>
      <c r="M11" s="431" t="str">
        <f t="shared" si="0"/>
        <v>#CC66FF</v>
      </c>
      <c r="N11" t="str">
        <f t="shared" si="1"/>
        <v>Methanol [3] Biodiesel #CC66FF</v>
      </c>
    </row>
    <row r="12" spans="1:19">
      <c r="A12" t="s">
        <v>796</v>
      </c>
      <c r="B12" s="430" t="s">
        <v>1014</v>
      </c>
      <c r="C12" s="430"/>
      <c r="D12" s="430"/>
      <c r="E12" s="430"/>
      <c r="F12" s="430" t="s">
        <v>1196</v>
      </c>
      <c r="G12" s="192">
        <v>2.8522886298573059E-2</v>
      </c>
      <c r="H12" s="431">
        <v>2.9165482774660565</v>
      </c>
      <c r="I12" s="432">
        <v>1</v>
      </c>
      <c r="J12" s="431">
        <f t="shared" si="2"/>
        <v>2.9165482774660565</v>
      </c>
      <c r="K12" s="431" t="e">
        <v>#N/A</v>
      </c>
      <c r="L12" s="431" t="e">
        <f t="shared" si="3"/>
        <v>#N/A</v>
      </c>
      <c r="M12" s="431" t="str">
        <f t="shared" si="0"/>
        <v>#A9A9A9</v>
      </c>
      <c r="N12" t="str">
        <f t="shared" si="1"/>
        <v>Methanol [2.9] Dimethylether (DME) #A9A9A9</v>
      </c>
    </row>
    <row r="13" spans="1:19">
      <c r="A13" t="s">
        <v>796</v>
      </c>
      <c r="B13" s="430" t="s">
        <v>1015</v>
      </c>
      <c r="C13" s="430"/>
      <c r="D13" s="430" t="s">
        <v>911</v>
      </c>
      <c r="E13" s="430" t="s">
        <v>911</v>
      </c>
      <c r="F13" s="430" t="s">
        <v>1195</v>
      </c>
      <c r="G13" s="192">
        <v>0.12836023848013775</v>
      </c>
      <c r="H13" s="431">
        <v>13.125208596196902</v>
      </c>
      <c r="I13" s="432">
        <v>1</v>
      </c>
      <c r="J13" s="431">
        <f t="shared" si="2"/>
        <v>13.125208596196902</v>
      </c>
      <c r="K13" s="431" t="e">
        <v>#N/A</v>
      </c>
      <c r="L13" s="431" t="e">
        <f t="shared" si="3"/>
        <v>#N/A</v>
      </c>
      <c r="M13" s="431" t="str">
        <f t="shared" si="0"/>
        <v>#CC66FF</v>
      </c>
      <c r="N13" t="str">
        <f t="shared" si="1"/>
        <v>Methanol [13.1] Gasoline Blending &amp; Combustion #CC66FF</v>
      </c>
    </row>
    <row r="14" spans="1:19">
      <c r="A14" t="s">
        <v>796</v>
      </c>
      <c r="B14" s="430" t="s">
        <v>1016</v>
      </c>
      <c r="C14" s="430" t="s">
        <v>24</v>
      </c>
      <c r="D14" s="430" t="s">
        <v>911</v>
      </c>
      <c r="E14" s="430" t="s">
        <v>911</v>
      </c>
      <c r="F14" s="430" t="s">
        <v>1195</v>
      </c>
      <c r="G14" s="192">
        <v>1.2248167496215287E-4</v>
      </c>
      <c r="H14" s="431">
        <v>1.2524108338569352E-2</v>
      </c>
      <c r="I14" s="432">
        <v>1</v>
      </c>
      <c r="J14" s="431">
        <f t="shared" si="2"/>
        <v>1.2524108338569352E-2</v>
      </c>
      <c r="K14" s="431" t="e">
        <v>#N/A</v>
      </c>
      <c r="L14" s="431" t="e">
        <f t="shared" si="3"/>
        <v>#N/A</v>
      </c>
      <c r="M14" s="431" t="str">
        <f t="shared" si="0"/>
        <v>#964B00</v>
      </c>
      <c r="N14" t="str">
        <f t="shared" si="1"/>
        <v>Methanol [0.01] Other #964B00</v>
      </c>
      <c r="Q14" t="s">
        <v>1017</v>
      </c>
      <c r="R14" t="s">
        <v>1018</v>
      </c>
    </row>
    <row r="15" spans="1:19">
      <c r="A15" t="s">
        <v>796</v>
      </c>
      <c r="B15" s="433" t="s">
        <v>24</v>
      </c>
      <c r="C15" s="433"/>
      <c r="D15" s="433"/>
      <c r="E15" s="433" t="s">
        <v>27</v>
      </c>
      <c r="F15" s="433" t="s">
        <v>1195</v>
      </c>
      <c r="G15" s="194">
        <v>3.7085809133041631E-2</v>
      </c>
      <c r="H15" s="431">
        <v>3.7921321009795088</v>
      </c>
      <c r="I15" s="432">
        <v>1</v>
      </c>
      <c r="J15" s="431">
        <f t="shared" si="2"/>
        <v>3.7921321009795088</v>
      </c>
      <c r="K15" s="431" t="e">
        <v>#N/A</v>
      </c>
      <c r="L15" s="431" t="e">
        <f t="shared" si="3"/>
        <v>#N/A</v>
      </c>
      <c r="M15" s="431" t="str">
        <f t="shared" si="0"/>
        <v>#964B00</v>
      </c>
      <c r="N15" t="str">
        <f t="shared" si="1"/>
        <v>Methanol [3.8] Other #964B00</v>
      </c>
      <c r="Q15" s="3" t="s">
        <v>911</v>
      </c>
      <c r="R15">
        <v>28.587862624213781</v>
      </c>
    </row>
    <row r="16" spans="1:19">
      <c r="A16" s="430" t="s">
        <v>1004</v>
      </c>
      <c r="B16" t="s">
        <v>1019</v>
      </c>
      <c r="D16" s="430" t="s">
        <v>911</v>
      </c>
      <c r="E16" s="430" t="s">
        <v>911</v>
      </c>
      <c r="F16" s="430" t="s">
        <v>1195</v>
      </c>
      <c r="G16" s="6">
        <v>0.95</v>
      </c>
      <c r="H16" s="41">
        <v>9.9233421457119082</v>
      </c>
      <c r="I16" s="432">
        <v>1</v>
      </c>
      <c r="J16" s="431">
        <f t="shared" si="2"/>
        <v>9.9233421457119082</v>
      </c>
      <c r="K16" s="431" t="e">
        <v>#N/A</v>
      </c>
      <c r="L16" s="431" t="e">
        <f t="shared" si="3"/>
        <v>#N/A</v>
      </c>
      <c r="M16" s="431" t="str">
        <f t="shared" si="0"/>
        <v>#CC66FF</v>
      </c>
      <c r="N16" t="str">
        <f t="shared" si="1"/>
        <v>Methyl tert-Butyl Ether (MTBE) [9.9] Fuel blend #CC66FF</v>
      </c>
      <c r="O16" s="6"/>
      <c r="P16" s="41"/>
      <c r="Q16" s="3" t="s">
        <v>999</v>
      </c>
      <c r="R16">
        <v>36.46485392651546</v>
      </c>
    </row>
    <row r="17" spans="1:19">
      <c r="A17" s="430" t="s">
        <v>1004</v>
      </c>
      <c r="B17" t="s">
        <v>1020</v>
      </c>
      <c r="C17" t="s">
        <v>24</v>
      </c>
      <c r="E17" s="433" t="s">
        <v>27</v>
      </c>
      <c r="F17" s="430" t="s">
        <v>1195</v>
      </c>
      <c r="G17" s="6">
        <v>0.05</v>
      </c>
      <c r="H17" s="41">
        <v>0.52228116556378501</v>
      </c>
      <c r="I17" s="432">
        <v>1</v>
      </c>
      <c r="J17" s="431">
        <f t="shared" si="2"/>
        <v>0.52228116556378501</v>
      </c>
      <c r="K17" s="431" t="e">
        <v>#N/A</v>
      </c>
      <c r="L17" s="431" t="e">
        <f t="shared" si="3"/>
        <v>#N/A</v>
      </c>
      <c r="M17" s="431" t="str">
        <f t="shared" si="0"/>
        <v>#964B00</v>
      </c>
      <c r="N17" t="str">
        <f t="shared" si="1"/>
        <v>Methyl tert-Butyl Ether (MTBE) [0.52] Other #964B00</v>
      </c>
      <c r="O17" s="6"/>
      <c r="P17" s="41"/>
      <c r="Q17" s="3" t="s">
        <v>1001</v>
      </c>
      <c r="R17">
        <v>22.580763290736638</v>
      </c>
    </row>
    <row r="18" spans="1:19">
      <c r="A18" s="430" t="s">
        <v>1014</v>
      </c>
      <c r="B18" t="s">
        <v>911</v>
      </c>
      <c r="D18" t="s">
        <v>911</v>
      </c>
      <c r="E18" t="s">
        <v>911</v>
      </c>
      <c r="F18" s="430" t="s">
        <v>1195</v>
      </c>
      <c r="G18" s="6">
        <v>0.85</v>
      </c>
      <c r="H18" s="41">
        <f>G18*$H$12</f>
        <v>2.4790660358461478</v>
      </c>
      <c r="I18" s="432">
        <v>1</v>
      </c>
      <c r="J18" s="431">
        <f t="shared" si="2"/>
        <v>2.4790660358461478</v>
      </c>
      <c r="K18" s="431" t="e">
        <v>#N/A</v>
      </c>
      <c r="L18" s="431" t="e">
        <f t="shared" si="3"/>
        <v>#N/A</v>
      </c>
      <c r="M18" s="431" t="str">
        <f t="shared" si="0"/>
        <v>#CC66FF</v>
      </c>
      <c r="N18" t="str">
        <f t="shared" si="1"/>
        <v>Dimethylether (DME) [2.5] Fuel #CC66FF</v>
      </c>
      <c r="Q18" s="3" t="s">
        <v>1021</v>
      </c>
      <c r="R18">
        <v>118.96135776205246</v>
      </c>
    </row>
    <row r="19" spans="1:19">
      <c r="A19" s="430" t="s">
        <v>1014</v>
      </c>
      <c r="B19" t="s">
        <v>24</v>
      </c>
      <c r="E19" s="433" t="s">
        <v>27</v>
      </c>
      <c r="F19" s="430" t="s">
        <v>1195</v>
      </c>
      <c r="G19" s="6">
        <v>0.15</v>
      </c>
      <c r="H19" s="41">
        <f>G19*$H$12</f>
        <v>0.43748224161990845</v>
      </c>
      <c r="I19" s="432">
        <v>1</v>
      </c>
      <c r="J19" s="431">
        <f t="shared" si="2"/>
        <v>0.43748224161990845</v>
      </c>
      <c r="K19" s="431" t="e">
        <v>#N/A</v>
      </c>
      <c r="L19" s="431" t="e">
        <f t="shared" si="3"/>
        <v>#N/A</v>
      </c>
      <c r="M19" s="431" t="str">
        <f t="shared" si="0"/>
        <v>#964B00</v>
      </c>
      <c r="N19" t="str">
        <f t="shared" si="1"/>
        <v>Dimethylether (DME) [0.44] Other #964B00</v>
      </c>
      <c r="Q19" s="3" t="s">
        <v>1022</v>
      </c>
      <c r="R19">
        <v>206.59483760351833</v>
      </c>
    </row>
    <row r="20" spans="1:19">
      <c r="A20" t="s">
        <v>926</v>
      </c>
      <c r="B20" s="127" t="s">
        <v>1023</v>
      </c>
      <c r="C20" s="127"/>
      <c r="D20" t="s">
        <v>1001</v>
      </c>
      <c r="E20" t="s">
        <v>1001</v>
      </c>
      <c r="F20" s="430" t="s">
        <v>1195</v>
      </c>
      <c r="G20" s="6">
        <v>0.38</v>
      </c>
      <c r="H20" s="41">
        <v>9.0391425397894682</v>
      </c>
      <c r="I20" s="432">
        <v>1</v>
      </c>
      <c r="J20" s="431">
        <f t="shared" si="2"/>
        <v>9.0391425397894682</v>
      </c>
      <c r="K20" s="431" t="e">
        <v>#N/A</v>
      </c>
      <c r="L20" s="431" t="e">
        <f t="shared" si="3"/>
        <v>#N/A</v>
      </c>
      <c r="M20" s="431" t="str">
        <f t="shared" si="0"/>
        <v>#FFFF00</v>
      </c>
      <c r="N20" t="str">
        <f t="shared" si="1"/>
        <v>Formaldehyde [9] Carbamide-methanal resins (UF) #FFFF00</v>
      </c>
    </row>
    <row r="21" spans="1:19">
      <c r="A21" t="s">
        <v>926</v>
      </c>
      <c r="B21" t="s">
        <v>1024</v>
      </c>
      <c r="D21" t="s">
        <v>1001</v>
      </c>
      <c r="E21" t="s">
        <v>1001</v>
      </c>
      <c r="F21" s="430" t="s">
        <v>1195</v>
      </c>
      <c r="G21" s="6">
        <v>0.16</v>
      </c>
      <c r="H21" s="41">
        <v>3.8059547535955658</v>
      </c>
      <c r="I21" s="432">
        <v>1</v>
      </c>
      <c r="J21" s="431">
        <f t="shared" si="2"/>
        <v>3.8059547535955658</v>
      </c>
      <c r="K21" s="431" t="e">
        <v>#N/A</v>
      </c>
      <c r="L21" s="431" t="e">
        <f t="shared" si="3"/>
        <v>#N/A</v>
      </c>
      <c r="M21" s="431" t="str">
        <f t="shared" si="0"/>
        <v>#FFFF00</v>
      </c>
      <c r="N21" t="str">
        <f t="shared" si="1"/>
        <v>Formaldehyde [3.8] Phenolic Resins (PF) #FFFF00</v>
      </c>
      <c r="P21" t="s">
        <v>1025</v>
      </c>
      <c r="Q21" s="3" t="s">
        <v>911</v>
      </c>
      <c r="R21">
        <f>GETPIVOTDATA("Amount (Mt Methanol)",$Q$14,"Classification","Fuel")</f>
        <v>28.587862624213781</v>
      </c>
      <c r="S21" s="2">
        <f>R21/$R$25</f>
        <v>0.27471012342412782</v>
      </c>
    </row>
    <row r="22" spans="1:19">
      <c r="A22" t="s">
        <v>926</v>
      </c>
      <c r="B22" t="s">
        <v>1026</v>
      </c>
      <c r="D22" t="s">
        <v>1001</v>
      </c>
      <c r="E22" t="s">
        <v>1001</v>
      </c>
      <c r="F22" s="430" t="s">
        <v>1195</v>
      </c>
      <c r="G22" s="6">
        <v>0.21</v>
      </c>
      <c r="H22" s="41">
        <v>4.9953156140941797</v>
      </c>
      <c r="I22" s="432">
        <v>1</v>
      </c>
      <c r="J22" s="431">
        <f t="shared" si="2"/>
        <v>4.9953156140941797</v>
      </c>
      <c r="K22" s="431" t="e">
        <v>#N/A</v>
      </c>
      <c r="L22" s="431" t="e">
        <f t="shared" si="3"/>
        <v>#N/A</v>
      </c>
      <c r="M22" s="431" t="str">
        <f t="shared" si="0"/>
        <v>#FFFF00</v>
      </c>
      <c r="N22" t="str">
        <f t="shared" si="1"/>
        <v>Formaldehyde [5] Melamine Resins #FFFF00</v>
      </c>
      <c r="Q22" s="3" t="s">
        <v>1027</v>
      </c>
      <c r="R22" s="41">
        <f>GETPIVOTDATA("Amount (Mt Methanol)",$Q$14,"Classification","Major polymers")-H27</f>
        <v>28.851572700948026</v>
      </c>
      <c r="S22" s="2">
        <f>R22/$R$25</f>
        <v>0.27724419981452192</v>
      </c>
    </row>
    <row r="23" spans="1:19">
      <c r="A23" t="s">
        <v>926</v>
      </c>
      <c r="B23" t="s">
        <v>1028</v>
      </c>
      <c r="D23" t="s">
        <v>1001</v>
      </c>
      <c r="E23" t="s">
        <v>1001</v>
      </c>
      <c r="F23" s="430" t="s">
        <v>1195</v>
      </c>
      <c r="G23" s="6">
        <v>0.08</v>
      </c>
      <c r="H23" s="41">
        <v>1.9029773767977829</v>
      </c>
      <c r="I23" s="432">
        <v>1</v>
      </c>
      <c r="J23" s="431">
        <f t="shared" si="2"/>
        <v>1.9029773767977829</v>
      </c>
      <c r="K23" s="431" t="e">
        <v>#N/A</v>
      </c>
      <c r="L23" s="431" t="e">
        <f t="shared" si="3"/>
        <v>#N/A</v>
      </c>
      <c r="M23" s="431" t="str">
        <f t="shared" si="0"/>
        <v>#FFFF00</v>
      </c>
      <c r="N23" t="str">
        <f t="shared" si="1"/>
        <v>Formaldehyde [1.9] Polyacetal resins (polyoxymethylene) #FFFF00</v>
      </c>
      <c r="Q23" s="3" t="s">
        <v>1029</v>
      </c>
      <c r="R23">
        <f>GETPIVOTDATA("Amount (Mt Methanol)",$Q$14,"Classification","Minor polymers")</f>
        <v>22.580763290736638</v>
      </c>
      <c r="S23" s="2">
        <f>R23/$R$25</f>
        <v>0.21698594092708512</v>
      </c>
    </row>
    <row r="24" spans="1:19">
      <c r="A24" t="s">
        <v>926</v>
      </c>
      <c r="B24" t="s">
        <v>1030</v>
      </c>
      <c r="E24"/>
      <c r="F24" s="430" t="s">
        <v>1196</v>
      </c>
      <c r="G24" s="6">
        <v>0.05</v>
      </c>
      <c r="H24" s="41">
        <v>1.1893608604986143</v>
      </c>
      <c r="I24" s="432">
        <v>1</v>
      </c>
      <c r="J24" s="431">
        <f t="shared" si="2"/>
        <v>1.1893608604986143</v>
      </c>
      <c r="K24" s="431" t="e">
        <v>#N/A</v>
      </c>
      <c r="L24" s="431" t="e">
        <f t="shared" si="3"/>
        <v>#N/A</v>
      </c>
      <c r="M24" s="431" t="str">
        <f t="shared" si="0"/>
        <v>#A9A9A9</v>
      </c>
      <c r="N24" t="str">
        <f t="shared" si="1"/>
        <v>Formaldehyde [1.2] Methylene diphenyl diisocyanate #A9A9A9</v>
      </c>
      <c r="Q24" s="3" t="s">
        <v>24</v>
      </c>
      <c r="R24" s="41">
        <v>24.045360628442481</v>
      </c>
      <c r="S24" s="2">
        <f>R24/$R$25</f>
        <v>0.23105973583426512</v>
      </c>
    </row>
    <row r="25" spans="1:19">
      <c r="A25" t="s">
        <v>926</v>
      </c>
      <c r="B25" t="s">
        <v>1031</v>
      </c>
      <c r="E25"/>
      <c r="F25" s="430" t="s">
        <v>1196</v>
      </c>
      <c r="G25" s="6">
        <v>0.05</v>
      </c>
      <c r="H25" s="41">
        <v>1.1893608604986143</v>
      </c>
      <c r="I25" s="432">
        <v>1</v>
      </c>
      <c r="J25" s="431">
        <f t="shared" si="2"/>
        <v>1.1893608604986143</v>
      </c>
      <c r="K25" s="431" t="e">
        <v>#N/A</v>
      </c>
      <c r="L25" s="431" t="e">
        <f t="shared" si="3"/>
        <v>#N/A</v>
      </c>
      <c r="M25" s="431" t="str">
        <f t="shared" si="0"/>
        <v>#A9A9A9</v>
      </c>
      <c r="N25" t="str">
        <f t="shared" si="1"/>
        <v>Formaldehyde [1.2] 1,4-butanediol #A9A9A9</v>
      </c>
      <c r="Q25" s="3" t="s">
        <v>78</v>
      </c>
      <c r="R25">
        <f>SUM(R21:R24)</f>
        <v>104.06555924434093</v>
      </c>
    </row>
    <row r="26" spans="1:19">
      <c r="A26" t="s">
        <v>926</v>
      </c>
      <c r="B26" s="434" t="s">
        <v>24</v>
      </c>
      <c r="C26" s="434"/>
      <c r="D26" s="434"/>
      <c r="E26" s="433" t="s">
        <v>27</v>
      </c>
      <c r="F26" s="434" t="s">
        <v>1195</v>
      </c>
      <c r="G26" s="243">
        <v>7.0000000000000007E-2</v>
      </c>
      <c r="H26" s="41">
        <v>1.6651052046980603</v>
      </c>
      <c r="I26" s="432">
        <v>1</v>
      </c>
      <c r="J26" s="431">
        <f t="shared" si="2"/>
        <v>1.6651052046980603</v>
      </c>
      <c r="K26" s="431" t="e">
        <v>#N/A</v>
      </c>
      <c r="L26" s="431" t="e">
        <f t="shared" si="3"/>
        <v>#N/A</v>
      </c>
      <c r="M26" s="431" t="str">
        <f t="shared" si="0"/>
        <v>#964B00</v>
      </c>
      <c r="N26" t="str">
        <f t="shared" si="1"/>
        <v>Formaldehyde [1.7] Other #964B00</v>
      </c>
    </row>
    <row r="27" spans="1:19">
      <c r="A27" t="s">
        <v>3</v>
      </c>
      <c r="B27" t="s">
        <v>1032</v>
      </c>
      <c r="D27" t="s">
        <v>999</v>
      </c>
      <c r="E27"/>
      <c r="F27" t="s">
        <v>1196</v>
      </c>
      <c r="G27" s="121">
        <v>0.61</v>
      </c>
      <c r="H27" s="435">
        <f>G27*$H$5</f>
        <v>7.6132812255674329</v>
      </c>
      <c r="I27" s="432">
        <v>1</v>
      </c>
      <c r="J27" s="431">
        <f t="shared" si="2"/>
        <v>7.6132812255674329</v>
      </c>
      <c r="K27" s="431" t="e">
        <v>#N/A</v>
      </c>
      <c r="L27" s="431" t="e">
        <f t="shared" si="3"/>
        <v>#N/A</v>
      </c>
      <c r="M27" s="431" t="str">
        <f t="shared" si="0"/>
        <v>#0000FF</v>
      </c>
      <c r="N27" t="str">
        <f t="shared" si="1"/>
        <v>Ethylene [7.6] Polyethylene (PE) #0000FF</v>
      </c>
    </row>
    <row r="28" spans="1:19">
      <c r="A28" t="s">
        <v>3</v>
      </c>
      <c r="B28" t="s">
        <v>18</v>
      </c>
      <c r="E28"/>
      <c r="F28" t="s">
        <v>1196</v>
      </c>
      <c r="G28" s="121">
        <v>0.14000000000000001</v>
      </c>
      <c r="H28" s="435">
        <f t="shared" ref="H28:H31" si="4">G28*$H$5</f>
        <v>1.7473104452121979</v>
      </c>
      <c r="I28" s="432">
        <v>1</v>
      </c>
      <c r="J28" s="431">
        <f t="shared" si="2"/>
        <v>1.7473104452121979</v>
      </c>
      <c r="K28" s="431">
        <v>1.572192513368984</v>
      </c>
      <c r="L28" s="431">
        <f t="shared" si="3"/>
        <v>2.747108400494044</v>
      </c>
      <c r="M28" s="431" t="str">
        <f t="shared" si="0"/>
        <v>#A9A9A9</v>
      </c>
      <c r="N28" t="str">
        <f t="shared" si="1"/>
        <v>Ethylene [1.7] Ethylene Oxide #A9A9A9</v>
      </c>
    </row>
    <row r="29" spans="1:19">
      <c r="A29" t="s">
        <v>3</v>
      </c>
      <c r="B29" t="s">
        <v>20</v>
      </c>
      <c r="E29"/>
      <c r="F29" t="s">
        <v>1196</v>
      </c>
      <c r="G29" s="121">
        <v>0.12</v>
      </c>
      <c r="H29" s="435">
        <f t="shared" si="4"/>
        <v>1.4976946673247409</v>
      </c>
      <c r="I29" s="432">
        <v>1</v>
      </c>
      <c r="J29" s="431">
        <f t="shared" si="2"/>
        <v>1.4976946673247409</v>
      </c>
      <c r="K29" s="431" t="e">
        <v>#N/A</v>
      </c>
      <c r="L29" s="431" t="e">
        <f t="shared" si="3"/>
        <v>#N/A</v>
      </c>
      <c r="M29" s="431" t="str">
        <f t="shared" si="0"/>
        <v>#A9A9A9</v>
      </c>
      <c r="N29" t="str">
        <f t="shared" si="1"/>
        <v>Ethylene [1.5] Ethylene Dichloride #A9A9A9</v>
      </c>
    </row>
    <row r="30" spans="1:19">
      <c r="A30" t="s">
        <v>3</v>
      </c>
      <c r="B30" t="s">
        <v>558</v>
      </c>
      <c r="E30"/>
      <c r="F30" t="s">
        <v>1196</v>
      </c>
      <c r="G30" s="121">
        <v>0.06</v>
      </c>
      <c r="H30" s="435">
        <f t="shared" si="4"/>
        <v>0.74884733366237044</v>
      </c>
      <c r="I30" s="432">
        <v>1</v>
      </c>
      <c r="J30" s="431">
        <f t="shared" si="2"/>
        <v>0.74884733366237044</v>
      </c>
      <c r="K30" s="431" t="e">
        <v>#N/A</v>
      </c>
      <c r="L30" s="431" t="e">
        <f t="shared" si="3"/>
        <v>#N/A</v>
      </c>
      <c r="M30" s="431" t="str">
        <f t="shared" si="0"/>
        <v>#A9A9A9</v>
      </c>
      <c r="N30" t="str">
        <f t="shared" si="1"/>
        <v>Ethylene [0.75] Ethylbenzene #A9A9A9</v>
      </c>
    </row>
    <row r="31" spans="1:19">
      <c r="A31" t="s">
        <v>3</v>
      </c>
      <c r="B31" t="s">
        <v>24</v>
      </c>
      <c r="E31" s="433" t="s">
        <v>908</v>
      </c>
      <c r="F31" t="s">
        <v>1195</v>
      </c>
      <c r="G31" s="121">
        <f>1-G29-G28-G27-G30</f>
        <v>7.0000000000000007E-2</v>
      </c>
      <c r="H31" s="435">
        <f t="shared" si="4"/>
        <v>0.87365522260609896</v>
      </c>
      <c r="I31" s="432">
        <v>1</v>
      </c>
      <c r="J31" s="431">
        <f t="shared" si="2"/>
        <v>0.87365522260609896</v>
      </c>
      <c r="K31" s="431" t="e">
        <v>#N/A</v>
      </c>
      <c r="L31" s="431" t="e">
        <f t="shared" si="3"/>
        <v>#N/A</v>
      </c>
      <c r="M31" s="431" t="str">
        <f t="shared" si="0"/>
        <v>#964B00</v>
      </c>
      <c r="N31" t="str">
        <f t="shared" si="1"/>
        <v>Ethylene [0.87] Other #964B00</v>
      </c>
      <c r="Q31" t="s">
        <v>1017</v>
      </c>
      <c r="R31" t="s">
        <v>1018</v>
      </c>
    </row>
    <row r="32" spans="1:19">
      <c r="A32" t="s">
        <v>1032</v>
      </c>
      <c r="B32" s="434" t="s">
        <v>1033</v>
      </c>
      <c r="C32" s="434"/>
      <c r="D32" t="s">
        <v>999</v>
      </c>
      <c r="E32" s="433" t="s">
        <v>908</v>
      </c>
      <c r="F32" t="s">
        <v>1195</v>
      </c>
      <c r="G32" s="436">
        <v>0.44903581267217635</v>
      </c>
      <c r="H32" s="435">
        <f>G32*$H$27</f>
        <v>3.4186359222244951</v>
      </c>
      <c r="I32" s="432">
        <v>1</v>
      </c>
      <c r="J32" s="431">
        <f t="shared" si="2"/>
        <v>3.4186359222244951</v>
      </c>
      <c r="K32" s="431" t="e">
        <v>#N/A</v>
      </c>
      <c r="L32" s="431" t="e">
        <f t="shared" si="3"/>
        <v>#N/A</v>
      </c>
      <c r="M32" s="431" t="str">
        <f t="shared" si="0"/>
        <v>#0000FF</v>
      </c>
      <c r="N32" t="str">
        <f t="shared" si="1"/>
        <v>Polyethylene (PE) [3.4] High-density Polyethylene (HDPE) #0000FF</v>
      </c>
      <c r="Q32" s="3" t="s">
        <v>3</v>
      </c>
      <c r="R32">
        <v>15.60098611796605</v>
      </c>
    </row>
    <row r="33" spans="1:18">
      <c r="A33" t="s">
        <v>1032</v>
      </c>
      <c r="B33" s="434" t="s">
        <v>1034</v>
      </c>
      <c r="C33" s="434"/>
      <c r="D33" t="s">
        <v>999</v>
      </c>
      <c r="E33" s="433" t="s">
        <v>908</v>
      </c>
      <c r="F33" t="s">
        <v>1195</v>
      </c>
      <c r="G33" s="436">
        <v>0.55096418732782371</v>
      </c>
      <c r="H33" s="435">
        <f>G33*$H$27</f>
        <v>4.1946453033429387</v>
      </c>
      <c r="I33" s="432">
        <v>1</v>
      </c>
      <c r="J33" s="431">
        <f t="shared" si="2"/>
        <v>4.1946453033429387</v>
      </c>
      <c r="K33" s="431" t="e">
        <v>#N/A</v>
      </c>
      <c r="L33" s="431" t="e">
        <f t="shared" si="3"/>
        <v>#N/A</v>
      </c>
      <c r="M33" s="431" t="str">
        <f t="shared" si="0"/>
        <v>#0000FF</v>
      </c>
      <c r="N33" t="str">
        <f t="shared" si="1"/>
        <v>Polyethylene (PE) [4.2] Low-density Polyethylene (LDPE) #0000FF</v>
      </c>
      <c r="Q33" s="3" t="s">
        <v>926</v>
      </c>
      <c r="R33">
        <v>23.787217209972287</v>
      </c>
    </row>
    <row r="34" spans="1:18">
      <c r="A34" t="s">
        <v>18</v>
      </c>
      <c r="B34" t="s">
        <v>559</v>
      </c>
      <c r="E34"/>
      <c r="F34" t="s">
        <v>1196</v>
      </c>
      <c r="G34" s="436">
        <v>0.67</v>
      </c>
      <c r="H34" s="435">
        <f>G34*$H$28</f>
        <v>1.1706979982921726</v>
      </c>
      <c r="I34" s="432">
        <v>1</v>
      </c>
      <c r="J34" s="431">
        <f t="shared" si="2"/>
        <v>1.1706979982921726</v>
      </c>
      <c r="K34" s="431">
        <v>1.407482993197279</v>
      </c>
      <c r="L34" s="431">
        <f t="shared" si="3"/>
        <v>1.64773752276633</v>
      </c>
      <c r="M34" s="431" t="str">
        <f t="shared" si="0"/>
        <v>#A9A9A9</v>
      </c>
      <c r="N34" t="str">
        <f t="shared" si="1"/>
        <v>Ethylene Oxide [1.2] Ethylene glycol #A9A9A9</v>
      </c>
      <c r="Q34" s="3" t="s">
        <v>1004</v>
      </c>
      <c r="R34">
        <v>10.445623311275693</v>
      </c>
    </row>
    <row r="35" spans="1:18">
      <c r="A35" t="s">
        <v>18</v>
      </c>
      <c r="B35" t="s">
        <v>560</v>
      </c>
      <c r="C35" s="434" t="s">
        <v>24</v>
      </c>
      <c r="E35" s="433" t="s">
        <v>908</v>
      </c>
      <c r="F35" t="s">
        <v>1195</v>
      </c>
      <c r="G35" s="436">
        <v>0.13</v>
      </c>
      <c r="H35" s="435">
        <f t="shared" ref="H35:H40" si="5">G35*$H$28</f>
        <v>0.22715035787758572</v>
      </c>
      <c r="I35" s="432">
        <v>1</v>
      </c>
      <c r="J35" s="431">
        <f t="shared" si="2"/>
        <v>0.22715035787758572</v>
      </c>
      <c r="K35" s="431" t="e">
        <v>#N/A</v>
      </c>
      <c r="L35" s="431" t="e">
        <f t="shared" si="3"/>
        <v>#N/A</v>
      </c>
      <c r="M35" s="431" t="str">
        <f t="shared" si="0"/>
        <v>#964B00</v>
      </c>
      <c r="N35" t="str">
        <f t="shared" si="1"/>
        <v>Ethylene Oxide [0.23] Other #964B00</v>
      </c>
      <c r="Q35" s="3" t="s">
        <v>4</v>
      </c>
      <c r="R35">
        <v>15.60098611796605</v>
      </c>
    </row>
    <row r="36" spans="1:18">
      <c r="A36" t="s">
        <v>18</v>
      </c>
      <c r="B36" t="s">
        <v>561</v>
      </c>
      <c r="C36" s="434" t="s">
        <v>24</v>
      </c>
      <c r="E36" s="433" t="s">
        <v>908</v>
      </c>
      <c r="F36" t="s">
        <v>1195</v>
      </c>
      <c r="G36" s="436">
        <v>0.06</v>
      </c>
      <c r="H36" s="435">
        <f t="shared" si="5"/>
        <v>0.10483862671273188</v>
      </c>
      <c r="I36" s="432">
        <v>1</v>
      </c>
      <c r="J36" s="431">
        <f t="shared" si="2"/>
        <v>0.10483862671273188</v>
      </c>
      <c r="K36" s="431" t="e">
        <v>#N/A</v>
      </c>
      <c r="L36" s="431" t="e">
        <f t="shared" si="3"/>
        <v>#N/A</v>
      </c>
      <c r="M36" s="431" t="str">
        <f t="shared" si="0"/>
        <v>#964B00</v>
      </c>
      <c r="N36" t="str">
        <f t="shared" si="1"/>
        <v>Ethylene Oxide [0.1] Other #964B00</v>
      </c>
      <c r="Q36" s="3" t="s">
        <v>885</v>
      </c>
      <c r="R36">
        <v>7.192774760698633</v>
      </c>
    </row>
    <row r="37" spans="1:18">
      <c r="A37" t="s">
        <v>18</v>
      </c>
      <c r="B37" t="s">
        <v>572</v>
      </c>
      <c r="C37" s="434" t="s">
        <v>24</v>
      </c>
      <c r="E37" s="433" t="s">
        <v>908</v>
      </c>
      <c r="F37" t="s">
        <v>1195</v>
      </c>
      <c r="G37" s="436">
        <v>0.03</v>
      </c>
      <c r="H37" s="435">
        <f t="shared" si="5"/>
        <v>5.2419313356365939E-2</v>
      </c>
      <c r="I37" s="432">
        <v>1</v>
      </c>
      <c r="J37" s="431">
        <f t="shared" si="2"/>
        <v>5.2419313356365939E-2</v>
      </c>
      <c r="K37" s="431" t="e">
        <v>#N/A</v>
      </c>
      <c r="L37" s="431" t="e">
        <f t="shared" si="3"/>
        <v>#N/A</v>
      </c>
      <c r="M37" s="431" t="str">
        <f t="shared" ref="M37:M68" si="6">IF(AND(OR(B37="Other",C37="Other"),$B$1=TRUE),$S$9,_xlfn.XLOOKUP(D37,$Q$6:$Q$10,$S$6:$S$10,$S$8))</f>
        <v>#964B00</v>
      </c>
      <c r="N37" t="str">
        <f t="shared" ref="N37:N68" si="7">CONCATENATE(A37," [",IF(H37&lt;1,ROUND(H37,2),ROUND(H37,1)),"] ",IF($B$1=TRUE,IF((ISBLANK(C37)),B37,C37),B37)," ",M37)</f>
        <v>Ethylene Oxide [0.05] Other #964B00</v>
      </c>
      <c r="Q37" s="3" t="s">
        <v>1010</v>
      </c>
      <c r="R37">
        <v>1.772842341876246</v>
      </c>
    </row>
    <row r="38" spans="1:18">
      <c r="A38" t="s">
        <v>18</v>
      </c>
      <c r="B38" t="s">
        <v>562</v>
      </c>
      <c r="C38" s="434" t="s">
        <v>24</v>
      </c>
      <c r="E38" s="433" t="s">
        <v>908</v>
      </c>
      <c r="F38" t="s">
        <v>1195</v>
      </c>
      <c r="G38" s="436">
        <v>0.02</v>
      </c>
      <c r="H38" s="435">
        <f t="shared" si="5"/>
        <v>3.4946208904243957E-2</v>
      </c>
      <c r="I38" s="432">
        <v>1</v>
      </c>
      <c r="J38" s="431">
        <f t="shared" si="2"/>
        <v>3.4946208904243957E-2</v>
      </c>
      <c r="K38" s="431" t="e">
        <v>#N/A</v>
      </c>
      <c r="L38" s="431" t="e">
        <f t="shared" si="3"/>
        <v>#N/A</v>
      </c>
      <c r="M38" s="431" t="str">
        <f t="shared" si="6"/>
        <v>#964B00</v>
      </c>
      <c r="N38" t="str">
        <f t="shared" si="7"/>
        <v>Ethylene Oxide [0.03] Other #964B00</v>
      </c>
      <c r="Q38" s="3" t="s">
        <v>1013</v>
      </c>
      <c r="R38">
        <v>3.0477217381202508</v>
      </c>
    </row>
    <row r="39" spans="1:18">
      <c r="A39" t="s">
        <v>18</v>
      </c>
      <c r="B39" t="s">
        <v>1035</v>
      </c>
      <c r="D39" t="s">
        <v>999</v>
      </c>
      <c r="E39" s="433" t="s">
        <v>908</v>
      </c>
      <c r="F39" t="s">
        <v>1195</v>
      </c>
      <c r="G39" s="436">
        <v>0.03</v>
      </c>
      <c r="H39" s="435">
        <f t="shared" si="5"/>
        <v>5.2419313356365939E-2</v>
      </c>
      <c r="I39" s="432">
        <v>1</v>
      </c>
      <c r="J39" s="431">
        <f t="shared" si="2"/>
        <v>5.2419313356365939E-2</v>
      </c>
      <c r="K39" s="431" t="e">
        <v>#N/A</v>
      </c>
      <c r="L39" s="431" t="e">
        <f t="shared" si="3"/>
        <v>#N/A</v>
      </c>
      <c r="M39" s="431" t="str">
        <f t="shared" si="6"/>
        <v>#0000FF</v>
      </c>
      <c r="N39" t="str">
        <f t="shared" si="7"/>
        <v>Ethylene Oxide [0.05] Polyurethane (PU) #0000FF</v>
      </c>
      <c r="Q39" s="3" t="s">
        <v>1014</v>
      </c>
      <c r="R39">
        <v>2.9165482774660565</v>
      </c>
    </row>
    <row r="40" spans="1:18">
      <c r="A40" t="s">
        <v>18</v>
      </c>
      <c r="B40" s="434" t="s">
        <v>24</v>
      </c>
      <c r="C40" s="434"/>
      <c r="D40" s="434"/>
      <c r="E40" s="433" t="s">
        <v>908</v>
      </c>
      <c r="F40" s="434" t="s">
        <v>1195</v>
      </c>
      <c r="G40" s="436">
        <v>0.06</v>
      </c>
      <c r="H40" s="435">
        <f t="shared" si="5"/>
        <v>0.10483862671273188</v>
      </c>
      <c r="I40" s="432">
        <v>1</v>
      </c>
      <c r="J40" s="431">
        <f t="shared" si="2"/>
        <v>0.10483862671273188</v>
      </c>
      <c r="K40" s="431" t="e">
        <v>#N/A</v>
      </c>
      <c r="L40" s="431" t="e">
        <f t="shared" si="3"/>
        <v>#N/A</v>
      </c>
      <c r="M40" s="431" t="str">
        <f t="shared" si="6"/>
        <v>#964B00</v>
      </c>
      <c r="N40" t="str">
        <f t="shared" si="7"/>
        <v>Ethylene Oxide [0.1] Other #964B00</v>
      </c>
      <c r="Q40" s="3" t="s">
        <v>1015</v>
      </c>
      <c r="R40">
        <v>13.125208596196902</v>
      </c>
    </row>
    <row r="41" spans="1:18">
      <c r="A41" t="s">
        <v>20</v>
      </c>
      <c r="B41" t="s">
        <v>1036</v>
      </c>
      <c r="D41" t="s">
        <v>999</v>
      </c>
      <c r="E41" s="433" t="s">
        <v>908</v>
      </c>
      <c r="F41" t="s">
        <v>1195</v>
      </c>
      <c r="G41" s="6">
        <v>0.96</v>
      </c>
      <c r="H41" s="435">
        <f>G41*$H$29</f>
        <v>1.4377868806317511</v>
      </c>
      <c r="I41" s="432">
        <v>1</v>
      </c>
      <c r="J41" s="431">
        <f t="shared" si="2"/>
        <v>1.4377868806317511</v>
      </c>
      <c r="K41" s="431" t="e">
        <v>#N/A</v>
      </c>
      <c r="L41" s="431" t="e">
        <f t="shared" si="3"/>
        <v>#N/A</v>
      </c>
      <c r="M41" s="431" t="str">
        <f t="shared" si="6"/>
        <v>#0000FF</v>
      </c>
      <c r="N41" t="str">
        <f t="shared" si="7"/>
        <v>Ethylene Dichloride [1.4] Polyvinylchloride (PVC) #0000FF</v>
      </c>
      <c r="Q41" s="3" t="s">
        <v>1016</v>
      </c>
      <c r="R41">
        <v>1.2524108338569352E-2</v>
      </c>
    </row>
    <row r="42" spans="1:18">
      <c r="A42" t="s">
        <v>20</v>
      </c>
      <c r="B42" s="434" t="s">
        <v>24</v>
      </c>
      <c r="C42" s="434"/>
      <c r="D42" s="434"/>
      <c r="E42" s="433" t="s">
        <v>908</v>
      </c>
      <c r="F42" s="434" t="s">
        <v>1195</v>
      </c>
      <c r="G42" s="6">
        <v>0.04</v>
      </c>
      <c r="H42" s="435">
        <f>G42*$H$29</f>
        <v>5.9907786692989635E-2</v>
      </c>
      <c r="I42" s="432">
        <v>1</v>
      </c>
      <c r="J42" s="431">
        <f t="shared" si="2"/>
        <v>5.9907786692989635E-2</v>
      </c>
      <c r="K42" s="431" t="e">
        <v>#N/A</v>
      </c>
      <c r="L42" s="431" t="e">
        <f t="shared" si="3"/>
        <v>#N/A</v>
      </c>
      <c r="M42" s="431" t="str">
        <f t="shared" si="6"/>
        <v>#964B00</v>
      </c>
      <c r="N42" t="str">
        <f t="shared" si="7"/>
        <v>Ethylene Dichloride [0.06] Other #964B00</v>
      </c>
      <c r="Q42" s="3" t="s">
        <v>24</v>
      </c>
      <c r="R42">
        <v>14.117428251048938</v>
      </c>
    </row>
    <row r="43" spans="1:18">
      <c r="A43" t="s">
        <v>558</v>
      </c>
      <c r="B43" t="s">
        <v>1037</v>
      </c>
      <c r="D43" t="s">
        <v>999</v>
      </c>
      <c r="E43" s="433" t="s">
        <v>908</v>
      </c>
      <c r="F43" t="s">
        <v>1195</v>
      </c>
      <c r="G43" s="243">
        <f>99%*47%</f>
        <v>0.46529999999999999</v>
      </c>
      <c r="H43" s="435">
        <f>G43*$H$30</f>
        <v>0.34843866435310095</v>
      </c>
      <c r="I43" s="432">
        <v>1</v>
      </c>
      <c r="J43" s="431">
        <f t="shared" si="2"/>
        <v>0.34843866435310095</v>
      </c>
      <c r="K43" s="431" t="e">
        <v>#N/A</v>
      </c>
      <c r="L43" s="431" t="e">
        <f t="shared" si="3"/>
        <v>#N/A</v>
      </c>
      <c r="M43" s="431" t="str">
        <f t="shared" si="6"/>
        <v>#0000FF</v>
      </c>
      <c r="N43" t="str">
        <f t="shared" si="7"/>
        <v>Ethylbenzene [0.35] Polystyrene (PS) #0000FF</v>
      </c>
      <c r="Q43" s="3" t="s">
        <v>1019</v>
      </c>
      <c r="R43">
        <v>9.9233421457119082</v>
      </c>
    </row>
    <row r="44" spans="1:18">
      <c r="A44" t="s">
        <v>558</v>
      </c>
      <c r="B44" t="s">
        <v>24</v>
      </c>
      <c r="E44" s="433" t="s">
        <v>908</v>
      </c>
      <c r="F44" t="s">
        <v>1195</v>
      </c>
      <c r="G44" s="243">
        <f>1-G43</f>
        <v>0.53469999999999995</v>
      </c>
      <c r="H44" s="435">
        <f>G44*$H$30</f>
        <v>0.40040866930926944</v>
      </c>
      <c r="I44" s="432">
        <v>1</v>
      </c>
      <c r="J44" s="431">
        <f t="shared" si="2"/>
        <v>0.40040866930926944</v>
      </c>
      <c r="K44" s="431" t="e">
        <v>#N/A</v>
      </c>
      <c r="L44" s="431" t="e">
        <f t="shared" si="3"/>
        <v>#N/A</v>
      </c>
      <c r="M44" s="431" t="str">
        <f t="shared" si="6"/>
        <v>#964B00</v>
      </c>
      <c r="N44" t="str">
        <f t="shared" si="7"/>
        <v>Ethylbenzene [0.4] Other #964B00</v>
      </c>
      <c r="Q44" s="3" t="s">
        <v>1020</v>
      </c>
      <c r="R44">
        <v>0.52228116556378501</v>
      </c>
    </row>
    <row r="45" spans="1:18">
      <c r="A45" t="s">
        <v>4</v>
      </c>
      <c r="B45" s="434" t="s">
        <v>1038</v>
      </c>
      <c r="C45" s="434"/>
      <c r="D45" t="s">
        <v>999</v>
      </c>
      <c r="E45" s="433" t="s">
        <v>908</v>
      </c>
      <c r="F45" t="s">
        <v>1195</v>
      </c>
      <c r="G45" s="437">
        <v>0.67</v>
      </c>
      <c r="H45" s="435">
        <f>G45*$H$6</f>
        <v>12.543192838844705</v>
      </c>
      <c r="I45" s="432">
        <v>1</v>
      </c>
      <c r="J45" s="431">
        <f t="shared" si="2"/>
        <v>12.543192838844705</v>
      </c>
      <c r="K45" s="431" t="e">
        <v>#N/A</v>
      </c>
      <c r="L45" s="431" t="e">
        <f t="shared" si="3"/>
        <v>#N/A</v>
      </c>
      <c r="M45" s="431" t="str">
        <f t="shared" si="6"/>
        <v>#0000FF</v>
      </c>
      <c r="N45" t="str">
        <f t="shared" si="7"/>
        <v>Propylene [12.5] Polypropylene (PP) #0000FF</v>
      </c>
      <c r="Q45" s="3" t="s">
        <v>911</v>
      </c>
      <c r="R45">
        <v>2.4790660358461478</v>
      </c>
    </row>
    <row r="46" spans="1:18">
      <c r="A46" t="s">
        <v>4</v>
      </c>
      <c r="B46" s="434" t="s">
        <v>85</v>
      </c>
      <c r="C46" s="434"/>
      <c r="D46" s="434"/>
      <c r="F46" s="434" t="s">
        <v>1196</v>
      </c>
      <c r="G46" s="437">
        <v>0.05</v>
      </c>
      <c r="H46" s="435">
        <f t="shared" ref="H46:H51" si="8">G46*$H$6</f>
        <v>0.93605916707796311</v>
      </c>
      <c r="I46" s="432">
        <v>1</v>
      </c>
      <c r="J46" s="431">
        <f t="shared" si="2"/>
        <v>0.93605916707796311</v>
      </c>
      <c r="K46" s="431" t="e">
        <v>#N/A</v>
      </c>
      <c r="L46" s="431" t="e">
        <f t="shared" si="3"/>
        <v>#N/A</v>
      </c>
      <c r="M46" s="431" t="str">
        <f t="shared" si="6"/>
        <v>#A9A9A9</v>
      </c>
      <c r="N46" t="str">
        <f t="shared" si="7"/>
        <v>Propylene [0.94] Propenic Acid #A9A9A9</v>
      </c>
      <c r="Q46" s="3" t="s">
        <v>1023</v>
      </c>
      <c r="R46">
        <v>9.0391425397894682</v>
      </c>
    </row>
    <row r="47" spans="1:18">
      <c r="A47" t="s">
        <v>4</v>
      </c>
      <c r="B47" s="434" t="s">
        <v>87</v>
      </c>
      <c r="C47" s="434"/>
      <c r="D47" s="434"/>
      <c r="E47" s="434"/>
      <c r="F47" s="434" t="s">
        <v>1196</v>
      </c>
      <c r="G47" s="437">
        <v>0.06</v>
      </c>
      <c r="H47" s="435">
        <f t="shared" si="8"/>
        <v>1.1232710004935555</v>
      </c>
      <c r="I47" s="432">
        <v>1</v>
      </c>
      <c r="J47" s="431">
        <f t="shared" si="2"/>
        <v>1.1232710004935555</v>
      </c>
      <c r="K47" s="431" t="e">
        <v>#N/A</v>
      </c>
      <c r="L47" s="431" t="e">
        <f t="shared" si="3"/>
        <v>#N/A</v>
      </c>
      <c r="M47" s="431" t="str">
        <f t="shared" si="6"/>
        <v>#A9A9A9</v>
      </c>
      <c r="N47" t="str">
        <f t="shared" si="7"/>
        <v>Propylene [1.1] Propenonitrile #A9A9A9</v>
      </c>
      <c r="Q47" s="3" t="s">
        <v>1024</v>
      </c>
      <c r="R47">
        <v>3.8059547535955658</v>
      </c>
    </row>
    <row r="48" spans="1:18">
      <c r="A48" t="s">
        <v>4</v>
      </c>
      <c r="B48" s="434" t="s">
        <v>354</v>
      </c>
      <c r="C48" s="434"/>
      <c r="D48" s="434"/>
      <c r="E48" s="434"/>
      <c r="F48" s="434" t="s">
        <v>1196</v>
      </c>
      <c r="G48" s="437">
        <v>0.04</v>
      </c>
      <c r="H48" s="435">
        <f t="shared" si="8"/>
        <v>0.74884733366237044</v>
      </c>
      <c r="I48" s="432">
        <v>1</v>
      </c>
      <c r="J48" s="431">
        <f t="shared" si="2"/>
        <v>0.74884733366237044</v>
      </c>
      <c r="K48" s="431" t="e">
        <v>#N/A</v>
      </c>
      <c r="L48" s="431" t="e">
        <f t="shared" si="3"/>
        <v>#N/A</v>
      </c>
      <c r="M48" s="431" t="str">
        <f t="shared" si="6"/>
        <v>#A9A9A9</v>
      </c>
      <c r="N48" t="str">
        <f t="shared" si="7"/>
        <v>Propylene [0.75] Cumene #A9A9A9</v>
      </c>
      <c r="Q48" s="3" t="s">
        <v>1026</v>
      </c>
      <c r="R48">
        <v>4.9953156140941797</v>
      </c>
    </row>
    <row r="49" spans="1:18">
      <c r="A49" t="s">
        <v>4</v>
      </c>
      <c r="B49" s="434" t="s">
        <v>360</v>
      </c>
      <c r="C49" s="434"/>
      <c r="D49" s="434"/>
      <c r="E49" s="434"/>
      <c r="F49" s="434" t="s">
        <v>1196</v>
      </c>
      <c r="G49" s="437">
        <v>7.0000000000000007E-2</v>
      </c>
      <c r="H49" s="435">
        <f t="shared" si="8"/>
        <v>1.3104828339091483</v>
      </c>
      <c r="I49" s="432">
        <v>1</v>
      </c>
      <c r="J49" s="431">
        <f t="shared" si="2"/>
        <v>1.3104828339091483</v>
      </c>
      <c r="K49" s="431" t="e">
        <v>#N/A</v>
      </c>
      <c r="L49" s="431" t="e">
        <f t="shared" si="3"/>
        <v>#N/A</v>
      </c>
      <c r="M49" s="431" t="str">
        <f t="shared" si="6"/>
        <v>#A9A9A9</v>
      </c>
      <c r="N49" t="str">
        <f t="shared" si="7"/>
        <v>Propylene [1.3] Propylene oxide #A9A9A9</v>
      </c>
      <c r="Q49" s="3" t="s">
        <v>1028</v>
      </c>
      <c r="R49">
        <v>1.9029773767977829</v>
      </c>
    </row>
    <row r="50" spans="1:18">
      <c r="A50" t="s">
        <v>4</v>
      </c>
      <c r="B50" s="434" t="s">
        <v>94</v>
      </c>
      <c r="C50" s="434"/>
      <c r="D50" s="434"/>
      <c r="E50" s="434"/>
      <c r="F50" s="434" t="s">
        <v>1196</v>
      </c>
      <c r="G50" s="437">
        <v>0.03</v>
      </c>
      <c r="H50" s="435">
        <f t="shared" si="8"/>
        <v>0.56163550024677777</v>
      </c>
      <c r="I50" s="432">
        <v>1</v>
      </c>
      <c r="J50" s="431">
        <f t="shared" si="2"/>
        <v>0.56163550024677777</v>
      </c>
      <c r="K50" s="431" t="e">
        <v>#N/A</v>
      </c>
      <c r="L50" s="431" t="e">
        <f t="shared" si="3"/>
        <v>#N/A</v>
      </c>
      <c r="M50" s="431" t="str">
        <f t="shared" si="6"/>
        <v>#A9A9A9</v>
      </c>
      <c r="N50" t="str">
        <f t="shared" si="7"/>
        <v>Propylene [0.56] Butanol #A9A9A9</v>
      </c>
      <c r="Q50" s="3" t="s">
        <v>1030</v>
      </c>
      <c r="R50">
        <v>1.1893608604986143</v>
      </c>
    </row>
    <row r="51" spans="1:18">
      <c r="A51" t="s">
        <v>4</v>
      </c>
      <c r="B51" s="434" t="s">
        <v>24</v>
      </c>
      <c r="C51" s="434"/>
      <c r="D51" s="434"/>
      <c r="E51" s="433" t="s">
        <v>908</v>
      </c>
      <c r="F51" s="434" t="s">
        <v>1195</v>
      </c>
      <c r="G51" s="437">
        <v>0.08</v>
      </c>
      <c r="H51" s="435">
        <f t="shared" si="8"/>
        <v>1.4976946673247409</v>
      </c>
      <c r="I51" s="432">
        <v>1</v>
      </c>
      <c r="J51" s="431">
        <f t="shared" si="2"/>
        <v>1.4976946673247409</v>
      </c>
      <c r="K51" s="431" t="e">
        <v>#N/A</v>
      </c>
      <c r="L51" s="431" t="e">
        <f t="shared" si="3"/>
        <v>#N/A</v>
      </c>
      <c r="M51" s="431" t="str">
        <f t="shared" si="6"/>
        <v>#964B00</v>
      </c>
      <c r="N51" t="str">
        <f t="shared" si="7"/>
        <v>Propylene [1.5] Other #964B00</v>
      </c>
      <c r="Q51" s="3" t="s">
        <v>1031</v>
      </c>
      <c r="R51">
        <v>1.1893608604986143</v>
      </c>
    </row>
    <row r="52" spans="1:18">
      <c r="A52" s="434" t="s">
        <v>85</v>
      </c>
      <c r="B52" t="s">
        <v>100</v>
      </c>
      <c r="C52" s="434" t="s">
        <v>24</v>
      </c>
      <c r="E52" s="433" t="s">
        <v>908</v>
      </c>
      <c r="F52" t="s">
        <v>1195</v>
      </c>
      <c r="G52" s="6">
        <v>0.5</v>
      </c>
      <c r="H52" s="438">
        <f>G52*$H$46</f>
        <v>0.46802958353898155</v>
      </c>
      <c r="I52" s="432">
        <v>1</v>
      </c>
      <c r="J52" s="431">
        <f t="shared" si="2"/>
        <v>0.46802958353898155</v>
      </c>
      <c r="K52" s="431" t="e">
        <v>#N/A</v>
      </c>
      <c r="L52" s="431" t="e">
        <f t="shared" si="3"/>
        <v>#N/A</v>
      </c>
      <c r="M52" s="431" t="str">
        <f t="shared" si="6"/>
        <v>#964B00</v>
      </c>
      <c r="N52" t="str">
        <f t="shared" si="7"/>
        <v>Propenic Acid [0.47] Other #964B00</v>
      </c>
      <c r="Q52" s="3" t="s">
        <v>1032</v>
      </c>
      <c r="R52">
        <v>9.5166015319592905</v>
      </c>
    </row>
    <row r="53" spans="1:18">
      <c r="A53" s="434" t="s">
        <v>85</v>
      </c>
      <c r="B53" t="s">
        <v>102</v>
      </c>
      <c r="C53" s="434" t="s">
        <v>24</v>
      </c>
      <c r="E53" s="433" t="s">
        <v>908</v>
      </c>
      <c r="F53" t="s">
        <v>1195</v>
      </c>
      <c r="G53" s="6">
        <v>0.35</v>
      </c>
      <c r="H53" s="438">
        <f t="shared" ref="H53:H55" si="9">G53*$H$46</f>
        <v>0.32762070847728708</v>
      </c>
      <c r="I53" s="432">
        <v>1</v>
      </c>
      <c r="J53" s="431">
        <f t="shared" si="2"/>
        <v>0.32762070847728708</v>
      </c>
      <c r="K53" s="431" t="e">
        <v>#N/A</v>
      </c>
      <c r="L53" s="431" t="e">
        <f t="shared" si="3"/>
        <v>#N/A</v>
      </c>
      <c r="M53" s="431" t="str">
        <f t="shared" si="6"/>
        <v>#964B00</v>
      </c>
      <c r="N53" t="str">
        <f t="shared" si="7"/>
        <v>Propenic Acid [0.33] Other #964B00</v>
      </c>
      <c r="Q53" s="3" t="s">
        <v>18</v>
      </c>
      <c r="R53">
        <v>2.1841380565152471</v>
      </c>
    </row>
    <row r="54" spans="1:18">
      <c r="A54" s="434" t="s">
        <v>85</v>
      </c>
      <c r="B54" t="s">
        <v>103</v>
      </c>
      <c r="C54" s="434" t="s">
        <v>24</v>
      </c>
      <c r="E54" s="433" t="s">
        <v>908</v>
      </c>
      <c r="F54" t="s">
        <v>1195</v>
      </c>
      <c r="G54" s="6">
        <v>0.1</v>
      </c>
      <c r="H54" s="438">
        <f t="shared" si="9"/>
        <v>9.3605916707796319E-2</v>
      </c>
      <c r="I54" s="432">
        <v>1</v>
      </c>
      <c r="J54" s="431">
        <f t="shared" si="2"/>
        <v>9.3605916707796319E-2</v>
      </c>
      <c r="K54" s="431" t="e">
        <v>#N/A</v>
      </c>
      <c r="L54" s="431" t="e">
        <f t="shared" si="3"/>
        <v>#N/A</v>
      </c>
      <c r="M54" s="431" t="str">
        <f t="shared" si="6"/>
        <v>#964B00</v>
      </c>
      <c r="N54" t="str">
        <f t="shared" si="7"/>
        <v>Propenic Acid [0.09] Other #964B00</v>
      </c>
      <c r="O54" s="434"/>
      <c r="P54" s="439"/>
      <c r="Q54" s="3" t="s">
        <v>20</v>
      </c>
      <c r="R54">
        <v>1.872118334155926</v>
      </c>
    </row>
    <row r="55" spans="1:18">
      <c r="A55" s="434" t="s">
        <v>85</v>
      </c>
      <c r="B55" t="s">
        <v>24</v>
      </c>
      <c r="E55" s="433" t="s">
        <v>908</v>
      </c>
      <c r="F55" t="s">
        <v>1195</v>
      </c>
      <c r="G55" s="6">
        <v>0.05</v>
      </c>
      <c r="H55" s="438">
        <f t="shared" si="9"/>
        <v>4.6802958353898159E-2</v>
      </c>
      <c r="I55" s="432">
        <v>1</v>
      </c>
      <c r="J55" s="431">
        <f t="shared" si="2"/>
        <v>4.6802958353898159E-2</v>
      </c>
      <c r="K55" s="431" t="e">
        <v>#N/A</v>
      </c>
      <c r="L55" s="431" t="e">
        <f t="shared" si="3"/>
        <v>#N/A</v>
      </c>
      <c r="M55" s="431" t="str">
        <f t="shared" si="6"/>
        <v>#964B00</v>
      </c>
      <c r="N55" t="str">
        <f t="shared" si="7"/>
        <v>Propenic Acid [0.05] Other #964B00</v>
      </c>
      <c r="O55" s="440"/>
      <c r="P55" s="438"/>
      <c r="Q55" s="3" t="s">
        <v>558</v>
      </c>
      <c r="R55">
        <v>0.93605916707796299</v>
      </c>
    </row>
    <row r="56" spans="1:18">
      <c r="A56" s="434" t="s">
        <v>87</v>
      </c>
      <c r="B56" t="s">
        <v>106</v>
      </c>
      <c r="C56" s="434" t="s">
        <v>24</v>
      </c>
      <c r="E56" s="433" t="s">
        <v>908</v>
      </c>
      <c r="F56" t="s">
        <v>1195</v>
      </c>
      <c r="G56" s="6">
        <v>0.3</v>
      </c>
      <c r="H56" s="438">
        <f>G56*$H$47</f>
        <v>0.33698130014806665</v>
      </c>
      <c r="I56" s="432">
        <v>1</v>
      </c>
      <c r="J56" s="431">
        <f t="shared" si="2"/>
        <v>0.33698130014806665</v>
      </c>
      <c r="K56" s="431" t="e">
        <v>#N/A</v>
      </c>
      <c r="L56" s="431" t="e">
        <f t="shared" si="3"/>
        <v>#N/A</v>
      </c>
      <c r="M56" s="431" t="str">
        <f t="shared" si="6"/>
        <v>#964B00</v>
      </c>
      <c r="N56" t="str">
        <f t="shared" si="7"/>
        <v>Propenonitrile [0.34] Other #964B00</v>
      </c>
      <c r="O56" s="440"/>
      <c r="P56" s="438"/>
      <c r="Q56" s="3" t="s">
        <v>1033</v>
      </c>
      <c r="R56">
        <v>4.2732949027806182</v>
      </c>
    </row>
    <row r="57" spans="1:18">
      <c r="A57" s="434" t="s">
        <v>87</v>
      </c>
      <c r="B57" t="s">
        <v>108</v>
      </c>
      <c r="C57" s="434" t="s">
        <v>24</v>
      </c>
      <c r="E57" s="433" t="s">
        <v>908</v>
      </c>
      <c r="F57" t="s">
        <v>1195</v>
      </c>
      <c r="G57" s="6">
        <v>0.35</v>
      </c>
      <c r="H57" s="438">
        <f t="shared" ref="H57:H59" si="10">G57*$H$47</f>
        <v>0.39314485017274442</v>
      </c>
      <c r="I57" s="432">
        <v>1</v>
      </c>
      <c r="J57" s="431">
        <f t="shared" si="2"/>
        <v>0.39314485017274442</v>
      </c>
      <c r="K57" s="431" t="e">
        <v>#N/A</v>
      </c>
      <c r="L57" s="431" t="e">
        <f t="shared" si="3"/>
        <v>#N/A</v>
      </c>
      <c r="M57" s="431" t="str">
        <f t="shared" si="6"/>
        <v>#964B00</v>
      </c>
      <c r="N57" t="str">
        <f t="shared" si="7"/>
        <v>Propenonitrile [0.39] Other #964B00</v>
      </c>
      <c r="O57" s="440"/>
      <c r="P57" s="438"/>
      <c r="Q57" s="3" t="s">
        <v>1034</v>
      </c>
      <c r="R57">
        <v>5.2433066291786723</v>
      </c>
    </row>
    <row r="58" spans="1:18">
      <c r="A58" s="434" t="s">
        <v>87</v>
      </c>
      <c r="B58" t="s">
        <v>110</v>
      </c>
      <c r="C58" s="434" t="s">
        <v>24</v>
      </c>
      <c r="E58" s="433" t="s">
        <v>908</v>
      </c>
      <c r="F58" t="s">
        <v>1195</v>
      </c>
      <c r="G58" s="6">
        <v>0.15</v>
      </c>
      <c r="H58" s="438">
        <f t="shared" si="10"/>
        <v>0.16849065007403333</v>
      </c>
      <c r="I58" s="432">
        <v>1</v>
      </c>
      <c r="J58" s="431">
        <f t="shared" si="2"/>
        <v>0.16849065007403333</v>
      </c>
      <c r="K58" s="431" t="e">
        <v>#N/A</v>
      </c>
      <c r="L58" s="431" t="e">
        <f t="shared" si="3"/>
        <v>#N/A</v>
      </c>
      <c r="M58" s="431" t="str">
        <f t="shared" si="6"/>
        <v>#964B00</v>
      </c>
      <c r="N58" t="str">
        <f t="shared" si="7"/>
        <v>Propenonitrile [0.17] Other #964B00</v>
      </c>
      <c r="O58" s="440"/>
      <c r="P58" s="438"/>
      <c r="Q58" s="3" t="s">
        <v>559</v>
      </c>
      <c r="R58">
        <v>1.4633724978652156</v>
      </c>
    </row>
    <row r="59" spans="1:18">
      <c r="A59" s="434" t="s">
        <v>87</v>
      </c>
      <c r="B59" t="s">
        <v>24</v>
      </c>
      <c r="E59" s="433" t="s">
        <v>908</v>
      </c>
      <c r="F59" t="s">
        <v>1195</v>
      </c>
      <c r="G59" s="6">
        <v>0.2</v>
      </c>
      <c r="H59" s="438">
        <f t="shared" si="10"/>
        <v>0.22465420009871112</v>
      </c>
      <c r="I59" s="432">
        <v>1</v>
      </c>
      <c r="J59" s="431">
        <f t="shared" si="2"/>
        <v>0.22465420009871112</v>
      </c>
      <c r="K59" s="431" t="e">
        <v>#N/A</v>
      </c>
      <c r="L59" s="431" t="e">
        <f t="shared" si="3"/>
        <v>#N/A</v>
      </c>
      <c r="M59" s="431" t="str">
        <f t="shared" si="6"/>
        <v>#964B00</v>
      </c>
      <c r="N59" t="str">
        <f t="shared" si="7"/>
        <v>Propenonitrile [0.22] Other #964B00</v>
      </c>
      <c r="O59" s="437"/>
      <c r="P59" s="438"/>
      <c r="Q59" s="3" t="s">
        <v>560</v>
      </c>
      <c r="R59">
        <v>0.28393794734698213</v>
      </c>
    </row>
    <row r="60" spans="1:18">
      <c r="A60" s="434" t="s">
        <v>354</v>
      </c>
      <c r="B60" t="s">
        <v>357</v>
      </c>
      <c r="C60" s="434" t="s">
        <v>24</v>
      </c>
      <c r="E60" s="433" t="s">
        <v>908</v>
      </c>
      <c r="F60" t="s">
        <v>1195</v>
      </c>
      <c r="G60" s="6">
        <v>0.98</v>
      </c>
      <c r="H60" s="438">
        <f>G60*$H$48</f>
        <v>0.73387038698912299</v>
      </c>
      <c r="I60" s="432">
        <v>1</v>
      </c>
      <c r="J60" s="431">
        <f t="shared" si="2"/>
        <v>0.73387038698912299</v>
      </c>
      <c r="K60" s="431" t="e">
        <v>#N/A</v>
      </c>
      <c r="L60" s="431" t="e">
        <f t="shared" si="3"/>
        <v>#N/A</v>
      </c>
      <c r="M60" s="431" t="str">
        <f t="shared" si="6"/>
        <v>#964B00</v>
      </c>
      <c r="N60" t="str">
        <f t="shared" si="7"/>
        <v>Cumene [0.73] Other #964B00</v>
      </c>
      <c r="Q60" s="3" t="s">
        <v>561</v>
      </c>
      <c r="R60">
        <v>0.13104828339091482</v>
      </c>
    </row>
    <row r="61" spans="1:18">
      <c r="A61" s="434" t="s">
        <v>354</v>
      </c>
      <c r="B61" s="434" t="s">
        <v>24</v>
      </c>
      <c r="C61" s="434"/>
      <c r="D61" s="434"/>
      <c r="E61" s="433" t="s">
        <v>908</v>
      </c>
      <c r="F61" s="434" t="s">
        <v>1195</v>
      </c>
      <c r="G61" s="6">
        <v>0.02</v>
      </c>
      <c r="H61" s="438">
        <f>G61*$H$48</f>
        <v>1.4976946673247409E-2</v>
      </c>
      <c r="I61" s="432">
        <v>1</v>
      </c>
      <c r="J61" s="431">
        <f t="shared" si="2"/>
        <v>1.4976946673247409E-2</v>
      </c>
      <c r="K61" s="431" t="e">
        <v>#N/A</v>
      </c>
      <c r="L61" s="431" t="e">
        <f t="shared" si="3"/>
        <v>#N/A</v>
      </c>
      <c r="M61" s="431" t="str">
        <f t="shared" si="6"/>
        <v>#964B00</v>
      </c>
      <c r="N61" t="str">
        <f t="shared" si="7"/>
        <v>Cumene [0.01] Other #964B00</v>
      </c>
      <c r="O61" s="6"/>
      <c r="P61" s="41"/>
      <c r="Q61" s="3" t="s">
        <v>572</v>
      </c>
      <c r="R61">
        <v>6.5524141695457408E-2</v>
      </c>
    </row>
    <row r="62" spans="1:18">
      <c r="A62" s="434" t="s">
        <v>360</v>
      </c>
      <c r="B62" s="434" t="s">
        <v>1035</v>
      </c>
      <c r="C62" s="434"/>
      <c r="D62" t="s">
        <v>999</v>
      </c>
      <c r="E62" s="433" t="s">
        <v>908</v>
      </c>
      <c r="F62" t="s">
        <v>1195</v>
      </c>
      <c r="G62" s="437">
        <v>0.68</v>
      </c>
      <c r="H62" s="438">
        <f>G62*$H$49</f>
        <v>0.89112832705822087</v>
      </c>
      <c r="I62" s="432">
        <v>1</v>
      </c>
      <c r="J62" s="431">
        <f t="shared" si="2"/>
        <v>0.89112832705822087</v>
      </c>
      <c r="K62" s="431" t="e">
        <v>#N/A</v>
      </c>
      <c r="L62" s="431" t="e">
        <f t="shared" si="3"/>
        <v>#N/A</v>
      </c>
      <c r="M62" s="431" t="str">
        <f t="shared" si="6"/>
        <v>#0000FF</v>
      </c>
      <c r="N62" t="str">
        <f t="shared" si="7"/>
        <v>Propylene oxide [0.89] Polyurethane (PU) #0000FF</v>
      </c>
      <c r="O62" s="6"/>
      <c r="P62" s="41"/>
      <c r="Q62" s="3" t="s">
        <v>562</v>
      </c>
      <c r="R62">
        <v>4.3682761130304941E-2</v>
      </c>
    </row>
    <row r="63" spans="1:18">
      <c r="A63" s="434" t="s">
        <v>360</v>
      </c>
      <c r="B63" s="434" t="s">
        <v>361</v>
      </c>
      <c r="C63" s="434" t="s">
        <v>24</v>
      </c>
      <c r="D63" s="434"/>
      <c r="E63" s="433" t="s">
        <v>908</v>
      </c>
      <c r="F63" s="434" t="s">
        <v>1195</v>
      </c>
      <c r="G63" s="437">
        <v>0.22</v>
      </c>
      <c r="H63" s="438">
        <f t="shared" ref="H63:H65" si="11">G63*$H$49</f>
        <v>0.28830622346001261</v>
      </c>
      <c r="I63" s="432">
        <v>1</v>
      </c>
      <c r="J63" s="431">
        <f t="shared" si="2"/>
        <v>0.28830622346001261</v>
      </c>
      <c r="K63" s="431" t="e">
        <v>#N/A</v>
      </c>
      <c r="L63" s="431" t="e">
        <f t="shared" si="3"/>
        <v>#N/A</v>
      </c>
      <c r="M63" s="431" t="str">
        <f t="shared" si="6"/>
        <v>#964B00</v>
      </c>
      <c r="N63" t="str">
        <f t="shared" si="7"/>
        <v>Propylene oxide [0.29] Other #964B00</v>
      </c>
      <c r="O63" s="6"/>
      <c r="P63" s="41"/>
      <c r="Q63" s="3" t="s">
        <v>1035</v>
      </c>
      <c r="R63">
        <v>1.938023898384325</v>
      </c>
    </row>
    <row r="64" spans="1:18">
      <c r="A64" s="434" t="s">
        <v>360</v>
      </c>
      <c r="B64" s="434" t="s">
        <v>362</v>
      </c>
      <c r="C64" s="434" t="s">
        <v>24</v>
      </c>
      <c r="D64" s="434"/>
      <c r="E64" s="433" t="s">
        <v>908</v>
      </c>
      <c r="F64" s="434" t="s">
        <v>1195</v>
      </c>
      <c r="G64" s="437">
        <v>0.04</v>
      </c>
      <c r="H64" s="438">
        <f t="shared" si="11"/>
        <v>5.2419313356365932E-2</v>
      </c>
      <c r="I64" s="432">
        <v>1</v>
      </c>
      <c r="J64" s="431">
        <f t="shared" si="2"/>
        <v>5.2419313356365932E-2</v>
      </c>
      <c r="K64" s="431" t="e">
        <v>#N/A</v>
      </c>
      <c r="L64" s="431" t="e">
        <f t="shared" si="3"/>
        <v>#N/A</v>
      </c>
      <c r="M64" s="431" t="str">
        <f t="shared" si="6"/>
        <v>#964B00</v>
      </c>
      <c r="N64" t="str">
        <f t="shared" si="7"/>
        <v>Propylene oxide [0.05] Other #964B00</v>
      </c>
      <c r="O64" s="6"/>
      <c r="P64" s="41"/>
      <c r="Q64" s="3" t="s">
        <v>1036</v>
      </c>
      <c r="R64">
        <v>1.797233600789689</v>
      </c>
    </row>
    <row r="65" spans="1:18">
      <c r="A65" s="434" t="s">
        <v>360</v>
      </c>
      <c r="B65" s="434" t="s">
        <v>24</v>
      </c>
      <c r="C65" s="434"/>
      <c r="D65" s="434"/>
      <c r="E65" s="433" t="s">
        <v>908</v>
      </c>
      <c r="F65" s="434" t="s">
        <v>1195</v>
      </c>
      <c r="G65" s="437">
        <v>0.06</v>
      </c>
      <c r="H65" s="438">
        <f t="shared" si="11"/>
        <v>7.8628970034548898E-2</v>
      </c>
      <c r="I65" s="432">
        <v>1</v>
      </c>
      <c r="J65" s="431">
        <f t="shared" si="2"/>
        <v>7.8628970034548898E-2</v>
      </c>
      <c r="K65" s="431" t="e">
        <v>#N/A</v>
      </c>
      <c r="L65" s="431" t="e">
        <f t="shared" si="3"/>
        <v>#N/A</v>
      </c>
      <c r="M65" s="431" t="str">
        <f t="shared" si="6"/>
        <v>#964B00</v>
      </c>
      <c r="N65" t="str">
        <f t="shared" si="7"/>
        <v>Propylene oxide [0.08] Other #964B00</v>
      </c>
      <c r="Q65" s="3" t="s">
        <v>1037</v>
      </c>
      <c r="R65">
        <v>0.4355483304413762</v>
      </c>
    </row>
    <row r="66" spans="1:18">
      <c r="A66" s="441" t="s">
        <v>94</v>
      </c>
      <c r="B66" s="434" t="s">
        <v>24</v>
      </c>
      <c r="C66" s="434"/>
      <c r="D66" s="434"/>
      <c r="E66" s="433" t="s">
        <v>908</v>
      </c>
      <c r="F66" s="434" t="s">
        <v>1195</v>
      </c>
      <c r="G66" s="437">
        <v>1</v>
      </c>
      <c r="H66" s="438">
        <f>G66*H50</f>
        <v>0.56163550024677777</v>
      </c>
      <c r="I66" s="432">
        <v>1</v>
      </c>
      <c r="J66" s="431">
        <f t="shared" si="2"/>
        <v>0.56163550024677777</v>
      </c>
      <c r="K66" s="431" t="e">
        <v>#N/A</v>
      </c>
      <c r="L66" s="431" t="e">
        <f t="shared" si="3"/>
        <v>#N/A</v>
      </c>
      <c r="M66" s="431" t="str">
        <f t="shared" si="6"/>
        <v>#964B00</v>
      </c>
      <c r="N66" t="str">
        <f t="shared" si="7"/>
        <v>Butanol [0.56] Other #964B00</v>
      </c>
      <c r="Q66" s="3" t="s">
        <v>1038</v>
      </c>
      <c r="R66">
        <v>10.452660699037255</v>
      </c>
    </row>
    <row r="67" spans="1:18">
      <c r="A67" t="s">
        <v>885</v>
      </c>
      <c r="B67" t="s">
        <v>1039</v>
      </c>
      <c r="E67"/>
      <c r="F67" t="s">
        <v>1196</v>
      </c>
      <c r="H67" s="41">
        <v>2.8771099042794535</v>
      </c>
      <c r="I67" s="432">
        <v>1</v>
      </c>
      <c r="J67" s="431">
        <f t="shared" si="2"/>
        <v>2.8771099042794535</v>
      </c>
      <c r="K67" s="431" t="e">
        <v>#N/A</v>
      </c>
      <c r="L67" s="431" t="e">
        <f t="shared" si="3"/>
        <v>#N/A</v>
      </c>
      <c r="M67" s="431" t="str">
        <f t="shared" si="6"/>
        <v>#A9A9A9</v>
      </c>
      <c r="N67" t="str">
        <f t="shared" si="7"/>
        <v>Acetic Acid [2.9] Vinyl acetate monomer (VAM) #A9A9A9</v>
      </c>
      <c r="Q67" s="3" t="s">
        <v>85</v>
      </c>
      <c r="R67">
        <v>0.78004930589830257</v>
      </c>
    </row>
    <row r="68" spans="1:18">
      <c r="A68" t="s">
        <v>885</v>
      </c>
      <c r="B68" t="s">
        <v>1040</v>
      </c>
      <c r="F68" t="s">
        <v>1196</v>
      </c>
      <c r="H68" s="41">
        <v>1.5104826997467129</v>
      </c>
      <c r="I68" s="432">
        <v>1</v>
      </c>
      <c r="J68" s="431">
        <f t="shared" si="2"/>
        <v>1.5104826997467129</v>
      </c>
      <c r="K68" s="431">
        <v>2.7664690601478719</v>
      </c>
      <c r="L68" s="431">
        <f t="shared" si="3"/>
        <v>4.1787036547379088</v>
      </c>
      <c r="M68" s="431" t="str">
        <f t="shared" si="6"/>
        <v>#A9A9A9</v>
      </c>
      <c r="N68" t="str">
        <f t="shared" si="7"/>
        <v>Acetic Acid [1.5] Terephthalic acid #A9A9A9</v>
      </c>
      <c r="Q68" s="3" t="s">
        <v>87</v>
      </c>
      <c r="R68">
        <v>0.93605916707796299</v>
      </c>
    </row>
    <row r="69" spans="1:18">
      <c r="A69" t="s">
        <v>885</v>
      </c>
      <c r="B69" t="s">
        <v>1041</v>
      </c>
      <c r="C69" t="s">
        <v>24</v>
      </c>
      <c r="E69" s="433" t="s">
        <v>27</v>
      </c>
      <c r="F69" t="s">
        <v>1195</v>
      </c>
      <c r="H69" s="41">
        <v>0.71927747606986336</v>
      </c>
      <c r="I69" s="432">
        <v>1</v>
      </c>
      <c r="J69" s="431">
        <f t="shared" si="2"/>
        <v>0.71927747606986336</v>
      </c>
      <c r="K69" s="431" t="e">
        <v>#N/A</v>
      </c>
      <c r="L69" s="431" t="e">
        <f t="shared" si="3"/>
        <v>#N/A</v>
      </c>
      <c r="M69" s="431" t="str">
        <f t="shared" ref="M69:M88" si="12">IF(AND(OR(B69="Other",C69="Other"),$B$1=TRUE),$S$9,_xlfn.XLOOKUP(D69,$Q$6:$Q$10,$S$6:$S$10,$S$8))</f>
        <v>#964B00</v>
      </c>
      <c r="N69" t="str">
        <f t="shared" ref="N69:N88" si="13">CONCATENATE(A69," [",IF(H69&lt;1,ROUND(H69,2),ROUND(H69,1)),"] ",IF($B$1=TRUE,IF((ISBLANK(C69)),B69,C69),B69)," ",M69)</f>
        <v>Acetic Acid [0.72] Other #964B00</v>
      </c>
      <c r="Q69" s="3" t="s">
        <v>354</v>
      </c>
      <c r="R69">
        <v>0.62403944471864203</v>
      </c>
    </row>
    <row r="70" spans="1:18">
      <c r="A70" t="s">
        <v>885</v>
      </c>
      <c r="B70" t="s">
        <v>1042</v>
      </c>
      <c r="C70" t="s">
        <v>24</v>
      </c>
      <c r="E70" s="433" t="s">
        <v>27</v>
      </c>
      <c r="F70" t="s">
        <v>1195</v>
      </c>
      <c r="H70" s="41">
        <v>0.79120522367684964</v>
      </c>
      <c r="I70" s="432">
        <v>1</v>
      </c>
      <c r="J70" s="431">
        <f t="shared" ref="J70:J119" si="14">H70</f>
        <v>0.79120522367684964</v>
      </c>
      <c r="K70" s="431" t="e">
        <v>#N/A</v>
      </c>
      <c r="L70" s="431" t="e">
        <f t="shared" ref="L70:L119" si="15">J70*K70</f>
        <v>#N/A</v>
      </c>
      <c r="M70" s="431" t="str">
        <f t="shared" si="12"/>
        <v>#964B00</v>
      </c>
      <c r="N70" t="str">
        <f t="shared" si="13"/>
        <v>Acetic Acid [0.79] Other #964B00</v>
      </c>
      <c r="Q70" s="3" t="s">
        <v>360</v>
      </c>
      <c r="R70">
        <v>1.0920690282576235</v>
      </c>
    </row>
    <row r="71" spans="1:18">
      <c r="A71" t="s">
        <v>885</v>
      </c>
      <c r="B71" s="434" t="s">
        <v>24</v>
      </c>
      <c r="C71" s="434"/>
      <c r="D71" s="434"/>
      <c r="E71" s="433" t="s">
        <v>27</v>
      </c>
      <c r="F71" s="434" t="s">
        <v>1195</v>
      </c>
      <c r="H71" s="41">
        <v>1.2946994569257539</v>
      </c>
      <c r="I71" s="432">
        <v>1</v>
      </c>
      <c r="J71" s="431">
        <f t="shared" si="14"/>
        <v>1.2946994569257539</v>
      </c>
      <c r="K71" s="431" t="e">
        <v>#N/A</v>
      </c>
      <c r="L71" s="431" t="e">
        <f t="shared" si="15"/>
        <v>#N/A</v>
      </c>
      <c r="M71" s="431" t="str">
        <f t="shared" si="12"/>
        <v>#964B00</v>
      </c>
      <c r="N71" t="str">
        <f t="shared" si="13"/>
        <v>Acetic Acid [1.3] Other #964B00</v>
      </c>
      <c r="Q71" s="3" t="s">
        <v>94</v>
      </c>
      <c r="R71">
        <v>0.4680295835389815</v>
      </c>
    </row>
    <row r="72" spans="1:18">
      <c r="A72" t="s">
        <v>796</v>
      </c>
      <c r="B72" s="430" t="s">
        <v>1043</v>
      </c>
      <c r="C72" s="430" t="s">
        <v>24</v>
      </c>
      <c r="D72" s="430"/>
      <c r="E72" s="433" t="s">
        <v>27</v>
      </c>
      <c r="F72" s="430" t="s">
        <v>1195</v>
      </c>
      <c r="G72" s="192">
        <v>2.2216780422383169E-2</v>
      </c>
      <c r="H72" s="431">
        <v>2.2717305672878156</v>
      </c>
      <c r="I72" s="432">
        <v>1</v>
      </c>
      <c r="J72" s="431">
        <f t="shared" si="14"/>
        <v>2.2717305672878156</v>
      </c>
      <c r="K72" s="431" t="e">
        <v>#N/A</v>
      </c>
      <c r="L72" s="431" t="e">
        <f t="shared" si="15"/>
        <v>#N/A</v>
      </c>
      <c r="M72" s="431" t="str">
        <f t="shared" si="12"/>
        <v>#964B00</v>
      </c>
      <c r="N72" t="str">
        <f t="shared" si="13"/>
        <v>Methanol [2.3] Other #964B00</v>
      </c>
      <c r="Q72" s="3" t="s">
        <v>100</v>
      </c>
      <c r="R72">
        <v>0.39002465294915128</v>
      </c>
    </row>
    <row r="73" spans="1:18">
      <c r="A73" t="s">
        <v>796</v>
      </c>
      <c r="B73" s="430" t="s">
        <v>1044</v>
      </c>
      <c r="C73" s="430" t="s">
        <v>24</v>
      </c>
      <c r="D73" s="430"/>
      <c r="E73" s="433" t="s">
        <v>27</v>
      </c>
      <c r="F73" s="430" t="s">
        <v>1195</v>
      </c>
      <c r="G73" s="192">
        <v>1.5781321174464437E-2</v>
      </c>
      <c r="H73" s="431">
        <v>1.6136860977433933</v>
      </c>
      <c r="I73" s="432">
        <v>1</v>
      </c>
      <c r="J73" s="431">
        <f t="shared" si="14"/>
        <v>1.6136860977433933</v>
      </c>
      <c r="K73" s="431" t="e">
        <v>#N/A</v>
      </c>
      <c r="L73" s="431" t="e">
        <f t="shared" si="15"/>
        <v>#N/A</v>
      </c>
      <c r="M73" s="431" t="str">
        <f t="shared" si="12"/>
        <v>#964B00</v>
      </c>
      <c r="N73" t="str">
        <f t="shared" si="13"/>
        <v>Methanol [1.6] Other #964B00</v>
      </c>
      <c r="Q73" s="3" t="s">
        <v>102</v>
      </c>
      <c r="R73">
        <v>0.27301725706440588</v>
      </c>
    </row>
    <row r="74" spans="1:18">
      <c r="A74" t="s">
        <v>796</v>
      </c>
      <c r="B74" s="430" t="s">
        <v>1045</v>
      </c>
      <c r="C74" s="430"/>
      <c r="D74" s="430"/>
      <c r="E74" s="430"/>
      <c r="F74" s="430" t="s">
        <v>1196</v>
      </c>
      <c r="G74" s="192">
        <v>4.662655189360548E-3</v>
      </c>
      <c r="H74" s="431">
        <v>0.47677008625974848</v>
      </c>
      <c r="I74" s="432">
        <v>1</v>
      </c>
      <c r="J74" s="431">
        <f t="shared" si="14"/>
        <v>0.47677008625974848</v>
      </c>
      <c r="K74" s="431">
        <v>6.0608614232209739</v>
      </c>
      <c r="L74" s="431">
        <f t="shared" si="15"/>
        <v>2.8896374235574456</v>
      </c>
      <c r="M74" s="431" t="str">
        <f t="shared" si="12"/>
        <v>#A9A9A9</v>
      </c>
      <c r="N74" t="str">
        <f t="shared" si="13"/>
        <v>Methanol [0.48] Dimethyl terephthalate (DMT) #A9A9A9</v>
      </c>
      <c r="Q74" s="3" t="s">
        <v>103</v>
      </c>
      <c r="R74">
        <v>7.8004930589830268E-2</v>
      </c>
    </row>
    <row r="75" spans="1:18">
      <c r="A75" t="s">
        <v>796</v>
      </c>
      <c r="B75" s="430" t="s">
        <v>1046</v>
      </c>
      <c r="C75" s="430" t="s">
        <v>24</v>
      </c>
      <c r="D75" s="430"/>
      <c r="E75" s="433" t="s">
        <v>27</v>
      </c>
      <c r="F75" s="430" t="s">
        <v>1195</v>
      </c>
      <c r="G75" s="192">
        <v>4.9435021407774277E-3</v>
      </c>
      <c r="H75" s="431">
        <v>0.50548750580180479</v>
      </c>
      <c r="I75" s="432">
        <v>1</v>
      </c>
      <c r="J75" s="431">
        <f t="shared" si="14"/>
        <v>0.50548750580180479</v>
      </c>
      <c r="K75" s="431" t="e">
        <v>#N/A</v>
      </c>
      <c r="L75" s="431" t="e">
        <f t="shared" si="15"/>
        <v>#N/A</v>
      </c>
      <c r="M75" s="431" t="str">
        <f t="shared" si="12"/>
        <v>#964B00</v>
      </c>
      <c r="N75" t="str">
        <f t="shared" si="13"/>
        <v>Methanol [0.51] Other #964B00</v>
      </c>
      <c r="Q75" s="3" t="s">
        <v>106</v>
      </c>
      <c r="R75">
        <v>0.28081775012338889</v>
      </c>
    </row>
    <row r="76" spans="1:18">
      <c r="A76" s="430" t="s">
        <v>1010</v>
      </c>
      <c r="B76" t="s">
        <v>1047</v>
      </c>
      <c r="D76" t="s">
        <v>1001</v>
      </c>
      <c r="E76" t="s">
        <v>1001</v>
      </c>
      <c r="F76" t="s">
        <v>1195</v>
      </c>
      <c r="H76" s="41">
        <v>1.772842341876246</v>
      </c>
      <c r="I76" s="432">
        <v>1</v>
      </c>
      <c r="J76" s="431">
        <f t="shared" si="14"/>
        <v>1.772842341876246</v>
      </c>
      <c r="K76" s="431" t="e">
        <v>#N/A</v>
      </c>
      <c r="L76" s="431" t="e">
        <f t="shared" si="15"/>
        <v>#N/A</v>
      </c>
      <c r="M76" s="431" t="str">
        <f t="shared" si="12"/>
        <v>#FFFF00</v>
      </c>
      <c r="N76" t="str">
        <f t="shared" si="13"/>
        <v>Methyl Methacrylate (MMA) [1.8] Polymethyl methacrylate (PMMA) #FFFF00</v>
      </c>
      <c r="Q76" s="3" t="s">
        <v>108</v>
      </c>
      <c r="R76">
        <v>0.32762070847728703</v>
      </c>
    </row>
    <row r="77" spans="1:18">
      <c r="A77" t="s">
        <v>1039</v>
      </c>
      <c r="B77" t="s">
        <v>1048</v>
      </c>
      <c r="D77" t="s">
        <v>1001</v>
      </c>
      <c r="E77" t="s">
        <v>1001</v>
      </c>
      <c r="F77" t="s">
        <v>1195</v>
      </c>
      <c r="G77" s="6">
        <v>0.37</v>
      </c>
      <c r="H77" s="41">
        <f>G77*$H$67</f>
        <v>1.0645306645833978</v>
      </c>
      <c r="I77" s="432">
        <v>1</v>
      </c>
      <c r="J77" s="431">
        <f t="shared" si="14"/>
        <v>1.0645306645833978</v>
      </c>
      <c r="K77" s="431" t="e">
        <v>#N/A</v>
      </c>
      <c r="L77" s="431" t="e">
        <f t="shared" si="15"/>
        <v>#N/A</v>
      </c>
      <c r="M77" s="431" t="str">
        <f t="shared" si="12"/>
        <v>#FFFF00</v>
      </c>
      <c r="N77" t="str">
        <f t="shared" si="13"/>
        <v>Vinyl acetate monomer (VAM) [1.1] Polyvinyl acetate (PVA) #FFFF00</v>
      </c>
      <c r="Q77" s="3" t="s">
        <v>110</v>
      </c>
      <c r="R77">
        <v>0.14040887506169444</v>
      </c>
    </row>
    <row r="78" spans="1:18">
      <c r="A78" t="s">
        <v>1039</v>
      </c>
      <c r="B78" t="s">
        <v>24</v>
      </c>
      <c r="E78" s="433" t="s">
        <v>27</v>
      </c>
      <c r="F78" t="s">
        <v>1195</v>
      </c>
      <c r="G78" s="6">
        <f>1-G77</f>
        <v>0.63</v>
      </c>
      <c r="H78" s="41">
        <f>G78*$H$67</f>
        <v>1.8125792396960556</v>
      </c>
      <c r="I78" s="432">
        <v>1</v>
      </c>
      <c r="J78" s="431">
        <f t="shared" si="14"/>
        <v>1.8125792396960556</v>
      </c>
      <c r="K78" s="431" t="e">
        <v>#N/A</v>
      </c>
      <c r="L78" s="431" t="e">
        <f t="shared" si="15"/>
        <v>#N/A</v>
      </c>
      <c r="M78" s="431" t="str">
        <f t="shared" si="12"/>
        <v>#964B00</v>
      </c>
      <c r="N78" t="str">
        <f t="shared" si="13"/>
        <v>Vinyl acetate monomer (VAM) [1.8] Other #964B00</v>
      </c>
      <c r="Q78" s="3" t="s">
        <v>357</v>
      </c>
      <c r="R78">
        <v>0.61155865582426916</v>
      </c>
    </row>
    <row r="79" spans="1:18">
      <c r="A79" t="s">
        <v>1040</v>
      </c>
      <c r="B79" s="442" t="s">
        <v>1049</v>
      </c>
      <c r="C79" s="442"/>
      <c r="E79" s="433" t="s">
        <v>999</v>
      </c>
      <c r="F79" t="s">
        <v>1195</v>
      </c>
      <c r="G79" s="6">
        <v>0.9</v>
      </c>
      <c r="H79" s="41">
        <f>G79*$H$68</f>
        <v>1.3594344297720415</v>
      </c>
      <c r="I79" s="432">
        <v>1</v>
      </c>
      <c r="J79" s="431">
        <f t="shared" si="14"/>
        <v>1.3594344297720415</v>
      </c>
      <c r="K79" s="431">
        <v>1.1569113716803505</v>
      </c>
      <c r="L79" s="431">
        <f t="shared" si="15"/>
        <v>1.5727451508570678</v>
      </c>
      <c r="M79" s="431" t="str">
        <f t="shared" si="12"/>
        <v>#A9A9A9</v>
      </c>
      <c r="N79" t="str">
        <f t="shared" si="13"/>
        <v>Terephthalic acid [1.4] Polyethylene terephthalate (PET) #A9A9A9</v>
      </c>
      <c r="Q79" s="3" t="s">
        <v>361</v>
      </c>
      <c r="R79">
        <v>0.24025518621667719</v>
      </c>
    </row>
    <row r="80" spans="1:18">
      <c r="A80" t="s">
        <v>1040</v>
      </c>
      <c r="B80" t="s">
        <v>24</v>
      </c>
      <c r="E80" s="433" t="s">
        <v>27</v>
      </c>
      <c r="F80" t="s">
        <v>1195</v>
      </c>
      <c r="G80" s="6">
        <f>1-G79</f>
        <v>9.9999999999999978E-2</v>
      </c>
      <c r="H80" s="41">
        <f>G80*$H$68</f>
        <v>0.15104826997467125</v>
      </c>
      <c r="I80" s="432">
        <v>1</v>
      </c>
      <c r="J80" s="431">
        <f t="shared" si="14"/>
        <v>0.15104826997467125</v>
      </c>
      <c r="K80" s="431" t="e">
        <v>#N/A</v>
      </c>
      <c r="L80" s="431" t="e">
        <f t="shared" si="15"/>
        <v>#N/A</v>
      </c>
      <c r="M80" s="431" t="str">
        <f t="shared" si="12"/>
        <v>#964B00</v>
      </c>
      <c r="N80" t="str">
        <f t="shared" si="13"/>
        <v>Terephthalic acid [0.15] Other #964B00</v>
      </c>
      <c r="Q80" s="3" t="s">
        <v>362</v>
      </c>
      <c r="R80">
        <v>4.3682761130304941E-2</v>
      </c>
    </row>
    <row r="81" spans="1:34">
      <c r="A81" s="430" t="s">
        <v>1045</v>
      </c>
      <c r="B81" s="442" t="s">
        <v>1049</v>
      </c>
      <c r="E81" s="433" t="s">
        <v>999</v>
      </c>
      <c r="F81" t="s">
        <v>1195</v>
      </c>
      <c r="H81" s="41">
        <v>0.42438915566653618</v>
      </c>
      <c r="I81" s="432">
        <v>1</v>
      </c>
      <c r="J81" s="431">
        <f t="shared" si="14"/>
        <v>0.42438915566653618</v>
      </c>
      <c r="K81" s="431">
        <v>0.98975230444410101</v>
      </c>
      <c r="L81" s="431">
        <f t="shared" si="15"/>
        <v>0.42004014480204049</v>
      </c>
      <c r="M81" s="431" t="str">
        <f t="shared" si="12"/>
        <v>#A9A9A9</v>
      </c>
      <c r="N81" t="str">
        <f t="shared" si="13"/>
        <v>Dimethyl terephthalate (DMT) [0.42] Polyethylene terephthalate (PET) #A9A9A9</v>
      </c>
      <c r="Q81" s="3" t="s">
        <v>1039</v>
      </c>
      <c r="R81">
        <v>2.8771099042794535</v>
      </c>
    </row>
    <row r="82" spans="1:34">
      <c r="A82" s="430" t="s">
        <v>1045</v>
      </c>
      <c r="B82" t="s">
        <v>24</v>
      </c>
      <c r="E82" s="433" t="s">
        <v>27</v>
      </c>
      <c r="F82" t="s">
        <v>1195</v>
      </c>
      <c r="H82" s="41">
        <v>5.2380930593212353E-2</v>
      </c>
      <c r="I82" s="432">
        <v>1</v>
      </c>
      <c r="J82" s="431">
        <f t="shared" si="14"/>
        <v>5.2380930593212353E-2</v>
      </c>
      <c r="K82" s="431" t="e">
        <v>#N/A</v>
      </c>
      <c r="L82" s="431" t="e">
        <f t="shared" si="15"/>
        <v>#N/A</v>
      </c>
      <c r="M82" s="431" t="str">
        <f t="shared" si="12"/>
        <v>#964B00</v>
      </c>
      <c r="N82" t="str">
        <f t="shared" si="13"/>
        <v>Dimethyl terephthalate (DMT) [0.05] Other #964B00</v>
      </c>
      <c r="Q82" s="3" t="s">
        <v>1040</v>
      </c>
      <c r="R82">
        <v>1.5104826997467129</v>
      </c>
    </row>
    <row r="83" spans="1:34">
      <c r="A83" t="s">
        <v>1030</v>
      </c>
      <c r="B83" t="s">
        <v>1035</v>
      </c>
      <c r="E83" s="433" t="s">
        <v>999</v>
      </c>
      <c r="F83" t="s">
        <v>1195</v>
      </c>
      <c r="G83" s="6">
        <v>0.95</v>
      </c>
      <c r="H83" s="41">
        <f>G83*$H$24</f>
        <v>1.1298928174736835</v>
      </c>
      <c r="I83" s="432">
        <v>1</v>
      </c>
      <c r="J83" s="431">
        <f t="shared" si="14"/>
        <v>1.1298928174736835</v>
      </c>
      <c r="K83" s="431" t="e">
        <v>#N/A</v>
      </c>
      <c r="L83" s="431" t="e">
        <f t="shared" si="15"/>
        <v>#N/A</v>
      </c>
      <c r="M83" s="431" t="str">
        <f t="shared" si="12"/>
        <v>#A9A9A9</v>
      </c>
      <c r="N83" t="str">
        <f t="shared" si="13"/>
        <v>Methylene diphenyl diisocyanate [1.1] Polyurethane (PU) #A9A9A9</v>
      </c>
      <c r="Q83" s="3" t="s">
        <v>1041</v>
      </c>
      <c r="R83">
        <v>0.71927747606986336</v>
      </c>
    </row>
    <row r="84" spans="1:34">
      <c r="A84" t="s">
        <v>1030</v>
      </c>
      <c r="B84" t="s">
        <v>24</v>
      </c>
      <c r="E84" s="433" t="s">
        <v>27</v>
      </c>
      <c r="F84" t="s">
        <v>1195</v>
      </c>
      <c r="G84" s="6">
        <v>0.05</v>
      </c>
      <c r="H84" s="41">
        <f>G84*$H$24</f>
        <v>5.9468043024930722E-2</v>
      </c>
      <c r="I84" s="432">
        <v>1</v>
      </c>
      <c r="J84" s="431">
        <f t="shared" si="14"/>
        <v>5.9468043024930722E-2</v>
      </c>
      <c r="K84" s="431" t="e">
        <v>#N/A</v>
      </c>
      <c r="L84" s="431" t="e">
        <f t="shared" si="15"/>
        <v>#N/A</v>
      </c>
      <c r="M84" s="431" t="str">
        <f t="shared" si="12"/>
        <v>#964B00</v>
      </c>
      <c r="N84" t="str">
        <f t="shared" si="13"/>
        <v>Methylene diphenyl diisocyanate [0.06] Other #964B00</v>
      </c>
      <c r="Q84" s="3" t="s">
        <v>1042</v>
      </c>
      <c r="R84">
        <v>0.79120522367684964</v>
      </c>
    </row>
    <row r="85" spans="1:34">
      <c r="A85" t="s">
        <v>1031</v>
      </c>
      <c r="B85" t="s">
        <v>1050</v>
      </c>
      <c r="C85" t="s">
        <v>24</v>
      </c>
      <c r="E85" s="433" t="s">
        <v>27</v>
      </c>
      <c r="F85" t="s">
        <v>1195</v>
      </c>
      <c r="G85" s="6">
        <v>0.5</v>
      </c>
      <c r="H85" s="41">
        <f>G85*$H$25</f>
        <v>0.59468043024930717</v>
      </c>
      <c r="I85" s="432">
        <v>1</v>
      </c>
      <c r="J85" s="431">
        <f t="shared" si="14"/>
        <v>0.59468043024930717</v>
      </c>
      <c r="K85" s="431" t="e">
        <v>#N/A</v>
      </c>
      <c r="L85" s="431" t="e">
        <f t="shared" si="15"/>
        <v>#N/A</v>
      </c>
      <c r="M85" s="431" t="str">
        <f t="shared" si="12"/>
        <v>#964B00</v>
      </c>
      <c r="N85" t="str">
        <f t="shared" si="13"/>
        <v>1,4-butanediol [0.59] Other #964B00</v>
      </c>
      <c r="Q85" s="3" t="s">
        <v>1043</v>
      </c>
      <c r="R85">
        <v>2.2717305672878156</v>
      </c>
    </row>
    <row r="86" spans="1:34">
      <c r="A86" t="s">
        <v>1031</v>
      </c>
      <c r="B86" t="s">
        <v>24</v>
      </c>
      <c r="E86" s="433" t="s">
        <v>27</v>
      </c>
      <c r="F86" t="s">
        <v>1195</v>
      </c>
      <c r="G86" s="6">
        <v>0.5</v>
      </c>
      <c r="H86" s="41">
        <f>G86*$H$25</f>
        <v>0.59468043024930717</v>
      </c>
      <c r="I86" s="432">
        <v>1</v>
      </c>
      <c r="J86" s="431">
        <f t="shared" si="14"/>
        <v>0.59468043024930717</v>
      </c>
      <c r="K86" s="431" t="e">
        <v>#N/A</v>
      </c>
      <c r="L86" s="431" t="e">
        <f t="shared" si="15"/>
        <v>#N/A</v>
      </c>
      <c r="M86" s="431" t="str">
        <f t="shared" si="12"/>
        <v>#964B00</v>
      </c>
      <c r="N86" t="str">
        <f t="shared" si="13"/>
        <v>1,4-butanediol [0.59] Other #964B00</v>
      </c>
      <c r="Q86" s="3" t="s">
        <v>1044</v>
      </c>
      <c r="R86">
        <v>1.6136860977433933</v>
      </c>
    </row>
    <row r="87" spans="1:34">
      <c r="A87" t="s">
        <v>559</v>
      </c>
      <c r="B87" s="442" t="s">
        <v>1049</v>
      </c>
      <c r="E87" s="433" t="s">
        <v>908</v>
      </c>
      <c r="F87" t="s">
        <v>1195</v>
      </c>
      <c r="G87" s="6">
        <v>0.7</v>
      </c>
      <c r="H87" s="41">
        <f>G87*$H$34</f>
        <v>0.81948859880452074</v>
      </c>
      <c r="I87" s="432">
        <v>1</v>
      </c>
      <c r="J87" s="431">
        <f t="shared" si="14"/>
        <v>0.81948859880452074</v>
      </c>
      <c r="K87" s="431">
        <v>3.0965039471564362</v>
      </c>
      <c r="L87" s="431">
        <f t="shared" si="15"/>
        <v>2.5375496808478957</v>
      </c>
      <c r="M87" s="431" t="str">
        <f t="shared" si="12"/>
        <v>#A9A9A9</v>
      </c>
      <c r="N87" t="str">
        <f t="shared" si="13"/>
        <v>Ethylene glycol [0.82] Polyethylene terephthalate (PET) #A9A9A9</v>
      </c>
      <c r="Q87" s="3" t="s">
        <v>1045</v>
      </c>
      <c r="R87">
        <v>0.47677008625974848</v>
      </c>
    </row>
    <row r="88" spans="1:34">
      <c r="A88" t="s">
        <v>559</v>
      </c>
      <c r="B88" t="s">
        <v>24</v>
      </c>
      <c r="E88" s="433" t="s">
        <v>908</v>
      </c>
      <c r="F88" t="s">
        <v>1195</v>
      </c>
      <c r="G88" s="6">
        <v>0.30000000000000004</v>
      </c>
      <c r="H88" s="41">
        <f>G88*$H$34</f>
        <v>0.35120939948765184</v>
      </c>
      <c r="I88" s="432">
        <v>1</v>
      </c>
      <c r="J88" s="431">
        <f t="shared" si="14"/>
        <v>0.35120939948765184</v>
      </c>
      <c r="K88" s="431" t="e">
        <v>#N/A</v>
      </c>
      <c r="L88" s="431" t="e">
        <f t="shared" si="15"/>
        <v>#N/A</v>
      </c>
      <c r="M88" s="431" t="str">
        <f t="shared" si="12"/>
        <v>#964B00</v>
      </c>
      <c r="N88" t="str">
        <f t="shared" si="13"/>
        <v>Ethylene glycol [0.35] Other #964B00</v>
      </c>
      <c r="Q88" s="3" t="s">
        <v>1046</v>
      </c>
      <c r="R88">
        <v>0.50548750580180479</v>
      </c>
    </row>
    <row r="89" spans="1:34">
      <c r="E89"/>
      <c r="I89" s="432">
        <v>1</v>
      </c>
      <c r="J89" s="431">
        <f t="shared" si="14"/>
        <v>0</v>
      </c>
      <c r="K89" s="431" t="e">
        <v>#DIV/0!</v>
      </c>
      <c r="L89" s="431" t="e">
        <f t="shared" si="15"/>
        <v>#DIV/0!</v>
      </c>
      <c r="Q89" s="3" t="s">
        <v>1047</v>
      </c>
      <c r="R89">
        <v>1.772842341876246</v>
      </c>
    </row>
    <row r="90" spans="1:34" s="443" customFormat="1">
      <c r="I90" s="432">
        <v>1</v>
      </c>
      <c r="J90" s="431">
        <f t="shared" si="14"/>
        <v>0</v>
      </c>
      <c r="K90" s="431" t="e">
        <v>#DIV/0!</v>
      </c>
      <c r="L90" s="431" t="e">
        <f t="shared" si="15"/>
        <v>#DIV/0!</v>
      </c>
      <c r="Q90" s="3" t="s">
        <v>1048</v>
      </c>
      <c r="R90">
        <v>1.0645306645833978</v>
      </c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</row>
    <row r="91" spans="1:34" s="443" customFormat="1">
      <c r="A91" s="430"/>
      <c r="B91"/>
      <c r="C91"/>
      <c r="D91"/>
      <c r="E91"/>
      <c r="F91"/>
      <c r="G91" s="6"/>
      <c r="H91" s="41"/>
      <c r="I91" s="432">
        <v>1</v>
      </c>
      <c r="J91" s="431">
        <f t="shared" si="14"/>
        <v>0</v>
      </c>
      <c r="K91" s="431" t="e">
        <v>#DIV/0!</v>
      </c>
      <c r="L91" s="431" t="e">
        <f t="shared" si="15"/>
        <v>#DIV/0!</v>
      </c>
      <c r="M91" s="431"/>
      <c r="N91"/>
      <c r="Q91" s="3" t="s">
        <v>1049</v>
      </c>
      <c r="R91">
        <v>2.8081843339442285</v>
      </c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</row>
    <row r="92" spans="1:34">
      <c r="A92" s="444" t="s">
        <v>1038</v>
      </c>
      <c r="B92" s="444" t="s">
        <v>1051</v>
      </c>
      <c r="C92" s="444"/>
      <c r="D92" s="443" t="s">
        <v>999</v>
      </c>
      <c r="E92" s="443"/>
      <c r="F92" s="443"/>
      <c r="G92" s="445">
        <v>0.67</v>
      </c>
      <c r="H92" s="446">
        <f>G92*$H$45</f>
        <v>8.4039392020259527</v>
      </c>
      <c r="I92" s="432">
        <v>1</v>
      </c>
      <c r="J92" s="431">
        <f t="shared" si="14"/>
        <v>8.4039392020259527</v>
      </c>
      <c r="K92" s="431" t="e">
        <v>#N/A</v>
      </c>
      <c r="L92" s="431" t="e">
        <f t="shared" si="15"/>
        <v>#N/A</v>
      </c>
      <c r="M92" s="447" t="str">
        <f>IF(AND(OR(B92="Other",C92="Other"),$B$1=TRUE),$S$9,_xlfn.XLOOKUP(D92,$Q$6:$Q$10,$S$6:$S$10,$S$8))</f>
        <v>#0000FF</v>
      </c>
      <c r="N92" s="443" t="str">
        <f>CONCATENATE(A92," [",IF(H92&lt;1,ROUND(H92,2),ROUND(H92,1)),"] ",IF($B$1=TRUE,IF((ISBLANK(C92)),B92,C92),B92)," ",M92)</f>
        <v>Polypropylene (PP) [8.4] Polypropylene PP (ex-fibre) #0000FF</v>
      </c>
      <c r="Q92" s="3" t="s">
        <v>1050</v>
      </c>
      <c r="R92">
        <v>0.59468043024930717</v>
      </c>
    </row>
    <row r="93" spans="1:34">
      <c r="A93" s="444" t="s">
        <v>1038</v>
      </c>
      <c r="B93" s="444" t="s">
        <v>1052</v>
      </c>
      <c r="C93" s="444"/>
      <c r="D93" s="443" t="s">
        <v>999</v>
      </c>
      <c r="E93" s="443"/>
      <c r="F93" s="443"/>
      <c r="G93" s="445">
        <v>0.33</v>
      </c>
      <c r="H93" s="446">
        <f>G93*$H$45</f>
        <v>4.1392536368187525</v>
      </c>
      <c r="I93" s="432">
        <v>1</v>
      </c>
      <c r="J93" s="431">
        <f t="shared" si="14"/>
        <v>4.1392536368187525</v>
      </c>
      <c r="K93" s="431" t="e">
        <v>#N/A</v>
      </c>
      <c r="L93" s="431" t="e">
        <f t="shared" si="15"/>
        <v>#N/A</v>
      </c>
      <c r="M93" s="447" t="str">
        <f>IF(AND(OR(B93="Other",C93="Other"),$B$1=TRUE),$S$9,_xlfn.XLOOKUP(D93,$Q$6:$Q$10,$S$6:$S$10,$S$8))</f>
        <v>#0000FF</v>
      </c>
      <c r="N93" s="443" t="str">
        <f>CONCATENATE(A93," [",IF(H93&lt;1,ROUND(H93,2),ROUND(H93,1)),"] ",IF($B$1=TRUE,IF((ISBLANK(C93)),B93,C93),B93)," ",M93)</f>
        <v>Polypropylene (PP) [4.1] Polypropylene fibres #0000FF</v>
      </c>
      <c r="Q93" s="3" t="s">
        <v>1022</v>
      </c>
      <c r="R93">
        <v>206.59483760351833</v>
      </c>
    </row>
    <row r="94" spans="1:34">
      <c r="E94"/>
      <c r="I94" s="432">
        <v>1</v>
      </c>
      <c r="J94" s="431">
        <f t="shared" si="14"/>
        <v>0</v>
      </c>
      <c r="K94" s="431" t="e">
        <v>#DIV/0!</v>
      </c>
      <c r="L94" s="431" t="e">
        <f t="shared" si="15"/>
        <v>#DIV/0!</v>
      </c>
    </row>
    <row r="95" spans="1:34">
      <c r="A95" s="442" t="s">
        <v>1049</v>
      </c>
      <c r="B95" s="442" t="s">
        <v>1053</v>
      </c>
      <c r="E95"/>
      <c r="G95" s="2">
        <f>45/(25+45)</f>
        <v>0.6428571428571429</v>
      </c>
      <c r="H95" s="40">
        <f>SUM($H$79,$H$81,$H$87)*G95</f>
        <v>1.6735578327277063</v>
      </c>
      <c r="I95" s="432">
        <v>1</v>
      </c>
      <c r="J95" s="431">
        <f t="shared" si="14"/>
        <v>1.6735578327277063</v>
      </c>
      <c r="K95" s="431" t="e">
        <v>#N/A</v>
      </c>
      <c r="L95" s="431" t="e">
        <f t="shared" si="15"/>
        <v>#N/A</v>
      </c>
    </row>
    <row r="96" spans="1:34">
      <c r="A96" s="442" t="s">
        <v>1049</v>
      </c>
      <c r="B96" s="442" t="s">
        <v>1054</v>
      </c>
      <c r="E96"/>
      <c r="G96" s="2">
        <f>25/(25+45)</f>
        <v>0.35714285714285715</v>
      </c>
      <c r="H96" s="40">
        <f>SUM($H$79,$H$81,$H$87)*G96</f>
        <v>0.92975435151539232</v>
      </c>
      <c r="I96" s="432">
        <v>1</v>
      </c>
      <c r="J96" s="431">
        <f t="shared" si="14"/>
        <v>0.92975435151539232</v>
      </c>
      <c r="K96" s="431" t="e">
        <v>#N/A</v>
      </c>
      <c r="L96" s="431" t="e">
        <f t="shared" si="15"/>
        <v>#N/A</v>
      </c>
    </row>
    <row r="97" spans="1:12">
      <c r="E97"/>
      <c r="I97" s="432">
        <v>1</v>
      </c>
      <c r="J97" s="431">
        <f t="shared" si="14"/>
        <v>0</v>
      </c>
      <c r="K97" s="431" t="e">
        <v>#DIV/0!</v>
      </c>
      <c r="L97" s="431" t="e">
        <f t="shared" si="15"/>
        <v>#DIV/0!</v>
      </c>
    </row>
    <row r="98" spans="1:12">
      <c r="A98" t="s">
        <v>3</v>
      </c>
      <c r="B98" t="s">
        <v>16</v>
      </c>
      <c r="E98"/>
      <c r="H98">
        <v>99.2</v>
      </c>
      <c r="I98" s="432">
        <v>1</v>
      </c>
      <c r="J98" s="431">
        <f t="shared" si="14"/>
        <v>99.2</v>
      </c>
      <c r="K98" s="431" t="e">
        <v>#N/A</v>
      </c>
      <c r="L98" s="431" t="e">
        <f t="shared" si="15"/>
        <v>#N/A</v>
      </c>
    </row>
    <row r="99" spans="1:12">
      <c r="A99" t="s">
        <v>3</v>
      </c>
      <c r="B99" t="s">
        <v>18</v>
      </c>
      <c r="E99"/>
      <c r="H99">
        <v>22.8</v>
      </c>
      <c r="I99" s="432">
        <v>1</v>
      </c>
      <c r="J99" s="431">
        <f t="shared" si="14"/>
        <v>22.8</v>
      </c>
      <c r="K99" s="431">
        <v>1.572192513368984</v>
      </c>
      <c r="L99" s="431">
        <f t="shared" si="15"/>
        <v>35.845989304812839</v>
      </c>
    </row>
    <row r="100" spans="1:12">
      <c r="A100" t="s">
        <v>3</v>
      </c>
      <c r="B100" t="s">
        <v>20</v>
      </c>
      <c r="E100"/>
      <c r="H100">
        <v>19.5</v>
      </c>
      <c r="I100" s="432">
        <v>1</v>
      </c>
      <c r="J100" s="431">
        <f t="shared" si="14"/>
        <v>19.5</v>
      </c>
      <c r="K100" s="431" t="e">
        <v>#N/A</v>
      </c>
      <c r="L100" s="431" t="e">
        <f t="shared" si="15"/>
        <v>#N/A</v>
      </c>
    </row>
    <row r="101" spans="1:12">
      <c r="A101" t="s">
        <v>3</v>
      </c>
      <c r="B101" t="s">
        <v>558</v>
      </c>
      <c r="E101"/>
      <c r="H101">
        <v>9.8000000000000007</v>
      </c>
      <c r="I101" s="432">
        <v>1</v>
      </c>
      <c r="J101" s="431">
        <f t="shared" si="14"/>
        <v>9.8000000000000007</v>
      </c>
      <c r="K101" s="431" t="e">
        <v>#N/A</v>
      </c>
      <c r="L101" s="431" t="e">
        <f t="shared" si="15"/>
        <v>#N/A</v>
      </c>
    </row>
    <row r="102" spans="1:12">
      <c r="A102" t="s">
        <v>3</v>
      </c>
      <c r="B102" t="s">
        <v>27</v>
      </c>
      <c r="E102"/>
      <c r="H102">
        <v>11.4</v>
      </c>
      <c r="I102" s="432">
        <v>1</v>
      </c>
      <c r="J102" s="431">
        <f t="shared" si="14"/>
        <v>11.4</v>
      </c>
      <c r="K102" s="431" t="e">
        <v>#N/A</v>
      </c>
      <c r="L102" s="431" t="e">
        <f t="shared" si="15"/>
        <v>#N/A</v>
      </c>
    </row>
    <row r="103" spans="1:12">
      <c r="E103"/>
      <c r="I103" s="432">
        <v>1</v>
      </c>
      <c r="J103" s="431">
        <f t="shared" si="14"/>
        <v>0</v>
      </c>
      <c r="K103" s="431" t="e">
        <v>#DIV/0!</v>
      </c>
      <c r="L103" s="431" t="e">
        <f t="shared" si="15"/>
        <v>#DIV/0!</v>
      </c>
    </row>
    <row r="104" spans="1:12">
      <c r="A104" t="s">
        <v>16</v>
      </c>
      <c r="B104" s="434" t="s">
        <v>1033</v>
      </c>
      <c r="E104"/>
      <c r="H104">
        <v>44.6</v>
      </c>
      <c r="I104" s="432">
        <v>1</v>
      </c>
      <c r="J104" s="431">
        <f t="shared" si="14"/>
        <v>44.6</v>
      </c>
      <c r="K104" s="431" t="e">
        <v>#N/A</v>
      </c>
      <c r="L104" s="431" t="e">
        <f t="shared" si="15"/>
        <v>#N/A</v>
      </c>
    </row>
    <row r="105" spans="1:12">
      <c r="A105" t="s">
        <v>16</v>
      </c>
      <c r="B105" s="434" t="s">
        <v>1034</v>
      </c>
      <c r="E105"/>
      <c r="H105">
        <v>54.6</v>
      </c>
      <c r="I105" s="432">
        <v>1</v>
      </c>
      <c r="J105" s="431">
        <f t="shared" si="14"/>
        <v>54.6</v>
      </c>
      <c r="K105" s="431" t="e">
        <v>#N/A</v>
      </c>
      <c r="L105" s="431" t="e">
        <f t="shared" si="15"/>
        <v>#N/A</v>
      </c>
    </row>
    <row r="106" spans="1:12">
      <c r="E106"/>
      <c r="I106" s="432">
        <v>1</v>
      </c>
      <c r="J106" s="431">
        <f t="shared" si="14"/>
        <v>0</v>
      </c>
      <c r="K106" s="431" t="e">
        <v>#DIV/0!</v>
      </c>
      <c r="L106" s="431" t="e">
        <f t="shared" si="15"/>
        <v>#DIV/0!</v>
      </c>
    </row>
    <row r="107" spans="1:12">
      <c r="A107" t="s">
        <v>18</v>
      </c>
      <c r="B107" s="442" t="s">
        <v>1049</v>
      </c>
      <c r="E107"/>
      <c r="H107">
        <v>3.8</v>
      </c>
      <c r="I107" s="432">
        <v>1</v>
      </c>
      <c r="J107" s="431">
        <f t="shared" si="14"/>
        <v>3.8</v>
      </c>
      <c r="K107" s="431">
        <v>4.3582766439909291</v>
      </c>
      <c r="L107" s="431">
        <f t="shared" si="15"/>
        <v>16.561451247165529</v>
      </c>
    </row>
    <row r="108" spans="1:12">
      <c r="A108" t="s">
        <v>18</v>
      </c>
      <c r="B108" s="442" t="s">
        <v>1049</v>
      </c>
      <c r="E108"/>
      <c r="H108">
        <v>6.9</v>
      </c>
      <c r="I108" s="432">
        <v>1</v>
      </c>
      <c r="J108" s="431">
        <f t="shared" si="14"/>
        <v>6.9</v>
      </c>
      <c r="K108" s="431">
        <v>4.3582766439909291</v>
      </c>
      <c r="L108" s="431">
        <f t="shared" si="15"/>
        <v>30.072108843537411</v>
      </c>
    </row>
    <row r="109" spans="1:12">
      <c r="A109" t="s">
        <v>18</v>
      </c>
      <c r="B109" t="s">
        <v>27</v>
      </c>
      <c r="E109"/>
      <c r="H109">
        <v>12.1</v>
      </c>
      <c r="I109" s="432">
        <v>1</v>
      </c>
      <c r="J109" s="431">
        <f t="shared" si="14"/>
        <v>12.1</v>
      </c>
      <c r="K109" s="431" t="e">
        <v>#N/A</v>
      </c>
      <c r="L109" s="431" t="e">
        <f t="shared" si="15"/>
        <v>#N/A</v>
      </c>
    </row>
    <row r="110" spans="1:12">
      <c r="E110"/>
      <c r="I110" s="432">
        <v>1</v>
      </c>
      <c r="J110" s="431">
        <f t="shared" si="14"/>
        <v>0</v>
      </c>
      <c r="K110" s="431" t="e">
        <v>#DIV/0!</v>
      </c>
      <c r="L110" s="431" t="e">
        <f t="shared" si="15"/>
        <v>#DIV/0!</v>
      </c>
    </row>
    <row r="111" spans="1:12">
      <c r="A111" t="s">
        <v>20</v>
      </c>
      <c r="B111" t="s">
        <v>1036</v>
      </c>
      <c r="E111"/>
      <c r="H111">
        <v>18.7</v>
      </c>
      <c r="I111" s="432">
        <v>1</v>
      </c>
      <c r="J111" s="431">
        <f t="shared" si="14"/>
        <v>18.7</v>
      </c>
      <c r="K111" s="431" t="e">
        <v>#N/A</v>
      </c>
      <c r="L111" s="431" t="e">
        <f t="shared" si="15"/>
        <v>#N/A</v>
      </c>
    </row>
    <row r="112" spans="1:12">
      <c r="A112" t="s">
        <v>20</v>
      </c>
      <c r="B112" t="s">
        <v>27</v>
      </c>
      <c r="E112"/>
      <c r="H112">
        <v>0.8</v>
      </c>
      <c r="I112" s="432">
        <v>1</v>
      </c>
      <c r="J112" s="431">
        <f t="shared" si="14"/>
        <v>0.8</v>
      </c>
      <c r="K112" s="431" t="e">
        <v>#N/A</v>
      </c>
      <c r="L112" s="431" t="e">
        <f t="shared" si="15"/>
        <v>#N/A</v>
      </c>
    </row>
    <row r="113" spans="1:12">
      <c r="E113"/>
      <c r="I113" s="432">
        <v>1</v>
      </c>
      <c r="J113" s="431">
        <f t="shared" si="14"/>
        <v>0</v>
      </c>
      <c r="K113" s="431" t="e">
        <v>#DIV/0!</v>
      </c>
      <c r="L113" s="431" t="e">
        <f t="shared" si="15"/>
        <v>#DIV/0!</v>
      </c>
    </row>
    <row r="114" spans="1:12">
      <c r="A114" t="s">
        <v>558</v>
      </c>
      <c r="B114" t="s">
        <v>1037</v>
      </c>
      <c r="E114"/>
      <c r="H114">
        <v>4.5</v>
      </c>
      <c r="I114" s="432">
        <v>1</v>
      </c>
      <c r="J114" s="431">
        <f t="shared" si="14"/>
        <v>4.5</v>
      </c>
      <c r="K114" s="431" t="e">
        <v>#N/A</v>
      </c>
      <c r="L114" s="431" t="e">
        <f t="shared" si="15"/>
        <v>#N/A</v>
      </c>
    </row>
    <row r="115" spans="1:12">
      <c r="A115" t="s">
        <v>558</v>
      </c>
      <c r="B115" t="s">
        <v>27</v>
      </c>
      <c r="H115">
        <v>5.3</v>
      </c>
      <c r="I115" s="432">
        <v>1</v>
      </c>
      <c r="J115" s="431">
        <f t="shared" si="14"/>
        <v>5.3</v>
      </c>
      <c r="K115" s="431" t="e">
        <v>#N/A</v>
      </c>
      <c r="L115" s="431" t="e">
        <f t="shared" si="15"/>
        <v>#N/A</v>
      </c>
    </row>
    <row r="116" spans="1:12">
      <c r="I116" s="432">
        <v>1</v>
      </c>
      <c r="J116" s="431">
        <f t="shared" si="14"/>
        <v>0</v>
      </c>
      <c r="K116" s="431" t="e">
        <v>#DIV/0!</v>
      </c>
      <c r="L116" s="431" t="e">
        <f t="shared" si="15"/>
        <v>#DIV/0!</v>
      </c>
    </row>
    <row r="117" spans="1:12">
      <c r="A117" t="s">
        <v>798</v>
      </c>
      <c r="B117" t="s">
        <v>1040</v>
      </c>
      <c r="H117" s="448">
        <f>37.4*0.98</f>
        <v>36.652000000000001</v>
      </c>
      <c r="I117" s="432">
        <v>1</v>
      </c>
      <c r="J117" s="431">
        <f t="shared" si="14"/>
        <v>36.652000000000001</v>
      </c>
      <c r="K117" s="431">
        <v>1.5643314500941619</v>
      </c>
      <c r="L117" s="431">
        <f t="shared" si="15"/>
        <v>57.335876308851219</v>
      </c>
    </row>
    <row r="118" spans="1:12">
      <c r="I118" s="432">
        <v>1</v>
      </c>
      <c r="J118" s="431">
        <f t="shared" si="14"/>
        <v>0</v>
      </c>
      <c r="K118" s="431" t="e">
        <v>#DIV/0!</v>
      </c>
      <c r="L118" s="431" t="e">
        <f t="shared" si="15"/>
        <v>#DIV/0!</v>
      </c>
    </row>
    <row r="119" spans="1:12">
      <c r="A119" t="s">
        <v>1040</v>
      </c>
      <c r="B119" s="442" t="s">
        <v>1049</v>
      </c>
      <c r="H119">
        <f>H117*95%</f>
        <v>34.819400000000002</v>
      </c>
      <c r="I119" s="432">
        <v>1</v>
      </c>
      <c r="J119" s="431">
        <f t="shared" si="14"/>
        <v>34.819400000000002</v>
      </c>
      <c r="K119" s="431">
        <v>1.1569113716803505</v>
      </c>
      <c r="L119" s="431">
        <f t="shared" si="15"/>
        <v>40.282959815086798</v>
      </c>
    </row>
  </sheetData>
  <pageMargins left="0.7" right="0.7" top="0.75" bottom="0.75" header="0.3" footer="0.3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f6f44a7d-d6f5-4042-8792-19cb5f90fb06">
      <UserInfo>
        <DisplayName>Kash Burchett</DisplayName>
        <AccountId>21974</AccountId>
        <AccountType/>
      </UserInfo>
      <UserInfo>
        <DisplayName>Andreas Wagner</DisplayName>
        <AccountId>19464</AccountId>
        <AccountType/>
      </UserInfo>
      <UserInfo>
        <DisplayName>Jane Leung</DisplayName>
        <AccountId>27396</AccountId>
        <AccountType/>
      </UserInfo>
    </SharedWithUsers>
    <lcf76f155ced4ddcb4097134ff3c332f xmlns="4ba20efe-f5fd-4091-9ff3-e4fb4b8c4e00">
      <Terms xmlns="http://schemas.microsoft.com/office/infopath/2007/PartnerControls"/>
    </lcf76f155ced4ddcb4097134ff3c332f>
    <TaxCatchAll xmlns="f6f44a7d-d6f5-4042-8792-19cb5f90fb06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1FAD42453072142B8ED04CA36838DF4" ma:contentTypeVersion="" ma:contentTypeDescription="Create a new document." ma:contentTypeScope="" ma:versionID="66ded517128d15965bf4810a51ae728a">
  <xsd:schema xmlns:xsd="http://www.w3.org/2001/XMLSchema" xmlns:xs="http://www.w3.org/2001/XMLSchema" xmlns:p="http://schemas.microsoft.com/office/2006/metadata/properties" xmlns:ns2="4ba20efe-f5fd-4091-9ff3-e4fb4b8c4e00" xmlns:ns3="f6f44a7d-d6f5-4042-8792-19cb5f90fb06" targetNamespace="http://schemas.microsoft.com/office/2006/metadata/properties" ma:root="true" ma:fieldsID="a895659a4ed1a5d6eda6357258287c2b" ns2:_="" ns3:_="">
    <xsd:import namespace="4ba20efe-f5fd-4091-9ff3-e4fb4b8c4e00"/>
    <xsd:import namespace="f6f44a7d-d6f5-4042-8792-19cb5f90fb0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ba20efe-f5fd-4091-9ff3-e4fb4b8c4e0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6fd27762-0251-4a48-b483-e1f79c0a654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6f44a7d-d6f5-4042-8792-19cb5f90fb06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2f1cb957-661d-4683-93b6-7eb55a432899}" ma:internalName="TaxCatchAll" ma:showField="CatchAllData" ma:web="f6f44a7d-d6f5-4042-8792-19cb5f90fb0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F9FECC7-D2ED-472E-B237-E3E1DE764B06}">
  <ds:schemaRefs>
    <ds:schemaRef ds:uri="http://schemas.microsoft.com/office/2006/documentManagement/types"/>
    <ds:schemaRef ds:uri="f6f44a7d-d6f5-4042-8792-19cb5f90fb06"/>
    <ds:schemaRef ds:uri="http://purl.org/dc/dcmitype/"/>
    <ds:schemaRef ds:uri="4ba20efe-f5fd-4091-9ff3-e4fb4b8c4e00"/>
    <ds:schemaRef ds:uri="http://schemas.microsoft.com/office/2006/metadata/properties"/>
    <ds:schemaRef ds:uri="http://schemas.openxmlformats.org/package/2006/metadata/core-properties"/>
    <ds:schemaRef ds:uri="http://purl.org/dc/terms/"/>
    <ds:schemaRef ds:uri="http://www.w3.org/XML/1998/namespace"/>
    <ds:schemaRef ds:uri="http://purl.org/dc/elements/1.1/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C3DAEA4C-E933-4673-BC42-600EB8AEEA9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ba20efe-f5fd-4091-9ff3-e4fb4b8c4e00"/>
    <ds:schemaRef ds:uri="f6f44a7d-d6f5-4042-8792-19cb5f90fb0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85E6D6CB-A07B-439B-94F4-5C90E1571D16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46</vt:i4>
      </vt:variant>
    </vt:vector>
  </HeadingPairs>
  <TitlesOfParts>
    <vt:vector size="46" baseType="lpstr">
      <vt:lpstr>COVER SHEET</vt:lpstr>
      <vt:lpstr>Waste Summary Yearly</vt:lpstr>
      <vt:lpstr>Yearly Butadiene</vt:lpstr>
      <vt:lpstr>Yearly BTX</vt:lpstr>
      <vt:lpstr>Yearly Methanol</vt:lpstr>
      <vt:lpstr>Yearly HC Ethylene</vt:lpstr>
      <vt:lpstr>Yearly LC Ethylene</vt:lpstr>
      <vt:lpstr>Yearly HC Propylene</vt:lpstr>
      <vt:lpstr>Yearly LC Propylene</vt:lpstr>
      <vt:lpstr>Yearly Demand Japan</vt:lpstr>
      <vt:lpstr>Yearly Demand - BTX</vt:lpstr>
      <vt:lpstr>Yearly Demand - Eth-Prop</vt:lpstr>
      <vt:lpstr>Yearly Demand - Methanol</vt:lpstr>
      <vt:lpstr>Propylene</vt:lpstr>
      <vt:lpstr>Ethylene</vt:lpstr>
      <vt:lpstr>Yearly Demand - C4</vt:lpstr>
      <vt:lpstr>Demand - Ethylene</vt:lpstr>
      <vt:lpstr>Demand - Propylene</vt:lpstr>
      <vt:lpstr>Demand - Methanol</vt:lpstr>
      <vt:lpstr>Demand - C4</vt:lpstr>
      <vt:lpstr>Demand - BTX</vt:lpstr>
      <vt:lpstr>Demand - Solar</vt:lpstr>
      <vt:lpstr>Demand - Wind</vt:lpstr>
      <vt:lpstr>Production - Industry shares</vt:lpstr>
      <vt:lpstr>R&amp;S - Packaging and hh goods</vt:lpstr>
      <vt:lpstr>R&amp;S - Buildings</vt:lpstr>
      <vt:lpstr>R&amp;S - Transportation</vt:lpstr>
      <vt:lpstr>R&amp;S - Apparel</vt:lpstr>
      <vt:lpstr>R&amp;S - Others</vt:lpstr>
      <vt:lpstr>Ethylene Recycling LC</vt:lpstr>
      <vt:lpstr>Ethylene Recycling HC</vt:lpstr>
      <vt:lpstr>Propylene Recycling LC</vt:lpstr>
      <vt:lpstr>Propylene Recycling HC</vt:lpstr>
      <vt:lpstr>Methanol Recycling LC</vt:lpstr>
      <vt:lpstr>Methanol Recycling HC</vt:lpstr>
      <vt:lpstr>BTX Recycling HC</vt:lpstr>
      <vt:lpstr>BTX Recycling LC</vt:lpstr>
      <vt:lpstr>Butadiene Recycling HC</vt:lpstr>
      <vt:lpstr>Butadiene Recycling LC</vt:lpstr>
      <vt:lpstr>Overall recycling rates</vt:lpstr>
      <vt:lpstr>BTX recycling rates</vt:lpstr>
      <vt:lpstr>Methanol recycling rates</vt:lpstr>
      <vt:lpstr>Ethylene recycling rates</vt:lpstr>
      <vt:lpstr>Waste gen. - Industry shares</vt:lpstr>
      <vt:lpstr>Sankey Ethylene</vt:lpstr>
      <vt:lpstr>Sankey Methanol_detailed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Kash Burchett</dc:creator>
  <cp:keywords/>
  <dc:description/>
  <cp:lastModifiedBy>Alexandre Kremer</cp:lastModifiedBy>
  <cp:revision/>
  <dcterms:created xsi:type="dcterms:W3CDTF">2021-07-13T09:35:38Z</dcterms:created>
  <dcterms:modified xsi:type="dcterms:W3CDTF">2023-04-10T20:17:31Z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0x010100A1FAD42453072142B8ED04CA36838DF4</vt:lpwstr>
  </property>
  <property fmtid="{D5CDD505-2E9C-101B-9397-08002B2CF9AE}" pid="3" name="MediaServiceImageTags">
    <vt:lpwstr/>
  </property>
</Properties>
</file>